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14355" yWindow="75" windowWidth="18870" windowHeight="13740" tabRatio="838" firstSheet="1" activeTab="2"/>
  </bookViews>
  <sheets>
    <sheet name="уникальные" sheetId="9" state="hidden" r:id="rId1"/>
    <sheet name="История изменений" sheetId="19" r:id="rId2"/>
    <sheet name="Калькулятор_жилье" sheetId="6" r:id="rId3"/>
    <sheet name="Sheet1" sheetId="20" r:id="rId4"/>
    <sheet name="Распределение по статьям" sheetId="10" r:id="rId5"/>
    <sheet name="расчет" sheetId="18" r:id="rId6"/>
    <sheet name="БДДС" sheetId="14" r:id="rId7"/>
    <sheet name="ГРП" sheetId="15" r:id="rId8"/>
    <sheet name="длительность" sheetId="16" state="hidden" r:id="rId9"/>
  </sheets>
  <externalReferences>
    <externalReference r:id="rId10"/>
    <externalReference r:id="rId11"/>
    <externalReference r:id="rId12"/>
    <externalReference r:id="rId13"/>
  </externalReferences>
  <definedNames>
    <definedName name="__123Graph_ACURRENT" localSheetId="6" hidden="1">[1]FitOutConfCentre!#REF!</definedName>
    <definedName name="__123Graph_ACURRENT" localSheetId="1" hidden="1">[1]FitOutConfCentre!#REF!</definedName>
    <definedName name="__123Graph_ACURRENT" localSheetId="5" hidden="1">[1]FitOutConfCentre!#REF!</definedName>
    <definedName name="__123Graph_ACURRENT" hidden="1">[1]FitOutConfCentre!#REF!</definedName>
    <definedName name="__123Graph_AFLOW" hidden="1">[2]PROGRAM!$E$124:$E$177</definedName>
    <definedName name="__123Graph_AMONTH" hidden="1">[2]CASHFLOW!$G$24:$G$77</definedName>
    <definedName name="__xlfn.BAHTTEXT" hidden="1">#NAME?</definedName>
    <definedName name="_Fill" localSheetId="6" hidden="1">#REF!</definedName>
    <definedName name="_Fill" localSheetId="1" hidden="1">#REF!</definedName>
    <definedName name="_Fill" localSheetId="5" hidden="1">#REF!</definedName>
    <definedName name="_Fill" hidden="1">#REF!</definedName>
    <definedName name="_xlnm._FilterDatabase" localSheetId="7" hidden="1">ГРП!$A$2:$D$46</definedName>
    <definedName name="_Key1" localSheetId="6" hidden="1">#REF!</definedName>
    <definedName name="_Key1" localSheetId="1" hidden="1">#REF!</definedName>
    <definedName name="_Key1" localSheetId="5" hidden="1">#REF!</definedName>
    <definedName name="_Key1" hidden="1">#REF!</definedName>
    <definedName name="_Order1" hidden="1">255</definedName>
    <definedName name="_Sort" localSheetId="6" hidden="1">#REF!</definedName>
    <definedName name="_Sort" localSheetId="1" hidden="1">#REF!</definedName>
    <definedName name="_Sort" localSheetId="5" hidden="1">#REF!</definedName>
    <definedName name="_Sort" hidden="1">#REF!</definedName>
    <definedName name="AccessDatabase" hidden="1">"C:\My Documents\vlad\Var_2\can270398v2t05.mdb"</definedName>
    <definedName name="ajkdfhjksdfh" localSheetId="6" hidden="1">#REF!</definedName>
    <definedName name="ajkdfhjksdfh" localSheetId="1" hidden="1">#REF!</definedName>
    <definedName name="ajkdfhjksdfh" localSheetId="5" hidden="1">#REF!</definedName>
    <definedName name="ajkdfhjksdfh" hidden="1">#REF!</definedName>
    <definedName name="anscount" hidden="1">1</definedName>
    <definedName name="AS2DocOpenMode" hidden="1">"AS2DocumentEdit"</definedName>
    <definedName name="atrat" localSheetId="1" hidden="1">{"'Prices'!$A$4:$J$27"}</definedName>
    <definedName name="atrat" hidden="1">{"'Prices'!$A$4:$J$27"}</definedName>
    <definedName name="az" localSheetId="1" hidden="1">{#N/A,#N/A,TRUE,"Лист3"}</definedName>
    <definedName name="az" localSheetId="4" hidden="1">{#N/A,#N/A,TRUE,"Лист3"}</definedName>
    <definedName name="az" localSheetId="0" hidden="1">{#N/A,#N/A,TRUE,"Лист3"}</definedName>
    <definedName name="az" hidden="1">{#N/A,#N/A,TRUE,"Лист3"}</definedName>
    <definedName name="CBWorkbookPriority" hidden="1">-1103212323</definedName>
    <definedName name="dg" localSheetId="1" hidden="1">{"'Prices'!$A$4:$J$27"}</definedName>
    <definedName name="dg" hidden="1">{"'Prices'!$A$4:$J$27"}</definedName>
    <definedName name="ehr" localSheetId="1" hidden="1">{"'Prices'!$A$4:$J$27"}</definedName>
    <definedName name="ehr" hidden="1">{"'Prices'!$A$4:$J$27"}</definedName>
    <definedName name="ertgregyegh" localSheetId="1" hidden="1">{#N/A,#N/A,TRUE,"Лист3"}</definedName>
    <definedName name="ertgregyegh" hidden="1">{#N/A,#N/A,TRUE,"Лист3"}</definedName>
    <definedName name="f" localSheetId="1" hidden="1">{"'Prices'!$A$4:$J$27"}</definedName>
    <definedName name="f" hidden="1">{"'Prices'!$A$4:$J$27"}</definedName>
    <definedName name="fgg" localSheetId="1" hidden="1">{"'Prices'!$A$4:$J$27"}</definedName>
    <definedName name="fgg" hidden="1">{"'Prices'!$A$4:$J$27"}</definedName>
    <definedName name="g" localSheetId="1" hidden="1">{"'Prices'!$A$4:$J$27"}</definedName>
    <definedName name="g" hidden="1">{"'Prices'!$A$4:$J$27"}</definedName>
    <definedName name="gjgh" localSheetId="1" hidden="1">{"'Prices'!$A$4:$J$27"}</definedName>
    <definedName name="gjgh" hidden="1">{"'Prices'!$A$4:$J$27"}</definedName>
    <definedName name="gyg" localSheetId="1" hidden="1">{"'Prices'!$A$4:$J$27"}</definedName>
    <definedName name="gyg" hidden="1">{"'Prices'!$A$4:$J$27"}</definedName>
    <definedName name="h" localSheetId="1" hidden="1">{"'Prices'!$A$4:$J$27"}</definedName>
    <definedName name="h" hidden="1">{"'Prices'!$A$4:$J$27"}</definedName>
    <definedName name="hj" localSheetId="1" hidden="1">{"'Prices'!$A$4:$J$27"}</definedName>
    <definedName name="hj" hidden="1">{"'Prices'!$A$4:$J$27"}</definedName>
    <definedName name="HTML_CodePage" hidden="1">1251</definedName>
    <definedName name="HTML_Control" localSheetId="1" hidden="1">{"'Prices'!$A$4:$J$27"}</definedName>
    <definedName name="HTML_Control" hidden="1">{"'Prices'!$A$4:$J$27"}</definedName>
    <definedName name="HTML_Description" hidden="1">""</definedName>
    <definedName name="HTML_Email" hidden="1">""</definedName>
    <definedName name="HTML_Header" hidden="1">"Prices"</definedName>
    <definedName name="HTML_LastUpdate" hidden="1">"25.05.99"</definedName>
    <definedName name="HTML_LineAfter" hidden="1">FALSE</definedName>
    <definedName name="HTML_LineBefore" hidden="1">FALSE</definedName>
    <definedName name="HTML_Name" hidden="1">"zzz"</definedName>
    <definedName name="HTML_OBDlg2" hidden="1">TRUE</definedName>
    <definedName name="HTML_OBDlg4" hidden="1">TRUE</definedName>
    <definedName name="HTML_OS" hidden="1">0</definedName>
    <definedName name="HTML_PathFile" hidden="1">"F:\A\Prices\MyHTML.htm"</definedName>
    <definedName name="HTML_Title" hidden="1">"РМай25"</definedName>
    <definedName name="HTML2" localSheetId="1" hidden="1">{"'Prices'!$A$4:$J$27"}</definedName>
    <definedName name="HTML2" hidden="1">{"'Prices'!$A$4:$J$27"}</definedName>
    <definedName name="html222" localSheetId="1" hidden="1">{"'Prices'!$A$4:$J$27"}</definedName>
    <definedName name="html222" hidden="1">{"'Prices'!$A$4:$J$27"}</definedName>
    <definedName name="ii" localSheetId="1" hidden="1">{#N/A,#N/A,TRUE,"Лист3"}</definedName>
    <definedName name="ii" localSheetId="4" hidden="1">{#N/A,#N/A,TRUE,"Лист3"}</definedName>
    <definedName name="ii" localSheetId="0" hidden="1">{#N/A,#N/A,TRUE,"Лист3"}</definedName>
    <definedName name="ii" hidden="1">{#N/A,#N/A,TRUE,"Лист3"}</definedName>
    <definedName name="IQ_1_4_CONSTRUCTION_GROSS_LOANS_FFIEC" hidden="1">"c13402"</definedName>
    <definedName name="IQ_1_4_CONSTRUCTION_LL_REC_DOM_FFIEC" hidden="1">"c12899"</definedName>
    <definedName name="IQ_1_4_CONSTRUCTION_LOAN_COMMITMENTS_UNUSED_FFIEC" hidden="1">"c13244"</definedName>
    <definedName name="IQ_1_4_CONSTRUCTION_LOANS_DUE_30_89_FFIEC" hidden="1">"c13257"</definedName>
    <definedName name="IQ_1_4_CONSTRUCTION_LOANS_DUE_90_FFIEC" hidden="1">"c13285"</definedName>
    <definedName name="IQ_1_4_CONSTRUCTION_LOANS_NON_ACCRUAL_FFIEC" hidden="1">"c13311"</definedName>
    <definedName name="IQ_1_4_CONSTRUCTION_RISK_BASED_FFIEC" hidden="1">"c13423"</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BS_AVAIL_SALE_FFIEC" hidden="1">"c12802"</definedName>
    <definedName name="IQ_ABS_FFIEC" hidden="1">"c12788"</definedName>
    <definedName name="IQ_ABS_INVEST_SECURITIES_FFIEC" hidden="1">"c13461"</definedName>
    <definedName name="IQ_ACCOUNT_CHANGE" hidden="1">"c1449"</definedName>
    <definedName name="IQ_ACCOUNTING_FFIEC" hidden="1">"c13054"</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RUED_INTEREST_RECEIVABLE_FFIEC" hidden="1">"c12842"</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DVERTISING_MARKETING_EXPENSES_FFIEC" hidden="1">"c13048"</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PER_SHARE_BASIC" hidden="1">"c8869"</definedName>
    <definedName name="IQ_AFFO_PER_SHARE_DILUTED" hidden="1">"c8870"</definedName>
    <definedName name="IQ_AFS_INVEST_SECURITIES_FFIEC" hidden="1">"c13456"</definedName>
    <definedName name="IQ_AFS_SECURITIES_TIER_1_FFIEC" hidden="1">"c13343"</definedName>
    <definedName name="IQ_AFTER_TAX_INCOME_FDIC" hidden="1">"c6583"</definedName>
    <definedName name="IQ_AGENCY" hidden="1">"c8960"</definedName>
    <definedName name="IQ_AGENCY_INVEST_SECURITIES_FFIEC" hidden="1">"c13458"</definedName>
    <definedName name="IQ_AGRICULTURAL_GROSS_LOANS_FFIEC" hidden="1">"c13413"</definedName>
    <definedName name="IQ_AGRICULTURAL_LOANS_FOREIGN_FFIEC" hidden="1">"c13481"</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GRICULTURAL_RISK_BASED_FFIEC" hidden="1">"c13434"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_OTHER_LEASES_CHARGE_OFFS_FFIEC" hidden="1">"c13185"</definedName>
    <definedName name="IQ_ALL_OTHER_LEASES_RECOV_FFIEC" hidden="1">"c13207"</definedName>
    <definedName name="IQ_ALL_OTHER_LOANS_CHARGE_OFFS_FFIEC" hidden="1">"c13183"</definedName>
    <definedName name="IQ_ALL_OTHER_LOANS_RECOV_FFIEC" hidden="1">"c13205"</definedName>
    <definedName name="IQ_ALL_OTHER_TRADING_LIABILITIES_DOM_FFIEC" hidden="1">"c12942"</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_LL_LOSSES_FFIEC" hidden="1">"c12810"</definedName>
    <definedName name="IQ_ALLOWABLE_T2_CAPITAL_FFIEC" hidden="1">"c13150"</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CREDIT_LOSSES_OFF_BS_FFIEC" hidden="1">"c12871"</definedName>
    <definedName name="IQ_ALLOWANCE_LL_LOSSES_T2_FFIEC" hidden="1">"c13146"</definedName>
    <definedName name="IQ_ALLOWANCE_NON_PERF_LOANS" hidden="1">"c25"</definedName>
    <definedName name="IQ_ALLOWANCE_TOTAL_LOANS" hidden="1">"c26"</definedName>
    <definedName name="IQ_AMENDED_BALANCE_PREVIOUS_YR_FDIC" hidden="1">"c6499"</definedName>
    <definedName name="IQ_AMORT_EXP_IMPAIRMENT_OTHER_INTANGIBLE_ASSETS_FFIEC" hidden="1">"c13026"</definedName>
    <definedName name="IQ_AMORT_EXPENSE_FDIC" hidden="1">"c6677"</definedName>
    <definedName name="IQ_AMORTIZATION" hidden="1">"c1591"</definedName>
    <definedName name="IQ_AMORTIZED_COST_FDIC" hidden="1">"c6426"</definedName>
    <definedName name="IQ_AMOUNT_FINANCIAL_LOC_CONVEYED_FFIEC" hidden="1">"c13250"</definedName>
    <definedName name="IQ_AMOUNT_PERFORMANCE_LOC_CONVEYED_FFIEC" hidden="1">"c13252"</definedName>
    <definedName name="IQ_AMT_OUT" hidden="1">"c2145"</definedName>
    <definedName name="IQ_ANALYST_DET_EST" hidden="1">"c12043"</definedName>
    <definedName name="IQ_ANALYST_DET_EST_REUT" hidden="1">"c12135"</definedName>
    <definedName name="IQ_ANALYST_DET_EST_THOM" hidden="1">"c12071"</definedName>
    <definedName name="IQ_ANALYST_NON_PER_DET_EST" hidden="1">"c12755"</definedName>
    <definedName name="IQ_ANALYST_NON_PER_DET_EST_REUT" hidden="1">"c12758"</definedName>
    <definedName name="IQ_ANALYST_NON_PER_DET_EST_THOM" hidden="1">"c12759"</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NNUITY_SALES_FEES_COMMISSIONS_FFIEC" hidden="1">"c13007"</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HELD_FDIC" hidden="1">"c6305"</definedName>
    <definedName name="IQ_ASSETS_NAME_AP" hidden="1">"c8921"</definedName>
    <definedName name="IQ_ASSETS_NAME_AP_ABS" hidden="1">"c8940"</definedName>
    <definedName name="IQ_ASSETS_OPER_LEASE_DEPR" hidden="1">"c2070"</definedName>
    <definedName name="IQ_ASSETS_OPER_LEASE_GROSS" hidden="1">"c2071"</definedName>
    <definedName name="IQ_ASSETS_PER_EMPLOYEE_FDIC" hidden="1">"c6737"</definedName>
    <definedName name="IQ_ASSETS_REPRICE_ASSETS_TOT_FFIEC" hidden="1">"c13454"</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TM_FEES_FFIEC" hidden="1">"c13042"</definedName>
    <definedName name="IQ_ATM_INTERCHANGE_EXPENSES_FFIEC" hidden="1">"c13056"</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ABLE_FOR_SALE_FDIC" hidden="1">"c6409"</definedName>
    <definedName name="IQ_AVAILABLE_SALE_SEC_FFIEC" hidden="1">"c12791"</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CIQ" hidden="1">"c3612"</definedName>
    <definedName name="IQ_AVG_BROKER_REC_NO" hidden="1">"c64"</definedName>
    <definedName name="IQ_AVG_BROKER_REC_NO_CIQ" hidden="1">"c4657"</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 hidden="1">"c4455"</definedName>
    <definedName name="IQ_AVG_INDUSTRY_REC_CIQ" hidden="1">"c4984"</definedName>
    <definedName name="IQ_AVG_INDUSTRY_REC_NO" hidden="1">"c4454"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TOTAL_ASSETS_LEVERAGE_CAPITAL_FFIEC" hidden="1">"c13159"</definedName>
    <definedName name="IQ_AVG_TOTAL_ASSETS_LEVERAGE_RATIO_FFIEC" hidden="1">"c13154"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UNUSED" hidden="1">"c7473"</definedName>
    <definedName name="IQ_BALANCE_GOODS_FC_UNUSED" hidden="1">"c7693"</definedName>
    <definedName name="IQ_BALANCE_GOODS_POP_FC_UNUSED" hidden="1">"c7913"</definedName>
    <definedName name="IQ_BALANCE_GOODS_POP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UNUSED" hidden="1">"c7253"</definedName>
    <definedName name="IQ_BALANCE_SERV_APR_FC_UNUSED" hidden="1">"c8355"</definedName>
    <definedName name="IQ_BALANCE_SERV_APR_UNUSED" hidden="1">"c7475"</definedName>
    <definedName name="IQ_BALANCE_SERV_FC_UNUSED" hidden="1">"c7695"</definedName>
    <definedName name="IQ_BALANCE_SERV_POP_FC_UNUSED" hidden="1">"c7915"</definedName>
    <definedName name="IQ_BALANCE_SERV_POP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UNUSED" hidden="1">"c7477"</definedName>
    <definedName name="IQ_BALANCE_TRADE_FC_UNUSED" hidden="1">"c7697"</definedName>
    <definedName name="IQ_BALANCE_TRADE_POP_FC_UNUSED" hidden="1">"c7917"</definedName>
    <definedName name="IQ_BALANCE_TRADE_POP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LOAN_LIST" hidden="1">"c13507"</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ING_FEES_OPERATING_INC_FFIEC" hidden="1">"c13386"</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NCHMARK_YIELD" hidden="1">"c8955"</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"c11749"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LIST" hidden="1">"c13505"</definedName>
    <definedName name="IQ_BOND_PRICE" hidden="1">"c2162"</definedName>
    <definedName name="IQ_BORROWED_MONEY_QUARTERLY_AVG_FFIEC" hidden="1">"c13091"</definedName>
    <definedName name="IQ_BORROWINGS_LESS_1YR_ASSETS_TOT_FFIEC" hidden="1">"c13450"</definedName>
    <definedName name="IQ_BROK_COMISSION" hidden="1">"c98"</definedName>
    <definedName name="IQ_BROK_COMMISSION" hidden="1">"c3514"</definedName>
    <definedName name="IQ_BROKERED_DEPOSITS_FDIC" hidden="1">"c6486"</definedName>
    <definedName name="IQ_BUDGET_BALANCE_APR_FC_UNUSED" hidden="1">"c8359"</definedName>
    <definedName name="IQ_BUDGET_BALANCE_APR_UNUSED" hidden="1">"c7479"</definedName>
    <definedName name="IQ_BUDGET_BALANCE_FC_UNUSED" hidden="1">"c7699"</definedName>
    <definedName name="IQ_BUDGET_BALANCE_POP_FC_UNUSED" hidden="1">"c7919"</definedName>
    <definedName name="IQ_BUDGET_BALANCE_POP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YOY_FC_UNUSED" hidden="1">"c8139"</definedName>
    <definedName name="IQ_BUDGET_BALANCE_YOY_UNUSED" hidden="1">"c7259"</definedName>
    <definedName name="IQ_BUDGET_RECEIPTS_APR_FC_UNUSED" hidden="1">"c8361"</definedName>
    <definedName name="IQ_BUDGET_RECEIPTS_APR_UNUSED" hidden="1">"c7481"</definedName>
    <definedName name="IQ_BUDGET_RECEIPTS_FC_UNUSED" hidden="1">"c7701"</definedName>
    <definedName name="IQ_BUDGET_RECEIPTS_POP_FC_UNUSED" hidden="1">"c7921"</definedName>
    <definedName name="IQ_BUDGET_RECEIPTS_POP_UNUSED" hidden="1">"c7041"</definedName>
    <definedName name="IQ_BUDGET_RECEIPTS_UNUSED" hidden="1">"c6821"</definedName>
    <definedName name="IQ_BUDGET_RECEIPTS_YOY_FC_UNUSED" hidden="1">"c8141"</definedName>
    <definedName name="IQ_BUDGET_RECEIPTS_YOY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COMBINATIONS_FFIEC" hidden="1">"c12967"</definedName>
    <definedName name="IQ_BUSINESS_DESCRIPTION" hidden="1">"c322"</definedName>
    <definedName name="IQ_BV_ACT_OR_EST_CIQ" hidden="1">"c5068"</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REUT" hidden="1">"c5477"</definedName>
    <definedName name="IQ_BV_SHARE_ACT_OR_EST_THOM" hidden="1">"c5312"</definedName>
    <definedName name="IQ_BV_SHARE_DET_EST" hidden="1">"c12047"</definedName>
    <definedName name="IQ_BV_SHARE_DET_EST_CURRENCY" hidden="1">"c12456"</definedName>
    <definedName name="IQ_BV_SHARE_DET_EST_CURRENCY_REUT" hidden="1">"c12524"</definedName>
    <definedName name="IQ_BV_SHARE_DET_EST_CURRENCY_THOM" hidden="1">"c12476"</definedName>
    <definedName name="IQ_BV_SHARE_DET_EST_DATE" hidden="1">"c12200"</definedName>
    <definedName name="IQ_BV_SHARE_DET_EST_DATE_REUT" hidden="1">"c12281"</definedName>
    <definedName name="IQ_BV_SHARE_DET_EST_DATE_THOM" hidden="1">"c12225"</definedName>
    <definedName name="IQ_BV_SHARE_DET_EST_INCL" hidden="1">"c12339"</definedName>
    <definedName name="IQ_BV_SHARE_DET_EST_INCL_REUT" hidden="1">"c12407"</definedName>
    <definedName name="IQ_BV_SHARE_DET_EST_INCL_THOM" hidden="1">"c12359"</definedName>
    <definedName name="IQ_BV_SHARE_DET_EST_ORIGIN" hidden="1">"c12573"</definedName>
    <definedName name="IQ_BV_SHARE_DET_EST_ORIGIN_REUT" hidden="1">"c12649"</definedName>
    <definedName name="IQ_BV_SHARE_DET_EST_ORIGIN_THOM" hidden="1">"c12595"</definedName>
    <definedName name="IQ_BV_SHARE_DET_EST_REUT" hidden="1">"c12139"</definedName>
    <definedName name="IQ_BV_SHARE_DET_EST_THOM" hidden="1">"c12075"</definedName>
    <definedName name="IQ_BV_SHARE_EST" hidden="1">"c3541"</definedName>
    <definedName name="IQ_BV_SHARE_EST_REUT" hidden="1">"c5439"</definedName>
    <definedName name="IQ_BV_SHARE_EST_THOM" hidden="1">"c4020"</definedName>
    <definedName name="IQ_BV_SHARE_HIGH_EST" hidden="1">"c3542"</definedName>
    <definedName name="IQ_BV_SHARE_HIGH_EST_REUT" hidden="1">"c5441"</definedName>
    <definedName name="IQ_BV_SHARE_HIGH_EST_THOM" hidden="1">"c4022"</definedName>
    <definedName name="IQ_BV_SHARE_LOW_EST" hidden="1">"c3543"</definedName>
    <definedName name="IQ_BV_SHARE_LOW_EST_REUT" hidden="1">"c5442"</definedName>
    <definedName name="IQ_BV_SHARE_LOW_EST_THOM" hidden="1">"c4023"</definedName>
    <definedName name="IQ_BV_SHARE_MEDIAN_EST" hidden="1">"c3544"</definedName>
    <definedName name="IQ_BV_SHARE_MEDIAN_EST_REUT" hidden="1">"c5440"</definedName>
    <definedName name="IQ_BV_SHARE_MEDIAN_EST_THOM" hidden="1">"c4021"</definedName>
    <definedName name="IQ_BV_SHARE_NUM_EST" hidden="1">"c3539"</definedName>
    <definedName name="IQ_BV_SHARE_NUM_EST_REUT" hidden="1">"c5443"</definedName>
    <definedName name="IQ_BV_SHARE_NUM_EST_THOM" hidden="1">"c4024"</definedName>
    <definedName name="IQ_BV_SHARE_STDDEV_EST" hidden="1">"c3540"</definedName>
    <definedName name="IQ_BV_SHARE_STDDEV_EST_REUT" hidden="1">"c5444"</definedName>
    <definedName name="IQ_BV_SHARE_STDDEV_EST_THOM" hidden="1">"c4025"</definedName>
    <definedName name="IQ_BV_STDDEV_EST" hidden="1">"c5629"</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CIQ" hidden="1">"c6808"</definedName>
    <definedName name="IQ_CAL_Q_EST_REUT" hidden="1">"c6800"</definedName>
    <definedName name="IQ_CAL_Q_EST_THOM" hidden="1">"c6804"</definedName>
    <definedName name="IQ_CAL_Y" hidden="1">"c102"</definedName>
    <definedName name="IQ_CAL_Y_EST" hidden="1">"c6797"</definedName>
    <definedName name="IQ_CAL_Y_EST_CIQ" hidden="1">"c6809"</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REUT" hidden="1">"c5474"</definedName>
    <definedName name="IQ_CAPEX_ACT_OR_EST_THOM" hidden="1">"c5546"</definedName>
    <definedName name="IQ_CAPEX_BNK" hidden="1">"c110"</definedName>
    <definedName name="IQ_CAPEX_BR" hidden="1">"c111"</definedName>
    <definedName name="IQ_CAPEX_DET_EST" hidden="1">"c12048"</definedName>
    <definedName name="IQ_CAPEX_DET_EST_CURRENCY" hidden="1">"c12457"</definedName>
    <definedName name="IQ_CAPEX_DET_EST_CURRENCY_REUT" hidden="1">"c12525"</definedName>
    <definedName name="IQ_CAPEX_DET_EST_CURRENCY_THOM" hidden="1">"c12477"</definedName>
    <definedName name="IQ_CAPEX_DET_EST_DATE" hidden="1">"c12201"</definedName>
    <definedName name="IQ_CAPEX_DET_EST_DATE_REUT" hidden="1">"c12282"</definedName>
    <definedName name="IQ_CAPEX_DET_EST_DATE_THOM" hidden="1">"c12226"</definedName>
    <definedName name="IQ_CAPEX_DET_EST_INCL" hidden="1">"c12340"</definedName>
    <definedName name="IQ_CAPEX_DET_EST_INCL_REUT" hidden="1">"c12408"</definedName>
    <definedName name="IQ_CAPEX_DET_EST_INCL_THOM" hidden="1">"c12360"</definedName>
    <definedName name="IQ_CAPEX_DET_EST_ORIGIN" hidden="1">"c12765"</definedName>
    <definedName name="IQ_CAPEX_DET_EST_ORIGIN_REUT" hidden="1">"c12768"</definedName>
    <definedName name="IQ_CAPEX_DET_EST_ORIGIN_THOM" hidden="1">"c12596"</definedName>
    <definedName name="IQ_CAPEX_DET_EST_REUT" hidden="1">"c12140"</definedName>
    <definedName name="IQ_CAPEX_DET_EST_THOM" hidden="1">"c12076"</definedName>
    <definedName name="IQ_CAPEX_EST" hidden="1">"c3523"</definedName>
    <definedName name="IQ_CAPEX_EST_REUT" hidden="1">"c3969"</definedName>
    <definedName name="IQ_CAPEX_EST_THOM" hidden="1">"c5502"</definedName>
    <definedName name="IQ_CAPEX_FIN" hidden="1">"c112"</definedName>
    <definedName name="IQ_CAPEX_GUIDANCE" hidden="1">"c4150"</definedName>
    <definedName name="IQ_CAPEX_HIGH_EST" hidden="1">"c3524"</definedName>
    <definedName name="IQ_CAPEX_HIGH_EST_REUT" hidden="1">"c3971"</definedName>
    <definedName name="IQ_CAPEX_HIGH_EST_THOM" hidden="1">"c5504"</definedName>
    <definedName name="IQ_CAPEX_HIGH_GUIDANCE" hidden="1">"c4180"</definedName>
    <definedName name="IQ_CAPEX_INS" hidden="1">"c113"</definedName>
    <definedName name="IQ_CAPEX_LOW_EST" hidden="1">"c3525"</definedName>
    <definedName name="IQ_CAPEX_LOW_EST_REUT" hidden="1">"c3972"</definedName>
    <definedName name="IQ_CAPEX_LOW_EST_THOM" hidden="1">"c5505"</definedName>
    <definedName name="IQ_CAPEX_LOW_GUIDANCE" hidden="1">"c4220"</definedName>
    <definedName name="IQ_CAPEX_MEDIAN_EST" hidden="1">"c3526"</definedName>
    <definedName name="IQ_CAPEX_MEDIAN_EST_REUT" hidden="1">"c3970"</definedName>
    <definedName name="IQ_CAPEX_MEDIAN_EST_THOM" hidden="1">"c5503"</definedName>
    <definedName name="IQ_CAPEX_NUM_EST" hidden="1">"c3521"</definedName>
    <definedName name="IQ_CAPEX_NUM_EST_REUT" hidden="1">"c3973"</definedName>
    <definedName name="IQ_CAPEX_NUM_EST_THOM" hidden="1">"c5506"</definedName>
    <definedName name="IQ_CAPEX_STDDEV_EST" hidden="1">"c3522"</definedName>
    <definedName name="IQ_CAPEX_STDDEV_EST_REUT" hidden="1">"c3974"</definedName>
    <definedName name="IQ_CAPEX_STDDEV_EST_THOM" hidden="1">"c5507"</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BALANCES_DUE_FFIEC" hidden="1">"c12773"</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IVIDENDS_NET_INCOME_FDIC" hidden="1">"c6738"</definedName>
    <definedName name="IQ_CASH_DUE_BANKS" hidden="1">"c1351"</definedName>
    <definedName name="IQ_CASH_EPS_ACT_OR_EST" hidden="1">"c5638"</definedName>
    <definedName name="IQ_CASH_EPS_ACT_OR_EST_THOM" hidden="1">"c5646"</definedName>
    <definedName name="IQ_CASH_EPS_DET_EST_CURRENCY_THOM" hidden="1">"c12478"</definedName>
    <definedName name="IQ_CASH_EPS_DET_EST_DATE_THOM" hidden="1">"c12227"</definedName>
    <definedName name="IQ_CASH_EPS_DET_EST_INCL_THOM" hidden="1">"c12361"</definedName>
    <definedName name="IQ_CASH_EPS_DET_EST_ORIGIN_THOM" hidden="1">"c12597"</definedName>
    <definedName name="IQ_CASH_EPS_DET_EST_THOM" hidden="1">"c12077"</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 hidden="1">"c4154"</definedName>
    <definedName name="IQ_CASH_FLOW_ACT_OR_EST_CIQ" hidden="1">"c4566"</definedName>
    <definedName name="IQ_CASH_FLOW_EST" hidden="1">"c4153"</definedName>
    <definedName name="IQ_CASH_FLOW_GUIDANCE" hidden="1">"c4155"</definedName>
    <definedName name="IQ_CASH_FLOW_HIGH_EST" hidden="1">"c4156"</definedName>
    <definedName name="IQ_CASH_FLOW_HIGH_GUIDANCE" hidden="1">"c4201"</definedName>
    <definedName name="IQ_CASH_FLOW_LOW_EST" hidden="1">"c4157"</definedName>
    <definedName name="IQ_CASH_FLOW_LOW_GUIDANCE" hidden="1">"c4241"</definedName>
    <definedName name="IQ_CASH_FLOW_MEDIAN_EST" hidden="1">"c4158"</definedName>
    <definedName name="IQ_CASH_FLOW_NUM_EST" hidden="1">"c4159"</definedName>
    <definedName name="IQ_CASH_FLOW_STDDEV_EST" hidden="1">"c4160"</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 hidden="1">"c4164"</definedName>
    <definedName name="IQ_CASH_OPER_ACT_OR_EST_CIQ" hidden="1">"c4576"</definedName>
    <definedName name="IQ_CASH_OPER_AP" hidden="1">"c8888"</definedName>
    <definedName name="IQ_CASH_OPER_AP_ABS" hidden="1">"c8907"</definedName>
    <definedName name="IQ_CASH_OPER_EST" hidden="1">"c4163"</definedName>
    <definedName name="IQ_CASH_OPER_GUIDANCE" hidden="1">"c4165"</definedName>
    <definedName name="IQ_CASH_OPER_HIGH_EST" hidden="1">"c4166"</definedName>
    <definedName name="IQ_CASH_OPER_HIGH_GUIDANCE" hidden="1">"c4185"</definedName>
    <definedName name="IQ_CASH_OPER_LOW_EST" hidden="1">"c4244"</definedName>
    <definedName name="IQ_CASH_OPER_LOW_GUIDANCE" hidden="1">"c4225"</definedName>
    <definedName name="IQ_CASH_OPER_MEDIAN_EST" hidden="1">"c4245"</definedName>
    <definedName name="IQ_CASH_OPER_NAME_AP" hidden="1">"c8926"</definedName>
    <definedName name="IQ_CASH_OPER_NAME_AP_ABS" hidden="1">"c8945"</definedName>
    <definedName name="IQ_CASH_OPER_NUM_EST" hidden="1">"c4246"</definedName>
    <definedName name="IQ_CASH_OPER_STDDEV_EST" hidden="1">"c4247"</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HIGH_EST" hidden="1">"c4251"</definedName>
    <definedName name="IQ_CASH_ST_INVEST_HIGH_GUIDANCE" hidden="1">"c4195"</definedName>
    <definedName name="IQ_CASH_ST_INVEST_LOW_EST" hidden="1">"c4252"</definedName>
    <definedName name="IQ_CASH_ST_INVEST_LOW_GUIDANCE" hidden="1">"c4235"</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5YR_CIQID" hidden="1">"c11751"</definedName>
    <definedName name="IQ_CDS_ASK" hidden="1">"c6027"</definedName>
    <definedName name="IQ_CDS_BID" hidden="1">"c6026"</definedName>
    <definedName name="IQ_CDS_CURRENCY" hidden="1">"c6031"</definedName>
    <definedName name="IQ_CDS_DERIVATIVES_BENEFICIARY_FFIEC" hidden="1">"c13119"</definedName>
    <definedName name="IQ_CDS_DERIVATIVES_GUARANTOR_FFIEC" hidden="1">"c13112"</definedName>
    <definedName name="IQ_CDS_EVAL_DATE" hidden="1">"c6029"</definedName>
    <definedName name="IQ_CDS_LIST" hidden="1">"c13510"</definedName>
    <definedName name="IQ_CDS_LOAN_LIST" hidden="1">"c13518"</definedName>
    <definedName name="IQ_CDS_MID" hidden="1">"c6028"</definedName>
    <definedName name="IQ_CDS_NAME" hidden="1">"c6034"</definedName>
    <definedName name="IQ_CDS_SENIOR_LIST" hidden="1">"c13508"</definedName>
    <definedName name="IQ_CDS_SUB_LIST" hidden="1">"c13509"</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REUT" hidden="1">"c5463"</definedName>
    <definedName name="IQ_CFPS_ACT_OR_EST_THOM" hidden="1">"c5301"</definedName>
    <definedName name="IQ_CFPS_DET_EST" hidden="1">"c12049"</definedName>
    <definedName name="IQ_CFPS_DET_EST_CURRENCY" hidden="1">"c12458"</definedName>
    <definedName name="IQ_CFPS_DET_EST_CURRENCY_THOM" hidden="1">"c12479"</definedName>
    <definedName name="IQ_CFPS_DET_EST_DATE" hidden="1">"c12202"</definedName>
    <definedName name="IQ_CFPS_DET_EST_DATE_REUT" hidden="1">"c12283"</definedName>
    <definedName name="IQ_CFPS_DET_EST_DATE_THOM" hidden="1">"c12228"</definedName>
    <definedName name="IQ_CFPS_DET_EST_INCL" hidden="1">"c12341"</definedName>
    <definedName name="IQ_CFPS_DET_EST_INCL_REUT" hidden="1">"c12409"</definedName>
    <definedName name="IQ_CFPS_DET_EST_INCL_THOM" hidden="1">"c12362"</definedName>
    <definedName name="IQ_CFPS_DET_EST_ORIGIN" hidden="1">"c12575"</definedName>
    <definedName name="IQ_CFPS_DET_EST_ORIGIN_REUT" hidden="1">"c12651"</definedName>
    <definedName name="IQ_CFPS_DET_EST_ORIGIN_THOM" hidden="1">"c12598"</definedName>
    <definedName name="IQ_CFPS_DET_EST_REUT" hidden="1">"c12141"</definedName>
    <definedName name="IQ_CFPS_DET_EST_REUT_CURRENCY_CURRENCY_REUT" hidden="1">"c12526"</definedName>
    <definedName name="IQ_CFPS_DET_EST_THOM" hidden="1">"c12078"</definedName>
    <definedName name="IQ_CFPS_EST" hidden="1">"c1667"</definedName>
    <definedName name="IQ_CFPS_EST_REUT" hidden="1">"c3844"</definedName>
    <definedName name="IQ_CFPS_EST_THOM" hidden="1">"c4006"</definedName>
    <definedName name="IQ_CFPS_GUIDANCE" hidden="1">"c4256"</definedName>
    <definedName name="IQ_CFPS_HIGH_EST" hidden="1">"c1669"</definedName>
    <definedName name="IQ_CFPS_HIGH_EST_REUT" hidden="1">"c3846"</definedName>
    <definedName name="IQ_CFPS_HIGH_EST_THOM" hidden="1">"c4008"</definedName>
    <definedName name="IQ_CFPS_HIGH_GUIDANCE" hidden="1">"c4167"</definedName>
    <definedName name="IQ_CFPS_LOW_EST" hidden="1">"c1670"</definedName>
    <definedName name="IQ_CFPS_LOW_EST_REUT" hidden="1">"c3847"</definedName>
    <definedName name="IQ_CFPS_LOW_EST_THOM" hidden="1">"c4009"</definedName>
    <definedName name="IQ_CFPS_LOW_GUIDANCE" hidden="1">"c4207"</definedName>
    <definedName name="IQ_CFPS_MEDIAN_EST" hidden="1">"c1668"</definedName>
    <definedName name="IQ_CFPS_MEDIAN_EST_REUT" hidden="1">"c3845"</definedName>
    <definedName name="IQ_CFPS_MEDIAN_EST_THOM" hidden="1">"c4007"</definedName>
    <definedName name="IQ_CFPS_NUM_EST" hidden="1">"c1671"</definedName>
    <definedName name="IQ_CFPS_NUM_EST_REUT" hidden="1">"c3848"</definedName>
    <definedName name="IQ_CFPS_NUM_EST_THOM" hidden="1">"c4010"</definedName>
    <definedName name="IQ_CFPS_STDDEV_EST" hidden="1">"c1672"</definedName>
    <definedName name="IQ_CFPS_STDDEV_EST_REUT" hidden="1">"c3849"</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FAIR_VALUE_FINANCIAL_LIAB_T1_FFIEC" hidden="1">"c13138"</definedName>
    <definedName name="IQ_CHANGE_FAIR_VALUE_OPTIONS_FFIEC" hidden="1">"c13045"</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UNUSED" hidden="1">"c7620"</definedName>
    <definedName name="IQ_CHANGE_INVENT_REAL_FC_UNUSED" hidden="1">"c7840"</definedName>
    <definedName name="IQ_CHANGE_INVENT_REAL_POP_FC_UNUSED" hidden="1">"c8060"</definedName>
    <definedName name="IQ_CHANGE_INVENT_REAL_POP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IMS_ADJUSTMENT_EXP_PC_FFIEC" hidden="1">"c13100"</definedName>
    <definedName name="IQ_CLASS_MARKETCAP" hidden="1">"c13512"</definedName>
    <definedName name="IQ_CLASS_SHARESOUTSTANDING" hidden="1">"c13513"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D_END_1_4_FIRST_LIENS_TRADING_DOM_FFIEC" hidden="1">"c12928"</definedName>
    <definedName name="IQ_CLOSED_END_1_4_JR_LIENS_LL_REC_DOM_FFIEC" hidden="1">"c12904"</definedName>
    <definedName name="IQ_CLOSED_END_1_4_JUNIOR_LIENS_TRADING_DOM_FFIEC" hidden="1">"c12929"</definedName>
    <definedName name="IQ_CLOSED_END_SEC_1_4_1ST_LIENS_CHARGE_OFFS_FFIEC" hidden="1">"c13169"</definedName>
    <definedName name="IQ_CLOSED_END_SEC_1_4_1ST_LIENS_DUE_30_89_FFIEC" hidden="1">"c13261"</definedName>
    <definedName name="IQ_CLOSED_END_SEC_1_4_1ST_LIENS_DUE_90_FFIEC" hidden="1">"c13289"</definedName>
    <definedName name="IQ_CLOSED_END_SEC_1_4_1ST_LIENS_NON_ACCRUAL_FFIEC" hidden="1">"c13315"</definedName>
    <definedName name="IQ_CLOSED_END_SEC_1_4_1ST_LIENS_RECOV_FFIEC" hidden="1">"c13191"</definedName>
    <definedName name="IQ_CLOSED_END_SEC_1_4_JR_LIENS_CHARGE_OFFS_FFIEC" hidden="1">"c13170"</definedName>
    <definedName name="IQ_CLOSED_END_SEC_1_4_JR_LIENS_DUE_30_89_FFIEC" hidden="1">"c13262"</definedName>
    <definedName name="IQ_CLOSED_END_SEC_1_4_JR_LIENS_DUE_90_FFIEC" hidden="1">"c13290"</definedName>
    <definedName name="IQ_CLOSED_END_SEC_1_4_JR_LIENS_NON_ACCRUAL_FFIEC" hidden="1">"c13316"</definedName>
    <definedName name="IQ_CLOSED_END_SEC_1_4_JR_LIENS_RECOV_FFIEC" hidden="1">"c13192"</definedName>
    <definedName name="IQ_CLOSED_END_SECURED_1_4_FIRST_LIENS_LL_REC_DOM_FFIEC" hidden="1">"c12903"</definedName>
    <definedName name="IQ_CLOSED_LOANS_GROSS_LOANS_FFIEC" hidden="1">"c13399"</definedName>
    <definedName name="IQ_CLOSED_LOANS_RISK_BASED_FFIEC" hidden="1">"c13420"</definedName>
    <definedName name="IQ_CLOSEPRICE" hidden="1">"c174"</definedName>
    <definedName name="IQ_CLOSEPRICE_ADJ" hidden="1">"c2115"</definedName>
    <definedName name="IQ_CMBS_ISSUED_AVAIL_SALE_FFIEC" hidden="1">"c12800"</definedName>
    <definedName name="IQ_CMBS_ISSUED_FFIEC" hidden="1">"c12786"</definedName>
    <definedName name="IQ_CMO_FDIC" hidden="1">"c6406"</definedName>
    <definedName name="IQ_COGS" hidden="1">"c175"</definedName>
    <definedName name="IQ_COLLATERAL_TYPE" hidden="1">"c8954"</definedName>
    <definedName name="IQ_COLLECTION_DOMESTIC_FDIC" hidden="1">"c6387"</definedName>
    <definedName name="IQ_COM_TARGET_PRICE" hidden="1">"c13606"</definedName>
    <definedName name="IQ_COM_TARGET_PRICE_CIQ" hidden="1">"c13599"</definedName>
    <definedName name="IQ_COM_TARGET_PRICE_DET_EST" hidden="1">"c13610"</definedName>
    <definedName name="IQ_COM_TARGET_PRICE_DET_EST_CIQ" hidden="1">"c13603"</definedName>
    <definedName name="IQ_COM_TARGET_PRICE_HIGH" hidden="1">"c13607"</definedName>
    <definedName name="IQ_COM_TARGET_PRICE_HIGH_CIQ" hidden="1">"c13600"</definedName>
    <definedName name="IQ_COM_TARGET_PRICE_LOW" hidden="1">"c13608"</definedName>
    <definedName name="IQ_COM_TARGET_PRICE_LOW_CIQ" hidden="1">"c13601"</definedName>
    <definedName name="IQ_COM_TARGET_PRICE_MEDIAN" hidden="1">"c13609"</definedName>
    <definedName name="IQ_COM_TARGET_PRICE_MEDIAN_CIQ" hidden="1">"c13602"</definedName>
    <definedName name="IQ_COM_TARGET_PRICE_NUM" hidden="1">"c13604"</definedName>
    <definedName name="IQ_COM_TARGET_PRICE_NUM_CIQ" hidden="1">"c13597"</definedName>
    <definedName name="IQ_COM_TARGET_PRICE_STDDEV" hidden="1">"c13605"</definedName>
    <definedName name="IQ_COM_TARGET_PRICE_STDDEV_CIQ" hidden="1">"c13598"</definedName>
    <definedName name="IQ_COMBINED_RATIO" hidden="1">"c176"</definedName>
    <definedName name="IQ_COMM_INDUSTRIAL_LOANS_FFIEC" hidden="1">"c12821"</definedName>
    <definedName name="IQ_COMM_INDUSTRIAL_NON_US_LL_REC_FFIEC" hidden="1">"c12888"</definedName>
    <definedName name="IQ_COMM_INDUSTRIAL_US_LL_REC_FFIEC" hidden="1">"c12887"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GROSS_LOANS_FFIEC" hidden="1">"c13410"</definedName>
    <definedName name="IQ_COMMERCIAL_INDUSTRIAL_LOANS_DUE_30_89_FFIEC" hidden="1">"c13271"</definedName>
    <definedName name="IQ_COMMERCIAL_INDUSTRIAL_LOANS_DUE_90_FFIEC" hidden="1">"c13297"</definedName>
    <definedName name="IQ_COMMERCIAL_INDUSTRIAL_LOANS_LL_REC_DOM_FFIEC" hidden="1">"c12910"</definedName>
    <definedName name="IQ_COMMERCIAL_INDUSTRIAL_LOANS_NET_FDIC" hidden="1">"c6317"</definedName>
    <definedName name="IQ_COMMERCIAL_INDUSTRIAL_LOANS_NON_ACCRUAL_FFIEC" hidden="1">"c13323"</definedName>
    <definedName name="IQ_COMMERCIAL_INDUSTRIAL_NET_CHARGE_OFFS_FDIC" hidden="1">"c6636"</definedName>
    <definedName name="IQ_COMMERCIAL_INDUSTRIAL_NON_US_CHARGE_OFFS_FFIEC" hidden="1">"c13179"</definedName>
    <definedName name="IQ_COMMERCIAL_INDUSTRIAL_NON_US_RECOV_FFIEC" hidden="1">"c13201"</definedName>
    <definedName name="IQ_COMMERCIAL_INDUSTRIAL_RECOVERIES_FDIC" hidden="1">"c6617"</definedName>
    <definedName name="IQ_COMMERCIAL_INDUSTRIAL_RISK_BASED_FFIEC" hidden="1">"c13431"</definedName>
    <definedName name="IQ_COMMERCIAL_INDUSTRIAL_TOTAL_LOANS_FOREIGN_FDIC" hidden="1">"c6451"</definedName>
    <definedName name="IQ_COMMERCIAL_INDUSTRIAL_TRADING_DOM_FFIEC" hidden="1">"c12932"</definedName>
    <definedName name="IQ_COMMERCIAL_INDUSTRIAL_US_CHARGE_OFFS_FFIEC" hidden="1">"c13178"</definedName>
    <definedName name="IQ_COMMERCIAL_INDUSTRIAL_US_RECOV_FFIEC" hidden="1">"c13200"</definedName>
    <definedName name="IQ_COMMERCIAL_MORT" hidden="1">"c179"</definedName>
    <definedName name="IQ_COMMERCIAL_OTHER_LOC_FFIEC" hidden="1">"c13253"</definedName>
    <definedName name="IQ_COMMERCIAL_PAPER_ASSETS_TOT_FFIEC" hidden="1">"c13449"</definedName>
    <definedName name="IQ_COMMERCIAL_PAPER_FFIEC" hidden="1">"c12863"</definedName>
    <definedName name="IQ_COMMERCIAL_RE_CONSTRUCTION_LAND_DEV_FDIC" hidden="1">"c6526"</definedName>
    <definedName name="IQ_COMMERCIAL_RE_GROSS_LOANS_FFIEC" hidden="1">"c13400"</definedName>
    <definedName name="IQ_COMMERCIAL_RE_LOANS_FDIC" hidden="1">"c6312"</definedName>
    <definedName name="IQ_COMMERCIAL_RE_RISK_BASED_FFIEC" hidden="1">"c13421"</definedName>
    <definedName name="IQ_COMMISS_FEES" hidden="1">"c180"</definedName>
    <definedName name="IQ_COMMISSION_DEF" hidden="1">"c181"</definedName>
    <definedName name="IQ_COMMITMENTS_BUY_SEC_OTHER_OFF_BS_FFIEC" hidden="1">"c13128"</definedName>
    <definedName name="IQ_COMMITMENTS_COMMERCIAL_RE_UNUSED_FFIEC" hidden="1">"c13243"</definedName>
    <definedName name="IQ_COMMITMENTS_MATURITY_EXCEEDING_1YR_FDIC" hidden="1">"c6531"</definedName>
    <definedName name="IQ_COMMITMENTS_NOT_SECURED_RE_FDIC" hidden="1">"c6528"</definedName>
    <definedName name="IQ_COMMITMENTS_SECURED_RE_FDIC" hidden="1">"c6527"</definedName>
    <definedName name="IQ_COMMITMENTS_SELL_SEC_OTHER_OFF_BS_FFIEC" hidden="1">"c13129"</definedName>
    <definedName name="IQ_COMMODITY_EXPOSURE_FFIEC" hidden="1">"c13061"</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MON_STOCK_FFIEC" hidden="1">"c12876"</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OLIDATED_ASSETS_QUARTERLY_AVG_FFIEC" hidden="1">"c13087"</definedName>
    <definedName name="IQ_CONST_LAND_DEVELOP_OTHER_DOM_CHARGE_OFFS_FFIEC" hidden="1">"c13628"</definedName>
    <definedName name="IQ_CONST_LAND_DEVELOP_OTHER_DOM_RECOV_FFIEC" hidden="1">"c13632"</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L_REC_DOM_FFIEC" hidden="1">"c12900"</definedName>
    <definedName name="IQ_CONSTRUCTION_LOANS" hidden="1">"c222"</definedName>
    <definedName name="IQ_CONSTRUCTION_LOANS_DOM_DUE_30_89_FFIEC" hidden="1">"c13256"</definedName>
    <definedName name="IQ_CONSTRUCTION_LOANS_DOM_DUE_90_FFIEC" hidden="1">"c13284"</definedName>
    <definedName name="IQ_CONSTRUCTION_LOANS_DOM_NON_ACCRUAL_FFIEC" hidden="1">"c13310"</definedName>
    <definedName name="IQ_CONSTRUCTION_LOANS_GROSS_LOANS_FFIEC" hidden="1">"c13401"</definedName>
    <definedName name="IQ_CONSTRUCTION_RISK_BASED_FFIEC" hidden="1">"c13422"</definedName>
    <definedName name="IQ_CONSULTING_FFIEC" hidden="1">"c13055"</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ASES_LL_REC_FFIEC" hidden="1">"c12895"</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LOANS_LL_REC_DOM_FFIEC" hidden="1">"c12911"</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RACTS_OTHER_COMMODITIES_EQUITIES_FDIC" hidden="1">"c6522"</definedName>
    <definedName name="IQ_CONTRIB_ID_DET_EST" hidden="1">"c12045"</definedName>
    <definedName name="IQ_CONTRIB_ID_DET_EST_REUT" hidden="1">"c12137"</definedName>
    <definedName name="IQ_CONTRIB_ID_DET_EST_THOM" hidden="1">"c12073"</definedName>
    <definedName name="IQ_CONTRIB_NAME_DET_EST" hidden="1">"c12046"</definedName>
    <definedName name="IQ_CONTRIB_NAME_DET_EST_REUT" hidden="1">"c12138"</definedName>
    <definedName name="IQ_CONTRIB_NAME_DET_EST_THOM" hidden="1">"c12074"</definedName>
    <definedName name="IQ_CONTRIB_NAME_NON_PER_DET_EST" hidden="1">"c12760"</definedName>
    <definedName name="IQ_CONTRIB_NAME_NON_PER_DET_EST_REUT" hidden="1">"c12763"</definedName>
    <definedName name="IQ_CONTRIB_NAME_NON_PER_DET_EST_THOM" hidden="1">"c12764"</definedName>
    <definedName name="IQ_CONTRIB_REC_DET_EST" hidden="1">"c12051"</definedName>
    <definedName name="IQ_CONTRIB_REC_DET_EST_DATE" hidden="1">"c12204"</definedName>
    <definedName name="IQ_CONTRIB_REC_DET_EST_DATE_REUT" hidden="1">"c12285"</definedName>
    <definedName name="IQ_CONTRIB_REC_DET_EST_DATE_THOM" hidden="1">"c12230"</definedName>
    <definedName name="IQ_CONTRIB_REC_DET_EST_ORIGIN" hidden="1">"c12577"</definedName>
    <definedName name="IQ_CONTRIB_REC_DET_EST_ORIGIN_REUT" hidden="1">"c12653"</definedName>
    <definedName name="IQ_CONTRIB_REC_DET_EST_ORIGIN_THOM" hidden="1">"c12600"</definedName>
    <definedName name="IQ_CONTRIB_REC_DET_EST_REUT" hidden="1">"c12143"</definedName>
    <definedName name="IQ_CONTRIB_REC_DET_EST_THOM" hidden="1">"c12080"</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SION_COMMON_FFIEC" hidden="1">"c12964"</definedName>
    <definedName name="IQ_CONVERSION_PREF_FFIEC" hidden="1">"c12962"</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E_DEPOSITS_ASSETS_TOT_FFIEC" hidden="1">"c13442"</definedName>
    <definedName name="IQ_CORP_GOODS_PRICE_INDEX_APR_FC_UNUSED" hidden="1">"c8381"</definedName>
    <definedName name="IQ_CORP_GOODS_PRICE_INDEX_APR_UNUSED" hidden="1">"c7501"</definedName>
    <definedName name="IQ_CORP_GOODS_PRICE_INDEX_FC_UNUSED" hidden="1">"c7721"</definedName>
    <definedName name="IQ_CORP_GOODS_PRICE_INDEX_POP_FC_UNUSED" hidden="1">"c7941"</definedName>
    <definedName name="IQ_CORP_GOODS_PRICE_INDEX_POP_UNUSED" hidden="1">"c7061"</definedName>
    <definedName name="IQ_CORP_GOODS_PRICE_INDEX_UNUSED" hidden="1">"c6841"</definedName>
    <definedName name="IQ_CORP_GOODS_PRICE_INDEX_YOY_FC_UNUSED" hidden="1">"c8161"</definedName>
    <definedName name="IQ_CORP_GOODS_PRICE_INDEX_YOY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ST_BORROWED_FUNDS_FFIEC" hidden="1">"c13492"</definedName>
    <definedName name="IQ_COST_BORROWING" hidden="1">"c2936"</definedName>
    <definedName name="IQ_COST_BORROWINGS" hidden="1">"c225"</definedName>
    <definedName name="IQ_COST_CAPITAL_NEW_BUSINESS" hidden="1">"c9968"</definedName>
    <definedName name="IQ_COST_FOREIGN_DEPOSITS_FFIEC" hidden="1">"c13490"</definedName>
    <definedName name="IQ_COST_FUNDS_PURCHASED_FFIEC" hidden="1">"c13491"</definedName>
    <definedName name="IQ_COST_INT_DEPOSITS_FFIEC" hidden="1">"c13489"</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ED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GROSS_LOANS_FFIEC" hidden="1">"c13412"</definedName>
    <definedName name="IQ_CREDIT_CARD_INTERCHANGE_FEES_FFIEC" hidden="1">"c13046"</definedName>
    <definedName name="IQ_CREDIT_CARD_LINES_FDIC" hidden="1">"c6525"</definedName>
    <definedName name="IQ_CREDIT_CARD_LINES_UNUSED_FFIEC" hidden="1">"c13242"</definedName>
    <definedName name="IQ_CREDIT_CARD_LOANS_CHARGE_OFFS_FFIEC" hidden="1">"c13180"</definedName>
    <definedName name="IQ_CREDIT_CARD_LOANS_DUE_30_89_FFIEC" hidden="1">"c13272"</definedName>
    <definedName name="IQ_CREDIT_CARD_LOANS_DUE_90_FFIEC" hidden="1">"c13298"</definedName>
    <definedName name="IQ_CREDIT_CARD_LOANS_FDIC" hidden="1">"c6319"</definedName>
    <definedName name="IQ_CREDIT_CARD_LOANS_NON_ACCRUAL_FFIEC" hidden="1">"c13324"</definedName>
    <definedName name="IQ_CREDIT_CARD_LOANS_RECOV_FFIEC" hidden="1">"c13202"</definedName>
    <definedName name="IQ_CREDIT_CARD_NET_CHARGE_OFFS_FDIC" hidden="1">"c6654"</definedName>
    <definedName name="IQ_CREDIT_CARD_RECOVERIES_FDIC" hidden="1">"c6653"</definedName>
    <definedName name="IQ_CREDIT_CARD_RISK_BASED_FFIEC" hidden="1">"c13433"</definedName>
    <definedName name="IQ_CREDIT_CARDS_CONSUMER_LOANS_FFIEC" hidden="1">"c12822"</definedName>
    <definedName name="IQ_CREDIT_CARDS_LL_REC_FFIEC" hidden="1">"c12889"</definedName>
    <definedName name="IQ_CREDIT_CARDS_LOANS_TRADING_DOM_FFIEC" hidden="1">"c12933"</definedName>
    <definedName name="IQ_CREDIT_EXPOSURE" hidden="1">"c10038"</definedName>
    <definedName name="IQ_CREDIT_EXPOSURE_FFIEC" hidden="1">"c13062"</definedName>
    <definedName name="IQ_CREDIT_LOSS_CF" hidden="1">"c232"</definedName>
    <definedName name="IQ_CREDIT_LOSS_PROVISION_NET_CHARGE_OFFS_FDIC" hidden="1">"c6734"</definedName>
    <definedName name="IQ_CREDIT_LOSSES_DERIVATIVES_FFIEC" hidden="1">"c13068"</definedName>
    <definedName name="IQ_CREDIT_OPTIONS_DERIVATIVES_BENEFICIARY_FFIEC" hidden="1">"c13121"</definedName>
    <definedName name="IQ_CREDIT_OPTIONS_DERIVATIVES_GUARANTOR_FFIEC" hidden="1">"c13114"</definedName>
    <definedName name="IQ_CUMULATIVE_PREFERREDS_T2_FFIEC" hidden="1">"c13145"</definedName>
    <definedName name="IQ_CUMULATIVE_SPLIT_FACTOR" hidden="1">"c2094"</definedName>
    <definedName name="IQ_CURR_ACCT_BALANCE_APR_FC_UNUSED" hidden="1">"c8387"</definedName>
    <definedName name="IQ_CURR_ACCT_BALANCE_APR_UNUSED" hidden="1">"c7507"</definedName>
    <definedName name="IQ_CURR_ACCT_BALANCE_FC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USTOMER_LIAB_ACCEPTANCES_OUT_FFIEC" hidden="1">"c12835"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TA_PROCESSING_EXP_FFIEC" hidden="1">"c13047"</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1_5_INVEST_SECURITIES_FFIEC" hidden="1">"c13465"</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BT_LESS_1YR_INVEST_SECURITIES_FFIEC" hidden="1">"c13464"</definedName>
    <definedName name="IQ_DEBT_MATURING_MORE_THAN_ONE_YEAR_FFIEC" hidden="1">"c13164"</definedName>
    <definedName name="IQ_DEBT_MATURING_WITHIN_ONE_YEAR_FFIEC" hidden="1">"c13163"</definedName>
    <definedName name="IQ_DEBT_SEC_OVER_5YR_INVEST_SECURITIES_FFIEC" hidden="1">"c13466"</definedName>
    <definedName name="IQ_DEBT_SECURITIES_FOREIGN_FFIEC" hidden="1">"c13484"</definedName>
    <definedName name="IQ_DEBT_SECURITIES_OTHER_ASSETS_DUE_30_89_FFIEC" hidden="1">"c13279"</definedName>
    <definedName name="IQ_DEBT_SECURITIES_OTHER_ASSETS_DUE_90_FFIEC" hidden="1">"c13305"</definedName>
    <definedName name="IQ_DEBT_SECURITIES_OTHER_ASSETS_NON_ACCRUAL_FFIEC" hidden="1">"c13331"</definedName>
    <definedName name="IQ_DECREASE_INT_EXPENSE_FFIEC" hidden="1">"c13064"</definedName>
    <definedName name="IQ_DEDUCTIONS_TOTAL_RISK_BASED_CAPITAL_FFIEC" hidden="1">"c13152"</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_ASSETS_FFIEC" hidden="1">"c12843"</definedName>
    <definedName name="IQ_DEFERRED_TAX_ASSETS_T1_FFIEC" hidden="1">"c13141"</definedName>
    <definedName name="IQ_DEFERRED_TAX_LIAB_FFIEC" hidden="1">"c12870"</definedName>
    <definedName name="IQ_DEFERRED_TAXES" hidden="1">"c1356"</definedName>
    <definedName name="IQ_DEMAND_DEP" hidden="1">"c320"</definedName>
    <definedName name="IQ_DEMAND_DEPOSITS_COMMERCIAL_BANK_SUBS_FFIEC" hidden="1">"c12945"</definedName>
    <definedName name="IQ_DEMAND_DEPOSITS_FDIC" hidden="1">"c6489"</definedName>
    <definedName name="IQ_DEPOSIT_ACCOUNTS_LESS_THAN_100K_FDIC" hidden="1">"c6494"</definedName>
    <definedName name="IQ_DEPOSIT_ACCOUNTS_MORE_THAN_100K_FDIC" hidden="1">"c6492"</definedName>
    <definedName name="IQ_DEPOSITORY_INST_ACCEPTANCES_LL_REC_DOM_FFIEC" hidden="1">"c12908"</definedName>
    <definedName name="IQ_DEPOSITORY_INST_GROSS_LOANS_FFIEC" hidden="1">"c13409"</definedName>
    <definedName name="IQ_DEPOSITORY_INST_RISK_BASED_FFIEC" hidden="1">"c13430"</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100K_MORE_ASSETS_TOT_FFIEC" hidden="1">"c13444"</definedName>
    <definedName name="IQ_DEPOSITS_DOM_FFIEC" hidden="1">"c12850"</definedName>
    <definedName name="IQ_DEPOSITS_FAIR_VALUE_TOT_FFIEC" hidden="1">"c13213"</definedName>
    <definedName name="IQ_DEPOSITS_FIN" hidden="1">"c321"</definedName>
    <definedName name="IQ_DEPOSITS_FOREIGN_FFIEC" hidden="1">"c12853"</definedName>
    <definedName name="IQ_DEPOSITS_HELD_DOMESTIC_FDIC" hidden="1">"c6340"</definedName>
    <definedName name="IQ_DEPOSITS_HELD_FOREIGN_FDIC" hidden="1">"c6341"</definedName>
    <definedName name="IQ_DEPOSITS_INTEREST_SECURITIES" hidden="1">"c5509"</definedName>
    <definedName name="IQ_DEPOSITS_LESS_100K_COMMERCIAL_BANK_SUBS_FFIEC" hidden="1">"c12948"</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LEVEL_1_FFIEC" hidden="1">"c13221"</definedName>
    <definedName name="IQ_DEPOSITS_LEVEL_2_FFIEC" hidden="1">"c13229"</definedName>
    <definedName name="IQ_DEPOSITS_LEVEL_3_FFIEC" hidden="1">"c13237"</definedName>
    <definedName name="IQ_DEPOSITS_MORE_100K_COMMERCIAL_BANK_SUBS_FFIEC" hidden="1">"c12949"</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RIVATIVES_NEGATIVE_FAIR_VALUE_DOM_FFIEC" hidden="1">"c12943"</definedName>
    <definedName name="IQ_DERIVATIVES_NEGATIVE_VALUE_FFIEC" hidden="1">"c12861"</definedName>
    <definedName name="IQ_DERIVATIVES_POS_FAIR_VALUE_FFIEC" hidden="1">"c12827"</definedName>
    <definedName name="IQ_DERIVATIVES_POSITIVE_FAIR_VALUE_TRADING_DOM_FFIEC" hidden="1">"c12938"</definedName>
    <definedName name="IQ_DESCRIPTION_LONG" hidden="1">"c1520"</definedName>
    <definedName name="IQ_DEVELOP_LAND" hidden="1">"c323"</definedName>
    <definedName name="IQ_DIFF_LASTCLOSE_TARGET_PRICE" hidden="1">"c1854"</definedName>
    <definedName name="IQ_DIFF_LASTCLOSE_TARGET_PRICE_CIQ" hidden="1">"c4767"</definedName>
    <definedName name="IQ_DIFF_LASTCLOSE_TARGET_PRICE_REUT" hidden="1">"c5436"</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RECTORS_FEES_FFIEC" hidden="1">"c13049"</definedName>
    <definedName name="IQ_DISALLOWED_DEFERRED_TAX_ASSETS_FFIEC" hidden="1">"c13157"</definedName>
    <definedName name="IQ_DISALLOWED_GOODWILL_INTANGIBLE_ASSETS_FFIEC" hidden="1">"c13155"</definedName>
    <definedName name="IQ_DISALLOWED_GOODWILL_INTANGIBLES_T1_FFIEC" hidden="1">"c13137"</definedName>
    <definedName name="IQ_DISALLOWED_SERVICING_ASSETS_FFIEC" hidden="1">"c13156"</definedName>
    <definedName name="IQ_DISALLOWED_SERVICING_ASSETS_T1_FFIEC" hidden="1">"c13140"</definedName>
    <definedName name="IQ_DISCONT_OPER" hidden="1">"c1367"</definedName>
    <definedName name="IQ_DISCOUNT_RATE_PENSION_DOMESTIC" hidden="1">"c327"</definedName>
    <definedName name="IQ_DISCOUNT_RATE_PENSION_FOREIGN" hidden="1">"c328"</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 hidden="1">"c4278"</definedName>
    <definedName name="IQ_DISTRIBUTABLE_CASH_ACT_OR_EST_CIQ" hidden="1">"c4803"</definedName>
    <definedName name="IQ_DISTRIBUTABLE_CASH_EST" hidden="1">"c4277"</definedName>
    <definedName name="IQ_DISTRIBUTABLE_CASH_GUIDANCE" hidden="1">"c4279"</definedName>
    <definedName name="IQ_DISTRIBUTABLE_CASH_HIGH_EST" hidden="1">"c4280"</definedName>
    <definedName name="IQ_DISTRIBUTABLE_CASH_HIGH_GUIDANCE" hidden="1">"c4198"</definedName>
    <definedName name="IQ_DISTRIBUTABLE_CASH_LOW_EST" hidden="1">"c4281"</definedName>
    <definedName name="IQ_DISTRIBUTABLE_CASH_LOW_GUIDANCE" hidden="1">"c4238"</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ACT_OR_EST_CIQ" hidden="1">"c4811"</definedName>
    <definedName name="IQ_DISTRIBUTABLE_CASH_SHARE_EST" hidden="1">"c4285"</definedName>
    <definedName name="IQ_DISTRIBUTABLE_CASH_SHARE_GUIDANCE" hidden="1">"c4287"</definedName>
    <definedName name="IQ_DISTRIBUTABLE_CASH_SHARE_HIGH_EST" hidden="1">"c4288"</definedName>
    <definedName name="IQ_DISTRIBUTABLE_CASH_SHARE_HIGH_GUIDANCE" hidden="1">"c4199"</definedName>
    <definedName name="IQ_DISTRIBUTABLE_CASH_SHARE_LOW_EST" hidden="1">"c4289"</definedName>
    <definedName name="IQ_DISTRIBUTABLE_CASH_SHARE_LOW_GUIDANCE" hidden="1">"c4239"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IVIDENDS_DECLARED_COMMON_FDIC" hidden="1">"c6659"</definedName>
    <definedName name="IQ_DIVIDENDS_DECLARED_COMMON_FFIEC" hidden="1">"c12969"</definedName>
    <definedName name="IQ_DIVIDENDS_DECLARED_PREFERRED_FDIC" hidden="1">"c6658"</definedName>
    <definedName name="IQ_DIVIDENDS_DECLARED_PREFERRED_FFIEC" hidden="1">"c12968"</definedName>
    <definedName name="IQ_DIVIDENDS_FDIC" hidden="1">"c6660"</definedName>
    <definedName name="IQ_DIVIDENDS_NET_INCOME_FFIEC" hidden="1">"c13349"</definedName>
    <definedName name="IQ_DIVIDENDS_PAID_DECLARED_PERIOD_COVERED" hidden="1">"c9960"</definedName>
    <definedName name="IQ_DIVIDENDS_PAID_DECLARED_PERIOD_GROUP" hidden="1">"c9946"</definedName>
    <definedName name="IQ_DNB_OTHER_EXP_INC_TAX_US" hidden="1">"c6787"</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REUT" hidden="1">"c5464"</definedName>
    <definedName name="IQ_DPS_ACT_OR_EST_THOM" hidden="1">"c5302"</definedName>
    <definedName name="IQ_DPS_DET_EST" hidden="1">"c12052"</definedName>
    <definedName name="IQ_DPS_DET_EST_CURRENCY" hidden="1">"c12459"</definedName>
    <definedName name="IQ_DPS_DET_EST_CURRENCY_REUT" hidden="1">"c12527"</definedName>
    <definedName name="IQ_DPS_DET_EST_CURRENCY_THOM" hidden="1">"c12480"</definedName>
    <definedName name="IQ_DPS_DET_EST_DATE" hidden="1">"c12205"</definedName>
    <definedName name="IQ_DPS_DET_EST_DATE_REUT" hidden="1">"c12286"</definedName>
    <definedName name="IQ_DPS_DET_EST_DATE_THOM" hidden="1">"c12231"</definedName>
    <definedName name="IQ_DPS_DET_EST_INCL" hidden="1">"c12342"</definedName>
    <definedName name="IQ_DPS_DET_EST_INCL_REUT" hidden="1">"c12410"</definedName>
    <definedName name="IQ_DPS_DET_EST_INCL_THOM" hidden="1">"c12363"</definedName>
    <definedName name="IQ_DPS_DET_EST_ORIGIN" hidden="1">"c12578"</definedName>
    <definedName name="IQ_DPS_DET_EST_ORIGIN_REUT" hidden="1">"c12654"</definedName>
    <definedName name="IQ_DPS_DET_EST_ORIGIN_THOM" hidden="1">"c12601"</definedName>
    <definedName name="IQ_DPS_DET_EST_REUT" hidden="1">"c12144"</definedName>
    <definedName name="IQ_DPS_DET_EST_THOM" hidden="1">"c12081"</definedName>
    <definedName name="IQ_DPS_EST" hidden="1">"c1674"</definedName>
    <definedName name="IQ_DPS_EST_BOTTOM_UP" hidden="1">"c5493"</definedName>
    <definedName name="IQ_DPS_EST_BOTTOM_UP_REUT" hidden="1">"c5501"</definedName>
    <definedName name="IQ_DPS_EST_REUT" hidden="1">"c3851"</definedName>
    <definedName name="IQ_DPS_EST_THOM" hidden="1">"c4013"</definedName>
    <definedName name="IQ_DPS_GUIDANCE" hidden="1">"c4302"</definedName>
    <definedName name="IQ_DPS_HIGH_EST" hidden="1">"c1676"</definedName>
    <definedName name="IQ_DPS_HIGH_EST_REUT" hidden="1">"c3853"</definedName>
    <definedName name="IQ_DPS_HIGH_EST_THOM" hidden="1">"c4015"</definedName>
    <definedName name="IQ_DPS_HIGH_GUIDANCE" hidden="1">"c4168"</definedName>
    <definedName name="IQ_DPS_LOW_EST" hidden="1">"c1677"</definedName>
    <definedName name="IQ_DPS_LOW_EST_REUT" hidden="1">"c3854"</definedName>
    <definedName name="IQ_DPS_LOW_EST_THOM" hidden="1">"c4016"</definedName>
    <definedName name="IQ_DPS_LOW_GUIDANCE" hidden="1">"c4208"</definedName>
    <definedName name="IQ_DPS_MEDIAN_EST" hidden="1">"c1675"</definedName>
    <definedName name="IQ_DPS_MEDIAN_EST_REUT" hidden="1">"c3852"</definedName>
    <definedName name="IQ_DPS_MEDIAN_EST_THOM" hidden="1">"c4014"</definedName>
    <definedName name="IQ_DPS_NUM_EST" hidden="1">"c1678"</definedName>
    <definedName name="IQ_DPS_NUM_EST_REUT" hidden="1">"c3855"</definedName>
    <definedName name="IQ_DPS_NUM_EST_THOM" hidden="1">"c4017"</definedName>
    <definedName name="IQ_DPS_STDDEV_EST" hidden="1">"c1679"</definedName>
    <definedName name="IQ_DPS_STDDEV_EST_REUT" hidden="1">"c3856"</definedName>
    <definedName name="IQ_DPS_STDDEV_EST_THOM" hidden="1">"c4018"</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YIELD" hidden="1">"c343"</definedName>
    <definedName name="IQ_EARNING_ASSETS_AVG_ASSETS_FFIEC" hidden="1">"c13354"</definedName>
    <definedName name="IQ_EARNING_ASSETS_FDIC" hidden="1">"c6360"</definedName>
    <definedName name="IQ_EARNING_ASSETS_QUARTERLY_AVG_FFIEC" hidden="1">"c13086"</definedName>
    <definedName name="IQ_EARNING_ASSETS_REPRICE_ASSETS_TOT_FFIEC" hidden="1">"c13451"</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CIQ" hidden="1">"c4656"</definedName>
    <definedName name="IQ_EARNINGS_ANNOUNCE_DATE_REUT" hidden="1">"c5314"</definedName>
    <definedName name="IQ_EARNINGS_ANNOUNCE_DATE_THOM" hidden="1">"c5093"</definedName>
    <definedName name="IQ_EARNINGS_CO_FFIEC" hidden="1">"c13032"</definedName>
    <definedName name="IQ_EARNINGS_COVERAGE_LOSSES_FFIEC" hidden="1">"c13351"</definedName>
    <definedName name="IQ_EARNINGS_COVERAGE_NET_CHARGE_OFFS_FDIC" hidden="1">"c6735"</definedName>
    <definedName name="IQ_EARNINGS_LIFE_INSURANCE_FFIEC" hidden="1">"c13041"</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REUT" hidden="1">"c5465"</definedName>
    <definedName name="IQ_EBIT_ACT_OR_EST_THOM" hidden="1">"c5303"</definedName>
    <definedName name="IQ_EBIT_DET_EST" hidden="1">"c12053"</definedName>
    <definedName name="IQ_EBIT_DET_EST_CURRENCY" hidden="1">"c12460"</definedName>
    <definedName name="IQ_EBIT_DET_EST_CURRENCY_REUT" hidden="1">"c12528"</definedName>
    <definedName name="IQ_EBIT_DET_EST_CURRENCY_THOM" hidden="1">"c12481"</definedName>
    <definedName name="IQ_EBIT_DET_EST_DATE" hidden="1">"c12206"</definedName>
    <definedName name="IQ_EBIT_DET_EST_DATE_REUT" hidden="1">"c12287"</definedName>
    <definedName name="IQ_EBIT_DET_EST_DATE_THOM" hidden="1">"c12232"</definedName>
    <definedName name="IQ_EBIT_DET_EST_INCL" hidden="1">"c12343"</definedName>
    <definedName name="IQ_EBIT_DET_EST_INCL_REUT" hidden="1">"c12411"</definedName>
    <definedName name="IQ_EBIT_DET_EST_INCL_THOM" hidden="1">"c12364"</definedName>
    <definedName name="IQ_EBIT_DET_EST_ORIGIN" hidden="1">"c12579"</definedName>
    <definedName name="IQ_EBIT_DET_EST_ORIGIN_REUT" hidden="1">"c12655"</definedName>
    <definedName name="IQ_EBIT_DET_EST_ORIGIN_THOM" hidden="1">"c12602"</definedName>
    <definedName name="IQ_EBIT_DET_EST_REUT" hidden="1">"c12145"</definedName>
    <definedName name="IQ_EBIT_DET_EST_THOM" hidden="1">"c12082"</definedName>
    <definedName name="IQ_EBIT_EQ_INC" hidden="1">"c3498"</definedName>
    <definedName name="IQ_EBIT_EQ_INC_EXCL_SBC" hidden="1">"c3502"</definedName>
    <definedName name="IQ_EBIT_EST" hidden="1">"c1681"</definedName>
    <definedName name="IQ_EBIT_EST_REUT" hidden="1">"c5333"</definedName>
    <definedName name="IQ_EBIT_EST_THOM" hidden="1">"c5105"</definedName>
    <definedName name="IQ_EBIT_EXCL_SBC" hidden="1">"c3082"</definedName>
    <definedName name="IQ_EBIT_GUIDANCE" hidden="1">"c4303"</definedName>
    <definedName name="IQ_EBIT_GW_ACT_OR_EST" hidden="1">"c4306"</definedName>
    <definedName name="IQ_EBIT_GW_EST" hidden="1">"c4305"</definedName>
    <definedName name="IQ_EBIT_GW_GUIDANCE" hidden="1">"c4307"</definedName>
    <definedName name="IQ_EBIT_GW_HIGH_EST" hidden="1">"c4308"</definedName>
    <definedName name="IQ_EBIT_GW_HIGH_GUIDANCE" hidden="1">"c4171"</definedName>
    <definedName name="IQ_EBIT_GW_LOW_EST" hidden="1">"c4309"</definedName>
    <definedName name="IQ_EBIT_GW_LOW_GUIDANCE" hidden="1">"c4211"</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EST_THOM" hidden="1">"c5107"</definedName>
    <definedName name="IQ_EBIT_HIGH_GUIDANCE" hidden="1">"c4172"</definedName>
    <definedName name="IQ_EBIT_INT" hidden="1">"c360"</definedName>
    <definedName name="IQ_EBIT_LOW_EST" hidden="1">"c1684"</definedName>
    <definedName name="IQ_EBIT_LOW_EST_REUT" hidden="1">"c5336"</definedName>
    <definedName name="IQ_EBIT_LOW_EST_THOM" hidden="1">"c5108"</definedName>
    <definedName name="IQ_EBIT_LOW_GUIDANCE" hidden="1">"c4212"</definedName>
    <definedName name="IQ_EBIT_MARGIN" hidden="1">"c359"</definedName>
    <definedName name="IQ_EBIT_MEDIAN_EST" hidden="1">"c1682"</definedName>
    <definedName name="IQ_EBIT_MEDIAN_EST_REUT" hidden="1">"c5334"</definedName>
    <definedName name="IQ_EBIT_MEDIAN_EST_THOM" hidden="1">"c5106"</definedName>
    <definedName name="IQ_EBIT_NUM_EST" hidden="1">"c1685"</definedName>
    <definedName name="IQ_EBIT_NUM_EST_REUT" hidden="1">"c5337"</definedName>
    <definedName name="IQ_EBIT_NUM_EST_THOM" hidden="1">"c5109"</definedName>
    <definedName name="IQ_EBIT_OVER_IE" hidden="1">"c1369"</definedName>
    <definedName name="IQ_EBIT_SBC_ACT_OR_EST" hidden="1">"c4316"</definedName>
    <definedName name="IQ_EBIT_SBC_ACT_OR_EST_CIQ" hidden="1">"c4841"</definedName>
    <definedName name="IQ_EBIT_SBC_EST" hidden="1">"c4315"</definedName>
    <definedName name="IQ_EBIT_SBC_GUIDANCE" hidden="1">"c4317"</definedName>
    <definedName name="IQ_EBIT_SBC_GW_ACT_OR_EST" hidden="1">"c4320"</definedName>
    <definedName name="IQ_EBIT_SBC_GW_ACT_OR_EST_CIQ" hidden="1">"c4845"</definedName>
    <definedName name="IQ_EBIT_SBC_GW_EST" hidden="1">"c4319"</definedName>
    <definedName name="IQ_EBIT_SBC_GW_GUIDANCE" hidden="1">"c4321"</definedName>
    <definedName name="IQ_EBIT_SBC_GW_HIGH_EST" hidden="1">"c4322"</definedName>
    <definedName name="IQ_EBIT_SBC_GW_HIGH_GUIDANCE" hidden="1">"c4193"</definedName>
    <definedName name="IQ_EBIT_SBC_GW_LOW_EST" hidden="1">"c4323"</definedName>
    <definedName name="IQ_EBIT_SBC_GW_LOW_GUIDANCE" hidden="1">"c4233"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LOW_EST" hidden="1">"c4329"</definedName>
    <definedName name="IQ_EBIT_SBC_LOW_GUIDANCE" hidden="1">"c4232"</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CIQ" hidden="1">"c5060"</definedName>
    <definedName name="IQ_EBITDA_ACT_OR_EST_REUT" hidden="1">"c5462"</definedName>
    <definedName name="IQ_EBITDA_ACT_OR_EST_THOM" hidden="1">"c5300"</definedName>
    <definedName name="IQ_EBITDA_CAPEX_INT" hidden="1">"c368"</definedName>
    <definedName name="IQ_EBITDA_CAPEX_OVER_TOTAL_IE" hidden="1">"c1370"</definedName>
    <definedName name="IQ_EBITDA_DET_EST" hidden="1">"c12054"</definedName>
    <definedName name="IQ_EBITDA_DET_EST_CURRENCY" hidden="1">"c12461"</definedName>
    <definedName name="IQ_EBITDA_DET_EST_CURRENCY_THOM" hidden="1">"c12482"</definedName>
    <definedName name="IQ_EBITDA_DET_EST_DATE" hidden="1">"c12207"</definedName>
    <definedName name="IQ_EBITDA_DET_EST_DATE_REUT" hidden="1">"c12288"</definedName>
    <definedName name="IQ_EBITDA_DET_EST_DATE_THOM" hidden="1">"c12233"</definedName>
    <definedName name="IQ_EBITDA_DET_EST_INCL" hidden="1">"c12344"</definedName>
    <definedName name="IQ_EBITDA_DET_EST_INCL_REUT" hidden="1">"c12412"</definedName>
    <definedName name="IQ_EBITDA_DET_EST_INCL_THOM" hidden="1">"c12365"</definedName>
    <definedName name="IQ_EBITDA_DET_EST_ORIGIN" hidden="1">"c12580"</definedName>
    <definedName name="IQ_EBITDA_DET_EST_ORIGIN_REUT" hidden="1">"c12656"</definedName>
    <definedName name="IQ_EBITDA_DET_EST_ORIGIN_THOM" hidden="1">"c12603"</definedName>
    <definedName name="IQ_EBITDA_DET_EST_REUT" hidden="1">"c12146"</definedName>
    <definedName name="IQ_EBITDA_DET_EST_REUT_CURRENCY_CURRENCY_REUT" hidden="1">"c12529"</definedName>
    <definedName name="IQ_EBITDA_DET_EST_THOM" hidden="1">"c12083"</definedName>
    <definedName name="IQ_EBITDA_EQ_INC" hidden="1">"c3496"</definedName>
    <definedName name="IQ_EBITDA_EQ_INC_EXCL_SBC" hidden="1">"c3500"</definedName>
    <definedName name="IQ_EBITDA_EST" hidden="1">"c369"</definedName>
    <definedName name="IQ_EBITDA_EST_CIQ" hidden="1">"c3622"</definedName>
    <definedName name="IQ_EBITDA_EST_REUT" hidden="1">"c3640"</definedName>
    <definedName name="IQ_EBITDA_EST_THOM" hidden="1">"c3658"</definedName>
    <definedName name="IQ_EBITDA_EXCL_SBC" hidden="1">"c3081"</definedName>
    <definedName name="IQ_EBITDA_GUIDANCE" hidden="1">"c4334"</definedName>
    <definedName name="IQ_EBITDA_HIGH_EST" hidden="1">"c370"</definedName>
    <definedName name="IQ_EBITDA_HIGH_EST_CIQ" hidden="1">"c3624"</definedName>
    <definedName name="IQ_EBITDA_HIGH_EST_REUT" hidden="1">"c3642"</definedName>
    <definedName name="IQ_EBITDA_HIGH_EST_THOM" hidden="1">"c3660"</definedName>
    <definedName name="IQ_EBITDA_HIGH_GUIDANCE" hidden="1">"c4170"</definedName>
    <definedName name="IQ_EBITDA_INT" hidden="1">"c373"</definedName>
    <definedName name="IQ_EBITDA_LOW_EST" hidden="1">"c371"</definedName>
    <definedName name="IQ_EBITDA_LOW_EST_CIQ" hidden="1">"c3625"</definedName>
    <definedName name="IQ_EBITDA_LOW_EST_REUT" hidden="1">"c3643"</definedName>
    <definedName name="IQ_EBITDA_LOW_EST_THOM" hidden="1">"c3661"</definedName>
    <definedName name="IQ_EBITDA_LOW_GUIDANCE" hidden="1">"c4210"</definedName>
    <definedName name="IQ_EBITDA_MARGIN" hidden="1">"c372"</definedName>
    <definedName name="IQ_EBITDA_MEDIAN_EST" hidden="1">"c1663"</definedName>
    <definedName name="IQ_EBITDA_MEDIAN_EST_CIQ" hidden="1">"c3623"</definedName>
    <definedName name="IQ_EBITDA_MEDIAN_EST_REUT" hidden="1">"c3641"</definedName>
    <definedName name="IQ_EBITDA_MEDIAN_EST_THOM" hidden="1">"c3659"</definedName>
    <definedName name="IQ_EBITDA_NUM_EST" hidden="1">"c374"</definedName>
    <definedName name="IQ_EBITDA_NUM_EST_CIQ" hidden="1">"c3626"</definedName>
    <definedName name="IQ_EBITDA_NUM_EST_REUT" hidden="1">"c3644"</definedName>
    <definedName name="IQ_EBITDA_NUM_EST_THOM" hidden="1">"c3662"</definedName>
    <definedName name="IQ_EBITDA_OVER_TOTAL_IE" hidden="1">"c1371"</definedName>
    <definedName name="IQ_EBITDA_SBC_ACT_OR_EST" hidden="1">"c4337"</definedName>
    <definedName name="IQ_EBITDA_SBC_ACT_OR_EST_CIQ" hidden="1">"c4862"</definedName>
    <definedName name="IQ_EBITDA_SBC_EST" hidden="1">"c4336"</definedName>
    <definedName name="IQ_EBITDA_SBC_GUIDANCE" hidden="1">"c4338"</definedName>
    <definedName name="IQ_EBITDA_SBC_HIGH_EST" hidden="1">"c4339"</definedName>
    <definedName name="IQ_EBITDA_SBC_HIGH_GUIDANCE" hidden="1">"c4194"</definedName>
    <definedName name="IQ_EBITDA_SBC_LOW_EST" hidden="1">"c4340"</definedName>
    <definedName name="IQ_EBITDA_SBC_LOW_GUIDANCE" hidden="1">"c4234"</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CIQ" hidden="1">"c3627"</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FIEC" hidden="1">"c13029"</definedName>
    <definedName name="IQ_EBT_FIN" hidden="1">"c386"</definedName>
    <definedName name="IQ_EBT_FTE_FFIEC" hidden="1">"c13037"</definedName>
    <definedName name="IQ_EBT_GAAP_GUIDANCE" hidden="1">"c4345"</definedName>
    <definedName name="IQ_EBT_GAAP_HIGH_GUIDANCE" hidden="1">"c4174"</definedName>
    <definedName name="IQ_EBT_GAAP_LOW_GUIDANCE" hidden="1">"c4214"</definedName>
    <definedName name="IQ_EBT_GUIDANCE" hidden="1">"c4346"</definedName>
    <definedName name="IQ_EBT_GW_GUIDANCE" hidden="1">"c4347"</definedName>
    <definedName name="IQ_EBT_GW_HIGH_GUIDANCE" hidden="1">"c4175"</definedName>
    <definedName name="IQ_EBT_GW_LOW_GUIDANCE" hidden="1">"c4215"</definedName>
    <definedName name="IQ_EBT_HIGH_GUIDANCE" hidden="1">"c4173"</definedName>
    <definedName name="IQ_EBT_INCL_MARGIN" hidden="1">"c387"</definedName>
    <definedName name="IQ_EBT_INS" hidden="1">"c388"</definedName>
    <definedName name="IQ_EBT_LOW_GUIDANCE" hidden="1">"c4213"</definedName>
    <definedName name="IQ_EBT_RE" hidden="1">"c6215"</definedName>
    <definedName name="IQ_EBT_REIT" hidden="1">"c389"</definedName>
    <definedName name="IQ_EBT_SBC_ACT_OR_EST" hidden="1">"c4350"</definedName>
    <definedName name="IQ_EBT_SBC_ACT_OR_EST_CIQ" hidden="1">"c4875"</definedName>
    <definedName name="IQ_EBT_SBC_EST" hidden="1">"c4349"</definedName>
    <definedName name="IQ_EBT_SBC_GUIDANCE" hidden="1">"c4351"</definedName>
    <definedName name="IQ_EBT_SBC_GW_ACT_OR_EST" hidden="1">"c4354"</definedName>
    <definedName name="IQ_EBT_SBC_GW_ACT_OR_EST_CIQ" hidden="1">"c4879"</definedName>
    <definedName name="IQ_EBT_SBC_GW_EST" hidden="1">"c4353"</definedName>
    <definedName name="IQ_EBT_SBC_GW_GUIDANCE" hidden="1">"c4355"</definedName>
    <definedName name="IQ_EBT_SBC_GW_HIGH_EST" hidden="1">"c4356"</definedName>
    <definedName name="IQ_EBT_SBC_GW_HIGH_GUIDANCE" hidden="1">"c4191"</definedName>
    <definedName name="IQ_EBT_SBC_GW_LOW_EST" hidden="1">"c4357"</definedName>
    <definedName name="IQ_EBT_SBC_GW_LOW_GUIDANCE" hidden="1">"c4231"</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LOW_EST" hidden="1">"c4363"</definedName>
    <definedName name="IQ_EBT_SBC_LOW_GUIDANCE" hidden="1">"c4230"</definedName>
    <definedName name="IQ_EBT_SBC_MEDIAN_EST" hidden="1">"c4364"</definedName>
    <definedName name="IQ_EBT_SBC_NUM_EST" hidden="1">"c4365"</definedName>
    <definedName name="IQ_EBT_SBC_STDDEV_EST" hidden="1">"c4366"</definedName>
    <definedName name="IQ_EBT_SUBTOTAL_AP" hidden="1">"c8982"</definedName>
    <definedName name="IQ_EBT_UTI" hidden="1">"c390"</definedName>
    <definedName name="IQ_ECO_METRIC_6825_UNUSED" hidden="1">"c6825"</definedName>
    <definedName name="IQ_ECO_METRIC_6839_UNUSED" hidden="1">"c6839"</definedName>
    <definedName name="IQ_ECO_METRIC_6896_UNUSED" hidden="1">"c6896"</definedName>
    <definedName name="IQ_ECO_METRIC_6897_UNUSED" hidden="1">"c6897"</definedName>
    <definedName name="IQ_ECO_METRIC_6927" hidden="1">"c6927"</definedName>
    <definedName name="IQ_ECO_METRIC_6988_UNUSED" hidden="1">"c6988"</definedName>
    <definedName name="IQ_ECO_METRIC_7045_UNUSED" hidden="1">"c7045"</definedName>
    <definedName name="IQ_ECO_METRIC_7059_UNUSED" hidden="1">"c7059"</definedName>
    <definedName name="IQ_ECO_METRIC_7116_UNUSED" hidden="1">"c7116"</definedName>
    <definedName name="IQ_ECO_METRIC_7117_UNUSED" hidden="1">"c7117"</definedName>
    <definedName name="IQ_ECO_METRIC_7147" hidden="1">"c7147"</definedName>
    <definedName name="IQ_ECO_METRIC_7208_UNUSED" hidden="1">"c7208"</definedName>
    <definedName name="IQ_ECO_METRIC_7265_UNUSED" hidden="1">"c7265"</definedName>
    <definedName name="IQ_ECO_METRIC_7279_UNUSED" hidden="1">"c7279"</definedName>
    <definedName name="IQ_ECO_METRIC_7336_UNUSED" hidden="1">"c7336"</definedName>
    <definedName name="IQ_ECO_METRIC_7337_UNUSED" hidden="1">"c7337"</definedName>
    <definedName name="IQ_ECO_METRIC_7367" hidden="1">"c7367"</definedName>
    <definedName name="IQ_ECO_METRIC_7428_UNUSED" hidden="1">"c7428"</definedName>
    <definedName name="IQ_ECO_METRIC_7556_UNUSED" hidden="1">"c7556"</definedName>
    <definedName name="IQ_ECO_METRIC_7557_UNUSED" hidden="1">"c7557"</definedName>
    <definedName name="IQ_ECO_METRIC_7587" hidden="1">"c7587"</definedName>
    <definedName name="IQ_ECO_METRIC_7648_UNUSED" hidden="1">"c7648"</definedName>
    <definedName name="IQ_ECO_METRIC_7704" hidden="1">"c7704"</definedName>
    <definedName name="IQ_ECO_METRIC_7705_UNUSED" hidden="1">"c7705"</definedName>
    <definedName name="IQ_ECO_METRIC_7706" hidden="1">"c7706"</definedName>
    <definedName name="IQ_ECO_METRIC_7718" hidden="1">"c7718"</definedName>
    <definedName name="IQ_ECO_METRIC_7719_UNUSED" hidden="1">"c7719"</definedName>
    <definedName name="IQ_ECO_METRIC_7776_UNUSED" hidden="1">"c7776"</definedName>
    <definedName name="IQ_ECO_METRIC_7777_UNUSED" hidden="1">"c7777"</definedName>
    <definedName name="IQ_ECO_METRIC_7807" hidden="1">"c7807"</definedName>
    <definedName name="IQ_ECO_METRIC_7811" hidden="1">"c7811"</definedName>
    <definedName name="IQ_ECO_METRIC_7868_UNUSED" hidden="1">"c7868"</definedName>
    <definedName name="IQ_ECO_METRIC_7873" hidden="1">"c7873"</definedName>
    <definedName name="IQ_ECO_METRIC_7924" hidden="1">"c7924"</definedName>
    <definedName name="IQ_ECO_METRIC_7925_UNUSED" hidden="1">"c7925"</definedName>
    <definedName name="IQ_ECO_METRIC_7926" hidden="1">"c7926"</definedName>
    <definedName name="IQ_ECO_METRIC_7938" hidden="1">"c7938"</definedName>
    <definedName name="IQ_ECO_METRIC_7939_UNUSED" hidden="1">"c7939"</definedName>
    <definedName name="IQ_ECO_METRIC_7996_UNUSED" hidden="1">"c7996"</definedName>
    <definedName name="IQ_ECO_METRIC_7997_UNUSED" hidden="1">"c7997"</definedName>
    <definedName name="IQ_ECO_METRIC_8027" hidden="1">"c8027"</definedName>
    <definedName name="IQ_ECO_METRIC_8031" hidden="1">"c8031"</definedName>
    <definedName name="IQ_ECO_METRIC_8088_UNUSED" hidden="1">"c8088"</definedName>
    <definedName name="IQ_ECO_METRIC_8093" hidden="1">"c8093"</definedName>
    <definedName name="IQ_ECO_METRIC_8144" hidden="1">"c8144"</definedName>
    <definedName name="IQ_ECO_METRIC_8145_UNUSED" hidden="1">"c8145"</definedName>
    <definedName name="IQ_ECO_METRIC_8146" hidden="1">"c8146"</definedName>
    <definedName name="IQ_ECO_METRIC_8158" hidden="1">"c8158"</definedName>
    <definedName name="IQ_ECO_METRIC_8159_UNUSED" hidden="1">"c8159"</definedName>
    <definedName name="IQ_ECO_METRIC_8216_UNUSED" hidden="1">"c8216"</definedName>
    <definedName name="IQ_ECO_METRIC_8217_UNUSED" hidden="1">"c8217"</definedName>
    <definedName name="IQ_ECO_METRIC_8247" hidden="1">"c8247"</definedName>
    <definedName name="IQ_ECO_METRIC_8251" hidden="1">"c8251"</definedName>
    <definedName name="IQ_ECO_METRIC_8308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7_UNUSED" hidden="1">"c8437"</definedName>
    <definedName name="IQ_ECO_METRIC_8467" hidden="1">"c8467"</definedName>
    <definedName name="IQ_ECO_METRIC_8471" hidden="1">"c8471"</definedName>
    <definedName name="IQ_ECO_METRIC_8528_UNUSED" hidden="1">"c8528"</definedName>
    <definedName name="IQ_ECO_METRIC_8533" hidden="1">"c8533"</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MPLOYEES_FFIEC" hidden="1">"c13035"</definedName>
    <definedName name="IQ_ENTERPRISE_VALUE" hidden="1">"c1348"</definedName>
    <definedName name="IQ_ENTITLEMENT_DET_EST" hidden="1">"c12044"</definedName>
    <definedName name="IQ_ENTITLEMENT_DET_EST_REUT" hidden="1">"c12136"</definedName>
    <definedName name="IQ_ENTITLEMENT_DET_EST_THOM" hidden="1">"c12072"</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 hidden="1">"c5058"</definedName>
    <definedName name="IQ_EPS_ACT_OR_EST_REUT" hidden="1">"c5460"</definedName>
    <definedName name="IQ_EPS_ACT_OR_EST_THOM" hidden="1">"c5298"</definedName>
    <definedName name="IQ_EPS_AP" hidden="1">"c8880"</definedName>
    <definedName name="IQ_EPS_AP_ABS" hidden="1">"c8899"</definedName>
    <definedName name="IQ_EPS_DET_EST" hidden="1">"c13571"</definedName>
    <definedName name="IQ_EPS_DET_EST_CURRENCY" hidden="1">"c13583"</definedName>
    <definedName name="IQ_EPS_DET_EST_CURRENCY_REUT" hidden="1">"c13584"</definedName>
    <definedName name="IQ_EPS_DET_EST_CURRENCY_THOM" hidden="1">"c12484"</definedName>
    <definedName name="IQ_EPS_DET_EST_DATE" hidden="1">"c13575"</definedName>
    <definedName name="IQ_EPS_DET_EST_DATE_REUT" hidden="1">"c13576"</definedName>
    <definedName name="IQ_EPS_DET_EST_DATE_THOM" hidden="1">"c12235"</definedName>
    <definedName name="IQ_EPS_DET_EST_INCL" hidden="1">"c13587"</definedName>
    <definedName name="IQ_EPS_DET_EST_INCL_REUT" hidden="1">"c13588"</definedName>
    <definedName name="IQ_EPS_DET_EST_INCL_THOM" hidden="1">"c12367"</definedName>
    <definedName name="IQ_EPS_DET_EST_ORIGIN" hidden="1">"c13579"</definedName>
    <definedName name="IQ_EPS_DET_EST_ORIGIN_REUT" hidden="1">"c13580"</definedName>
    <definedName name="IQ_EPS_DET_EST_ORIGIN_THOM" hidden="1">"c12605"</definedName>
    <definedName name="IQ_EPS_DET_EST_REUT" hidden="1">"c13572"</definedName>
    <definedName name="IQ_EPS_DET_EST_THOM" hidden="1">"c12085"</definedName>
    <definedName name="IQ_EPS_EST" hidden="1">"c399"</definedName>
    <definedName name="IQ_EPS_EST_BOTTOM_UP" hidden="1">"c5489"</definedName>
    <definedName name="IQ_EPS_EST_BOTTOM_UP_CIQ" hidden="1">"c12026"</definedName>
    <definedName name="IQ_EPS_EST_BOTTOM_UP_REUT" hidden="1">"c5497"</definedName>
    <definedName name="IQ_EPS_EST_BOTTOM_UP_THOM" hidden="1">"c5647"</definedName>
    <definedName name="IQ_EPS_EST_CIQ" hidden="1">"c4994"</definedName>
    <definedName name="IQ_EPS_EST_REUT" hidden="1">"c5453"</definedName>
    <definedName name="IQ_EPS_EST_THOM" hidden="1">"c5290"</definedName>
    <definedName name="IQ_EPS_EXCL_GUIDANCE" hidden="1">"c4368"</definedName>
    <definedName name="IQ_EPS_EXCL_HIGH_GUIDANCE" hidden="1">"c4369"</definedName>
    <definedName name="IQ_EPS_EXCL_LOW_GUIDANCE" hidden="1">"c4204"</definedName>
    <definedName name="IQ_EPS_GAAP_GUIDANCE" hidden="1">"c4370"</definedName>
    <definedName name="IQ_EPS_GAAP_HIGH_GUIDANCE" hidden="1">"c4371"</definedName>
    <definedName name="IQ_EPS_GAAP_LOW_GUIDANCE" hidden="1">"c4205"</definedName>
    <definedName name="IQ_EPS_GW_ACT_OR_EST" hidden="1">"c2223"</definedName>
    <definedName name="IQ_EPS_GW_ACT_OR_EST_CIQ" hidden="1">"c5066"</definedName>
    <definedName name="IQ_EPS_GW_ACT_OR_EST_REUT" hidden="1">"c5469"</definedName>
    <definedName name="IQ_EPS_GW_DET_EST" hidden="1">"c12056"</definedName>
    <definedName name="IQ_EPS_GW_DET_EST_CURRENCY" hidden="1">"c12463"</definedName>
    <definedName name="IQ_EPS_GW_DET_EST_CURRENCY_THOM" hidden="1">"c12485"</definedName>
    <definedName name="IQ_EPS_GW_DET_EST_DATE" hidden="1">"c12209"</definedName>
    <definedName name="IQ_EPS_GW_DET_EST_DATE_REUT" hidden="1">"c12292"</definedName>
    <definedName name="IQ_EPS_GW_DET_EST_DATE_THOM" hidden="1">"c12236"</definedName>
    <definedName name="IQ_EPS_GW_DET_EST_INCL" hidden="1">"c12346"</definedName>
    <definedName name="IQ_EPS_GW_DET_EST_INCL_REUT" hidden="1">"c12416"</definedName>
    <definedName name="IQ_EPS_GW_DET_EST_INCL_THOM" hidden="1">"c12368"</definedName>
    <definedName name="IQ_EPS_GW_DET_EST_ORIGIN" hidden="1">"c12582"</definedName>
    <definedName name="IQ_EPS_GW_DET_EST_ORIGIN_REUT" hidden="1">"c12660"</definedName>
    <definedName name="IQ_EPS_GW_DET_EST_ORIGIN_THOM" hidden="1">"c12606"</definedName>
    <definedName name="IQ_EPS_GW_DET_EST_REUT" hidden="1">"c12150"</definedName>
    <definedName name="IQ_EPS_GW_DET_EST_REUT_CURRENCY_CURRENCY_REUT" hidden="1">"c12533"</definedName>
    <definedName name="IQ_EPS_GW_DET_EST_THOM" hidden="1">"c12086"</definedName>
    <definedName name="IQ_EPS_GW_EST" hidden="1">"c1737"</definedName>
    <definedName name="IQ_EPS_GW_EST_BOTTOM_UP" hidden="1">"c5491"</definedName>
    <definedName name="IQ_EPS_GW_EST_BOTTOM_UP_CIQ" hidden="1">"c12028"</definedName>
    <definedName name="IQ_EPS_GW_EST_BOTTOM_UP_REUT" hidden="1">"c5499"</definedName>
    <definedName name="IQ_EPS_GW_EST_CIQ" hidden="1">"c4723"</definedName>
    <definedName name="IQ_EPS_GW_EST_REUT" hidden="1">"c5389"</definedName>
    <definedName name="IQ_EPS_GW_EST_THOM" hidden="1">"c5133"</definedName>
    <definedName name="IQ_EPS_GW_GUIDANCE" hidden="1">"c4372"</definedName>
    <definedName name="IQ_EPS_GW_HIGH_EST" hidden="1">"c1739"</definedName>
    <definedName name="IQ_EPS_GW_HIGH_EST_CIQ" hidden="1">"c4725"</definedName>
    <definedName name="IQ_EPS_GW_HIGH_EST_REUT" hidden="1">"c5391"</definedName>
    <definedName name="IQ_EPS_GW_HIGH_EST_THOM" hidden="1">"c5135"</definedName>
    <definedName name="IQ_EPS_GW_HIGH_GUIDANCE" hidden="1">"c4373"</definedName>
    <definedName name="IQ_EPS_GW_LOW_EST" hidden="1">"c1740"</definedName>
    <definedName name="IQ_EPS_GW_LOW_EST_CIQ" hidden="1">"c4726"</definedName>
    <definedName name="IQ_EPS_GW_LOW_EST_REUT" hidden="1">"c5392"</definedName>
    <definedName name="IQ_EPS_GW_LOW_EST_THOM" hidden="1">"c5136"</definedName>
    <definedName name="IQ_EPS_GW_LOW_GUIDANCE" hidden="1">"c4206"</definedName>
    <definedName name="IQ_EPS_GW_MEDIAN_EST" hidden="1">"c1738"</definedName>
    <definedName name="IQ_EPS_GW_MEDIAN_EST_CIQ" hidden="1">"c4724"</definedName>
    <definedName name="IQ_EPS_GW_MEDIAN_EST_REUT" hidden="1">"c5390"</definedName>
    <definedName name="IQ_EPS_GW_MEDIAN_EST_THOM" hidden="1">"c5134"</definedName>
    <definedName name="IQ_EPS_GW_NUM_EST" hidden="1">"c1741"</definedName>
    <definedName name="IQ_EPS_GW_NUM_EST_CIQ" hidden="1">"c4727"</definedName>
    <definedName name="IQ_EPS_GW_NUM_EST_REUT" hidden="1">"c5393"</definedName>
    <definedName name="IQ_EPS_GW_NUM_EST_THOM" hidden="1">"c5137"</definedName>
    <definedName name="IQ_EPS_GW_STDDEV_EST" hidden="1">"c1742"</definedName>
    <definedName name="IQ_EPS_GW_STDDEV_EST_CIQ" hidden="1">"c4728"</definedName>
    <definedName name="IQ_EPS_GW_STDDEV_EST_REUT" hidden="1">"c5394"</definedName>
    <definedName name="IQ_EPS_GW_STDDEV_EST_THOM" hidden="1">"c5138"</definedName>
    <definedName name="IQ_EPS_HIGH_EST" hidden="1">"c400"</definedName>
    <definedName name="IQ_EPS_HIGH_EST_CIQ" hidden="1">"c4995"</definedName>
    <definedName name="IQ_EPS_HIGH_EST_REUT" hidden="1">"c5454"</definedName>
    <definedName name="IQ_EPS_HIGH_EST_THOM" hidden="1">"c5291"</definedName>
    <definedName name="IQ_EPS_LOW_EST" hidden="1">"c401"</definedName>
    <definedName name="IQ_EPS_LOW_EST_CIQ" hidden="1">"c4996"</definedName>
    <definedName name="IQ_EPS_LOW_EST_REUT" hidden="1">"c5455"</definedName>
    <definedName name="IQ_EPS_LOW_EST_THOM" hidden="1">"c5292"</definedName>
    <definedName name="IQ_EPS_MEDIAN_EST" hidden="1">"c1661"</definedName>
    <definedName name="IQ_EPS_MEDIAN_EST_CIQ" hidden="1">"c4997"</definedName>
    <definedName name="IQ_EPS_MEDIAN_EST_REUT" hidden="1">"c5456"</definedName>
    <definedName name="IQ_EPS_MEDIAN_EST_THOM" hidden="1">"c5293"</definedName>
    <definedName name="IQ_EPS_NAME_AP" hidden="1">"c8918"</definedName>
    <definedName name="IQ_EPS_NAME_AP_ABS" hidden="1">"c8937"</definedName>
    <definedName name="IQ_EPS_NORM" hidden="1">"c1902"</definedName>
    <definedName name="IQ_EPS_NORM_DET_EST" hidden="1">"c12058"</definedName>
    <definedName name="IQ_EPS_NORM_DET_EST_CURRENCY" hidden="1">"c12465"</definedName>
    <definedName name="IQ_EPS_NORM_DET_EST_CURRENCY_REUT" hidden="1">"c12535"</definedName>
    <definedName name="IQ_EPS_NORM_DET_EST_DATE" hidden="1">"c12211"</definedName>
    <definedName name="IQ_EPS_NORM_DET_EST_DATE_REUT" hidden="1">"c12294"</definedName>
    <definedName name="IQ_EPS_NORM_DET_EST_INCL" hidden="1">"c12348"</definedName>
    <definedName name="IQ_EPS_NORM_DET_EST_INCL_REUT" hidden="1">"c12418"</definedName>
    <definedName name="IQ_EPS_NORM_DET_EST_ORIGIN" hidden="1">"c12583"</definedName>
    <definedName name="IQ_EPS_NORM_DET_EST_ORIGIN_REUT" hidden="1">"c12662"</definedName>
    <definedName name="IQ_EPS_NORM_DET_EST_ORIGIN_THOM" hidden="1">"c12607"</definedName>
    <definedName name="IQ_EPS_NORM_DET_EST_REUT" hidden="1">"c12152"</definedName>
    <definedName name="IQ_EPS_NORM_EST" hidden="1">"c2226"</definedName>
    <definedName name="IQ_EPS_NORM_EST_BOTTOM_UP" hidden="1">"c5490"</definedName>
    <definedName name="IQ_EPS_NORM_EST_BOTTOM_UP_CIQ" hidden="1">"c12027"</definedName>
    <definedName name="IQ_EPS_NORM_EST_BOTTOM_UP_REUT" hidden="1">"c5498"</definedName>
    <definedName name="IQ_EPS_NORM_EST_CIQ" hidden="1">"c4667"</definedName>
    <definedName name="IQ_EPS_NORM_EST_REUT" hidden="1">"c5326"</definedName>
    <definedName name="IQ_EPS_NORM_HIGH_EST" hidden="1">"c2228"</definedName>
    <definedName name="IQ_EPS_NORM_HIGH_EST_CIQ" hidden="1">"c4669"</definedName>
    <definedName name="IQ_EPS_NORM_HIGH_EST_REUT" hidden="1">"c5328"</definedName>
    <definedName name="IQ_EPS_NORM_LOW_EST" hidden="1">"c2229"</definedName>
    <definedName name="IQ_EPS_NORM_LOW_EST_CIQ" hidden="1">"c4670"</definedName>
    <definedName name="IQ_EPS_NORM_LOW_EST_REUT" hidden="1">"c5329"</definedName>
    <definedName name="IQ_EPS_NORM_MEDIAN_EST" hidden="1">"c2227"</definedName>
    <definedName name="IQ_EPS_NORM_MEDIAN_EST_CIQ" hidden="1">"c4668"</definedName>
    <definedName name="IQ_EPS_NORM_MEDIAN_EST_REUT" hidden="1">"c5327"</definedName>
    <definedName name="IQ_EPS_NORM_NUM_EST" hidden="1">"c2230"</definedName>
    <definedName name="IQ_EPS_NORM_NUM_EST_CIQ" hidden="1">"c4671"</definedName>
    <definedName name="IQ_EPS_NORM_NUM_EST_REUT" hidden="1">"c5330"</definedName>
    <definedName name="IQ_EPS_NORM_STDDEV_EST" hidden="1">"c2231"</definedName>
    <definedName name="IQ_EPS_NORM_STDDEV_EST_CIQ" hidden="1">"c4672"</definedName>
    <definedName name="IQ_EPS_NORM_STDDEV_EST_REUT" hidden="1">"c5331"</definedName>
    <definedName name="IQ_EPS_NUM_EST" hidden="1">"c402"</definedName>
    <definedName name="IQ_EPS_NUM_EST_CIQ" hidden="1">"c4992"</definedName>
    <definedName name="IQ_EPS_NUM_EST_REUT" hidden="1">"c5451"</definedName>
    <definedName name="IQ_EPS_NUM_EST_THOM" hidden="1">"c5288"</definedName>
    <definedName name="IQ_EPS_REPORT_ACT_OR_EST" hidden="1">"c2224"</definedName>
    <definedName name="IQ_EPS_REPORT_ACT_OR_EST_CIQ" hidden="1">"c5067"</definedName>
    <definedName name="IQ_EPS_REPORT_ACT_OR_EST_REUT" hidden="1">"c5470"</definedName>
    <definedName name="IQ_EPS_REPORT_ACT_OR_EST_THOM" hidden="1">"c5307"</definedName>
    <definedName name="IQ_EPS_REPORTED_DET_EST" hidden="1">"c12057"</definedName>
    <definedName name="IQ_EPS_REPORTED_DET_EST_CURRENCY" hidden="1">"c12464"</definedName>
    <definedName name="IQ_EPS_REPORTED_DET_EST_CURRENCY_REUT" hidden="1">"c12534"</definedName>
    <definedName name="IQ_EPS_REPORTED_DET_EST_CURRENCY_THOM" hidden="1">"c12486"</definedName>
    <definedName name="IQ_EPS_REPORTED_DET_EST_DATE" hidden="1">"c12210"</definedName>
    <definedName name="IQ_EPS_REPORTED_DET_EST_DATE_REUT" hidden="1">"c12293"</definedName>
    <definedName name="IQ_EPS_REPORTED_DET_EST_DATE_THOM" hidden="1">"c12237"</definedName>
    <definedName name="IQ_EPS_REPORTED_DET_EST_INCL" hidden="1">"c12347"</definedName>
    <definedName name="IQ_EPS_REPORTED_DET_EST_INCL_REUT" hidden="1">"c12417"</definedName>
    <definedName name="IQ_EPS_REPORTED_DET_EST_INCL_THOM" hidden="1">"c12369"</definedName>
    <definedName name="IQ_EPS_REPORTED_DET_EST_ORIGIN" hidden="1">"c12772"</definedName>
    <definedName name="IQ_EPS_REPORTED_DET_EST_ORIGIN_REUT" hidden="1">"c12661"</definedName>
    <definedName name="IQ_EPS_REPORTED_DET_EST_ORIGIN_THOM" hidden="1">"c12607"</definedName>
    <definedName name="IQ_EPS_REPORTED_DET_EST_REUT" hidden="1">"c12151"</definedName>
    <definedName name="IQ_EPS_REPORTED_DET_EST_THOM" hidden="1">"c12087"</definedName>
    <definedName name="IQ_EPS_REPORTED_EST" hidden="1">"c1744"</definedName>
    <definedName name="IQ_EPS_REPORTED_EST_BOTTOM_UP" hidden="1">"c5492"</definedName>
    <definedName name="IQ_EPS_REPORTED_EST_BOTTOM_UP_CIQ" hidden="1">"c12029"</definedName>
    <definedName name="IQ_EPS_REPORTED_EST_BOTTOM_UP_REUT" hidden="1">"c5500"</definedName>
    <definedName name="IQ_EPS_REPORTED_EST_CIQ" hidden="1">"c4730"</definedName>
    <definedName name="IQ_EPS_REPORTED_EST_REUT" hidden="1">"c5396"</definedName>
    <definedName name="IQ_EPS_REPORTED_EST_THOM" hidden="1">"c5140"</definedName>
    <definedName name="IQ_EPS_REPORTED_HIGH_EST" hidden="1">"c1746"</definedName>
    <definedName name="IQ_EPS_REPORTED_HIGH_EST_CIQ" hidden="1">"c4732"</definedName>
    <definedName name="IQ_EPS_REPORTED_HIGH_EST_REUT" hidden="1">"c5398"</definedName>
    <definedName name="IQ_EPS_REPORTED_HIGH_EST_THOM" hidden="1">"c5142"</definedName>
    <definedName name="IQ_EPS_REPORTED_LOW_EST" hidden="1">"c1747"</definedName>
    <definedName name="IQ_EPS_REPORTED_LOW_EST_CIQ" hidden="1">"c4733"</definedName>
    <definedName name="IQ_EPS_REPORTED_LOW_EST_REUT" hidden="1">"c5399"</definedName>
    <definedName name="IQ_EPS_REPORTED_LOW_EST_THOM" hidden="1">"c5143"</definedName>
    <definedName name="IQ_EPS_REPORTED_MEDIAN_EST" hidden="1">"c1745"</definedName>
    <definedName name="IQ_EPS_REPORTED_MEDIAN_EST_CIQ" hidden="1">"c4731"</definedName>
    <definedName name="IQ_EPS_REPORTED_MEDIAN_EST_REUT" hidden="1">"c5397"</definedName>
    <definedName name="IQ_EPS_REPORTED_MEDIAN_EST_THOM" hidden="1">"c5141"</definedName>
    <definedName name="IQ_EPS_REPORTED_NUM_EST" hidden="1">"c1748"</definedName>
    <definedName name="IQ_EPS_REPORTED_NUM_EST_CIQ" hidden="1">"c4734"</definedName>
    <definedName name="IQ_EPS_REPORTED_NUM_EST_REUT" hidden="1">"c5400"</definedName>
    <definedName name="IQ_EPS_REPORTED_NUM_EST_THOM" hidden="1">"c5144"</definedName>
    <definedName name="IQ_EPS_REPORTED_STDDEV_EST" hidden="1">"c1749"</definedName>
    <definedName name="IQ_EPS_REPORTED_STDDEV_EST_CIQ" hidden="1">"c4735"</definedName>
    <definedName name="IQ_EPS_REPORTED_STDDEV_EST_REUT" hidden="1">"c5401"</definedName>
    <definedName name="IQ_EPS_REPORTED_STDDEV_EST_THOM" hidden="1">"c5145"</definedName>
    <definedName name="IQ_EPS_SBC_ACT_OR_EST" hidden="1">"c4376"</definedName>
    <definedName name="IQ_EPS_SBC_ACT_OR_EST_CIQ" hidden="1">"c4901"</definedName>
    <definedName name="IQ_EPS_SBC_EST" hidden="1">"c4375"</definedName>
    <definedName name="IQ_EPS_SBC_GUIDANCE" hidden="1">"c4377"</definedName>
    <definedName name="IQ_EPS_SBC_GW_ACT_OR_EST" hidden="1">"c4380"</definedName>
    <definedName name="IQ_EPS_SBC_GW_ACT_OR_EST_CIQ" hidden="1">"c4905"</definedName>
    <definedName name="IQ_EPS_SBC_GW_EST" hidden="1">"c4379"</definedName>
    <definedName name="IQ_EPS_SBC_GW_GUIDANCE" hidden="1">"c4381"</definedName>
    <definedName name="IQ_EPS_SBC_GW_HIGH_EST" hidden="1">"c4382"</definedName>
    <definedName name="IQ_EPS_SBC_GW_HIGH_GUIDANCE" hidden="1">"c4189"</definedName>
    <definedName name="IQ_EPS_SBC_GW_LOW_EST" hidden="1">"c4383"</definedName>
    <definedName name="IQ_EPS_SBC_GW_LOW_GUIDANCE" hidden="1">"c4229"</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LOW_EST" hidden="1">"c4389"</definedName>
    <definedName name="IQ_EPS_SBC_LOW_GUIDANCE" hidden="1">"c4228"</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CIQ" hidden="1">"c4993"</definedName>
    <definedName name="IQ_EPS_STDDEV_EST_REUT" hidden="1">"c5452"</definedName>
    <definedName name="IQ_EPS_STDDEV_EST_THOM" hidden="1">"c5289"</definedName>
    <definedName name="IQ_EQUITY_AFFIL" hidden="1">"c1451"</definedName>
    <definedName name="IQ_EQUITY_AP" hidden="1">"c8887"</definedName>
    <definedName name="IQ_EQUITY_AP_ABS" hidden="1">"c8906"</definedName>
    <definedName name="IQ_EQUITY_ASSETS_TOT_FFIEC" hidden="1">"c13436"</definedName>
    <definedName name="IQ_EQUITY_BEG_EXCL_FFIEC" hidden="1">"c12957"</definedName>
    <definedName name="IQ_EQUITY_BEG_FFIEC" hidden="1">"c12959"</definedName>
    <definedName name="IQ_EQUITY_CAPITAL_ASSETS_FDIC" hidden="1">"c6744"</definedName>
    <definedName name="IQ_EQUITY_CAPITAL_QUARTERLY_AVG_FFIEC" hidden="1">"c13092"</definedName>
    <definedName name="IQ_EQUITY_ENDING_FFIEC" hidden="1">"c12973"</definedName>
    <definedName name="IQ_EQUITY_FDIC" hidden="1">"c6353"</definedName>
    <definedName name="IQ_EQUITY_INDEX_EXPOSURE_FFIEC" hidden="1">"c13060"</definedName>
    <definedName name="IQ_EQUITY_METHOD" hidden="1">"c404"</definedName>
    <definedName name="IQ_EQUITY_NAME_AP" hidden="1">"c8925"</definedName>
    <definedName name="IQ_EQUITY_NAME_AP_ABS" hidden="1">"c8944"</definedName>
    <definedName name="IQ_EQUITY_SEC_FAIR_VALUE_FFIEC" hidden="1">"c12805"</definedName>
    <definedName name="IQ_EQUITY_SEC_INVEST_SECURITIES_FFIEC" hidden="1">"c13463"</definedName>
    <definedName name="IQ_EQUITY_SECURITIES_FDIC" hidden="1">"c6304"</definedName>
    <definedName name="IQ_EQUITY_SECURITIES_WITHOUT_FAIR_VALUES_FFIEC" hidden="1">"c12846"</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OP_DEBT_GUARANTEED_FFIEC" hidden="1">"c12971"</definedName>
    <definedName name="IQ_EST_ACT_BV" hidden="1">"c5630"</definedName>
    <definedName name="IQ_EST_ACT_BV_SHARE" hidden="1">"c3549"</definedName>
    <definedName name="IQ_EST_ACT_BV_SHARE_REUT" hidden="1">"c5445"</definedName>
    <definedName name="IQ_EST_ACT_BV_SHARE_THOM" hidden="1">"c4026"</definedName>
    <definedName name="IQ_EST_ACT_CAPEX" hidden="1">"c3546"</definedName>
    <definedName name="IQ_EST_ACT_CAPEX_REUT" hidden="1">"c3975"</definedName>
    <definedName name="IQ_EST_ACT_CAPEX_THOM" hidden="1">"c5508"</definedName>
    <definedName name="IQ_EST_ACT_CASH_EPS" hidden="1">"c5637"</definedName>
    <definedName name="IQ_EST_ACT_CASH_EPS_THOM" hidden="1">"c5645"</definedName>
    <definedName name="IQ_EST_ACT_CASH_FLOW" hidden="1">"c4394"</definedName>
    <definedName name="IQ_EST_ACT_CASH_OPER" hidden="1">"c4395"</definedName>
    <definedName name="IQ_EST_ACT_CFPS" hidden="1">"c1673"</definedName>
    <definedName name="IQ_EST_ACT_CFPS_REUT" hidden="1">"c3850"</definedName>
    <definedName name="IQ_EST_ACT_CFPS_THOM" hidden="1">"c4012"</definedName>
    <definedName name="IQ_EST_ACT_DISTRIBUTABLE_CASH" hidden="1">"c4396"</definedName>
    <definedName name="IQ_EST_ACT_DISTRIBUTABLE_CASH_SHARE" hidden="1">"c4397"</definedName>
    <definedName name="IQ_EST_ACT_DPS" hidden="1">"c1680"</definedName>
    <definedName name="IQ_EST_ACT_DPS_REUT" hidden="1">"c3857"</definedName>
    <definedName name="IQ_EST_ACT_DPS_THOM" hidden="1">"c4019"</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_THOM" hidden="1">"c5111"</definedName>
    <definedName name="IQ_EST_ACT_EBITDA" hidden="1">"c1664"</definedName>
    <definedName name="IQ_EST_ACT_EBITDA_CIQ" hidden="1">"c3667"</definedName>
    <definedName name="IQ_EST_ACT_EBITDA_REUT" hidden="1">"c3836"</definedName>
    <definedName name="IQ_EST_ACT_EBITDA_SBC" hidden="1">"c4401"</definedName>
    <definedName name="IQ_EST_ACT_EBITDA_THOM" hidden="1">"c3998"</definedName>
    <definedName name="IQ_EST_ACT_EBT_SBC" hidden="1">"c4402"</definedName>
    <definedName name="IQ_EST_ACT_EBT_SBC_GW" hidden="1">"c4403"</definedName>
    <definedName name="IQ_EST_ACT_EPS" hidden="1">"c1648"</definedName>
    <definedName name="IQ_EST_ACT_EPS_CIQ" hidden="1">"c4998"</definedName>
    <definedName name="IQ_EST_ACT_EPS_GW" hidden="1">"c1743"</definedName>
    <definedName name="IQ_EST_ACT_EPS_GW_CIQ" hidden="1">"c4729"</definedName>
    <definedName name="IQ_EST_ACT_EPS_GW_REUT" hidden="1">"c5395"</definedName>
    <definedName name="IQ_EST_ACT_EPS_GW_THOM" hidden="1">"c5139"</definedName>
    <definedName name="IQ_EST_ACT_EPS_NORM" hidden="1">"c2232"</definedName>
    <definedName name="IQ_EST_ACT_EPS_NORM_CIQ" hidden="1">"c4673"</definedName>
    <definedName name="IQ_EST_ACT_EPS_NORM_REUT" hidden="1">"c5332"</definedName>
    <definedName name="IQ_EST_ACT_EPS_REPORTED" hidden="1">"c1750"</definedName>
    <definedName name="IQ_EST_ACT_EPS_REPORTED_CIQ" hidden="1">"c4736"</definedName>
    <definedName name="IQ_EST_ACT_EPS_REPORTED_REUT" hidden="1">"c5402"</definedName>
    <definedName name="IQ_EST_ACT_EPS_REPORTED_THOM" hidden="1">"c5146"</definedName>
    <definedName name="IQ_EST_ACT_EPS_REUT" hidden="1">"c5457"</definedName>
    <definedName name="IQ_EST_ACT_EPS_SBC" hidden="1">"c4404"</definedName>
    <definedName name="IQ_EST_ACT_EPS_SBC_GW" hidden="1">"c4405"</definedName>
    <definedName name="IQ_EST_ACT_EPS_THOM" hidden="1">"c5294"</definedName>
    <definedName name="IQ_EST_ACT_FFO" hidden="1">"c1666"</definedName>
    <definedName name="IQ_EST_ACT_FFO_ADJ" hidden="1">"c4406"</definedName>
    <definedName name="IQ_EST_ACT_FFO_REUT" hidden="1">"c3843"</definedName>
    <definedName name="IQ_EST_ACT_FFO_SHARE" hidden="1">"c4407"</definedName>
    <definedName name="IQ_EST_ACT_FFO_SHARE_SHARE_REUT" hidden="1">"c3843"</definedName>
    <definedName name="IQ_EST_ACT_FFO_SHARE_SHARE_THOM" hidden="1">"c4005"</definedName>
    <definedName name="IQ_EST_ACT_FFO_THOM" hidden="1">"c4005"</definedName>
    <definedName name="IQ_EST_ACT_GROSS_MARGIN" hidden="1">"c5553"</definedName>
    <definedName name="IQ_EST_ACT_GROSS_MARGIN_THOM" hidden="1">"c5561"</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AV_THOM" hidden="1">"c5600"</definedName>
    <definedName name="IQ_EST_ACT_NET_DEBT" hidden="1">"c3545"</definedName>
    <definedName name="IQ_EST_ACT_NET_DEBT_REUT" hidden="1">"c5446"</definedName>
    <definedName name="IQ_EST_ACT_NET_DEBT_THOM" hidden="1">"c4033"</definedName>
    <definedName name="IQ_EST_ACT_NI" hidden="1">"c1722"</definedName>
    <definedName name="IQ_EST_ACT_NI_GW" hidden="1">"c1729"</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NI_THOM" hidden="1">"c5132"</definedName>
    <definedName name="IQ_EST_ACT_OPER_INC" hidden="1">"c1694"</definedName>
    <definedName name="IQ_EST_ACT_OPER_INC_REUT" hidden="1">"c5346"</definedName>
    <definedName name="IQ_EST_ACT_OPER_INC_THOM" hidden="1">"c5118"</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INC_THOM" hidden="1">"c5125"</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ASSETS_THOM" hidden="1">"c4040"</definedName>
    <definedName name="IQ_EST_ACT_RETURN_EQUITY" hidden="1">"c3548"</definedName>
    <definedName name="IQ_EST_ACT_RETURN_EQUITY_REUT" hidden="1">"c3989"</definedName>
    <definedName name="IQ_EST_ACT_RETURN_EQUITY_THOM" hidden="1">"c5287"</definedName>
    <definedName name="IQ_EST_ACT_REV" hidden="1">"c2113"</definedName>
    <definedName name="IQ_EST_ACT_REV_CIQ" hidden="1">"c3666"</definedName>
    <definedName name="IQ_EST_ACT_REV_REUT" hidden="1">"c3835"</definedName>
    <definedName name="IQ_EST_ACT_REV_THOM" hidden="1">"c3997"</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1YR_THOM" hidden="1">"c5542"</definedName>
    <definedName name="IQ_EST_CAPEX_GROWTH_2YR" hidden="1">"c3589"</definedName>
    <definedName name="IQ_EST_CAPEX_GROWTH_2YR_REUT" hidden="1">"c5448"</definedName>
    <definedName name="IQ_EST_CAPEX_GROWTH_2YR_THOM" hidden="1">"c5543"</definedName>
    <definedName name="IQ_EST_CAPEX_GROWTH_Q_1YR" hidden="1">"c3590"</definedName>
    <definedName name="IQ_EST_CAPEX_GROWTH_Q_1YR_REUT" hidden="1">"c5449"</definedName>
    <definedName name="IQ_EST_CAPEX_GROWTH_Q_1YR_THOM" hidden="1">"c5544"</definedName>
    <definedName name="IQ_EST_CAPEX_SEQ_GROWTH_Q" hidden="1">"c3591"</definedName>
    <definedName name="IQ_EST_CAPEX_SEQ_GROWTH_Q_REUT" hidden="1">"c5450"</definedName>
    <definedName name="IQ_EST_CAPEX_SEQ_GROWTH_Q_THOM" hidden="1">"c5545"</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REUT" hidden="1">"c3892"</definedName>
    <definedName name="IQ_EST_CFPS_DIFF_THOM" hidden="1">"c5188"</definedName>
    <definedName name="IQ_EST_CFPS_GROWTH_1YR" hidden="1">"c1774"</definedName>
    <definedName name="IQ_EST_CFPS_GROWTH_1YR_REUT" hidden="1">"c3878"</definedName>
    <definedName name="IQ_EST_CFPS_GROWTH_1YR_THOM" hidden="1">"c5174"</definedName>
    <definedName name="IQ_EST_CFPS_GROWTH_2YR" hidden="1">"c1775"</definedName>
    <definedName name="IQ_EST_CFPS_GROWTH_2YR_REUT" hidden="1">"c3879"</definedName>
    <definedName name="IQ_EST_CFPS_GROWTH_2YR_THOM" hidden="1">"c5175"</definedName>
    <definedName name="IQ_EST_CFPS_GROWTH_Q_1YR" hidden="1">"c1776"</definedName>
    <definedName name="IQ_EST_CFPS_GROWTH_Q_1YR_REUT" hidden="1">"c3880"</definedName>
    <definedName name="IQ_EST_CFPS_GROWTH_Q_1YR_THOM" hidden="1">"c5176"</definedName>
    <definedName name="IQ_EST_CFPS_SEQ_GROWTH_Q" hidden="1">"c1777"</definedName>
    <definedName name="IQ_EST_CFPS_SEQ_GROWTH_Q_REUT" hidden="1">"c3881"</definedName>
    <definedName name="IQ_EST_CFPS_SEQ_GROWTH_Q_THOM" hidden="1">"c5177"</definedName>
    <definedName name="IQ_EST_CFPS_SURPRISE_PERCENT" hidden="1">"c1872"</definedName>
    <definedName name="IQ_EST_CFPS_SURPRISE_PERCENT_REUT" hidden="1">"c3893"</definedName>
    <definedName name="IQ_EST_CFPS_SURPRISE_PERCENT_THOM" hidden="1">"c5189"</definedName>
    <definedName name="IQ_EST_CURRENCY" hidden="1">"c2140"</definedName>
    <definedName name="IQ_EST_CURRENCY_CIQ" hidden="1">"c4769"</definedName>
    <definedName name="IQ_EST_CURRENCY_REUT" hidden="1">"c5437"</definedName>
    <definedName name="IQ_EST_CURRENCY_THOM" hidden="1">"c5280"</definedName>
    <definedName name="IQ_EST_DATE" hidden="1">"c1634"</definedName>
    <definedName name="IQ_EST_DATE_CIQ" hidden="1">"c4770"</definedName>
    <definedName name="IQ_EST_DATE_REUT" hidden="1">"c5438"</definedName>
    <definedName name="IQ_EST_DATE_THOM" hidden="1">"c5281"</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REUT" hidden="1">"c3894"</definedName>
    <definedName name="IQ_EST_DPS_DIFF_THOM" hidden="1">"c5190"</definedName>
    <definedName name="IQ_EST_DPS_GROWTH_1YR" hidden="1">"c1778"</definedName>
    <definedName name="IQ_EST_DPS_GROWTH_1YR_REUT" hidden="1">"c3882"</definedName>
    <definedName name="IQ_EST_DPS_GROWTH_1YR_THOM" hidden="1">"c5178"</definedName>
    <definedName name="IQ_EST_DPS_GROWTH_2YR" hidden="1">"c1779"</definedName>
    <definedName name="IQ_EST_DPS_GROWTH_2YR_REUT" hidden="1">"c3883"</definedName>
    <definedName name="IQ_EST_DPS_GROWTH_2YR_THOM" hidden="1">"c5179"</definedName>
    <definedName name="IQ_EST_DPS_GROWTH_Q_1YR" hidden="1">"c1780"</definedName>
    <definedName name="IQ_EST_DPS_GROWTH_Q_1YR_REUT" hidden="1">"c3884"</definedName>
    <definedName name="IQ_EST_DPS_GROWTH_Q_1YR_THOM" hidden="1">"c5180"</definedName>
    <definedName name="IQ_EST_DPS_SEQ_GROWTH_Q" hidden="1">"c1781"</definedName>
    <definedName name="IQ_EST_DPS_SEQ_GROWTH_Q_REUT" hidden="1">"c3885"</definedName>
    <definedName name="IQ_EST_DPS_SEQ_GROWTH_Q_THOM" hidden="1">"c5181"</definedName>
    <definedName name="IQ_EST_DPS_SURPRISE_PERCENT" hidden="1">"c1874"</definedName>
    <definedName name="IQ_EST_DPS_SURPRISE_PERCENT_REUT" hidden="1">"c3895"</definedName>
    <definedName name="IQ_EST_DPS_SURPRISE_PERCENT_THOM" hidden="1">"c5191"</definedName>
    <definedName name="IQ_EST_EBIT_DIFF" hidden="1">"c1875"</definedName>
    <definedName name="IQ_EST_EBIT_DIFF_REUT" hidden="1">"c5413"</definedName>
    <definedName name="IQ_EST_EBIT_DIFF_THOM" hidden="1">"c5192"</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REUT" hidden="1">"c5414"</definedName>
    <definedName name="IQ_EST_EBIT_SURPRISE_PERCENT_THOM" hidden="1">"c5193"</definedName>
    <definedName name="IQ_EST_EBITDA_DIFF" hidden="1">"c1867"</definedName>
    <definedName name="IQ_EST_EBITDA_DIFF_CIQ" hidden="1">"c3719"</definedName>
    <definedName name="IQ_EST_EBITDA_DIFF_REUT" hidden="1">"c3888"</definedName>
    <definedName name="IQ_EST_EBITDA_DIFF_THOM" hidden="1">"c5184"</definedName>
    <definedName name="IQ_EST_EBITDA_GROWTH_1YR" hidden="1">"c1766"</definedName>
    <definedName name="IQ_EST_EBITDA_GROWTH_1YR_REUT" hidden="1">"c3864"</definedName>
    <definedName name="IQ_EST_EBITDA_GROWTH_1YR_THOM" hidden="1">"c5161"</definedName>
    <definedName name="IQ_EST_EBITDA_GROWTH_2YR" hidden="1">"c1767"</definedName>
    <definedName name="IQ_EST_EBITDA_GROWTH_2YR_REUT" hidden="1">"c3865"</definedName>
    <definedName name="IQ_EST_EBITDA_GROWTH_2YR_THOM" hidden="1">"c5162"</definedName>
    <definedName name="IQ_EST_EBITDA_GROWTH_Q_1YR" hidden="1">"c1768"</definedName>
    <definedName name="IQ_EST_EBITDA_GROWTH_Q_1YR_REUT" hidden="1">"c3866"</definedName>
    <definedName name="IQ_EST_EBITDA_GROWTH_Q_1YR_THOM" hidden="1">"c5163"</definedName>
    <definedName name="IQ_EST_EBITDA_SBC_DIFF" hidden="1">"c4335"</definedName>
    <definedName name="IQ_EST_EBITDA_SBC_SURPRISE_PERCENT" hidden="1">"c4344"</definedName>
    <definedName name="IQ_EST_EBITDA_SEQ_GROWTH_Q" hidden="1">"c1769"</definedName>
    <definedName name="IQ_EST_EBITDA_SEQ_GROWTH_Q_REUT" hidden="1">"c3867"</definedName>
    <definedName name="IQ_EST_EBITDA_SEQ_GROWTH_Q_THOM" hidden="1">"c5164"</definedName>
    <definedName name="IQ_EST_EBITDA_SURPRISE_PERCENT" hidden="1">"c1868"</definedName>
    <definedName name="IQ_EST_EBITDA_SURPRISE_PERCENT_CIQ" hidden="1">"c3720"</definedName>
    <definedName name="IQ_EST_EBITDA_SURPRISE_PERCENT_REUT" hidden="1">"c3889"</definedName>
    <definedName name="IQ_EST_EBITDA_SURPRISE_PERCENT_THOM" hidden="1">"c5185"</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CIQ" hidden="1">"c4999"</definedName>
    <definedName name="IQ_EST_EPS_DIFF_REUT" hidden="1">"c5458"</definedName>
    <definedName name="IQ_EST_EPS_DIFF_THOM" hidden="1">"c5295"</definedName>
    <definedName name="IQ_EST_EPS_GROWTH_1YR" hidden="1">"c1636"</definedName>
    <definedName name="IQ_EST_EPS_GROWTH_1YR_CIQ" hidden="1">"c3628"</definedName>
    <definedName name="IQ_EST_EPS_GROWTH_1YR_REUT" hidden="1">"c3646"</definedName>
    <definedName name="IQ_EST_EPS_GROWTH_1YR_THOM" hidden="1">"c3664"</definedName>
    <definedName name="IQ_EST_EPS_GROWTH_2YR" hidden="1">"c1637"</definedName>
    <definedName name="IQ_EST_EPS_GROWTH_2YR_REUT" hidden="1">"c3858"</definedName>
    <definedName name="IQ_EST_EPS_GROWTH_2YR_THOM" hidden="1">"c5154"</definedName>
    <definedName name="IQ_EST_EPS_GROWTH_5YR" hidden="1">"c1655"</definedName>
    <definedName name="IQ_EST_EPS_GROWTH_5YR_BOTTOM_UP" hidden="1">"c5487"</definedName>
    <definedName name="IQ_EST_EPS_GROWTH_5YR_BOTTOM_UP_CIQ" hidden="1">"c12024"</definedName>
    <definedName name="IQ_EST_EPS_GROWTH_5YR_BOTTOM_UP_REUT" hidden="1">"c5495"</definedName>
    <definedName name="IQ_EST_EPS_GROWTH_5YR_CIQ" hidden="1">"c3615"</definedName>
    <definedName name="IQ_EST_EPS_GROWTH_5YR_HIGH" hidden="1">"c1657"</definedName>
    <definedName name="IQ_EST_EPS_GROWTH_5YR_HIGH_CIQ" hidden="1">"c4663"</definedName>
    <definedName name="IQ_EST_EPS_GROWTH_5YR_HIGH_REUT" hidden="1">"c5322"</definedName>
    <definedName name="IQ_EST_EPS_GROWTH_5YR_HIGH_THOM" hidden="1">"c5101"</definedName>
    <definedName name="IQ_EST_EPS_GROWTH_5YR_LOW" hidden="1">"c1658"</definedName>
    <definedName name="IQ_EST_EPS_GROWTH_5YR_LOW_CIQ" hidden="1">"c4664"</definedName>
    <definedName name="IQ_EST_EPS_GROWTH_5YR_LOW_REUT" hidden="1">"c5323"</definedName>
    <definedName name="IQ_EST_EPS_GROWTH_5YR_LOW_THOM" hidden="1">"c5102"</definedName>
    <definedName name="IQ_EST_EPS_GROWTH_5YR_MEDIAN" hidden="1">"c1656"</definedName>
    <definedName name="IQ_EST_EPS_GROWTH_5YR_MEDIAN_CIQ" hidden="1">"c5480"</definedName>
    <definedName name="IQ_EST_EPS_GROWTH_5YR_MEDIAN_REUT" hidden="1">"c5321"</definedName>
    <definedName name="IQ_EST_EPS_GROWTH_5YR_MEDIAN_THOM" hidden="1">"c5100"</definedName>
    <definedName name="IQ_EST_EPS_GROWTH_5YR_NUM" hidden="1">"c1659"</definedName>
    <definedName name="IQ_EST_EPS_GROWTH_5YR_NUM_CIQ" hidden="1">"c4665"</definedName>
    <definedName name="IQ_EST_EPS_GROWTH_5YR_NUM_REUT" hidden="1">"c5324"</definedName>
    <definedName name="IQ_EST_EPS_GROWTH_5YR_NUM_THOM" hidden="1">"c5103"</definedName>
    <definedName name="IQ_EST_EPS_GROWTH_5YR_REUT" hidden="1">"c3633"</definedName>
    <definedName name="IQ_EST_EPS_GROWTH_5YR_STDDEV" hidden="1">"c1660"</definedName>
    <definedName name="IQ_EST_EPS_GROWTH_5YR_STDDEV_CIQ" hidden="1">"c4666"</definedName>
    <definedName name="IQ_EST_EPS_GROWTH_5YR_STDDEV_REUT" hidden="1">"c5325"</definedName>
    <definedName name="IQ_EST_EPS_GROWTH_5YR_STDDEV_THOM" hidden="1">"c5104"</definedName>
    <definedName name="IQ_EST_EPS_GROWTH_5YR_THOM" hidden="1">"c3651"</definedName>
    <definedName name="IQ_EST_EPS_GROWTH_Q_1YR" hidden="1">"c1641"</definedName>
    <definedName name="IQ_EST_EPS_GROWTH_Q_1YR_CIQ" hidden="1">"c4744"</definedName>
    <definedName name="IQ_EST_EPS_GROWTH_Q_1YR_REUT" hidden="1">"c5410"</definedName>
    <definedName name="IQ_EST_EPS_GROWTH_Q_1YR_THOM" hidden="1">"c5155"</definedName>
    <definedName name="IQ_EST_EPS_GW_DIFF" hidden="1">"c1891"</definedName>
    <definedName name="IQ_EST_EPS_GW_DIFF_CIQ" hidden="1">"c4761"</definedName>
    <definedName name="IQ_EST_EPS_GW_DIFF_REUT" hidden="1">"c5429"</definedName>
    <definedName name="IQ_EST_EPS_GW_DIFF_THOM" hidden="1">"c5200"</definedName>
    <definedName name="IQ_EST_EPS_GW_SURPRISE_PERCENT" hidden="1">"c1892"</definedName>
    <definedName name="IQ_EST_EPS_GW_SURPRISE_PERCENT_CIQ" hidden="1">"c4762"</definedName>
    <definedName name="IQ_EST_EPS_GW_SURPRISE_PERCENT_REUT" hidden="1">"c5430"</definedName>
    <definedName name="IQ_EST_EPS_GW_SURPRISE_PERCENT_THOM" hidden="1">"c5201"</definedName>
    <definedName name="IQ_EST_EPS_NORM_DIFF" hidden="1">"c2247"</definedName>
    <definedName name="IQ_EST_EPS_NORM_DIFF_CIQ" hidden="1">"c4745"</definedName>
    <definedName name="IQ_EST_EPS_NORM_DIFF_REUT" hidden="1">"c5411"</definedName>
    <definedName name="IQ_EST_EPS_NORM_SURPRISE_PERCENT" hidden="1">"c2248"</definedName>
    <definedName name="IQ_EST_EPS_NORM_SURPRISE_PERCENT_CIQ" hidden="1">"c4746"</definedName>
    <definedName name="IQ_EST_EPS_NORM_SURPRISE_PERCENT_REUT" hidden="1">"c5412"</definedName>
    <definedName name="IQ_EST_EPS_REPORT_DIFF" hidden="1">"c1893"</definedName>
    <definedName name="IQ_EST_EPS_REPORT_DIFF_CIQ" hidden="1">"c4763"</definedName>
    <definedName name="IQ_EST_EPS_REPORT_DIFF_REUT" hidden="1">"c5431"</definedName>
    <definedName name="IQ_EST_EPS_REPORT_DIFF_THOM" hidden="1">"c5202"</definedName>
    <definedName name="IQ_EST_EPS_REPORT_SURPRISE_PERCENT" hidden="1">"c1894"</definedName>
    <definedName name="IQ_EST_EPS_REPORT_SURPRISE_PERCENT_CIQ" hidden="1">"c4764"</definedName>
    <definedName name="IQ_EST_EPS_REPORT_SURPRISE_PERCENT_REUT" hidden="1">"c5432"</definedName>
    <definedName name="IQ_EST_EPS_REPORT_SURPRISE_PERCENT_THOM" hidden="1">"c5203"</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REUT" hidden="1">"c3859"</definedName>
    <definedName name="IQ_EST_EPS_SEQ_GROWTH_Q_THOM" hidden="1">"c5156"</definedName>
    <definedName name="IQ_EST_EPS_SURPRISE_PERCENT" hidden="1">"c1635"</definedName>
    <definedName name="IQ_EST_EPS_SURPRISE_PERCENT_CIQ" hidden="1">"c5000"</definedName>
    <definedName name="IQ_EST_EPS_SURPRISE_PERCENT_REUT" hidden="1">"c5459"</definedName>
    <definedName name="IQ_EST_EPS_SURPRISE_PERCENT_THOM" hidden="1">"c5296"</definedName>
    <definedName name="IQ_EST_FAIR_VALUE_MORT_SERVICING_ASSETS_FFIEC" hidden="1">"c12956"</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"c1869"</definedName>
    <definedName name="IQ_EST_FFO_DIFF_REUT" hidden="1">"c3890"</definedName>
    <definedName name="IQ_EST_FFO_DIFF_THOM" hidden="1">"c5186"</definedName>
    <definedName name="IQ_EST_FFO_GROWTH_1YR" hidden="1">"c1770"</definedName>
    <definedName name="IQ_EST_FFO_GROWTH_1YR_REUT" hidden="1">"c3874"</definedName>
    <definedName name="IQ_EST_FFO_GROWTH_1YR_THOM" hidden="1">"c5170"</definedName>
    <definedName name="IQ_EST_FFO_GROWTH_2YR" hidden="1">"c1771"</definedName>
    <definedName name="IQ_EST_FFO_GROWTH_2YR_REUT" hidden="1">"c3875"</definedName>
    <definedName name="IQ_EST_FFO_GROWTH_2YR_THOM" hidden="1">"c5171"</definedName>
    <definedName name="IQ_EST_FFO_GROWTH_Q_1YR" hidden="1">"c1772"</definedName>
    <definedName name="IQ_EST_FFO_GROWTH_Q_1YR_REUT" hidden="1">"c3876"</definedName>
    <definedName name="IQ_EST_FFO_GROWTH_Q_1YR_THOM" hidden="1">"c5172"</definedName>
    <definedName name="IQ_EST_FFO_SEQ_GROWTH_Q" hidden="1">"c1773"</definedName>
    <definedName name="IQ_EST_FFO_SEQ_GROWTH_Q_REUT" hidden="1">"c3877"</definedName>
    <definedName name="IQ_EST_FFO_SEQ_GROWTH_Q_THOM" hidden="1">"c5173"</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HARE_DIFF_REUT" hidden="1">"c3890"</definedName>
    <definedName name="IQ_EST_FFO_SHARE_SHARE_DIFF_THOM" hidden="1">"c5186"</definedName>
    <definedName name="IQ_EST_FFO_SHARE_SHARE_SURPRISE_PERCENT_REUT" hidden="1">"c3891"</definedName>
    <definedName name="IQ_EST_FFO_SHARE_SHARE_SURPRISE_PERCENT_THOM" hidden="1">"c5187"</definedName>
    <definedName name="IQ_EST_FFO_SHARE_SURPRISE_PERCENT" hidden="1">"c4453"</definedName>
    <definedName name="IQ_EST_FFO_SURPRISE_PERCENT" hidden="1">"c1870"</definedName>
    <definedName name="IQ_EST_FFO_SURPRISE_PERCENT_REUT" hidden="1">"c3891"</definedName>
    <definedName name="IQ_EST_FFO_SURPRISE_PERCENT_THOM" hidden="1">"c5187"</definedName>
    <definedName name="IQ_EST_FOOTNOTE" hidden="1">"c4540"</definedName>
    <definedName name="IQ_EST_FOOTNOTE_CIQ" hidden="1">"c12022"</definedName>
    <definedName name="IQ_EST_FOOTNOTE_REUT" hidden="1">"c5478"</definedName>
    <definedName name="IQ_EST_FOOTNOTE_THOM" hidden="1">"c5313"</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HARE_SURPRISE_PERCENT" hidden="1">"c1896"</definedName>
    <definedName name="IQ_EST_NAV_SURPRISE_PERCENT" hidden="1">"c12040"</definedName>
    <definedName name="IQ_EST_NET_DEBT_DIFF" hidden="1">"c4466"</definedName>
    <definedName name="IQ_EST_NET_DEBT_SURPRISE_PERCENT" hidden="1">"c4468"</definedName>
    <definedName name="IQ_EST_NI_DIFF" hidden="1">"c1885"</definedName>
    <definedName name="IQ_EST_NI_DIFF_REUT" hidden="1">"c5423"</definedName>
    <definedName name="IQ_EST_NI_DIFF_THOM" hidden="1">"c5198"</definedName>
    <definedName name="IQ_EST_NI_GW_DIFF" hidden="1">"c1887"</definedName>
    <definedName name="IQ_EST_NI_GW_DIFF_REUT" hidden="1">"c5425"</definedName>
    <definedName name="IQ_EST_NI_GW_SURPRISE_PERCENT" hidden="1">"c1888"</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REUT" hidden="1">"c5424"</definedName>
    <definedName name="IQ_EST_NI_SURPRISE_PERCENT_THOM" hidden="1">"c5199"</definedName>
    <definedName name="IQ_EST_NUM_BUY" hidden="1">"c1759"</definedName>
    <definedName name="IQ_EST_NUM_HIGH_REC" hidden="1">"c5649"</definedName>
    <definedName name="IQ_EST_NUM_HIGH_REC_REUT" hidden="1">"c3870"</definedName>
    <definedName name="IQ_EST_NUM_HIGH_REC_THOM" hidden="1">"c5166"</definedName>
    <definedName name="IQ_EST_NUM_HIGHEST_REC" hidden="1">"c5648"</definedName>
    <definedName name="IQ_EST_NUM_HIGHEST_REC_REUT" hidden="1">"c3869"</definedName>
    <definedName name="IQ_EST_NUM_HIGHEST_REC_THOM" hidden="1">"c5165"</definedName>
    <definedName name="IQ_EST_NUM_HOLD" hidden="1">"c1761"</definedName>
    <definedName name="IQ_EST_NUM_LOW_REC" hidden="1">"c5651"</definedName>
    <definedName name="IQ_EST_NUM_LOW_REC_REUT" hidden="1">"c3872"</definedName>
    <definedName name="IQ_EST_NUM_LOW_REC_THOM" hidden="1">"c5168"</definedName>
    <definedName name="IQ_EST_NUM_LOWEST_REC" hidden="1">"c5652"</definedName>
    <definedName name="IQ_EST_NUM_LOWEST_REC_REUT" hidden="1">"c3873"</definedName>
    <definedName name="IQ_EST_NUM_LOWEST_REC_THOM" hidden="1">"c5169"</definedName>
    <definedName name="IQ_EST_NUM_NEUTRAL_REC" hidden="1">"c5650"</definedName>
    <definedName name="IQ_EST_NUM_NEUTRAL_REC_REUT" hidden="1">"c3871"</definedName>
    <definedName name="IQ_EST_NUM_NEUTRAL_REC_THOM" hidden="1">"c5167"</definedName>
    <definedName name="IQ_EST_NUM_NO_OPINION" hidden="1">"c1758"</definedName>
    <definedName name="IQ_EST_NUM_NO_OPINION_REUT" hidden="1">"c3868"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DIFF_REUT" hidden="1">"c5415"</definedName>
    <definedName name="IQ_EST_OPER_INC_DIFF_THOM" hidden="1">"c5194"</definedName>
    <definedName name="IQ_EST_OPER_INC_SURPRISE_PERCENT" hidden="1">"c1878"</definedName>
    <definedName name="IQ_EST_OPER_INC_SURPRISE_PERCENT_REUT" hidden="1">"c5416"</definedName>
    <definedName name="IQ_EST_OPER_INC_SURPRISE_PERCENT_THOM" hidden="1">"c5195"</definedName>
    <definedName name="IQ_EST_PRE_TAX_DIFF" hidden="1">"c1879"</definedName>
    <definedName name="IQ_EST_PRE_TAX_DIFF_REUT" hidden="1">"c5417"</definedName>
    <definedName name="IQ_EST_PRE_TAX_DIFF_THOM" hidden="1">"c5196"</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PRE_TAX_SURPRISE_PERCENT_THOM" hidden="1">"c5197"</definedName>
    <definedName name="IQ_EST_RECURRING_PROFIT_SHARE_DIFF" hidden="1">"c4505"</definedName>
    <definedName name="IQ_EST_RECURRING_PROFIT_SHARE_SURPRISE_PERCENT" hidden="1">"c4515"</definedName>
    <definedName name="IQ_EST_REV_DIFF" hidden="1">"c1865"</definedName>
    <definedName name="IQ_EST_REV_DIFF_CIQ" hidden="1">"c3717"</definedName>
    <definedName name="IQ_EST_REV_DIFF_REUT" hidden="1">"c3886"</definedName>
    <definedName name="IQ_EST_REV_DIFF_THOM" hidden="1">"c5182"</definedName>
    <definedName name="IQ_EST_REV_GROWTH_1YR" hidden="1">"c1638"</definedName>
    <definedName name="IQ_EST_REV_GROWTH_1YR_REUT" hidden="1">"c3860"</definedName>
    <definedName name="IQ_EST_REV_GROWTH_1YR_THOM" hidden="1">"c5157"</definedName>
    <definedName name="IQ_EST_REV_GROWTH_2YR" hidden="1">"c1639"</definedName>
    <definedName name="IQ_EST_REV_GROWTH_2YR_REUT" hidden="1">"c3861"</definedName>
    <definedName name="IQ_EST_REV_GROWTH_2YR_THOM" hidden="1">"c5158"</definedName>
    <definedName name="IQ_EST_REV_GROWTH_Q_1YR" hidden="1">"c1640"</definedName>
    <definedName name="IQ_EST_REV_GROWTH_Q_1YR_REUT" hidden="1">"c3862"</definedName>
    <definedName name="IQ_EST_REV_GROWTH_Q_1YR_THOM" hidden="1">"c5159"</definedName>
    <definedName name="IQ_EST_REV_SEQ_GROWTH_Q" hidden="1">"c1765"</definedName>
    <definedName name="IQ_EST_REV_SEQ_GROWTH_Q_REUT" hidden="1">"c3863"</definedName>
    <definedName name="IQ_EST_REV_SEQ_GROWTH_Q_THOM" hidden="1">"c5160"</definedName>
    <definedName name="IQ_EST_REV_SURPRISE_PERCENT" hidden="1">"c1866"</definedName>
    <definedName name="IQ_EST_REV_SURPRISE_PERCENT_CIQ" hidden="1">"c3718"</definedName>
    <definedName name="IQ_EST_REV_SURPRISE_PERCENT_REUT" hidden="1">"c3887"</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S_AP" hidden="1">"c8875"</definedName>
    <definedName name="IQ_EXPENSES_AP_ABS" hidden="1">"c8894"</definedName>
    <definedName name="IQ_EXPENSES_FIXED_ASSETS_FFIEC" hidden="1">"c13024"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UNUSED" hidden="1">"c7632"</definedName>
    <definedName name="IQ_EXPORTS_GOODS_REAL_SAAR_FC_UNUSED" hidden="1">"c7852"</definedName>
    <definedName name="IQ_EXPORTS_GOODS_REAL_SAAR_POP" hidden="1">"c11931"</definedName>
    <definedName name="IQ_EXPORTS_GOODS_REAL_SAAR_POP_FC_UNUSED" hidden="1">"c8072"</definedName>
    <definedName name="IQ_EXPORTS_GOODS_REAL_SAAR_POP_UNUSED" hidden="1">"c7192"</definedName>
    <definedName name="IQ_EXPORTS_GOODS_REAL_SAAR_UNUSED" hidden="1">"c6972"</definedName>
    <definedName name="IQ_EXPORTS_GOODS_REAL_SAAR_YOY" hidden="1">"c11932"</definedName>
    <definedName name="IQ_EXPORTS_GOODS_REAL_SAAR_YOY_FC_UNUSED" hidden="1">"c8292"</definedName>
    <definedName name="IQ_EXPORTS_GOODS_REAL_SAAR_YOY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UNUSED" hidden="1">"c7636"</definedName>
    <definedName name="IQ_EXPORTS_SERVICES_REAL_SAAR_FC_UNUSED" hidden="1">"c7856"</definedName>
    <definedName name="IQ_EXPORTS_SERVICES_REAL_SAAR_POP" hidden="1">"c11935"</definedName>
    <definedName name="IQ_EXPORTS_SERVICES_REAL_SAAR_POP_FC_UNUSED" hidden="1">"c8076"</definedName>
    <definedName name="IQ_EXPORTS_SERVICES_REAL_SAAR_POP_UNUSED" hidden="1">"c7196"</definedName>
    <definedName name="IQ_EXPORTS_SERVICES_REAL_SAAR_UNUSED" hidden="1">"c6976"</definedName>
    <definedName name="IQ_EXPORTS_SERVICES_REAL_SAAR_YOY" hidden="1">"c11936"</definedName>
    <definedName name="IQ_EXPORTS_SERVICES_REAL_SAAR_YOY_FC_UNUSED" hidden="1">"c8296"</definedName>
    <definedName name="IQ_EXPORTS_SERVICES_REAL_SAAR_YOY_UNUSED" hidden="1">"c7416"</definedName>
    <definedName name="IQ_EXPORTS_SERVICES_REAL_YOY" hidden="1">"c7417"</definedName>
    <definedName name="IQ_EXPORTS_SERVICES_REAL_YOY_FC" hidden="1">"c8297"</definedName>
    <definedName name="IQ_EXPORTS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AVG_ASSETS_FFIEC" hidden="1">"c13369"</definedName>
    <definedName name="IQ_EXTRA_ITEMS" hidden="1">"c1459"</definedName>
    <definedName name="IQ_EXTRAORDINARY_GAINS_FDIC" hidden="1">"c6586"</definedName>
    <definedName name="IQ_EXTRAORDINARY_ITEMS_FFIEC" hidden="1">"c13033"</definedName>
    <definedName name="IQ_FAD" hidden="1">"c8757"</definedName>
    <definedName name="IQ_FAD_PAYOUT_RATIO" hidden="1">"c8872"</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DIC_DEPOSIT_INSURANCE_FFIEC" hidden="1">"c13053"</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S_PURCHASED_DOM_FFIEC" hidden="1">"c12856"</definedName>
    <definedName name="IQ_FED_FUNDS_PURCHASED_FDIC" hidden="1">"c6343"</definedName>
    <definedName name="IQ_FED_FUNDS_PURCHASED_QUARTERLY_AVG_FFIEC" hidden="1">"c13090"</definedName>
    <definedName name="IQ_FED_FUNDS_SOLD_DOM_FFIEC" hidden="1">"c12806"</definedName>
    <definedName name="IQ_FED_FUNDS_SOLD_FDIC" hidden="1">"c6307"</definedName>
    <definedName name="IQ_FED_FUNDS_SOLD_QUARTERLY_AVG_FFIEC" hidden="1">"c13080"</definedName>
    <definedName name="IQ_FEDFUNDS_SOLD" hidden="1">"c2256"</definedName>
    <definedName name="IQ_FEES_COMMISSIONS_BROKERAGE_FFIEC" hidden="1">"c13005"</definedName>
    <definedName name="IQ_FFO" hidden="1">"c1574"</definedName>
    <definedName name="IQ_FFO_ACT_OR_EST" hidden="1">"c2216"</definedName>
    <definedName name="IQ_FFO_ADJ_ACT_OR_EST" hidden="1">"c4435"</definedName>
    <definedName name="IQ_FFO_ADJ_ACT_OR_EST_CIQ" hidden="1">"c4960"</definedName>
    <definedName name="IQ_FFO_ADJ_EST" hidden="1">"c4434"</definedName>
    <definedName name="IQ_FFO_ADJ_GUIDANCE" hidden="1">"c4436"</definedName>
    <definedName name="IQ_FFO_ADJ_HIGH_EST" hidden="1">"c4437"</definedName>
    <definedName name="IQ_FFO_ADJ_HIGH_GUIDANCE" hidden="1">"c4202"</definedName>
    <definedName name="IQ_FFO_ADJ_LOW_EST" hidden="1">"c4438"</definedName>
    <definedName name="IQ_FFO_ADJ_LOW_GUIDANCE" hidden="1">"c4242"</definedName>
    <definedName name="IQ_FFO_ADJ_MEDIAN_EST" hidden="1">"c4439"</definedName>
    <definedName name="IQ_FFO_ADJ_NUM_EST" hidden="1">"c4440"</definedName>
    <definedName name="IQ_FFO_ADJ_STDDEV_EST" hidden="1">"c4441"</definedName>
    <definedName name="IQ_FFO_EST" hidden="1">"c418"</definedName>
    <definedName name="IQ_FFO_EST_DET_EST" hidden="1">"c12059"</definedName>
    <definedName name="IQ_FFO_EST_DET_EST_CURRENCY" hidden="1">"c12466"</definedName>
    <definedName name="IQ_FFO_EST_DET_EST_CURRENCY_REUT" hidden="1">"c12536"</definedName>
    <definedName name="IQ_FFO_EST_DET_EST_CURRENCY_THOM" hidden="1">"c12487"</definedName>
    <definedName name="IQ_FFO_EST_DET_EST_DATE" hidden="1">"c12212"</definedName>
    <definedName name="IQ_FFO_EST_DET_EST_DATE_REUT" hidden="1">"c12295"</definedName>
    <definedName name="IQ_FFO_EST_DET_EST_DATE_THOM" hidden="1">"c12238"</definedName>
    <definedName name="IQ_FFO_EST_DET_EST_INCL" hidden="1">"c12349"</definedName>
    <definedName name="IQ_FFO_EST_DET_EST_INCL_REUT" hidden="1">"c12419"</definedName>
    <definedName name="IQ_FFO_EST_DET_EST_INCL_THOM" hidden="1">"c12370"</definedName>
    <definedName name="IQ_FFO_EST_DET_EST_ORIGIN" hidden="1">"c12722"</definedName>
    <definedName name="IQ_FFO_EST_DET_EST_ORIGIN_REUT" hidden="1">"c12724"</definedName>
    <definedName name="IQ_FFO_EST_DET_EST_ORIGIN_THOM" hidden="1">"c12608"</definedName>
    <definedName name="IQ_FFO_EST_DET_EST_REUT" hidden="1">"c12153"</definedName>
    <definedName name="IQ_FFO_EST_DET_EST_THOM" hidden="1">"c12088"</definedName>
    <definedName name="IQ_FFO_EST_REUT" hidden="1">"c3837"</definedName>
    <definedName name="IQ_FFO_EST_THOM" hidden="1">"c3999"</definedName>
    <definedName name="IQ_FFO_GUIDANCE" hidden="1">"c4443"</definedName>
    <definedName name="IQ_FFO_HIGH_EST" hidden="1">"c419"</definedName>
    <definedName name="IQ_FFO_HIGH_EST_REUT" hidden="1">"c3839"</definedName>
    <definedName name="IQ_FFO_HIGH_EST_THOM" hidden="1">"c4001"</definedName>
    <definedName name="IQ_FFO_HIGH_GUIDANCE" hidden="1">"c4184"</definedName>
    <definedName name="IQ_FFO_LOW_EST" hidden="1">"c420"</definedName>
    <definedName name="IQ_FFO_LOW_EST_REUT" hidden="1">"c3840"</definedName>
    <definedName name="IQ_FFO_LOW_EST_THOM" hidden="1">"c4002"</definedName>
    <definedName name="IQ_FFO_LOW_GUIDANCE" hidden="1">"c4224"</definedName>
    <definedName name="IQ_FFO_MEDIAN_EST" hidden="1">"c1665"</definedName>
    <definedName name="IQ_FFO_MEDIAN_EST_REUT" hidden="1">"c3838"</definedName>
    <definedName name="IQ_FFO_MEDIAN_EST_THOM" hidden="1">"c4000"</definedName>
    <definedName name="IQ_FFO_NUM_EST" hidden="1">"c421"</definedName>
    <definedName name="IQ_FFO_NUM_EST_REUT" hidden="1">"c3841"</definedName>
    <definedName name="IQ_FFO_NUM_EST_THOM" hidden="1">"c4003"</definedName>
    <definedName name="IQ_FFO_PAYOUT_RATIO" hidden="1">"c3492"</definedName>
    <definedName name="IQ_FFO_PER_SHARE_BASIC" hidden="1">"c8867"</definedName>
    <definedName name="IQ_FFO_PER_SHARE_DILUTED" hidden="1">"c8868"</definedName>
    <definedName name="IQ_FFO_SHARE_ACT_OR_EST" hidden="1">"c4446"</definedName>
    <definedName name="IQ_FFO_SHARE_ACT_OR_EST_CIQ" hidden="1">"c4971"</definedName>
    <definedName name="IQ_FFO_SHARE_EST" hidden="1">"c4445"</definedName>
    <definedName name="IQ_FFO_SHARE_GUIDANCE" hidden="1">"c4447"</definedName>
    <definedName name="IQ_FFO_SHARE_HIGH_EST" hidden="1">"c4448"</definedName>
    <definedName name="IQ_FFO_SHARE_HIGH_GUIDANCE" hidden="1">"c4203"</definedName>
    <definedName name="IQ_FFO_SHARE_LOW_EST" hidden="1">"c4449"</definedName>
    <definedName name="IQ_FFO_SHARE_LOW_GUIDANCE" hidden="1">"c4243"</definedName>
    <definedName name="IQ_FFO_SHARE_MEDIAN_EST" hidden="1">"c4450"</definedName>
    <definedName name="IQ_FFO_SHARE_NUM_EST" hidden="1">"c4451"</definedName>
    <definedName name="IQ_FFO_SHARE_SHARE_EST_DET_EST" hidden="1">"c12059"</definedName>
    <definedName name="IQ_FFO_SHARE_SHARE_EST_DET_EST_CURRENCY" hidden="1">"c12466"</definedName>
    <definedName name="IQ_FFO_SHARE_SHARE_EST_DET_EST_CURRENCY_REUT" hidden="1">"c12536"</definedName>
    <definedName name="IQ_FFO_SHARE_SHARE_EST_DET_EST_CURRENCY_THOM" hidden="1">"c12487"</definedName>
    <definedName name="IQ_FFO_SHARE_SHARE_EST_DET_EST_DATE" hidden="1">"c12212"</definedName>
    <definedName name="IQ_FFO_SHARE_SHARE_EST_DET_EST_DATE_REUT" hidden="1">"c12295"</definedName>
    <definedName name="IQ_FFO_SHARE_SHARE_EST_DET_EST_DATE_THOM" hidden="1">"c12238"</definedName>
    <definedName name="IQ_FFO_SHARE_SHARE_EST_DET_EST_INCL" hidden="1">"c12349"</definedName>
    <definedName name="IQ_FFO_SHARE_SHARE_EST_DET_EST_INCL_REUT" hidden="1">"c12419"</definedName>
    <definedName name="IQ_FFO_SHARE_SHARE_EST_DET_EST_INCL_THOM" hidden="1">"c12370"</definedName>
    <definedName name="IQ_FFO_SHARE_SHARE_EST_DET_EST_ORIGIN" hidden="1">"c12722"</definedName>
    <definedName name="IQ_FFO_SHARE_SHARE_EST_DET_EST_ORIGIN_REUT" hidden="1">"c12724"</definedName>
    <definedName name="IQ_FFO_SHARE_SHARE_EST_DET_EST_ORIGIN_THOM" hidden="1">"c12608"</definedName>
    <definedName name="IQ_FFO_SHARE_SHARE_EST_DET_EST_REUT" hidden="1">"c12153"</definedName>
    <definedName name="IQ_FFO_SHARE_SHARE_EST_DET_EST_THOM" hidden="1">"c12088"</definedName>
    <definedName name="IQ_FFO_SHARE_SHARE_EST_REUT" hidden="1">"c3837"</definedName>
    <definedName name="IQ_FFO_SHARE_SHARE_EST_THOM" hidden="1">"c3999"</definedName>
    <definedName name="IQ_FFO_SHARE_SHARE_HIGH_EST_REUT" hidden="1">"c3839"</definedName>
    <definedName name="IQ_FFO_SHARE_SHARE_HIGH_EST_THOM" hidden="1">"c4001"</definedName>
    <definedName name="IQ_FFO_SHARE_SHARE_LOW_EST_REUT" hidden="1">"c3840"</definedName>
    <definedName name="IQ_FFO_SHARE_SHARE_LOW_EST_THOM" hidden="1">"c4002"</definedName>
    <definedName name="IQ_FFO_SHARE_SHARE_MEDIAN_EST_REUT" hidden="1">"c3838"</definedName>
    <definedName name="IQ_FFO_SHARE_SHARE_MEDIAN_EST_THOM" hidden="1">"c4000"</definedName>
    <definedName name="IQ_FFO_SHARE_SHARE_NUM_EST_REUT" hidden="1">"c3841"</definedName>
    <definedName name="IQ_FFO_SHARE_SHARE_NUM_EST_THOM" hidden="1">"c4003"</definedName>
    <definedName name="IQ_FFO_SHARE_SHARE_STDDEV_EST_REUT" hidden="1">"c3842"</definedName>
    <definedName name="IQ_FFO_SHARE_SHARE_STDDEV_EST_THOM" hidden="1">"c4004"</definedName>
    <definedName name="IQ_FFO_SHARE_STDDEV_EST" hidden="1">"c4452"</definedName>
    <definedName name="IQ_FFO_STDDEV_EST" hidden="1">"c422"</definedName>
    <definedName name="IQ_FFO_STDDEV_EST_REUT" hidden="1">"c3842"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DUCIARY_INCOME_OPERATING_INC_FFIEC" hidden="1">"c13383"</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_DIV_ST_INVEST" hidden="1">"c6288"</definedName>
    <definedName name="IQ_FINANCIAL_LOC_FOREIGN_GUARANTEES_FFIEC" hidden="1">"c13249"</definedName>
    <definedName name="IQ_FINANCIAL_SERVICING_ASSETS_FAIR_VALUE_TOT_FFIEC" hidden="1">"c13212"</definedName>
    <definedName name="IQ_FINANCIAL_SERVICING_ASSETS_LEVEL_1_FFIEC" hidden="1">"c13220"</definedName>
    <definedName name="IQ_FINANCIAL_SERVICING_ASSETS_LEVEL_2_FFIEC" hidden="1">"c13228"</definedName>
    <definedName name="IQ_FINANCIAL_SERVICING_ASSETS_LEVEL_3_FFIEC" hidden="1">"c13236"</definedName>
    <definedName name="IQ_FINANCIAL_SERVICING_LIAB_FAIR_VALUE_TOT_FFIEC" hidden="1">"c13215"</definedName>
    <definedName name="IQ_FINANCIAL_SERVICING_LIAB_LEVEL_1_FFIEC" hidden="1">"c13223"</definedName>
    <definedName name="IQ_FINANCIAL_SERVICING_LIAB_LEVEL_2_FFIEC" hidden="1">"c13231"</definedName>
    <definedName name="IQ_FINANCIAL_SERVICING_LIAB_LEVEL_3_FFIEC" hidden="1">"c13239"</definedName>
    <definedName name="IQ_FINANCING_CASH" hidden="1">"c1405"</definedName>
    <definedName name="IQ_FINANCING_CASH_SUPPL" hidden="1">"c1406"</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CIQ" hidden="1">"c6806"</definedName>
    <definedName name="IQ_FISCAL_Q_EST_REUT" hidden="1">"c6798"</definedName>
    <definedName name="IQ_FISCAL_Q_EST_THOM" hidden="1">"c6802"</definedName>
    <definedName name="IQ_FISCAL_Y" hidden="1">"c441"</definedName>
    <definedName name="IQ_FISCAL_Y_EST" hidden="1">"c6795"</definedName>
    <definedName name="IQ_FISCAL_Y_EST_CIQ" hidden="1">"c6807"</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COME_LIST" hidden="1">"c13504"</definedName>
    <definedName name="IQ_FIXED_INVEST_APR_FC_UNUSED" hidden="1">"c8410"</definedName>
    <definedName name="IQ_FIXED_INVEST_APR_UNUSED" hidden="1">"c7530"</definedName>
    <definedName name="IQ_FIXED_INVEST_FC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UNUSED" hidden="1">"c7090"</definedName>
    <definedName name="IQ_FIXED_INVEST_REAL_APR_FC_UNUSED" hidden="1">"c8518"</definedName>
    <definedName name="IQ_FIXED_INVEST_REAL_APR_UNUSED" hidden="1">"c7638"</definedName>
    <definedName name="IQ_FIXED_INVEST_REAL_FC_UNUSED" hidden="1">"c7858"</definedName>
    <definedName name="IQ_FIXED_INVEST_REAL_POP_FC_UNUSED" hidden="1">"c8078"</definedName>
    <definedName name="IQ_FIXED_INVEST_REAL_POP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DUE_30_89_FFIEC" hidden="1">"c13269"</definedName>
    <definedName name="IQ_FOREIGN_BANKS_DUE_90_FFIEC" hidden="1">"c13295"</definedName>
    <definedName name="IQ_FOREIGN_BANKS_LOAN_CHARG_OFFS_FDIC" hidden="1">"c6645"</definedName>
    <definedName name="IQ_FOREIGN_BANKS_NET_CHARGE_OFFS_FDIC" hidden="1">"c6647"</definedName>
    <definedName name="IQ_FOREIGN_BANKS_NON_ACCRUAL_FFIEC" hidden="1">"c13321"</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ASSETS_TOT_FFIEC" hidden="1">"c13445"</definedName>
    <definedName name="IQ_FOREIGN_DEPOSITS_NONTRANSACTION_ACCOUNTS_FDIC" hidden="1">"c6549"</definedName>
    <definedName name="IQ_FOREIGN_DEPOSITS_TOT_FFIEC" hidden="1">"c13486"</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L_REC_FFIEC" hidden="1">"c12892"</definedName>
    <definedName name="IQ_FOREIGN_LOANS" hidden="1">"c448"</definedName>
    <definedName name="IQ_FOREIGN_LOANS_LEASES_FOREIGN_FFIEC" hidden="1">"c13478"</definedName>
    <definedName name="IQ_FQ" hidden="1">500</definedName>
    <definedName name="IQ_FUEL" hidden="1">"c449"</definedName>
    <definedName name="IQ_FULL_TIME" hidden="1">"c450"</definedName>
    <definedName name="IQ_FULLY_INSURED_DEPOSITS_FDIC" hidden="1">"c6487"</definedName>
    <definedName name="IQ_FUND_FEE_INC_NON_INT_INC_FFIEC" hidden="1">"c13493"</definedName>
    <definedName name="IQ_FUNDING_DEPENDENCE_FFIEC" hidden="1">"c13336"</definedName>
    <definedName name="IQ_FUNDING_DEPENDENCE_ST_FFIEC" hidden="1">"c13337"</definedName>
    <definedName name="IQ_FUNDS_PURCHASED_ASSETS_TOT_FFIEC" hidden="1">"c13446"</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FFIEC" hidden="1">"c13125"</definedName>
    <definedName name="IQ_FX_CONTRACTS_SPOT_FDIC" hidden="1">"c6356"</definedName>
    <definedName name="IQ_FX_EXPOSURE_FFIEC" hidden="1">"c13059"</definedName>
    <definedName name="IQ_FY" hidden="1">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CREDIT_DERIVATIVES_FFIEC" hidden="1">"c13066"</definedName>
    <definedName name="IQ_GAIN_CREDIT_DERIVATIVES_NON_TRADING_FFIEC" hidden="1">"c13067"</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AFS_AVG_ASSETS_FFIEC" hidden="1">"c13364"</definedName>
    <definedName name="IQ_GAINS_ASSETS_TOT_FFIEC" hidden="1">"c13073"</definedName>
    <definedName name="IQ_GAINS_AVAIL_SALE_EQUITY_SEC_T2_FFIEC" hidden="1">"c13147"</definedName>
    <definedName name="IQ_GAINS_AVAIL_SALE_SEC_T1_FFIEC" hidden="1">"c13131"</definedName>
    <definedName name="IQ_GAINS_CASH_FLOW_HEDGES_T1_FFIEC" hidden="1">"c13133"</definedName>
    <definedName name="IQ_GAINS_HTM_AVG_ASSETS_FFIEC" hidden="1">"c13363"</definedName>
    <definedName name="IQ_GAINS_INSTRUMENT_SPECIFIC_CREDIT_RISK_LIAB_FFIEC" hidden="1">"c13076"</definedName>
    <definedName name="IQ_GAINS_INSTRUMENT_SPECIFIC_RISK_FFIEC" hidden="1">"c13074"</definedName>
    <definedName name="IQ_GAINS_INSURANCE_ACTIVITIES_FFIEC" hidden="1">"c13072"</definedName>
    <definedName name="IQ_GAINS_LIABILITIES_FFIEC" hidden="1">"c13075"</definedName>
    <definedName name="IQ_GAINS_SALE_ASSETS_FDIC" hidden="1">"c6675"</definedName>
    <definedName name="IQ_GAINS_SALE_LOANS_LEASES_FFIEC" hidden="1">"c13013"</definedName>
    <definedName name="IQ_GAINS_SALE_OTHER_ASSETS_FFIEC" hidden="1">"c13015"</definedName>
    <definedName name="IQ_GAINS_SALE_OTHER_RE_OWNED_FFIEC" hidden="1">"c13014"</definedName>
    <definedName name="IQ_GAINS_SECURITIZATION_OPERATING_INC_FFIEC" hidden="1">"c13391"</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FFIEC" hidden="1">"c12836"</definedName>
    <definedName name="IQ_GOODWILL_IMPAIRMENT_FDIC" hidden="1">"c6678"</definedName>
    <definedName name="IQ_GOODWILL_IMPAIRMENT_FFIEC" hidden="1">"c13025"</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LOSSES_AVG_LOANS_FFIEC" hidden="1">"c13475"</definedName>
    <definedName name="IQ_GROSS_MARGIN" hidden="1">"c529"</definedName>
    <definedName name="IQ_GROSS_MARGIN_ACT_OR_EST" hidden="1">"c5554"</definedName>
    <definedName name="IQ_GROSS_MARGIN_ACT_OR_EST_THOM" hidden="1">"c5562"</definedName>
    <definedName name="IQ_GROSS_MARGIN_DET_EST_DATE_THOM" hidden="1">"c12239"</definedName>
    <definedName name="IQ_GROSS_MARGIN_DET_EST_INCL_THOM" hidden="1">"c12371"</definedName>
    <definedName name="IQ_GROSS_MARGIN_DET_EST_ORIGIN_THOM" hidden="1">"c12609"</definedName>
    <definedName name="IQ_GROSS_MARGIN_DET_EST_THOM" hidden="1">"c12089"</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EXP_CASINO" hidden="1">"c8733"</definedName>
    <definedName name="IQ_HG_EXP_DEVELOPMENT" hidden="1">"c8738"</definedName>
    <definedName name="IQ_HG_EXP_ENTERTAINMENT" hidden="1">"c8736"</definedName>
    <definedName name="IQ_HG_EXP_FOOD_BEV" hidden="1">"c8734"</definedName>
    <definedName name="IQ_HG_EXP_FRANCHISE_MANAGEMENT" hidden="1">"c8744"</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INCENTIVE_MANAGEMENT_FEES" hidden="1">"c8727"</definedName>
    <definedName name="IQ_HG_REV_MANAGEMENT_FEES" hidden="1">"c8718"</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PROM_COSTS" hidden="1">"c8745"</definedName>
    <definedName name="IQ_HG_ROOMS_BEG" hidden="1">"c8600"</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"c8643"</definedName>
    <definedName name="IQ_HG_TABLE_GAMES_MANAGED" hidden="1">"c8644"</definedName>
    <definedName name="IQ_HG_TABLE_GAMES_OWNED" hidden="1">"c8642"</definedName>
    <definedName name="IQ_HG_TABLE_GAM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LOW_CLOSEPRICE_DATE" hidden="1">"c1204"</definedName>
    <definedName name="IQ_HIGH_TARGET_PRICE" hidden="1">"c1651"</definedName>
    <definedName name="IQ_HIGH_TARGET_PRICE_CIQ" hidden="1">"c4659"</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UNUSED" hidden="1">"c7542"</definedName>
    <definedName name="IQ_HOUSING_COMPLETIONS_SINGLE_FAM_FC_UNUSED" hidden="1">"c7762"</definedName>
    <definedName name="IQ_HOUSING_COMPLETIONS_SINGLE_FAM_POP_FC_UNUSED" hidden="1">"c7982"</definedName>
    <definedName name="IQ_HOUSING_COMPLETIONS_SINGLE_FAM_POP_UNUSED" hidden="1">"c7102"</definedName>
    <definedName name="IQ_HOUSING_COMPLETIONS_SINGLE_FAM_UNUSED" hidden="1">"c6882"</definedName>
    <definedName name="IQ_HOUSING_COMPLETIONS_SINGLE_FAM_YOY_FC_UNUSED" hidden="1">"c8202"</definedName>
    <definedName name="IQ_HOUSING_COMPLETIONS_SINGLE_FAM_YOY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HTM_INVEST_SECURITIES_FFIEC" hidden="1">"c13455"</definedName>
    <definedName name="IQ_HTM_SECURITIES_TIER_1_FFIEC" hidden="1">"c13342"</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IR_OIL" hidden="1">"c547"</definedName>
    <definedName name="IQ_IMPAIRMENT_GW" hidden="1">"c548"</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UNUSED" hidden="1">"c7643"</definedName>
    <definedName name="IQ_IMPORTS_GOODS_REAL_SAAR_FC_UNUSED" hidden="1">"c7863"</definedName>
    <definedName name="IQ_IMPORTS_GOODS_REAL_SAAR_POP_FC_UNUSED" hidden="1">"c8083"</definedName>
    <definedName name="IQ_IMPORTS_GOODS_REAL_SAAR_POP_UNUSED" hidden="1">"c7203"</definedName>
    <definedName name="IQ_IMPORTS_GOODS_REAL_SAAR_UNUSED" hidden="1">"c6983"</definedName>
    <definedName name="IQ_IMPORTS_GOODS_REAL_SAAR_YOY_FC_UNUSED" hidden="1">"c8303"</definedName>
    <definedName name="IQ_IMPORTS_GOODS_REAL_SAAR_YOY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UNUSED" hidden="1">"c7549"</definedName>
    <definedName name="IQ_IMPORTS_GOODS_SERVICES_FC_UNUSED" hidden="1">"c7769"</definedName>
    <definedName name="IQ_IMPORTS_GOODS_SERVICES_POP_FC_UNUSED" hidden="1">"c7989"</definedName>
    <definedName name="IQ_IMPORTS_GOODS_SERVICES_POP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UNUSED" hidden="1">"c7644"</definedName>
    <definedName name="IQ_IMPORTS_GOODS_SERVICES_REAL_SAAR_FC_UNUSED" hidden="1">"c7864"</definedName>
    <definedName name="IQ_IMPORTS_GOODS_SERVICES_REAL_SAAR_POP" hidden="1">"c11959"</definedName>
    <definedName name="IQ_IMPORTS_GOODS_SERVICES_REAL_SAAR_POP_FC_UNUSED" hidden="1">"c8084"</definedName>
    <definedName name="IQ_IMPORTS_GOODS_SERVICES_REAL_SAAR_POP_UNUSED" hidden="1">"c7204"</definedName>
    <definedName name="IQ_IMPORTS_GOODS_SERVICES_REAL_SAAR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DOM_LOANS_FFIEC" hidden="1">"c12975"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CHECKS_FFIEC" hidden="1">"c13040"</definedName>
    <definedName name="IQ_INCOME_EARNED_FDIC" hidden="1">"c6359"</definedName>
    <definedName name="IQ_INCOME_FIDUCIARY_ACTIVITIES_FFIEC" hidden="1">"c13002"</definedName>
    <definedName name="IQ_INCOME_LEASE_FINANCING_REC_FFIEC" hidden="1">"c12980"</definedName>
    <definedName name="IQ_INCOME_LOANS_LEASES_TAX_EXEMPT_FFIEC" hidden="1">"c13038"</definedName>
    <definedName name="IQ_INCOME_OTHER_INSURANCE_ACTIVITIES_FFIEC" hidden="1">"c13009"</definedName>
    <definedName name="IQ_INCOME_SALE_MUTUAL_FUNDS_DOM_FFIEC" hidden="1">"c13069"</definedName>
    <definedName name="IQ_INCOME_SECURITIES_TAX_EXEMPT_FFIEC" hidden="1">"c13039"</definedName>
    <definedName name="IQ_INCOME_TAXES_FDIC" hidden="1">"c6582"</definedName>
    <definedName name="IQ_INCOME_TAXES_FFIEC" hidden="1">"c13030"</definedName>
    <definedName name="IQ_INCREASE_INT_INCOME_FFIEC" hidden="1">"c13063"</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S_CHARGE_OFFS_FDIC" hidden="1">"c6599"</definedName>
    <definedName name="IQ_INDIVIDUALS_GROSS_LOANS_FFIEC" hidden="1">"c13411"</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IVIDUALS_RISK_BASED_FFIEC" hidden="1">"c13432"</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REINSURANCE_UNDERWRITING_INCOME_FFIEC" hidden="1">"c13008"</definedName>
    <definedName name="IQ_INSURANCE_REV_OPERATING_INC_FFIEC" hidden="1">"c13387"</definedName>
    <definedName name="IQ_INSURANCE_UNDERWRITING_INCOME_FDIC" hidden="1">"c6671"</definedName>
    <definedName name="IQ_INT_BEARING_DEPOSITS" hidden="1">"c1166"</definedName>
    <definedName name="IQ_INT_BEARING_FUNDS_AVG_ASSETS_FFIEC" hidden="1">"c13355"</definedName>
    <definedName name="IQ_INT_BEARING_LIABILITIES_REPRICE_ASSETS_TOT_FFIEC" hidden="1">"c13452"</definedName>
    <definedName name="IQ_INT_BORROW" hidden="1">"c583"</definedName>
    <definedName name="IQ_INT_DEMAND_NOTES_FDIC" hidden="1">"c6567"</definedName>
    <definedName name="IQ_INT_DEPOSITS" hidden="1">"c584"</definedName>
    <definedName name="IQ_INT_DEPOSITS_DOM_FFIEC" hidden="1">"c12852"</definedName>
    <definedName name="IQ_INT_DEPOSITS_DOM_QUARTERLY_AVG_FFIEC" hidden="1">"c13088"</definedName>
    <definedName name="IQ_INT_DEPOSITS_FOREIGN_FFIEC" hidden="1">"c12855"</definedName>
    <definedName name="IQ_INT_DEPOSITS_FOREIGN_QUARTERLY_AVG_FFIEC" hidden="1">"c13089"</definedName>
    <definedName name="IQ_INT_DIV_INC" hidden="1">"c585"</definedName>
    <definedName name="IQ_INT_DIV_INC_MBS_FFIEC" hidden="1">"c12984"</definedName>
    <definedName name="IQ_INT_DIV_INC_SECURITIES_FFIEC" hidden="1">"c12982"</definedName>
    <definedName name="IQ_INT_DIV_INC_SECURITIES_OTHER_FFIEC" hidden="1">"c12985"</definedName>
    <definedName name="IQ_INT_DIV_INC_TREASURY_SECURITIES_FFIEC" hidden="1">"c12983"</definedName>
    <definedName name="IQ_INT_DOMESTIC_DEPOSITS_FDIC" hidden="1">"c6564"</definedName>
    <definedName name="IQ_INT_EXP_AVG_ASSETS_FFIEC" hidden="1">"c13357"</definedName>
    <definedName name="IQ_INT_EXP_BR" hidden="1">"c586"</definedName>
    <definedName name="IQ_INT_EXP_COVERAGE" hidden="1">"c587"</definedName>
    <definedName name="IQ_INT_EXP_EARNING_ASSETS_FFIEC" hidden="1">"c13376"</definedName>
    <definedName name="IQ_INT_EXP_FED_FUNDS_PURCHASED_FFIEC" hidden="1">"c12996"</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FED_FUNDS_FDIC" hidden="1">"c6566"</definedName>
    <definedName name="IQ_INT_FEE_INC_LOANS_1_4_DOM_FFIEC" hidden="1">"c12976"</definedName>
    <definedName name="IQ_INT_FEE_INC_LOANS_DOM_FFIEC" hidden="1">"c13335"</definedName>
    <definedName name="IQ_INT_FEE_INC_LOANS_FOREIGN_FFIEC" hidden="1">"c12979"</definedName>
    <definedName name="IQ_INT_FEE_INC_LOANS_OTHER_DOM_FFIEC" hidden="1">"c12978"</definedName>
    <definedName name="IQ_INT_FEE_INC_SECURED_RE_DOM_FFIEC" hidden="1">"c12977"</definedName>
    <definedName name="IQ_INT_FEE_INCOME_FFIEC" hidden="1">"c12974"</definedName>
    <definedName name="IQ_INT_FOREIGN_DEPOSITS_FDIC" hidden="1">"c6565"</definedName>
    <definedName name="IQ_INT_INC_AVG_ASSETS_FFIEC" hidden="1">"c13356"</definedName>
    <definedName name="IQ_INT_INC_BR" hidden="1">"c593"</definedName>
    <definedName name="IQ_INT_INC_DEPOSITORY_INST_FDIC" hidden="1">"c6558"</definedName>
    <definedName name="IQ_INT_INC_DOM_LOANS_FDIC" hidden="1">"c6555"</definedName>
    <definedName name="IQ_INT_INC_DUE_DEPOSITORY_INSTITUTIONS_FFIEC" hidden="1">"c12981"</definedName>
    <definedName name="IQ_INT_INC_EARNING_ASSETS_FFIEC" hidden="1">"c13375"</definedName>
    <definedName name="IQ_INT_INC_FED_FUNDS_FDIC" hidden="1">"c6561"</definedName>
    <definedName name="IQ_INT_INC_FED_FUNDS_SOLD_FFIEC" hidden="1">"c12987"</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E_AVG_ASSETS_FFIEC" hidden="1">"c13358"</definedName>
    <definedName name="IQ_INT_INC_TE_EARNING_ASSETS_FFIEC" hidden="1">"c13377"</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TRADING_ASSETS_FFIEC" hidden="1">"c12986"</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ON_DEPOSITS_DOM_FFIEC" hidden="1">"c12991"</definedName>
    <definedName name="IQ_INT_ON_DEPOSITS_FFIEC" hidden="1">"c12990"</definedName>
    <definedName name="IQ_INT_ON_DEPOSITS_FOREIGN_FFIEC" hidden="1">"c12995"</definedName>
    <definedName name="IQ_INT_RATE_EXPOSURE_FFIEC" hidden="1">"c13058"</definedName>
    <definedName name="IQ_INT_RATE_SPREAD" hidden="1">"c604"</definedName>
    <definedName name="IQ_INT_SUB_NOTES_FDIC" hidden="1">"c6568"</definedName>
    <definedName name="IQ_INT_SUB_NOTES_FFIEC" hidden="1">"c12998"</definedName>
    <definedName name="IQ_INT_TIME_DEPOSITS_LESS_THAN_100K_DOM_FFIEC" hidden="1">"c12993"</definedName>
    <definedName name="IQ_INT_TIME_DEPOSITS_MORE_THAN_100K_DOM_FFIEC" hidden="1">"c12992"</definedName>
    <definedName name="IQ_INT_TRADING_LIABILITIES_FFIEC" hidden="1">"c12997"</definedName>
    <definedName name="IQ_INTANGIBLES_NET" hidden="1">"c1407"</definedName>
    <definedName name="IQ_INTEREST_BEARING_BALANCES_FDIC" hidden="1">"c6371"</definedName>
    <definedName name="IQ_INTEREST_BEARING_CASH_FOREIGN_FFIEC" hidden="1">"c12776"</definedName>
    <definedName name="IQ_INTEREST_BEARING_CASH_US_FFIEC" hidden="1">"c12775"</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IES_ASSETS_TOT_FFIEC" hidden="1">"c13440"</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_UNCONSOLIDATED_SUBS_FFIEC" hidden="1">"c12834"</definedName>
    <definedName name="IQ_INVESTMENT_BANKING_BROKERAGE_FEES_FFIEC" hidden="1">"c13627"</definedName>
    <definedName name="IQ_INVESTMENT_BANKING_FEES_COMMISSIONS_FFIEC" hidden="1">"c13006"</definedName>
    <definedName name="IQ_INVESTMENT_BANKING_OTHER_FEES_FDIC" hidden="1">"c6666"</definedName>
    <definedName name="IQ_IPRD" hidden="1">"c644"</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UNUSED" hidden="1">"c7563"</definedName>
    <definedName name="IQ_ISM_SERVICES_FC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UNUSED" hidden="1">"c7123"</definedName>
    <definedName name="IQ_ISM_SERVICES_UNUSED" hidden="1">"c6903"</definedName>
    <definedName name="IQ_ISM_SERVICES_YOY_FC_UNUSED" hidden="1">"c8223"</definedName>
    <definedName name="IQ_ISM_SERVICES_YOY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_MONTHLY_FACTOR" hidden="1">"c8971"</definedName>
    <definedName name="IQ_LATEST_MONTHLY_FACTOR_DATE" hidden="1">"c8972"</definedName>
    <definedName name="IQ_LATESTK" hidden="1">1000</definedName>
    <definedName name="IQ_LATESTQ" hidden="1">500</definedName>
    <definedName name="IQ_LEAD_UNDERWRITER" hidden="1">"c8957"</definedName>
    <definedName name="IQ_LEASE_FIN_RECEIVABLES_NON_US_CHARGE_OFFS_FFIEC" hidden="1">"c13631"</definedName>
    <definedName name="IQ_LEASE_FIN_RECEIVABLES_NON_US_RECOV_FFIEC" hidden="1">"c13635"</definedName>
    <definedName name="IQ_LEASE_FIN_RECEIVABLES_US_CHARGE_OFFS_FFIEC" hidden="1">"c13630"</definedName>
    <definedName name="IQ_LEASE_FIN_RECEIVABLES_US_RECOV_FFIEC" hidden="1">"c13634"</definedName>
    <definedName name="IQ_LEASE_FINANCING_REC_DUE_30_89_FFIEC" hidden="1">"c13276"</definedName>
    <definedName name="IQ_LEASE_FINANCING_REC_DUE_90_FFIEC" hidden="1">"c13302"</definedName>
    <definedName name="IQ_LEASE_FINANCING_REC_NON_ACCRUAL_FFIEC" hidden="1">"c13328"</definedName>
    <definedName name="IQ_LEASE_FINANCING_RECEIVABLES_CHARGE_OFFS_FDIC" hidden="1">"c6602"</definedName>
    <definedName name="IQ_LEASE_FINANCING_RECEIVABLES_DOM_FFIEC" hidden="1">"c12915"</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ASE_RECEIVABLES_FOREIGN_FFIEC" hidden="1">"c13483"</definedName>
    <definedName name="IQ_LEASES_INDIVIDUALS_CHARGE_OFFS_FFIEC" hidden="1">"c13184"</definedName>
    <definedName name="IQ_LEASES_INDIVIDUALS_RECOV_FFIEC" hidden="1">"c13206"</definedName>
    <definedName name="IQ_LEASES_PERSONAL_EXP_DUE_30_89_FFIEC" hidden="1">"c13277"</definedName>
    <definedName name="IQ_LEASES_PERSONAL_EXP_DUE_90_FFIEC" hidden="1">"c13303"</definedName>
    <definedName name="IQ_LEASES_PERSONAL_EXP_NON_ACCRUAL_FFIEC" hidden="1">"c13329"</definedName>
    <definedName name="IQ_LEGAL_FEES_FFIEC" hidden="1">"c13052"</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ABILITY_ACCEPTANCES_OUT_FFIEC" hidden="1">"c12866"</definedName>
    <definedName name="IQ_LIABILITY_SHORT_POSITIONS_DOM_FFIEC" hidden="1">"c12941"</definedName>
    <definedName name="IQ_LICENSED_POPS" hidden="1">"c2123"</definedName>
    <definedName name="IQ_LIFE_EARNED" hidden="1">"c2739"</definedName>
    <definedName name="IQ_LIFE_INSURANCE_ASSETS_FDIC" hidden="1">"c6372"</definedName>
    <definedName name="IQ_LIFE_INSURANCE_ASSETS_FFIEC" hidden="1">"c12847"</definedName>
    <definedName name="IQ_LIFOR" hidden="1">"c655"</definedName>
    <definedName name="IQ_LIQUID_ASSETS_ASSETS_TOT_FFIEC" hidden="1">"c13439"</definedName>
    <definedName name="IQ_LIQUID_ASSETS_NONCORE_FUNDING_FFIEC" hidden="1">"c13339"</definedName>
    <definedName name="IQ_LL" hidden="1">"c656"</definedName>
    <definedName name="IQ_LOAN_ALLOW_GROSS_LOANS_FFIEC" hidden="1">"c13415"</definedName>
    <definedName name="IQ_LOAN_ALLOWANCE_GROSS_LOSSES_FFIEC" hidden="1">"c13352"</definedName>
    <definedName name="IQ_LOAN_ALLOWANCE_NET_LOANS_FFIEC" hidden="1">"c13472"</definedName>
    <definedName name="IQ_LOAN_ALLOWANCE_NONACCRUAL_ASSETS_FFIEC" hidden="1">"c13473"</definedName>
    <definedName name="IQ_LOAN_ALLOWANCE_PAST_DUE_NONACCRUAL_FFIEC" hidden="1">"c13474"</definedName>
    <definedName name="IQ_LOAN_COMMITMENTS_FAIR_VALUE_TOT_FFIEC" hidden="1">"c13216"</definedName>
    <definedName name="IQ_LOAN_COMMITMENTS_LEVEL_1_FFIEC" hidden="1">"c13224"</definedName>
    <definedName name="IQ_LOAN_COMMITMENTS_LEVEL_2_FFIEC" hidden="1">"c13232"</definedName>
    <definedName name="IQ_LOAN_COMMITMENTS_LEVEL_3_FFIEC" hidden="1">"c13240"</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AVERAGE_LOANS_FFIEC" hidden="1">"c13350"</definedName>
    <definedName name="IQ_LOAN_LOSSES_FDIC" hidden="1">"c6580"</definedName>
    <definedName name="IQ_LOAN_SERVICE_REV" hidden="1">"c658"</definedName>
    <definedName name="IQ_LOANS_AGRICULTURAL_PROD_LL_REC_FFIEC" hidden="1">"c12886"</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_US_LL_REC_FFIEC" hidden="1">"c12884"</definedName>
    <definedName name="IQ_LOANS_DEPOSITORY_INSTITUTIONS_FDIC" hidden="1">"c6382"</definedName>
    <definedName name="IQ_LOANS_DOM_QUARTERLY_AVG_FFIEC" hidden="1">"c13084"</definedName>
    <definedName name="IQ_LOANS_FARMERS_CHARGE_OFFS_FFIEC" hidden="1">"c13177"</definedName>
    <definedName name="IQ_LOANS_FARMERS_RECOV_FFIEC" hidden="1">"c13199"</definedName>
    <definedName name="IQ_LOANS_FINANCE_AGRICULTURAL_DUE_30_89_FFIEC" hidden="1">"c13270"</definedName>
    <definedName name="IQ_LOANS_FINANCE_AGRICULTURAL_DUE_90_FFIEC" hidden="1">"c13296"</definedName>
    <definedName name="IQ_LOANS_FINANCE_AGRICULTURAL_NON_ACCRUAL_FFIEC" hidden="1">"c13322"</definedName>
    <definedName name="IQ_LOANS_FINANCE_AGRICULTURAL_PROD_LL_REC_DOM_FFIEC" hidden="1">"c12909"</definedName>
    <definedName name="IQ_LOANS_FOR_SALE" hidden="1">"c666"</definedName>
    <definedName name="IQ_LOANS_FOREIGN_GOV_CHARGE_OFFS_FFIEC" hidden="1">"c13182"</definedName>
    <definedName name="IQ_LOANS_FOREIGN_GOV_DUE_30_89_FFIEC" hidden="1">"c13274"</definedName>
    <definedName name="IQ_LOANS_FOREIGN_GOV_DUE_90_FFIEC" hidden="1">"c13300"</definedName>
    <definedName name="IQ_LOANS_FOREIGN_GOV_LL_REC_DOM_FFIEC" hidden="1">"c12912"</definedName>
    <definedName name="IQ_LOANS_FOREIGN_GOV_NON_ACCRUAL_FFIEC" hidden="1">"c13326"</definedName>
    <definedName name="IQ_LOANS_FOREIGN_GOV_RECOV_FFIEC" hidden="1">"c13204"</definedName>
    <definedName name="IQ_LOANS_FOREIGN_INST_CHARGE_OFFS_FFIEC" hidden="1">"c13176"</definedName>
    <definedName name="IQ_LOANS_FOREIGN_INST_RECOV_FFIEC" hidden="1">"c13198"</definedName>
    <definedName name="IQ_LOANS_FOREIGN_LL_REC_FFIEC" hidden="1">"c12885"</definedName>
    <definedName name="IQ_LOANS_GOV_GUARANTEED_DUE_30_89_FFIEC" hidden="1">"c13281"</definedName>
    <definedName name="IQ_LOANS_GOV_GUARANTEED_DUE_90_FFIEC" hidden="1">"c13307"</definedName>
    <definedName name="IQ_LOANS_GOV_GUARANTEED_EXCL_GNMA_DUE_30_89_FFIEC" hidden="1">"c13282"</definedName>
    <definedName name="IQ_LOANS_GOV_GUARANTEED_EXCL_GNMA_DUE_90_FFIEC" hidden="1">"c13308"</definedName>
    <definedName name="IQ_LOANS_GOV_GUARANTEED_EXCL_GNMA_NON_ACCRUAL_FFIEC" hidden="1">"c13333"</definedName>
    <definedName name="IQ_LOANS_GOV_GUARANTEED_NON_ACCRUAL_FFIEC" hidden="1">"c13332"</definedName>
    <definedName name="IQ_LOANS_HELD_FOREIGN_FDIC" hidden="1">"c6315"</definedName>
    <definedName name="IQ_LOANS_INDIVIDUALS_FOREIGN_FFIEC" hidden="1">"c13480"</definedName>
    <definedName name="IQ_LOANS_LEASES_ASSETS_TOT_FFIEC" hidden="1">"c13437"</definedName>
    <definedName name="IQ_LOANS_LEASES_FAIR_VALUE_TOT_FFIEC" hidden="1">"c13209"</definedName>
    <definedName name="IQ_LOANS_LEASES_FOREIGN_FDIC" hidden="1">"c6383"</definedName>
    <definedName name="IQ_LOANS_LEASES_GROSS_FDIC" hidden="1">"c6323"</definedName>
    <definedName name="IQ_LOANS_LEASES_GROSS_FOREIGN_FDIC" hidden="1">"c6384"</definedName>
    <definedName name="IQ_LOANS_LEASES_HELD_SALE_FFIEC" hidden="1">"c12808"</definedName>
    <definedName name="IQ_LOANS_LEASES_LEVEL_1_FFIEC" hidden="1">"c13217"</definedName>
    <definedName name="IQ_LOANS_LEASES_LEVEL_2_FFIEC" hidden="1">"c13225"</definedName>
    <definedName name="IQ_LOANS_LEASES_LEVEL_3_FFIEC" hidden="1">"c13233"</definedName>
    <definedName name="IQ_LOANS_LEASES_NET_FDIC" hidden="1">"c6327"</definedName>
    <definedName name="IQ_LOANS_LEASES_NET_UNEARNED_FDIC" hidden="1">"c6325"</definedName>
    <definedName name="IQ_LOANS_LEASES_NET_UNEARNED_INC_ALLOWANCE_FFIEC" hidden="1">"c12811"</definedName>
    <definedName name="IQ_LOANS_LEASES_NET_UNEARNED_INCOME_FFIEC" hidden="1">"c12809"</definedName>
    <definedName name="IQ_LOANS_LEASES_QUARTERLY_AVG_FFIEC" hidden="1">"c13081"</definedName>
    <definedName name="IQ_LOANS_LOC_ASSETS_TOT_FFIEC" hidden="1">"c13441"</definedName>
    <definedName name="IQ_LOANS_NOT_SECURED_RE_FDIC" hidden="1">"c6381"</definedName>
    <definedName name="IQ_LOANS_PAST_DUE" hidden="1">"c667"</definedName>
    <definedName name="IQ_LOANS_PURCHASING_CARRYING_SECURITIES_LL_REC_DOM_FFIEC" hidden="1">"c12913"</definedName>
    <definedName name="IQ_LOANS_RECEIV_CURRENT" hidden="1">"c668"</definedName>
    <definedName name="IQ_LOANS_RECEIV_LT" hidden="1">"c669"</definedName>
    <definedName name="IQ_LOANS_RECEIV_LT_UTI" hidden="1">"c670"</definedName>
    <definedName name="IQ_LOANS_SEC_RE_FOREIGN_CHARGE_OFFS_FFIEC" hidden="1">"c13174"</definedName>
    <definedName name="IQ_LOANS_SEC_RE_FOREIGN_RECOV_FFIEC" hidden="1">"c13196"</definedName>
    <definedName name="IQ_LOANS_SECURED_1_4_DOM_QUARTERLY_AVG_FFIEC" hidden="1">"c13082"</definedName>
    <definedName name="IQ_LOANS_SECURED_BY_RE_CHARGE_OFFS_FDIC" hidden="1">"c6588"</definedName>
    <definedName name="IQ_LOANS_SECURED_BY_RE_RECOVERIES_FDIC" hidden="1">"c6607"</definedName>
    <definedName name="IQ_LOANS_SECURED_CONSTRUCTION_TRADING_DOM_FFIEC" hidden="1">"c12925"</definedName>
    <definedName name="IQ_LOANS_SECURED_FARMLAND_TRADING_DOM_FFIEC" hidden="1">"c12926"</definedName>
    <definedName name="IQ_LOANS_SECURED_NON_US_FDIC" hidden="1">"c6380"</definedName>
    <definedName name="IQ_LOANS_SECURED_RE_DOM_QUARTERLY_AVG_FFIEC" hidden="1">"c13083"</definedName>
    <definedName name="IQ_LOANS_SECURED_RE_FFIEC" hidden="1">"c12820"</definedName>
    <definedName name="IQ_LOANS_SECURED_RE_LL_REC_FFIEC" hidden="1">"c12883"</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ANS_US_INST_CHARGE_OFFS_FFIEC" hidden="1">"c13175"</definedName>
    <definedName name="IQ_LOANS_US_INST_RECOV_FFIEC" hidden="1">"c13197"</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AVAIL_SALE_EQUITY_SEC_T1_FFIEC" hidden="1">"c13132"</definedName>
    <definedName name="IQ_LOSS_LOSS_EXP" hidden="1">"c672"</definedName>
    <definedName name="IQ_LOSS_TO_NET_EARNED" hidden="1">"c2751"</definedName>
    <definedName name="IQ_LOW_TARGET_PRICE" hidden="1">"c1652"</definedName>
    <definedName name="IQ_LOW_TARGET_PRICE_CIQ" hidden="1">"c4660"</definedName>
    <definedName name="IQ_LOW_TARGET_PRICE_REUT" hidden="1">"c5318"</definedName>
    <definedName name="IQ_LOW_TARGET_PRICE_THOM" hidden="1">"c5097"</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MATURING_1YR_INT_SENSITIVITY_FFIEC" hidden="1">"c13097"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REPRICE_ASSETS_TOT_FFIEC" hidden="1">"c13453"</definedName>
    <definedName name="IQ_LT_DEBT_REPRICING_WITHIN_1_YR_INT_SENSITIVITY_FFIEC" hidden="1">"c13095"</definedName>
    <definedName name="IQ_LT_DEBT_UTI" hidden="1">"c696"</definedName>
    <definedName name="IQ_LT_GROWTH_DET_EST" hidden="1">"c12060"</definedName>
    <definedName name="IQ_LT_GROWTH_DET_EST_DATE" hidden="1">"c12213"</definedName>
    <definedName name="IQ_LT_GROWTH_DET_EST_DATE_REUT" hidden="1">"c12296"</definedName>
    <definedName name="IQ_LT_GROWTH_DET_EST_DATE_THOM" hidden="1">"c12240"</definedName>
    <definedName name="IQ_LT_GROWTH_DET_EST_INCL" hidden="1">"c12350"</definedName>
    <definedName name="IQ_LT_GROWTH_DET_EST_INCL_REUT" hidden="1">"c12420"</definedName>
    <definedName name="IQ_LT_GROWTH_DET_EST_INCL_THOM" hidden="1">"c12372"</definedName>
    <definedName name="IQ_LT_GROWTH_DET_EST_ORIGIN" hidden="1">"c12725"</definedName>
    <definedName name="IQ_LT_GROWTH_DET_EST_ORIGIN_REUT" hidden="1">"c12728"</definedName>
    <definedName name="IQ_LT_GROWTH_DET_EST_ORIGIN_THOM" hidden="1">"c12610"</definedName>
    <definedName name="IQ_LT_GROWTH_DET_EST_REUT" hidden="1">"c12154"</definedName>
    <definedName name="IQ_LT_GROWTH_DET_EST_THOM" hidden="1">"c12090"</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 hidden="1">"c4458"</definedName>
    <definedName name="IQ_MAINT_CAPEX_ACT_OR_EST_CIQ" hidden="1">"c4987"</definedName>
    <definedName name="IQ_MAINT_CAPEX_EST" hidden="1">"c4457"</definedName>
    <definedName name="IQ_MAINT_CAPEX_GUIDANCE" hidden="1">"c4459"</definedName>
    <definedName name="IQ_MAINT_CAPEX_HIGH_EST" hidden="1">"c4460"</definedName>
    <definedName name="IQ_MAINT_CAPEX_HIGH_GUIDANCE" hidden="1">"c4197"</definedName>
    <definedName name="IQ_MAINT_CAPEX_LOW_EST" hidden="1">"c4461"</definedName>
    <definedName name="IQ_MAINT_CAPEX_LOW_GUIDANCE" hidden="1">"c4237"</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BS_INVEST_SECURITIES_FFIEC" hidden="1">"c13460"</definedName>
    <definedName name="IQ_MBS_OTHER_ISSUED_FNMA_OTHERS_AVAIL_SALE_FFIEC" hidden="1">"c12799"</definedName>
    <definedName name="IQ_MBS_OTHER_ISSUED_FNMA_OTHERS_FFIEC" hidden="1">"c12785"</definedName>
    <definedName name="IQ_MBS_PASS_THROUGH_FNMA_AVAIL_SALE_FFIEC" hidden="1">"c12797"</definedName>
    <definedName name="IQ_MBS_PASS_THROUGH_FNMA_FFIEC" hidden="1">"c12783"</definedName>
    <definedName name="IQ_MBS_PASS_THROUGH_GNMA_AVAIL_SALE_FFIEC" hidden="1">"c12796"</definedName>
    <definedName name="IQ_MBS_PASS_THROUGH_GNMA_FFIEC" hidden="1">"c12782"</definedName>
    <definedName name="IQ_MBS_PASS_THROUGH_ISSUED_FNMA_GNMA_TRADING_DOM_FFIEC" hidden="1">"c12921"</definedName>
    <definedName name="IQ_MBS_PASS_THROUGH_OTHER_AVAIL_SALE_FFIEC" hidden="1">"c12798"</definedName>
    <definedName name="IQ_MBS_PASS_THROUGH_OTHER_FFIEC" hidden="1">"c12784"</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DAYS_CLAIMS_PAYABLE" hidden="1">"c9937"</definedName>
    <definedName name="IQ_MC_DAYS_CLAIMS_PAYABLE_EXCL_CAPITATION" hidden="1">"c9938"</definedName>
    <definedName name="IQ_MC_MEDICAL_COSTS_PMPM" hidden="1">"c9925"</definedName>
    <definedName name="IQ_MC_PARENT_CASH" hidden="1">"c9942"</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TATUTORY_SURPLUS" hidden="1">"c2772"</definedName>
    <definedName name="IQ_MC_TOTAL_COVERED_LIVES" hidden="1">"c9919"</definedName>
    <definedName name="IQ_MC_TOTAL_MEMBERSHIP" hidden="1">"c9922"</definedName>
    <definedName name="IQ_MC_TOTAL_MEMBERSHIP_CAPITATION" hidden="1">"c9923"</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UNUSED" hidden="1">"c7580"</definedName>
    <definedName name="IQ_MEDIAN_NEW_HOME_SALES_FC_UNUSED" hidden="1">"c7800"</definedName>
    <definedName name="IQ_MEDIAN_NEW_HOME_SALES_POP_FC_UNUSED" hidden="1">"c8020"</definedName>
    <definedName name="IQ_MEDIAN_NEW_HOME_SALES_POP_UNUSED" hidden="1">"c7140"</definedName>
    <definedName name="IQ_MEDIAN_NEW_HOME_SALES_UNUSED" hidden="1">"c6920"</definedName>
    <definedName name="IQ_MEDIAN_NEW_HOME_SALES_YOY_FC_UNUSED" hidden="1">"c8240"</definedName>
    <definedName name="IQ_MEDIAN_NEW_HOME_SALES_YOY_UNUSED" hidden="1">"c7360"</definedName>
    <definedName name="IQ_MEDIAN_TARGET_PRICE" hidden="1">"c1650"</definedName>
    <definedName name="IQ_MEDIAN_TARGET_PRICE_CIQ" hidden="1">"c4658"</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NORITY_INT_AVG_ASSETS_FFIEC" hidden="1">"c13367"</definedName>
    <definedName name="IQ_MINORITY_INT_BS_FFIEC" hidden="1">"c12874"</definedName>
    <definedName name="IQ_MINORITY_INT_FFIEC" hidden="1">"c13031"</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CIQ" hidden="1">"c4041"</definedName>
    <definedName name="IQ_MKTCAP_TOTAL_REV_FWD_REUT" hidden="1">"c4048"</definedName>
    <definedName name="IQ_MKTCAP_TOTAL_REV_FWD_THOM" hidden="1">"c4055"</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ONEY_MARKET_ACCOUNTS_COMMERCIAL_BANK_SUBS_FFIEC" hidden="1">"c12947"</definedName>
    <definedName name="IQ_MONEY_MARKET_ACCOUNTS_OTHER_INSTITUTIONS_FFIEC" hidden="1">"c12952"</definedName>
    <definedName name="IQ_MONEY_MARKET_DEPOSIT_ACCOUNTS_FDIC" hidden="1">"c6553"</definedName>
    <definedName name="IQ_MONTH" hidden="1">15000</definedName>
    <definedName name="IQ_MOODYS_ACTION_LT" hidden="1">"c5660"</definedName>
    <definedName name="IQ_MOODYS_ACTION_ST" hidden="1">"c5663"</definedName>
    <definedName name="IQ_MOODYS_BANK_FIN_STRENGTH_ACTION_LT" hidden="1">"c5669"</definedName>
    <definedName name="IQ_MOODYS_BANK_FIN_STRENGTH_DATE_LT" hidden="1">"c5668"</definedName>
    <definedName name="IQ_MOODYS_BANK_FIN_STRENGTH_LT" hidden="1">"c5670"</definedName>
    <definedName name="IQ_MOODYS_CORP_FAMILY_ACTION_LT" hidden="1">"c5666"</definedName>
    <definedName name="IQ_MOODYS_CORP_FAMILY_DATE_LT" hidden="1">"c5665"</definedName>
    <definedName name="IQ_MOODYS_CORP_FAMILY_LT" hidden="1">"c5667"</definedName>
    <definedName name="IQ_MOODYS_DATE_LT" hidden="1">"c5659"</definedName>
    <definedName name="IQ_MOODYS_DATE_ST" hidden="1">"c5662"</definedName>
    <definedName name="IQ_MOODYS_INS_FIN_STRENGTH_ACTION_LT" hidden="1">"c5672"</definedName>
    <definedName name="IQ_MOODYS_INS_FIN_STRENGTH_ACTION_ST" hidden="1">"c5675"</definedName>
    <definedName name="IQ_MOODYS_INS_FIN_STRENGTH_DATE_LT" hidden="1">"c5671"</definedName>
    <definedName name="IQ_MOODYS_INS_FIN_STRENGTH_DATE_ST" hidden="1">"c5674"</definedName>
    <definedName name="IQ_MOODYS_INS_FIN_STRENGTH_LT" hidden="1">"c5673"</definedName>
    <definedName name="IQ_MOODYS_INS_FIN_STRENGTH_ST" hidden="1">"c5676"</definedName>
    <definedName name="IQ_MOODYS_ISSUE_ACTION_LT" hidden="1">"c5683"</definedName>
    <definedName name="IQ_MOODYS_ISSUE_ACTION_ST" hidden="1">"c6784"</definedName>
    <definedName name="IQ_MOODYS_ISSUE_DATE_LT" hidden="1">"c5682"</definedName>
    <definedName name="IQ_MOODYS_ISSUE_DATE_ST" hidden="1">"c6783"</definedName>
    <definedName name="IQ_MOODYS_ISSUE_LT" hidden="1">"c5684"</definedName>
    <definedName name="IQ_MOODYS_ISSUE_ST" hidden="1">"c6785"</definedName>
    <definedName name="IQ_MOODYS_ISSUE_WATCHLIST_DATE" hidden="1">"c5685"</definedName>
    <definedName name="IQ_MOODYS_ISSUE_WATCHLIST_INDICATOR" hidden="1">"c5687"</definedName>
    <definedName name="IQ_MOODYS_ISSUE_WATCHLIST_REASON" hidden="1">"c5686"</definedName>
    <definedName name="IQ_MOODYS_JR_SUB_ACTION_LT" hidden="1">"c13537"</definedName>
    <definedName name="IQ_MOODYS_JR_SUB_DATE_LT" hidden="1">"c13536"</definedName>
    <definedName name="IQ_MOODYS_JR_SUB_LT" hidden="1">"c13535"</definedName>
    <definedName name="IQ_MOODYS_JR_SUB_TYPE_LT" hidden="1">"c13538"</definedName>
    <definedName name="IQ_MOODYS_LATEST_DATE_LT" hidden="1">"c12711"</definedName>
    <definedName name="IQ_MOODYS_LATEST_DATE_ST" hidden="1">"c12715"</definedName>
    <definedName name="IQ_MOODYS_LATEST_LT" hidden="1">"c12710"</definedName>
    <definedName name="IQ_MOODYS_LATEST_ST" hidden="1">"c12714"</definedName>
    <definedName name="IQ_MOODYS_LATEST_TYPE_LT" hidden="1">"c12713"</definedName>
    <definedName name="IQ_MOODYS_LATEST_TYPE_ST" hidden="1">"c12717"</definedName>
    <definedName name="IQ_MOODYS_LT" hidden="1">"c5661"</definedName>
    <definedName name="IQ_MOODYS_OTHER_ACTION_LT" hidden="1">"c13545"</definedName>
    <definedName name="IQ_MOODYS_OTHER_ACTION_ST" hidden="1">"c13569"</definedName>
    <definedName name="IQ_MOODYS_OTHER_DATE_LT" hidden="1">"c13544"</definedName>
    <definedName name="IQ_MOODYS_OTHER_DATE_ST" hidden="1">"c13568"</definedName>
    <definedName name="IQ_MOODYS_OTHER_LT" hidden="1">"c13543"</definedName>
    <definedName name="IQ_MOODYS_OTHER_ST" hidden="1">"c13567"</definedName>
    <definedName name="IQ_MOODYS_OTHER_TYPE_LT" hidden="1">"c13546"</definedName>
    <definedName name="IQ_MOODYS_OTHER_TYPE_ST" hidden="1">"c13570"</definedName>
    <definedName name="IQ_MOODYS_OUTLOOK" hidden="1">"c5678"</definedName>
    <definedName name="IQ_MOODYS_OUTLOOK_DATE" hidden="1">"c5677"</definedName>
    <definedName name="IQ_MOODYS_PREF_ACTION_LT" hidden="1">"c13541"</definedName>
    <definedName name="IQ_MOODYS_PREF_DATE_LT" hidden="1">"c13540"</definedName>
    <definedName name="IQ_MOODYS_PREF_LT" hidden="1">"c13539"</definedName>
    <definedName name="IQ_MOODYS_PREF_TYPE_LT" hidden="1">"c13542"</definedName>
    <definedName name="IQ_MOODYS_SERVICER_QUALITY_ACTION_LT" hidden="1">"c13549"</definedName>
    <definedName name="IQ_MOODYS_SERVICER_QUALITY_DATE_LT" hidden="1">"c13548"</definedName>
    <definedName name="IQ_MOODYS_SERVICER_QUALITY_LT" hidden="1">"c13547"</definedName>
    <definedName name="IQ_MOODYS_SERVICER_QUALITY_TYPE_LT" hidden="1">"c13550"</definedName>
    <definedName name="IQ_MOODYS_SR_SECURED_ACTION_LT" hidden="1">"c13521"</definedName>
    <definedName name="IQ_MOODYS_SR_SECURED_ACTION_ST" hidden="1">"c13553"</definedName>
    <definedName name="IQ_MOODYS_SR_SECURED_DATE_LT" hidden="1">"c13520"</definedName>
    <definedName name="IQ_MOODYS_SR_SECURED_DATE_ST" hidden="1">"c13552"</definedName>
    <definedName name="IQ_MOODYS_SR_SECURED_LT" hidden="1">"c13519"</definedName>
    <definedName name="IQ_MOODYS_SR_SECURED_ST" hidden="1">"c13551"</definedName>
    <definedName name="IQ_MOODYS_SR_SECURED_TYPE_LT" hidden="1">"c13522"</definedName>
    <definedName name="IQ_MOODYS_SR_SECURED_TYPE_ST" hidden="1">"c13554"</definedName>
    <definedName name="IQ_MOODYS_SR_SUB_ACTION_LT" hidden="1">"c13529"</definedName>
    <definedName name="IQ_MOODYS_SR_SUB_ACTION_ST" hidden="1">"c13561"</definedName>
    <definedName name="IQ_MOODYS_SR_SUB_DATE_LT" hidden="1">"c13528"</definedName>
    <definedName name="IQ_MOODYS_SR_SUB_DATE_ST" hidden="1">"c13560"</definedName>
    <definedName name="IQ_MOODYS_SR_SUB_LT" hidden="1">"c13527"</definedName>
    <definedName name="IQ_MOODYS_SR_SUB_ST" hidden="1">"c13559"</definedName>
    <definedName name="IQ_MOODYS_SR_SUB_TYPE_LT" hidden="1">"c13530"</definedName>
    <definedName name="IQ_MOODYS_SR_SUB_TYPE_ST" hidden="1">"c13562"</definedName>
    <definedName name="IQ_MOODYS_SR_UNSECURED_ACTION_LT" hidden="1">"c13525"</definedName>
    <definedName name="IQ_MOODYS_SR_UNSECURED_ACTION_ST" hidden="1">"c13557"</definedName>
    <definedName name="IQ_MOODYS_SR_UNSECURED_DATE_LT" hidden="1">"c13524"</definedName>
    <definedName name="IQ_MOODYS_SR_UNSECURED_DATE_ST" hidden="1">"c13556"</definedName>
    <definedName name="IQ_MOODYS_SR_UNSECURED_LT" hidden="1">"c13523"</definedName>
    <definedName name="IQ_MOODYS_SR_UNSECURED_ST" hidden="1">"c13555"</definedName>
    <definedName name="IQ_MOODYS_SR_UNSECURED_TYPE_LT" hidden="1">"c13526"</definedName>
    <definedName name="IQ_MOODYS_SR_UNSECURED_TYPE_ST" hidden="1">"c13558"</definedName>
    <definedName name="IQ_MOODYS_ST" hidden="1">"c5664"</definedName>
    <definedName name="IQ_MOODYS_SUB_ACTION_LT" hidden="1">"c13533"</definedName>
    <definedName name="IQ_MOODYS_SUB_ACTION_ST" hidden="1">"c13565"</definedName>
    <definedName name="IQ_MOODYS_SUB_DATE_LT" hidden="1">"c13532"</definedName>
    <definedName name="IQ_MOODYS_SUB_DATE_ST" hidden="1">"c13564"</definedName>
    <definedName name="IQ_MOODYS_SUB_LT" hidden="1">"c13531"</definedName>
    <definedName name="IQ_MOODYS_SUB_ST" hidden="1">"c13563"</definedName>
    <definedName name="IQ_MOODYS_SUB_TYPE_LT" hidden="1">"c13534"</definedName>
    <definedName name="IQ_MOODYS_SUB_TYPE_ST" hidden="1">"c13566"</definedName>
    <definedName name="IQ_MOODYS_WATCHLIST_DATE" hidden="1">"c5679"</definedName>
    <definedName name="IQ_MOODYS_WATCHLIST_INDICATOR" hidden="1">"c5681"</definedName>
    <definedName name="IQ_MOODYS_WATCHLIST_REASON" hidden="1">"c5680"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ASSETS_FFIEC" hidden="1">"c12838"</definedName>
    <definedName name="IQ_MORTGAGE_SERVICING_FDIC" hidden="1">"c6335"</definedName>
    <definedName name="IQ_MULTI_RES_PROPERTIES_TRADING_DOM_FFIEC" hidden="1">"c12930"</definedName>
    <definedName name="IQ_MULTIFAMILY_LOANS_GROSS_LOANS_FFIEC" hidden="1">"c13404"</definedName>
    <definedName name="IQ_MULTIFAMILY_LOANS_RISK_BASED_FFIEC" hidden="1">"c13425"</definedName>
    <definedName name="IQ_MULTIFAMILY_RESIDENTIAL_LOANS_FDIC" hidden="1">"c6311"</definedName>
    <definedName name="IQ_MUNICIPAL_INVEST_SECURITIES_FFIEC" hidden="1">"c13459"</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V_ACT_OR_EST_THOM" hidden="1">"c5607"</definedName>
    <definedName name="IQ_NAV_DET_EST_CURRENCY_THOM" hidden="1">"c12490"</definedName>
    <definedName name="IQ_NAV_DET_EST_DATE_THOM" hidden="1">"c12241"</definedName>
    <definedName name="IQ_NAV_DET_EST_INCL_THOM" hidden="1">"c12373"</definedName>
    <definedName name="IQ_NAV_DET_EST_ORIGIN_THOM" hidden="1">"c12707"</definedName>
    <definedName name="IQ_NAV_DET_EST_THOM" hidden="1">"c12091"</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HARE_ACT_OR_EST" hidden="1">"c2225"</definedName>
    <definedName name="IQ_NAV_SHARE_ACT_OR_EST_REUT" hidden="1">"c5623"</definedName>
    <definedName name="IQ_NAV_SHARE_DET_EST_CURRENCY_REUT" hidden="1">"c12538"</definedName>
    <definedName name="IQ_NAV_SHARE_DET_EST_DATE_REUT" hidden="1">"c12297"</definedName>
    <definedName name="IQ_NAV_SHARE_DET_EST_INCL_REUT" hidden="1">"c12421"</definedName>
    <definedName name="IQ_NAV_SHARE_DET_EST_ORIGIN" hidden="1">"c12585"</definedName>
    <definedName name="IQ_NAV_SHARE_DET_EST_ORIGIN_REUT" hidden="1">"c12665"</definedName>
    <definedName name="IQ_NAV_SHARE_DET_EST_ORIGIN_THOM" hidden="1">"c12611"</definedName>
    <definedName name="IQ_NAV_SHARE_DET_EST_REUT" hidden="1">"c12155"</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STDDEV_EST" hidden="1">"c5611"</definedName>
    <definedName name="IQ_NAV_SHARE_STDDEV_EST_REUT" hidden="1">"c5619"</definedName>
    <definedName name="IQ_NAV_STDDEV_EST" hidden="1">"c1756"</definedName>
    <definedName name="IQ_NAV_STDDEV_EST_THOM" hidden="1">"c5603"</definedName>
    <definedName name="IQ_NEGATIVE_FAIR_VALUE_DERIVATIVES_BENEFICIARY_FFIEC" hidden="1">"c13124"</definedName>
    <definedName name="IQ_NEGATIVE_FAIR_VALUE_DERIVATIVES_GUARANTOR_FFIEC" hidden="1">"c13117"</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REUT" hidden="1">"c5473"</definedName>
    <definedName name="IQ_NET_DEBT_ACT_OR_EST_THOM" hidden="1">"c5309"</definedName>
    <definedName name="IQ_NET_DEBT_DET_EST" hidden="1">"c12061"</definedName>
    <definedName name="IQ_NET_DEBT_DET_EST_CURRENCY" hidden="1">"c12468"</definedName>
    <definedName name="IQ_NET_DEBT_DET_EST_CURRENCY_REUT" hidden="1">"c12539"</definedName>
    <definedName name="IQ_NET_DEBT_DET_EST_CURRENCY_THOM" hidden="1">"c12491"</definedName>
    <definedName name="IQ_NET_DEBT_DET_EST_DATE" hidden="1">"c12214"</definedName>
    <definedName name="IQ_NET_DEBT_DET_EST_DATE_REUT" hidden="1">"c12298"</definedName>
    <definedName name="IQ_NET_DEBT_DET_EST_DATE_THOM" hidden="1">"c12242"</definedName>
    <definedName name="IQ_NET_DEBT_DET_EST_INCL" hidden="1">"c12351"</definedName>
    <definedName name="IQ_NET_DEBT_DET_EST_INCL_REUT" hidden="1">"c12422"</definedName>
    <definedName name="IQ_NET_DEBT_DET_EST_INCL_THOM" hidden="1">"c12374"</definedName>
    <definedName name="IQ_NET_DEBT_DET_EST_ORIGIN" hidden="1">"c12586"</definedName>
    <definedName name="IQ_NET_DEBT_DET_EST_ORIGIN_REUT" hidden="1">"c12666"</definedName>
    <definedName name="IQ_NET_DEBT_DET_EST_ORIGIN_THOM" hidden="1">"c12612"</definedName>
    <definedName name="IQ_NET_DEBT_DET_EST_REUT" hidden="1">"c12156"</definedName>
    <definedName name="IQ_NET_DEBT_DET_EST_THOM" hidden="1">"c12092"</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EST_THOM" hidden="1">"c4027"</definedName>
    <definedName name="IQ_NET_DEBT_GUIDANCE" hidden="1">"c4467"</definedName>
    <definedName name="IQ_NET_DEBT_HIGH_EST" hidden="1">"c3518"</definedName>
    <definedName name="IQ_NET_DEBT_HIGH_EST_REUT" hidden="1">"c3978"</definedName>
    <definedName name="IQ_NET_DEBT_HIGH_EST_THOM" hidden="1">"c4029"</definedName>
    <definedName name="IQ_NET_DEBT_HIGH_GUIDANCE" hidden="1">"c4181"</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EST_THOM" hidden="1">"c4030"</definedName>
    <definedName name="IQ_NET_DEBT_LOW_GUIDANCE" hidden="1">"c4221"</definedName>
    <definedName name="IQ_NET_DEBT_MEDIAN_EST" hidden="1">"c3520"</definedName>
    <definedName name="IQ_NET_DEBT_MEDIAN_EST_REUT" hidden="1">"c3977"</definedName>
    <definedName name="IQ_NET_DEBT_MEDIAN_EST_THOM" hidden="1">"c4028"</definedName>
    <definedName name="IQ_NET_DEBT_NUM_EST" hidden="1">"c3515"</definedName>
    <definedName name="IQ_NET_DEBT_NUM_EST_REUT" hidden="1">"c3980"</definedName>
    <definedName name="IQ_NET_DEBT_NUM_EST_THOM" hidden="1">"c4031"</definedName>
    <definedName name="IQ_NET_DEBT_STDDEV_EST" hidden="1">"c3516"</definedName>
    <definedName name="IQ_NET_DEBT_STDDEV_EST_REUT" hidden="1">"c3981"</definedName>
    <definedName name="IQ_NET_DEBT_STDDEV_EST_THOM" hidden="1">"c4032"</definedName>
    <definedName name="IQ_NET_EARNED" hidden="1">"c2734"</definedName>
    <definedName name="IQ_NET_FUNDS_PURCHASED_ASSETS_TOT_FFIEC" hidden="1">"c13448"</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COME_LH_FFIEC" hidden="1">"c13110"</definedName>
    <definedName name="IQ_NET_INCOME_PC_FFIEC" hidden="1">"c13103"</definedName>
    <definedName name="IQ_NET_INCOME_SHE_FFIEC" hidden="1">"c12960"</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INCOME_FFIEC" hidden="1">"c13001"</definedName>
    <definedName name="IQ_NET_INT_INCOME_FTE_FFIEC" hidden="1">"c13036"</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CORE_DEPOSITS_FFIEC" hidden="1">"c13341"</definedName>
    <definedName name="IQ_NET_LOANS_DEPOSITS_FFIEC" hidden="1">"c13340"</definedName>
    <definedName name="IQ_NET_LOANS_EQUITY_FFIEC" hidden="1">"c13347"</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REUT" hidden="1">"c5468"</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AVG_ASSETS_FFIEC" hidden="1">"c13370"</definedName>
    <definedName name="IQ_NI_BEFORE_CAPITALIZED" hidden="1">"c792"</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DET_EST" hidden="1">"c12062"</definedName>
    <definedName name="IQ_NI_DET_EST_CURRENCY" hidden="1">"c12469"</definedName>
    <definedName name="IQ_NI_DET_EST_CURRENCY_REUT" hidden="1">"c12540"</definedName>
    <definedName name="IQ_NI_DET_EST_CURRENCY_THOM" hidden="1">"c12492"</definedName>
    <definedName name="IQ_NI_DET_EST_DATE" hidden="1">"c12215"</definedName>
    <definedName name="IQ_NI_DET_EST_DATE_REUT" hidden="1">"c12299"</definedName>
    <definedName name="IQ_NI_DET_EST_DATE_THOM" hidden="1">"c12243"</definedName>
    <definedName name="IQ_NI_DET_EST_INCL" hidden="1">"c12352"</definedName>
    <definedName name="IQ_NI_DET_EST_INCL_REUT" hidden="1">"c12423"</definedName>
    <definedName name="IQ_NI_DET_EST_INCL_THOM" hidden="1">"c12375"</definedName>
    <definedName name="IQ_NI_DET_EST_ORIGIN" hidden="1">"c12587"</definedName>
    <definedName name="IQ_NI_DET_EST_ORIGIN_REUT" hidden="1">"c12667"</definedName>
    <definedName name="IQ_NI_DET_EST_ORIGIN_THOM" hidden="1">"c12613"</definedName>
    <definedName name="IQ_NI_DET_EST_REUT" hidden="1">"c12157"</definedName>
    <definedName name="IQ_NI_DET_EST_THOM" hidden="1">"c12093"</definedName>
    <definedName name="IQ_NI_EST" hidden="1">"c1716"</definedName>
    <definedName name="IQ_NI_EST_REUT" hidden="1">"c5368"</definedName>
    <definedName name="IQ_NI_EST_THOM" hidden="1">"c5126"</definedName>
    <definedName name="IQ_NI_FFIEC" hidden="1">"c13034"</definedName>
    <definedName name="IQ_NI_GAAP_GUIDANCE" hidden="1">"c4470"</definedName>
    <definedName name="IQ_NI_GAAP_HIGH_GUIDANCE" hidden="1">"c4177"</definedName>
    <definedName name="IQ_NI_GAAP_LOW_GUIDANCE" hidden="1">"c4217"</definedName>
    <definedName name="IQ_NI_GUIDANCE" hidden="1">"c4469"</definedName>
    <definedName name="IQ_NI_GW_DET_EST" hidden="1">"c12063"</definedName>
    <definedName name="IQ_NI_GW_DET_EST_CURRENCY" hidden="1">"c12470"</definedName>
    <definedName name="IQ_NI_GW_DET_EST_CURRENCY_REUT" hidden="1">"c12541"</definedName>
    <definedName name="IQ_NI_GW_DET_EST_DATE" hidden="1">"c12216"</definedName>
    <definedName name="IQ_NI_GW_DET_EST_DATE_REUT" hidden="1">"c12300"</definedName>
    <definedName name="IQ_NI_GW_DET_EST_INCL" hidden="1">"c12353"</definedName>
    <definedName name="IQ_NI_GW_DET_EST_INCL_REUT" hidden="1">"c12424"</definedName>
    <definedName name="IQ_NI_GW_DET_EST_ORIGIN_REUT" hidden="1">"c12668"</definedName>
    <definedName name="IQ_NI_GW_DET_EST_REUT" hidden="1">"c12158"</definedName>
    <definedName name="IQ_NI_GW_EST" hidden="1">"c1723"</definedName>
    <definedName name="IQ_NI_GW_EST_REUT" hidden="1">"c5375"</definedName>
    <definedName name="IQ_NI_GW_GUIDANCE" hidden="1">"c4471"</definedName>
    <definedName name="IQ_NI_GW_HIGH_EST" hidden="1">"c1725"</definedName>
    <definedName name="IQ_NI_GW_HIGH_EST_REUT" hidden="1">"c5377"</definedName>
    <definedName name="IQ_NI_GW_HIGH_GUIDANCE" hidden="1">"c4178"</definedName>
    <definedName name="IQ_NI_GW_LOW_EST" hidden="1">"c1726"</definedName>
    <definedName name="IQ_NI_GW_LOW_EST_REUT" hidden="1">"c5378"</definedName>
    <definedName name="IQ_NI_GW_LOW_GUIDANCE" hidden="1">"c4218"</definedName>
    <definedName name="IQ_NI_GW_MEDIAN_EST" hidden="1">"c1724"</definedName>
    <definedName name="IQ_NI_GW_MEDIAN_EST_REUT" hidden="1">"c5376"</definedName>
    <definedName name="IQ_NI_GW_NUM_EST" hidden="1">"c1727"</definedName>
    <definedName name="IQ_NI_GW_NUM_EST_REUT" hidden="1">"c5379"</definedName>
    <definedName name="IQ_NI_GW_STDDEV_EST" hidden="1">"c1728"</definedName>
    <definedName name="IQ_NI_GW_STDDEV_EST_REUT" hidden="1">"c5380"</definedName>
    <definedName name="IQ_NI_HIGH_EST" hidden="1">"c1718"</definedName>
    <definedName name="IQ_NI_HIGH_EST_REUT" hidden="1">"c5370"</definedName>
    <definedName name="IQ_NI_HIGH_EST_THOM" hidden="1">"c5128"</definedName>
    <definedName name="IQ_NI_HIGH_GUIDANCE" hidden="1">"c4176"</definedName>
    <definedName name="IQ_NI_LOW_EST" hidden="1">"c1719"</definedName>
    <definedName name="IQ_NI_LOW_EST_REUT" hidden="1">"c5371"</definedName>
    <definedName name="IQ_NI_LOW_EST_THOM" hidden="1">"c5129"</definedName>
    <definedName name="IQ_NI_LOW_GUIDANCE" hidden="1">"c4216"</definedName>
    <definedName name="IQ_NI_MARGIN" hidden="1">"c794"</definedName>
    <definedName name="IQ_NI_MEDIAN_EST" hidden="1">"c1717"</definedName>
    <definedName name="IQ_NI_MEDIAN_EST_REUT" hidden="1">"c5369"</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REUT" hidden="1">"c5372"</definedName>
    <definedName name="IQ_NI_NUM_EST_THOM" hidden="1">"c5130"</definedName>
    <definedName name="IQ_NI_REPORTED_DET_EST_CURRENCY_REUT" hidden="1">"c12542"</definedName>
    <definedName name="IQ_NI_REPORTED_DET_EST_DATE_REUT" hidden="1">"c12301"</definedName>
    <definedName name="IQ_NI_REPORTED_DET_EST_INCL_REUT" hidden="1">"c12425"</definedName>
    <definedName name="IQ_NI_REPORTED_DET_EST_ORIGIN" hidden="1">"c12588"</definedName>
    <definedName name="IQ_NI_REPORTED_DET_EST_ORIGIN_REUT" hidden="1">"c12669"</definedName>
    <definedName name="IQ_NI_REPORTED_DET_EST_REUT" hidden="1">"c12159"</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ACT_OR_EST_CIQ" hidden="1">"c5012"</definedName>
    <definedName name="IQ_NI_SBC_EST" hidden="1">"c4473"</definedName>
    <definedName name="IQ_NI_SBC_GUIDANCE" hidden="1">"c4475"</definedName>
    <definedName name="IQ_NI_SBC_GW_ACT_OR_EST" hidden="1">"c4478"</definedName>
    <definedName name="IQ_NI_SBC_GW_ACT_OR_EST_CIQ" hidden="1">"c5016"</definedName>
    <definedName name="IQ_NI_SBC_GW_EST" hidden="1">"c4477"</definedName>
    <definedName name="IQ_NI_SBC_GW_GUIDANCE" hidden="1">"c4479"</definedName>
    <definedName name="IQ_NI_SBC_GW_HIGH_EST" hidden="1">"c4480"</definedName>
    <definedName name="IQ_NI_SBC_GW_HIGH_GUIDANCE" hidden="1">"c4187"</definedName>
    <definedName name="IQ_NI_SBC_GW_LOW_EST" hidden="1">"c4481"</definedName>
    <definedName name="IQ_NI_SBC_GW_LOW_GUIDANCE" hidden="1">"c4227"</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LOW_EST" hidden="1">"c4487"</definedName>
    <definedName name="IQ_NI_SBC_LOW_GUIDANCE" hidden="1">"c4226"</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I_STDDEV_EST_THOM" hidden="1">"c5131"</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_ALLOW_RECEIVABLES_FFIEC" hidden="1">"c13353"</definedName>
    <definedName name="IQ_NON_ACCRUAL_LOANS" hidden="1">"c796"</definedName>
    <definedName name="IQ_NON_CASH" hidden="1">"c1399"</definedName>
    <definedName name="IQ_NON_CASH_ITEMS" hidden="1">"c797"</definedName>
    <definedName name="IQ_NON_FARM_NONRES_PROPERTIES_TRADING_DOM_FFIEC" hidden="1">"c12931"</definedName>
    <definedName name="IQ_NON_INS_EXP" hidden="1">"c798"</definedName>
    <definedName name="IQ_NON_INS_REV" hidden="1">"c799"</definedName>
    <definedName name="IQ_NON_INT_BAL_OTHER_INSTITUTIONS_FFIEC" hidden="1">"c12950"</definedName>
    <definedName name="IQ_NON_INT_BEAR_CD" hidden="1">"c11750"</definedName>
    <definedName name="IQ_NON_INT_BEARING_DEPOSITS" hidden="1">"c800"</definedName>
    <definedName name="IQ_NON_INT_DEPOSITS_DOM_FFIEC" hidden="1">"c12851"</definedName>
    <definedName name="IQ_NON_INT_DEPOSITS_FOREIGN_FFIEC" hidden="1">"c12854"</definedName>
    <definedName name="IQ_NON_INT_EXP" hidden="1">"c801"</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EXPENSE_FFIEC" hidden="1">"c13028"</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AVG_ASSETS_FFIEC" hidden="1">"c13359"</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_INC_OPERATING_INC_FFIEC" hidden="1">"c13382"</definedName>
    <definedName name="IQ_NON_INT_INCOME_FFIEC" hidden="1">"c13017"</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_LEASE_FIN_REC_FFIEC" hidden="1">"c13625"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INCOME_AMORT_CLOSED_END_LOANS_FFIEC" hidden="1">"c13078"</definedName>
    <definedName name="IQ_NONCASH_PENSION_EXP" hidden="1">"c3000"</definedName>
    <definedName name="IQ_NONCORE_ASSETS_TOT_FFIEC" hidden="1">"c13443"</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NONRES_GROSS_LOANS_FFIEC" hidden="1">"c13405"</definedName>
    <definedName name="IQ_NONFARM_NONRES_LL_REC_DOM_FFIEC" hidden="1">"c13626"</definedName>
    <definedName name="IQ_NONFARM_NONRES_RISK_BASED_FFIEC" hidden="1">"c13426"</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CASH_FFIEC" hidden="1">"c12774"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QUALIFYING_PREFERRED_T1_FFIEC" hidden="1">"c13134"</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UNUSED" hidden="1">"c7588"</definedName>
    <definedName name="IQ_NONRES_FIXED_INVEST_PRIV_FC_UNUSED" hidden="1">"c7808"</definedName>
    <definedName name="IQ_NONRES_FIXED_INVEST_PRIV_POP_FC_UNUSED" hidden="1">"c8028"</definedName>
    <definedName name="IQ_NONRES_FIXED_INVEST_PRIV_POP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DING_SECURITIES_FAIR_VALUE_TOT_FFIEC" hidden="1">"c13211"</definedName>
    <definedName name="IQ_NONTRADING_SECURITIES_LEVEL_1_FFIEC" hidden="1">"c13219"</definedName>
    <definedName name="IQ_NONTRADING_SECURITIES_LEVEL_2_FFIEC" hidden="1">"c13227"</definedName>
    <definedName name="IQ_NONTRADING_SECURITIES_LEVEL_3_FFIEC" hidden="1">"c13235"</definedName>
    <definedName name="IQ_NONTRANSACTION_ACCOUNTS_FDIC" hidden="1">"c6552"</definedName>
    <definedName name="IQ_NONUTIL_REV" hidden="1">"c2089"</definedName>
    <definedName name="IQ_NORM_EPS_ACT_OR_EST" hidden="1">"c2249"</definedName>
    <definedName name="IQ_NORM_EPS_ACT_OR_EST_CIQ" hidden="1">"c5069"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AMT_DERIVATIVES_BENEFICIARY_FFIEC" hidden="1">"c13118"</definedName>
    <definedName name="IQ_NOTIONAL_AMT_DERIVATIVES_GUARANTOR_FFIEC" hidden="1">"c13111"</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OW_ATS_ACCOUNTS_COMMERCIAL_BANK_SUBS_FFIEC" hidden="1">"c12946"</definedName>
    <definedName name="IQ_NOW_ATS_ACCOUNTS_OTHER_INSTITUTIONS_FFIEC" hidden="1">"c12951"</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ANCY_CONSOL" hidden="1">"c8840"</definedName>
    <definedName name="IQ_OCCUPANCY_EXP_AVG_ASSETS_FFIEC" hidden="1">"c13372"</definedName>
    <definedName name="IQ_OCCUPANCY_EXP_OPERATING_INC_FFIEC" hidden="1">"c13380"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TOTAL_WELLS_DRILLED" hidden="1">"c10096"</definedName>
    <definedName name="IQ_OG_GROSS_OPERATED_WELLS" hidden="1">"c10092"</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ACT_OR_EST" hidden="1">"c2220"</definedName>
    <definedName name="IQ_OPER_INC_ACT_OR_EST_REUT" hidden="1">"c5466"</definedName>
    <definedName name="IQ_OPER_INC_ACT_OR_EST_THOM" hidden="1">"c5304"</definedName>
    <definedName name="IQ_OPER_INC_BR" hidden="1">"c850"</definedName>
    <definedName name="IQ_OPER_INC_DET_EST" hidden="1">"c12064"</definedName>
    <definedName name="IQ_OPER_INC_DET_EST_CURRENCY" hidden="1">"c12471"</definedName>
    <definedName name="IQ_OPER_INC_DET_EST_CURRENCY_REUT" hidden="1">"c12543"</definedName>
    <definedName name="IQ_OPER_INC_DET_EST_CURRENCY_THOM" hidden="1">"c12494"</definedName>
    <definedName name="IQ_OPER_INC_DET_EST_DATE" hidden="1">"c12217"</definedName>
    <definedName name="IQ_OPER_INC_DET_EST_DATE_REUT" hidden="1">"c12302"</definedName>
    <definedName name="IQ_OPER_INC_DET_EST_DATE_THOM" hidden="1">"c12245"</definedName>
    <definedName name="IQ_OPER_INC_DET_EST_INCL" hidden="1">"c12354"</definedName>
    <definedName name="IQ_OPER_INC_DET_EST_INCL_REUT" hidden="1">"c12426"</definedName>
    <definedName name="IQ_OPER_INC_DET_EST_INCL_THOM" hidden="1">"c12377"</definedName>
    <definedName name="IQ_OPER_INC_DET_EST_ORIGIN" hidden="1">"c12589"</definedName>
    <definedName name="IQ_OPER_INC_DET_EST_ORIGIN_REUT" hidden="1">"c12670"</definedName>
    <definedName name="IQ_OPER_INC_DET_EST_ORIGIN_THOM" hidden="1">"c12615"</definedName>
    <definedName name="IQ_OPER_INC_DET_EST_REUT" hidden="1">"c12160"</definedName>
    <definedName name="IQ_OPER_INC_DET_EST_THOM" hidden="1">"c12095"</definedName>
    <definedName name="IQ_OPER_INC_EST" hidden="1">"c1688"</definedName>
    <definedName name="IQ_OPER_INC_EST_REUT" hidden="1">"c5340"</definedName>
    <definedName name="IQ_OPER_INC_EST_THOM" hidden="1">"c5112"</definedName>
    <definedName name="IQ_OPER_INC_FIN" hidden="1">"c851"</definedName>
    <definedName name="IQ_OPER_INC_HIGH_EST" hidden="1">"c1690"</definedName>
    <definedName name="IQ_OPER_INC_HIGH_EST_REUT" hidden="1">"c5342"</definedName>
    <definedName name="IQ_OPER_INC_HIGH_EST_THOM" hidden="1">"c5114"</definedName>
    <definedName name="IQ_OPER_INC_INS" hidden="1">"c852"</definedName>
    <definedName name="IQ_OPER_INC_LOW_EST" hidden="1">"c1691"</definedName>
    <definedName name="IQ_OPER_INC_LOW_EST_REUT" hidden="1">"c5343"</definedName>
    <definedName name="IQ_OPER_INC_LOW_EST_THOM" hidden="1">"c5115"</definedName>
    <definedName name="IQ_OPER_INC_MARGIN" hidden="1">"c1448"</definedName>
    <definedName name="IQ_OPER_INC_MEDIAN_EST" hidden="1">"c1689"</definedName>
    <definedName name="IQ_OPER_INC_MEDIAN_EST_REUT" hidden="1">"c5341"</definedName>
    <definedName name="IQ_OPER_INC_MEDIAN_EST_THOM" hidden="1">"c5113"</definedName>
    <definedName name="IQ_OPER_INC_NUM_EST" hidden="1">"c1692"</definedName>
    <definedName name="IQ_OPER_INC_NUM_EST_REUT" hidden="1">"c5344"</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REUT" hidden="1">"c5345"</definedName>
    <definedName name="IQ_OPER_INC_STDDEV_EST_THOM" hidden="1">"c5117"</definedName>
    <definedName name="IQ_OPER_INC_UTI" hidden="1">"c854"</definedName>
    <definedName name="IQ_OPERATING_EXP_AVG_ASSETS_FFIEC" hidden="1">"c13373"</definedName>
    <definedName name="IQ_OPERATING_INC_AVG_ASSETS_FFIEC" hidden="1">"c13368"</definedName>
    <definedName name="IQ_OPERATING_INC_TE_AVG_ASSETS_FFIEC" hidden="1">"c13360"</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FIEC" hidden="1">"c12831"</definedName>
    <definedName name="IQ_OREO_FOREIGN_FDIC" hidden="1">"c6460"</definedName>
    <definedName name="IQ_OREO_MULTI_FAMILY_RESIDENTIAL_FDIC" hidden="1">"c6455"</definedName>
    <definedName name="IQ_OREO_OTHER_FFIEC" hidden="1">"c12833"</definedName>
    <definedName name="IQ_OTHER_ADDITIONS_T1_FFIEC" hidden="1">"c13142"</definedName>
    <definedName name="IQ_OTHER_ADDITIONS_T2_FFIEC" hidden="1">"c13148"</definedName>
    <definedName name="IQ_OTHER_ADJUST_GROSS_LOANS" hidden="1">"c859"</definedName>
    <definedName name="IQ_OTHER_ADJUSTMENTS_COVERED" hidden="1">"c9961"</definedName>
    <definedName name="IQ_OTHER_ADJUSTMENTS_FFIEC" hidden="1">"c12972"</definedName>
    <definedName name="IQ_OTHER_ADJUSTMENTS_GROUP" hidden="1">"c9947"</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FIEC" hidden="1">"c12848"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TOTAL_FFIEC" hidden="1">"c12841"</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BORROWED_MONEY_FFIEC" hidden="1">"c12862"</definedName>
    <definedName name="IQ_OTHER_BORROWED_MONEY_LT_FFIEC" hidden="1">"c12865"</definedName>
    <definedName name="IQ_OTHER_BORROWED_MONEY_ST_FFIEC" hidden="1">"c12864"</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OMPREHENSIVE_INCOME_FFIEC" hidden="1">"c12970"</definedName>
    <definedName name="IQ_OTHER_CONSTRUCTION_GROSS_LOANS_FFIEC" hidden="1">"c13403"</definedName>
    <definedName name="IQ_OTHER_CONSTRUCTION_LOANS_DUE_30_89_FFIEC" hidden="1">"c13258"</definedName>
    <definedName name="IQ_OTHER_CONSTRUCTION_LOANS_DUE_90_FFIEC" hidden="1">"c13286"</definedName>
    <definedName name="IQ_OTHER_CONSTRUCTION_LOANS_NON_ACCRUAL_FFIEC" hidden="1">"c13312"</definedName>
    <definedName name="IQ_OTHER_CONSTRUCTION_LOANS_UNUSED_FFIEC" hidden="1">"c13245"</definedName>
    <definedName name="IQ_OTHER_CONSTRUCTION_RISK_BASED_FFIEC" hidden="1">"c13424"</definedName>
    <definedName name="IQ_OTHER_CONSUMER_LL_REC_FFIEC" hidden="1">"c12891"</definedName>
    <definedName name="IQ_OTHER_CONSUMER_LOANS_FFIEC" hidden="1">"c12824"</definedName>
    <definedName name="IQ_OTHER_CONSUMER_LOANS_TRADING_DOM_FFIEC" hidden="1">"c12935"</definedName>
    <definedName name="IQ_OTHER_CURRENT_ASSETS" hidden="1">"c1403"</definedName>
    <definedName name="IQ_OTHER_CURRENT_LIAB" hidden="1">"c1404"</definedName>
    <definedName name="IQ_OTHER_DEBT" hidden="1">"c2507"</definedName>
    <definedName name="IQ_OTHER_DEBT_PCT" hidden="1">"c2508"</definedName>
    <definedName name="IQ_OTHER_DEBT_SEC_DOM_AVAIL_SALE_FFIEC" hidden="1">"c12803"</definedName>
    <definedName name="IQ_OTHER_DEBT_SEC_FOREIGN_AVAIL_SALE_FFIEC" hidden="1">"c12804"</definedName>
    <definedName name="IQ_OTHER_DEBT_SEC_INVEST_SECURITIES_FFIEC" hidden="1">"c13462"</definedName>
    <definedName name="IQ_OTHER_DEBT_SEC_TRADING_DOM_FFIEC" hidden="1">"c12924"</definedName>
    <definedName name="IQ_OTHER_DEBT_SEC_TRADING_FFIEC" hidden="1">"c12819"</definedName>
    <definedName name="IQ_OTHER_DEBT_SECURITIES_DOM_FFIEC" hidden="1">"c12789"</definedName>
    <definedName name="IQ_OTHER_DEBT_SECURITIES_FOREIGN_FFIEC" hidden="1">"c12790"</definedName>
    <definedName name="IQ_OTHER_DEDUCTIONS_LEVERAGE_RATIO_FFIEC" hidden="1">"c13158"</definedName>
    <definedName name="IQ_OTHER_DEP" hidden="1">"c885"</definedName>
    <definedName name="IQ_OTHER_DEPOSITORY_INSTITUTIONS_LOANS_FDIC" hidden="1">"c6436"</definedName>
    <definedName name="IQ_OTHER_DEPOSITORY_INSTITUTIONS_TOTAL_LOANS_FOREIGN_FDIC" hidden="1">"c6442"</definedName>
    <definedName name="IQ_OTHER_DEPOSITS_FFIEC" hidden="1">"c12994"</definedName>
    <definedName name="IQ_OTHER_DERIVATIVES_BENEFICIARY_FFIEC" hidden="1">"c13122"</definedName>
    <definedName name="IQ_OTHER_DERIVATIVES_GUARANTOR_FFIEC" hidden="1">"c13115"</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CAPITAL_COMPS_FFIEC" hidden="1">"c12880"</definedName>
    <definedName name="IQ_OTHER_EQUITY_FFIEC" hidden="1">"c12879"</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EXP_OPERATING_INC_FFIEC" hidden="1">"c13381"</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FOREIGN_LOANS_FOREIGN_FFIEC" hidden="1">"c13482"</definedName>
    <definedName name="IQ_OTHER_INSURANCE_FEES_FDIC" hidden="1">"c6672"</definedName>
    <definedName name="IQ_OTHER_INSURANCE_PREMIUMS_FFIEC" hidden="1">"c13071"</definedName>
    <definedName name="IQ_OTHER_INT_EXPENSE_FFIEC" hidden="1">"c12999"</definedName>
    <definedName name="IQ_OTHER_INT_INCOME_FFIEC" hidden="1">"c12988"</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ASSETS_FFIEC" hidden="1">"c12837"</definedName>
    <definedName name="IQ_OTHER_INTANGIBLE_ASSETS_TOT_FFIEC" hidden="1">"c12840"</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EASES_DUE_30_89_FFIEC" hidden="1">"c13278"</definedName>
    <definedName name="IQ_OTHER_LEASES_DUE_90_FFIEC" hidden="1">"c13304"</definedName>
    <definedName name="IQ_OTHER_LEASES_LL_REC_FFIEC" hidden="1">"c12896"</definedName>
    <definedName name="IQ_OTHER_LEASES_NON_ACCRUAL_FFIEC" hidden="1">"c13330"</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IABILITIES_FFIEC" hidden="1">"c12872"</definedName>
    <definedName name="IQ_OTHER_LIABILITIES_TOTAL_FFIEC" hidden="1">"c12869"</definedName>
    <definedName name="IQ_OTHER_LL_REC_FFIEC" hidden="1">"c12894"</definedName>
    <definedName name="IQ_OTHER_LOANS" hidden="1">"c945"</definedName>
    <definedName name="IQ_OTHER_LOANS_CHARGE_OFFS_FDIC" hidden="1">"c6601"</definedName>
    <definedName name="IQ_OTHER_LOANS_DUE_30_89_FFIEC" hidden="1">"c13275"</definedName>
    <definedName name="IQ_OTHER_LOANS_DUE_90_FFIEC" hidden="1">"c13301"</definedName>
    <definedName name="IQ_OTHER_LOANS_FFIEC" hidden="1">"c12825"</definedName>
    <definedName name="IQ_OTHER_LOANS_FOREIGN_FDIC" hidden="1">"c6446"</definedName>
    <definedName name="IQ_OTHER_LOANS_GROSS_LOANS_FFIEC" hidden="1">"c13414"</definedName>
    <definedName name="IQ_OTHER_LOANS_INDIVIDUALS_CHARGE_OFFS_FFIEC" hidden="1">"c13181"</definedName>
    <definedName name="IQ_OTHER_LOANS_INDIVIDUALS_DUE_30_89_FFIEC" hidden="1">"c13273"</definedName>
    <definedName name="IQ_OTHER_LOANS_INDIVIDUALS_DUE_90_FFIEC" hidden="1">"c13299"</definedName>
    <definedName name="IQ_OTHER_LOANS_INDIVIDUALS_NON_ACCRUAL_FFIEC" hidden="1">"c13325"</definedName>
    <definedName name="IQ_OTHER_LOANS_INDIVIDUALS_RECOV_FFIEC" hidden="1">"c13203"</definedName>
    <definedName name="IQ_OTHER_LOANS_LEASES_FDIC" hidden="1">"c6322"</definedName>
    <definedName name="IQ_OTHER_LOANS_LL_REC_DOM_FFIEC" hidden="1">"c12914"</definedName>
    <definedName name="IQ_OTHER_LOANS_NET_CHARGE_OFFS_FDIC" hidden="1">"c6639"</definedName>
    <definedName name="IQ_OTHER_LOANS_NON_ACCRUAL_FFIEC" hidden="1">"c13327"</definedName>
    <definedName name="IQ_OTHER_LOANS_RECOVERIES_FDIC" hidden="1">"c6620"</definedName>
    <definedName name="IQ_OTHER_LOANS_RISK_BASED_FFIEC" hidden="1">"c13435"</definedName>
    <definedName name="IQ_OTHER_LOANS_TOTAL_FDIC" hidden="1">"c6432"</definedName>
    <definedName name="IQ_OTHER_LOANS_TRADING_DOM_FFIEC" hidden="1">"c12936"</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MBS_AVAIL_SALE_FFIEC" hidden="1">"c12801"</definedName>
    <definedName name="IQ_OTHER_MBS_FFIEC" hidden="1">"c12787"</definedName>
    <definedName name="IQ_OTHER_MBS_ISSUED_FNMA_GNMA_TRADING_DOM_FFIEC" hidden="1">"c12922"</definedName>
    <definedName name="IQ_OTHER_MBS_ISSUED_FNMA_GNMA_TRADING_FFIEC" hidden="1">"c12817"</definedName>
    <definedName name="IQ_OTHER_MBS_TRADING_DOM_FFIEC" hidden="1">"c12923"</definedName>
    <definedName name="IQ_OTHER_MBS_TRADING_FFIEC" hidden="1">"c12818"</definedName>
    <definedName name="IQ_OTHER_NET" hidden="1">"c1453"</definedName>
    <definedName name="IQ_OTHER_NON_INT_ALLOCATIONS_FFIEC" hidden="1">"c13065"</definedName>
    <definedName name="IQ_OTHER_NON_INT_EXP" hidden="1">"c953"</definedName>
    <definedName name="IQ_OTHER_NON_INT_EXP_FDIC" hidden="1">"c6578"</definedName>
    <definedName name="IQ_OTHER_NON_INT_EXP_FFIEC" hidden="1">"c13027"</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INT_INC_OPERATING_INC_FFIEC" hidden="1">"c13392"</definedName>
    <definedName name="IQ_OTHER_NON_INT_INCOME_FFIEC" hidden="1">"c13016"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NONFARM_NONRES_GROSS_LOANS_FFIEC" hidden="1">"c13407"</definedName>
    <definedName name="IQ_OTHER_NONFARM_NONRES_LL_REC_DOM_FFIEC" hidden="1">"c12907"</definedName>
    <definedName name="IQ_OTHER_NONFARM_NONRES_RISK_BASED_FFIEC" hidden="1">"c13428"</definedName>
    <definedName name="IQ_OTHER_OFF_BS_ITEMS_FFIEC" hidden="1">"c13126"</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PROP" hidden="1">"c8764"</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EVOL_CREDIT_CONSUMER_LOANS_FFIEC" hidden="1">"c12823"</definedName>
    <definedName name="IQ_OTHER_REVOLVING_CREDIT_LL_REC_FFIEC" hidden="1">"c12890"</definedName>
    <definedName name="IQ_OTHER_REVOLVING_CREDIT_LOANS_TRADING_DOM_FFIEC" hidden="1">"c12934"</definedName>
    <definedName name="IQ_OTHER_ROOMS" hidden="1">"c8788"</definedName>
    <definedName name="IQ_OTHER_SAVINGS_DEPOSITS_FDIC" hidden="1">"c6554"</definedName>
    <definedName name="IQ_OTHER_SQ_FT" hidden="1">"c8780"</definedName>
    <definedName name="IQ_OTHER_STRIKE_PRICE_GRANTED" hidden="1">"c2692"</definedName>
    <definedName name="IQ_OTHER_TRADING_ASSETS_FFIEC" hidden="1">"c12826"</definedName>
    <definedName name="IQ_OTHER_TRADING_ASSETS_TOTAL_FFIEC" hidden="1">"c12937"</definedName>
    <definedName name="IQ_OTHER_TRADING_LIABILITIES_FFIEC" hidden="1">"c12860"</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ED_FFIEC" hidden="1">"c13248"</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VERHEAD_EXP_AVG_ASSETS_FFIEC" hidden="1">"c13361"</definedName>
    <definedName name="IQ_OVERHEAD_EXP_REV_FFIEC" hidden="1">"c13494"</definedName>
    <definedName name="IQ_OVERHEAD_NON_INT_INC_AVG_ASSETS_FFIEC" hidden="1">"c13374"</definedName>
    <definedName name="IQ_OVERHEAD_NON_INT_OPERATING_INC_FFIEC" hidden="1">"c13393"</definedName>
    <definedName name="IQ_OVERHEAD_OPERATING_INC_FFIEC" hidden="1">"c13378"</definedName>
    <definedName name="IQ_OWNER_OCCUPIED_GROSS_LOANS_FFIEC" hidden="1">"c13406"</definedName>
    <definedName name="IQ_OWNER_OCCUPIED_LOANS_RISK_BASED_FFIEC" hidden="1">"c13427"</definedName>
    <definedName name="IQ_OWNER_OCCUPIED_NONFARM_NONRES_LL_REC_DOM_FFIEC" hidden="1">"c12906"</definedName>
    <definedName name="IQ_OWNERSHIP" hidden="1">"c2160"</definedName>
    <definedName name="IQ_PART_TIME" hidden="1">"c1024"</definedName>
    <definedName name="IQ_PARTICIPATION_POOLS_RESIDENTIAL_MORTGAGES_FDIC" hidden="1">"c6403"</definedName>
    <definedName name="IQ_PARTICIPATIONS_ACCEPTANCES_FFIEC" hidden="1">"c13254"</definedName>
    <definedName name="IQ_PARTNERSHIP_INC_RE" hidden="1">"c12039"</definedName>
    <definedName name="IQ_PASS_THROUGH_FNMA_GNMA_TRADING_FFIEC" hidden="1">"c12816"</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ST_DUE_ALLOW_GROSS_LOANS_FFIEC" hidden="1">"c13416"</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CIQ" hidden="1">"c4042"</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CIQ" hidden="1">"c4045"</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CIQ" hidden="1">"c3790"</definedName>
    <definedName name="IQ_PERCENT_CHANGE_EST_5YR_GROWTH_RATE_12MONTHS_REUT" hidden="1">"c3959"</definedName>
    <definedName name="IQ_PERCENT_CHANGE_EST_5YR_GROWTH_RATE_12MONTHS_THOM" hidden="1">"c5269"</definedName>
    <definedName name="IQ_PERCENT_CHANGE_EST_5YR_GROWTH_RATE_18MONTHS" hidden="1">"c1853"</definedName>
    <definedName name="IQ_PERCENT_CHANGE_EST_5YR_GROWTH_RATE_18MONTHS_CIQ" hidden="1">"c3791"</definedName>
    <definedName name="IQ_PERCENT_CHANGE_EST_5YR_GROWTH_RATE_18MONTHS_REUT" hidden="1">"c3960"</definedName>
    <definedName name="IQ_PERCENT_CHANGE_EST_5YR_GROWTH_RATE_18MONTHS_THOM" hidden="1">"c5270"</definedName>
    <definedName name="IQ_PERCENT_CHANGE_EST_5YR_GROWTH_RATE_3MONTHS" hidden="1">"c1849"</definedName>
    <definedName name="IQ_PERCENT_CHANGE_EST_5YR_GROWTH_RATE_3MONTHS_CIQ" hidden="1">"c3787"</definedName>
    <definedName name="IQ_PERCENT_CHANGE_EST_5YR_GROWTH_RATE_3MONTHS_REUT" hidden="1">"c3956"</definedName>
    <definedName name="IQ_PERCENT_CHANGE_EST_5YR_GROWTH_RATE_3MONTHS_THOM" hidden="1">"c5266"</definedName>
    <definedName name="IQ_PERCENT_CHANGE_EST_5YR_GROWTH_RATE_6MONTHS" hidden="1">"c1850"</definedName>
    <definedName name="IQ_PERCENT_CHANGE_EST_5YR_GROWTH_RATE_6MONTHS_CIQ" hidden="1">"c3788"</definedName>
    <definedName name="IQ_PERCENT_CHANGE_EST_5YR_GROWTH_RATE_6MONTHS_REUT" hidden="1">"c3957"</definedName>
    <definedName name="IQ_PERCENT_CHANGE_EST_5YR_GROWTH_RATE_6MONTHS_THOM" hidden="1">"c5267"</definedName>
    <definedName name="IQ_PERCENT_CHANGE_EST_5YR_GROWTH_RATE_9MONTHS" hidden="1">"c1851"</definedName>
    <definedName name="IQ_PERCENT_CHANGE_EST_5YR_GROWTH_RATE_9MONTHS_CIQ" hidden="1">"c3789"</definedName>
    <definedName name="IQ_PERCENT_CHANGE_EST_5YR_GROWTH_RATE_9MONTHS_REUT" hidden="1">"c3958"</definedName>
    <definedName name="IQ_PERCENT_CHANGE_EST_5YR_GROWTH_RATE_9MONTHS_THOM" hidden="1">"c5268"</definedName>
    <definedName name="IQ_PERCENT_CHANGE_EST_5YR_GROWTH_RATE_DAY" hidden="1">"c1846"</definedName>
    <definedName name="IQ_PERCENT_CHANGE_EST_5YR_GROWTH_RATE_DAY_CIQ" hidden="1">"c3785"</definedName>
    <definedName name="IQ_PERCENT_CHANGE_EST_5YR_GROWTH_RATE_DAY_REUT" hidden="1">"c3954"</definedName>
    <definedName name="IQ_PERCENT_CHANGE_EST_5YR_GROWTH_RATE_DAY_THOM" hidden="1">"c5264"</definedName>
    <definedName name="IQ_PERCENT_CHANGE_EST_5YR_GROWTH_RATE_MONTH" hidden="1">"c1848"</definedName>
    <definedName name="IQ_PERCENT_CHANGE_EST_5YR_GROWTH_RATE_MONTH_CIQ" hidden="1">"c3786"</definedName>
    <definedName name="IQ_PERCENT_CHANGE_EST_5YR_GROWTH_RATE_MONTH_REUT" hidden="1">"c3955"</definedName>
    <definedName name="IQ_PERCENT_CHANGE_EST_5YR_GROWTH_RATE_MONTH_THOM" hidden="1">"c5265"</definedName>
    <definedName name="IQ_PERCENT_CHANGE_EST_5YR_GROWTH_RATE_WEEK" hidden="1">"c1847"</definedName>
    <definedName name="IQ_PERCENT_CHANGE_EST_5YR_GROWTH_RATE_WEEK_CIQ" hidden="1">"c3797"</definedName>
    <definedName name="IQ_PERCENT_CHANGE_EST_5YR_GROWTH_RATE_WEEK_REUT" hidden="1">"c5435"</definedName>
    <definedName name="IQ_PERCENT_CHANGE_EST_5YR_GROWTH_RATE_WEEK_THOM" hidden="1">"c5277"</definedName>
    <definedName name="IQ_PERCENT_CHANGE_EST_CFPS_12MONTHS" hidden="1">"c1812"</definedName>
    <definedName name="IQ_PERCENT_CHANGE_EST_CFPS_12MONTHS_REUT" hidden="1">"c3924"</definedName>
    <definedName name="IQ_PERCENT_CHANGE_EST_CFPS_12MONTHS_THOM" hidden="1">"c5234"</definedName>
    <definedName name="IQ_PERCENT_CHANGE_EST_CFPS_18MONTHS" hidden="1">"c1813"</definedName>
    <definedName name="IQ_PERCENT_CHANGE_EST_CFPS_18MONTHS_REUT" hidden="1">"c3925"</definedName>
    <definedName name="IQ_PERCENT_CHANGE_EST_CFPS_18MONTHS_THOM" hidden="1">"c5235"</definedName>
    <definedName name="IQ_PERCENT_CHANGE_EST_CFPS_3MONTHS" hidden="1">"c1809"</definedName>
    <definedName name="IQ_PERCENT_CHANGE_EST_CFPS_3MONTHS_REUT" hidden="1">"c3921"</definedName>
    <definedName name="IQ_PERCENT_CHANGE_EST_CFPS_3MONTHS_THOM" hidden="1">"c5231"</definedName>
    <definedName name="IQ_PERCENT_CHANGE_EST_CFPS_6MONTHS" hidden="1">"c1810"</definedName>
    <definedName name="IQ_PERCENT_CHANGE_EST_CFPS_6MONTHS_REUT" hidden="1">"c3922"</definedName>
    <definedName name="IQ_PERCENT_CHANGE_EST_CFPS_6MONTHS_THOM" hidden="1">"c5232"</definedName>
    <definedName name="IQ_PERCENT_CHANGE_EST_CFPS_9MONTHS" hidden="1">"c1811"</definedName>
    <definedName name="IQ_PERCENT_CHANGE_EST_CFPS_9MONTHS_REUT" hidden="1">"c3923"</definedName>
    <definedName name="IQ_PERCENT_CHANGE_EST_CFPS_9MONTHS_THOM" hidden="1">"c5233"</definedName>
    <definedName name="IQ_PERCENT_CHANGE_EST_CFPS_DAY" hidden="1">"c1806"</definedName>
    <definedName name="IQ_PERCENT_CHANGE_EST_CFPS_DAY_REUT" hidden="1">"c3919"</definedName>
    <definedName name="IQ_PERCENT_CHANGE_EST_CFPS_DAY_THOM" hidden="1">"c5229"</definedName>
    <definedName name="IQ_PERCENT_CHANGE_EST_CFPS_MONTH" hidden="1">"c1808"</definedName>
    <definedName name="IQ_PERCENT_CHANGE_EST_CFPS_MONTH_REUT" hidden="1">"c3920"</definedName>
    <definedName name="IQ_PERCENT_CHANGE_EST_CFPS_MONTH_THOM" hidden="1">"c5230"</definedName>
    <definedName name="IQ_PERCENT_CHANGE_EST_CFPS_WEEK" hidden="1">"c1807"</definedName>
    <definedName name="IQ_PERCENT_CHANGE_EST_CFPS_WEEK_REUT" hidden="1">"c3962"</definedName>
    <definedName name="IQ_PERCENT_CHANGE_EST_CFPS_WEEK_THOM" hidden="1">"c5272"</definedName>
    <definedName name="IQ_PERCENT_CHANGE_EST_DPS_12MONTHS" hidden="1">"c1820"</definedName>
    <definedName name="IQ_PERCENT_CHANGE_EST_DPS_12MONTHS_REUT" hidden="1">"c3931"</definedName>
    <definedName name="IQ_PERCENT_CHANGE_EST_DPS_12MONTHS_THOM" hidden="1">"c5241"</definedName>
    <definedName name="IQ_PERCENT_CHANGE_EST_DPS_18MONTHS" hidden="1">"c1821"</definedName>
    <definedName name="IQ_PERCENT_CHANGE_EST_DPS_18MONTHS_REUT" hidden="1">"c3932"</definedName>
    <definedName name="IQ_PERCENT_CHANGE_EST_DPS_18MONTHS_THOM" hidden="1">"c5242"</definedName>
    <definedName name="IQ_PERCENT_CHANGE_EST_DPS_3MONTHS" hidden="1">"c1817"</definedName>
    <definedName name="IQ_PERCENT_CHANGE_EST_DPS_3MONTHS_REUT" hidden="1">"c3928"</definedName>
    <definedName name="IQ_PERCENT_CHANGE_EST_DPS_3MONTHS_THOM" hidden="1">"c5238"</definedName>
    <definedName name="IQ_PERCENT_CHANGE_EST_DPS_6MONTHS" hidden="1">"c1818"</definedName>
    <definedName name="IQ_PERCENT_CHANGE_EST_DPS_6MONTHS_REUT" hidden="1">"c3929"</definedName>
    <definedName name="IQ_PERCENT_CHANGE_EST_DPS_6MONTHS_THOM" hidden="1">"c5239"</definedName>
    <definedName name="IQ_PERCENT_CHANGE_EST_DPS_9MONTHS" hidden="1">"c1819"</definedName>
    <definedName name="IQ_PERCENT_CHANGE_EST_DPS_9MONTHS_REUT" hidden="1">"c3930"</definedName>
    <definedName name="IQ_PERCENT_CHANGE_EST_DPS_9MONTHS_THOM" hidden="1">"c5240"</definedName>
    <definedName name="IQ_PERCENT_CHANGE_EST_DPS_DAY" hidden="1">"c1814"</definedName>
    <definedName name="IQ_PERCENT_CHANGE_EST_DPS_DAY_REUT" hidden="1">"c3926"</definedName>
    <definedName name="IQ_PERCENT_CHANGE_EST_DPS_DAY_THOM" hidden="1">"c5236"</definedName>
    <definedName name="IQ_PERCENT_CHANGE_EST_DPS_MONTH" hidden="1">"c1816"</definedName>
    <definedName name="IQ_PERCENT_CHANGE_EST_DPS_MONTH_REUT" hidden="1">"c3927"</definedName>
    <definedName name="IQ_PERCENT_CHANGE_EST_DPS_MONTH_THOM" hidden="1">"c5237"</definedName>
    <definedName name="IQ_PERCENT_CHANGE_EST_DPS_WEEK" hidden="1">"c1815"</definedName>
    <definedName name="IQ_PERCENT_CHANGE_EST_DPS_WEEK_REUT" hidden="1">"c3963"</definedName>
    <definedName name="IQ_PERCENT_CHANGE_EST_DPS_WEEK_THOM" hidden="1">"c5273"</definedName>
    <definedName name="IQ_PERCENT_CHANGE_EST_EBITDA_12MONTHS" hidden="1">"c1804"</definedName>
    <definedName name="IQ_PERCENT_CHANGE_EST_EBITDA_12MONTHS_CIQ" hidden="1">"c3748"</definedName>
    <definedName name="IQ_PERCENT_CHANGE_EST_EBITDA_12MONTHS_REUT" hidden="1">"c3917"</definedName>
    <definedName name="IQ_PERCENT_CHANGE_EST_EBITDA_12MONTHS_THOM" hidden="1">"c5227"</definedName>
    <definedName name="IQ_PERCENT_CHANGE_EST_EBITDA_18MONTHS" hidden="1">"c1805"</definedName>
    <definedName name="IQ_PERCENT_CHANGE_EST_EBITDA_18MONTHS_CIQ" hidden="1">"c3749"</definedName>
    <definedName name="IQ_PERCENT_CHANGE_EST_EBITDA_18MONTHS_REUT" hidden="1">"c3918"</definedName>
    <definedName name="IQ_PERCENT_CHANGE_EST_EBITDA_18MONTHS_THOM" hidden="1">"c5228"</definedName>
    <definedName name="IQ_PERCENT_CHANGE_EST_EBITDA_3MONTHS" hidden="1">"c1801"</definedName>
    <definedName name="IQ_PERCENT_CHANGE_EST_EBITDA_3MONTHS_CIQ" hidden="1">"c3745"</definedName>
    <definedName name="IQ_PERCENT_CHANGE_EST_EBITDA_3MONTHS_REUT" hidden="1">"c3914"</definedName>
    <definedName name="IQ_PERCENT_CHANGE_EST_EBITDA_3MONTHS_THOM" hidden="1">"c5224"</definedName>
    <definedName name="IQ_PERCENT_CHANGE_EST_EBITDA_6MONTHS" hidden="1">"c1802"</definedName>
    <definedName name="IQ_PERCENT_CHANGE_EST_EBITDA_6MONTHS_CIQ" hidden="1">"c3746"</definedName>
    <definedName name="IQ_PERCENT_CHANGE_EST_EBITDA_6MONTHS_REUT" hidden="1">"c3915"</definedName>
    <definedName name="IQ_PERCENT_CHANGE_EST_EBITDA_6MONTHS_THOM" hidden="1">"c5225"</definedName>
    <definedName name="IQ_PERCENT_CHANGE_EST_EBITDA_9MONTHS" hidden="1">"c1803"</definedName>
    <definedName name="IQ_PERCENT_CHANGE_EST_EBITDA_9MONTHS_CIQ" hidden="1">"c3747"</definedName>
    <definedName name="IQ_PERCENT_CHANGE_EST_EBITDA_9MONTHS_REUT" hidden="1">"c3916"</definedName>
    <definedName name="IQ_PERCENT_CHANGE_EST_EBITDA_9MONTHS_THOM" hidden="1">"c5226"</definedName>
    <definedName name="IQ_PERCENT_CHANGE_EST_EBITDA_DAY" hidden="1">"c1798"</definedName>
    <definedName name="IQ_PERCENT_CHANGE_EST_EBITDA_DAY_CIQ" hidden="1">"c3743"</definedName>
    <definedName name="IQ_PERCENT_CHANGE_EST_EBITDA_DAY_REUT" hidden="1">"c3912"</definedName>
    <definedName name="IQ_PERCENT_CHANGE_EST_EBITDA_DAY_THOM" hidden="1">"c5222"</definedName>
    <definedName name="IQ_PERCENT_CHANGE_EST_EBITDA_MONTH" hidden="1">"c1800"</definedName>
    <definedName name="IQ_PERCENT_CHANGE_EST_EBITDA_MONTH_CIQ" hidden="1">"c3744"</definedName>
    <definedName name="IQ_PERCENT_CHANGE_EST_EBITDA_MONTH_REUT" hidden="1">"c3913"</definedName>
    <definedName name="IQ_PERCENT_CHANGE_EST_EBITDA_MONTH_THOM" hidden="1">"c5223"</definedName>
    <definedName name="IQ_PERCENT_CHANGE_EST_EBITDA_WEEK" hidden="1">"c1799"</definedName>
    <definedName name="IQ_PERCENT_CHANGE_EST_EBITDA_WEEK_CIQ" hidden="1">"c3792"</definedName>
    <definedName name="IQ_PERCENT_CHANGE_EST_EBITDA_WEEK_REUT" hidden="1">"c3961"</definedName>
    <definedName name="IQ_PERCENT_CHANGE_EST_EBITDA_WEEK_THOM" hidden="1">"c5271"</definedName>
    <definedName name="IQ_PERCENT_CHANGE_EST_EPS_12MONTHS" hidden="1">"c1788"</definedName>
    <definedName name="IQ_PERCENT_CHANGE_EST_EPS_12MONTHS_CIQ" hidden="1">"c3733"</definedName>
    <definedName name="IQ_PERCENT_CHANGE_EST_EPS_12MONTHS_REUT" hidden="1">"c3902"</definedName>
    <definedName name="IQ_PERCENT_CHANGE_EST_EPS_12MONTHS_THOM" hidden="1">"c5212"</definedName>
    <definedName name="IQ_PERCENT_CHANGE_EST_EPS_18MONTHS" hidden="1">"c1789"</definedName>
    <definedName name="IQ_PERCENT_CHANGE_EST_EPS_18MONTHS_CIQ" hidden="1">"c3734"</definedName>
    <definedName name="IQ_PERCENT_CHANGE_EST_EPS_18MONTHS_REUT" hidden="1">"c3903"</definedName>
    <definedName name="IQ_PERCENT_CHANGE_EST_EPS_18MONTHS_THOM" hidden="1">"c5213"</definedName>
    <definedName name="IQ_PERCENT_CHANGE_EST_EPS_3MONTHS" hidden="1">"c1785"</definedName>
    <definedName name="IQ_PERCENT_CHANGE_EST_EPS_3MONTHS_CIQ" hidden="1">"c3730"</definedName>
    <definedName name="IQ_PERCENT_CHANGE_EST_EPS_3MONTHS_REUT" hidden="1">"c3899"</definedName>
    <definedName name="IQ_PERCENT_CHANGE_EST_EPS_3MONTHS_THOM" hidden="1">"c5209"</definedName>
    <definedName name="IQ_PERCENT_CHANGE_EST_EPS_6MONTHS" hidden="1">"c1786"</definedName>
    <definedName name="IQ_PERCENT_CHANGE_EST_EPS_6MONTHS_CIQ" hidden="1">"c3731"</definedName>
    <definedName name="IQ_PERCENT_CHANGE_EST_EPS_6MONTHS_REUT" hidden="1">"c3900"</definedName>
    <definedName name="IQ_PERCENT_CHANGE_EST_EPS_6MONTHS_THOM" hidden="1">"c5210"</definedName>
    <definedName name="IQ_PERCENT_CHANGE_EST_EPS_9MONTHS" hidden="1">"c1787"</definedName>
    <definedName name="IQ_PERCENT_CHANGE_EST_EPS_9MONTHS_CIQ" hidden="1">"c3732"</definedName>
    <definedName name="IQ_PERCENT_CHANGE_EST_EPS_9MONTHS_REUT" hidden="1">"c3901"</definedName>
    <definedName name="IQ_PERCENT_CHANGE_EST_EPS_9MONTHS_THOM" hidden="1">"c5211"</definedName>
    <definedName name="IQ_PERCENT_CHANGE_EST_EPS_DAY" hidden="1">"c1782"</definedName>
    <definedName name="IQ_PERCENT_CHANGE_EST_EPS_DAY_CIQ" hidden="1">"c3727"</definedName>
    <definedName name="IQ_PERCENT_CHANGE_EST_EPS_DAY_REUT" hidden="1">"c3896"</definedName>
    <definedName name="IQ_PERCENT_CHANGE_EST_EPS_DAY_THOM" hidden="1">"c5206"</definedName>
    <definedName name="IQ_PERCENT_CHANGE_EST_EPS_MONTH" hidden="1">"c1784"</definedName>
    <definedName name="IQ_PERCENT_CHANGE_EST_EPS_MONTH_CIQ" hidden="1">"c3729"</definedName>
    <definedName name="IQ_PERCENT_CHANGE_EST_EPS_MONTH_REUT" hidden="1">"c3898"</definedName>
    <definedName name="IQ_PERCENT_CHANGE_EST_EPS_MONTH_THOM" hidden="1">"c5208"</definedName>
    <definedName name="IQ_PERCENT_CHANGE_EST_EPS_WEEK" hidden="1">"c1783"</definedName>
    <definedName name="IQ_PERCENT_CHANGE_EST_EPS_WEEK_CIQ" hidden="1">"c3728"</definedName>
    <definedName name="IQ_PERCENT_CHANGE_EST_EPS_WEEK_REUT" hidden="1">"c3897"</definedName>
    <definedName name="IQ_PERCENT_CHANGE_EST_EPS_WEEK_THOM" hidden="1">"c5207"</definedName>
    <definedName name="IQ_PERCENT_CHANGE_EST_FFO_12MONTHS" hidden="1">"c1828"</definedName>
    <definedName name="IQ_PERCENT_CHANGE_EST_FFO_12MONTHS_REUT" hidden="1">"c3938"</definedName>
    <definedName name="IQ_PERCENT_CHANGE_EST_FFO_12MONTHS_THOM" hidden="1">"c5248"</definedName>
    <definedName name="IQ_PERCENT_CHANGE_EST_FFO_18MONTHS" hidden="1">"c1829"</definedName>
    <definedName name="IQ_PERCENT_CHANGE_EST_FFO_18MONTHS_REUT" hidden="1">"c3939"</definedName>
    <definedName name="IQ_PERCENT_CHANGE_EST_FFO_18MONTHS_THOM" hidden="1">"c5249"</definedName>
    <definedName name="IQ_PERCENT_CHANGE_EST_FFO_3MONTHS" hidden="1">"c1825"</definedName>
    <definedName name="IQ_PERCENT_CHANGE_EST_FFO_3MONTHS_REUT" hidden="1">"c3935"</definedName>
    <definedName name="IQ_PERCENT_CHANGE_EST_FFO_3MONTHS_THOM" hidden="1">"c5245"</definedName>
    <definedName name="IQ_PERCENT_CHANGE_EST_FFO_6MONTHS" hidden="1">"c1826"</definedName>
    <definedName name="IQ_PERCENT_CHANGE_EST_FFO_6MONTHS_REUT" hidden="1">"c3936"</definedName>
    <definedName name="IQ_PERCENT_CHANGE_EST_FFO_6MONTHS_THOM" hidden="1">"c5246"</definedName>
    <definedName name="IQ_PERCENT_CHANGE_EST_FFO_9MONTHS" hidden="1">"c1827"</definedName>
    <definedName name="IQ_PERCENT_CHANGE_EST_FFO_9MONTHS_REUT" hidden="1">"c3937"</definedName>
    <definedName name="IQ_PERCENT_CHANGE_EST_FFO_9MONTHS_THOM" hidden="1">"c5247"</definedName>
    <definedName name="IQ_PERCENT_CHANGE_EST_FFO_DAY" hidden="1">"c1822"</definedName>
    <definedName name="IQ_PERCENT_CHANGE_EST_FFO_DAY_REUT" hidden="1">"c3933"</definedName>
    <definedName name="IQ_PERCENT_CHANGE_EST_FFO_DAY_THOM" hidden="1">"c5243"</definedName>
    <definedName name="IQ_PERCENT_CHANGE_EST_FFO_MONTH" hidden="1">"c1824"</definedName>
    <definedName name="IQ_PERCENT_CHANGE_EST_FFO_MONTH_REUT" hidden="1">"c3934"</definedName>
    <definedName name="IQ_PERCENT_CHANGE_EST_FFO_MONTH_THOM" hidden="1">"c5244"</definedName>
    <definedName name="IQ_PERCENT_CHANGE_EST_FFO_SHARE_SHARE_12MONTHS" hidden="1">"c1828"</definedName>
    <definedName name="IQ_PERCENT_CHANGE_EST_FFO_SHARE_SHARE_12MONTHS_REUT" hidden="1">"c3938"</definedName>
    <definedName name="IQ_PERCENT_CHANGE_EST_FFO_SHARE_SHARE_12MONTHS_THOM" hidden="1">"c5248"</definedName>
    <definedName name="IQ_PERCENT_CHANGE_EST_FFO_SHARE_SHARE_18MONTHS" hidden="1">"c1829"</definedName>
    <definedName name="IQ_PERCENT_CHANGE_EST_FFO_SHARE_SHARE_18MONTHS_REUT" hidden="1">"c3939"</definedName>
    <definedName name="IQ_PERCENT_CHANGE_EST_FFO_SHARE_SHARE_18MONTHS_THOM" hidden="1">"c5249"</definedName>
    <definedName name="IQ_PERCENT_CHANGE_EST_FFO_SHARE_SHARE_3MONTHS" hidden="1">"c1825"</definedName>
    <definedName name="IQ_PERCENT_CHANGE_EST_FFO_SHARE_SHARE_3MONTHS_REUT" hidden="1">"c3935"</definedName>
    <definedName name="IQ_PERCENT_CHANGE_EST_FFO_SHARE_SHARE_3MONTHS_THOM" hidden="1">"c5245"</definedName>
    <definedName name="IQ_PERCENT_CHANGE_EST_FFO_SHARE_SHARE_6MONTHS" hidden="1">"c1826"</definedName>
    <definedName name="IQ_PERCENT_CHANGE_EST_FFO_SHARE_SHARE_6MONTHS_REUT" hidden="1">"c3936"</definedName>
    <definedName name="IQ_PERCENT_CHANGE_EST_FFO_SHARE_SHARE_6MONTHS_THOM" hidden="1">"c5246"</definedName>
    <definedName name="IQ_PERCENT_CHANGE_EST_FFO_SHARE_SHARE_9MONTHS" hidden="1">"c1827"</definedName>
    <definedName name="IQ_PERCENT_CHANGE_EST_FFO_SHARE_SHARE_9MONTHS_REUT" hidden="1">"c3937"</definedName>
    <definedName name="IQ_PERCENT_CHANGE_EST_FFO_SHARE_SHARE_9MONTHS_THOM" hidden="1">"c5247"</definedName>
    <definedName name="IQ_PERCENT_CHANGE_EST_FFO_SHARE_SHARE_DAY" hidden="1">"c1822"</definedName>
    <definedName name="IQ_PERCENT_CHANGE_EST_FFO_SHARE_SHARE_DAY_REUT" hidden="1">"c3933"</definedName>
    <definedName name="IQ_PERCENT_CHANGE_EST_FFO_SHARE_SHARE_DAY_THOM" hidden="1">"c5243"</definedName>
    <definedName name="IQ_PERCENT_CHANGE_EST_FFO_SHARE_SHARE_MONTH" hidden="1">"c1824"</definedName>
    <definedName name="IQ_PERCENT_CHANGE_EST_FFO_SHARE_SHARE_MONTH_REUT" hidden="1">"c3934"</definedName>
    <definedName name="IQ_PERCENT_CHANGE_EST_FFO_SHARE_SHARE_MONTH_THOM" hidden="1">"c5244"</definedName>
    <definedName name="IQ_PERCENT_CHANGE_EST_FFO_SHARE_SHARE_WEEK" hidden="1">"c1823"</definedName>
    <definedName name="IQ_PERCENT_CHANGE_EST_FFO_SHARE_SHARE_WEEK_REUT" hidden="1">"c3964"</definedName>
    <definedName name="IQ_PERCENT_CHANGE_EST_FFO_SHARE_SHARE_WEEK_THOM" hidden="1">"c5274"</definedName>
    <definedName name="IQ_PERCENT_CHANGE_EST_FFO_WEEK" hidden="1">"c1823"</definedName>
    <definedName name="IQ_PERCENT_CHANGE_EST_FFO_WEEK_REUT" hidden="1">"c3964"</definedName>
    <definedName name="IQ_PERCENT_CHANGE_EST_FFO_WEEK_THOM" hidden="1">"c5274"</definedName>
    <definedName name="IQ_PERCENT_CHANGE_EST_PRICE_TARGET_12MONTHS" hidden="1">"c1844"</definedName>
    <definedName name="IQ_PERCENT_CHANGE_EST_PRICE_TARGET_12MONTHS_CIQ" hidden="1">"c3783"</definedName>
    <definedName name="IQ_PERCENT_CHANGE_EST_PRICE_TARGET_12MONTHS_REUT" hidden="1">"c3952"</definedName>
    <definedName name="IQ_PERCENT_CHANGE_EST_PRICE_TARGET_12MONTHS_THOM" hidden="1">"c5262"</definedName>
    <definedName name="IQ_PERCENT_CHANGE_EST_PRICE_TARGET_18MONTHS" hidden="1">"c1845"</definedName>
    <definedName name="IQ_PERCENT_CHANGE_EST_PRICE_TARGET_18MONTHS_CIQ" hidden="1">"c3784"</definedName>
    <definedName name="IQ_PERCENT_CHANGE_EST_PRICE_TARGET_18MONTHS_REUT" hidden="1">"c3953"</definedName>
    <definedName name="IQ_PERCENT_CHANGE_EST_PRICE_TARGET_18MONTHS_THOM" hidden="1">"c5263"</definedName>
    <definedName name="IQ_PERCENT_CHANGE_EST_PRICE_TARGET_3MONTHS" hidden="1">"c1841"</definedName>
    <definedName name="IQ_PERCENT_CHANGE_EST_PRICE_TARGET_3MONTHS_CIQ" hidden="1">"c3780"</definedName>
    <definedName name="IQ_PERCENT_CHANGE_EST_PRICE_TARGET_3MONTHS_REUT" hidden="1">"c3949"</definedName>
    <definedName name="IQ_PERCENT_CHANGE_EST_PRICE_TARGET_3MONTHS_THOM" hidden="1">"c5259"</definedName>
    <definedName name="IQ_PERCENT_CHANGE_EST_PRICE_TARGET_6MONTHS" hidden="1">"c1842"</definedName>
    <definedName name="IQ_PERCENT_CHANGE_EST_PRICE_TARGET_6MONTHS_CIQ" hidden="1">"c3781"</definedName>
    <definedName name="IQ_PERCENT_CHANGE_EST_PRICE_TARGET_6MONTHS_REUT" hidden="1">"c3950"</definedName>
    <definedName name="IQ_PERCENT_CHANGE_EST_PRICE_TARGET_6MONTHS_THOM" hidden="1">"c5260"</definedName>
    <definedName name="IQ_PERCENT_CHANGE_EST_PRICE_TARGET_9MONTHS" hidden="1">"c1843"</definedName>
    <definedName name="IQ_PERCENT_CHANGE_EST_PRICE_TARGET_9MONTHS_CIQ" hidden="1">"c3782"</definedName>
    <definedName name="IQ_PERCENT_CHANGE_EST_PRICE_TARGET_9MONTHS_REUT" hidden="1">"c3951"</definedName>
    <definedName name="IQ_PERCENT_CHANGE_EST_PRICE_TARGET_9MONTHS_THOM" hidden="1">"c5261"</definedName>
    <definedName name="IQ_PERCENT_CHANGE_EST_PRICE_TARGET_DAY" hidden="1">"c1838"</definedName>
    <definedName name="IQ_PERCENT_CHANGE_EST_PRICE_TARGET_DAY_CIQ" hidden="1">"c3778"</definedName>
    <definedName name="IQ_PERCENT_CHANGE_EST_PRICE_TARGET_DAY_REUT" hidden="1">"c3947"</definedName>
    <definedName name="IQ_PERCENT_CHANGE_EST_PRICE_TARGET_DAY_THOM" hidden="1">"c5257"</definedName>
    <definedName name="IQ_PERCENT_CHANGE_EST_PRICE_TARGET_MONTH" hidden="1">"c1840"</definedName>
    <definedName name="IQ_PERCENT_CHANGE_EST_PRICE_TARGET_MONTH_CIQ" hidden="1">"c3779"</definedName>
    <definedName name="IQ_PERCENT_CHANGE_EST_PRICE_TARGET_MONTH_REUT" hidden="1">"c3948"</definedName>
    <definedName name="IQ_PERCENT_CHANGE_EST_PRICE_TARGET_MONTH_THOM" hidden="1">"c5258"</definedName>
    <definedName name="IQ_PERCENT_CHANGE_EST_PRICE_TARGET_WEEK" hidden="1">"c1839"</definedName>
    <definedName name="IQ_PERCENT_CHANGE_EST_PRICE_TARGET_WEEK_CIQ" hidden="1">"c3798"</definedName>
    <definedName name="IQ_PERCENT_CHANGE_EST_PRICE_TARGET_WEEK_REUT" hidden="1">"c3967"</definedName>
    <definedName name="IQ_PERCENT_CHANGE_EST_PRICE_TARGET_WEEK_THOM" hidden="1">"c5276"</definedName>
    <definedName name="IQ_PERCENT_CHANGE_EST_RECO_12MONTHS" hidden="1">"c1836"</definedName>
    <definedName name="IQ_PERCENT_CHANGE_EST_RECO_12MONTHS_CIQ" hidden="1">"c3776"</definedName>
    <definedName name="IQ_PERCENT_CHANGE_EST_RECO_12MONTHS_REUT" hidden="1">"c3945"</definedName>
    <definedName name="IQ_PERCENT_CHANGE_EST_RECO_12MONTHS_THOM" hidden="1">"c5255"</definedName>
    <definedName name="IQ_PERCENT_CHANGE_EST_RECO_18MONTHS" hidden="1">"c1837"</definedName>
    <definedName name="IQ_PERCENT_CHANGE_EST_RECO_18MONTHS_CIQ" hidden="1">"c3777"</definedName>
    <definedName name="IQ_PERCENT_CHANGE_EST_RECO_18MONTHS_REUT" hidden="1">"c3946"</definedName>
    <definedName name="IQ_PERCENT_CHANGE_EST_RECO_18MONTHS_THOM" hidden="1">"c5256"</definedName>
    <definedName name="IQ_PERCENT_CHANGE_EST_RECO_3MONTHS" hidden="1">"c1833"</definedName>
    <definedName name="IQ_PERCENT_CHANGE_EST_RECO_3MONTHS_CIQ" hidden="1">"c3773"</definedName>
    <definedName name="IQ_PERCENT_CHANGE_EST_RECO_3MONTHS_REUT" hidden="1">"c3942"</definedName>
    <definedName name="IQ_PERCENT_CHANGE_EST_RECO_3MONTHS_THOM" hidden="1">"c5252"</definedName>
    <definedName name="IQ_PERCENT_CHANGE_EST_RECO_6MONTHS" hidden="1">"c1834"</definedName>
    <definedName name="IQ_PERCENT_CHANGE_EST_RECO_6MONTHS_CIQ" hidden="1">"c3774"</definedName>
    <definedName name="IQ_PERCENT_CHANGE_EST_RECO_6MONTHS_REUT" hidden="1">"c3943"</definedName>
    <definedName name="IQ_PERCENT_CHANGE_EST_RECO_6MONTHS_THOM" hidden="1">"c5253"</definedName>
    <definedName name="IQ_PERCENT_CHANGE_EST_RECO_9MONTHS" hidden="1">"c1835"</definedName>
    <definedName name="IQ_PERCENT_CHANGE_EST_RECO_9MONTHS_CIQ" hidden="1">"c3775"</definedName>
    <definedName name="IQ_PERCENT_CHANGE_EST_RECO_9MONTHS_REUT" hidden="1">"c3944"</definedName>
    <definedName name="IQ_PERCENT_CHANGE_EST_RECO_9MONTHS_THOM" hidden="1">"c5254"</definedName>
    <definedName name="IQ_PERCENT_CHANGE_EST_RECO_DAY" hidden="1">"c1830"</definedName>
    <definedName name="IQ_PERCENT_CHANGE_EST_RECO_DAY_CIQ" hidden="1">"c3771"</definedName>
    <definedName name="IQ_PERCENT_CHANGE_EST_RECO_DAY_REUT" hidden="1">"c3940"</definedName>
    <definedName name="IQ_PERCENT_CHANGE_EST_RECO_DAY_THOM" hidden="1">"c5250"</definedName>
    <definedName name="IQ_PERCENT_CHANGE_EST_RECO_MONTH" hidden="1">"c1832"</definedName>
    <definedName name="IQ_PERCENT_CHANGE_EST_RECO_MONTH_CIQ" hidden="1">"c3772"</definedName>
    <definedName name="IQ_PERCENT_CHANGE_EST_RECO_MONTH_REUT" hidden="1">"c3941"</definedName>
    <definedName name="IQ_PERCENT_CHANGE_EST_RECO_MONTH_THOM" hidden="1">"c5251"</definedName>
    <definedName name="IQ_PERCENT_CHANGE_EST_RECO_WEEK" hidden="1">"c1831"</definedName>
    <definedName name="IQ_PERCENT_CHANGE_EST_RECO_WEEK_CIQ" hidden="1">"c3796"</definedName>
    <definedName name="IQ_PERCENT_CHANGE_EST_RECO_WEEK_REUT" hidden="1">"c3966"</definedName>
    <definedName name="IQ_PERCENT_CHANGE_EST_RECO_WEEK_THOM" hidden="1">"c5275"</definedName>
    <definedName name="IQ_PERCENT_CHANGE_EST_REV_12MONTHS" hidden="1">"c1796"</definedName>
    <definedName name="IQ_PERCENT_CHANGE_EST_REV_12MONTHS_CIQ" hidden="1">"c3741"</definedName>
    <definedName name="IQ_PERCENT_CHANGE_EST_REV_12MONTHS_REUT" hidden="1">"c3910"</definedName>
    <definedName name="IQ_PERCENT_CHANGE_EST_REV_12MONTHS_THOM" hidden="1">"c5220"</definedName>
    <definedName name="IQ_PERCENT_CHANGE_EST_REV_18MONTHS" hidden="1">"c1797"</definedName>
    <definedName name="IQ_PERCENT_CHANGE_EST_REV_18MONTHS_CIQ" hidden="1">"c3742"</definedName>
    <definedName name="IQ_PERCENT_CHANGE_EST_REV_18MONTHS_REUT" hidden="1">"c3911"</definedName>
    <definedName name="IQ_PERCENT_CHANGE_EST_REV_18MONTHS_THOM" hidden="1">"c5221"</definedName>
    <definedName name="IQ_PERCENT_CHANGE_EST_REV_3MONTHS" hidden="1">"c1793"</definedName>
    <definedName name="IQ_PERCENT_CHANGE_EST_REV_3MONTHS_CIQ" hidden="1">"c3738"</definedName>
    <definedName name="IQ_PERCENT_CHANGE_EST_REV_3MONTHS_REUT" hidden="1">"c3907"</definedName>
    <definedName name="IQ_PERCENT_CHANGE_EST_REV_3MONTHS_THOM" hidden="1">"c5217"</definedName>
    <definedName name="IQ_PERCENT_CHANGE_EST_REV_6MONTHS" hidden="1">"c1794"</definedName>
    <definedName name="IQ_PERCENT_CHANGE_EST_REV_6MONTHS_CIQ" hidden="1">"c3739"</definedName>
    <definedName name="IQ_PERCENT_CHANGE_EST_REV_6MONTHS_REUT" hidden="1">"c3908"</definedName>
    <definedName name="IQ_PERCENT_CHANGE_EST_REV_6MONTHS_THOM" hidden="1">"c5218"</definedName>
    <definedName name="IQ_PERCENT_CHANGE_EST_REV_9MONTHS" hidden="1">"c1795"</definedName>
    <definedName name="IQ_PERCENT_CHANGE_EST_REV_9MONTHS_CIQ" hidden="1">"c3740"</definedName>
    <definedName name="IQ_PERCENT_CHANGE_EST_REV_9MONTHS_REUT" hidden="1">"c3909"</definedName>
    <definedName name="IQ_PERCENT_CHANGE_EST_REV_9MONTHS_THOM" hidden="1">"c5219"</definedName>
    <definedName name="IQ_PERCENT_CHANGE_EST_REV_DAY" hidden="1">"c1790"</definedName>
    <definedName name="IQ_PERCENT_CHANGE_EST_REV_DAY_CIQ" hidden="1">"c3735"</definedName>
    <definedName name="IQ_PERCENT_CHANGE_EST_REV_DAY_REUT" hidden="1">"c3904"</definedName>
    <definedName name="IQ_PERCENT_CHANGE_EST_REV_DAY_THOM" hidden="1">"c5214"</definedName>
    <definedName name="IQ_PERCENT_CHANGE_EST_REV_MONTH" hidden="1">"c1792"</definedName>
    <definedName name="IQ_PERCENT_CHANGE_EST_REV_MONTH_CIQ" hidden="1">"c3737"</definedName>
    <definedName name="IQ_PERCENT_CHANGE_EST_REV_MONTH_REUT" hidden="1">"c3906"</definedName>
    <definedName name="IQ_PERCENT_CHANGE_EST_REV_MONTH_THOM" hidden="1">"c5216"</definedName>
    <definedName name="IQ_PERCENT_CHANGE_EST_REV_WEEK" hidden="1">"c1791"</definedName>
    <definedName name="IQ_PERCENT_CHANGE_EST_REV_WEEK_CIQ" hidden="1">"c3736"</definedName>
    <definedName name="IQ_PERCENT_CHANGE_EST_REV_WEEK_REUT" hidden="1">"c3905"</definedName>
    <definedName name="IQ_PERCENT_CHANGE_EST_REV_WEEK_THOM" hidden="1">"c5215"</definedName>
    <definedName name="IQ_PERCENT_INSURED_FDIC" hidden="1">"c6374"</definedName>
    <definedName name="IQ_PERFORMANCE_LOC_FOREIGN_GUARANTEES_FFIEC" hidden="1">"c13251"</definedName>
    <definedName name="IQ_PERIODDATE" hidden="1">"c1414"</definedName>
    <definedName name="IQ_PERIODDATE_AP" hidden="1">"c11745"</definedName>
    <definedName name="IQ_PERIODDATE_BS" hidden="1">"c1032"</definedName>
    <definedName name="IQ_PERIODDATE_CF" hidden="1">"c1033"</definedName>
    <definedName name="IQ_PERIODDATE_FDIC" hidden="1">"c13646"</definedName>
    <definedName name="IQ_PERIODDATE_FFIEC" hidden="1">"c13645"</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SONNEL_EXP_AVG_ASSETS_FFIEC" hidden="1">"c13371"</definedName>
    <definedName name="IQ_PERSONNEL_EXP_OPERATING_INC_FFIEC" hidden="1">"c13379"</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_INVEST_SECURITIES_FFIEC" hidden="1">"c13467"</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LICYHOLDER_BENEFITS_LH_FFIEC" hidden="1">"c13107"</definedName>
    <definedName name="IQ_POOL_AMT_ORIGINAL" hidden="1">"c8970"</definedName>
    <definedName name="IQ_POOL_NAME" hidden="1">"c8967"</definedName>
    <definedName name="IQ_POOL_NUMBER" hidden="1">"c8968"</definedName>
    <definedName name="IQ_POOL_TYPE" hidden="1">"c8969"</definedName>
    <definedName name="IQ_POSITIVE_FAIR_VALUE_DERIVATIVES_BENEFICIARY_FFIEC" hidden="1">"c13123"</definedName>
    <definedName name="IQ_POSITIVE_FAIR_VALUE_DERIVATIVES_GUARANTOR_FFIEC" hidden="1">"c13116"</definedName>
    <definedName name="IQ_POST_RETIRE_EXP" hidden="1">"c1039"</definedName>
    <definedName name="IQ_POSTAGE_FFIEC" hidden="1">"c13051"</definedName>
    <definedName name="IQ_POSTPAID_CHURN" hidden="1">"c2121"</definedName>
    <definedName name="IQ_POSTPAID_SUBS" hidden="1">"c2118"</definedName>
    <definedName name="IQ_POTENTIAL_UPSIDE" hidden="1">"c1855"</definedName>
    <definedName name="IQ_POTENTIAL_UPSIDE_CIQ" hidden="1">"c3799"</definedName>
    <definedName name="IQ_POTENTIAL_UPSIDE_REUT" hidden="1">"c3968"</definedName>
    <definedName name="IQ_POTENTIAL_UPSIDE_THOM" hidden="1">"c5279"</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ACT_OR_EST" hidden="1">"c2221"</definedName>
    <definedName name="IQ_PRE_TAX_ACT_OR_EST_REUT" hidden="1">"c5467"</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STOCK_FFIEC" hidden="1">"c12875"</definedName>
    <definedName name="IQ_PREF_TOT" hidden="1">"c1415"</definedName>
    <definedName name="IQ_PREFERRED_FDIC" hidden="1">"c6349"</definedName>
    <definedName name="IQ_PREFERRED_LIST" hidden="1">"c13506"</definedName>
    <definedName name="IQ_PREMISES_EQUIPMENT_FDIC" hidden="1">"c6577"</definedName>
    <definedName name="IQ_PREMISES_FIXED_ASSETS_CAP_LEASES_FFIEC" hidden="1">"c12830"</definedName>
    <definedName name="IQ_PREMIUM_INSURANCE_CREDIT_FFIEC" hidden="1">"c13070"</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DET_EST_CURRENCY_REUT" hidden="1">"c12531"</definedName>
    <definedName name="IQ_PRETAX_GW_INC_DET_EST_DATE_REUT" hidden="1">"c12290"</definedName>
    <definedName name="IQ_PRETAX_GW_INC_DET_EST_INCL_REUT" hidden="1">"c12414"</definedName>
    <definedName name="IQ_PRETAX_GW_INC_DET_EST_ORIGIN_REUT" hidden="1">"c12658"</definedName>
    <definedName name="IQ_PRETAX_GW_INC_DET_EST_REUT" hidden="1">"c12148"</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_DET_EST" hidden="1">"c12055"</definedName>
    <definedName name="IQ_PRETAX_INC_DET_EST_CURRENCY" hidden="1">"c12462"</definedName>
    <definedName name="IQ_PRETAX_INC_DET_EST_CURRENCY_REUT" hidden="1">"c12530"</definedName>
    <definedName name="IQ_PRETAX_INC_DET_EST_CURRENCY_THOM" hidden="1">"c12483"</definedName>
    <definedName name="IQ_PRETAX_INC_DET_EST_DATE" hidden="1">"c12208"</definedName>
    <definedName name="IQ_PRETAX_INC_DET_EST_DATE_REUT" hidden="1">"c12289"</definedName>
    <definedName name="IQ_PRETAX_INC_DET_EST_DATE_THOM" hidden="1">"c12234"</definedName>
    <definedName name="IQ_PRETAX_INC_DET_EST_INCL" hidden="1">"c12345"</definedName>
    <definedName name="IQ_PRETAX_INC_DET_EST_INCL_REUT" hidden="1">"c12413"</definedName>
    <definedName name="IQ_PRETAX_INC_DET_EST_INCL_THOM" hidden="1">"c12366"</definedName>
    <definedName name="IQ_PRETAX_INC_DET_EST_ORIGIN" hidden="1">"c12771"</definedName>
    <definedName name="IQ_PRETAX_INC_DET_EST_ORIGIN_REUT" hidden="1">"c12657"</definedName>
    <definedName name="IQ_PRETAX_INC_DET_EST_ORIGIN_THOM" hidden="1">"c12604"</definedName>
    <definedName name="IQ_PRETAX_INC_DET_EST_REUT" hidden="1">"c12147"</definedName>
    <definedName name="IQ_PRETAX_INC_DET_EST_THOM" hidden="1">"c12084"</definedName>
    <definedName name="IQ_PRETAX_INC_EST" hidden="1">"c1695"</definedName>
    <definedName name="IQ_PRETAX_INC_EST_REUT" hidden="1">"c5347"</definedName>
    <definedName name="IQ_PRETAX_INC_EST_THOM" hidden="1">"c5119"</definedName>
    <definedName name="IQ_PRETAX_INC_HIGH_EST" hidden="1">"c1697"</definedName>
    <definedName name="IQ_PRETAX_INC_HIGH_EST_REUT" hidden="1">"c5349"</definedName>
    <definedName name="IQ_PRETAX_INC_HIGH_EST_THOM" hidden="1">"c5121"</definedName>
    <definedName name="IQ_PRETAX_INC_LOW_EST" hidden="1">"c1698"</definedName>
    <definedName name="IQ_PRETAX_INC_LOW_EST_REUT" hidden="1">"c5350"</definedName>
    <definedName name="IQ_PRETAX_INC_LOW_EST_THOM" hidden="1">"c5122"</definedName>
    <definedName name="IQ_PRETAX_INC_MEDIAN_EST" hidden="1">"c1696"</definedName>
    <definedName name="IQ_PRETAX_INC_MEDIAN_EST_REUT" hidden="1">"c5348"</definedName>
    <definedName name="IQ_PRETAX_INC_MEDIAN_EST_THOM" hidden="1">"c5120"</definedName>
    <definedName name="IQ_PRETAX_INC_NUM_EST" hidden="1">"c1699"</definedName>
    <definedName name="IQ_PRETAX_INC_NUM_EST_REUT" hidden="1">"c5351"</definedName>
    <definedName name="IQ_PRETAX_INC_NUM_EST_THOM" hidden="1">"c5123"</definedName>
    <definedName name="IQ_PRETAX_INC_STDDEV_EST" hidden="1">"c1700"</definedName>
    <definedName name="IQ_PRETAX_INC_STDDEV_EST_REUT" hidden="1">"c5352"</definedName>
    <definedName name="IQ_PRETAX_INC_STDDEV_EST_THOM" hidden="1">"c5124"</definedName>
    <definedName name="IQ_PRETAX_OPERATING_INC_AVG_ASSETS_FFIEC" hidden="1">"c13365"</definedName>
    <definedName name="IQ_PRETAX_REPORT_INC_DET_EST_CURRENCY_REUT" hidden="1">"c12532"</definedName>
    <definedName name="IQ_PRETAX_REPORT_INC_DET_EST_DATE_REUT" hidden="1">"c12291"</definedName>
    <definedName name="IQ_PRETAX_REPORT_INC_DET_EST_INCL_REUT" hidden="1">"c12415"</definedName>
    <definedName name="IQ_PRETAX_REPORT_INC_DET_EST_ORIGIN_REUT" hidden="1">"c12769"</definedName>
    <definedName name="IQ_PRETAX_REPORT_INC_DET_EST_REUT" hidden="1">"c12149"</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ETAX_RETURN_ASSETS_FDIC" hidden="1">"c6731"</definedName>
    <definedName name="IQ_PREV_MONTHLY_FACTOR" hidden="1">"c8973"</definedName>
    <definedName name="IQ_PREV_MONTHLY_FACTOR_DATE" hidden="1">"c8974"</definedName>
    <definedName name="IQ_PRICE_CFPS_FWD" hidden="1">"c2237"</definedName>
    <definedName name="IQ_PRICE_CFPS_FWD_REUT" hidden="1">"c4053"</definedName>
    <definedName name="IQ_PRICE_CFPS_FWD_THOM" hidden="1">"c4060"</definedName>
    <definedName name="IQ_PRICE_OVER_BVPS" hidden="1">"c1412"</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BOTTOM_UP" hidden="1">"c5486"</definedName>
    <definedName name="IQ_PRICE_TARGET_BOTTOM_UP_CIQ" hidden="1">"c12023"</definedName>
    <definedName name="IQ_PRICE_TARGET_BOTTOM_UP_REUT" hidden="1">"c5494"</definedName>
    <definedName name="IQ_PRICE_TARGET_CIQ" hidden="1">"c3613"</definedName>
    <definedName name="IQ_PRICE_TARGET_REUT" hidden="1">"c3631"</definedName>
    <definedName name="IQ_PRICE_TARGET_THOM" hidden="1">"c3649"</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ING_DATE" hidden="1">"c1613"</definedName>
    <definedName name="IQ_PRIMARY_EPS_TYPE" hidden="1">"c4498"</definedName>
    <definedName name="IQ_PRIMARY_EPS_TYPE_REUT" hidden="1">"c5481"</definedName>
    <definedName name="IQ_PRIMARY_INDUSTRY" hidden="1">"c1070"</definedName>
    <definedName name="IQ_PRINCIPAL_AMT" hidden="1">"c2157"</definedName>
    <definedName name="IQ_PRIVATE_CONST_TOTAL_APR_FC_UNUSED" hidden="1">"c8559"</definedName>
    <definedName name="IQ_PRIVATE_CONST_TOTAL_APR_UNUSED" hidden="1">"c7679"</definedName>
    <definedName name="IQ_PRIVATE_CONST_TOTAL_FC_UNUSED" hidden="1">"c7899"</definedName>
    <definedName name="IQ_PRIVATE_CONST_TOTAL_POP_FC_UNUSED" hidden="1">"c8119"</definedName>
    <definedName name="IQ_PRIVATE_CONST_TOTAL_POP_UNUSED" hidden="1">"c7239"</definedName>
    <definedName name="IQ_PRIVATE_CONST_TOTAL_UNUSED" hidden="1">"c7019"</definedName>
    <definedName name="IQ_PRIVATE_CONST_TOTAL_YOY_FC_UNUSED" hidden="1">"c8339"</definedName>
    <definedName name="IQ_PRIVATE_CONST_TOTAL_YOY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UNUSED" hidden="1">"c7655"</definedName>
    <definedName name="IQ_PRIVATE_RES_CONST_REAL_FC_UNUSED" hidden="1">"c7875"</definedName>
    <definedName name="IQ_PRIVATE_RES_CONST_REAL_POP_FC_UNUSED" hidden="1">"c8095"</definedName>
    <definedName name="IQ_PRIVATE_RES_CONST_REAL_POP_UNUSED" hidden="1">"c7215"</definedName>
    <definedName name="IQ_PRIVATE_RES_CONST_REAL_UNUSED" hidden="1">"c6995"</definedName>
    <definedName name="IQ_PRIVATE_RES_CONST_REAL_YOY_FC_UNUSED" hidden="1">"c8315"</definedName>
    <definedName name="IQ_PRIVATE_RES_CONST_REAL_YOY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FESSIONAL" hidden="1">"c1071"</definedName>
    <definedName name="IQ_PROFESSIONAL_TITLE" hidden="1">"c1072"</definedName>
    <definedName name="IQ_PROFIT_AFTER_COST_CAPITAL_NEW_BUSINESS" hidden="1">"c9969"</definedName>
    <definedName name="IQ_PROFIT_BEFORE_COST_CAPITAL_NEW_BUSINESS" hidden="1">"c9967"</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ROVISION_LL_FFIEC" hidden="1">"c13019"</definedName>
    <definedName name="IQ_PROVISION_LOSSES_AVG_ASSETS_FFIEC" hidden="1">"c13362"</definedName>
    <definedName name="IQ_PROVISION_LOSSES_AVG_LOANS_FFIEC" hidden="1">"c13470"</definedName>
    <definedName name="IQ_PROVISION_LOSSES_NET_LOSSES_FFIEC" hidden="1">"c13471"</definedName>
    <definedName name="IQ_PTBV" hidden="1">"c1084"</definedName>
    <definedName name="IQ_PTBV_AVG" hidden="1">"c1085"</definedName>
    <definedName name="IQ_PURCHASE_FOREIGN_CURRENCIES_FDIC" hidden="1">"c6513"</definedName>
    <definedName name="IQ_PURCHASE_TREASURY_FFIEC" hidden="1">"c12966"</definedName>
    <definedName name="IQ_PURCHASED_CREDIT_RELS_SERVICING_ASSETS_FFIEC" hidden="1">"c12839"</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 hidden="1">"c8491"</definedName>
    <definedName name="IQ_PURCHASES_EQUIP_NONRES_SAAR_APR_UNUSED" hidden="1">"c7611"</definedName>
    <definedName name="IQ_PURCHASES_EQUIP_NONRES_SAAR_FC_UNUSED" hidden="1">"c7831"</definedName>
    <definedName name="IQ_PURCHASES_EQUIP_NONRES_SAAR_POP_FC_UNUSED" hidden="1">"c8051"</definedName>
    <definedName name="IQ_PURCHASES_EQUIP_NONRES_SAAR_POP_UNUSED" hidden="1">"c7171"</definedName>
    <definedName name="IQ_PURCHASES_EQUIP_NONRES_SAAR_UNUSED" hidden="1">"c6951"</definedName>
    <definedName name="IQ_PURCHASES_EQUIP_NONRES_SAAR_YOY_FC_UNUSED" hidden="1">"c8271"</definedName>
    <definedName name="IQ_PURCHASES_EQUIP_NONRES_SAAR_YOY_UNUSED" hidden="1">"c7391"</definedName>
    <definedName name="IQ_PURCHASING_SECURITIES_LL_REC_FFIEC" hidden="1">"c12893"</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UALIFYING_MINORITY_INT_T1_FFIEC" hidden="1">"c13135"</definedName>
    <definedName name="IQ_QUALIFYING_SUB_DEBT_REDEEM_PREF_T2_FFIEC" hidden="1">"c13144"</definedName>
    <definedName name="IQ_QUALIFYING_TRUST_PREFERRED_T1_FFIEC" hidden="1">"c13136"</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1_4_RISK_BASED_FFIEC" hidden="1">"c13418"</definedName>
    <definedName name="IQ_RE_ACQ_SATISFACTION_DEBTS_FFIEC" hidden="1">"c12832"</definedName>
    <definedName name="IQ_RE_DEPR_AMORT" hidden="1">"c8750"</definedName>
    <definedName name="IQ_RE_FARMLAND_GROSS_LOANS_FFIEC" hidden="1">"c13408"</definedName>
    <definedName name="IQ_RE_FARMLAND_RISK_BASED_FFIEC" hidden="1">"c13429"</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FOREIGN_FFIEC" hidden="1">"c13479"</definedName>
    <definedName name="IQ_RE_GAIN_LOSS_SALE_ASSETS" hidden="1">"c8751"</definedName>
    <definedName name="IQ_RE_INVEST_FDIC" hidden="1">"c6331"</definedName>
    <definedName name="IQ_RE_LOANS_1_4_GROSS_LOANS_FFIEC" hidden="1">"c13397"</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LOANS_GROSS_LOANS_FFIEC" hidden="1">"c13396"</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_RISK_BASED_FFIEC" hidden="1">"c13417"</definedName>
    <definedName name="IQ_REAL_ESTATE" hidden="1">"c1093"</definedName>
    <definedName name="IQ_REAL_ESTATE_ASSETS" hidden="1">"c1094"</definedName>
    <definedName name="IQ_REALIZED_GAINS_AVAIL_SALE_SEC_FFIEC" hidden="1">"c13022"</definedName>
    <definedName name="IQ_REALIZED_GAINS_HELD_MATURITY_SEC_FFIEC" hidden="1">"c13021"</definedName>
    <definedName name="IQ_REALIZED_GAINS_SEC_TOT_FFIEC" hidden="1">"c13517"</definedName>
    <definedName name="IQ_RECOVERIES_1_4_FAMILY_LOANS_FDIC" hidden="1">"c6707"</definedName>
    <definedName name="IQ_RECOVERIES_AUTO_LOANS_FDIC" hidden="1">"c6701"</definedName>
    <definedName name="IQ_RECOVERIES_AVG_LOANS_FFIEC" hidden="1">"c13476"</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ACT_OR_EST_CIQ" hidden="1">"c5045"</definedName>
    <definedName name="IQ_RECURRING_PROFIT_EST" hidden="1">"c4499"</definedName>
    <definedName name="IQ_RECURRING_PROFIT_GUIDANCE" hidden="1">"c4500"</definedName>
    <definedName name="IQ_RECURRING_PROFIT_HIGH_EST" hidden="1">"c4501"</definedName>
    <definedName name="IQ_RECURRING_PROFIT_HIGH_GUIDANCE" hidden="1">"c4179"</definedName>
    <definedName name="IQ_RECURRING_PROFIT_LOW_EST" hidden="1">"c4502"</definedName>
    <definedName name="IQ_RECURRING_PROFIT_LOW_GUIDANCE" hidden="1">"c4219"</definedName>
    <definedName name="IQ_RECURRING_PROFIT_MEDIAN_EST" hidden="1">"c4503"</definedName>
    <definedName name="IQ_RECURRING_PROFIT_NUM_EST" hidden="1">"c4504"</definedName>
    <definedName name="IQ_RECURRING_PROFIT_SHARE_ACT_OR_EST" hidden="1">"c4508"</definedName>
    <definedName name="IQ_RECURRING_PROFIT_SHARE_ACT_OR_EST_CIQ" hidden="1">"c5046"</definedName>
    <definedName name="IQ_RECURRING_PROFIT_SHARE_EST" hidden="1">"c4506"</definedName>
    <definedName name="IQ_RECURRING_PROFIT_SHARE_GUIDANCE" hidden="1">"c4509"</definedName>
    <definedName name="IQ_RECURRING_PROFIT_SHARE_HIGH_EST" hidden="1">"c4510"</definedName>
    <definedName name="IQ_RECURRING_PROFIT_SHARE_HIGH_GUIDANCE" hidden="1">"c4200"</definedName>
    <definedName name="IQ_RECURRING_PROFIT_SHARE_LOW_EST" hidden="1">"c4511"</definedName>
    <definedName name="IQ_RECURRING_PROFIT_SHARE_LOW_GUIDANCE" hidden="1">"c4240"</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INSURANCE_RECOVERABLE_ASSETS_LH_FFIEC" hidden="1">"c13104"</definedName>
    <definedName name="IQ_REINSURANCE_RECOVERABLE_ASSETS_PC_FFIEC" hidden="1">"c13098"</definedName>
    <definedName name="IQ_RELATED_PLANS_FDIC" hidden="1">"c6320"</definedName>
    <definedName name="IQ_RENT_OTHER_INC_FROM_OREO_FFIEC" hidden="1">"c13043"</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_SAFE_DEPOSIT_FFIEC" hidden="1">"c13044"</definedName>
    <definedName name="IQ_RENTAL_REV" hidden="1">"c1101"</definedName>
    <definedName name="IQ_REPRICEABLE_EARNING_ASSETS_INT_SENSITIVITY_FFIEC" hidden="1">"c13093"</definedName>
    <definedName name="IQ_REPRICEABLE_INT_DEPOSITS_INT_SENSITIVITY_FFIEC" hidden="1">"c13094"</definedName>
    <definedName name="IQ_REPURCHASED_REBOOKED_GNMA_DUE_30_89_FFIEC" hidden="1">"c13283"</definedName>
    <definedName name="IQ_REPURCHASED_REBOOKED_GNMA_DUE_90_FFIEC" hidden="1">"c13309"</definedName>
    <definedName name="IQ_REPURCHASED_REBOOKED_GNMA_NON_ACCRUAL_FFIEC" hidden="1">"c13334"</definedName>
    <definedName name="IQ_RES_CONST_REAL_APR_FC_UNUSED" hidden="1">"c8536"</definedName>
    <definedName name="IQ_RES_CONST_REAL_APR_UNUSED" hidden="1">"c7656"</definedName>
    <definedName name="IQ_RES_CONST_REAL_FC_UNUSED" hidden="1">"c7876"</definedName>
    <definedName name="IQ_RES_CONST_REAL_POP_FC_UNUSED" hidden="1">"c8096"</definedName>
    <definedName name="IQ_RES_CONST_REAL_POP_UNUSED" hidden="1">"c7216"</definedName>
    <definedName name="IQ_RES_CONST_REAL_SAAR_APR_FC_UNUSED" hidden="1">"c8537"</definedName>
    <definedName name="IQ_RES_CONST_REAL_SAAR_APR_UNUSED" hidden="1">"c7657"</definedName>
    <definedName name="IQ_RES_CONST_REAL_SAAR_FC_UNUSED" hidden="1">"c7877"</definedName>
    <definedName name="IQ_RES_CONST_REAL_SAAR_POP_FC_UNUSED" hidden="1">"c8097"</definedName>
    <definedName name="IQ_RES_CONST_REAL_SAAR_POP_UNUSED" hidden="1">"c7217"</definedName>
    <definedName name="IQ_RES_CONST_REAL_SAAR_UNUSED" hidden="1">"c6997"</definedName>
    <definedName name="IQ_RES_CONST_REAL_SAAR_YOY_FC_UNUSED" hidden="1">"c8317"</definedName>
    <definedName name="IQ_RES_CONST_REAL_SAAR_YOY_UNUSED" hidden="1">"c7437"</definedName>
    <definedName name="IQ_RES_CONST_REAL_UNUSED" hidden="1">"c6996"</definedName>
    <definedName name="IQ_RES_CONST_REAL_YOY_FC_UNUSED" hidden="1">"c8316"</definedName>
    <definedName name="IQ_RES_CONST_REAL_YOY_UNUSED" hidden="1">"c7436"</definedName>
    <definedName name="IQ_RES_CONST_SAAR_APR_FC_UNUSED" hidden="1">"c8540"</definedName>
    <definedName name="IQ_RES_CONST_SAAR_APR_UNUSED" hidden="1">"c7660"</definedName>
    <definedName name="IQ_RES_CONST_SAAR_FC_UNUSED" hidden="1">"c7880"</definedName>
    <definedName name="IQ_RES_CONST_SAAR_POP_FC_UNUSED" hidden="1">"c8100"</definedName>
    <definedName name="IQ_RES_CONST_SAAR_POP_UNUSED" hidden="1">"c7220"</definedName>
    <definedName name="IQ_RES_CONST_SAAR_UNUSED" hidden="1">"c7000"</definedName>
    <definedName name="IQ_RES_CONST_SAAR_YOY_FC_UNUSED" hidden="1">"c8320"</definedName>
    <definedName name="IQ_RES_CONST_SAAR_YOY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FFIEC" hidden="1">"c12958"</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"c2895"</definedName>
    <definedName name="IQ_RETAIL_ACQUIRED_OWNED_STORES" hidden="1">"c2903"</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SALES" hidden="1">"c7003"</definedName>
    <definedName name="IQ_RETAIL_SALES_APR" hidden="1">"c7663"</definedName>
    <definedName name="IQ_RETAIL_SALES_APR_FC" hidden="1">"c8543"</definedName>
    <definedName name="IQ_RETAIL_SALES_CATALOG" hidden="1">"c9903"</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"c9904"</definedName>
    <definedName name="IQ_RETAIL_SALES_POP" hidden="1">"c7223"</definedName>
    <definedName name="IQ_RETAIL_SALES_POP_FC" hidden="1">"c8103"</definedName>
    <definedName name="IQ_RETAIL_SALES_RETAIL" hidden="1">"c9902"</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NED_EARN" hidden="1">"c1420"</definedName>
    <definedName name="IQ_RETAINED_EARNINGS_AVERAGE_EQUITY_FDIC" hidden="1">"c6733"</definedName>
    <definedName name="IQ_RETAINED_EARNINGS_EQUITY_FFIEC" hidden="1">"c13348"</definedName>
    <definedName name="IQ_RETAINED_EARNINGS_FFIEC" hidden="1">"c12878"</definedName>
    <definedName name="IQ_RETURN_ASSETS" hidden="1">"c1113"</definedName>
    <definedName name="IQ_RETURN_ASSETS_ACT_OR_EST" hidden="1">"c3585"</definedName>
    <definedName name="IQ_RETURN_ASSETS_ACT_OR_EST_REUT" hidden="1">"c5475"</definedName>
    <definedName name="IQ_RETURN_ASSETS_ACT_OR_EST_THOM" hidden="1">"c5310"</definedName>
    <definedName name="IQ_RETURN_ASSETS_BANK" hidden="1">"c1114"</definedName>
    <definedName name="IQ_RETURN_ASSETS_BROK" hidden="1">"c1115"</definedName>
    <definedName name="IQ_RETURN_ASSETS_DET_EST" hidden="1">"c12066"</definedName>
    <definedName name="IQ_RETURN_ASSETS_DET_EST_DATE" hidden="1">"c12219"</definedName>
    <definedName name="IQ_RETURN_ASSETS_DET_EST_DATE_REUT" hidden="1">"c12304"</definedName>
    <definedName name="IQ_RETURN_ASSETS_DET_EST_DATE_THOM" hidden="1">"c12247"</definedName>
    <definedName name="IQ_RETURN_ASSETS_DET_EST_INCL" hidden="1">"c12356"</definedName>
    <definedName name="IQ_RETURN_ASSETS_DET_EST_INCL_REUT" hidden="1">"c12428"</definedName>
    <definedName name="IQ_RETURN_ASSETS_DET_EST_INCL_THOM" hidden="1">"c12379"</definedName>
    <definedName name="IQ_RETURN_ASSETS_DET_EST_ORIGIN" hidden="1">"c12591"</definedName>
    <definedName name="IQ_RETURN_ASSETS_DET_EST_ORIGIN_REUT" hidden="1">"c12672"</definedName>
    <definedName name="IQ_RETURN_ASSETS_DET_EST_ORIGIN_THOM" hidden="1">"c12617"</definedName>
    <definedName name="IQ_RETURN_ASSETS_DET_EST_REUT" hidden="1">"c12162"</definedName>
    <definedName name="IQ_RETURN_ASSETS_DET_EST_THOM" hidden="1">"c12097"</definedName>
    <definedName name="IQ_RETURN_ASSETS_EST" hidden="1">"c3529"</definedName>
    <definedName name="IQ_RETURN_ASSETS_EST_REUT" hidden="1">"c3990"</definedName>
    <definedName name="IQ_RETURN_ASSETS_EST_THOM" hidden="1">"c4034"</definedName>
    <definedName name="IQ_RETURN_ASSETS_FDIC" hidden="1">"c6730"</definedName>
    <definedName name="IQ_RETURN_ASSETS_FS" hidden="1">"c1116"</definedName>
    <definedName name="IQ_RETURN_ASSETS_GUIDANCE" hidden="1">"c4517"</definedName>
    <definedName name="IQ_RETURN_ASSETS_HIGH_EST" hidden="1">"c3530"</definedName>
    <definedName name="IQ_RETURN_ASSETS_HIGH_EST_REUT" hidden="1">"c3992"</definedName>
    <definedName name="IQ_RETURN_ASSETS_HIGH_EST_THOM" hidden="1">"c4036"</definedName>
    <definedName name="IQ_RETURN_ASSETS_HIGH_GUIDANCE" hidden="1">"c4183"</definedName>
    <definedName name="IQ_RETURN_ASSETS_LOW_EST" hidden="1">"c3531"</definedName>
    <definedName name="IQ_RETURN_ASSETS_LOW_EST_REUT" hidden="1">"c3993"</definedName>
    <definedName name="IQ_RETURN_ASSETS_LOW_EST_THOM" hidden="1">"c4037"</definedName>
    <definedName name="IQ_RETURN_ASSETS_LOW_GUIDANCE" hidden="1">"c4223"</definedName>
    <definedName name="IQ_RETURN_ASSETS_MEDIAN_EST" hidden="1">"c3532"</definedName>
    <definedName name="IQ_RETURN_ASSETS_MEDIAN_EST_REUT" hidden="1">"c3991"</definedName>
    <definedName name="IQ_RETURN_ASSETS_MEDIAN_EST_THOM" hidden="1">"c4035"</definedName>
    <definedName name="IQ_RETURN_ASSETS_NUM_EST" hidden="1">"c3527"</definedName>
    <definedName name="IQ_RETURN_ASSETS_NUM_EST_REUT" hidden="1">"c3994"</definedName>
    <definedName name="IQ_RETURN_ASSETS_NUM_EST_THOM" hidden="1">"c4038"</definedName>
    <definedName name="IQ_RETURN_ASSETS_STDDEV_EST" hidden="1">"c3528"</definedName>
    <definedName name="IQ_RETURN_ASSETS_STDDEV_EST_REUT" hidden="1">"c3995"</definedName>
    <definedName name="IQ_RETURN_ASSETS_STDDEV_EST_THOM" hidden="1">"c4039"</definedName>
    <definedName name="IQ_RETURN_CAPITAL" hidden="1">"c1117"</definedName>
    <definedName name="IQ_RETURN_EMBEDDED_VALUE" hidden="1">"c9974"</definedName>
    <definedName name="IQ_RETURN_EQUITY" hidden="1">"c1118"</definedName>
    <definedName name="IQ_RETURN_EQUITY_ACT_OR_EST" hidden="1">"c3586"</definedName>
    <definedName name="IQ_RETURN_EQUITY_ACT_OR_EST_REUT" hidden="1">"c5476"</definedName>
    <definedName name="IQ_RETURN_EQUITY_ACT_OR_EST_THOM" hidden="1">"c5311"</definedName>
    <definedName name="IQ_RETURN_EQUITY_BANK" hidden="1">"c1119"</definedName>
    <definedName name="IQ_RETURN_EQUITY_BROK" hidden="1">"c1120"</definedName>
    <definedName name="IQ_RETURN_EQUITY_DET_EST" hidden="1">"c12067"</definedName>
    <definedName name="IQ_RETURN_EQUITY_DET_EST_DATE" hidden="1">"c12220"</definedName>
    <definedName name="IQ_RETURN_EQUITY_DET_EST_DATE_REUT" hidden="1">"c12305"</definedName>
    <definedName name="IQ_RETURN_EQUITY_DET_EST_DATE_THOM" hidden="1">"c12248"</definedName>
    <definedName name="IQ_RETURN_EQUITY_DET_EST_INCL" hidden="1">"c12357"</definedName>
    <definedName name="IQ_RETURN_EQUITY_DET_EST_INCL_REUT" hidden="1">"c12429"</definedName>
    <definedName name="IQ_RETURN_EQUITY_DET_EST_INCL_THOM" hidden="1">"c12380"</definedName>
    <definedName name="IQ_RETURN_EQUITY_DET_EST_ORIGIN" hidden="1">"c12592"</definedName>
    <definedName name="IQ_RETURN_EQUITY_DET_EST_ORIGIN_REUT" hidden="1">"c12673"</definedName>
    <definedName name="IQ_RETURN_EQUITY_DET_EST_ORIGIN_THOM" hidden="1">"c12618"</definedName>
    <definedName name="IQ_RETURN_EQUITY_DET_EST_REUT" hidden="1">"c12163"</definedName>
    <definedName name="IQ_RETURN_EQUITY_DET_EST_THOM" hidden="1">"c12098"</definedName>
    <definedName name="IQ_RETURN_EQUITY_EST" hidden="1">"c3535"</definedName>
    <definedName name="IQ_RETURN_EQUITY_EST_REUT" hidden="1">"c3983"</definedName>
    <definedName name="IQ_RETURN_EQUITY_EST_THOM" hidden="1">"c5479"</definedName>
    <definedName name="IQ_RETURN_EQUITY_FDIC" hidden="1">"c6732"</definedName>
    <definedName name="IQ_RETURN_EQUITY_FS" hidden="1">"c1121"</definedName>
    <definedName name="IQ_RETURN_EQUITY_GUIDANCE" hidden="1">"c4518"</definedName>
    <definedName name="IQ_RETURN_EQUITY_HIGH_EST" hidden="1">"c3536"</definedName>
    <definedName name="IQ_RETURN_EQUITY_HIGH_EST_REUT" hidden="1">"c3985"</definedName>
    <definedName name="IQ_RETURN_EQUITY_HIGH_EST_THOM" hidden="1">"c5283"</definedName>
    <definedName name="IQ_RETURN_EQUITY_HIGH_GUIDANCE" hidden="1">"c4182"</definedName>
    <definedName name="IQ_RETURN_EQUITY_LOW_EST" hidden="1">"c3537"</definedName>
    <definedName name="IQ_RETURN_EQUITY_LOW_EST_REUT" hidden="1">"c3986"</definedName>
    <definedName name="IQ_RETURN_EQUITY_LOW_EST_THOM" hidden="1">"c5284"</definedName>
    <definedName name="IQ_RETURN_EQUITY_LOW_GUIDANCE" hidden="1">"c4222"</definedName>
    <definedName name="IQ_RETURN_EQUITY_MEDIAN_EST" hidden="1">"c3538"</definedName>
    <definedName name="IQ_RETURN_EQUITY_MEDIAN_EST_REUT" hidden="1">"c3984"</definedName>
    <definedName name="IQ_RETURN_EQUITY_MEDIAN_EST_THOM" hidden="1">"c5282"</definedName>
    <definedName name="IQ_RETURN_EQUITY_NUM_EST" hidden="1">"c3533"</definedName>
    <definedName name="IQ_RETURN_EQUITY_NUM_EST_REUT" hidden="1">"c3987"</definedName>
    <definedName name="IQ_RETURN_EQUITY_NUM_EST_THOM" hidden="1">"c5285"</definedName>
    <definedName name="IQ_RETURN_EQUITY_STDDEV_EST" hidden="1">"c3534"</definedName>
    <definedName name="IQ_RETURN_EQUITY_STDDEV_EST_REUT" hidden="1">"c3988"</definedName>
    <definedName name="IQ_RETURN_EQUITY_STDDEV_EST_THOM" hidden="1">"c5286"</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DET_EST" hidden="1">"c12065"</definedName>
    <definedName name="IQ_REV_DET_EST_CURRENCY" hidden="1">"c12472"</definedName>
    <definedName name="IQ_REV_DET_EST_CURRENCY_REUT" hidden="1">"c12544"</definedName>
    <definedName name="IQ_REV_DET_EST_CURRENCY_THOM" hidden="1">"c12495"</definedName>
    <definedName name="IQ_REV_DET_EST_DATE" hidden="1">"c12218"</definedName>
    <definedName name="IQ_REV_DET_EST_DATE_REUT" hidden="1">"c12303"</definedName>
    <definedName name="IQ_REV_DET_EST_DATE_THOM" hidden="1">"c12246"</definedName>
    <definedName name="IQ_REV_DET_EST_INCL" hidden="1">"c12355"</definedName>
    <definedName name="IQ_REV_DET_EST_INCL_REUT" hidden="1">"c12427"</definedName>
    <definedName name="IQ_REV_DET_EST_INCL_THOM" hidden="1">"c12378"</definedName>
    <definedName name="IQ_REV_DET_EST_ORIGIN" hidden="1">"c12590"</definedName>
    <definedName name="IQ_REV_DET_EST_ORIGIN_REUT" hidden="1">"c12671"</definedName>
    <definedName name="IQ_REV_DET_EST_ORIGIN_THOM" hidden="1">"c12616"</definedName>
    <definedName name="IQ_REV_DET_EST_REUT" hidden="1">"c12161"</definedName>
    <definedName name="IQ_REV_DET_EST_THOM" hidden="1">"c12096"</definedName>
    <definedName name="IQ_REV_NAME_AP" hidden="1">"c8911"</definedName>
    <definedName name="IQ_REV_NAME_AP_ABS" hidden="1">"c8930"</definedName>
    <definedName name="IQ_REV_STDDEV_EST" hidden="1">"c1124"</definedName>
    <definedName name="IQ_REV_STDDEV_EST_CIQ" hidden="1">"c3621"</definedName>
    <definedName name="IQ_REV_STDDEV_EST_REUT" hidden="1">"c3639"</definedName>
    <definedName name="IQ_REV_STDDEV_EST_THOM" hidden="1">"c3657"</definedName>
    <definedName name="IQ_REV_UTI" hidden="1">"c1125"</definedName>
    <definedName name="IQ_REVALUATION_GAINS_DERIVATIVE_DOM_FFIEC" hidden="1">"c12828"</definedName>
    <definedName name="IQ_REVALUATION_GAINS_DERIVATIVE_FOREIGN_FFIEC" hidden="1">"c12829"</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ACT_OR_EST_CIQ" hidden="1">"c5059"</definedName>
    <definedName name="IQ_REVENUE_ACT_OR_EST_REUT" hidden="1">"c5461"</definedName>
    <definedName name="IQ_REVENUE_ACT_OR_EST_THOM" hidden="1">"c5299"</definedName>
    <definedName name="IQ_REVENUE_BEFORE_LL_FFIEC" hidden="1">"c13018"</definedName>
    <definedName name="IQ_REVENUE_EST" hidden="1">"c1126"</definedName>
    <definedName name="IQ_REVENUE_EST_BOTTOM_UP" hidden="1">"c5488"</definedName>
    <definedName name="IQ_REVENUE_EST_BOTTOM_UP_CIQ" hidden="1">"c12025"</definedName>
    <definedName name="IQ_REVENUE_EST_BOTTOM_UP_REUT" hidden="1">"c5496"</definedName>
    <definedName name="IQ_REVENUE_EST_CIQ" hidden="1">"c3616"</definedName>
    <definedName name="IQ_REVENUE_EST_REUT" hidden="1">"c3634"</definedName>
    <definedName name="IQ_REVENUE_EST_THOM" hidden="1">"c3652"</definedName>
    <definedName name="IQ_REVENUE_GUIDANCE" hidden="1">"c4519"</definedName>
    <definedName name="IQ_REVENUE_HIGH_EST" hidden="1">"c1127"</definedName>
    <definedName name="IQ_REVENUE_HIGH_EST_CIQ" hidden="1">"c3618"</definedName>
    <definedName name="IQ_REVENUE_HIGH_EST_REUT" hidden="1">"c3636"</definedName>
    <definedName name="IQ_REVENUE_HIGH_EST_THOM" hidden="1">"c3654"</definedName>
    <definedName name="IQ_REVENUE_HIGH_GUIDANCE" hidden="1">"c4169"</definedName>
    <definedName name="IQ_REVENUE_LOW_EST" hidden="1">"c1128"</definedName>
    <definedName name="IQ_REVENUE_LOW_EST_CIQ" hidden="1">"c3619"</definedName>
    <definedName name="IQ_REVENUE_LOW_EST_REUT" hidden="1">"c3637"</definedName>
    <definedName name="IQ_REVENUE_LOW_EST_THOM" hidden="1">"c3655"</definedName>
    <definedName name="IQ_REVENUE_LOW_GUIDANCE" hidden="1">"c4209"</definedName>
    <definedName name="IQ_REVENUE_MEDIAN_EST" hidden="1">"c1662"</definedName>
    <definedName name="IQ_REVENUE_MEDIAN_EST_CIQ" hidden="1">"c3617"</definedName>
    <definedName name="IQ_REVENUE_MEDIAN_EST_REUT" hidden="1">"c3635"</definedName>
    <definedName name="IQ_REVENUE_MEDIAN_EST_THOM" hidden="1">"c3653"</definedName>
    <definedName name="IQ_REVENUE_NUM_EST" hidden="1">"c1129"</definedName>
    <definedName name="IQ_REVENUE_NUM_EST_CIQ" hidden="1">"c3620"</definedName>
    <definedName name="IQ_REVENUE_NUM_EST_REUT" hidden="1">"c3638"</definedName>
    <definedName name="IQ_REVENUE_NUM_EST_THOM" hidden="1">"c3656"</definedName>
    <definedName name="IQ_REVISION_DATE_" hidden="1">39920.6334606481</definedName>
    <definedName name="IQ_REVOLV_OPEN_SECURED_1_4_LL_REC_DOM_FFIEC" hidden="1">"c12902"</definedName>
    <definedName name="IQ_REVOLVING_HOME_EQUITY_LINES_UNUSED_FFIEC" hidden="1">"c13241"</definedName>
    <definedName name="IQ_REVOLVING_LOANS_GROSS_LOANS_FFIEC" hidden="1">"c13398"</definedName>
    <definedName name="IQ_REVOLVING_LOANS_RISK_BASED_FFIEC" hidden="1">"c13419"</definedName>
    <definedName name="IQ_REVOLVING_LOANS_SEC_1_4_DOM_CHARGE_OFFS_FFIEC" hidden="1">"c13168"</definedName>
    <definedName name="IQ_REVOLVING_LOANS_SEC_1_4_DOM_RECOV_FFIEC" hidden="1">"c13190"</definedName>
    <definedName name="IQ_REVOLVING_OPEN_END_1_4_TRADING_DOM_FFIEC" hidden="1">"c12927"</definedName>
    <definedName name="IQ_REVOLVING_SECURED_1_4_DUE_30_89_FFIEC" hidden="1">"c13260"</definedName>
    <definedName name="IQ_REVOLVING_SECURED_1_4_DUE_90_FFIEC" hidden="1">"c13288"</definedName>
    <definedName name="IQ_RISK_ADJ_BANK_ASSETS" hidden="1">"c2670"</definedName>
    <definedName name="IQ_RISK_WEIGHTED_ASSETS_FDIC" hidden="1">"c6370"</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IES_EMPLOYEE_BENEFITS_FFIEC" hidden="1">"c13023"</definedName>
    <definedName name="IQ_SALARY" hidden="1">"c1130"</definedName>
    <definedName name="IQ_SALARY_FDIC" hidden="1">"c6576"</definedName>
    <definedName name="IQ_SALE_COMMON_GROSS_FFIEC" hidden="1">"c12963"</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PREF_FFIEC" hidden="1">"c12961"</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_TREASURY_FFIEC" hidden="1">"c12965"</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BC_EXPENSE_FFIEC" hidden="1">"c13077"</definedName>
    <definedName name="IQ_SEC_1_4_CONSTRUCTION_DOM_CHARGE_OFFS_FFIEC" hidden="1">"c13165"</definedName>
    <definedName name="IQ_SEC_1_4_CONSTRUCTION_DOM_RECOV_FFIEC" hidden="1">"c13187"</definedName>
    <definedName name="IQ_SEC_BORROWED_OFF_BS_FFIEC" hidden="1">"c13127"</definedName>
    <definedName name="IQ_SEC_FARMLAND_DOM_CHARGE_OFFS_FFIEC" hidden="1">"c13167"</definedName>
    <definedName name="IQ_SEC_FARMLAND_DOM_RECOV_FFIEC" hidden="1">"c13189"</definedName>
    <definedName name="IQ_SEC_FUNDS_PURCHASED_ASSETS_TOT_FFIEC" hidden="1">"c13447"</definedName>
    <definedName name="IQ_SEC_ISSUED_US_AVAIL_SALE_FFIEC" hidden="1">"c12795"</definedName>
    <definedName name="IQ_SEC_ISSUED_US_TRADING_DOM_FFIEC" hidden="1">"c12920"</definedName>
    <definedName name="IQ_SEC_ISSUED_US_TRADING_FFIEC" hidden="1">"c12815"</definedName>
    <definedName name="IQ_SEC_MULTIFAM_DOM_CHARGE_OFFS_FFIEC" hidden="1">"c13171"</definedName>
    <definedName name="IQ_SEC_MULTIFAM_DOM_DUE_30_89_FFIEC" hidden="1">"c13263"</definedName>
    <definedName name="IQ_SEC_MULTIFAM_DOM_DUE_90_FFIEC" hidden="1">"c13291"</definedName>
    <definedName name="IQ_SEC_MULTIFAM_DOM_NON_ACCRUAL_FFIEC" hidden="1">"c13317"</definedName>
    <definedName name="IQ_SEC_MULTIFAM_DOM_RECOV_FFIEC" hidden="1">"c13193"</definedName>
    <definedName name="IQ_SEC_NONFARM_NONRES_CHARGE_OFFS_FFIEC" hidden="1">"c13629"</definedName>
    <definedName name="IQ_SEC_NONFARM_NONRES_DOM_OFFICES_DUE_30_89_FFIEC" hidden="1">"c13264"</definedName>
    <definedName name="IQ_SEC_NONFARM_NONRES_DOM_OFFICES_DUE_90_FFIEC" hidden="1">"c13292"</definedName>
    <definedName name="IQ_SEC_NONFARM_NONRES_DOM_OFFICES_NON_ACCRUAL_FFIEC" hidden="1">"c13318"</definedName>
    <definedName name="IQ_SEC_NONFARM_NONRES_RECOV_FFIEC" hidden="1">"c13633"</definedName>
    <definedName name="IQ_SEC_OTHER_CONSTRUCTION_DOM_CHARGE_OFFS_FFIEC" hidden="1">"c13166"</definedName>
    <definedName name="IQ_SEC_OTHER_CONSTRUCTION_DOM_RECOV_FFIEC" hidden="1">"c13188"</definedName>
    <definedName name="IQ_SEC_OTHER_NONFARM_NONRES_CHARGE_OFFS_FFIEC" hidden="1">"c13173"</definedName>
    <definedName name="IQ_SEC_OTHER_NONFARM_NONRES_DUE_30_89_FFIEC" hidden="1">"c13266"</definedName>
    <definedName name="IQ_SEC_OTHER_NONFARM_NONRES_DUE_90_FFIEC" hidden="1">"c13637"</definedName>
    <definedName name="IQ_SEC_OTHER_NONFARM_NONRES_RECOV_FFIEC" hidden="1">"c13195"</definedName>
    <definedName name="IQ_SEC_OWNER_NONFARM_NONRES_CHARGE_OFFS_FFIEC" hidden="1">"c13172"</definedName>
    <definedName name="IQ_SEC_OWNER_NONFARM_NONRES_DUE_30_89_FFIEC" hidden="1">"c13265"</definedName>
    <definedName name="IQ_SEC_OWNER_NONFARM_NONRES_DUE_90_FFIEC" hidden="1">"c13636"</definedName>
    <definedName name="IQ_SEC_OWNER_NONFARM_NONRES_RECOV_FFIEC" hidden="1">"c13194"</definedName>
    <definedName name="IQ_SEC_PURCHASED_RESELL" hidden="1">"c5513"</definedName>
    <definedName name="IQ_SEC_PURCHASED_RESELL_FFIEC" hidden="1">"c12807"</definedName>
    <definedName name="IQ_SEC_RE_FOREIGN_DUE_30_89_FFIEC" hidden="1">"c13267"</definedName>
    <definedName name="IQ_SEC_RE_FOREIGN_DUE_90_FFIEC" hidden="1">"c13293"</definedName>
    <definedName name="IQ_SEC_RE_FOREIGN_NON_ACCRUAL_FFIEC" hidden="1">"c13319"</definedName>
    <definedName name="IQ_SEC_SOLD_REPURCHASE_FFIEC" hidden="1">"c12857"</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DOM_DUE_30_89_FFIEC" hidden="1">"c13259"</definedName>
    <definedName name="IQ_SECURED_FARMLAND_DOM_DUE_90_FFIEC" hidden="1">"c13287"</definedName>
    <definedName name="IQ_SECURED_FARMLAND_DOM_NON_ACCRUAL_FFIEC" hidden="1">"c13313"</definedName>
    <definedName name="IQ_SECURED_FARMLAND_LL_REC_DOM_FFIEC" hidden="1">"c12901"</definedName>
    <definedName name="IQ_SECURED_FARMLAND_NET_CHARGE_OFFS_FDIC" hidden="1">"c6631"</definedName>
    <definedName name="IQ_SECURED_FARMLAND_RECOVERIES_FDIC" hidden="1">"c6612"</definedName>
    <definedName name="IQ_SECURED_MULTI_RES_LL_REC_DOM_FFIEC" hidden="1">"c12905"</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HELD_MATURITY_FFIEC" hidden="1">"c12777"</definedName>
    <definedName name="IQ_SECURITIES_ISSUED_STATES_FDIC" hidden="1">"c6300"</definedName>
    <definedName name="IQ_SECURITIES_ISSUED_US_FFIEC" hidden="1">"c12781"</definedName>
    <definedName name="IQ_SECURITIES_LENT_FDIC" hidden="1">"c6532"</definedName>
    <definedName name="IQ_SECURITIES_LENT_FFIEC" hidden="1">"c13255"</definedName>
    <definedName name="IQ_SECURITIES_QUARTERLY_AVG_FFIEC" hidden="1">"c13079"</definedName>
    <definedName name="IQ_SECURITIES_UNDERWRITING_FDIC" hidden="1">"c6529"</definedName>
    <definedName name="IQ_SECURITIES_UNDERWRITING_UNUSED_FFIEC" hidden="1">"c13247"</definedName>
    <definedName name="IQ_SECURITIZATION_INC_OPERATING_INC_FFIEC" hidden="1">"c13390"</definedName>
    <definedName name="IQ_SECURITIZATION_INCOME_FFIEC" hidden="1">"c13012"</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DOL" hidden="1">"c12042"</definedName>
    <definedName name="IQ_SELECTED_FOREIGN_ASSETS_FFIEC" hidden="1">"c13485"</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_ACCOUNT_ASSETS_LH_FFIEC" hidden="1">"c13105"</definedName>
    <definedName name="IQ_SEPARATE_ACCOUNT_LIAB_LH_FFIEC" hidden="1">"c13108"</definedName>
    <definedName name="IQ_SEPARATE_ACCT_ASSETS" hidden="1">"c1155"</definedName>
    <definedName name="IQ_SEPARATE_ACCT_LIAB" hidden="1">"c1156"</definedName>
    <definedName name="IQ_SERV_CHARGE_DEPOSITS" hidden="1">"c1157"</definedName>
    <definedName name="IQ_SERVICE_CHARGES_DEPOSIT_ACCOUNTS_DOM_FFIEC" hidden="1">"c13003"</definedName>
    <definedName name="IQ_SERVICE_CHARGES_FDIC" hidden="1">"c6572"</definedName>
    <definedName name="IQ_SERVICE_CHARGES_OPERATING_INC_FFIEC" hidden="1">"c13384"</definedName>
    <definedName name="IQ_SERVICE_FEE" hidden="1">"c8951"</definedName>
    <definedName name="IQ_SERVICING_FEES_FFIEC" hidden="1">"c13011"</definedName>
    <definedName name="IQ_SERVICING_FEES_OPERATING_INC_FFIEC" hidden="1">"c13389"</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S_PER_DR" hidden="1">"c204"</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POSITIONS_FFIEC" hidden="1">"c12859"</definedName>
    <definedName name="IQ_SHORT_TERM_INVEST" hidden="1">"c1425"</definedName>
    <definedName name="IQ_SMALL_INT_BEAR_CD" hidden="1">"c11748"</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NSR_ACTION_LT" hidden="1">"c13616"</definedName>
    <definedName name="IQ_SP_ISSUE_NSR_ACTION_ST" hidden="1">"c13622"</definedName>
    <definedName name="IQ_SP_ISSUE_NSR_DATE_LT" hidden="1">"c13615"</definedName>
    <definedName name="IQ_SP_ISSUE_NSR_DATE_ST" hidden="1">"c13621"</definedName>
    <definedName name="IQ_SP_ISSUE_NSR_LT" hidden="1">"c13614"</definedName>
    <definedName name="IQ_SP_ISSUE_NSR_ST" hidden="1">"c13620"</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NSR_ACTION_LT" hidden="1">"c13613"</definedName>
    <definedName name="IQ_SP_NSR_ACTION_ST" hidden="1">"c13619"</definedName>
    <definedName name="IQ_SP_NSR_DATE_LT" hidden="1">"c13612"</definedName>
    <definedName name="IQ_SP_NSR_DATE_ST" hidden="1">"c13618"</definedName>
    <definedName name="IQ_SP_NSR_LT" hidden="1">"c13611"</definedName>
    <definedName name="IQ_SP_NSR_ST" hidden="1">"c13617"</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ASSETS_TOT_FFIEC" hidden="1">"c13438"</definedName>
    <definedName name="IQ_ST_INVEST_ST_NONCORE_FUNDING_FFIEC" hidden="1">"c13338"</definedName>
    <definedName name="IQ_ST_INVEST_UTI" hidden="1">"c1198"</definedName>
    <definedName name="IQ_ST_NOTE_RECEIV" hidden="1">"c1199"</definedName>
    <definedName name="IQ_STAND_REC_DET_EST" hidden="1">"c12069"</definedName>
    <definedName name="IQ_STAND_REC_DET_EST_DATE" hidden="1">"c12222"</definedName>
    <definedName name="IQ_STAND_REC_DET_EST_DATE_REUT" hidden="1">"c12307"</definedName>
    <definedName name="IQ_STAND_REC_DET_EST_DATE_THOM" hidden="1">"c12250"</definedName>
    <definedName name="IQ_STAND_REC_DET_EST_ORIGIN" hidden="1">"c12594"</definedName>
    <definedName name="IQ_STAND_REC_DET_EST_ORIGIN_REUT" hidden="1">"c12675"</definedName>
    <definedName name="IQ_STAND_REC_DET_EST_ORIGIN_THOM" hidden="1">"c12620"</definedName>
    <definedName name="IQ_STAND_REC_DET_EST_REUT" hidden="1">"c12165"</definedName>
    <definedName name="IQ_STAND_REC_DET_EST_THOM" hidden="1">"c12100"</definedName>
    <definedName name="IQ_STAND_REC_NUM_DET_EST" hidden="1">"c12068"</definedName>
    <definedName name="IQ_STAND_REC_NUM_DET_EST_DATE" hidden="1">"c12221"</definedName>
    <definedName name="IQ_STAND_REC_NUM_DET_EST_DATE_REUT" hidden="1">"c12306"</definedName>
    <definedName name="IQ_STAND_REC_NUM_DET_EST_DATE_THOM" hidden="1">"c12249"</definedName>
    <definedName name="IQ_STAND_REC_NUM_DET_EST_ORIGIN" hidden="1">"c12593"</definedName>
    <definedName name="IQ_STAND_REC_NUM_DET_EST_ORIGIN_REUT" hidden="1">"c12674"</definedName>
    <definedName name="IQ_STAND_REC_NUM_DET_EST_ORIGIN_THOM" hidden="1">"c12619"</definedName>
    <definedName name="IQ_STAND_REC_NUM_DET_EST_REUT" hidden="1">"c12164"</definedName>
    <definedName name="IQ_STAND_REC_NUM_DET_EST_THOM" hidden="1">"c12099"</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RIPS_RECEIVABLE_MORTGAGE_LOANS_FFIEC" hidden="1">"c12844"</definedName>
    <definedName name="IQ_STRIPS_RECEIVABLE_OTHER_FFIEC" hidden="1">"c12845"</definedName>
    <definedName name="IQ_STRUCT_FIN_CLASS" hidden="1">"c8950"</definedName>
    <definedName name="IQ_STRUCT_FIN_SERIES" hidden="1">"c8956"</definedName>
    <definedName name="IQ_STRUCTURED_NOTES_INVEST_SECURITIES_FFIEC" hidden="1">"c13468"</definedName>
    <definedName name="IQ_STRUCTURING_NOTES_TIER_1_FFIEC" hidden="1">"c13344"</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B_NOTES_DEBENTURES_FFIEC" hidden="1">"c12867"</definedName>
    <definedName name="IQ_SUB_NOTES_PAYABLE_UNCONSOLIDATED_TRUSTS_FFIEC" hidden="1">"c12868"</definedName>
    <definedName name="IQ_SUPPLIES_FFIEC" hidden="1">"c13050"</definedName>
    <definedName name="IQ_SURPLUS_FDIC" hidden="1">"c6351"</definedName>
    <definedName name="IQ_SURPLUS_FFIEC" hidden="1">"c12877"</definedName>
    <definedName name="IQ_SVA" hidden="1">"c1214"</definedName>
    <definedName name="IQ_TANGIBLE_EQUITY_ASSETS_FFIEC" hidden="1">"c13346"</definedName>
    <definedName name="IQ_TANGIBLE_TIER_1_LEVERAGE_FFIEC" hidden="1">"c13345"</definedName>
    <definedName name="IQ_TARGET_PRICE_DET_EST" hidden="1">"c12070"</definedName>
    <definedName name="IQ_TARGET_PRICE_DET_EST_CURRENCY" hidden="1">"c12475"</definedName>
    <definedName name="IQ_TARGET_PRICE_DET_EST_CURRENCY_REUT" hidden="1">"c12547"</definedName>
    <definedName name="IQ_TARGET_PRICE_DET_EST_CURRENCY_THOM" hidden="1">"c12498"</definedName>
    <definedName name="IQ_TARGET_PRICE_DET_EST_DATE" hidden="1">"c12223"</definedName>
    <definedName name="IQ_TARGET_PRICE_DET_EST_DATE_REUT" hidden="1">"c12308"</definedName>
    <definedName name="IQ_TARGET_PRICE_DET_EST_DATE_THOM" hidden="1">"c12251"</definedName>
    <definedName name="IQ_TARGET_PRICE_DET_EST_INCL" hidden="1">"c12358"</definedName>
    <definedName name="IQ_TARGET_PRICE_DET_EST_INCL_REUT" hidden="1">"c12430"</definedName>
    <definedName name="IQ_TARGET_PRICE_DET_EST_INCL_THOM" hidden="1">"c12381"</definedName>
    <definedName name="IQ_TARGET_PRICE_DET_EST_ORIGIN" hidden="1">"c12729"</definedName>
    <definedName name="IQ_TARGET_PRICE_DET_EST_ORIGIN_REUT" hidden="1">"c12731"</definedName>
    <definedName name="IQ_TARGET_PRICE_DET_EST_ORIGIN_THOM" hidden="1">"c12621"</definedName>
    <definedName name="IQ_TARGET_PRICE_DET_EST_REUT" hidden="1">"c12166"</definedName>
    <definedName name="IQ_TARGET_PRICE_DET_EST_THOM" hidden="1">"c12101"</definedName>
    <definedName name="IQ_TARGET_PRICE_NUM" hidden="1">"c1653"</definedName>
    <definedName name="IQ_TARGET_PRICE_NUM_CIQ" hidden="1">"c4661"</definedName>
    <definedName name="IQ_TARGET_PRICE_NUM_REUT" hidden="1">"c5319"</definedName>
    <definedName name="IQ_TARGET_PRICE_NUM_THOM" hidden="1">"c5098"</definedName>
    <definedName name="IQ_TARGET_PRICE_STDDEV" hidden="1">"c1654"</definedName>
    <definedName name="IQ_TARGET_PRICE_STDDEV_CIQ" hidden="1">"c4662"</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AXES_ADJ_NOI_FFIEC" hidden="1">"c13395"</definedName>
    <definedName name="IQ_TAXES_NOI_FFIEC" hidden="1">"c13394"</definedName>
    <definedName name="IQ_TAXES_TE_AVG_ASSETS_FFIEC" hidden="1">"c13366"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EXCL_FFIEC" hidden="1">"c13516"</definedName>
    <definedName name="IQ_TBV_SHARE" hidden="1">"c1217"</definedName>
    <definedName name="IQ_TELECOM_FFIEC" hidden="1">"c13057"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DET_EST_CURRENCY_THOM" hidden="1">"c12499"</definedName>
    <definedName name="IQ_TEV_DET_EST_DATE_THOM" hidden="1">"c12252"</definedName>
    <definedName name="IQ_TEV_DET_EST_INCL_THOM" hidden="1">"c12382"</definedName>
    <definedName name="IQ_TEV_DET_EST_ORIGIN_THOM" hidden="1">"c12709"</definedName>
    <definedName name="IQ_TEV_DET_EST_THOM" hidden="1">"c12102"</definedName>
    <definedName name="IQ_TEV_EBIT" hidden="1">"c1220"</definedName>
    <definedName name="IQ_TEV_EBIT_AVG" hidden="1">"c1221"</definedName>
    <definedName name="IQ_TEV_EBIT_FWD" hidden="1">"c2238"</definedName>
    <definedName name="IQ_TEV_EBIT_FWD_REUT" hidden="1">"c4054"</definedName>
    <definedName name="IQ_TEV_EBIT_FWD_THOM" hidden="1">"c4061"</definedName>
    <definedName name="IQ_TEV_EBITDA" hidden="1">"c1222"</definedName>
    <definedName name="IQ_TEV_EBITDA_AVG" hidden="1">"c1223"</definedName>
    <definedName name="IQ_TEV_EBITDA_FWD" hidden="1">"c1224"</definedName>
    <definedName name="IQ_TEV_EBITDA_FWD_CIQ" hidden="1">"c4043"</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CIQ" hidden="1">"c4044"</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CAPITAL_BEFORE_CHARGES_T1_FFIEC" hidden="1">"c13139"</definedName>
    <definedName name="IQ_TIER_1_CAPITAL_FFIEC" hidden="1">"c13143"</definedName>
    <definedName name="IQ_TIER_1_LEVERAGE_RATIO_FFIEC" hidden="1">"c13160"</definedName>
    <definedName name="IQ_TIER_1_RISK_BASED_CAPITAL_RATIO_FDIC" hidden="1">"c6746"</definedName>
    <definedName name="IQ_TIER_1_RISK_BASED_CAPITAL_RATIO_FFIEC" hidden="1">"c13161"</definedName>
    <definedName name="IQ_TIER_2_CAPITAL_FFIEC" hidden="1">"c13149"</definedName>
    <definedName name="IQ_TIER_3_CAPITAL_ALLOCATED_MARKET_RISK_FFIEC" hidden="1">"c13151"</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100K_OTHER_INSTITUTIONS_FFIEC" hidden="1">"c12953"</definedName>
    <definedName name="IQ_TIME_DEPOSITS_LESS_THAN_100K_FDIC" hidden="1">"c6465"</definedName>
    <definedName name="IQ_TIME_DEPOSITS_MORE_100K_OTHER_INSTITUTIONS_FFIEC" hidden="1">"c12954"</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BNK_SUBTOTAL_AP" hidden="1">"c13644"</definedName>
    <definedName name="IQ_TOTAL_ASSETS_FDIC" hidden="1">"c6339"</definedName>
    <definedName name="IQ_TOTAL_ASSETS_FFIEC" hidden="1">"c12849"</definedName>
    <definedName name="IQ_TOTAL_ASSETS_LH_FFIEC" hidden="1">"c13106"</definedName>
    <definedName name="IQ_TOTAL_ASSETS_PC_FFIEC" hidden="1">"c13099"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OMMON_SHARES_OUT_FFIEC" hidden="1">"c12955"</definedName>
    <definedName name="IQ_TOTAL_CONSTRUCTION_LL_REC_DOM_FFIEC" hidden="1">"c13515"</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HIGH_EST" hidden="1">"c4534"</definedName>
    <definedName name="IQ_TOTAL_DEBT_HIGH_GUIDANCE" hidden="1">"c4196"</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MEDIAN_EST" hidden="1">"c4536"</definedName>
    <definedName name="IQ_TOTAL_DEBT_NON_CURRENT" hidden="1">"c6191"</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BT_STDDEV_EST" hidden="1">"c4538"</definedName>
    <definedName name="IQ_TOTAL_DEPOSITS" hidden="1">"c1265"</definedName>
    <definedName name="IQ_TOTAL_DEPOSITS_FDIC" hidden="1">"c6342"</definedName>
    <definedName name="IQ_TOTAL_DEPOSITS_FFIEC" hidden="1">"c13623"</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CAPITAL_T1_FFIEC" hidden="1">"c13130"</definedName>
    <definedName name="IQ_TOTAL_EQUITY_FFIEC" hidden="1">"c12881"</definedName>
    <definedName name="IQ_TOTAL_EQUITY_LH_FFIEC" hidden="1">"c13109"</definedName>
    <definedName name="IQ_TOTAL_EQUITY_PC_FFIEC" hidden="1">"c13102"</definedName>
    <definedName name="IQ_TOTAL_EQUITY_SUBTOTAL_AP" hidden="1">"c8989"</definedName>
    <definedName name="IQ_TOTAL_INT_EXPENSE_FFIEC" hidden="1">"c13000"</definedName>
    <definedName name="IQ_TOTAL_INT_INCOME_FFIEC" hidden="1">"c12989"</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EQUITY_FFIEC" hidden="1">"c12882"</definedName>
    <definedName name="IQ_TOTAL_LIABILITIES_FDIC" hidden="1">"c6348"</definedName>
    <definedName name="IQ_TOTAL_LIABILITIES_FFIEC" hidden="1">"c12873"</definedName>
    <definedName name="IQ_TOTAL_LL_REC_DOM_FFIEC" hidden="1">"c12917"</definedName>
    <definedName name="IQ_TOTAL_LL_REC_FFIEC" hidden="1">"c12898"</definedName>
    <definedName name="IQ_TOTAL_LOANS" hidden="1">"c5653"</definedName>
    <definedName name="IQ_TOTAL_LOANS_LEASES_CHARGE_OFFS_FFIEC" hidden="1">"c13186"</definedName>
    <definedName name="IQ_TOTAL_LOANS_LEASES_DUE_30_89_FFIEC" hidden="1">"c13280"</definedName>
    <definedName name="IQ_TOTAL_LOANS_LEASES_DUE_90_FFIEC" hidden="1">"c13306"</definedName>
    <definedName name="IQ_TOTAL_LOANS_LEASES_RECOV_FFIEC" hidden="1">"c13208"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TURN_SWAPS_DERIVATIVES_BENEFICIARY_FFIEC" hidden="1">"c13120"</definedName>
    <definedName name="IQ_TOTAL_RETURN_SWAPS_DERIVATIVES_GUARANTOR_FFIEC" hidden="1">"c13113"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EVENUE_FFIEC" hidden="1">"c13020"</definedName>
    <definedName name="IQ_TOTAL_RISK_BASED_CAPITAL_FFIEC" hidden="1">"c13153"</definedName>
    <definedName name="IQ_TOTAL_RISK_BASED_CAPITAL_RATIO_FDIC" hidden="1">"c6747"</definedName>
    <definedName name="IQ_TOTAL_RISK_BASED_CAPITAL_RATIO_FFIEC" hidden="1">"c13162"</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TRADING_ASSETS_FFIEC" hidden="1">"c12939"</definedName>
    <definedName name="IQ_TOTAL_TRADING_LIAB_DOM_FFIEC" hidden="1">"c12944"</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_TERM_FEE" hidden="1">"c13638"</definedName>
    <definedName name="IQ_TR_BUY_TERM_FEE_PCT" hidden="1">"c13639"</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GISTRATION_FEES" hidden="1">"c2274"</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_TERM_FEE" hidden="1">"c2298"</definedName>
    <definedName name="IQ_TR_SELL_TERM_FEE_PCT" hidden="1">"c2297"</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AIR_VALUE_TOT_FFIEC" hidden="1">"c13210"</definedName>
    <definedName name="IQ_TRADING_ASSETS_FDIC" hidden="1">"c6328"</definedName>
    <definedName name="IQ_TRADING_ASSETS_FFIEC" hidden="1">"c12812"</definedName>
    <definedName name="IQ_TRADING_ASSETS_FOREIGN_FFIEC" hidden="1">"c12940"</definedName>
    <definedName name="IQ_TRADING_ASSETS_LEVEL_1_FFIEC" hidden="1">"c13218"</definedName>
    <definedName name="IQ_TRADING_ASSETS_LEVEL_2_FFIEC" hidden="1">"c13226"</definedName>
    <definedName name="IQ_TRADING_ASSETS_LEVEL_3_FFIEC" hidden="1">"c13234"</definedName>
    <definedName name="IQ_TRADING_ASSETS_QUARTERLY_AVG_FFIEC" hidden="1">"c13085"</definedName>
    <definedName name="IQ_TRADING_CURRENCY" hidden="1">"c2212"</definedName>
    <definedName name="IQ_TRADING_ITEM_CIQID" hidden="1">"c8949"</definedName>
    <definedName name="IQ_TRADING_LIABILITIES_FAIR_VALUE_TOT_FFIEC" hidden="1">"c13214"</definedName>
    <definedName name="IQ_TRADING_LIABILITIES_FDIC" hidden="1">"c6344"</definedName>
    <definedName name="IQ_TRADING_LIABILITIES_FFIEC" hidden="1">"c12858"</definedName>
    <definedName name="IQ_TRADING_LIABILITIES_LEVEL_1_FFIEC" hidden="1">"c13222"</definedName>
    <definedName name="IQ_TRADING_LIABILITIES_LEVEL_2_FFIEC" hidden="1">"c13230"</definedName>
    <definedName name="IQ_TRADING_LIABILITIES_LEVEL_3_FFIEC" hidden="1">"c13238"</definedName>
    <definedName name="IQ_TRADING_REV_OPERATING_INC_FFIEC" hidden="1">"c13385"</definedName>
    <definedName name="IQ_TRADING_REVENUE_FFIEC" hidden="1">"c13004"</definedName>
    <definedName name="IQ_TRANSACTION_ACCOUNTS_FDIC" hidden="1">"c6544"</definedName>
    <definedName name="IQ_TREASURY" hidden="1">"c1311"</definedName>
    <definedName name="IQ_TREASURY_INVEST_SECURITIES_FFIEC" hidden="1">"c13457"</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CONSOL_BEDS" hidden="1">"c8783"</definedName>
    <definedName name="IQ_UNCONSOL_PROP" hidden="1">"c8762"</definedName>
    <definedName name="IQ_UNCONSOL_ROOMS" hidden="1">"c8787"</definedName>
    <definedName name="IQ_UNCONSOL_SQ_FT" hidden="1">"c8778"</definedName>
    <definedName name="IQ_UNCONSOL_UNITS" hidden="1">"c8770"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ARNED_INCOME_LL_REC_DOM_FFIEC" hidden="1">"c12916"</definedName>
    <definedName name="IQ_UNEARNED_INCOME_LL_REC_FFIEC" hidden="1">"c12897"</definedName>
    <definedName name="IQ_UNEARNED_PREMIUMS_PC_FFIEC" hidden="1">"c13101"</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COMMITMENTS_COMMERCIAL_RE_UNUSED_FFIEC" hidden="1">"c13246"</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ADDRESS_LEASE_FIN_REC_FFIEC" hidden="1">"c13624"</definedName>
    <definedName name="IQ_US_AGENCY_OBLIG_FFIEC" hidden="1">"c12779"</definedName>
    <definedName name="IQ_US_AGENCY_OBLIG_TRADING_DOM_FFIEC" hidden="1">"c12919"</definedName>
    <definedName name="IQ_US_AGENCY_OBLIG_TRADING_FFIEC" hidden="1">"c12814"</definedName>
    <definedName name="IQ_US_AGENCY_OBLIGATIONS_AVAIL_SALE_FFIEC" hidden="1">"c12793"</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INST_DUE_30_89_FFIEC" hidden="1">"c13268"</definedName>
    <definedName name="IQ_US_INST_DUE_90_FFIEC" hidden="1">"c13294"</definedName>
    <definedName name="IQ_US_INST_NON_ACCRUAL_FFIEC" hidden="1">"c13320"</definedName>
    <definedName name="IQ_US_SPONSORED_AGENCY_OBLIG_AVAIL_SALE_FFIEC" hidden="1">"c12794"</definedName>
    <definedName name="IQ_US_SPONSORED_AGENCY_OBLIG_FFIEC" hidden="1">"c12780"</definedName>
    <definedName name="IQ_US_TREASURY_SEC_AVAIL_SALE_FFIEC" hidden="1">"c12792"</definedName>
    <definedName name="IQ_US_TREASURY_SEC_TRADING_DOM_FFIEC" hidden="1">"c12918"</definedName>
    <definedName name="IQ_US_TREASURY_SEC_TRADING_FFIEC" hidden="1">"c12813"</definedName>
    <definedName name="IQ_US_TREASURY_SECURITIES_FDIC" hidden="1">"c6298"</definedName>
    <definedName name="IQ_US_TREASURY_SECURITIES_FFIEC" hidden="1">"c12778"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ARIABLE_RATE_PREFERREDS_INT_SENSITIVITY_FFIEC" hidden="1">"c13096"</definedName>
    <definedName name="IQ_VC_REV_OPERATING_INC_FFIEC" hidden="1">"c13388"</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ENTURE_CAPITAL_REVENUE_FFIEC" hidden="1">"c13010"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VWAP" hidden="1">"c13514"</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"c2104"</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IELD_FED_FUNDS_SOLD_FFIEC" hidden="1">"c13487"</definedName>
    <definedName name="IQ_YIELD_TRADING_ASSETS_FFIEC" hidden="1">"c13488"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kl" localSheetId="1" hidden="1">{"'Prices'!$A$4:$J$27"}</definedName>
    <definedName name="kl" hidden="1">{"'Prices'!$A$4:$J$27"}</definedName>
    <definedName name="limcount" hidden="1">1</definedName>
    <definedName name="oh" localSheetId="1" hidden="1">{#N/A,#N/A,TRUE,"Лист3"}</definedName>
    <definedName name="oh" localSheetId="4" hidden="1">{#N/A,#N/A,TRUE,"Лист3"}</definedName>
    <definedName name="oh" localSheetId="0" hidden="1">{#N/A,#N/A,TRUE,"Лист3"}</definedName>
    <definedName name="oh" hidden="1">{#N/A,#N/A,TRUE,"Лист3"}</definedName>
    <definedName name="oi" localSheetId="1" hidden="1">{#N/A,#N/A,TRUE,"Лист3"}</definedName>
    <definedName name="oi" localSheetId="4" hidden="1">{#N/A,#N/A,TRUE,"Лист3"}</definedName>
    <definedName name="oi" localSheetId="0" hidden="1">{#N/A,#N/A,TRUE,"Лист3"}</definedName>
    <definedName name="oi" hidden="1">{#N/A,#N/A,TRUE,"Лист3"}</definedName>
    <definedName name="ol" localSheetId="1" hidden="1">{#N/A,#N/A,TRUE,"Лист3"}</definedName>
    <definedName name="ol" localSheetId="4" hidden="1">{#N/A,#N/A,TRUE,"Лист3"}</definedName>
    <definedName name="ol" localSheetId="0" hidden="1">{#N/A,#N/A,TRUE,"Лист3"}</definedName>
    <definedName name="ol" hidden="1">{#N/A,#N/A,TRUE,"Лист3"}</definedName>
    <definedName name="perbolag" localSheetId="1" hidden="1">{#N/A,#N/A,FALSE,"intag";#N/A,#N/A,FALSE,"budg";#N/A,#N/A,FALSE,"samtl"}</definedName>
    <definedName name="perbolag" hidden="1">{#N/A,#N/A,FALSE,"intag";#N/A,#N/A,FALSE,"budg";#N/A,#N/A,FALSE,"samtl"}</definedName>
    <definedName name="_xlnm.Print_Area" localSheetId="7">ГРП!$A$1:$BK$46</definedName>
    <definedName name="qf" localSheetId="1" hidden="1">{#N/A,#N/A,TRUE,"Лист3"}</definedName>
    <definedName name="qf" localSheetId="4" hidden="1">{#N/A,#N/A,TRUE,"Лист3"}</definedName>
    <definedName name="qf" localSheetId="0" hidden="1">{#N/A,#N/A,TRUE,"Лист3"}</definedName>
    <definedName name="qf" hidden="1">{#N/A,#N/A,TRUE,"Лист3"}</definedName>
    <definedName name="qu" localSheetId="1" hidden="1">{#N/A,#N/A,TRUE,"Лист3"}</definedName>
    <definedName name="qu" localSheetId="4" hidden="1">{#N/A,#N/A,TRUE,"Лист3"}</definedName>
    <definedName name="qu" localSheetId="0" hidden="1">{#N/A,#N/A,TRUE,"Лист3"}</definedName>
    <definedName name="qu" hidden="1">{#N/A,#N/A,TRUE,"Лист3"}</definedName>
    <definedName name="RJ" localSheetId="1" hidden="1">{#N/A,#N/A,TRUE,"Лист3"}</definedName>
    <definedName name="RJ" localSheetId="4" hidden="1">{#N/A,#N/A,TRUE,"Лист3"}</definedName>
    <definedName name="RJ" localSheetId="0" hidden="1">{#N/A,#N/A,TRUE,"Лист3"}</definedName>
    <definedName name="RJ" hidden="1">{#N/A,#N/A,TRUE,"Лист3"}</definedName>
    <definedName name="s" localSheetId="1" hidden="1">{"'Prices'!$A$4:$J$27"}</definedName>
    <definedName name="s" hidden="1">{"'Prices'!$A$4:$J$27"}</definedName>
    <definedName name="sa" localSheetId="1" hidden="1">{#N/A,#N/A,TRUE,"Лист3"}</definedName>
    <definedName name="sa" localSheetId="4" hidden="1">{#N/A,#N/A,TRUE,"Лист3"}</definedName>
    <definedName name="sa" localSheetId="0" hidden="1">{#N/A,#N/A,TRUE,"Лист3"}</definedName>
    <definedName name="sa" hidden="1">{#N/A,#N/A,TRUE,"Лист3"}</definedName>
    <definedName name="SAPBEXrevision" hidden="1">3</definedName>
    <definedName name="SAPBEXsysID" hidden="1">"B01"</definedName>
    <definedName name="SAPBEXwbID" hidden="1">"1OKLBDAAGJ3NPBUSNNGRFDKQH"</definedName>
    <definedName name="sencount" hidden="1">1</definedName>
    <definedName name="TJ" localSheetId="1" hidden="1">{#N/A,#N/A,TRUE,"Лист3"}</definedName>
    <definedName name="TJ" localSheetId="4" hidden="1">{#N/A,#N/A,TRUE,"Лист3"}</definedName>
    <definedName name="TJ" localSheetId="0" hidden="1">{#N/A,#N/A,TRUE,"Лист3"}</definedName>
    <definedName name="TJ" hidden="1">{#N/A,#N/A,TRUE,"Лист3"}</definedName>
    <definedName name="trt" localSheetId="1" hidden="1">{#N/A,#N/A,TRUE,"Лист3"}</definedName>
    <definedName name="trt" localSheetId="4" hidden="1">{#N/A,#N/A,TRUE,"Лист3"}</definedName>
    <definedName name="trt" localSheetId="0" hidden="1">{#N/A,#N/A,TRUE,"Лист3"}</definedName>
    <definedName name="trt" hidden="1">{#N/A,#N/A,TRUE,"Лист3"}</definedName>
    <definedName name="tv" localSheetId="1" hidden="1">{#N/A,#N/A,TRUE,"Лист3"}</definedName>
    <definedName name="tv" localSheetId="4" hidden="1">{#N/A,#N/A,TRUE,"Лист3"}</definedName>
    <definedName name="tv" localSheetId="0" hidden="1">{#N/A,#N/A,TRUE,"Лист3"}</definedName>
    <definedName name="tv" hidden="1">{#N/A,#N/A,TRUE,"Лист3"}</definedName>
    <definedName name="ub" localSheetId="1" hidden="1">{#N/A,#N/A,TRUE,"Лист3"}</definedName>
    <definedName name="ub" localSheetId="4" hidden="1">{#N/A,#N/A,TRUE,"Лист3"}</definedName>
    <definedName name="ub" localSheetId="0" hidden="1">{#N/A,#N/A,TRUE,"Лист3"}</definedName>
    <definedName name="ub" hidden="1">{#N/A,#N/A,TRUE,"Лист3"}</definedName>
    <definedName name="ul" localSheetId="1" hidden="1">{#N/A,#N/A,TRUE,"Лист3"}</definedName>
    <definedName name="ul" localSheetId="4" hidden="1">{#N/A,#N/A,TRUE,"Лист3"}</definedName>
    <definedName name="ul" localSheetId="0" hidden="1">{#N/A,#N/A,TRUE,"Лист3"}</definedName>
    <definedName name="ul" hidden="1">{#N/A,#N/A,TRUE,"Лист3"}</definedName>
    <definedName name="ut" localSheetId="1" hidden="1">{#N/A,#N/A,TRUE,"Лист3"}</definedName>
    <definedName name="ut" localSheetId="4" hidden="1">{#N/A,#N/A,TRUE,"Лист3"}</definedName>
    <definedName name="ut" localSheetId="0" hidden="1">{#N/A,#N/A,TRUE,"Лист3"}</definedName>
    <definedName name="ut" hidden="1">{#N/A,#N/A,TRUE,"Лист3"}</definedName>
    <definedName name="uuu" localSheetId="1" hidden="1">{#N/A,#N/A,TRUE,"Лист3"}</definedName>
    <definedName name="uuu" localSheetId="4" hidden="1">{#N/A,#N/A,TRUE,"Лист3"}</definedName>
    <definedName name="uuu" localSheetId="0" hidden="1">{#N/A,#N/A,TRUE,"Лист3"}</definedName>
    <definedName name="uuu" hidden="1">{#N/A,#N/A,TRUE,"Лист3"}</definedName>
    <definedName name="wd" localSheetId="1" hidden="1">{#N/A,#N/A,TRUE,"Лист3"}</definedName>
    <definedName name="wd" localSheetId="4" hidden="1">{#N/A,#N/A,TRUE,"Лист3"}</definedName>
    <definedName name="wd" localSheetId="0" hidden="1">{#N/A,#N/A,TRUE,"Лист3"}</definedName>
    <definedName name="wd" hidden="1">{#N/A,#N/A,TRUE,"Лист3"}</definedName>
    <definedName name="wm" localSheetId="1" hidden="1">{#N/A,#N/A,TRUE,"Лист3"}</definedName>
    <definedName name="wm" localSheetId="4" hidden="1">{#N/A,#N/A,TRUE,"Лист3"}</definedName>
    <definedName name="wm" localSheetId="0" hidden="1">{#N/A,#N/A,TRUE,"Лист3"}</definedName>
    <definedName name="wm" hidden="1">{#N/A,#N/A,TRUE,"Лист3"}</definedName>
    <definedName name="wq" localSheetId="1" hidden="1">{#N/A,#N/A,TRUE,"Лист3"}</definedName>
    <definedName name="wq" localSheetId="4" hidden="1">{#N/A,#N/A,TRUE,"Лист3"}</definedName>
    <definedName name="wq" localSheetId="0" hidden="1">{#N/A,#N/A,TRUE,"Лист3"}</definedName>
    <definedName name="wq" hidden="1">{#N/A,#N/A,TRUE,"Лист3"}</definedName>
    <definedName name="wrn.OCS._.REPORT." localSheetId="1" hidden="1">{#N/A,#N/A,FALSE,"Cover";#N/A,#N/A,FALSE,"Index";#N/A,#N/A,FALSE,"Spec";#N/A,#N/A,FALSE,"Breakdown";#N/A,#N/A,FALSE,"Cost Plan"}</definedName>
    <definedName name="wrn.OCS._.REPORT." hidden="1">{#N/A,#N/A,FALSE,"Cover";#N/A,#N/A,FALSE,"Index";#N/A,#N/A,FALSE,"Spec";#N/A,#N/A,FALSE,"Breakdown";#N/A,#N/A,FALSE,"Cost Plan"}</definedName>
    <definedName name="wrn.pr3sty." localSheetId="1" hidden="1">{#N/A,#N/A,FALSE,"intag";#N/A,#N/A,FALSE,"budg";#N/A,#N/A,FALSE,"samtl"}</definedName>
    <definedName name="wrn.pr3sty." hidden="1">{#N/A,#N/A,FALSE,"intag";#N/A,#N/A,FALSE,"budg";#N/A,#N/A,FALSE,"samtl"}</definedName>
    <definedName name="wrn.Отчет." localSheetId="1" hidden="1">{#N/A,#N/A,TRUE,"Лист3"}</definedName>
    <definedName name="wrn.Отчет." localSheetId="4" hidden="1">{#N/A,#N/A,TRUE,"Лист3"}</definedName>
    <definedName name="wrn.Отчет." localSheetId="0" hidden="1">{#N/A,#N/A,TRUE,"Лист3"}</definedName>
    <definedName name="wrn.Отчет." hidden="1">{#N/A,#N/A,TRUE,"Лист3"}</definedName>
    <definedName name="wrn.отчет.xeh" localSheetId="1" hidden="1">{#N/A,#N/A,TRUE,"Лист3"}</definedName>
    <definedName name="wrn.отчет.xeh" localSheetId="4" hidden="1">{#N/A,#N/A,TRUE,"Лист3"}</definedName>
    <definedName name="wrn.отчет.xeh" localSheetId="0" hidden="1">{#N/A,#N/A,TRUE,"Лист3"}</definedName>
    <definedName name="wrn.отчет.xeh" hidden="1">{#N/A,#N/A,TRUE,"Лист3"}</definedName>
    <definedName name="ws" localSheetId="1" hidden="1">{#N/A,#N/A,TRUE,"Лист3"}</definedName>
    <definedName name="ws" localSheetId="4" hidden="1">{#N/A,#N/A,TRUE,"Лист3"}</definedName>
    <definedName name="ws" localSheetId="0" hidden="1">{#N/A,#N/A,TRUE,"Лист3"}</definedName>
    <definedName name="ws" hidden="1">{#N/A,#N/A,TRUE,"Лист3"}</definedName>
    <definedName name="yv" localSheetId="1" hidden="1">{#N/A,#N/A,TRUE,"Лист3"}</definedName>
    <definedName name="yv" localSheetId="4" hidden="1">{#N/A,#N/A,TRUE,"Лист3"}</definedName>
    <definedName name="yv" localSheetId="0" hidden="1">{#N/A,#N/A,TRUE,"Лист3"}</definedName>
    <definedName name="yv" hidden="1">{#N/A,#N/A,TRUE,"Лист3"}</definedName>
    <definedName name="Z_270BB401_5236_11D4_BB54_0050044E0CFA_.wvu.Cols" localSheetId="6" hidden="1">#REF!,#REF!,#REF!,#REF!</definedName>
    <definedName name="Z_270BB401_5236_11D4_BB54_0050044E0CFA_.wvu.Cols" localSheetId="1" hidden="1">#REF!,#REF!,#REF!,#REF!</definedName>
    <definedName name="Z_270BB401_5236_11D4_BB54_0050044E0CFA_.wvu.Cols" localSheetId="2" hidden="1">#REF!,#REF!,#REF!,#REF!</definedName>
    <definedName name="Z_270BB401_5236_11D4_BB54_0050044E0CFA_.wvu.Cols" localSheetId="4" hidden="1">#REF!,#REF!,#REF!,#REF!</definedName>
    <definedName name="Z_270BB401_5236_11D4_BB54_0050044E0CFA_.wvu.Cols" localSheetId="5" hidden="1">#REF!,#REF!,#REF!,#REF!</definedName>
    <definedName name="Z_270BB401_5236_11D4_BB54_0050044E0CFA_.wvu.Cols" localSheetId="0" hidden="1">#REF!,#REF!,#REF!,#REF!</definedName>
    <definedName name="Z_270BB401_5236_11D4_BB54_0050044E0CFA_.wvu.Cols" hidden="1">#REF!,#REF!,#REF!,#REF!</definedName>
    <definedName name="Z_270BB401_5236_11D4_BB54_0050044E0CFA_.wvu.FilterData" localSheetId="6" hidden="1">#REF!</definedName>
    <definedName name="Z_270BB401_5236_11D4_BB54_0050044E0CFA_.wvu.FilterData" localSheetId="1" hidden="1">#REF!</definedName>
    <definedName name="Z_270BB401_5236_11D4_BB54_0050044E0CFA_.wvu.FilterData" localSheetId="2" hidden="1">#REF!</definedName>
    <definedName name="Z_270BB401_5236_11D4_BB54_0050044E0CFA_.wvu.FilterData" localSheetId="4" hidden="1">#REF!</definedName>
    <definedName name="Z_270BB401_5236_11D4_BB54_0050044E0CFA_.wvu.FilterData" localSheetId="5" hidden="1">#REF!</definedName>
    <definedName name="Z_270BB401_5236_11D4_BB54_0050044E0CFA_.wvu.FilterData" localSheetId="0" hidden="1">#REF!</definedName>
    <definedName name="Z_270BB401_5236_11D4_BB54_0050044E0CFA_.wvu.FilterData" hidden="1">#REF!</definedName>
    <definedName name="Z_270BB401_5236_11D4_BB54_0050044E0CFA_.wvu.PrintArea" localSheetId="6" hidden="1">#REF!</definedName>
    <definedName name="Z_270BB401_5236_11D4_BB54_0050044E0CFA_.wvu.PrintArea" localSheetId="1" hidden="1">#REF!</definedName>
    <definedName name="Z_270BB401_5236_11D4_BB54_0050044E0CFA_.wvu.PrintArea" localSheetId="2" hidden="1">#REF!</definedName>
    <definedName name="Z_270BB401_5236_11D4_BB54_0050044E0CFA_.wvu.PrintArea" localSheetId="4" hidden="1">#REF!</definedName>
    <definedName name="Z_270BB401_5236_11D4_BB54_0050044E0CFA_.wvu.PrintArea" localSheetId="5" hidden="1">#REF!</definedName>
    <definedName name="Z_270BB401_5236_11D4_BB54_0050044E0CFA_.wvu.PrintArea" localSheetId="0" hidden="1">#REF!</definedName>
    <definedName name="Z_270BB401_5236_11D4_BB54_0050044E0CFA_.wvu.PrintArea" hidden="1">#REF!</definedName>
    <definedName name="Z_270BB401_5236_11D4_BB54_0050044E0CFA_.wvu.PrintTitles" localSheetId="6" hidden="1">#REF!</definedName>
    <definedName name="Z_270BB401_5236_11D4_BB54_0050044E0CFA_.wvu.PrintTitles" localSheetId="1" hidden="1">#REF!</definedName>
    <definedName name="Z_270BB401_5236_11D4_BB54_0050044E0CFA_.wvu.PrintTitles" localSheetId="2" hidden="1">#REF!</definedName>
    <definedName name="Z_270BB401_5236_11D4_BB54_0050044E0CFA_.wvu.PrintTitles" localSheetId="4" hidden="1">#REF!</definedName>
    <definedName name="Z_270BB401_5236_11D4_BB54_0050044E0CFA_.wvu.PrintTitles" localSheetId="5" hidden="1">#REF!</definedName>
    <definedName name="Z_270BB401_5236_11D4_BB54_0050044E0CFA_.wvu.PrintTitles" localSheetId="0" hidden="1">#REF!</definedName>
    <definedName name="Z_270BB401_5236_11D4_BB54_0050044E0CFA_.wvu.PrintTitles" hidden="1">#REF!</definedName>
    <definedName name="Z_270BB401_5236_11D4_BB54_0050044E0CFA_.wvu.Rows" localSheetId="6" hidden="1">#REF!,#REF!</definedName>
    <definedName name="Z_270BB401_5236_11D4_BB54_0050044E0CFA_.wvu.Rows" localSheetId="1" hidden="1">#REF!,#REF!</definedName>
    <definedName name="Z_270BB401_5236_11D4_BB54_0050044E0CFA_.wvu.Rows" localSheetId="2" hidden="1">#REF!,#REF!</definedName>
    <definedName name="Z_270BB401_5236_11D4_BB54_0050044E0CFA_.wvu.Rows" localSheetId="4" hidden="1">#REF!,#REF!</definedName>
    <definedName name="Z_270BB401_5236_11D4_BB54_0050044E0CFA_.wvu.Rows" localSheetId="5" hidden="1">#REF!,#REF!</definedName>
    <definedName name="Z_270BB401_5236_11D4_BB54_0050044E0CFA_.wvu.Rows" localSheetId="0" hidden="1">#REF!,#REF!</definedName>
    <definedName name="Z_270BB401_5236_11D4_BB54_0050044E0CFA_.wvu.Rows" hidden="1">#REF!,#REF!</definedName>
    <definedName name="Z_394871F0_3245_4071_9D9E_F352035A6A82_.wvu.Cols" hidden="1">'[3]БДР развернутый_не использовать'!$J$1:$K$65536,'[3]БДР развернутый_не использовать'!$N$1:$O$65536</definedName>
    <definedName name="Z_A0AC4B42_5259_11D4_B5FE_00C04FC949BF_.wvu.Cols" localSheetId="6" hidden="1">#REF!,#REF!,#REF!,#REF!</definedName>
    <definedName name="Z_A0AC4B42_5259_11D4_B5FE_00C04FC949BF_.wvu.Cols" localSheetId="1" hidden="1">#REF!,#REF!,#REF!,#REF!</definedName>
    <definedName name="Z_A0AC4B42_5259_11D4_B5FE_00C04FC949BF_.wvu.Cols" localSheetId="2" hidden="1">#REF!,#REF!,#REF!,#REF!</definedName>
    <definedName name="Z_A0AC4B42_5259_11D4_B5FE_00C04FC949BF_.wvu.Cols" localSheetId="4" hidden="1">#REF!,#REF!,#REF!,#REF!</definedName>
    <definedName name="Z_A0AC4B42_5259_11D4_B5FE_00C04FC949BF_.wvu.Cols" localSheetId="5" hidden="1">#REF!,#REF!,#REF!,#REF!</definedName>
    <definedName name="Z_A0AC4B42_5259_11D4_B5FE_00C04FC949BF_.wvu.Cols" localSheetId="0" hidden="1">#REF!,#REF!,#REF!,#REF!</definedName>
    <definedName name="Z_A0AC4B42_5259_11D4_B5FE_00C04FC949BF_.wvu.Cols" hidden="1">#REF!,#REF!,#REF!,#REF!</definedName>
    <definedName name="Z_A0AC4B42_5259_11D4_B5FE_00C04FC949BF_.wvu.FilterData" localSheetId="6" hidden="1">#REF!</definedName>
    <definedName name="Z_A0AC4B42_5259_11D4_B5FE_00C04FC949BF_.wvu.FilterData" localSheetId="1" hidden="1">#REF!</definedName>
    <definedName name="Z_A0AC4B42_5259_11D4_B5FE_00C04FC949BF_.wvu.FilterData" localSheetId="2" hidden="1">#REF!</definedName>
    <definedName name="Z_A0AC4B42_5259_11D4_B5FE_00C04FC949BF_.wvu.FilterData" localSheetId="4" hidden="1">#REF!</definedName>
    <definedName name="Z_A0AC4B42_5259_11D4_B5FE_00C04FC949BF_.wvu.FilterData" localSheetId="5" hidden="1">#REF!</definedName>
    <definedName name="Z_A0AC4B42_5259_11D4_B5FE_00C04FC949BF_.wvu.FilterData" localSheetId="0" hidden="1">#REF!</definedName>
    <definedName name="Z_A0AC4B42_5259_11D4_B5FE_00C04FC949BF_.wvu.FilterData" hidden="1">#REF!</definedName>
    <definedName name="Z_A0AC4B42_5259_11D4_B5FE_00C04FC949BF_.wvu.PrintArea" localSheetId="6" hidden="1">#REF!</definedName>
    <definedName name="Z_A0AC4B42_5259_11D4_B5FE_00C04FC949BF_.wvu.PrintArea" localSheetId="1" hidden="1">#REF!</definedName>
    <definedName name="Z_A0AC4B42_5259_11D4_B5FE_00C04FC949BF_.wvu.PrintArea" localSheetId="2" hidden="1">#REF!</definedName>
    <definedName name="Z_A0AC4B42_5259_11D4_B5FE_00C04FC949BF_.wvu.PrintArea" localSheetId="4" hidden="1">#REF!</definedName>
    <definedName name="Z_A0AC4B42_5259_11D4_B5FE_00C04FC949BF_.wvu.PrintArea" localSheetId="5" hidden="1">#REF!</definedName>
    <definedName name="Z_A0AC4B42_5259_11D4_B5FE_00C04FC949BF_.wvu.PrintArea" localSheetId="0" hidden="1">#REF!</definedName>
    <definedName name="Z_A0AC4B42_5259_11D4_B5FE_00C04FC949BF_.wvu.PrintArea" hidden="1">#REF!</definedName>
    <definedName name="Z_A0AC4B42_5259_11D4_B5FE_00C04FC949BF_.wvu.PrintTitles" localSheetId="6" hidden="1">#REF!</definedName>
    <definedName name="Z_A0AC4B42_5259_11D4_B5FE_00C04FC949BF_.wvu.PrintTitles" localSheetId="1" hidden="1">#REF!</definedName>
    <definedName name="Z_A0AC4B42_5259_11D4_B5FE_00C04FC949BF_.wvu.PrintTitles" localSheetId="2" hidden="1">#REF!</definedName>
    <definedName name="Z_A0AC4B42_5259_11D4_B5FE_00C04FC949BF_.wvu.PrintTitles" localSheetId="4" hidden="1">#REF!</definedName>
    <definedName name="Z_A0AC4B42_5259_11D4_B5FE_00C04FC949BF_.wvu.PrintTitles" localSheetId="5" hidden="1">#REF!</definedName>
    <definedName name="Z_A0AC4B42_5259_11D4_B5FE_00C04FC949BF_.wvu.PrintTitles" localSheetId="0" hidden="1">#REF!</definedName>
    <definedName name="Z_A0AC4B42_5259_11D4_B5FE_00C04FC949BF_.wvu.PrintTitles" hidden="1">#REF!</definedName>
    <definedName name="Z_A0AC4B42_5259_11D4_B5FE_00C04FC949BF_.wvu.Rows" localSheetId="6" hidden="1">#REF!,#REF!,#REF!,#REF!,#REF!,#REF!,#REF!</definedName>
    <definedName name="Z_A0AC4B42_5259_11D4_B5FE_00C04FC949BF_.wvu.Rows" localSheetId="1" hidden="1">#REF!,#REF!,#REF!,#REF!,#REF!,#REF!,#REF!</definedName>
    <definedName name="Z_A0AC4B42_5259_11D4_B5FE_00C04FC949BF_.wvu.Rows" localSheetId="2" hidden="1">#REF!,#REF!,#REF!,#REF!,#REF!,#REF!,#REF!</definedName>
    <definedName name="Z_A0AC4B42_5259_11D4_B5FE_00C04FC949BF_.wvu.Rows" localSheetId="4" hidden="1">#REF!,#REF!,#REF!,#REF!,#REF!,#REF!,#REF!</definedName>
    <definedName name="Z_A0AC4B42_5259_11D4_B5FE_00C04FC949BF_.wvu.Rows" localSheetId="5" hidden="1">#REF!,#REF!,#REF!,#REF!,#REF!,#REF!,#REF!</definedName>
    <definedName name="Z_A0AC4B42_5259_11D4_B5FE_00C04FC949BF_.wvu.Rows" localSheetId="0" hidden="1">#REF!,#REF!,#REF!,#REF!,#REF!,#REF!,#REF!</definedName>
    <definedName name="Z_A0AC4B42_5259_11D4_B5FE_00C04FC949BF_.wvu.Rows" hidden="1">#REF!,#REF!,#REF!,#REF!,#REF!,#REF!,#REF!</definedName>
    <definedName name="zvnmckgfkjvljghljhv" hidden="1">#REF!,#REF!</definedName>
    <definedName name="авыап" localSheetId="1" hidden="1">{#N/A,#N/A,TRUE,"Лист3"}</definedName>
    <definedName name="авыап" hidden="1">{#N/A,#N/A,TRUE,"Лист3"}</definedName>
    <definedName name="акпеоако" localSheetId="1" hidden="1">{"'Prices'!$A$4:$J$27"}</definedName>
    <definedName name="акпеоако" hidden="1">{"'Prices'!$A$4:$J$27"}</definedName>
    <definedName name="апврапрапрапр" hidden="1">#REF!,#REF!,#REF!,#REF!</definedName>
    <definedName name="афк">длительность!$O$160:$O$171</definedName>
    <definedName name="афк1">длительность!$S$159:$S$160</definedName>
    <definedName name="афк2">длительность!$S$164:$S$165</definedName>
    <definedName name="афк3">длительность!$S$169:$S$170</definedName>
    <definedName name="аыи" localSheetId="1" hidden="1">{"'Prices'!$A$4:$J$27"}</definedName>
    <definedName name="аыи" hidden="1">{"'Prices'!$A$4:$J$27"}</definedName>
    <definedName name="благоустр">длительность!$A$139:$A$145</definedName>
    <definedName name="вававава" localSheetId="1" hidden="1">{#N/A,#N/A,TRUE,"Лист3"}</definedName>
    <definedName name="вававава" localSheetId="4" hidden="1">{#N/A,#N/A,TRUE,"Лист3"}</definedName>
    <definedName name="вававава" localSheetId="0" hidden="1">{#N/A,#N/A,TRUE,"Лист3"}</definedName>
    <definedName name="вававава" hidden="1">{#N/A,#N/A,TRUE,"Лист3"}</definedName>
    <definedName name="вап" localSheetId="1" hidden="1">{"'Prices'!$A$4:$J$27"}</definedName>
    <definedName name="вап" hidden="1">{"'Prices'!$A$4:$J$27"}</definedName>
    <definedName name="вапвпа" localSheetId="1" hidden="1">{"'Prices'!$A$4:$J$27"}</definedName>
    <definedName name="вапвпа" hidden="1">{"'Prices'!$A$4:$J$27"}</definedName>
    <definedName name="вапыфа" localSheetId="1" hidden="1">{"'Prices'!$A$4:$J$27"}</definedName>
    <definedName name="вапыфа" hidden="1">{"'Prices'!$A$4:$J$27"}</definedName>
    <definedName name="высота_лифт">длительность!$K$135:$K$138</definedName>
    <definedName name="высотность">длительность!$K$100:$K$103</definedName>
    <definedName name="ггг" localSheetId="1" hidden="1">{"'Prices'!$A$4:$J$27"}</definedName>
    <definedName name="ггг" hidden="1">{"'Prices'!$A$4:$J$27"}</definedName>
    <definedName name="ггггггг" localSheetId="1" hidden="1">{"'Prices'!$A$4:$J$27"}</definedName>
    <definedName name="ггггггг" hidden="1">{"'Prices'!$A$4:$J$27"}</definedName>
    <definedName name="ггггггггггггггггг" localSheetId="1" hidden="1">{"'Prices'!$A$4:$J$27"}</definedName>
    <definedName name="ггггггггггггггггг" hidden="1">{"'Prices'!$A$4:$J$27"}</definedName>
    <definedName name="гд" localSheetId="1" hidden="1">{"'Prices'!$A$4:$J$27"}</definedName>
    <definedName name="гд" hidden="1">{"'Prices'!$A$4:$J$27"}</definedName>
    <definedName name="глгл" localSheetId="1" hidden="1">{"'Prices'!$A$4:$J$27"}</definedName>
    <definedName name="глгл" hidden="1">{"'Prices'!$A$4:$J$27"}</definedName>
    <definedName name="гол" localSheetId="1" hidden="1">{#N/A,#N/A,TRUE,"Лист3"}</definedName>
    <definedName name="гол" localSheetId="4" hidden="1">{#N/A,#N/A,TRUE,"Лист3"}</definedName>
    <definedName name="гол" localSheetId="0" hidden="1">{#N/A,#N/A,TRUE,"Лист3"}</definedName>
    <definedName name="гол" hidden="1">{#N/A,#N/A,TRUE,"Лист3"}</definedName>
    <definedName name="График">"Диагр. 4"</definedName>
    <definedName name="ддлд" localSheetId="1" hidden="1">{#N/A,#N/A,TRUE,"Лист3"}</definedName>
    <definedName name="ддлд" hidden="1">{#N/A,#N/A,TRUE,"Лист3"}</definedName>
    <definedName name="демонтаж">длительность!$A$61:$A$68</definedName>
    <definedName name="детклуб">длительность!$D$136:$D$142</definedName>
    <definedName name="джло" localSheetId="1" hidden="1">{"'Prices'!$A$4:$J$27"}</definedName>
    <definedName name="джло" hidden="1">{"'Prices'!$A$4:$J$27"}</definedName>
    <definedName name="дло" localSheetId="1" hidden="1">{"'Prices'!$A$4:$J$27"}</definedName>
    <definedName name="дло" hidden="1">{"'Prices'!$A$4:$J$27"}</definedName>
    <definedName name="егл5л" localSheetId="1" hidden="1">{"'Prices'!$A$4:$J$27"}</definedName>
    <definedName name="егл5л" hidden="1">{"'Prices'!$A$4:$J$27"}</definedName>
    <definedName name="еглгл" localSheetId="1" hidden="1">{"'Prices'!$A$4:$J$27"}</definedName>
    <definedName name="еглгл" hidden="1">{"'Prices'!$A$4:$J$27"}</definedName>
    <definedName name="еег" localSheetId="1" hidden="1">{"'Prices'!$A$4:$J$27"}</definedName>
    <definedName name="еег" hidden="1">{"'Prices'!$A$4:$J$27"}</definedName>
    <definedName name="еноге" localSheetId="1" hidden="1">{"'Prices'!$A$4:$J$27"}</definedName>
    <definedName name="еноге" hidden="1">{"'Prices'!$A$4:$J$27"}</definedName>
    <definedName name="енрнро" localSheetId="1" hidden="1">{"'Prices'!$A$4:$J$27"}</definedName>
    <definedName name="енрнро" hidden="1">{"'Prices'!$A$4:$J$27"}</definedName>
    <definedName name="еркер" localSheetId="1" hidden="1">{"'Prices'!$A$4:$J$27"}</definedName>
    <definedName name="еркер" hidden="1">{"'Prices'!$A$4:$J$27"}</definedName>
    <definedName name="Ж" localSheetId="1" hidden="1">{#N/A,#N/A,TRUE,"Лист3"}</definedName>
    <definedName name="Ж" hidden="1">{#N/A,#N/A,TRUE,"Лист3"}</definedName>
    <definedName name="ж\" localSheetId="1" hidden="1">{"'Prices'!$A$4:$J$27"}</definedName>
    <definedName name="ж\" hidden="1">{"'Prices'!$A$4:$J$27"}</definedName>
    <definedName name="ждл" localSheetId="1" hidden="1">{"'Prices'!$A$4:$J$27"}</definedName>
    <definedName name="ждл" hidden="1">{"'Prices'!$A$4:$J$27"}</definedName>
    <definedName name="зу">длительность!$H$142:$H$144</definedName>
    <definedName name="зшщз" localSheetId="1" hidden="1">{#N/A,#N/A,FALSE,"intag";#N/A,#N/A,FALSE,"budg";#N/A,#N/A,FALSE,"samtl"}</definedName>
    <definedName name="зшщз" hidden="1">{#N/A,#N/A,FALSE,"intag";#N/A,#N/A,FALSE,"budg";#N/A,#N/A,FALSE,"samtl"}</definedName>
    <definedName name="й" localSheetId="1" hidden="1">{"'Prices'!$A$4:$J$27"}</definedName>
    <definedName name="й" hidden="1">{"'Prices'!$A$4:$J$27"}</definedName>
    <definedName name="йкей" localSheetId="1" hidden="1">{"'Prices'!$A$4:$J$27"}</definedName>
    <definedName name="йкей" hidden="1">{"'Prices'!$A$4:$J$27"}</definedName>
    <definedName name="йукп" localSheetId="1" hidden="1">{"'Prices'!$A$4:$J$27"}</definedName>
    <definedName name="йукп" hidden="1">{"'Prices'!$A$4:$J$27"}</definedName>
    <definedName name="йукпуп" localSheetId="1" hidden="1">{"'Prices'!$A$4:$J$27"}</definedName>
    <definedName name="йукпуп" hidden="1">{"'Prices'!$A$4:$J$27"}</definedName>
    <definedName name="квартира">длительность!$A$73:$A$79</definedName>
    <definedName name="кгк" localSheetId="1" hidden="1">{"'Prices'!$A$4:$J$27"}</definedName>
    <definedName name="кгк" hidden="1">{"'Prices'!$A$4:$J$27"}</definedName>
    <definedName name="ке" localSheetId="6" hidden="1">#REF!</definedName>
    <definedName name="ке" localSheetId="1" hidden="1">#REF!</definedName>
    <definedName name="ке" localSheetId="5" hidden="1">#REF!</definedName>
    <definedName name="ке" hidden="1">#REF!</definedName>
    <definedName name="керйкр" localSheetId="1" hidden="1">{"'Prices'!$A$4:$J$27"}</definedName>
    <definedName name="керйкр" hidden="1">{"'Prices'!$A$4:$J$27"}</definedName>
    <definedName name="керкр" localSheetId="1" hidden="1">{"'Prices'!$A$4:$J$27"}</definedName>
    <definedName name="керкр" hidden="1">{"'Prices'!$A$4:$J$27"}</definedName>
    <definedName name="кно" localSheetId="1" hidden="1">{"'Prices'!$A$4:$J$27"}</definedName>
    <definedName name="кно" hidden="1">{"'Prices'!$A$4:$J$27"}</definedName>
    <definedName name="кровля">длительность!$R$61:$R$66</definedName>
    <definedName name="курс">Калькулятор_жилье!$F$123</definedName>
    <definedName name="лкон" localSheetId="1" hidden="1">{"'Prices'!$A$4:$J$27"}</definedName>
    <definedName name="лкон" hidden="1">{"'Prices'!$A$4:$J$27"}</definedName>
    <definedName name="лл" localSheetId="1" hidden="1">{#N/A,#N/A,TRUE,"Лист3"}</definedName>
    <definedName name="лл" localSheetId="4" hidden="1">{#N/A,#N/A,TRUE,"Лист3"}</definedName>
    <definedName name="лл" localSheetId="0" hidden="1">{#N/A,#N/A,TRUE,"Лист3"}</definedName>
    <definedName name="лл" hidden="1">{#N/A,#N/A,TRUE,"Лист3"}</definedName>
    <definedName name="ллг" localSheetId="1" hidden="1">{"'Prices'!$A$4:$J$27"}</definedName>
    <definedName name="ллг" hidden="1">{"'Prices'!$A$4:$J$27"}</definedName>
    <definedName name="Лубенец" hidden="1">#REF!,#REF!,#REF!,#REF!</definedName>
    <definedName name="мебель">длительность!$A$97:$A$102</definedName>
    <definedName name="млн">1000000</definedName>
    <definedName name="моп">Калькулятор_жилье!$D$665</definedName>
    <definedName name="назем">длительность!$H$73:$H$79</definedName>
    <definedName name="ндз">длительность!$H$160:$H$166</definedName>
    <definedName name="ндс">0.2</definedName>
    <definedName name="нн" localSheetId="1" hidden="1">{#N/A,#N/A,TRUE,"Лист3"}</definedName>
    <definedName name="нн" localSheetId="4" hidden="1">{#N/A,#N/A,TRUE,"Лист3"}</definedName>
    <definedName name="нн" localSheetId="0" hidden="1">{#N/A,#N/A,TRUE,"Лист3"}</definedName>
    <definedName name="нн" hidden="1">{#N/A,#N/A,TRUE,"Лист3"}</definedName>
    <definedName name="общ">длительность!$A$151:$A$153</definedName>
    <definedName name="общ_пл_отдел">длительность!$A$160:$A$166</definedName>
    <definedName name="ограждение">Калькулятор_жилье!$E$586:$E$589</definedName>
    <definedName name="ооооо" localSheetId="1" hidden="1">{#N/A,#N/A,TRUE,"Лист3"}</definedName>
    <definedName name="ооооо" hidden="1">{#N/A,#N/A,TRUE,"Лист3"}</definedName>
    <definedName name="орп" localSheetId="1" hidden="1">{"'Prices'!$A$4:$J$27"}</definedName>
    <definedName name="орп" hidden="1">{"'Prices'!$A$4:$J$27"}</definedName>
    <definedName name="Отчет1" localSheetId="1" hidden="1">{#N/A,#N/A,TRUE,"Лист3"}</definedName>
    <definedName name="Отчет1" localSheetId="4" hidden="1">{#N/A,#N/A,TRUE,"Лист3"}</definedName>
    <definedName name="Отчет1" localSheetId="0" hidden="1">{#N/A,#N/A,TRUE,"Лист3"}</definedName>
    <definedName name="Отчет1" hidden="1">{#N/A,#N/A,TRUE,"Лист3"}</definedName>
    <definedName name="офис_продаж">Калькулятор_жилье!$D$525:$D$526</definedName>
    <definedName name="паркинг">длительность!$H$49:$H$53</definedName>
    <definedName name="пароеу" localSheetId="1" hidden="1">{#N/A,#N/A,TRUE,"Лист3"}</definedName>
    <definedName name="пароеу" hidden="1">{#N/A,#N/A,TRUE,"Лист3"}</definedName>
    <definedName name="пиит" localSheetId="1" hidden="1">{"'Prices'!$A$4:$J$27"}</definedName>
    <definedName name="пиит" hidden="1">{"'Prices'!$A$4:$J$27"}</definedName>
    <definedName name="пкркер" localSheetId="1" hidden="1">{"'Prices'!$A$4:$J$27"}</definedName>
    <definedName name="пкркер" hidden="1">{"'Prices'!$A$4:$J$27"}</definedName>
    <definedName name="поликл">уникальные!$B$46:$B$54</definedName>
    <definedName name="поликлин">длительность!$D$99:$D$101</definedName>
    <definedName name="Продажа" localSheetId="1" hidden="1">{#N/A,#N/A,TRUE,"Лист3"}</definedName>
    <definedName name="Продажа" localSheetId="4" hidden="1">{#N/A,#N/A,TRUE,"Лист3"}</definedName>
    <definedName name="Продажа" localSheetId="0" hidden="1">{#N/A,#N/A,TRUE,"Лист3"}</definedName>
    <definedName name="Продажа" hidden="1">{#N/A,#N/A,TRUE,"Лист3"}</definedName>
    <definedName name="прьь" localSheetId="1" hidden="1">{"'Prices'!$A$4:$J$27"}</definedName>
    <definedName name="прьь" hidden="1">{"'Prices'!$A$4:$J$27"}</definedName>
    <definedName name="р111111111111111" hidden="1">#REF!</definedName>
    <definedName name="редев">длительность!$E$73:$E$76</definedName>
    <definedName name="рмекр" localSheetId="1" hidden="1">{#N/A,#N/A,TRUE,"Лист3"}</definedName>
    <definedName name="рмекр" localSheetId="4" hidden="1">{#N/A,#N/A,TRUE,"Лист3"}</definedName>
    <definedName name="рмекр" localSheetId="0" hidden="1">{#N/A,#N/A,TRUE,"Лист3"}</definedName>
    <definedName name="рмекр" hidden="1">{#N/A,#N/A,TRUE,"Лист3"}</definedName>
    <definedName name="рноено" hidden="1">#REF!,#REF!,#REF!,#REF!</definedName>
    <definedName name="рпра" localSheetId="1" hidden="1">{"'Prices'!$A$4:$J$27"}</definedName>
    <definedName name="рпра" hidden="1">{"'Prices'!$A$4:$J$27"}</definedName>
    <definedName name="Ры" hidden="1">#REF!,#REF!,#REF!,#REF!</definedName>
    <definedName name="рьрь" localSheetId="1" hidden="1">{"'Prices'!$A$4:$J$27"}</definedName>
    <definedName name="рьрь" hidden="1">{"'Prices'!$A$4:$J$27"}</definedName>
    <definedName name="сад">уникальные!$B$32:$B$43</definedName>
    <definedName name="сад_бас">уникальные!$J$29:$J$36</definedName>
    <definedName name="сети1">длительность!$K$122:$K$125</definedName>
    <definedName name="сети2">длительность!$H$121:$H$127</definedName>
    <definedName name="скат">длительность!$R$61:$R$62</definedName>
    <definedName name="Список" localSheetId="1" hidden="1">{#N/A,#N/A,TRUE,"Лист3"}</definedName>
    <definedName name="Список" localSheetId="4" hidden="1">{#N/A,#N/A,TRUE,"Лист3"}</definedName>
    <definedName name="Список" localSheetId="0" hidden="1">{#N/A,#N/A,TRUE,"Лист3"}</definedName>
    <definedName name="Список" hidden="1">{#N/A,#N/A,TRUE,"Лист3"}</definedName>
    <definedName name="ссо" localSheetId="6" hidden="1">#REF!</definedName>
    <definedName name="ссо" localSheetId="1" hidden="1">#REF!</definedName>
    <definedName name="ссо" localSheetId="5" hidden="1">#REF!</definedName>
    <definedName name="ссо" hidden="1">#REF!</definedName>
    <definedName name="сср" localSheetId="6" hidden="1">[1]FitOutConfCentre!#REF!</definedName>
    <definedName name="сср" localSheetId="5" hidden="1">[1]FitOutConfCentre!#REF!</definedName>
    <definedName name="сср" hidden="1">[1]FitOutConfCentre!#REF!</definedName>
    <definedName name="ССРД_СГараж" localSheetId="6" hidden="1">[1]FitOutConfCentre!#REF!</definedName>
    <definedName name="ССРД_СГараж" localSheetId="5" hidden="1">[1]FitOutConfCentre!#REF!</definedName>
    <definedName name="ССРД_СГараж" hidden="1">[1]FitOutConfCentre!#REF!</definedName>
    <definedName name="стил">длительность!$X$61:$X$65</definedName>
    <definedName name="стройпл">длительность!$B$54:$B$55</definedName>
    <definedName name="Тендо" localSheetId="1" hidden="1">{#N/A,#N/A,TRUE,"Лист3"}</definedName>
    <definedName name="Тендо" localSheetId="4" hidden="1">{#N/A,#N/A,TRUE,"Лист3"}</definedName>
    <definedName name="Тендо" localSheetId="0" hidden="1">{#N/A,#N/A,TRUE,"Лист3"}</definedName>
    <definedName name="Тендо" hidden="1">{#N/A,#N/A,TRUE,"Лист3"}</definedName>
    <definedName name="трр" localSheetId="1" hidden="1">{"'Prices'!$A$4:$J$27"}</definedName>
    <definedName name="трр" hidden="1">{"'Prices'!$A$4:$J$27"}</definedName>
    <definedName name="тыс">1000</definedName>
    <definedName name="ТЭО" localSheetId="1" hidden="1">{"'Prices'!$A$4:$J$27"}</definedName>
    <definedName name="ТЭО" hidden="1">{"'Prices'!$A$4:$J$27"}</definedName>
    <definedName name="уепуп" localSheetId="1" hidden="1">{"'Prices'!$A$4:$J$27"}</definedName>
    <definedName name="уепуп" hidden="1">{"'Prices'!$A$4:$J$27"}</definedName>
    <definedName name="уйкпйукуйпк" localSheetId="1" hidden="1">{"'Prices'!$A$4:$J$27"}</definedName>
    <definedName name="уйкпйукуйпк" hidden="1">{"'Prices'!$A$4:$J$27"}</definedName>
    <definedName name="укпукп" localSheetId="1" hidden="1">{"'Prices'!$A$4:$J$27"}</definedName>
    <definedName name="укпукп" hidden="1">{"'Prices'!$A$4:$J$27"}</definedName>
    <definedName name="укрр" localSheetId="1" hidden="1">{"'Prices'!$A$4:$J$27"}</definedName>
    <definedName name="укрр" hidden="1">{"'Prices'!$A$4:$J$27"}</definedName>
    <definedName name="укруке" localSheetId="1" hidden="1">{"'Prices'!$A$4:$J$27"}</definedName>
    <definedName name="укруке" hidden="1">{"'Prices'!$A$4:$J$27"}</definedName>
    <definedName name="укук" localSheetId="1" hidden="1">{#N/A,#N/A,TRUE,"Лист3"}</definedName>
    <definedName name="укук" localSheetId="4" hidden="1">{#N/A,#N/A,TRUE,"Лист3"}</definedName>
    <definedName name="укук" localSheetId="0" hidden="1">{#N/A,#N/A,TRUE,"Лист3"}</definedName>
    <definedName name="укук" hidden="1">{#N/A,#N/A,TRUE,"Лист3"}</definedName>
    <definedName name="ф" localSheetId="1" hidden="1">{#N/A,#N/A,TRUE,"Лист3"}</definedName>
    <definedName name="ф" localSheetId="4" hidden="1">{#N/A,#N/A,TRUE,"Лист3"}</definedName>
    <definedName name="ф" localSheetId="0" hidden="1">{#N/A,#N/A,TRUE,"Лист3"}</definedName>
    <definedName name="ф" hidden="1">{#N/A,#N/A,TRUE,"Лист3"}</definedName>
    <definedName name="фасад_назем">длительность!$H$99:$H$105</definedName>
    <definedName name="фкнно" localSheetId="1" hidden="1">{"'Prices'!$A$4:$J$27"}</definedName>
    <definedName name="фкнно" hidden="1">{"'Prices'!$A$4:$J$27"}</definedName>
    <definedName name="фп" localSheetId="1" hidden="1">{"'Prices'!$A$4:$J$27"}</definedName>
    <definedName name="фп" hidden="1">{"'Prices'!$A$4:$J$27"}</definedName>
    <definedName name="фыпывпыапыапвапва" hidden="1">#REF!</definedName>
    <definedName name="Чувствительность_нов" localSheetId="1" hidden="1">{#N/A,#N/A,TRUE,"Лист3"}</definedName>
    <definedName name="Чувствительность_нов" hidden="1">{#N/A,#N/A,TRUE,"Лист3"}</definedName>
    <definedName name="ш" localSheetId="1" hidden="1">{"'Prices'!$A$4:$J$27"}</definedName>
    <definedName name="ш" hidden="1">{"'Prices'!$A$4:$J$27"}</definedName>
    <definedName name="школа">уникальные!$B$9:$B$28</definedName>
    <definedName name="школа_басс">уникальные!$J$9:$J$20</definedName>
    <definedName name="школадоу">длительность!$A$107:$A$110</definedName>
    <definedName name="шщзш" localSheetId="1" hidden="1">{"'Prices'!$A$4:$J$27"}</definedName>
    <definedName name="шщзш" hidden="1">{"'Prices'!$A$4:$J$27"}</definedName>
    <definedName name="щ" localSheetId="1" hidden="1">{"'Prices'!$A$4:$J$27"}</definedName>
    <definedName name="щ" hidden="1">{"'Prices'!$A$4:$J$27"}</definedName>
    <definedName name="ъ" localSheetId="1" hidden="1">{"'Prices'!$A$4:$J$27"}</definedName>
    <definedName name="ъ" hidden="1">{"'Prices'!$A$4:$J$27"}</definedName>
    <definedName name="ЫАиА" localSheetId="1" hidden="1">{"'Prices'!$A$4:$J$27"}</definedName>
    <definedName name="ЫАиА" hidden="1">{"'Prices'!$A$4:$J$27"}</definedName>
    <definedName name="ыаит" localSheetId="1" hidden="1">{"'Prices'!$A$4:$J$27"}</definedName>
    <definedName name="ыаит" hidden="1">{"'Prices'!$A$4:$J$27"}</definedName>
    <definedName name="ыва" localSheetId="1" hidden="1">{"'Prices'!$A$4:$J$27"}</definedName>
    <definedName name="ыва" hidden="1">{"'Prices'!$A$4:$J$27"}</definedName>
    <definedName name="ываывпвыапвыаправ" hidden="1">#REF!,#REF!,#REF!,#REF!</definedName>
    <definedName name="Ывмыцкп" localSheetId="1" hidden="1">{"'Prices'!$A$4:$J$27"}</definedName>
    <definedName name="Ывмыцкп" hidden="1">{"'Prices'!$A$4:$J$27"}</definedName>
    <definedName name="ыегл" localSheetId="1" hidden="1">{"'Prices'!$A$4:$J$27"}</definedName>
    <definedName name="ыегл" hidden="1">{"'Prices'!$A$4:$J$27"}</definedName>
    <definedName name="ыерот" localSheetId="1" hidden="1">{"'Prices'!$A$4:$J$27"}</definedName>
    <definedName name="ыерот" hidden="1">{"'Prices'!$A$4:$J$27"}</definedName>
    <definedName name="ымп" localSheetId="1" hidden="1">{"'Prices'!$A$4:$J$27"}</definedName>
    <definedName name="ымп" hidden="1">{"'Prices'!$A$4:$J$27"}</definedName>
    <definedName name="ыпыапр" localSheetId="1" hidden="1">{"'Prices'!$A$4:$J$27"}</definedName>
    <definedName name="ыпыапр" hidden="1">{"'Prices'!$A$4:$J$27"}</definedName>
    <definedName name="ыы" localSheetId="1" hidden="1">{"'Prices'!$A$4:$J$27"}</definedName>
    <definedName name="ыы" hidden="1">{"'Prices'!$A$4:$J$27"}</definedName>
    <definedName name="ьб" localSheetId="1" hidden="1">{"'Prices'!$A$4:$J$27"}</definedName>
    <definedName name="ьб" hidden="1">{"'Prices'!$A$4:$J$27"}</definedName>
    <definedName name="этаж">длительность!$K$74:$K$78</definedName>
    <definedName name="этажерка">длительность!$A$127:$A$132</definedName>
    <definedName name="ээээ" localSheetId="1" hidden="1">{"'Prices'!$A$4:$J$27"}</definedName>
    <definedName name="ээээ" hidden="1">{"'Prices'!$A$4:$J$27"}</definedName>
    <definedName name="я" localSheetId="1" hidden="1">{"'Prices'!$A$4:$J$27"}</definedName>
    <definedName name="я" hidden="1">{"'Prices'!$A$4:$J$27"}</definedName>
  </definedNames>
  <calcPr calcId="162913" calcMode="autoNoTable"/>
</workbook>
</file>

<file path=xl/calcChain.xml><?xml version="1.0" encoding="utf-8"?>
<calcChain xmlns="http://schemas.openxmlformats.org/spreadsheetml/2006/main">
  <c r="J132" i="6" l="1"/>
  <c r="I132" i="6"/>
  <c r="H132" i="6"/>
  <c r="J127" i="6"/>
  <c r="I127" i="6"/>
  <c r="H127" i="6"/>
  <c r="F118" i="6"/>
  <c r="F112" i="6"/>
  <c r="K92" i="6"/>
  <c r="J92" i="6"/>
  <c r="I92" i="6"/>
  <c r="H92" i="6"/>
  <c r="F7" i="6" l="1"/>
  <c r="J94" i="6" l="1"/>
  <c r="I94" i="6"/>
  <c r="H94" i="6"/>
  <c r="J73" i="6"/>
  <c r="I73" i="6"/>
  <c r="H73" i="6"/>
  <c r="F80" i="6"/>
  <c r="Q16" i="20"/>
  <c r="Q15" i="20"/>
  <c r="Q14" i="20"/>
  <c r="Q13" i="20"/>
  <c r="Q12" i="20"/>
  <c r="Q11" i="20"/>
  <c r="K70" i="6"/>
  <c r="J70" i="6"/>
  <c r="I70" i="6"/>
  <c r="H70" i="6"/>
  <c r="I55" i="6"/>
  <c r="I56" i="6" s="1"/>
  <c r="H56" i="6"/>
  <c r="K56" i="6"/>
  <c r="K55" i="6"/>
  <c r="J56" i="6"/>
  <c r="G93" i="6" l="1"/>
  <c r="K68" i="6" l="1"/>
  <c r="I68" i="6"/>
  <c r="H68" i="6"/>
  <c r="G61" i="6"/>
  <c r="J68" i="6" l="1"/>
  <c r="F24" i="6" l="1"/>
  <c r="E30" i="20"/>
  <c r="F22" i="6"/>
  <c r="F31" i="6"/>
  <c r="C34" i="20"/>
  <c r="I18" i="20"/>
  <c r="I17" i="20"/>
  <c r="I16" i="20"/>
  <c r="H17" i="20"/>
  <c r="H16" i="20"/>
  <c r="F29" i="6"/>
  <c r="D9" i="20"/>
  <c r="G183" i="6" l="1"/>
  <c r="F183" i="6"/>
  <c r="G180" i="6"/>
  <c r="G179" i="6"/>
  <c r="G178" i="6"/>
  <c r="F180" i="6"/>
  <c r="F179" i="6"/>
  <c r="F178" i="6"/>
  <c r="F337" i="6" l="1"/>
  <c r="F654" i="6" l="1"/>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7" i="6"/>
  <c r="F570" i="6"/>
  <c r="F569" i="6"/>
  <c r="F568" i="6"/>
  <c r="F567" i="6"/>
  <c r="F566" i="6"/>
  <c r="G564" i="6"/>
  <c r="F563" i="6"/>
  <c r="F562" i="6"/>
  <c r="F561" i="6"/>
  <c r="F560" i="6"/>
  <c r="F548" i="6"/>
  <c r="F547" i="6"/>
  <c r="F546" i="6"/>
  <c r="G545" i="6"/>
  <c r="F545" i="6"/>
  <c r="G544" i="6"/>
  <c r="F544" i="6"/>
  <c r="G543" i="6"/>
  <c r="F543" i="6"/>
  <c r="G542" i="6"/>
  <c r="F542" i="6"/>
  <c r="F541" i="6"/>
  <c r="F540" i="6"/>
  <c r="F539" i="6"/>
  <c r="F538" i="6"/>
  <c r="F537" i="6"/>
  <c r="F536" i="6"/>
  <c r="F535" i="6"/>
  <c r="G534" i="6"/>
  <c r="F534" i="6"/>
  <c r="F533" i="6"/>
  <c r="F532" i="6"/>
  <c r="F531" i="6"/>
  <c r="F530" i="6"/>
  <c r="F529" i="6"/>
  <c r="F528" i="6"/>
  <c r="F527" i="6"/>
  <c r="F526" i="6"/>
  <c r="F525" i="6"/>
  <c r="F523" i="6"/>
  <c r="F522" i="6"/>
  <c r="F521" i="6"/>
  <c r="F520" i="6"/>
  <c r="F519" i="6"/>
  <c r="F518" i="6"/>
  <c r="F515" i="6"/>
  <c r="F514" i="6"/>
  <c r="F513" i="6"/>
  <c r="F507" i="6"/>
  <c r="F506" i="6"/>
  <c r="F505" i="6"/>
  <c r="F504" i="6"/>
  <c r="F503" i="6"/>
  <c r="F502" i="6"/>
  <c r="F501" i="6"/>
  <c r="F500" i="6"/>
  <c r="F499" i="6"/>
  <c r="F498" i="6"/>
  <c r="F497" i="6"/>
  <c r="F496" i="6"/>
  <c r="F495" i="6"/>
  <c r="F494" i="6"/>
  <c r="F493" i="6"/>
  <c r="F492" i="6"/>
  <c r="F491" i="6"/>
  <c r="F490" i="6"/>
  <c r="F489" i="6"/>
  <c r="F488" i="6"/>
  <c r="G487" i="6"/>
  <c r="F487" i="6"/>
  <c r="F486" i="6"/>
  <c r="F485" i="6"/>
  <c r="F484" i="6"/>
  <c r="F483" i="6"/>
  <c r="F482" i="6"/>
  <c r="F481" i="6"/>
  <c r="F480" i="6"/>
  <c r="F479" i="6"/>
  <c r="F477" i="6"/>
  <c r="F476" i="6"/>
  <c r="F475" i="6"/>
  <c r="F474" i="6"/>
  <c r="G473" i="6"/>
  <c r="F473" i="6"/>
  <c r="G472" i="6"/>
  <c r="F472" i="6"/>
  <c r="G470" i="6"/>
  <c r="F470" i="6"/>
  <c r="G469" i="6"/>
  <c r="F469" i="6"/>
  <c r="G468" i="6"/>
  <c r="G467" i="6"/>
  <c r="F467" i="6"/>
  <c r="G466" i="6"/>
  <c r="F466" i="6"/>
  <c r="G465" i="6"/>
  <c r="F465" i="6"/>
  <c r="G464" i="6"/>
  <c r="F464" i="6"/>
  <c r="G463" i="6"/>
  <c r="F463" i="6"/>
  <c r="G462" i="6"/>
  <c r="F462" i="6"/>
  <c r="G461" i="6"/>
  <c r="F461" i="6"/>
  <c r="G460" i="6"/>
  <c r="F460" i="6"/>
  <c r="G459" i="6"/>
  <c r="F459" i="6"/>
  <c r="F458" i="6"/>
  <c r="F457" i="6"/>
  <c r="F456" i="6"/>
  <c r="F455" i="6"/>
  <c r="F454" i="6"/>
  <c r="F453" i="6"/>
  <c r="G452" i="6"/>
  <c r="G450" i="6"/>
  <c r="G449" i="6"/>
  <c r="G448" i="6"/>
  <c r="G447" i="6"/>
  <c r="G446" i="6"/>
  <c r="G445" i="6"/>
  <c r="G444" i="6"/>
  <c r="F444" i="6"/>
  <c r="G443" i="6"/>
  <c r="F443" i="6"/>
  <c r="G442" i="6"/>
  <c r="F442" i="6"/>
  <c r="G441" i="6"/>
  <c r="F441" i="6"/>
  <c r="G440" i="6"/>
  <c r="F440" i="6"/>
  <c r="G439" i="6"/>
  <c r="F439" i="6"/>
  <c r="F438" i="6"/>
  <c r="F437" i="6"/>
  <c r="F436" i="6"/>
  <c r="F435" i="6"/>
  <c r="F434" i="6"/>
  <c r="F433" i="6"/>
  <c r="G432" i="6"/>
  <c r="F430" i="6"/>
  <c r="F429" i="6"/>
  <c r="F428" i="6"/>
  <c r="F427" i="6"/>
  <c r="F426" i="6"/>
  <c r="F425" i="6"/>
  <c r="F424" i="6"/>
  <c r="F423" i="6"/>
  <c r="F419" i="6"/>
  <c r="F418" i="6"/>
  <c r="F417" i="6"/>
  <c r="F409" i="6"/>
  <c r="F408" i="6"/>
  <c r="F407" i="6"/>
  <c r="F406" i="6"/>
  <c r="F405" i="6"/>
  <c r="F403" i="6"/>
  <c r="F402" i="6"/>
  <c r="F401" i="6"/>
  <c r="F400" i="6"/>
  <c r="F399" i="6"/>
  <c r="F398" i="6"/>
  <c r="F397" i="6"/>
  <c r="F396" i="6"/>
  <c r="F395" i="6"/>
  <c r="F391" i="6"/>
  <c r="F390" i="6"/>
  <c r="F389" i="6"/>
  <c r="F388" i="6"/>
  <c r="F387" i="6"/>
  <c r="F386" i="6"/>
  <c r="F385" i="6"/>
  <c r="F384" i="6"/>
  <c r="F383" i="6"/>
  <c r="F382" i="6"/>
  <c r="F381" i="6"/>
  <c r="F380" i="6"/>
  <c r="F379" i="6"/>
  <c r="F378" i="6"/>
  <c r="F377" i="6"/>
  <c r="F376" i="6"/>
  <c r="F375" i="6"/>
  <c r="F374" i="6"/>
  <c r="G372" i="6"/>
  <c r="G371" i="6"/>
  <c r="F372" i="6"/>
  <c r="F371" i="6"/>
  <c r="F370" i="6"/>
  <c r="F369" i="6"/>
  <c r="F368" i="6"/>
  <c r="F367" i="6"/>
  <c r="F366" i="6"/>
  <c r="F365" i="6"/>
  <c r="G364" i="6"/>
  <c r="F364" i="6"/>
  <c r="F363" i="6"/>
  <c r="F362" i="6"/>
  <c r="F361" i="6"/>
  <c r="F360" i="6"/>
  <c r="F359" i="6"/>
  <c r="F358" i="6"/>
  <c r="F357" i="6"/>
  <c r="F356" i="6"/>
  <c r="F355" i="6"/>
  <c r="F354" i="6"/>
  <c r="F353" i="6"/>
  <c r="F352" i="6"/>
  <c r="F350" i="6"/>
  <c r="F349" i="6"/>
  <c r="F348" i="6"/>
  <c r="F347" i="6"/>
  <c r="F346" i="6"/>
  <c r="F345" i="6"/>
  <c r="F344" i="6"/>
  <c r="F343" i="6"/>
  <c r="F342" i="6"/>
  <c r="F341" i="6"/>
  <c r="G339" i="6"/>
  <c r="F339" i="6"/>
  <c r="G338" i="6"/>
  <c r="F338" i="6"/>
  <c r="G337" i="6"/>
  <c r="G336" i="6"/>
  <c r="F336" i="6"/>
  <c r="G335" i="6"/>
  <c r="F335" i="6"/>
  <c r="G334" i="6"/>
  <c r="F334" i="6"/>
  <c r="F333" i="6"/>
  <c r="F332" i="6"/>
  <c r="F331" i="6"/>
  <c r="F330" i="6"/>
  <c r="F329" i="6"/>
  <c r="F328" i="6"/>
  <c r="F327" i="6"/>
  <c r="F326" i="6"/>
  <c r="F325" i="6"/>
  <c r="F324" i="6"/>
  <c r="F323" i="6"/>
  <c r="F322" i="6"/>
  <c r="F321" i="6"/>
  <c r="F320" i="6"/>
  <c r="F319" i="6"/>
  <c r="F318" i="6"/>
  <c r="F317" i="6"/>
  <c r="F316" i="6"/>
  <c r="F315" i="6"/>
  <c r="G314" i="6"/>
  <c r="F314" i="6"/>
  <c r="F313" i="6"/>
  <c r="F312" i="6"/>
  <c r="G299" i="6"/>
  <c r="G298" i="6"/>
  <c r="G289" i="6"/>
  <c r="G288" i="6"/>
  <c r="G279" i="6"/>
  <c r="G278" i="6"/>
  <c r="G269" i="6"/>
  <c r="G268" i="6"/>
  <c r="F310" i="6"/>
  <c r="F309" i="6"/>
  <c r="F308" i="6"/>
  <c r="F307" i="6"/>
  <c r="F306" i="6"/>
  <c r="F305" i="6"/>
  <c r="F304" i="6"/>
  <c r="F303" i="6"/>
  <c r="F302" i="6"/>
  <c r="F301" i="6"/>
  <c r="F300" i="6"/>
  <c r="F299" i="6"/>
  <c r="F298" i="6"/>
  <c r="F297" i="6"/>
  <c r="F296" i="6"/>
  <c r="F295" i="6"/>
  <c r="F294" i="6"/>
  <c r="F293" i="6"/>
  <c r="F292" i="6"/>
  <c r="F291"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49" i="6"/>
  <c r="F248" i="6"/>
  <c r="F247" i="6"/>
  <c r="F246" i="6"/>
  <c r="F245" i="6"/>
  <c r="F243" i="6"/>
  <c r="F242" i="6"/>
  <c r="F241" i="6"/>
  <c r="F240" i="6"/>
  <c r="F239" i="6"/>
  <c r="F238" i="6"/>
  <c r="F237" i="6"/>
  <c r="F236" i="6"/>
  <c r="F234" i="6"/>
  <c r="F233" i="6"/>
  <c r="F232" i="6"/>
  <c r="F231" i="6"/>
  <c r="F230" i="6"/>
  <c r="F229" i="6"/>
  <c r="F228" i="6"/>
  <c r="F227" i="6"/>
  <c r="F226" i="6"/>
  <c r="G224" i="6"/>
  <c r="F224" i="6"/>
  <c r="F223" i="6"/>
  <c r="G222" i="6"/>
  <c r="F222" i="6"/>
  <c r="F221" i="6"/>
  <c r="F220" i="6"/>
  <c r="F219" i="6"/>
  <c r="F218" i="6"/>
  <c r="F217" i="6"/>
  <c r="F216" i="6"/>
  <c r="F214" i="6"/>
  <c r="F213" i="6"/>
  <c r="F212" i="6"/>
  <c r="F200" i="6"/>
  <c r="F199" i="6"/>
  <c r="F198" i="6"/>
  <c r="F197" i="6"/>
  <c r="F196" i="6"/>
  <c r="F195" i="6"/>
  <c r="F194" i="6"/>
  <c r="F193" i="6"/>
  <c r="F192" i="6"/>
  <c r="F191" i="6"/>
  <c r="F190" i="6"/>
  <c r="F189" i="6"/>
  <c r="F188" i="6"/>
  <c r="F187" i="6"/>
  <c r="F186" i="6"/>
  <c r="F163" i="6"/>
  <c r="F162" i="6"/>
  <c r="F161" i="6"/>
  <c r="F160" i="6"/>
  <c r="F159" i="6"/>
  <c r="F158" i="6"/>
  <c r="F157" i="6"/>
  <c r="F156" i="6"/>
  <c r="F155" i="6"/>
  <c r="F154" i="6"/>
  <c r="F153" i="6"/>
  <c r="F152" i="6"/>
  <c r="F151" i="6"/>
  <c r="F150" i="6"/>
  <c r="F149" i="6"/>
  <c r="F148" i="6"/>
  <c r="F147" i="6"/>
  <c r="F146" i="6"/>
  <c r="F145" i="6"/>
  <c r="F144" i="6"/>
  <c r="F143" i="6"/>
  <c r="F142" i="6"/>
  <c r="F141" i="6"/>
  <c r="F140" i="6"/>
  <c r="E271" i="10" l="1"/>
  <c r="F271" i="10" s="1"/>
  <c r="C271" i="10"/>
  <c r="C270" i="10" s="1"/>
  <c r="D270" i="10" s="1"/>
  <c r="E255" i="10"/>
  <c r="F255" i="10" s="1"/>
  <c r="C255" i="10"/>
  <c r="AD597" i="10"/>
  <c r="AD592" i="10"/>
  <c r="AD539" i="10"/>
  <c r="AD517" i="10"/>
  <c r="AD516" i="10"/>
  <c r="AD504" i="10"/>
  <c r="AD502" i="10"/>
  <c r="AD501" i="10"/>
  <c r="AD499" i="10"/>
  <c r="AD497" i="10"/>
  <c r="AD495" i="10"/>
  <c r="AD494" i="10"/>
  <c r="AD493" i="10"/>
  <c r="AD491" i="10"/>
  <c r="AD489" i="10"/>
  <c r="AD488" i="10"/>
  <c r="AD487" i="10"/>
  <c r="AD478" i="10"/>
  <c r="AD477" i="10"/>
  <c r="AD476" i="10"/>
  <c r="AD475" i="10"/>
  <c r="AD470" i="10"/>
  <c r="AD469" i="10"/>
  <c r="AD344" i="10"/>
  <c r="AD343" i="10"/>
  <c r="AD342" i="10"/>
  <c r="AD341" i="10"/>
  <c r="AD340" i="10"/>
  <c r="AD339" i="10"/>
  <c r="AD327" i="10"/>
  <c r="AD326" i="10"/>
  <c r="AD318" i="10"/>
  <c r="AD304" i="10"/>
  <c r="AD290" i="10"/>
  <c r="AD277" i="10"/>
  <c r="AD276" i="10"/>
  <c r="AD275" i="10"/>
  <c r="AD274" i="10"/>
  <c r="AD273" i="10"/>
  <c r="AD269" i="10"/>
  <c r="AD268" i="10"/>
  <c r="AD267" i="10"/>
  <c r="AD266" i="10"/>
  <c r="AD265" i="10"/>
  <c r="AD250" i="10"/>
  <c r="AD249" i="10"/>
  <c r="AD248" i="10"/>
  <c r="AD247" i="10"/>
  <c r="AD246" i="10"/>
  <c r="AD245" i="10"/>
  <c r="AD244" i="10"/>
  <c r="AD243" i="10"/>
  <c r="AD242" i="10"/>
  <c r="AD241" i="10"/>
  <c r="AD240" i="10"/>
  <c r="AD239" i="10"/>
  <c r="AD238" i="10"/>
  <c r="AD237" i="10"/>
  <c r="AD222" i="10"/>
  <c r="AD210" i="10"/>
  <c r="AD208" i="10"/>
  <c r="AD207" i="10"/>
  <c r="AD206" i="10"/>
  <c r="AD205" i="10"/>
  <c r="AD199" i="10"/>
  <c r="AD197" i="10"/>
  <c r="AD196" i="10"/>
  <c r="AD195" i="10"/>
  <c r="AD194" i="10"/>
  <c r="AD191" i="10"/>
  <c r="AD184" i="10"/>
  <c r="AD181" i="10"/>
  <c r="AD180" i="10"/>
  <c r="AD176" i="10"/>
  <c r="AD172" i="10"/>
  <c r="AD171" i="10"/>
  <c r="AD170" i="10"/>
  <c r="AD169" i="10"/>
  <c r="AD167" i="10"/>
  <c r="AD163" i="10"/>
  <c r="AD162" i="10"/>
  <c r="AD161" i="10"/>
  <c r="AD157" i="10"/>
  <c r="AD156" i="10"/>
  <c r="AD155" i="10"/>
  <c r="AD154" i="10"/>
  <c r="AD153" i="10"/>
  <c r="AD152" i="10"/>
  <c r="AD151" i="10"/>
  <c r="AD147" i="10"/>
  <c r="AD140" i="10"/>
  <c r="AD136" i="10"/>
  <c r="AD135" i="10"/>
  <c r="AD134" i="10"/>
  <c r="AD132" i="10"/>
  <c r="AD131" i="10"/>
  <c r="AD124" i="10"/>
  <c r="AD123" i="10"/>
  <c r="AD122" i="10"/>
  <c r="AD121" i="10"/>
  <c r="AD120" i="10"/>
  <c r="AD118" i="10"/>
  <c r="AD117" i="10"/>
  <c r="AD116" i="10"/>
  <c r="AD115" i="10"/>
  <c r="AD101" i="10"/>
  <c r="AD100" i="10"/>
  <c r="AD99" i="10"/>
  <c r="AD98" i="10"/>
  <c r="AD97" i="10"/>
  <c r="AD96" i="10"/>
  <c r="AD95" i="10"/>
  <c r="AD94" i="10"/>
  <c r="AD93" i="10"/>
  <c r="AD92" i="10"/>
  <c r="AD91" i="10"/>
  <c r="AD90" i="10"/>
  <c r="AD89" i="10"/>
  <c r="AD88" i="10"/>
  <c r="AD87" i="10"/>
  <c r="AD84" i="10"/>
  <c r="AD83" i="10"/>
  <c r="AD79" i="10"/>
  <c r="AD78" i="10"/>
  <c r="AD77" i="10"/>
  <c r="AD76" i="10"/>
  <c r="AD75" i="10"/>
  <c r="AD74" i="10"/>
  <c r="AD73" i="10"/>
  <c r="AD72" i="10"/>
  <c r="AD71" i="10"/>
  <c r="AD70" i="10"/>
  <c r="AD69" i="10"/>
  <c r="AD68" i="10"/>
  <c r="AD67" i="10"/>
  <c r="AD66" i="10"/>
  <c r="AD65" i="10"/>
  <c r="AD64" i="10"/>
  <c r="AD63" i="10"/>
  <c r="AD62" i="10"/>
  <c r="AD61" i="10"/>
  <c r="AD60" i="10"/>
  <c r="AD59" i="10"/>
  <c r="AD58" i="10"/>
  <c r="AD57" i="10"/>
  <c r="AD56" i="10"/>
  <c r="AD55" i="10"/>
  <c r="AD54" i="10"/>
  <c r="AD53" i="10"/>
  <c r="AD52" i="10"/>
  <c r="AD51" i="10"/>
  <c r="AD48" i="10"/>
  <c r="AD47" i="10"/>
  <c r="AD44" i="10"/>
  <c r="AD43" i="10"/>
  <c r="AD42" i="10"/>
  <c r="AD41" i="10"/>
  <c r="AD40" i="10"/>
  <c r="AD39" i="10"/>
  <c r="AD38" i="10"/>
  <c r="AD37" i="10"/>
  <c r="AD36" i="10"/>
  <c r="AD35" i="10"/>
  <c r="AD34" i="10"/>
  <c r="AD33" i="10"/>
  <c r="AD32" i="10"/>
  <c r="AD31" i="10"/>
  <c r="AD30" i="10"/>
  <c r="AD29" i="10"/>
  <c r="AD28" i="10"/>
  <c r="AD27" i="10"/>
  <c r="AD26" i="10"/>
  <c r="AD25" i="10"/>
  <c r="AD24" i="10"/>
  <c r="AD23" i="10"/>
  <c r="AD22" i="10"/>
  <c r="AD21" i="10"/>
  <c r="AD20" i="10"/>
  <c r="AD19" i="10"/>
  <c r="AD18" i="10"/>
  <c r="AD17" i="10"/>
  <c r="AD16" i="10"/>
  <c r="AD15" i="10"/>
  <c r="AD14" i="10"/>
  <c r="AD13" i="10"/>
  <c r="AD12" i="10"/>
  <c r="AD11" i="10"/>
  <c r="AD10" i="10"/>
  <c r="AB624" i="10"/>
  <c r="AB623" i="10"/>
  <c r="AB622" i="10"/>
  <c r="AB621" i="10"/>
  <c r="AB620" i="10"/>
  <c r="AB619" i="10"/>
  <c r="AB618" i="10"/>
  <c r="AB617" i="10"/>
  <c r="AB616" i="10"/>
  <c r="AB615" i="10"/>
  <c r="AB614" i="10"/>
  <c r="AB613" i="10"/>
  <c r="AB612" i="10"/>
  <c r="AB611" i="10"/>
  <c r="AB610" i="10"/>
  <c r="AB609" i="10"/>
  <c r="AB608" i="10"/>
  <c r="AB607" i="10"/>
  <c r="AB606" i="10"/>
  <c r="AB605" i="10"/>
  <c r="AB604" i="10"/>
  <c r="AB603" i="10"/>
  <c r="AB602" i="10"/>
  <c r="AB601" i="10"/>
  <c r="AB600" i="10"/>
  <c r="AB597" i="10"/>
  <c r="AB592" i="10"/>
  <c r="AB571" i="10"/>
  <c r="AB570" i="10"/>
  <c r="AB568" i="10"/>
  <c r="AB566" i="10"/>
  <c r="AB565" i="10"/>
  <c r="AB564" i="10"/>
  <c r="AB563" i="10"/>
  <c r="AB562" i="10"/>
  <c r="AB561" i="10"/>
  <c r="AB560" i="10"/>
  <c r="AB559" i="10"/>
  <c r="AB558" i="10"/>
  <c r="AB557" i="10"/>
  <c r="AB556" i="10"/>
  <c r="AB555" i="10"/>
  <c r="AB554" i="10"/>
  <c r="AB553" i="10"/>
  <c r="AB552" i="10"/>
  <c r="AB551" i="10"/>
  <c r="AB550" i="10"/>
  <c r="AB549" i="10"/>
  <c r="AB548" i="10"/>
  <c r="AB547" i="10"/>
  <c r="AB546" i="10"/>
  <c r="AB545" i="10"/>
  <c r="AB543" i="10"/>
  <c r="AB542" i="10"/>
  <c r="AB541" i="10"/>
  <c r="AB540" i="10"/>
  <c r="AB539" i="10"/>
  <c r="AB538" i="10"/>
  <c r="AB537" i="10"/>
  <c r="AB536" i="10"/>
  <c r="AB535" i="10"/>
  <c r="AB534" i="10"/>
  <c r="AB533" i="10"/>
  <c r="AB532" i="10"/>
  <c r="AB531" i="10"/>
  <c r="AB530" i="10"/>
  <c r="AB529" i="10"/>
  <c r="AB528" i="10"/>
  <c r="AB527" i="10"/>
  <c r="AB526" i="10"/>
  <c r="AB525" i="10"/>
  <c r="AB524" i="10"/>
  <c r="AB523" i="10"/>
  <c r="AB522" i="10"/>
  <c r="AB521" i="10"/>
  <c r="AB520" i="10"/>
  <c r="AB519" i="10"/>
  <c r="AB518" i="10"/>
  <c r="AB517" i="10"/>
  <c r="AB516" i="10"/>
  <c r="AB515" i="10"/>
  <c r="AB514" i="10"/>
  <c r="AB513" i="10"/>
  <c r="AB512" i="10"/>
  <c r="AB511" i="10"/>
  <c r="AB510" i="10"/>
  <c r="AB509" i="10"/>
  <c r="AB508" i="10"/>
  <c r="AB507" i="10"/>
  <c r="AB505" i="10"/>
  <c r="AB504" i="10"/>
  <c r="AB503" i="10"/>
  <c r="AB502" i="10"/>
  <c r="AB501" i="10"/>
  <c r="AB500" i="10"/>
  <c r="AB499" i="10"/>
  <c r="AB498" i="10"/>
  <c r="AB497" i="10"/>
  <c r="AB496" i="10"/>
  <c r="AB495" i="10"/>
  <c r="AB494" i="10"/>
  <c r="AB493" i="10"/>
  <c r="AB492" i="10"/>
  <c r="AB491" i="10"/>
  <c r="AB490" i="10"/>
  <c r="AB489" i="10"/>
  <c r="AB488" i="10"/>
  <c r="AB487" i="10"/>
  <c r="AB486" i="10"/>
  <c r="AB478" i="10"/>
  <c r="AB477" i="10"/>
  <c r="AB476" i="10"/>
  <c r="AB475" i="10"/>
  <c r="AB470" i="10"/>
  <c r="AB469" i="10"/>
  <c r="AB468" i="10"/>
  <c r="AB467" i="10"/>
  <c r="AB466" i="10"/>
  <c r="AB465" i="10"/>
  <c r="AB464" i="10"/>
  <c r="AB463" i="10"/>
  <c r="AB460" i="10"/>
  <c r="AB459" i="10"/>
  <c r="AB412" i="10"/>
  <c r="AB411" i="10"/>
  <c r="AB410" i="10"/>
  <c r="AB409" i="10"/>
  <c r="AB408" i="10"/>
  <c r="AB406" i="10"/>
  <c r="AB405" i="10"/>
  <c r="AB404" i="10"/>
  <c r="AB395" i="10"/>
  <c r="AB392" i="10"/>
  <c r="AB391" i="10"/>
  <c r="AB390" i="10"/>
  <c r="AB389" i="10"/>
  <c r="AB388" i="10"/>
  <c r="AB387" i="10"/>
  <c r="AB386" i="10"/>
  <c r="AB385" i="10"/>
  <c r="AB384" i="10"/>
  <c r="AB383" i="10"/>
  <c r="AB382" i="10"/>
  <c r="AB381" i="10"/>
  <c r="AB380" i="10"/>
  <c r="AB377" i="10"/>
  <c r="AB376" i="10"/>
  <c r="AB375" i="10"/>
  <c r="AB374" i="10"/>
  <c r="AB373" i="10"/>
  <c r="AB344" i="10"/>
  <c r="AB343" i="10"/>
  <c r="AB342" i="10"/>
  <c r="AB341" i="10"/>
  <c r="AB340" i="10"/>
  <c r="AB339" i="10"/>
  <c r="AB328" i="10"/>
  <c r="AB327" i="10"/>
  <c r="AB326" i="10"/>
  <c r="AB318" i="10"/>
  <c r="AB304" i="10"/>
  <c r="AB290" i="10"/>
  <c r="AB277" i="10"/>
  <c r="AB276" i="10"/>
  <c r="AB275" i="10"/>
  <c r="AB274" i="10"/>
  <c r="AB273" i="10"/>
  <c r="AB269" i="10"/>
  <c r="AB268" i="10"/>
  <c r="AB267" i="10"/>
  <c r="AB266" i="10"/>
  <c r="AB265" i="10"/>
  <c r="AB252" i="10"/>
  <c r="AB250" i="10"/>
  <c r="AB249" i="10"/>
  <c r="AB248" i="10"/>
  <c r="AB247" i="10"/>
  <c r="AB246" i="10"/>
  <c r="AB245" i="10"/>
  <c r="AB244" i="10"/>
  <c r="AB243" i="10"/>
  <c r="AB242" i="10"/>
  <c r="AB241" i="10"/>
  <c r="AB240" i="10"/>
  <c r="AB239" i="10"/>
  <c r="AB238" i="10"/>
  <c r="AB237" i="10"/>
  <c r="AB222" i="10"/>
  <c r="AB221" i="10"/>
  <c r="AB210" i="10"/>
  <c r="AB208" i="10"/>
  <c r="AB207" i="10"/>
  <c r="AB206" i="10"/>
  <c r="AB205" i="10"/>
  <c r="AB199" i="10"/>
  <c r="AB197" i="10"/>
  <c r="AB196" i="10"/>
  <c r="AB195" i="10"/>
  <c r="AB194" i="10"/>
  <c r="AB191" i="10"/>
  <c r="AB184" i="10"/>
  <c r="AB181" i="10"/>
  <c r="AB180" i="10"/>
  <c r="AB179" i="10"/>
  <c r="AB177" i="10"/>
  <c r="AB176" i="10"/>
  <c r="AB172" i="10"/>
  <c r="AB171" i="10"/>
  <c r="AB170" i="10"/>
  <c r="AB169" i="10"/>
  <c r="AB167" i="10"/>
  <c r="AB166" i="10"/>
  <c r="AB165" i="10"/>
  <c r="AB163" i="10"/>
  <c r="AB162" i="10"/>
  <c r="AB161" i="10"/>
  <c r="AB157" i="10"/>
  <c r="AB156" i="10"/>
  <c r="AB155" i="10"/>
  <c r="AB154" i="10"/>
  <c r="AB153" i="10"/>
  <c r="AB152" i="10"/>
  <c r="AB151" i="10"/>
  <c r="AB149" i="10"/>
  <c r="AB148" i="10"/>
  <c r="AB147" i="10"/>
  <c r="AB146" i="10"/>
  <c r="AB144" i="10"/>
  <c r="AB141" i="10"/>
  <c r="AB140" i="10"/>
  <c r="AB139" i="10"/>
  <c r="AB138" i="10"/>
  <c r="AB136" i="10"/>
  <c r="AB135" i="10"/>
  <c r="AB134" i="10"/>
  <c r="AB132" i="10"/>
  <c r="AB131" i="10"/>
  <c r="AB130" i="10"/>
  <c r="AB129" i="10"/>
  <c r="AB128" i="10"/>
  <c r="AB127" i="10"/>
  <c r="AB126" i="10"/>
  <c r="AB124" i="10"/>
  <c r="AB123" i="10"/>
  <c r="AB122" i="10"/>
  <c r="AB121" i="10"/>
  <c r="AB120" i="10"/>
  <c r="AB119" i="10"/>
  <c r="AB118" i="10"/>
  <c r="AB117" i="10"/>
  <c r="AB116" i="10"/>
  <c r="AB115" i="10"/>
  <c r="AB112" i="10"/>
  <c r="AB111" i="10"/>
  <c r="AB110" i="10"/>
  <c r="AB108" i="10"/>
  <c r="AB107" i="10"/>
  <c r="AB106" i="10"/>
  <c r="AB105" i="10"/>
  <c r="AB104" i="10"/>
  <c r="AB101" i="10"/>
  <c r="AB100" i="10"/>
  <c r="AB99" i="10"/>
  <c r="AB98" i="10"/>
  <c r="AB97" i="10"/>
  <c r="AB96" i="10"/>
  <c r="AB95" i="10"/>
  <c r="AB94" i="10"/>
  <c r="AB93" i="10"/>
  <c r="AB92" i="10"/>
  <c r="AB91" i="10"/>
  <c r="AB90" i="10"/>
  <c r="AB89" i="10"/>
  <c r="AB88" i="10"/>
  <c r="AB87" i="10"/>
  <c r="AB86" i="10"/>
  <c r="AB85" i="10"/>
  <c r="AB84" i="10"/>
  <c r="AB83" i="10"/>
  <c r="AB82" i="10"/>
  <c r="AB81" i="10"/>
  <c r="AB80" i="10"/>
  <c r="AB79" i="10"/>
  <c r="AB78" i="10"/>
  <c r="AB77" i="10"/>
  <c r="AB76" i="10"/>
  <c r="AB75" i="10"/>
  <c r="AB74" i="10"/>
  <c r="AB73" i="10"/>
  <c r="AB72" i="10"/>
  <c r="AB71" i="10"/>
  <c r="AB70" i="10"/>
  <c r="AB69" i="10"/>
  <c r="AB68" i="10"/>
  <c r="AB67" i="10"/>
  <c r="AB66" i="10"/>
  <c r="AB65" i="10"/>
  <c r="AB64" i="10"/>
  <c r="AB63" i="10"/>
  <c r="AB62" i="10"/>
  <c r="AB61" i="10"/>
  <c r="AB60" i="10"/>
  <c r="AB59" i="10"/>
  <c r="AB58" i="10"/>
  <c r="AB57" i="10"/>
  <c r="AB56" i="10"/>
  <c r="AB55" i="10"/>
  <c r="AB54" i="10"/>
  <c r="AB53" i="10"/>
  <c r="AB52" i="10"/>
  <c r="AB51" i="10"/>
  <c r="AB50" i="10"/>
  <c r="AB49" i="10"/>
  <c r="AB48" i="10"/>
  <c r="AB47" i="10"/>
  <c r="AB46" i="10"/>
  <c r="AB45" i="10"/>
  <c r="AB44" i="10"/>
  <c r="AB43" i="10"/>
  <c r="AB42" i="10"/>
  <c r="AB41" i="10"/>
  <c r="AB40" i="10"/>
  <c r="AB39" i="10"/>
  <c r="AB38" i="10"/>
  <c r="AB37" i="10"/>
  <c r="AB36" i="10"/>
  <c r="AB35" i="10"/>
  <c r="AB34" i="10"/>
  <c r="AB33" i="10"/>
  <c r="AB32" i="10"/>
  <c r="AB31" i="10"/>
  <c r="AB30" i="10"/>
  <c r="AB29" i="10"/>
  <c r="AB28" i="10"/>
  <c r="AB27" i="10"/>
  <c r="AB26" i="10"/>
  <c r="AB25" i="10"/>
  <c r="AB24" i="10"/>
  <c r="AB23" i="10"/>
  <c r="AB22" i="10"/>
  <c r="AB21" i="10"/>
  <c r="AB20" i="10"/>
  <c r="AB19" i="10"/>
  <c r="AB18" i="10"/>
  <c r="AB17" i="10"/>
  <c r="AB16" i="10"/>
  <c r="AB15" i="10"/>
  <c r="AB14" i="10"/>
  <c r="AB13" i="10"/>
  <c r="AB12" i="10"/>
  <c r="AB11" i="10"/>
  <c r="AB10" i="10"/>
  <c r="AB9" i="10"/>
  <c r="AB8" i="10"/>
  <c r="AB7" i="10"/>
  <c r="Z624" i="10"/>
  <c r="Z623" i="10"/>
  <c r="Z622" i="10"/>
  <c r="Z621" i="10"/>
  <c r="Z620" i="10"/>
  <c r="Z619" i="10"/>
  <c r="Z618" i="10"/>
  <c r="Z617" i="10"/>
  <c r="Z616" i="10"/>
  <c r="Z615" i="10"/>
  <c r="Z614" i="10"/>
  <c r="Z613" i="10"/>
  <c r="Z612" i="10"/>
  <c r="Z611" i="10"/>
  <c r="Z610" i="10"/>
  <c r="Z609" i="10"/>
  <c r="Z608" i="10"/>
  <c r="Z607" i="10"/>
  <c r="Z606" i="10"/>
  <c r="Z605" i="10"/>
  <c r="Z604" i="10"/>
  <c r="Z603" i="10"/>
  <c r="Z602" i="10"/>
  <c r="Z601" i="10"/>
  <c r="Z600" i="10"/>
  <c r="Z597" i="10"/>
  <c r="Z592" i="10"/>
  <c r="Z571" i="10"/>
  <c r="Z570" i="10"/>
  <c r="Z568" i="10"/>
  <c r="Z566" i="10"/>
  <c r="Z565" i="10"/>
  <c r="Z564" i="10"/>
  <c r="Z563" i="10"/>
  <c r="Z562" i="10"/>
  <c r="Z561" i="10"/>
  <c r="Z560" i="10"/>
  <c r="Z559" i="10"/>
  <c r="Z558" i="10"/>
  <c r="Z557" i="10"/>
  <c r="Z556" i="10"/>
  <c r="Z555" i="10"/>
  <c r="Z554" i="10"/>
  <c r="Z553" i="10"/>
  <c r="Z552" i="10"/>
  <c r="Z551" i="10"/>
  <c r="Z550" i="10"/>
  <c r="Z549" i="10"/>
  <c r="Z548" i="10"/>
  <c r="Z547" i="10"/>
  <c r="Z546" i="10"/>
  <c r="Z545" i="10"/>
  <c r="Z543" i="10"/>
  <c r="Z542" i="10"/>
  <c r="Z541" i="10"/>
  <c r="Z540" i="10"/>
  <c r="Z539" i="10"/>
  <c r="Z538" i="10"/>
  <c r="Z537" i="10"/>
  <c r="Z536" i="10"/>
  <c r="Z535" i="10"/>
  <c r="Z534" i="10"/>
  <c r="Z533" i="10"/>
  <c r="Z532" i="10"/>
  <c r="Z531" i="10"/>
  <c r="Z530" i="10"/>
  <c r="Z529" i="10"/>
  <c r="Z528" i="10"/>
  <c r="Z527" i="10"/>
  <c r="Z526" i="10"/>
  <c r="Z525" i="10"/>
  <c r="Z524" i="10"/>
  <c r="Z523" i="10"/>
  <c r="Z522" i="10"/>
  <c r="Z521" i="10"/>
  <c r="Z520" i="10"/>
  <c r="Z519" i="10"/>
  <c r="Z518" i="10"/>
  <c r="Z517" i="10"/>
  <c r="Z516" i="10"/>
  <c r="Z515" i="10"/>
  <c r="Z514" i="10"/>
  <c r="Z513" i="10"/>
  <c r="Z512" i="10"/>
  <c r="Z511" i="10"/>
  <c r="Z510" i="10"/>
  <c r="Z509" i="10"/>
  <c r="Z508" i="10"/>
  <c r="Z507" i="10"/>
  <c r="Z505" i="10"/>
  <c r="Z504" i="10"/>
  <c r="Z503" i="10"/>
  <c r="Z502" i="10"/>
  <c r="Z501" i="10"/>
  <c r="Z500" i="10"/>
  <c r="Z499" i="10"/>
  <c r="Z498" i="10"/>
  <c r="Z497" i="10"/>
  <c r="Z496" i="10"/>
  <c r="Z495" i="10"/>
  <c r="Z494" i="10"/>
  <c r="Z493" i="10"/>
  <c r="Z492" i="10"/>
  <c r="Z491" i="10"/>
  <c r="Z490" i="10"/>
  <c r="Z489" i="10"/>
  <c r="Z488" i="10"/>
  <c r="Z487" i="10"/>
  <c r="Z486" i="10"/>
  <c r="Z478" i="10"/>
  <c r="Z477" i="10"/>
  <c r="Z476" i="10"/>
  <c r="Z475" i="10"/>
  <c r="Z470" i="10"/>
  <c r="Z469" i="10"/>
  <c r="Z468" i="10"/>
  <c r="Z467" i="10"/>
  <c r="Z466" i="10"/>
  <c r="Z465" i="10"/>
  <c r="Z464" i="10"/>
  <c r="Z463" i="10"/>
  <c r="Z460" i="10"/>
  <c r="Z459" i="10"/>
  <c r="Z412" i="10"/>
  <c r="Z411" i="10"/>
  <c r="Z410" i="10"/>
  <c r="Z409" i="10"/>
  <c r="Z408" i="10"/>
  <c r="Z406" i="10"/>
  <c r="Z405" i="10"/>
  <c r="Z404" i="10"/>
  <c r="Z395" i="10"/>
  <c r="Z392" i="10"/>
  <c r="Z391" i="10"/>
  <c r="Z390" i="10"/>
  <c r="Z389" i="10"/>
  <c r="Z388" i="10"/>
  <c r="Z387" i="10"/>
  <c r="Z386" i="10"/>
  <c r="Z385" i="10"/>
  <c r="Z384" i="10"/>
  <c r="Z383" i="10"/>
  <c r="Z382" i="10"/>
  <c r="Z381" i="10"/>
  <c r="Z380" i="10"/>
  <c r="Z377" i="10"/>
  <c r="Z376" i="10"/>
  <c r="Z375" i="10"/>
  <c r="Z374" i="10"/>
  <c r="Z373" i="10"/>
  <c r="Z344" i="10"/>
  <c r="Z343" i="10"/>
  <c r="Z342" i="10"/>
  <c r="Z341" i="10"/>
  <c r="Z340" i="10"/>
  <c r="Z339" i="10"/>
  <c r="Z328" i="10"/>
  <c r="Z327" i="10"/>
  <c r="Z326" i="10"/>
  <c r="Z318" i="10"/>
  <c r="Z304" i="10"/>
  <c r="Z290" i="10"/>
  <c r="Z277" i="10"/>
  <c r="Z276" i="10"/>
  <c r="Z275" i="10"/>
  <c r="Z274" i="10"/>
  <c r="Z273" i="10"/>
  <c r="Z269" i="10"/>
  <c r="Z268" i="10"/>
  <c r="Z267" i="10"/>
  <c r="Z266" i="10"/>
  <c r="Z265" i="10"/>
  <c r="Z252" i="10"/>
  <c r="Z250" i="10"/>
  <c r="Z249" i="10"/>
  <c r="Z248" i="10"/>
  <c r="Z247" i="10"/>
  <c r="Z246" i="10"/>
  <c r="Z245" i="10"/>
  <c r="Z244" i="10"/>
  <c r="Z243" i="10"/>
  <c r="Z242" i="10"/>
  <c r="Z241" i="10"/>
  <c r="Z240" i="10"/>
  <c r="Z239" i="10"/>
  <c r="Z238" i="10"/>
  <c r="Z237" i="10"/>
  <c r="Z222" i="10"/>
  <c r="Z221" i="10"/>
  <c r="Z210" i="10"/>
  <c r="Z208" i="10"/>
  <c r="Z207" i="10"/>
  <c r="Z206" i="10"/>
  <c r="Z205" i="10"/>
  <c r="Z199" i="10"/>
  <c r="Z197" i="10"/>
  <c r="Z196" i="10"/>
  <c r="Z195" i="10"/>
  <c r="Z194" i="10"/>
  <c r="Z191" i="10"/>
  <c r="Z184" i="10"/>
  <c r="Z181" i="10"/>
  <c r="Z180" i="10"/>
  <c r="Z179" i="10"/>
  <c r="Z177" i="10"/>
  <c r="Z176" i="10"/>
  <c r="Z172" i="10"/>
  <c r="Z171" i="10"/>
  <c r="Z170" i="10"/>
  <c r="Z169" i="10"/>
  <c r="Z167" i="10"/>
  <c r="Z166" i="10"/>
  <c r="Z165" i="10"/>
  <c r="Z163" i="10"/>
  <c r="Z162" i="10"/>
  <c r="Z161" i="10"/>
  <c r="Z157" i="10"/>
  <c r="Z156" i="10"/>
  <c r="Z155" i="10"/>
  <c r="Z154" i="10"/>
  <c r="Z153" i="10"/>
  <c r="Z152" i="10"/>
  <c r="Z151" i="10"/>
  <c r="Z149" i="10"/>
  <c r="Z148" i="10"/>
  <c r="Z147" i="10"/>
  <c r="Z146" i="10"/>
  <c r="Z144" i="10"/>
  <c r="Z141" i="10"/>
  <c r="Z140" i="10"/>
  <c r="Z139" i="10"/>
  <c r="Z138" i="10"/>
  <c r="Z136" i="10"/>
  <c r="Z135" i="10"/>
  <c r="Z134" i="10"/>
  <c r="Z132" i="10"/>
  <c r="Z131" i="10"/>
  <c r="Z130" i="10"/>
  <c r="Z129" i="10"/>
  <c r="Z128" i="10"/>
  <c r="Z127" i="10"/>
  <c r="Z126" i="10"/>
  <c r="Z124" i="10"/>
  <c r="Z123" i="10"/>
  <c r="Z122" i="10"/>
  <c r="Z121" i="10"/>
  <c r="Z120" i="10"/>
  <c r="Z119" i="10"/>
  <c r="Z118" i="10"/>
  <c r="Z117" i="10"/>
  <c r="Z116" i="10"/>
  <c r="Z115" i="10"/>
  <c r="Z112" i="10"/>
  <c r="Z111" i="10"/>
  <c r="Z110" i="10"/>
  <c r="Z108" i="10"/>
  <c r="Z107" i="10"/>
  <c r="Z106" i="10"/>
  <c r="Z105" i="10"/>
  <c r="Z104" i="10"/>
  <c r="Z101" i="10"/>
  <c r="Z100" i="10"/>
  <c r="Z99" i="10"/>
  <c r="Z98" i="10"/>
  <c r="Z97" i="10"/>
  <c r="Z96" i="10"/>
  <c r="Z95" i="10"/>
  <c r="Z94" i="10"/>
  <c r="Z93" i="10"/>
  <c r="Z92" i="10"/>
  <c r="Z91" i="10"/>
  <c r="Z90" i="10"/>
  <c r="Z89" i="10"/>
  <c r="Z88" i="10"/>
  <c r="Z87" i="10"/>
  <c r="Z86" i="10"/>
  <c r="Z85" i="10"/>
  <c r="Z84" i="10"/>
  <c r="Z83" i="10"/>
  <c r="Z82" i="10"/>
  <c r="Z81" i="10"/>
  <c r="Z80" i="10"/>
  <c r="Z79" i="10"/>
  <c r="Z78" i="10"/>
  <c r="Z77" i="10"/>
  <c r="Z76" i="10"/>
  <c r="Z75" i="10"/>
  <c r="Z74" i="10"/>
  <c r="Z73" i="10"/>
  <c r="Z72" i="10"/>
  <c r="Z71" i="10"/>
  <c r="Z70" i="10"/>
  <c r="Z69" i="10"/>
  <c r="Z68" i="10"/>
  <c r="Z67" i="10"/>
  <c r="Z66" i="10"/>
  <c r="Z65" i="10"/>
  <c r="Z64" i="10"/>
  <c r="Z63" i="10"/>
  <c r="Z62" i="10"/>
  <c r="Z61" i="10"/>
  <c r="Z60" i="10"/>
  <c r="Z59" i="10"/>
  <c r="Z58" i="10"/>
  <c r="Z57" i="10"/>
  <c r="Z56" i="10"/>
  <c r="Z55" i="10"/>
  <c r="Z54" i="10"/>
  <c r="Z53" i="10"/>
  <c r="Z52" i="10"/>
  <c r="Z51" i="10"/>
  <c r="Z50" i="10"/>
  <c r="Z49" i="10"/>
  <c r="Z48" i="10"/>
  <c r="Z47" i="10"/>
  <c r="Z46" i="10"/>
  <c r="Z45" i="10"/>
  <c r="Z44" i="10"/>
  <c r="Z43" i="10"/>
  <c r="Z42" i="10"/>
  <c r="Z41" i="10"/>
  <c r="Z40" i="10"/>
  <c r="Z39" i="10"/>
  <c r="Z38" i="10"/>
  <c r="Z37" i="10"/>
  <c r="Z36" i="10"/>
  <c r="Z35" i="10"/>
  <c r="Z34" i="10"/>
  <c r="Z33" i="10"/>
  <c r="Z32" i="10"/>
  <c r="Z31" i="10"/>
  <c r="Z30" i="10"/>
  <c r="Z29" i="10"/>
  <c r="Z28" i="10"/>
  <c r="Z27" i="10"/>
  <c r="Z26" i="10"/>
  <c r="Z25" i="10"/>
  <c r="Z24" i="10"/>
  <c r="Z23" i="10"/>
  <c r="Z22" i="10"/>
  <c r="Z21" i="10"/>
  <c r="Z20" i="10"/>
  <c r="Z19" i="10"/>
  <c r="Z18" i="10"/>
  <c r="Z17" i="10"/>
  <c r="Z16" i="10"/>
  <c r="Z15" i="10"/>
  <c r="Z14" i="10"/>
  <c r="Z13" i="10"/>
  <c r="Z12" i="10"/>
  <c r="Z11" i="10"/>
  <c r="Z10" i="10"/>
  <c r="Z9" i="10"/>
  <c r="Z8" i="10"/>
  <c r="Z7" i="10"/>
  <c r="X624" i="10"/>
  <c r="X623" i="10"/>
  <c r="X622" i="10"/>
  <c r="X621" i="10"/>
  <c r="X620" i="10"/>
  <c r="X619" i="10"/>
  <c r="X618" i="10"/>
  <c r="X617" i="10"/>
  <c r="X616" i="10"/>
  <c r="X615" i="10"/>
  <c r="X614" i="10"/>
  <c r="X613" i="10"/>
  <c r="X612" i="10"/>
  <c r="X611" i="10"/>
  <c r="X610" i="10"/>
  <c r="X609" i="10"/>
  <c r="X608" i="10"/>
  <c r="X607" i="10"/>
  <c r="X606" i="10"/>
  <c r="X605" i="10"/>
  <c r="X604" i="10"/>
  <c r="X603" i="10"/>
  <c r="X602" i="10"/>
  <c r="X601" i="10"/>
  <c r="X600" i="10"/>
  <c r="X597" i="10"/>
  <c r="X592" i="10"/>
  <c r="X571" i="10"/>
  <c r="X570" i="10"/>
  <c r="X568" i="10"/>
  <c r="X566" i="10"/>
  <c r="X565" i="10"/>
  <c r="X564" i="10"/>
  <c r="X563" i="10"/>
  <c r="X562" i="10"/>
  <c r="X561" i="10"/>
  <c r="X560" i="10"/>
  <c r="X559" i="10"/>
  <c r="X558" i="10"/>
  <c r="X557" i="10"/>
  <c r="X556" i="10"/>
  <c r="X555" i="10"/>
  <c r="X554" i="10"/>
  <c r="X553" i="10"/>
  <c r="X552" i="10"/>
  <c r="X551" i="10"/>
  <c r="X550" i="10"/>
  <c r="X549" i="10"/>
  <c r="X548" i="10"/>
  <c r="X547" i="10"/>
  <c r="X546" i="10"/>
  <c r="X545" i="10"/>
  <c r="X543" i="10"/>
  <c r="X542" i="10"/>
  <c r="X541" i="10"/>
  <c r="X540" i="10"/>
  <c r="X539" i="10"/>
  <c r="X538" i="10"/>
  <c r="X537" i="10"/>
  <c r="X536" i="10"/>
  <c r="X535" i="10"/>
  <c r="X534" i="10"/>
  <c r="X533" i="10"/>
  <c r="X532" i="10"/>
  <c r="X531" i="10"/>
  <c r="X530" i="10"/>
  <c r="X529" i="10"/>
  <c r="X528" i="10"/>
  <c r="X527" i="10"/>
  <c r="X526" i="10"/>
  <c r="X525" i="10"/>
  <c r="X524" i="10"/>
  <c r="X523" i="10"/>
  <c r="X522" i="10"/>
  <c r="X521" i="10"/>
  <c r="X520" i="10"/>
  <c r="X519" i="10"/>
  <c r="X518" i="10"/>
  <c r="X517" i="10"/>
  <c r="X516" i="10"/>
  <c r="X515" i="10"/>
  <c r="X514" i="10"/>
  <c r="X513" i="10"/>
  <c r="X512" i="10"/>
  <c r="X511" i="10"/>
  <c r="X510" i="10"/>
  <c r="X509" i="10"/>
  <c r="X508" i="10"/>
  <c r="X507" i="10"/>
  <c r="X505" i="10"/>
  <c r="X504" i="10"/>
  <c r="X503" i="10"/>
  <c r="X502" i="10"/>
  <c r="X501" i="10"/>
  <c r="X500" i="10"/>
  <c r="X499" i="10"/>
  <c r="X498" i="10"/>
  <c r="X497" i="10"/>
  <c r="X496" i="10"/>
  <c r="X495" i="10"/>
  <c r="X494" i="10"/>
  <c r="X493" i="10"/>
  <c r="X492" i="10"/>
  <c r="X491" i="10"/>
  <c r="X490" i="10"/>
  <c r="X489" i="10"/>
  <c r="X488" i="10"/>
  <c r="X487" i="10"/>
  <c r="X486" i="10"/>
  <c r="X478" i="10"/>
  <c r="X477" i="10"/>
  <c r="X476" i="10"/>
  <c r="X475" i="10"/>
  <c r="X470" i="10"/>
  <c r="X469" i="10"/>
  <c r="X468" i="10"/>
  <c r="X467" i="10"/>
  <c r="X466" i="10"/>
  <c r="X465" i="10"/>
  <c r="X464" i="10"/>
  <c r="X463" i="10"/>
  <c r="X460" i="10"/>
  <c r="X459" i="10"/>
  <c r="X412" i="10"/>
  <c r="X411" i="10"/>
  <c r="X410" i="10"/>
  <c r="X409" i="10"/>
  <c r="X408" i="10"/>
  <c r="X406" i="10"/>
  <c r="X405" i="10"/>
  <c r="X404" i="10"/>
  <c r="X395" i="10"/>
  <c r="X392" i="10"/>
  <c r="X391" i="10"/>
  <c r="X390" i="10"/>
  <c r="X389" i="10"/>
  <c r="X388" i="10"/>
  <c r="X387" i="10"/>
  <c r="X386" i="10"/>
  <c r="X385" i="10"/>
  <c r="X384" i="10"/>
  <c r="X383" i="10"/>
  <c r="X382" i="10"/>
  <c r="X381" i="10"/>
  <c r="X380" i="10"/>
  <c r="X377" i="10"/>
  <c r="X376" i="10"/>
  <c r="X375" i="10"/>
  <c r="X374" i="10"/>
  <c r="X373" i="10"/>
  <c r="X344" i="10"/>
  <c r="X343" i="10"/>
  <c r="X342" i="10"/>
  <c r="X341" i="10"/>
  <c r="X340" i="10"/>
  <c r="X339" i="10"/>
  <c r="X328" i="10"/>
  <c r="X327" i="10"/>
  <c r="X326" i="10"/>
  <c r="X318" i="10"/>
  <c r="X304" i="10"/>
  <c r="X290" i="10"/>
  <c r="X277" i="10"/>
  <c r="X276" i="10"/>
  <c r="X275" i="10"/>
  <c r="X274" i="10"/>
  <c r="X273" i="10"/>
  <c r="X269" i="10"/>
  <c r="X268" i="10"/>
  <c r="X267" i="10"/>
  <c r="X266" i="10"/>
  <c r="X265" i="10"/>
  <c r="X252" i="10"/>
  <c r="X250" i="10"/>
  <c r="X249" i="10"/>
  <c r="X248" i="10"/>
  <c r="X247" i="10"/>
  <c r="X246" i="10"/>
  <c r="X245" i="10"/>
  <c r="X244" i="10"/>
  <c r="X243" i="10"/>
  <c r="X242" i="10"/>
  <c r="X241" i="10"/>
  <c r="X240" i="10"/>
  <c r="X239" i="10"/>
  <c r="X238" i="10"/>
  <c r="X237" i="10"/>
  <c r="X222" i="10"/>
  <c r="X221" i="10"/>
  <c r="X210" i="10"/>
  <c r="X208" i="10"/>
  <c r="X207" i="10"/>
  <c r="X206" i="10"/>
  <c r="X205" i="10"/>
  <c r="X199" i="10"/>
  <c r="X197" i="10"/>
  <c r="X196" i="10"/>
  <c r="X195" i="10"/>
  <c r="X194" i="10"/>
  <c r="X191" i="10"/>
  <c r="X184" i="10"/>
  <c r="X181" i="10"/>
  <c r="X180" i="10"/>
  <c r="X179" i="10"/>
  <c r="X177" i="10"/>
  <c r="X176" i="10"/>
  <c r="X172" i="10"/>
  <c r="X171" i="10"/>
  <c r="X170" i="10"/>
  <c r="X169" i="10"/>
  <c r="X167" i="10"/>
  <c r="X166" i="10"/>
  <c r="X165" i="10"/>
  <c r="X163" i="10"/>
  <c r="X162" i="10"/>
  <c r="X161" i="10"/>
  <c r="X157" i="10"/>
  <c r="X156" i="10"/>
  <c r="X155" i="10"/>
  <c r="X154" i="10"/>
  <c r="X153" i="10"/>
  <c r="X152" i="10"/>
  <c r="X151" i="10"/>
  <c r="X149" i="10"/>
  <c r="X148" i="10"/>
  <c r="X147" i="10"/>
  <c r="X146" i="10"/>
  <c r="X144" i="10"/>
  <c r="X141" i="10"/>
  <c r="X140" i="10"/>
  <c r="X139" i="10"/>
  <c r="X138" i="10"/>
  <c r="X136" i="10"/>
  <c r="X135" i="10"/>
  <c r="X134" i="10"/>
  <c r="X132" i="10"/>
  <c r="X131" i="10"/>
  <c r="X130" i="10"/>
  <c r="X129" i="10"/>
  <c r="X128" i="10"/>
  <c r="X127" i="10"/>
  <c r="X126" i="10"/>
  <c r="X124" i="10"/>
  <c r="X123" i="10"/>
  <c r="X122" i="10"/>
  <c r="X121" i="10"/>
  <c r="X120" i="10"/>
  <c r="X119" i="10"/>
  <c r="X118" i="10"/>
  <c r="X117" i="10"/>
  <c r="X116" i="10"/>
  <c r="X115" i="10"/>
  <c r="X112" i="10"/>
  <c r="X111" i="10"/>
  <c r="X110" i="10"/>
  <c r="X108" i="10"/>
  <c r="X107" i="10"/>
  <c r="X106" i="10"/>
  <c r="X105" i="10"/>
  <c r="X104" i="10"/>
  <c r="X101" i="10"/>
  <c r="X100" i="10"/>
  <c r="X99" i="10"/>
  <c r="X98" i="10"/>
  <c r="X97" i="10"/>
  <c r="X96" i="10"/>
  <c r="X95" i="10"/>
  <c r="X94" i="10"/>
  <c r="X93" i="10"/>
  <c r="X92" i="10"/>
  <c r="X91" i="10"/>
  <c r="X90" i="10"/>
  <c r="X89" i="10"/>
  <c r="X88" i="10"/>
  <c r="X87" i="10"/>
  <c r="X86" i="10"/>
  <c r="X85" i="10"/>
  <c r="X84" i="10"/>
  <c r="X83" i="10"/>
  <c r="X82" i="10"/>
  <c r="X81" i="10"/>
  <c r="X80" i="10"/>
  <c r="X79" i="10"/>
  <c r="X78" i="10"/>
  <c r="X77" i="10"/>
  <c r="X76" i="10"/>
  <c r="X75" i="10"/>
  <c r="X74" i="10"/>
  <c r="X73" i="10"/>
  <c r="X72" i="10"/>
  <c r="X71" i="10"/>
  <c r="X70" i="10"/>
  <c r="X69" i="10"/>
  <c r="X68" i="10"/>
  <c r="X67" i="10"/>
  <c r="X66" i="10"/>
  <c r="X65" i="10"/>
  <c r="X64" i="10"/>
  <c r="X63" i="10"/>
  <c r="X62" i="10"/>
  <c r="X61" i="10"/>
  <c r="X60" i="10"/>
  <c r="X59" i="10"/>
  <c r="X58" i="10"/>
  <c r="X57" i="10"/>
  <c r="X56" i="10"/>
  <c r="X55" i="10"/>
  <c r="X54" i="10"/>
  <c r="X53" i="10"/>
  <c r="X52" i="10"/>
  <c r="X51" i="10"/>
  <c r="X50" i="10"/>
  <c r="X49" i="10"/>
  <c r="X48" i="10"/>
  <c r="X47" i="10"/>
  <c r="X46" i="10"/>
  <c r="X45" i="10"/>
  <c r="X44" i="10"/>
  <c r="X43" i="10"/>
  <c r="X42" i="10"/>
  <c r="X41" i="10"/>
  <c r="X40" i="10"/>
  <c r="X39" i="10"/>
  <c r="X38" i="10"/>
  <c r="X37" i="10"/>
  <c r="X36" i="10"/>
  <c r="X35" i="10"/>
  <c r="X34" i="10"/>
  <c r="X33" i="10"/>
  <c r="X32" i="10"/>
  <c r="X31" i="10"/>
  <c r="X30" i="10"/>
  <c r="X29" i="10"/>
  <c r="X28" i="10"/>
  <c r="X27" i="10"/>
  <c r="X26" i="10"/>
  <c r="X25" i="10"/>
  <c r="X24" i="10"/>
  <c r="X23" i="10"/>
  <c r="X22" i="10"/>
  <c r="X21" i="10"/>
  <c r="X20" i="10"/>
  <c r="X19" i="10"/>
  <c r="X18" i="10"/>
  <c r="X17" i="10"/>
  <c r="X16" i="10"/>
  <c r="X15" i="10"/>
  <c r="X14" i="10"/>
  <c r="X13" i="10"/>
  <c r="X12" i="10"/>
  <c r="X11" i="10"/>
  <c r="X10" i="10"/>
  <c r="X9" i="10"/>
  <c r="X8" i="10"/>
  <c r="X7" i="10"/>
  <c r="V624" i="10"/>
  <c r="V623" i="10"/>
  <c r="V622" i="10"/>
  <c r="V621" i="10"/>
  <c r="V620" i="10"/>
  <c r="V619" i="10"/>
  <c r="V618" i="10"/>
  <c r="V617" i="10"/>
  <c r="V616" i="10"/>
  <c r="V615" i="10"/>
  <c r="V614" i="10"/>
  <c r="V613" i="10"/>
  <c r="V612" i="10"/>
  <c r="V611" i="10"/>
  <c r="V610" i="10"/>
  <c r="V609" i="10"/>
  <c r="V608" i="10"/>
  <c r="V607" i="10"/>
  <c r="V606" i="10"/>
  <c r="V605" i="10"/>
  <c r="V604" i="10"/>
  <c r="V603" i="10"/>
  <c r="V602" i="10"/>
  <c r="V601" i="10"/>
  <c r="V600" i="10"/>
  <c r="V597" i="10"/>
  <c r="V592" i="10"/>
  <c r="V571" i="10"/>
  <c r="V570" i="10"/>
  <c r="V568" i="10"/>
  <c r="V566" i="10"/>
  <c r="V565" i="10"/>
  <c r="V564" i="10"/>
  <c r="V563" i="10"/>
  <c r="V562" i="10"/>
  <c r="V561" i="10"/>
  <c r="V560" i="10"/>
  <c r="V559" i="10"/>
  <c r="V558" i="10"/>
  <c r="V557" i="10"/>
  <c r="V556" i="10"/>
  <c r="V555" i="10"/>
  <c r="V554" i="10"/>
  <c r="V553" i="10"/>
  <c r="V552" i="10"/>
  <c r="V551" i="10"/>
  <c r="V550" i="10"/>
  <c r="V549" i="10"/>
  <c r="V548" i="10"/>
  <c r="V547" i="10"/>
  <c r="V546" i="10"/>
  <c r="V545" i="10"/>
  <c r="V543" i="10"/>
  <c r="V542" i="10"/>
  <c r="V541" i="10"/>
  <c r="V540" i="10"/>
  <c r="V539" i="10"/>
  <c r="V538" i="10"/>
  <c r="V537" i="10"/>
  <c r="V536" i="10"/>
  <c r="V535" i="10"/>
  <c r="V534" i="10"/>
  <c r="V533" i="10"/>
  <c r="V532" i="10"/>
  <c r="V531" i="10"/>
  <c r="V530" i="10"/>
  <c r="V529" i="10"/>
  <c r="V528" i="10"/>
  <c r="V527" i="10"/>
  <c r="V526" i="10"/>
  <c r="V525" i="10"/>
  <c r="V524" i="10"/>
  <c r="V523" i="10"/>
  <c r="V522" i="10"/>
  <c r="V521" i="10"/>
  <c r="V520" i="10"/>
  <c r="V519" i="10"/>
  <c r="V518" i="10"/>
  <c r="V517" i="10"/>
  <c r="V516" i="10"/>
  <c r="V515" i="10"/>
  <c r="V514" i="10"/>
  <c r="V513" i="10"/>
  <c r="V512" i="10"/>
  <c r="V511" i="10"/>
  <c r="V510" i="10"/>
  <c r="V509" i="10"/>
  <c r="V508" i="10"/>
  <c r="V507" i="10"/>
  <c r="V505" i="10"/>
  <c r="V504" i="10"/>
  <c r="V503" i="10"/>
  <c r="V502" i="10"/>
  <c r="V501" i="10"/>
  <c r="V500" i="10"/>
  <c r="V499" i="10"/>
  <c r="V498" i="10"/>
  <c r="V497" i="10"/>
  <c r="V496" i="10"/>
  <c r="V495" i="10"/>
  <c r="V494" i="10"/>
  <c r="V493" i="10"/>
  <c r="V492" i="10"/>
  <c r="V491" i="10"/>
  <c r="V490" i="10"/>
  <c r="V489" i="10"/>
  <c r="V488" i="10"/>
  <c r="V487" i="10"/>
  <c r="V486" i="10"/>
  <c r="V478" i="10"/>
  <c r="V477" i="10"/>
  <c r="V476" i="10"/>
  <c r="V475" i="10"/>
  <c r="V470" i="10"/>
  <c r="V469" i="10"/>
  <c r="V468" i="10"/>
  <c r="V467" i="10"/>
  <c r="V466" i="10"/>
  <c r="V465" i="10"/>
  <c r="V464" i="10"/>
  <c r="V463" i="10"/>
  <c r="V460" i="10"/>
  <c r="V459" i="10"/>
  <c r="V412" i="10"/>
  <c r="V411" i="10"/>
  <c r="V410" i="10"/>
  <c r="V409" i="10"/>
  <c r="V408" i="10"/>
  <c r="V406" i="10"/>
  <c r="V405" i="10"/>
  <c r="V404" i="10"/>
  <c r="V395" i="10"/>
  <c r="V392" i="10"/>
  <c r="V391" i="10"/>
  <c r="V390" i="10"/>
  <c r="V389" i="10"/>
  <c r="V388" i="10"/>
  <c r="V387" i="10"/>
  <c r="V386" i="10"/>
  <c r="V385" i="10"/>
  <c r="V384" i="10"/>
  <c r="V383" i="10"/>
  <c r="V382" i="10"/>
  <c r="V381" i="10"/>
  <c r="V380" i="10"/>
  <c r="V377" i="10"/>
  <c r="V376" i="10"/>
  <c r="V375" i="10"/>
  <c r="V374" i="10"/>
  <c r="V373" i="10"/>
  <c r="V344" i="10"/>
  <c r="V343" i="10"/>
  <c r="V342" i="10"/>
  <c r="V341" i="10"/>
  <c r="V340" i="10"/>
  <c r="V339" i="10"/>
  <c r="V328" i="10"/>
  <c r="V327" i="10"/>
  <c r="V326" i="10"/>
  <c r="V318" i="10"/>
  <c r="V304" i="10"/>
  <c r="V290" i="10"/>
  <c r="V277" i="10"/>
  <c r="V276" i="10"/>
  <c r="V275" i="10"/>
  <c r="V274" i="10"/>
  <c r="V273" i="10"/>
  <c r="V269" i="10"/>
  <c r="V268" i="10"/>
  <c r="V267" i="10"/>
  <c r="V266" i="10"/>
  <c r="V265" i="10"/>
  <c r="V252" i="10"/>
  <c r="V250" i="10"/>
  <c r="V249" i="10"/>
  <c r="V248" i="10"/>
  <c r="V247" i="10"/>
  <c r="V246" i="10"/>
  <c r="V245" i="10"/>
  <c r="V244" i="10"/>
  <c r="V243" i="10"/>
  <c r="V242" i="10"/>
  <c r="V241" i="10"/>
  <c r="V240" i="10"/>
  <c r="V239" i="10"/>
  <c r="V238" i="10"/>
  <c r="V237" i="10"/>
  <c r="V222" i="10"/>
  <c r="V221" i="10"/>
  <c r="V210" i="10"/>
  <c r="V208" i="10"/>
  <c r="V207" i="10"/>
  <c r="V206" i="10"/>
  <c r="V205" i="10"/>
  <c r="V199" i="10"/>
  <c r="V197" i="10"/>
  <c r="V196" i="10"/>
  <c r="V195" i="10"/>
  <c r="V194" i="10"/>
  <c r="V191" i="10"/>
  <c r="V184" i="10"/>
  <c r="V181" i="10"/>
  <c r="V180" i="10"/>
  <c r="V179" i="10"/>
  <c r="V177" i="10"/>
  <c r="V176" i="10"/>
  <c r="V172" i="10"/>
  <c r="V171" i="10"/>
  <c r="V170" i="10"/>
  <c r="V169" i="10"/>
  <c r="V167" i="10"/>
  <c r="V166" i="10"/>
  <c r="V165" i="10"/>
  <c r="V163" i="10"/>
  <c r="V162" i="10"/>
  <c r="V161" i="10"/>
  <c r="V157" i="10"/>
  <c r="V156" i="10"/>
  <c r="V155" i="10"/>
  <c r="V154" i="10"/>
  <c r="V153" i="10"/>
  <c r="V152" i="10"/>
  <c r="V151" i="10"/>
  <c r="V149" i="10"/>
  <c r="V148" i="10"/>
  <c r="V147" i="10"/>
  <c r="V146" i="10"/>
  <c r="V144" i="10"/>
  <c r="V141" i="10"/>
  <c r="V140" i="10"/>
  <c r="V139" i="10"/>
  <c r="V138" i="10"/>
  <c r="V136" i="10"/>
  <c r="V135" i="10"/>
  <c r="V134" i="10"/>
  <c r="V132" i="10"/>
  <c r="V131" i="10"/>
  <c r="V130" i="10"/>
  <c r="V129" i="10"/>
  <c r="V128" i="10"/>
  <c r="V127" i="10"/>
  <c r="V126" i="10"/>
  <c r="V124" i="10"/>
  <c r="V123" i="10"/>
  <c r="V122" i="10"/>
  <c r="V121" i="10"/>
  <c r="V120" i="10"/>
  <c r="V119" i="10"/>
  <c r="V118" i="10"/>
  <c r="V117" i="10"/>
  <c r="V116" i="10"/>
  <c r="V115" i="10"/>
  <c r="V112" i="10"/>
  <c r="V111" i="10"/>
  <c r="V110" i="10"/>
  <c r="V108" i="10"/>
  <c r="V107" i="10"/>
  <c r="V106" i="10"/>
  <c r="V105" i="10"/>
  <c r="V104" i="10"/>
  <c r="V101" i="10"/>
  <c r="V100" i="10"/>
  <c r="V99" i="10"/>
  <c r="V98" i="10"/>
  <c r="V97" i="10"/>
  <c r="V96" i="10"/>
  <c r="V95" i="10"/>
  <c r="V94" i="10"/>
  <c r="V93" i="10"/>
  <c r="V92" i="10"/>
  <c r="V91" i="10"/>
  <c r="V90" i="10"/>
  <c r="V89" i="10"/>
  <c r="V88" i="10"/>
  <c r="V87" i="10"/>
  <c r="V86" i="10"/>
  <c r="V85" i="10"/>
  <c r="V84" i="10"/>
  <c r="V83" i="10"/>
  <c r="V82" i="10"/>
  <c r="V81" i="10"/>
  <c r="V80" i="10"/>
  <c r="V79" i="10"/>
  <c r="V78" i="10"/>
  <c r="V77" i="10"/>
  <c r="V76" i="10"/>
  <c r="V75" i="10"/>
  <c r="V74" i="10"/>
  <c r="V73" i="10"/>
  <c r="V72" i="10"/>
  <c r="V71" i="10"/>
  <c r="V70" i="10"/>
  <c r="V69" i="10"/>
  <c r="V68" i="10"/>
  <c r="V67" i="10"/>
  <c r="V66" i="10"/>
  <c r="V65" i="10"/>
  <c r="V64" i="10"/>
  <c r="V63" i="10"/>
  <c r="V62" i="10"/>
  <c r="V61" i="10"/>
  <c r="V60" i="10"/>
  <c r="V59" i="10"/>
  <c r="V58" i="10"/>
  <c r="V57" i="10"/>
  <c r="V56" i="10"/>
  <c r="V55" i="10"/>
  <c r="V54" i="10"/>
  <c r="V53" i="10"/>
  <c r="V52" i="10"/>
  <c r="V51" i="10"/>
  <c r="V50" i="10"/>
  <c r="V49" i="10"/>
  <c r="V48" i="10"/>
  <c r="V47" i="10"/>
  <c r="V46" i="10"/>
  <c r="V45" i="10"/>
  <c r="V44" i="10"/>
  <c r="V43" i="10"/>
  <c r="V42" i="10"/>
  <c r="V41" i="10"/>
  <c r="V40" i="10"/>
  <c r="V39" i="10"/>
  <c r="V38" i="10"/>
  <c r="V37" i="10"/>
  <c r="V36" i="10"/>
  <c r="V35" i="10"/>
  <c r="V34" i="10"/>
  <c r="V33" i="10"/>
  <c r="V32" i="10"/>
  <c r="V31" i="10"/>
  <c r="V30" i="10"/>
  <c r="V29" i="10"/>
  <c r="V28" i="10"/>
  <c r="V27" i="10"/>
  <c r="V26" i="10"/>
  <c r="V25" i="10"/>
  <c r="V24" i="10"/>
  <c r="V23" i="10"/>
  <c r="V22" i="10"/>
  <c r="V21" i="10"/>
  <c r="V20" i="10"/>
  <c r="V19" i="10"/>
  <c r="V18" i="10"/>
  <c r="V17" i="10"/>
  <c r="V16" i="10"/>
  <c r="V15" i="10"/>
  <c r="V14" i="10"/>
  <c r="V13" i="10"/>
  <c r="V12" i="10"/>
  <c r="V11" i="10"/>
  <c r="V10" i="10"/>
  <c r="V9" i="10"/>
  <c r="V8" i="10"/>
  <c r="V7" i="10"/>
  <c r="T624" i="10"/>
  <c r="T623" i="10"/>
  <c r="T622" i="10"/>
  <c r="T621" i="10"/>
  <c r="T620" i="10"/>
  <c r="T619" i="10"/>
  <c r="T618" i="10"/>
  <c r="T617" i="10"/>
  <c r="T616" i="10"/>
  <c r="T615" i="10"/>
  <c r="T614" i="10"/>
  <c r="T613" i="10"/>
  <c r="T612" i="10"/>
  <c r="T611" i="10"/>
  <c r="T610" i="10"/>
  <c r="T609" i="10"/>
  <c r="T608" i="10"/>
  <c r="T607" i="10"/>
  <c r="T606" i="10"/>
  <c r="T605" i="10"/>
  <c r="T604" i="10"/>
  <c r="T603" i="10"/>
  <c r="T602" i="10"/>
  <c r="T601" i="10"/>
  <c r="T600" i="10"/>
  <c r="T597" i="10"/>
  <c r="T592" i="10"/>
  <c r="T571" i="10"/>
  <c r="T570" i="10"/>
  <c r="T568" i="10"/>
  <c r="T566" i="10"/>
  <c r="T565" i="10"/>
  <c r="T564" i="10"/>
  <c r="T563" i="10"/>
  <c r="T562" i="10"/>
  <c r="T561" i="10"/>
  <c r="T560" i="10"/>
  <c r="T559" i="10"/>
  <c r="T558" i="10"/>
  <c r="T557" i="10"/>
  <c r="T556" i="10"/>
  <c r="T555" i="10"/>
  <c r="T554" i="10"/>
  <c r="T553" i="10"/>
  <c r="T552" i="10"/>
  <c r="T551" i="10"/>
  <c r="T550" i="10"/>
  <c r="T549" i="10"/>
  <c r="T548" i="10"/>
  <c r="T547" i="10"/>
  <c r="T546" i="10"/>
  <c r="T545" i="10"/>
  <c r="T543" i="10"/>
  <c r="T542" i="10"/>
  <c r="T541" i="10"/>
  <c r="T540" i="10"/>
  <c r="T539" i="10"/>
  <c r="T538" i="10"/>
  <c r="T537" i="10"/>
  <c r="T536" i="10"/>
  <c r="T535" i="10"/>
  <c r="T534" i="10"/>
  <c r="T533" i="10"/>
  <c r="T532" i="10"/>
  <c r="T531" i="10"/>
  <c r="T530" i="10"/>
  <c r="T529" i="10"/>
  <c r="T528" i="10"/>
  <c r="T527" i="10"/>
  <c r="T526" i="10"/>
  <c r="T525" i="10"/>
  <c r="T524" i="10"/>
  <c r="T523" i="10"/>
  <c r="T522" i="10"/>
  <c r="T521" i="10"/>
  <c r="T520" i="10"/>
  <c r="T519" i="10"/>
  <c r="T518" i="10"/>
  <c r="T517" i="10"/>
  <c r="T516" i="10"/>
  <c r="T515" i="10"/>
  <c r="T514" i="10"/>
  <c r="T513" i="10"/>
  <c r="T512" i="10"/>
  <c r="T511" i="10"/>
  <c r="T510" i="10"/>
  <c r="T509" i="10"/>
  <c r="T508" i="10"/>
  <c r="T507" i="10"/>
  <c r="T505" i="10"/>
  <c r="T504" i="10"/>
  <c r="T503" i="10"/>
  <c r="T502" i="10"/>
  <c r="T501" i="10"/>
  <c r="T500" i="10"/>
  <c r="T499" i="10"/>
  <c r="T498" i="10"/>
  <c r="T497" i="10"/>
  <c r="T496" i="10"/>
  <c r="T495" i="10"/>
  <c r="T494" i="10"/>
  <c r="T493" i="10"/>
  <c r="T492" i="10"/>
  <c r="T491" i="10"/>
  <c r="T490" i="10"/>
  <c r="T489" i="10"/>
  <c r="T488" i="10"/>
  <c r="T487" i="10"/>
  <c r="T486" i="10"/>
  <c r="T478" i="10"/>
  <c r="T477" i="10"/>
  <c r="T476" i="10"/>
  <c r="T475" i="10"/>
  <c r="T470" i="10"/>
  <c r="T469" i="10"/>
  <c r="T468" i="10"/>
  <c r="T467" i="10"/>
  <c r="T466" i="10"/>
  <c r="T465" i="10"/>
  <c r="T464" i="10"/>
  <c r="T463" i="10"/>
  <c r="T460" i="10"/>
  <c r="T459" i="10"/>
  <c r="T412" i="10"/>
  <c r="T411" i="10"/>
  <c r="T410" i="10"/>
  <c r="T409" i="10"/>
  <c r="T408" i="10"/>
  <c r="T406" i="10"/>
  <c r="T405" i="10"/>
  <c r="T404" i="10"/>
  <c r="T395" i="10"/>
  <c r="T392" i="10"/>
  <c r="T391" i="10"/>
  <c r="T390" i="10"/>
  <c r="T389" i="10"/>
  <c r="T388" i="10"/>
  <c r="T387" i="10"/>
  <c r="T386" i="10"/>
  <c r="T385" i="10"/>
  <c r="T384" i="10"/>
  <c r="T383" i="10"/>
  <c r="T382" i="10"/>
  <c r="T381" i="10"/>
  <c r="T380" i="10"/>
  <c r="T377" i="10"/>
  <c r="T376" i="10"/>
  <c r="T375" i="10"/>
  <c r="T374" i="10"/>
  <c r="T373" i="10"/>
  <c r="T344" i="10"/>
  <c r="T343" i="10"/>
  <c r="T342" i="10"/>
  <c r="T341" i="10"/>
  <c r="T340" i="10"/>
  <c r="T339" i="10"/>
  <c r="T328" i="10"/>
  <c r="T327" i="10"/>
  <c r="T326" i="10"/>
  <c r="T318" i="10"/>
  <c r="T304" i="10"/>
  <c r="T290" i="10"/>
  <c r="T277" i="10"/>
  <c r="T276" i="10"/>
  <c r="T275" i="10"/>
  <c r="T274" i="10"/>
  <c r="T273" i="10"/>
  <c r="T269" i="10"/>
  <c r="T268" i="10"/>
  <c r="T267" i="10"/>
  <c r="T266" i="10"/>
  <c r="T265" i="10"/>
  <c r="T252" i="10"/>
  <c r="T250" i="10"/>
  <c r="T249" i="10"/>
  <c r="T248" i="10"/>
  <c r="T247" i="10"/>
  <c r="T246" i="10"/>
  <c r="T245" i="10"/>
  <c r="T244" i="10"/>
  <c r="T243" i="10"/>
  <c r="T242" i="10"/>
  <c r="T241" i="10"/>
  <c r="T240" i="10"/>
  <c r="T239" i="10"/>
  <c r="T238" i="10"/>
  <c r="T237" i="10"/>
  <c r="T222" i="10"/>
  <c r="T221" i="10"/>
  <c r="T210" i="10"/>
  <c r="T208" i="10"/>
  <c r="T207" i="10"/>
  <c r="T206" i="10"/>
  <c r="T205" i="10"/>
  <c r="T199" i="10"/>
  <c r="T197" i="10"/>
  <c r="T196" i="10"/>
  <c r="T195" i="10"/>
  <c r="T194" i="10"/>
  <c r="T191" i="10"/>
  <c r="T184" i="10"/>
  <c r="T181" i="10"/>
  <c r="T180" i="10"/>
  <c r="T179" i="10"/>
  <c r="T177" i="10"/>
  <c r="T176" i="10"/>
  <c r="T172" i="10"/>
  <c r="T171" i="10"/>
  <c r="T170" i="10"/>
  <c r="T169" i="10"/>
  <c r="T167" i="10"/>
  <c r="T166" i="10"/>
  <c r="T165" i="10"/>
  <c r="T163" i="10"/>
  <c r="T162" i="10"/>
  <c r="T161" i="10"/>
  <c r="T157" i="10"/>
  <c r="T156" i="10"/>
  <c r="T155" i="10"/>
  <c r="T154" i="10"/>
  <c r="T153" i="10"/>
  <c r="T152" i="10"/>
  <c r="T151" i="10"/>
  <c r="T149" i="10"/>
  <c r="T148" i="10"/>
  <c r="T147" i="10"/>
  <c r="T146" i="10"/>
  <c r="T144" i="10"/>
  <c r="T141" i="10"/>
  <c r="T140" i="10"/>
  <c r="T139" i="10"/>
  <c r="T138" i="10"/>
  <c r="T136" i="10"/>
  <c r="T135" i="10"/>
  <c r="T134" i="10"/>
  <c r="T132" i="10"/>
  <c r="T131" i="10"/>
  <c r="T130" i="10"/>
  <c r="T129" i="10"/>
  <c r="T128" i="10"/>
  <c r="T127" i="10"/>
  <c r="T126" i="10"/>
  <c r="T124" i="10"/>
  <c r="T123" i="10"/>
  <c r="T122" i="10"/>
  <c r="T121" i="10"/>
  <c r="T120" i="10"/>
  <c r="T119" i="10"/>
  <c r="T118" i="10"/>
  <c r="T117" i="10"/>
  <c r="T116" i="10"/>
  <c r="T115" i="10"/>
  <c r="T112" i="10"/>
  <c r="T111" i="10"/>
  <c r="T110" i="10"/>
  <c r="T108" i="10"/>
  <c r="T107" i="10"/>
  <c r="T106" i="10"/>
  <c r="T105" i="10"/>
  <c r="T104" i="10"/>
  <c r="T101" i="10"/>
  <c r="T100" i="10"/>
  <c r="T99" i="10"/>
  <c r="T98" i="10"/>
  <c r="T97" i="10"/>
  <c r="T96" i="10"/>
  <c r="T95" i="10"/>
  <c r="T94" i="10"/>
  <c r="T93" i="10"/>
  <c r="T92" i="10"/>
  <c r="T91" i="10"/>
  <c r="T90" i="10"/>
  <c r="T89" i="10"/>
  <c r="T88" i="10"/>
  <c r="T87" i="10"/>
  <c r="T86" i="10"/>
  <c r="T85" i="10"/>
  <c r="T84" i="10"/>
  <c r="T83" i="10"/>
  <c r="T82" i="10"/>
  <c r="T81" i="10"/>
  <c r="T80" i="10"/>
  <c r="T79" i="10"/>
  <c r="T78" i="10"/>
  <c r="T77" i="10"/>
  <c r="T76" i="10"/>
  <c r="T75" i="10"/>
  <c r="T74" i="10"/>
  <c r="T73" i="10"/>
  <c r="T72" i="10"/>
  <c r="T71" i="10"/>
  <c r="T70" i="10"/>
  <c r="T69" i="10"/>
  <c r="T68" i="10"/>
  <c r="T67" i="10"/>
  <c r="T66" i="10"/>
  <c r="T65" i="10"/>
  <c r="T64" i="10"/>
  <c r="T63" i="10"/>
  <c r="T62" i="10"/>
  <c r="T61" i="10"/>
  <c r="T60" i="10"/>
  <c r="T59" i="10"/>
  <c r="T58" i="10"/>
  <c r="T57" i="10"/>
  <c r="T56" i="10"/>
  <c r="T55" i="10"/>
  <c r="T54" i="10"/>
  <c r="T53" i="10"/>
  <c r="T52" i="10"/>
  <c r="T51" i="10"/>
  <c r="T50" i="10"/>
  <c r="T49" i="10"/>
  <c r="T48" i="10"/>
  <c r="T47" i="10"/>
  <c r="T46" i="10"/>
  <c r="T45" i="10"/>
  <c r="T44" i="10"/>
  <c r="T43" i="10"/>
  <c r="T42" i="10"/>
  <c r="T41" i="10"/>
  <c r="T40" i="10"/>
  <c r="T39" i="10"/>
  <c r="T38" i="10"/>
  <c r="T37" i="10"/>
  <c r="T36" i="10"/>
  <c r="T35" i="10"/>
  <c r="T34" i="10"/>
  <c r="T33" i="10"/>
  <c r="T32" i="10"/>
  <c r="T31" i="10"/>
  <c r="T30" i="10"/>
  <c r="T29" i="10"/>
  <c r="T28" i="10"/>
  <c r="T27" i="10"/>
  <c r="T26" i="10"/>
  <c r="T25" i="10"/>
  <c r="T24" i="10"/>
  <c r="T23" i="10"/>
  <c r="T22" i="10"/>
  <c r="T21" i="10"/>
  <c r="T20" i="10"/>
  <c r="T19" i="10"/>
  <c r="T18" i="10"/>
  <c r="T17" i="10"/>
  <c r="T16" i="10"/>
  <c r="T15" i="10"/>
  <c r="T14" i="10"/>
  <c r="T13" i="10"/>
  <c r="T12" i="10"/>
  <c r="T11" i="10"/>
  <c r="T10" i="10"/>
  <c r="T9" i="10"/>
  <c r="T8" i="10"/>
  <c r="T7" i="10"/>
  <c r="R624" i="10"/>
  <c r="R623" i="10"/>
  <c r="R622" i="10"/>
  <c r="R621" i="10"/>
  <c r="R620" i="10"/>
  <c r="R619" i="10"/>
  <c r="R618" i="10"/>
  <c r="R617" i="10"/>
  <c r="R616" i="10"/>
  <c r="R615" i="10"/>
  <c r="R614" i="10"/>
  <c r="R613" i="10"/>
  <c r="R612" i="10"/>
  <c r="R611" i="10"/>
  <c r="R610" i="10"/>
  <c r="R609" i="10"/>
  <c r="R608" i="10"/>
  <c r="R607" i="10"/>
  <c r="R606" i="10"/>
  <c r="R605" i="10"/>
  <c r="R604" i="10"/>
  <c r="R603" i="10"/>
  <c r="R602" i="10"/>
  <c r="R601" i="10"/>
  <c r="R600" i="10"/>
  <c r="R597" i="10"/>
  <c r="R592" i="10"/>
  <c r="R571" i="10"/>
  <c r="R570" i="10"/>
  <c r="R568" i="10"/>
  <c r="R566" i="10"/>
  <c r="R565" i="10"/>
  <c r="R564" i="10"/>
  <c r="R563" i="10"/>
  <c r="R562" i="10"/>
  <c r="R561" i="10"/>
  <c r="R560" i="10"/>
  <c r="R559" i="10"/>
  <c r="R558" i="10"/>
  <c r="R557" i="10"/>
  <c r="R556" i="10"/>
  <c r="R555" i="10"/>
  <c r="R554" i="10"/>
  <c r="R553" i="10"/>
  <c r="R552" i="10"/>
  <c r="R551" i="10"/>
  <c r="R550" i="10"/>
  <c r="R549" i="10"/>
  <c r="R548" i="10"/>
  <c r="R547" i="10"/>
  <c r="R546" i="10"/>
  <c r="R545" i="10"/>
  <c r="R543" i="10"/>
  <c r="R542" i="10"/>
  <c r="R541" i="10"/>
  <c r="R540" i="10"/>
  <c r="R539" i="10"/>
  <c r="R538" i="10"/>
  <c r="R537" i="10"/>
  <c r="R536" i="10"/>
  <c r="R535" i="10"/>
  <c r="R534" i="10"/>
  <c r="R533" i="10"/>
  <c r="R532" i="10"/>
  <c r="R531" i="10"/>
  <c r="R530" i="10"/>
  <c r="R529" i="10"/>
  <c r="R528" i="10"/>
  <c r="R527" i="10"/>
  <c r="R526" i="10"/>
  <c r="R525" i="10"/>
  <c r="R524" i="10"/>
  <c r="R523" i="10"/>
  <c r="R522" i="10"/>
  <c r="R521" i="10"/>
  <c r="R520" i="10"/>
  <c r="R519" i="10"/>
  <c r="R518" i="10"/>
  <c r="R517" i="10"/>
  <c r="R516" i="10"/>
  <c r="R515" i="10"/>
  <c r="R514" i="10"/>
  <c r="R513" i="10"/>
  <c r="R512" i="10"/>
  <c r="R511" i="10"/>
  <c r="R510" i="10"/>
  <c r="R509" i="10"/>
  <c r="R508" i="10"/>
  <c r="R507" i="10"/>
  <c r="R505" i="10"/>
  <c r="R504" i="10"/>
  <c r="R503" i="10"/>
  <c r="R502" i="10"/>
  <c r="R501" i="10"/>
  <c r="R500" i="10"/>
  <c r="R499" i="10"/>
  <c r="R498" i="10"/>
  <c r="R497" i="10"/>
  <c r="R496" i="10"/>
  <c r="R495" i="10"/>
  <c r="R494" i="10"/>
  <c r="R493" i="10"/>
  <c r="R492" i="10"/>
  <c r="R491" i="10"/>
  <c r="R490" i="10"/>
  <c r="R489" i="10"/>
  <c r="R488" i="10"/>
  <c r="R487" i="10"/>
  <c r="R486" i="10"/>
  <c r="R478" i="10"/>
  <c r="R477" i="10"/>
  <c r="R476" i="10"/>
  <c r="R475" i="10"/>
  <c r="R470" i="10"/>
  <c r="R469" i="10"/>
  <c r="R468" i="10"/>
  <c r="R467" i="10"/>
  <c r="R466" i="10"/>
  <c r="R465" i="10"/>
  <c r="R464" i="10"/>
  <c r="R463" i="10"/>
  <c r="R460" i="10"/>
  <c r="R459" i="10"/>
  <c r="R412" i="10"/>
  <c r="R411" i="10"/>
  <c r="R410" i="10"/>
  <c r="R409" i="10"/>
  <c r="R408" i="10"/>
  <c r="R406" i="10"/>
  <c r="R405" i="10"/>
  <c r="R404" i="10"/>
  <c r="R395" i="10"/>
  <c r="R392" i="10"/>
  <c r="R391" i="10"/>
  <c r="R390" i="10"/>
  <c r="R389" i="10"/>
  <c r="R388" i="10"/>
  <c r="R387" i="10"/>
  <c r="R386" i="10"/>
  <c r="R385" i="10"/>
  <c r="R384" i="10"/>
  <c r="R383" i="10"/>
  <c r="R382" i="10"/>
  <c r="R381" i="10"/>
  <c r="R380" i="10"/>
  <c r="R377" i="10"/>
  <c r="R376" i="10"/>
  <c r="R375" i="10"/>
  <c r="R374" i="10"/>
  <c r="R373" i="10"/>
  <c r="R344" i="10"/>
  <c r="R343" i="10"/>
  <c r="R342" i="10"/>
  <c r="R341" i="10"/>
  <c r="R340" i="10"/>
  <c r="R339" i="10"/>
  <c r="R328" i="10"/>
  <c r="R327" i="10"/>
  <c r="R326" i="10"/>
  <c r="R318" i="10"/>
  <c r="R304" i="10"/>
  <c r="R292" i="10"/>
  <c r="R290" i="10"/>
  <c r="R277" i="10"/>
  <c r="R276" i="10"/>
  <c r="R275" i="10"/>
  <c r="R274" i="10"/>
  <c r="R273" i="10"/>
  <c r="R269" i="10"/>
  <c r="R268" i="10"/>
  <c r="R267" i="10"/>
  <c r="R266" i="10"/>
  <c r="R265" i="10"/>
  <c r="R252" i="10"/>
  <c r="R250" i="10"/>
  <c r="R249" i="10"/>
  <c r="R248" i="10"/>
  <c r="R247" i="10"/>
  <c r="R246" i="10"/>
  <c r="R245" i="10"/>
  <c r="R244" i="10"/>
  <c r="R243" i="10"/>
  <c r="R242" i="10"/>
  <c r="R241" i="10"/>
  <c r="R240" i="10"/>
  <c r="R239" i="10"/>
  <c r="R238" i="10"/>
  <c r="R237" i="10"/>
  <c r="R222" i="10"/>
  <c r="R221" i="10"/>
  <c r="R210" i="10"/>
  <c r="R208" i="10"/>
  <c r="R207" i="10"/>
  <c r="R206" i="10"/>
  <c r="R205" i="10"/>
  <c r="R199" i="10"/>
  <c r="R197" i="10"/>
  <c r="R196" i="10"/>
  <c r="R195" i="10"/>
  <c r="R194" i="10"/>
  <c r="R191" i="10"/>
  <c r="R184" i="10"/>
  <c r="R181" i="10"/>
  <c r="R180" i="10"/>
  <c r="R179" i="10"/>
  <c r="R177" i="10"/>
  <c r="R176" i="10"/>
  <c r="R172" i="10"/>
  <c r="R171" i="10"/>
  <c r="R170" i="10"/>
  <c r="R169" i="10"/>
  <c r="R167" i="10"/>
  <c r="R166" i="10"/>
  <c r="R165" i="10"/>
  <c r="R163" i="10"/>
  <c r="R162" i="10"/>
  <c r="R161" i="10"/>
  <c r="R157" i="10"/>
  <c r="R156" i="10"/>
  <c r="R155" i="10"/>
  <c r="R154" i="10"/>
  <c r="R153" i="10"/>
  <c r="R152" i="10"/>
  <c r="R151" i="10"/>
  <c r="R149" i="10"/>
  <c r="R148" i="10"/>
  <c r="R147" i="10"/>
  <c r="R146" i="10"/>
  <c r="R144" i="10"/>
  <c r="R141" i="10"/>
  <c r="R140" i="10"/>
  <c r="R139" i="10"/>
  <c r="R138" i="10"/>
  <c r="R136" i="10"/>
  <c r="R135" i="10"/>
  <c r="R134" i="10"/>
  <c r="R132" i="10"/>
  <c r="R131" i="10"/>
  <c r="R130" i="10"/>
  <c r="R129" i="10"/>
  <c r="R128" i="10"/>
  <c r="R127" i="10"/>
  <c r="R126" i="10"/>
  <c r="R124" i="10"/>
  <c r="R123" i="10"/>
  <c r="R122" i="10"/>
  <c r="R121" i="10"/>
  <c r="R120" i="10"/>
  <c r="R119" i="10"/>
  <c r="R118" i="10"/>
  <c r="R117" i="10"/>
  <c r="R116" i="10"/>
  <c r="R115" i="10"/>
  <c r="R112" i="10"/>
  <c r="R111" i="10"/>
  <c r="R110" i="10"/>
  <c r="R108" i="10"/>
  <c r="R107" i="10"/>
  <c r="R106" i="10"/>
  <c r="R105" i="10"/>
  <c r="R104" i="10"/>
  <c r="R101" i="10"/>
  <c r="R100" i="10"/>
  <c r="R99" i="10"/>
  <c r="R98" i="10"/>
  <c r="R97" i="10"/>
  <c r="R96" i="10"/>
  <c r="R95" i="10"/>
  <c r="R94" i="10"/>
  <c r="R93" i="10"/>
  <c r="R92" i="10"/>
  <c r="R91" i="10"/>
  <c r="R90" i="10"/>
  <c r="R89" i="10"/>
  <c r="R88" i="10"/>
  <c r="R87" i="10"/>
  <c r="R86" i="10"/>
  <c r="R85" i="10"/>
  <c r="R84" i="10"/>
  <c r="R83" i="10"/>
  <c r="R82" i="10"/>
  <c r="R81" i="10"/>
  <c r="R80" i="10"/>
  <c r="R79" i="10"/>
  <c r="R78" i="10"/>
  <c r="R77" i="10"/>
  <c r="R76" i="10"/>
  <c r="R75" i="10"/>
  <c r="R74" i="10"/>
  <c r="R73" i="10"/>
  <c r="R72" i="10"/>
  <c r="R71" i="10"/>
  <c r="R70" i="10"/>
  <c r="R69" i="10"/>
  <c r="R68" i="10"/>
  <c r="R67" i="10"/>
  <c r="R66" i="10"/>
  <c r="R65" i="10"/>
  <c r="R64" i="10"/>
  <c r="R63" i="10"/>
  <c r="R62" i="10"/>
  <c r="R61" i="10"/>
  <c r="R60" i="10"/>
  <c r="R59" i="10"/>
  <c r="R58" i="10"/>
  <c r="R57" i="10"/>
  <c r="R56" i="10"/>
  <c r="R55" i="10"/>
  <c r="R54" i="10"/>
  <c r="R53" i="10"/>
  <c r="R52" i="10"/>
  <c r="R51" i="10"/>
  <c r="R50" i="10"/>
  <c r="R49" i="10"/>
  <c r="R48" i="10"/>
  <c r="R47" i="10"/>
  <c r="R46" i="10"/>
  <c r="R45" i="10"/>
  <c r="R44" i="10"/>
  <c r="R43" i="10"/>
  <c r="R42" i="10"/>
  <c r="R41" i="10"/>
  <c r="R40" i="10"/>
  <c r="R39" i="10"/>
  <c r="R38" i="10"/>
  <c r="R37" i="10"/>
  <c r="R36" i="10"/>
  <c r="R35" i="10"/>
  <c r="R34" i="10"/>
  <c r="R33" i="10"/>
  <c r="R32" i="10"/>
  <c r="R31" i="10"/>
  <c r="R30" i="10"/>
  <c r="R29" i="10"/>
  <c r="R28" i="10"/>
  <c r="R27" i="10"/>
  <c r="R26" i="10"/>
  <c r="R25" i="10"/>
  <c r="R24" i="10"/>
  <c r="R23" i="10"/>
  <c r="R22" i="10"/>
  <c r="R21" i="10"/>
  <c r="R20" i="10"/>
  <c r="R19" i="10"/>
  <c r="R18" i="10"/>
  <c r="R17" i="10"/>
  <c r="R16" i="10"/>
  <c r="R15" i="10"/>
  <c r="R14" i="10"/>
  <c r="R13" i="10"/>
  <c r="R12" i="10"/>
  <c r="R11" i="10"/>
  <c r="R10" i="10"/>
  <c r="R9" i="10"/>
  <c r="R8" i="10"/>
  <c r="R7" i="10"/>
  <c r="P624" i="10"/>
  <c r="P623" i="10"/>
  <c r="P622" i="10"/>
  <c r="P621" i="10"/>
  <c r="P620" i="10"/>
  <c r="P619" i="10"/>
  <c r="P618" i="10"/>
  <c r="P617" i="10"/>
  <c r="P616" i="10"/>
  <c r="P615" i="10"/>
  <c r="P614" i="10"/>
  <c r="P613" i="10"/>
  <c r="P612" i="10"/>
  <c r="P611" i="10"/>
  <c r="P610" i="10"/>
  <c r="P609" i="10"/>
  <c r="P608" i="10"/>
  <c r="P607" i="10"/>
  <c r="P606" i="10"/>
  <c r="P605" i="10"/>
  <c r="P604" i="10"/>
  <c r="P603" i="10"/>
  <c r="P602" i="10"/>
  <c r="P601" i="10"/>
  <c r="P600" i="10"/>
  <c r="P597" i="10"/>
  <c r="P592" i="10"/>
  <c r="P571" i="10"/>
  <c r="P570" i="10"/>
  <c r="P568" i="10"/>
  <c r="P566" i="10"/>
  <c r="P565" i="10"/>
  <c r="P564" i="10"/>
  <c r="P563" i="10"/>
  <c r="P562" i="10"/>
  <c r="P561" i="10"/>
  <c r="P560" i="10"/>
  <c r="P559" i="10"/>
  <c r="P558" i="10"/>
  <c r="P557" i="10"/>
  <c r="P556" i="10"/>
  <c r="P555" i="10"/>
  <c r="P554" i="10"/>
  <c r="P553" i="10"/>
  <c r="P552" i="10"/>
  <c r="P551" i="10"/>
  <c r="P550" i="10"/>
  <c r="P549" i="10"/>
  <c r="P548" i="10"/>
  <c r="P547" i="10"/>
  <c r="P546" i="10"/>
  <c r="P545" i="10"/>
  <c r="P543" i="10"/>
  <c r="P542" i="10"/>
  <c r="P541" i="10"/>
  <c r="P540" i="10"/>
  <c r="P539" i="10"/>
  <c r="P538" i="10"/>
  <c r="P537" i="10"/>
  <c r="P536" i="10"/>
  <c r="P535" i="10"/>
  <c r="P534" i="10"/>
  <c r="P533" i="10"/>
  <c r="P532" i="10"/>
  <c r="P531" i="10"/>
  <c r="P530" i="10"/>
  <c r="P529" i="10"/>
  <c r="P528" i="10"/>
  <c r="P527" i="10"/>
  <c r="P526" i="10"/>
  <c r="P525" i="10"/>
  <c r="P524" i="10"/>
  <c r="P523" i="10"/>
  <c r="P522" i="10"/>
  <c r="P521" i="10"/>
  <c r="P520" i="10"/>
  <c r="P519" i="10"/>
  <c r="P518" i="10"/>
  <c r="P517" i="10"/>
  <c r="P516" i="10"/>
  <c r="P515" i="10"/>
  <c r="P514" i="10"/>
  <c r="P513" i="10"/>
  <c r="P512" i="10"/>
  <c r="P511" i="10"/>
  <c r="P510" i="10"/>
  <c r="P509" i="10"/>
  <c r="P508" i="10"/>
  <c r="P507" i="10"/>
  <c r="P505" i="10"/>
  <c r="P504" i="10"/>
  <c r="P503" i="10"/>
  <c r="P502" i="10"/>
  <c r="P501" i="10"/>
  <c r="P500" i="10"/>
  <c r="P499" i="10"/>
  <c r="P498" i="10"/>
  <c r="P497" i="10"/>
  <c r="P496" i="10"/>
  <c r="P495" i="10"/>
  <c r="P494" i="10"/>
  <c r="P493" i="10"/>
  <c r="P492" i="10"/>
  <c r="P491" i="10"/>
  <c r="P490" i="10"/>
  <c r="P489" i="10"/>
  <c r="P488" i="10"/>
  <c r="P487" i="10"/>
  <c r="P486" i="10"/>
  <c r="P478" i="10"/>
  <c r="P477" i="10"/>
  <c r="P476" i="10"/>
  <c r="P475" i="10"/>
  <c r="P470" i="10"/>
  <c r="P469" i="10"/>
  <c r="P468" i="10"/>
  <c r="P467" i="10"/>
  <c r="P466" i="10"/>
  <c r="P465" i="10"/>
  <c r="P464" i="10"/>
  <c r="P463" i="10"/>
  <c r="P460" i="10"/>
  <c r="P459" i="10"/>
  <c r="P412" i="10"/>
  <c r="P411" i="10"/>
  <c r="P410" i="10"/>
  <c r="P409" i="10"/>
  <c r="P408" i="10"/>
  <c r="P406" i="10"/>
  <c r="P405" i="10"/>
  <c r="P404" i="10"/>
  <c r="P395" i="10"/>
  <c r="P392" i="10"/>
  <c r="P391" i="10"/>
  <c r="P390" i="10"/>
  <c r="P389" i="10"/>
  <c r="P388" i="10"/>
  <c r="P387" i="10"/>
  <c r="P386" i="10"/>
  <c r="P385" i="10"/>
  <c r="P384" i="10"/>
  <c r="P383" i="10"/>
  <c r="P382" i="10"/>
  <c r="P381" i="10"/>
  <c r="P380" i="10"/>
  <c r="P377" i="10"/>
  <c r="P376" i="10"/>
  <c r="P375" i="10"/>
  <c r="P374" i="10"/>
  <c r="P373" i="10"/>
  <c r="P344" i="10"/>
  <c r="P343" i="10"/>
  <c r="P342" i="10"/>
  <c r="P341" i="10"/>
  <c r="P340" i="10"/>
  <c r="P339" i="10"/>
  <c r="P328" i="10"/>
  <c r="P327" i="10"/>
  <c r="P326" i="10"/>
  <c r="P318" i="10"/>
  <c r="P304" i="10"/>
  <c r="P290" i="10"/>
  <c r="P277" i="10"/>
  <c r="P276" i="10"/>
  <c r="P275" i="10"/>
  <c r="P274" i="10"/>
  <c r="P273" i="10"/>
  <c r="P269" i="10"/>
  <c r="P268" i="10"/>
  <c r="P267" i="10"/>
  <c r="P266" i="10"/>
  <c r="P265" i="10"/>
  <c r="P252" i="10"/>
  <c r="P250" i="10"/>
  <c r="P249" i="10"/>
  <c r="P248" i="10"/>
  <c r="P247" i="10"/>
  <c r="P246" i="10"/>
  <c r="P245" i="10"/>
  <c r="P244" i="10"/>
  <c r="P243" i="10"/>
  <c r="P242" i="10"/>
  <c r="P241" i="10"/>
  <c r="P240" i="10"/>
  <c r="P239" i="10"/>
  <c r="P238" i="10"/>
  <c r="P237" i="10"/>
  <c r="P222" i="10"/>
  <c r="P221" i="10"/>
  <c r="P210" i="10"/>
  <c r="P208" i="10"/>
  <c r="P207" i="10"/>
  <c r="P206" i="10"/>
  <c r="P205" i="10"/>
  <c r="P199" i="10"/>
  <c r="P197" i="10"/>
  <c r="P196" i="10"/>
  <c r="P195" i="10"/>
  <c r="P194" i="10"/>
  <c r="P191" i="10"/>
  <c r="P184" i="10"/>
  <c r="P181" i="10"/>
  <c r="P180" i="10"/>
  <c r="P179" i="10"/>
  <c r="P177" i="10"/>
  <c r="P176" i="10"/>
  <c r="P172" i="10"/>
  <c r="P171" i="10"/>
  <c r="P170" i="10"/>
  <c r="P169" i="10"/>
  <c r="P167" i="10"/>
  <c r="P166" i="10"/>
  <c r="P165" i="10"/>
  <c r="P163" i="10"/>
  <c r="P162" i="10"/>
  <c r="P161" i="10"/>
  <c r="P157" i="10"/>
  <c r="P156" i="10"/>
  <c r="P155" i="10"/>
  <c r="P154" i="10"/>
  <c r="P153" i="10"/>
  <c r="P152" i="10"/>
  <c r="P151" i="10"/>
  <c r="P149" i="10"/>
  <c r="P148" i="10"/>
  <c r="P147" i="10"/>
  <c r="P146" i="10"/>
  <c r="P144" i="10"/>
  <c r="P141" i="10"/>
  <c r="P140" i="10"/>
  <c r="P139" i="10"/>
  <c r="P138" i="10"/>
  <c r="P136" i="10"/>
  <c r="P135" i="10"/>
  <c r="P134" i="10"/>
  <c r="P132" i="10"/>
  <c r="P131" i="10"/>
  <c r="P130" i="10"/>
  <c r="P129" i="10"/>
  <c r="P128" i="10"/>
  <c r="P127" i="10"/>
  <c r="P126" i="10"/>
  <c r="P124" i="10"/>
  <c r="P123" i="10"/>
  <c r="P122" i="10"/>
  <c r="P121" i="10"/>
  <c r="P120" i="10"/>
  <c r="P119" i="10"/>
  <c r="P118" i="10"/>
  <c r="P117" i="10"/>
  <c r="P116" i="10"/>
  <c r="P115" i="10"/>
  <c r="P112" i="10"/>
  <c r="P111" i="10"/>
  <c r="P110" i="10"/>
  <c r="P108" i="10"/>
  <c r="P107" i="10"/>
  <c r="P106" i="10"/>
  <c r="P105" i="10"/>
  <c r="P104" i="10"/>
  <c r="P101" i="10"/>
  <c r="P100" i="10"/>
  <c r="P99" i="10"/>
  <c r="P98" i="10"/>
  <c r="P97" i="10"/>
  <c r="P96" i="10"/>
  <c r="P95" i="10"/>
  <c r="P94" i="10"/>
  <c r="P93" i="10"/>
  <c r="P92" i="10"/>
  <c r="P91" i="10"/>
  <c r="P90" i="10"/>
  <c r="P89" i="10"/>
  <c r="P88" i="10"/>
  <c r="P87" i="10"/>
  <c r="P86" i="10"/>
  <c r="P85" i="10"/>
  <c r="P84" i="10"/>
  <c r="P83" i="10"/>
  <c r="P82" i="10"/>
  <c r="P81" i="10"/>
  <c r="P80" i="10"/>
  <c r="P79" i="10"/>
  <c r="P78" i="10"/>
  <c r="P77" i="10"/>
  <c r="P76" i="10"/>
  <c r="P75" i="10"/>
  <c r="P74" i="10"/>
  <c r="P73" i="10"/>
  <c r="P72" i="10"/>
  <c r="P71" i="10"/>
  <c r="P70" i="10"/>
  <c r="P69" i="10"/>
  <c r="P68" i="10"/>
  <c r="P67" i="10"/>
  <c r="P66" i="10"/>
  <c r="P65" i="10"/>
  <c r="P64" i="10"/>
  <c r="P63" i="10"/>
  <c r="P62" i="10"/>
  <c r="P61" i="10"/>
  <c r="P60" i="10"/>
  <c r="P59" i="10"/>
  <c r="P58" i="10"/>
  <c r="P57" i="10"/>
  <c r="P56" i="10"/>
  <c r="P55" i="10"/>
  <c r="P54" i="10"/>
  <c r="P53" i="10"/>
  <c r="P52" i="10"/>
  <c r="P51" i="10"/>
  <c r="P50" i="10"/>
  <c r="P49" i="10"/>
  <c r="P48" i="10"/>
  <c r="P47" i="10"/>
  <c r="P46" i="10"/>
  <c r="P45" i="10"/>
  <c r="P44" i="10"/>
  <c r="P43" i="10"/>
  <c r="P42" i="10"/>
  <c r="P41" i="10"/>
  <c r="P40" i="10"/>
  <c r="P39" i="10"/>
  <c r="P38" i="10"/>
  <c r="P37" i="10"/>
  <c r="P36" i="10"/>
  <c r="P35" i="10"/>
  <c r="P34" i="10"/>
  <c r="P33" i="10"/>
  <c r="P32" i="10"/>
  <c r="P31" i="10"/>
  <c r="P30" i="10"/>
  <c r="P29" i="10"/>
  <c r="P28" i="10"/>
  <c r="P27" i="10"/>
  <c r="P26" i="10"/>
  <c r="P25" i="10"/>
  <c r="P24" i="10"/>
  <c r="P23" i="10"/>
  <c r="P22" i="10"/>
  <c r="P21" i="10"/>
  <c r="P20" i="10"/>
  <c r="P19" i="10"/>
  <c r="P18" i="10"/>
  <c r="P17" i="10"/>
  <c r="P16" i="10"/>
  <c r="P15" i="10"/>
  <c r="P14" i="10"/>
  <c r="P13" i="10"/>
  <c r="P12" i="10"/>
  <c r="P11" i="10"/>
  <c r="P10" i="10"/>
  <c r="P9" i="10"/>
  <c r="P8" i="10"/>
  <c r="P7" i="10"/>
  <c r="N624" i="10"/>
  <c r="N623" i="10"/>
  <c r="N622" i="10"/>
  <c r="N621" i="10"/>
  <c r="N620" i="10"/>
  <c r="N619" i="10"/>
  <c r="N618" i="10"/>
  <c r="N617" i="10"/>
  <c r="N616" i="10"/>
  <c r="N615" i="10"/>
  <c r="N614" i="10"/>
  <c r="N613" i="10"/>
  <c r="N612" i="10"/>
  <c r="N611" i="10"/>
  <c r="N610" i="10"/>
  <c r="N609" i="10"/>
  <c r="N608" i="10"/>
  <c r="N607" i="10"/>
  <c r="N606" i="10"/>
  <c r="N605" i="10"/>
  <c r="N604" i="10"/>
  <c r="N603" i="10"/>
  <c r="N602" i="10"/>
  <c r="N601" i="10"/>
  <c r="N600" i="10"/>
  <c r="N597" i="10"/>
  <c r="N592" i="10"/>
  <c r="N571" i="10"/>
  <c r="N570" i="10"/>
  <c r="N568" i="10"/>
  <c r="N566" i="10"/>
  <c r="N565" i="10"/>
  <c r="N564" i="10"/>
  <c r="N563" i="10"/>
  <c r="N562" i="10"/>
  <c r="N561" i="10"/>
  <c r="N560" i="10"/>
  <c r="N559" i="10"/>
  <c r="N558" i="10"/>
  <c r="N557" i="10"/>
  <c r="N556" i="10"/>
  <c r="N555" i="10"/>
  <c r="N554" i="10"/>
  <c r="N553" i="10"/>
  <c r="N552" i="10"/>
  <c r="N551" i="10"/>
  <c r="N550" i="10"/>
  <c r="N549" i="10"/>
  <c r="N548" i="10"/>
  <c r="N547" i="10"/>
  <c r="N546" i="10"/>
  <c r="N545" i="10"/>
  <c r="N543" i="10"/>
  <c r="N542" i="10"/>
  <c r="N541" i="10"/>
  <c r="N540" i="10"/>
  <c r="N539" i="10"/>
  <c r="N538" i="10"/>
  <c r="N537" i="10"/>
  <c r="N536" i="10"/>
  <c r="N535" i="10"/>
  <c r="N534" i="10"/>
  <c r="N533" i="10"/>
  <c r="N532" i="10"/>
  <c r="N531" i="10"/>
  <c r="N530" i="10"/>
  <c r="N529" i="10"/>
  <c r="N528" i="10"/>
  <c r="N527" i="10"/>
  <c r="N526" i="10"/>
  <c r="N525" i="10"/>
  <c r="N524" i="10"/>
  <c r="N523" i="10"/>
  <c r="N522" i="10"/>
  <c r="N521" i="10"/>
  <c r="N520" i="10"/>
  <c r="N519" i="10"/>
  <c r="N518" i="10"/>
  <c r="N517" i="10"/>
  <c r="N516" i="10"/>
  <c r="N515" i="10"/>
  <c r="N514" i="10"/>
  <c r="N513" i="10"/>
  <c r="N512" i="10"/>
  <c r="N511" i="10"/>
  <c r="N510" i="10"/>
  <c r="N509" i="10"/>
  <c r="N508" i="10"/>
  <c r="N507" i="10"/>
  <c r="N505" i="10"/>
  <c r="N504" i="10"/>
  <c r="N503" i="10"/>
  <c r="N502" i="10"/>
  <c r="N501" i="10"/>
  <c r="N500" i="10"/>
  <c r="N499" i="10"/>
  <c r="N498" i="10"/>
  <c r="N497" i="10"/>
  <c r="N496" i="10"/>
  <c r="N495" i="10"/>
  <c r="N494" i="10"/>
  <c r="N493" i="10"/>
  <c r="N492" i="10"/>
  <c r="N491" i="10"/>
  <c r="N490" i="10"/>
  <c r="N489" i="10"/>
  <c r="N488" i="10"/>
  <c r="N487" i="10"/>
  <c r="N486" i="10"/>
  <c r="N478" i="10"/>
  <c r="N477" i="10"/>
  <c r="N476" i="10"/>
  <c r="N475" i="10"/>
  <c r="N470" i="10"/>
  <c r="N469" i="10"/>
  <c r="N468" i="10"/>
  <c r="N467" i="10"/>
  <c r="N466" i="10"/>
  <c r="N465" i="10"/>
  <c r="N464" i="10"/>
  <c r="N463" i="10"/>
  <c r="N460" i="10"/>
  <c r="N459" i="10"/>
  <c r="N412" i="10"/>
  <c r="N411" i="10"/>
  <c r="N410" i="10"/>
  <c r="N409" i="10"/>
  <c r="N408" i="10"/>
  <c r="N406" i="10"/>
  <c r="N405" i="10"/>
  <c r="N404" i="10"/>
  <c r="N395" i="10"/>
  <c r="N392" i="10"/>
  <c r="N391" i="10"/>
  <c r="N390" i="10"/>
  <c r="N389" i="10"/>
  <c r="N388" i="10"/>
  <c r="N387" i="10"/>
  <c r="N386" i="10"/>
  <c r="N385" i="10"/>
  <c r="N384" i="10"/>
  <c r="N383" i="10"/>
  <c r="N382" i="10"/>
  <c r="N381" i="10"/>
  <c r="N380" i="10"/>
  <c r="N377" i="10"/>
  <c r="N376" i="10"/>
  <c r="N375" i="10"/>
  <c r="N374" i="10"/>
  <c r="N373" i="10"/>
  <c r="N344" i="10"/>
  <c r="N343" i="10"/>
  <c r="N342" i="10"/>
  <c r="N341" i="10"/>
  <c r="N340" i="10"/>
  <c r="N339" i="10"/>
  <c r="N328" i="10"/>
  <c r="N327" i="10"/>
  <c r="N326" i="10"/>
  <c r="N318" i="10"/>
  <c r="N304" i="10"/>
  <c r="N290" i="10"/>
  <c r="N277" i="10"/>
  <c r="N276" i="10"/>
  <c r="N275" i="10"/>
  <c r="N274" i="10"/>
  <c r="N273" i="10"/>
  <c r="N269" i="10"/>
  <c r="N268" i="10"/>
  <c r="N267" i="10"/>
  <c r="N266" i="10"/>
  <c r="N265" i="10"/>
  <c r="N252" i="10"/>
  <c r="N250" i="10"/>
  <c r="N249" i="10"/>
  <c r="N248" i="10"/>
  <c r="N247" i="10"/>
  <c r="N246" i="10"/>
  <c r="N245" i="10"/>
  <c r="N244" i="10"/>
  <c r="N243" i="10"/>
  <c r="N242" i="10"/>
  <c r="N241" i="10"/>
  <c r="N240" i="10"/>
  <c r="N239" i="10"/>
  <c r="N238" i="10"/>
  <c r="N237" i="10"/>
  <c r="N222" i="10"/>
  <c r="N221" i="10"/>
  <c r="N210" i="10"/>
  <c r="N208" i="10"/>
  <c r="N207" i="10"/>
  <c r="N206" i="10"/>
  <c r="N205" i="10"/>
  <c r="N199" i="10"/>
  <c r="N197" i="10"/>
  <c r="N196" i="10"/>
  <c r="N195" i="10"/>
  <c r="N194" i="10"/>
  <c r="N191" i="10"/>
  <c r="N184" i="10"/>
  <c r="N181" i="10"/>
  <c r="N180" i="10"/>
  <c r="N179" i="10"/>
  <c r="N177" i="10"/>
  <c r="N176" i="10"/>
  <c r="N172" i="10"/>
  <c r="N171" i="10"/>
  <c r="N170" i="10"/>
  <c r="N169" i="10"/>
  <c r="N167" i="10"/>
  <c r="N166" i="10"/>
  <c r="N165" i="10"/>
  <c r="N163" i="10"/>
  <c r="N162" i="10"/>
  <c r="N161" i="10"/>
  <c r="N157" i="10"/>
  <c r="N156" i="10"/>
  <c r="N155" i="10"/>
  <c r="N154" i="10"/>
  <c r="N153" i="10"/>
  <c r="N152" i="10"/>
  <c r="N151" i="10"/>
  <c r="N149" i="10"/>
  <c r="N148" i="10"/>
  <c r="N147" i="10"/>
  <c r="N146" i="10"/>
  <c r="N144" i="10"/>
  <c r="N141" i="10"/>
  <c r="N140" i="10"/>
  <c r="N139" i="10"/>
  <c r="N138" i="10"/>
  <c r="N136" i="10"/>
  <c r="N135" i="10"/>
  <c r="N134" i="10"/>
  <c r="N132" i="10"/>
  <c r="N131" i="10"/>
  <c r="N130" i="10"/>
  <c r="N129" i="10"/>
  <c r="N128" i="10"/>
  <c r="N127" i="10"/>
  <c r="N126" i="10"/>
  <c r="N124" i="10"/>
  <c r="N123" i="10"/>
  <c r="N122" i="10"/>
  <c r="N121" i="10"/>
  <c r="N120" i="10"/>
  <c r="N119" i="10"/>
  <c r="N118" i="10"/>
  <c r="N117" i="10"/>
  <c r="N116" i="10"/>
  <c r="N115" i="10"/>
  <c r="N112" i="10"/>
  <c r="N111" i="10"/>
  <c r="N110" i="10"/>
  <c r="N108" i="10"/>
  <c r="N107" i="10"/>
  <c r="N106" i="10"/>
  <c r="N105" i="10"/>
  <c r="N104" i="10"/>
  <c r="N101" i="10"/>
  <c r="N100" i="10"/>
  <c r="N99" i="10"/>
  <c r="N98" i="10"/>
  <c r="N97" i="10"/>
  <c r="N96" i="10"/>
  <c r="N95" i="10"/>
  <c r="N94" i="10"/>
  <c r="N93" i="10"/>
  <c r="N92" i="10"/>
  <c r="N91" i="10"/>
  <c r="N90" i="10"/>
  <c r="N89" i="10"/>
  <c r="N88" i="10"/>
  <c r="N87" i="10"/>
  <c r="N86" i="10"/>
  <c r="N85" i="10"/>
  <c r="N84" i="10"/>
  <c r="N83" i="10"/>
  <c r="N82" i="10"/>
  <c r="N81" i="10"/>
  <c r="N80" i="10"/>
  <c r="N79" i="10"/>
  <c r="N78" i="10"/>
  <c r="N77" i="10"/>
  <c r="N76" i="10"/>
  <c r="N75" i="10"/>
  <c r="N74" i="10"/>
  <c r="N73" i="10"/>
  <c r="N72" i="10"/>
  <c r="N71" i="10"/>
  <c r="N70" i="10"/>
  <c r="N69" i="10"/>
  <c r="N68" i="10"/>
  <c r="N67" i="10"/>
  <c r="N66" i="10"/>
  <c r="N65" i="10"/>
  <c r="N64" i="10"/>
  <c r="N63" i="10"/>
  <c r="N62" i="10"/>
  <c r="N61" i="10"/>
  <c r="N60" i="10"/>
  <c r="N59" i="10"/>
  <c r="N58" i="10"/>
  <c r="N57" i="10"/>
  <c r="N56" i="10"/>
  <c r="N55" i="10"/>
  <c r="N54" i="10"/>
  <c r="N53" i="10"/>
  <c r="N52" i="10"/>
  <c r="N51" i="10"/>
  <c r="N50" i="10"/>
  <c r="N49" i="10"/>
  <c r="N48" i="10"/>
  <c r="N47" i="10"/>
  <c r="N46" i="10"/>
  <c r="N45" i="10"/>
  <c r="N44" i="10"/>
  <c r="N43" i="10"/>
  <c r="N42" i="10"/>
  <c r="N41" i="10"/>
  <c r="N40" i="10"/>
  <c r="N39" i="10"/>
  <c r="N38" i="10"/>
  <c r="N37" i="10"/>
  <c r="N36" i="10"/>
  <c r="N35" i="10"/>
  <c r="N34" i="10"/>
  <c r="N33" i="10"/>
  <c r="N32" i="10"/>
  <c r="N31" i="10"/>
  <c r="N30" i="10"/>
  <c r="N29" i="10"/>
  <c r="N28" i="10"/>
  <c r="N27" i="10"/>
  <c r="N26" i="10"/>
  <c r="N25" i="10"/>
  <c r="N24" i="10"/>
  <c r="N23" i="10"/>
  <c r="N22" i="10"/>
  <c r="N21" i="10"/>
  <c r="N20" i="10"/>
  <c r="N19" i="10"/>
  <c r="N18" i="10"/>
  <c r="N17" i="10"/>
  <c r="N16" i="10"/>
  <c r="N15" i="10"/>
  <c r="N14" i="10"/>
  <c r="N13" i="10"/>
  <c r="N12" i="10"/>
  <c r="N11" i="10"/>
  <c r="N10" i="10"/>
  <c r="N9" i="10"/>
  <c r="N8" i="10"/>
  <c r="N7" i="10"/>
  <c r="L624" i="10"/>
  <c r="L623" i="10"/>
  <c r="L622" i="10"/>
  <c r="L621" i="10"/>
  <c r="L620" i="10"/>
  <c r="L619" i="10"/>
  <c r="L618" i="10"/>
  <c r="L617" i="10"/>
  <c r="L616" i="10"/>
  <c r="L615" i="10"/>
  <c r="L614" i="10"/>
  <c r="L613" i="10"/>
  <c r="L612" i="10"/>
  <c r="L611" i="10"/>
  <c r="L610" i="10"/>
  <c r="L609" i="10"/>
  <c r="L608" i="10"/>
  <c r="L607" i="10"/>
  <c r="L606" i="10"/>
  <c r="L605" i="10"/>
  <c r="L604" i="10"/>
  <c r="L603" i="10"/>
  <c r="L602" i="10"/>
  <c r="L601" i="10"/>
  <c r="L600" i="10"/>
  <c r="L597" i="10"/>
  <c r="L592" i="10"/>
  <c r="L571" i="10"/>
  <c r="L570" i="10"/>
  <c r="L568" i="10"/>
  <c r="L566" i="10"/>
  <c r="L565" i="10"/>
  <c r="L564" i="10"/>
  <c r="L563" i="10"/>
  <c r="L562" i="10"/>
  <c r="L561" i="10"/>
  <c r="L560" i="10"/>
  <c r="L559" i="10"/>
  <c r="L558" i="10"/>
  <c r="L557" i="10"/>
  <c r="L556" i="10"/>
  <c r="L555" i="10"/>
  <c r="L554" i="10"/>
  <c r="L553" i="10"/>
  <c r="L552" i="10"/>
  <c r="L551" i="10"/>
  <c r="L550" i="10"/>
  <c r="L549" i="10"/>
  <c r="L548" i="10"/>
  <c r="L547" i="10"/>
  <c r="L546" i="10"/>
  <c r="L545" i="10"/>
  <c r="L543" i="10"/>
  <c r="L542" i="10"/>
  <c r="L541" i="10"/>
  <c r="L540" i="10"/>
  <c r="L539" i="10"/>
  <c r="L538" i="10"/>
  <c r="L537" i="10"/>
  <c r="L536" i="10"/>
  <c r="L535" i="10"/>
  <c r="L534" i="10"/>
  <c r="L533" i="10"/>
  <c r="L532" i="10"/>
  <c r="L531" i="10"/>
  <c r="L530" i="10"/>
  <c r="L529" i="10"/>
  <c r="L528" i="10"/>
  <c r="L527" i="10"/>
  <c r="L526" i="10"/>
  <c r="L525" i="10"/>
  <c r="L524" i="10"/>
  <c r="L523" i="10"/>
  <c r="L522" i="10"/>
  <c r="L521" i="10"/>
  <c r="L520" i="10"/>
  <c r="L519" i="10"/>
  <c r="L518" i="10"/>
  <c r="L517" i="10"/>
  <c r="L516" i="10"/>
  <c r="L515" i="10"/>
  <c r="L514" i="10"/>
  <c r="L513" i="10"/>
  <c r="L512" i="10"/>
  <c r="L511" i="10"/>
  <c r="L510" i="10"/>
  <c r="L509" i="10"/>
  <c r="L508" i="10"/>
  <c r="L507" i="10"/>
  <c r="L505" i="10"/>
  <c r="L504" i="10"/>
  <c r="L503" i="10"/>
  <c r="L502" i="10"/>
  <c r="L501" i="10"/>
  <c r="L500" i="10"/>
  <c r="L499" i="10"/>
  <c r="L498" i="10"/>
  <c r="L497" i="10"/>
  <c r="L496" i="10"/>
  <c r="L495" i="10"/>
  <c r="L494" i="10"/>
  <c r="L493" i="10"/>
  <c r="L492" i="10"/>
  <c r="L491" i="10"/>
  <c r="L490" i="10"/>
  <c r="L489" i="10"/>
  <c r="L488" i="10"/>
  <c r="L487" i="10"/>
  <c r="L486" i="10"/>
  <c r="L478" i="10"/>
  <c r="L477" i="10"/>
  <c r="L476" i="10"/>
  <c r="L475" i="10"/>
  <c r="L470" i="10"/>
  <c r="L469" i="10"/>
  <c r="L468" i="10"/>
  <c r="L467" i="10"/>
  <c r="L466" i="10"/>
  <c r="L465" i="10"/>
  <c r="L464" i="10"/>
  <c r="L463" i="10"/>
  <c r="L460" i="10"/>
  <c r="L459" i="10"/>
  <c r="L412" i="10"/>
  <c r="L411" i="10"/>
  <c r="L410" i="10"/>
  <c r="L409" i="10"/>
  <c r="L408" i="10"/>
  <c r="L406" i="10"/>
  <c r="L405" i="10"/>
  <c r="L404" i="10"/>
  <c r="L395" i="10"/>
  <c r="L392" i="10"/>
  <c r="L391" i="10"/>
  <c r="L390" i="10"/>
  <c r="L389" i="10"/>
  <c r="L388" i="10"/>
  <c r="L387" i="10"/>
  <c r="L386" i="10"/>
  <c r="L385" i="10"/>
  <c r="L384" i="10"/>
  <c r="L383" i="10"/>
  <c r="L382" i="10"/>
  <c r="L381" i="10"/>
  <c r="L380" i="10"/>
  <c r="L377" i="10"/>
  <c r="L376" i="10"/>
  <c r="L375" i="10"/>
  <c r="L374" i="10"/>
  <c r="L373" i="10"/>
  <c r="L344" i="10"/>
  <c r="L343" i="10"/>
  <c r="L342" i="10"/>
  <c r="L341" i="10"/>
  <c r="L340" i="10"/>
  <c r="L339" i="10"/>
  <c r="L328" i="10"/>
  <c r="L327" i="10"/>
  <c r="L326" i="10"/>
  <c r="L318" i="10"/>
  <c r="L304" i="10"/>
  <c r="L290" i="10"/>
  <c r="L277" i="10"/>
  <c r="L276" i="10"/>
  <c r="L275" i="10"/>
  <c r="L274" i="10"/>
  <c r="L273" i="10"/>
  <c r="L269" i="10"/>
  <c r="L268" i="10"/>
  <c r="L267" i="10"/>
  <c r="L266" i="10"/>
  <c r="L265" i="10"/>
  <c r="L252" i="10"/>
  <c r="L250" i="10"/>
  <c r="L249" i="10"/>
  <c r="L248" i="10"/>
  <c r="L247" i="10"/>
  <c r="L246" i="10"/>
  <c r="L245" i="10"/>
  <c r="L244" i="10"/>
  <c r="L243" i="10"/>
  <c r="L242" i="10"/>
  <c r="L241" i="10"/>
  <c r="L240" i="10"/>
  <c r="L239" i="10"/>
  <c r="L238" i="10"/>
  <c r="L237" i="10"/>
  <c r="L222" i="10"/>
  <c r="L221" i="10"/>
  <c r="L210" i="10"/>
  <c r="L208" i="10"/>
  <c r="L207" i="10"/>
  <c r="L206" i="10"/>
  <c r="L205" i="10"/>
  <c r="L199" i="10"/>
  <c r="L197" i="10"/>
  <c r="L196" i="10"/>
  <c r="L195" i="10"/>
  <c r="L194" i="10"/>
  <c r="L191" i="10"/>
  <c r="L184" i="10"/>
  <c r="L181" i="10"/>
  <c r="L180" i="10"/>
  <c r="L179" i="10"/>
  <c r="L177" i="10"/>
  <c r="L176" i="10"/>
  <c r="L172" i="10"/>
  <c r="L171" i="10"/>
  <c r="L170" i="10"/>
  <c r="L169" i="10"/>
  <c r="L167" i="10"/>
  <c r="L166" i="10"/>
  <c r="L165" i="10"/>
  <c r="L163" i="10"/>
  <c r="L162" i="10"/>
  <c r="L161" i="10"/>
  <c r="L157" i="10"/>
  <c r="L156" i="10"/>
  <c r="L155" i="10"/>
  <c r="L154" i="10"/>
  <c r="L153" i="10"/>
  <c r="L152" i="10"/>
  <c r="L151" i="10"/>
  <c r="L149" i="10"/>
  <c r="L148" i="10"/>
  <c r="L147" i="10"/>
  <c r="L146" i="10"/>
  <c r="L144" i="10"/>
  <c r="L141" i="10"/>
  <c r="L140" i="10"/>
  <c r="L139" i="10"/>
  <c r="L138" i="10"/>
  <c r="L136" i="10"/>
  <c r="L135" i="10"/>
  <c r="L134" i="10"/>
  <c r="L132" i="10"/>
  <c r="L131" i="10"/>
  <c r="L130" i="10"/>
  <c r="L129" i="10"/>
  <c r="L128" i="10"/>
  <c r="L127" i="10"/>
  <c r="L126" i="10"/>
  <c r="L124" i="10"/>
  <c r="L123" i="10"/>
  <c r="L122" i="10"/>
  <c r="L121" i="10"/>
  <c r="L120" i="10"/>
  <c r="L119" i="10"/>
  <c r="L118" i="10"/>
  <c r="L117" i="10"/>
  <c r="L116" i="10"/>
  <c r="L115" i="10"/>
  <c r="L112" i="10"/>
  <c r="L111" i="10"/>
  <c r="L110" i="10"/>
  <c r="L108" i="10"/>
  <c r="L107" i="10"/>
  <c r="L106" i="10"/>
  <c r="L105" i="10"/>
  <c r="L104" i="10"/>
  <c r="L101" i="10"/>
  <c r="L100" i="10"/>
  <c r="L99" i="10"/>
  <c r="L98" i="10"/>
  <c r="L97" i="10"/>
  <c r="L96" i="10"/>
  <c r="L95" i="10"/>
  <c r="L94" i="10"/>
  <c r="L93" i="10"/>
  <c r="L92" i="10"/>
  <c r="L91" i="10"/>
  <c r="L90" i="10"/>
  <c r="L89" i="10"/>
  <c r="L88" i="10"/>
  <c r="L87" i="10"/>
  <c r="L86" i="10"/>
  <c r="L85" i="10"/>
  <c r="L84" i="10"/>
  <c r="L83" i="10"/>
  <c r="L82" i="10"/>
  <c r="L81" i="10"/>
  <c r="L80" i="10"/>
  <c r="L79" i="10"/>
  <c r="L78" i="10"/>
  <c r="L77" i="10"/>
  <c r="L76" i="10"/>
  <c r="L75" i="10"/>
  <c r="L74" i="10"/>
  <c r="L73" i="10"/>
  <c r="L72" i="10"/>
  <c r="L71" i="10"/>
  <c r="L70" i="10"/>
  <c r="L69" i="10"/>
  <c r="L68" i="10"/>
  <c r="L67" i="10"/>
  <c r="L66" i="10"/>
  <c r="L65" i="10"/>
  <c r="L64" i="10"/>
  <c r="L63" i="10"/>
  <c r="L62" i="10"/>
  <c r="L61" i="10"/>
  <c r="L60" i="10"/>
  <c r="L59" i="10"/>
  <c r="L58" i="10"/>
  <c r="L57" i="10"/>
  <c r="L56" i="10"/>
  <c r="L55" i="10"/>
  <c r="L54" i="10"/>
  <c r="L53" i="10"/>
  <c r="L52" i="10"/>
  <c r="L51" i="10"/>
  <c r="L50" i="10"/>
  <c r="L49" i="10"/>
  <c r="L48" i="10"/>
  <c r="L47" i="10"/>
  <c r="L46" i="10"/>
  <c r="L45" i="10"/>
  <c r="L44" i="10"/>
  <c r="L43" i="10"/>
  <c r="L42" i="10"/>
  <c r="L41" i="10"/>
  <c r="L40" i="10"/>
  <c r="L39" i="10"/>
  <c r="L38" i="10"/>
  <c r="L37" i="10"/>
  <c r="L36" i="10"/>
  <c r="L35" i="10"/>
  <c r="L34" i="10"/>
  <c r="L33" i="10"/>
  <c r="L32" i="10"/>
  <c r="L31" i="10"/>
  <c r="L30" i="10"/>
  <c r="L29" i="10"/>
  <c r="L28" i="10"/>
  <c r="L27" i="10"/>
  <c r="L26" i="10"/>
  <c r="L25" i="10"/>
  <c r="L24" i="10"/>
  <c r="L23" i="10"/>
  <c r="L22" i="10"/>
  <c r="L21" i="10"/>
  <c r="L20" i="10"/>
  <c r="L19" i="10"/>
  <c r="L18" i="10"/>
  <c r="L17" i="10"/>
  <c r="L16" i="10"/>
  <c r="L15" i="10"/>
  <c r="L14" i="10"/>
  <c r="L13" i="10"/>
  <c r="L12" i="10"/>
  <c r="L11" i="10"/>
  <c r="L10" i="10"/>
  <c r="L9" i="10"/>
  <c r="L8" i="10"/>
  <c r="L7" i="10"/>
  <c r="J624" i="10"/>
  <c r="J623" i="10"/>
  <c r="J622" i="10"/>
  <c r="J621" i="10"/>
  <c r="J620" i="10"/>
  <c r="J619" i="10"/>
  <c r="J618" i="10"/>
  <c r="J617" i="10"/>
  <c r="J616" i="10"/>
  <c r="J615" i="10"/>
  <c r="J614" i="10"/>
  <c r="J613" i="10"/>
  <c r="J612" i="10"/>
  <c r="J611" i="10"/>
  <c r="J610" i="10"/>
  <c r="J609" i="10"/>
  <c r="J608" i="10"/>
  <c r="J607" i="10"/>
  <c r="J606" i="10"/>
  <c r="J605" i="10"/>
  <c r="J604" i="10"/>
  <c r="J603" i="10"/>
  <c r="J602" i="10"/>
  <c r="J601" i="10"/>
  <c r="J600" i="10"/>
  <c r="J597" i="10"/>
  <c r="J592" i="10"/>
  <c r="J571" i="10"/>
  <c r="J570" i="10"/>
  <c r="J568" i="10"/>
  <c r="J566" i="10"/>
  <c r="J565" i="10"/>
  <c r="J564" i="10"/>
  <c r="J563" i="10"/>
  <c r="J562" i="10"/>
  <c r="J561" i="10"/>
  <c r="J560" i="10"/>
  <c r="J559" i="10"/>
  <c r="J558" i="10"/>
  <c r="J557" i="10"/>
  <c r="J556" i="10"/>
  <c r="J555" i="10"/>
  <c r="J554" i="10"/>
  <c r="J553" i="10"/>
  <c r="J552" i="10"/>
  <c r="J551" i="10"/>
  <c r="J550" i="10"/>
  <c r="J549" i="10"/>
  <c r="J548" i="10"/>
  <c r="J547" i="10"/>
  <c r="J546" i="10"/>
  <c r="J545" i="10"/>
  <c r="J543" i="10"/>
  <c r="J542" i="10"/>
  <c r="J541" i="10"/>
  <c r="J540" i="10"/>
  <c r="J539" i="10"/>
  <c r="J538" i="10"/>
  <c r="J537" i="10"/>
  <c r="J536" i="10"/>
  <c r="J535" i="10"/>
  <c r="J534" i="10"/>
  <c r="J533" i="10"/>
  <c r="J532" i="10"/>
  <c r="J531" i="10"/>
  <c r="J530" i="10"/>
  <c r="J529" i="10"/>
  <c r="J528" i="10"/>
  <c r="J527" i="10"/>
  <c r="J526" i="10"/>
  <c r="J525" i="10"/>
  <c r="J524" i="10"/>
  <c r="J523" i="10"/>
  <c r="J522" i="10"/>
  <c r="J521" i="10"/>
  <c r="J520" i="10"/>
  <c r="J519" i="10"/>
  <c r="J518" i="10"/>
  <c r="J517" i="10"/>
  <c r="J516" i="10"/>
  <c r="J515" i="10"/>
  <c r="J514" i="10"/>
  <c r="J513" i="10"/>
  <c r="J512" i="10"/>
  <c r="J511" i="10"/>
  <c r="J510" i="10"/>
  <c r="J509" i="10"/>
  <c r="J508" i="10"/>
  <c r="J507" i="10"/>
  <c r="J505" i="10"/>
  <c r="J504" i="10"/>
  <c r="J503" i="10"/>
  <c r="J502" i="10"/>
  <c r="J501" i="10"/>
  <c r="J500" i="10"/>
  <c r="J499" i="10"/>
  <c r="J498" i="10"/>
  <c r="J497" i="10"/>
  <c r="J496" i="10"/>
  <c r="J495" i="10"/>
  <c r="J494" i="10"/>
  <c r="J493" i="10"/>
  <c r="J492" i="10"/>
  <c r="J491" i="10"/>
  <c r="J490" i="10"/>
  <c r="J489" i="10"/>
  <c r="J488" i="10"/>
  <c r="J487" i="10"/>
  <c r="J486" i="10"/>
  <c r="J478" i="10"/>
  <c r="J477" i="10"/>
  <c r="J476" i="10"/>
  <c r="J475" i="10"/>
  <c r="J470" i="10"/>
  <c r="J469" i="10"/>
  <c r="J468" i="10"/>
  <c r="J467" i="10"/>
  <c r="J466" i="10"/>
  <c r="J465" i="10"/>
  <c r="J464" i="10"/>
  <c r="J463" i="10"/>
  <c r="J460" i="10"/>
  <c r="J459" i="10"/>
  <c r="J412" i="10"/>
  <c r="J411" i="10"/>
  <c r="J410" i="10"/>
  <c r="J409" i="10"/>
  <c r="J408" i="10"/>
  <c r="J406" i="10"/>
  <c r="J405" i="10"/>
  <c r="J404" i="10"/>
  <c r="J395" i="10"/>
  <c r="J392" i="10"/>
  <c r="J391" i="10"/>
  <c r="J390" i="10"/>
  <c r="J389" i="10"/>
  <c r="J388" i="10"/>
  <c r="J387" i="10"/>
  <c r="J386" i="10"/>
  <c r="J385" i="10"/>
  <c r="J384" i="10"/>
  <c r="J383" i="10"/>
  <c r="J382" i="10"/>
  <c r="J381" i="10"/>
  <c r="J380" i="10"/>
  <c r="J377" i="10"/>
  <c r="J376" i="10"/>
  <c r="J375" i="10"/>
  <c r="J374" i="10"/>
  <c r="J373" i="10"/>
  <c r="J344" i="10"/>
  <c r="J343" i="10"/>
  <c r="J342" i="10"/>
  <c r="J341" i="10"/>
  <c r="J340" i="10"/>
  <c r="J339" i="10"/>
  <c r="J328" i="10"/>
  <c r="J327" i="10"/>
  <c r="J326" i="10"/>
  <c r="J318" i="10"/>
  <c r="J304" i="10"/>
  <c r="J290" i="10"/>
  <c r="J277" i="10"/>
  <c r="J276" i="10"/>
  <c r="J275" i="10"/>
  <c r="J274" i="10"/>
  <c r="J273" i="10"/>
  <c r="J269" i="10"/>
  <c r="J268" i="10"/>
  <c r="J267" i="10"/>
  <c r="J266" i="10"/>
  <c r="J265" i="10"/>
  <c r="J252" i="10"/>
  <c r="J250" i="10"/>
  <c r="J249" i="10"/>
  <c r="J248" i="10"/>
  <c r="J247" i="10"/>
  <c r="J246" i="10"/>
  <c r="J245" i="10"/>
  <c r="J244" i="10"/>
  <c r="J243" i="10"/>
  <c r="J242" i="10"/>
  <c r="J241" i="10"/>
  <c r="J240" i="10"/>
  <c r="J239" i="10"/>
  <c r="J238" i="10"/>
  <c r="J237" i="10"/>
  <c r="J222" i="10"/>
  <c r="J221" i="10"/>
  <c r="J210" i="10"/>
  <c r="J208" i="10"/>
  <c r="J207" i="10"/>
  <c r="J206" i="10"/>
  <c r="J205" i="10"/>
  <c r="J199" i="10"/>
  <c r="J197" i="10"/>
  <c r="J196" i="10"/>
  <c r="J195" i="10"/>
  <c r="J194" i="10"/>
  <c r="J191" i="10"/>
  <c r="J184" i="10"/>
  <c r="J181" i="10"/>
  <c r="J180" i="10"/>
  <c r="J179" i="10"/>
  <c r="J177" i="10"/>
  <c r="J176" i="10"/>
  <c r="J172" i="10"/>
  <c r="J171" i="10"/>
  <c r="J170" i="10"/>
  <c r="J169" i="10"/>
  <c r="J167" i="10"/>
  <c r="J166" i="10"/>
  <c r="J165" i="10"/>
  <c r="J163" i="10"/>
  <c r="J162" i="10"/>
  <c r="J161" i="10"/>
  <c r="J157" i="10"/>
  <c r="J156" i="10"/>
  <c r="J155" i="10"/>
  <c r="J154" i="10"/>
  <c r="J153" i="10"/>
  <c r="J152" i="10"/>
  <c r="J151" i="10"/>
  <c r="J149" i="10"/>
  <c r="J148" i="10"/>
  <c r="J147" i="10"/>
  <c r="J146" i="10"/>
  <c r="J144" i="10"/>
  <c r="J141" i="10"/>
  <c r="J140" i="10"/>
  <c r="J139" i="10"/>
  <c r="J138" i="10"/>
  <c r="J136" i="10"/>
  <c r="J135" i="10"/>
  <c r="J134" i="10"/>
  <c r="J132" i="10"/>
  <c r="J131" i="10"/>
  <c r="J130" i="10"/>
  <c r="J129" i="10"/>
  <c r="J128" i="10"/>
  <c r="J127" i="10"/>
  <c r="J126" i="10"/>
  <c r="J124" i="10"/>
  <c r="J123" i="10"/>
  <c r="J122" i="10"/>
  <c r="J121" i="10"/>
  <c r="J120" i="10"/>
  <c r="J119" i="10"/>
  <c r="J118" i="10"/>
  <c r="J117" i="10"/>
  <c r="J116" i="10"/>
  <c r="J115" i="10"/>
  <c r="J112" i="10"/>
  <c r="J111" i="10"/>
  <c r="J110" i="10"/>
  <c r="J108" i="10"/>
  <c r="J107" i="10"/>
  <c r="J106" i="10"/>
  <c r="J105" i="10"/>
  <c r="J104"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9" i="10"/>
  <c r="J8" i="10"/>
  <c r="J7" i="10"/>
  <c r="H624" i="10"/>
  <c r="H623" i="10"/>
  <c r="H622" i="10"/>
  <c r="H621" i="10"/>
  <c r="H620" i="10"/>
  <c r="H619" i="10"/>
  <c r="H618" i="10"/>
  <c r="H617" i="10"/>
  <c r="H616" i="10"/>
  <c r="H615" i="10"/>
  <c r="H614" i="10"/>
  <c r="H613" i="10"/>
  <c r="H612" i="10"/>
  <c r="H611" i="10"/>
  <c r="H610" i="10"/>
  <c r="H609" i="10"/>
  <c r="H608" i="10"/>
  <c r="H607" i="10"/>
  <c r="H606" i="10"/>
  <c r="H605" i="10"/>
  <c r="H604" i="10"/>
  <c r="H603" i="10"/>
  <c r="H602" i="10"/>
  <c r="H601" i="10"/>
  <c r="H600" i="10"/>
  <c r="H597" i="10"/>
  <c r="H592" i="10"/>
  <c r="H571" i="10"/>
  <c r="H570" i="10"/>
  <c r="H568" i="10"/>
  <c r="H566" i="10"/>
  <c r="H565" i="10"/>
  <c r="H564" i="10"/>
  <c r="H563" i="10"/>
  <c r="H562" i="10"/>
  <c r="H561" i="10"/>
  <c r="H560" i="10"/>
  <c r="H559" i="10"/>
  <c r="H558" i="10"/>
  <c r="H557" i="10"/>
  <c r="H556" i="10"/>
  <c r="H555" i="10"/>
  <c r="H554" i="10"/>
  <c r="H553" i="10"/>
  <c r="H552" i="10"/>
  <c r="H551" i="10"/>
  <c r="H550" i="10"/>
  <c r="H549" i="10"/>
  <c r="H548" i="10"/>
  <c r="H547" i="10"/>
  <c r="H546" i="10"/>
  <c r="H545" i="10"/>
  <c r="H543" i="10"/>
  <c r="H542" i="10"/>
  <c r="H541" i="10"/>
  <c r="H540" i="10"/>
  <c r="H539" i="10"/>
  <c r="H538" i="10"/>
  <c r="H537" i="10"/>
  <c r="H536" i="10"/>
  <c r="H535" i="10"/>
  <c r="H534" i="10"/>
  <c r="H533" i="10"/>
  <c r="H532" i="10"/>
  <c r="H531" i="10"/>
  <c r="H530" i="10"/>
  <c r="H529" i="10"/>
  <c r="H528" i="10"/>
  <c r="H527" i="10"/>
  <c r="H526" i="10"/>
  <c r="H525" i="10"/>
  <c r="H524" i="10"/>
  <c r="H523" i="10"/>
  <c r="H522" i="10"/>
  <c r="H521" i="10"/>
  <c r="H520" i="10"/>
  <c r="H519" i="10"/>
  <c r="H518" i="10"/>
  <c r="H517" i="10"/>
  <c r="H516" i="10"/>
  <c r="H515" i="10"/>
  <c r="H514" i="10"/>
  <c r="H513" i="10"/>
  <c r="H512" i="10"/>
  <c r="H511" i="10"/>
  <c r="H510" i="10"/>
  <c r="H509" i="10"/>
  <c r="H508" i="10"/>
  <c r="H507" i="10"/>
  <c r="H505" i="10"/>
  <c r="H504" i="10"/>
  <c r="H503" i="10"/>
  <c r="H502" i="10"/>
  <c r="H501" i="10"/>
  <c r="H500" i="10"/>
  <c r="H499" i="10"/>
  <c r="H498" i="10"/>
  <c r="H497" i="10"/>
  <c r="H496" i="10"/>
  <c r="H495" i="10"/>
  <c r="H494" i="10"/>
  <c r="H493" i="10"/>
  <c r="H492" i="10"/>
  <c r="H491" i="10"/>
  <c r="H490" i="10"/>
  <c r="H489" i="10"/>
  <c r="H488" i="10"/>
  <c r="H487" i="10"/>
  <c r="H486" i="10"/>
  <c r="H478" i="10"/>
  <c r="H477" i="10"/>
  <c r="H476" i="10"/>
  <c r="H475" i="10"/>
  <c r="H470" i="10"/>
  <c r="H469" i="10"/>
  <c r="H468" i="10"/>
  <c r="H467" i="10"/>
  <c r="H466" i="10"/>
  <c r="H465" i="10"/>
  <c r="H464" i="10"/>
  <c r="H463" i="10"/>
  <c r="H460" i="10"/>
  <c r="H459" i="10"/>
  <c r="H412" i="10"/>
  <c r="H411" i="10"/>
  <c r="H410" i="10"/>
  <c r="H409" i="10"/>
  <c r="H408" i="10"/>
  <c r="H406" i="10"/>
  <c r="H405" i="10"/>
  <c r="H404" i="10"/>
  <c r="H395" i="10"/>
  <c r="H392" i="10"/>
  <c r="H391" i="10"/>
  <c r="H390" i="10"/>
  <c r="H389" i="10"/>
  <c r="H388" i="10"/>
  <c r="H387" i="10"/>
  <c r="H386" i="10"/>
  <c r="H385" i="10"/>
  <c r="H384" i="10"/>
  <c r="H383" i="10"/>
  <c r="H382" i="10"/>
  <c r="H381" i="10"/>
  <c r="H380" i="10"/>
  <c r="H377" i="10"/>
  <c r="H376" i="10"/>
  <c r="H375" i="10"/>
  <c r="H374" i="10"/>
  <c r="H373" i="10"/>
  <c r="H344" i="10"/>
  <c r="H343" i="10"/>
  <c r="H342" i="10"/>
  <c r="H341" i="10"/>
  <c r="H340" i="10"/>
  <c r="H339" i="10"/>
  <c r="H328" i="10"/>
  <c r="H327" i="10"/>
  <c r="H326" i="10"/>
  <c r="H318" i="10"/>
  <c r="H304" i="10"/>
  <c r="H290" i="10"/>
  <c r="H277" i="10"/>
  <c r="H276" i="10"/>
  <c r="H275" i="10"/>
  <c r="H274" i="10"/>
  <c r="H273" i="10"/>
  <c r="H269" i="10"/>
  <c r="H268" i="10"/>
  <c r="H267" i="10"/>
  <c r="H266" i="10"/>
  <c r="H265" i="10"/>
  <c r="H252" i="10"/>
  <c r="H250" i="10"/>
  <c r="H249" i="10"/>
  <c r="H248" i="10"/>
  <c r="H247" i="10"/>
  <c r="H246" i="10"/>
  <c r="H245" i="10"/>
  <c r="H244" i="10"/>
  <c r="H243" i="10"/>
  <c r="H242" i="10"/>
  <c r="H241" i="10"/>
  <c r="H240" i="10"/>
  <c r="H239" i="10"/>
  <c r="H238" i="10"/>
  <c r="H237" i="10"/>
  <c r="H222" i="10"/>
  <c r="H221" i="10"/>
  <c r="H210" i="10"/>
  <c r="H208" i="10"/>
  <c r="H207" i="10"/>
  <c r="H206" i="10"/>
  <c r="H205" i="10"/>
  <c r="H199" i="10"/>
  <c r="H197" i="10"/>
  <c r="H196" i="10"/>
  <c r="H195" i="10"/>
  <c r="H194" i="10"/>
  <c r="H191" i="10"/>
  <c r="H184" i="10"/>
  <c r="H181" i="10"/>
  <c r="H180" i="10"/>
  <c r="H179" i="10"/>
  <c r="H177" i="10"/>
  <c r="H176" i="10"/>
  <c r="H172" i="10"/>
  <c r="H171" i="10"/>
  <c r="H170" i="10"/>
  <c r="H169" i="10"/>
  <c r="H167" i="10"/>
  <c r="H166" i="10"/>
  <c r="H165" i="10"/>
  <c r="H163" i="10"/>
  <c r="H162" i="10"/>
  <c r="H161" i="10"/>
  <c r="H157" i="10"/>
  <c r="H156" i="10"/>
  <c r="H155" i="10"/>
  <c r="H154" i="10"/>
  <c r="H153" i="10"/>
  <c r="H152" i="10"/>
  <c r="H151" i="10"/>
  <c r="H149" i="10"/>
  <c r="H148" i="10"/>
  <c r="H147" i="10"/>
  <c r="H146" i="10"/>
  <c r="H144" i="10"/>
  <c r="H141" i="10"/>
  <c r="H140" i="10"/>
  <c r="H139" i="10"/>
  <c r="H138" i="10"/>
  <c r="H136" i="10"/>
  <c r="H135" i="10"/>
  <c r="H134" i="10"/>
  <c r="H132" i="10"/>
  <c r="H131" i="10"/>
  <c r="H130" i="10"/>
  <c r="H129" i="10"/>
  <c r="H128" i="10"/>
  <c r="H127" i="10"/>
  <c r="H126" i="10"/>
  <c r="H124" i="10"/>
  <c r="H123" i="10"/>
  <c r="H122" i="10"/>
  <c r="H121" i="10"/>
  <c r="H120" i="10"/>
  <c r="H119" i="10"/>
  <c r="H118" i="10"/>
  <c r="H117" i="10"/>
  <c r="H116" i="10"/>
  <c r="H115" i="10"/>
  <c r="H112" i="10"/>
  <c r="H111" i="10"/>
  <c r="H110" i="10"/>
  <c r="H108" i="10"/>
  <c r="H107" i="10"/>
  <c r="H106" i="10"/>
  <c r="H105" i="10"/>
  <c r="H104"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H66" i="10"/>
  <c r="H65" i="10"/>
  <c r="H64" i="10"/>
  <c r="H63" i="10"/>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7" i="10"/>
  <c r="H16" i="10"/>
  <c r="H15" i="10"/>
  <c r="H14" i="10"/>
  <c r="H13" i="10"/>
  <c r="H12" i="10"/>
  <c r="H11" i="10"/>
  <c r="H10" i="10"/>
  <c r="H9" i="10"/>
  <c r="H8" i="10"/>
  <c r="H7" i="10"/>
  <c r="F624" i="10"/>
  <c r="F623" i="10"/>
  <c r="F622" i="10"/>
  <c r="F621" i="10"/>
  <c r="F620" i="10"/>
  <c r="F619" i="10"/>
  <c r="F618" i="10"/>
  <c r="F617" i="10"/>
  <c r="F616" i="10"/>
  <c r="F615" i="10"/>
  <c r="F614" i="10"/>
  <c r="F613" i="10"/>
  <c r="F612" i="10"/>
  <c r="F611" i="10"/>
  <c r="F610" i="10"/>
  <c r="F609" i="10"/>
  <c r="F608" i="10"/>
  <c r="F607" i="10"/>
  <c r="F606" i="10"/>
  <c r="F605" i="10"/>
  <c r="F604" i="10"/>
  <c r="F603" i="10"/>
  <c r="F602" i="10"/>
  <c r="F601" i="10"/>
  <c r="F600" i="10"/>
  <c r="F597" i="10"/>
  <c r="F596" i="10"/>
  <c r="F595" i="10"/>
  <c r="F594" i="10"/>
  <c r="F593" i="10"/>
  <c r="F592" i="10"/>
  <c r="F591" i="10"/>
  <c r="F590" i="10"/>
  <c r="F589" i="10"/>
  <c r="F588" i="10"/>
  <c r="F586" i="10"/>
  <c r="F584" i="10"/>
  <c r="F583" i="10"/>
  <c r="F582" i="10"/>
  <c r="F581" i="10"/>
  <c r="F579" i="10"/>
  <c r="F578" i="10"/>
  <c r="F577" i="10"/>
  <c r="F576" i="10"/>
  <c r="F575" i="10"/>
  <c r="F574" i="10"/>
  <c r="F571" i="10"/>
  <c r="F570" i="10"/>
  <c r="F568" i="10"/>
  <c r="F566" i="10"/>
  <c r="F565" i="10"/>
  <c r="F564" i="10"/>
  <c r="F563" i="10"/>
  <c r="F562" i="10"/>
  <c r="F561" i="10"/>
  <c r="F560" i="10"/>
  <c r="F559" i="10"/>
  <c r="F558" i="10"/>
  <c r="F557" i="10"/>
  <c r="F556" i="10"/>
  <c r="F555" i="10"/>
  <c r="F554" i="10"/>
  <c r="F553" i="10"/>
  <c r="F552" i="10"/>
  <c r="F551" i="10"/>
  <c r="F550" i="10"/>
  <c r="F549" i="10"/>
  <c r="F548" i="10"/>
  <c r="F547" i="10"/>
  <c r="F546" i="10"/>
  <c r="F545" i="10"/>
  <c r="F543" i="10"/>
  <c r="F542" i="10"/>
  <c r="F541" i="10"/>
  <c r="F540" i="10"/>
  <c r="F539" i="10"/>
  <c r="F538" i="10"/>
  <c r="F537" i="10"/>
  <c r="F536" i="10"/>
  <c r="F535" i="10"/>
  <c r="F534" i="10"/>
  <c r="F533" i="10"/>
  <c r="F532" i="10"/>
  <c r="F531" i="10"/>
  <c r="F530" i="10"/>
  <c r="F529" i="10"/>
  <c r="F528" i="10"/>
  <c r="F527" i="10"/>
  <c r="F526" i="10"/>
  <c r="F525" i="10"/>
  <c r="F524" i="10"/>
  <c r="F523" i="10"/>
  <c r="F522" i="10"/>
  <c r="F521" i="10"/>
  <c r="F520" i="10"/>
  <c r="F519" i="10"/>
  <c r="F518" i="10"/>
  <c r="F517" i="10"/>
  <c r="F516" i="10"/>
  <c r="F515" i="10"/>
  <c r="F514" i="10"/>
  <c r="F513" i="10"/>
  <c r="F512" i="10"/>
  <c r="F511" i="10"/>
  <c r="F510" i="10"/>
  <c r="F509" i="10"/>
  <c r="F508" i="10"/>
  <c r="F507" i="10"/>
  <c r="F505" i="10"/>
  <c r="F504" i="10"/>
  <c r="F503" i="10"/>
  <c r="F502" i="10"/>
  <c r="F501" i="10"/>
  <c r="F500" i="10"/>
  <c r="F499" i="10"/>
  <c r="F498" i="10"/>
  <c r="F497" i="10"/>
  <c r="F496" i="10"/>
  <c r="F495" i="10"/>
  <c r="F494" i="10"/>
  <c r="F493" i="10"/>
  <c r="F492" i="10"/>
  <c r="F491" i="10"/>
  <c r="F490" i="10"/>
  <c r="F489" i="10"/>
  <c r="F488" i="10"/>
  <c r="F487" i="10"/>
  <c r="F486" i="10"/>
  <c r="F484" i="10"/>
  <c r="F478" i="10"/>
  <c r="F477" i="10"/>
  <c r="F476" i="10"/>
  <c r="F475" i="10"/>
  <c r="F474" i="10"/>
  <c r="F472" i="10"/>
  <c r="F470" i="10"/>
  <c r="F469" i="10"/>
  <c r="F468" i="10"/>
  <c r="F467" i="10"/>
  <c r="F466" i="10"/>
  <c r="F465" i="10"/>
  <c r="F464" i="10"/>
  <c r="F463" i="10"/>
  <c r="F462" i="10"/>
  <c r="F461" i="10"/>
  <c r="F460" i="10"/>
  <c r="F459" i="10"/>
  <c r="F457" i="10"/>
  <c r="F456" i="10"/>
  <c r="F455" i="10"/>
  <c r="F454" i="10"/>
  <c r="F453" i="10"/>
  <c r="F452" i="10"/>
  <c r="F451" i="10"/>
  <c r="F450" i="10"/>
  <c r="F449" i="10"/>
  <c r="F448" i="10"/>
  <c r="F447" i="10"/>
  <c r="F446" i="10"/>
  <c r="F445" i="10"/>
  <c r="F444" i="10"/>
  <c r="F443" i="10"/>
  <c r="F442" i="10"/>
  <c r="F441" i="10"/>
  <c r="F440" i="10"/>
  <c r="F439" i="10"/>
  <c r="F438" i="10"/>
  <c r="F437" i="10"/>
  <c r="F436" i="10"/>
  <c r="F435" i="10"/>
  <c r="F434" i="10"/>
  <c r="F433" i="10"/>
  <c r="F431" i="10"/>
  <c r="F430" i="10"/>
  <c r="F429" i="10"/>
  <c r="F427" i="10"/>
  <c r="F426" i="10"/>
  <c r="F425" i="10"/>
  <c r="F423" i="10"/>
  <c r="F422" i="10"/>
  <c r="F421" i="10"/>
  <c r="F420" i="10"/>
  <c r="F419" i="10"/>
  <c r="F418" i="10"/>
  <c r="F417" i="10"/>
  <c r="F414" i="10"/>
  <c r="F413" i="10"/>
  <c r="F412" i="10"/>
  <c r="F411" i="10"/>
  <c r="F410" i="10"/>
  <c r="F409" i="10"/>
  <c r="F408" i="10"/>
  <c r="F406" i="10"/>
  <c r="F405" i="10"/>
  <c r="F404" i="10"/>
  <c r="F403" i="10"/>
  <c r="F402" i="10"/>
  <c r="F401" i="10"/>
  <c r="F400" i="10"/>
  <c r="F399" i="10"/>
  <c r="F398" i="10"/>
  <c r="F397" i="10"/>
  <c r="F395" i="10"/>
  <c r="F392" i="10"/>
  <c r="F391" i="10"/>
  <c r="F389" i="10"/>
  <c r="F388" i="10"/>
  <c r="F387" i="10"/>
  <c r="F344" i="10"/>
  <c r="F343" i="10"/>
  <c r="F342" i="10"/>
  <c r="F341" i="10"/>
  <c r="F340" i="10"/>
  <c r="F339" i="10"/>
  <c r="F327" i="10"/>
  <c r="F326" i="10"/>
  <c r="F318" i="10"/>
  <c r="F317" i="10"/>
  <c r="F316" i="10"/>
  <c r="F314" i="10"/>
  <c r="F312" i="10"/>
  <c r="F310" i="10"/>
  <c r="F308" i="10"/>
  <c r="F307" i="10"/>
  <c r="F306" i="10"/>
  <c r="F304" i="10"/>
  <c r="F302" i="10"/>
  <c r="F298" i="10"/>
  <c r="F296" i="10"/>
  <c r="F290" i="10"/>
  <c r="F284" i="10"/>
  <c r="F283" i="10"/>
  <c r="F282" i="10"/>
  <c r="F281" i="10"/>
  <c r="F280" i="10"/>
  <c r="F279" i="10"/>
  <c r="F277" i="10"/>
  <c r="F276" i="10"/>
  <c r="F275" i="10"/>
  <c r="F274" i="10"/>
  <c r="F273" i="10"/>
  <c r="F269" i="10"/>
  <c r="F268" i="10"/>
  <c r="F267" i="10"/>
  <c r="F266" i="10"/>
  <c r="F265" i="10"/>
  <c r="F264" i="10"/>
  <c r="F263" i="10"/>
  <c r="F262" i="10"/>
  <c r="F261" i="10"/>
  <c r="F260" i="10"/>
  <c r="F259" i="10"/>
  <c r="F258" i="10"/>
  <c r="F257" i="10"/>
  <c r="F256" i="10"/>
  <c r="F272" i="10"/>
  <c r="F252" i="10"/>
  <c r="F250" i="10"/>
  <c r="F249" i="10"/>
  <c r="F248" i="10"/>
  <c r="F247" i="10"/>
  <c r="F246" i="10"/>
  <c r="F245" i="10"/>
  <c r="F244" i="10"/>
  <c r="F243" i="10"/>
  <c r="F242" i="10"/>
  <c r="F241" i="10"/>
  <c r="F240" i="10"/>
  <c r="F239" i="10"/>
  <c r="F238" i="10"/>
  <c r="F237" i="10"/>
  <c r="F236" i="10"/>
  <c r="F235" i="10"/>
  <c r="F234" i="10"/>
  <c r="F233" i="10"/>
  <c r="F232" i="10"/>
  <c r="F231" i="10"/>
  <c r="F230" i="10"/>
  <c r="F229" i="10"/>
  <c r="F228" i="10"/>
  <c r="F227" i="10"/>
  <c r="F226" i="10"/>
  <c r="F225" i="10"/>
  <c r="F222" i="10"/>
  <c r="F220" i="10"/>
  <c r="F219" i="10"/>
  <c r="F216" i="10"/>
  <c r="F214" i="10"/>
  <c r="F213" i="10"/>
  <c r="F210" i="10"/>
  <c r="F209" i="10"/>
  <c r="F208" i="10"/>
  <c r="F207" i="10"/>
  <c r="F206" i="10"/>
  <c r="F205" i="10"/>
  <c r="F203" i="10"/>
  <c r="F199" i="10"/>
  <c r="F197" i="10"/>
  <c r="F196" i="10"/>
  <c r="F195" i="10"/>
  <c r="F194" i="10"/>
  <c r="F192" i="10"/>
  <c r="F191" i="10"/>
  <c r="F190" i="10"/>
  <c r="F189" i="10"/>
  <c r="F188" i="10"/>
  <c r="F184" i="10"/>
  <c r="F181" i="10"/>
  <c r="F180" i="10"/>
  <c r="F176" i="10"/>
  <c r="F172" i="10"/>
  <c r="F171" i="10"/>
  <c r="F170" i="10"/>
  <c r="F169" i="10"/>
  <c r="F167" i="10"/>
  <c r="F163" i="10"/>
  <c r="F162" i="10"/>
  <c r="F161" i="10"/>
  <c r="F157" i="10"/>
  <c r="F156" i="10"/>
  <c r="F155" i="10"/>
  <c r="F154" i="10"/>
  <c r="F153" i="10"/>
  <c r="F152" i="10"/>
  <c r="F151" i="10"/>
  <c r="F149" i="10"/>
  <c r="F148" i="10"/>
  <c r="F147" i="10"/>
  <c r="F146" i="10"/>
  <c r="F144" i="10"/>
  <c r="F141" i="10"/>
  <c r="F140" i="10"/>
  <c r="F139" i="10"/>
  <c r="F138" i="10"/>
  <c r="F136" i="10"/>
  <c r="F135" i="10"/>
  <c r="F134" i="10"/>
  <c r="F132" i="10"/>
  <c r="F131" i="10"/>
  <c r="F130" i="10"/>
  <c r="F129" i="10"/>
  <c r="F128" i="10"/>
  <c r="F127" i="10"/>
  <c r="F126" i="10"/>
  <c r="F124" i="10"/>
  <c r="F123" i="10"/>
  <c r="F122" i="10"/>
  <c r="F121" i="10"/>
  <c r="F120" i="10"/>
  <c r="F119" i="10"/>
  <c r="F118" i="10"/>
  <c r="F117" i="10"/>
  <c r="F116" i="10"/>
  <c r="F115" i="10"/>
  <c r="F112" i="10"/>
  <c r="F111" i="10"/>
  <c r="F110" i="10"/>
  <c r="F108" i="10"/>
  <c r="F107" i="10"/>
  <c r="F106" i="10"/>
  <c r="F105" i="10"/>
  <c r="F104"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2" i="10"/>
  <c r="F51" i="10"/>
  <c r="F50" i="10"/>
  <c r="F49" i="10"/>
  <c r="F48" i="10"/>
  <c r="F47" i="10"/>
  <c r="F46" i="10"/>
  <c r="F45" i="10"/>
  <c r="F44" i="10"/>
  <c r="F43" i="10"/>
  <c r="F42" i="10"/>
  <c r="F41" i="10"/>
  <c r="F40" i="10"/>
  <c r="F39" i="10"/>
  <c r="F38" i="10"/>
  <c r="F37" i="10"/>
  <c r="F36" i="10"/>
  <c r="F35" i="10"/>
  <c r="F34" i="10"/>
  <c r="F33" i="10"/>
  <c r="F32" i="10"/>
  <c r="F31" i="10"/>
  <c r="F30" i="10"/>
  <c r="F29" i="10"/>
  <c r="F28" i="10"/>
  <c r="F27" i="10"/>
  <c r="F26" i="10"/>
  <c r="F25" i="10"/>
  <c r="F24" i="10"/>
  <c r="F23" i="10"/>
  <c r="F22" i="10"/>
  <c r="F21" i="10"/>
  <c r="F20" i="10"/>
  <c r="F19" i="10"/>
  <c r="F18" i="10"/>
  <c r="F17" i="10"/>
  <c r="F16" i="10"/>
  <c r="F15" i="10"/>
  <c r="F14" i="10"/>
  <c r="F13" i="10"/>
  <c r="F12" i="10"/>
  <c r="F11" i="10"/>
  <c r="F10" i="10"/>
  <c r="F9" i="10"/>
  <c r="F8" i="10"/>
  <c r="F7"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7" i="10"/>
  <c r="D48"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3" i="10"/>
  <c r="D84" i="10"/>
  <c r="D87" i="10"/>
  <c r="D88" i="10"/>
  <c r="D89" i="10"/>
  <c r="D90" i="10"/>
  <c r="D91" i="10"/>
  <c r="D92" i="10"/>
  <c r="D93" i="10"/>
  <c r="D94" i="10"/>
  <c r="D95" i="10"/>
  <c r="D96" i="10"/>
  <c r="D97" i="10"/>
  <c r="D98" i="10"/>
  <c r="D99" i="10"/>
  <c r="D100" i="10"/>
  <c r="D101" i="10"/>
  <c r="D107" i="10"/>
  <c r="D108" i="10"/>
  <c r="D115" i="10"/>
  <c r="D116" i="10"/>
  <c r="D117" i="10"/>
  <c r="D118" i="10"/>
  <c r="D120" i="10"/>
  <c r="D121" i="10"/>
  <c r="D122" i="10"/>
  <c r="D123" i="10"/>
  <c r="D124" i="10"/>
  <c r="D131" i="10"/>
  <c r="D132" i="10"/>
  <c r="D134" i="10"/>
  <c r="D135" i="10"/>
  <c r="D136" i="10"/>
  <c r="D140" i="10"/>
  <c r="D147" i="10"/>
  <c r="D151" i="10"/>
  <c r="D152" i="10"/>
  <c r="D153" i="10"/>
  <c r="D154" i="10"/>
  <c r="D155" i="10"/>
  <c r="D156" i="10"/>
  <c r="D157" i="10"/>
  <c r="D160" i="10"/>
  <c r="D161" i="10"/>
  <c r="D162" i="10"/>
  <c r="D163" i="10"/>
  <c r="D165" i="10"/>
  <c r="D166" i="10"/>
  <c r="D167" i="10"/>
  <c r="D169" i="10"/>
  <c r="D170" i="10"/>
  <c r="D171" i="10"/>
  <c r="D172" i="10"/>
  <c r="D174" i="10"/>
  <c r="D175" i="10"/>
  <c r="D176" i="10"/>
  <c r="D177" i="10"/>
  <c r="D178" i="10"/>
  <c r="D179" i="10"/>
  <c r="D180" i="10"/>
  <c r="D181" i="10"/>
  <c r="D182" i="10"/>
  <c r="D184" i="10"/>
  <c r="D185" i="10"/>
  <c r="D188" i="10"/>
  <c r="D189" i="10"/>
  <c r="D190" i="10"/>
  <c r="D191" i="10"/>
  <c r="D192" i="10"/>
  <c r="D194" i="10"/>
  <c r="D195" i="10"/>
  <c r="D196" i="10"/>
  <c r="D197" i="10"/>
  <c r="D199" i="10"/>
  <c r="D201" i="10"/>
  <c r="D202" i="10"/>
  <c r="D203" i="10"/>
  <c r="D205" i="10"/>
  <c r="D206" i="10"/>
  <c r="D207" i="10"/>
  <c r="D208" i="10"/>
  <c r="D209" i="10"/>
  <c r="D210" i="10"/>
  <c r="D213" i="10"/>
  <c r="D214" i="10"/>
  <c r="D216" i="10"/>
  <c r="D219" i="10"/>
  <c r="D220" i="10"/>
  <c r="D221" i="10"/>
  <c r="D222"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72" i="10"/>
  <c r="D256" i="10"/>
  <c r="D257" i="10"/>
  <c r="D258" i="10"/>
  <c r="D259" i="10"/>
  <c r="D260" i="10"/>
  <c r="D261" i="10"/>
  <c r="D262" i="10"/>
  <c r="D263" i="10"/>
  <c r="D264" i="10"/>
  <c r="D265" i="10"/>
  <c r="D266" i="10"/>
  <c r="D267" i="10"/>
  <c r="D268" i="10"/>
  <c r="D269" i="10"/>
  <c r="D271" i="10"/>
  <c r="D273" i="10"/>
  <c r="D274" i="10"/>
  <c r="D275" i="10"/>
  <c r="D276" i="10"/>
  <c r="D277" i="10"/>
  <c r="D279" i="10"/>
  <c r="D280" i="10"/>
  <c r="D281" i="10"/>
  <c r="D282" i="10"/>
  <c r="D283" i="10"/>
  <c r="D284" i="10"/>
  <c r="D287" i="10"/>
  <c r="D288" i="10"/>
  <c r="D289" i="10"/>
  <c r="D290" i="10"/>
  <c r="D291" i="10"/>
  <c r="D292" i="10"/>
  <c r="D293" i="10"/>
  <c r="D296" i="10"/>
  <c r="D297" i="10"/>
  <c r="D298" i="10"/>
  <c r="D299" i="10"/>
  <c r="D300" i="10"/>
  <c r="D301" i="10"/>
  <c r="D302" i="10"/>
  <c r="D303" i="10"/>
  <c r="D304" i="10"/>
  <c r="D306" i="10"/>
  <c r="D307" i="10"/>
  <c r="D308" i="10"/>
  <c r="D309" i="10"/>
  <c r="D310" i="10"/>
  <c r="D312" i="10"/>
  <c r="D313" i="10"/>
  <c r="D314" i="10"/>
  <c r="D316" i="10"/>
  <c r="D317" i="10"/>
  <c r="D318" i="10"/>
  <c r="D319" i="10"/>
  <c r="D320" i="10"/>
  <c r="D321" i="10"/>
  <c r="D322" i="10"/>
  <c r="D323" i="10"/>
  <c r="D324" i="10"/>
  <c r="D325" i="10"/>
  <c r="D326" i="10"/>
  <c r="D327" i="10"/>
  <c r="D328" i="10"/>
  <c r="D329" i="10"/>
  <c r="D330" i="10"/>
  <c r="D331" i="10"/>
  <c r="D332" i="10"/>
  <c r="D333" i="10"/>
  <c r="D334" i="10"/>
  <c r="D336" i="10"/>
  <c r="D337" i="10"/>
  <c r="D338" i="10"/>
  <c r="D339" i="10"/>
  <c r="D340" i="10"/>
  <c r="D341" i="10"/>
  <c r="D342" i="10"/>
  <c r="D343" i="10"/>
  <c r="D344" i="10"/>
  <c r="D345" i="10"/>
  <c r="D346" i="10"/>
  <c r="D347" i="10"/>
  <c r="D348" i="10"/>
  <c r="D349" i="10"/>
  <c r="D350" i="10"/>
  <c r="D353" i="10"/>
  <c r="D354" i="10"/>
  <c r="D355" i="10"/>
  <c r="D356" i="10"/>
  <c r="D357" i="10"/>
  <c r="D358" i="10"/>
  <c r="D359" i="10"/>
  <c r="D360" i="10"/>
  <c r="D361" i="10"/>
  <c r="D363" i="10"/>
  <c r="D364" i="10"/>
  <c r="D365" i="10"/>
  <c r="D367" i="10"/>
  <c r="D368" i="10"/>
  <c r="D369" i="10"/>
  <c r="D373" i="10"/>
  <c r="D374" i="10"/>
  <c r="D375" i="10"/>
  <c r="D376" i="10"/>
  <c r="D377" i="10"/>
  <c r="D380" i="10"/>
  <c r="D381" i="10"/>
  <c r="D382" i="10"/>
  <c r="D383" i="10"/>
  <c r="D384" i="10"/>
  <c r="D385" i="10"/>
  <c r="D386" i="10"/>
  <c r="D387" i="10"/>
  <c r="D388" i="10"/>
  <c r="D389" i="10"/>
  <c r="D390" i="10"/>
  <c r="D391" i="10"/>
  <c r="D392" i="10"/>
  <c r="D395" i="10"/>
  <c r="D397" i="10"/>
  <c r="D398" i="10"/>
  <c r="D399" i="10"/>
  <c r="D400" i="10"/>
  <c r="D401" i="10"/>
  <c r="D402" i="10"/>
  <c r="D403" i="10"/>
  <c r="D404" i="10"/>
  <c r="D405" i="10"/>
  <c r="D406" i="10"/>
  <c r="D408" i="10"/>
  <c r="D409" i="10"/>
  <c r="D410" i="10"/>
  <c r="D411" i="10"/>
  <c r="D412" i="10"/>
  <c r="D413" i="10"/>
  <c r="D414"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69" i="10"/>
  <c r="D470" i="10"/>
  <c r="D472" i="10"/>
  <c r="D474" i="10"/>
  <c r="D475" i="10"/>
  <c r="D476" i="10"/>
  <c r="D477" i="10"/>
  <c r="D478" i="10"/>
  <c r="D481" i="10"/>
  <c r="D483" i="10"/>
  <c r="D484" i="10"/>
  <c r="D487" i="10"/>
  <c r="D488" i="10"/>
  <c r="D489" i="10"/>
  <c r="D491" i="10"/>
  <c r="D493" i="10"/>
  <c r="D494" i="10"/>
  <c r="D495" i="10"/>
  <c r="D497" i="10"/>
  <c r="D499" i="10"/>
  <c r="D501" i="10"/>
  <c r="D502" i="10"/>
  <c r="D504" i="10"/>
  <c r="D507" i="10"/>
  <c r="D516" i="10"/>
  <c r="D517" i="10"/>
  <c r="D536" i="10"/>
  <c r="D537" i="10"/>
  <c r="D539" i="10"/>
  <c r="D545" i="10"/>
  <c r="D568"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624" i="10"/>
  <c r="E270" i="10" l="1"/>
  <c r="F270" i="10" s="1"/>
  <c r="AA6" i="10"/>
  <c r="AB6" i="10" s="1"/>
  <c r="Y6" i="10"/>
  <c r="Z6" i="10" s="1"/>
  <c r="W6" i="10"/>
  <c r="X6" i="10" s="1"/>
  <c r="U6" i="10"/>
  <c r="V6" i="10" s="1"/>
  <c r="S6" i="10"/>
  <c r="T6" i="10" s="1"/>
  <c r="Q6" i="10"/>
  <c r="R6" i="10" s="1"/>
  <c r="O6" i="10"/>
  <c r="P6" i="10" s="1"/>
  <c r="M6" i="10"/>
  <c r="N6" i="10" s="1"/>
  <c r="K6" i="10"/>
  <c r="L6" i="10" s="1"/>
  <c r="I6" i="10"/>
  <c r="J6" i="10" s="1"/>
  <c r="G6" i="10"/>
  <c r="H6" i="10" s="1"/>
  <c r="E6" i="10"/>
  <c r="F6" i="10" s="1"/>
  <c r="E473" i="10" l="1"/>
  <c r="F473" i="10" s="1"/>
  <c r="O249" i="6"/>
  <c r="K484" i="10" s="1"/>
  <c r="P249" i="6"/>
  <c r="M484" i="10" s="1"/>
  <c r="Q249" i="6"/>
  <c r="O484" i="10" s="1"/>
  <c r="P484" i="10" s="1"/>
  <c r="R249" i="6"/>
  <c r="Q484" i="10" s="1"/>
  <c r="R484" i="10" s="1"/>
  <c r="S249" i="6"/>
  <c r="S484" i="10" s="1"/>
  <c r="T484" i="10" s="1"/>
  <c r="T249" i="6"/>
  <c r="U484" i="10" s="1"/>
  <c r="V484" i="10" s="1"/>
  <c r="U249" i="6"/>
  <c r="W484" i="10" s="1"/>
  <c r="X484" i="10" s="1"/>
  <c r="V249" i="6"/>
  <c r="Y484" i="10" s="1"/>
  <c r="Z484" i="10" s="1"/>
  <c r="W249" i="6"/>
  <c r="AA484" i="10" s="1"/>
  <c r="AB484" i="10" s="1"/>
  <c r="N249" i="6"/>
  <c r="I484" i="10" s="1"/>
  <c r="AA462" i="10" l="1"/>
  <c r="AB462" i="10" s="1"/>
  <c r="Y462" i="10"/>
  <c r="Z462" i="10" s="1"/>
  <c r="W462" i="10"/>
  <c r="X462" i="10" s="1"/>
  <c r="U462" i="10"/>
  <c r="V462" i="10" s="1"/>
  <c r="S462" i="10"/>
  <c r="T462" i="10" s="1"/>
  <c r="Q462" i="10"/>
  <c r="R462" i="10" s="1"/>
  <c r="O462" i="10"/>
  <c r="P462" i="10" s="1"/>
  <c r="M462" i="10"/>
  <c r="N462" i="10" s="1"/>
  <c r="K462" i="10"/>
  <c r="L462" i="10" s="1"/>
  <c r="I462" i="10"/>
  <c r="J462" i="10" s="1"/>
  <c r="G462" i="10"/>
  <c r="G461" i="10" l="1"/>
  <c r="H461" i="10" s="1"/>
  <c r="H462" i="10"/>
  <c r="O461" i="10"/>
  <c r="P461" i="10" s="1"/>
  <c r="W461" i="10"/>
  <c r="X461" i="10" s="1"/>
  <c r="I461" i="10"/>
  <c r="J461" i="10" s="1"/>
  <c r="K461" i="10"/>
  <c r="L461" i="10" s="1"/>
  <c r="S461" i="10"/>
  <c r="T461" i="10" s="1"/>
  <c r="AA461" i="10"/>
  <c r="AB461" i="10" s="1"/>
  <c r="Q461" i="10"/>
  <c r="R461" i="10" s="1"/>
  <c r="Y461" i="10"/>
  <c r="Z461" i="10" s="1"/>
  <c r="M461" i="10"/>
  <c r="N461" i="10" s="1"/>
  <c r="U461" i="10"/>
  <c r="V461" i="10" s="1"/>
  <c r="H188" i="9"/>
  <c r="C572" i="10" l="1"/>
  <c r="D572" i="10" s="1"/>
  <c r="N366" i="6"/>
  <c r="O366" i="6"/>
  <c r="P366" i="6"/>
  <c r="Q366" i="6"/>
  <c r="R366" i="6"/>
  <c r="S366" i="6"/>
  <c r="T366" i="6"/>
  <c r="U366" i="6"/>
  <c r="V366" i="6"/>
  <c r="W366" i="6"/>
  <c r="N367" i="6"/>
  <c r="O367" i="6"/>
  <c r="P367" i="6"/>
  <c r="Q367" i="6"/>
  <c r="R367" i="6"/>
  <c r="S367" i="6"/>
  <c r="T367" i="6"/>
  <c r="U367" i="6"/>
  <c r="V367" i="6"/>
  <c r="W367" i="6"/>
  <c r="N368" i="6"/>
  <c r="O368" i="6"/>
  <c r="P368" i="6"/>
  <c r="Q368" i="6"/>
  <c r="R368" i="6"/>
  <c r="S368" i="6"/>
  <c r="T368" i="6"/>
  <c r="U368" i="6"/>
  <c r="V368" i="6"/>
  <c r="W368" i="6"/>
  <c r="M367" i="6"/>
  <c r="M366" i="6"/>
  <c r="M368" i="6"/>
  <c r="N369" i="6"/>
  <c r="I594" i="10" s="1"/>
  <c r="O369" i="6"/>
  <c r="K594" i="10" s="1"/>
  <c r="L594" i="10" s="1"/>
  <c r="P369" i="6"/>
  <c r="M594" i="10" s="1"/>
  <c r="N594" i="10" s="1"/>
  <c r="Q369" i="6"/>
  <c r="O594" i="10" s="1"/>
  <c r="P594" i="10" s="1"/>
  <c r="R369" i="6"/>
  <c r="Q594" i="10" s="1"/>
  <c r="R594" i="10" s="1"/>
  <c r="S369" i="6"/>
  <c r="S594" i="10" s="1"/>
  <c r="T594" i="10" s="1"/>
  <c r="T369" i="6"/>
  <c r="U594" i="10" s="1"/>
  <c r="V594" i="10" s="1"/>
  <c r="U369" i="6"/>
  <c r="W594" i="10" s="1"/>
  <c r="X594" i="10" s="1"/>
  <c r="V369" i="6"/>
  <c r="Y594" i="10" s="1"/>
  <c r="Z594" i="10" s="1"/>
  <c r="W369" i="6"/>
  <c r="AA594" i="10" s="1"/>
  <c r="AB594" i="10" s="1"/>
  <c r="N370" i="6"/>
  <c r="I591" i="10" s="1"/>
  <c r="O370" i="6"/>
  <c r="K591" i="10" s="1"/>
  <c r="L591" i="10" s="1"/>
  <c r="P370" i="6"/>
  <c r="M591" i="10" s="1"/>
  <c r="N591" i="10" s="1"/>
  <c r="Q370" i="6"/>
  <c r="O591" i="10" s="1"/>
  <c r="R370" i="6"/>
  <c r="Q591" i="10" s="1"/>
  <c r="R591" i="10" s="1"/>
  <c r="S370" i="6"/>
  <c r="S591" i="10" s="1"/>
  <c r="T370" i="6"/>
  <c r="U591" i="10" s="1"/>
  <c r="V591" i="10" s="1"/>
  <c r="U370" i="6"/>
  <c r="W591" i="10" s="1"/>
  <c r="V370" i="6"/>
  <c r="Y591" i="10" s="1"/>
  <c r="Z591" i="10" s="1"/>
  <c r="W370" i="6"/>
  <c r="AA591" i="10" s="1"/>
  <c r="AB591" i="10" s="1"/>
  <c r="M369" i="6"/>
  <c r="G594" i="10" s="1"/>
  <c r="M370" i="6"/>
  <c r="G591" i="10" s="1"/>
  <c r="M365" i="6"/>
  <c r="M371" i="6"/>
  <c r="O590" i="10" l="1"/>
  <c r="P590" i="10" s="1"/>
  <c r="P591" i="10"/>
  <c r="S590" i="10"/>
  <c r="T590" i="10" s="1"/>
  <c r="T591" i="10"/>
  <c r="W590" i="10"/>
  <c r="X590" i="10" s="1"/>
  <c r="X591" i="10"/>
  <c r="G596" i="10"/>
  <c r="G595" i="10" s="1"/>
  <c r="K590" i="10"/>
  <c r="L590" i="10" s="1"/>
  <c r="Y596" i="10"/>
  <c r="I596" i="10"/>
  <c r="O596" i="10"/>
  <c r="U596" i="10"/>
  <c r="M596" i="10"/>
  <c r="Q596" i="10"/>
  <c r="W596" i="10"/>
  <c r="X596" i="10" s="1"/>
  <c r="AA596" i="10"/>
  <c r="AB596" i="10" s="1"/>
  <c r="S596" i="10"/>
  <c r="K596" i="10"/>
  <c r="G593" i="10"/>
  <c r="AC594" i="10"/>
  <c r="U590" i="10"/>
  <c r="V590" i="10" s="1"/>
  <c r="M590" i="10"/>
  <c r="N590" i="10" s="1"/>
  <c r="Y593" i="10"/>
  <c r="Z593" i="10" s="1"/>
  <c r="Q593" i="10"/>
  <c r="R593" i="10" s="1"/>
  <c r="I593" i="10"/>
  <c r="W593" i="10"/>
  <c r="X593" i="10" s="1"/>
  <c r="O593" i="10"/>
  <c r="P593" i="10" s="1"/>
  <c r="Y590" i="10"/>
  <c r="Z590" i="10" s="1"/>
  <c r="Q590" i="10"/>
  <c r="R590" i="10" s="1"/>
  <c r="I590" i="10"/>
  <c r="U593" i="10"/>
  <c r="V593" i="10" s="1"/>
  <c r="M593" i="10"/>
  <c r="N593" i="10" s="1"/>
  <c r="AC591" i="10"/>
  <c r="AA593" i="10"/>
  <c r="AB593" i="10" s="1"/>
  <c r="S593" i="10"/>
  <c r="T593" i="10" s="1"/>
  <c r="K593" i="10"/>
  <c r="L593" i="10" s="1"/>
  <c r="G590" i="10"/>
  <c r="AA590" i="10"/>
  <c r="AB590" i="10" s="1"/>
  <c r="A1" i="9"/>
  <c r="U595" i="10" l="1"/>
  <c r="V595" i="10" s="1"/>
  <c r="V596" i="10"/>
  <c r="O595" i="10"/>
  <c r="P595" i="10" s="1"/>
  <c r="P596" i="10"/>
  <c r="AC593" i="10"/>
  <c r="K595" i="10"/>
  <c r="L595" i="10" s="1"/>
  <c r="L596" i="10"/>
  <c r="Q595" i="10"/>
  <c r="R595" i="10" s="1"/>
  <c r="R596" i="10"/>
  <c r="I595" i="10"/>
  <c r="S595" i="10"/>
  <c r="T595" i="10" s="1"/>
  <c r="T596" i="10"/>
  <c r="M595" i="10"/>
  <c r="N595" i="10" s="1"/>
  <c r="N596" i="10"/>
  <c r="Y595" i="10"/>
  <c r="Z595" i="10" s="1"/>
  <c r="Z596" i="10"/>
  <c r="AA595" i="10"/>
  <c r="AB595" i="10" s="1"/>
  <c r="W595" i="10"/>
  <c r="X595" i="10" s="1"/>
  <c r="AC596" i="10"/>
  <c r="AC590" i="10"/>
  <c r="AA236" i="10"/>
  <c r="AB236" i="10" s="1"/>
  <c r="AA230" i="10"/>
  <c r="AB230" i="10" s="1"/>
  <c r="AA264" i="10"/>
  <c r="AB264" i="10" s="1"/>
  <c r="AA284" i="10"/>
  <c r="AB284" i="10" s="1"/>
  <c r="AA281" i="10"/>
  <c r="AB281" i="10" s="1"/>
  <c r="M337" i="6"/>
  <c r="AC337" i="6" s="1"/>
  <c r="AC595" i="10" l="1"/>
  <c r="I498" i="6"/>
  <c r="I497" i="6"/>
  <c r="AA599" i="10" l="1"/>
  <c r="AB599" i="10" s="1"/>
  <c r="Y599" i="10"/>
  <c r="Z599" i="10" s="1"/>
  <c r="W599" i="10"/>
  <c r="X599" i="10" s="1"/>
  <c r="U599" i="10"/>
  <c r="V599" i="10" s="1"/>
  <c r="S599" i="10"/>
  <c r="T599" i="10" s="1"/>
  <c r="Q599" i="10"/>
  <c r="R599" i="10" s="1"/>
  <c r="O599" i="10"/>
  <c r="P599" i="10" s="1"/>
  <c r="M599" i="10"/>
  <c r="N599" i="10" s="1"/>
  <c r="K599" i="10"/>
  <c r="L599" i="10" s="1"/>
  <c r="I599" i="10"/>
  <c r="J599" i="10" s="1"/>
  <c r="G599" i="10"/>
  <c r="H599" i="10" s="1"/>
  <c r="E599" i="10"/>
  <c r="F599" i="10" s="1"/>
  <c r="I531" i="6"/>
  <c r="K531" i="6" s="1"/>
  <c r="I529" i="6"/>
  <c r="K529" i="6" s="1"/>
  <c r="I243" i="6"/>
  <c r="I528" i="6"/>
  <c r="K528" i="6" s="1"/>
  <c r="I530" i="6"/>
  <c r="K530" i="6" s="1"/>
  <c r="I242" i="6"/>
  <c r="C601" i="10" l="1"/>
  <c r="C600" i="10"/>
  <c r="I547" i="6"/>
  <c r="I546" i="6" s="1"/>
  <c r="L546" i="6" s="1"/>
  <c r="H530" i="6"/>
  <c r="H546" i="6"/>
  <c r="AC600" i="10" l="1"/>
  <c r="AC601" i="10"/>
  <c r="K546" i="6"/>
  <c r="C602" i="10" s="1"/>
  <c r="Y506" i="10"/>
  <c r="Z506" i="10" s="1"/>
  <c r="W506" i="10"/>
  <c r="X506" i="10" s="1"/>
  <c r="Q506" i="10"/>
  <c r="R506" i="10" s="1"/>
  <c r="I506" i="10"/>
  <c r="J506" i="10" s="1"/>
  <c r="G506" i="10"/>
  <c r="H506" i="10" s="1"/>
  <c r="E506" i="10"/>
  <c r="F506" i="10" s="1"/>
  <c r="C506" i="10"/>
  <c r="D506" i="10" s="1"/>
  <c r="E218" i="10"/>
  <c r="F218" i="10" s="1"/>
  <c r="C218" i="10"/>
  <c r="D218" i="10" s="1"/>
  <c r="E215" i="10"/>
  <c r="F215" i="10" s="1"/>
  <c r="C215" i="10"/>
  <c r="D215" i="10" s="1"/>
  <c r="AC602" i="10" l="1"/>
  <c r="M506" i="10"/>
  <c r="N506" i="10" s="1"/>
  <c r="K506" i="10"/>
  <c r="L506" i="10" s="1"/>
  <c r="AA506" i="10"/>
  <c r="AB506" i="10" s="1"/>
  <c r="S506" i="10"/>
  <c r="T506" i="10" s="1"/>
  <c r="U506" i="10"/>
  <c r="V506" i="10" s="1"/>
  <c r="O506" i="10"/>
  <c r="P506" i="10" s="1"/>
  <c r="AC507" i="10"/>
  <c r="AC107" i="10"/>
  <c r="AD107" i="10" s="1"/>
  <c r="AC108" i="10"/>
  <c r="AD108" i="10" s="1"/>
  <c r="AA103" i="10"/>
  <c r="AB103" i="10" s="1"/>
  <c r="Y103" i="10"/>
  <c r="Z103" i="10" s="1"/>
  <c r="W103" i="10"/>
  <c r="X103" i="10" s="1"/>
  <c r="U103" i="10"/>
  <c r="V103" i="10" s="1"/>
  <c r="S103" i="10"/>
  <c r="T103" i="10" s="1"/>
  <c r="Q103" i="10"/>
  <c r="R103" i="10" s="1"/>
  <c r="O103" i="10"/>
  <c r="P103" i="10" s="1"/>
  <c r="M103" i="10"/>
  <c r="N103" i="10" s="1"/>
  <c r="K103" i="10"/>
  <c r="L103" i="10" s="1"/>
  <c r="I103" i="10"/>
  <c r="J103" i="10" s="1"/>
  <c r="G103" i="10"/>
  <c r="H103" i="10" s="1"/>
  <c r="E103" i="10"/>
  <c r="F103" i="10" s="1"/>
  <c r="AC506" i="10" l="1"/>
  <c r="AD507" i="10"/>
  <c r="AA102" i="10"/>
  <c r="AB102" i="10" s="1"/>
  <c r="K102" i="10"/>
  <c r="L102" i="10" s="1"/>
  <c r="E102" i="10"/>
  <c r="F102" i="10" s="1"/>
  <c r="U102" i="10"/>
  <c r="V102" i="10" s="1"/>
  <c r="S102" i="10"/>
  <c r="T102" i="10" s="1"/>
  <c r="M102" i="10"/>
  <c r="N102" i="10" s="1"/>
  <c r="G102" i="10"/>
  <c r="H102" i="10" s="1"/>
  <c r="O102" i="10"/>
  <c r="P102" i="10" s="1"/>
  <c r="W102" i="10"/>
  <c r="X102" i="10" s="1"/>
  <c r="I102" i="10"/>
  <c r="J102" i="10" s="1"/>
  <c r="Q102" i="10"/>
  <c r="R102" i="10" s="1"/>
  <c r="Y102" i="10"/>
  <c r="Z102" i="10" s="1"/>
  <c r="F51" i="18" l="1"/>
  <c r="EJ51" i="18" s="1"/>
  <c r="AD506" i="10"/>
  <c r="AA114" i="10"/>
  <c r="AB114" i="10" s="1"/>
  <c r="Y114" i="10"/>
  <c r="Z114" i="10" s="1"/>
  <c r="W114" i="10"/>
  <c r="X114" i="10" s="1"/>
  <c r="U114" i="10"/>
  <c r="V114" i="10" s="1"/>
  <c r="S114" i="10"/>
  <c r="T114" i="10" s="1"/>
  <c r="Q114" i="10"/>
  <c r="R114" i="10" s="1"/>
  <c r="O114" i="10"/>
  <c r="P114" i="10" s="1"/>
  <c r="M114" i="10"/>
  <c r="N114" i="10" s="1"/>
  <c r="K114" i="10"/>
  <c r="L114" i="10" s="1"/>
  <c r="I114" i="10"/>
  <c r="J114" i="10" s="1"/>
  <c r="G114" i="10"/>
  <c r="H114" i="10" s="1"/>
  <c r="E114" i="10"/>
  <c r="F114" i="10" s="1"/>
  <c r="AA125" i="10"/>
  <c r="AB125" i="10" s="1"/>
  <c r="Y125" i="10"/>
  <c r="Z125" i="10" s="1"/>
  <c r="W125" i="10"/>
  <c r="X125" i="10" s="1"/>
  <c r="U125" i="10"/>
  <c r="V125" i="10" s="1"/>
  <c r="S125" i="10"/>
  <c r="T125" i="10" s="1"/>
  <c r="Q125" i="10"/>
  <c r="R125" i="10" s="1"/>
  <c r="O125" i="10"/>
  <c r="P125" i="10" s="1"/>
  <c r="M125" i="10"/>
  <c r="N125" i="10" s="1"/>
  <c r="K125" i="10"/>
  <c r="L125" i="10" s="1"/>
  <c r="I125" i="10"/>
  <c r="J125" i="10" s="1"/>
  <c r="G125" i="10"/>
  <c r="H125" i="10" s="1"/>
  <c r="E125" i="10"/>
  <c r="F125" i="10" s="1"/>
  <c r="AA137" i="10"/>
  <c r="Y137" i="10"/>
  <c r="Z137" i="10" s="1"/>
  <c r="W137" i="10"/>
  <c r="U137" i="10"/>
  <c r="V137" i="10" s="1"/>
  <c r="S137" i="10"/>
  <c r="Q137" i="10"/>
  <c r="R137" i="10" s="1"/>
  <c r="O137" i="10"/>
  <c r="M137" i="10"/>
  <c r="N137" i="10" s="1"/>
  <c r="K137" i="10"/>
  <c r="I137" i="10"/>
  <c r="J137" i="10" s="1"/>
  <c r="G137" i="10"/>
  <c r="E137" i="10"/>
  <c r="F137" i="10" s="1"/>
  <c r="AA145" i="10"/>
  <c r="AB145" i="10" s="1"/>
  <c r="Y145" i="10"/>
  <c r="Z145" i="10" s="1"/>
  <c r="W145" i="10"/>
  <c r="X145" i="10" s="1"/>
  <c r="U145" i="10"/>
  <c r="V145" i="10" s="1"/>
  <c r="S145" i="10"/>
  <c r="T145" i="10" s="1"/>
  <c r="Q145" i="10"/>
  <c r="R145" i="10" s="1"/>
  <c r="O145" i="10"/>
  <c r="P145" i="10" s="1"/>
  <c r="M145" i="10"/>
  <c r="N145" i="10" s="1"/>
  <c r="K145" i="10"/>
  <c r="L145" i="10" s="1"/>
  <c r="I145" i="10"/>
  <c r="J145" i="10" s="1"/>
  <c r="G145" i="10"/>
  <c r="H145" i="10" s="1"/>
  <c r="E145" i="10"/>
  <c r="F145" i="10" s="1"/>
  <c r="AA143" i="10"/>
  <c r="AB143" i="10" s="1"/>
  <c r="Y143" i="10"/>
  <c r="Z143" i="10" s="1"/>
  <c r="W143" i="10"/>
  <c r="X143" i="10" s="1"/>
  <c r="U143" i="10"/>
  <c r="V143" i="10" s="1"/>
  <c r="S143" i="10"/>
  <c r="T143" i="10" s="1"/>
  <c r="Q143" i="10"/>
  <c r="R143" i="10" s="1"/>
  <c r="O143" i="10"/>
  <c r="P143" i="10" s="1"/>
  <c r="M143" i="10"/>
  <c r="N143" i="10" s="1"/>
  <c r="K143" i="10"/>
  <c r="L143" i="10" s="1"/>
  <c r="I143" i="10"/>
  <c r="J143" i="10" s="1"/>
  <c r="G143" i="10"/>
  <c r="H143" i="10" s="1"/>
  <c r="E143" i="10"/>
  <c r="F143" i="10" s="1"/>
  <c r="AC150" i="10"/>
  <c r="AD150" i="10" s="1"/>
  <c r="AA150" i="10"/>
  <c r="AB150" i="10" s="1"/>
  <c r="Y150" i="10"/>
  <c r="Z150" i="10" s="1"/>
  <c r="W150" i="10"/>
  <c r="X150" i="10" s="1"/>
  <c r="U150" i="10"/>
  <c r="V150" i="10" s="1"/>
  <c r="S150" i="10"/>
  <c r="T150" i="10" s="1"/>
  <c r="Q150" i="10"/>
  <c r="R150" i="10" s="1"/>
  <c r="O150" i="10"/>
  <c r="P150" i="10" s="1"/>
  <c r="M150" i="10"/>
  <c r="N150" i="10" s="1"/>
  <c r="K150" i="10"/>
  <c r="L150" i="10" s="1"/>
  <c r="I150" i="10"/>
  <c r="J150" i="10" s="1"/>
  <c r="G150" i="10"/>
  <c r="H150" i="10" s="1"/>
  <c r="E150" i="10"/>
  <c r="F150" i="10" s="1"/>
  <c r="C150" i="10"/>
  <c r="D150" i="10" s="1"/>
  <c r="AA458" i="10"/>
  <c r="AB458" i="10" s="1"/>
  <c r="Y458" i="10"/>
  <c r="Z458" i="10" s="1"/>
  <c r="W458" i="10"/>
  <c r="X458" i="10" s="1"/>
  <c r="U458" i="10"/>
  <c r="V458" i="10" s="1"/>
  <c r="S458" i="10"/>
  <c r="T458" i="10" s="1"/>
  <c r="Q458" i="10"/>
  <c r="R458" i="10" s="1"/>
  <c r="O458" i="10"/>
  <c r="P458" i="10" s="1"/>
  <c r="M458" i="10"/>
  <c r="N458" i="10" s="1"/>
  <c r="K458" i="10"/>
  <c r="L458" i="10" s="1"/>
  <c r="I458" i="10"/>
  <c r="J458" i="10" s="1"/>
  <c r="G458" i="10"/>
  <c r="H458" i="10" s="1"/>
  <c r="E458" i="10"/>
  <c r="F458" i="10" s="1"/>
  <c r="E396" i="10"/>
  <c r="F396" i="10" s="1"/>
  <c r="C396" i="10"/>
  <c r="AA407" i="10"/>
  <c r="AB407" i="10" s="1"/>
  <c r="Y407" i="10"/>
  <c r="Z407" i="10" s="1"/>
  <c r="W407" i="10"/>
  <c r="X407" i="10" s="1"/>
  <c r="U407" i="10"/>
  <c r="V407" i="10" s="1"/>
  <c r="S407" i="10"/>
  <c r="T407" i="10" s="1"/>
  <c r="Q407" i="10"/>
  <c r="R407" i="10" s="1"/>
  <c r="O407" i="10"/>
  <c r="P407" i="10" s="1"/>
  <c r="M407" i="10"/>
  <c r="N407" i="10" s="1"/>
  <c r="K407" i="10"/>
  <c r="L407" i="10" s="1"/>
  <c r="I407" i="10"/>
  <c r="J407" i="10" s="1"/>
  <c r="G407" i="10"/>
  <c r="H407" i="10" s="1"/>
  <c r="E407" i="10"/>
  <c r="F407" i="10" s="1"/>
  <c r="C407" i="10"/>
  <c r="D407" i="10" s="1"/>
  <c r="AC411" i="10"/>
  <c r="AD411" i="10" s="1"/>
  <c r="AC412" i="10"/>
  <c r="AD412" i="10" s="1"/>
  <c r="C415" i="10"/>
  <c r="D415" i="10" s="1"/>
  <c r="AC392" i="10"/>
  <c r="AD392" i="10" s="1"/>
  <c r="AC391" i="10"/>
  <c r="AD391" i="10" s="1"/>
  <c r="AC389" i="10"/>
  <c r="AC388" i="10"/>
  <c r="AD388" i="10" s="1"/>
  <c r="AC387" i="10"/>
  <c r="AD387" i="10" s="1"/>
  <c r="AA379" i="10"/>
  <c r="AB379" i="10" s="1"/>
  <c r="Y379" i="10"/>
  <c r="Z379" i="10" s="1"/>
  <c r="W379" i="10"/>
  <c r="X379" i="10" s="1"/>
  <c r="U379" i="10"/>
  <c r="V379" i="10" s="1"/>
  <c r="S379" i="10"/>
  <c r="T379" i="10" s="1"/>
  <c r="Q379" i="10"/>
  <c r="R379" i="10" s="1"/>
  <c r="O379" i="10"/>
  <c r="P379" i="10" s="1"/>
  <c r="M379" i="10"/>
  <c r="N379" i="10" s="1"/>
  <c r="K379" i="10"/>
  <c r="L379" i="10" s="1"/>
  <c r="I379" i="10"/>
  <c r="J379" i="10" s="1"/>
  <c r="G379" i="10"/>
  <c r="H379" i="10" s="1"/>
  <c r="C379" i="10"/>
  <c r="D379" i="10" s="1"/>
  <c r="AA372" i="10"/>
  <c r="AB372" i="10" s="1"/>
  <c r="Y372" i="10"/>
  <c r="Z372" i="10" s="1"/>
  <c r="W372" i="10"/>
  <c r="X372" i="10" s="1"/>
  <c r="U372" i="10"/>
  <c r="V372" i="10" s="1"/>
  <c r="S372" i="10"/>
  <c r="T372" i="10" s="1"/>
  <c r="Q372" i="10"/>
  <c r="R372" i="10" s="1"/>
  <c r="O372" i="10"/>
  <c r="P372" i="10" s="1"/>
  <c r="M372" i="10"/>
  <c r="N372" i="10" s="1"/>
  <c r="K372" i="10"/>
  <c r="L372" i="10" s="1"/>
  <c r="I372" i="10"/>
  <c r="J372" i="10" s="1"/>
  <c r="G372" i="10"/>
  <c r="H372" i="10" s="1"/>
  <c r="C372" i="10"/>
  <c r="D372" i="10" s="1"/>
  <c r="C352" i="10"/>
  <c r="D352" i="10" s="1"/>
  <c r="C362" i="10"/>
  <c r="D362" i="10" s="1"/>
  <c r="C366" i="10"/>
  <c r="D366" i="10" s="1"/>
  <c r="C482" i="10"/>
  <c r="D482" i="10" s="1"/>
  <c r="C480" i="10"/>
  <c r="D480" i="10" s="1"/>
  <c r="C473" i="10"/>
  <c r="D473" i="10" s="1"/>
  <c r="C286" i="10"/>
  <c r="D286" i="10" s="1"/>
  <c r="C295" i="10"/>
  <c r="D295" i="10" s="1"/>
  <c r="C305" i="10"/>
  <c r="D305" i="10" s="1"/>
  <c r="E315" i="10"/>
  <c r="F315" i="10" s="1"/>
  <c r="C315" i="10"/>
  <c r="D315" i="10" s="1"/>
  <c r="C335" i="10"/>
  <c r="D335" i="10" s="1"/>
  <c r="D255" i="10"/>
  <c r="E278" i="10"/>
  <c r="F278" i="10" s="1"/>
  <c r="C278" i="10"/>
  <c r="D278" i="10" s="1"/>
  <c r="E224" i="10"/>
  <c r="F224" i="10" s="1"/>
  <c r="C224" i="10"/>
  <c r="D224" i="10" s="1"/>
  <c r="AA251" i="10"/>
  <c r="AB251" i="10" s="1"/>
  <c r="Y251" i="10"/>
  <c r="Z251" i="10" s="1"/>
  <c r="W251" i="10"/>
  <c r="X251" i="10" s="1"/>
  <c r="U251" i="10"/>
  <c r="V251" i="10" s="1"/>
  <c r="S251" i="10"/>
  <c r="T251" i="10" s="1"/>
  <c r="Q251" i="10"/>
  <c r="R251" i="10" s="1"/>
  <c r="O251" i="10"/>
  <c r="P251" i="10" s="1"/>
  <c r="M251" i="10"/>
  <c r="N251" i="10" s="1"/>
  <c r="K251" i="10"/>
  <c r="L251" i="10" s="1"/>
  <c r="I251" i="10"/>
  <c r="J251" i="10" s="1"/>
  <c r="G251" i="10"/>
  <c r="H251" i="10" s="1"/>
  <c r="E251" i="10"/>
  <c r="F251" i="10" s="1"/>
  <c r="K133" i="10" l="1"/>
  <c r="L133" i="10" s="1"/>
  <c r="L137" i="10"/>
  <c r="S133" i="10"/>
  <c r="T133" i="10" s="1"/>
  <c r="T137" i="10"/>
  <c r="AA133" i="10"/>
  <c r="AB133" i="10" s="1"/>
  <c r="AB137" i="10"/>
  <c r="C394" i="10"/>
  <c r="D394" i="10" s="1"/>
  <c r="D396" i="10"/>
  <c r="F40" i="18"/>
  <c r="EJ40" i="18" s="1"/>
  <c r="AD389" i="10"/>
  <c r="G133" i="10"/>
  <c r="H133" i="10" s="1"/>
  <c r="H137" i="10"/>
  <c r="O133" i="10"/>
  <c r="P133" i="10" s="1"/>
  <c r="P137" i="10"/>
  <c r="W133" i="10"/>
  <c r="X133" i="10" s="1"/>
  <c r="X137" i="10"/>
  <c r="C371" i="10"/>
  <c r="D371" i="10" s="1"/>
  <c r="F43" i="18"/>
  <c r="EJ43" i="18" s="1"/>
  <c r="C311" i="10"/>
  <c r="D311" i="10" s="1"/>
  <c r="C351" i="10"/>
  <c r="D351" i="10" s="1"/>
  <c r="AA142" i="10"/>
  <c r="AB142" i="10" s="1"/>
  <c r="E133" i="10"/>
  <c r="F133" i="10" s="1"/>
  <c r="I133" i="10"/>
  <c r="J133" i="10" s="1"/>
  <c r="M133" i="10"/>
  <c r="N133" i="10" s="1"/>
  <c r="Q133" i="10"/>
  <c r="R133" i="10" s="1"/>
  <c r="U133" i="10"/>
  <c r="V133" i="10" s="1"/>
  <c r="Y133" i="10"/>
  <c r="Z133" i="10" s="1"/>
  <c r="E142" i="10"/>
  <c r="F142" i="10" s="1"/>
  <c r="K142" i="10"/>
  <c r="L142" i="10" s="1"/>
  <c r="U142" i="10"/>
  <c r="V142" i="10" s="1"/>
  <c r="G142" i="10"/>
  <c r="H142" i="10" s="1"/>
  <c r="Q142" i="10"/>
  <c r="R142" i="10" s="1"/>
  <c r="W142" i="10"/>
  <c r="X142" i="10" s="1"/>
  <c r="M142" i="10"/>
  <c r="N142" i="10" s="1"/>
  <c r="S142" i="10"/>
  <c r="T142" i="10" s="1"/>
  <c r="I142" i="10"/>
  <c r="J142" i="10" s="1"/>
  <c r="O142" i="10"/>
  <c r="P142" i="10" s="1"/>
  <c r="Y142" i="10"/>
  <c r="Z142" i="10" s="1"/>
  <c r="E394" i="10"/>
  <c r="F394" i="10" s="1"/>
  <c r="M378" i="10"/>
  <c r="N378" i="10" s="1"/>
  <c r="Q378" i="10"/>
  <c r="R378" i="10" s="1"/>
  <c r="U378" i="10"/>
  <c r="V378" i="10" s="1"/>
  <c r="I378" i="10"/>
  <c r="J378" i="10" s="1"/>
  <c r="Y378" i="10"/>
  <c r="Z378" i="10" s="1"/>
  <c r="G378" i="10"/>
  <c r="H378" i="10" s="1"/>
  <c r="K378" i="10"/>
  <c r="L378" i="10" s="1"/>
  <c r="O378" i="10"/>
  <c r="P378" i="10" s="1"/>
  <c r="S378" i="10"/>
  <c r="T378" i="10" s="1"/>
  <c r="W378" i="10"/>
  <c r="X378" i="10" s="1"/>
  <c r="AA378" i="10"/>
  <c r="AB378" i="10" s="1"/>
  <c r="C378" i="10"/>
  <c r="D378" i="10" s="1"/>
  <c r="G371" i="10"/>
  <c r="H371" i="10" s="1"/>
  <c r="K371" i="10"/>
  <c r="L371" i="10" s="1"/>
  <c r="O371" i="10"/>
  <c r="P371" i="10" s="1"/>
  <c r="S371" i="10"/>
  <c r="T371" i="10" s="1"/>
  <c r="W371" i="10"/>
  <c r="X371" i="10" s="1"/>
  <c r="AA371" i="10"/>
  <c r="AB371" i="10" s="1"/>
  <c r="I371" i="10"/>
  <c r="J371" i="10" s="1"/>
  <c r="M371" i="10"/>
  <c r="N371" i="10" s="1"/>
  <c r="Q371" i="10"/>
  <c r="R371" i="10" s="1"/>
  <c r="U371" i="10"/>
  <c r="V371" i="10" s="1"/>
  <c r="Y371" i="10"/>
  <c r="Z371" i="10" s="1"/>
  <c r="C479" i="10"/>
  <c r="D479" i="10" s="1"/>
  <c r="C294" i="10"/>
  <c r="D294" i="10" s="1"/>
  <c r="E311" i="10"/>
  <c r="F311" i="10" s="1"/>
  <c r="E254" i="10"/>
  <c r="F254" i="10" s="1"/>
  <c r="C254" i="10"/>
  <c r="E223" i="10"/>
  <c r="F223" i="10" s="1"/>
  <c r="E204" i="10"/>
  <c r="F204" i="10" s="1"/>
  <c r="C204" i="10"/>
  <c r="D204" i="10" s="1"/>
  <c r="AA485" i="10"/>
  <c r="AB485" i="10" s="1"/>
  <c r="Y485" i="10"/>
  <c r="Z485" i="10" s="1"/>
  <c r="W485" i="10"/>
  <c r="X485" i="10" s="1"/>
  <c r="U485" i="10"/>
  <c r="V485" i="10" s="1"/>
  <c r="S485" i="10"/>
  <c r="T485" i="10" s="1"/>
  <c r="Q485" i="10"/>
  <c r="R485" i="10" s="1"/>
  <c r="O485" i="10"/>
  <c r="P485" i="10" s="1"/>
  <c r="M485" i="10"/>
  <c r="N485" i="10" s="1"/>
  <c r="K485" i="10"/>
  <c r="L485" i="10" s="1"/>
  <c r="I485" i="10"/>
  <c r="J485" i="10" s="1"/>
  <c r="G485" i="10"/>
  <c r="H485" i="10" s="1"/>
  <c r="E485" i="10"/>
  <c r="F485" i="10" s="1"/>
  <c r="C200" i="10"/>
  <c r="D200" i="10" s="1"/>
  <c r="AC193" i="10"/>
  <c r="AD193" i="10" s="1"/>
  <c r="AA193" i="10"/>
  <c r="AB193" i="10" s="1"/>
  <c r="Y193" i="10"/>
  <c r="Z193" i="10" s="1"/>
  <c r="W193" i="10"/>
  <c r="X193" i="10" s="1"/>
  <c r="U193" i="10"/>
  <c r="V193" i="10" s="1"/>
  <c r="S193" i="10"/>
  <c r="T193" i="10" s="1"/>
  <c r="Q193" i="10"/>
  <c r="R193" i="10" s="1"/>
  <c r="O193" i="10"/>
  <c r="P193" i="10" s="1"/>
  <c r="M193" i="10"/>
  <c r="N193" i="10" s="1"/>
  <c r="K193" i="10"/>
  <c r="L193" i="10" s="1"/>
  <c r="I193" i="10"/>
  <c r="J193" i="10" s="1"/>
  <c r="G193" i="10"/>
  <c r="H193" i="10" s="1"/>
  <c r="E193" i="10"/>
  <c r="F193" i="10" s="1"/>
  <c r="C193" i="10"/>
  <c r="D193" i="10" s="1"/>
  <c r="E187" i="10"/>
  <c r="F187" i="10" s="1"/>
  <c r="C187" i="10"/>
  <c r="D187" i="10" s="1"/>
  <c r="C183" i="10"/>
  <c r="D183" i="10" s="1"/>
  <c r="C173" i="10"/>
  <c r="D173" i="10" s="1"/>
  <c r="AC168" i="10"/>
  <c r="AD168" i="10" s="1"/>
  <c r="AA168" i="10"/>
  <c r="AB168" i="10" s="1"/>
  <c r="Y168" i="10"/>
  <c r="Z168" i="10" s="1"/>
  <c r="W168" i="10"/>
  <c r="X168" i="10" s="1"/>
  <c r="U168" i="10"/>
  <c r="V168" i="10" s="1"/>
  <c r="S168" i="10"/>
  <c r="T168" i="10" s="1"/>
  <c r="Q168" i="10"/>
  <c r="R168" i="10" s="1"/>
  <c r="O168" i="10"/>
  <c r="P168" i="10" s="1"/>
  <c r="M168" i="10"/>
  <c r="N168" i="10" s="1"/>
  <c r="K168" i="10"/>
  <c r="L168" i="10" s="1"/>
  <c r="I168" i="10"/>
  <c r="J168" i="10" s="1"/>
  <c r="G168" i="10"/>
  <c r="H168" i="10" s="1"/>
  <c r="E168" i="10"/>
  <c r="F168" i="10" s="1"/>
  <c r="C168" i="10"/>
  <c r="D168" i="10" s="1"/>
  <c r="AA164" i="10"/>
  <c r="AB164" i="10" s="1"/>
  <c r="Y164" i="10"/>
  <c r="Z164" i="10" s="1"/>
  <c r="W164" i="10"/>
  <c r="X164" i="10" s="1"/>
  <c r="U164" i="10"/>
  <c r="V164" i="10" s="1"/>
  <c r="S164" i="10"/>
  <c r="T164" i="10" s="1"/>
  <c r="Q164" i="10"/>
  <c r="R164" i="10" s="1"/>
  <c r="O164" i="10"/>
  <c r="P164" i="10" s="1"/>
  <c r="M164" i="10"/>
  <c r="N164" i="10" s="1"/>
  <c r="K164" i="10"/>
  <c r="L164" i="10" s="1"/>
  <c r="I164" i="10"/>
  <c r="J164" i="10" s="1"/>
  <c r="G164" i="10"/>
  <c r="H164" i="10" s="1"/>
  <c r="C164" i="10"/>
  <c r="D164" i="10" s="1"/>
  <c r="C159" i="10"/>
  <c r="D159" i="10" s="1"/>
  <c r="AA544" i="10"/>
  <c r="AB544" i="10" s="1"/>
  <c r="Y544" i="10"/>
  <c r="Z544" i="10" s="1"/>
  <c r="W544" i="10"/>
  <c r="X544" i="10" s="1"/>
  <c r="U544" i="10"/>
  <c r="V544" i="10" s="1"/>
  <c r="S544" i="10"/>
  <c r="T544" i="10" s="1"/>
  <c r="Q544" i="10"/>
  <c r="R544" i="10" s="1"/>
  <c r="O544" i="10"/>
  <c r="P544" i="10" s="1"/>
  <c r="M544" i="10"/>
  <c r="N544" i="10" s="1"/>
  <c r="K544" i="10"/>
  <c r="L544" i="10" s="1"/>
  <c r="I544" i="10"/>
  <c r="J544" i="10" s="1"/>
  <c r="G544" i="10"/>
  <c r="H544" i="10" s="1"/>
  <c r="E544" i="10"/>
  <c r="F544" i="10" s="1"/>
  <c r="AC568" i="10"/>
  <c r="AD568" i="10" s="1"/>
  <c r="AA567" i="10"/>
  <c r="AB567" i="10" s="1"/>
  <c r="Y567" i="10"/>
  <c r="Z567" i="10" s="1"/>
  <c r="W567" i="10"/>
  <c r="X567" i="10" s="1"/>
  <c r="U567" i="10"/>
  <c r="V567" i="10" s="1"/>
  <c r="S567" i="10"/>
  <c r="T567" i="10" s="1"/>
  <c r="Q567" i="10"/>
  <c r="R567" i="10" s="1"/>
  <c r="O567" i="10"/>
  <c r="P567" i="10" s="1"/>
  <c r="M567" i="10"/>
  <c r="N567" i="10" s="1"/>
  <c r="K567" i="10"/>
  <c r="L567" i="10" s="1"/>
  <c r="I567" i="10"/>
  <c r="J567" i="10" s="1"/>
  <c r="G567" i="10"/>
  <c r="H567" i="10" s="1"/>
  <c r="E567" i="10"/>
  <c r="F567" i="10" s="1"/>
  <c r="C567" i="10"/>
  <c r="D567" i="10" s="1"/>
  <c r="Y598" i="10"/>
  <c r="Z598" i="10" s="1"/>
  <c r="U598" i="10"/>
  <c r="V598" i="10" s="1"/>
  <c r="Q598" i="10"/>
  <c r="R598" i="10" s="1"/>
  <c r="I598" i="10"/>
  <c r="J598" i="10" s="1"/>
  <c r="E598" i="10"/>
  <c r="F598" i="10" s="1"/>
  <c r="AA598" i="10"/>
  <c r="AB598" i="10" s="1"/>
  <c r="E587" i="10"/>
  <c r="F587" i="10" s="1"/>
  <c r="E573" i="10"/>
  <c r="F573" i="10" s="1"/>
  <c r="M249" i="6"/>
  <c r="G484" i="10" s="1"/>
  <c r="AC484" i="10" s="1"/>
  <c r="C253" i="10" l="1"/>
  <c r="D253" i="10" s="1"/>
  <c r="D254" i="10"/>
  <c r="E572" i="10"/>
  <c r="U113" i="10"/>
  <c r="V113" i="10" s="1"/>
  <c r="K113" i="10"/>
  <c r="L113" i="10" s="1"/>
  <c r="W113" i="10"/>
  <c r="X113" i="10" s="1"/>
  <c r="C471" i="10"/>
  <c r="D471" i="10" s="1"/>
  <c r="AA113" i="10"/>
  <c r="AB113" i="10" s="1"/>
  <c r="M113" i="10"/>
  <c r="N113" i="10" s="1"/>
  <c r="Y113" i="10"/>
  <c r="Z113" i="10" s="1"/>
  <c r="Q113" i="10"/>
  <c r="R113" i="10" s="1"/>
  <c r="O113" i="10"/>
  <c r="P113" i="10" s="1"/>
  <c r="S113" i="10"/>
  <c r="T113" i="10" s="1"/>
  <c r="G113" i="10"/>
  <c r="H113" i="10" s="1"/>
  <c r="E113" i="10"/>
  <c r="F113" i="10" s="1"/>
  <c r="I113" i="10"/>
  <c r="J113" i="10" s="1"/>
  <c r="C370" i="10"/>
  <c r="D370" i="10" s="1"/>
  <c r="Y370" i="10"/>
  <c r="Z370" i="10" s="1"/>
  <c r="I370" i="10"/>
  <c r="J370" i="10" s="1"/>
  <c r="S370" i="10"/>
  <c r="T370" i="10" s="1"/>
  <c r="U370" i="10"/>
  <c r="V370" i="10" s="1"/>
  <c r="O370" i="10"/>
  <c r="P370" i="10" s="1"/>
  <c r="Q370" i="10"/>
  <c r="R370" i="10" s="1"/>
  <c r="AA370" i="10"/>
  <c r="AB370" i="10" s="1"/>
  <c r="K370" i="10"/>
  <c r="L370" i="10" s="1"/>
  <c r="M370" i="10"/>
  <c r="N370" i="10" s="1"/>
  <c r="W370" i="10"/>
  <c r="X370" i="10" s="1"/>
  <c r="G370" i="10"/>
  <c r="H370" i="10" s="1"/>
  <c r="E253" i="10"/>
  <c r="F253" i="10" s="1"/>
  <c r="E212" i="10"/>
  <c r="F212" i="10" s="1"/>
  <c r="C212" i="10"/>
  <c r="D212" i="10" s="1"/>
  <c r="C217" i="10"/>
  <c r="D217" i="10" s="1"/>
  <c r="C198" i="10"/>
  <c r="D198" i="10" s="1"/>
  <c r="M598" i="10"/>
  <c r="N598" i="10" s="1"/>
  <c r="C158" i="10"/>
  <c r="D158" i="10" s="1"/>
  <c r="W598" i="10"/>
  <c r="X598" i="10" s="1"/>
  <c r="G598" i="10"/>
  <c r="H598" i="10" s="1"/>
  <c r="AC567" i="10"/>
  <c r="AD567" i="10" s="1"/>
  <c r="O598" i="10"/>
  <c r="P598" i="10" s="1"/>
  <c r="S598" i="10"/>
  <c r="T598" i="10" s="1"/>
  <c r="K598" i="10"/>
  <c r="L598" i="10" s="1"/>
  <c r="F104" i="16"/>
  <c r="E375" i="18" s="1"/>
  <c r="G378" i="18"/>
  <c r="G377" i="18"/>
  <c r="G196" i="18"/>
  <c r="F572" i="10" l="1"/>
  <c r="E569" i="10"/>
  <c r="F569" i="10" s="1"/>
  <c r="F61" i="18"/>
  <c r="EJ61" i="18" s="1"/>
  <c r="EG30" i="14" s="1"/>
  <c r="AC410" i="10"/>
  <c r="AD410" i="10" s="1"/>
  <c r="C211" i="10"/>
  <c r="D211" i="10" s="1"/>
  <c r="C186" i="10"/>
  <c r="D186" i="10" s="1"/>
  <c r="I536" i="6"/>
  <c r="I542" i="6" s="1"/>
  <c r="F69" i="6"/>
  <c r="D150" i="9"/>
  <c r="C150" i="9"/>
  <c r="D142" i="9"/>
  <c r="D133" i="9"/>
  <c r="C133" i="9"/>
  <c r="D170" i="9" l="1"/>
  <c r="C170" i="9"/>
  <c r="B170" i="9"/>
  <c r="AC409" i="10"/>
  <c r="AD409" i="10" s="1"/>
  <c r="C142" i="9"/>
  <c r="E172" i="9" l="1"/>
  <c r="AC408" i="10"/>
  <c r="AD408" i="10" s="1"/>
  <c r="L547" i="6"/>
  <c r="I548" i="6"/>
  <c r="L548" i="6" s="1"/>
  <c r="C623" i="10" s="1"/>
  <c r="I544" i="6"/>
  <c r="I543" i="6"/>
  <c r="I537" i="6"/>
  <c r="I545" i="6"/>
  <c r="I538" i="6"/>
  <c r="I539" i="6"/>
  <c r="I533" i="6"/>
  <c r="I541" i="6"/>
  <c r="I540" i="6"/>
  <c r="I532" i="6"/>
  <c r="I535" i="6"/>
  <c r="H184" i="6"/>
  <c r="K184" i="6" s="1"/>
  <c r="I534" i="6"/>
  <c r="G191" i="18"/>
  <c r="G186" i="18"/>
  <c r="G181" i="18"/>
  <c r="B195" i="18"/>
  <c r="B189" i="18"/>
  <c r="F194" i="16"/>
  <c r="B190" i="18" s="1"/>
  <c r="B193" i="16"/>
  <c r="F193" i="16"/>
  <c r="D193" i="16"/>
  <c r="B194" i="16"/>
  <c r="D194" i="16"/>
  <c r="F195" i="16"/>
  <c r="D195" i="16"/>
  <c r="B194" i="18" s="1"/>
  <c r="B195" i="16"/>
  <c r="F186" i="16"/>
  <c r="D186" i="16"/>
  <c r="B186" i="16"/>
  <c r="F192" i="16"/>
  <c r="D192" i="16"/>
  <c r="B192" i="16"/>
  <c r="F190" i="16"/>
  <c r="D190" i="16"/>
  <c r="B190" i="16"/>
  <c r="F189" i="16"/>
  <c r="E189" i="16"/>
  <c r="D189" i="16"/>
  <c r="B189" i="16"/>
  <c r="F188" i="16"/>
  <c r="E188" i="16"/>
  <c r="D188" i="16"/>
  <c r="B188" i="16"/>
  <c r="F187" i="16"/>
  <c r="D187" i="16"/>
  <c r="B187" i="16"/>
  <c r="F185" i="16"/>
  <c r="D185" i="16"/>
  <c r="B185" i="16"/>
  <c r="F184" i="16"/>
  <c r="D184" i="16"/>
  <c r="B184" i="16"/>
  <c r="B183" i="16"/>
  <c r="F183" i="16"/>
  <c r="D183" i="16"/>
  <c r="B182" i="16"/>
  <c r="AC623" i="10" l="1"/>
  <c r="AD623" i="10" s="1"/>
  <c r="D623" i="10"/>
  <c r="AC407" i="10"/>
  <c r="AD407" i="10" s="1"/>
  <c r="L542" i="6"/>
  <c r="C617" i="10" s="1"/>
  <c r="L532" i="6"/>
  <c r="L539" i="6"/>
  <c r="C614" i="10" s="1"/>
  <c r="D614" i="10" s="1"/>
  <c r="L536" i="6"/>
  <c r="C611" i="10" s="1"/>
  <c r="D611" i="10" s="1"/>
  <c r="C620" i="10"/>
  <c r="K547" i="6"/>
  <c r="C618" i="10" s="1"/>
  <c r="L535" i="6"/>
  <c r="C608" i="10" s="1"/>
  <c r="K548" i="6"/>
  <c r="C621" i="10" s="1"/>
  <c r="AC620" i="10" l="1"/>
  <c r="AD620" i="10" s="1"/>
  <c r="D620" i="10"/>
  <c r="AC617" i="10"/>
  <c r="AC608" i="10"/>
  <c r="AD608" i="10" s="1"/>
  <c r="D608" i="10"/>
  <c r="AC406" i="10"/>
  <c r="AD406" i="10" s="1"/>
  <c r="AC614" i="10"/>
  <c r="AD614" i="10" s="1"/>
  <c r="K536" i="6"/>
  <c r="C609" i="10" s="1"/>
  <c r="K542" i="6"/>
  <c r="C615" i="10" s="1"/>
  <c r="C619" i="10"/>
  <c r="K539" i="6"/>
  <c r="C612" i="10" s="1"/>
  <c r="AC611" i="10"/>
  <c r="AD611" i="10" s="1"/>
  <c r="C622" i="10"/>
  <c r="AC621" i="10"/>
  <c r="K535" i="6"/>
  <c r="C606" i="10" s="1"/>
  <c r="AC622" i="10" l="1"/>
  <c r="C616" i="10"/>
  <c r="C610" i="10"/>
  <c r="C613" i="10"/>
  <c r="AC405" i="10"/>
  <c r="AD405" i="10" s="1"/>
  <c r="AC609" i="10"/>
  <c r="AC606" i="10"/>
  <c r="C607" i="10"/>
  <c r="AC607" i="10" l="1"/>
  <c r="AC610" i="10"/>
  <c r="AC404" i="10"/>
  <c r="AD404" i="10" s="1"/>
  <c r="W162" i="6"/>
  <c r="V162" i="6"/>
  <c r="U162" i="6"/>
  <c r="T162" i="6"/>
  <c r="S162" i="6"/>
  <c r="R162" i="6"/>
  <c r="Q162" i="6"/>
  <c r="P162" i="6"/>
  <c r="O162" i="6"/>
  <c r="M162" i="6"/>
  <c r="I507" i="6" l="1"/>
  <c r="K507" i="6" s="1"/>
  <c r="B180" i="18" l="1"/>
  <c r="B179" i="18"/>
  <c r="B177" i="18"/>
  <c r="B192" i="18"/>
  <c r="B187" i="18"/>
  <c r="B185" i="18"/>
  <c r="B184" i="18"/>
  <c r="B182" i="18"/>
  <c r="B174" i="18"/>
  <c r="B147" i="18"/>
  <c r="B162" i="18" s="1"/>
  <c r="B146" i="18"/>
  <c r="B166" i="18" s="1"/>
  <c r="B144" i="18"/>
  <c r="B169" i="18" s="1"/>
  <c r="B142" i="18"/>
  <c r="B141" i="18"/>
  <c r="B140" i="18"/>
  <c r="B138" i="18"/>
  <c r="B136" i="18"/>
  <c r="B135" i="18"/>
  <c r="B134" i="18"/>
  <c r="B132" i="18"/>
  <c r="B130" i="18"/>
  <c r="B129" i="18"/>
  <c r="B127" i="18"/>
  <c r="B120" i="18"/>
  <c r="B119" i="18"/>
  <c r="B117" i="18"/>
  <c r="B105" i="18"/>
  <c r="B115" i="18" s="1"/>
  <c r="B104" i="18"/>
  <c r="B114" i="18" s="1"/>
  <c r="B102" i="18"/>
  <c r="B112" i="18" s="1"/>
  <c r="B100" i="18"/>
  <c r="B99" i="18"/>
  <c r="B97" i="18"/>
  <c r="B95" i="18"/>
  <c r="B94" i="18"/>
  <c r="B92" i="18"/>
  <c r="B89" i="18"/>
  <c r="B86" i="18"/>
  <c r="B83" i="18"/>
  <c r="B80" i="18"/>
  <c r="B77" i="18"/>
  <c r="B74" i="18"/>
  <c r="B71" i="18"/>
  <c r="AD142" i="18" l="1"/>
  <c r="AD136" i="18"/>
  <c r="B159" i="18"/>
  <c r="B156" i="18"/>
  <c r="B172" i="18"/>
  <c r="B152" i="18"/>
  <c r="B109" i="18"/>
  <c r="B149" i="18"/>
  <c r="B154" i="18"/>
  <c r="B157" i="18"/>
  <c r="B161" i="18"/>
  <c r="B107" i="18"/>
  <c r="B151" i="18"/>
  <c r="B164" i="18"/>
  <c r="B167" i="18"/>
  <c r="B171" i="18"/>
  <c r="B110" i="18"/>
  <c r="I141" i="6"/>
  <c r="I144" i="6" l="1"/>
  <c r="I143" i="6"/>
  <c r="I142" i="6"/>
  <c r="I148" i="6"/>
  <c r="I147" i="6"/>
  <c r="I146" i="6"/>
  <c r="I145" i="6"/>
  <c r="D191" i="9" l="1"/>
  <c r="I140" i="6"/>
  <c r="L140" i="6" s="1"/>
  <c r="E166" i="10" l="1"/>
  <c r="F166" i="10" s="1"/>
  <c r="L88" i="16"/>
  <c r="L87" i="16"/>
  <c r="B11" i="16"/>
  <c r="B3" i="16"/>
  <c r="AA481" i="10" l="1"/>
  <c r="AB481" i="10" s="1"/>
  <c r="AA483" i="10"/>
  <c r="AB483" i="10" s="1"/>
  <c r="I481" i="10"/>
  <c r="J481" i="10" s="1"/>
  <c r="K481" i="10"/>
  <c r="L481" i="10" s="1"/>
  <c r="M481" i="10"/>
  <c r="N481" i="10" s="1"/>
  <c r="O481" i="10"/>
  <c r="Q481" i="10"/>
  <c r="R481" i="10" s="1"/>
  <c r="S481" i="10"/>
  <c r="T481" i="10" s="1"/>
  <c r="U481" i="10"/>
  <c r="V481" i="10" s="1"/>
  <c r="W481" i="10"/>
  <c r="X481" i="10" s="1"/>
  <c r="Y481" i="10"/>
  <c r="Z481" i="10" s="1"/>
  <c r="I483" i="10"/>
  <c r="J483" i="10" s="1"/>
  <c r="K483" i="10"/>
  <c r="L483" i="10" s="1"/>
  <c r="M483" i="10"/>
  <c r="N483" i="10" s="1"/>
  <c r="O483" i="10"/>
  <c r="P483" i="10" s="1"/>
  <c r="Q483" i="10"/>
  <c r="R483" i="10" s="1"/>
  <c r="S483" i="10"/>
  <c r="T483" i="10" s="1"/>
  <c r="U483" i="10"/>
  <c r="V483" i="10" s="1"/>
  <c r="W483" i="10"/>
  <c r="X483" i="10" s="1"/>
  <c r="Y483" i="10"/>
  <c r="Z483" i="10" s="1"/>
  <c r="L218" i="6"/>
  <c r="E483" i="10" s="1"/>
  <c r="L217" i="6"/>
  <c r="E481" i="10" s="1"/>
  <c r="N216" i="6"/>
  <c r="I209" i="10" s="1"/>
  <c r="O216" i="6"/>
  <c r="K209" i="10" s="1"/>
  <c r="P216" i="6"/>
  <c r="M209" i="10" s="1"/>
  <c r="Q216" i="6"/>
  <c r="O209" i="10" s="1"/>
  <c r="R216" i="6"/>
  <c r="Q209" i="10" s="1"/>
  <c r="S216" i="6"/>
  <c r="S209" i="10" s="1"/>
  <c r="T216" i="6"/>
  <c r="U209" i="10" s="1"/>
  <c r="U216" i="6"/>
  <c r="W209" i="10" s="1"/>
  <c r="V216" i="6"/>
  <c r="Y209" i="10" s="1"/>
  <c r="W216" i="6"/>
  <c r="AA209" i="10" s="1"/>
  <c r="M216" i="6"/>
  <c r="G209" i="10" s="1"/>
  <c r="G483" i="10"/>
  <c r="H483" i="10" s="1"/>
  <c r="G481" i="10"/>
  <c r="H481" i="10" s="1"/>
  <c r="AA204" i="10" l="1"/>
  <c r="AB204" i="10" s="1"/>
  <c r="AB209" i="10"/>
  <c r="K204" i="10"/>
  <c r="L204" i="10" s="1"/>
  <c r="L209" i="10"/>
  <c r="Y204" i="10"/>
  <c r="Z204" i="10" s="1"/>
  <c r="Z209" i="10"/>
  <c r="S204" i="10"/>
  <c r="T204" i="10" s="1"/>
  <c r="T209" i="10"/>
  <c r="Q204" i="10"/>
  <c r="R204" i="10" s="1"/>
  <c r="R209" i="10"/>
  <c r="W204" i="10"/>
  <c r="X204" i="10" s="1"/>
  <c r="X209" i="10"/>
  <c r="O204" i="10"/>
  <c r="P204" i="10" s="1"/>
  <c r="P209" i="10"/>
  <c r="E480" i="10"/>
  <c r="O480" i="10"/>
  <c r="P480" i="10" s="1"/>
  <c r="P481" i="10"/>
  <c r="I204" i="10"/>
  <c r="G204" i="10"/>
  <c r="U204" i="10"/>
  <c r="V204" i="10" s="1"/>
  <c r="V209" i="10"/>
  <c r="M204" i="10"/>
  <c r="N204" i="10" s="1"/>
  <c r="N209" i="10"/>
  <c r="E482" i="10"/>
  <c r="Y482" i="10"/>
  <c r="Z482" i="10" s="1"/>
  <c r="Q482" i="10"/>
  <c r="R482" i="10" s="1"/>
  <c r="I482" i="10"/>
  <c r="J482" i="10" s="1"/>
  <c r="S480" i="10"/>
  <c r="T480" i="10" s="1"/>
  <c r="K480" i="10"/>
  <c r="L480" i="10" s="1"/>
  <c r="AA480" i="10"/>
  <c r="AB480" i="10" s="1"/>
  <c r="G480" i="10"/>
  <c r="H480" i="10" s="1"/>
  <c r="W482" i="10"/>
  <c r="X482" i="10" s="1"/>
  <c r="O482" i="10"/>
  <c r="P482" i="10" s="1"/>
  <c r="Y480" i="10"/>
  <c r="Z480" i="10" s="1"/>
  <c r="Q480" i="10"/>
  <c r="R480" i="10" s="1"/>
  <c r="I480" i="10"/>
  <c r="J480" i="10" s="1"/>
  <c r="G482" i="10"/>
  <c r="H482" i="10" s="1"/>
  <c r="U482" i="10"/>
  <c r="V482" i="10" s="1"/>
  <c r="M482" i="10"/>
  <c r="N482" i="10" s="1"/>
  <c r="W480" i="10"/>
  <c r="X480" i="10" s="1"/>
  <c r="S482" i="10"/>
  <c r="T482" i="10" s="1"/>
  <c r="K482" i="10"/>
  <c r="L482" i="10" s="1"/>
  <c r="U480" i="10"/>
  <c r="V480" i="10" s="1"/>
  <c r="M480" i="10"/>
  <c r="N480" i="10" s="1"/>
  <c r="AA482" i="10"/>
  <c r="AB482" i="10" s="1"/>
  <c r="AC209" i="10"/>
  <c r="AC481" i="10"/>
  <c r="AC483" i="10"/>
  <c r="H78" i="6"/>
  <c r="I78" i="6"/>
  <c r="J78" i="6"/>
  <c r="K78" i="6"/>
  <c r="I208" i="6"/>
  <c r="I207" i="6"/>
  <c r="I206" i="6"/>
  <c r="I205" i="6"/>
  <c r="I204" i="6"/>
  <c r="G204" i="6"/>
  <c r="G205" i="6"/>
  <c r="G206" i="6"/>
  <c r="G207" i="6"/>
  <c r="G208" i="6"/>
  <c r="F208" i="6"/>
  <c r="F207" i="6"/>
  <c r="F206" i="6"/>
  <c r="F205" i="6"/>
  <c r="F204" i="6"/>
  <c r="E204" i="6"/>
  <c r="G209" i="6"/>
  <c r="G210" i="6"/>
  <c r="G211" i="6"/>
  <c r="F211" i="6"/>
  <c r="F210" i="6"/>
  <c r="F209" i="6"/>
  <c r="E209" i="6"/>
  <c r="I169" i="6"/>
  <c r="I172" i="6"/>
  <c r="I175" i="6"/>
  <c r="I178" i="6"/>
  <c r="I166" i="6"/>
  <c r="J166" i="6"/>
  <c r="AC480" i="10" l="1"/>
  <c r="AC204" i="10"/>
  <c r="E479" i="10"/>
  <c r="AC482" i="10"/>
  <c r="AC479" i="10" s="1"/>
  <c r="O479" i="10"/>
  <c r="I479" i="10"/>
  <c r="Y479" i="10"/>
  <c r="AA479" i="10"/>
  <c r="S479" i="10"/>
  <c r="U479" i="10"/>
  <c r="W479" i="10"/>
  <c r="Q479" i="10"/>
  <c r="G479" i="10"/>
  <c r="K479" i="10"/>
  <c r="M479" i="10"/>
  <c r="AC395" i="10"/>
  <c r="AD395" i="10" s="1"/>
  <c r="AM178" i="6"/>
  <c r="AM180" i="6"/>
  <c r="AM179" i="6"/>
  <c r="E297" i="10"/>
  <c r="F297" i="10" s="1"/>
  <c r="E313" i="10"/>
  <c r="F313" i="10" s="1"/>
  <c r="B303" i="10"/>
  <c r="B302" i="10"/>
  <c r="B310" i="10"/>
  <c r="B317" i="10"/>
  <c r="B316" i="10"/>
  <c r="B309" i="10"/>
  <c r="B299" i="10"/>
  <c r="B296" i="10"/>
  <c r="B306" i="10"/>
  <c r="L424" i="6"/>
  <c r="L423" i="6"/>
  <c r="AB423" i="6" s="1"/>
  <c r="E301" i="10" s="1"/>
  <c r="F301" i="10" s="1"/>
  <c r="N423" i="6"/>
  <c r="AD423" i="6" s="1"/>
  <c r="I301" i="10" s="1"/>
  <c r="O423" i="6"/>
  <c r="AE423" i="6" s="1"/>
  <c r="K301" i="10" s="1"/>
  <c r="L301" i="10" s="1"/>
  <c r="P423" i="6"/>
  <c r="M299" i="10" s="1"/>
  <c r="Q423" i="6"/>
  <c r="AG423" i="6" s="1"/>
  <c r="O301" i="10" s="1"/>
  <c r="P301" i="10" s="1"/>
  <c r="R423" i="6"/>
  <c r="AH423" i="6" s="1"/>
  <c r="Q301" i="10" s="1"/>
  <c r="R301" i="10" s="1"/>
  <c r="S423" i="6"/>
  <c r="S299" i="10" s="1"/>
  <c r="T299" i="10" s="1"/>
  <c r="T423" i="6"/>
  <c r="U299" i="10" s="1"/>
  <c r="V299" i="10" s="1"/>
  <c r="U423" i="6"/>
  <c r="AK423" i="6" s="1"/>
  <c r="W301" i="10" s="1"/>
  <c r="X301" i="10" s="1"/>
  <c r="V423" i="6"/>
  <c r="AL423" i="6" s="1"/>
  <c r="Y301" i="10" s="1"/>
  <c r="Z301" i="10" s="1"/>
  <c r="W423" i="6"/>
  <c r="AA299" i="10" s="1"/>
  <c r="AB299" i="10" s="1"/>
  <c r="M423" i="6"/>
  <c r="AC423" i="6" s="1"/>
  <c r="G301" i="10" s="1"/>
  <c r="N425" i="6"/>
  <c r="I309" i="10" s="1"/>
  <c r="O425" i="6"/>
  <c r="K309" i="10" s="1"/>
  <c r="P425" i="6"/>
  <c r="M309" i="10" s="1"/>
  <c r="Q425" i="6"/>
  <c r="O309" i="10" s="1"/>
  <c r="P309" i="10" s="1"/>
  <c r="R425" i="6"/>
  <c r="Q309" i="10" s="1"/>
  <c r="R309" i="10" s="1"/>
  <c r="S425" i="6"/>
  <c r="S309" i="10" s="1"/>
  <c r="T309" i="10" s="1"/>
  <c r="T425" i="6"/>
  <c r="U309" i="10" s="1"/>
  <c r="V309" i="10" s="1"/>
  <c r="U425" i="6"/>
  <c r="W309" i="10" s="1"/>
  <c r="X309" i="10" s="1"/>
  <c r="V425" i="6"/>
  <c r="Y309" i="10" s="1"/>
  <c r="Z309" i="10" s="1"/>
  <c r="W425" i="6"/>
  <c r="AA309" i="10" s="1"/>
  <c r="AB309" i="10" s="1"/>
  <c r="L425" i="6"/>
  <c r="E309" i="10" s="1"/>
  <c r="M425" i="6"/>
  <c r="G309" i="10" s="1"/>
  <c r="N426" i="6"/>
  <c r="I316" i="10" s="1"/>
  <c r="O426" i="6"/>
  <c r="K316" i="10" s="1"/>
  <c r="L316" i="10" s="1"/>
  <c r="P426" i="6"/>
  <c r="M316" i="10" s="1"/>
  <c r="N316" i="10" s="1"/>
  <c r="Q426" i="6"/>
  <c r="O316" i="10" s="1"/>
  <c r="P316" i="10" s="1"/>
  <c r="R426" i="6"/>
  <c r="Q316" i="10" s="1"/>
  <c r="R316" i="10" s="1"/>
  <c r="S426" i="6"/>
  <c r="S316" i="10" s="1"/>
  <c r="T316" i="10" s="1"/>
  <c r="T426" i="6"/>
  <c r="U316" i="10" s="1"/>
  <c r="V316" i="10" s="1"/>
  <c r="U426" i="6"/>
  <c r="W316" i="10" s="1"/>
  <c r="X316" i="10" s="1"/>
  <c r="V426" i="6"/>
  <c r="Y316" i="10" s="1"/>
  <c r="Z316" i="10" s="1"/>
  <c r="W426" i="6"/>
  <c r="AA316" i="10" s="1"/>
  <c r="AB316" i="10" s="1"/>
  <c r="M426" i="6"/>
  <c r="G316" i="10" s="1"/>
  <c r="N427" i="6"/>
  <c r="I317" i="10" s="1"/>
  <c r="O427" i="6"/>
  <c r="K317" i="10" s="1"/>
  <c r="L317" i="10" s="1"/>
  <c r="P427" i="6"/>
  <c r="M317" i="10" s="1"/>
  <c r="N317" i="10" s="1"/>
  <c r="Q427" i="6"/>
  <c r="O317" i="10" s="1"/>
  <c r="P317" i="10" s="1"/>
  <c r="R427" i="6"/>
  <c r="Q317" i="10" s="1"/>
  <c r="R317" i="10" s="1"/>
  <c r="S427" i="6"/>
  <c r="S317" i="10" s="1"/>
  <c r="T317" i="10" s="1"/>
  <c r="T427" i="6"/>
  <c r="U317" i="10" s="1"/>
  <c r="V317" i="10" s="1"/>
  <c r="U427" i="6"/>
  <c r="W317" i="10" s="1"/>
  <c r="X317" i="10" s="1"/>
  <c r="V427" i="6"/>
  <c r="Y317" i="10" s="1"/>
  <c r="Z317" i="10" s="1"/>
  <c r="W427" i="6"/>
  <c r="AA317" i="10" s="1"/>
  <c r="AB317" i="10" s="1"/>
  <c r="N428" i="6"/>
  <c r="I310" i="10" s="1"/>
  <c r="O428" i="6"/>
  <c r="K310" i="10" s="1"/>
  <c r="P428" i="6"/>
  <c r="M310" i="10" s="1"/>
  <c r="N310" i="10" s="1"/>
  <c r="Q428" i="6"/>
  <c r="O310" i="10" s="1"/>
  <c r="P310" i="10" s="1"/>
  <c r="R428" i="6"/>
  <c r="Q310" i="10" s="1"/>
  <c r="R310" i="10" s="1"/>
  <c r="S428" i="6"/>
  <c r="S310" i="10" s="1"/>
  <c r="T310" i="10" s="1"/>
  <c r="T428" i="6"/>
  <c r="U310" i="10" s="1"/>
  <c r="V310" i="10" s="1"/>
  <c r="U428" i="6"/>
  <c r="W310" i="10" s="1"/>
  <c r="X310" i="10" s="1"/>
  <c r="V428" i="6"/>
  <c r="Y310" i="10" s="1"/>
  <c r="Z310" i="10" s="1"/>
  <c r="W428" i="6"/>
  <c r="AA310" i="10" s="1"/>
  <c r="AB310" i="10" s="1"/>
  <c r="M428" i="6"/>
  <c r="G310" i="10" s="1"/>
  <c r="M427" i="6"/>
  <c r="G317" i="10" s="1"/>
  <c r="L430" i="6"/>
  <c r="E303" i="10" s="1"/>
  <c r="N430" i="6"/>
  <c r="I303" i="10" s="1"/>
  <c r="O430" i="6"/>
  <c r="K303" i="10" s="1"/>
  <c r="P430" i="6"/>
  <c r="M303" i="10" s="1"/>
  <c r="Q430" i="6"/>
  <c r="O303" i="10" s="1"/>
  <c r="P303" i="10" s="1"/>
  <c r="R430" i="6"/>
  <c r="Q303" i="10" s="1"/>
  <c r="R303" i="10" s="1"/>
  <c r="S430" i="6"/>
  <c r="S303" i="10" s="1"/>
  <c r="T303" i="10" s="1"/>
  <c r="T430" i="6"/>
  <c r="U303" i="10" s="1"/>
  <c r="V303" i="10" s="1"/>
  <c r="U430" i="6"/>
  <c r="W303" i="10" s="1"/>
  <c r="X303" i="10" s="1"/>
  <c r="V430" i="6"/>
  <c r="Y303" i="10" s="1"/>
  <c r="Z303" i="10" s="1"/>
  <c r="W430" i="6"/>
  <c r="AA303" i="10" s="1"/>
  <c r="AB303" i="10" s="1"/>
  <c r="M430" i="6"/>
  <c r="G303" i="10" s="1"/>
  <c r="N429" i="6"/>
  <c r="I302" i="10" s="1"/>
  <c r="O429" i="6"/>
  <c r="K302" i="10" s="1"/>
  <c r="P429" i="6"/>
  <c r="M302" i="10" s="1"/>
  <c r="Q429" i="6"/>
  <c r="O302" i="10" s="1"/>
  <c r="P302" i="10" s="1"/>
  <c r="R429" i="6"/>
  <c r="Q302" i="10" s="1"/>
  <c r="R302" i="10" s="1"/>
  <c r="S429" i="6"/>
  <c r="S302" i="10" s="1"/>
  <c r="T302" i="10" s="1"/>
  <c r="T429" i="6"/>
  <c r="U302" i="10" s="1"/>
  <c r="V302" i="10" s="1"/>
  <c r="U429" i="6"/>
  <c r="W302" i="10" s="1"/>
  <c r="X302" i="10" s="1"/>
  <c r="V429" i="6"/>
  <c r="Y302" i="10" s="1"/>
  <c r="Z302" i="10" s="1"/>
  <c r="W429" i="6"/>
  <c r="AA302" i="10" s="1"/>
  <c r="AB302" i="10" s="1"/>
  <c r="M429" i="6"/>
  <c r="G302" i="10" s="1"/>
  <c r="W422" i="6"/>
  <c r="AM422" i="6" s="1"/>
  <c r="V422" i="6"/>
  <c r="AL422" i="6" s="1"/>
  <c r="U422" i="6"/>
  <c r="AK422" i="6" s="1"/>
  <c r="T422" i="6"/>
  <c r="AJ422" i="6" s="1"/>
  <c r="S422" i="6"/>
  <c r="AI422" i="6" s="1"/>
  <c r="R422" i="6"/>
  <c r="AH422" i="6" s="1"/>
  <c r="Q422" i="6"/>
  <c r="AG422" i="6" s="1"/>
  <c r="P422" i="6"/>
  <c r="AF422" i="6" s="1"/>
  <c r="O422" i="6"/>
  <c r="AE422" i="6" s="1"/>
  <c r="M422" i="6"/>
  <c r="AC422" i="6" s="1"/>
  <c r="W421" i="6"/>
  <c r="AM421" i="6" s="1"/>
  <c r="V421" i="6"/>
  <c r="AL421" i="6" s="1"/>
  <c r="U421" i="6"/>
  <c r="AK421" i="6" s="1"/>
  <c r="T421" i="6"/>
  <c r="AJ421" i="6" s="1"/>
  <c r="S421" i="6"/>
  <c r="AI421" i="6" s="1"/>
  <c r="R421" i="6"/>
  <c r="AH421" i="6" s="1"/>
  <c r="Q421" i="6"/>
  <c r="AG421" i="6" s="1"/>
  <c r="P421" i="6"/>
  <c r="AF421" i="6" s="1"/>
  <c r="O421" i="6"/>
  <c r="AE421" i="6" s="1"/>
  <c r="M421" i="6"/>
  <c r="AC421" i="6" s="1"/>
  <c r="W420" i="6"/>
  <c r="AM420" i="6" s="1"/>
  <c r="V420" i="6"/>
  <c r="AL420" i="6" s="1"/>
  <c r="U420" i="6"/>
  <c r="AK420" i="6" s="1"/>
  <c r="T420" i="6"/>
  <c r="AJ420" i="6" s="1"/>
  <c r="S420" i="6"/>
  <c r="AI420" i="6" s="1"/>
  <c r="R420" i="6"/>
  <c r="AH420" i="6" s="1"/>
  <c r="Q420" i="6"/>
  <c r="AG420" i="6" s="1"/>
  <c r="P420" i="6"/>
  <c r="AF420" i="6" s="1"/>
  <c r="O420" i="6"/>
  <c r="AE420" i="6" s="1"/>
  <c r="M420" i="6"/>
  <c r="AC420" i="6" s="1"/>
  <c r="W416" i="6"/>
  <c r="AM416" i="6" s="1"/>
  <c r="V416" i="6"/>
  <c r="AL416" i="6" s="1"/>
  <c r="U416" i="6"/>
  <c r="AK416" i="6" s="1"/>
  <c r="T416" i="6"/>
  <c r="AJ416" i="6" s="1"/>
  <c r="S416" i="6"/>
  <c r="AI416" i="6" s="1"/>
  <c r="R416" i="6"/>
  <c r="AH416" i="6" s="1"/>
  <c r="Q416" i="6"/>
  <c r="AG416" i="6" s="1"/>
  <c r="P416" i="6"/>
  <c r="AF416" i="6" s="1"/>
  <c r="O416" i="6"/>
  <c r="AE416" i="6" s="1"/>
  <c r="M416" i="6"/>
  <c r="AC416" i="6" s="1"/>
  <c r="W415" i="6"/>
  <c r="AM415" i="6" s="1"/>
  <c r="V415" i="6"/>
  <c r="AL415" i="6" s="1"/>
  <c r="U415" i="6"/>
  <c r="AK415" i="6" s="1"/>
  <c r="T415" i="6"/>
  <c r="AJ415" i="6" s="1"/>
  <c r="S415" i="6"/>
  <c r="AI415" i="6" s="1"/>
  <c r="R415" i="6"/>
  <c r="AH415" i="6" s="1"/>
  <c r="Q415" i="6"/>
  <c r="AG415" i="6" s="1"/>
  <c r="P415" i="6"/>
  <c r="AF415" i="6" s="1"/>
  <c r="O415" i="6"/>
  <c r="AE415" i="6" s="1"/>
  <c r="M415" i="6"/>
  <c r="AC415" i="6" s="1"/>
  <c r="W414" i="6"/>
  <c r="AM414" i="6" s="1"/>
  <c r="V414" i="6"/>
  <c r="AL414" i="6" s="1"/>
  <c r="U414" i="6"/>
  <c r="AK414" i="6" s="1"/>
  <c r="T414" i="6"/>
  <c r="AJ414" i="6" s="1"/>
  <c r="S414" i="6"/>
  <c r="AI414" i="6" s="1"/>
  <c r="R414" i="6"/>
  <c r="AH414" i="6" s="1"/>
  <c r="Q414" i="6"/>
  <c r="AG414" i="6" s="1"/>
  <c r="P414" i="6"/>
  <c r="AF414" i="6" s="1"/>
  <c r="O414" i="6"/>
  <c r="AE414" i="6" s="1"/>
  <c r="M414" i="6"/>
  <c r="AC414" i="6" s="1"/>
  <c r="O408" i="6"/>
  <c r="AE408" i="6" s="1"/>
  <c r="P408" i="6"/>
  <c r="AF408" i="6" s="1"/>
  <c r="Q408" i="6"/>
  <c r="AG408" i="6" s="1"/>
  <c r="R408" i="6"/>
  <c r="AH408" i="6" s="1"/>
  <c r="S408" i="6"/>
  <c r="AI408" i="6" s="1"/>
  <c r="T408" i="6"/>
  <c r="AJ408" i="6" s="1"/>
  <c r="U408" i="6"/>
  <c r="AK408" i="6" s="1"/>
  <c r="V408" i="6"/>
  <c r="AL408" i="6" s="1"/>
  <c r="W408" i="6"/>
  <c r="AM408" i="6" s="1"/>
  <c r="O409" i="6"/>
  <c r="AE409" i="6" s="1"/>
  <c r="P409" i="6"/>
  <c r="AF409" i="6" s="1"/>
  <c r="Q409" i="6"/>
  <c r="AG409" i="6" s="1"/>
  <c r="R409" i="6"/>
  <c r="AH409" i="6" s="1"/>
  <c r="S409" i="6"/>
  <c r="AI409" i="6" s="1"/>
  <c r="T409" i="6"/>
  <c r="AJ409" i="6" s="1"/>
  <c r="U409" i="6"/>
  <c r="AK409" i="6" s="1"/>
  <c r="V409" i="6"/>
  <c r="AL409" i="6" s="1"/>
  <c r="W409" i="6"/>
  <c r="AM409" i="6" s="1"/>
  <c r="O410" i="6"/>
  <c r="AE410" i="6" s="1"/>
  <c r="P410" i="6"/>
  <c r="AF410" i="6" s="1"/>
  <c r="Q410" i="6"/>
  <c r="AG410" i="6" s="1"/>
  <c r="R410" i="6"/>
  <c r="AH410" i="6" s="1"/>
  <c r="S410" i="6"/>
  <c r="AI410" i="6" s="1"/>
  <c r="T410" i="6"/>
  <c r="AJ410" i="6" s="1"/>
  <c r="U410" i="6"/>
  <c r="AK410" i="6" s="1"/>
  <c r="V410" i="6"/>
  <c r="AL410" i="6" s="1"/>
  <c r="W410" i="6"/>
  <c r="AM410" i="6" s="1"/>
  <c r="M410" i="6"/>
  <c r="AC410" i="6" s="1"/>
  <c r="M409" i="6"/>
  <c r="AC409" i="6" s="1"/>
  <c r="M408" i="6"/>
  <c r="AC408" i="6" s="1"/>
  <c r="W419" i="6"/>
  <c r="AM419" i="6" s="1"/>
  <c r="V419" i="6"/>
  <c r="AL419" i="6" s="1"/>
  <c r="U419" i="6"/>
  <c r="AK419" i="6" s="1"/>
  <c r="T419" i="6"/>
  <c r="AJ419" i="6" s="1"/>
  <c r="S419" i="6"/>
  <c r="AI419" i="6" s="1"/>
  <c r="R419" i="6"/>
  <c r="AH419" i="6" s="1"/>
  <c r="Q419" i="6"/>
  <c r="AG419" i="6" s="1"/>
  <c r="P419" i="6"/>
  <c r="AF419" i="6" s="1"/>
  <c r="O419" i="6"/>
  <c r="AE419" i="6" s="1"/>
  <c r="M419" i="6"/>
  <c r="AC419" i="6" s="1"/>
  <c r="W418" i="6"/>
  <c r="AM418" i="6" s="1"/>
  <c r="V418" i="6"/>
  <c r="AL418" i="6" s="1"/>
  <c r="U418" i="6"/>
  <c r="AK418" i="6" s="1"/>
  <c r="T418" i="6"/>
  <c r="AJ418" i="6" s="1"/>
  <c r="S418" i="6"/>
  <c r="AI418" i="6" s="1"/>
  <c r="R418" i="6"/>
  <c r="AH418" i="6" s="1"/>
  <c r="Q418" i="6"/>
  <c r="AG418" i="6" s="1"/>
  <c r="P418" i="6"/>
  <c r="AF418" i="6" s="1"/>
  <c r="O418" i="6"/>
  <c r="AE418" i="6" s="1"/>
  <c r="M418" i="6"/>
  <c r="AC418" i="6" s="1"/>
  <c r="W417" i="6"/>
  <c r="AM417" i="6" s="1"/>
  <c r="V417" i="6"/>
  <c r="AL417" i="6" s="1"/>
  <c r="U417" i="6"/>
  <c r="AK417" i="6" s="1"/>
  <c r="T417" i="6"/>
  <c r="AJ417" i="6" s="1"/>
  <c r="S417" i="6"/>
  <c r="AI417" i="6" s="1"/>
  <c r="R417" i="6"/>
  <c r="AH417" i="6" s="1"/>
  <c r="Q417" i="6"/>
  <c r="AG417" i="6" s="1"/>
  <c r="P417" i="6"/>
  <c r="AF417" i="6" s="1"/>
  <c r="O417" i="6"/>
  <c r="AE417" i="6" s="1"/>
  <c r="M417" i="6"/>
  <c r="AC417" i="6" s="1"/>
  <c r="O411" i="6"/>
  <c r="AE411" i="6" s="1"/>
  <c r="P411" i="6"/>
  <c r="AF411" i="6" s="1"/>
  <c r="Q411" i="6"/>
  <c r="AG411" i="6" s="1"/>
  <c r="R411" i="6"/>
  <c r="AH411" i="6" s="1"/>
  <c r="S411" i="6"/>
  <c r="AI411" i="6" s="1"/>
  <c r="T411" i="6"/>
  <c r="AJ411" i="6" s="1"/>
  <c r="U411" i="6"/>
  <c r="AK411" i="6" s="1"/>
  <c r="V411" i="6"/>
  <c r="AL411" i="6" s="1"/>
  <c r="W411" i="6"/>
  <c r="AM411" i="6" s="1"/>
  <c r="O412" i="6"/>
  <c r="AE412" i="6" s="1"/>
  <c r="P412" i="6"/>
  <c r="AF412" i="6" s="1"/>
  <c r="Q412" i="6"/>
  <c r="AG412" i="6" s="1"/>
  <c r="R412" i="6"/>
  <c r="AH412" i="6" s="1"/>
  <c r="S412" i="6"/>
  <c r="AI412" i="6" s="1"/>
  <c r="T412" i="6"/>
  <c r="AJ412" i="6" s="1"/>
  <c r="U412" i="6"/>
  <c r="AK412" i="6" s="1"/>
  <c r="V412" i="6"/>
  <c r="AL412" i="6" s="1"/>
  <c r="W412" i="6"/>
  <c r="AM412" i="6" s="1"/>
  <c r="O413" i="6"/>
  <c r="AE413" i="6" s="1"/>
  <c r="P413" i="6"/>
  <c r="AF413" i="6" s="1"/>
  <c r="Q413" i="6"/>
  <c r="AG413" i="6" s="1"/>
  <c r="R413" i="6"/>
  <c r="AH413" i="6" s="1"/>
  <c r="S413" i="6"/>
  <c r="AI413" i="6" s="1"/>
  <c r="T413" i="6"/>
  <c r="AJ413" i="6" s="1"/>
  <c r="U413" i="6"/>
  <c r="AK413" i="6" s="1"/>
  <c r="V413" i="6"/>
  <c r="AL413" i="6" s="1"/>
  <c r="W413" i="6"/>
  <c r="AM413" i="6" s="1"/>
  <c r="M412" i="6"/>
  <c r="AC412" i="6" s="1"/>
  <c r="M413" i="6"/>
  <c r="AC413" i="6" s="1"/>
  <c r="M411" i="6"/>
  <c r="AC411" i="6" s="1"/>
  <c r="O405" i="6"/>
  <c r="P405" i="6"/>
  <c r="Q405" i="6"/>
  <c r="R405" i="6"/>
  <c r="S405" i="6"/>
  <c r="T405" i="6"/>
  <c r="U405" i="6"/>
  <c r="V405" i="6"/>
  <c r="W405" i="6"/>
  <c r="O406" i="6"/>
  <c r="P406" i="6"/>
  <c r="Q406" i="6"/>
  <c r="R406" i="6"/>
  <c r="S406" i="6"/>
  <c r="T406" i="6"/>
  <c r="U406" i="6"/>
  <c r="V406" i="6"/>
  <c r="W406" i="6"/>
  <c r="O407" i="6"/>
  <c r="P407" i="6"/>
  <c r="Q407" i="6"/>
  <c r="R407" i="6"/>
  <c r="S407" i="6"/>
  <c r="T407" i="6"/>
  <c r="U407" i="6"/>
  <c r="V407" i="6"/>
  <c r="W407" i="6"/>
  <c r="M407" i="6"/>
  <c r="M406" i="6"/>
  <c r="M405" i="6"/>
  <c r="H479" i="10" l="1"/>
  <c r="T479" i="10"/>
  <c r="P479" i="10"/>
  <c r="E471" i="10"/>
  <c r="R479" i="10"/>
  <c r="AB479" i="10"/>
  <c r="F24" i="18"/>
  <c r="EJ24" i="18" s="1"/>
  <c r="EG17" i="14" s="1"/>
  <c r="E305" i="10"/>
  <c r="N479" i="10"/>
  <c r="X479" i="10"/>
  <c r="Z479" i="10"/>
  <c r="L479" i="10"/>
  <c r="V479" i="10"/>
  <c r="J479" i="10"/>
  <c r="G308" i="10"/>
  <c r="Y308" i="10"/>
  <c r="Z308" i="10" s="1"/>
  <c r="Q308" i="10"/>
  <c r="R308" i="10" s="1"/>
  <c r="W308" i="10"/>
  <c r="X308" i="10" s="1"/>
  <c r="O308" i="10"/>
  <c r="P308" i="10" s="1"/>
  <c r="U308" i="10"/>
  <c r="V308" i="10" s="1"/>
  <c r="M308" i="10"/>
  <c r="N308" i="10" s="1"/>
  <c r="AA308" i="10"/>
  <c r="AB308" i="10" s="1"/>
  <c r="S308" i="10"/>
  <c r="T308" i="10" s="1"/>
  <c r="K308" i="10"/>
  <c r="L308" i="10" s="1"/>
  <c r="G315" i="10"/>
  <c r="U315" i="10"/>
  <c r="V315" i="10" s="1"/>
  <c r="W315" i="10"/>
  <c r="X315" i="10" s="1"/>
  <c r="O315" i="10"/>
  <c r="P315" i="10" s="1"/>
  <c r="M315" i="10"/>
  <c r="N315" i="10" s="1"/>
  <c r="Y315" i="10"/>
  <c r="Z315" i="10" s="1"/>
  <c r="Q315" i="10"/>
  <c r="R315" i="10" s="1"/>
  <c r="I315" i="10"/>
  <c r="AA315" i="10"/>
  <c r="AB315" i="10" s="1"/>
  <c r="S315" i="10"/>
  <c r="T315" i="10" s="1"/>
  <c r="K315" i="10"/>
  <c r="L315" i="10" s="1"/>
  <c r="K298" i="10"/>
  <c r="L298" i="10" s="1"/>
  <c r="S298" i="10"/>
  <c r="T298" i="10" s="1"/>
  <c r="AA298" i="10"/>
  <c r="AB298" i="10" s="1"/>
  <c r="G314" i="10"/>
  <c r="U298" i="10"/>
  <c r="V298" i="10" s="1"/>
  <c r="W306" i="10"/>
  <c r="X306" i="10" s="1"/>
  <c r="AA306" i="10"/>
  <c r="S306" i="10"/>
  <c r="K306" i="10"/>
  <c r="U314" i="10"/>
  <c r="V314" i="10" s="1"/>
  <c r="M314" i="10"/>
  <c r="N314" i="10" s="1"/>
  <c r="Q298" i="10"/>
  <c r="R298" i="10" s="1"/>
  <c r="Y298" i="10"/>
  <c r="Z298" i="10" s="1"/>
  <c r="AI423" i="6"/>
  <c r="S301" i="10" s="1"/>
  <c r="G306" i="10"/>
  <c r="Y306" i="10"/>
  <c r="Z306" i="10" s="1"/>
  <c r="Q306" i="10"/>
  <c r="R306" i="10" s="1"/>
  <c r="AA314" i="10"/>
  <c r="AB314" i="10" s="1"/>
  <c r="S314" i="10"/>
  <c r="T314" i="10" s="1"/>
  <c r="K314" i="10"/>
  <c r="L314" i="10" s="1"/>
  <c r="I299" i="10"/>
  <c r="Y314" i="10"/>
  <c r="Z314" i="10" s="1"/>
  <c r="Q314" i="10"/>
  <c r="R314" i="10" s="1"/>
  <c r="M298" i="10"/>
  <c r="N298" i="10" s="1"/>
  <c r="O306" i="10"/>
  <c r="U306" i="10"/>
  <c r="M306" i="10"/>
  <c r="W314" i="10"/>
  <c r="X314" i="10" s="1"/>
  <c r="O314" i="10"/>
  <c r="P314" i="10" s="1"/>
  <c r="G298" i="10"/>
  <c r="O298" i="10"/>
  <c r="P298" i="10" s="1"/>
  <c r="W298" i="10"/>
  <c r="X298" i="10" s="1"/>
  <c r="AJ423" i="6"/>
  <c r="U301" i="10" s="1"/>
  <c r="G296" i="10"/>
  <c r="Y299" i="10"/>
  <c r="Z299" i="10" s="1"/>
  <c r="K299" i="10"/>
  <c r="W296" i="10"/>
  <c r="X296" i="10" s="1"/>
  <c r="AA312" i="10"/>
  <c r="AB312" i="10" s="1"/>
  <c r="M312" i="10"/>
  <c r="N312" i="10" s="1"/>
  <c r="U312" i="10"/>
  <c r="V312" i="10" s="1"/>
  <c r="S312" i="10"/>
  <c r="T312" i="10" s="1"/>
  <c r="Q299" i="10"/>
  <c r="R299" i="10" s="1"/>
  <c r="Q312" i="10"/>
  <c r="R312" i="10" s="1"/>
  <c r="E299" i="10"/>
  <c r="W299" i="10"/>
  <c r="O296" i="10"/>
  <c r="P296" i="10" s="1"/>
  <c r="Y312" i="10"/>
  <c r="Z312" i="10" s="1"/>
  <c r="K312" i="10"/>
  <c r="L312" i="10" s="1"/>
  <c r="AF423" i="6"/>
  <c r="M301" i="10" s="1"/>
  <c r="O299" i="10"/>
  <c r="AA296" i="10"/>
  <c r="M296" i="10"/>
  <c r="W312" i="10"/>
  <c r="X312" i="10" s="1"/>
  <c r="U296" i="10"/>
  <c r="S296" i="10"/>
  <c r="Q296" i="10"/>
  <c r="R296" i="10" s="1"/>
  <c r="AM423" i="6"/>
  <c r="AA301" i="10" s="1"/>
  <c r="G312" i="10"/>
  <c r="G299" i="10"/>
  <c r="Y296" i="10"/>
  <c r="Z296" i="10" s="1"/>
  <c r="K296" i="10"/>
  <c r="L296" i="10" s="1"/>
  <c r="O312" i="10"/>
  <c r="P312" i="10" s="1"/>
  <c r="AC317" i="10"/>
  <c r="AC316" i="10"/>
  <c r="AC309" i="10"/>
  <c r="AC303" i="10"/>
  <c r="AC302" i="10"/>
  <c r="AC310" i="10"/>
  <c r="M295" i="10" l="1"/>
  <c r="N296" i="10"/>
  <c r="E295" i="10"/>
  <c r="E294" i="10" s="1"/>
  <c r="K300" i="10"/>
  <c r="L300" i="10" s="1"/>
  <c r="S307" i="10"/>
  <c r="T307" i="10" s="1"/>
  <c r="T306" i="10"/>
  <c r="G300" i="10"/>
  <c r="S295" i="10"/>
  <c r="T295" i="10" s="1"/>
  <c r="T296" i="10"/>
  <c r="AA295" i="10"/>
  <c r="AB295" i="10" s="1"/>
  <c r="AB296" i="10"/>
  <c r="M307" i="10"/>
  <c r="N307" i="10" s="1"/>
  <c r="N306" i="10"/>
  <c r="AA307" i="10"/>
  <c r="AB307" i="10" s="1"/>
  <c r="AB306" i="10"/>
  <c r="U295" i="10"/>
  <c r="V295" i="10" s="1"/>
  <c r="V296" i="10"/>
  <c r="O300" i="10"/>
  <c r="P300" i="10" s="1"/>
  <c r="P299" i="10"/>
  <c r="U307" i="10"/>
  <c r="V307" i="10" s="1"/>
  <c r="V306" i="10"/>
  <c r="S300" i="10"/>
  <c r="T300" i="10" s="1"/>
  <c r="T301" i="10"/>
  <c r="AA300" i="10"/>
  <c r="AB300" i="10" s="1"/>
  <c r="AB301" i="10"/>
  <c r="M300" i="10"/>
  <c r="N300" i="10" s="1"/>
  <c r="N301" i="10"/>
  <c r="W300" i="10"/>
  <c r="X300" i="10" s="1"/>
  <c r="X299" i="10"/>
  <c r="U300" i="10"/>
  <c r="V300" i="10" s="1"/>
  <c r="V301" i="10"/>
  <c r="O307" i="10"/>
  <c r="P307" i="10" s="1"/>
  <c r="P306" i="10"/>
  <c r="I300" i="10"/>
  <c r="K307" i="10"/>
  <c r="L307" i="10" s="1"/>
  <c r="L306" i="10"/>
  <c r="Y307" i="10"/>
  <c r="Z307" i="10" s="1"/>
  <c r="G307" i="10"/>
  <c r="Y295" i="10"/>
  <c r="Z295" i="10" s="1"/>
  <c r="Q295" i="10"/>
  <c r="R295" i="10" s="1"/>
  <c r="Q307" i="10"/>
  <c r="R307" i="10" s="1"/>
  <c r="K295" i="10"/>
  <c r="W307" i="10"/>
  <c r="X307" i="10" s="1"/>
  <c r="U305" i="10"/>
  <c r="V305" i="10" s="1"/>
  <c r="Y305" i="10"/>
  <c r="Z305" i="10" s="1"/>
  <c r="K305" i="10"/>
  <c r="O305" i="10"/>
  <c r="P305" i="10" s="1"/>
  <c r="G305" i="10"/>
  <c r="S305" i="10"/>
  <c r="T305" i="10" s="1"/>
  <c r="AA305" i="10"/>
  <c r="AB305" i="10" s="1"/>
  <c r="M305" i="10"/>
  <c r="Q305" i="10"/>
  <c r="R305" i="10" s="1"/>
  <c r="W305" i="10"/>
  <c r="X305" i="10" s="1"/>
  <c r="Q311" i="10"/>
  <c r="R311" i="10" s="1"/>
  <c r="G311" i="10"/>
  <c r="M311" i="10"/>
  <c r="N311" i="10" s="1"/>
  <c r="W311" i="10"/>
  <c r="X311" i="10" s="1"/>
  <c r="O311" i="10"/>
  <c r="P311" i="10" s="1"/>
  <c r="U311" i="10"/>
  <c r="V311" i="10" s="1"/>
  <c r="Y311" i="10"/>
  <c r="Z311" i="10" s="1"/>
  <c r="O295" i="10"/>
  <c r="P295" i="10" s="1"/>
  <c r="G295" i="10"/>
  <c r="W295" i="10"/>
  <c r="X295" i="10" s="1"/>
  <c r="K311" i="10"/>
  <c r="L311" i="10" s="1"/>
  <c r="S311" i="10"/>
  <c r="T311" i="10" s="1"/>
  <c r="AA311" i="10"/>
  <c r="AB311" i="10" s="1"/>
  <c r="AC315" i="10"/>
  <c r="Q313" i="10"/>
  <c r="R313" i="10" s="1"/>
  <c r="G313" i="10"/>
  <c r="Y313" i="10"/>
  <c r="Z313" i="10" s="1"/>
  <c r="Q297" i="10"/>
  <c r="R297" i="10" s="1"/>
  <c r="G297" i="10"/>
  <c r="M313" i="10"/>
  <c r="N313" i="10" s="1"/>
  <c r="Y297" i="10"/>
  <c r="Z297" i="10" s="1"/>
  <c r="O297" i="10"/>
  <c r="P297" i="10" s="1"/>
  <c r="W297" i="10"/>
  <c r="X297" i="10" s="1"/>
  <c r="AC301" i="10"/>
  <c r="W313" i="10"/>
  <c r="X313" i="10" s="1"/>
  <c r="M297" i="10"/>
  <c r="N297" i="10" s="1"/>
  <c r="U313" i="10"/>
  <c r="V313" i="10" s="1"/>
  <c r="Y300" i="10"/>
  <c r="Z300" i="10" s="1"/>
  <c r="AA313" i="10"/>
  <c r="AB313" i="10" s="1"/>
  <c r="O313" i="10"/>
  <c r="P313" i="10" s="1"/>
  <c r="U297" i="10"/>
  <c r="V297" i="10" s="1"/>
  <c r="S313" i="10"/>
  <c r="T313" i="10" s="1"/>
  <c r="AA297" i="10"/>
  <c r="AB297" i="10" s="1"/>
  <c r="S297" i="10"/>
  <c r="T297" i="10" s="1"/>
  <c r="Q300" i="10"/>
  <c r="R300" i="10" s="1"/>
  <c r="AC299" i="10"/>
  <c r="K297" i="10"/>
  <c r="L297" i="10" s="1"/>
  <c r="E300" i="10"/>
  <c r="K313" i="10"/>
  <c r="L313" i="10" s="1"/>
  <c r="U294" i="10" l="1"/>
  <c r="V294" i="10" s="1"/>
  <c r="M294" i="10"/>
  <c r="S294" i="10"/>
  <c r="T294" i="10" s="1"/>
  <c r="Y294" i="10"/>
  <c r="Z294" i="10" s="1"/>
  <c r="AA294" i="10"/>
  <c r="AB294" i="10" s="1"/>
  <c r="Q294" i="10"/>
  <c r="R294" i="10" s="1"/>
  <c r="K294" i="10"/>
  <c r="W294" i="10"/>
  <c r="X294" i="10" s="1"/>
  <c r="O294" i="10"/>
  <c r="P294" i="10" s="1"/>
  <c r="G294" i="10"/>
  <c r="AC300" i="10"/>
  <c r="N347" i="6"/>
  <c r="O347" i="6"/>
  <c r="P347" i="6"/>
  <c r="Q347" i="6"/>
  <c r="R347" i="6"/>
  <c r="S347" i="6"/>
  <c r="T347" i="6"/>
  <c r="U347" i="6"/>
  <c r="V347" i="6"/>
  <c r="W347" i="6"/>
  <c r="M347" i="6"/>
  <c r="M348" i="6"/>
  <c r="E580" i="10" l="1"/>
  <c r="F580" i="10" s="1"/>
  <c r="E585" i="10"/>
  <c r="F585" i="10" s="1"/>
  <c r="E432" i="10"/>
  <c r="F432" i="10" s="1"/>
  <c r="E428" i="10"/>
  <c r="F428" i="10" s="1"/>
  <c r="E424" i="10"/>
  <c r="F424" i="10" s="1"/>
  <c r="E416" i="10"/>
  <c r="F416" i="10" s="1"/>
  <c r="M372" i="6"/>
  <c r="AC372" i="6" s="1"/>
  <c r="N360" i="6"/>
  <c r="O360" i="6"/>
  <c r="P360" i="6"/>
  <c r="Q360" i="6"/>
  <c r="R360" i="6"/>
  <c r="S360" i="6"/>
  <c r="T360" i="6"/>
  <c r="U360" i="6"/>
  <c r="V360" i="6"/>
  <c r="W360" i="6"/>
  <c r="M360" i="6"/>
  <c r="N358" i="6"/>
  <c r="O358" i="6"/>
  <c r="P358" i="6"/>
  <c r="Q358" i="6"/>
  <c r="R358" i="6"/>
  <c r="S358" i="6"/>
  <c r="T358" i="6"/>
  <c r="U358" i="6"/>
  <c r="V358" i="6"/>
  <c r="W358" i="6"/>
  <c r="N359" i="6"/>
  <c r="O359" i="6"/>
  <c r="P359" i="6"/>
  <c r="Q359" i="6"/>
  <c r="R359" i="6"/>
  <c r="S359" i="6"/>
  <c r="T359" i="6"/>
  <c r="U359" i="6"/>
  <c r="V359" i="6"/>
  <c r="W359" i="6"/>
  <c r="M359" i="6"/>
  <c r="M358" i="6"/>
  <c r="N352" i="6"/>
  <c r="I574" i="10" s="1"/>
  <c r="O352" i="6"/>
  <c r="K574" i="10" s="1"/>
  <c r="L574" i="10" s="1"/>
  <c r="P352" i="6"/>
  <c r="M574" i="10" s="1"/>
  <c r="N574" i="10" s="1"/>
  <c r="Q352" i="6"/>
  <c r="O574" i="10" s="1"/>
  <c r="P574" i="10" s="1"/>
  <c r="R352" i="6"/>
  <c r="Q574" i="10" s="1"/>
  <c r="R574" i="10" s="1"/>
  <c r="S352" i="6"/>
  <c r="S574" i="10" s="1"/>
  <c r="T574" i="10" s="1"/>
  <c r="T352" i="6"/>
  <c r="U574" i="10" s="1"/>
  <c r="V574" i="10" s="1"/>
  <c r="U352" i="6"/>
  <c r="W574" i="10" s="1"/>
  <c r="X574" i="10" s="1"/>
  <c r="V352" i="6"/>
  <c r="Y574" i="10" s="1"/>
  <c r="Z574" i="10" s="1"/>
  <c r="W352" i="6"/>
  <c r="AA574" i="10" s="1"/>
  <c r="AB574" i="10" s="1"/>
  <c r="N353" i="6"/>
  <c r="I575" i="10" s="1"/>
  <c r="J575" i="10" s="1"/>
  <c r="O353" i="6"/>
  <c r="K575" i="10" s="1"/>
  <c r="L575" i="10" s="1"/>
  <c r="P353" i="6"/>
  <c r="M575" i="10" s="1"/>
  <c r="N575" i="10" s="1"/>
  <c r="Q353" i="6"/>
  <c r="O575" i="10" s="1"/>
  <c r="P575" i="10" s="1"/>
  <c r="R353" i="6"/>
  <c r="Q575" i="10" s="1"/>
  <c r="R575" i="10" s="1"/>
  <c r="S353" i="6"/>
  <c r="S575" i="10" s="1"/>
  <c r="T575" i="10" s="1"/>
  <c r="T353" i="6"/>
  <c r="U575" i="10" s="1"/>
  <c r="V575" i="10" s="1"/>
  <c r="U353" i="6"/>
  <c r="W575" i="10" s="1"/>
  <c r="X575" i="10" s="1"/>
  <c r="V353" i="6"/>
  <c r="Y575" i="10" s="1"/>
  <c r="Z575" i="10" s="1"/>
  <c r="W353" i="6"/>
  <c r="AA575" i="10" s="1"/>
  <c r="AB575" i="10" s="1"/>
  <c r="M352" i="6"/>
  <c r="G574" i="10" s="1"/>
  <c r="H574" i="10" s="1"/>
  <c r="M353" i="6"/>
  <c r="G575" i="10" s="1"/>
  <c r="N354" i="6"/>
  <c r="O354" i="6"/>
  <c r="P354" i="6"/>
  <c r="Q354" i="6"/>
  <c r="R354" i="6"/>
  <c r="S354" i="6"/>
  <c r="T354" i="6"/>
  <c r="U354" i="6"/>
  <c r="V354" i="6"/>
  <c r="W354" i="6"/>
  <c r="N355" i="6"/>
  <c r="O355" i="6"/>
  <c r="P355" i="6"/>
  <c r="Q355" i="6"/>
  <c r="R355" i="6"/>
  <c r="S355" i="6"/>
  <c r="T355" i="6"/>
  <c r="U355" i="6"/>
  <c r="V355" i="6"/>
  <c r="W355" i="6"/>
  <c r="N356" i="6"/>
  <c r="I588" i="10" s="1"/>
  <c r="O356" i="6"/>
  <c r="K588" i="10" s="1"/>
  <c r="L588" i="10" s="1"/>
  <c r="P356" i="6"/>
  <c r="M588" i="10" s="1"/>
  <c r="N588" i="10" s="1"/>
  <c r="Q356" i="6"/>
  <c r="O588" i="10" s="1"/>
  <c r="P588" i="10" s="1"/>
  <c r="R356" i="6"/>
  <c r="Q588" i="10" s="1"/>
  <c r="R588" i="10" s="1"/>
  <c r="S356" i="6"/>
  <c r="S588" i="10" s="1"/>
  <c r="T588" i="10" s="1"/>
  <c r="T356" i="6"/>
  <c r="U588" i="10" s="1"/>
  <c r="V588" i="10" s="1"/>
  <c r="U356" i="6"/>
  <c r="W588" i="10" s="1"/>
  <c r="X588" i="10" s="1"/>
  <c r="V356" i="6"/>
  <c r="Y588" i="10" s="1"/>
  <c r="Z588" i="10" s="1"/>
  <c r="W356" i="6"/>
  <c r="AA588" i="10" s="1"/>
  <c r="AB588" i="10" s="1"/>
  <c r="N357" i="6"/>
  <c r="I589" i="10" s="1"/>
  <c r="O357" i="6"/>
  <c r="K589" i="10" s="1"/>
  <c r="L589" i="10" s="1"/>
  <c r="P357" i="6"/>
  <c r="M589" i="10" s="1"/>
  <c r="N589" i="10" s="1"/>
  <c r="Q357" i="6"/>
  <c r="O589" i="10" s="1"/>
  <c r="P589" i="10" s="1"/>
  <c r="R357" i="6"/>
  <c r="Q589" i="10" s="1"/>
  <c r="R589" i="10" s="1"/>
  <c r="S357" i="6"/>
  <c r="S589" i="10" s="1"/>
  <c r="T589" i="10" s="1"/>
  <c r="T357" i="6"/>
  <c r="U589" i="10" s="1"/>
  <c r="V589" i="10" s="1"/>
  <c r="U357" i="6"/>
  <c r="W589" i="10" s="1"/>
  <c r="X589" i="10" s="1"/>
  <c r="V357" i="6"/>
  <c r="Y589" i="10" s="1"/>
  <c r="Z589" i="10" s="1"/>
  <c r="W357" i="6"/>
  <c r="AA589" i="10" s="1"/>
  <c r="AB589" i="10" s="1"/>
  <c r="M354" i="6"/>
  <c r="M355" i="6"/>
  <c r="M357" i="6"/>
  <c r="G589" i="10" s="1"/>
  <c r="M356" i="6"/>
  <c r="G588" i="10" s="1"/>
  <c r="N363" i="6"/>
  <c r="I579" i="10" s="1"/>
  <c r="O363" i="6"/>
  <c r="K579" i="10" s="1"/>
  <c r="L579" i="10" s="1"/>
  <c r="P363" i="6"/>
  <c r="M579" i="10" s="1"/>
  <c r="N579" i="10" s="1"/>
  <c r="Q363" i="6"/>
  <c r="O579" i="10" s="1"/>
  <c r="P579" i="10" s="1"/>
  <c r="R363" i="6"/>
  <c r="Q579" i="10" s="1"/>
  <c r="R579" i="10" s="1"/>
  <c r="S363" i="6"/>
  <c r="S579" i="10" s="1"/>
  <c r="T579" i="10" s="1"/>
  <c r="T363" i="6"/>
  <c r="U579" i="10" s="1"/>
  <c r="V579" i="10" s="1"/>
  <c r="U363" i="6"/>
  <c r="W579" i="10" s="1"/>
  <c r="X579" i="10" s="1"/>
  <c r="V363" i="6"/>
  <c r="Y579" i="10" s="1"/>
  <c r="Z579" i="10" s="1"/>
  <c r="W363" i="6"/>
  <c r="AA579" i="10" s="1"/>
  <c r="AB579" i="10" s="1"/>
  <c r="N364" i="6"/>
  <c r="I582" i="10" s="1"/>
  <c r="O364" i="6"/>
  <c r="K582" i="10" s="1"/>
  <c r="L582" i="10" s="1"/>
  <c r="P364" i="6"/>
  <c r="M582" i="10" s="1"/>
  <c r="N582" i="10" s="1"/>
  <c r="Q364" i="6"/>
  <c r="O582" i="10" s="1"/>
  <c r="P582" i="10" s="1"/>
  <c r="R364" i="6"/>
  <c r="Q582" i="10" s="1"/>
  <c r="R582" i="10" s="1"/>
  <c r="S364" i="6"/>
  <c r="S582" i="10" s="1"/>
  <c r="T582" i="10" s="1"/>
  <c r="T364" i="6"/>
  <c r="U582" i="10" s="1"/>
  <c r="V582" i="10" s="1"/>
  <c r="U364" i="6"/>
  <c r="W582" i="10" s="1"/>
  <c r="X582" i="10" s="1"/>
  <c r="V364" i="6"/>
  <c r="Y582" i="10" s="1"/>
  <c r="Z582" i="10" s="1"/>
  <c r="W364" i="6"/>
  <c r="AA582" i="10" s="1"/>
  <c r="AB582" i="10" s="1"/>
  <c r="N365" i="6"/>
  <c r="I583" i="10" s="1"/>
  <c r="O365" i="6"/>
  <c r="K583" i="10" s="1"/>
  <c r="L583" i="10" s="1"/>
  <c r="P365" i="6"/>
  <c r="M583" i="10" s="1"/>
  <c r="N583" i="10" s="1"/>
  <c r="Q365" i="6"/>
  <c r="O583" i="10" s="1"/>
  <c r="P583" i="10" s="1"/>
  <c r="R365" i="6"/>
  <c r="Q583" i="10" s="1"/>
  <c r="R583" i="10" s="1"/>
  <c r="S365" i="6"/>
  <c r="S583" i="10" s="1"/>
  <c r="T583" i="10" s="1"/>
  <c r="T365" i="6"/>
  <c r="U583" i="10" s="1"/>
  <c r="V583" i="10" s="1"/>
  <c r="U365" i="6"/>
  <c r="W583" i="10" s="1"/>
  <c r="X583" i="10" s="1"/>
  <c r="V365" i="6"/>
  <c r="Y583" i="10" s="1"/>
  <c r="Z583" i="10" s="1"/>
  <c r="W365" i="6"/>
  <c r="AA583" i="10" s="1"/>
  <c r="AB583" i="10" s="1"/>
  <c r="G583" i="10"/>
  <c r="M364" i="6"/>
  <c r="AC364" i="6" s="1"/>
  <c r="G581" i="10" s="1"/>
  <c r="M363" i="6"/>
  <c r="G579" i="10" s="1"/>
  <c r="N361" i="6"/>
  <c r="O361" i="6"/>
  <c r="P361" i="6"/>
  <c r="Q361" i="6"/>
  <c r="R361" i="6"/>
  <c r="S361" i="6"/>
  <c r="T361" i="6"/>
  <c r="U361" i="6"/>
  <c r="V361" i="6"/>
  <c r="W361" i="6"/>
  <c r="N362" i="6"/>
  <c r="O362" i="6"/>
  <c r="P362" i="6"/>
  <c r="Q362" i="6"/>
  <c r="R362" i="6"/>
  <c r="S362" i="6"/>
  <c r="T362" i="6"/>
  <c r="U362" i="6"/>
  <c r="V362" i="6"/>
  <c r="W362" i="6"/>
  <c r="M362" i="6"/>
  <c r="M361" i="6"/>
  <c r="N371" i="6"/>
  <c r="O371" i="6"/>
  <c r="P371" i="6"/>
  <c r="Q371" i="6"/>
  <c r="R371" i="6"/>
  <c r="S371" i="6"/>
  <c r="T371" i="6"/>
  <c r="U371" i="6"/>
  <c r="V371" i="6"/>
  <c r="W371" i="6"/>
  <c r="N372" i="6"/>
  <c r="AD372" i="6" s="1"/>
  <c r="O372" i="6"/>
  <c r="AE372" i="6" s="1"/>
  <c r="P372" i="6"/>
  <c r="AF372" i="6" s="1"/>
  <c r="Q372" i="6"/>
  <c r="AG372" i="6" s="1"/>
  <c r="R372" i="6"/>
  <c r="AH372" i="6" s="1"/>
  <c r="S372" i="6"/>
  <c r="AI372" i="6" s="1"/>
  <c r="T372" i="6"/>
  <c r="AJ372" i="6" s="1"/>
  <c r="U372" i="6"/>
  <c r="AK372" i="6" s="1"/>
  <c r="V372" i="6"/>
  <c r="AL372" i="6" s="1"/>
  <c r="W372" i="6"/>
  <c r="AM372" i="6" s="1"/>
  <c r="AC371" i="6"/>
  <c r="Y587" i="10" l="1"/>
  <c r="Z587" i="10" s="1"/>
  <c r="Q587" i="10"/>
  <c r="R587" i="10" s="1"/>
  <c r="I587" i="10"/>
  <c r="E415" i="10"/>
  <c r="G587" i="10"/>
  <c r="W587" i="10"/>
  <c r="X587" i="10" s="1"/>
  <c r="O587" i="10"/>
  <c r="P587" i="10" s="1"/>
  <c r="U587" i="10"/>
  <c r="V587" i="10" s="1"/>
  <c r="M587" i="10"/>
  <c r="N587" i="10" s="1"/>
  <c r="AA587" i="10"/>
  <c r="AB587" i="10" s="1"/>
  <c r="S587" i="10"/>
  <c r="T587" i="10" s="1"/>
  <c r="K587" i="10"/>
  <c r="L587" i="10" s="1"/>
  <c r="G586" i="10"/>
  <c r="Y576" i="10"/>
  <c r="Z576" i="10" s="1"/>
  <c r="Q576" i="10"/>
  <c r="R576" i="10" s="1"/>
  <c r="I576" i="10"/>
  <c r="G576" i="10"/>
  <c r="Y577" i="10"/>
  <c r="Z577" i="10" s="1"/>
  <c r="Q577" i="10"/>
  <c r="R577" i="10" s="1"/>
  <c r="I577" i="10"/>
  <c r="AA584" i="10"/>
  <c r="AB584" i="10" s="1"/>
  <c r="S584" i="10"/>
  <c r="T584" i="10" s="1"/>
  <c r="K584" i="10"/>
  <c r="L584" i="10" s="1"/>
  <c r="W578" i="10"/>
  <c r="X578" i="10" s="1"/>
  <c r="O578" i="10"/>
  <c r="P578" i="10" s="1"/>
  <c r="Y584" i="10"/>
  <c r="Z584" i="10" s="1"/>
  <c r="Q584" i="10"/>
  <c r="R584" i="10" s="1"/>
  <c r="I584" i="10"/>
  <c r="U578" i="10"/>
  <c r="V578" i="10" s="1"/>
  <c r="M578" i="10"/>
  <c r="N578" i="10" s="1"/>
  <c r="W576" i="10"/>
  <c r="X576" i="10" s="1"/>
  <c r="O576" i="10"/>
  <c r="P576" i="10" s="1"/>
  <c r="W577" i="10"/>
  <c r="X577" i="10" s="1"/>
  <c r="O577" i="10"/>
  <c r="P577" i="10" s="1"/>
  <c r="W584" i="10"/>
  <c r="X584" i="10" s="1"/>
  <c r="O584" i="10"/>
  <c r="P584" i="10" s="1"/>
  <c r="G578" i="10"/>
  <c r="AA578" i="10"/>
  <c r="AB578" i="10" s="1"/>
  <c r="S578" i="10"/>
  <c r="T578" i="10" s="1"/>
  <c r="K578" i="10"/>
  <c r="L578" i="10" s="1"/>
  <c r="U576" i="10"/>
  <c r="V576" i="10" s="1"/>
  <c r="M576" i="10"/>
  <c r="N576" i="10" s="1"/>
  <c r="U577" i="10"/>
  <c r="V577" i="10" s="1"/>
  <c r="M577" i="10"/>
  <c r="N577" i="10" s="1"/>
  <c r="U584" i="10"/>
  <c r="V584" i="10" s="1"/>
  <c r="M584" i="10"/>
  <c r="N584" i="10" s="1"/>
  <c r="Y578" i="10"/>
  <c r="Z578" i="10" s="1"/>
  <c r="Q578" i="10"/>
  <c r="R578" i="10" s="1"/>
  <c r="I578" i="10"/>
  <c r="AA576" i="10"/>
  <c r="AB576" i="10" s="1"/>
  <c r="S576" i="10"/>
  <c r="T576" i="10" s="1"/>
  <c r="K576" i="10"/>
  <c r="L576" i="10" s="1"/>
  <c r="G577" i="10"/>
  <c r="AA577" i="10"/>
  <c r="AB577" i="10" s="1"/>
  <c r="S577" i="10"/>
  <c r="T577" i="10" s="1"/>
  <c r="K577" i="10"/>
  <c r="L577" i="10" s="1"/>
  <c r="G580" i="10"/>
  <c r="AJ371" i="6"/>
  <c r="U586" i="10" s="1"/>
  <c r="V586" i="10" s="1"/>
  <c r="AF371" i="6"/>
  <c r="M586" i="10" s="1"/>
  <c r="N586" i="10" s="1"/>
  <c r="AL364" i="6"/>
  <c r="Y581" i="10" s="1"/>
  <c r="AH364" i="6"/>
  <c r="Q581" i="10" s="1"/>
  <c r="AD364" i="6"/>
  <c r="I581" i="10" s="1"/>
  <c r="G584" i="10"/>
  <c r="AM371" i="6"/>
  <c r="AA586" i="10" s="1"/>
  <c r="AB586" i="10" s="1"/>
  <c r="AI371" i="6"/>
  <c r="S586" i="10" s="1"/>
  <c r="T586" i="10" s="1"/>
  <c r="AE371" i="6"/>
  <c r="K586" i="10" s="1"/>
  <c r="L586" i="10" s="1"/>
  <c r="AK364" i="6"/>
  <c r="W581" i="10" s="1"/>
  <c r="AG364" i="6"/>
  <c r="O581" i="10" s="1"/>
  <c r="AL371" i="6"/>
  <c r="Y586" i="10" s="1"/>
  <c r="Z586" i="10" s="1"/>
  <c r="AH371" i="6"/>
  <c r="Q586" i="10" s="1"/>
  <c r="R586" i="10" s="1"/>
  <c r="AD371" i="6"/>
  <c r="I586" i="10" s="1"/>
  <c r="AJ364" i="6"/>
  <c r="U581" i="10" s="1"/>
  <c r="AF364" i="6"/>
  <c r="M581" i="10" s="1"/>
  <c r="G582" i="10"/>
  <c r="AK371" i="6"/>
  <c r="W586" i="10" s="1"/>
  <c r="X586" i="10" s="1"/>
  <c r="AG371" i="6"/>
  <c r="O586" i="10" s="1"/>
  <c r="P586" i="10" s="1"/>
  <c r="AM364" i="6"/>
  <c r="AA581" i="10" s="1"/>
  <c r="AI364" i="6"/>
  <c r="S581" i="10" s="1"/>
  <c r="AE364" i="6"/>
  <c r="K581" i="10" s="1"/>
  <c r="AC579" i="10"/>
  <c r="AC589" i="10"/>
  <c r="AC575" i="10"/>
  <c r="AC583" i="10"/>
  <c r="AC574" i="10"/>
  <c r="AC588" i="10"/>
  <c r="U580" i="10" l="1"/>
  <c r="V580" i="10" s="1"/>
  <c r="V581" i="10"/>
  <c r="O580" i="10"/>
  <c r="P580" i="10" s="1"/>
  <c r="P581" i="10"/>
  <c r="Y580" i="10"/>
  <c r="Z580" i="10" s="1"/>
  <c r="Z581" i="10"/>
  <c r="E393" i="10"/>
  <c r="F393" i="10" s="1"/>
  <c r="F415" i="10"/>
  <c r="K580" i="10"/>
  <c r="L580" i="10" s="1"/>
  <c r="L581" i="10"/>
  <c r="W580" i="10"/>
  <c r="X580" i="10" s="1"/>
  <c r="X581" i="10"/>
  <c r="S580" i="10"/>
  <c r="T580" i="10" s="1"/>
  <c r="T581" i="10"/>
  <c r="I580" i="10"/>
  <c r="AA580" i="10"/>
  <c r="AB580" i="10" s="1"/>
  <c r="AB581" i="10"/>
  <c r="M580" i="10"/>
  <c r="N580" i="10" s="1"/>
  <c r="N581" i="10"/>
  <c r="Q580" i="10"/>
  <c r="R580" i="10" s="1"/>
  <c r="R581" i="10"/>
  <c r="Q573" i="10"/>
  <c r="R573" i="10" s="1"/>
  <c r="AA573" i="10"/>
  <c r="AB573" i="10" s="1"/>
  <c r="M573" i="10"/>
  <c r="N573" i="10" s="1"/>
  <c r="Y573" i="10"/>
  <c r="U573" i="10"/>
  <c r="V573" i="10" s="1"/>
  <c r="G573" i="10"/>
  <c r="K573" i="10"/>
  <c r="O573" i="10"/>
  <c r="P573" i="10" s="1"/>
  <c r="I573" i="10"/>
  <c r="AC587" i="10"/>
  <c r="S573" i="10"/>
  <c r="W573" i="10"/>
  <c r="X573" i="10" s="1"/>
  <c r="G585" i="10"/>
  <c r="Q585" i="10"/>
  <c r="R585" i="10" s="1"/>
  <c r="K585" i="10"/>
  <c r="L585" i="10" s="1"/>
  <c r="AA585" i="10"/>
  <c r="AB585" i="10" s="1"/>
  <c r="M585" i="10"/>
  <c r="N585" i="10" s="1"/>
  <c r="W585" i="10"/>
  <c r="X585" i="10" s="1"/>
  <c r="Y585" i="10"/>
  <c r="Z585" i="10" s="1"/>
  <c r="S585" i="10"/>
  <c r="T585" i="10" s="1"/>
  <c r="AC577" i="10"/>
  <c r="U585" i="10"/>
  <c r="V585" i="10" s="1"/>
  <c r="AC576" i="10"/>
  <c r="AC578" i="10"/>
  <c r="O585" i="10"/>
  <c r="P585" i="10" s="1"/>
  <c r="I585" i="10"/>
  <c r="AC582" i="10"/>
  <c r="AC586" i="10"/>
  <c r="AC584" i="10"/>
  <c r="AC581" i="10"/>
  <c r="N306" i="6"/>
  <c r="O306" i="6"/>
  <c r="P306" i="6"/>
  <c r="Q306" i="6"/>
  <c r="R306" i="6"/>
  <c r="S306" i="6"/>
  <c r="T306" i="6"/>
  <c r="U306" i="6"/>
  <c r="V306" i="6"/>
  <c r="W306" i="6"/>
  <c r="N307" i="6"/>
  <c r="O307" i="6"/>
  <c r="P307" i="6"/>
  <c r="Q307" i="6"/>
  <c r="R307" i="6"/>
  <c r="S307" i="6"/>
  <c r="T307" i="6"/>
  <c r="U307" i="6"/>
  <c r="V307" i="6"/>
  <c r="W307" i="6"/>
  <c r="M307" i="6"/>
  <c r="M306" i="6"/>
  <c r="R305" i="6"/>
  <c r="N305" i="6"/>
  <c r="O305" i="6"/>
  <c r="P305" i="6"/>
  <c r="Q305" i="6"/>
  <c r="S305" i="6"/>
  <c r="T305" i="6"/>
  <c r="U305" i="6"/>
  <c r="V305" i="6"/>
  <c r="W305" i="6"/>
  <c r="M305" i="6"/>
  <c r="M304" i="6"/>
  <c r="R304" i="6"/>
  <c r="Q455" i="10" s="1"/>
  <c r="R455" i="10" s="1"/>
  <c r="N304" i="6"/>
  <c r="I455" i="10" s="1"/>
  <c r="J455" i="10" s="1"/>
  <c r="O304" i="6"/>
  <c r="K455" i="10" s="1"/>
  <c r="L455" i="10" s="1"/>
  <c r="P304" i="6"/>
  <c r="M455" i="10" s="1"/>
  <c r="N455" i="10" s="1"/>
  <c r="Q304" i="6"/>
  <c r="O455" i="10" s="1"/>
  <c r="P455" i="10" s="1"/>
  <c r="S304" i="6"/>
  <c r="T304" i="6"/>
  <c r="U304" i="6"/>
  <c r="W455" i="10" s="1"/>
  <c r="X455" i="10" s="1"/>
  <c r="V304" i="6"/>
  <c r="Y455" i="10" s="1"/>
  <c r="Z455" i="10" s="1"/>
  <c r="W304" i="6"/>
  <c r="AA455" i="10" s="1"/>
  <c r="AB455" i="10" s="1"/>
  <c r="N252" i="6"/>
  <c r="O252" i="6"/>
  <c r="P252" i="6"/>
  <c r="Q252" i="6"/>
  <c r="R252" i="6"/>
  <c r="S252" i="6"/>
  <c r="T252" i="6"/>
  <c r="U252" i="6"/>
  <c r="V252" i="6"/>
  <c r="W252" i="6"/>
  <c r="M252" i="6"/>
  <c r="M259" i="6"/>
  <c r="N251" i="6"/>
  <c r="I417" i="10" s="1"/>
  <c r="O251" i="6"/>
  <c r="K417" i="10" s="1"/>
  <c r="L417" i="10" s="1"/>
  <c r="P251" i="6"/>
  <c r="M417" i="10" s="1"/>
  <c r="N417" i="10" s="1"/>
  <c r="Q251" i="6"/>
  <c r="O417" i="10" s="1"/>
  <c r="P417" i="10" s="1"/>
  <c r="R251" i="6"/>
  <c r="Q417" i="10" s="1"/>
  <c r="R417" i="10" s="1"/>
  <c r="S251" i="6"/>
  <c r="S417" i="10" s="1"/>
  <c r="T417" i="10" s="1"/>
  <c r="T251" i="6"/>
  <c r="U417" i="10" s="1"/>
  <c r="V417" i="10" s="1"/>
  <c r="U251" i="6"/>
  <c r="W417" i="10" s="1"/>
  <c r="X417" i="10" s="1"/>
  <c r="V251" i="6"/>
  <c r="Y417" i="10" s="1"/>
  <c r="Z417" i="10" s="1"/>
  <c r="W251" i="6"/>
  <c r="AA417" i="10" s="1"/>
  <c r="AB417" i="10" s="1"/>
  <c r="M251" i="6"/>
  <c r="G417" i="10" s="1"/>
  <c r="N253" i="6"/>
  <c r="O253" i="6"/>
  <c r="P253" i="6"/>
  <c r="Q253" i="6"/>
  <c r="R253" i="6"/>
  <c r="S253" i="6"/>
  <c r="T253" i="6"/>
  <c r="U253" i="6"/>
  <c r="V253" i="6"/>
  <c r="W253" i="6"/>
  <c r="M253" i="6"/>
  <c r="M258" i="6"/>
  <c r="N254" i="6"/>
  <c r="O254" i="6"/>
  <c r="P254" i="6"/>
  <c r="Q254" i="6"/>
  <c r="R254" i="6"/>
  <c r="S254" i="6"/>
  <c r="T254" i="6"/>
  <c r="U254" i="6"/>
  <c r="V254" i="6"/>
  <c r="W254" i="6"/>
  <c r="N255" i="6"/>
  <c r="O255" i="6"/>
  <c r="P255" i="6"/>
  <c r="Q255" i="6"/>
  <c r="R255" i="6"/>
  <c r="S255" i="6"/>
  <c r="T255" i="6"/>
  <c r="U255" i="6"/>
  <c r="V255" i="6"/>
  <c r="W255" i="6"/>
  <c r="M254" i="6"/>
  <c r="M255" i="6"/>
  <c r="N256" i="6"/>
  <c r="I419" i="10" s="1"/>
  <c r="O256" i="6"/>
  <c r="K419" i="10" s="1"/>
  <c r="L419" i="10" s="1"/>
  <c r="P256" i="6"/>
  <c r="M419" i="10" s="1"/>
  <c r="N419" i="10" s="1"/>
  <c r="Q256" i="6"/>
  <c r="O419" i="10" s="1"/>
  <c r="P419" i="10" s="1"/>
  <c r="R256" i="6"/>
  <c r="Q419" i="10" s="1"/>
  <c r="R419" i="10" s="1"/>
  <c r="S256" i="6"/>
  <c r="S419" i="10" s="1"/>
  <c r="T419" i="10" s="1"/>
  <c r="T256" i="6"/>
  <c r="U419" i="10" s="1"/>
  <c r="V419" i="10" s="1"/>
  <c r="U256" i="6"/>
  <c r="W419" i="10" s="1"/>
  <c r="X419" i="10" s="1"/>
  <c r="V256" i="6"/>
  <c r="Y419" i="10" s="1"/>
  <c r="Z419" i="10" s="1"/>
  <c r="W256" i="6"/>
  <c r="AA419" i="10" s="1"/>
  <c r="AB419" i="10" s="1"/>
  <c r="N257" i="6"/>
  <c r="I420" i="10" s="1"/>
  <c r="O257" i="6"/>
  <c r="K420" i="10" s="1"/>
  <c r="L420" i="10" s="1"/>
  <c r="P257" i="6"/>
  <c r="M420" i="10" s="1"/>
  <c r="N420" i="10" s="1"/>
  <c r="Q257" i="6"/>
  <c r="O420" i="10" s="1"/>
  <c r="P420" i="10" s="1"/>
  <c r="R257" i="6"/>
  <c r="Q420" i="10" s="1"/>
  <c r="R420" i="10" s="1"/>
  <c r="S257" i="6"/>
  <c r="S420" i="10" s="1"/>
  <c r="T420" i="10" s="1"/>
  <c r="T257" i="6"/>
  <c r="U420" i="10" s="1"/>
  <c r="V420" i="10" s="1"/>
  <c r="U257" i="6"/>
  <c r="W420" i="10" s="1"/>
  <c r="X420" i="10" s="1"/>
  <c r="V257" i="6"/>
  <c r="Y420" i="10" s="1"/>
  <c r="Z420" i="10" s="1"/>
  <c r="W257" i="6"/>
  <c r="AA420" i="10" s="1"/>
  <c r="AB420" i="10" s="1"/>
  <c r="M257" i="6"/>
  <c r="G420" i="10" s="1"/>
  <c r="M256" i="6"/>
  <c r="G419" i="10" s="1"/>
  <c r="N258" i="6"/>
  <c r="O258" i="6"/>
  <c r="P258" i="6"/>
  <c r="Q258" i="6"/>
  <c r="R258" i="6"/>
  <c r="S258" i="6"/>
  <c r="T258" i="6"/>
  <c r="U258" i="6"/>
  <c r="V258" i="6"/>
  <c r="W258" i="6"/>
  <c r="M262" i="6"/>
  <c r="M261" i="6"/>
  <c r="M260" i="6"/>
  <c r="N259" i="6"/>
  <c r="O259" i="6"/>
  <c r="P259" i="6"/>
  <c r="Q259" i="6"/>
  <c r="R259" i="6"/>
  <c r="S259" i="6"/>
  <c r="T259" i="6"/>
  <c r="U259" i="6"/>
  <c r="V259" i="6"/>
  <c r="W259" i="6"/>
  <c r="W260" i="6"/>
  <c r="M264" i="6"/>
  <c r="M280" i="6"/>
  <c r="AL269" i="6"/>
  <c r="AK269" i="6"/>
  <c r="AJ269" i="6"/>
  <c r="AI269" i="6"/>
  <c r="AH269" i="6"/>
  <c r="AG269" i="6"/>
  <c r="AF269" i="6"/>
  <c r="AE269" i="6"/>
  <c r="AD269" i="6"/>
  <c r="AC269" i="6"/>
  <c r="AB269" i="6"/>
  <c r="W269" i="6"/>
  <c r="V269" i="6"/>
  <c r="U269" i="6"/>
  <c r="T269" i="6"/>
  <c r="S269" i="6"/>
  <c r="R269" i="6"/>
  <c r="Q269" i="6"/>
  <c r="P269" i="6"/>
  <c r="O269" i="6"/>
  <c r="N269" i="6"/>
  <c r="M269" i="6"/>
  <c r="AL268" i="6"/>
  <c r="AK268" i="6"/>
  <c r="AJ268" i="6"/>
  <c r="AI268" i="6"/>
  <c r="AH268" i="6"/>
  <c r="AG268" i="6"/>
  <c r="AF268" i="6"/>
  <c r="AE268" i="6"/>
  <c r="AD268" i="6"/>
  <c r="AC268" i="6"/>
  <c r="AB268" i="6"/>
  <c r="W268" i="6"/>
  <c r="V268" i="6"/>
  <c r="U268" i="6"/>
  <c r="T268" i="6"/>
  <c r="S268" i="6"/>
  <c r="R268" i="6"/>
  <c r="Q268" i="6"/>
  <c r="P268" i="6"/>
  <c r="O268" i="6"/>
  <c r="N268" i="6"/>
  <c r="M268" i="6"/>
  <c r="AL267" i="6"/>
  <c r="AK267" i="6"/>
  <c r="AJ267" i="6"/>
  <c r="AI267" i="6"/>
  <c r="AH267" i="6"/>
  <c r="AG267" i="6"/>
  <c r="AF267" i="6"/>
  <c r="AE267" i="6"/>
  <c r="AD267" i="6"/>
  <c r="AC267" i="6"/>
  <c r="AB267" i="6"/>
  <c r="W267" i="6"/>
  <c r="V267" i="6"/>
  <c r="U267" i="6"/>
  <c r="T267" i="6"/>
  <c r="S267" i="6"/>
  <c r="R267" i="6"/>
  <c r="Q267" i="6"/>
  <c r="P267" i="6"/>
  <c r="O267" i="6"/>
  <c r="N267" i="6"/>
  <c r="M267" i="6"/>
  <c r="AL266" i="6"/>
  <c r="AK266" i="6"/>
  <c r="AJ266" i="6"/>
  <c r="AI266" i="6"/>
  <c r="AH266" i="6"/>
  <c r="AG266" i="6"/>
  <c r="AF266" i="6"/>
  <c r="AE266" i="6"/>
  <c r="AD266" i="6"/>
  <c r="AC266" i="6"/>
  <c r="AB266" i="6"/>
  <c r="W266" i="6"/>
  <c r="V266" i="6"/>
  <c r="U266" i="6"/>
  <c r="T266" i="6"/>
  <c r="S266" i="6"/>
  <c r="R266" i="6"/>
  <c r="Q266" i="6"/>
  <c r="P266" i="6"/>
  <c r="O266" i="6"/>
  <c r="N266" i="6"/>
  <c r="M266" i="6"/>
  <c r="AL265" i="6"/>
  <c r="AK265" i="6"/>
  <c r="AJ265" i="6"/>
  <c r="AI265" i="6"/>
  <c r="AH265" i="6"/>
  <c r="AG265" i="6"/>
  <c r="AF265" i="6"/>
  <c r="AE265" i="6"/>
  <c r="AD265" i="6"/>
  <c r="AC265" i="6"/>
  <c r="AB265" i="6"/>
  <c r="W265" i="6"/>
  <c r="V265" i="6"/>
  <c r="U265" i="6"/>
  <c r="T265" i="6"/>
  <c r="S265" i="6"/>
  <c r="R265" i="6"/>
  <c r="Q265" i="6"/>
  <c r="P265" i="6"/>
  <c r="O265" i="6"/>
  <c r="N265" i="6"/>
  <c r="M265" i="6"/>
  <c r="AL264" i="6"/>
  <c r="AK264" i="6"/>
  <c r="AJ264" i="6"/>
  <c r="AI264" i="6"/>
  <c r="AH264" i="6"/>
  <c r="AG264" i="6"/>
  <c r="AF264" i="6"/>
  <c r="AE264" i="6"/>
  <c r="AD264" i="6"/>
  <c r="AC264" i="6"/>
  <c r="AB264" i="6"/>
  <c r="W264" i="6"/>
  <c r="V264" i="6"/>
  <c r="U264" i="6"/>
  <c r="T264" i="6"/>
  <c r="S264" i="6"/>
  <c r="R264" i="6"/>
  <c r="Q264" i="6"/>
  <c r="P264" i="6"/>
  <c r="O264" i="6"/>
  <c r="N264" i="6"/>
  <c r="AL263" i="6"/>
  <c r="AK263" i="6"/>
  <c r="AJ263" i="6"/>
  <c r="AI263" i="6"/>
  <c r="AH263" i="6"/>
  <c r="AG263" i="6"/>
  <c r="AF263" i="6"/>
  <c r="AE263" i="6"/>
  <c r="AD263" i="6"/>
  <c r="AC263" i="6"/>
  <c r="AB263" i="6"/>
  <c r="W263" i="6"/>
  <c r="V263" i="6"/>
  <c r="U263" i="6"/>
  <c r="T263" i="6"/>
  <c r="S263" i="6"/>
  <c r="R263" i="6"/>
  <c r="Q263" i="6"/>
  <c r="P263" i="6"/>
  <c r="O263" i="6"/>
  <c r="N263" i="6"/>
  <c r="M263" i="6"/>
  <c r="AL262" i="6"/>
  <c r="AK262" i="6"/>
  <c r="AJ262" i="6"/>
  <c r="AI262" i="6"/>
  <c r="AH262" i="6"/>
  <c r="AG262" i="6"/>
  <c r="AF262" i="6"/>
  <c r="AE262" i="6"/>
  <c r="AD262" i="6"/>
  <c r="AC262" i="6"/>
  <c r="AB262" i="6"/>
  <c r="W262" i="6"/>
  <c r="V262" i="6"/>
  <c r="U262" i="6"/>
  <c r="T262" i="6"/>
  <c r="S262" i="6"/>
  <c r="R262" i="6"/>
  <c r="Q262" i="6"/>
  <c r="P262" i="6"/>
  <c r="O262" i="6"/>
  <c r="N262" i="6"/>
  <c r="AL261" i="6"/>
  <c r="AK261" i="6"/>
  <c r="AJ261" i="6"/>
  <c r="AI261" i="6"/>
  <c r="AH261" i="6"/>
  <c r="AG261" i="6"/>
  <c r="AF261" i="6"/>
  <c r="AE261" i="6"/>
  <c r="AD261" i="6"/>
  <c r="AC261" i="6"/>
  <c r="AB261" i="6"/>
  <c r="W261" i="6"/>
  <c r="V261" i="6"/>
  <c r="U261" i="6"/>
  <c r="T261" i="6"/>
  <c r="S261" i="6"/>
  <c r="R261" i="6"/>
  <c r="Q261" i="6"/>
  <c r="P261" i="6"/>
  <c r="O261" i="6"/>
  <c r="N261" i="6"/>
  <c r="AL260" i="6"/>
  <c r="AK260" i="6"/>
  <c r="AJ260" i="6"/>
  <c r="AI260" i="6"/>
  <c r="AH260" i="6"/>
  <c r="AG260" i="6"/>
  <c r="AF260" i="6"/>
  <c r="AE260" i="6"/>
  <c r="AD260" i="6"/>
  <c r="AC260" i="6"/>
  <c r="AB260" i="6"/>
  <c r="V260" i="6"/>
  <c r="U260" i="6"/>
  <c r="T260" i="6"/>
  <c r="S260" i="6"/>
  <c r="R260" i="6"/>
  <c r="Q260" i="6"/>
  <c r="P260" i="6"/>
  <c r="O260" i="6"/>
  <c r="N260" i="6"/>
  <c r="AL279" i="6"/>
  <c r="AK279" i="6"/>
  <c r="AJ279" i="6"/>
  <c r="AI279" i="6"/>
  <c r="AH279" i="6"/>
  <c r="AG279" i="6"/>
  <c r="AF279" i="6"/>
  <c r="AE279" i="6"/>
  <c r="AD279" i="6"/>
  <c r="AC279" i="6"/>
  <c r="AB279" i="6"/>
  <c r="W279" i="6"/>
  <c r="V279" i="6"/>
  <c r="U279" i="6"/>
  <c r="T279" i="6"/>
  <c r="S279" i="6"/>
  <c r="R279" i="6"/>
  <c r="Q279" i="6"/>
  <c r="P279" i="6"/>
  <c r="O279" i="6"/>
  <c r="N279" i="6"/>
  <c r="M279" i="6"/>
  <c r="AL278" i="6"/>
  <c r="AK278" i="6"/>
  <c r="AJ278" i="6"/>
  <c r="AI278" i="6"/>
  <c r="AH278" i="6"/>
  <c r="AG278" i="6"/>
  <c r="AF278" i="6"/>
  <c r="AE278" i="6"/>
  <c r="AD278" i="6"/>
  <c r="AC278" i="6"/>
  <c r="AB278" i="6"/>
  <c r="W278" i="6"/>
  <c r="V278" i="6"/>
  <c r="U278" i="6"/>
  <c r="T278" i="6"/>
  <c r="S278" i="6"/>
  <c r="R278" i="6"/>
  <c r="Q278" i="6"/>
  <c r="P278" i="6"/>
  <c r="O278" i="6"/>
  <c r="N278" i="6"/>
  <c r="M278" i="6"/>
  <c r="AL277" i="6"/>
  <c r="AK277" i="6"/>
  <c r="AJ277" i="6"/>
  <c r="AI277" i="6"/>
  <c r="AH277" i="6"/>
  <c r="AG277" i="6"/>
  <c r="AF277" i="6"/>
  <c r="AE277" i="6"/>
  <c r="AD277" i="6"/>
  <c r="AC277" i="6"/>
  <c r="AB277" i="6"/>
  <c r="W277" i="6"/>
  <c r="V277" i="6"/>
  <c r="U277" i="6"/>
  <c r="T277" i="6"/>
  <c r="S277" i="6"/>
  <c r="R277" i="6"/>
  <c r="Q277" i="6"/>
  <c r="P277" i="6"/>
  <c r="O277" i="6"/>
  <c r="N277" i="6"/>
  <c r="M277" i="6"/>
  <c r="AL276" i="6"/>
  <c r="AK276" i="6"/>
  <c r="AJ276" i="6"/>
  <c r="AI276" i="6"/>
  <c r="AH276" i="6"/>
  <c r="AG276" i="6"/>
  <c r="AF276" i="6"/>
  <c r="AE276" i="6"/>
  <c r="AD276" i="6"/>
  <c r="AC276" i="6"/>
  <c r="AB276" i="6"/>
  <c r="W276" i="6"/>
  <c r="V276" i="6"/>
  <c r="U276" i="6"/>
  <c r="T276" i="6"/>
  <c r="S276" i="6"/>
  <c r="R276" i="6"/>
  <c r="Q276" i="6"/>
  <c r="P276" i="6"/>
  <c r="O276" i="6"/>
  <c r="N276" i="6"/>
  <c r="M276" i="6"/>
  <c r="AL275" i="6"/>
  <c r="AK275" i="6"/>
  <c r="AJ275" i="6"/>
  <c r="AI275" i="6"/>
  <c r="AH275" i="6"/>
  <c r="AG275" i="6"/>
  <c r="AF275" i="6"/>
  <c r="AE275" i="6"/>
  <c r="AD275" i="6"/>
  <c r="AC275" i="6"/>
  <c r="AB275" i="6"/>
  <c r="W275" i="6"/>
  <c r="V275" i="6"/>
  <c r="U275" i="6"/>
  <c r="T275" i="6"/>
  <c r="S275" i="6"/>
  <c r="R275" i="6"/>
  <c r="Q275" i="6"/>
  <c r="P275" i="6"/>
  <c r="O275" i="6"/>
  <c r="N275" i="6"/>
  <c r="M275" i="6"/>
  <c r="AL274" i="6"/>
  <c r="AK274" i="6"/>
  <c r="AJ274" i="6"/>
  <c r="AI274" i="6"/>
  <c r="AH274" i="6"/>
  <c r="AG274" i="6"/>
  <c r="AF274" i="6"/>
  <c r="AE274" i="6"/>
  <c r="AD274" i="6"/>
  <c r="AC274" i="6"/>
  <c r="AB274" i="6"/>
  <c r="W274" i="6"/>
  <c r="V274" i="6"/>
  <c r="U274" i="6"/>
  <c r="T274" i="6"/>
  <c r="S274" i="6"/>
  <c r="R274" i="6"/>
  <c r="Q274" i="6"/>
  <c r="P274" i="6"/>
  <c r="O274" i="6"/>
  <c r="N274" i="6"/>
  <c r="M274" i="6"/>
  <c r="AL273" i="6"/>
  <c r="AK273" i="6"/>
  <c r="AJ273" i="6"/>
  <c r="AI273" i="6"/>
  <c r="AH273" i="6"/>
  <c r="AG273" i="6"/>
  <c r="AF273" i="6"/>
  <c r="AE273" i="6"/>
  <c r="AD273" i="6"/>
  <c r="AC273" i="6"/>
  <c r="AB273" i="6"/>
  <c r="W273" i="6"/>
  <c r="V273" i="6"/>
  <c r="U273" i="6"/>
  <c r="T273" i="6"/>
  <c r="S273" i="6"/>
  <c r="R273" i="6"/>
  <c r="Q273" i="6"/>
  <c r="P273" i="6"/>
  <c r="O273" i="6"/>
  <c r="N273" i="6"/>
  <c r="M273" i="6"/>
  <c r="AL272" i="6"/>
  <c r="AK272" i="6"/>
  <c r="AJ272" i="6"/>
  <c r="AI272" i="6"/>
  <c r="AH272" i="6"/>
  <c r="AG272" i="6"/>
  <c r="AF272" i="6"/>
  <c r="AE272" i="6"/>
  <c r="AD272" i="6"/>
  <c r="AC272" i="6"/>
  <c r="AB272" i="6"/>
  <c r="W272" i="6"/>
  <c r="V272" i="6"/>
  <c r="U272" i="6"/>
  <c r="T272" i="6"/>
  <c r="S272" i="6"/>
  <c r="R272" i="6"/>
  <c r="Q272" i="6"/>
  <c r="P272" i="6"/>
  <c r="O272" i="6"/>
  <c r="N272" i="6"/>
  <c r="M272" i="6"/>
  <c r="AL271" i="6"/>
  <c r="AK271" i="6"/>
  <c r="AJ271" i="6"/>
  <c r="AI271" i="6"/>
  <c r="AH271" i="6"/>
  <c r="AG271" i="6"/>
  <c r="AF271" i="6"/>
  <c r="AE271" i="6"/>
  <c r="AD271" i="6"/>
  <c r="AC271" i="6"/>
  <c r="AB271" i="6"/>
  <c r="W271" i="6"/>
  <c r="V271" i="6"/>
  <c r="U271" i="6"/>
  <c r="T271" i="6"/>
  <c r="S271" i="6"/>
  <c r="R271" i="6"/>
  <c r="Q271" i="6"/>
  <c r="P271" i="6"/>
  <c r="O271" i="6"/>
  <c r="N271" i="6"/>
  <c r="M271" i="6"/>
  <c r="AL270" i="6"/>
  <c r="AK270" i="6"/>
  <c r="AJ270" i="6"/>
  <c r="AI270" i="6"/>
  <c r="AH270" i="6"/>
  <c r="AG270" i="6"/>
  <c r="AF270" i="6"/>
  <c r="AE270" i="6"/>
  <c r="AD270" i="6"/>
  <c r="AC270" i="6"/>
  <c r="AB270" i="6"/>
  <c r="W270" i="6"/>
  <c r="V270" i="6"/>
  <c r="U270" i="6"/>
  <c r="T270" i="6"/>
  <c r="S270" i="6"/>
  <c r="R270" i="6"/>
  <c r="Q270" i="6"/>
  <c r="P270" i="6"/>
  <c r="O270" i="6"/>
  <c r="N270" i="6"/>
  <c r="M270" i="6"/>
  <c r="AL284" i="6"/>
  <c r="AK284" i="6"/>
  <c r="AJ284" i="6"/>
  <c r="AI284" i="6"/>
  <c r="AH284" i="6"/>
  <c r="AG284" i="6"/>
  <c r="AF284" i="6"/>
  <c r="AE284" i="6"/>
  <c r="AD284" i="6"/>
  <c r="AC284" i="6"/>
  <c r="AB284" i="6"/>
  <c r="W284" i="6"/>
  <c r="V284" i="6"/>
  <c r="U284" i="6"/>
  <c r="T284" i="6"/>
  <c r="S284" i="6"/>
  <c r="R284" i="6"/>
  <c r="Q284" i="6"/>
  <c r="P284" i="6"/>
  <c r="O284" i="6"/>
  <c r="N284" i="6"/>
  <c r="M284" i="6"/>
  <c r="AL283" i="6"/>
  <c r="AK283" i="6"/>
  <c r="AJ283" i="6"/>
  <c r="AI283" i="6"/>
  <c r="AH283" i="6"/>
  <c r="AG283" i="6"/>
  <c r="AF283" i="6"/>
  <c r="AE283" i="6"/>
  <c r="AD283" i="6"/>
  <c r="AC283" i="6"/>
  <c r="AB283" i="6"/>
  <c r="W283" i="6"/>
  <c r="V283" i="6"/>
  <c r="U283" i="6"/>
  <c r="T283" i="6"/>
  <c r="S283" i="6"/>
  <c r="R283" i="6"/>
  <c r="Q283" i="6"/>
  <c r="P283" i="6"/>
  <c r="O283" i="6"/>
  <c r="N283" i="6"/>
  <c r="M283" i="6"/>
  <c r="AL282" i="6"/>
  <c r="AK282" i="6"/>
  <c r="AJ282" i="6"/>
  <c r="AI282" i="6"/>
  <c r="AH282" i="6"/>
  <c r="AG282" i="6"/>
  <c r="AF282" i="6"/>
  <c r="AE282" i="6"/>
  <c r="AD282" i="6"/>
  <c r="AC282" i="6"/>
  <c r="AB282" i="6"/>
  <c r="W282" i="6"/>
  <c r="V282" i="6"/>
  <c r="U282" i="6"/>
  <c r="T282" i="6"/>
  <c r="S282" i="6"/>
  <c r="R282" i="6"/>
  <c r="Q282" i="6"/>
  <c r="P282" i="6"/>
  <c r="O282" i="6"/>
  <c r="N282" i="6"/>
  <c r="M282" i="6"/>
  <c r="AL281" i="6"/>
  <c r="AK281" i="6"/>
  <c r="AJ281" i="6"/>
  <c r="AI281" i="6"/>
  <c r="AH281" i="6"/>
  <c r="AG281" i="6"/>
  <c r="AF281" i="6"/>
  <c r="AE281" i="6"/>
  <c r="AD281" i="6"/>
  <c r="AC281" i="6"/>
  <c r="AB281" i="6"/>
  <c r="W281" i="6"/>
  <c r="V281" i="6"/>
  <c r="U281" i="6"/>
  <c r="T281" i="6"/>
  <c r="S281" i="6"/>
  <c r="R281" i="6"/>
  <c r="Q281" i="6"/>
  <c r="P281" i="6"/>
  <c r="O281" i="6"/>
  <c r="N281" i="6"/>
  <c r="M281" i="6"/>
  <c r="AL280" i="6"/>
  <c r="AK280" i="6"/>
  <c r="AJ280" i="6"/>
  <c r="AI280" i="6"/>
  <c r="AH280" i="6"/>
  <c r="AG280" i="6"/>
  <c r="AF280" i="6"/>
  <c r="AE280" i="6"/>
  <c r="AD280" i="6"/>
  <c r="AC280" i="6"/>
  <c r="AB280" i="6"/>
  <c r="W280" i="6"/>
  <c r="V280" i="6"/>
  <c r="U280" i="6"/>
  <c r="T280" i="6"/>
  <c r="S280" i="6"/>
  <c r="R280" i="6"/>
  <c r="Q280" i="6"/>
  <c r="P280" i="6"/>
  <c r="O280" i="6"/>
  <c r="N280" i="6"/>
  <c r="N348" i="6"/>
  <c r="O348" i="6"/>
  <c r="P348" i="6"/>
  <c r="Q348" i="6"/>
  <c r="R348" i="6"/>
  <c r="S348" i="6"/>
  <c r="T348" i="6"/>
  <c r="U348" i="6"/>
  <c r="V348" i="6"/>
  <c r="W348" i="6"/>
  <c r="H348" i="6"/>
  <c r="H347" i="6"/>
  <c r="L315" i="6"/>
  <c r="L313" i="6"/>
  <c r="L314" i="6"/>
  <c r="L316" i="6"/>
  <c r="L322" i="6"/>
  <c r="L334" i="6"/>
  <c r="N312" i="6"/>
  <c r="O312" i="6"/>
  <c r="P312" i="6"/>
  <c r="Q312" i="6"/>
  <c r="R312" i="6"/>
  <c r="S312" i="6"/>
  <c r="T312" i="6"/>
  <c r="U312" i="6"/>
  <c r="V312" i="6"/>
  <c r="W312" i="6"/>
  <c r="N313" i="6"/>
  <c r="O313" i="6"/>
  <c r="P313" i="6"/>
  <c r="Q313" i="6"/>
  <c r="R313" i="6"/>
  <c r="S313" i="6"/>
  <c r="T313" i="6"/>
  <c r="U313" i="6"/>
  <c r="V313" i="6"/>
  <c r="W313" i="6"/>
  <c r="N314" i="6"/>
  <c r="AD314" i="6" s="1"/>
  <c r="I399" i="10" s="1"/>
  <c r="J399" i="10" s="1"/>
  <c r="O314" i="6"/>
  <c r="AE314" i="6" s="1"/>
  <c r="K399" i="10" s="1"/>
  <c r="L399" i="10" s="1"/>
  <c r="P314" i="6"/>
  <c r="AF314" i="6" s="1"/>
  <c r="M399" i="10" s="1"/>
  <c r="N399" i="10" s="1"/>
  <c r="Q314" i="6"/>
  <c r="AG314" i="6" s="1"/>
  <c r="O399" i="10" s="1"/>
  <c r="P399" i="10" s="1"/>
  <c r="R314" i="6"/>
  <c r="AH314" i="6" s="1"/>
  <c r="Q399" i="10" s="1"/>
  <c r="R399" i="10" s="1"/>
  <c r="S314" i="6"/>
  <c r="AI314" i="6" s="1"/>
  <c r="S399" i="10" s="1"/>
  <c r="T399" i="10" s="1"/>
  <c r="T314" i="6"/>
  <c r="AJ314" i="6" s="1"/>
  <c r="U399" i="10" s="1"/>
  <c r="V399" i="10" s="1"/>
  <c r="U314" i="6"/>
  <c r="AK314" i="6" s="1"/>
  <c r="W399" i="10" s="1"/>
  <c r="X399" i="10" s="1"/>
  <c r="V314" i="6"/>
  <c r="AL314" i="6" s="1"/>
  <c r="Y399" i="10" s="1"/>
  <c r="Z399" i="10" s="1"/>
  <c r="W314" i="6"/>
  <c r="AM314" i="6" s="1"/>
  <c r="AA399" i="10" s="1"/>
  <c r="AB399" i="10" s="1"/>
  <c r="N315" i="6"/>
  <c r="O315" i="6"/>
  <c r="P315" i="6"/>
  <c r="Q315" i="6"/>
  <c r="R315" i="6"/>
  <c r="S315" i="6"/>
  <c r="T315" i="6"/>
  <c r="U315" i="6"/>
  <c r="V315" i="6"/>
  <c r="W315" i="6"/>
  <c r="M315" i="6"/>
  <c r="M314" i="6"/>
  <c r="AC314" i="6" s="1"/>
  <c r="G399" i="10" s="1"/>
  <c r="H399" i="10" s="1"/>
  <c r="M313" i="6"/>
  <c r="M312" i="6"/>
  <c r="L312" i="6"/>
  <c r="L328" i="6"/>
  <c r="W327" i="6"/>
  <c r="V327" i="6"/>
  <c r="U327" i="6"/>
  <c r="T327" i="6"/>
  <c r="S327" i="6"/>
  <c r="R327" i="6"/>
  <c r="Q327" i="6"/>
  <c r="P327" i="6"/>
  <c r="O327" i="6"/>
  <c r="M327" i="6"/>
  <c r="W326" i="6"/>
  <c r="V326" i="6"/>
  <c r="U326" i="6"/>
  <c r="T326" i="6"/>
  <c r="S326" i="6"/>
  <c r="R326" i="6"/>
  <c r="Q326" i="6"/>
  <c r="P326" i="6"/>
  <c r="O326" i="6"/>
  <c r="M326" i="6"/>
  <c r="W325" i="6"/>
  <c r="V325" i="6"/>
  <c r="U325" i="6"/>
  <c r="T325" i="6"/>
  <c r="S325" i="6"/>
  <c r="R325" i="6"/>
  <c r="Q325" i="6"/>
  <c r="P325" i="6"/>
  <c r="O325" i="6"/>
  <c r="M325" i="6"/>
  <c r="L325" i="6"/>
  <c r="W324" i="6"/>
  <c r="V324" i="6"/>
  <c r="U324" i="6"/>
  <c r="T324" i="6"/>
  <c r="S324" i="6"/>
  <c r="R324" i="6"/>
  <c r="Q324" i="6"/>
  <c r="P324" i="6"/>
  <c r="O324" i="6"/>
  <c r="M324" i="6"/>
  <c r="W323" i="6"/>
  <c r="V323" i="6"/>
  <c r="U323" i="6"/>
  <c r="T323" i="6"/>
  <c r="S323" i="6"/>
  <c r="R323" i="6"/>
  <c r="Q323" i="6"/>
  <c r="P323" i="6"/>
  <c r="O323" i="6"/>
  <c r="M323" i="6"/>
  <c r="W322" i="6"/>
  <c r="V322" i="6"/>
  <c r="U322" i="6"/>
  <c r="T322" i="6"/>
  <c r="S322" i="6"/>
  <c r="R322" i="6"/>
  <c r="Q322" i="6"/>
  <c r="P322" i="6"/>
  <c r="O322" i="6"/>
  <c r="M322" i="6"/>
  <c r="W321" i="6"/>
  <c r="V321" i="6"/>
  <c r="U321" i="6"/>
  <c r="T321" i="6"/>
  <c r="S321" i="6"/>
  <c r="R321" i="6"/>
  <c r="Q321" i="6"/>
  <c r="P321" i="6"/>
  <c r="O321" i="6"/>
  <c r="M321" i="6"/>
  <c r="W320" i="6"/>
  <c r="V320" i="6"/>
  <c r="U320" i="6"/>
  <c r="T320" i="6"/>
  <c r="S320" i="6"/>
  <c r="R320" i="6"/>
  <c r="Q320" i="6"/>
  <c r="P320" i="6"/>
  <c r="O320" i="6"/>
  <c r="M320" i="6"/>
  <c r="W319" i="6"/>
  <c r="V319" i="6"/>
  <c r="U319" i="6"/>
  <c r="T319" i="6"/>
  <c r="S319" i="6"/>
  <c r="R319" i="6"/>
  <c r="Q319" i="6"/>
  <c r="P319" i="6"/>
  <c r="O319" i="6"/>
  <c r="M319" i="6"/>
  <c r="L319" i="6"/>
  <c r="W318" i="6"/>
  <c r="V318" i="6"/>
  <c r="U318" i="6"/>
  <c r="T318" i="6"/>
  <c r="S318" i="6"/>
  <c r="R318" i="6"/>
  <c r="Q318" i="6"/>
  <c r="P318" i="6"/>
  <c r="O318" i="6"/>
  <c r="M318" i="6"/>
  <c r="W317" i="6"/>
  <c r="V317" i="6"/>
  <c r="U317" i="6"/>
  <c r="T317" i="6"/>
  <c r="S317" i="6"/>
  <c r="R317" i="6"/>
  <c r="Q317" i="6"/>
  <c r="P317" i="6"/>
  <c r="O317" i="6"/>
  <c r="M317" i="6"/>
  <c r="W316" i="6"/>
  <c r="V316" i="6"/>
  <c r="U316" i="6"/>
  <c r="T316" i="6"/>
  <c r="S316" i="6"/>
  <c r="R316" i="6"/>
  <c r="Q316" i="6"/>
  <c r="P316" i="6"/>
  <c r="O316" i="6"/>
  <c r="M316" i="6"/>
  <c r="L350" i="6"/>
  <c r="L349" i="6"/>
  <c r="N349" i="6"/>
  <c r="I185" i="10" s="1"/>
  <c r="O349" i="6"/>
  <c r="K185" i="10" s="1"/>
  <c r="P349" i="6"/>
  <c r="M185" i="10" s="1"/>
  <c r="Q349" i="6"/>
  <c r="O185" i="10" s="1"/>
  <c r="R349" i="6"/>
  <c r="Q185" i="10" s="1"/>
  <c r="S349" i="6"/>
  <c r="S185" i="10" s="1"/>
  <c r="T349" i="6"/>
  <c r="U185" i="10" s="1"/>
  <c r="U349" i="6"/>
  <c r="W185" i="10" s="1"/>
  <c r="V349" i="6"/>
  <c r="Y185" i="10" s="1"/>
  <c r="W349" i="6"/>
  <c r="AA185" i="10" s="1"/>
  <c r="M349" i="6"/>
  <c r="G185" i="10" s="1"/>
  <c r="U455" i="10" l="1"/>
  <c r="V455" i="10" s="1"/>
  <c r="AC580" i="10"/>
  <c r="G183" i="10"/>
  <c r="S183" i="10"/>
  <c r="T183" i="10" s="1"/>
  <c r="T185" i="10"/>
  <c r="K183" i="10"/>
  <c r="G572" i="10"/>
  <c r="Y183" i="10"/>
  <c r="Z183" i="10" s="1"/>
  <c r="Z185" i="10"/>
  <c r="Q183" i="10"/>
  <c r="R183" i="10" s="1"/>
  <c r="R185" i="10"/>
  <c r="I183" i="10"/>
  <c r="I572" i="10"/>
  <c r="AA183" i="10"/>
  <c r="AB183" i="10" s="1"/>
  <c r="AB185" i="10"/>
  <c r="W183" i="10"/>
  <c r="X183" i="10" s="1"/>
  <c r="X185" i="10"/>
  <c r="O183" i="10"/>
  <c r="P183" i="10" s="1"/>
  <c r="P185" i="10"/>
  <c r="Y572" i="10"/>
  <c r="Z573" i="10"/>
  <c r="U183" i="10"/>
  <c r="V183" i="10" s="1"/>
  <c r="V185" i="10"/>
  <c r="M183" i="10"/>
  <c r="S572" i="10"/>
  <c r="T573" i="10"/>
  <c r="K572" i="10"/>
  <c r="L573" i="10"/>
  <c r="M572" i="10"/>
  <c r="AA572" i="10"/>
  <c r="U572" i="10"/>
  <c r="Q572" i="10"/>
  <c r="W572" i="10"/>
  <c r="O572" i="10"/>
  <c r="AB314" i="6"/>
  <c r="E382" i="10" s="1"/>
  <c r="AB334" i="6"/>
  <c r="AC419" i="10"/>
  <c r="AC399" i="10"/>
  <c r="AD399" i="10" s="1"/>
  <c r="AC417" i="10"/>
  <c r="AC420" i="10"/>
  <c r="AC573" i="10"/>
  <c r="S455" i="10"/>
  <c r="T455" i="10" s="1"/>
  <c r="I430" i="10"/>
  <c r="Q430" i="10"/>
  <c r="R430" i="10" s="1"/>
  <c r="Y430" i="10"/>
  <c r="Z430" i="10" s="1"/>
  <c r="I427" i="10"/>
  <c r="Q427" i="10"/>
  <c r="R427" i="10" s="1"/>
  <c r="Y427" i="10"/>
  <c r="Z427" i="10" s="1"/>
  <c r="K429" i="10"/>
  <c r="L429" i="10" s="1"/>
  <c r="S429" i="10"/>
  <c r="T429" i="10" s="1"/>
  <c r="AA429" i="10"/>
  <c r="AB429" i="10" s="1"/>
  <c r="K423" i="10"/>
  <c r="L423" i="10" s="1"/>
  <c r="S423" i="10"/>
  <c r="T423" i="10" s="1"/>
  <c r="AA423" i="10"/>
  <c r="AB423" i="10" s="1"/>
  <c r="M425" i="10"/>
  <c r="N425" i="10" s="1"/>
  <c r="U425" i="10"/>
  <c r="V425" i="10" s="1"/>
  <c r="M429" i="10"/>
  <c r="N429" i="10" s="1"/>
  <c r="U429" i="10"/>
  <c r="V429" i="10" s="1"/>
  <c r="O425" i="10"/>
  <c r="P425" i="10" s="1"/>
  <c r="W425" i="10"/>
  <c r="X425" i="10" s="1"/>
  <c r="M426" i="10"/>
  <c r="N426" i="10" s="1"/>
  <c r="U426" i="10"/>
  <c r="V426" i="10" s="1"/>
  <c r="AC585" i="10"/>
  <c r="O422" i="10"/>
  <c r="P422" i="10" s="1"/>
  <c r="W422" i="10"/>
  <c r="X422" i="10" s="1"/>
  <c r="Q400" i="10"/>
  <c r="R400" i="10" s="1"/>
  <c r="Y400" i="10"/>
  <c r="Z400" i="10" s="1"/>
  <c r="K400" i="10"/>
  <c r="L400" i="10" s="1"/>
  <c r="S430" i="10"/>
  <c r="T430" i="10" s="1"/>
  <c r="S400" i="10"/>
  <c r="T400" i="10" s="1"/>
  <c r="AA400" i="10"/>
  <c r="AB400" i="10" s="1"/>
  <c r="K430" i="10"/>
  <c r="L430" i="10" s="1"/>
  <c r="AA430" i="10"/>
  <c r="AB430" i="10" s="1"/>
  <c r="O426" i="10"/>
  <c r="P426" i="10" s="1"/>
  <c r="W426" i="10"/>
  <c r="X426" i="10" s="1"/>
  <c r="K427" i="10"/>
  <c r="L427" i="10" s="1"/>
  <c r="S427" i="10"/>
  <c r="T427" i="10" s="1"/>
  <c r="AA427" i="10"/>
  <c r="AB427" i="10" s="1"/>
  <c r="I422" i="10"/>
  <c r="Q422" i="10"/>
  <c r="R422" i="10" s="1"/>
  <c r="Y422" i="10"/>
  <c r="Z422" i="10" s="1"/>
  <c r="M423" i="10"/>
  <c r="N423" i="10" s="1"/>
  <c r="U423" i="10"/>
  <c r="V423" i="10" s="1"/>
  <c r="Y456" i="10"/>
  <c r="Z456" i="10" s="1"/>
  <c r="Q456" i="10"/>
  <c r="R456" i="10" s="1"/>
  <c r="U430" i="10"/>
  <c r="V430" i="10" s="1"/>
  <c r="Y426" i="10"/>
  <c r="Z426" i="10" s="1"/>
  <c r="O430" i="10"/>
  <c r="P430" i="10" s="1"/>
  <c r="W430" i="10"/>
  <c r="X430" i="10" s="1"/>
  <c r="K426" i="10"/>
  <c r="L426" i="10" s="1"/>
  <c r="S426" i="10"/>
  <c r="T426" i="10" s="1"/>
  <c r="AA426" i="10"/>
  <c r="AB426" i="10" s="1"/>
  <c r="O427" i="10"/>
  <c r="P427" i="10" s="1"/>
  <c r="W427" i="10"/>
  <c r="X427" i="10" s="1"/>
  <c r="I429" i="10"/>
  <c r="J429" i="10" s="1"/>
  <c r="Q429" i="10"/>
  <c r="R429" i="10" s="1"/>
  <c r="Y429" i="10"/>
  <c r="Z429" i="10" s="1"/>
  <c r="M422" i="10"/>
  <c r="N422" i="10" s="1"/>
  <c r="U422" i="10"/>
  <c r="V422" i="10" s="1"/>
  <c r="I423" i="10"/>
  <c r="Q423" i="10"/>
  <c r="R423" i="10" s="1"/>
  <c r="Y423" i="10"/>
  <c r="Z423" i="10" s="1"/>
  <c r="K425" i="10"/>
  <c r="L425" i="10" s="1"/>
  <c r="S425" i="10"/>
  <c r="T425" i="10" s="1"/>
  <c r="AA425" i="10"/>
  <c r="AB425" i="10" s="1"/>
  <c r="M430" i="10"/>
  <c r="N430" i="10" s="1"/>
  <c r="I426" i="10"/>
  <c r="Q426" i="10"/>
  <c r="R426" i="10" s="1"/>
  <c r="M427" i="10"/>
  <c r="N427" i="10" s="1"/>
  <c r="U427" i="10"/>
  <c r="V427" i="10" s="1"/>
  <c r="O429" i="10"/>
  <c r="P429" i="10" s="1"/>
  <c r="W429" i="10"/>
  <c r="X429" i="10" s="1"/>
  <c r="K422" i="10"/>
  <c r="L422" i="10" s="1"/>
  <c r="S422" i="10"/>
  <c r="T422" i="10" s="1"/>
  <c r="I425" i="10"/>
  <c r="J425" i="10" s="1"/>
  <c r="Q425" i="10"/>
  <c r="R425" i="10" s="1"/>
  <c r="Y425" i="10"/>
  <c r="Z425" i="10" s="1"/>
  <c r="G397" i="10"/>
  <c r="I456" i="10"/>
  <c r="J456" i="10" s="1"/>
  <c r="AA421" i="10"/>
  <c r="AB421" i="10" s="1"/>
  <c r="S421" i="10"/>
  <c r="T421" i="10" s="1"/>
  <c r="U203" i="10"/>
  <c r="V203" i="10" s="1"/>
  <c r="AA397" i="10"/>
  <c r="AB397" i="10" s="1"/>
  <c r="S397" i="10"/>
  <c r="T397" i="10" s="1"/>
  <c r="K397" i="10"/>
  <c r="L397" i="10" s="1"/>
  <c r="W203" i="10"/>
  <c r="X203" i="10" s="1"/>
  <c r="O203" i="10"/>
  <c r="P203" i="10" s="1"/>
  <c r="U421" i="10"/>
  <c r="V421" i="10" s="1"/>
  <c r="M421" i="10"/>
  <c r="N421" i="10" s="1"/>
  <c r="U418" i="10"/>
  <c r="V418" i="10" s="1"/>
  <c r="M418" i="10"/>
  <c r="N418" i="10" s="1"/>
  <c r="G455" i="10"/>
  <c r="G456" i="10"/>
  <c r="H456" i="10" s="1"/>
  <c r="AA456" i="10"/>
  <c r="AB456" i="10" s="1"/>
  <c r="S456" i="10"/>
  <c r="T456" i="10" s="1"/>
  <c r="K456" i="10"/>
  <c r="L456" i="10" s="1"/>
  <c r="Y397" i="10"/>
  <c r="Z397" i="10" s="1"/>
  <c r="Q397" i="10"/>
  <c r="R397" i="10" s="1"/>
  <c r="I397" i="10"/>
  <c r="M203" i="10"/>
  <c r="K421" i="10"/>
  <c r="L421" i="10" s="1"/>
  <c r="AA418" i="10"/>
  <c r="AB418" i="10" s="1"/>
  <c r="S418" i="10"/>
  <c r="T418" i="10" s="1"/>
  <c r="K418" i="10"/>
  <c r="L418" i="10" s="1"/>
  <c r="M400" i="10"/>
  <c r="N400" i="10" s="1"/>
  <c r="U400" i="10"/>
  <c r="V400" i="10" s="1"/>
  <c r="W397" i="10"/>
  <c r="X397" i="10" s="1"/>
  <c r="O397" i="10"/>
  <c r="P397" i="10" s="1"/>
  <c r="AA203" i="10"/>
  <c r="AB203" i="10" s="1"/>
  <c r="S203" i="10"/>
  <c r="T203" i="10" s="1"/>
  <c r="K203" i="10"/>
  <c r="Y421" i="10"/>
  <c r="Z421" i="10" s="1"/>
  <c r="Q421" i="10"/>
  <c r="R421" i="10" s="1"/>
  <c r="I421" i="10"/>
  <c r="Y418" i="10"/>
  <c r="Z418" i="10" s="1"/>
  <c r="Q418" i="10"/>
  <c r="R418" i="10" s="1"/>
  <c r="I418" i="10"/>
  <c r="W456" i="10"/>
  <c r="X456" i="10" s="1"/>
  <c r="O456" i="10"/>
  <c r="P456" i="10" s="1"/>
  <c r="G400" i="10"/>
  <c r="O400" i="10"/>
  <c r="P400" i="10" s="1"/>
  <c r="W400" i="10"/>
  <c r="X400" i="10" s="1"/>
  <c r="U397" i="10"/>
  <c r="V397" i="10" s="1"/>
  <c r="M397" i="10"/>
  <c r="N397" i="10" s="1"/>
  <c r="Y203" i="10"/>
  <c r="Z203" i="10" s="1"/>
  <c r="Q203" i="10"/>
  <c r="R203" i="10" s="1"/>
  <c r="I203" i="10"/>
  <c r="O423" i="10"/>
  <c r="P423" i="10" s="1"/>
  <c r="W423" i="10"/>
  <c r="X423" i="10" s="1"/>
  <c r="AA422" i="10"/>
  <c r="AB422" i="10" s="1"/>
  <c r="W421" i="10"/>
  <c r="X421" i="10" s="1"/>
  <c r="O421" i="10"/>
  <c r="P421" i="10" s="1"/>
  <c r="W418" i="10"/>
  <c r="X418" i="10" s="1"/>
  <c r="O418" i="10"/>
  <c r="P418" i="10" s="1"/>
  <c r="U456" i="10"/>
  <c r="V456" i="10" s="1"/>
  <c r="M456" i="10"/>
  <c r="N456" i="10" s="1"/>
  <c r="G426" i="10"/>
  <c r="G425" i="10"/>
  <c r="G427" i="10"/>
  <c r="G418" i="10"/>
  <c r="G430" i="10"/>
  <c r="G422" i="10"/>
  <c r="G429" i="10"/>
  <c r="G423" i="10"/>
  <c r="G421" i="10"/>
  <c r="E380" i="10"/>
  <c r="E383" i="10"/>
  <c r="E185" i="10"/>
  <c r="G203" i="10"/>
  <c r="AC383" i="10" l="1"/>
  <c r="P572" i="10"/>
  <c r="O569" i="10"/>
  <c r="P569" i="10" s="1"/>
  <c r="AB572" i="10"/>
  <c r="AA569" i="10"/>
  <c r="AB569" i="10" s="1"/>
  <c r="Z572" i="10"/>
  <c r="Y569" i="10"/>
  <c r="Z569" i="10" s="1"/>
  <c r="G569" i="10"/>
  <c r="AC572" i="10"/>
  <c r="X572" i="10"/>
  <c r="W569" i="10"/>
  <c r="X569" i="10" s="1"/>
  <c r="N572" i="10"/>
  <c r="M569" i="10"/>
  <c r="N569" i="10" s="1"/>
  <c r="T572" i="10"/>
  <c r="S569" i="10"/>
  <c r="T569" i="10" s="1"/>
  <c r="E183" i="10"/>
  <c r="R572" i="10"/>
  <c r="Q569" i="10"/>
  <c r="R569" i="10" s="1"/>
  <c r="AC382" i="10"/>
  <c r="AD382" i="10" s="1"/>
  <c r="F382" i="10"/>
  <c r="V572" i="10"/>
  <c r="U569" i="10"/>
  <c r="V569" i="10" s="1"/>
  <c r="L572" i="10"/>
  <c r="K569" i="10"/>
  <c r="L569" i="10" s="1"/>
  <c r="I569" i="10"/>
  <c r="AC425" i="10"/>
  <c r="AC455" i="10"/>
  <c r="AC422" i="10"/>
  <c r="AC430" i="10"/>
  <c r="AC426" i="10"/>
  <c r="AC418" i="10"/>
  <c r="AC423" i="10"/>
  <c r="AC429" i="10"/>
  <c r="AC427" i="10"/>
  <c r="AC380" i="10"/>
  <c r="AC397" i="10"/>
  <c r="AC421" i="10"/>
  <c r="AC456" i="10"/>
  <c r="AD456" i="10" s="1"/>
  <c r="M424" i="10"/>
  <c r="N424" i="10" s="1"/>
  <c r="U424" i="10"/>
  <c r="V424" i="10" s="1"/>
  <c r="S428" i="10"/>
  <c r="T428" i="10" s="1"/>
  <c r="AA428" i="10"/>
  <c r="AB428" i="10" s="1"/>
  <c r="K428" i="10"/>
  <c r="L428" i="10" s="1"/>
  <c r="AA424" i="10"/>
  <c r="AB424" i="10" s="1"/>
  <c r="S424" i="10"/>
  <c r="T424" i="10" s="1"/>
  <c r="Y428" i="10"/>
  <c r="Z428" i="10" s="1"/>
  <c r="Q428" i="10"/>
  <c r="R428" i="10" s="1"/>
  <c r="I428" i="10"/>
  <c r="K424" i="10"/>
  <c r="L424" i="10" s="1"/>
  <c r="AC203" i="10"/>
  <c r="AC185" i="10"/>
  <c r="E381" i="10"/>
  <c r="G424" i="10"/>
  <c r="G428" i="10"/>
  <c r="W424" i="10"/>
  <c r="X424" i="10" s="1"/>
  <c r="O424" i="10"/>
  <c r="P424" i="10" s="1"/>
  <c r="M398" i="10"/>
  <c r="N398" i="10" s="1"/>
  <c r="U398" i="10"/>
  <c r="V398" i="10" s="1"/>
  <c r="O398" i="10"/>
  <c r="P398" i="10" s="1"/>
  <c r="W398" i="10"/>
  <c r="X398" i="10" s="1"/>
  <c r="I398" i="10"/>
  <c r="Q398" i="10"/>
  <c r="R398" i="10" s="1"/>
  <c r="Y398" i="10"/>
  <c r="Z398" i="10" s="1"/>
  <c r="K398" i="10"/>
  <c r="L398" i="10" s="1"/>
  <c r="S398" i="10"/>
  <c r="T398" i="10" s="1"/>
  <c r="AA398" i="10"/>
  <c r="AB398" i="10" s="1"/>
  <c r="G398" i="10"/>
  <c r="U428" i="10"/>
  <c r="V428" i="10" s="1"/>
  <c r="M428" i="10"/>
  <c r="N428" i="10" s="1"/>
  <c r="Y424" i="10"/>
  <c r="Z424" i="10" s="1"/>
  <c r="Q424" i="10"/>
  <c r="R424" i="10" s="1"/>
  <c r="I424" i="10"/>
  <c r="W428" i="10"/>
  <c r="X428" i="10" s="1"/>
  <c r="O428" i="10"/>
  <c r="P428" i="10" s="1"/>
  <c r="AC472" i="6"/>
  <c r="G369" i="10" s="1"/>
  <c r="AD472" i="6"/>
  <c r="I369" i="10" s="1"/>
  <c r="AE472" i="6"/>
  <c r="K369" i="10" s="1"/>
  <c r="L369" i="10" s="1"/>
  <c r="AF472" i="6"/>
  <c r="M369" i="10" s="1"/>
  <c r="N369" i="10" s="1"/>
  <c r="AG472" i="6"/>
  <c r="O369" i="10" s="1"/>
  <c r="P369" i="10" s="1"/>
  <c r="AH472" i="6"/>
  <c r="Q369" i="10" s="1"/>
  <c r="R369" i="10" s="1"/>
  <c r="AI472" i="6"/>
  <c r="S369" i="10" s="1"/>
  <c r="T369" i="10" s="1"/>
  <c r="AJ472" i="6"/>
  <c r="U369" i="10" s="1"/>
  <c r="V369" i="10" s="1"/>
  <c r="AK472" i="6"/>
  <c r="W369" i="10" s="1"/>
  <c r="X369" i="10" s="1"/>
  <c r="AL472" i="6"/>
  <c r="Y369" i="10" s="1"/>
  <c r="Z369" i="10" s="1"/>
  <c r="AM472" i="6"/>
  <c r="AA369" i="10" s="1"/>
  <c r="AB369" i="10" s="1"/>
  <c r="AB472" i="6"/>
  <c r="E369" i="10" s="1"/>
  <c r="L472" i="6"/>
  <c r="E367" i="10" s="1"/>
  <c r="N472" i="6"/>
  <c r="I367" i="10" s="1"/>
  <c r="O472" i="6"/>
  <c r="K367" i="10" s="1"/>
  <c r="P472" i="6"/>
  <c r="M367" i="10" s="1"/>
  <c r="Q472" i="6"/>
  <c r="O367" i="10" s="1"/>
  <c r="R472" i="6"/>
  <c r="Q367" i="10" s="1"/>
  <c r="S472" i="6"/>
  <c r="S367" i="10" s="1"/>
  <c r="T472" i="6"/>
  <c r="U367" i="10" s="1"/>
  <c r="U472" i="6"/>
  <c r="W367" i="10" s="1"/>
  <c r="V472" i="6"/>
  <c r="Y367" i="10" s="1"/>
  <c r="W472" i="6"/>
  <c r="AA367" i="10" s="1"/>
  <c r="M472" i="6"/>
  <c r="G367" i="10" s="1"/>
  <c r="AD475" i="6"/>
  <c r="AE475" i="6"/>
  <c r="AF475" i="6"/>
  <c r="AG475" i="6"/>
  <c r="AH475" i="6"/>
  <c r="AI475" i="6"/>
  <c r="AJ475" i="6"/>
  <c r="AK475" i="6"/>
  <c r="AL475" i="6"/>
  <c r="AM475" i="6"/>
  <c r="AC475" i="6"/>
  <c r="AB475" i="6"/>
  <c r="L475" i="6"/>
  <c r="M476" i="6"/>
  <c r="AD476" i="6"/>
  <c r="AE476" i="6"/>
  <c r="AF476" i="6"/>
  <c r="AG476" i="6"/>
  <c r="AH476" i="6"/>
  <c r="AI476" i="6"/>
  <c r="AJ476" i="6"/>
  <c r="AK476" i="6"/>
  <c r="AL476" i="6"/>
  <c r="AM476" i="6"/>
  <c r="AC476" i="6"/>
  <c r="AB476" i="6"/>
  <c r="L476" i="6"/>
  <c r="AC477" i="6"/>
  <c r="AD477" i="6"/>
  <c r="AE477" i="6"/>
  <c r="AF477" i="6"/>
  <c r="AG477" i="6"/>
  <c r="AH477" i="6"/>
  <c r="AI477" i="6"/>
  <c r="AJ477" i="6"/>
  <c r="AK477" i="6"/>
  <c r="AL477" i="6"/>
  <c r="AM477" i="6"/>
  <c r="AB477" i="6"/>
  <c r="AC473" i="6"/>
  <c r="G358" i="10" s="1"/>
  <c r="AD473" i="6"/>
  <c r="I358" i="10" s="1"/>
  <c r="AE473" i="6"/>
  <c r="K358" i="10" s="1"/>
  <c r="L358" i="10" s="1"/>
  <c r="AF473" i="6"/>
  <c r="M358" i="10" s="1"/>
  <c r="N358" i="10" s="1"/>
  <c r="AG473" i="6"/>
  <c r="O358" i="10" s="1"/>
  <c r="P358" i="10" s="1"/>
  <c r="AH473" i="6"/>
  <c r="Q358" i="10" s="1"/>
  <c r="R358" i="10" s="1"/>
  <c r="AI473" i="6"/>
  <c r="S358" i="10" s="1"/>
  <c r="T358" i="10" s="1"/>
  <c r="AJ473" i="6"/>
  <c r="U358" i="10" s="1"/>
  <c r="V358" i="10" s="1"/>
  <c r="AK473" i="6"/>
  <c r="W358" i="10" s="1"/>
  <c r="X358" i="10" s="1"/>
  <c r="AL473" i="6"/>
  <c r="Y358" i="10" s="1"/>
  <c r="Z358" i="10" s="1"/>
  <c r="AM473" i="6"/>
  <c r="AA358" i="10" s="1"/>
  <c r="AB358" i="10" s="1"/>
  <c r="AC474" i="6"/>
  <c r="AD474" i="6"/>
  <c r="AE474" i="6"/>
  <c r="AF474" i="6"/>
  <c r="AG474" i="6"/>
  <c r="AH474" i="6"/>
  <c r="AI474" i="6"/>
  <c r="AJ474" i="6"/>
  <c r="AK474" i="6"/>
  <c r="AL474" i="6"/>
  <c r="AM474" i="6"/>
  <c r="AB474" i="6"/>
  <c r="AB473" i="6"/>
  <c r="E358" i="10" s="1"/>
  <c r="L434" i="6"/>
  <c r="AB434" i="6" s="1"/>
  <c r="L433" i="6"/>
  <c r="AB433" i="6" s="1"/>
  <c r="L440" i="6"/>
  <c r="AB440" i="6" s="1"/>
  <c r="L439" i="6"/>
  <c r="L446" i="6"/>
  <c r="AB446" i="6" s="1"/>
  <c r="L445" i="6"/>
  <c r="N454" i="6"/>
  <c r="AD454" i="6" s="1"/>
  <c r="O454" i="6"/>
  <c r="AE454" i="6" s="1"/>
  <c r="P454" i="6"/>
  <c r="AF454" i="6" s="1"/>
  <c r="Q454" i="6"/>
  <c r="AG454" i="6" s="1"/>
  <c r="R454" i="6"/>
  <c r="AH454" i="6" s="1"/>
  <c r="S454" i="6"/>
  <c r="AI454" i="6" s="1"/>
  <c r="M454" i="6"/>
  <c r="AC454" i="6" s="1"/>
  <c r="N460" i="6"/>
  <c r="AD460" i="6" s="1"/>
  <c r="O460" i="6"/>
  <c r="AE460" i="6" s="1"/>
  <c r="P460" i="6"/>
  <c r="AF460" i="6" s="1"/>
  <c r="Q460" i="6"/>
  <c r="AG460" i="6" s="1"/>
  <c r="R460" i="6"/>
  <c r="AH460" i="6" s="1"/>
  <c r="S460" i="6"/>
  <c r="AI460" i="6" s="1"/>
  <c r="M466" i="6"/>
  <c r="AC466" i="6" s="1"/>
  <c r="M460" i="6"/>
  <c r="AC460" i="6" s="1"/>
  <c r="N459" i="6"/>
  <c r="AD459" i="6" s="1"/>
  <c r="O459" i="6"/>
  <c r="AE459" i="6" s="1"/>
  <c r="P459" i="6"/>
  <c r="AF459" i="6" s="1"/>
  <c r="Q459" i="6"/>
  <c r="AG459" i="6" s="1"/>
  <c r="R459" i="6"/>
  <c r="AH459" i="6" s="1"/>
  <c r="S459" i="6"/>
  <c r="AI459" i="6" s="1"/>
  <c r="N453" i="6"/>
  <c r="AD453" i="6" s="1"/>
  <c r="O453" i="6"/>
  <c r="AE453" i="6" s="1"/>
  <c r="P453" i="6"/>
  <c r="AF453" i="6" s="1"/>
  <c r="Q453" i="6"/>
  <c r="AG453" i="6" s="1"/>
  <c r="R453" i="6"/>
  <c r="AH453" i="6" s="1"/>
  <c r="S453" i="6"/>
  <c r="AI453" i="6" s="1"/>
  <c r="M453" i="6"/>
  <c r="AC453" i="6" s="1"/>
  <c r="M459" i="6"/>
  <c r="AC459" i="6" s="1"/>
  <c r="N465" i="6"/>
  <c r="AD465" i="6" s="1"/>
  <c r="O465" i="6"/>
  <c r="AE465" i="6" s="1"/>
  <c r="P465" i="6"/>
  <c r="AF465" i="6" s="1"/>
  <c r="Q465" i="6"/>
  <c r="AG465" i="6" s="1"/>
  <c r="R465" i="6"/>
  <c r="AH465" i="6" s="1"/>
  <c r="S465" i="6"/>
  <c r="AI465" i="6" s="1"/>
  <c r="M465" i="6"/>
  <c r="AC465" i="6" s="1"/>
  <c r="N466" i="6"/>
  <c r="AD466" i="6" s="1"/>
  <c r="O466" i="6"/>
  <c r="AE466" i="6" s="1"/>
  <c r="P466" i="6"/>
  <c r="AF466" i="6" s="1"/>
  <c r="Q466" i="6"/>
  <c r="AG466" i="6" s="1"/>
  <c r="R466" i="6"/>
  <c r="AH466" i="6" s="1"/>
  <c r="S466" i="6"/>
  <c r="AI466" i="6" s="1"/>
  <c r="W475" i="6"/>
  <c r="N475" i="6"/>
  <c r="O475" i="6"/>
  <c r="P475" i="6"/>
  <c r="Q475" i="6"/>
  <c r="R475" i="6"/>
  <c r="S475" i="6"/>
  <c r="T475" i="6"/>
  <c r="U475" i="6"/>
  <c r="V475" i="6"/>
  <c r="N476" i="6"/>
  <c r="O476" i="6"/>
  <c r="P476" i="6"/>
  <c r="Q476" i="6"/>
  <c r="R476" i="6"/>
  <c r="S476" i="6"/>
  <c r="T476" i="6"/>
  <c r="U476" i="6"/>
  <c r="V476" i="6"/>
  <c r="W476" i="6"/>
  <c r="M475" i="6"/>
  <c r="M477" i="6"/>
  <c r="G361" i="10" s="1"/>
  <c r="N477" i="6"/>
  <c r="I361" i="10" s="1"/>
  <c r="O477" i="6"/>
  <c r="K361" i="10" s="1"/>
  <c r="L361" i="10" s="1"/>
  <c r="P477" i="6"/>
  <c r="M361" i="10" s="1"/>
  <c r="N361" i="10" s="1"/>
  <c r="Q477" i="6"/>
  <c r="O361" i="10" s="1"/>
  <c r="P361" i="10" s="1"/>
  <c r="R477" i="6"/>
  <c r="Q361" i="10" s="1"/>
  <c r="R361" i="10" s="1"/>
  <c r="S477" i="6"/>
  <c r="S361" i="10" s="1"/>
  <c r="T361" i="10" s="1"/>
  <c r="T477" i="6"/>
  <c r="U361" i="10" s="1"/>
  <c r="V361" i="10" s="1"/>
  <c r="U477" i="6"/>
  <c r="W361" i="10" s="1"/>
  <c r="X361" i="10" s="1"/>
  <c r="V477" i="6"/>
  <c r="Y361" i="10" s="1"/>
  <c r="Z361" i="10" s="1"/>
  <c r="W477" i="6"/>
  <c r="AA361" i="10" s="1"/>
  <c r="AB361" i="10" s="1"/>
  <c r="M473" i="6"/>
  <c r="G356" i="10" s="1"/>
  <c r="N473" i="6"/>
  <c r="I356" i="10" s="1"/>
  <c r="O473" i="6"/>
  <c r="K356" i="10" s="1"/>
  <c r="L356" i="10" s="1"/>
  <c r="P473" i="6"/>
  <c r="M356" i="10" s="1"/>
  <c r="N356" i="10" s="1"/>
  <c r="Q473" i="6"/>
  <c r="O356" i="10" s="1"/>
  <c r="P356" i="10" s="1"/>
  <c r="R473" i="6"/>
  <c r="Q356" i="10" s="1"/>
  <c r="R356" i="10" s="1"/>
  <c r="S473" i="6"/>
  <c r="S356" i="10" s="1"/>
  <c r="T356" i="10" s="1"/>
  <c r="T473" i="6"/>
  <c r="U356" i="10" s="1"/>
  <c r="V356" i="10" s="1"/>
  <c r="U473" i="6"/>
  <c r="W356" i="10" s="1"/>
  <c r="X356" i="10" s="1"/>
  <c r="V473" i="6"/>
  <c r="Y356" i="10" s="1"/>
  <c r="Z356" i="10" s="1"/>
  <c r="W473" i="6"/>
  <c r="AA356" i="10" s="1"/>
  <c r="AB356" i="10" s="1"/>
  <c r="M474" i="6"/>
  <c r="G359" i="10" s="1"/>
  <c r="N474" i="6"/>
  <c r="I359" i="10" s="1"/>
  <c r="O474" i="6"/>
  <c r="K359" i="10" s="1"/>
  <c r="L359" i="10" s="1"/>
  <c r="P474" i="6"/>
  <c r="M359" i="10" s="1"/>
  <c r="N359" i="10" s="1"/>
  <c r="Q474" i="6"/>
  <c r="O359" i="10" s="1"/>
  <c r="P359" i="10" s="1"/>
  <c r="R474" i="6"/>
  <c r="Q359" i="10" s="1"/>
  <c r="R359" i="10" s="1"/>
  <c r="S474" i="6"/>
  <c r="S359" i="10" s="1"/>
  <c r="T359" i="10" s="1"/>
  <c r="T474" i="6"/>
  <c r="U359" i="10" s="1"/>
  <c r="V359" i="10" s="1"/>
  <c r="U474" i="6"/>
  <c r="W359" i="10" s="1"/>
  <c r="X359" i="10" s="1"/>
  <c r="V474" i="6"/>
  <c r="Y359" i="10" s="1"/>
  <c r="Z359" i="10" s="1"/>
  <c r="W474" i="6"/>
  <c r="AA359" i="10" s="1"/>
  <c r="AB359" i="10" s="1"/>
  <c r="L474" i="6"/>
  <c r="E359" i="10" s="1"/>
  <c r="L477" i="6"/>
  <c r="E361" i="10" s="1"/>
  <c r="L473" i="6"/>
  <c r="E356" i="10" s="1"/>
  <c r="N434" i="6"/>
  <c r="AD434" i="6" s="1"/>
  <c r="O434" i="6"/>
  <c r="AE434" i="6" s="1"/>
  <c r="P433" i="6"/>
  <c r="Q433" i="6"/>
  <c r="R433" i="6"/>
  <c r="S434" i="6"/>
  <c r="AI434" i="6" s="1"/>
  <c r="L454" i="6"/>
  <c r="AB454" i="6" s="1"/>
  <c r="U454" i="6"/>
  <c r="AK454" i="6" s="1"/>
  <c r="V453" i="6"/>
  <c r="AL453" i="6" s="1"/>
  <c r="W459" i="6"/>
  <c r="AM459" i="6" s="1"/>
  <c r="T460" i="6"/>
  <c r="AJ460" i="6" s="1"/>
  <c r="B528" i="10"/>
  <c r="B520" i="10"/>
  <c r="B519" i="10"/>
  <c r="B511" i="10"/>
  <c r="B510" i="10"/>
  <c r="C528" i="10"/>
  <c r="F114" i="6"/>
  <c r="I617" i="6"/>
  <c r="B105" i="10" s="1"/>
  <c r="E119" i="6"/>
  <c r="K618" i="6"/>
  <c r="C106" i="10" s="1"/>
  <c r="I566" i="6"/>
  <c r="K569" i="6" s="1"/>
  <c r="C467" i="10" s="1"/>
  <c r="I563" i="6"/>
  <c r="I564" i="6" s="1"/>
  <c r="B252" i="10"/>
  <c r="B603" i="10"/>
  <c r="I525" i="6"/>
  <c r="I527" i="6" s="1"/>
  <c r="K527" i="6" s="1"/>
  <c r="C82" i="10" s="1"/>
  <c r="C252" i="10"/>
  <c r="I561" i="6"/>
  <c r="I560" i="6"/>
  <c r="I562" i="6"/>
  <c r="C251" i="10" l="1"/>
  <c r="C223" i="10" s="1"/>
  <c r="S366" i="10"/>
  <c r="T366" i="10" s="1"/>
  <c r="T367" i="10"/>
  <c r="G366" i="10"/>
  <c r="U366" i="10"/>
  <c r="V366" i="10" s="1"/>
  <c r="V367" i="10"/>
  <c r="M366" i="10"/>
  <c r="N366" i="10" s="1"/>
  <c r="N367" i="10"/>
  <c r="AA366" i="10"/>
  <c r="AB366" i="10" s="1"/>
  <c r="AB367" i="10"/>
  <c r="AC82" i="10"/>
  <c r="Y366" i="10"/>
  <c r="Z366" i="10" s="1"/>
  <c r="Z367" i="10"/>
  <c r="Q366" i="10"/>
  <c r="R366" i="10" s="1"/>
  <c r="R367" i="10"/>
  <c r="I366" i="10"/>
  <c r="AC381" i="10"/>
  <c r="K366" i="10"/>
  <c r="L366" i="10" s="1"/>
  <c r="L367" i="10"/>
  <c r="AC106" i="10"/>
  <c r="W366" i="10"/>
  <c r="X366" i="10" s="1"/>
  <c r="X367" i="10"/>
  <c r="O366" i="10"/>
  <c r="P366" i="10" s="1"/>
  <c r="P367" i="10"/>
  <c r="E366" i="10"/>
  <c r="AC183" i="10"/>
  <c r="K563" i="6"/>
  <c r="C459" i="10" s="1"/>
  <c r="AC398" i="10"/>
  <c r="AC428" i="10"/>
  <c r="AC424" i="10"/>
  <c r="AC252" i="10"/>
  <c r="L469" i="6"/>
  <c r="AB469" i="6" s="1"/>
  <c r="L466" i="6"/>
  <c r="AB466" i="6" s="1"/>
  <c r="T465" i="6"/>
  <c r="AJ465" i="6" s="1"/>
  <c r="L453" i="6"/>
  <c r="AB453" i="6" s="1"/>
  <c r="V460" i="6"/>
  <c r="AL460" i="6" s="1"/>
  <c r="L455" i="6"/>
  <c r="AB455" i="6" s="1"/>
  <c r="U466" i="6"/>
  <c r="AK466" i="6" s="1"/>
  <c r="L465" i="6"/>
  <c r="AB465" i="6" s="1"/>
  <c r="U459" i="6"/>
  <c r="AK459" i="6" s="1"/>
  <c r="L460" i="6"/>
  <c r="AB460" i="6" s="1"/>
  <c r="U460" i="6"/>
  <c r="AK460" i="6" s="1"/>
  <c r="T466" i="6"/>
  <c r="AJ466" i="6" s="1"/>
  <c r="T459" i="6"/>
  <c r="AJ459" i="6" s="1"/>
  <c r="Q446" i="6"/>
  <c r="AG446" i="6" s="1"/>
  <c r="Q440" i="6"/>
  <c r="AG440" i="6" s="1"/>
  <c r="Q434" i="6"/>
  <c r="AG434" i="6" s="1"/>
  <c r="L467" i="6"/>
  <c r="AB467" i="6" s="1"/>
  <c r="U465" i="6"/>
  <c r="AK465" i="6" s="1"/>
  <c r="L459" i="6"/>
  <c r="AB459" i="6" s="1"/>
  <c r="P446" i="6"/>
  <c r="AF446" i="6" s="1"/>
  <c r="P440" i="6"/>
  <c r="AF440" i="6" s="1"/>
  <c r="P434" i="6"/>
  <c r="AF434" i="6" s="1"/>
  <c r="E357" i="10"/>
  <c r="W360" i="10"/>
  <c r="X360" i="10" s="1"/>
  <c r="O360" i="10"/>
  <c r="P360" i="10" s="1"/>
  <c r="AA360" i="10"/>
  <c r="AB360" i="10" s="1"/>
  <c r="S360" i="10"/>
  <c r="T360" i="10" s="1"/>
  <c r="K360" i="10"/>
  <c r="L360" i="10" s="1"/>
  <c r="E360" i="10"/>
  <c r="E368" i="10"/>
  <c r="Y360" i="10"/>
  <c r="Z360" i="10" s="1"/>
  <c r="Q360" i="10"/>
  <c r="R360" i="10" s="1"/>
  <c r="I360" i="10"/>
  <c r="G360" i="10"/>
  <c r="U360" i="10"/>
  <c r="V360" i="10" s="1"/>
  <c r="M360" i="10"/>
  <c r="N360" i="10" s="1"/>
  <c r="AC356" i="10"/>
  <c r="AC359" i="10"/>
  <c r="G357" i="10"/>
  <c r="G368" i="10"/>
  <c r="AC358" i="10"/>
  <c r="AC369" i="10"/>
  <c r="V454" i="6"/>
  <c r="AL454" i="6" s="1"/>
  <c r="R445" i="6"/>
  <c r="N445" i="6"/>
  <c r="N439" i="6"/>
  <c r="N433" i="6"/>
  <c r="V466" i="6"/>
  <c r="AL466" i="6" s="1"/>
  <c r="V465" i="6"/>
  <c r="AL465" i="6" s="1"/>
  <c r="T453" i="6"/>
  <c r="AJ453" i="6" s="1"/>
  <c r="V459" i="6"/>
  <c r="AL459" i="6" s="1"/>
  <c r="W460" i="6"/>
  <c r="AM460" i="6" s="1"/>
  <c r="T454" i="6"/>
  <c r="AJ454" i="6" s="1"/>
  <c r="R446" i="6"/>
  <c r="AH446" i="6" s="1"/>
  <c r="N446" i="6"/>
  <c r="AD446" i="6" s="1"/>
  <c r="P445" i="6"/>
  <c r="R440" i="6"/>
  <c r="AH440" i="6" s="1"/>
  <c r="N440" i="6"/>
  <c r="AD440" i="6" s="1"/>
  <c r="P439" i="6"/>
  <c r="R434" i="6"/>
  <c r="AH434" i="6" s="1"/>
  <c r="S445" i="6"/>
  <c r="O445" i="6"/>
  <c r="S439" i="6"/>
  <c r="O439" i="6"/>
  <c r="S433" i="6"/>
  <c r="O433" i="6"/>
  <c r="W453" i="6"/>
  <c r="AM453" i="6" s="1"/>
  <c r="W454" i="6"/>
  <c r="AM454" i="6" s="1"/>
  <c r="R439" i="6"/>
  <c r="W466" i="6"/>
  <c r="AM466" i="6" s="1"/>
  <c r="W465" i="6"/>
  <c r="AM465" i="6" s="1"/>
  <c r="U453" i="6"/>
  <c r="AK453" i="6" s="1"/>
  <c r="S446" i="6"/>
  <c r="AI446" i="6" s="1"/>
  <c r="O446" i="6"/>
  <c r="AE446" i="6" s="1"/>
  <c r="Q445" i="6"/>
  <c r="S440" i="6"/>
  <c r="AI440" i="6" s="1"/>
  <c r="O440" i="6"/>
  <c r="AE440" i="6" s="1"/>
  <c r="Q439" i="6"/>
  <c r="AC528" i="10"/>
  <c r="K617" i="6"/>
  <c r="C105" i="10" s="1"/>
  <c r="K566" i="6"/>
  <c r="K568" i="6"/>
  <c r="C466" i="10" s="1"/>
  <c r="K567" i="6"/>
  <c r="C465" i="10" s="1"/>
  <c r="K560" i="6"/>
  <c r="AC467" i="10"/>
  <c r="C605" i="10"/>
  <c r="K532" i="6"/>
  <c r="C603" i="10" s="1"/>
  <c r="AC459" i="10" l="1"/>
  <c r="AC251" i="10"/>
  <c r="F17" i="18"/>
  <c r="EJ17" i="18" s="1"/>
  <c r="C599" i="10"/>
  <c r="C598" i="10" s="1"/>
  <c r="AC465" i="10"/>
  <c r="C104" i="10"/>
  <c r="AC104" i="10" s="1"/>
  <c r="AC466" i="10"/>
  <c r="F25" i="18"/>
  <c r="EJ25" i="18" s="1"/>
  <c r="K564" i="6"/>
  <c r="C460" i="10" s="1"/>
  <c r="C462" i="10"/>
  <c r="C464" i="10"/>
  <c r="AC105" i="10"/>
  <c r="AC360" i="10"/>
  <c r="V445" i="6"/>
  <c r="V434" i="6"/>
  <c r="AL434" i="6" s="1"/>
  <c r="V440" i="6"/>
  <c r="AL440" i="6" s="1"/>
  <c r="V446" i="6"/>
  <c r="AL446" i="6" s="1"/>
  <c r="V433" i="6"/>
  <c r="V439" i="6"/>
  <c r="T434" i="6"/>
  <c r="AJ434" i="6" s="1"/>
  <c r="T446" i="6"/>
  <c r="AJ446" i="6" s="1"/>
  <c r="T433" i="6"/>
  <c r="T439" i="6"/>
  <c r="T445" i="6"/>
  <c r="T440" i="6"/>
  <c r="AJ440" i="6" s="1"/>
  <c r="W434" i="6"/>
  <c r="AM434" i="6" s="1"/>
  <c r="W440" i="6"/>
  <c r="AM440" i="6" s="1"/>
  <c r="W446" i="6"/>
  <c r="AM446" i="6" s="1"/>
  <c r="W433" i="6"/>
  <c r="W439" i="6"/>
  <c r="W445" i="6"/>
  <c r="U433" i="6"/>
  <c r="U439" i="6"/>
  <c r="U445" i="6"/>
  <c r="U434" i="6"/>
  <c r="AK434" i="6" s="1"/>
  <c r="U440" i="6"/>
  <c r="AK440" i="6" s="1"/>
  <c r="U446" i="6"/>
  <c r="AK446" i="6" s="1"/>
  <c r="AC603" i="10"/>
  <c r="C604" i="10"/>
  <c r="AC605" i="10"/>
  <c r="C103" i="10" l="1"/>
  <c r="AC462" i="10"/>
  <c r="C102" i="10"/>
  <c r="C461" i="10"/>
  <c r="D461" i="10" s="1"/>
  <c r="AC460" i="10"/>
  <c r="F16" i="18"/>
  <c r="AC103" i="10"/>
  <c r="AC604" i="10"/>
  <c r="AC102" i="10" l="1"/>
  <c r="AC461" i="10"/>
  <c r="AD461" i="10" s="1"/>
  <c r="EJ16" i="18"/>
  <c r="I570" i="6"/>
  <c r="M401" i="6"/>
  <c r="O401" i="6"/>
  <c r="P401" i="6"/>
  <c r="Q401" i="6"/>
  <c r="R401" i="6"/>
  <c r="S401" i="6"/>
  <c r="T401" i="6"/>
  <c r="U401" i="6"/>
  <c r="V401" i="6"/>
  <c r="W401" i="6"/>
  <c r="O402" i="6"/>
  <c r="P402" i="6"/>
  <c r="Q402" i="6"/>
  <c r="R402" i="6"/>
  <c r="S402" i="6"/>
  <c r="T402" i="6"/>
  <c r="U402" i="6"/>
  <c r="V402" i="6"/>
  <c r="W402" i="6"/>
  <c r="O403" i="6"/>
  <c r="P403" i="6"/>
  <c r="Q403" i="6"/>
  <c r="R403" i="6"/>
  <c r="S403" i="6"/>
  <c r="T403" i="6"/>
  <c r="U403" i="6"/>
  <c r="V403" i="6"/>
  <c r="W403" i="6"/>
  <c r="M403" i="6"/>
  <c r="M402" i="6"/>
  <c r="O395" i="6"/>
  <c r="P395" i="6"/>
  <c r="Q395" i="6"/>
  <c r="R395" i="6"/>
  <c r="S395" i="6"/>
  <c r="T395" i="6"/>
  <c r="U395" i="6"/>
  <c r="V395" i="6"/>
  <c r="W395" i="6"/>
  <c r="O396" i="6"/>
  <c r="P396" i="6"/>
  <c r="Q396" i="6"/>
  <c r="R396" i="6"/>
  <c r="S396" i="6"/>
  <c r="T396" i="6"/>
  <c r="U396" i="6"/>
  <c r="V396" i="6"/>
  <c r="W396" i="6"/>
  <c r="O397" i="6"/>
  <c r="P397" i="6"/>
  <c r="Q397" i="6"/>
  <c r="R397" i="6"/>
  <c r="S397" i="6"/>
  <c r="T397" i="6"/>
  <c r="U397" i="6"/>
  <c r="V397" i="6"/>
  <c r="W397" i="6"/>
  <c r="M396" i="6"/>
  <c r="M397" i="6"/>
  <c r="M395" i="6"/>
  <c r="O377" i="6"/>
  <c r="P377" i="6"/>
  <c r="Q377" i="6"/>
  <c r="R377" i="6"/>
  <c r="S377" i="6"/>
  <c r="T377" i="6"/>
  <c r="U377" i="6"/>
  <c r="V377" i="6"/>
  <c r="W377" i="6"/>
  <c r="O378" i="6"/>
  <c r="P378" i="6"/>
  <c r="Q378" i="6"/>
  <c r="R378" i="6"/>
  <c r="S378" i="6"/>
  <c r="T378" i="6"/>
  <c r="U378" i="6"/>
  <c r="V378" i="6"/>
  <c r="W378" i="6"/>
  <c r="O379" i="6"/>
  <c r="P379" i="6"/>
  <c r="Q379" i="6"/>
  <c r="R379" i="6"/>
  <c r="S379" i="6"/>
  <c r="T379" i="6"/>
  <c r="U379" i="6"/>
  <c r="V379" i="6"/>
  <c r="W379" i="6"/>
  <c r="M379" i="6"/>
  <c r="M378" i="6"/>
  <c r="M377" i="6"/>
  <c r="L398" i="6"/>
  <c r="L401" i="6"/>
  <c r="L395" i="6"/>
  <c r="L377" i="6"/>
  <c r="L374" i="6"/>
  <c r="E287" i="10" s="1"/>
  <c r="G293" i="10"/>
  <c r="AA293" i="10"/>
  <c r="AB293" i="10" s="1"/>
  <c r="AA350" i="10"/>
  <c r="AB350" i="10" s="1"/>
  <c r="AA321" i="10"/>
  <c r="AB321" i="10" s="1"/>
  <c r="K293" i="10"/>
  <c r="M293" i="10"/>
  <c r="O293" i="10"/>
  <c r="P293" i="10" s="1"/>
  <c r="Q293" i="10"/>
  <c r="R293" i="10" s="1"/>
  <c r="S293" i="10"/>
  <c r="T293" i="10" s="1"/>
  <c r="U293" i="10"/>
  <c r="V293" i="10" s="1"/>
  <c r="W293" i="10"/>
  <c r="X293" i="10" s="1"/>
  <c r="Y293" i="10"/>
  <c r="Z293" i="10" s="1"/>
  <c r="K350" i="10"/>
  <c r="M350" i="10"/>
  <c r="O350" i="10"/>
  <c r="P350" i="10" s="1"/>
  <c r="Q350" i="10"/>
  <c r="R350" i="10" s="1"/>
  <c r="S350" i="10"/>
  <c r="T350" i="10" s="1"/>
  <c r="U350" i="10"/>
  <c r="V350" i="10" s="1"/>
  <c r="W350" i="10"/>
  <c r="X350" i="10" s="1"/>
  <c r="Y350" i="10"/>
  <c r="Z350" i="10" s="1"/>
  <c r="K321" i="10"/>
  <c r="M321" i="10"/>
  <c r="O321" i="10"/>
  <c r="P321" i="10" s="1"/>
  <c r="Q321" i="10"/>
  <c r="R321" i="10" s="1"/>
  <c r="S321" i="10"/>
  <c r="T321" i="10" s="1"/>
  <c r="U321" i="10"/>
  <c r="V321" i="10" s="1"/>
  <c r="W321" i="10"/>
  <c r="X321" i="10" s="1"/>
  <c r="Y321" i="10"/>
  <c r="Z321" i="10" s="1"/>
  <c r="G350" i="10"/>
  <c r="G321" i="10"/>
  <c r="G325" i="10"/>
  <c r="E350" i="10"/>
  <c r="E293" i="10"/>
  <c r="E321" i="10"/>
  <c r="E289" i="10"/>
  <c r="E286" i="10" l="1"/>
  <c r="F15" i="18"/>
  <c r="EJ15" i="18" s="1"/>
  <c r="E319" i="10"/>
  <c r="M374" i="6"/>
  <c r="E320" i="10" l="1"/>
  <c r="L141" i="6"/>
  <c r="AB439" i="6"/>
  <c r="E165" i="10" l="1"/>
  <c r="B149" i="6"/>
  <c r="AC165" i="10" l="1"/>
  <c r="E164" i="10"/>
  <c r="K570" i="6"/>
  <c r="C468" i="10" l="1"/>
  <c r="F9" i="9"/>
  <c r="C463" i="10" l="1"/>
  <c r="D9" i="9"/>
  <c r="AL75" i="16"/>
  <c r="AM75" i="16"/>
  <c r="AN75" i="16"/>
  <c r="AO75" i="16"/>
  <c r="AP75" i="16"/>
  <c r="AQ75" i="16"/>
  <c r="AR75" i="16"/>
  <c r="AL76" i="16"/>
  <c r="AM76" i="16"/>
  <c r="AN76" i="16"/>
  <c r="AO76" i="16"/>
  <c r="AP76" i="16"/>
  <c r="AQ76" i="16"/>
  <c r="AR76" i="16"/>
  <c r="AM77" i="16"/>
  <c r="AN77" i="16"/>
  <c r="AO77" i="16"/>
  <c r="AP77" i="16"/>
  <c r="AQ77" i="16"/>
  <c r="AR77" i="16"/>
  <c r="AM78" i="16"/>
  <c r="AN78" i="16"/>
  <c r="AO78" i="16"/>
  <c r="AP78" i="16"/>
  <c r="AQ78" i="16"/>
  <c r="AR78" i="16"/>
  <c r="AN74" i="16"/>
  <c r="AM74" i="16"/>
  <c r="AL74" i="16"/>
  <c r="C458" i="10" l="1"/>
  <c r="AH71" i="16"/>
  <c r="AH70" i="16"/>
  <c r="AH69" i="16"/>
  <c r="AH68" i="16"/>
  <c r="AC71" i="16"/>
  <c r="C393" i="10" l="1"/>
  <c r="AC70" i="16"/>
  <c r="AB69" i="16"/>
  <c r="AB68" i="16"/>
  <c r="AC67" i="16"/>
  <c r="AD67" i="16"/>
  <c r="AE67" i="16"/>
  <c r="AF67" i="16"/>
  <c r="AG67" i="16"/>
  <c r="AH67" i="16"/>
  <c r="AB67" i="16"/>
  <c r="AC72" i="16"/>
  <c r="AD72" i="16" s="1"/>
  <c r="AE72" i="16" s="1"/>
  <c r="AF72" i="16" l="1"/>
  <c r="AG72" i="16" s="1"/>
  <c r="AH72" i="16" s="1"/>
  <c r="AC69" i="16"/>
  <c r="AC68" i="16"/>
  <c r="AD68" i="16"/>
  <c r="AD69" i="16"/>
  <c r="AE71" i="16"/>
  <c r="AD70" i="16"/>
  <c r="AG68" i="16"/>
  <c r="AG70" i="16"/>
  <c r="AF69" i="16"/>
  <c r="AD71" i="16"/>
  <c r="AG69" i="16"/>
  <c r="AF68" i="16"/>
  <c r="AG71" i="16"/>
  <c r="AE68" i="16"/>
  <c r="AE69" i="16"/>
  <c r="AF71" i="16"/>
  <c r="AE70" i="16"/>
  <c r="D19" i="16"/>
  <c r="B20" i="16"/>
  <c r="E19" i="16"/>
  <c r="F19" i="16"/>
  <c r="G19" i="16"/>
  <c r="H19" i="16"/>
  <c r="I19" i="16"/>
  <c r="J19" i="16"/>
  <c r="K19" i="16"/>
  <c r="L19" i="16"/>
  <c r="M19" i="16"/>
  <c r="N19" i="16"/>
  <c r="C192" i="16"/>
  <c r="B178" i="18" s="1"/>
  <c r="C186" i="16"/>
  <c r="B118" i="18" s="1"/>
  <c r="C183" i="16"/>
  <c r="B93" i="18" s="1"/>
  <c r="C181" i="16"/>
  <c r="B87" i="18" s="1"/>
  <c r="C196" i="16"/>
  <c r="C195" i="16"/>
  <c r="B193" i="18" s="1"/>
  <c r="C194" i="16"/>
  <c r="B188" i="18" s="1"/>
  <c r="C193" i="16"/>
  <c r="B183" i="18" s="1"/>
  <c r="C191" i="16"/>
  <c r="B175" i="18" s="1"/>
  <c r="C190" i="16"/>
  <c r="B145" i="18" s="1"/>
  <c r="C189" i="16"/>
  <c r="B139" i="18" s="1"/>
  <c r="C188" i="16"/>
  <c r="B133" i="18" s="1"/>
  <c r="C187" i="16"/>
  <c r="B128" i="18" s="1"/>
  <c r="C185" i="16"/>
  <c r="B103" i="18" s="1"/>
  <c r="C184" i="16"/>
  <c r="B98" i="18" s="1"/>
  <c r="C182" i="16"/>
  <c r="B90" i="18" s="1"/>
  <c r="C180" i="16"/>
  <c r="B84" i="18" s="1"/>
  <c r="B113" i="18" l="1"/>
  <c r="B108" i="18"/>
  <c r="B170" i="18"/>
  <c r="B150" i="18"/>
  <c r="B155" i="18"/>
  <c r="B160" i="18"/>
  <c r="B165" i="18"/>
  <c r="AF70" i="16"/>
  <c r="AC300" i="6"/>
  <c r="I451" i="10" s="1"/>
  <c r="J451" i="10" s="1"/>
  <c r="AD300" i="6"/>
  <c r="K451" i="10" s="1"/>
  <c r="L451" i="10" s="1"/>
  <c r="AE300" i="6"/>
  <c r="M451" i="10" s="1"/>
  <c r="N451" i="10" s="1"/>
  <c r="AF300" i="6"/>
  <c r="O451" i="10" s="1"/>
  <c r="P451" i="10" s="1"/>
  <c r="AG300" i="6"/>
  <c r="Q451" i="10" s="1"/>
  <c r="R451" i="10" s="1"/>
  <c r="AH300" i="6"/>
  <c r="S451" i="10" s="1"/>
  <c r="T451" i="10" s="1"/>
  <c r="AI300" i="6"/>
  <c r="U451" i="10" s="1"/>
  <c r="V451" i="10" s="1"/>
  <c r="AJ300" i="6"/>
  <c r="W451" i="10" s="1"/>
  <c r="X451" i="10" s="1"/>
  <c r="AK300" i="6"/>
  <c r="Y451" i="10" s="1"/>
  <c r="Z451" i="10" s="1"/>
  <c r="AL300" i="6"/>
  <c r="AA451" i="10" s="1"/>
  <c r="AB451" i="10" s="1"/>
  <c r="AC301" i="6"/>
  <c r="I452" i="10" s="1"/>
  <c r="J452" i="10" s="1"/>
  <c r="AD301" i="6"/>
  <c r="K452" i="10" s="1"/>
  <c r="L452" i="10" s="1"/>
  <c r="AE301" i="6"/>
  <c r="M452" i="10" s="1"/>
  <c r="N452" i="10" s="1"/>
  <c r="AF301" i="6"/>
  <c r="O452" i="10" s="1"/>
  <c r="P452" i="10" s="1"/>
  <c r="AG301" i="6"/>
  <c r="Q452" i="10" s="1"/>
  <c r="R452" i="10" s="1"/>
  <c r="AH301" i="6"/>
  <c r="S452" i="10" s="1"/>
  <c r="T452" i="10" s="1"/>
  <c r="AI301" i="6"/>
  <c r="U452" i="10" s="1"/>
  <c r="V452" i="10" s="1"/>
  <c r="AJ301" i="6"/>
  <c r="W452" i="10" s="1"/>
  <c r="X452" i="10" s="1"/>
  <c r="AK301" i="6"/>
  <c r="Y452" i="10" s="1"/>
  <c r="Z452" i="10" s="1"/>
  <c r="AL301" i="6"/>
  <c r="AA452" i="10" s="1"/>
  <c r="AB452" i="10" s="1"/>
  <c r="AC302" i="6"/>
  <c r="I453" i="10" s="1"/>
  <c r="J453" i="10" s="1"/>
  <c r="AD302" i="6"/>
  <c r="K453" i="10" s="1"/>
  <c r="L453" i="10" s="1"/>
  <c r="AE302" i="6"/>
  <c r="M453" i="10" s="1"/>
  <c r="N453" i="10" s="1"/>
  <c r="AF302" i="6"/>
  <c r="O453" i="10" s="1"/>
  <c r="P453" i="10" s="1"/>
  <c r="AG302" i="6"/>
  <c r="Q453" i="10" s="1"/>
  <c r="R453" i="10" s="1"/>
  <c r="AH302" i="6"/>
  <c r="S453" i="10" s="1"/>
  <c r="T453" i="10" s="1"/>
  <c r="AI302" i="6"/>
  <c r="U453" i="10" s="1"/>
  <c r="V453" i="10" s="1"/>
  <c r="AJ302" i="6"/>
  <c r="W453" i="10" s="1"/>
  <c r="X453" i="10" s="1"/>
  <c r="AK302" i="6"/>
  <c r="Y453" i="10" s="1"/>
  <c r="Z453" i="10" s="1"/>
  <c r="AL302" i="6"/>
  <c r="AA453" i="10" s="1"/>
  <c r="AB453" i="10" s="1"/>
  <c r="AC303" i="6"/>
  <c r="I454" i="10" s="1"/>
  <c r="J454" i="10" s="1"/>
  <c r="AD303" i="6"/>
  <c r="K454" i="10" s="1"/>
  <c r="L454" i="10" s="1"/>
  <c r="AE303" i="6"/>
  <c r="M454" i="10" s="1"/>
  <c r="N454" i="10" s="1"/>
  <c r="AF303" i="6"/>
  <c r="O454" i="10" s="1"/>
  <c r="P454" i="10" s="1"/>
  <c r="AG303" i="6"/>
  <c r="Q454" i="10" s="1"/>
  <c r="R454" i="10" s="1"/>
  <c r="AH303" i="6"/>
  <c r="S454" i="10" s="1"/>
  <c r="T454" i="10" s="1"/>
  <c r="AI303" i="6"/>
  <c r="U454" i="10" s="1"/>
  <c r="V454" i="10" s="1"/>
  <c r="AJ303" i="6"/>
  <c r="W454" i="10" s="1"/>
  <c r="X454" i="10" s="1"/>
  <c r="AK303" i="6"/>
  <c r="Y454" i="10" s="1"/>
  <c r="Z454" i="10" s="1"/>
  <c r="AL303" i="6"/>
  <c r="AA454" i="10" s="1"/>
  <c r="AB454" i="10" s="1"/>
  <c r="AB303" i="6"/>
  <c r="G454" i="10" s="1"/>
  <c r="H454" i="10" s="1"/>
  <c r="AB302" i="6"/>
  <c r="G453" i="10" s="1"/>
  <c r="H453" i="10" s="1"/>
  <c r="AB301" i="6"/>
  <c r="G452" i="10" s="1"/>
  <c r="H452" i="10" s="1"/>
  <c r="AB300" i="6"/>
  <c r="G451" i="10" s="1"/>
  <c r="H451" i="10" s="1"/>
  <c r="AC291" i="6"/>
  <c r="I442" i="10" s="1"/>
  <c r="J442" i="10" s="1"/>
  <c r="AD291" i="6"/>
  <c r="K442" i="10" s="1"/>
  <c r="L442" i="10" s="1"/>
  <c r="AE291" i="6"/>
  <c r="M442" i="10" s="1"/>
  <c r="N442" i="10" s="1"/>
  <c r="AF291" i="6"/>
  <c r="O442" i="10" s="1"/>
  <c r="P442" i="10" s="1"/>
  <c r="AG291" i="6"/>
  <c r="Q442" i="10" s="1"/>
  <c r="R442" i="10" s="1"/>
  <c r="AH291" i="6"/>
  <c r="S442" i="10" s="1"/>
  <c r="T442" i="10" s="1"/>
  <c r="AI291" i="6"/>
  <c r="U442" i="10" s="1"/>
  <c r="V442" i="10" s="1"/>
  <c r="AJ291" i="6"/>
  <c r="W442" i="10" s="1"/>
  <c r="X442" i="10" s="1"/>
  <c r="AK291" i="6"/>
  <c r="Y442" i="10" s="1"/>
  <c r="Z442" i="10" s="1"/>
  <c r="AL291" i="6"/>
  <c r="AA442" i="10" s="1"/>
  <c r="AB442" i="10" s="1"/>
  <c r="AC292" i="6"/>
  <c r="I443" i="10" s="1"/>
  <c r="J443" i="10" s="1"/>
  <c r="AD292" i="6"/>
  <c r="K443" i="10" s="1"/>
  <c r="L443" i="10" s="1"/>
  <c r="AE292" i="6"/>
  <c r="M443" i="10" s="1"/>
  <c r="N443" i="10" s="1"/>
  <c r="AF292" i="6"/>
  <c r="O443" i="10" s="1"/>
  <c r="P443" i="10" s="1"/>
  <c r="AG292" i="6"/>
  <c r="Q443" i="10" s="1"/>
  <c r="R443" i="10" s="1"/>
  <c r="AH292" i="6"/>
  <c r="S443" i="10" s="1"/>
  <c r="T443" i="10" s="1"/>
  <c r="AI292" i="6"/>
  <c r="U443" i="10" s="1"/>
  <c r="V443" i="10" s="1"/>
  <c r="AJ292" i="6"/>
  <c r="W443" i="10" s="1"/>
  <c r="X443" i="10" s="1"/>
  <c r="AK292" i="6"/>
  <c r="Y443" i="10" s="1"/>
  <c r="Z443" i="10" s="1"/>
  <c r="AL292" i="6"/>
  <c r="AA443" i="10" s="1"/>
  <c r="AB443" i="10" s="1"/>
  <c r="AC293" i="6"/>
  <c r="I444" i="10" s="1"/>
  <c r="J444" i="10" s="1"/>
  <c r="AD293" i="6"/>
  <c r="K444" i="10" s="1"/>
  <c r="L444" i="10" s="1"/>
  <c r="AE293" i="6"/>
  <c r="M444" i="10" s="1"/>
  <c r="N444" i="10" s="1"/>
  <c r="AF293" i="6"/>
  <c r="O444" i="10" s="1"/>
  <c r="P444" i="10" s="1"/>
  <c r="AG293" i="6"/>
  <c r="Q444" i="10" s="1"/>
  <c r="R444" i="10" s="1"/>
  <c r="AH293" i="6"/>
  <c r="S444" i="10" s="1"/>
  <c r="T444" i="10" s="1"/>
  <c r="AI293" i="6"/>
  <c r="U444" i="10" s="1"/>
  <c r="V444" i="10" s="1"/>
  <c r="AJ293" i="6"/>
  <c r="W444" i="10" s="1"/>
  <c r="X444" i="10" s="1"/>
  <c r="AK293" i="6"/>
  <c r="Y444" i="10" s="1"/>
  <c r="Z444" i="10" s="1"/>
  <c r="AL293" i="6"/>
  <c r="AA444" i="10" s="1"/>
  <c r="AB444" i="10" s="1"/>
  <c r="AC294" i="6"/>
  <c r="I445" i="10" s="1"/>
  <c r="J445" i="10" s="1"/>
  <c r="AD294" i="6"/>
  <c r="K445" i="10" s="1"/>
  <c r="L445" i="10" s="1"/>
  <c r="AE294" i="6"/>
  <c r="M445" i="10" s="1"/>
  <c r="N445" i="10" s="1"/>
  <c r="AF294" i="6"/>
  <c r="O445" i="10" s="1"/>
  <c r="P445" i="10" s="1"/>
  <c r="AG294" i="6"/>
  <c r="Q445" i="10" s="1"/>
  <c r="R445" i="10" s="1"/>
  <c r="AH294" i="6"/>
  <c r="S445" i="10" s="1"/>
  <c r="T445" i="10" s="1"/>
  <c r="AI294" i="6"/>
  <c r="U445" i="10" s="1"/>
  <c r="V445" i="10" s="1"/>
  <c r="AJ294" i="6"/>
  <c r="W445" i="10" s="1"/>
  <c r="X445" i="10" s="1"/>
  <c r="AK294" i="6"/>
  <c r="Y445" i="10" s="1"/>
  <c r="Z445" i="10" s="1"/>
  <c r="AL294" i="6"/>
  <c r="AA445" i="10" s="1"/>
  <c r="AB445" i="10" s="1"/>
  <c r="AB294" i="6"/>
  <c r="G445" i="10" s="1"/>
  <c r="H445" i="10" s="1"/>
  <c r="AB293" i="6"/>
  <c r="G444" i="10" s="1"/>
  <c r="H444" i="10" s="1"/>
  <c r="AB292" i="6"/>
  <c r="G443" i="10" s="1"/>
  <c r="H443" i="10" s="1"/>
  <c r="AB291" i="6"/>
  <c r="G442" i="10" s="1"/>
  <c r="H442" i="10" s="1"/>
  <c r="N300" i="6"/>
  <c r="I447" i="10" s="1"/>
  <c r="O300" i="6"/>
  <c r="K447" i="10" s="1"/>
  <c r="L447" i="10" s="1"/>
  <c r="P300" i="6"/>
  <c r="M447" i="10" s="1"/>
  <c r="N447" i="10" s="1"/>
  <c r="Q300" i="6"/>
  <c r="O447" i="10" s="1"/>
  <c r="P447" i="10" s="1"/>
  <c r="R300" i="6"/>
  <c r="Q447" i="10" s="1"/>
  <c r="R447" i="10" s="1"/>
  <c r="S300" i="6"/>
  <c r="S447" i="10" s="1"/>
  <c r="T447" i="10" s="1"/>
  <c r="T300" i="6"/>
  <c r="U447" i="10" s="1"/>
  <c r="V447" i="10" s="1"/>
  <c r="U300" i="6"/>
  <c r="W447" i="10" s="1"/>
  <c r="X447" i="10" s="1"/>
  <c r="V300" i="6"/>
  <c r="Y447" i="10" s="1"/>
  <c r="Z447" i="10" s="1"/>
  <c r="W300" i="6"/>
  <c r="AA447" i="10" s="1"/>
  <c r="AB447" i="10" s="1"/>
  <c r="N301" i="6"/>
  <c r="I448" i="10" s="1"/>
  <c r="O301" i="6"/>
  <c r="K448" i="10" s="1"/>
  <c r="L448" i="10" s="1"/>
  <c r="P301" i="6"/>
  <c r="M448" i="10" s="1"/>
  <c r="N448" i="10" s="1"/>
  <c r="Q301" i="6"/>
  <c r="O448" i="10" s="1"/>
  <c r="P448" i="10" s="1"/>
  <c r="R301" i="6"/>
  <c r="Q448" i="10" s="1"/>
  <c r="R448" i="10" s="1"/>
  <c r="S301" i="6"/>
  <c r="S448" i="10" s="1"/>
  <c r="T448" i="10" s="1"/>
  <c r="T301" i="6"/>
  <c r="U448" i="10" s="1"/>
  <c r="V448" i="10" s="1"/>
  <c r="U301" i="6"/>
  <c r="W448" i="10" s="1"/>
  <c r="X448" i="10" s="1"/>
  <c r="V301" i="6"/>
  <c r="Y448" i="10" s="1"/>
  <c r="Z448" i="10" s="1"/>
  <c r="W301" i="6"/>
  <c r="AA448" i="10" s="1"/>
  <c r="AB448" i="10" s="1"/>
  <c r="N302" i="6"/>
  <c r="I449" i="10" s="1"/>
  <c r="O302" i="6"/>
  <c r="K449" i="10" s="1"/>
  <c r="L449" i="10" s="1"/>
  <c r="P302" i="6"/>
  <c r="M449" i="10" s="1"/>
  <c r="N449" i="10" s="1"/>
  <c r="Q302" i="6"/>
  <c r="O449" i="10" s="1"/>
  <c r="P449" i="10" s="1"/>
  <c r="R302" i="6"/>
  <c r="Q449" i="10" s="1"/>
  <c r="R449" i="10" s="1"/>
  <c r="S302" i="6"/>
  <c r="S449" i="10" s="1"/>
  <c r="T449" i="10" s="1"/>
  <c r="T302" i="6"/>
  <c r="U449" i="10" s="1"/>
  <c r="V449" i="10" s="1"/>
  <c r="U302" i="6"/>
  <c r="W449" i="10" s="1"/>
  <c r="X449" i="10" s="1"/>
  <c r="V302" i="6"/>
  <c r="Y449" i="10" s="1"/>
  <c r="Z449" i="10" s="1"/>
  <c r="W302" i="6"/>
  <c r="AA449" i="10" s="1"/>
  <c r="AB449" i="10" s="1"/>
  <c r="N303" i="6"/>
  <c r="I450" i="10" s="1"/>
  <c r="J450" i="10" s="1"/>
  <c r="O303" i="6"/>
  <c r="K450" i="10" s="1"/>
  <c r="L450" i="10" s="1"/>
  <c r="P303" i="6"/>
  <c r="M450" i="10" s="1"/>
  <c r="N450" i="10" s="1"/>
  <c r="Q303" i="6"/>
  <c r="O450" i="10" s="1"/>
  <c r="P450" i="10" s="1"/>
  <c r="R303" i="6"/>
  <c r="Q450" i="10" s="1"/>
  <c r="R450" i="10" s="1"/>
  <c r="S303" i="6"/>
  <c r="S450" i="10" s="1"/>
  <c r="T450" i="10" s="1"/>
  <c r="T303" i="6"/>
  <c r="U450" i="10" s="1"/>
  <c r="V450" i="10" s="1"/>
  <c r="U303" i="6"/>
  <c r="W450" i="10" s="1"/>
  <c r="X450" i="10" s="1"/>
  <c r="V303" i="6"/>
  <c r="Y450" i="10" s="1"/>
  <c r="Z450" i="10" s="1"/>
  <c r="W303" i="6"/>
  <c r="AA450" i="10" s="1"/>
  <c r="AB450" i="10" s="1"/>
  <c r="M303" i="6"/>
  <c r="G450" i="10" s="1"/>
  <c r="H450" i="10" s="1"/>
  <c r="M302" i="6"/>
  <c r="G449" i="10" s="1"/>
  <c r="M301" i="6"/>
  <c r="G448" i="10" s="1"/>
  <c r="M300" i="6"/>
  <c r="G447" i="10" s="1"/>
  <c r="W292" i="6"/>
  <c r="N291" i="6"/>
  <c r="O291" i="6"/>
  <c r="P291" i="6"/>
  <c r="Q291" i="6"/>
  <c r="R291" i="6"/>
  <c r="S291" i="6"/>
  <c r="T291" i="6"/>
  <c r="U291" i="6"/>
  <c r="V291" i="6"/>
  <c r="W291" i="6"/>
  <c r="N292" i="6"/>
  <c r="O292" i="6"/>
  <c r="P292" i="6"/>
  <c r="Q292" i="6"/>
  <c r="R292" i="6"/>
  <c r="S292" i="6"/>
  <c r="T292" i="6"/>
  <c r="U292" i="6"/>
  <c r="V292" i="6"/>
  <c r="N293" i="6"/>
  <c r="I440" i="10" s="1"/>
  <c r="O293" i="6"/>
  <c r="K440" i="10" s="1"/>
  <c r="L440" i="10" s="1"/>
  <c r="P293" i="6"/>
  <c r="M440" i="10" s="1"/>
  <c r="N440" i="10" s="1"/>
  <c r="Q293" i="6"/>
  <c r="O440" i="10" s="1"/>
  <c r="P440" i="10" s="1"/>
  <c r="R293" i="6"/>
  <c r="Q440" i="10" s="1"/>
  <c r="R440" i="10" s="1"/>
  <c r="S293" i="6"/>
  <c r="S440" i="10" s="1"/>
  <c r="T440" i="10" s="1"/>
  <c r="T293" i="6"/>
  <c r="U440" i="10" s="1"/>
  <c r="V440" i="10" s="1"/>
  <c r="U293" i="6"/>
  <c r="W440" i="10" s="1"/>
  <c r="X440" i="10" s="1"/>
  <c r="V293" i="6"/>
  <c r="Y440" i="10" s="1"/>
  <c r="Z440" i="10" s="1"/>
  <c r="W293" i="6"/>
  <c r="AA440" i="10" s="1"/>
  <c r="AB440" i="10" s="1"/>
  <c r="N294" i="6"/>
  <c r="I441" i="10" s="1"/>
  <c r="J441" i="10" s="1"/>
  <c r="O294" i="6"/>
  <c r="K441" i="10" s="1"/>
  <c r="L441" i="10" s="1"/>
  <c r="P294" i="6"/>
  <c r="M441" i="10" s="1"/>
  <c r="N441" i="10" s="1"/>
  <c r="Q294" i="6"/>
  <c r="O441" i="10" s="1"/>
  <c r="P441" i="10" s="1"/>
  <c r="R294" i="6"/>
  <c r="Q441" i="10" s="1"/>
  <c r="R441" i="10" s="1"/>
  <c r="S294" i="6"/>
  <c r="S441" i="10" s="1"/>
  <c r="T441" i="10" s="1"/>
  <c r="T294" i="6"/>
  <c r="U441" i="10" s="1"/>
  <c r="V441" i="10" s="1"/>
  <c r="U294" i="6"/>
  <c r="W441" i="10" s="1"/>
  <c r="X441" i="10" s="1"/>
  <c r="V294" i="6"/>
  <c r="Y441" i="10" s="1"/>
  <c r="Z441" i="10" s="1"/>
  <c r="W294" i="6"/>
  <c r="AA441" i="10" s="1"/>
  <c r="AB441" i="10" s="1"/>
  <c r="M294" i="6"/>
  <c r="G441" i="10" s="1"/>
  <c r="H441" i="10" s="1"/>
  <c r="M293" i="6"/>
  <c r="G440" i="10" s="1"/>
  <c r="M292" i="6"/>
  <c r="G439" i="10" s="1"/>
  <c r="M291" i="6"/>
  <c r="G438" i="10" s="1"/>
  <c r="AC447" i="10" l="1"/>
  <c r="AC442" i="10"/>
  <c r="AD442" i="10" s="1"/>
  <c r="AC451" i="10"/>
  <c r="AD451" i="10" s="1"/>
  <c r="AC448" i="10"/>
  <c r="AC443" i="10"/>
  <c r="AD443" i="10" s="1"/>
  <c r="AC452" i="10"/>
  <c r="AD452" i="10" s="1"/>
  <c r="AC440" i="10"/>
  <c r="AC449" i="10"/>
  <c r="AC444" i="10"/>
  <c r="AD444" i="10" s="1"/>
  <c r="AC453" i="10"/>
  <c r="AD453" i="10" s="1"/>
  <c r="AC441" i="10"/>
  <c r="AD441" i="10" s="1"/>
  <c r="AC450" i="10"/>
  <c r="AD450" i="10" s="1"/>
  <c r="AC445" i="10"/>
  <c r="AD445" i="10" s="1"/>
  <c r="AC454" i="10"/>
  <c r="AD454" i="10" s="1"/>
  <c r="U439" i="10"/>
  <c r="V439" i="10" s="1"/>
  <c r="M439" i="10"/>
  <c r="N439" i="10" s="1"/>
  <c r="Y438" i="10"/>
  <c r="Z438" i="10" s="1"/>
  <c r="Q438" i="10"/>
  <c r="R438" i="10" s="1"/>
  <c r="I438" i="10"/>
  <c r="W439" i="10"/>
  <c r="X439" i="10" s="1"/>
  <c r="O439" i="10"/>
  <c r="P439" i="10" s="1"/>
  <c r="AA438" i="10"/>
  <c r="AB438" i="10" s="1"/>
  <c r="S438" i="10"/>
  <c r="T438" i="10" s="1"/>
  <c r="K438" i="10"/>
  <c r="L438" i="10" s="1"/>
  <c r="Y439" i="10"/>
  <c r="Z439" i="10" s="1"/>
  <c r="Q439" i="10"/>
  <c r="R439" i="10" s="1"/>
  <c r="I439" i="10"/>
  <c r="U438" i="10"/>
  <c r="V438" i="10" s="1"/>
  <c r="M438" i="10"/>
  <c r="N438" i="10" s="1"/>
  <c r="S439" i="10"/>
  <c r="T439" i="10" s="1"/>
  <c r="K439" i="10"/>
  <c r="L439" i="10" s="1"/>
  <c r="W438" i="10"/>
  <c r="X438" i="10" s="1"/>
  <c r="O438" i="10"/>
  <c r="P438" i="10" s="1"/>
  <c r="AA439" i="10"/>
  <c r="AB439" i="10" s="1"/>
  <c r="Q446" i="10"/>
  <c r="R446" i="10" s="1"/>
  <c r="G446" i="10"/>
  <c r="W446" i="10"/>
  <c r="X446" i="10" s="1"/>
  <c r="I446" i="10"/>
  <c r="U446" i="10"/>
  <c r="V446" i="10" s="1"/>
  <c r="M446" i="10"/>
  <c r="N446" i="10" s="1"/>
  <c r="Y446" i="10"/>
  <c r="Z446" i="10" s="1"/>
  <c r="AA446" i="10"/>
  <c r="AB446" i="10" s="1"/>
  <c r="S446" i="10"/>
  <c r="T446" i="10" s="1"/>
  <c r="K446" i="10"/>
  <c r="L446" i="10" s="1"/>
  <c r="O446" i="10"/>
  <c r="P446" i="10" s="1"/>
  <c r="G437" i="10"/>
  <c r="N464" i="6"/>
  <c r="AD464" i="6" s="1"/>
  <c r="O464" i="6"/>
  <c r="AE464" i="6" s="1"/>
  <c r="P464" i="6"/>
  <c r="AF464" i="6" s="1"/>
  <c r="Q464" i="6"/>
  <c r="AG464" i="6" s="1"/>
  <c r="R464" i="6"/>
  <c r="AH464" i="6" s="1"/>
  <c r="S464" i="6"/>
  <c r="AI464" i="6" s="1"/>
  <c r="T464" i="6"/>
  <c r="AJ464" i="6" s="1"/>
  <c r="U464" i="6"/>
  <c r="AK464" i="6" s="1"/>
  <c r="V464" i="6"/>
  <c r="AL464" i="6" s="1"/>
  <c r="W464" i="6"/>
  <c r="AM464" i="6" s="1"/>
  <c r="L464" i="6"/>
  <c r="AB464" i="6" s="1"/>
  <c r="L444" i="6"/>
  <c r="W444" i="6"/>
  <c r="N444" i="6"/>
  <c r="O444" i="6"/>
  <c r="P444" i="6"/>
  <c r="Q444" i="6"/>
  <c r="R444" i="6"/>
  <c r="S444" i="6"/>
  <c r="T444" i="6"/>
  <c r="U444" i="6"/>
  <c r="V444" i="6"/>
  <c r="AC439" i="10" l="1"/>
  <c r="AC438" i="10"/>
  <c r="AC446" i="10"/>
  <c r="W437" i="10"/>
  <c r="X437" i="10" s="1"/>
  <c r="U437" i="10"/>
  <c r="V437" i="10" s="1"/>
  <c r="Q437" i="10"/>
  <c r="R437" i="10" s="1"/>
  <c r="S437" i="10"/>
  <c r="T437" i="10" s="1"/>
  <c r="AA437" i="10"/>
  <c r="AB437" i="10" s="1"/>
  <c r="Y437" i="10"/>
  <c r="Z437" i="10" s="1"/>
  <c r="M437" i="10"/>
  <c r="N437" i="10" s="1"/>
  <c r="K437" i="10"/>
  <c r="L437" i="10" s="1"/>
  <c r="I437" i="10"/>
  <c r="O437" i="10"/>
  <c r="P437" i="10" s="1"/>
  <c r="AC437" i="10" l="1"/>
  <c r="G5" i="18"/>
  <c r="B4" i="16"/>
  <c r="A59" i="16" s="1"/>
  <c r="B59" i="16" s="1"/>
  <c r="E248" i="18" s="1"/>
  <c r="F13" i="16"/>
  <c r="G13" i="16"/>
  <c r="H13" i="16"/>
  <c r="I13" i="16"/>
  <c r="J13" i="16"/>
  <c r="K13" i="16"/>
  <c r="L13" i="16"/>
  <c r="M13" i="16"/>
  <c r="N13" i="16"/>
  <c r="D13" i="16"/>
  <c r="D8" i="14"/>
  <c r="E22" i="16"/>
  <c r="E23" i="16" s="1"/>
  <c r="F22" i="16"/>
  <c r="F23" i="16" s="1"/>
  <c r="G22" i="16"/>
  <c r="G23" i="16" s="1"/>
  <c r="H22" i="16"/>
  <c r="H23" i="16" s="1"/>
  <c r="I22" i="16"/>
  <c r="I23" i="16" s="1"/>
  <c r="J22" i="16"/>
  <c r="J23" i="16" s="1"/>
  <c r="K22" i="16"/>
  <c r="K23" i="16" s="1"/>
  <c r="L22" i="16"/>
  <c r="L23" i="16" s="1"/>
  <c r="M22" i="16"/>
  <c r="M23" i="16" s="1"/>
  <c r="N22" i="16"/>
  <c r="N23" i="16" s="1"/>
  <c r="D22" i="16"/>
  <c r="E21" i="16"/>
  <c r="F21" i="16"/>
  <c r="G21" i="16"/>
  <c r="H21" i="16"/>
  <c r="I21" i="16"/>
  <c r="J21" i="16"/>
  <c r="K21" i="16"/>
  <c r="L21" i="16"/>
  <c r="M21" i="16"/>
  <c r="N21" i="16"/>
  <c r="D21" i="16"/>
  <c r="E16" i="16"/>
  <c r="F16" i="16"/>
  <c r="G16" i="16"/>
  <c r="H16" i="16"/>
  <c r="I16" i="16"/>
  <c r="J16" i="16"/>
  <c r="K16" i="16"/>
  <c r="L16" i="16"/>
  <c r="M16" i="16"/>
  <c r="N16" i="16"/>
  <c r="E17" i="16"/>
  <c r="F17" i="16"/>
  <c r="G17" i="16"/>
  <c r="H17" i="16"/>
  <c r="I17" i="16"/>
  <c r="J17" i="16"/>
  <c r="K17" i="16"/>
  <c r="L17" i="16"/>
  <c r="M17" i="16"/>
  <c r="N17" i="16"/>
  <c r="D17" i="16"/>
  <c r="D16" i="16"/>
  <c r="E7" i="16"/>
  <c r="F7" i="16"/>
  <c r="G7" i="16"/>
  <c r="H7" i="16"/>
  <c r="I7" i="16"/>
  <c r="J7" i="16"/>
  <c r="K7" i="16"/>
  <c r="L7" i="16"/>
  <c r="M7" i="16"/>
  <c r="N7" i="16"/>
  <c r="D7" i="16"/>
  <c r="B15" i="16"/>
  <c r="B9" i="16"/>
  <c r="H46" i="16" s="1"/>
  <c r="B10" i="16"/>
  <c r="B26" i="16"/>
  <c r="A71" i="16" s="1"/>
  <c r="B5" i="16"/>
  <c r="B40" i="16"/>
  <c r="H131" i="16" s="1"/>
  <c r="B29" i="16"/>
  <c r="E104" i="16" s="1"/>
  <c r="E105" i="16" s="1"/>
  <c r="E390" i="18" s="1"/>
  <c r="B28" i="16"/>
  <c r="B32" i="16"/>
  <c r="C104" i="16" s="1"/>
  <c r="C105" i="16" s="1"/>
  <c r="E380" i="18" s="1"/>
  <c r="B31" i="16"/>
  <c r="B104" i="16" s="1"/>
  <c r="B105" i="16" s="1"/>
  <c r="E370" i="18" s="1"/>
  <c r="B34" i="16"/>
  <c r="E96" i="16" s="1"/>
  <c r="B39" i="16"/>
  <c r="F123" i="16" s="1"/>
  <c r="B38" i="16"/>
  <c r="E124" i="16" s="1"/>
  <c r="B42" i="16"/>
  <c r="B36" i="16"/>
  <c r="B124" i="16" s="1"/>
  <c r="B125" i="16" s="1"/>
  <c r="E400" i="18" s="1"/>
  <c r="G419" i="18"/>
  <c r="G418" i="18"/>
  <c r="G414" i="18"/>
  <c r="G413" i="18"/>
  <c r="G408" i="18"/>
  <c r="G407" i="18"/>
  <c r="G403" i="18"/>
  <c r="G402" i="18"/>
  <c r="G398" i="18"/>
  <c r="G397" i="18"/>
  <c r="G393" i="18"/>
  <c r="G392" i="18"/>
  <c r="G388" i="18"/>
  <c r="G387" i="18"/>
  <c r="G383" i="18"/>
  <c r="G382" i="18"/>
  <c r="G373" i="18"/>
  <c r="G372" i="18"/>
  <c r="G368" i="18"/>
  <c r="G367" i="18"/>
  <c r="G363" i="18"/>
  <c r="G362" i="18"/>
  <c r="G358" i="18"/>
  <c r="G357" i="18"/>
  <c r="G353" i="18"/>
  <c r="G352" i="18"/>
  <c r="G348" i="18"/>
  <c r="G347" i="18"/>
  <c r="G342" i="18"/>
  <c r="G341" i="18"/>
  <c r="G337" i="18"/>
  <c r="G336" i="18"/>
  <c r="G332" i="18"/>
  <c r="G331" i="18"/>
  <c r="G327" i="18"/>
  <c r="G326" i="18"/>
  <c r="G322" i="18"/>
  <c r="G321" i="18"/>
  <c r="G317" i="18"/>
  <c r="G316" i="18"/>
  <c r="G312" i="18"/>
  <c r="G311" i="18"/>
  <c r="G307" i="18"/>
  <c r="G306" i="18"/>
  <c r="G302" i="18"/>
  <c r="G301" i="18"/>
  <c r="G297" i="18"/>
  <c r="G296" i="18"/>
  <c r="G292" i="18"/>
  <c r="G291" i="18"/>
  <c r="G287" i="18"/>
  <c r="G286" i="18"/>
  <c r="G282" i="18"/>
  <c r="G281" i="18"/>
  <c r="G277" i="18"/>
  <c r="G276" i="18"/>
  <c r="G272" i="18"/>
  <c r="G271" i="18"/>
  <c r="G267" i="18"/>
  <c r="G266" i="18"/>
  <c r="G262" i="18"/>
  <c r="G261" i="18"/>
  <c r="G257" i="18"/>
  <c r="G256" i="18"/>
  <c r="E253" i="18"/>
  <c r="G251" i="18"/>
  <c r="G250" i="18"/>
  <c r="G246" i="18"/>
  <c r="G245" i="18"/>
  <c r="G241" i="18"/>
  <c r="G240" i="18"/>
  <c r="G236" i="18"/>
  <c r="G235" i="18"/>
  <c r="G217" i="18"/>
  <c r="D217" i="18"/>
  <c r="G214" i="18"/>
  <c r="D214" i="18"/>
  <c r="G211" i="18"/>
  <c r="D211" i="18"/>
  <c r="G208" i="18"/>
  <c r="D208" i="18"/>
  <c r="G205" i="18"/>
  <c r="D205" i="18"/>
  <c r="G202" i="18"/>
  <c r="D202" i="18"/>
  <c r="G199" i="18"/>
  <c r="D199" i="18"/>
  <c r="G176" i="18"/>
  <c r="G173" i="18"/>
  <c r="G168" i="18"/>
  <c r="G25" i="18" s="1"/>
  <c r="D168" i="18"/>
  <c r="G163" i="18"/>
  <c r="D163" i="18"/>
  <c r="G158" i="18"/>
  <c r="D158" i="18"/>
  <c r="G153" i="18"/>
  <c r="D153" i="18"/>
  <c r="G148" i="18"/>
  <c r="D148" i="18"/>
  <c r="G143" i="18"/>
  <c r="D143" i="18"/>
  <c r="G137" i="18"/>
  <c r="G131" i="18"/>
  <c r="G126" i="18"/>
  <c r="G121" i="18"/>
  <c r="D121" i="18"/>
  <c r="G116" i="18"/>
  <c r="D116" i="18"/>
  <c r="G111" i="18"/>
  <c r="D111" i="18"/>
  <c r="G106" i="18"/>
  <c r="D106" i="18"/>
  <c r="G101" i="18"/>
  <c r="D101" i="18"/>
  <c r="G96" i="18"/>
  <c r="G91" i="18"/>
  <c r="G88" i="18"/>
  <c r="G85" i="18"/>
  <c r="G82" i="18"/>
  <c r="G16" i="18" s="1"/>
  <c r="G79" i="18"/>
  <c r="G76" i="18"/>
  <c r="G73" i="18"/>
  <c r="P171" i="16"/>
  <c r="T169" i="16"/>
  <c r="P168" i="16" s="1"/>
  <c r="S169" i="16"/>
  <c r="T164" i="16"/>
  <c r="P164" i="16" s="1"/>
  <c r="S164" i="16"/>
  <c r="P163" i="16"/>
  <c r="P162" i="16"/>
  <c r="P161" i="16"/>
  <c r="P160" i="16"/>
  <c r="E138" i="16"/>
  <c r="E139" i="16" s="1"/>
  <c r="E140" i="16" s="1"/>
  <c r="E141" i="16" s="1"/>
  <c r="E142" i="16" s="1"/>
  <c r="E101" i="16"/>
  <c r="E100" i="16"/>
  <c r="E99" i="16"/>
  <c r="E2" i="15"/>
  <c r="G51" i="18" l="1"/>
  <c r="G24" i="18"/>
  <c r="D17" i="14" s="1"/>
  <c r="G15" i="18"/>
  <c r="G43" i="18"/>
  <c r="G40" i="18"/>
  <c r="G61" i="18"/>
  <c r="D30" i="14" s="1"/>
  <c r="G17" i="18"/>
  <c r="G2" i="18"/>
  <c r="H5" i="18"/>
  <c r="D134" i="16"/>
  <c r="D104" i="16"/>
  <c r="D105" i="16" s="1"/>
  <c r="E385" i="18" s="1"/>
  <c r="E97" i="16"/>
  <c r="E395" i="18" s="1"/>
  <c r="E125" i="16"/>
  <c r="F125" i="16"/>
  <c r="K158" i="16"/>
  <c r="E416" i="18" s="1"/>
  <c r="G223" i="18" s="1"/>
  <c r="P158" i="16"/>
  <c r="P166" i="16"/>
  <c r="H140" i="16"/>
  <c r="I140" i="16" s="1"/>
  <c r="E350" i="18" s="1"/>
  <c r="B52" i="16"/>
  <c r="D24" i="16"/>
  <c r="D23" i="16"/>
  <c r="B23" i="16" s="1"/>
  <c r="V58" i="16" s="1"/>
  <c r="Y58" i="16"/>
  <c r="Y59" i="16" s="1"/>
  <c r="E289" i="18" s="1"/>
  <c r="L25" i="16"/>
  <c r="L24" i="16"/>
  <c r="H25" i="16"/>
  <c r="H24" i="16"/>
  <c r="D25" i="16"/>
  <c r="K25" i="16"/>
  <c r="K24" i="16"/>
  <c r="G25" i="16"/>
  <c r="G24" i="16"/>
  <c r="N25" i="16"/>
  <c r="N24" i="16"/>
  <c r="J25" i="16"/>
  <c r="J24" i="16"/>
  <c r="F25" i="16"/>
  <c r="F24" i="16"/>
  <c r="M25" i="16"/>
  <c r="M24" i="16"/>
  <c r="I25" i="16"/>
  <c r="I24" i="16"/>
  <c r="E25" i="16"/>
  <c r="E24" i="16"/>
  <c r="B21" i="16"/>
  <c r="G1" i="18"/>
  <c r="P169" i="16"/>
  <c r="P170" i="16"/>
  <c r="G20" i="16"/>
  <c r="E20" i="16"/>
  <c r="E8" i="14"/>
  <c r="E1" i="15"/>
  <c r="H47" i="16"/>
  <c r="I59" i="16" s="1"/>
  <c r="B95" i="16"/>
  <c r="E345" i="18" s="1"/>
  <c r="H119" i="16"/>
  <c r="C149" i="16" s="1"/>
  <c r="J158" i="16"/>
  <c r="E411" i="18" s="1"/>
  <c r="P165" i="16"/>
  <c r="P167" i="16"/>
  <c r="O158" i="16" l="1"/>
  <c r="T58" i="16"/>
  <c r="E134" i="16"/>
  <c r="E405" i="18" s="1"/>
  <c r="E233" i="18"/>
  <c r="AD180" i="18"/>
  <c r="AD120" i="18"/>
  <c r="K59" i="16"/>
  <c r="O47" i="16"/>
  <c r="O59" i="16"/>
  <c r="M59" i="16"/>
  <c r="K47" i="16"/>
  <c r="M47" i="16"/>
  <c r="I47" i="16"/>
  <c r="D52" i="16"/>
  <c r="C52" i="16"/>
  <c r="F149" i="16"/>
  <c r="C148" i="16" s="1"/>
  <c r="E238" i="18" s="1"/>
  <c r="G149" i="16"/>
  <c r="D149" i="16"/>
  <c r="B24" i="16"/>
  <c r="S58" i="16" s="1"/>
  <c r="S59" i="16" s="1"/>
  <c r="B25" i="16"/>
  <c r="B17" i="16"/>
  <c r="E70" i="16" s="1"/>
  <c r="G3" i="18"/>
  <c r="G229" i="18" s="1"/>
  <c r="H2" i="18"/>
  <c r="I5" i="18"/>
  <c r="H1" i="18"/>
  <c r="G222" i="18"/>
  <c r="E158" i="16"/>
  <c r="E334" i="18" s="1"/>
  <c r="B149" i="16"/>
  <c r="E228" i="18" s="1"/>
  <c r="F158" i="16"/>
  <c r="E339" i="18" s="1"/>
  <c r="AD172" i="18" s="1"/>
  <c r="D158" i="16"/>
  <c r="E329" i="18" s="1"/>
  <c r="B158" i="16"/>
  <c r="E319" i="18" s="1"/>
  <c r="F1" i="15"/>
  <c r="F8" i="14"/>
  <c r="G71" i="18" l="1"/>
  <c r="AD152" i="18"/>
  <c r="AD162" i="18"/>
  <c r="AD167" i="18"/>
  <c r="D148" i="16"/>
  <c r="E243" i="18" s="1"/>
  <c r="J58" i="16"/>
  <c r="C51" i="16"/>
  <c r="E254" i="18" s="1"/>
  <c r="E274" i="18"/>
  <c r="U58" i="16"/>
  <c r="V59" i="16"/>
  <c r="E284" i="18" s="1"/>
  <c r="G228" i="18"/>
  <c r="J5" i="18"/>
  <c r="I1" i="18"/>
  <c r="H3" i="18"/>
  <c r="I2" i="18"/>
  <c r="G1" i="15"/>
  <c r="G8" i="14"/>
  <c r="E344" i="18"/>
  <c r="AD105" i="18" l="1"/>
  <c r="J46" i="16"/>
  <c r="L46" i="16" s="1"/>
  <c r="U59" i="16"/>
  <c r="E279" i="18" s="1"/>
  <c r="T59" i="16"/>
  <c r="H1" i="15"/>
  <c r="H8" i="14"/>
  <c r="H229" i="18"/>
  <c r="H228" i="18" s="1"/>
  <c r="I3" i="18"/>
  <c r="J2" i="18"/>
  <c r="K5" i="18"/>
  <c r="J1" i="18"/>
  <c r="G70" i="18"/>
  <c r="G227" i="18"/>
  <c r="G230" i="18" l="1"/>
  <c r="G231" i="18" s="1"/>
  <c r="AD110" i="18"/>
  <c r="E264" i="18"/>
  <c r="E259" i="18"/>
  <c r="E294" i="18"/>
  <c r="AD125" i="18" s="1"/>
  <c r="L5" i="18"/>
  <c r="K1" i="18"/>
  <c r="J3" i="18"/>
  <c r="K2" i="18"/>
  <c r="I229" i="18"/>
  <c r="I234" i="18" s="1"/>
  <c r="I1" i="15"/>
  <c r="I8" i="14"/>
  <c r="H234" i="18"/>
  <c r="H233" i="18" s="1"/>
  <c r="H230" i="18" l="1"/>
  <c r="H231" i="18" s="1"/>
  <c r="AD95" i="18"/>
  <c r="I228" i="18"/>
  <c r="I233" i="18"/>
  <c r="J229" i="18"/>
  <c r="K3" i="18"/>
  <c r="L2" i="18"/>
  <c r="M5" i="18"/>
  <c r="L1" i="18"/>
  <c r="I239" i="18"/>
  <c r="H239" i="18"/>
  <c r="H244" i="18" s="1"/>
  <c r="J1" i="15"/>
  <c r="J8" i="14"/>
  <c r="H366" i="18" l="1"/>
  <c r="I366" i="18"/>
  <c r="I249" i="18"/>
  <c r="I253" i="18" s="1"/>
  <c r="H243" i="18"/>
  <c r="H249" i="18"/>
  <c r="I244" i="18"/>
  <c r="H238" i="18"/>
  <c r="I230" i="18"/>
  <c r="I231" i="18" s="1"/>
  <c r="J228" i="18"/>
  <c r="K1" i="15"/>
  <c r="K8" i="14"/>
  <c r="N5" i="18"/>
  <c r="M1" i="18"/>
  <c r="L3" i="18"/>
  <c r="M2" i="18"/>
  <c r="K229" i="18"/>
  <c r="K234" i="18" s="1"/>
  <c r="J234" i="18"/>
  <c r="J233" i="18" s="1"/>
  <c r="I238" i="18" l="1"/>
  <c r="J230" i="18"/>
  <c r="J231" i="18" s="1"/>
  <c r="H253" i="18"/>
  <c r="H248" i="18"/>
  <c r="I84" i="18" s="1"/>
  <c r="K228" i="18"/>
  <c r="I243" i="18"/>
  <c r="K233" i="18"/>
  <c r="I417" i="18"/>
  <c r="H417" i="18"/>
  <c r="H416" i="18" s="1"/>
  <c r="I412" i="18"/>
  <c r="H412" i="18"/>
  <c r="H411" i="18" s="1"/>
  <c r="L1" i="15"/>
  <c r="L8" i="14"/>
  <c r="J239" i="18"/>
  <c r="K239" i="18"/>
  <c r="L229" i="18"/>
  <c r="M3" i="18"/>
  <c r="N2" i="18"/>
  <c r="O5" i="18"/>
  <c r="N1" i="18"/>
  <c r="K366" i="18" l="1"/>
  <c r="J366" i="18"/>
  <c r="K249" i="18"/>
  <c r="K253" i="18" s="1"/>
  <c r="J249" i="18"/>
  <c r="J253" i="18" s="1"/>
  <c r="J238" i="18"/>
  <c r="K244" i="18"/>
  <c r="J244" i="18"/>
  <c r="J243" i="18" s="1"/>
  <c r="K230" i="18"/>
  <c r="K231" i="18" s="1"/>
  <c r="I248" i="18"/>
  <c r="J84" i="18" s="1"/>
  <c r="L228" i="18"/>
  <c r="M228" i="18" s="1"/>
  <c r="H222" i="18"/>
  <c r="H414" i="18"/>
  <c r="H413" i="18"/>
  <c r="I411" i="18"/>
  <c r="H418" i="18"/>
  <c r="H223" i="18"/>
  <c r="I416" i="18"/>
  <c r="H419" i="18"/>
  <c r="P5" i="18"/>
  <c r="O1" i="18"/>
  <c r="N3" i="18"/>
  <c r="O2" i="18"/>
  <c r="M229" i="18"/>
  <c r="L234" i="18"/>
  <c r="L233" i="18" s="1"/>
  <c r="M1" i="15"/>
  <c r="M8" i="14"/>
  <c r="K238" i="18" l="1"/>
  <c r="L230" i="18"/>
  <c r="M230" i="18" s="1"/>
  <c r="H83" i="18"/>
  <c r="J248" i="18"/>
  <c r="K84" i="18" s="1"/>
  <c r="N228" i="18"/>
  <c r="N231" i="18" s="1"/>
  <c r="J246" i="18"/>
  <c r="K243" i="18"/>
  <c r="I223" i="18"/>
  <c r="I419" i="18"/>
  <c r="I418" i="18"/>
  <c r="I413" i="18"/>
  <c r="I222" i="18"/>
  <c r="I414" i="18"/>
  <c r="K417" i="18"/>
  <c r="K412" i="18"/>
  <c r="J417" i="18"/>
  <c r="J416" i="18" s="1"/>
  <c r="J412" i="18"/>
  <c r="J411" i="18" s="1"/>
  <c r="J414" i="18" s="1"/>
  <c r="L239" i="18"/>
  <c r="M234" i="18"/>
  <c r="M233" i="18" s="1"/>
  <c r="N229" i="18"/>
  <c r="O3" i="18"/>
  <c r="P2" i="18"/>
  <c r="Q5" i="18"/>
  <c r="P1" i="18"/>
  <c r="N1" i="15"/>
  <c r="N8" i="14"/>
  <c r="L366" i="18" l="1"/>
  <c r="L249" i="18"/>
  <c r="L253" i="18" s="1"/>
  <c r="L238" i="18"/>
  <c r="L244" i="18"/>
  <c r="L243" i="18" s="1"/>
  <c r="N230" i="18"/>
  <c r="H82" i="18"/>
  <c r="K248" i="18"/>
  <c r="L84" i="18" s="1"/>
  <c r="I83" i="18"/>
  <c r="O228" i="18"/>
  <c r="P228" i="18" s="1"/>
  <c r="J419" i="18"/>
  <c r="K416" i="18"/>
  <c r="J223" i="18"/>
  <c r="J418" i="18"/>
  <c r="J222" i="18"/>
  <c r="J413" i="18"/>
  <c r="K411" i="18"/>
  <c r="K222" i="18" s="1"/>
  <c r="M239" i="18"/>
  <c r="O1" i="15"/>
  <c r="O8" i="14"/>
  <c r="R5" i="18"/>
  <c r="Q1" i="18"/>
  <c r="P3" i="18"/>
  <c r="Q2" i="18"/>
  <c r="O229" i="18"/>
  <c r="O234" i="18" s="1"/>
  <c r="N234" i="18"/>
  <c r="N239" i="18" s="1"/>
  <c r="H17" i="18" l="1"/>
  <c r="H16" i="18"/>
  <c r="N233" i="18"/>
  <c r="O233" i="18" s="1"/>
  <c r="P233" i="18" s="1"/>
  <c r="P236" i="18" s="1"/>
  <c r="M366" i="18"/>
  <c r="N366" i="18"/>
  <c r="N249" i="18"/>
  <c r="N253" i="18" s="1"/>
  <c r="M249" i="18"/>
  <c r="M253" i="18" s="1"/>
  <c r="M244" i="18"/>
  <c r="M412" i="18" s="1"/>
  <c r="N244" i="18"/>
  <c r="O230" i="18"/>
  <c r="P230" i="18" s="1"/>
  <c r="L248" i="18"/>
  <c r="M84" i="18" s="1"/>
  <c r="J83" i="18"/>
  <c r="O231" i="18"/>
  <c r="Q228" i="18"/>
  <c r="Q231" i="18" s="1"/>
  <c r="P231" i="18"/>
  <c r="K418" i="18"/>
  <c r="K223" i="18"/>
  <c r="K419" i="18"/>
  <c r="M238" i="18"/>
  <c r="K414" i="18"/>
  <c r="K413" i="18"/>
  <c r="O239" i="18"/>
  <c r="O244" i="18" s="1"/>
  <c r="P1" i="15"/>
  <c r="P8" i="14"/>
  <c r="L412" i="18"/>
  <c r="L411" i="18" s="1"/>
  <c r="L222" i="18" s="1"/>
  <c r="L417" i="18"/>
  <c r="L416" i="18" s="1"/>
  <c r="L223" i="18" s="1"/>
  <c r="P229" i="18"/>
  <c r="P234" i="18" s="1"/>
  <c r="P239" i="18" s="1"/>
  <c r="Q3" i="18"/>
  <c r="R2" i="18"/>
  <c r="S5" i="18"/>
  <c r="R1" i="18"/>
  <c r="P366" i="18" l="1"/>
  <c r="O366" i="18"/>
  <c r="P249" i="18"/>
  <c r="P253" i="18" s="1"/>
  <c r="O249" i="18"/>
  <c r="O253" i="18" s="1"/>
  <c r="P244" i="18"/>
  <c r="Q233" i="18"/>
  <c r="Q236" i="18" s="1"/>
  <c r="Q230" i="18"/>
  <c r="K83" i="18"/>
  <c r="I82" i="18"/>
  <c r="M248" i="18"/>
  <c r="N84" i="18" s="1"/>
  <c r="R228" i="18"/>
  <c r="R231" i="18" s="1"/>
  <c r="L418" i="18"/>
  <c r="L419" i="18"/>
  <c r="N238" i="18"/>
  <c r="O238" i="18" s="1"/>
  <c r="M243" i="18"/>
  <c r="M417" i="18"/>
  <c r="M416" i="18" s="1"/>
  <c r="N417" i="18"/>
  <c r="L413" i="18"/>
  <c r="N412" i="18"/>
  <c r="L414" i="18"/>
  <c r="M411" i="18"/>
  <c r="M222" i="18" s="1"/>
  <c r="O417" i="18"/>
  <c r="O412" i="18"/>
  <c r="T5" i="18"/>
  <c r="S1" i="18"/>
  <c r="R3" i="18"/>
  <c r="S2" i="18"/>
  <c r="Q229" i="18"/>
  <c r="Q234" i="18" s="1"/>
  <c r="Q239" i="18" s="1"/>
  <c r="Q366" i="18" s="1"/>
  <c r="Q1" i="15"/>
  <c r="Q8" i="14"/>
  <c r="I17" i="18" l="1"/>
  <c r="I16" i="18"/>
  <c r="Q244" i="18"/>
  <c r="Q412" i="18" s="1"/>
  <c r="Q249" i="18"/>
  <c r="Q253" i="18" s="1"/>
  <c r="R233" i="18"/>
  <c r="S233" i="18" s="1"/>
  <c r="S236" i="18" s="1"/>
  <c r="L83" i="18"/>
  <c r="K82" i="18"/>
  <c r="R230" i="18"/>
  <c r="S228" i="18"/>
  <c r="T228" i="18" s="1"/>
  <c r="J82" i="18"/>
  <c r="N248" i="18"/>
  <c r="O84" i="18" s="1"/>
  <c r="M223" i="18"/>
  <c r="M419" i="18"/>
  <c r="N416" i="18"/>
  <c r="M418" i="18"/>
  <c r="N243" i="18"/>
  <c r="O243" i="18" s="1"/>
  <c r="P238" i="18"/>
  <c r="M414" i="18"/>
  <c r="N411" i="18"/>
  <c r="N222" i="18" s="1"/>
  <c r="M413" i="18"/>
  <c r="R1" i="15"/>
  <c r="R8" i="14"/>
  <c r="R229" i="18"/>
  <c r="R234" i="18" s="1"/>
  <c r="R239" i="18" s="1"/>
  <c r="R366" i="18" s="1"/>
  <c r="S3" i="18"/>
  <c r="T2" i="18"/>
  <c r="U5" i="18"/>
  <c r="T1" i="18"/>
  <c r="P417" i="18"/>
  <c r="P412" i="18"/>
  <c r="K16" i="18" l="1"/>
  <c r="K17" i="18"/>
  <c r="J17" i="18"/>
  <c r="J16" i="18"/>
  <c r="R236" i="18"/>
  <c r="R244" i="18"/>
  <c r="R249" i="18"/>
  <c r="R253" i="18" s="1"/>
  <c r="T233" i="18"/>
  <c r="T236" i="18" s="1"/>
  <c r="L82" i="18"/>
  <c r="S231" i="18"/>
  <c r="S230" i="18"/>
  <c r="T230" i="18" s="1"/>
  <c r="O248" i="18"/>
  <c r="P248" i="18" s="1"/>
  <c r="Q248" i="18" s="1"/>
  <c r="M83" i="18"/>
  <c r="T231" i="18"/>
  <c r="U228" i="18"/>
  <c r="N418" i="18"/>
  <c r="O416" i="18"/>
  <c r="N223" i="18"/>
  <c r="N419" i="18"/>
  <c r="P243" i="18"/>
  <c r="Q243" i="18" s="1"/>
  <c r="Q238" i="18"/>
  <c r="Q417" i="18"/>
  <c r="N413" i="18"/>
  <c r="N414" i="18"/>
  <c r="O411" i="18"/>
  <c r="O222" i="18" s="1"/>
  <c r="V5" i="18"/>
  <c r="U1" i="18"/>
  <c r="T3" i="18"/>
  <c r="U2" i="18"/>
  <c r="S229" i="18"/>
  <c r="S234" i="18" s="1"/>
  <c r="S239" i="18" s="1"/>
  <c r="S366" i="18" s="1"/>
  <c r="S1" i="15"/>
  <c r="S8" i="14"/>
  <c r="L16" i="18" l="1"/>
  <c r="L17" i="18"/>
  <c r="P84" i="18"/>
  <c r="Q84" i="18" s="1"/>
  <c r="R84" i="18" s="1"/>
  <c r="S244" i="18"/>
  <c r="S249" i="18"/>
  <c r="S253" i="18" s="1"/>
  <c r="U233" i="18"/>
  <c r="U236" i="18" s="1"/>
  <c r="M82" i="18"/>
  <c r="U230" i="18"/>
  <c r="R248" i="18"/>
  <c r="V228" i="18"/>
  <c r="U231" i="18"/>
  <c r="O223" i="18"/>
  <c r="O419" i="18"/>
  <c r="P416" i="18"/>
  <c r="Q416" i="18" s="1"/>
  <c r="O418" i="18"/>
  <c r="R243" i="18"/>
  <c r="R238" i="18"/>
  <c r="O414" i="18"/>
  <c r="P411" i="18"/>
  <c r="O413" i="18"/>
  <c r="R417" i="18"/>
  <c r="R412" i="18"/>
  <c r="T1" i="15"/>
  <c r="T8" i="14"/>
  <c r="T229" i="18"/>
  <c r="T234" i="18" s="1"/>
  <c r="T239" i="18" s="1"/>
  <c r="T366" i="18" s="1"/>
  <c r="U3" i="18"/>
  <c r="V2" i="18"/>
  <c r="W5" i="18"/>
  <c r="V1" i="18"/>
  <c r="M16" i="18" l="1"/>
  <c r="M17" i="18"/>
  <c r="S84" i="18"/>
  <c r="N83" i="18"/>
  <c r="O83" i="18" s="1"/>
  <c r="P83" i="18" s="1"/>
  <c r="T244" i="18"/>
  <c r="T249" i="18"/>
  <c r="T253" i="18" s="1"/>
  <c r="V233" i="18"/>
  <c r="W233" i="18" s="1"/>
  <c r="V230" i="18"/>
  <c r="S248" i="18"/>
  <c r="W228" i="18"/>
  <c r="V231" i="18"/>
  <c r="P418" i="18"/>
  <c r="Q418" i="18" s="1"/>
  <c r="R416" i="18"/>
  <c r="Q223" i="18"/>
  <c r="Q419" i="18"/>
  <c r="P419" i="18"/>
  <c r="P223" i="18"/>
  <c r="S243" i="18"/>
  <c r="S238" i="18"/>
  <c r="P413" i="18"/>
  <c r="P222" i="18"/>
  <c r="P414" i="18"/>
  <c r="Q411" i="18"/>
  <c r="X5" i="18"/>
  <c r="W1" i="18"/>
  <c r="V3" i="18"/>
  <c r="W2" i="18"/>
  <c r="U229" i="18"/>
  <c r="U234" i="18" s="1"/>
  <c r="U239" i="18" s="1"/>
  <c r="U366" i="18" s="1"/>
  <c r="S417" i="18"/>
  <c r="S412" i="18"/>
  <c r="U1" i="15"/>
  <c r="U8" i="14"/>
  <c r="T84" i="18" l="1"/>
  <c r="N82" i="18"/>
  <c r="Q83" i="18"/>
  <c r="U244" i="18"/>
  <c r="U249" i="18"/>
  <c r="U253" i="18" s="1"/>
  <c r="V236" i="18"/>
  <c r="W230" i="18"/>
  <c r="T248" i="18"/>
  <c r="W231" i="18"/>
  <c r="X228" i="18"/>
  <c r="R418" i="18"/>
  <c r="S416" i="18"/>
  <c r="R223" i="18"/>
  <c r="R419" i="18"/>
  <c r="T243" i="18"/>
  <c r="T238" i="18"/>
  <c r="Q222" i="18"/>
  <c r="Q414" i="18"/>
  <c r="R411" i="18"/>
  <c r="W236" i="18"/>
  <c r="X233" i="18"/>
  <c r="Q413" i="18"/>
  <c r="V1" i="15"/>
  <c r="V8" i="14"/>
  <c r="T417" i="18"/>
  <c r="T412" i="18"/>
  <c r="V229" i="18"/>
  <c r="V234" i="18" s="1"/>
  <c r="V239" i="18" s="1"/>
  <c r="V366" i="18" s="1"/>
  <c r="W3" i="18"/>
  <c r="X2" i="18"/>
  <c r="Y5" i="18"/>
  <c r="X1" i="18"/>
  <c r="N17" i="18" l="1"/>
  <c r="N16" i="18"/>
  <c r="U84" i="18"/>
  <c r="R83" i="18"/>
  <c r="V244" i="18"/>
  <c r="V249" i="18"/>
  <c r="V253" i="18" s="1"/>
  <c r="O82" i="18"/>
  <c r="X230" i="18"/>
  <c r="U248" i="18"/>
  <c r="P82" i="18"/>
  <c r="X231" i="18"/>
  <c r="Y228" i="18"/>
  <c r="S411" i="18"/>
  <c r="S222" i="18" s="1"/>
  <c r="R222" i="18"/>
  <c r="U243" i="18"/>
  <c r="S223" i="18"/>
  <c r="T416" i="18"/>
  <c r="U238" i="18"/>
  <c r="X236" i="18"/>
  <c r="Y233" i="18"/>
  <c r="R413" i="18"/>
  <c r="R414" i="18"/>
  <c r="Z5" i="18"/>
  <c r="Y1" i="18"/>
  <c r="X3" i="18"/>
  <c r="Y2" i="18"/>
  <c r="W229" i="18"/>
  <c r="W234" i="18" s="1"/>
  <c r="W239" i="18" s="1"/>
  <c r="W366" i="18" s="1"/>
  <c r="U417" i="18"/>
  <c r="U412" i="18"/>
  <c r="W1" i="15"/>
  <c r="W8" i="14"/>
  <c r="O16" i="18" l="1"/>
  <c r="O17" i="18"/>
  <c r="P16" i="18"/>
  <c r="P17" i="18"/>
  <c r="V248" i="18"/>
  <c r="W248" i="18" s="1"/>
  <c r="W251" i="18" s="1"/>
  <c r="V84" i="18"/>
  <c r="S83" i="18"/>
  <c r="T83" i="18" s="1"/>
  <c r="U83" i="18" s="1"/>
  <c r="V83" i="18" s="1"/>
  <c r="W83" i="18" s="1"/>
  <c r="X83" i="18" s="1"/>
  <c r="Y83" i="18" s="1"/>
  <c r="Z83" i="18" s="1"/>
  <c r="AA83" i="18" s="1"/>
  <c r="AB83" i="18" s="1"/>
  <c r="AC83" i="18" s="1"/>
  <c r="AD83" i="18" s="1"/>
  <c r="AE83" i="18" s="1"/>
  <c r="AF83" i="18" s="1"/>
  <c r="AG83" i="18" s="1"/>
  <c r="AH83" i="18" s="1"/>
  <c r="AI83" i="18" s="1"/>
  <c r="AJ83" i="18" s="1"/>
  <c r="AK83" i="18" s="1"/>
  <c r="AL83" i="18" s="1"/>
  <c r="AM83" i="18" s="1"/>
  <c r="AN83" i="18" s="1"/>
  <c r="AO83" i="18" s="1"/>
  <c r="AP83" i="18" s="1"/>
  <c r="AQ83" i="18" s="1"/>
  <c r="AR83" i="18" s="1"/>
  <c r="AS83" i="18" s="1"/>
  <c r="AT83" i="18" s="1"/>
  <c r="AU83" i="18" s="1"/>
  <c r="AV83" i="18" s="1"/>
  <c r="AW83" i="18" s="1"/>
  <c r="AX83" i="18" s="1"/>
  <c r="AY83" i="18" s="1"/>
  <c r="AZ83" i="18" s="1"/>
  <c r="BA83" i="18" s="1"/>
  <c r="BB83" i="18" s="1"/>
  <c r="BC83" i="18" s="1"/>
  <c r="BD83" i="18" s="1"/>
  <c r="BE83" i="18" s="1"/>
  <c r="BF83" i="18" s="1"/>
  <c r="BG83" i="18" s="1"/>
  <c r="BH83" i="18" s="1"/>
  <c r="BI83" i="18" s="1"/>
  <c r="BJ83" i="18" s="1"/>
  <c r="BK83" i="18" s="1"/>
  <c r="BL83" i="18" s="1"/>
  <c r="BM83" i="18" s="1"/>
  <c r="BN83" i="18" s="1"/>
  <c r="BO83" i="18" s="1"/>
  <c r="BP83" i="18" s="1"/>
  <c r="BQ83" i="18" s="1"/>
  <c r="BR83" i="18" s="1"/>
  <c r="BS83" i="18" s="1"/>
  <c r="BT83" i="18" s="1"/>
  <c r="BU83" i="18" s="1"/>
  <c r="BV83" i="18" s="1"/>
  <c r="BW83" i="18" s="1"/>
  <c r="BX83" i="18" s="1"/>
  <c r="BY83" i="18" s="1"/>
  <c r="BZ83" i="18" s="1"/>
  <c r="CA83" i="18" s="1"/>
  <c r="CB83" i="18" s="1"/>
  <c r="CC83" i="18" s="1"/>
  <c r="CD83" i="18" s="1"/>
  <c r="CE83" i="18" s="1"/>
  <c r="CF83" i="18" s="1"/>
  <c r="CG83" i="18" s="1"/>
  <c r="CH83" i="18" s="1"/>
  <c r="CI83" i="18" s="1"/>
  <c r="CJ83" i="18" s="1"/>
  <c r="CK83" i="18" s="1"/>
  <c r="CL83" i="18" s="1"/>
  <c r="CM83" i="18" s="1"/>
  <c r="CN83" i="18" s="1"/>
  <c r="CO83" i="18" s="1"/>
  <c r="CP83" i="18" s="1"/>
  <c r="CQ83" i="18" s="1"/>
  <c r="CR83" i="18" s="1"/>
  <c r="CS83" i="18" s="1"/>
  <c r="CT83" i="18" s="1"/>
  <c r="CU83" i="18" s="1"/>
  <c r="CV83" i="18" s="1"/>
  <c r="CW83" i="18" s="1"/>
  <c r="CX83" i="18" s="1"/>
  <c r="CY83" i="18" s="1"/>
  <c r="CZ83" i="18" s="1"/>
  <c r="DA83" i="18" s="1"/>
  <c r="DB83" i="18" s="1"/>
  <c r="DC83" i="18" s="1"/>
  <c r="DD83" i="18" s="1"/>
  <c r="DE83" i="18" s="1"/>
  <c r="DF83" i="18" s="1"/>
  <c r="DG83" i="18" s="1"/>
  <c r="DH83" i="18" s="1"/>
  <c r="DI83" i="18" s="1"/>
  <c r="DJ83" i="18" s="1"/>
  <c r="DK83" i="18" s="1"/>
  <c r="DL83" i="18" s="1"/>
  <c r="DM83" i="18" s="1"/>
  <c r="DN83" i="18" s="1"/>
  <c r="DO83" i="18" s="1"/>
  <c r="DP83" i="18" s="1"/>
  <c r="DQ83" i="18" s="1"/>
  <c r="DR83" i="18" s="1"/>
  <c r="DS83" i="18" s="1"/>
  <c r="DT83" i="18" s="1"/>
  <c r="DU83" i="18" s="1"/>
  <c r="DV83" i="18" s="1"/>
  <c r="DW83" i="18" s="1"/>
  <c r="DX83" i="18" s="1"/>
  <c r="DY83" i="18" s="1"/>
  <c r="DZ83" i="18" s="1"/>
  <c r="EA83" i="18" s="1"/>
  <c r="EB83" i="18" s="1"/>
  <c r="EC83" i="18" s="1"/>
  <c r="ED83" i="18" s="1"/>
  <c r="EE83" i="18" s="1"/>
  <c r="EF83" i="18" s="1"/>
  <c r="EG83" i="18" s="1"/>
  <c r="EH83" i="18" s="1"/>
  <c r="EI83" i="18" s="1"/>
  <c r="W244" i="18"/>
  <c r="W249" i="18"/>
  <c r="W253" i="18" s="1"/>
  <c r="Y230" i="18"/>
  <c r="Q82" i="18"/>
  <c r="Z228" i="18"/>
  <c r="Y231" i="18"/>
  <c r="T411" i="18"/>
  <c r="T222" i="18" s="1"/>
  <c r="V243" i="18"/>
  <c r="U416" i="18"/>
  <c r="U223" i="18" s="1"/>
  <c r="T223" i="18"/>
  <c r="V238" i="18"/>
  <c r="V241" i="18" s="1"/>
  <c r="Z233" i="18"/>
  <c r="AA233" i="18" s="1"/>
  <c r="AA236" i="18" s="1"/>
  <c r="Y236" i="18"/>
  <c r="V417" i="18"/>
  <c r="V412" i="18"/>
  <c r="X1" i="15"/>
  <c r="X8" i="14"/>
  <c r="X229" i="18"/>
  <c r="X234" i="18" s="1"/>
  <c r="X239" i="18" s="1"/>
  <c r="X366" i="18" s="1"/>
  <c r="Y3" i="18"/>
  <c r="Z2" i="18"/>
  <c r="AA5" i="18"/>
  <c r="Z1" i="18"/>
  <c r="Q16" i="18" l="1"/>
  <c r="Q17" i="18"/>
  <c r="W84" i="18"/>
  <c r="X84" i="18" s="1"/>
  <c r="Y84" i="18" s="1"/>
  <c r="Z84" i="18" s="1"/>
  <c r="AA84" i="18" s="1"/>
  <c r="AB84" i="18" s="1"/>
  <c r="AC84" i="18" s="1"/>
  <c r="AD84" i="18" s="1"/>
  <c r="AE84" i="18" s="1"/>
  <c r="AF84" i="18" s="1"/>
  <c r="AG84" i="18" s="1"/>
  <c r="AH84" i="18" s="1"/>
  <c r="AI84" i="18" s="1"/>
  <c r="AJ84" i="18" s="1"/>
  <c r="AK84" i="18" s="1"/>
  <c r="AL84" i="18" s="1"/>
  <c r="AM84" i="18" s="1"/>
  <c r="AN84" i="18" s="1"/>
  <c r="AO84" i="18" s="1"/>
  <c r="AP84" i="18" s="1"/>
  <c r="AQ84" i="18" s="1"/>
  <c r="AR84" i="18" s="1"/>
  <c r="AS84" i="18" s="1"/>
  <c r="AT84" i="18" s="1"/>
  <c r="AU84" i="18" s="1"/>
  <c r="AV84" i="18" s="1"/>
  <c r="AW84" i="18" s="1"/>
  <c r="AX84" i="18" s="1"/>
  <c r="AY84" i="18" s="1"/>
  <c r="AZ84" i="18" s="1"/>
  <c r="BA84" i="18" s="1"/>
  <c r="BB84" i="18" s="1"/>
  <c r="BC84" i="18" s="1"/>
  <c r="BD84" i="18" s="1"/>
  <c r="BE84" i="18" s="1"/>
  <c r="BF84" i="18" s="1"/>
  <c r="BG84" i="18" s="1"/>
  <c r="BH84" i="18" s="1"/>
  <c r="BI84" i="18" s="1"/>
  <c r="BJ84" i="18" s="1"/>
  <c r="BK84" i="18" s="1"/>
  <c r="BL84" i="18" s="1"/>
  <c r="BM84" i="18" s="1"/>
  <c r="BN84" i="18" s="1"/>
  <c r="BO84" i="18" s="1"/>
  <c r="BP84" i="18" s="1"/>
  <c r="BQ84" i="18" s="1"/>
  <c r="BR84" i="18" s="1"/>
  <c r="BS84" i="18" s="1"/>
  <c r="BT84" i="18" s="1"/>
  <c r="BU84" i="18" s="1"/>
  <c r="BV84" i="18" s="1"/>
  <c r="BW84" i="18" s="1"/>
  <c r="BX84" i="18" s="1"/>
  <c r="BY84" i="18" s="1"/>
  <c r="BZ84" i="18" s="1"/>
  <c r="CA84" i="18" s="1"/>
  <c r="CB84" i="18" s="1"/>
  <c r="CC84" i="18" s="1"/>
  <c r="CD84" i="18" s="1"/>
  <c r="CE84" i="18" s="1"/>
  <c r="CF84" i="18" s="1"/>
  <c r="CG84" i="18" s="1"/>
  <c r="CH84" i="18" s="1"/>
  <c r="CI84" i="18" s="1"/>
  <c r="CJ84" i="18" s="1"/>
  <c r="CK84" i="18" s="1"/>
  <c r="CL84" i="18" s="1"/>
  <c r="CM84" i="18" s="1"/>
  <c r="CN84" i="18" s="1"/>
  <c r="CO84" i="18" s="1"/>
  <c r="CP84" i="18" s="1"/>
  <c r="CQ84" i="18" s="1"/>
  <c r="CR84" i="18" s="1"/>
  <c r="CS84" i="18" s="1"/>
  <c r="CT84" i="18" s="1"/>
  <c r="CU84" i="18" s="1"/>
  <c r="CV84" i="18" s="1"/>
  <c r="CW84" i="18" s="1"/>
  <c r="CX84" i="18" s="1"/>
  <c r="CY84" i="18" s="1"/>
  <c r="CZ84" i="18" s="1"/>
  <c r="DA84" i="18" s="1"/>
  <c r="DB84" i="18" s="1"/>
  <c r="DC84" i="18" s="1"/>
  <c r="DD84" i="18" s="1"/>
  <c r="DE84" i="18" s="1"/>
  <c r="DF84" i="18" s="1"/>
  <c r="DG84" i="18" s="1"/>
  <c r="DH84" i="18" s="1"/>
  <c r="DI84" i="18" s="1"/>
  <c r="DJ84" i="18" s="1"/>
  <c r="DK84" i="18" s="1"/>
  <c r="DL84" i="18" s="1"/>
  <c r="DM84" i="18" s="1"/>
  <c r="DN84" i="18" s="1"/>
  <c r="DO84" i="18" s="1"/>
  <c r="DP84" i="18" s="1"/>
  <c r="DQ84" i="18" s="1"/>
  <c r="DR84" i="18" s="1"/>
  <c r="DS84" i="18" s="1"/>
  <c r="DT84" i="18" s="1"/>
  <c r="DU84" i="18" s="1"/>
  <c r="DV84" i="18" s="1"/>
  <c r="DW84" i="18" s="1"/>
  <c r="DX84" i="18" s="1"/>
  <c r="DY84" i="18" s="1"/>
  <c r="DZ84" i="18" s="1"/>
  <c r="EA84" i="18" s="1"/>
  <c r="EB84" i="18" s="1"/>
  <c r="EC84" i="18" s="1"/>
  <c r="ED84" i="18" s="1"/>
  <c r="EE84" i="18" s="1"/>
  <c r="EF84" i="18" s="1"/>
  <c r="EG84" i="18" s="1"/>
  <c r="EH84" i="18" s="1"/>
  <c r="EI84" i="18" s="1"/>
  <c r="X244" i="18"/>
  <c r="X249" i="18"/>
  <c r="X253" i="18" s="1"/>
  <c r="Z230" i="18"/>
  <c r="X248" i="18"/>
  <c r="V416" i="18"/>
  <c r="R82" i="18"/>
  <c r="Z231" i="18"/>
  <c r="AA228" i="18"/>
  <c r="U411" i="18"/>
  <c r="W243" i="18"/>
  <c r="W238" i="18"/>
  <c r="W241" i="18" s="1"/>
  <c r="AB233" i="18"/>
  <c r="AB236" i="18" s="1"/>
  <c r="Z236" i="18"/>
  <c r="AB5" i="18"/>
  <c r="AA1" i="18"/>
  <c r="Z3" i="18"/>
  <c r="AA2" i="18"/>
  <c r="Y229" i="18"/>
  <c r="Y234" i="18" s="1"/>
  <c r="Y239" i="18" s="1"/>
  <c r="Y366" i="18" s="1"/>
  <c r="Y1" i="15"/>
  <c r="Y8" i="14"/>
  <c r="W412" i="18"/>
  <c r="W417" i="18"/>
  <c r="R17" i="18" l="1"/>
  <c r="R16" i="18"/>
  <c r="F84" i="18"/>
  <c r="E84" i="18" s="1"/>
  <c r="Y244" i="18"/>
  <c r="Y249" i="18"/>
  <c r="Y253" i="18" s="1"/>
  <c r="X243" i="18"/>
  <c r="W416" i="18"/>
  <c r="W223" i="18" s="1"/>
  <c r="AA230" i="18"/>
  <c r="V223" i="18"/>
  <c r="X251" i="18"/>
  <c r="Y248" i="18"/>
  <c r="Z248" i="18" s="1"/>
  <c r="Z251" i="18" s="1"/>
  <c r="S82" i="18"/>
  <c r="AB228" i="18"/>
  <c r="AA231" i="18"/>
  <c r="V411" i="18"/>
  <c r="V222" i="18" s="1"/>
  <c r="U222" i="18"/>
  <c r="X238" i="18"/>
  <c r="X241" i="18" s="1"/>
  <c r="AC233" i="18"/>
  <c r="AC236" i="18" s="1"/>
  <c r="X417" i="18"/>
  <c r="X412" i="18"/>
  <c r="Z1" i="15"/>
  <c r="Z8" i="14"/>
  <c r="Z229" i="18"/>
  <c r="Z234" i="18" s="1"/>
  <c r="Z239" i="18" s="1"/>
  <c r="Z366" i="18" s="1"/>
  <c r="AA3" i="18"/>
  <c r="AB2" i="18"/>
  <c r="AC5" i="18"/>
  <c r="AB1" i="18"/>
  <c r="S16" i="18" l="1"/>
  <c r="S17" i="18"/>
  <c r="Y243" i="18"/>
  <c r="Z244" i="18"/>
  <c r="Z249" i="18"/>
  <c r="Z253" i="18" s="1"/>
  <c r="X416" i="18"/>
  <c r="X223" i="18" s="1"/>
  <c r="AB230" i="18"/>
  <c r="Y251" i="18"/>
  <c r="AA248" i="18"/>
  <c r="T82" i="18"/>
  <c r="AC228" i="18"/>
  <c r="AB231" i="18"/>
  <c r="W411" i="18"/>
  <c r="W222" i="18" s="1"/>
  <c r="Y238" i="18"/>
  <c r="Y241" i="18" s="1"/>
  <c r="AD233" i="18"/>
  <c r="AD236" i="18" s="1"/>
  <c r="AA1" i="15"/>
  <c r="AA8" i="14"/>
  <c r="AD5" i="18"/>
  <c r="AC1" i="18"/>
  <c r="AB3" i="18"/>
  <c r="AC2" i="18"/>
  <c r="AA229" i="18"/>
  <c r="AA234" i="18" s="1"/>
  <c r="AA239" i="18" s="1"/>
  <c r="AA366" i="18" s="1"/>
  <c r="Y417" i="18"/>
  <c r="Y412" i="18"/>
  <c r="T16" i="18" l="1"/>
  <c r="T17" i="18"/>
  <c r="Z243" i="18"/>
  <c r="AA244" i="18"/>
  <c r="AA249" i="18"/>
  <c r="AA253" i="18" s="1"/>
  <c r="Y416" i="18"/>
  <c r="AC230" i="18"/>
  <c r="AB248" i="18"/>
  <c r="AA251" i="18"/>
  <c r="U82" i="18"/>
  <c r="AD228" i="18"/>
  <c r="AC231" i="18"/>
  <c r="X411" i="18"/>
  <c r="X222" i="18" s="1"/>
  <c r="Z238" i="18"/>
  <c r="Z241" i="18" s="1"/>
  <c r="AE233" i="18"/>
  <c r="AE236" i="18" s="1"/>
  <c r="AB229" i="18"/>
  <c r="AB234" i="18" s="1"/>
  <c r="AB239" i="18" s="1"/>
  <c r="AB366" i="18" s="1"/>
  <c r="AC3" i="18"/>
  <c r="AD2" i="18"/>
  <c r="AE5" i="18"/>
  <c r="AD1" i="18"/>
  <c r="AB1" i="15"/>
  <c r="AB8" i="14"/>
  <c r="Z417" i="18"/>
  <c r="Z412" i="18"/>
  <c r="AA243" i="18" l="1"/>
  <c r="U16" i="18"/>
  <c r="U17" i="18"/>
  <c r="AB244" i="18"/>
  <c r="AB249" i="18"/>
  <c r="AB253" i="18" s="1"/>
  <c r="Z416" i="18"/>
  <c r="Z223" i="18" s="1"/>
  <c r="Y223" i="18"/>
  <c r="AD230" i="18"/>
  <c r="AC248" i="18"/>
  <c r="AB251" i="18"/>
  <c r="V82" i="18"/>
  <c r="AD231" i="18"/>
  <c r="AE228" i="18"/>
  <c r="Y411" i="18"/>
  <c r="Y222" i="18" s="1"/>
  <c r="AA238" i="18"/>
  <c r="AA241" i="18" s="1"/>
  <c r="AF233" i="18"/>
  <c r="AG233" i="18" s="1"/>
  <c r="AA412" i="18"/>
  <c r="AA417" i="18"/>
  <c r="AC1" i="15"/>
  <c r="AC8" i="14"/>
  <c r="AF5" i="18"/>
  <c r="AE1" i="18"/>
  <c r="AD3" i="18"/>
  <c r="AE2" i="18"/>
  <c r="AC229" i="18"/>
  <c r="AC234" i="18" s="1"/>
  <c r="AC239" i="18" s="1"/>
  <c r="AC366" i="18" s="1"/>
  <c r="AB243" i="18" l="1"/>
  <c r="AC243" i="18" s="1"/>
  <c r="AC246" i="18" s="1"/>
  <c r="V17" i="18"/>
  <c r="V16" i="18"/>
  <c r="AC244" i="18"/>
  <c r="AC249" i="18"/>
  <c r="AC253" i="18" s="1"/>
  <c r="AA416" i="18"/>
  <c r="AE230" i="18"/>
  <c r="AC251" i="18"/>
  <c r="AD248" i="18"/>
  <c r="AE248" i="18" s="1"/>
  <c r="AE251" i="18" s="1"/>
  <c r="W82" i="18"/>
  <c r="AF228" i="18"/>
  <c r="AE231" i="18"/>
  <c r="Z411" i="18"/>
  <c r="AA411" i="18" s="1"/>
  <c r="AB238" i="18"/>
  <c r="AB241" i="18" s="1"/>
  <c r="AF236" i="18"/>
  <c r="AD229" i="18"/>
  <c r="AD234" i="18" s="1"/>
  <c r="AD239" i="18" s="1"/>
  <c r="AD366" i="18" s="1"/>
  <c r="AE3" i="18"/>
  <c r="AF2" i="18"/>
  <c r="AG5" i="18"/>
  <c r="AF1" i="18"/>
  <c r="AD1" i="15"/>
  <c r="AD8" i="14"/>
  <c r="AG236" i="18"/>
  <c r="AH233" i="18"/>
  <c r="AB412" i="18"/>
  <c r="AB417" i="18"/>
  <c r="W16" i="18" l="1"/>
  <c r="W17" i="18"/>
  <c r="AD244" i="18"/>
  <c r="AD249" i="18"/>
  <c r="AD253" i="18" s="1"/>
  <c r="AD243" i="18"/>
  <c r="AB411" i="18"/>
  <c r="AB222" i="18" s="1"/>
  <c r="AB416" i="18"/>
  <c r="AA223" i="18"/>
  <c r="AF230" i="18"/>
  <c r="AD251" i="18"/>
  <c r="AF248" i="18"/>
  <c r="AF251" i="18" s="1"/>
  <c r="X82" i="18"/>
  <c r="AF231" i="18"/>
  <c r="AG228" i="18"/>
  <c r="AA222" i="18"/>
  <c r="Z222" i="18"/>
  <c r="AC238" i="18"/>
  <c r="AH236" i="18"/>
  <c r="AI233" i="18"/>
  <c r="AE1" i="15"/>
  <c r="AE8" i="14"/>
  <c r="AH5" i="18"/>
  <c r="AG1" i="18"/>
  <c r="AF3" i="18"/>
  <c r="AG2" i="18"/>
  <c r="AE229" i="18"/>
  <c r="AE234" i="18" s="1"/>
  <c r="AE239" i="18" s="1"/>
  <c r="AE366" i="18" s="1"/>
  <c r="AC417" i="18"/>
  <c r="AC412" i="18"/>
  <c r="X16" i="18" l="1"/>
  <c r="X17" i="18"/>
  <c r="AE244" i="18"/>
  <c r="AE249" i="18"/>
  <c r="AE253" i="18" s="1"/>
  <c r="AC411" i="18"/>
  <c r="AC222" i="18" s="1"/>
  <c r="AD246" i="18"/>
  <c r="AE243" i="18"/>
  <c r="AC416" i="18"/>
  <c r="AB223" i="18"/>
  <c r="AG230" i="18"/>
  <c r="AG248" i="18"/>
  <c r="Y82" i="18"/>
  <c r="AG231" i="18"/>
  <c r="AH228" i="18"/>
  <c r="AD238" i="18"/>
  <c r="AD241" i="18" s="1"/>
  <c r="AC241" i="18"/>
  <c r="AF229" i="18"/>
  <c r="AF234" i="18" s="1"/>
  <c r="AF239" i="18" s="1"/>
  <c r="AF366" i="18" s="1"/>
  <c r="AG3" i="18"/>
  <c r="AH2" i="18"/>
  <c r="AI5" i="18"/>
  <c r="AH1" i="18"/>
  <c r="AI236" i="18"/>
  <c r="AJ233" i="18"/>
  <c r="AD412" i="18"/>
  <c r="AD417" i="18"/>
  <c r="AF1" i="15"/>
  <c r="AF8" i="14"/>
  <c r="AD416" i="18" l="1"/>
  <c r="AE416" i="18" s="1"/>
  <c r="AF416" i="18" s="1"/>
  <c r="Y17" i="18"/>
  <c r="Y16" i="18"/>
  <c r="AF244" i="18"/>
  <c r="AF249" i="18"/>
  <c r="AF253" i="18" s="1"/>
  <c r="AD411" i="18"/>
  <c r="AD222" i="18" s="1"/>
  <c r="AF243" i="18"/>
  <c r="AE246" i="18"/>
  <c r="AH230" i="18"/>
  <c r="AC223" i="18"/>
  <c r="AG251" i="18"/>
  <c r="AH248" i="18"/>
  <c r="AI248" i="18" s="1"/>
  <c r="AI251" i="18" s="1"/>
  <c r="Z82" i="18"/>
  <c r="AH231" i="18"/>
  <c r="AI228" i="18"/>
  <c r="AE238" i="18"/>
  <c r="AE241" i="18" s="1"/>
  <c r="AG1" i="15"/>
  <c r="AG8" i="14"/>
  <c r="AJ236" i="18"/>
  <c r="AK233" i="18"/>
  <c r="AJ5" i="18"/>
  <c r="AI1" i="18"/>
  <c r="AH3" i="18"/>
  <c r="AI2" i="18"/>
  <c r="AG229" i="18"/>
  <c r="AG234" i="18" s="1"/>
  <c r="AG239" i="18" s="1"/>
  <c r="AG366" i="18" s="1"/>
  <c r="AE417" i="18"/>
  <c r="AE412" i="18"/>
  <c r="AD223" i="18" l="1"/>
  <c r="Z17" i="18"/>
  <c r="Z16" i="18"/>
  <c r="AG244" i="18"/>
  <c r="AG249" i="18"/>
  <c r="AG253" i="18" s="1"/>
  <c r="AE411" i="18"/>
  <c r="AF246" i="18"/>
  <c r="AG243" i="18"/>
  <c r="AI230" i="18"/>
  <c r="AG416" i="18"/>
  <c r="AF223" i="18"/>
  <c r="AF419" i="18"/>
  <c r="AE223" i="18"/>
  <c r="AE419" i="18"/>
  <c r="AH251" i="18"/>
  <c r="AJ248" i="18"/>
  <c r="AJ251" i="18" s="1"/>
  <c r="AA82" i="18"/>
  <c r="AI231" i="18"/>
  <c r="AJ228" i="18"/>
  <c r="AF238" i="18"/>
  <c r="AF241" i="18" s="1"/>
  <c r="AF412" i="18"/>
  <c r="AF417" i="18"/>
  <c r="AH229" i="18"/>
  <c r="AH234" i="18" s="1"/>
  <c r="AH239" i="18" s="1"/>
  <c r="AH366" i="18" s="1"/>
  <c r="AI3" i="18"/>
  <c r="AJ2" i="18"/>
  <c r="AK5" i="18"/>
  <c r="AJ1" i="18"/>
  <c r="AK236" i="18"/>
  <c r="AL233" i="18"/>
  <c r="AH1" i="15"/>
  <c r="AH8" i="14"/>
  <c r="AF411" i="18" l="1"/>
  <c r="AG411" i="18" s="1"/>
  <c r="AH411" i="18" s="1"/>
  <c r="AA16" i="18"/>
  <c r="AA17" i="18"/>
  <c r="AH244" i="18"/>
  <c r="AH249" i="18"/>
  <c r="AH253" i="18" s="1"/>
  <c r="AE222" i="18"/>
  <c r="AG246" i="18"/>
  <c r="AH243" i="18"/>
  <c r="AJ230" i="18"/>
  <c r="AG419" i="18"/>
  <c r="AG223" i="18"/>
  <c r="AH416" i="18"/>
  <c r="AK248" i="18"/>
  <c r="AK251" i="18" s="1"/>
  <c r="AB82" i="18"/>
  <c r="AK228" i="18"/>
  <c r="AJ231" i="18"/>
  <c r="AG238" i="18"/>
  <c r="AH238" i="18" s="1"/>
  <c r="AH241" i="18" s="1"/>
  <c r="AL236" i="18"/>
  <c r="AM233" i="18"/>
  <c r="AL5" i="18"/>
  <c r="AK1" i="18"/>
  <c r="AJ3" i="18"/>
  <c r="AK2" i="18"/>
  <c r="AI229" i="18"/>
  <c r="AI234" i="18" s="1"/>
  <c r="AI239" i="18" s="1"/>
  <c r="AI366" i="18" s="1"/>
  <c r="AG417" i="18"/>
  <c r="AG412" i="18"/>
  <c r="AI1" i="15"/>
  <c r="AI8" i="14"/>
  <c r="AF222" i="18" l="1"/>
  <c r="AG414" i="18"/>
  <c r="AG222" i="18"/>
  <c r="AB16" i="18"/>
  <c r="AB17" i="18"/>
  <c r="AI244" i="18"/>
  <c r="AI249" i="18"/>
  <c r="AI253" i="18" s="1"/>
  <c r="AI411" i="18"/>
  <c r="AI243" i="18"/>
  <c r="AH246" i="18"/>
  <c r="AH414" i="18"/>
  <c r="AH222" i="18"/>
  <c r="AK230" i="18"/>
  <c r="AH223" i="18"/>
  <c r="AH419" i="18"/>
  <c r="AI416" i="18"/>
  <c r="AL248" i="18"/>
  <c r="AC82" i="18"/>
  <c r="AE82" i="18"/>
  <c r="AL228" i="18"/>
  <c r="AK231" i="18"/>
  <c r="AG241" i="18"/>
  <c r="AI238" i="18"/>
  <c r="AI241" i="18" s="1"/>
  <c r="AJ1" i="15"/>
  <c r="AJ8" i="14"/>
  <c r="AH412" i="18"/>
  <c r="AH417" i="18"/>
  <c r="AJ229" i="18"/>
  <c r="AJ234" i="18" s="1"/>
  <c r="AJ239" i="18" s="1"/>
  <c r="AJ366" i="18" s="1"/>
  <c r="AK3" i="18"/>
  <c r="AL2" i="18"/>
  <c r="AM5" i="18"/>
  <c r="AL1" i="18"/>
  <c r="AM236" i="18"/>
  <c r="AN233" i="18"/>
  <c r="AE16" i="18" l="1"/>
  <c r="AE17" i="18"/>
  <c r="AC16" i="18"/>
  <c r="AC17" i="18"/>
  <c r="AJ244" i="18"/>
  <c r="AJ249" i="18"/>
  <c r="AJ253" i="18" s="1"/>
  <c r="AJ411" i="18"/>
  <c r="AI222" i="18"/>
  <c r="AI414" i="18"/>
  <c r="AI246" i="18"/>
  <c r="AJ243" i="18"/>
  <c r="AL230" i="18"/>
  <c r="AI223" i="18"/>
  <c r="AI419" i="18"/>
  <c r="AJ416" i="18"/>
  <c r="AM248" i="18"/>
  <c r="AL251" i="18"/>
  <c r="AD82" i="18"/>
  <c r="AM228" i="18"/>
  <c r="AL231" i="18"/>
  <c r="AJ238" i="18"/>
  <c r="AJ241" i="18" s="1"/>
  <c r="AN5" i="18"/>
  <c r="AM1" i="18"/>
  <c r="AL3" i="18"/>
  <c r="AM2" i="18"/>
  <c r="AK229" i="18"/>
  <c r="AK234" i="18" s="1"/>
  <c r="AK239" i="18" s="1"/>
  <c r="AK366" i="18" s="1"/>
  <c r="AK1" i="15"/>
  <c r="AK8" i="14"/>
  <c r="AI417" i="18"/>
  <c r="AI412" i="18"/>
  <c r="AN236" i="18"/>
  <c r="AO233" i="18"/>
  <c r="AD17" i="18" l="1"/>
  <c r="AD16" i="18"/>
  <c r="AK244" i="18"/>
  <c r="AK249" i="18"/>
  <c r="AK253" i="18" s="1"/>
  <c r="AJ414" i="18"/>
  <c r="AJ222" i="18"/>
  <c r="AK411" i="18"/>
  <c r="AL411" i="18" s="1"/>
  <c r="AJ246" i="18"/>
  <c r="AK243" i="18"/>
  <c r="AM230" i="18"/>
  <c r="AJ419" i="18"/>
  <c r="AJ223" i="18"/>
  <c r="AK416" i="18"/>
  <c r="AM251" i="18"/>
  <c r="AN248" i="18"/>
  <c r="AF82" i="18"/>
  <c r="AM231" i="18"/>
  <c r="AN228" i="18"/>
  <c r="AK238" i="18"/>
  <c r="AL238" i="18" s="1"/>
  <c r="AL241" i="18" s="1"/>
  <c r="AL1" i="15"/>
  <c r="AL8" i="14"/>
  <c r="AO236" i="18"/>
  <c r="AP233" i="18"/>
  <c r="AJ412" i="18"/>
  <c r="AJ417" i="18"/>
  <c r="AL229" i="18"/>
  <c r="AL234" i="18" s="1"/>
  <c r="AL239" i="18" s="1"/>
  <c r="AL366" i="18" s="1"/>
  <c r="AM3" i="18"/>
  <c r="AN2" i="18"/>
  <c r="AO5" i="18"/>
  <c r="AN1" i="18"/>
  <c r="AF16" i="18" l="1"/>
  <c r="AF17" i="18"/>
  <c r="AL244" i="18"/>
  <c r="AL249" i="18"/>
  <c r="AL253" i="18" s="1"/>
  <c r="AN230" i="18"/>
  <c r="AM411" i="18"/>
  <c r="AN411" i="18" s="1"/>
  <c r="AL222" i="18"/>
  <c r="AK414" i="18"/>
  <c r="AK222" i="18"/>
  <c r="AL414" i="18"/>
  <c r="AK246" i="18"/>
  <c r="AL243" i="18"/>
  <c r="AK223" i="18"/>
  <c r="AK419" i="18"/>
  <c r="AL416" i="18"/>
  <c r="AN251" i="18"/>
  <c r="AO248" i="18"/>
  <c r="AO251" i="18" s="1"/>
  <c r="AG82" i="18"/>
  <c r="AN231" i="18"/>
  <c r="AO228" i="18"/>
  <c r="AM238" i="18"/>
  <c r="AM241" i="18" s="1"/>
  <c r="AK241" i="18"/>
  <c r="AP5" i="18"/>
  <c r="AO1" i="18"/>
  <c r="AN3" i="18"/>
  <c r="AO2" i="18"/>
  <c r="AM229" i="18"/>
  <c r="AM234" i="18" s="1"/>
  <c r="AM239" i="18" s="1"/>
  <c r="AM366" i="18" s="1"/>
  <c r="AP236" i="18"/>
  <c r="AQ233" i="18"/>
  <c r="AK417" i="18"/>
  <c r="AK412" i="18"/>
  <c r="AM1" i="15"/>
  <c r="AM8" i="14"/>
  <c r="AG17" i="18" l="1"/>
  <c r="AG16" i="18"/>
  <c r="AM244" i="18"/>
  <c r="AM249" i="18"/>
  <c r="AM253" i="18" s="1"/>
  <c r="AO230" i="18"/>
  <c r="AO411" i="18"/>
  <c r="AO414" i="18" s="1"/>
  <c r="AN222" i="18"/>
  <c r="AN414" i="18"/>
  <c r="AM222" i="18"/>
  <c r="AM414" i="18"/>
  <c r="AL246" i="18"/>
  <c r="AM243" i="18"/>
  <c r="AL419" i="18"/>
  <c r="AL223" i="18"/>
  <c r="AM416" i="18"/>
  <c r="AP248" i="18"/>
  <c r="AH82" i="18"/>
  <c r="AJ82" i="18"/>
  <c r="AP228" i="18"/>
  <c r="AO231" i="18"/>
  <c r="AN238" i="18"/>
  <c r="AN241" i="18" s="1"/>
  <c r="AQ236" i="18"/>
  <c r="AR233" i="18"/>
  <c r="AN1" i="15"/>
  <c r="AN8" i="14"/>
  <c r="AL412" i="18"/>
  <c r="AL417" i="18"/>
  <c r="AN229" i="18"/>
  <c r="AN234" i="18" s="1"/>
  <c r="AN239" i="18" s="1"/>
  <c r="AN366" i="18" s="1"/>
  <c r="AO3" i="18"/>
  <c r="AP2" i="18"/>
  <c r="AQ5" i="18"/>
  <c r="AP1" i="18"/>
  <c r="AJ16" i="18" l="1"/>
  <c r="AJ17" i="18"/>
  <c r="AH17" i="18"/>
  <c r="AH16" i="18"/>
  <c r="AP230" i="18"/>
  <c r="AN244" i="18"/>
  <c r="AN249" i="18"/>
  <c r="AN253" i="18" s="1"/>
  <c r="AP411" i="18"/>
  <c r="AP222" i="18" s="1"/>
  <c r="AO222" i="18"/>
  <c r="AM246" i="18"/>
  <c r="AN243" i="18"/>
  <c r="AM419" i="18"/>
  <c r="AM223" i="18"/>
  <c r="AN416" i="18"/>
  <c r="AP251" i="18"/>
  <c r="AQ248" i="18"/>
  <c r="AI82" i="18"/>
  <c r="AP231" i="18"/>
  <c r="AQ228" i="18"/>
  <c r="AO238" i="18"/>
  <c r="AO241" i="18" s="1"/>
  <c r="AR5" i="18"/>
  <c r="AQ1" i="18"/>
  <c r="AP3" i="18"/>
  <c r="AQ2" i="18"/>
  <c r="AO229" i="18"/>
  <c r="AO234" i="18" s="1"/>
  <c r="AO239" i="18" s="1"/>
  <c r="AO366" i="18" s="1"/>
  <c r="AO1" i="15"/>
  <c r="AO8" i="14"/>
  <c r="AR236" i="18"/>
  <c r="AS233" i="18"/>
  <c r="AM412" i="18"/>
  <c r="AM417" i="18"/>
  <c r="AI16" i="18" l="1"/>
  <c r="AI17" i="18"/>
  <c r="AQ230" i="18"/>
  <c r="AO244" i="18"/>
  <c r="AO249" i="18"/>
  <c r="AO253" i="18" s="1"/>
  <c r="AQ411" i="18"/>
  <c r="AR411" i="18" s="1"/>
  <c r="AP414" i="18"/>
  <c r="AO243" i="18"/>
  <c r="AP243" i="18" s="1"/>
  <c r="AP246" i="18" s="1"/>
  <c r="AN246" i="18"/>
  <c r="AN223" i="18"/>
  <c r="AN419" i="18"/>
  <c r="AO416" i="18"/>
  <c r="AP416" i="18" s="1"/>
  <c r="AQ251" i="18"/>
  <c r="AR248" i="18"/>
  <c r="AK82" i="18"/>
  <c r="AM82" i="18"/>
  <c r="AQ231" i="18"/>
  <c r="AR228" i="18"/>
  <c r="AP238" i="18"/>
  <c r="AQ238" i="18" s="1"/>
  <c r="AP1" i="15"/>
  <c r="AP8" i="14"/>
  <c r="AP229" i="18"/>
  <c r="AP234" i="18" s="1"/>
  <c r="AP239" i="18" s="1"/>
  <c r="AP366" i="18" s="1"/>
  <c r="AQ3" i="18"/>
  <c r="AR2" i="18"/>
  <c r="AS5" i="18"/>
  <c r="AR1" i="18"/>
  <c r="AS236" i="18"/>
  <c r="AT233" i="18"/>
  <c r="AN412" i="18"/>
  <c r="AN417" i="18"/>
  <c r="AM16" i="18" l="1"/>
  <c r="AM17" i="18"/>
  <c r="AK16" i="18"/>
  <c r="AK17" i="18"/>
  <c r="AR230" i="18"/>
  <c r="AP244" i="18"/>
  <c r="AP249" i="18"/>
  <c r="AP253" i="18" s="1"/>
  <c r="AQ414" i="18"/>
  <c r="AQ222" i="18"/>
  <c r="AO246" i="18"/>
  <c r="AQ243" i="18"/>
  <c r="AP419" i="18"/>
  <c r="AP223" i="18"/>
  <c r="AO223" i="18"/>
  <c r="AO419" i="18"/>
  <c r="AQ416" i="18"/>
  <c r="AS248" i="18"/>
  <c r="AR251" i="18"/>
  <c r="AL82" i="18"/>
  <c r="AR231" i="18"/>
  <c r="AS228" i="18"/>
  <c r="AP241" i="18"/>
  <c r="AQ241" i="18"/>
  <c r="AR238" i="18"/>
  <c r="AR222" i="18"/>
  <c r="AS411" i="18"/>
  <c r="AR414" i="18"/>
  <c r="AO417" i="18"/>
  <c r="AO412" i="18"/>
  <c r="AT236" i="18"/>
  <c r="AU233" i="18"/>
  <c r="AT5" i="18"/>
  <c r="AS1" i="18"/>
  <c r="AR3" i="18"/>
  <c r="AS2" i="18"/>
  <c r="AQ229" i="18"/>
  <c r="AQ234" i="18" s="1"/>
  <c r="AQ239" i="18" s="1"/>
  <c r="AQ366" i="18" s="1"/>
  <c r="AQ1" i="15"/>
  <c r="AQ8" i="14"/>
  <c r="AL17" i="18" l="1"/>
  <c r="AL16" i="18"/>
  <c r="AS230" i="18"/>
  <c r="AQ244" i="18"/>
  <c r="AQ249" i="18"/>
  <c r="AQ253" i="18" s="1"/>
  <c r="AQ246" i="18"/>
  <c r="AR243" i="18"/>
  <c r="AQ223" i="18"/>
  <c r="AQ419" i="18"/>
  <c r="AR416" i="18"/>
  <c r="AT248" i="18"/>
  <c r="AS251" i="18"/>
  <c r="AN82" i="18"/>
  <c r="AS231" i="18"/>
  <c r="AT228" i="18"/>
  <c r="AS238" i="18"/>
  <c r="AR241" i="18"/>
  <c r="AS222" i="18"/>
  <c r="AS414" i="18"/>
  <c r="AT411" i="18"/>
  <c r="AR1" i="15"/>
  <c r="AR8" i="14"/>
  <c r="AP412" i="18"/>
  <c r="AP417" i="18"/>
  <c r="AR229" i="18"/>
  <c r="AR234" i="18" s="1"/>
  <c r="AR239" i="18" s="1"/>
  <c r="AR366" i="18" s="1"/>
  <c r="AS3" i="18"/>
  <c r="AT2" i="18"/>
  <c r="AU5" i="18"/>
  <c r="AT1" i="18"/>
  <c r="AU236" i="18"/>
  <c r="AV233" i="18"/>
  <c r="AN16" i="18" l="1"/>
  <c r="AN17" i="18"/>
  <c r="AT230" i="18"/>
  <c r="AR244" i="18"/>
  <c r="AR249" i="18"/>
  <c r="AR253" i="18" s="1"/>
  <c r="AR246" i="18"/>
  <c r="AS243" i="18"/>
  <c r="AR223" i="18"/>
  <c r="AR419" i="18"/>
  <c r="AS416" i="18"/>
  <c r="AU248" i="18"/>
  <c r="AT251" i="18"/>
  <c r="AO82" i="18"/>
  <c r="AU228" i="18"/>
  <c r="AT231" i="18"/>
  <c r="AT238" i="18"/>
  <c r="AT241" i="18" s="1"/>
  <c r="AS241" i="18"/>
  <c r="AT222" i="18"/>
  <c r="AT414" i="18"/>
  <c r="AU411" i="18"/>
  <c r="AV5" i="18"/>
  <c r="AU1" i="18"/>
  <c r="AT3" i="18"/>
  <c r="AU2" i="18"/>
  <c r="AS229" i="18"/>
  <c r="AS234" i="18" s="1"/>
  <c r="AS239" i="18" s="1"/>
  <c r="AS366" i="18" s="1"/>
  <c r="AQ412" i="18"/>
  <c r="AQ417" i="18"/>
  <c r="AV236" i="18"/>
  <c r="AW233" i="18"/>
  <c r="AS1" i="15"/>
  <c r="AS8" i="14"/>
  <c r="AO17" i="18" l="1"/>
  <c r="AO16" i="18"/>
  <c r="AU230" i="18"/>
  <c r="AS244" i="18"/>
  <c r="AS249" i="18"/>
  <c r="AS253" i="18" s="1"/>
  <c r="AS246" i="18"/>
  <c r="AT243" i="18"/>
  <c r="AT416" i="18"/>
  <c r="AU416" i="18" s="1"/>
  <c r="AS419" i="18"/>
  <c r="AS223" i="18"/>
  <c r="AV248" i="18"/>
  <c r="AU251" i="18"/>
  <c r="AP82" i="18"/>
  <c r="AU231" i="18"/>
  <c r="AV228" i="18"/>
  <c r="AU238" i="18"/>
  <c r="AU222" i="18"/>
  <c r="AV411" i="18"/>
  <c r="AV222" i="18" s="1"/>
  <c r="AU414" i="18"/>
  <c r="AT1" i="15"/>
  <c r="AT8" i="14"/>
  <c r="AT229" i="18"/>
  <c r="AT234" i="18" s="1"/>
  <c r="AT239" i="18" s="1"/>
  <c r="AT366" i="18" s="1"/>
  <c r="AU3" i="18"/>
  <c r="AV2" i="18"/>
  <c r="AW5" i="18"/>
  <c r="AV1" i="18"/>
  <c r="AW236" i="18"/>
  <c r="AX233" i="18"/>
  <c r="AR412" i="18"/>
  <c r="AR417" i="18"/>
  <c r="AP17" i="18" l="1"/>
  <c r="AP16" i="18"/>
  <c r="AV230" i="18"/>
  <c r="AT244" i="18"/>
  <c r="AT249" i="18"/>
  <c r="AT253" i="18" s="1"/>
  <c r="AT246" i="18"/>
  <c r="AU243" i="18"/>
  <c r="AU419" i="18"/>
  <c r="AU223" i="18"/>
  <c r="AT223" i="18"/>
  <c r="AT419" i="18"/>
  <c r="AV416" i="18"/>
  <c r="AV251" i="18"/>
  <c r="AW248" i="18"/>
  <c r="AQ82" i="18"/>
  <c r="AV231" i="18"/>
  <c r="AW228" i="18"/>
  <c r="AU241" i="18"/>
  <c r="AV238" i="18"/>
  <c r="AW411" i="18"/>
  <c r="AW222" i="18" s="1"/>
  <c r="AV414" i="18"/>
  <c r="AS417" i="18"/>
  <c r="AS412" i="18"/>
  <c r="AX5" i="18"/>
  <c r="AW1" i="18"/>
  <c r="AV3" i="18"/>
  <c r="AW2" i="18"/>
  <c r="AU229" i="18"/>
  <c r="AU234" i="18" s="1"/>
  <c r="AU239" i="18" s="1"/>
  <c r="AU366" i="18" s="1"/>
  <c r="AU1" i="15"/>
  <c r="AU8" i="14"/>
  <c r="AX236" i="18"/>
  <c r="AY233" i="18"/>
  <c r="AQ16" i="18" l="1"/>
  <c r="AQ17" i="18"/>
  <c r="AW230" i="18"/>
  <c r="AU244" i="18"/>
  <c r="AU249" i="18"/>
  <c r="AU253" i="18" s="1"/>
  <c r="AU246" i="18"/>
  <c r="AV243" i="18"/>
  <c r="AW416" i="18"/>
  <c r="AV419" i="18"/>
  <c r="AV223" i="18"/>
  <c r="AX248" i="18"/>
  <c r="AW251" i="18"/>
  <c r="AR82" i="18"/>
  <c r="AX228" i="18"/>
  <c r="AW231" i="18"/>
  <c r="AV241" i="18"/>
  <c r="AW238" i="18"/>
  <c r="AX411" i="18"/>
  <c r="AX222" i="18" s="1"/>
  <c r="AW414" i="18"/>
  <c r="AT412" i="18"/>
  <c r="AT417" i="18"/>
  <c r="AY236" i="18"/>
  <c r="AZ233" i="18"/>
  <c r="AV1" i="15"/>
  <c r="AV8" i="14"/>
  <c r="AV229" i="18"/>
  <c r="AV234" i="18" s="1"/>
  <c r="AV239" i="18" s="1"/>
  <c r="AV366" i="18" s="1"/>
  <c r="AW3" i="18"/>
  <c r="AX2" i="18"/>
  <c r="AY5" i="18"/>
  <c r="AX1" i="18"/>
  <c r="AR16" i="18" l="1"/>
  <c r="AR17" i="18"/>
  <c r="AX230" i="18"/>
  <c r="AV244" i="18"/>
  <c r="AV249" i="18"/>
  <c r="AV253" i="18" s="1"/>
  <c r="AV246" i="18"/>
  <c r="AW243" i="18"/>
  <c r="AX416" i="18"/>
  <c r="AW419" i="18"/>
  <c r="AW223" i="18"/>
  <c r="AX251" i="18"/>
  <c r="AY248" i="18"/>
  <c r="AS82" i="18"/>
  <c r="AY228" i="18"/>
  <c r="AX231" i="18"/>
  <c r="AW241" i="18"/>
  <c r="AX238" i="18"/>
  <c r="AX414" i="18"/>
  <c r="AY411" i="18"/>
  <c r="AW1" i="15"/>
  <c r="AW8" i="14"/>
  <c r="AZ236" i="18"/>
  <c r="BA233" i="18"/>
  <c r="AZ5" i="18"/>
  <c r="AY1" i="18"/>
  <c r="AX3" i="18"/>
  <c r="AY2" i="18"/>
  <c r="AW229" i="18"/>
  <c r="AW234" i="18" s="1"/>
  <c r="AW239" i="18" s="1"/>
  <c r="AW366" i="18" s="1"/>
  <c r="AU417" i="18"/>
  <c r="AU412" i="18"/>
  <c r="AS16" i="18" l="1"/>
  <c r="AS17" i="18"/>
  <c r="AY230" i="18"/>
  <c r="AW244" i="18"/>
  <c r="AW249" i="18"/>
  <c r="AW253" i="18" s="1"/>
  <c r="AX243" i="18"/>
  <c r="AY243" i="18" s="1"/>
  <c r="AW246" i="18"/>
  <c r="AX223" i="18"/>
  <c r="AY416" i="18"/>
  <c r="AX419" i="18"/>
  <c r="AY251" i="18"/>
  <c r="AZ248" i="18"/>
  <c r="AT82" i="18"/>
  <c r="AV82" i="18"/>
  <c r="AY231" i="18"/>
  <c r="AZ228" i="18"/>
  <c r="AY238" i="18"/>
  <c r="AX241" i="18"/>
  <c r="AY222" i="18"/>
  <c r="AZ411" i="18"/>
  <c r="AY414" i="18"/>
  <c r="AV412" i="18"/>
  <c r="AV417" i="18"/>
  <c r="AX229" i="18"/>
  <c r="AX234" i="18" s="1"/>
  <c r="AX239" i="18" s="1"/>
  <c r="AX366" i="18" s="1"/>
  <c r="AY3" i="18"/>
  <c r="AZ2" i="18"/>
  <c r="BA5" i="18"/>
  <c r="AZ1" i="18"/>
  <c r="BA236" i="18"/>
  <c r="BB233" i="18"/>
  <c r="AX1" i="15"/>
  <c r="AX8" i="14"/>
  <c r="AV16" i="18" l="1"/>
  <c r="AV17" i="18"/>
  <c r="AT17" i="18"/>
  <c r="AT16" i="18"/>
  <c r="AZ230" i="18"/>
  <c r="AX244" i="18"/>
  <c r="AX249" i="18"/>
  <c r="AX253" i="18" s="1"/>
  <c r="AY246" i="18"/>
  <c r="AX246" i="18"/>
  <c r="AZ243" i="18"/>
  <c r="AZ246" i="18" s="1"/>
  <c r="AY419" i="18"/>
  <c r="AZ416" i="18"/>
  <c r="AY223" i="18"/>
  <c r="AZ251" i="18"/>
  <c r="BA248" i="18"/>
  <c r="BA251" i="18" s="1"/>
  <c r="AU82" i="18"/>
  <c r="AX82" i="18"/>
  <c r="BA228" i="18"/>
  <c r="AZ231" i="18"/>
  <c r="AY241" i="18"/>
  <c r="AZ238" i="18"/>
  <c r="AZ222" i="18"/>
  <c r="BA411" i="18"/>
  <c r="AZ414" i="18"/>
  <c r="AY1" i="15"/>
  <c r="AY8" i="14"/>
  <c r="BB236" i="18"/>
  <c r="BC233" i="18"/>
  <c r="AW412" i="18"/>
  <c r="AW417" i="18"/>
  <c r="BB5" i="18"/>
  <c r="BA1" i="18"/>
  <c r="AZ3" i="18"/>
  <c r="BA2" i="18"/>
  <c r="AY229" i="18"/>
  <c r="AY234" i="18" s="1"/>
  <c r="AY239" i="18" s="1"/>
  <c r="AY366" i="18" s="1"/>
  <c r="AU16" i="18" l="1"/>
  <c r="AU17" i="18"/>
  <c r="AX17" i="18"/>
  <c r="AX16" i="18"/>
  <c r="BA230" i="18"/>
  <c r="AY244" i="18"/>
  <c r="AY249" i="18"/>
  <c r="AY253" i="18" s="1"/>
  <c r="BA243" i="18"/>
  <c r="AZ223" i="18"/>
  <c r="BA416" i="18"/>
  <c r="AZ419" i="18"/>
  <c r="BB248" i="18"/>
  <c r="BB251" i="18" s="1"/>
  <c r="AW82" i="18"/>
  <c r="AZ82" i="18"/>
  <c r="BA231" i="18"/>
  <c r="BB228" i="18"/>
  <c r="AZ241" i="18"/>
  <c r="BA238" i="18"/>
  <c r="BA222" i="18"/>
  <c r="BB411" i="18"/>
  <c r="BB222" i="18" s="1"/>
  <c r="BA414" i="18"/>
  <c r="AZ229" i="18"/>
  <c r="AZ234" i="18" s="1"/>
  <c r="AZ239" i="18" s="1"/>
  <c r="AZ366" i="18" s="1"/>
  <c r="BA3" i="18"/>
  <c r="BB2" i="18"/>
  <c r="BC5" i="18"/>
  <c r="BB1" i="18"/>
  <c r="AX412" i="18"/>
  <c r="AX417" i="18"/>
  <c r="BC236" i="18"/>
  <c r="BD233" i="18"/>
  <c r="AZ1" i="15"/>
  <c r="AZ8" i="14"/>
  <c r="AZ16" i="18" l="1"/>
  <c r="AZ17" i="18"/>
  <c r="AW16" i="18"/>
  <c r="AW17" i="18"/>
  <c r="BB230" i="18"/>
  <c r="AZ244" i="18"/>
  <c r="AZ249" i="18"/>
  <c r="AZ253" i="18" s="1"/>
  <c r="BB243" i="18"/>
  <c r="BA246" i="18"/>
  <c r="BA223" i="18"/>
  <c r="BB416" i="18"/>
  <c r="BA419" i="18"/>
  <c r="BC248" i="18"/>
  <c r="BB82" i="18"/>
  <c r="AY82" i="18"/>
  <c r="BB231" i="18"/>
  <c r="BC228" i="18"/>
  <c r="BB238" i="18"/>
  <c r="BA241" i="18"/>
  <c r="BC411" i="18"/>
  <c r="BC222" i="18" s="1"/>
  <c r="BB414" i="18"/>
  <c r="BA1" i="15"/>
  <c r="BA8" i="14"/>
  <c r="AY417" i="18"/>
  <c r="AY412" i="18"/>
  <c r="BD236" i="18"/>
  <c r="BE233" i="18"/>
  <c r="BD5" i="18"/>
  <c r="BC1" i="18"/>
  <c r="BB3" i="18"/>
  <c r="BC2" i="18"/>
  <c r="BA229" i="18"/>
  <c r="BA234" i="18" s="1"/>
  <c r="BA239" i="18" s="1"/>
  <c r="BA366" i="18" s="1"/>
  <c r="BB17" i="18" l="1"/>
  <c r="BB16" i="18"/>
  <c r="AY16" i="18"/>
  <c r="AY17" i="18"/>
  <c r="BC230" i="18"/>
  <c r="BA244" i="18"/>
  <c r="BA249" i="18"/>
  <c r="BA253" i="18" s="1"/>
  <c r="BC243" i="18"/>
  <c r="BC246" i="18" s="1"/>
  <c r="BB246" i="18"/>
  <c r="BB223" i="18"/>
  <c r="BC416" i="18"/>
  <c r="BB419" i="18"/>
  <c r="BC251" i="18"/>
  <c r="BD248" i="18"/>
  <c r="BC82" i="18"/>
  <c r="BA82" i="18"/>
  <c r="BD228" i="18"/>
  <c r="BC231" i="18"/>
  <c r="BC238" i="18"/>
  <c r="BB241" i="18"/>
  <c r="BC414" i="18"/>
  <c r="BD411" i="18"/>
  <c r="BB229" i="18"/>
  <c r="BB234" i="18" s="1"/>
  <c r="BB239" i="18" s="1"/>
  <c r="BB366" i="18" s="1"/>
  <c r="AZ412" i="18"/>
  <c r="AZ417" i="18"/>
  <c r="BB1" i="15"/>
  <c r="BB8" i="14"/>
  <c r="BC3" i="18"/>
  <c r="BD2" i="18"/>
  <c r="BE5" i="18"/>
  <c r="BD1" i="18"/>
  <c r="BE236" i="18"/>
  <c r="BF233" i="18"/>
  <c r="BA16" i="18" l="1"/>
  <c r="BA17" i="18"/>
  <c r="BC16" i="18"/>
  <c r="BC17" i="18"/>
  <c r="BD230" i="18"/>
  <c r="BB244" i="18"/>
  <c r="BB249" i="18"/>
  <c r="BB253" i="18" s="1"/>
  <c r="BD243" i="18"/>
  <c r="BC223" i="18"/>
  <c r="BD416" i="18"/>
  <c r="BC419" i="18"/>
  <c r="BE248" i="18"/>
  <c r="BD251" i="18"/>
  <c r="BE228" i="18"/>
  <c r="BD231" i="18"/>
  <c r="BD238" i="18"/>
  <c r="BC241" i="18"/>
  <c r="BD222" i="18"/>
  <c r="BD414" i="18"/>
  <c r="BE411" i="18"/>
  <c r="BF236" i="18"/>
  <c r="BG233" i="18"/>
  <c r="BF5" i="18"/>
  <c r="BE1" i="18"/>
  <c r="BD3" i="18"/>
  <c r="BE2" i="18"/>
  <c r="BC229" i="18"/>
  <c r="BC234" i="18" s="1"/>
  <c r="BC239" i="18" s="1"/>
  <c r="BC366" i="18" s="1"/>
  <c r="BC1" i="15"/>
  <c r="BC8" i="14"/>
  <c r="BA417" i="18"/>
  <c r="BA412" i="18"/>
  <c r="BE230" i="18" l="1"/>
  <c r="BC244" i="18"/>
  <c r="BC249" i="18"/>
  <c r="BC253" i="18" s="1"/>
  <c r="BE243" i="18"/>
  <c r="BD246" i="18"/>
  <c r="BE416" i="18"/>
  <c r="BD419" i="18"/>
  <c r="BD223" i="18"/>
  <c r="BF248" i="18"/>
  <c r="BE251" i="18"/>
  <c r="BD82" i="18"/>
  <c r="BE82" i="18"/>
  <c r="BE231" i="18"/>
  <c r="BF228" i="18"/>
  <c r="BE238" i="18"/>
  <c r="BD241" i="18"/>
  <c r="BE222" i="18"/>
  <c r="BF411" i="18"/>
  <c r="BF222" i="18" s="1"/>
  <c r="BE414" i="18"/>
  <c r="BD1" i="15"/>
  <c r="BD8" i="14"/>
  <c r="BD229" i="18"/>
  <c r="BD234" i="18" s="1"/>
  <c r="BD239" i="18" s="1"/>
  <c r="BD366" i="18" s="1"/>
  <c r="BE3" i="18"/>
  <c r="BF2" i="18"/>
  <c r="BG5" i="18"/>
  <c r="BF1" i="18"/>
  <c r="BG236" i="18"/>
  <c r="BH233" i="18"/>
  <c r="BB412" i="18"/>
  <c r="BB417" i="18"/>
  <c r="BE17" i="18" l="1"/>
  <c r="BE16" i="18"/>
  <c r="BD16" i="18"/>
  <c r="BD17" i="18"/>
  <c r="BF230" i="18"/>
  <c r="BD244" i="18"/>
  <c r="BD249" i="18"/>
  <c r="BD253" i="18" s="1"/>
  <c r="BE246" i="18"/>
  <c r="BF243" i="18"/>
  <c r="BE419" i="18"/>
  <c r="BF416" i="18"/>
  <c r="BE223" i="18"/>
  <c r="BG248" i="18"/>
  <c r="BF251" i="18"/>
  <c r="BF82" i="18"/>
  <c r="BF231" i="18"/>
  <c r="BG228" i="18"/>
  <c r="BE241" i="18"/>
  <c r="BF238" i="18"/>
  <c r="BF414" i="18"/>
  <c r="BG411" i="18"/>
  <c r="BG222" i="18" s="1"/>
  <c r="BE1" i="15"/>
  <c r="BE8" i="14"/>
  <c r="BC412" i="18"/>
  <c r="BC417" i="18"/>
  <c r="BH236" i="18"/>
  <c r="BI233" i="18"/>
  <c r="BH5" i="18"/>
  <c r="BG1" i="18"/>
  <c r="BF3" i="18"/>
  <c r="BG2" i="18"/>
  <c r="BE229" i="18"/>
  <c r="BE234" i="18" s="1"/>
  <c r="BE239" i="18" s="1"/>
  <c r="BE366" i="18" s="1"/>
  <c r="BG230" i="18" l="1"/>
  <c r="BF17" i="18"/>
  <c r="BF16" i="18"/>
  <c r="BE244" i="18"/>
  <c r="BE249" i="18"/>
  <c r="BE253" i="18" s="1"/>
  <c r="BF246" i="18"/>
  <c r="BG243" i="18"/>
  <c r="BF223" i="18"/>
  <c r="BG416" i="18"/>
  <c r="BF419" i="18"/>
  <c r="BH248" i="18"/>
  <c r="BG251" i="18"/>
  <c r="BG82" i="18"/>
  <c r="BG231" i="18"/>
  <c r="BH228" i="18"/>
  <c r="BF241" i="18"/>
  <c r="BG238" i="18"/>
  <c r="BH411" i="18"/>
  <c r="BG414" i="18"/>
  <c r="BD412" i="18"/>
  <c r="BD417" i="18"/>
  <c r="BF229" i="18"/>
  <c r="BF234" i="18" s="1"/>
  <c r="BF239" i="18" s="1"/>
  <c r="BF366" i="18" s="1"/>
  <c r="BG3" i="18"/>
  <c r="BH2" i="18"/>
  <c r="BI5" i="18"/>
  <c r="BH1" i="18"/>
  <c r="BI236" i="18"/>
  <c r="BJ233" i="18"/>
  <c r="BF1" i="15"/>
  <c r="BF8" i="14"/>
  <c r="BH230" i="18" l="1"/>
  <c r="BG16" i="18"/>
  <c r="BG17" i="18"/>
  <c r="BF244" i="18"/>
  <c r="BF249" i="18"/>
  <c r="BF253" i="18" s="1"/>
  <c r="BG246" i="18"/>
  <c r="BH243" i="18"/>
  <c r="BG223" i="18"/>
  <c r="BH416" i="18"/>
  <c r="BG419" i="18"/>
  <c r="BH251" i="18"/>
  <c r="BI248" i="18"/>
  <c r="BH82" i="18"/>
  <c r="BH231" i="18"/>
  <c r="BI228" i="18"/>
  <c r="BH238" i="18"/>
  <c r="BG241" i="18"/>
  <c r="BH222" i="18"/>
  <c r="BH414" i="18"/>
  <c r="BI411" i="18"/>
  <c r="BG1" i="15"/>
  <c r="BG8" i="14"/>
  <c r="BJ5" i="18"/>
  <c r="BI1" i="18"/>
  <c r="BH3" i="18"/>
  <c r="BI2" i="18"/>
  <c r="BG229" i="18"/>
  <c r="BG234" i="18" s="1"/>
  <c r="BG239" i="18" s="1"/>
  <c r="BG366" i="18" s="1"/>
  <c r="BJ236" i="18"/>
  <c r="BK233" i="18"/>
  <c r="BE417" i="18"/>
  <c r="BE412" i="18"/>
  <c r="BI230" i="18" l="1"/>
  <c r="BH16" i="18"/>
  <c r="BH17" i="18"/>
  <c r="BG244" i="18"/>
  <c r="BG249" i="18"/>
  <c r="BG253" i="18" s="1"/>
  <c r="BH246" i="18"/>
  <c r="BI243" i="18"/>
  <c r="BI416" i="18"/>
  <c r="BH223" i="18"/>
  <c r="BH419" i="18"/>
  <c r="BI251" i="18"/>
  <c r="BJ248" i="18"/>
  <c r="BI82" i="18"/>
  <c r="BI231" i="18"/>
  <c r="BJ228" i="18"/>
  <c r="BI238" i="18"/>
  <c r="BH241" i="18"/>
  <c r="BI222" i="18"/>
  <c r="BI414" i="18"/>
  <c r="BJ411" i="18"/>
  <c r="BJ222" i="18" s="1"/>
  <c r="BF412" i="18"/>
  <c r="BF417" i="18"/>
  <c r="BH229" i="18"/>
  <c r="BH234" i="18" s="1"/>
  <c r="BH239" i="18" s="1"/>
  <c r="BH366" i="18" s="1"/>
  <c r="BI3" i="18"/>
  <c r="BJ2" i="18"/>
  <c r="BK5" i="18"/>
  <c r="BJ1" i="18"/>
  <c r="BK236" i="18"/>
  <c r="BL233" i="18"/>
  <c r="BH1" i="15"/>
  <c r="BH8" i="14"/>
  <c r="BJ230" i="18" l="1"/>
  <c r="BI16" i="18"/>
  <c r="BI17" i="18"/>
  <c r="BH244" i="18"/>
  <c r="BH249" i="18"/>
  <c r="BH253" i="18" s="1"/>
  <c r="BI246" i="18"/>
  <c r="BJ243" i="18"/>
  <c r="BI223" i="18"/>
  <c r="BJ416" i="18"/>
  <c r="BI419" i="18"/>
  <c r="BJ251" i="18"/>
  <c r="BK248" i="18"/>
  <c r="BJ82" i="18"/>
  <c r="BJ231" i="18"/>
  <c r="BK228" i="18"/>
  <c r="BI241" i="18"/>
  <c r="BJ238" i="18"/>
  <c r="BJ414" i="18"/>
  <c r="BK411" i="18"/>
  <c r="BK222" i="18" s="1"/>
  <c r="BI1" i="15"/>
  <c r="BI8" i="14"/>
  <c r="BG412" i="18"/>
  <c r="BG417" i="18"/>
  <c r="BL236" i="18"/>
  <c r="BM233" i="18"/>
  <c r="BL5" i="18"/>
  <c r="BK1" i="18"/>
  <c r="BJ3" i="18"/>
  <c r="BK2" i="18"/>
  <c r="BI229" i="18"/>
  <c r="BI234" i="18" s="1"/>
  <c r="BI239" i="18" s="1"/>
  <c r="BI366" i="18" s="1"/>
  <c r="BK230" i="18" l="1"/>
  <c r="BJ17" i="18"/>
  <c r="BJ16" i="18"/>
  <c r="BI244" i="18"/>
  <c r="BI249" i="18"/>
  <c r="BI253" i="18" s="1"/>
  <c r="BK243" i="18"/>
  <c r="BJ246" i="18"/>
  <c r="BJ223" i="18"/>
  <c r="BJ419" i="18"/>
  <c r="BK416" i="18"/>
  <c r="BK251" i="18"/>
  <c r="BL248" i="18"/>
  <c r="BL251" i="18" s="1"/>
  <c r="BK82" i="18"/>
  <c r="BL228" i="18"/>
  <c r="BK231" i="18"/>
  <c r="BJ241" i="18"/>
  <c r="BK238" i="18"/>
  <c r="BL411" i="18"/>
  <c r="BL222" i="18" s="1"/>
  <c r="BK414" i="18"/>
  <c r="BJ229" i="18"/>
  <c r="BJ234" i="18" s="1"/>
  <c r="BJ239" i="18" s="1"/>
  <c r="BJ366" i="18" s="1"/>
  <c r="BK3" i="18"/>
  <c r="BL2" i="18"/>
  <c r="BM5" i="18"/>
  <c r="BL1" i="18"/>
  <c r="BM236" i="18"/>
  <c r="BN233" i="18"/>
  <c r="BJ1" i="15"/>
  <c r="BJ8" i="14"/>
  <c r="BH412" i="18"/>
  <c r="BH417" i="18"/>
  <c r="BL230" i="18" l="1"/>
  <c r="BK16" i="18"/>
  <c r="BK17" i="18"/>
  <c r="BJ244" i="18"/>
  <c r="BJ249" i="18"/>
  <c r="BJ253" i="18" s="1"/>
  <c r="BK246" i="18"/>
  <c r="BL243" i="18"/>
  <c r="BK223" i="18"/>
  <c r="BK419" i="18"/>
  <c r="BL416" i="18"/>
  <c r="BM248" i="18"/>
  <c r="BM251" i="18" s="1"/>
  <c r="BL82" i="18"/>
  <c r="BL231" i="18"/>
  <c r="BM228" i="18"/>
  <c r="BL238" i="18"/>
  <c r="BK241" i="18"/>
  <c r="BL414" i="18"/>
  <c r="BM411" i="18"/>
  <c r="BK1" i="15"/>
  <c r="BK8" i="14"/>
  <c r="BN236" i="18"/>
  <c r="BO233" i="18"/>
  <c r="BI417" i="18"/>
  <c r="BI412" i="18"/>
  <c r="BN5" i="18"/>
  <c r="BM1" i="18"/>
  <c r="BL3" i="18"/>
  <c r="BM2" i="18"/>
  <c r="BK229" i="18"/>
  <c r="BK234" i="18" s="1"/>
  <c r="BK239" i="18" s="1"/>
  <c r="BK366" i="18" s="1"/>
  <c r="BM230" i="18" l="1"/>
  <c r="BL16" i="18"/>
  <c r="BL17" i="18"/>
  <c r="BK244" i="18"/>
  <c r="BK249" i="18"/>
  <c r="BK253" i="18" s="1"/>
  <c r="BL246" i="18"/>
  <c r="BM243" i="18"/>
  <c r="BM416" i="18"/>
  <c r="BL223" i="18"/>
  <c r="BL419" i="18"/>
  <c r="BN248" i="18"/>
  <c r="BM82" i="18"/>
  <c r="BM231" i="18"/>
  <c r="BN228" i="18"/>
  <c r="BM238" i="18"/>
  <c r="BL241" i="18"/>
  <c r="BM222" i="18"/>
  <c r="BN411" i="18"/>
  <c r="BM414" i="18"/>
  <c r="BL229" i="18"/>
  <c r="BL234" i="18" s="1"/>
  <c r="BL239" i="18" s="1"/>
  <c r="BL366" i="18" s="1"/>
  <c r="BM3" i="18"/>
  <c r="BN2" i="18"/>
  <c r="BO5" i="18"/>
  <c r="BN1" i="18"/>
  <c r="BL1" i="15"/>
  <c r="BL8" i="14"/>
  <c r="BJ412" i="18"/>
  <c r="BJ417" i="18"/>
  <c r="BO236" i="18"/>
  <c r="BP233" i="18"/>
  <c r="BN230" i="18" l="1"/>
  <c r="BM17" i="18"/>
  <c r="BM16" i="18"/>
  <c r="BL244" i="18"/>
  <c r="BL249" i="18"/>
  <c r="BL253" i="18" s="1"/>
  <c r="BN243" i="18"/>
  <c r="BM246" i="18"/>
  <c r="BM223" i="18"/>
  <c r="BN416" i="18"/>
  <c r="BM419" i="18"/>
  <c r="BN251" i="18"/>
  <c r="BO248" i="18"/>
  <c r="BN82" i="18"/>
  <c r="BN231" i="18"/>
  <c r="BO228" i="18"/>
  <c r="BM241" i="18"/>
  <c r="BN238" i="18"/>
  <c r="BN222" i="18"/>
  <c r="BN414" i="18"/>
  <c r="BO411" i="18"/>
  <c r="BP236" i="18"/>
  <c r="BQ233" i="18"/>
  <c r="BK417" i="18"/>
  <c r="BK412" i="18"/>
  <c r="BM1" i="15"/>
  <c r="BM8" i="14"/>
  <c r="BP5" i="18"/>
  <c r="BO1" i="18"/>
  <c r="BN3" i="18"/>
  <c r="BO2" i="18"/>
  <c r="BM229" i="18"/>
  <c r="BM234" i="18" s="1"/>
  <c r="BM239" i="18" s="1"/>
  <c r="BM366" i="18" s="1"/>
  <c r="BO230" i="18" l="1"/>
  <c r="BN17" i="18"/>
  <c r="BN16" i="18"/>
  <c r="BM244" i="18"/>
  <c r="BM249" i="18"/>
  <c r="BM253" i="18" s="1"/>
  <c r="BN246" i="18"/>
  <c r="BO243" i="18"/>
  <c r="BN419" i="18"/>
  <c r="BO416" i="18"/>
  <c r="BN223" i="18"/>
  <c r="BO251" i="18"/>
  <c r="BP248" i="18"/>
  <c r="BP251" i="18" s="1"/>
  <c r="BO82" i="18"/>
  <c r="BO231" i="18"/>
  <c r="BP228" i="18"/>
  <c r="BN241" i="18"/>
  <c r="BO238" i="18"/>
  <c r="BO222" i="18"/>
  <c r="BO414" i="18"/>
  <c r="BP411" i="18"/>
  <c r="BL412" i="18"/>
  <c r="BL417" i="18"/>
  <c r="BN229" i="18"/>
  <c r="BN234" i="18" s="1"/>
  <c r="BN239" i="18" s="1"/>
  <c r="BN366" i="18" s="1"/>
  <c r="BO3" i="18"/>
  <c r="BP2" i="18"/>
  <c r="BQ5" i="18"/>
  <c r="BP1" i="18"/>
  <c r="BN1" i="15"/>
  <c r="BN8" i="14"/>
  <c r="BQ236" i="18"/>
  <c r="BR233" i="18"/>
  <c r="BP230" i="18" l="1"/>
  <c r="BO16" i="18"/>
  <c r="BO17" i="18"/>
  <c r="BN244" i="18"/>
  <c r="BN249" i="18"/>
  <c r="BN253" i="18" s="1"/>
  <c r="BO246" i="18"/>
  <c r="BP243" i="18"/>
  <c r="BO419" i="18"/>
  <c r="BO223" i="18"/>
  <c r="BP416" i="18"/>
  <c r="BQ248" i="18"/>
  <c r="BQ251" i="18" s="1"/>
  <c r="BP82" i="18"/>
  <c r="BQ228" i="18"/>
  <c r="BP231" i="18"/>
  <c r="BO241" i="18"/>
  <c r="BP238" i="18"/>
  <c r="BP222" i="18"/>
  <c r="BP414" i="18"/>
  <c r="BQ411" i="18"/>
  <c r="BQ222" i="18" s="1"/>
  <c r="BR236" i="18"/>
  <c r="BS233" i="18"/>
  <c r="BM417" i="18"/>
  <c r="BM412" i="18"/>
  <c r="BO1" i="15"/>
  <c r="BO8" i="14"/>
  <c r="BR5" i="18"/>
  <c r="BQ1" i="18"/>
  <c r="BP3" i="18"/>
  <c r="BQ2" i="18"/>
  <c r="BO229" i="18"/>
  <c r="BO234" i="18" s="1"/>
  <c r="BO239" i="18" s="1"/>
  <c r="BO366" i="18" s="1"/>
  <c r="BQ230" i="18" l="1"/>
  <c r="BP16" i="18"/>
  <c r="BP17" i="18"/>
  <c r="BO244" i="18"/>
  <c r="BO249" i="18"/>
  <c r="BO253" i="18" s="1"/>
  <c r="BP246" i="18"/>
  <c r="BQ243" i="18"/>
  <c r="BP223" i="18"/>
  <c r="BQ416" i="18"/>
  <c r="BP419" i="18"/>
  <c r="BR248" i="18"/>
  <c r="BQ82" i="18"/>
  <c r="BQ231" i="18"/>
  <c r="BR228" i="18"/>
  <c r="BQ238" i="18"/>
  <c r="BP241" i="18"/>
  <c r="BQ414" i="18"/>
  <c r="BR411" i="18"/>
  <c r="BN412" i="18"/>
  <c r="BN417" i="18"/>
  <c r="BP1" i="15"/>
  <c r="BP8" i="14"/>
  <c r="BP229" i="18"/>
  <c r="BP234" i="18" s="1"/>
  <c r="BP239" i="18" s="1"/>
  <c r="BP366" i="18" s="1"/>
  <c r="BQ3" i="18"/>
  <c r="BR2" i="18"/>
  <c r="BS5" i="18"/>
  <c r="BR1" i="18"/>
  <c r="BS236" i="18"/>
  <c r="BT233" i="18"/>
  <c r="BR230" i="18" l="1"/>
  <c r="BQ16" i="18"/>
  <c r="BQ17" i="18"/>
  <c r="BP244" i="18"/>
  <c r="BP249" i="18"/>
  <c r="BP253" i="18" s="1"/>
  <c r="BQ246" i="18"/>
  <c r="BR243" i="18"/>
  <c r="BQ223" i="18"/>
  <c r="BQ419" i="18"/>
  <c r="BR416" i="18"/>
  <c r="BS248" i="18"/>
  <c r="BR251" i="18"/>
  <c r="BR82" i="18"/>
  <c r="BR231" i="18"/>
  <c r="BS228" i="18"/>
  <c r="BR238" i="18"/>
  <c r="BQ241" i="18"/>
  <c r="BR222" i="18"/>
  <c r="BR414" i="18"/>
  <c r="BS411" i="18"/>
  <c r="BT236" i="18"/>
  <c r="BU233" i="18"/>
  <c r="BT5" i="18"/>
  <c r="BS1" i="18"/>
  <c r="BR3" i="18"/>
  <c r="BS2" i="18"/>
  <c r="BQ229" i="18"/>
  <c r="BQ234" i="18" s="1"/>
  <c r="BQ239" i="18" s="1"/>
  <c r="BQ366" i="18" s="1"/>
  <c r="BO417" i="18"/>
  <c r="BO412" i="18"/>
  <c r="BQ1" i="15"/>
  <c r="BQ8" i="14"/>
  <c r="BS230" i="18" l="1"/>
  <c r="BR17" i="18"/>
  <c r="BR16" i="18"/>
  <c r="BQ244" i="18"/>
  <c r="BQ249" i="18"/>
  <c r="BQ253" i="18" s="1"/>
  <c r="BR246" i="18"/>
  <c r="BS243" i="18"/>
  <c r="BS416" i="18"/>
  <c r="BR223" i="18"/>
  <c r="BR419" i="18"/>
  <c r="BT248" i="18"/>
  <c r="BS251" i="18"/>
  <c r="BS82" i="18"/>
  <c r="BS231" i="18"/>
  <c r="BT228" i="18"/>
  <c r="BS238" i="18"/>
  <c r="BR241" i="18"/>
  <c r="BS222" i="18"/>
  <c r="BS414" i="18"/>
  <c r="BT411" i="18"/>
  <c r="BR1" i="15"/>
  <c r="BR8" i="14"/>
  <c r="BP412" i="18"/>
  <c r="BP417" i="18"/>
  <c r="BR229" i="18"/>
  <c r="BR234" i="18" s="1"/>
  <c r="BR239" i="18" s="1"/>
  <c r="BR366" i="18" s="1"/>
  <c r="BS3" i="18"/>
  <c r="BT2" i="18"/>
  <c r="BU5" i="18"/>
  <c r="BT1" i="18"/>
  <c r="BU236" i="18"/>
  <c r="BV233" i="18"/>
  <c r="BT230" i="18" l="1"/>
  <c r="BS16" i="18"/>
  <c r="BS17" i="18"/>
  <c r="BR244" i="18"/>
  <c r="BR249" i="18"/>
  <c r="BR253" i="18" s="1"/>
  <c r="BS246" i="18"/>
  <c r="BT243" i="18"/>
  <c r="BS223" i="18"/>
  <c r="BS419" i="18"/>
  <c r="BT416" i="18"/>
  <c r="BU248" i="18"/>
  <c r="BT251" i="18"/>
  <c r="BT82" i="18"/>
  <c r="BT231" i="18"/>
  <c r="BU228" i="18"/>
  <c r="BS241" i="18"/>
  <c r="BT238" i="18"/>
  <c r="BT222" i="18"/>
  <c r="BT414" i="18"/>
  <c r="BU411" i="18"/>
  <c r="BS1" i="15"/>
  <c r="BS8" i="14"/>
  <c r="BQ417" i="18"/>
  <c r="BQ412" i="18"/>
  <c r="BV236" i="18"/>
  <c r="BW233" i="18"/>
  <c r="BV5" i="18"/>
  <c r="BU1" i="18"/>
  <c r="BT3" i="18"/>
  <c r="BU2" i="18"/>
  <c r="BS229" i="18"/>
  <c r="BS234" i="18" s="1"/>
  <c r="BS239" i="18" s="1"/>
  <c r="BS366" i="18" s="1"/>
  <c r="BU230" i="18" l="1"/>
  <c r="BT16" i="18"/>
  <c r="BT17" i="18"/>
  <c r="BS244" i="18"/>
  <c r="BS249" i="18"/>
  <c r="BS253" i="18" s="1"/>
  <c r="BT246" i="18"/>
  <c r="BU243" i="18"/>
  <c r="BT223" i="18"/>
  <c r="BT419" i="18"/>
  <c r="BU416" i="18"/>
  <c r="BU251" i="18"/>
  <c r="BV248" i="18"/>
  <c r="BU82" i="18"/>
  <c r="BV228" i="18"/>
  <c r="BU231" i="18"/>
  <c r="BT241" i="18"/>
  <c r="BU238" i="18"/>
  <c r="BU222" i="18"/>
  <c r="BU414" i="18"/>
  <c r="BV411" i="18"/>
  <c r="BR412" i="18"/>
  <c r="BR417" i="18"/>
  <c r="BT1" i="15"/>
  <c r="BT8" i="14"/>
  <c r="BT229" i="18"/>
  <c r="BT234" i="18" s="1"/>
  <c r="BT239" i="18" s="1"/>
  <c r="BT366" i="18" s="1"/>
  <c r="BU3" i="18"/>
  <c r="BV2" i="18"/>
  <c r="BW5" i="18"/>
  <c r="BV1" i="18"/>
  <c r="BW236" i="18"/>
  <c r="BX233" i="18"/>
  <c r="BV230" i="18" l="1"/>
  <c r="BU17" i="18"/>
  <c r="BU16" i="18"/>
  <c r="BT244" i="18"/>
  <c r="BT249" i="18"/>
  <c r="BT253" i="18" s="1"/>
  <c r="BV243" i="18"/>
  <c r="BU246" i="18"/>
  <c r="BU223" i="18"/>
  <c r="BU419" i="18"/>
  <c r="BV416" i="18"/>
  <c r="BV251" i="18"/>
  <c r="BW248" i="18"/>
  <c r="BW251" i="18" s="1"/>
  <c r="BV82" i="18"/>
  <c r="BW228" i="18"/>
  <c r="BV231" i="18"/>
  <c r="BV238" i="18"/>
  <c r="BU241" i="18"/>
  <c r="BV222" i="18"/>
  <c r="BW411" i="18"/>
  <c r="BV414" i="18"/>
  <c r="BS412" i="18"/>
  <c r="BS417" i="18"/>
  <c r="BX236" i="18"/>
  <c r="BY233" i="18"/>
  <c r="BX5" i="18"/>
  <c r="BW1" i="18"/>
  <c r="BV3" i="18"/>
  <c r="BW2" i="18"/>
  <c r="BU229" i="18"/>
  <c r="BU234" i="18" s="1"/>
  <c r="BU239" i="18" s="1"/>
  <c r="BU366" i="18" s="1"/>
  <c r="BU1" i="15"/>
  <c r="BU8" i="14"/>
  <c r="BW230" i="18" l="1"/>
  <c r="BV17" i="18"/>
  <c r="BV16" i="18"/>
  <c r="BU244" i="18"/>
  <c r="BU249" i="18"/>
  <c r="BU253" i="18" s="1"/>
  <c r="BV246" i="18"/>
  <c r="BW243" i="18"/>
  <c r="BV223" i="18"/>
  <c r="BV419" i="18"/>
  <c r="BW416" i="18"/>
  <c r="BX248" i="18"/>
  <c r="BX251" i="18" s="1"/>
  <c r="BW82" i="18"/>
  <c r="BW231" i="18"/>
  <c r="BX228" i="18"/>
  <c r="BW238" i="18"/>
  <c r="BV241" i="18"/>
  <c r="BW222" i="18"/>
  <c r="BW414" i="18"/>
  <c r="BX411" i="18"/>
  <c r="BV1" i="15"/>
  <c r="BV8" i="14"/>
  <c r="BT412" i="18"/>
  <c r="BT417" i="18"/>
  <c r="BV229" i="18"/>
  <c r="BV234" i="18" s="1"/>
  <c r="BV239" i="18" s="1"/>
  <c r="BV366" i="18" s="1"/>
  <c r="BW3" i="18"/>
  <c r="BX2" i="18"/>
  <c r="BY5" i="18"/>
  <c r="BX1" i="18"/>
  <c r="BY236" i="18"/>
  <c r="BZ233" i="18"/>
  <c r="BX230" i="18" l="1"/>
  <c r="BW16" i="18"/>
  <c r="BW17" i="18"/>
  <c r="BV244" i="18"/>
  <c r="BV249" i="18"/>
  <c r="BV253" i="18" s="1"/>
  <c r="BW246" i="18"/>
  <c r="BX243" i="18"/>
  <c r="BW223" i="18"/>
  <c r="BX416" i="18"/>
  <c r="BW419" i="18"/>
  <c r="BY248" i="18"/>
  <c r="BY251" i="18" s="1"/>
  <c r="BX82" i="18"/>
  <c r="BY228" i="18"/>
  <c r="BX231" i="18"/>
  <c r="BW241" i="18"/>
  <c r="BX238" i="18"/>
  <c r="BX222" i="18"/>
  <c r="BY411" i="18"/>
  <c r="BX414" i="18"/>
  <c r="BZ236" i="18"/>
  <c r="CA233" i="18"/>
  <c r="BU417" i="18"/>
  <c r="BU412" i="18"/>
  <c r="BZ5" i="18"/>
  <c r="BY1" i="18"/>
  <c r="BX3" i="18"/>
  <c r="BY2" i="18"/>
  <c r="BW229" i="18"/>
  <c r="BW234" i="18" s="1"/>
  <c r="BW239" i="18" s="1"/>
  <c r="BW366" i="18" s="1"/>
  <c r="BW1" i="15"/>
  <c r="BW8" i="14"/>
  <c r="BY230" i="18" l="1"/>
  <c r="BX16" i="18"/>
  <c r="BX17" i="18"/>
  <c r="BW244" i="18"/>
  <c r="BW249" i="18"/>
  <c r="BW253" i="18" s="1"/>
  <c r="BY243" i="18"/>
  <c r="BX246" i="18"/>
  <c r="BX419" i="18"/>
  <c r="BY416" i="18"/>
  <c r="BX223" i="18"/>
  <c r="BZ248" i="18"/>
  <c r="BZ251" i="18" s="1"/>
  <c r="BY82" i="18"/>
  <c r="BY231" i="18"/>
  <c r="BZ228" i="18"/>
  <c r="BY238" i="18"/>
  <c r="BX241" i="18"/>
  <c r="BY222" i="18"/>
  <c r="BY414" i="18"/>
  <c r="BZ411" i="18"/>
  <c r="BX1" i="15"/>
  <c r="BX8" i="14"/>
  <c r="BV412" i="18"/>
  <c r="BV417" i="18"/>
  <c r="BX229" i="18"/>
  <c r="BX234" i="18" s="1"/>
  <c r="BX239" i="18" s="1"/>
  <c r="BX366" i="18" s="1"/>
  <c r="BY3" i="18"/>
  <c r="BZ2" i="18"/>
  <c r="CA5" i="18"/>
  <c r="BZ1" i="18"/>
  <c r="CA236" i="18"/>
  <c r="CB233" i="18"/>
  <c r="BZ230" i="18" l="1"/>
  <c r="BY16" i="18"/>
  <c r="BY17" i="18"/>
  <c r="BX244" i="18"/>
  <c r="BX249" i="18"/>
  <c r="BX253" i="18" s="1"/>
  <c r="BZ243" i="18"/>
  <c r="BY246" i="18"/>
  <c r="BY223" i="18"/>
  <c r="BZ416" i="18"/>
  <c r="BY419" i="18"/>
  <c r="CA248" i="18"/>
  <c r="BZ82" i="18"/>
  <c r="CA228" i="18"/>
  <c r="BZ231" i="18"/>
  <c r="BZ238" i="18"/>
  <c r="BY241" i="18"/>
  <c r="BZ222" i="18"/>
  <c r="CA411" i="18"/>
  <c r="BZ414" i="18"/>
  <c r="CB236" i="18"/>
  <c r="CC233" i="18"/>
  <c r="BW412" i="18"/>
  <c r="BW417" i="18"/>
  <c r="CB5" i="18"/>
  <c r="CA1" i="18"/>
  <c r="BZ3" i="18"/>
  <c r="CA2" i="18"/>
  <c r="BY229" i="18"/>
  <c r="BY234" i="18" s="1"/>
  <c r="BY239" i="18" s="1"/>
  <c r="BY366" i="18" s="1"/>
  <c r="BY1" i="15"/>
  <c r="BY8" i="14"/>
  <c r="CA230" i="18" l="1"/>
  <c r="BZ17" i="18"/>
  <c r="BZ16" i="18"/>
  <c r="BY244" i="18"/>
  <c r="BY249" i="18"/>
  <c r="BY253" i="18" s="1"/>
  <c r="BZ246" i="18"/>
  <c r="CA243" i="18"/>
  <c r="CA246" i="18" s="1"/>
  <c r="BZ419" i="18"/>
  <c r="CA416" i="18"/>
  <c r="BZ223" i="18"/>
  <c r="CA251" i="18"/>
  <c r="CB248" i="18"/>
  <c r="CA82" i="18"/>
  <c r="CA231" i="18"/>
  <c r="CB228" i="18"/>
  <c r="BZ241" i="18"/>
  <c r="CA238" i="18"/>
  <c r="CA222" i="18"/>
  <c r="CA414" i="18"/>
  <c r="CB411" i="18"/>
  <c r="BZ1" i="15"/>
  <c r="BZ8" i="14"/>
  <c r="BX417" i="18"/>
  <c r="BX412" i="18"/>
  <c r="BZ229" i="18"/>
  <c r="BZ234" i="18" s="1"/>
  <c r="BZ239" i="18" s="1"/>
  <c r="BZ366" i="18" s="1"/>
  <c r="CA3" i="18"/>
  <c r="CB2" i="18"/>
  <c r="CC5" i="18"/>
  <c r="CB1" i="18"/>
  <c r="CC236" i="18"/>
  <c r="CD233" i="18"/>
  <c r="CB230" i="18" l="1"/>
  <c r="CA16" i="18"/>
  <c r="CA17" i="18"/>
  <c r="BZ244" i="18"/>
  <c r="BZ249" i="18"/>
  <c r="BZ253" i="18" s="1"/>
  <c r="CB243" i="18"/>
  <c r="CA223" i="18"/>
  <c r="CA419" i="18"/>
  <c r="CB416" i="18"/>
  <c r="CB251" i="18"/>
  <c r="CC248" i="18"/>
  <c r="CB82" i="18"/>
  <c r="CB231" i="18"/>
  <c r="CC228" i="18"/>
  <c r="CB238" i="18"/>
  <c r="CA241" i="18"/>
  <c r="CB222" i="18"/>
  <c r="CB414" i="18"/>
  <c r="CC411" i="18"/>
  <c r="CD236" i="18"/>
  <c r="CE233" i="18"/>
  <c r="CD5" i="18"/>
  <c r="CC1" i="18"/>
  <c r="CB3" i="18"/>
  <c r="CC2" i="18"/>
  <c r="CA229" i="18"/>
  <c r="CA234" i="18" s="1"/>
  <c r="CA239" i="18" s="1"/>
  <c r="CA366" i="18" s="1"/>
  <c r="CA1" i="15"/>
  <c r="CA8" i="14"/>
  <c r="BY412" i="18"/>
  <c r="BY417" i="18"/>
  <c r="CC230" i="18" l="1"/>
  <c r="CB16" i="18"/>
  <c r="CB17" i="18"/>
  <c r="CA244" i="18"/>
  <c r="CA249" i="18"/>
  <c r="CA253" i="18" s="1"/>
  <c r="CB246" i="18"/>
  <c r="CC243" i="18"/>
  <c r="CB223" i="18"/>
  <c r="CB419" i="18"/>
  <c r="CC416" i="18"/>
  <c r="CC251" i="18"/>
  <c r="CD248" i="18"/>
  <c r="CC82" i="18"/>
  <c r="CD228" i="18"/>
  <c r="CC231" i="18"/>
  <c r="CB241" i="18"/>
  <c r="CC238" i="18"/>
  <c r="CC222" i="18"/>
  <c r="CD411" i="18"/>
  <c r="CC414" i="18"/>
  <c r="CB229" i="18"/>
  <c r="CB234" i="18" s="1"/>
  <c r="CB239" i="18" s="1"/>
  <c r="CB366" i="18" s="1"/>
  <c r="CC3" i="18"/>
  <c r="CD2" i="18"/>
  <c r="CE5" i="18"/>
  <c r="CD1" i="18"/>
  <c r="CE236" i="18"/>
  <c r="CF233" i="18"/>
  <c r="CB1" i="15"/>
  <c r="CB8" i="14"/>
  <c r="BZ412" i="18"/>
  <c r="BZ417" i="18"/>
  <c r="CD230" i="18" l="1"/>
  <c r="CC16" i="18"/>
  <c r="CC17" i="18"/>
  <c r="CB244" i="18"/>
  <c r="CB249" i="18"/>
  <c r="CB253" i="18" s="1"/>
  <c r="CC246" i="18"/>
  <c r="CD243" i="18"/>
  <c r="CC223" i="18"/>
  <c r="CC419" i="18"/>
  <c r="CD416" i="18"/>
  <c r="CD251" i="18"/>
  <c r="CE248" i="18"/>
  <c r="CD82" i="18"/>
  <c r="CD231" i="18"/>
  <c r="CE228" i="18"/>
  <c r="CC241" i="18"/>
  <c r="CD238" i="18"/>
  <c r="CD222" i="18"/>
  <c r="CE411" i="18"/>
  <c r="CD414" i="18"/>
  <c r="CC1" i="15"/>
  <c r="CC8" i="14"/>
  <c r="CA417" i="18"/>
  <c r="CA412" i="18"/>
  <c r="CF236" i="18"/>
  <c r="CG233" i="18"/>
  <c r="CF5" i="18"/>
  <c r="CE1" i="18"/>
  <c r="CD3" i="18"/>
  <c r="CE2" i="18"/>
  <c r="CC229" i="18"/>
  <c r="CC234" i="18" s="1"/>
  <c r="CC239" i="18" s="1"/>
  <c r="CC366" i="18" s="1"/>
  <c r="CE230" i="18" l="1"/>
  <c r="CD17" i="18"/>
  <c r="CD16" i="18"/>
  <c r="CC244" i="18"/>
  <c r="CC249" i="18"/>
  <c r="CC253" i="18" s="1"/>
  <c r="CD246" i="18"/>
  <c r="CE243" i="18"/>
  <c r="CD419" i="18"/>
  <c r="CD223" i="18"/>
  <c r="CE416" i="18"/>
  <c r="CF248" i="18"/>
  <c r="CE251" i="18"/>
  <c r="CE82" i="18"/>
  <c r="CE231" i="18"/>
  <c r="CF228" i="18"/>
  <c r="CE238" i="18"/>
  <c r="CD241" i="18"/>
  <c r="CE222" i="18"/>
  <c r="CF411" i="18"/>
  <c r="CE414" i="18"/>
  <c r="CB417" i="18"/>
  <c r="CB412" i="18"/>
  <c r="CD229" i="18"/>
  <c r="CD234" i="18" s="1"/>
  <c r="CD239" i="18" s="1"/>
  <c r="CD366" i="18" s="1"/>
  <c r="CE3" i="18"/>
  <c r="CF2" i="18"/>
  <c r="CG5" i="18"/>
  <c r="CF1" i="18"/>
  <c r="CD1" i="15"/>
  <c r="CD8" i="14"/>
  <c r="CG236" i="18"/>
  <c r="CH233" i="18"/>
  <c r="CF230" i="18" l="1"/>
  <c r="CE16" i="18"/>
  <c r="CE17" i="18"/>
  <c r="CD244" i="18"/>
  <c r="CD249" i="18"/>
  <c r="CD253" i="18" s="1"/>
  <c r="CE246" i="18"/>
  <c r="CF243" i="18"/>
  <c r="CE223" i="18"/>
  <c r="CE419" i="18"/>
  <c r="CF416" i="18"/>
  <c r="CG248" i="18"/>
  <c r="CF251" i="18"/>
  <c r="CF82" i="18"/>
  <c r="CF231" i="18"/>
  <c r="CG228" i="18"/>
  <c r="CE241" i="18"/>
  <c r="CF238" i="18"/>
  <c r="CF222" i="18"/>
  <c r="CF414" i="18"/>
  <c r="CG411" i="18"/>
  <c r="CH236" i="18"/>
  <c r="CI233" i="18"/>
  <c r="CC417" i="18"/>
  <c r="CC412" i="18"/>
  <c r="CE1" i="15"/>
  <c r="CE8" i="14"/>
  <c r="CH5" i="18"/>
  <c r="CG1" i="18"/>
  <c r="CF3" i="18"/>
  <c r="CG2" i="18"/>
  <c r="CE229" i="18"/>
  <c r="CE234" i="18" s="1"/>
  <c r="CE239" i="18" s="1"/>
  <c r="CE366" i="18" s="1"/>
  <c r="CG230" i="18" l="1"/>
  <c r="CF16" i="18"/>
  <c r="CF17" i="18"/>
  <c r="CE244" i="18"/>
  <c r="CE249" i="18"/>
  <c r="CE253" i="18" s="1"/>
  <c r="CF246" i="18"/>
  <c r="CG243" i="18"/>
  <c r="CF223" i="18"/>
  <c r="CF419" i="18"/>
  <c r="CG416" i="18"/>
  <c r="CH248" i="18"/>
  <c r="CG251" i="18"/>
  <c r="CG82" i="18"/>
  <c r="CH228" i="18"/>
  <c r="CG231" i="18"/>
  <c r="CG238" i="18"/>
  <c r="CF241" i="18"/>
  <c r="CG222" i="18"/>
  <c r="CG414" i="18"/>
  <c r="CH411" i="18"/>
  <c r="CH222" i="18" s="1"/>
  <c r="CF229" i="18"/>
  <c r="CF234" i="18" s="1"/>
  <c r="CF239" i="18" s="1"/>
  <c r="CF366" i="18" s="1"/>
  <c r="CG3" i="18"/>
  <c r="CH2" i="18"/>
  <c r="CI5" i="18"/>
  <c r="CH1" i="18"/>
  <c r="CF1" i="15"/>
  <c r="CF8" i="14"/>
  <c r="CI236" i="18"/>
  <c r="CJ233" i="18"/>
  <c r="CD417" i="18"/>
  <c r="CD412" i="18"/>
  <c r="CH230" i="18" l="1"/>
  <c r="CG16" i="18"/>
  <c r="CG17" i="18"/>
  <c r="CF244" i="18"/>
  <c r="CF249" i="18"/>
  <c r="CF253" i="18" s="1"/>
  <c r="CG246" i="18"/>
  <c r="CH243" i="18"/>
  <c r="CG223" i="18"/>
  <c r="CG419" i="18"/>
  <c r="CH416" i="18"/>
  <c r="CH251" i="18"/>
  <c r="CI248" i="18"/>
  <c r="CH82" i="18"/>
  <c r="CI228" i="18"/>
  <c r="CH231" i="18"/>
  <c r="CG241" i="18"/>
  <c r="CH238" i="18"/>
  <c r="CH414" i="18"/>
  <c r="CI411" i="18"/>
  <c r="CJ236" i="18"/>
  <c r="CK233" i="18"/>
  <c r="CE417" i="18"/>
  <c r="CE412" i="18"/>
  <c r="CG1" i="15"/>
  <c r="CG8" i="14"/>
  <c r="CJ5" i="18"/>
  <c r="CI1" i="18"/>
  <c r="CH3" i="18"/>
  <c r="CI2" i="18"/>
  <c r="CG229" i="18"/>
  <c r="CG234" i="18" s="1"/>
  <c r="CG239" i="18" s="1"/>
  <c r="CG366" i="18" s="1"/>
  <c r="CI230" i="18" l="1"/>
  <c r="CH17" i="18"/>
  <c r="CH16" i="18"/>
  <c r="CG244" i="18"/>
  <c r="CG249" i="18"/>
  <c r="CG253" i="18" s="1"/>
  <c r="CH246" i="18"/>
  <c r="CI243" i="18"/>
  <c r="CH223" i="18"/>
  <c r="CH419" i="18"/>
  <c r="CI416" i="18"/>
  <c r="CI251" i="18"/>
  <c r="CJ248" i="18"/>
  <c r="CI82" i="18"/>
  <c r="CI231" i="18"/>
  <c r="CJ228" i="18"/>
  <c r="CH241" i="18"/>
  <c r="CI238" i="18"/>
  <c r="CI222" i="18"/>
  <c r="CJ411" i="18"/>
  <c r="CI414" i="18"/>
  <c r="CI3" i="18"/>
  <c r="CJ2" i="18"/>
  <c r="CK5" i="18"/>
  <c r="CJ1" i="18"/>
  <c r="CF417" i="18"/>
  <c r="CF412" i="18"/>
  <c r="CH1" i="15"/>
  <c r="CH8" i="14"/>
  <c r="CH229" i="18"/>
  <c r="CH234" i="18" s="1"/>
  <c r="CH239" i="18" s="1"/>
  <c r="CH366" i="18" s="1"/>
  <c r="CK236" i="18"/>
  <c r="CL233" i="18"/>
  <c r="CJ230" i="18" l="1"/>
  <c r="CI16" i="18"/>
  <c r="CI17" i="18"/>
  <c r="CH244" i="18"/>
  <c r="CH249" i="18"/>
  <c r="CH253" i="18" s="1"/>
  <c r="CI246" i="18"/>
  <c r="CJ243" i="18"/>
  <c r="CI223" i="18"/>
  <c r="CI419" i="18"/>
  <c r="CJ416" i="18"/>
  <c r="CJ251" i="18"/>
  <c r="CK248" i="18"/>
  <c r="CJ82" i="18"/>
  <c r="CK228" i="18"/>
  <c r="CJ231" i="18"/>
  <c r="CI241" i="18"/>
  <c r="CJ238" i="18"/>
  <c r="CJ222" i="18"/>
  <c r="CJ414" i="18"/>
  <c r="CK411" i="18"/>
  <c r="CL236" i="18"/>
  <c r="CM233" i="18"/>
  <c r="CI1" i="15"/>
  <c r="CI8" i="14"/>
  <c r="CG417" i="18"/>
  <c r="CG412" i="18"/>
  <c r="CL5" i="18"/>
  <c r="CK1" i="18"/>
  <c r="CJ3" i="18"/>
  <c r="CK2" i="18"/>
  <c r="CI229" i="18"/>
  <c r="CI234" i="18" s="1"/>
  <c r="CI239" i="18" s="1"/>
  <c r="CI366" i="18" s="1"/>
  <c r="CK230" i="18" l="1"/>
  <c r="CJ17" i="18"/>
  <c r="CJ16" i="18"/>
  <c r="CI244" i="18"/>
  <c r="CI249" i="18"/>
  <c r="CI253" i="18" s="1"/>
  <c r="CJ246" i="18"/>
  <c r="CK243" i="18"/>
  <c r="CK416" i="18"/>
  <c r="CJ223" i="18"/>
  <c r="CJ419" i="18"/>
  <c r="CK251" i="18"/>
  <c r="CL248" i="18"/>
  <c r="CK82" i="18"/>
  <c r="CK231" i="18"/>
  <c r="CL228" i="18"/>
  <c r="CJ241" i="18"/>
  <c r="CK238" i="18"/>
  <c r="CK222" i="18"/>
  <c r="CK414" i="18"/>
  <c r="CL411" i="18"/>
  <c r="CL222" i="18" s="1"/>
  <c r="CM236" i="18"/>
  <c r="CN233" i="18"/>
  <c r="CH417" i="18"/>
  <c r="CH412" i="18"/>
  <c r="CJ229" i="18"/>
  <c r="CJ234" i="18" s="1"/>
  <c r="CJ239" i="18" s="1"/>
  <c r="CJ366" i="18" s="1"/>
  <c r="CK3" i="18"/>
  <c r="CL2" i="18"/>
  <c r="CM5" i="18"/>
  <c r="CL1" i="18"/>
  <c r="CJ1" i="15"/>
  <c r="CJ8" i="14"/>
  <c r="CL230" i="18" l="1"/>
  <c r="CK16" i="18"/>
  <c r="CK17" i="18"/>
  <c r="CJ244" i="18"/>
  <c r="CJ249" i="18"/>
  <c r="CJ253" i="18" s="1"/>
  <c r="CK246" i="18"/>
  <c r="CL243" i="18"/>
  <c r="CK223" i="18"/>
  <c r="CK419" i="18"/>
  <c r="CL416" i="18"/>
  <c r="CM248" i="18"/>
  <c r="CM251" i="18" s="1"/>
  <c r="CL251" i="18"/>
  <c r="CL82" i="18"/>
  <c r="CL231" i="18"/>
  <c r="CM228" i="18"/>
  <c r="CL238" i="18"/>
  <c r="CK241" i="18"/>
  <c r="CM411" i="18"/>
  <c r="CL414" i="18"/>
  <c r="CK1" i="15"/>
  <c r="CK8" i="14"/>
  <c r="CN5" i="18"/>
  <c r="CM1" i="18"/>
  <c r="CL3" i="18"/>
  <c r="CM2" i="18"/>
  <c r="CK229" i="18"/>
  <c r="CK234" i="18" s="1"/>
  <c r="CK239" i="18" s="1"/>
  <c r="CK366" i="18" s="1"/>
  <c r="CI412" i="18"/>
  <c r="CI417" i="18"/>
  <c r="CN236" i="18"/>
  <c r="CO233" i="18"/>
  <c r="CM230" i="18" l="1"/>
  <c r="CL17" i="18"/>
  <c r="CL16" i="18"/>
  <c r="CK244" i="18"/>
  <c r="CK249" i="18"/>
  <c r="CK253" i="18" s="1"/>
  <c r="CL246" i="18"/>
  <c r="CM243" i="18"/>
  <c r="CL223" i="18"/>
  <c r="CM416" i="18"/>
  <c r="CL419" i="18"/>
  <c r="CN248" i="18"/>
  <c r="CN251" i="18" s="1"/>
  <c r="CM82" i="18"/>
  <c r="CM231" i="18"/>
  <c r="CN228" i="18"/>
  <c r="CL241" i="18"/>
  <c r="CM238" i="18"/>
  <c r="CM222" i="18"/>
  <c r="CN411" i="18"/>
  <c r="CM414" i="18"/>
  <c r="CL1" i="15"/>
  <c r="CL8" i="14"/>
  <c r="CO236" i="18"/>
  <c r="CP233" i="18"/>
  <c r="CJ417" i="18"/>
  <c r="CJ412" i="18"/>
  <c r="CL229" i="18"/>
  <c r="CL234" i="18" s="1"/>
  <c r="CL239" i="18" s="1"/>
  <c r="CL366" i="18" s="1"/>
  <c r="CM3" i="18"/>
  <c r="CN2" i="18"/>
  <c r="CO5" i="18"/>
  <c r="CN1" i="18"/>
  <c r="CN230" i="18" l="1"/>
  <c r="CM16" i="18"/>
  <c r="CM17" i="18"/>
  <c r="CL244" i="18"/>
  <c r="CL249" i="18"/>
  <c r="CL253" i="18" s="1"/>
  <c r="CM246" i="18"/>
  <c r="CN243" i="18"/>
  <c r="CM419" i="18"/>
  <c r="CN416" i="18"/>
  <c r="CM223" i="18"/>
  <c r="CO248" i="18"/>
  <c r="CN82" i="18"/>
  <c r="CN231" i="18"/>
  <c r="CO228" i="18"/>
  <c r="CM241" i="18"/>
  <c r="CN238" i="18"/>
  <c r="CN222" i="18"/>
  <c r="CN414" i="18"/>
  <c r="CO411" i="18"/>
  <c r="CM1" i="15"/>
  <c r="CM8" i="14"/>
  <c r="CK417" i="18"/>
  <c r="CK412" i="18"/>
  <c r="CP5" i="18"/>
  <c r="CO1" i="18"/>
  <c r="CN3" i="18"/>
  <c r="CO2" i="18"/>
  <c r="CM229" i="18"/>
  <c r="CM234" i="18" s="1"/>
  <c r="CM239" i="18" s="1"/>
  <c r="CM366" i="18" s="1"/>
  <c r="CP236" i="18"/>
  <c r="CQ233" i="18"/>
  <c r="CO230" i="18" l="1"/>
  <c r="CN16" i="18"/>
  <c r="CN17" i="18"/>
  <c r="CM244" i="18"/>
  <c r="CM249" i="18"/>
  <c r="CM253" i="18" s="1"/>
  <c r="CN246" i="18"/>
  <c r="CO243" i="18"/>
  <c r="CN223" i="18"/>
  <c r="CN419" i="18"/>
  <c r="CO416" i="18"/>
  <c r="CO251" i="18"/>
  <c r="CP248" i="18"/>
  <c r="CO82" i="18"/>
  <c r="CO231" i="18"/>
  <c r="CP228" i="18"/>
  <c r="CO238" i="18"/>
  <c r="CN241" i="18"/>
  <c r="CO222" i="18"/>
  <c r="CP411" i="18"/>
  <c r="CO414" i="18"/>
  <c r="CQ236" i="18"/>
  <c r="CR233" i="18"/>
  <c r="CL417" i="18"/>
  <c r="CL412" i="18"/>
  <c r="CN229" i="18"/>
  <c r="CN234" i="18" s="1"/>
  <c r="CN239" i="18" s="1"/>
  <c r="CN366" i="18" s="1"/>
  <c r="CO3" i="18"/>
  <c r="CP2" i="18"/>
  <c r="CQ5" i="18"/>
  <c r="CP1" i="18"/>
  <c r="CN1" i="15"/>
  <c r="CN8" i="14"/>
  <c r="CP230" i="18" l="1"/>
  <c r="CO16" i="18"/>
  <c r="CO17" i="18"/>
  <c r="CN244" i="18"/>
  <c r="CN249" i="18"/>
  <c r="CN253" i="18" s="1"/>
  <c r="CO246" i="18"/>
  <c r="CP243" i="18"/>
  <c r="CO419" i="18"/>
  <c r="CP416" i="18"/>
  <c r="CO223" i="18"/>
  <c r="CP251" i="18"/>
  <c r="CQ248" i="18"/>
  <c r="CP82" i="18"/>
  <c r="CP231" i="18"/>
  <c r="CQ228" i="18"/>
  <c r="CO241" i="18"/>
  <c r="CP238" i="18"/>
  <c r="CP222" i="18"/>
  <c r="CQ411" i="18"/>
  <c r="CP414" i="18"/>
  <c r="CM412" i="18"/>
  <c r="CM417" i="18"/>
  <c r="CR5" i="18"/>
  <c r="CQ1" i="18"/>
  <c r="CP3" i="18"/>
  <c r="CQ2" i="18"/>
  <c r="CO229" i="18"/>
  <c r="CO234" i="18" s="1"/>
  <c r="CO239" i="18" s="1"/>
  <c r="CO366" i="18" s="1"/>
  <c r="CO1" i="15"/>
  <c r="CO8" i="14"/>
  <c r="CR236" i="18"/>
  <c r="CS233" i="18"/>
  <c r="CQ230" i="18" l="1"/>
  <c r="CP17" i="18"/>
  <c r="CP16" i="18"/>
  <c r="CO244" i="18"/>
  <c r="CO249" i="18"/>
  <c r="CO253" i="18" s="1"/>
  <c r="CP246" i="18"/>
  <c r="CQ243" i="18"/>
  <c r="CP223" i="18"/>
  <c r="CP419" i="18"/>
  <c r="CQ416" i="18"/>
  <c r="CR248" i="18"/>
  <c r="CQ251" i="18"/>
  <c r="CQ82" i="18"/>
  <c r="CQ231" i="18"/>
  <c r="CR228" i="18"/>
  <c r="CQ238" i="18"/>
  <c r="CP241" i="18"/>
  <c r="CQ222" i="18"/>
  <c r="CQ414" i="18"/>
  <c r="CR411" i="18"/>
  <c r="CR222" i="18" s="1"/>
  <c r="CP229" i="18"/>
  <c r="CP234" i="18" s="1"/>
  <c r="CP239" i="18" s="1"/>
  <c r="CP366" i="18" s="1"/>
  <c r="CQ3" i="18"/>
  <c r="CR2" i="18"/>
  <c r="CS5" i="18"/>
  <c r="CR1" i="18"/>
  <c r="CS236" i="18"/>
  <c r="CT233" i="18"/>
  <c r="CP1" i="15"/>
  <c r="CP8" i="14"/>
  <c r="CN417" i="18"/>
  <c r="CN412" i="18"/>
  <c r="CR230" i="18" l="1"/>
  <c r="CQ16" i="18"/>
  <c r="CQ17" i="18"/>
  <c r="CP244" i="18"/>
  <c r="CP249" i="18"/>
  <c r="CP253" i="18" s="1"/>
  <c r="CQ246" i="18"/>
  <c r="CR243" i="18"/>
  <c r="CQ223" i="18"/>
  <c r="CQ419" i="18"/>
  <c r="CR416" i="18"/>
  <c r="CR251" i="18"/>
  <c r="CS248" i="18"/>
  <c r="CR82" i="18"/>
  <c r="CR231" i="18"/>
  <c r="CS228" i="18"/>
  <c r="CR238" i="18"/>
  <c r="CQ241" i="18"/>
  <c r="CR414" i="18"/>
  <c r="CS411" i="18"/>
  <c r="CS222" i="18" s="1"/>
  <c r="CO417" i="18"/>
  <c r="CO412" i="18"/>
  <c r="CQ1" i="15"/>
  <c r="CQ8" i="14"/>
  <c r="CT236" i="18"/>
  <c r="CU233" i="18"/>
  <c r="CT5" i="18"/>
  <c r="CS1" i="18"/>
  <c r="CR3" i="18"/>
  <c r="CS2" i="18"/>
  <c r="CQ229" i="18"/>
  <c r="CQ234" i="18" s="1"/>
  <c r="CQ239" i="18" s="1"/>
  <c r="CQ366" i="18" s="1"/>
  <c r="CS230" i="18" l="1"/>
  <c r="CR16" i="18"/>
  <c r="CR17" i="18"/>
  <c r="CQ244" i="18"/>
  <c r="CQ249" i="18"/>
  <c r="CQ253" i="18" s="1"/>
  <c r="CR246" i="18"/>
  <c r="CS243" i="18"/>
  <c r="CR223" i="18"/>
  <c r="CS416" i="18"/>
  <c r="CR419" i="18"/>
  <c r="CS251" i="18"/>
  <c r="CT248" i="18"/>
  <c r="CS82" i="18"/>
  <c r="CS231" i="18"/>
  <c r="CT228" i="18"/>
  <c r="CR241" i="18"/>
  <c r="CS238" i="18"/>
  <c r="CT411" i="18"/>
  <c r="CT222" i="18" s="1"/>
  <c r="CS414" i="18"/>
  <c r="CS3" i="18"/>
  <c r="CT2" i="18"/>
  <c r="CU5" i="18"/>
  <c r="CT1" i="18"/>
  <c r="CR1" i="15"/>
  <c r="CR8" i="14"/>
  <c r="CR229" i="18"/>
  <c r="CR234" i="18" s="1"/>
  <c r="CR239" i="18" s="1"/>
  <c r="CR366" i="18" s="1"/>
  <c r="CP417" i="18"/>
  <c r="CP412" i="18"/>
  <c r="CU236" i="18"/>
  <c r="CV233" i="18"/>
  <c r="CT230" i="18" l="1"/>
  <c r="CS17" i="18"/>
  <c r="CS16" i="18"/>
  <c r="CR244" i="18"/>
  <c r="CR249" i="18"/>
  <c r="CR253" i="18" s="1"/>
  <c r="CT243" i="18"/>
  <c r="CS246" i="18"/>
  <c r="CS223" i="18"/>
  <c r="CS419" i="18"/>
  <c r="CT416" i="18"/>
  <c r="CT251" i="18"/>
  <c r="CU248" i="18"/>
  <c r="CT82" i="18"/>
  <c r="CT231" i="18"/>
  <c r="CU228" i="18"/>
  <c r="CT238" i="18"/>
  <c r="CS241" i="18"/>
  <c r="CU411" i="18"/>
  <c r="CU222" i="18" s="1"/>
  <c r="CT414" i="18"/>
  <c r="CV236" i="18"/>
  <c r="CW233" i="18"/>
  <c r="CS1" i="15"/>
  <c r="CS8" i="14"/>
  <c r="CV5" i="18"/>
  <c r="CU1" i="18"/>
  <c r="CT3" i="18"/>
  <c r="CU2" i="18"/>
  <c r="CS229" i="18"/>
  <c r="CS234" i="18" s="1"/>
  <c r="CS239" i="18" s="1"/>
  <c r="CS366" i="18" s="1"/>
  <c r="CQ417" i="18"/>
  <c r="CQ412" i="18"/>
  <c r="CU230" i="18" l="1"/>
  <c r="CT17" i="18"/>
  <c r="CT16" i="18"/>
  <c r="CS244" i="18"/>
  <c r="CS249" i="18"/>
  <c r="CS253" i="18" s="1"/>
  <c r="CU243" i="18"/>
  <c r="CT246" i="18"/>
  <c r="CT419" i="18"/>
  <c r="CU416" i="18"/>
  <c r="CT223" i="18"/>
  <c r="CU251" i="18"/>
  <c r="CV248" i="18"/>
  <c r="CU82" i="18"/>
  <c r="CV228" i="18"/>
  <c r="CU231" i="18"/>
  <c r="CU238" i="18"/>
  <c r="CT241" i="18"/>
  <c r="CU414" i="18"/>
  <c r="CV411" i="18"/>
  <c r="CR417" i="18"/>
  <c r="CR412" i="18"/>
  <c r="CT229" i="18"/>
  <c r="CT234" i="18" s="1"/>
  <c r="CT239" i="18" s="1"/>
  <c r="CT366" i="18" s="1"/>
  <c r="CU3" i="18"/>
  <c r="CV2" i="18"/>
  <c r="CW5" i="18"/>
  <c r="CV1" i="18"/>
  <c r="CT1" i="15"/>
  <c r="CT8" i="14"/>
  <c r="CW236" i="18"/>
  <c r="CX233" i="18"/>
  <c r="CV230" i="18" l="1"/>
  <c r="CU16" i="18"/>
  <c r="CU17" i="18"/>
  <c r="CT244" i="18"/>
  <c r="CT249" i="18"/>
  <c r="CT253" i="18" s="1"/>
  <c r="CV243" i="18"/>
  <c r="CU246" i="18"/>
  <c r="CU223" i="18"/>
  <c r="CV416" i="18"/>
  <c r="CU419" i="18"/>
  <c r="CV251" i="18"/>
  <c r="CW248" i="18"/>
  <c r="CV82" i="18"/>
  <c r="CV231" i="18"/>
  <c r="CW228" i="18"/>
  <c r="CU241" i="18"/>
  <c r="CV238" i="18"/>
  <c r="CV222" i="18"/>
  <c r="CV414" i="18"/>
  <c r="CW411" i="18"/>
  <c r="CS417" i="18"/>
  <c r="CS412" i="18"/>
  <c r="CX236" i="18"/>
  <c r="CY233" i="18"/>
  <c r="CU1" i="15"/>
  <c r="CU8" i="14"/>
  <c r="CX5" i="18"/>
  <c r="CW1" i="18"/>
  <c r="CV3" i="18"/>
  <c r="CW2" i="18"/>
  <c r="CU229" i="18"/>
  <c r="CU234" i="18" s="1"/>
  <c r="CU239" i="18" s="1"/>
  <c r="CU366" i="18" s="1"/>
  <c r="CW230" i="18" l="1"/>
  <c r="CV16" i="18"/>
  <c r="CV17" i="18"/>
  <c r="CU244" i="18"/>
  <c r="CU249" i="18"/>
  <c r="CU253" i="18" s="1"/>
  <c r="CV246" i="18"/>
  <c r="CW243" i="18"/>
  <c r="CW416" i="18"/>
  <c r="CV419" i="18"/>
  <c r="CV223" i="18"/>
  <c r="CW251" i="18"/>
  <c r="CX248" i="18"/>
  <c r="CW82" i="18"/>
  <c r="CW231" i="18"/>
  <c r="CX228" i="18"/>
  <c r="CW238" i="18"/>
  <c r="CV241" i="18"/>
  <c r="CW222" i="18"/>
  <c r="CX411" i="18"/>
  <c r="CW414" i="18"/>
  <c r="CV1" i="15"/>
  <c r="CV8" i="14"/>
  <c r="CY236" i="18"/>
  <c r="CZ233" i="18"/>
  <c r="CT417" i="18"/>
  <c r="CT412" i="18"/>
  <c r="CV229" i="18"/>
  <c r="CV234" i="18" s="1"/>
  <c r="CV239" i="18" s="1"/>
  <c r="CV366" i="18" s="1"/>
  <c r="CW3" i="18"/>
  <c r="CX2" i="18"/>
  <c r="CY5" i="18"/>
  <c r="CX1" i="18"/>
  <c r="CX230" i="18" l="1"/>
  <c r="CW16" i="18"/>
  <c r="CW17" i="18"/>
  <c r="CV244" i="18"/>
  <c r="CV249" i="18"/>
  <c r="CV253" i="18" s="1"/>
  <c r="CX243" i="18"/>
  <c r="CW246" i="18"/>
  <c r="CW223" i="18"/>
  <c r="CX416" i="18"/>
  <c r="CW419" i="18"/>
  <c r="CX251" i="18"/>
  <c r="CY248" i="18"/>
  <c r="CX82" i="18"/>
  <c r="CY228" i="18"/>
  <c r="CX231" i="18"/>
  <c r="CX238" i="18"/>
  <c r="CW241" i="18"/>
  <c r="CX222" i="18"/>
  <c r="CY411" i="18"/>
  <c r="CX414" i="18"/>
  <c r="CZ5" i="18"/>
  <c r="CY1" i="18"/>
  <c r="CX3" i="18"/>
  <c r="CY2" i="18"/>
  <c r="CW229" i="18"/>
  <c r="CW234" i="18" s="1"/>
  <c r="CW239" i="18" s="1"/>
  <c r="CW366" i="18" s="1"/>
  <c r="CZ236" i="18"/>
  <c r="DA233" i="18"/>
  <c r="CW1" i="15"/>
  <c r="CW8" i="14"/>
  <c r="CU417" i="18"/>
  <c r="CU412" i="18"/>
  <c r="CY230" i="18" l="1"/>
  <c r="CX17" i="18"/>
  <c r="CX16" i="18"/>
  <c r="CW244" i="18"/>
  <c r="CW249" i="18"/>
  <c r="CW253" i="18" s="1"/>
  <c r="CX246" i="18"/>
  <c r="CY243" i="18"/>
  <c r="CY416" i="18"/>
  <c r="CX223" i="18"/>
  <c r="CX419" i="18"/>
  <c r="CZ248" i="18"/>
  <c r="CY251" i="18"/>
  <c r="CY82" i="18"/>
  <c r="CY231" i="18"/>
  <c r="CZ228" i="18"/>
  <c r="CX241" i="18"/>
  <c r="CY238" i="18"/>
  <c r="CY222" i="18"/>
  <c r="CZ411" i="18"/>
  <c r="CY414" i="18"/>
  <c r="DA236" i="18"/>
  <c r="DB233" i="18"/>
  <c r="CV417" i="18"/>
  <c r="CV412" i="18"/>
  <c r="CX229" i="18"/>
  <c r="CX234" i="18" s="1"/>
  <c r="CX239" i="18" s="1"/>
  <c r="CX366" i="18" s="1"/>
  <c r="CY3" i="18"/>
  <c r="CZ2" i="18"/>
  <c r="DA5" i="18"/>
  <c r="CZ1" i="18"/>
  <c r="CX1" i="15"/>
  <c r="CX8" i="14"/>
  <c r="CZ230" i="18" l="1"/>
  <c r="CY16" i="18"/>
  <c r="CY17" i="18"/>
  <c r="CX244" i="18"/>
  <c r="CX249" i="18"/>
  <c r="CX253" i="18" s="1"/>
  <c r="CZ243" i="18"/>
  <c r="CY246" i="18"/>
  <c r="CY223" i="18"/>
  <c r="CY419" i="18"/>
  <c r="CZ416" i="18"/>
  <c r="DA248" i="18"/>
  <c r="CZ251" i="18"/>
  <c r="CZ82" i="18"/>
  <c r="CZ231" i="18"/>
  <c r="DA228" i="18"/>
  <c r="CY241" i="18"/>
  <c r="CZ238" i="18"/>
  <c r="CZ222" i="18"/>
  <c r="CZ414" i="18"/>
  <c r="DA411" i="18"/>
  <c r="CW417" i="18"/>
  <c r="CW412" i="18"/>
  <c r="DB236" i="18"/>
  <c r="DC233" i="18"/>
  <c r="CY1" i="15"/>
  <c r="CY8" i="14"/>
  <c r="DB5" i="18"/>
  <c r="DA1" i="18"/>
  <c r="CZ3" i="18"/>
  <c r="DA2" i="18"/>
  <c r="CY229" i="18"/>
  <c r="CY234" i="18" s="1"/>
  <c r="CY239" i="18" s="1"/>
  <c r="CY366" i="18" s="1"/>
  <c r="DA230" i="18" l="1"/>
  <c r="CZ16" i="18"/>
  <c r="CZ17" i="18"/>
  <c r="CY244" i="18"/>
  <c r="CY249" i="18"/>
  <c r="CY253" i="18" s="1"/>
  <c r="DA243" i="18"/>
  <c r="DA246" i="18" s="1"/>
  <c r="CZ246" i="18"/>
  <c r="CZ223" i="18"/>
  <c r="DA416" i="18"/>
  <c r="CZ419" i="18"/>
  <c r="DA251" i="18"/>
  <c r="DB248" i="18"/>
  <c r="DB251" i="18" s="1"/>
  <c r="DA82" i="18"/>
  <c r="DA231" i="18"/>
  <c r="DB228" i="18"/>
  <c r="DA238" i="18"/>
  <c r="CZ241" i="18"/>
  <c r="DA222" i="18"/>
  <c r="DA414" i="18"/>
  <c r="DB411" i="18"/>
  <c r="CZ229" i="18"/>
  <c r="CZ234" i="18" s="1"/>
  <c r="CZ239" i="18" s="1"/>
  <c r="CZ366" i="18" s="1"/>
  <c r="DA3" i="18"/>
  <c r="DB2" i="18"/>
  <c r="DC5" i="18"/>
  <c r="DB1" i="18"/>
  <c r="CZ1" i="15"/>
  <c r="CZ8" i="14"/>
  <c r="CX417" i="18"/>
  <c r="CX412" i="18"/>
  <c r="DC236" i="18"/>
  <c r="DD233" i="18"/>
  <c r="DB230" i="18" l="1"/>
  <c r="DA16" i="18"/>
  <c r="DA17" i="18"/>
  <c r="CZ244" i="18"/>
  <c r="CZ249" i="18"/>
  <c r="CZ253" i="18" s="1"/>
  <c r="DB243" i="18"/>
  <c r="DA223" i="18"/>
  <c r="DB416" i="18"/>
  <c r="DA419" i="18"/>
  <c r="DC248" i="18"/>
  <c r="DC251" i="18" s="1"/>
  <c r="DB82" i="18"/>
  <c r="DB231" i="18"/>
  <c r="DC228" i="18"/>
  <c r="DC230" i="18" s="1"/>
  <c r="DA241" i="18"/>
  <c r="DB238" i="18"/>
  <c r="DB222" i="18"/>
  <c r="DC411" i="18"/>
  <c r="DB414" i="18"/>
  <c r="DD236" i="18"/>
  <c r="DE233" i="18"/>
  <c r="DA1" i="15"/>
  <c r="DA8" i="14"/>
  <c r="DD5" i="18"/>
  <c r="DC1" i="18"/>
  <c r="DB3" i="18"/>
  <c r="DC2" i="18"/>
  <c r="DA229" i="18"/>
  <c r="DA234" i="18" s="1"/>
  <c r="DA239" i="18" s="1"/>
  <c r="DA366" i="18" s="1"/>
  <c r="CY412" i="18"/>
  <c r="CY417" i="18"/>
  <c r="DB17" i="18" l="1"/>
  <c r="DB16" i="18"/>
  <c r="DA244" i="18"/>
  <c r="DA249" i="18"/>
  <c r="DA253" i="18" s="1"/>
  <c r="DB246" i="18"/>
  <c r="DC243" i="18"/>
  <c r="DB223" i="18"/>
  <c r="DB419" i="18"/>
  <c r="DC416" i="18"/>
  <c r="DD248" i="18"/>
  <c r="DC82" i="18"/>
  <c r="DD228" i="18"/>
  <c r="DD230" i="18" s="1"/>
  <c r="DC231" i="18"/>
  <c r="DC238" i="18"/>
  <c r="DB241" i="18"/>
  <c r="DC222" i="18"/>
  <c r="DD411" i="18"/>
  <c r="DC414" i="18"/>
  <c r="DB1" i="15"/>
  <c r="DB8" i="14"/>
  <c r="CZ417" i="18"/>
  <c r="CZ412" i="18"/>
  <c r="DB229" i="18"/>
  <c r="DB234" i="18" s="1"/>
  <c r="DB239" i="18" s="1"/>
  <c r="DB366" i="18" s="1"/>
  <c r="DC3" i="18"/>
  <c r="DD2" i="18"/>
  <c r="DE5" i="18"/>
  <c r="DD1" i="18"/>
  <c r="DE236" i="18"/>
  <c r="DF233" i="18"/>
  <c r="DC16" i="18" l="1"/>
  <c r="DC17" i="18"/>
  <c r="DB244" i="18"/>
  <c r="DB249" i="18"/>
  <c r="DB253" i="18" s="1"/>
  <c r="DD243" i="18"/>
  <c r="DC246" i="18"/>
  <c r="DD416" i="18"/>
  <c r="DC419" i="18"/>
  <c r="DC223" i="18"/>
  <c r="DE248" i="18"/>
  <c r="DD251" i="18"/>
  <c r="DD82" i="18"/>
  <c r="DE82" i="18"/>
  <c r="DD231" i="18"/>
  <c r="DE228" i="18"/>
  <c r="DE230" i="18" s="1"/>
  <c r="DD238" i="18"/>
  <c r="DC241" i="18"/>
  <c r="DD222" i="18"/>
  <c r="DD414" i="18"/>
  <c r="DE411" i="18"/>
  <c r="DF5" i="18"/>
  <c r="DE1" i="18"/>
  <c r="DD3" i="18"/>
  <c r="DE2" i="18"/>
  <c r="DC229" i="18"/>
  <c r="DC234" i="18" s="1"/>
  <c r="DC239" i="18" s="1"/>
  <c r="DC366" i="18" s="1"/>
  <c r="DC1" i="15"/>
  <c r="DC8" i="14"/>
  <c r="DF236" i="18"/>
  <c r="DG233" i="18"/>
  <c r="DA417" i="18"/>
  <c r="DA412" i="18"/>
  <c r="DD17" i="18" l="1"/>
  <c r="DD16" i="18"/>
  <c r="DE17" i="18"/>
  <c r="DE16" i="18"/>
  <c r="DC244" i="18"/>
  <c r="DC249" i="18"/>
  <c r="DC253" i="18" s="1"/>
  <c r="DD246" i="18"/>
  <c r="DE243" i="18"/>
  <c r="DD223" i="18"/>
  <c r="DD419" i="18"/>
  <c r="DE416" i="18"/>
  <c r="DE251" i="18"/>
  <c r="DF248" i="18"/>
  <c r="DE231" i="18"/>
  <c r="DF228" i="18"/>
  <c r="DF230" i="18" s="1"/>
  <c r="DD241" i="18"/>
  <c r="DE238" i="18"/>
  <c r="DE222" i="18"/>
  <c r="DF411" i="18"/>
  <c r="DE414" i="18"/>
  <c r="DG236" i="18"/>
  <c r="DH233" i="18"/>
  <c r="DD1" i="15"/>
  <c r="DD8" i="14"/>
  <c r="DD229" i="18"/>
  <c r="DD234" i="18" s="1"/>
  <c r="DD239" i="18" s="1"/>
  <c r="DD366" i="18" s="1"/>
  <c r="DE3" i="18"/>
  <c r="DF2" i="18"/>
  <c r="DG5" i="18"/>
  <c r="DF1" i="18"/>
  <c r="DB417" i="18"/>
  <c r="DB412" i="18"/>
  <c r="DD244" i="18" l="1"/>
  <c r="DD249" i="18"/>
  <c r="DD253" i="18" s="1"/>
  <c r="DE246" i="18"/>
  <c r="DF243" i="18"/>
  <c r="DE223" i="18"/>
  <c r="DE419" i="18"/>
  <c r="DF416" i="18"/>
  <c r="DG248" i="18"/>
  <c r="DF251" i="18"/>
  <c r="DG82" i="18"/>
  <c r="DF82" i="18"/>
  <c r="DF231" i="18"/>
  <c r="DG228" i="18"/>
  <c r="DG230" i="18" s="1"/>
  <c r="DE241" i="18"/>
  <c r="DF238" i="18"/>
  <c r="DH82" i="18"/>
  <c r="DF222" i="18"/>
  <c r="DF414" i="18"/>
  <c r="DG411" i="18"/>
  <c r="DC412" i="18"/>
  <c r="DC417" i="18"/>
  <c r="DH5" i="18"/>
  <c r="DG1" i="18"/>
  <c r="DF3" i="18"/>
  <c r="DG2" i="18"/>
  <c r="DE229" i="18"/>
  <c r="DE234" i="18" s="1"/>
  <c r="DE239" i="18" s="1"/>
  <c r="DE366" i="18" s="1"/>
  <c r="DE1" i="15"/>
  <c r="DE8" i="14"/>
  <c r="DH236" i="18"/>
  <c r="DI233" i="18"/>
  <c r="DH16" i="18" l="1"/>
  <c r="DH17" i="18"/>
  <c r="DF17" i="18"/>
  <c r="DF16" i="18"/>
  <c r="DG16" i="18"/>
  <c r="DG17" i="18"/>
  <c r="DE244" i="18"/>
  <c r="DE249" i="18"/>
  <c r="DE253" i="18" s="1"/>
  <c r="DF246" i="18"/>
  <c r="DG243" i="18"/>
  <c r="DF223" i="18"/>
  <c r="DF419" i="18"/>
  <c r="DG416" i="18"/>
  <c r="DG251" i="18"/>
  <c r="DH248" i="18"/>
  <c r="DG231" i="18"/>
  <c r="DH228" i="18"/>
  <c r="DH230" i="18" s="1"/>
  <c r="DG238" i="18"/>
  <c r="DF241" i="18"/>
  <c r="DI82" i="18"/>
  <c r="DG222" i="18"/>
  <c r="DG414" i="18"/>
  <c r="DH411" i="18"/>
  <c r="DF1" i="15"/>
  <c r="DF8" i="14"/>
  <c r="DD417" i="18"/>
  <c r="DD412" i="18"/>
  <c r="DI236" i="18"/>
  <c r="DJ233" i="18"/>
  <c r="DF229" i="18"/>
  <c r="DF234" i="18" s="1"/>
  <c r="DF239" i="18" s="1"/>
  <c r="DF366" i="18" s="1"/>
  <c r="DG3" i="18"/>
  <c r="DH2" i="18"/>
  <c r="DI5" i="18"/>
  <c r="DH1" i="18"/>
  <c r="DI16" i="18" l="1"/>
  <c r="DI17" i="18"/>
  <c r="DF244" i="18"/>
  <c r="DF249" i="18"/>
  <c r="DF253" i="18" s="1"/>
  <c r="DG246" i="18"/>
  <c r="DH243" i="18"/>
  <c r="DH416" i="18"/>
  <c r="DG419" i="18"/>
  <c r="DG223" i="18"/>
  <c r="DH251" i="18"/>
  <c r="DI248" i="18"/>
  <c r="DI251" i="18" s="1"/>
  <c r="DI228" i="18"/>
  <c r="DI230" i="18" s="1"/>
  <c r="DH231" i="18"/>
  <c r="DG241" i="18"/>
  <c r="DH238" i="18"/>
  <c r="DJ82" i="18"/>
  <c r="DH222" i="18"/>
  <c r="DI411" i="18"/>
  <c r="DH414" i="18"/>
  <c r="DG1" i="15"/>
  <c r="DG8" i="14"/>
  <c r="DJ5" i="18"/>
  <c r="DI1" i="18"/>
  <c r="DH3" i="18"/>
  <c r="DI2" i="18"/>
  <c r="DG229" i="18"/>
  <c r="DG234" i="18" s="1"/>
  <c r="DG239" i="18" s="1"/>
  <c r="DG366" i="18" s="1"/>
  <c r="DJ236" i="18"/>
  <c r="DK233" i="18"/>
  <c r="DE417" i="18"/>
  <c r="DE412" i="18"/>
  <c r="DJ17" i="18" l="1"/>
  <c r="DJ16" i="18"/>
  <c r="DG244" i="18"/>
  <c r="DG249" i="18"/>
  <c r="DG253" i="18" s="1"/>
  <c r="DH246" i="18"/>
  <c r="DI243" i="18"/>
  <c r="DH223" i="18"/>
  <c r="DI416" i="18"/>
  <c r="DH419" i="18"/>
  <c r="DJ248" i="18"/>
  <c r="DI231" i="18"/>
  <c r="DJ228" i="18"/>
  <c r="DJ230" i="18" s="1"/>
  <c r="DI238" i="18"/>
  <c r="DH241" i="18"/>
  <c r="DK82" i="18"/>
  <c r="DI222" i="18"/>
  <c r="DI414" i="18"/>
  <c r="DJ411" i="18"/>
  <c r="DF417" i="18"/>
  <c r="DF412" i="18"/>
  <c r="DH229" i="18"/>
  <c r="DH234" i="18" s="1"/>
  <c r="DH239" i="18" s="1"/>
  <c r="DH366" i="18" s="1"/>
  <c r="DI3" i="18"/>
  <c r="DJ2" i="18"/>
  <c r="DK5" i="18"/>
  <c r="DJ1" i="18"/>
  <c r="DH1" i="15"/>
  <c r="DH8" i="14"/>
  <c r="DK236" i="18"/>
  <c r="DL233" i="18"/>
  <c r="DK16" i="18" l="1"/>
  <c r="DK17" i="18"/>
  <c r="DH244" i="18"/>
  <c r="DH249" i="18"/>
  <c r="DH253" i="18" s="1"/>
  <c r="DJ243" i="18"/>
  <c r="DI246" i="18"/>
  <c r="DI223" i="18"/>
  <c r="DI419" i="18"/>
  <c r="DJ416" i="18"/>
  <c r="DJ251" i="18"/>
  <c r="DK248" i="18"/>
  <c r="DJ231" i="18"/>
  <c r="DK228" i="18"/>
  <c r="DK230" i="18" s="1"/>
  <c r="DJ238" i="18"/>
  <c r="DI241" i="18"/>
  <c r="DL82" i="18"/>
  <c r="DJ222" i="18"/>
  <c r="DK411" i="18"/>
  <c r="DJ414" i="18"/>
  <c r="DI1" i="15"/>
  <c r="DI8" i="14"/>
  <c r="DL5" i="18"/>
  <c r="DK1" i="18"/>
  <c r="DJ3" i="18"/>
  <c r="DK2" i="18"/>
  <c r="DI229" i="18"/>
  <c r="DI234" i="18" s="1"/>
  <c r="DI239" i="18" s="1"/>
  <c r="DI366" i="18" s="1"/>
  <c r="DG417" i="18"/>
  <c r="DG412" i="18"/>
  <c r="DL236" i="18"/>
  <c r="DM233" i="18"/>
  <c r="DL16" i="18" l="1"/>
  <c r="DL17" i="18"/>
  <c r="DI244" i="18"/>
  <c r="DI249" i="18"/>
  <c r="DI253" i="18" s="1"/>
  <c r="DJ246" i="18"/>
  <c r="DK243" i="18"/>
  <c r="DK416" i="18"/>
  <c r="DJ419" i="18"/>
  <c r="DJ223" i="18"/>
  <c r="DL248" i="18"/>
  <c r="DK251" i="18"/>
  <c r="DK231" i="18"/>
  <c r="DL228" i="18"/>
  <c r="DL230" i="18" s="1"/>
  <c r="DK238" i="18"/>
  <c r="DK241" i="18" s="1"/>
  <c r="DJ241" i="18"/>
  <c r="DM82" i="18"/>
  <c r="DK222" i="18"/>
  <c r="DK414" i="18"/>
  <c r="DL411" i="18"/>
  <c r="DM236" i="18"/>
  <c r="DN233" i="18"/>
  <c r="DH417" i="18"/>
  <c r="DH412" i="18"/>
  <c r="DJ229" i="18"/>
  <c r="DJ234" i="18" s="1"/>
  <c r="DJ239" i="18" s="1"/>
  <c r="DJ366" i="18" s="1"/>
  <c r="DK3" i="18"/>
  <c r="DL2" i="18"/>
  <c r="DM5" i="18"/>
  <c r="DL1" i="18"/>
  <c r="DJ1" i="15"/>
  <c r="DJ8" i="14"/>
  <c r="DM16" i="18" l="1"/>
  <c r="DM17" i="18"/>
  <c r="DJ244" i="18"/>
  <c r="DJ249" i="18"/>
  <c r="DJ253" i="18" s="1"/>
  <c r="DL243" i="18"/>
  <c r="DK246" i="18"/>
  <c r="DK223" i="18"/>
  <c r="DK419" i="18"/>
  <c r="DL416" i="18"/>
  <c r="DL251" i="18"/>
  <c r="DM248" i="18"/>
  <c r="DM228" i="18"/>
  <c r="DM230" i="18" s="1"/>
  <c r="DL231" i="18"/>
  <c r="DL238" i="18"/>
  <c r="DN82" i="18"/>
  <c r="DL222" i="18"/>
  <c r="DL414" i="18"/>
  <c r="DM411" i="18"/>
  <c r="DI412" i="18"/>
  <c r="DI417" i="18"/>
  <c r="DK1" i="15"/>
  <c r="DK8" i="14"/>
  <c r="DN5" i="18"/>
  <c r="DM1" i="18"/>
  <c r="DL3" i="18"/>
  <c r="DM2" i="18"/>
  <c r="DK229" i="18"/>
  <c r="DK234" i="18" s="1"/>
  <c r="DK239" i="18" s="1"/>
  <c r="DK366" i="18" s="1"/>
  <c r="DN236" i="18"/>
  <c r="DO233" i="18"/>
  <c r="DN17" i="18" l="1"/>
  <c r="DN16" i="18"/>
  <c r="DK244" i="18"/>
  <c r="DK249" i="18"/>
  <c r="DK253" i="18" s="1"/>
  <c r="DM243" i="18"/>
  <c r="DL246" i="18"/>
  <c r="DL223" i="18"/>
  <c r="DM416" i="18"/>
  <c r="DL419" i="18"/>
  <c r="DM251" i="18"/>
  <c r="DN248" i="18"/>
  <c r="DM231" i="18"/>
  <c r="DN228" i="18"/>
  <c r="DN230" i="18" s="1"/>
  <c r="DL241" i="18"/>
  <c r="DM238" i="18"/>
  <c r="DO82" i="18"/>
  <c r="DM222" i="18"/>
  <c r="DN411" i="18"/>
  <c r="DM414" i="18"/>
  <c r="DJ417" i="18"/>
  <c r="DJ412" i="18"/>
  <c r="DL1" i="15"/>
  <c r="DL8" i="14"/>
  <c r="DO236" i="18"/>
  <c r="DP233" i="18"/>
  <c r="DL229" i="18"/>
  <c r="DL234" i="18" s="1"/>
  <c r="DL239" i="18" s="1"/>
  <c r="DL366" i="18" s="1"/>
  <c r="DM3" i="18"/>
  <c r="DN2" i="18"/>
  <c r="DO5" i="18"/>
  <c r="DN1" i="18"/>
  <c r="DO16" i="18" l="1"/>
  <c r="DO17" i="18"/>
  <c r="DL244" i="18"/>
  <c r="DL249" i="18"/>
  <c r="DL253" i="18" s="1"/>
  <c r="DN243" i="18"/>
  <c r="DM246" i="18"/>
  <c r="DM223" i="18"/>
  <c r="DM419" i="18"/>
  <c r="DN416" i="18"/>
  <c r="DN251" i="18"/>
  <c r="DO248" i="18"/>
  <c r="DN231" i="18"/>
  <c r="DO228" i="18"/>
  <c r="DO230" i="18" s="1"/>
  <c r="DM241" i="18"/>
  <c r="DN238" i="18"/>
  <c r="DP82" i="18"/>
  <c r="DN222" i="18"/>
  <c r="DN414" i="18"/>
  <c r="DO411" i="18"/>
  <c r="DP5" i="18"/>
  <c r="DO1" i="18"/>
  <c r="DN3" i="18"/>
  <c r="DO2" i="18"/>
  <c r="DM229" i="18"/>
  <c r="DM234" i="18" s="1"/>
  <c r="DM239" i="18" s="1"/>
  <c r="DM366" i="18" s="1"/>
  <c r="DP236" i="18"/>
  <c r="DQ233" i="18"/>
  <c r="DK417" i="18"/>
  <c r="DK412" i="18"/>
  <c r="DM1" i="15"/>
  <c r="DM8" i="14"/>
  <c r="DP17" i="18" l="1"/>
  <c r="DP16" i="18"/>
  <c r="DM244" i="18"/>
  <c r="DM249" i="18"/>
  <c r="DM253" i="18" s="1"/>
  <c r="DN246" i="18"/>
  <c r="DO243" i="18"/>
  <c r="DN223" i="18"/>
  <c r="DO416" i="18"/>
  <c r="DN419" i="18"/>
  <c r="DP248" i="18"/>
  <c r="DO251" i="18"/>
  <c r="DO231" i="18"/>
  <c r="DP228" i="18"/>
  <c r="DP230" i="18" s="1"/>
  <c r="DN241" i="18"/>
  <c r="DO238" i="18"/>
  <c r="DQ82" i="18"/>
  <c r="DO222" i="18"/>
  <c r="DO414" i="18"/>
  <c r="DP411" i="18"/>
  <c r="DQ236" i="18"/>
  <c r="DR233" i="18"/>
  <c r="DL417" i="18"/>
  <c r="DL412" i="18"/>
  <c r="DN1" i="15"/>
  <c r="DN8" i="14"/>
  <c r="DN229" i="18"/>
  <c r="DN234" i="18" s="1"/>
  <c r="DN239" i="18" s="1"/>
  <c r="DN366" i="18" s="1"/>
  <c r="DO3" i="18"/>
  <c r="DP2" i="18"/>
  <c r="DQ5" i="18"/>
  <c r="DP1" i="18"/>
  <c r="DQ16" i="18" l="1"/>
  <c r="DQ17" i="18"/>
  <c r="DN244" i="18"/>
  <c r="DN249" i="18"/>
  <c r="DN253" i="18" s="1"/>
  <c r="DP243" i="18"/>
  <c r="DO246" i="18"/>
  <c r="DO223" i="18"/>
  <c r="DP416" i="18"/>
  <c r="DO419" i="18"/>
  <c r="DP251" i="18"/>
  <c r="DQ248" i="18"/>
  <c r="DP231" i="18"/>
  <c r="DQ228" i="18"/>
  <c r="DQ230" i="18" s="1"/>
  <c r="DP238" i="18"/>
  <c r="DO241" i="18"/>
  <c r="DR82" i="18"/>
  <c r="DP222" i="18"/>
  <c r="DQ411" i="18"/>
  <c r="DP414" i="18"/>
  <c r="DR5" i="18"/>
  <c r="DQ1" i="18"/>
  <c r="DP3" i="18"/>
  <c r="DQ2" i="18"/>
  <c r="DO229" i="18"/>
  <c r="DO234" i="18" s="1"/>
  <c r="DO239" i="18" s="1"/>
  <c r="DO366" i="18" s="1"/>
  <c r="DO1" i="15"/>
  <c r="DO8" i="14"/>
  <c r="DM417" i="18"/>
  <c r="DM412" i="18"/>
  <c r="DR236" i="18"/>
  <c r="DS233" i="18"/>
  <c r="DR17" i="18" l="1"/>
  <c r="DR16" i="18"/>
  <c r="DO244" i="18"/>
  <c r="DO249" i="18"/>
  <c r="DO253" i="18" s="1"/>
  <c r="DP246" i="18"/>
  <c r="DQ243" i="18"/>
  <c r="DP223" i="18"/>
  <c r="DP419" i="18"/>
  <c r="DQ416" i="18"/>
  <c r="DQ251" i="18"/>
  <c r="DR248" i="18"/>
  <c r="DQ231" i="18"/>
  <c r="DR228" i="18"/>
  <c r="DR230" i="18" s="1"/>
  <c r="DQ238" i="18"/>
  <c r="DQ241" i="18" s="1"/>
  <c r="DP241" i="18"/>
  <c r="DS82" i="18"/>
  <c r="DQ222" i="18"/>
  <c r="DR411" i="18"/>
  <c r="DQ414" i="18"/>
  <c r="DP1" i="15"/>
  <c r="DP8" i="14"/>
  <c r="DN417" i="18"/>
  <c r="DN412" i="18"/>
  <c r="DP229" i="18"/>
  <c r="DP234" i="18" s="1"/>
  <c r="DP239" i="18" s="1"/>
  <c r="DP366" i="18" s="1"/>
  <c r="DQ3" i="18"/>
  <c r="DR2" i="18"/>
  <c r="DS5" i="18"/>
  <c r="DR1" i="18"/>
  <c r="DS236" i="18"/>
  <c r="DT233" i="18"/>
  <c r="DS16" i="18" l="1"/>
  <c r="DS17" i="18"/>
  <c r="DP244" i="18"/>
  <c r="DP249" i="18"/>
  <c r="DP253" i="18" s="1"/>
  <c r="DQ246" i="18"/>
  <c r="DR243" i="18"/>
  <c r="DQ223" i="18"/>
  <c r="DR416" i="18"/>
  <c r="DQ419" i="18"/>
  <c r="DR251" i="18"/>
  <c r="DS248" i="18"/>
  <c r="DR231" i="18"/>
  <c r="DS228" i="18"/>
  <c r="DS230" i="18" s="1"/>
  <c r="DR238" i="18"/>
  <c r="DT82" i="18"/>
  <c r="DR222" i="18"/>
  <c r="DR414" i="18"/>
  <c r="DS411" i="18"/>
  <c r="DO412" i="18"/>
  <c r="DO417" i="18"/>
  <c r="DT236" i="18"/>
  <c r="DU233" i="18"/>
  <c r="DT5" i="18"/>
  <c r="DS1" i="18"/>
  <c r="DR3" i="18"/>
  <c r="DS2" i="18"/>
  <c r="DQ229" i="18"/>
  <c r="DQ234" i="18" s="1"/>
  <c r="DQ239" i="18" s="1"/>
  <c r="DQ366" i="18" s="1"/>
  <c r="DQ1" i="15"/>
  <c r="DQ8" i="14"/>
  <c r="DT16" i="18" l="1"/>
  <c r="DT17" i="18"/>
  <c r="DQ244" i="18"/>
  <c r="DQ249" i="18"/>
  <c r="DQ253" i="18" s="1"/>
  <c r="DS243" i="18"/>
  <c r="DR246" i="18"/>
  <c r="DR223" i="18"/>
  <c r="DR419" i="18"/>
  <c r="DS416" i="18"/>
  <c r="DS251" i="18"/>
  <c r="DT248" i="18"/>
  <c r="DS231" i="18"/>
  <c r="DT228" i="18"/>
  <c r="DT230" i="18" s="1"/>
  <c r="DR241" i="18"/>
  <c r="DS238" i="18"/>
  <c r="DS241" i="18" s="1"/>
  <c r="DU82" i="18"/>
  <c r="DS222" i="18"/>
  <c r="DS414" i="18"/>
  <c r="DT411" i="18"/>
  <c r="DT222" i="18" s="1"/>
  <c r="DP417" i="18"/>
  <c r="DP412" i="18"/>
  <c r="DR1" i="15"/>
  <c r="DR8" i="14"/>
  <c r="DR229" i="18"/>
  <c r="DR234" i="18" s="1"/>
  <c r="DR239" i="18" s="1"/>
  <c r="DR366" i="18" s="1"/>
  <c r="DS3" i="18"/>
  <c r="DT2" i="18"/>
  <c r="DU5" i="18"/>
  <c r="DT1" i="18"/>
  <c r="DU236" i="18"/>
  <c r="DV233" i="18"/>
  <c r="DU16" i="18" l="1"/>
  <c r="DU17" i="18"/>
  <c r="DR244" i="18"/>
  <c r="DR249" i="18"/>
  <c r="DR253" i="18" s="1"/>
  <c r="DS246" i="18"/>
  <c r="DT243" i="18"/>
  <c r="DS223" i="18"/>
  <c r="DS419" i="18"/>
  <c r="DT416" i="18"/>
  <c r="DT251" i="18"/>
  <c r="DU248" i="18"/>
  <c r="DT231" i="18"/>
  <c r="DU228" i="18"/>
  <c r="DU230" i="18" s="1"/>
  <c r="DT238" i="18"/>
  <c r="DV82" i="18"/>
  <c r="DU411" i="18"/>
  <c r="DU222" i="18" s="1"/>
  <c r="DT414" i="18"/>
  <c r="DV5" i="18"/>
  <c r="DU1" i="18"/>
  <c r="DT3" i="18"/>
  <c r="DU2" i="18"/>
  <c r="DS229" i="18"/>
  <c r="DS234" i="18" s="1"/>
  <c r="DS239" i="18" s="1"/>
  <c r="DS366" i="18" s="1"/>
  <c r="DQ417" i="18"/>
  <c r="DQ412" i="18"/>
  <c r="DV236" i="18"/>
  <c r="DW233" i="18"/>
  <c r="DS1" i="15"/>
  <c r="DS8" i="14"/>
  <c r="DV17" i="18" l="1"/>
  <c r="DV16" i="18"/>
  <c r="DS244" i="18"/>
  <c r="DS249" i="18"/>
  <c r="DS253" i="18" s="1"/>
  <c r="DU243" i="18"/>
  <c r="DT246" i="18"/>
  <c r="DT223" i="18"/>
  <c r="DU416" i="18"/>
  <c r="DT419" i="18"/>
  <c r="DU251" i="18"/>
  <c r="DV248" i="18"/>
  <c r="DV251" i="18" s="1"/>
  <c r="DU231" i="18"/>
  <c r="DV228" i="18"/>
  <c r="DV230" i="18" s="1"/>
  <c r="DT241" i="18"/>
  <c r="DU238" i="18"/>
  <c r="DW82" i="18"/>
  <c r="DV411" i="18"/>
  <c r="DV222" i="18" s="1"/>
  <c r="DU414" i="18"/>
  <c r="DT1" i="15"/>
  <c r="DT8" i="14"/>
  <c r="DT229" i="18"/>
  <c r="DT234" i="18" s="1"/>
  <c r="DT239" i="18" s="1"/>
  <c r="DT366" i="18" s="1"/>
  <c r="DU3" i="18"/>
  <c r="DV2" i="18"/>
  <c r="DW5" i="18"/>
  <c r="DV1" i="18"/>
  <c r="DW236" i="18"/>
  <c r="DX233" i="18"/>
  <c r="DR417" i="18"/>
  <c r="DR412" i="18"/>
  <c r="DW16" i="18" l="1"/>
  <c r="DW17" i="18"/>
  <c r="DT244" i="18"/>
  <c r="DT249" i="18"/>
  <c r="DT253" i="18" s="1"/>
  <c r="DU246" i="18"/>
  <c r="DV243" i="18"/>
  <c r="DU419" i="18"/>
  <c r="DV416" i="18"/>
  <c r="DU223" i="18"/>
  <c r="DW248" i="18"/>
  <c r="DW228" i="18"/>
  <c r="DW230" i="18" s="1"/>
  <c r="DV231" i="18"/>
  <c r="DU241" i="18"/>
  <c r="DV238" i="18"/>
  <c r="DX82" i="18"/>
  <c r="DV414" i="18"/>
  <c r="DW411" i="18"/>
  <c r="DS412" i="18"/>
  <c r="DS417" i="18"/>
  <c r="DX236" i="18"/>
  <c r="DY233" i="18"/>
  <c r="DU1" i="15"/>
  <c r="DU8" i="14"/>
  <c r="DX5" i="18"/>
  <c r="DW1" i="18"/>
  <c r="DV3" i="18"/>
  <c r="DW2" i="18"/>
  <c r="DU229" i="18"/>
  <c r="DU234" i="18" s="1"/>
  <c r="DU239" i="18" s="1"/>
  <c r="DU366" i="18" s="1"/>
  <c r="DX16" i="18" l="1"/>
  <c r="DX17" i="18"/>
  <c r="DU244" i="18"/>
  <c r="DU249" i="18"/>
  <c r="DU253" i="18" s="1"/>
  <c r="DW243" i="18"/>
  <c r="DV246" i="18"/>
  <c r="DV419" i="18"/>
  <c r="DW416" i="18"/>
  <c r="DV223" i="18"/>
  <c r="DW251" i="18"/>
  <c r="DX248" i="18"/>
  <c r="DW231" i="18"/>
  <c r="DX228" i="18"/>
  <c r="DX230" i="18" s="1"/>
  <c r="DW238" i="18"/>
  <c r="DV241" i="18"/>
  <c r="DY82" i="18"/>
  <c r="DW222" i="18"/>
  <c r="DX411" i="18"/>
  <c r="DW414" i="18"/>
  <c r="DT412" i="18"/>
  <c r="DT417" i="18"/>
  <c r="DV229" i="18"/>
  <c r="DV234" i="18" s="1"/>
  <c r="DV239" i="18" s="1"/>
  <c r="DV366" i="18" s="1"/>
  <c r="DW3" i="18"/>
  <c r="DX2" i="18"/>
  <c r="DY5" i="18"/>
  <c r="DX1" i="18"/>
  <c r="DV1" i="15"/>
  <c r="DV8" i="14"/>
  <c r="DY236" i="18"/>
  <c r="DZ233" i="18"/>
  <c r="DY16" i="18" l="1"/>
  <c r="DY17" i="18"/>
  <c r="DV244" i="18"/>
  <c r="DV249" i="18"/>
  <c r="DV253" i="18" s="1"/>
  <c r="DX243" i="18"/>
  <c r="DW246" i="18"/>
  <c r="DW223" i="18"/>
  <c r="DW419" i="18"/>
  <c r="DX416" i="18"/>
  <c r="DY248" i="18"/>
  <c r="DX251" i="18"/>
  <c r="DX231" i="18"/>
  <c r="DY228" i="18"/>
  <c r="DY230" i="18" s="1"/>
  <c r="DW241" i="18"/>
  <c r="DX238" i="18"/>
  <c r="DZ82" i="18"/>
  <c r="DX222" i="18"/>
  <c r="DX414" i="18"/>
  <c r="DY411" i="18"/>
  <c r="DY222" i="18" s="1"/>
  <c r="DZ5" i="18"/>
  <c r="DY1" i="18"/>
  <c r="DX3" i="18"/>
  <c r="DY2" i="18"/>
  <c r="DW229" i="18"/>
  <c r="DW234" i="18" s="1"/>
  <c r="DW239" i="18" s="1"/>
  <c r="DW366" i="18" s="1"/>
  <c r="DZ236" i="18"/>
  <c r="EA233" i="18"/>
  <c r="DW1" i="15"/>
  <c r="DW8" i="14"/>
  <c r="DU417" i="18"/>
  <c r="DU412" i="18"/>
  <c r="DZ17" i="18" l="1"/>
  <c r="DZ16" i="18"/>
  <c r="DW244" i="18"/>
  <c r="DW249" i="18"/>
  <c r="DW253" i="18" s="1"/>
  <c r="DY243" i="18"/>
  <c r="DX246" i="18"/>
  <c r="DX223" i="18"/>
  <c r="DY416" i="18"/>
  <c r="DX419" i="18"/>
  <c r="DY251" i="18"/>
  <c r="DZ248" i="18"/>
  <c r="DZ228" i="18"/>
  <c r="DZ230" i="18" s="1"/>
  <c r="DY231" i="18"/>
  <c r="DX241" i="18"/>
  <c r="DY238" i="18"/>
  <c r="EA82" i="18"/>
  <c r="DZ411" i="18"/>
  <c r="DY414" i="18"/>
  <c r="DX1" i="15"/>
  <c r="DX8" i="14"/>
  <c r="DV412" i="18"/>
  <c r="DV417" i="18"/>
  <c r="DX229" i="18"/>
  <c r="DX234" i="18" s="1"/>
  <c r="DX239" i="18" s="1"/>
  <c r="DX366" i="18" s="1"/>
  <c r="DY3" i="18"/>
  <c r="DZ2" i="18"/>
  <c r="EA5" i="18"/>
  <c r="DZ1" i="18"/>
  <c r="EA236" i="18"/>
  <c r="EB233" i="18"/>
  <c r="EA16" i="18" l="1"/>
  <c r="EA17" i="18"/>
  <c r="DX244" i="18"/>
  <c r="DX249" i="18"/>
  <c r="DX253" i="18" s="1"/>
  <c r="DY246" i="18"/>
  <c r="DZ243" i="18"/>
  <c r="DY223" i="18"/>
  <c r="DY419" i="18"/>
  <c r="DZ416" i="18"/>
  <c r="DZ251" i="18"/>
  <c r="EA248" i="18"/>
  <c r="DZ231" i="18"/>
  <c r="EA228" i="18"/>
  <c r="EA230" i="18" s="1"/>
  <c r="DZ238" i="18"/>
  <c r="DY241" i="18"/>
  <c r="EB82" i="18"/>
  <c r="DZ222" i="18"/>
  <c r="DZ414" i="18"/>
  <c r="EA411" i="18"/>
  <c r="DW417" i="18"/>
  <c r="DW412" i="18"/>
  <c r="DY1" i="15"/>
  <c r="DY8" i="14"/>
  <c r="EB236" i="18"/>
  <c r="EC233" i="18"/>
  <c r="EB5" i="18"/>
  <c r="EA1" i="18"/>
  <c r="DZ3" i="18"/>
  <c r="EA2" i="18"/>
  <c r="DY229" i="18"/>
  <c r="DY234" i="18" s="1"/>
  <c r="DY239" i="18" s="1"/>
  <c r="DY366" i="18" s="1"/>
  <c r="EB16" i="18" l="1"/>
  <c r="EB17" i="18"/>
  <c r="DY244" i="18"/>
  <c r="DY249" i="18"/>
  <c r="DY253" i="18" s="1"/>
  <c r="EA243" i="18"/>
  <c r="DZ246" i="18"/>
  <c r="DZ223" i="18"/>
  <c r="DZ419" i="18"/>
  <c r="EA416" i="18"/>
  <c r="EA251" i="18"/>
  <c r="EB248" i="18"/>
  <c r="EB228" i="18"/>
  <c r="EB230" i="18" s="1"/>
  <c r="EA231" i="18"/>
  <c r="EA238" i="18"/>
  <c r="DZ241" i="18"/>
  <c r="EC82" i="18"/>
  <c r="EA222" i="18"/>
  <c r="EB411" i="18"/>
  <c r="EA414" i="18"/>
  <c r="EC236" i="18"/>
  <c r="ED233" i="18"/>
  <c r="DX412" i="18"/>
  <c r="DX417" i="18"/>
  <c r="DZ229" i="18"/>
  <c r="DZ234" i="18" s="1"/>
  <c r="DZ239" i="18" s="1"/>
  <c r="DZ366" i="18" s="1"/>
  <c r="EA3" i="18"/>
  <c r="EB2" i="18"/>
  <c r="EC5" i="18"/>
  <c r="EB1" i="18"/>
  <c r="DZ1" i="15"/>
  <c r="DZ8" i="14"/>
  <c r="EC16" i="18" l="1"/>
  <c r="EC17" i="18"/>
  <c r="DZ244" i="18"/>
  <c r="DZ249" i="18"/>
  <c r="DZ253" i="18" s="1"/>
  <c r="EA246" i="18"/>
  <c r="EB243" i="18"/>
  <c r="EA223" i="18"/>
  <c r="EB416" i="18"/>
  <c r="EA419" i="18"/>
  <c r="EB251" i="18"/>
  <c r="EC248" i="18"/>
  <c r="EB231" i="18"/>
  <c r="EC228" i="18"/>
  <c r="EC230" i="18" s="1"/>
  <c r="EB238" i="18"/>
  <c r="EA241" i="18"/>
  <c r="ED82" i="18"/>
  <c r="EB222" i="18"/>
  <c r="EB414" i="18"/>
  <c r="EC411" i="18"/>
  <c r="ED5" i="18"/>
  <c r="EC1" i="18"/>
  <c r="EB3" i="18"/>
  <c r="EC2" i="18"/>
  <c r="EA229" i="18"/>
  <c r="EA234" i="18" s="1"/>
  <c r="EA239" i="18" s="1"/>
  <c r="EA366" i="18" s="1"/>
  <c r="DY417" i="18"/>
  <c r="DY412" i="18"/>
  <c r="EA1" i="15"/>
  <c r="EA8" i="14"/>
  <c r="ED236" i="18"/>
  <c r="EE233" i="18"/>
  <c r="ED17" i="18" l="1"/>
  <c r="ED16" i="18"/>
  <c r="EA244" i="18"/>
  <c r="EA249" i="18"/>
  <c r="EA253" i="18" s="1"/>
  <c r="EB246" i="18"/>
  <c r="EC243" i="18"/>
  <c r="EB223" i="18"/>
  <c r="EB419" i="18"/>
  <c r="EC416" i="18"/>
  <c r="EC251" i="18"/>
  <c r="ED248" i="18"/>
  <c r="ED251" i="18" s="1"/>
  <c r="EC231" i="18"/>
  <c r="ED228" i="18"/>
  <c r="ED230" i="18" s="1"/>
  <c r="EC238" i="18"/>
  <c r="EB241" i="18"/>
  <c r="EE82" i="18"/>
  <c r="EC222" i="18"/>
  <c r="ED411" i="18"/>
  <c r="EC414" i="18"/>
  <c r="EE236" i="18"/>
  <c r="EF233" i="18"/>
  <c r="EB1" i="15"/>
  <c r="EB8" i="14"/>
  <c r="DZ417" i="18"/>
  <c r="DZ412" i="18"/>
  <c r="EB229" i="18"/>
  <c r="EB234" i="18" s="1"/>
  <c r="EB239" i="18" s="1"/>
  <c r="EB366" i="18" s="1"/>
  <c r="EC3" i="18"/>
  <c r="ED2" i="18"/>
  <c r="EE5" i="18"/>
  <c r="ED1" i="18"/>
  <c r="EE16" i="18" l="1"/>
  <c r="EE17" i="18"/>
  <c r="EB244" i="18"/>
  <c r="EB249" i="18"/>
  <c r="EB253" i="18" s="1"/>
  <c r="ED243" i="18"/>
  <c r="EC246" i="18"/>
  <c r="EC223" i="18"/>
  <c r="EC419" i="18"/>
  <c r="ED416" i="18"/>
  <c r="EE248" i="18"/>
  <c r="EE251" i="18" s="1"/>
  <c r="EE228" i="18"/>
  <c r="EE230" i="18" s="1"/>
  <c r="ED231" i="18"/>
  <c r="EC241" i="18"/>
  <c r="ED238" i="18"/>
  <c r="EF82" i="18"/>
  <c r="ED222" i="18"/>
  <c r="EE411" i="18"/>
  <c r="ED414" i="18"/>
  <c r="EF5" i="18"/>
  <c r="EE1" i="18"/>
  <c r="ED3" i="18"/>
  <c r="EE2" i="18"/>
  <c r="EC229" i="18"/>
  <c r="EC234" i="18" s="1"/>
  <c r="EC239" i="18" s="1"/>
  <c r="EC366" i="18" s="1"/>
  <c r="EA417" i="18"/>
  <c r="EA412" i="18"/>
  <c r="EC1" i="15"/>
  <c r="EC8" i="14"/>
  <c r="EF236" i="18"/>
  <c r="EG233" i="18"/>
  <c r="EF16" i="18" l="1"/>
  <c r="EF17" i="18"/>
  <c r="EC244" i="18"/>
  <c r="EC249" i="18"/>
  <c r="EC253" i="18" s="1"/>
  <c r="ED246" i="18"/>
  <c r="EE243" i="18"/>
  <c r="ED223" i="18"/>
  <c r="ED419" i="18"/>
  <c r="EE416" i="18"/>
  <c r="EF248" i="18"/>
  <c r="EF251" i="18" s="1"/>
  <c r="EE231" i="18"/>
  <c r="EF228" i="18"/>
  <c r="EF230" i="18" s="1"/>
  <c r="ED241" i="18"/>
  <c r="EE238" i="18"/>
  <c r="EG82" i="18"/>
  <c r="EE222" i="18"/>
  <c r="EF411" i="18"/>
  <c r="EF222" i="18" s="1"/>
  <c r="EE414" i="18"/>
  <c r="ED229" i="18"/>
  <c r="ED234" i="18" s="1"/>
  <c r="ED239" i="18" s="1"/>
  <c r="ED366" i="18" s="1"/>
  <c r="EE3" i="18"/>
  <c r="EF2" i="18"/>
  <c r="EG5" i="18"/>
  <c r="EF1" i="18"/>
  <c r="ED1" i="15"/>
  <c r="ED8" i="14"/>
  <c r="EG236" i="18"/>
  <c r="EH233" i="18"/>
  <c r="EB417" i="18"/>
  <c r="EB412" i="18"/>
  <c r="EG16" i="18" l="1"/>
  <c r="EG17" i="18"/>
  <c r="ED244" i="18"/>
  <c r="ED249" i="18"/>
  <c r="ED253" i="18" s="1"/>
  <c r="EF243" i="18"/>
  <c r="EE246" i="18"/>
  <c r="EE223" i="18"/>
  <c r="EE419" i="18"/>
  <c r="EF416" i="18"/>
  <c r="EG248" i="18"/>
  <c r="EG228" i="18"/>
  <c r="EG230" i="18" s="1"/>
  <c r="EF231" i="18"/>
  <c r="EE241" i="18"/>
  <c r="EF238" i="18"/>
  <c r="EH82" i="18"/>
  <c r="EG411" i="18"/>
  <c r="EF414" i="18"/>
  <c r="EC417" i="18"/>
  <c r="EC412" i="18"/>
  <c r="EE1" i="15"/>
  <c r="EE8" i="14"/>
  <c r="EH5" i="18"/>
  <c r="EG1" i="18"/>
  <c r="EF3" i="18"/>
  <c r="EG2" i="18"/>
  <c r="EE229" i="18"/>
  <c r="EE234" i="18" s="1"/>
  <c r="EE239" i="18" s="1"/>
  <c r="EE366" i="18" s="1"/>
  <c r="EH236" i="18"/>
  <c r="EI233" i="18"/>
  <c r="EH17" i="18" l="1"/>
  <c r="EH16" i="18"/>
  <c r="EE244" i="18"/>
  <c r="EE249" i="18"/>
  <c r="EE253" i="18" s="1"/>
  <c r="EF246" i="18"/>
  <c r="EG243" i="18"/>
  <c r="EF223" i="18"/>
  <c r="EF419" i="18"/>
  <c r="EG416" i="18"/>
  <c r="EH248" i="18"/>
  <c r="EG251" i="18"/>
  <c r="EG231" i="18"/>
  <c r="EH228" i="18"/>
  <c r="EH230" i="18" s="1"/>
  <c r="EG238" i="18"/>
  <c r="EF241" i="18"/>
  <c r="F83" i="18"/>
  <c r="E83" i="18" s="1"/>
  <c r="EI82" i="18"/>
  <c r="EG222" i="18"/>
  <c r="EH411" i="18"/>
  <c r="EG414" i="18"/>
  <c r="EC237" i="18"/>
  <c r="EG237" i="18"/>
  <c r="EE237" i="18"/>
  <c r="EF229" i="18"/>
  <c r="EF234" i="18" s="1"/>
  <c r="EF239" i="18" s="1"/>
  <c r="EF366" i="18" s="1"/>
  <c r="EG3" i="18"/>
  <c r="EH2" i="18"/>
  <c r="EI5" i="18"/>
  <c r="EH1" i="18"/>
  <c r="EI237" i="18"/>
  <c r="EI236" i="18"/>
  <c r="F233" i="18"/>
  <c r="G237" i="18"/>
  <c r="H226" i="18"/>
  <c r="I226" i="18"/>
  <c r="L226" i="18"/>
  <c r="K226" i="18"/>
  <c r="J226" i="18"/>
  <c r="Q237" i="18"/>
  <c r="P237" i="18"/>
  <c r="M226" i="18"/>
  <c r="S237" i="18"/>
  <c r="R237" i="18"/>
  <c r="T237" i="18"/>
  <c r="V237" i="18"/>
  <c r="U237" i="18"/>
  <c r="X237" i="18"/>
  <c r="W237" i="18"/>
  <c r="Z237" i="18"/>
  <c r="Y237" i="18"/>
  <c r="AA237" i="18"/>
  <c r="AB237" i="18"/>
  <c r="AC237" i="18"/>
  <c r="AE237" i="18"/>
  <c r="AD237" i="18"/>
  <c r="AF237" i="18"/>
  <c r="AG237" i="18"/>
  <c r="AJ237" i="18"/>
  <c r="AH237" i="18"/>
  <c r="AL237" i="18"/>
  <c r="AI237" i="18"/>
  <c r="AK237" i="18"/>
  <c r="AM237" i="18"/>
  <c r="AQ237" i="18"/>
  <c r="AN237" i="18"/>
  <c r="AO237" i="18"/>
  <c r="AP237" i="18"/>
  <c r="AS237" i="18"/>
  <c r="AT237" i="18"/>
  <c r="AR237" i="18"/>
  <c r="AU237" i="18"/>
  <c r="AW237" i="18"/>
  <c r="AV237" i="18"/>
  <c r="AY237" i="18"/>
  <c r="AX237" i="18"/>
  <c r="AZ237" i="18"/>
  <c r="BA237" i="18"/>
  <c r="BB237" i="18"/>
  <c r="BD237" i="18"/>
  <c r="BF237" i="18"/>
  <c r="BC237" i="18"/>
  <c r="BE237" i="18"/>
  <c r="BG237" i="18"/>
  <c r="BH237" i="18"/>
  <c r="BJ237" i="18"/>
  <c r="BI237" i="18"/>
  <c r="BK237" i="18"/>
  <c r="BL237" i="18"/>
  <c r="BM237" i="18"/>
  <c r="BQ237" i="18"/>
  <c r="BN237" i="18"/>
  <c r="BP237" i="18"/>
  <c r="BO237" i="18"/>
  <c r="BR237" i="18"/>
  <c r="BT237" i="18"/>
  <c r="BS237" i="18"/>
  <c r="BU237" i="18"/>
  <c r="BV237" i="18"/>
  <c r="BW237" i="18"/>
  <c r="BY237" i="18"/>
  <c r="BZ237" i="18"/>
  <c r="BX237" i="18"/>
  <c r="CB237" i="18"/>
  <c r="CA237" i="18"/>
  <c r="CD237" i="18"/>
  <c r="CE237" i="18"/>
  <c r="CC237" i="18"/>
  <c r="CF237" i="18"/>
  <c r="CG237" i="18"/>
  <c r="CH237" i="18"/>
  <c r="CI237" i="18"/>
  <c r="CJ237" i="18"/>
  <c r="CK237" i="18"/>
  <c r="CL237" i="18"/>
  <c r="CO237" i="18"/>
  <c r="CM237" i="18"/>
  <c r="CN237" i="18"/>
  <c r="CP237" i="18"/>
  <c r="CQ237" i="18"/>
  <c r="CR237" i="18"/>
  <c r="CT237" i="18"/>
  <c r="CS237" i="18"/>
  <c r="CU237" i="18"/>
  <c r="CV237" i="18"/>
  <c r="CW237" i="18"/>
  <c r="CX237" i="18"/>
  <c r="CY237" i="18"/>
  <c r="DA237" i="18"/>
  <c r="CZ237" i="18"/>
  <c r="DB237" i="18"/>
  <c r="DD237" i="18"/>
  <c r="DF237" i="18"/>
  <c r="DC237" i="18"/>
  <c r="DG237" i="18"/>
  <c r="DE237" i="18"/>
  <c r="DJ237" i="18"/>
  <c r="DH237" i="18"/>
  <c r="DI237" i="18"/>
  <c r="DL237" i="18"/>
  <c r="DK237" i="18"/>
  <c r="DN237" i="18"/>
  <c r="DP237" i="18"/>
  <c r="DM237" i="18"/>
  <c r="DO237" i="18"/>
  <c r="DQ237" i="18"/>
  <c r="DS237" i="18"/>
  <c r="DR237" i="18"/>
  <c r="DW237" i="18"/>
  <c r="DT237" i="18"/>
  <c r="DU237" i="18"/>
  <c r="DX237" i="18"/>
  <c r="DV237" i="18"/>
  <c r="DY237" i="18"/>
  <c r="ED237" i="18"/>
  <c r="EB237" i="18"/>
  <c r="DZ237" i="18"/>
  <c r="EA237" i="18"/>
  <c r="EH237" i="18"/>
  <c r="ED412" i="18"/>
  <c r="ED417" i="18"/>
  <c r="EF1" i="15"/>
  <c r="EF8" i="14"/>
  <c r="EF237" i="18"/>
  <c r="EI16" i="18" l="1"/>
  <c r="EI17" i="18"/>
  <c r="E17" i="18" s="1"/>
  <c r="F82" i="18"/>
  <c r="E82" i="18" s="1"/>
  <c r="EF244" i="18"/>
  <c r="EF249" i="18"/>
  <c r="EF253" i="18" s="1"/>
  <c r="EG246" i="18"/>
  <c r="EH243" i="18"/>
  <c r="EG419" i="18"/>
  <c r="EG223" i="18"/>
  <c r="EH416" i="18"/>
  <c r="EI248" i="18"/>
  <c r="EH251" i="18"/>
  <c r="EI228" i="18"/>
  <c r="EH231" i="18"/>
  <c r="EH238" i="18"/>
  <c r="EG241" i="18"/>
  <c r="EH222" i="18"/>
  <c r="EH414" i="18"/>
  <c r="EI411" i="18"/>
  <c r="EI222" i="18" s="1"/>
  <c r="EG1" i="15"/>
  <c r="EG8" i="14"/>
  <c r="EJ5" i="18"/>
  <c r="EI1" i="18"/>
  <c r="EH3" i="18"/>
  <c r="EI2" i="18"/>
  <c r="EG229" i="18"/>
  <c r="EG234" i="18" s="1"/>
  <c r="EG239" i="18" s="1"/>
  <c r="EG366" i="18" s="1"/>
  <c r="EE412" i="18"/>
  <c r="EE417" i="18"/>
  <c r="EI230" i="18" l="1"/>
  <c r="F230" i="18" s="1"/>
  <c r="EG244" i="18"/>
  <c r="EG249" i="18"/>
  <c r="EG253" i="18" s="1"/>
  <c r="EI243" i="18"/>
  <c r="EH246" i="18"/>
  <c r="EH223" i="18"/>
  <c r="EI416" i="18"/>
  <c r="EH419" i="18"/>
  <c r="EG252" i="18"/>
  <c r="AC252" i="18"/>
  <c r="AQ252" i="18"/>
  <c r="BG252" i="18"/>
  <c r="BV252" i="18"/>
  <c r="CM252" i="18"/>
  <c r="DC252" i="18"/>
  <c r="DU252" i="18"/>
  <c r="EE252" i="18"/>
  <c r="AB252" i="18"/>
  <c r="AR252" i="18"/>
  <c r="BH252" i="18"/>
  <c r="BZ252" i="18"/>
  <c r="CN252" i="18"/>
  <c r="DD252" i="18"/>
  <c r="DT252" i="18"/>
  <c r="DI252" i="18"/>
  <c r="EF252" i="18"/>
  <c r="W252" i="18"/>
  <c r="AN252" i="18"/>
  <c r="BF252" i="18"/>
  <c r="BS252" i="18"/>
  <c r="CL252" i="18"/>
  <c r="DE252" i="18"/>
  <c r="EI251" i="18"/>
  <c r="AE252" i="18"/>
  <c r="AT252" i="18"/>
  <c r="BI252" i="18"/>
  <c r="BY252" i="18"/>
  <c r="CP252" i="18"/>
  <c r="DF252" i="18"/>
  <c r="DV252" i="18"/>
  <c r="F248" i="18"/>
  <c r="AD252" i="18"/>
  <c r="AS252" i="18"/>
  <c r="BK252" i="18"/>
  <c r="CA252" i="18"/>
  <c r="CQ252" i="18"/>
  <c r="DG252" i="18"/>
  <c r="DX252" i="18"/>
  <c r="G252" i="18"/>
  <c r="AG252" i="18"/>
  <c r="AV252" i="18"/>
  <c r="BM252" i="18"/>
  <c r="CE252" i="18"/>
  <c r="CR252" i="18"/>
  <c r="DH252" i="18"/>
  <c r="DW252" i="18"/>
  <c r="DP252" i="18"/>
  <c r="EI252" i="18"/>
  <c r="AA252" i="18"/>
  <c r="AU252" i="18"/>
  <c r="BL252" i="18"/>
  <c r="BW252" i="18"/>
  <c r="CO252" i="18"/>
  <c r="DL252" i="18"/>
  <c r="AH252" i="18"/>
  <c r="AX252" i="18"/>
  <c r="BN252" i="18"/>
  <c r="CC252" i="18"/>
  <c r="CS252" i="18"/>
  <c r="DM252" i="18"/>
  <c r="DZ252" i="18"/>
  <c r="AI252" i="18"/>
  <c r="BB252" i="18"/>
  <c r="BP252" i="18"/>
  <c r="CD252" i="18"/>
  <c r="CU252" i="18"/>
  <c r="DJ252" i="18"/>
  <c r="ED252" i="18"/>
  <c r="AJ252" i="18"/>
  <c r="AY252" i="18"/>
  <c r="BO252" i="18"/>
  <c r="CF252" i="18"/>
  <c r="CW252" i="18"/>
  <c r="DK252" i="18"/>
  <c r="EC252" i="18"/>
  <c r="DR252" i="18"/>
  <c r="AF252" i="18"/>
  <c r="AW252" i="18"/>
  <c r="BJ252" i="18"/>
  <c r="CB252" i="18"/>
  <c r="CT252" i="18"/>
  <c r="DY252" i="18"/>
  <c r="AK252" i="18"/>
  <c r="BA252" i="18"/>
  <c r="BQ252" i="18"/>
  <c r="CI252" i="18"/>
  <c r="CY252" i="18"/>
  <c r="DO252" i="18"/>
  <c r="Z252" i="18"/>
  <c r="AM252" i="18"/>
  <c r="BC252" i="18"/>
  <c r="BT252" i="18"/>
  <c r="CH252" i="18"/>
  <c r="CX252" i="18"/>
  <c r="DN252" i="18"/>
  <c r="EB252" i="18"/>
  <c r="X252" i="18"/>
  <c r="AO252" i="18"/>
  <c r="BD252" i="18"/>
  <c r="BU252" i="18"/>
  <c r="CJ252" i="18"/>
  <c r="DB252" i="18"/>
  <c r="DQ252" i="18"/>
  <c r="CZ252" i="18"/>
  <c r="EH252" i="18"/>
  <c r="AL252" i="18"/>
  <c r="AZ252" i="18"/>
  <c r="BR252" i="18"/>
  <c r="CG252" i="18"/>
  <c r="CV252" i="18"/>
  <c r="EA252" i="18"/>
  <c r="Y252" i="18"/>
  <c r="AP252" i="18"/>
  <c r="BE252" i="18"/>
  <c r="BX252" i="18"/>
  <c r="CK252" i="18"/>
  <c r="DA252" i="18"/>
  <c r="DS252" i="18"/>
  <c r="EC232" i="18"/>
  <c r="EF232" i="18"/>
  <c r="G232" i="18"/>
  <c r="Q232" i="18"/>
  <c r="Y232" i="18"/>
  <c r="AB232" i="18"/>
  <c r="AF232" i="18"/>
  <c r="AI232" i="18"/>
  <c r="AM232" i="18"/>
  <c r="AS232" i="18"/>
  <c r="AV232" i="18"/>
  <c r="AZ232" i="18"/>
  <c r="BF232" i="18"/>
  <c r="BI232" i="18"/>
  <c r="BJ232" i="18"/>
  <c r="BO232" i="18"/>
  <c r="BS232" i="18"/>
  <c r="BV232" i="18"/>
  <c r="CB232" i="18"/>
  <c r="CD232" i="18"/>
  <c r="CI232" i="18"/>
  <c r="CN232" i="18"/>
  <c r="CO232" i="18"/>
  <c r="CU232" i="18"/>
  <c r="CY232" i="18"/>
  <c r="DG232" i="18"/>
  <c r="DD232" i="18"/>
  <c r="DL232" i="18"/>
  <c r="DO232" i="18"/>
  <c r="DT232" i="18"/>
  <c r="DV232" i="18"/>
  <c r="ED232" i="18"/>
  <c r="EE232" i="18"/>
  <c r="F228" i="18"/>
  <c r="P232" i="18"/>
  <c r="U232" i="18"/>
  <c r="X232" i="18"/>
  <c r="AA232" i="18"/>
  <c r="AE232" i="18"/>
  <c r="AJ232" i="18"/>
  <c r="AL232" i="18"/>
  <c r="AP232" i="18"/>
  <c r="AU232" i="18"/>
  <c r="AY232" i="18"/>
  <c r="BE232" i="18"/>
  <c r="BG232" i="18"/>
  <c r="BK232" i="18"/>
  <c r="BQ232" i="18"/>
  <c r="BW232" i="18"/>
  <c r="BY232" i="18"/>
  <c r="BZ232" i="18"/>
  <c r="CG232" i="18"/>
  <c r="CH232" i="18"/>
  <c r="CM232" i="18"/>
  <c r="CR232" i="18"/>
  <c r="CV232" i="18"/>
  <c r="DA232" i="18"/>
  <c r="DC232" i="18"/>
  <c r="DI232" i="18"/>
  <c r="DM232" i="18"/>
  <c r="DP232" i="18"/>
  <c r="DW232" i="18"/>
  <c r="DY232" i="18"/>
  <c r="EH232" i="18"/>
  <c r="EA232" i="18"/>
  <c r="EI232" i="18"/>
  <c r="N232" i="18"/>
  <c r="R232" i="18"/>
  <c r="T232" i="18"/>
  <c r="W232" i="18"/>
  <c r="AD232" i="18"/>
  <c r="AG232" i="18"/>
  <c r="AK232" i="18"/>
  <c r="AO232" i="18"/>
  <c r="AR232" i="18"/>
  <c r="AX232" i="18"/>
  <c r="BB232" i="18"/>
  <c r="BC232" i="18"/>
  <c r="BH232" i="18"/>
  <c r="BL232" i="18"/>
  <c r="BP232" i="18"/>
  <c r="BU232" i="18"/>
  <c r="BX232" i="18"/>
  <c r="CA232" i="18"/>
  <c r="CF232" i="18"/>
  <c r="CJ232" i="18"/>
  <c r="CP232" i="18"/>
  <c r="CS232" i="18"/>
  <c r="CX232" i="18"/>
  <c r="CZ232" i="18"/>
  <c r="DE232" i="18"/>
  <c r="DH232" i="18"/>
  <c r="DK232" i="18"/>
  <c r="DS232" i="18"/>
  <c r="DR232" i="18"/>
  <c r="DX232" i="18"/>
  <c r="EB232" i="18"/>
  <c r="EG232" i="18"/>
  <c r="EI231" i="18"/>
  <c r="O232" i="18"/>
  <c r="S232" i="18"/>
  <c r="V232" i="18"/>
  <c r="Z232" i="18"/>
  <c r="AC232" i="18"/>
  <c r="AH232" i="18"/>
  <c r="AN232" i="18"/>
  <c r="AQ232" i="18"/>
  <c r="AT232" i="18"/>
  <c r="AW232" i="18"/>
  <c r="BA232" i="18"/>
  <c r="BD232" i="18"/>
  <c r="BM232" i="18"/>
  <c r="BN232" i="18"/>
  <c r="BR232" i="18"/>
  <c r="BT232" i="18"/>
  <c r="CE232" i="18"/>
  <c r="CC232" i="18"/>
  <c r="CK232" i="18"/>
  <c r="CL232" i="18"/>
  <c r="CQ232" i="18"/>
  <c r="CT232" i="18"/>
  <c r="CW232" i="18"/>
  <c r="DB232" i="18"/>
  <c r="DF232" i="18"/>
  <c r="DJ232" i="18"/>
  <c r="DN232" i="18"/>
  <c r="DQ232" i="18"/>
  <c r="DU232" i="18"/>
  <c r="DZ232" i="18"/>
  <c r="F222" i="18"/>
  <c r="E222" i="18" s="1"/>
  <c r="EH241" i="18"/>
  <c r="EI238" i="18"/>
  <c r="H255" i="18" s="1"/>
  <c r="H260" i="18" s="1"/>
  <c r="EB415" i="18"/>
  <c r="EG415" i="18"/>
  <c r="EI414" i="18"/>
  <c r="G415" i="18"/>
  <c r="AH415" i="18"/>
  <c r="AI415" i="18"/>
  <c r="AK415" i="18"/>
  <c r="AL415" i="18"/>
  <c r="AR415" i="18"/>
  <c r="AQ415" i="18"/>
  <c r="AS415" i="18"/>
  <c r="AV415" i="18"/>
  <c r="AY415" i="18"/>
  <c r="AW415" i="18"/>
  <c r="AZ415" i="18"/>
  <c r="BA415" i="18"/>
  <c r="BD415" i="18"/>
  <c r="BG415" i="18"/>
  <c r="BJ415" i="18"/>
  <c r="BL415" i="18"/>
  <c r="BM415" i="18"/>
  <c r="BQ415" i="18"/>
  <c r="BP415" i="18"/>
  <c r="BS415" i="18"/>
  <c r="BX415" i="18"/>
  <c r="BU415" i="18"/>
  <c r="BW415" i="18"/>
  <c r="CA415" i="18"/>
  <c r="CB415" i="18"/>
  <c r="CE415" i="18"/>
  <c r="CJ415" i="18"/>
  <c r="CH415" i="18"/>
  <c r="CK415" i="18"/>
  <c r="CN415" i="18"/>
  <c r="CO415" i="18"/>
  <c r="CQ415" i="18"/>
  <c r="CR415" i="18"/>
  <c r="CV415" i="18"/>
  <c r="CW415" i="18"/>
  <c r="DA415" i="18"/>
  <c r="CZ415" i="18"/>
  <c r="DD415" i="18"/>
  <c r="DF415" i="18"/>
  <c r="DH415" i="18"/>
  <c r="DI415" i="18"/>
  <c r="DJ415" i="18"/>
  <c r="DO415" i="18"/>
  <c r="DN415" i="18"/>
  <c r="DQ415" i="18"/>
  <c r="DS415" i="18"/>
  <c r="DT415" i="18"/>
  <c r="DV415" i="18"/>
  <c r="DY415" i="18"/>
  <c r="EF415" i="18"/>
  <c r="DZ415" i="18"/>
  <c r="EA415" i="18"/>
  <c r="EI415" i="18"/>
  <c r="F411" i="18"/>
  <c r="AG415" i="18"/>
  <c r="AJ415" i="18"/>
  <c r="AM415" i="18"/>
  <c r="AN415" i="18"/>
  <c r="AO415" i="18"/>
  <c r="AP415" i="18"/>
  <c r="AT415" i="18"/>
  <c r="AU415" i="18"/>
  <c r="AX415" i="18"/>
  <c r="BC415" i="18"/>
  <c r="BB415" i="18"/>
  <c r="BE415" i="18"/>
  <c r="BF415" i="18"/>
  <c r="BH415" i="18"/>
  <c r="BI415" i="18"/>
  <c r="BK415" i="18"/>
  <c r="BO415" i="18"/>
  <c r="BN415" i="18"/>
  <c r="BR415" i="18"/>
  <c r="BT415" i="18"/>
  <c r="BV415" i="18"/>
  <c r="BZ415" i="18"/>
  <c r="BY415" i="18"/>
  <c r="CC415" i="18"/>
  <c r="CD415" i="18"/>
  <c r="CF415" i="18"/>
  <c r="CG415" i="18"/>
  <c r="CI415" i="18"/>
  <c r="CM415" i="18"/>
  <c r="CL415" i="18"/>
  <c r="CP415" i="18"/>
  <c r="CS415" i="18"/>
  <c r="CT415" i="18"/>
  <c r="CU415" i="18"/>
  <c r="CX415" i="18"/>
  <c r="CY415" i="18"/>
  <c r="DB415" i="18"/>
  <c r="DC415" i="18"/>
  <c r="DG415" i="18"/>
  <c r="DE415" i="18"/>
  <c r="DK415" i="18"/>
  <c r="DL415" i="18"/>
  <c r="DM415" i="18"/>
  <c r="DP415" i="18"/>
  <c r="DR415" i="18"/>
  <c r="DU415" i="18"/>
  <c r="DX415" i="18"/>
  <c r="DW415" i="18"/>
  <c r="ED415" i="18"/>
  <c r="EC415" i="18"/>
  <c r="EE415" i="18"/>
  <c r="EH415" i="18"/>
  <c r="EH229" i="18"/>
  <c r="EH234" i="18" s="1"/>
  <c r="EH239" i="18" s="1"/>
  <c r="EH366" i="18" s="1"/>
  <c r="EI3" i="18"/>
  <c r="EH1" i="15"/>
  <c r="EF417" i="18"/>
  <c r="EF412" i="18"/>
  <c r="E230" i="18" l="1"/>
  <c r="H265" i="18"/>
  <c r="EH244" i="18"/>
  <c r="EH249" i="18"/>
  <c r="EH253" i="18" s="1"/>
  <c r="EH226" i="18"/>
  <c r="EG247" i="18"/>
  <c r="AG247" i="18"/>
  <c r="AW247" i="18"/>
  <c r="BK247" i="18"/>
  <c r="CD247" i="18"/>
  <c r="CR247" i="18"/>
  <c r="DH247" i="18"/>
  <c r="DW247" i="18"/>
  <c r="DV247" i="18"/>
  <c r="AH247" i="18"/>
  <c r="AU247" i="18"/>
  <c r="BM247" i="18"/>
  <c r="CB247" i="18"/>
  <c r="CS247" i="18"/>
  <c r="DI247" i="18"/>
  <c r="EB247" i="18"/>
  <c r="DP247" i="18"/>
  <c r="AL247" i="18"/>
  <c r="BC247" i="18"/>
  <c r="BT247" i="18"/>
  <c r="CI247" i="18"/>
  <c r="DN247" i="18"/>
  <c r="AF247" i="18"/>
  <c r="AV247" i="18"/>
  <c r="BI247" i="18"/>
  <c r="BX247" i="18"/>
  <c r="CP247" i="18"/>
  <c r="DG247" i="18"/>
  <c r="DX247" i="18"/>
  <c r="ED247" i="18"/>
  <c r="AJ247" i="18"/>
  <c r="AZ247" i="18"/>
  <c r="BQ247" i="18"/>
  <c r="CE247" i="18"/>
  <c r="CW247" i="18"/>
  <c r="DK247" i="18"/>
  <c r="EA247" i="18"/>
  <c r="EF247" i="18"/>
  <c r="AK247" i="18"/>
  <c r="BA247" i="18"/>
  <c r="BP247" i="18"/>
  <c r="CG247" i="18"/>
  <c r="CV247" i="18"/>
  <c r="DL247" i="18"/>
  <c r="EH247" i="18"/>
  <c r="EI246" i="18"/>
  <c r="AQ247" i="18"/>
  <c r="BE247" i="18"/>
  <c r="BV247" i="18"/>
  <c r="CO247" i="18"/>
  <c r="DZ247" i="18"/>
  <c r="AI247" i="18"/>
  <c r="AX247" i="18"/>
  <c r="BO247" i="18"/>
  <c r="CF247" i="18"/>
  <c r="CU247" i="18"/>
  <c r="DJ247" i="18"/>
  <c r="DY247" i="18"/>
  <c r="G247" i="18"/>
  <c r="AM247" i="18"/>
  <c r="BD247" i="18"/>
  <c r="BS247" i="18"/>
  <c r="CH247" i="18"/>
  <c r="DA247" i="18"/>
  <c r="DO247" i="18"/>
  <c r="CT247" i="18"/>
  <c r="EI247" i="18"/>
  <c r="AO247" i="18"/>
  <c r="BF247" i="18"/>
  <c r="BU247" i="18"/>
  <c r="CJ247" i="18"/>
  <c r="CZ247" i="18"/>
  <c r="DS247" i="18"/>
  <c r="CY247" i="18"/>
  <c r="AD247" i="18"/>
  <c r="AS247" i="18"/>
  <c r="BL247" i="18"/>
  <c r="BZ247" i="18"/>
  <c r="CQ247" i="18"/>
  <c r="EC247" i="18"/>
  <c r="AN247" i="18"/>
  <c r="BB247" i="18"/>
  <c r="BR247" i="18"/>
  <c r="CK247" i="18"/>
  <c r="CX247" i="18"/>
  <c r="DQ247" i="18"/>
  <c r="EE247" i="18"/>
  <c r="AC247" i="18"/>
  <c r="AR247" i="18"/>
  <c r="BG247" i="18"/>
  <c r="BY247" i="18"/>
  <c r="CM247" i="18"/>
  <c r="DE247" i="18"/>
  <c r="DT247" i="18"/>
  <c r="DM247" i="18"/>
  <c r="AT247" i="18"/>
  <c r="BJ247" i="18"/>
  <c r="CA247" i="18"/>
  <c r="CN247" i="18"/>
  <c r="DD247" i="18"/>
  <c r="DU247" i="18"/>
  <c r="DF247" i="18"/>
  <c r="AE247" i="18"/>
  <c r="AY247" i="18"/>
  <c r="BN247" i="18"/>
  <c r="CC247" i="18"/>
  <c r="DB247" i="18"/>
  <c r="F243" i="18"/>
  <c r="AP247" i="18"/>
  <c r="BH247" i="18"/>
  <c r="BW247" i="18"/>
  <c r="CL247" i="18"/>
  <c r="DC247" i="18"/>
  <c r="DR247" i="18"/>
  <c r="EI223" i="18"/>
  <c r="EB420" i="18"/>
  <c r="ED420" i="18"/>
  <c r="AJ420" i="18"/>
  <c r="AT420" i="18"/>
  <c r="AZ420" i="18"/>
  <c r="BH420" i="18"/>
  <c r="BR420" i="18"/>
  <c r="BW420" i="18"/>
  <c r="CE420" i="18"/>
  <c r="CM420" i="18"/>
  <c r="CX420" i="18"/>
  <c r="DF420" i="18"/>
  <c r="DL420" i="18"/>
  <c r="DU420" i="18"/>
  <c r="EH420" i="18"/>
  <c r="AF420" i="18"/>
  <c r="AM420" i="18"/>
  <c r="AQ420" i="18"/>
  <c r="BA420" i="18"/>
  <c r="BJ420" i="18"/>
  <c r="BO420" i="18"/>
  <c r="BY420" i="18"/>
  <c r="CI420" i="18"/>
  <c r="CO420" i="18"/>
  <c r="CY420" i="18"/>
  <c r="DC420" i="18"/>
  <c r="DM420" i="18"/>
  <c r="DW420" i="18"/>
  <c r="EG420" i="18"/>
  <c r="DA420" i="18"/>
  <c r="EF420" i="18"/>
  <c r="EI420" i="18"/>
  <c r="AK420" i="18"/>
  <c r="AV420" i="18"/>
  <c r="BB420" i="18"/>
  <c r="BL420" i="18"/>
  <c r="BS420" i="18"/>
  <c r="BZ420" i="18"/>
  <c r="CG420" i="18"/>
  <c r="CP420" i="18"/>
  <c r="CW420" i="18"/>
  <c r="DE420" i="18"/>
  <c r="DO420" i="18"/>
  <c r="DT420" i="18"/>
  <c r="EI419" i="18"/>
  <c r="AL420" i="18"/>
  <c r="AS420" i="18"/>
  <c r="BC420" i="18"/>
  <c r="BI420" i="18"/>
  <c r="BQ420" i="18"/>
  <c r="CB420" i="18"/>
  <c r="CH420" i="18"/>
  <c r="CQ420" i="18"/>
  <c r="CV420" i="18"/>
  <c r="DH420" i="18"/>
  <c r="DN420" i="18"/>
  <c r="DV420" i="18"/>
  <c r="DG420" i="18"/>
  <c r="EC420" i="18"/>
  <c r="G420" i="18"/>
  <c r="AE420" i="18"/>
  <c r="AP420" i="18"/>
  <c r="AU420" i="18"/>
  <c r="BD420" i="18"/>
  <c r="BK420" i="18"/>
  <c r="BT420" i="18"/>
  <c r="CA420" i="18"/>
  <c r="CJ420" i="18"/>
  <c r="CR420" i="18"/>
  <c r="CZ420" i="18"/>
  <c r="DJ420" i="18"/>
  <c r="DQ420" i="18"/>
  <c r="DX420" i="18"/>
  <c r="F416" i="18"/>
  <c r="AH420" i="18"/>
  <c r="AO420" i="18"/>
  <c r="AW420" i="18"/>
  <c r="BE420" i="18"/>
  <c r="BN420" i="18"/>
  <c r="BV420" i="18"/>
  <c r="CC420" i="18"/>
  <c r="CL420" i="18"/>
  <c r="CS420" i="18"/>
  <c r="DP420" i="18"/>
  <c r="DY420" i="18"/>
  <c r="EE420" i="18"/>
  <c r="AG420" i="18"/>
  <c r="AN420" i="18"/>
  <c r="AX420" i="18"/>
  <c r="BF420" i="18"/>
  <c r="BP420" i="18"/>
  <c r="BU420" i="18"/>
  <c r="CD420" i="18"/>
  <c r="CN420" i="18"/>
  <c r="CT420" i="18"/>
  <c r="DB420" i="18"/>
  <c r="DI420" i="18"/>
  <c r="DS420" i="18"/>
  <c r="EA420" i="18"/>
  <c r="AI420" i="18"/>
  <c r="AR420" i="18"/>
  <c r="AY420" i="18"/>
  <c r="BG420" i="18"/>
  <c r="BM420" i="18"/>
  <c r="BX420" i="18"/>
  <c r="CF420" i="18"/>
  <c r="CK420" i="18"/>
  <c r="CU420" i="18"/>
  <c r="DD420" i="18"/>
  <c r="DK420" i="18"/>
  <c r="DR420" i="18"/>
  <c r="DZ420" i="18"/>
  <c r="ED255" i="18"/>
  <c r="DZ255" i="18"/>
  <c r="I255" i="18"/>
  <c r="T255" i="18"/>
  <c r="S255" i="18"/>
  <c r="U226" i="18"/>
  <c r="W226" i="18"/>
  <c r="AB242" i="18"/>
  <c r="AE255" i="18"/>
  <c r="AH242" i="18"/>
  <c r="AE226" i="18"/>
  <c r="AL255" i="18"/>
  <c r="AK226" i="18"/>
  <c r="AQ255" i="18"/>
  <c r="AT255" i="18"/>
  <c r="AW255" i="18"/>
  <c r="AU226" i="18"/>
  <c r="BA255" i="18"/>
  <c r="BB226" i="18"/>
  <c r="H254" i="18"/>
  <c r="Q255" i="18"/>
  <c r="W255" i="18"/>
  <c r="Z255" i="18"/>
  <c r="AB255" i="18"/>
  <c r="AD226" i="18"/>
  <c r="AG255" i="18"/>
  <c r="AJ255" i="18"/>
  <c r="AO242" i="18"/>
  <c r="AL226" i="18"/>
  <c r="AS255" i="18"/>
  <c r="AS226" i="18"/>
  <c r="AT226" i="18"/>
  <c r="AX226" i="18"/>
  <c r="BB242" i="18"/>
  <c r="BD226" i="18"/>
  <c r="BJ242" i="18"/>
  <c r="BI255" i="18"/>
  <c r="BM255" i="18"/>
  <c r="BO255" i="18"/>
  <c r="BS242" i="18"/>
  <c r="BV242" i="18"/>
  <c r="BU226" i="18"/>
  <c r="BX226" i="18"/>
  <c r="BY226" i="18"/>
  <c r="CF226" i="18"/>
  <c r="CK242" i="18"/>
  <c r="CH226" i="18"/>
  <c r="CM255" i="18"/>
  <c r="CM226" i="18"/>
  <c r="CS242" i="18"/>
  <c r="CR226" i="18"/>
  <c r="CX242" i="18"/>
  <c r="CZ226" i="18"/>
  <c r="BG242" i="18"/>
  <c r="BI242" i="18"/>
  <c r="BH226" i="18"/>
  <c r="BI226" i="18"/>
  <c r="BR242" i="18"/>
  <c r="BO226" i="18"/>
  <c r="BX242" i="18"/>
  <c r="BZ242" i="18"/>
  <c r="CB242" i="18"/>
  <c r="CB226" i="18"/>
  <c r="CH242" i="18"/>
  <c r="CC226" i="18"/>
  <c r="CM242" i="18"/>
  <c r="CN255" i="18"/>
  <c r="CN226" i="18"/>
  <c r="CU242" i="18"/>
  <c r="CS226" i="18"/>
  <c r="CY255" i="18"/>
  <c r="EA255" i="18"/>
  <c r="J255" i="18"/>
  <c r="Q226" i="18"/>
  <c r="T226" i="18"/>
  <c r="AA242" i="18"/>
  <c r="AC242" i="18"/>
  <c r="AE242" i="18"/>
  <c r="AI255" i="18"/>
  <c r="AK255" i="18"/>
  <c r="AN242" i="18"/>
  <c r="AO226" i="18"/>
  <c r="AN226" i="18"/>
  <c r="AW242" i="18"/>
  <c r="AX255" i="18"/>
  <c r="BB255" i="18"/>
  <c r="BF242" i="18"/>
  <c r="EG242" i="18"/>
  <c r="F238" i="18"/>
  <c r="N255" i="18"/>
  <c r="U255" i="18"/>
  <c r="X242" i="18"/>
  <c r="Z242" i="18"/>
  <c r="AB226" i="18"/>
  <c r="AG242" i="18"/>
  <c r="AI242" i="18"/>
  <c r="AF226" i="18"/>
  <c r="AI226" i="18"/>
  <c r="AR242" i="18"/>
  <c r="AV242" i="18"/>
  <c r="AU242" i="18"/>
  <c r="AZ242" i="18"/>
  <c r="AZ255" i="18"/>
  <c r="BD255" i="18"/>
  <c r="BF255" i="18"/>
  <c r="BG255" i="18"/>
  <c r="BM242" i="18"/>
  <c r="BP255" i="18"/>
  <c r="BN226" i="18"/>
  <c r="BQ226" i="18"/>
  <c r="BW242" i="18"/>
  <c r="BV226" i="18"/>
  <c r="CB255" i="18"/>
  <c r="CD255" i="18"/>
  <c r="CI242" i="18"/>
  <c r="CE226" i="18"/>
  <c r="CL255" i="18"/>
  <c r="CK226" i="18"/>
  <c r="CP226" i="18"/>
  <c r="CW242" i="18"/>
  <c r="CV255" i="18"/>
  <c r="CZ242" i="18"/>
  <c r="DB242" i="18"/>
  <c r="BH242" i="18"/>
  <c r="BF226" i="18"/>
  <c r="BL255" i="18"/>
  <c r="BK226" i="18"/>
  <c r="BM226" i="18"/>
  <c r="BT255" i="18"/>
  <c r="BV255" i="18"/>
  <c r="BZ255" i="18"/>
  <c r="BW226" i="18"/>
  <c r="CA226" i="18"/>
  <c r="CF255" i="18"/>
  <c r="CI255" i="18"/>
  <c r="CL226" i="18"/>
  <c r="CP255" i="18"/>
  <c r="CO226" i="18"/>
  <c r="CV242" i="18"/>
  <c r="CX255" i="18"/>
  <c r="CU226" i="18"/>
  <c r="DB255" i="18"/>
  <c r="DC226" i="18"/>
  <c r="DH255" i="18"/>
  <c r="DD255" i="18"/>
  <c r="DJ242" i="18"/>
  <c r="DM255" i="18"/>
  <c r="DP242" i="18"/>
  <c r="DN226" i="18"/>
  <c r="DZ226" i="18"/>
  <c r="K255" i="18"/>
  <c r="O255" i="18"/>
  <c r="P226" i="18"/>
  <c r="V242" i="18"/>
  <c r="X255" i="18"/>
  <c r="X226" i="18"/>
  <c r="AC255" i="18"/>
  <c r="AF255" i="18"/>
  <c r="AJ242" i="18"/>
  <c r="AJ226" i="18"/>
  <c r="AP242" i="18"/>
  <c r="AM226" i="18"/>
  <c r="AP226" i="18"/>
  <c r="AU255" i="18"/>
  <c r="BA242" i="18"/>
  <c r="AY226" i="18"/>
  <c r="BC255" i="18"/>
  <c r="EB255" i="18"/>
  <c r="M255" i="18"/>
  <c r="N226" i="18"/>
  <c r="R255" i="18"/>
  <c r="R226" i="18"/>
  <c r="S226" i="18"/>
  <c r="V226" i="18"/>
  <c r="Z226" i="18"/>
  <c r="AF242" i="18"/>
  <c r="AK242" i="18"/>
  <c r="AH226" i="18"/>
  <c r="AM255" i="18"/>
  <c r="AQ242" i="18"/>
  <c r="AT242" i="18"/>
  <c r="AR226" i="18"/>
  <c r="AV226" i="18"/>
  <c r="AZ226" i="18"/>
  <c r="BA226" i="18"/>
  <c r="BE255" i="18"/>
  <c r="BH255" i="18"/>
  <c r="BK255" i="18"/>
  <c r="BN242" i="18"/>
  <c r="BQ255" i="18"/>
  <c r="BS255" i="18"/>
  <c r="BS226" i="18"/>
  <c r="BX255" i="18"/>
  <c r="CC242" i="18"/>
  <c r="BZ226" i="18"/>
  <c r="CE255" i="18"/>
  <c r="CJ255" i="18"/>
  <c r="CO242" i="18"/>
  <c r="CQ242" i="18"/>
  <c r="CR242" i="18"/>
  <c r="CT255" i="18"/>
  <c r="CT226" i="18"/>
  <c r="CZ255" i="18"/>
  <c r="DE242" i="18"/>
  <c r="BE226" i="18"/>
  <c r="BJ255" i="18"/>
  <c r="BJ226" i="18"/>
  <c r="BQ242" i="18"/>
  <c r="BR255" i="18"/>
  <c r="BR226" i="18"/>
  <c r="BW255" i="18"/>
  <c r="CA242" i="18"/>
  <c r="CD242" i="18"/>
  <c r="CD226" i="18"/>
  <c r="CH255" i="18"/>
  <c r="CL242" i="18"/>
  <c r="CI226" i="18"/>
  <c r="CP242" i="18"/>
  <c r="CS255" i="18"/>
  <c r="CU255" i="18"/>
  <c r="CW226" i="18"/>
  <c r="DC242" i="18"/>
  <c r="CY226" i="18"/>
  <c r="DG242" i="18"/>
  <c r="DG226" i="18"/>
  <c r="EF226" i="18"/>
  <c r="EE242" i="18"/>
  <c r="EI241" i="18"/>
  <c r="L255" i="18"/>
  <c r="O226" i="18"/>
  <c r="V255" i="18"/>
  <c r="Y242" i="18"/>
  <c r="Y226" i="18"/>
  <c r="AD242" i="18"/>
  <c r="AC226" i="18"/>
  <c r="AM242" i="18"/>
  <c r="AL242" i="18"/>
  <c r="AN255" i="18"/>
  <c r="AS242" i="18"/>
  <c r="AQ226" i="18"/>
  <c r="AX242" i="18"/>
  <c r="AY255" i="18"/>
  <c r="BC242" i="18"/>
  <c r="BE242" i="18"/>
  <c r="EI242" i="18"/>
  <c r="G242" i="18"/>
  <c r="P255" i="18"/>
  <c r="W242" i="18"/>
  <c r="Y255" i="18"/>
  <c r="AA255" i="18"/>
  <c r="AD255" i="18"/>
  <c r="AA226" i="18"/>
  <c r="AH255" i="18"/>
  <c r="AG226" i="18"/>
  <c r="AO255" i="18"/>
  <c r="AP255" i="18"/>
  <c r="AR255" i="18"/>
  <c r="AV255" i="18"/>
  <c r="AY242" i="18"/>
  <c r="AW226" i="18"/>
  <c r="BD242" i="18"/>
  <c r="BC226" i="18"/>
  <c r="BG226" i="18"/>
  <c r="BO242" i="18"/>
  <c r="BL226" i="18"/>
  <c r="BT242" i="18"/>
  <c r="BU242" i="18"/>
  <c r="BT226" i="18"/>
  <c r="BY255" i="18"/>
  <c r="CC255" i="18"/>
  <c r="CF242" i="18"/>
  <c r="CJ242" i="18"/>
  <c r="CG226" i="18"/>
  <c r="CN242" i="18"/>
  <c r="CO255" i="18"/>
  <c r="CR255" i="18"/>
  <c r="CQ226" i="18"/>
  <c r="CY242" i="18"/>
  <c r="DA242" i="18"/>
  <c r="DC255" i="18"/>
  <c r="BK242" i="18"/>
  <c r="BL242" i="18"/>
  <c r="BN255" i="18"/>
  <c r="BP242" i="18"/>
  <c r="BP226" i="18"/>
  <c r="BU255" i="18"/>
  <c r="BY242" i="18"/>
  <c r="CA255" i="18"/>
  <c r="CE242" i="18"/>
  <c r="CG242" i="18"/>
  <c r="CG255" i="18"/>
  <c r="CK255" i="18"/>
  <c r="CJ226" i="18"/>
  <c r="CQ255" i="18"/>
  <c r="CT242" i="18"/>
  <c r="CW255" i="18"/>
  <c r="CV226" i="18"/>
  <c r="DA255" i="18"/>
  <c r="DF242" i="18"/>
  <c r="DF226" i="18"/>
  <c r="DK242" i="18"/>
  <c r="DI242" i="18"/>
  <c r="DK255" i="18"/>
  <c r="DN255" i="18"/>
  <c r="DR242" i="18"/>
  <c r="DV255" i="18"/>
  <c r="DQ226" i="18"/>
  <c r="DU226" i="18"/>
  <c r="DI255" i="18"/>
  <c r="DH226" i="18"/>
  <c r="DS255" i="18"/>
  <c r="DW242" i="18"/>
  <c r="DY255" i="18"/>
  <c r="DX226" i="18"/>
  <c r="DD242" i="18"/>
  <c r="DD226" i="18"/>
  <c r="DL255" i="18"/>
  <c r="DL226" i="18"/>
  <c r="DT242" i="18"/>
  <c r="DV242" i="18"/>
  <c r="DX242" i="18"/>
  <c r="EA242" i="18"/>
  <c r="DV226" i="18"/>
  <c r="DJ255" i="18"/>
  <c r="DS226" i="18"/>
  <c r="DG255" i="18"/>
  <c r="DP255" i="18"/>
  <c r="DY226" i="18"/>
  <c r="CX226" i="18"/>
  <c r="DF255" i="18"/>
  <c r="DO242" i="18"/>
  <c r="DO226" i="18"/>
  <c r="DW255" i="18"/>
  <c r="EF242" i="18"/>
  <c r="ED242" i="18"/>
  <c r="DE255" i="18"/>
  <c r="DL242" i="18"/>
  <c r="DN242" i="18"/>
  <c r="DK226" i="18"/>
  <c r="DS242" i="18"/>
  <c r="DP226" i="18"/>
  <c r="DX255" i="18"/>
  <c r="EB226" i="18"/>
  <c r="EA226" i="18"/>
  <c r="DM226" i="18"/>
  <c r="EC255" i="18"/>
  <c r="DM242" i="18"/>
  <c r="DU242" i="18"/>
  <c r="DW226" i="18"/>
  <c r="DA226" i="18"/>
  <c r="DE226" i="18"/>
  <c r="DQ242" i="18"/>
  <c r="DT255" i="18"/>
  <c r="DT226" i="18"/>
  <c r="EC242" i="18"/>
  <c r="EB242" i="18"/>
  <c r="DB226" i="18"/>
  <c r="DI226" i="18"/>
  <c r="DJ226" i="18"/>
  <c r="DQ255" i="18"/>
  <c r="DR255" i="18"/>
  <c r="DU255" i="18"/>
  <c r="DZ242" i="18"/>
  <c r="EC226" i="18"/>
  <c r="EH242" i="18"/>
  <c r="EE255" i="18"/>
  <c r="EG226" i="18"/>
  <c r="DH242" i="18"/>
  <c r="DY242" i="18"/>
  <c r="EE226" i="18"/>
  <c r="DO255" i="18"/>
  <c r="DR226" i="18"/>
  <c r="ED226" i="18"/>
  <c r="EF255" i="18"/>
  <c r="EI226" i="18"/>
  <c r="EI229" i="18"/>
  <c r="EI234" i="18" s="1"/>
  <c r="EG255" i="18"/>
  <c r="EG417" i="18"/>
  <c r="EG412" i="18"/>
  <c r="F223" i="18" l="1"/>
  <c r="E223" i="18" s="1"/>
  <c r="I87" i="18"/>
  <c r="I254" i="18"/>
  <c r="CZ260" i="18"/>
  <c r="BT260" i="18"/>
  <c r="AN260" i="18"/>
  <c r="DA260" i="18"/>
  <c r="BU260" i="18"/>
  <c r="AO260" i="18"/>
  <c r="I260" i="18"/>
  <c r="I265" i="18" s="1"/>
  <c r="DT260" i="18"/>
  <c r="CN260" i="18"/>
  <c r="BH260" i="18"/>
  <c r="AB260" i="18"/>
  <c r="DU260" i="18"/>
  <c r="CO260" i="18"/>
  <c r="BI260" i="18"/>
  <c r="AC260" i="18"/>
  <c r="ED260" i="18"/>
  <c r="CP260" i="18"/>
  <c r="AD260" i="18"/>
  <c r="CE260" i="18"/>
  <c r="DZ260" i="18"/>
  <c r="CT260" i="18"/>
  <c r="BN260" i="18"/>
  <c r="AH260" i="18"/>
  <c r="DW260" i="18"/>
  <c r="CQ260" i="18"/>
  <c r="BK260" i="18"/>
  <c r="AE260" i="18"/>
  <c r="CH260" i="18"/>
  <c r="V260" i="18"/>
  <c r="CM260" i="18"/>
  <c r="AI260" i="18"/>
  <c r="DX260" i="18"/>
  <c r="CR260" i="18"/>
  <c r="BL260" i="18"/>
  <c r="AF260" i="18"/>
  <c r="DY260" i="18"/>
  <c r="CS260" i="18"/>
  <c r="BM260" i="18"/>
  <c r="AG260" i="18"/>
  <c r="DL260" i="18"/>
  <c r="CF260" i="18"/>
  <c r="AZ260" i="18"/>
  <c r="T260" i="18"/>
  <c r="DM260" i="18"/>
  <c r="CG260" i="18"/>
  <c r="BA260" i="18"/>
  <c r="U260" i="18"/>
  <c r="DV260" i="18"/>
  <c r="BZ260" i="18"/>
  <c r="N260" i="18"/>
  <c r="BO260" i="18"/>
  <c r="DR260" i="18"/>
  <c r="CL260" i="18"/>
  <c r="BF260" i="18"/>
  <c r="Z260" i="18"/>
  <c r="DO260" i="18"/>
  <c r="CI260" i="18"/>
  <c r="BC260" i="18"/>
  <c r="W260" i="18"/>
  <c r="BR260" i="18"/>
  <c r="EA260" i="18"/>
  <c r="BW260" i="18"/>
  <c r="S260" i="18"/>
  <c r="EF260" i="18"/>
  <c r="EE260" i="18"/>
  <c r="DP260" i="18"/>
  <c r="CJ260" i="18"/>
  <c r="BD260" i="18"/>
  <c r="X260" i="18"/>
  <c r="DQ260" i="18"/>
  <c r="CK260" i="18"/>
  <c r="BE260" i="18"/>
  <c r="Y260" i="18"/>
  <c r="DD260" i="18"/>
  <c r="BX260" i="18"/>
  <c r="AR260" i="18"/>
  <c r="L260" i="18"/>
  <c r="DE260" i="18"/>
  <c r="BY260" i="18"/>
  <c r="AS260" i="18"/>
  <c r="M260" i="18"/>
  <c r="DN260" i="18"/>
  <c r="BJ260" i="18"/>
  <c r="DS260" i="18"/>
  <c r="AQ260" i="18"/>
  <c r="DJ260" i="18"/>
  <c r="CD260" i="18"/>
  <c r="AX260" i="18"/>
  <c r="R260" i="18"/>
  <c r="DG260" i="18"/>
  <c r="CA260" i="18"/>
  <c r="AU260" i="18"/>
  <c r="O260" i="18"/>
  <c r="BB260" i="18"/>
  <c r="DK260" i="18"/>
  <c r="BG260" i="18"/>
  <c r="K260" i="18"/>
  <c r="DH260" i="18"/>
  <c r="CB260" i="18"/>
  <c r="AV260" i="18"/>
  <c r="P260" i="18"/>
  <c r="DI260" i="18"/>
  <c r="CC260" i="18"/>
  <c r="AW260" i="18"/>
  <c r="Q260" i="18"/>
  <c r="EB260" i="18"/>
  <c r="CV260" i="18"/>
  <c r="BP260" i="18"/>
  <c r="AJ260" i="18"/>
  <c r="EC260" i="18"/>
  <c r="CW260" i="18"/>
  <c r="BQ260" i="18"/>
  <c r="AK260" i="18"/>
  <c r="DF260" i="18"/>
  <c r="AT260" i="18"/>
  <c r="CU260" i="18"/>
  <c r="AA260" i="18"/>
  <c r="DB260" i="18"/>
  <c r="BV260" i="18"/>
  <c r="AP260" i="18"/>
  <c r="J260" i="18"/>
  <c r="CY260" i="18"/>
  <c r="BS260" i="18"/>
  <c r="AM260" i="18"/>
  <c r="CX260" i="18"/>
  <c r="AL260" i="18"/>
  <c r="DC260" i="18"/>
  <c r="AY260" i="18"/>
  <c r="EH255" i="18"/>
  <c r="EH412" i="18"/>
  <c r="EH417" i="18"/>
  <c r="EG260" i="18"/>
  <c r="EJ239" i="18"/>
  <c r="EI239" i="18"/>
  <c r="EI366" i="18" s="1"/>
  <c r="J87" i="18" l="1"/>
  <c r="BG265" i="18"/>
  <c r="DS265" i="18"/>
  <c r="BD265" i="18"/>
  <c r="DP265" i="18"/>
  <c r="BA265" i="18"/>
  <c r="DA265" i="18"/>
  <c r="CH265" i="18"/>
  <c r="O265" i="18"/>
  <c r="CA265" i="18"/>
  <c r="L265" i="18"/>
  <c r="BX265" i="18"/>
  <c r="BU265" i="18"/>
  <c r="N265" i="18"/>
  <c r="CD265" i="18"/>
  <c r="DV265" i="18"/>
  <c r="BP265" i="18"/>
  <c r="CC265" i="18"/>
  <c r="EC265" i="18"/>
  <c r="BO265" i="18"/>
  <c r="EA265" i="18"/>
  <c r="BL265" i="18"/>
  <c r="DX265" i="18"/>
  <c r="BI265" i="18"/>
  <c r="DQ265" i="18"/>
  <c r="AH265" i="18"/>
  <c r="CX265" i="18"/>
  <c r="BC265" i="18"/>
  <c r="T265" i="18"/>
  <c r="EB265" i="18"/>
  <c r="AT265" i="18"/>
  <c r="K265" i="18"/>
  <c r="BW265" i="18"/>
  <c r="BT265" i="18"/>
  <c r="EF265" i="18"/>
  <c r="BQ265" i="18"/>
  <c r="EG265" i="18"/>
  <c r="BN265" i="18"/>
  <c r="DN265" i="18"/>
  <c r="AE265" i="18"/>
  <c r="CQ265" i="18"/>
  <c r="AB265" i="18"/>
  <c r="CN265" i="18"/>
  <c r="Y265" i="18"/>
  <c r="J265" i="18"/>
  <c r="BZ265" i="18"/>
  <c r="DM265" i="18"/>
  <c r="CI265" i="18"/>
  <c r="CV265" i="18"/>
  <c r="CS265" i="18"/>
  <c r="S265" i="18"/>
  <c r="CE265" i="18"/>
  <c r="P265" i="18"/>
  <c r="CB265" i="18"/>
  <c r="M265" i="18"/>
  <c r="BY265" i="18"/>
  <c r="AD265" i="18"/>
  <c r="CO265" i="18"/>
  <c r="ED265" i="18"/>
  <c r="BS265" i="18"/>
  <c r="AZ265" i="18"/>
  <c r="AG265" i="18"/>
  <c r="AX265" i="18"/>
  <c r="AA265" i="18"/>
  <c r="CM265" i="18"/>
  <c r="X265" i="18"/>
  <c r="CJ265" i="18"/>
  <c r="U265" i="18"/>
  <c r="CG265" i="18"/>
  <c r="BJ265" i="18"/>
  <c r="DE265" i="18"/>
  <c r="CT265" i="18"/>
  <c r="AU265" i="18"/>
  <c r="DG265" i="18"/>
  <c r="AR265" i="18"/>
  <c r="DD265" i="18"/>
  <c r="AO265" i="18"/>
  <c r="BV265" i="18"/>
  <c r="DJ265" i="18"/>
  <c r="AL265" i="18"/>
  <c r="EE265" i="18"/>
  <c r="Q265" i="18"/>
  <c r="DY265" i="18"/>
  <c r="AI265" i="18"/>
  <c r="CU265" i="18"/>
  <c r="AF265" i="18"/>
  <c r="CR265" i="18"/>
  <c r="AC265" i="18"/>
  <c r="Z265" i="18"/>
  <c r="CL265" i="18"/>
  <c r="DU265" i="18"/>
  <c r="W265" i="18"/>
  <c r="CY265" i="18"/>
  <c r="CF265" i="18"/>
  <c r="BM265" i="18"/>
  <c r="CW265" i="18"/>
  <c r="AQ265" i="18"/>
  <c r="DC265" i="18"/>
  <c r="AN265" i="18"/>
  <c r="CZ265" i="18"/>
  <c r="AK265" i="18"/>
  <c r="BF265" i="18"/>
  <c r="DB265" i="18"/>
  <c r="V265" i="18"/>
  <c r="BR265" i="18"/>
  <c r="BK265" i="18"/>
  <c r="DW265" i="18"/>
  <c r="BH265" i="18"/>
  <c r="DT265" i="18"/>
  <c r="BE265" i="18"/>
  <c r="DI265" i="18"/>
  <c r="R265" i="18"/>
  <c r="CP265" i="18"/>
  <c r="AJ265" i="18"/>
  <c r="AW265" i="18"/>
  <c r="DZ265" i="18"/>
  <c r="AY265" i="18"/>
  <c r="DK265" i="18"/>
  <c r="AV265" i="18"/>
  <c r="DH265" i="18"/>
  <c r="AS265" i="18"/>
  <c r="CK265" i="18"/>
  <c r="DR265" i="18"/>
  <c r="BB265" i="18"/>
  <c r="AM265" i="18"/>
  <c r="DO265" i="18"/>
  <c r="DL265" i="18"/>
  <c r="AP265" i="18"/>
  <c r="DF265" i="18"/>
  <c r="EI244" i="18"/>
  <c r="EI249" i="18"/>
  <c r="EI253" i="18" s="1"/>
  <c r="EI255" i="18" s="1"/>
  <c r="H86" i="18"/>
  <c r="J254" i="18"/>
  <c r="H259" i="18"/>
  <c r="EH260" i="18"/>
  <c r="EH265" i="18" s="1"/>
  <c r="K87" i="18" l="1"/>
  <c r="I86" i="18" s="1"/>
  <c r="I90" i="18"/>
  <c r="K254" i="18"/>
  <c r="H85" i="18"/>
  <c r="H262" i="18"/>
  <c r="I259" i="18"/>
  <c r="J259" i="18" s="1"/>
  <c r="H261" i="18"/>
  <c r="EI260" i="18"/>
  <c r="EI265" i="18" s="1"/>
  <c r="EI412" i="18"/>
  <c r="EI417" i="18"/>
  <c r="L87" i="18" l="1"/>
  <c r="J90" i="18"/>
  <c r="H89" i="18" s="1"/>
  <c r="I85" i="18"/>
  <c r="J86" i="18"/>
  <c r="L254" i="18"/>
  <c r="J262" i="18"/>
  <c r="K259" i="18"/>
  <c r="K262" i="18" s="1"/>
  <c r="I261" i="18"/>
  <c r="J261" i="18" s="1"/>
  <c r="I262" i="18"/>
  <c r="M87" i="18" l="1"/>
  <c r="K90" i="18"/>
  <c r="L259" i="18"/>
  <c r="K86" i="18"/>
  <c r="M254" i="18"/>
  <c r="I210" i="18"/>
  <c r="K261" i="18"/>
  <c r="N87" i="18" l="1"/>
  <c r="L90" i="18"/>
  <c r="M90" i="18" s="1"/>
  <c r="I89" i="18"/>
  <c r="M259" i="18"/>
  <c r="N259" i="18" s="1"/>
  <c r="L86" i="18"/>
  <c r="J85" i="18"/>
  <c r="N254" i="18"/>
  <c r="M257" i="18"/>
  <c r="J210" i="18"/>
  <c r="H209" i="18" s="1"/>
  <c r="H88" i="18"/>
  <c r="O87" i="18" l="1"/>
  <c r="N90" i="18"/>
  <c r="J89" i="18"/>
  <c r="J88" i="18" s="1"/>
  <c r="O259" i="18"/>
  <c r="P259" i="18" s="1"/>
  <c r="Q259" i="18" s="1"/>
  <c r="M86" i="18"/>
  <c r="L85" i="18"/>
  <c r="N257" i="18"/>
  <c r="O254" i="18"/>
  <c r="P254" i="18" s="1"/>
  <c r="Q254" i="18" s="1"/>
  <c r="R254" i="18" s="1"/>
  <c r="S254" i="18" s="1"/>
  <c r="K85" i="18"/>
  <c r="K210" i="18"/>
  <c r="I209" i="18" s="1"/>
  <c r="I208" i="18" s="1"/>
  <c r="H208" i="18"/>
  <c r="I88" i="18"/>
  <c r="P87" i="18" l="1"/>
  <c r="Q87" i="18" s="1"/>
  <c r="R87" i="18" s="1"/>
  <c r="S87" i="18" s="1"/>
  <c r="T87" i="18" s="1"/>
  <c r="O90" i="18"/>
  <c r="P90" i="18" s="1"/>
  <c r="K89" i="18"/>
  <c r="L89" i="18" s="1"/>
  <c r="T254" i="18"/>
  <c r="L210" i="18"/>
  <c r="J209" i="18" s="1"/>
  <c r="R259" i="18"/>
  <c r="S259" i="18" s="1"/>
  <c r="U87" i="18" l="1"/>
  <c r="Q90" i="18"/>
  <c r="R90" i="18" s="1"/>
  <c r="K88" i="18"/>
  <c r="M89" i="18"/>
  <c r="M88" i="18" s="1"/>
  <c r="N86" i="18"/>
  <c r="O86" i="18" s="1"/>
  <c r="P86" i="18" s="1"/>
  <c r="Q86" i="18" s="1"/>
  <c r="R86" i="18" s="1"/>
  <c r="L88" i="18"/>
  <c r="M85" i="18"/>
  <c r="U254" i="18"/>
  <c r="J208" i="18"/>
  <c r="M210" i="18"/>
  <c r="T259" i="18"/>
  <c r="U259" i="18" s="1"/>
  <c r="V87" i="18" l="1"/>
  <c r="S90" i="18"/>
  <c r="T90" i="18" s="1"/>
  <c r="U90" i="18" s="1"/>
  <c r="V90" i="18" s="1"/>
  <c r="N85" i="18"/>
  <c r="S86" i="18"/>
  <c r="T86" i="18" s="1"/>
  <c r="N89" i="18"/>
  <c r="O89" i="18" s="1"/>
  <c r="O85" i="18"/>
  <c r="V254" i="18"/>
  <c r="K209" i="18"/>
  <c r="N210" i="18"/>
  <c r="O210" i="18" s="1"/>
  <c r="V259" i="18"/>
  <c r="W87" i="18" l="1"/>
  <c r="W90" i="18"/>
  <c r="N88" i="18"/>
  <c r="P89" i="18"/>
  <c r="P88" i="18" s="1"/>
  <c r="U86" i="18"/>
  <c r="W254" i="18"/>
  <c r="K208" i="18"/>
  <c r="L209" i="18"/>
  <c r="L208" i="18" s="1"/>
  <c r="P210" i="18"/>
  <c r="Q210" i="18" s="1"/>
  <c r="W259" i="18"/>
  <c r="X87" i="18" l="1"/>
  <c r="X90" i="18"/>
  <c r="Q89" i="18"/>
  <c r="O88" i="18"/>
  <c r="V86" i="18"/>
  <c r="P85" i="18"/>
  <c r="X254" i="18"/>
  <c r="Q85" i="18"/>
  <c r="R210" i="18"/>
  <c r="M209" i="18"/>
  <c r="N209" i="18" s="1"/>
  <c r="N208" i="18" s="1"/>
  <c r="X259" i="18"/>
  <c r="Y87" i="18" l="1"/>
  <c r="Y90" i="18"/>
  <c r="R89" i="18"/>
  <c r="S89" i="18" s="1"/>
  <c r="T89" i="18" s="1"/>
  <c r="U89" i="18" s="1"/>
  <c r="V89" i="18" s="1"/>
  <c r="Q88" i="18"/>
  <c r="R85" i="18"/>
  <c r="Y254" i="18"/>
  <c r="M208" i="18"/>
  <c r="O209" i="18"/>
  <c r="S210" i="18"/>
  <c r="T210" i="18" s="1"/>
  <c r="U210" i="18" s="1"/>
  <c r="V210" i="18" s="1"/>
  <c r="W210" i="18" s="1"/>
  <c r="Y259" i="18"/>
  <c r="Z87" i="18" l="1"/>
  <c r="W89" i="18"/>
  <c r="Z90" i="18"/>
  <c r="R88" i="18"/>
  <c r="W86" i="18"/>
  <c r="X86" i="18" s="1"/>
  <c r="Y86" i="18" s="1"/>
  <c r="Z86" i="18" s="1"/>
  <c r="AA86" i="18" s="1"/>
  <c r="AB86" i="18" s="1"/>
  <c r="AC86" i="18" s="1"/>
  <c r="AD86" i="18" s="1"/>
  <c r="AE86" i="18" s="1"/>
  <c r="AF86" i="18" s="1"/>
  <c r="AG86" i="18" s="1"/>
  <c r="AH86" i="18" s="1"/>
  <c r="AI86" i="18" s="1"/>
  <c r="AJ86" i="18" s="1"/>
  <c r="AK86" i="18" s="1"/>
  <c r="AL86" i="18" s="1"/>
  <c r="AM86" i="18" s="1"/>
  <c r="AN86" i="18" s="1"/>
  <c r="AO86" i="18" s="1"/>
  <c r="AP86" i="18" s="1"/>
  <c r="AQ86" i="18" s="1"/>
  <c r="AR86" i="18" s="1"/>
  <c r="AS86" i="18" s="1"/>
  <c r="AT86" i="18" s="1"/>
  <c r="AU86" i="18" s="1"/>
  <c r="AV86" i="18" s="1"/>
  <c r="AW86" i="18" s="1"/>
  <c r="AX86" i="18" s="1"/>
  <c r="AY86" i="18" s="1"/>
  <c r="AZ86" i="18" s="1"/>
  <c r="BA86" i="18" s="1"/>
  <c r="BB86" i="18" s="1"/>
  <c r="BC86" i="18" s="1"/>
  <c r="BD86" i="18" s="1"/>
  <c r="BE86" i="18" s="1"/>
  <c r="BF86" i="18" s="1"/>
  <c r="BG86" i="18" s="1"/>
  <c r="BH86" i="18" s="1"/>
  <c r="BI86" i="18" s="1"/>
  <c r="BJ86" i="18" s="1"/>
  <c r="BK86" i="18" s="1"/>
  <c r="BL86" i="18" s="1"/>
  <c r="BM86" i="18" s="1"/>
  <c r="BN86" i="18" s="1"/>
  <c r="BO86" i="18" s="1"/>
  <c r="BP86" i="18" s="1"/>
  <c r="BQ86" i="18" s="1"/>
  <c r="BR86" i="18" s="1"/>
  <c r="BS86" i="18" s="1"/>
  <c r="BT86" i="18" s="1"/>
  <c r="BU86" i="18" s="1"/>
  <c r="BV86" i="18" s="1"/>
  <c r="BW86" i="18" s="1"/>
  <c r="BX86" i="18" s="1"/>
  <c r="BY86" i="18" s="1"/>
  <c r="BZ86" i="18" s="1"/>
  <c r="CA86" i="18" s="1"/>
  <c r="CB86" i="18" s="1"/>
  <c r="CC86" i="18" s="1"/>
  <c r="CD86" i="18" s="1"/>
  <c r="CE86" i="18" s="1"/>
  <c r="CF86" i="18" s="1"/>
  <c r="CG86" i="18" s="1"/>
  <c r="CH86" i="18" s="1"/>
  <c r="CI86" i="18" s="1"/>
  <c r="CJ86" i="18" s="1"/>
  <c r="CK86" i="18" s="1"/>
  <c r="CL86" i="18" s="1"/>
  <c r="CM86" i="18" s="1"/>
  <c r="CN86" i="18" s="1"/>
  <c r="CO86" i="18" s="1"/>
  <c r="CP86" i="18" s="1"/>
  <c r="CQ86" i="18" s="1"/>
  <c r="CR86" i="18" s="1"/>
  <c r="CS86" i="18" s="1"/>
  <c r="CT86" i="18" s="1"/>
  <c r="CU86" i="18" s="1"/>
  <c r="CV86" i="18" s="1"/>
  <c r="CW86" i="18" s="1"/>
  <c r="CX86" i="18" s="1"/>
  <c r="CY86" i="18" s="1"/>
  <c r="CZ86" i="18" s="1"/>
  <c r="DA86" i="18" s="1"/>
  <c r="DB86" i="18" s="1"/>
  <c r="DC86" i="18" s="1"/>
  <c r="DD86" i="18" s="1"/>
  <c r="DE86" i="18" s="1"/>
  <c r="DF86" i="18" s="1"/>
  <c r="DG86" i="18" s="1"/>
  <c r="DH86" i="18" s="1"/>
  <c r="DI86" i="18" s="1"/>
  <c r="DJ86" i="18" s="1"/>
  <c r="DK86" i="18" s="1"/>
  <c r="DL86" i="18" s="1"/>
  <c r="DM86" i="18" s="1"/>
  <c r="DN86" i="18" s="1"/>
  <c r="DO86" i="18" s="1"/>
  <c r="DP86" i="18" s="1"/>
  <c r="DQ86" i="18" s="1"/>
  <c r="DR86" i="18" s="1"/>
  <c r="DS86" i="18" s="1"/>
  <c r="DT86" i="18" s="1"/>
  <c r="DU86" i="18" s="1"/>
  <c r="DV86" i="18" s="1"/>
  <c r="DW86" i="18" s="1"/>
  <c r="DX86" i="18" s="1"/>
  <c r="DY86" i="18" s="1"/>
  <c r="DZ86" i="18" s="1"/>
  <c r="EA86" i="18" s="1"/>
  <c r="EB86" i="18" s="1"/>
  <c r="EC86" i="18" s="1"/>
  <c r="ED86" i="18" s="1"/>
  <c r="EE86" i="18" s="1"/>
  <c r="EF86" i="18" s="1"/>
  <c r="EG86" i="18" s="1"/>
  <c r="EH86" i="18" s="1"/>
  <c r="EI86" i="18" s="1"/>
  <c r="Z254" i="18"/>
  <c r="S85" i="18"/>
  <c r="O208" i="18"/>
  <c r="P209" i="18"/>
  <c r="S88" i="18"/>
  <c r="Z259" i="18"/>
  <c r="AA87" i="18" l="1"/>
  <c r="AB87" i="18" s="1"/>
  <c r="AC87" i="18" s="1"/>
  <c r="AD87" i="18" s="1"/>
  <c r="AE87" i="18" s="1"/>
  <c r="AF87" i="18" s="1"/>
  <c r="AG87" i="18" s="1"/>
  <c r="AH87" i="18" s="1"/>
  <c r="AI87" i="18" s="1"/>
  <c r="AJ87" i="18" s="1"/>
  <c r="AK87" i="18" s="1"/>
  <c r="AL87" i="18" s="1"/>
  <c r="AM87" i="18" s="1"/>
  <c r="AN87" i="18" s="1"/>
  <c r="AO87" i="18" s="1"/>
  <c r="AP87" i="18" s="1"/>
  <c r="AQ87" i="18" s="1"/>
  <c r="AR87" i="18" s="1"/>
  <c r="AS87" i="18" s="1"/>
  <c r="AT87" i="18" s="1"/>
  <c r="AU87" i="18" s="1"/>
  <c r="AV87" i="18" s="1"/>
  <c r="AW87" i="18" s="1"/>
  <c r="AX87" i="18" s="1"/>
  <c r="AY87" i="18" s="1"/>
  <c r="AZ87" i="18" s="1"/>
  <c r="BA87" i="18" s="1"/>
  <c r="BB87" i="18" s="1"/>
  <c r="BC87" i="18" s="1"/>
  <c r="BD87" i="18" s="1"/>
  <c r="BE87" i="18" s="1"/>
  <c r="BF87" i="18" s="1"/>
  <c r="BG87" i="18" s="1"/>
  <c r="BH87" i="18" s="1"/>
  <c r="BI87" i="18" s="1"/>
  <c r="BJ87" i="18" s="1"/>
  <c r="BK87" i="18" s="1"/>
  <c r="BL87" i="18" s="1"/>
  <c r="BM87" i="18" s="1"/>
  <c r="BN87" i="18" s="1"/>
  <c r="BO87" i="18" s="1"/>
  <c r="BP87" i="18" s="1"/>
  <c r="BQ87" i="18" s="1"/>
  <c r="BR87" i="18" s="1"/>
  <c r="BS87" i="18" s="1"/>
  <c r="BT87" i="18" s="1"/>
  <c r="BU87" i="18" s="1"/>
  <c r="BV87" i="18" s="1"/>
  <c r="BW87" i="18" s="1"/>
  <c r="BX87" i="18" s="1"/>
  <c r="BY87" i="18" s="1"/>
  <c r="BZ87" i="18" s="1"/>
  <c r="CA87" i="18" s="1"/>
  <c r="CB87" i="18" s="1"/>
  <c r="CC87" i="18" s="1"/>
  <c r="CD87" i="18" s="1"/>
  <c r="CE87" i="18" s="1"/>
  <c r="CF87" i="18" s="1"/>
  <c r="CG87" i="18" s="1"/>
  <c r="CH87" i="18" s="1"/>
  <c r="CI87" i="18" s="1"/>
  <c r="CJ87" i="18" s="1"/>
  <c r="CK87" i="18" s="1"/>
  <c r="CL87" i="18" s="1"/>
  <c r="CM87" i="18" s="1"/>
  <c r="CN87" i="18" s="1"/>
  <c r="CO87" i="18" s="1"/>
  <c r="CP87" i="18" s="1"/>
  <c r="CQ87" i="18" s="1"/>
  <c r="CR87" i="18" s="1"/>
  <c r="CS87" i="18" s="1"/>
  <c r="CT87" i="18" s="1"/>
  <c r="CU87" i="18" s="1"/>
  <c r="CV87" i="18" s="1"/>
  <c r="CW87" i="18" s="1"/>
  <c r="CX87" i="18" s="1"/>
  <c r="CY87" i="18" s="1"/>
  <c r="CZ87" i="18" s="1"/>
  <c r="DA87" i="18" s="1"/>
  <c r="DB87" i="18" s="1"/>
  <c r="DC87" i="18" s="1"/>
  <c r="DD87" i="18" s="1"/>
  <c r="DE87" i="18" s="1"/>
  <c r="DF87" i="18" s="1"/>
  <c r="DG87" i="18" s="1"/>
  <c r="DH87" i="18" s="1"/>
  <c r="DI87" i="18" s="1"/>
  <c r="DJ87" i="18" s="1"/>
  <c r="DK87" i="18" s="1"/>
  <c r="DL87" i="18" s="1"/>
  <c r="DM87" i="18" s="1"/>
  <c r="DN87" i="18" s="1"/>
  <c r="DO87" i="18" s="1"/>
  <c r="DP87" i="18" s="1"/>
  <c r="DQ87" i="18" s="1"/>
  <c r="DR87" i="18" s="1"/>
  <c r="DS87" i="18" s="1"/>
  <c r="DT87" i="18" s="1"/>
  <c r="DU87" i="18" s="1"/>
  <c r="DV87" i="18" s="1"/>
  <c r="DW87" i="18" s="1"/>
  <c r="DX87" i="18" s="1"/>
  <c r="DY87" i="18" s="1"/>
  <c r="DZ87" i="18" s="1"/>
  <c r="EA87" i="18" s="1"/>
  <c r="EB87" i="18" s="1"/>
  <c r="EC87" i="18" s="1"/>
  <c r="ED87" i="18" s="1"/>
  <c r="EE87" i="18" s="1"/>
  <c r="EF87" i="18" s="1"/>
  <c r="EG87" i="18" s="1"/>
  <c r="EH87" i="18" s="1"/>
  <c r="EI87" i="18" s="1"/>
  <c r="X89" i="18"/>
  <c r="AA90" i="18"/>
  <c r="AA254" i="18"/>
  <c r="T85" i="18"/>
  <c r="P208" i="18"/>
  <c r="Q209" i="18"/>
  <c r="T88" i="18"/>
  <c r="AA259" i="18"/>
  <c r="F87" i="18" l="1"/>
  <c r="E87" i="18" s="1"/>
  <c r="Y89" i="18"/>
  <c r="AB90" i="18"/>
  <c r="U85" i="18"/>
  <c r="AA257" i="18"/>
  <c r="AB254" i="18"/>
  <c r="Q208" i="18"/>
  <c r="R209" i="18"/>
  <c r="Y210" i="18"/>
  <c r="U88" i="18"/>
  <c r="AB259" i="18"/>
  <c r="U229" i="6"/>
  <c r="U228" i="6"/>
  <c r="O228" i="6"/>
  <c r="P228" i="6"/>
  <c r="Q228" i="6"/>
  <c r="R228" i="6"/>
  <c r="S228" i="6"/>
  <c r="T228" i="6"/>
  <c r="V228" i="6"/>
  <c r="W228" i="6"/>
  <c r="O229" i="6"/>
  <c r="P229" i="6"/>
  <c r="Q229" i="6"/>
  <c r="R229" i="6"/>
  <c r="S229" i="6"/>
  <c r="T229" i="6"/>
  <c r="V229" i="6"/>
  <c r="W229" i="6"/>
  <c r="O230" i="6"/>
  <c r="P230" i="6"/>
  <c r="Q230" i="6"/>
  <c r="R230" i="6"/>
  <c r="S230" i="6"/>
  <c r="T230" i="6"/>
  <c r="U230" i="6"/>
  <c r="V230" i="6"/>
  <c r="W230" i="6"/>
  <c r="M230" i="6"/>
  <c r="M229" i="6"/>
  <c r="M228" i="6"/>
  <c r="M226" i="6"/>
  <c r="M227" i="6"/>
  <c r="N232" i="6"/>
  <c r="O232" i="6"/>
  <c r="P232" i="6"/>
  <c r="Q232" i="6"/>
  <c r="R232" i="6"/>
  <c r="S232" i="6"/>
  <c r="T232" i="6"/>
  <c r="U232" i="6"/>
  <c r="V232" i="6"/>
  <c r="W232" i="6"/>
  <c r="M232" i="6"/>
  <c r="N231" i="6"/>
  <c r="O231" i="6"/>
  <c r="P231" i="6"/>
  <c r="Q231" i="6"/>
  <c r="R231" i="6"/>
  <c r="S231" i="6"/>
  <c r="T231" i="6"/>
  <c r="U231" i="6"/>
  <c r="V231" i="6"/>
  <c r="W231" i="6"/>
  <c r="M231" i="6"/>
  <c r="M233" i="6"/>
  <c r="Z89" i="18" l="1"/>
  <c r="AC90" i="18"/>
  <c r="AB257" i="18"/>
  <c r="AC254" i="18"/>
  <c r="V85" i="18"/>
  <c r="Z210" i="18"/>
  <c r="R208" i="18"/>
  <c r="S209" i="18"/>
  <c r="V88" i="18"/>
  <c r="AC259" i="18"/>
  <c r="AA89" i="18" l="1"/>
  <c r="AD90" i="18"/>
  <c r="AC257" i="18"/>
  <c r="AD254" i="18"/>
  <c r="W85" i="18"/>
  <c r="AA210" i="18"/>
  <c r="S208" i="18"/>
  <c r="T209" i="18"/>
  <c r="W88" i="18"/>
  <c r="AD259" i="18"/>
  <c r="AB89" i="18" l="1"/>
  <c r="AE90" i="18"/>
  <c r="X85" i="18"/>
  <c r="AD257" i="18"/>
  <c r="AE254" i="18"/>
  <c r="T208" i="18"/>
  <c r="U209" i="18"/>
  <c r="AB210" i="18"/>
  <c r="X88" i="18"/>
  <c r="Y88" i="18"/>
  <c r="AE259" i="18"/>
  <c r="AC89" i="18" l="1"/>
  <c r="AF90" i="18"/>
  <c r="Y85" i="18"/>
  <c r="AE257" i="18"/>
  <c r="AF254" i="18"/>
  <c r="AC210" i="18"/>
  <c r="U208" i="18"/>
  <c r="AF259" i="18"/>
  <c r="O155" i="6"/>
  <c r="P155" i="6"/>
  <c r="Q155" i="6"/>
  <c r="R155" i="6"/>
  <c r="S155" i="6"/>
  <c r="T155" i="6"/>
  <c r="U155" i="6"/>
  <c r="V155" i="6"/>
  <c r="W155" i="6"/>
  <c r="O156" i="6"/>
  <c r="P156" i="6"/>
  <c r="Q156" i="6"/>
  <c r="R156" i="6"/>
  <c r="S156" i="6"/>
  <c r="T156" i="6"/>
  <c r="U156" i="6"/>
  <c r="V156" i="6"/>
  <c r="W156" i="6"/>
  <c r="O161" i="6"/>
  <c r="P161" i="6"/>
  <c r="Q161" i="6"/>
  <c r="R161" i="6"/>
  <c r="S161" i="6"/>
  <c r="T161" i="6"/>
  <c r="U161" i="6"/>
  <c r="V161" i="6"/>
  <c r="W161" i="6"/>
  <c r="M161" i="6"/>
  <c r="M156" i="6"/>
  <c r="M155" i="6"/>
  <c r="G162" i="6"/>
  <c r="AG90" i="18" l="1"/>
  <c r="AD89" i="18"/>
  <c r="Z85" i="18"/>
  <c r="AF257" i="18"/>
  <c r="AG254" i="18"/>
  <c r="AD210" i="18"/>
  <c r="Z88" i="18"/>
  <c r="AG259" i="18"/>
  <c r="I520" i="6"/>
  <c r="K520" i="6" s="1"/>
  <c r="I523" i="6"/>
  <c r="K523" i="6" s="1"/>
  <c r="I521" i="6"/>
  <c r="K521" i="6" s="1"/>
  <c r="I518" i="6"/>
  <c r="K518" i="6" s="1"/>
  <c r="I519" i="6"/>
  <c r="K519" i="6" s="1"/>
  <c r="I522" i="6"/>
  <c r="K522" i="6" s="1"/>
  <c r="AE89" i="18" l="1"/>
  <c r="AH90" i="18"/>
  <c r="AG257" i="18"/>
  <c r="AH254" i="18"/>
  <c r="AA85" i="18"/>
  <c r="AE210" i="18"/>
  <c r="AA88" i="18"/>
  <c r="AH259" i="18"/>
  <c r="C111" i="10"/>
  <c r="C112" i="10"/>
  <c r="M375" i="6"/>
  <c r="M376" i="6"/>
  <c r="M383" i="6"/>
  <c r="M384" i="6"/>
  <c r="M385" i="6"/>
  <c r="M386" i="6"/>
  <c r="M387" i="6"/>
  <c r="M388" i="6"/>
  <c r="M389" i="6"/>
  <c r="M390" i="6"/>
  <c r="M391" i="6"/>
  <c r="M392" i="6"/>
  <c r="M393" i="6"/>
  <c r="M394" i="6"/>
  <c r="M398" i="6"/>
  <c r="M399" i="6"/>
  <c r="M400" i="6"/>
  <c r="M432" i="6"/>
  <c r="AC432" i="6" s="1"/>
  <c r="M452" i="6"/>
  <c r="AC452" i="6" s="1"/>
  <c r="M380" i="6"/>
  <c r="M381" i="6"/>
  <c r="M382" i="6"/>
  <c r="M328" i="6"/>
  <c r="M329" i="6"/>
  <c r="M330" i="6"/>
  <c r="M331" i="6"/>
  <c r="M332" i="6"/>
  <c r="M333" i="6"/>
  <c r="M334" i="6"/>
  <c r="AC334" i="6" s="1"/>
  <c r="M335" i="6"/>
  <c r="AC335" i="6" s="1"/>
  <c r="M336" i="6"/>
  <c r="AC336" i="6" s="1"/>
  <c r="M338" i="6"/>
  <c r="AC338" i="6" s="1"/>
  <c r="M339" i="6"/>
  <c r="AC339" i="6" s="1"/>
  <c r="M285" i="6"/>
  <c r="M286" i="6"/>
  <c r="M287" i="6"/>
  <c r="M288" i="6"/>
  <c r="M289" i="6"/>
  <c r="M295" i="6"/>
  <c r="M296" i="6"/>
  <c r="M297" i="6"/>
  <c r="M298" i="6"/>
  <c r="M299" i="6"/>
  <c r="M308" i="6"/>
  <c r="M341" i="6"/>
  <c r="M342" i="6"/>
  <c r="M343" i="6"/>
  <c r="M344" i="6"/>
  <c r="M345" i="6"/>
  <c r="M346" i="6"/>
  <c r="M310" i="6"/>
  <c r="M309" i="6"/>
  <c r="M151" i="6"/>
  <c r="M158" i="6"/>
  <c r="M159" i="6"/>
  <c r="M160" i="6"/>
  <c r="M163" i="6"/>
  <c r="M149" i="6"/>
  <c r="H185" i="9"/>
  <c r="M150" i="6"/>
  <c r="N285" i="6"/>
  <c r="O285" i="6"/>
  <c r="P285" i="6"/>
  <c r="Q285" i="6"/>
  <c r="R285" i="6"/>
  <c r="S285" i="6"/>
  <c r="T285" i="6"/>
  <c r="U285" i="6"/>
  <c r="V285" i="6"/>
  <c r="W285" i="6"/>
  <c r="N286" i="6"/>
  <c r="O286" i="6"/>
  <c r="P286" i="6"/>
  <c r="Q286" i="6"/>
  <c r="R286" i="6"/>
  <c r="S286" i="6"/>
  <c r="T286" i="6"/>
  <c r="U286" i="6"/>
  <c r="V286" i="6"/>
  <c r="W286" i="6"/>
  <c r="N287" i="6"/>
  <c r="O287" i="6"/>
  <c r="P287" i="6"/>
  <c r="Q287" i="6"/>
  <c r="R287" i="6"/>
  <c r="S287" i="6"/>
  <c r="T287" i="6"/>
  <c r="U287" i="6"/>
  <c r="V287" i="6"/>
  <c r="W287" i="6"/>
  <c r="N288" i="6"/>
  <c r="O288" i="6"/>
  <c r="P288" i="6"/>
  <c r="Q288" i="6"/>
  <c r="R288" i="6"/>
  <c r="S288" i="6"/>
  <c r="T288" i="6"/>
  <c r="U288" i="6"/>
  <c r="V288" i="6"/>
  <c r="W288" i="6"/>
  <c r="N289" i="6"/>
  <c r="O289" i="6"/>
  <c r="P289" i="6"/>
  <c r="Q289" i="6"/>
  <c r="R289" i="6"/>
  <c r="S289" i="6"/>
  <c r="T289" i="6"/>
  <c r="U289" i="6"/>
  <c r="V289" i="6"/>
  <c r="W289" i="6"/>
  <c r="N295" i="6"/>
  <c r="O295" i="6"/>
  <c r="P295" i="6"/>
  <c r="Q295" i="6"/>
  <c r="R295" i="6"/>
  <c r="S295" i="6"/>
  <c r="T295" i="6"/>
  <c r="U295" i="6"/>
  <c r="V295" i="6"/>
  <c r="W295" i="6"/>
  <c r="N296" i="6"/>
  <c r="O296" i="6"/>
  <c r="P296" i="6"/>
  <c r="Q296" i="6"/>
  <c r="R296" i="6"/>
  <c r="S296" i="6"/>
  <c r="T296" i="6"/>
  <c r="U296" i="6"/>
  <c r="V296" i="6"/>
  <c r="W296" i="6"/>
  <c r="N297" i="6"/>
  <c r="O297" i="6"/>
  <c r="P297" i="6"/>
  <c r="Q297" i="6"/>
  <c r="R297" i="6"/>
  <c r="S297" i="6"/>
  <c r="T297" i="6"/>
  <c r="U297" i="6"/>
  <c r="V297" i="6"/>
  <c r="W297" i="6"/>
  <c r="N298" i="6"/>
  <c r="O298" i="6"/>
  <c r="P298" i="6"/>
  <c r="Q298" i="6"/>
  <c r="R298" i="6"/>
  <c r="S298" i="6"/>
  <c r="T298" i="6"/>
  <c r="U298" i="6"/>
  <c r="V298" i="6"/>
  <c r="W298" i="6"/>
  <c r="N299" i="6"/>
  <c r="O299" i="6"/>
  <c r="P299" i="6"/>
  <c r="Q299" i="6"/>
  <c r="R299" i="6"/>
  <c r="S299" i="6"/>
  <c r="T299" i="6"/>
  <c r="U299" i="6"/>
  <c r="V299" i="6"/>
  <c r="W299" i="6"/>
  <c r="O328" i="6"/>
  <c r="P328" i="6"/>
  <c r="Q328" i="6"/>
  <c r="R328" i="6"/>
  <c r="S328" i="6"/>
  <c r="T328" i="6"/>
  <c r="U328" i="6"/>
  <c r="V328" i="6"/>
  <c r="W328" i="6"/>
  <c r="O329" i="6"/>
  <c r="P329" i="6"/>
  <c r="Q329" i="6"/>
  <c r="R329" i="6"/>
  <c r="S329" i="6"/>
  <c r="T329" i="6"/>
  <c r="U329" i="6"/>
  <c r="V329" i="6"/>
  <c r="W329" i="6"/>
  <c r="O330" i="6"/>
  <c r="P330" i="6"/>
  <c r="Q330" i="6"/>
  <c r="R330" i="6"/>
  <c r="S330" i="6"/>
  <c r="T330" i="6"/>
  <c r="U330" i="6"/>
  <c r="V330" i="6"/>
  <c r="W330" i="6"/>
  <c r="L331" i="6"/>
  <c r="O331" i="6"/>
  <c r="P331" i="6"/>
  <c r="Q331" i="6"/>
  <c r="R331" i="6"/>
  <c r="S331" i="6"/>
  <c r="T331" i="6"/>
  <c r="U331" i="6"/>
  <c r="V331" i="6"/>
  <c r="W331" i="6"/>
  <c r="O332" i="6"/>
  <c r="P332" i="6"/>
  <c r="Q332" i="6"/>
  <c r="R332" i="6"/>
  <c r="S332" i="6"/>
  <c r="T332" i="6"/>
  <c r="U332" i="6"/>
  <c r="V332" i="6"/>
  <c r="W332" i="6"/>
  <c r="O333" i="6"/>
  <c r="P333" i="6"/>
  <c r="Q333" i="6"/>
  <c r="R333" i="6"/>
  <c r="S333" i="6"/>
  <c r="T333" i="6"/>
  <c r="U333" i="6"/>
  <c r="V333" i="6"/>
  <c r="W333" i="6"/>
  <c r="O334" i="6"/>
  <c r="AE334" i="6" s="1"/>
  <c r="P334" i="6"/>
  <c r="AF334" i="6" s="1"/>
  <c r="Q334" i="6"/>
  <c r="AG334" i="6" s="1"/>
  <c r="R334" i="6"/>
  <c r="AH334" i="6" s="1"/>
  <c r="S334" i="6"/>
  <c r="AI334" i="6" s="1"/>
  <c r="T334" i="6"/>
  <c r="AJ334" i="6" s="1"/>
  <c r="U334" i="6"/>
  <c r="AK334" i="6" s="1"/>
  <c r="V334" i="6"/>
  <c r="AL334" i="6" s="1"/>
  <c r="W334" i="6"/>
  <c r="AM334" i="6" s="1"/>
  <c r="O335" i="6"/>
  <c r="AE335" i="6" s="1"/>
  <c r="P335" i="6"/>
  <c r="AF335" i="6" s="1"/>
  <c r="Q335" i="6"/>
  <c r="AG335" i="6" s="1"/>
  <c r="R335" i="6"/>
  <c r="AH335" i="6" s="1"/>
  <c r="S335" i="6"/>
  <c r="AI335" i="6" s="1"/>
  <c r="T335" i="6"/>
  <c r="AJ335" i="6" s="1"/>
  <c r="U335" i="6"/>
  <c r="AK335" i="6" s="1"/>
  <c r="V335" i="6"/>
  <c r="AL335" i="6" s="1"/>
  <c r="W335" i="6"/>
  <c r="AM335" i="6" s="1"/>
  <c r="O336" i="6"/>
  <c r="AE336" i="6" s="1"/>
  <c r="P336" i="6"/>
  <c r="AF336" i="6" s="1"/>
  <c r="Q336" i="6"/>
  <c r="AG336" i="6" s="1"/>
  <c r="R336" i="6"/>
  <c r="AH336" i="6" s="1"/>
  <c r="S336" i="6"/>
  <c r="AI336" i="6" s="1"/>
  <c r="T336" i="6"/>
  <c r="AJ336" i="6" s="1"/>
  <c r="U336" i="6"/>
  <c r="AK336" i="6" s="1"/>
  <c r="V336" i="6"/>
  <c r="AL336" i="6" s="1"/>
  <c r="W336" i="6"/>
  <c r="AM336" i="6" s="1"/>
  <c r="L337" i="6"/>
  <c r="AB337" i="6" s="1"/>
  <c r="E386" i="10" s="1"/>
  <c r="O337" i="6"/>
  <c r="AE337" i="6" s="1"/>
  <c r="P337" i="6"/>
  <c r="AF337" i="6" s="1"/>
  <c r="Q337" i="6"/>
  <c r="AG337" i="6" s="1"/>
  <c r="R337" i="6"/>
  <c r="AH337" i="6" s="1"/>
  <c r="S337" i="6"/>
  <c r="AI337" i="6" s="1"/>
  <c r="T337" i="6"/>
  <c r="AJ337" i="6" s="1"/>
  <c r="U337" i="6"/>
  <c r="AK337" i="6" s="1"/>
  <c r="V337" i="6"/>
  <c r="AL337" i="6" s="1"/>
  <c r="W337" i="6"/>
  <c r="AM337" i="6" s="1"/>
  <c r="O338" i="6"/>
  <c r="AE338" i="6" s="1"/>
  <c r="P338" i="6"/>
  <c r="AF338" i="6" s="1"/>
  <c r="Q338" i="6"/>
  <c r="AG338" i="6" s="1"/>
  <c r="R338" i="6"/>
  <c r="AH338" i="6" s="1"/>
  <c r="S338" i="6"/>
  <c r="AI338" i="6" s="1"/>
  <c r="T338" i="6"/>
  <c r="AJ338" i="6" s="1"/>
  <c r="U338" i="6"/>
  <c r="AK338" i="6" s="1"/>
  <c r="V338" i="6"/>
  <c r="AL338" i="6" s="1"/>
  <c r="W338" i="6"/>
  <c r="AM338" i="6" s="1"/>
  <c r="O339" i="6"/>
  <c r="AE339" i="6" s="1"/>
  <c r="P339" i="6"/>
  <c r="AF339" i="6" s="1"/>
  <c r="Q339" i="6"/>
  <c r="AG339" i="6" s="1"/>
  <c r="R339" i="6"/>
  <c r="AH339" i="6" s="1"/>
  <c r="S339" i="6"/>
  <c r="AI339" i="6" s="1"/>
  <c r="T339" i="6"/>
  <c r="AJ339" i="6" s="1"/>
  <c r="U339" i="6"/>
  <c r="AK339" i="6" s="1"/>
  <c r="V339" i="6"/>
  <c r="AL339" i="6" s="1"/>
  <c r="W339" i="6"/>
  <c r="AM339" i="6" s="1"/>
  <c r="O341" i="6"/>
  <c r="P341" i="6"/>
  <c r="Q341" i="6"/>
  <c r="R341" i="6"/>
  <c r="S341" i="6"/>
  <c r="T341" i="6"/>
  <c r="U341" i="6"/>
  <c r="V341" i="6"/>
  <c r="W341" i="6"/>
  <c r="O342" i="6"/>
  <c r="P342" i="6"/>
  <c r="Q342" i="6"/>
  <c r="R342" i="6"/>
  <c r="S342" i="6"/>
  <c r="T342" i="6"/>
  <c r="U342" i="6"/>
  <c r="V342" i="6"/>
  <c r="W342" i="6"/>
  <c r="O343" i="6"/>
  <c r="P343" i="6"/>
  <c r="Q343" i="6"/>
  <c r="R343" i="6"/>
  <c r="S343" i="6"/>
  <c r="T343" i="6"/>
  <c r="U343" i="6"/>
  <c r="V343" i="6"/>
  <c r="W343" i="6"/>
  <c r="O344" i="6"/>
  <c r="P344" i="6"/>
  <c r="Q344" i="6"/>
  <c r="R344" i="6"/>
  <c r="S344" i="6"/>
  <c r="T344" i="6"/>
  <c r="U344" i="6"/>
  <c r="V344" i="6"/>
  <c r="W344" i="6"/>
  <c r="O345" i="6"/>
  <c r="P345" i="6"/>
  <c r="Q345" i="6"/>
  <c r="R345" i="6"/>
  <c r="S345" i="6"/>
  <c r="T345" i="6"/>
  <c r="U345" i="6"/>
  <c r="V345" i="6"/>
  <c r="W345" i="6"/>
  <c r="O346" i="6"/>
  <c r="P346" i="6"/>
  <c r="Q346" i="6"/>
  <c r="R346" i="6"/>
  <c r="S346" i="6"/>
  <c r="T346" i="6"/>
  <c r="U346" i="6"/>
  <c r="V346" i="6"/>
  <c r="W346" i="6"/>
  <c r="O374" i="6"/>
  <c r="P374" i="6"/>
  <c r="Q374" i="6"/>
  <c r="R374" i="6"/>
  <c r="S374" i="6"/>
  <c r="T374" i="6"/>
  <c r="U374" i="6"/>
  <c r="V374" i="6"/>
  <c r="W374" i="6"/>
  <c r="O375" i="6"/>
  <c r="P375" i="6"/>
  <c r="Q375" i="6"/>
  <c r="R375" i="6"/>
  <c r="S375" i="6"/>
  <c r="T375" i="6"/>
  <c r="U375" i="6"/>
  <c r="V375" i="6"/>
  <c r="W375" i="6"/>
  <c r="O376" i="6"/>
  <c r="P376" i="6"/>
  <c r="Q376" i="6"/>
  <c r="R376" i="6"/>
  <c r="S376" i="6"/>
  <c r="T376" i="6"/>
  <c r="U376" i="6"/>
  <c r="V376" i="6"/>
  <c r="W376" i="6"/>
  <c r="L383" i="6"/>
  <c r="E323" i="10" s="1"/>
  <c r="O383" i="6"/>
  <c r="P383" i="6"/>
  <c r="Q383" i="6"/>
  <c r="R383" i="6"/>
  <c r="S383" i="6"/>
  <c r="T383" i="6"/>
  <c r="U383" i="6"/>
  <c r="V383" i="6"/>
  <c r="W383" i="6"/>
  <c r="O384" i="6"/>
  <c r="P384" i="6"/>
  <c r="Q384" i="6"/>
  <c r="R384" i="6"/>
  <c r="S384" i="6"/>
  <c r="T384" i="6"/>
  <c r="U384" i="6"/>
  <c r="V384" i="6"/>
  <c r="W384" i="6"/>
  <c r="O385" i="6"/>
  <c r="P385" i="6"/>
  <c r="Q385" i="6"/>
  <c r="R385" i="6"/>
  <c r="S385" i="6"/>
  <c r="T385" i="6"/>
  <c r="U385" i="6"/>
  <c r="V385" i="6"/>
  <c r="W385" i="6"/>
  <c r="L386" i="6"/>
  <c r="E329" i="10" s="1"/>
  <c r="O386" i="6"/>
  <c r="P386" i="6"/>
  <c r="Q386" i="6"/>
  <c r="R386" i="6"/>
  <c r="S386" i="6"/>
  <c r="T386" i="6"/>
  <c r="U386" i="6"/>
  <c r="V386" i="6"/>
  <c r="W386" i="6"/>
  <c r="O387" i="6"/>
  <c r="P387" i="6"/>
  <c r="Q387" i="6"/>
  <c r="R387" i="6"/>
  <c r="S387" i="6"/>
  <c r="T387" i="6"/>
  <c r="U387" i="6"/>
  <c r="V387" i="6"/>
  <c r="W387" i="6"/>
  <c r="O388" i="6"/>
  <c r="P388" i="6"/>
  <c r="Q388" i="6"/>
  <c r="R388" i="6"/>
  <c r="S388" i="6"/>
  <c r="T388" i="6"/>
  <c r="U388" i="6"/>
  <c r="V388" i="6"/>
  <c r="W388" i="6"/>
  <c r="L389" i="6"/>
  <c r="E332" i="10" s="1"/>
  <c r="O389" i="6"/>
  <c r="P389" i="6"/>
  <c r="Q389" i="6"/>
  <c r="R389" i="6"/>
  <c r="S389" i="6"/>
  <c r="T389" i="6"/>
  <c r="U389" i="6"/>
  <c r="V389" i="6"/>
  <c r="W389" i="6"/>
  <c r="O390" i="6"/>
  <c r="P390" i="6"/>
  <c r="Q390" i="6"/>
  <c r="R390" i="6"/>
  <c r="S390" i="6"/>
  <c r="T390" i="6"/>
  <c r="U390" i="6"/>
  <c r="V390" i="6"/>
  <c r="W390" i="6"/>
  <c r="O391" i="6"/>
  <c r="P391" i="6"/>
  <c r="Q391" i="6"/>
  <c r="R391" i="6"/>
  <c r="S391" i="6"/>
  <c r="T391" i="6"/>
  <c r="U391" i="6"/>
  <c r="V391" i="6"/>
  <c r="W391" i="6"/>
  <c r="L392" i="6"/>
  <c r="E336" i="10" s="1"/>
  <c r="O392" i="6"/>
  <c r="P392" i="6"/>
  <c r="Q392" i="6"/>
  <c r="R392" i="6"/>
  <c r="S392" i="6"/>
  <c r="T392" i="6"/>
  <c r="U392" i="6"/>
  <c r="V392" i="6"/>
  <c r="W392" i="6"/>
  <c r="O393" i="6"/>
  <c r="P393" i="6"/>
  <c r="Q393" i="6"/>
  <c r="R393" i="6"/>
  <c r="S393" i="6"/>
  <c r="T393" i="6"/>
  <c r="U393" i="6"/>
  <c r="V393" i="6"/>
  <c r="W393" i="6"/>
  <c r="O394" i="6"/>
  <c r="P394" i="6"/>
  <c r="Q394" i="6"/>
  <c r="R394" i="6"/>
  <c r="S394" i="6"/>
  <c r="T394" i="6"/>
  <c r="U394" i="6"/>
  <c r="V394" i="6"/>
  <c r="W394" i="6"/>
  <c r="E345" i="10"/>
  <c r="O398" i="6"/>
  <c r="P398" i="6"/>
  <c r="Q398" i="6"/>
  <c r="R398" i="6"/>
  <c r="S398" i="6"/>
  <c r="T398" i="6"/>
  <c r="U398" i="6"/>
  <c r="V398" i="6"/>
  <c r="W398" i="6"/>
  <c r="O399" i="6"/>
  <c r="P399" i="6"/>
  <c r="Q399" i="6"/>
  <c r="R399" i="6"/>
  <c r="S399" i="6"/>
  <c r="T399" i="6"/>
  <c r="U399" i="6"/>
  <c r="V399" i="6"/>
  <c r="W399" i="6"/>
  <c r="O400" i="6"/>
  <c r="P400" i="6"/>
  <c r="Q400" i="6"/>
  <c r="R400" i="6"/>
  <c r="S400" i="6"/>
  <c r="T400" i="6"/>
  <c r="U400" i="6"/>
  <c r="V400" i="6"/>
  <c r="W400" i="6"/>
  <c r="N432" i="6"/>
  <c r="O432" i="6"/>
  <c r="AE432" i="6" s="1"/>
  <c r="P432" i="6"/>
  <c r="AF432" i="6" s="1"/>
  <c r="Q432" i="6"/>
  <c r="AG432" i="6" s="1"/>
  <c r="R432" i="6"/>
  <c r="AH432" i="6" s="1"/>
  <c r="S432" i="6"/>
  <c r="AI432" i="6" s="1"/>
  <c r="T432" i="6"/>
  <c r="AJ432" i="6" s="1"/>
  <c r="U432" i="6"/>
  <c r="AK432" i="6" s="1"/>
  <c r="V432" i="6"/>
  <c r="AL432" i="6" s="1"/>
  <c r="W432" i="6"/>
  <c r="AM432" i="6" s="1"/>
  <c r="AD433" i="6"/>
  <c r="AE433" i="6"/>
  <c r="AF433" i="6"/>
  <c r="AH433" i="6"/>
  <c r="AI433" i="6"/>
  <c r="AJ433" i="6"/>
  <c r="AK433" i="6"/>
  <c r="AL433" i="6"/>
  <c r="AM433" i="6"/>
  <c r="L435" i="6"/>
  <c r="N435" i="6"/>
  <c r="AD435" i="6" s="1"/>
  <c r="O435" i="6"/>
  <c r="AE435" i="6" s="1"/>
  <c r="P435" i="6"/>
  <c r="AF435" i="6" s="1"/>
  <c r="Q435" i="6"/>
  <c r="AG435" i="6" s="1"/>
  <c r="R435" i="6"/>
  <c r="AH435" i="6" s="1"/>
  <c r="S435" i="6"/>
  <c r="AI435" i="6" s="1"/>
  <c r="T435" i="6"/>
  <c r="AJ435" i="6" s="1"/>
  <c r="U435" i="6"/>
  <c r="AK435" i="6" s="1"/>
  <c r="V435" i="6"/>
  <c r="AL435" i="6" s="1"/>
  <c r="W435" i="6"/>
  <c r="AM435" i="6" s="1"/>
  <c r="L436" i="6"/>
  <c r="AB436" i="6" s="1"/>
  <c r="N436" i="6"/>
  <c r="AD436" i="6" s="1"/>
  <c r="O436" i="6"/>
  <c r="AE436" i="6" s="1"/>
  <c r="P436" i="6"/>
  <c r="AF436" i="6" s="1"/>
  <c r="Q436" i="6"/>
  <c r="AG436" i="6" s="1"/>
  <c r="R436" i="6"/>
  <c r="AH436" i="6" s="1"/>
  <c r="S436" i="6"/>
  <c r="AI436" i="6" s="1"/>
  <c r="T436" i="6"/>
  <c r="AJ436" i="6" s="1"/>
  <c r="U436" i="6"/>
  <c r="AK436" i="6" s="1"/>
  <c r="V436" i="6"/>
  <c r="AL436" i="6" s="1"/>
  <c r="W436" i="6"/>
  <c r="AM436" i="6" s="1"/>
  <c r="L437" i="6"/>
  <c r="AB437" i="6" s="1"/>
  <c r="N437" i="6"/>
  <c r="AD437" i="6" s="1"/>
  <c r="O437" i="6"/>
  <c r="AE437" i="6" s="1"/>
  <c r="P437" i="6"/>
  <c r="AF437" i="6" s="1"/>
  <c r="Q437" i="6"/>
  <c r="AG437" i="6" s="1"/>
  <c r="R437" i="6"/>
  <c r="AH437" i="6" s="1"/>
  <c r="S437" i="6"/>
  <c r="AI437" i="6" s="1"/>
  <c r="T437" i="6"/>
  <c r="AJ437" i="6" s="1"/>
  <c r="U437" i="6"/>
  <c r="AK437" i="6" s="1"/>
  <c r="V437" i="6"/>
  <c r="AL437" i="6" s="1"/>
  <c r="W437" i="6"/>
  <c r="AM437" i="6" s="1"/>
  <c r="L438" i="6"/>
  <c r="N438" i="6"/>
  <c r="O438" i="6"/>
  <c r="P438" i="6"/>
  <c r="Q438" i="6"/>
  <c r="AG438" i="6" s="1"/>
  <c r="R438" i="6"/>
  <c r="S438" i="6"/>
  <c r="T438" i="6"/>
  <c r="U438" i="6"/>
  <c r="AK438" i="6" s="1"/>
  <c r="V438" i="6"/>
  <c r="W438" i="6"/>
  <c r="AD439" i="6"/>
  <c r="AE439" i="6"/>
  <c r="AF439" i="6"/>
  <c r="AG439" i="6"/>
  <c r="AH439" i="6"/>
  <c r="AI439" i="6"/>
  <c r="AJ439" i="6"/>
  <c r="AK439" i="6"/>
  <c r="AL439" i="6"/>
  <c r="AM439" i="6"/>
  <c r="L441" i="6"/>
  <c r="N441" i="6"/>
  <c r="AD441" i="6" s="1"/>
  <c r="O441" i="6"/>
  <c r="P441" i="6"/>
  <c r="Q441" i="6"/>
  <c r="R441" i="6"/>
  <c r="AH441" i="6" s="1"/>
  <c r="S441" i="6"/>
  <c r="T441" i="6"/>
  <c r="AJ441" i="6" s="1"/>
  <c r="U441" i="6"/>
  <c r="V441" i="6"/>
  <c r="W441" i="6"/>
  <c r="L442" i="6"/>
  <c r="AB442" i="6" s="1"/>
  <c r="N442" i="6"/>
  <c r="AD442" i="6" s="1"/>
  <c r="O442" i="6"/>
  <c r="AE442" i="6" s="1"/>
  <c r="P442" i="6"/>
  <c r="AF442" i="6" s="1"/>
  <c r="Q442" i="6"/>
  <c r="AG442" i="6" s="1"/>
  <c r="R442" i="6"/>
  <c r="AH442" i="6" s="1"/>
  <c r="S442" i="6"/>
  <c r="AI442" i="6" s="1"/>
  <c r="T442" i="6"/>
  <c r="AJ442" i="6" s="1"/>
  <c r="U442" i="6"/>
  <c r="AK442" i="6" s="1"/>
  <c r="V442" i="6"/>
  <c r="AL442" i="6" s="1"/>
  <c r="W442" i="6"/>
  <c r="AM442" i="6" s="1"/>
  <c r="L443" i="6"/>
  <c r="AB443" i="6" s="1"/>
  <c r="N443" i="6"/>
  <c r="AD443" i="6" s="1"/>
  <c r="O443" i="6"/>
  <c r="AE443" i="6" s="1"/>
  <c r="P443" i="6"/>
  <c r="AF443" i="6" s="1"/>
  <c r="Q443" i="6"/>
  <c r="AG443" i="6" s="1"/>
  <c r="R443" i="6"/>
  <c r="AH443" i="6" s="1"/>
  <c r="S443" i="6"/>
  <c r="AI443" i="6" s="1"/>
  <c r="T443" i="6"/>
  <c r="AJ443" i="6" s="1"/>
  <c r="U443" i="6"/>
  <c r="AK443" i="6" s="1"/>
  <c r="V443" i="6"/>
  <c r="AL443" i="6" s="1"/>
  <c r="W443" i="6"/>
  <c r="AM443" i="6" s="1"/>
  <c r="AB444" i="6"/>
  <c r="AE444" i="6"/>
  <c r="AG444" i="6"/>
  <c r="AI444" i="6"/>
  <c r="AK444" i="6"/>
  <c r="AD445" i="6"/>
  <c r="AE445" i="6"/>
  <c r="AF445" i="6"/>
  <c r="AG445" i="6"/>
  <c r="AH445" i="6"/>
  <c r="AI445" i="6"/>
  <c r="AJ445" i="6"/>
  <c r="AK445" i="6"/>
  <c r="AL445" i="6"/>
  <c r="AM445" i="6"/>
  <c r="L447" i="6"/>
  <c r="AB447" i="6" s="1"/>
  <c r="N447" i="6"/>
  <c r="AD447" i="6" s="1"/>
  <c r="O447" i="6"/>
  <c r="AE447" i="6" s="1"/>
  <c r="P447" i="6"/>
  <c r="AF447" i="6" s="1"/>
  <c r="Q447" i="6"/>
  <c r="AG447" i="6" s="1"/>
  <c r="R447" i="6"/>
  <c r="AH447" i="6" s="1"/>
  <c r="S447" i="6"/>
  <c r="AI447" i="6" s="1"/>
  <c r="T447" i="6"/>
  <c r="AJ447" i="6" s="1"/>
  <c r="U447" i="6"/>
  <c r="AK447" i="6" s="1"/>
  <c r="V447" i="6"/>
  <c r="AL447" i="6" s="1"/>
  <c r="W447" i="6"/>
  <c r="AM447" i="6" s="1"/>
  <c r="L448" i="6"/>
  <c r="AB448" i="6" s="1"/>
  <c r="N448" i="6"/>
  <c r="AD448" i="6" s="1"/>
  <c r="O448" i="6"/>
  <c r="AE448" i="6" s="1"/>
  <c r="P448" i="6"/>
  <c r="AF448" i="6" s="1"/>
  <c r="Q448" i="6"/>
  <c r="AG448" i="6" s="1"/>
  <c r="R448" i="6"/>
  <c r="AH448" i="6" s="1"/>
  <c r="S448" i="6"/>
  <c r="AI448" i="6" s="1"/>
  <c r="T448" i="6"/>
  <c r="AJ448" i="6" s="1"/>
  <c r="U448" i="6"/>
  <c r="AK448" i="6" s="1"/>
  <c r="V448" i="6"/>
  <c r="AL448" i="6" s="1"/>
  <c r="W448" i="6"/>
  <c r="AM448" i="6" s="1"/>
  <c r="L449" i="6"/>
  <c r="AB449" i="6" s="1"/>
  <c r="N449" i="6"/>
  <c r="AD449" i="6" s="1"/>
  <c r="O449" i="6"/>
  <c r="AE449" i="6" s="1"/>
  <c r="P449" i="6"/>
  <c r="AF449" i="6" s="1"/>
  <c r="Q449" i="6"/>
  <c r="AG449" i="6" s="1"/>
  <c r="R449" i="6"/>
  <c r="AH449" i="6" s="1"/>
  <c r="S449" i="6"/>
  <c r="AI449" i="6" s="1"/>
  <c r="T449" i="6"/>
  <c r="AJ449" i="6" s="1"/>
  <c r="U449" i="6"/>
  <c r="AK449" i="6" s="1"/>
  <c r="V449" i="6"/>
  <c r="AL449" i="6" s="1"/>
  <c r="W449" i="6"/>
  <c r="AM449" i="6" s="1"/>
  <c r="L450" i="6"/>
  <c r="AB450" i="6" s="1"/>
  <c r="N450" i="6"/>
  <c r="AD450" i="6" s="1"/>
  <c r="O450" i="6"/>
  <c r="AE450" i="6" s="1"/>
  <c r="P450" i="6"/>
  <c r="AF450" i="6" s="1"/>
  <c r="Q450" i="6"/>
  <c r="AG450" i="6" s="1"/>
  <c r="R450" i="6"/>
  <c r="AH450" i="6" s="1"/>
  <c r="S450" i="6"/>
  <c r="AI450" i="6" s="1"/>
  <c r="T450" i="6"/>
  <c r="AJ450" i="6" s="1"/>
  <c r="U450" i="6"/>
  <c r="AK450" i="6" s="1"/>
  <c r="V450" i="6"/>
  <c r="AL450" i="6" s="1"/>
  <c r="W450" i="6"/>
  <c r="AM450" i="6" s="1"/>
  <c r="N452" i="6"/>
  <c r="AD452" i="6" s="1"/>
  <c r="O452" i="6"/>
  <c r="AE452" i="6" s="1"/>
  <c r="P452" i="6"/>
  <c r="AF452" i="6" s="1"/>
  <c r="Q452" i="6"/>
  <c r="AG452" i="6" s="1"/>
  <c r="R452" i="6"/>
  <c r="AH452" i="6" s="1"/>
  <c r="S452" i="6"/>
  <c r="AI452" i="6" s="1"/>
  <c r="T452" i="6"/>
  <c r="AJ452" i="6" s="1"/>
  <c r="U452" i="6"/>
  <c r="AK452" i="6" s="1"/>
  <c r="V452" i="6"/>
  <c r="W452" i="6"/>
  <c r="AM452" i="6" s="1"/>
  <c r="N455" i="6"/>
  <c r="AD455" i="6" s="1"/>
  <c r="O455" i="6"/>
  <c r="AE455" i="6" s="1"/>
  <c r="P455" i="6"/>
  <c r="AF455" i="6" s="1"/>
  <c r="Q455" i="6"/>
  <c r="AG455" i="6" s="1"/>
  <c r="R455" i="6"/>
  <c r="AH455" i="6" s="1"/>
  <c r="S455" i="6"/>
  <c r="AI455" i="6" s="1"/>
  <c r="T455" i="6"/>
  <c r="AJ455" i="6" s="1"/>
  <c r="U455" i="6"/>
  <c r="AK455" i="6" s="1"/>
  <c r="V455" i="6"/>
  <c r="AL455" i="6" s="1"/>
  <c r="W455" i="6"/>
  <c r="AM455" i="6" s="1"/>
  <c r="L456" i="6"/>
  <c r="AB456" i="6" s="1"/>
  <c r="N456" i="6"/>
  <c r="AD456" i="6" s="1"/>
  <c r="O456" i="6"/>
  <c r="AE456" i="6" s="1"/>
  <c r="P456" i="6"/>
  <c r="AF456" i="6" s="1"/>
  <c r="Q456" i="6"/>
  <c r="AG456" i="6" s="1"/>
  <c r="R456" i="6"/>
  <c r="AH456" i="6" s="1"/>
  <c r="S456" i="6"/>
  <c r="AI456" i="6" s="1"/>
  <c r="T456" i="6"/>
  <c r="AJ456" i="6" s="1"/>
  <c r="U456" i="6"/>
  <c r="AK456" i="6" s="1"/>
  <c r="V456" i="6"/>
  <c r="AL456" i="6" s="1"/>
  <c r="W456" i="6"/>
  <c r="AM456" i="6" s="1"/>
  <c r="L457" i="6"/>
  <c r="N457" i="6"/>
  <c r="O457" i="6"/>
  <c r="P457" i="6"/>
  <c r="Q457" i="6"/>
  <c r="R457" i="6"/>
  <c r="S457" i="6"/>
  <c r="T457" i="6"/>
  <c r="U457" i="6"/>
  <c r="V457" i="6"/>
  <c r="W457" i="6"/>
  <c r="L458" i="6"/>
  <c r="AB458" i="6" s="1"/>
  <c r="N458" i="6"/>
  <c r="AD458" i="6" s="1"/>
  <c r="O458" i="6"/>
  <c r="AE458" i="6" s="1"/>
  <c r="P458" i="6"/>
  <c r="AF458" i="6" s="1"/>
  <c r="Q458" i="6"/>
  <c r="AG458" i="6" s="1"/>
  <c r="R458" i="6"/>
  <c r="AH458" i="6" s="1"/>
  <c r="S458" i="6"/>
  <c r="AI458" i="6" s="1"/>
  <c r="T458" i="6"/>
  <c r="AJ458" i="6" s="1"/>
  <c r="U458" i="6"/>
  <c r="AK458" i="6" s="1"/>
  <c r="V458" i="6"/>
  <c r="AL458" i="6" s="1"/>
  <c r="W458" i="6"/>
  <c r="AM458" i="6" s="1"/>
  <c r="L461" i="6"/>
  <c r="AB461" i="6" s="1"/>
  <c r="N461" i="6"/>
  <c r="AD461" i="6" s="1"/>
  <c r="O461" i="6"/>
  <c r="AE461" i="6" s="1"/>
  <c r="P461" i="6"/>
  <c r="AF461" i="6" s="1"/>
  <c r="Q461" i="6"/>
  <c r="AG461" i="6" s="1"/>
  <c r="R461" i="6"/>
  <c r="AH461" i="6" s="1"/>
  <c r="S461" i="6"/>
  <c r="AI461" i="6" s="1"/>
  <c r="T461" i="6"/>
  <c r="AJ461" i="6" s="1"/>
  <c r="U461" i="6"/>
  <c r="AK461" i="6" s="1"/>
  <c r="V461" i="6"/>
  <c r="AL461" i="6" s="1"/>
  <c r="W461" i="6"/>
  <c r="AM461" i="6" s="1"/>
  <c r="L462" i="6"/>
  <c r="AB462" i="6" s="1"/>
  <c r="N462" i="6"/>
  <c r="AD462" i="6" s="1"/>
  <c r="O462" i="6"/>
  <c r="AE462" i="6" s="1"/>
  <c r="P462" i="6"/>
  <c r="AF462" i="6" s="1"/>
  <c r="Q462" i="6"/>
  <c r="AG462" i="6" s="1"/>
  <c r="R462" i="6"/>
  <c r="AH462" i="6" s="1"/>
  <c r="S462" i="6"/>
  <c r="AI462" i="6" s="1"/>
  <c r="T462" i="6"/>
  <c r="AJ462" i="6" s="1"/>
  <c r="U462" i="6"/>
  <c r="AK462" i="6" s="1"/>
  <c r="V462" i="6"/>
  <c r="AL462" i="6" s="1"/>
  <c r="W462" i="6"/>
  <c r="AM462" i="6" s="1"/>
  <c r="L463" i="6"/>
  <c r="AB463" i="6" s="1"/>
  <c r="N463" i="6"/>
  <c r="AD463" i="6" s="1"/>
  <c r="O463" i="6"/>
  <c r="AE463" i="6" s="1"/>
  <c r="P463" i="6"/>
  <c r="AF463" i="6" s="1"/>
  <c r="Q463" i="6"/>
  <c r="AG463" i="6" s="1"/>
  <c r="R463" i="6"/>
  <c r="AH463" i="6" s="1"/>
  <c r="S463" i="6"/>
  <c r="AI463" i="6" s="1"/>
  <c r="T463" i="6"/>
  <c r="AJ463" i="6" s="1"/>
  <c r="U463" i="6"/>
  <c r="AK463" i="6" s="1"/>
  <c r="V463" i="6"/>
  <c r="AL463" i="6" s="1"/>
  <c r="W463" i="6"/>
  <c r="AM463" i="6" s="1"/>
  <c r="N467" i="6"/>
  <c r="AD467" i="6" s="1"/>
  <c r="O467" i="6"/>
  <c r="AE467" i="6" s="1"/>
  <c r="P467" i="6"/>
  <c r="AF467" i="6" s="1"/>
  <c r="Q467" i="6"/>
  <c r="AG467" i="6" s="1"/>
  <c r="R467" i="6"/>
  <c r="AH467" i="6" s="1"/>
  <c r="S467" i="6"/>
  <c r="AI467" i="6" s="1"/>
  <c r="T467" i="6"/>
  <c r="AJ467" i="6" s="1"/>
  <c r="U467" i="6"/>
  <c r="AK467" i="6" s="1"/>
  <c r="V467" i="6"/>
  <c r="AL467" i="6" s="1"/>
  <c r="W467" i="6"/>
  <c r="AM467" i="6" s="1"/>
  <c r="L468" i="6"/>
  <c r="AB468" i="6" s="1"/>
  <c r="N468" i="6"/>
  <c r="AD468" i="6" s="1"/>
  <c r="O468" i="6"/>
  <c r="AE468" i="6" s="1"/>
  <c r="P468" i="6"/>
  <c r="AF468" i="6" s="1"/>
  <c r="Q468" i="6"/>
  <c r="AG468" i="6" s="1"/>
  <c r="R468" i="6"/>
  <c r="AH468" i="6" s="1"/>
  <c r="S468" i="6"/>
  <c r="AI468" i="6" s="1"/>
  <c r="T468" i="6"/>
  <c r="AJ468" i="6" s="1"/>
  <c r="U468" i="6"/>
  <c r="AK468" i="6" s="1"/>
  <c r="V468" i="6"/>
  <c r="AL468" i="6" s="1"/>
  <c r="W468" i="6"/>
  <c r="AM468" i="6" s="1"/>
  <c r="N469" i="6"/>
  <c r="AD469" i="6" s="1"/>
  <c r="O469" i="6"/>
  <c r="AE469" i="6" s="1"/>
  <c r="P469" i="6"/>
  <c r="AF469" i="6" s="1"/>
  <c r="Q469" i="6"/>
  <c r="AG469" i="6" s="1"/>
  <c r="R469" i="6"/>
  <c r="AH469" i="6" s="1"/>
  <c r="S469" i="6"/>
  <c r="AI469" i="6" s="1"/>
  <c r="T469" i="6"/>
  <c r="AJ469" i="6" s="1"/>
  <c r="U469" i="6"/>
  <c r="AK469" i="6" s="1"/>
  <c r="V469" i="6"/>
  <c r="AL469" i="6" s="1"/>
  <c r="W469" i="6"/>
  <c r="AM469" i="6" s="1"/>
  <c r="L470" i="6"/>
  <c r="AB470" i="6" s="1"/>
  <c r="N470" i="6"/>
  <c r="AD470" i="6" s="1"/>
  <c r="O470" i="6"/>
  <c r="AE470" i="6" s="1"/>
  <c r="P470" i="6"/>
  <c r="AF470" i="6" s="1"/>
  <c r="Q470" i="6"/>
  <c r="AG470" i="6" s="1"/>
  <c r="R470" i="6"/>
  <c r="AH470" i="6" s="1"/>
  <c r="S470" i="6"/>
  <c r="AI470" i="6" s="1"/>
  <c r="T470" i="6"/>
  <c r="AJ470" i="6" s="1"/>
  <c r="U470" i="6"/>
  <c r="AK470" i="6" s="1"/>
  <c r="V470" i="6"/>
  <c r="AL470" i="6" s="1"/>
  <c r="W470" i="6"/>
  <c r="AM470" i="6" s="1"/>
  <c r="W226" i="6"/>
  <c r="AA213" i="10" s="1"/>
  <c r="AB213" i="10" s="1"/>
  <c r="V226" i="6"/>
  <c r="U226" i="6"/>
  <c r="W213" i="10" s="1"/>
  <c r="X213" i="10" s="1"/>
  <c r="T226" i="6"/>
  <c r="U213" i="10" s="1"/>
  <c r="V213" i="10" s="1"/>
  <c r="S226" i="6"/>
  <c r="S213" i="10" s="1"/>
  <c r="T213" i="10" s="1"/>
  <c r="R226" i="6"/>
  <c r="Q213" i="10" s="1"/>
  <c r="R213" i="10" s="1"/>
  <c r="Q226" i="6"/>
  <c r="O213" i="10" s="1"/>
  <c r="P213" i="10" s="1"/>
  <c r="P226" i="6"/>
  <c r="M213" i="10" s="1"/>
  <c r="N213" i="10" s="1"/>
  <c r="O226" i="6"/>
  <c r="N226" i="6"/>
  <c r="I272" i="10" s="1"/>
  <c r="F70" i="6"/>
  <c r="W137" i="6"/>
  <c r="N137" i="6"/>
  <c r="O137" i="6"/>
  <c r="P137" i="6"/>
  <c r="Q137" i="6"/>
  <c r="R137" i="6"/>
  <c r="S137" i="6"/>
  <c r="T137" i="6"/>
  <c r="U137" i="6"/>
  <c r="V137" i="6"/>
  <c r="M137" i="6"/>
  <c r="AB295" i="6"/>
  <c r="AB296" i="6"/>
  <c r="AB297" i="6"/>
  <c r="AB298" i="6"/>
  <c r="AB299" i="6"/>
  <c r="AC295" i="6"/>
  <c r="AC296" i="6"/>
  <c r="AC297" i="6"/>
  <c r="AC298" i="6"/>
  <c r="AC299" i="6"/>
  <c r="AD295" i="6"/>
  <c r="AD296" i="6"/>
  <c r="AD297" i="6"/>
  <c r="AD298" i="6"/>
  <c r="AD299" i="6"/>
  <c r="AE295" i="6"/>
  <c r="AE296" i="6"/>
  <c r="AE297" i="6"/>
  <c r="AE298" i="6"/>
  <c r="AE299" i="6"/>
  <c r="AF295" i="6"/>
  <c r="AF296" i="6"/>
  <c r="AF297" i="6"/>
  <c r="AF298" i="6"/>
  <c r="AF299" i="6"/>
  <c r="AG295" i="6"/>
  <c r="AG296" i="6"/>
  <c r="AG297" i="6"/>
  <c r="AG298" i="6"/>
  <c r="AG299" i="6"/>
  <c r="AH295" i="6"/>
  <c r="AH296" i="6"/>
  <c r="AH297" i="6"/>
  <c r="AH298" i="6"/>
  <c r="AH299" i="6"/>
  <c r="AI295" i="6"/>
  <c r="AI296" i="6"/>
  <c r="AI297" i="6"/>
  <c r="AI298" i="6"/>
  <c r="AI299" i="6"/>
  <c r="AJ295" i="6"/>
  <c r="AJ296" i="6"/>
  <c r="AJ297" i="6"/>
  <c r="AJ298" i="6"/>
  <c r="AJ299" i="6"/>
  <c r="AL295" i="6"/>
  <c r="AL296" i="6"/>
  <c r="AL297" i="6"/>
  <c r="AL298" i="6"/>
  <c r="AL299" i="6"/>
  <c r="AK295" i="6"/>
  <c r="AK296" i="6"/>
  <c r="AK297" i="6"/>
  <c r="AK298" i="6"/>
  <c r="AK299" i="6"/>
  <c r="AB285" i="6"/>
  <c r="AB286" i="6"/>
  <c r="AB287" i="6"/>
  <c r="AB288" i="6"/>
  <c r="AB289" i="6"/>
  <c r="AC285" i="6"/>
  <c r="AC286" i="6"/>
  <c r="AC287" i="6"/>
  <c r="AC288" i="6"/>
  <c r="AC289" i="6"/>
  <c r="AD285" i="6"/>
  <c r="AD286" i="6"/>
  <c r="AD287" i="6"/>
  <c r="AD288" i="6"/>
  <c r="AD289" i="6"/>
  <c r="AE285" i="6"/>
  <c r="AE286" i="6"/>
  <c r="AE287" i="6"/>
  <c r="AE288" i="6"/>
  <c r="AE289" i="6"/>
  <c r="AF285" i="6"/>
  <c r="AF286" i="6"/>
  <c r="AF287" i="6"/>
  <c r="AF288" i="6"/>
  <c r="AF289" i="6"/>
  <c r="AG285" i="6"/>
  <c r="AG286" i="6"/>
  <c r="AG287" i="6"/>
  <c r="AG288" i="6"/>
  <c r="AG289" i="6"/>
  <c r="AH285" i="6"/>
  <c r="AH286" i="6"/>
  <c r="AH287" i="6"/>
  <c r="AH288" i="6"/>
  <c r="AH289" i="6"/>
  <c r="AI285" i="6"/>
  <c r="AI286" i="6"/>
  <c r="AI287" i="6"/>
  <c r="AI288" i="6"/>
  <c r="AI289" i="6"/>
  <c r="AJ285" i="6"/>
  <c r="AJ286" i="6"/>
  <c r="AJ287" i="6"/>
  <c r="AJ288" i="6"/>
  <c r="AJ289" i="6"/>
  <c r="AL285" i="6"/>
  <c r="AL286" i="6"/>
  <c r="AL287" i="6"/>
  <c r="AL288" i="6"/>
  <c r="AL289" i="6"/>
  <c r="AK285" i="6"/>
  <c r="AK286" i="6"/>
  <c r="AK287" i="6"/>
  <c r="AK288" i="6"/>
  <c r="AK289" i="6"/>
  <c r="T308" i="6"/>
  <c r="Q4" i="10"/>
  <c r="O4" i="10"/>
  <c r="M4" i="10"/>
  <c r="K4" i="10"/>
  <c r="I4" i="10"/>
  <c r="G4" i="10"/>
  <c r="N308" i="6"/>
  <c r="O308" i="6"/>
  <c r="P308" i="6"/>
  <c r="Q308" i="6"/>
  <c r="R308" i="6"/>
  <c r="S308" i="6"/>
  <c r="U308" i="6"/>
  <c r="W308" i="6"/>
  <c r="V308" i="6"/>
  <c r="AA4" i="10"/>
  <c r="Y4" i="10"/>
  <c r="W4" i="10"/>
  <c r="U4" i="10"/>
  <c r="S4" i="10"/>
  <c r="N310" i="6"/>
  <c r="O310" i="6"/>
  <c r="P310" i="6"/>
  <c r="Q310" i="6"/>
  <c r="R310" i="6"/>
  <c r="S310" i="6"/>
  <c r="T310" i="6"/>
  <c r="U310" i="6"/>
  <c r="W310" i="6"/>
  <c r="V310" i="6"/>
  <c r="L309" i="6"/>
  <c r="N309" i="6"/>
  <c r="O309" i="6"/>
  <c r="P309" i="6"/>
  <c r="Q309" i="6"/>
  <c r="R309" i="6"/>
  <c r="S309" i="6"/>
  <c r="T309" i="6"/>
  <c r="U309" i="6"/>
  <c r="W309" i="6"/>
  <c r="V309" i="6"/>
  <c r="E201" i="10"/>
  <c r="F201" i="10" s="1"/>
  <c r="E202" i="10"/>
  <c r="F202" i="10" s="1"/>
  <c r="E4" i="10"/>
  <c r="L137" i="6"/>
  <c r="F71" i="6"/>
  <c r="AB445" i="6"/>
  <c r="AD444" i="6"/>
  <c r="AF444" i="6"/>
  <c r="AG433" i="6"/>
  <c r="AH444" i="6"/>
  <c r="AJ444" i="6"/>
  <c r="AM444" i="6"/>
  <c r="AL444" i="6"/>
  <c r="G158" i="6"/>
  <c r="L380" i="6"/>
  <c r="O380" i="6"/>
  <c r="O381" i="6"/>
  <c r="O382" i="6"/>
  <c r="P380" i="6"/>
  <c r="P381" i="6"/>
  <c r="P382" i="6"/>
  <c r="Q380" i="6"/>
  <c r="Q381" i="6"/>
  <c r="Q382" i="6"/>
  <c r="R380" i="6"/>
  <c r="R381" i="6"/>
  <c r="R382" i="6"/>
  <c r="S380" i="6"/>
  <c r="S381" i="6"/>
  <c r="S382" i="6"/>
  <c r="T380" i="6"/>
  <c r="T381" i="6"/>
  <c r="T382" i="6"/>
  <c r="U380" i="6"/>
  <c r="U381" i="6"/>
  <c r="U382" i="6"/>
  <c r="W380" i="6"/>
  <c r="W381" i="6"/>
  <c r="W382" i="6"/>
  <c r="V380" i="6"/>
  <c r="V381" i="6"/>
  <c r="V382" i="6"/>
  <c r="E347" i="10"/>
  <c r="F347" i="10" s="1"/>
  <c r="G347" i="10"/>
  <c r="H347" i="10" s="1"/>
  <c r="K347" i="10"/>
  <c r="M347" i="10"/>
  <c r="N347" i="10" s="1"/>
  <c r="O347" i="10"/>
  <c r="P347" i="10" s="1"/>
  <c r="Q347" i="10"/>
  <c r="R347" i="10" s="1"/>
  <c r="S347" i="10"/>
  <c r="T347" i="10" s="1"/>
  <c r="U347" i="10"/>
  <c r="V347" i="10" s="1"/>
  <c r="W347" i="10"/>
  <c r="X347" i="10" s="1"/>
  <c r="AA347" i="10"/>
  <c r="AB347" i="10" s="1"/>
  <c r="Y347" i="10"/>
  <c r="Z347" i="10" s="1"/>
  <c r="E338" i="10"/>
  <c r="F338" i="10" s="1"/>
  <c r="G338" i="10"/>
  <c r="K338" i="10"/>
  <c r="L338" i="10" s="1"/>
  <c r="M338" i="10"/>
  <c r="N338" i="10" s="1"/>
  <c r="O338" i="10"/>
  <c r="P338" i="10" s="1"/>
  <c r="Q338" i="10"/>
  <c r="R338" i="10" s="1"/>
  <c r="S338" i="10"/>
  <c r="T338" i="10" s="1"/>
  <c r="U338" i="10"/>
  <c r="V338" i="10" s="1"/>
  <c r="W338" i="10"/>
  <c r="X338" i="10" s="1"/>
  <c r="AA338" i="10"/>
  <c r="AB338" i="10" s="1"/>
  <c r="Y338" i="10"/>
  <c r="Z338" i="10" s="1"/>
  <c r="E334" i="10"/>
  <c r="F334" i="10" s="1"/>
  <c r="G334" i="10"/>
  <c r="K334" i="10"/>
  <c r="L334" i="10" s="1"/>
  <c r="M334" i="10"/>
  <c r="N334" i="10" s="1"/>
  <c r="O334" i="10"/>
  <c r="P334" i="10" s="1"/>
  <c r="Q334" i="10"/>
  <c r="R334" i="10" s="1"/>
  <c r="S334" i="10"/>
  <c r="T334" i="10" s="1"/>
  <c r="U334" i="10"/>
  <c r="V334" i="10" s="1"/>
  <c r="W334" i="10"/>
  <c r="X334" i="10" s="1"/>
  <c r="AA334" i="10"/>
  <c r="AB334" i="10" s="1"/>
  <c r="Y334" i="10"/>
  <c r="Z334" i="10" s="1"/>
  <c r="E331" i="10"/>
  <c r="F331" i="10" s="1"/>
  <c r="G331" i="10"/>
  <c r="K331" i="10"/>
  <c r="L331" i="10" s="1"/>
  <c r="M331" i="10"/>
  <c r="N331" i="10" s="1"/>
  <c r="O331" i="10"/>
  <c r="P331" i="10" s="1"/>
  <c r="Q331" i="10"/>
  <c r="R331" i="10" s="1"/>
  <c r="S331" i="10"/>
  <c r="T331" i="10" s="1"/>
  <c r="U331" i="10"/>
  <c r="V331" i="10" s="1"/>
  <c r="W331" i="10"/>
  <c r="X331" i="10" s="1"/>
  <c r="AA331" i="10"/>
  <c r="AB331" i="10" s="1"/>
  <c r="Y331" i="10"/>
  <c r="Z331" i="10" s="1"/>
  <c r="E325" i="10"/>
  <c r="F325" i="10" s="1"/>
  <c r="K325" i="10"/>
  <c r="L325" i="10" s="1"/>
  <c r="M325" i="10"/>
  <c r="N325" i="10" s="1"/>
  <c r="O325" i="10"/>
  <c r="P325" i="10" s="1"/>
  <c r="Q325" i="10"/>
  <c r="R325" i="10" s="1"/>
  <c r="S325" i="10"/>
  <c r="T325" i="10" s="1"/>
  <c r="U325" i="10"/>
  <c r="V325" i="10" s="1"/>
  <c r="W325" i="10"/>
  <c r="X325" i="10" s="1"/>
  <c r="AA325" i="10"/>
  <c r="AB325" i="10" s="1"/>
  <c r="Y325" i="10"/>
  <c r="Z325" i="10" s="1"/>
  <c r="G289" i="10"/>
  <c r="K289" i="10"/>
  <c r="L289" i="10" s="1"/>
  <c r="M289" i="10"/>
  <c r="N289" i="10" s="1"/>
  <c r="O289" i="10"/>
  <c r="P289" i="10" s="1"/>
  <c r="Q289" i="10"/>
  <c r="R289" i="10" s="1"/>
  <c r="S289" i="10"/>
  <c r="T289" i="10" s="1"/>
  <c r="U289" i="10"/>
  <c r="V289" i="10" s="1"/>
  <c r="W289" i="10"/>
  <c r="X289" i="10" s="1"/>
  <c r="AA289" i="10"/>
  <c r="AB289" i="10" s="1"/>
  <c r="Y289" i="10"/>
  <c r="Z289" i="10" s="1"/>
  <c r="W227" i="6"/>
  <c r="W233" i="6"/>
  <c r="V233" i="6"/>
  <c r="V227" i="6"/>
  <c r="U233" i="6"/>
  <c r="U227" i="6"/>
  <c r="T233" i="6"/>
  <c r="T227" i="6"/>
  <c r="S233" i="6"/>
  <c r="S227" i="6"/>
  <c r="R233" i="6"/>
  <c r="R227" i="6"/>
  <c r="Q233" i="6"/>
  <c r="Q227" i="6"/>
  <c r="P233" i="6"/>
  <c r="P227" i="6"/>
  <c r="O233" i="6"/>
  <c r="O227" i="6"/>
  <c r="N233" i="6"/>
  <c r="N227" i="6"/>
  <c r="I234" i="6"/>
  <c r="L234" i="6" s="1"/>
  <c r="N149" i="6"/>
  <c r="O149" i="6"/>
  <c r="P149" i="6"/>
  <c r="Q149" i="6"/>
  <c r="R149" i="6"/>
  <c r="S149" i="6"/>
  <c r="T149" i="6"/>
  <c r="U149" i="6"/>
  <c r="V149" i="6"/>
  <c r="W149" i="6"/>
  <c r="N150" i="6"/>
  <c r="O150" i="6"/>
  <c r="P150" i="6"/>
  <c r="Q150" i="6"/>
  <c r="R150" i="6"/>
  <c r="S150" i="6"/>
  <c r="T150" i="6"/>
  <c r="U150" i="6"/>
  <c r="V150" i="6"/>
  <c r="W150" i="6"/>
  <c r="N151" i="6"/>
  <c r="O151" i="6"/>
  <c r="P151" i="6"/>
  <c r="Q151" i="6"/>
  <c r="R151" i="6"/>
  <c r="S151" i="6"/>
  <c r="T151" i="6"/>
  <c r="U151" i="6"/>
  <c r="V151" i="6"/>
  <c r="W151" i="6"/>
  <c r="M152" i="6"/>
  <c r="O152" i="6"/>
  <c r="P152" i="6"/>
  <c r="Q152" i="6"/>
  <c r="R152" i="6"/>
  <c r="S152" i="6"/>
  <c r="T152" i="6"/>
  <c r="U152" i="6"/>
  <c r="V152" i="6"/>
  <c r="W152" i="6"/>
  <c r="M153" i="6"/>
  <c r="O153" i="6"/>
  <c r="P153" i="6"/>
  <c r="Q153" i="6"/>
  <c r="R153" i="6"/>
  <c r="S153" i="6"/>
  <c r="T153" i="6"/>
  <c r="U153" i="6"/>
  <c r="V153" i="6"/>
  <c r="W153" i="6"/>
  <c r="M154" i="6"/>
  <c r="O154" i="6"/>
  <c r="P154" i="6"/>
  <c r="Q154" i="6"/>
  <c r="R154" i="6"/>
  <c r="S154" i="6"/>
  <c r="T154" i="6"/>
  <c r="U154" i="6"/>
  <c r="V154" i="6"/>
  <c r="W154" i="6"/>
  <c r="M157" i="6"/>
  <c r="O157" i="6"/>
  <c r="P157" i="6"/>
  <c r="Q157" i="6"/>
  <c r="R157" i="6"/>
  <c r="S157" i="6"/>
  <c r="T157" i="6"/>
  <c r="U157" i="6"/>
  <c r="V157" i="6"/>
  <c r="W157" i="6"/>
  <c r="O158" i="6"/>
  <c r="P158" i="6"/>
  <c r="Q158" i="6"/>
  <c r="R158" i="6"/>
  <c r="S158" i="6"/>
  <c r="T158" i="6"/>
  <c r="U158" i="6"/>
  <c r="V158" i="6"/>
  <c r="W158" i="6"/>
  <c r="O159" i="6"/>
  <c r="P159" i="6"/>
  <c r="Q159" i="6"/>
  <c r="R159" i="6"/>
  <c r="S159" i="6"/>
  <c r="T159" i="6"/>
  <c r="U159" i="6"/>
  <c r="V159" i="6"/>
  <c r="W159" i="6"/>
  <c r="O160" i="6"/>
  <c r="P160" i="6"/>
  <c r="Q160" i="6"/>
  <c r="R160" i="6"/>
  <c r="S160" i="6"/>
  <c r="T160" i="6"/>
  <c r="U160" i="6"/>
  <c r="V160" i="6"/>
  <c r="W160" i="6"/>
  <c r="O163" i="6"/>
  <c r="P163" i="6"/>
  <c r="Q163" i="6"/>
  <c r="R163" i="6"/>
  <c r="S163" i="6"/>
  <c r="T163" i="6"/>
  <c r="U163" i="6"/>
  <c r="V163" i="6"/>
  <c r="W163" i="6"/>
  <c r="B213" i="9"/>
  <c r="B212" i="9"/>
  <c r="B211" i="9"/>
  <c r="A179" i="9"/>
  <c r="A178" i="9"/>
  <c r="A177" i="9"/>
  <c r="D177" i="9"/>
  <c r="B196" i="9"/>
  <c r="B195" i="9"/>
  <c r="B193" i="9"/>
  <c r="B186" i="9"/>
  <c r="C202" i="9"/>
  <c r="D202" i="9" s="1"/>
  <c r="C186" i="9"/>
  <c r="D186" i="9" s="1"/>
  <c r="C193" i="9"/>
  <c r="D193" i="9" s="1"/>
  <c r="C195" i="9"/>
  <c r="D195" i="9" s="1"/>
  <c r="C196" i="9"/>
  <c r="D196" i="9" s="1"/>
  <c r="C204" i="9"/>
  <c r="D204" i="9" s="1"/>
  <c r="B202" i="9"/>
  <c r="B204" i="9"/>
  <c r="G163" i="6"/>
  <c r="G160" i="6"/>
  <c r="G161" i="6"/>
  <c r="G159" i="6"/>
  <c r="E124" i="9"/>
  <c r="F615" i="6" s="1"/>
  <c r="AC536" i="10"/>
  <c r="AD536" i="10" s="1"/>
  <c r="AC537" i="10"/>
  <c r="AD537" i="10" s="1"/>
  <c r="K504" i="6"/>
  <c r="AC624" i="10"/>
  <c r="AD624" i="10" s="1"/>
  <c r="I577" i="6"/>
  <c r="D60" i="9"/>
  <c r="F581" i="6" s="1"/>
  <c r="C75" i="9"/>
  <c r="D75" i="9" s="1"/>
  <c r="I585" i="6"/>
  <c r="D63" i="9"/>
  <c r="F600" i="6" s="1"/>
  <c r="I600" i="6"/>
  <c r="I576" i="6"/>
  <c r="B559" i="10" s="1"/>
  <c r="I575" i="6"/>
  <c r="B558" i="10" s="1"/>
  <c r="I582" i="6"/>
  <c r="I574" i="6"/>
  <c r="B552" i="10" s="1"/>
  <c r="I573" i="6"/>
  <c r="AC545" i="10"/>
  <c r="AD545" i="10" s="1"/>
  <c r="I506" i="6"/>
  <c r="I505" i="6"/>
  <c r="K505" i="6" s="1"/>
  <c r="C534" i="10" s="1"/>
  <c r="F557" i="6"/>
  <c r="F554" i="6"/>
  <c r="F553" i="6"/>
  <c r="F552" i="6"/>
  <c r="F551" i="6"/>
  <c r="Y2" i="10"/>
  <c r="I526" i="6"/>
  <c r="L525" i="6" s="1"/>
  <c r="I603" i="6"/>
  <c r="C1" i="10"/>
  <c r="O29" i="9"/>
  <c r="B14" i="9"/>
  <c r="B15" i="9" s="1"/>
  <c r="B16" i="9" s="1"/>
  <c r="B17" i="9" s="1"/>
  <c r="B18" i="9" s="1"/>
  <c r="B19" i="9" s="1"/>
  <c r="B20" i="9" s="1"/>
  <c r="B10" i="9"/>
  <c r="B11" i="9" s="1"/>
  <c r="B12" i="9" s="1"/>
  <c r="M12" i="9"/>
  <c r="N12" i="9" s="1"/>
  <c r="F35" i="9"/>
  <c r="D35" i="9"/>
  <c r="L12" i="9"/>
  <c r="O33" i="9"/>
  <c r="O12" i="9"/>
  <c r="B565" i="10"/>
  <c r="I586" i="6"/>
  <c r="D90" i="9"/>
  <c r="E90" i="9" s="1"/>
  <c r="D91" i="9"/>
  <c r="E91" i="9" s="1"/>
  <c r="D95" i="9"/>
  <c r="D96" i="9"/>
  <c r="G96" i="9" s="1"/>
  <c r="C89" i="9"/>
  <c r="D89" i="9" s="1"/>
  <c r="D112" i="9"/>
  <c r="C109" i="9"/>
  <c r="D109" i="9" s="1"/>
  <c r="F589" i="6" s="1"/>
  <c r="F593" i="6" s="1"/>
  <c r="F597" i="6" s="1"/>
  <c r="D104" i="9"/>
  <c r="C102" i="9"/>
  <c r="D102" i="9" s="1"/>
  <c r="F588" i="6" s="1"/>
  <c r="F592" i="6" s="1"/>
  <c r="F596" i="6" s="1"/>
  <c r="F34" i="9"/>
  <c r="F36" i="9"/>
  <c r="F39" i="9"/>
  <c r="F40" i="9"/>
  <c r="F43" i="9"/>
  <c r="E32" i="9"/>
  <c r="F32" i="9" s="1"/>
  <c r="N31" i="9"/>
  <c r="N32" i="9"/>
  <c r="N36" i="9"/>
  <c r="N29" i="9"/>
  <c r="M10" i="9"/>
  <c r="N10" i="9" s="1"/>
  <c r="M11" i="9"/>
  <c r="N11" i="9" s="1"/>
  <c r="M13" i="9"/>
  <c r="N13" i="9" s="1"/>
  <c r="M14" i="9"/>
  <c r="N14" i="9" s="1"/>
  <c r="M15" i="9"/>
  <c r="N15" i="9" s="1"/>
  <c r="M16" i="9"/>
  <c r="N16" i="9" s="1"/>
  <c r="M17" i="9"/>
  <c r="N17" i="9" s="1"/>
  <c r="M18" i="9"/>
  <c r="N18" i="9" s="1"/>
  <c r="M19" i="9"/>
  <c r="N19" i="9" s="1"/>
  <c r="M20" i="9"/>
  <c r="N20" i="9" s="1"/>
  <c r="M9" i="9"/>
  <c r="N9" i="9" s="1"/>
  <c r="L10" i="9"/>
  <c r="L14" i="9"/>
  <c r="L15" i="9"/>
  <c r="L18" i="9"/>
  <c r="L19" i="9"/>
  <c r="F11" i="9"/>
  <c r="F12" i="9"/>
  <c r="F15" i="9"/>
  <c r="F16" i="9"/>
  <c r="F19" i="9"/>
  <c r="F20" i="9"/>
  <c r="E23" i="9"/>
  <c r="F23" i="9" s="1"/>
  <c r="F26" i="9"/>
  <c r="F27" i="9"/>
  <c r="L31" i="9"/>
  <c r="L32" i="9"/>
  <c r="L36" i="9"/>
  <c r="D77" i="9"/>
  <c r="D70" i="9"/>
  <c r="D68" i="9"/>
  <c r="D49" i="9"/>
  <c r="D50" i="9"/>
  <c r="D53" i="9"/>
  <c r="D54" i="9"/>
  <c r="D11" i="9"/>
  <c r="D12" i="9"/>
  <c r="D15" i="9"/>
  <c r="D16" i="9"/>
  <c r="D19" i="9"/>
  <c r="D20" i="9"/>
  <c r="D23" i="9"/>
  <c r="D24" i="9"/>
  <c r="D27" i="9"/>
  <c r="D28" i="9"/>
  <c r="D34" i="9"/>
  <c r="D36" i="9"/>
  <c r="D39" i="9"/>
  <c r="D40" i="9"/>
  <c r="D43" i="9"/>
  <c r="D32" i="9"/>
  <c r="I587" i="6"/>
  <c r="I588" i="6"/>
  <c r="I589" i="6"/>
  <c r="I590" i="6"/>
  <c r="I594" i="6"/>
  <c r="I595" i="6"/>
  <c r="I596" i="6"/>
  <c r="I597" i="6"/>
  <c r="I591" i="6"/>
  <c r="I592" i="6"/>
  <c r="I593" i="6"/>
  <c r="I611" i="6"/>
  <c r="I612" i="6"/>
  <c r="I613" i="6"/>
  <c r="I614" i="6"/>
  <c r="I607" i="6"/>
  <c r="I608" i="6"/>
  <c r="I609" i="6"/>
  <c r="I610" i="6"/>
  <c r="I604" i="6"/>
  <c r="I605" i="6"/>
  <c r="I606" i="6"/>
  <c r="D126" i="9"/>
  <c r="C126" i="9"/>
  <c r="B126" i="9"/>
  <c r="I120" i="9"/>
  <c r="I119" i="9" s="1"/>
  <c r="H118" i="9"/>
  <c r="H116" i="9" s="1"/>
  <c r="D117" i="9"/>
  <c r="D116" i="9" s="1"/>
  <c r="E117" i="9"/>
  <c r="E116" i="9" s="1"/>
  <c r="F117" i="9"/>
  <c r="F116" i="9" s="1"/>
  <c r="G117" i="9"/>
  <c r="G116" i="9" s="1"/>
  <c r="C117" i="9"/>
  <c r="C116" i="9" s="1"/>
  <c r="B116" i="9"/>
  <c r="AA2" i="10"/>
  <c r="W2" i="10"/>
  <c r="U2" i="10"/>
  <c r="S2" i="10"/>
  <c r="Q2" i="10"/>
  <c r="O2" i="10"/>
  <c r="M2" i="10"/>
  <c r="K2" i="10"/>
  <c r="I2" i="10"/>
  <c r="G2" i="10"/>
  <c r="E2" i="10"/>
  <c r="O20" i="9"/>
  <c r="O18" i="9"/>
  <c r="O19" i="9"/>
  <c r="O17" i="9"/>
  <c r="O16" i="9"/>
  <c r="O10" i="9"/>
  <c r="O11" i="9"/>
  <c r="O13" i="9"/>
  <c r="O14" i="9"/>
  <c r="O15" i="9"/>
  <c r="O9" i="9"/>
  <c r="O30" i="9"/>
  <c r="O36" i="9"/>
  <c r="O35" i="9"/>
  <c r="O34" i="9"/>
  <c r="O31" i="9"/>
  <c r="E95" i="9"/>
  <c r="A24" i="9"/>
  <c r="F68" i="6" l="1"/>
  <c r="G92" i="6"/>
  <c r="L310" i="6" s="1"/>
  <c r="H289" i="10"/>
  <c r="H331" i="10"/>
  <c r="L347" i="10"/>
  <c r="L309" i="10"/>
  <c r="L303" i="10"/>
  <c r="L299" i="10"/>
  <c r="L185" i="10"/>
  <c r="L183" i="10"/>
  <c r="N303" i="10"/>
  <c r="N299" i="10"/>
  <c r="N309" i="10"/>
  <c r="N305" i="10"/>
  <c r="N185" i="10"/>
  <c r="N183" i="10"/>
  <c r="N484" i="10"/>
  <c r="N302" i="10"/>
  <c r="N295" i="10"/>
  <c r="N294" i="10"/>
  <c r="N203" i="10"/>
  <c r="N321" i="10"/>
  <c r="N350" i="10"/>
  <c r="N293" i="10"/>
  <c r="L484" i="10"/>
  <c r="L302" i="10"/>
  <c r="L310" i="10"/>
  <c r="L295" i="10"/>
  <c r="L305" i="10"/>
  <c r="L294" i="10"/>
  <c r="L203" i="10"/>
  <c r="L293" i="10"/>
  <c r="L350" i="10"/>
  <c r="L321" i="10"/>
  <c r="H338" i="10"/>
  <c r="H334" i="10"/>
  <c r="J272" i="10"/>
  <c r="I271" i="10"/>
  <c r="H484" i="10"/>
  <c r="H591" i="10"/>
  <c r="H594" i="10"/>
  <c r="H590" i="10"/>
  <c r="H593" i="10"/>
  <c r="H595" i="10"/>
  <c r="H596" i="10"/>
  <c r="H209" i="10"/>
  <c r="H204" i="10"/>
  <c r="H310" i="10"/>
  <c r="H303" i="10"/>
  <c r="H317" i="10"/>
  <c r="H309" i="10"/>
  <c r="H316" i="10"/>
  <c r="H302" i="10"/>
  <c r="H301" i="10"/>
  <c r="H296" i="10"/>
  <c r="H314" i="10"/>
  <c r="H298" i="10"/>
  <c r="H306" i="10"/>
  <c r="H308" i="10"/>
  <c r="H299" i="10"/>
  <c r="H312" i="10"/>
  <c r="H315" i="10"/>
  <c r="H307" i="10"/>
  <c r="H300" i="10"/>
  <c r="H297" i="10"/>
  <c r="H313" i="10"/>
  <c r="H311" i="10"/>
  <c r="H295" i="10"/>
  <c r="H305" i="10"/>
  <c r="H294" i="10"/>
  <c r="H581" i="10"/>
  <c r="H579" i="10"/>
  <c r="H588" i="10"/>
  <c r="H589" i="10"/>
  <c r="H575" i="10"/>
  <c r="H583" i="10"/>
  <c r="H582" i="10"/>
  <c r="H577" i="10"/>
  <c r="H586" i="10"/>
  <c r="H587" i="10"/>
  <c r="H584" i="10"/>
  <c r="H578" i="10"/>
  <c r="H580" i="10"/>
  <c r="H576" i="10"/>
  <c r="H573" i="10"/>
  <c r="H185" i="10"/>
  <c r="H419" i="10"/>
  <c r="H417" i="10"/>
  <c r="H420" i="10"/>
  <c r="H585" i="10"/>
  <c r="H425" i="10"/>
  <c r="H455" i="10"/>
  <c r="H421" i="10"/>
  <c r="H423" i="10"/>
  <c r="H429" i="10"/>
  <c r="H397" i="10"/>
  <c r="H572" i="10"/>
  <c r="H426" i="10"/>
  <c r="H418" i="10"/>
  <c r="H203" i="10"/>
  <c r="H427" i="10"/>
  <c r="H183" i="10"/>
  <c r="H422" i="10"/>
  <c r="H400" i="10"/>
  <c r="H430" i="10"/>
  <c r="H356" i="10"/>
  <c r="H358" i="10"/>
  <c r="H428" i="10"/>
  <c r="H424" i="10"/>
  <c r="H359" i="10"/>
  <c r="H367" i="10"/>
  <c r="H569" i="10"/>
  <c r="H398" i="10"/>
  <c r="H361" i="10"/>
  <c r="H369" i="10"/>
  <c r="H357" i="10"/>
  <c r="H360" i="10"/>
  <c r="H368" i="10"/>
  <c r="H366" i="10"/>
  <c r="H325" i="10"/>
  <c r="H293" i="10"/>
  <c r="H321" i="10"/>
  <c r="H350" i="10"/>
  <c r="H438" i="10"/>
  <c r="H447" i="10"/>
  <c r="H439" i="10"/>
  <c r="H440" i="10"/>
  <c r="H448" i="10"/>
  <c r="H449" i="10"/>
  <c r="H446" i="10"/>
  <c r="H437" i="10"/>
  <c r="AC386" i="10"/>
  <c r="F386" i="10"/>
  <c r="F481" i="10"/>
  <c r="F483" i="10"/>
  <c r="F482" i="10"/>
  <c r="F480" i="10"/>
  <c r="F303" i="10"/>
  <c r="F479" i="10"/>
  <c r="F309" i="10"/>
  <c r="F299" i="10"/>
  <c r="F305" i="10"/>
  <c r="F471" i="10"/>
  <c r="F300" i="10"/>
  <c r="F294" i="10"/>
  <c r="F295" i="10"/>
  <c r="F185" i="10"/>
  <c r="F383" i="10"/>
  <c r="F380" i="10"/>
  <c r="F369" i="10"/>
  <c r="F361" i="10"/>
  <c r="F367" i="10"/>
  <c r="F183" i="10"/>
  <c r="F381" i="10"/>
  <c r="F358" i="10"/>
  <c r="F359" i="10"/>
  <c r="F356" i="10"/>
  <c r="F360" i="10"/>
  <c r="F357" i="10"/>
  <c r="F368" i="10"/>
  <c r="F366" i="10"/>
  <c r="F350" i="10"/>
  <c r="F289" i="10"/>
  <c r="F293" i="10"/>
  <c r="F321" i="10"/>
  <c r="F287" i="10"/>
  <c r="F286" i="10"/>
  <c r="F319" i="10"/>
  <c r="F320" i="10"/>
  <c r="F165" i="10"/>
  <c r="F164" i="10"/>
  <c r="J484" i="10"/>
  <c r="J594" i="10"/>
  <c r="J591" i="10"/>
  <c r="J596" i="10"/>
  <c r="J590" i="10"/>
  <c r="J593" i="10"/>
  <c r="J595" i="10"/>
  <c r="J209" i="10"/>
  <c r="J204" i="10"/>
  <c r="J303" i="10"/>
  <c r="J309" i="10"/>
  <c r="J317" i="10"/>
  <c r="J310" i="10"/>
  <c r="J301" i="10"/>
  <c r="J316" i="10"/>
  <c r="J302" i="10"/>
  <c r="J299" i="10"/>
  <c r="J315" i="10"/>
  <c r="J300" i="10"/>
  <c r="J582" i="10"/>
  <c r="J583" i="10"/>
  <c r="J589" i="10"/>
  <c r="J579" i="10"/>
  <c r="J574" i="10"/>
  <c r="J588" i="10"/>
  <c r="J577" i="10"/>
  <c r="J576" i="10"/>
  <c r="J578" i="10"/>
  <c r="J581" i="10"/>
  <c r="J584" i="10"/>
  <c r="J586" i="10"/>
  <c r="J587" i="10"/>
  <c r="J419" i="10"/>
  <c r="J417" i="10"/>
  <c r="J585" i="10"/>
  <c r="J573" i="10"/>
  <c r="J580" i="10"/>
  <c r="J185" i="10"/>
  <c r="J420" i="10"/>
  <c r="J418" i="10"/>
  <c r="J397" i="10"/>
  <c r="J430" i="10"/>
  <c r="J572" i="10"/>
  <c r="J421" i="10"/>
  <c r="J423" i="10"/>
  <c r="J183" i="10"/>
  <c r="J426" i="10"/>
  <c r="J422" i="10"/>
  <c r="J427" i="10"/>
  <c r="J203" i="10"/>
  <c r="J398" i="10"/>
  <c r="J361" i="10"/>
  <c r="J424" i="10"/>
  <c r="J367" i="10"/>
  <c r="J356" i="10"/>
  <c r="J359" i="10"/>
  <c r="J369" i="10"/>
  <c r="J428" i="10"/>
  <c r="J569" i="10"/>
  <c r="J358" i="10"/>
  <c r="J360" i="10"/>
  <c r="J366" i="10"/>
  <c r="J449" i="10"/>
  <c r="J448" i="10"/>
  <c r="J447" i="10"/>
  <c r="J440" i="10"/>
  <c r="J438" i="10"/>
  <c r="J446" i="10"/>
  <c r="J439" i="10"/>
  <c r="J437" i="10"/>
  <c r="F345" i="10"/>
  <c r="E335" i="10"/>
  <c r="F335" i="10" s="1"/>
  <c r="F336" i="10"/>
  <c r="F332" i="10"/>
  <c r="F329" i="10"/>
  <c r="F323" i="10"/>
  <c r="H189" i="9"/>
  <c r="H191" i="9"/>
  <c r="E174" i="10" s="1"/>
  <c r="F174" i="10" s="1"/>
  <c r="AL214" i="6"/>
  <c r="Y264" i="10" s="1"/>
  <c r="Z264" i="10" s="1"/>
  <c r="AL222" i="6"/>
  <c r="Y281" i="10" s="1"/>
  <c r="Z281" i="10" s="1"/>
  <c r="AL224" i="6"/>
  <c r="Y284" i="10" s="1"/>
  <c r="Z284" i="10" s="1"/>
  <c r="AL208" i="6"/>
  <c r="AL211" i="6"/>
  <c r="Y236" i="10" s="1"/>
  <c r="Z236" i="10" s="1"/>
  <c r="AH214" i="6"/>
  <c r="Q264" i="10" s="1"/>
  <c r="R264" i="10" s="1"/>
  <c r="AH222" i="6"/>
  <c r="Q281" i="10" s="1"/>
  <c r="R281" i="10" s="1"/>
  <c r="AH224" i="6"/>
  <c r="Q284" i="10" s="1"/>
  <c r="R284" i="10" s="1"/>
  <c r="AH208" i="6"/>
  <c r="AH211" i="6"/>
  <c r="Q236" i="10" s="1"/>
  <c r="R236" i="10" s="1"/>
  <c r="AD214" i="6"/>
  <c r="I264" i="10" s="1"/>
  <c r="J264" i="10" s="1"/>
  <c r="AD208" i="6"/>
  <c r="AD211" i="6"/>
  <c r="I236" i="10" s="1"/>
  <c r="J236" i="10" s="1"/>
  <c r="AK214" i="6"/>
  <c r="W264" i="10" s="1"/>
  <c r="X264" i="10" s="1"/>
  <c r="AK222" i="6"/>
  <c r="W281" i="10" s="1"/>
  <c r="X281" i="10" s="1"/>
  <c r="AK224" i="6"/>
  <c r="W284" i="10" s="1"/>
  <c r="X284" i="10" s="1"/>
  <c r="AK211" i="6"/>
  <c r="W236" i="10" s="1"/>
  <c r="X236" i="10" s="1"/>
  <c r="AK208" i="6"/>
  <c r="AG214" i="6"/>
  <c r="O264" i="10" s="1"/>
  <c r="P264" i="10" s="1"/>
  <c r="AG222" i="6"/>
  <c r="O281" i="10" s="1"/>
  <c r="P281" i="10" s="1"/>
  <c r="AG224" i="6"/>
  <c r="O284" i="10" s="1"/>
  <c r="P284" i="10" s="1"/>
  <c r="AG208" i="6"/>
  <c r="AG211" i="6"/>
  <c r="O236" i="10" s="1"/>
  <c r="P236" i="10" s="1"/>
  <c r="AC222" i="6"/>
  <c r="G281" i="10" s="1"/>
  <c r="H281" i="10" s="1"/>
  <c r="AC214" i="6"/>
  <c r="G264" i="10" s="1"/>
  <c r="H264" i="10" s="1"/>
  <c r="M222" i="6"/>
  <c r="M214" i="6"/>
  <c r="M224" i="6"/>
  <c r="M211" i="6"/>
  <c r="AC208" i="6"/>
  <c r="AC211" i="6"/>
  <c r="G236" i="10" s="1"/>
  <c r="H236" i="10" s="1"/>
  <c r="M208" i="6"/>
  <c r="AJ222" i="6"/>
  <c r="U281" i="10" s="1"/>
  <c r="V281" i="10" s="1"/>
  <c r="AJ224" i="6"/>
  <c r="U284" i="10" s="1"/>
  <c r="V284" i="10" s="1"/>
  <c r="AJ214" i="6"/>
  <c r="U264" i="10" s="1"/>
  <c r="V264" i="10" s="1"/>
  <c r="AJ208" i="6"/>
  <c r="AJ211" i="6"/>
  <c r="U236" i="10" s="1"/>
  <c r="V236" i="10" s="1"/>
  <c r="AF222" i="6"/>
  <c r="M281" i="10" s="1"/>
  <c r="N281" i="10" s="1"/>
  <c r="AF224" i="6"/>
  <c r="M284" i="10" s="1"/>
  <c r="N284" i="10" s="1"/>
  <c r="AF214" i="6"/>
  <c r="M264" i="10" s="1"/>
  <c r="N264" i="10" s="1"/>
  <c r="AF208" i="6"/>
  <c r="AF211" i="6"/>
  <c r="M236" i="10" s="1"/>
  <c r="N236" i="10" s="1"/>
  <c r="AI214" i="6"/>
  <c r="S264" i="10" s="1"/>
  <c r="T264" i="10" s="1"/>
  <c r="AI222" i="6"/>
  <c r="S281" i="10" s="1"/>
  <c r="T281" i="10" s="1"/>
  <c r="AI224" i="6"/>
  <c r="S284" i="10" s="1"/>
  <c r="T284" i="10" s="1"/>
  <c r="AI208" i="6"/>
  <c r="AI211" i="6"/>
  <c r="S236" i="10" s="1"/>
  <c r="T236" i="10" s="1"/>
  <c r="AE214" i="6"/>
  <c r="K264" i="10" s="1"/>
  <c r="L264" i="10" s="1"/>
  <c r="AE222" i="6"/>
  <c r="K281" i="10" s="1"/>
  <c r="L281" i="10" s="1"/>
  <c r="AE224" i="6"/>
  <c r="K284" i="10" s="1"/>
  <c r="L284" i="10" s="1"/>
  <c r="AE211" i="6"/>
  <c r="K236" i="10" s="1"/>
  <c r="L236" i="10" s="1"/>
  <c r="AE208" i="6"/>
  <c r="AC224" i="6"/>
  <c r="G284" i="10" s="1"/>
  <c r="H284" i="10" s="1"/>
  <c r="AD222" i="6"/>
  <c r="I281" i="10" s="1"/>
  <c r="J281" i="10" s="1"/>
  <c r="AD224" i="6"/>
  <c r="I284" i="10" s="1"/>
  <c r="J284" i="10" s="1"/>
  <c r="I495" i="6"/>
  <c r="I496" i="6"/>
  <c r="I499" i="6"/>
  <c r="K497" i="6"/>
  <c r="C533" i="10" s="1"/>
  <c r="I509" i="6"/>
  <c r="W192" i="10"/>
  <c r="X192" i="10" s="1"/>
  <c r="O192" i="10"/>
  <c r="P192" i="10" s="1"/>
  <c r="U192" i="10"/>
  <c r="V192" i="10" s="1"/>
  <c r="AA192" i="10"/>
  <c r="AB192" i="10" s="1"/>
  <c r="S192" i="10"/>
  <c r="T192" i="10" s="1"/>
  <c r="Y192" i="10"/>
  <c r="Z192" i="10" s="1"/>
  <c r="Q192" i="10"/>
  <c r="R192" i="10" s="1"/>
  <c r="G192" i="10"/>
  <c r="H192" i="10" s="1"/>
  <c r="M192" i="10"/>
  <c r="N192" i="10" s="1"/>
  <c r="K192" i="10"/>
  <c r="L192" i="10" s="1"/>
  <c r="AA175" i="10"/>
  <c r="AB175" i="10" s="1"/>
  <c r="Y175" i="10"/>
  <c r="Z175" i="10" s="1"/>
  <c r="U175" i="10"/>
  <c r="V175" i="10" s="1"/>
  <c r="M175" i="10"/>
  <c r="N175" i="10" s="1"/>
  <c r="E200" i="10"/>
  <c r="F200" i="10" s="1"/>
  <c r="C110" i="10"/>
  <c r="AF89" i="18"/>
  <c r="I550" i="6"/>
  <c r="E142" i="9"/>
  <c r="E150" i="9"/>
  <c r="E148" i="9" s="1"/>
  <c r="E133" i="9"/>
  <c r="E130" i="9" s="1"/>
  <c r="F605" i="6" s="1"/>
  <c r="E131" i="9"/>
  <c r="F606" i="6" s="1"/>
  <c r="AI90" i="18"/>
  <c r="I554" i="6"/>
  <c r="K554" i="6" s="1"/>
  <c r="D208" i="9"/>
  <c r="H198" i="9"/>
  <c r="H190" i="9"/>
  <c r="U224" i="6"/>
  <c r="U220" i="6"/>
  <c r="U219" i="6"/>
  <c r="U223" i="6"/>
  <c r="U221" i="6"/>
  <c r="U222" i="6"/>
  <c r="Q224" i="6"/>
  <c r="Q220" i="6"/>
  <c r="Q222" i="6"/>
  <c r="Q221" i="6"/>
  <c r="Q219" i="6"/>
  <c r="Q223" i="6"/>
  <c r="T221" i="6"/>
  <c r="T223" i="6"/>
  <c r="T224" i="6"/>
  <c r="T222" i="6"/>
  <c r="T219" i="6"/>
  <c r="T220" i="6"/>
  <c r="P219" i="6"/>
  <c r="P220" i="6"/>
  <c r="P223" i="6"/>
  <c r="P224" i="6"/>
  <c r="P221" i="6"/>
  <c r="P222" i="6"/>
  <c r="W223" i="6"/>
  <c r="W219" i="6"/>
  <c r="W221" i="6"/>
  <c r="W220" i="6"/>
  <c r="W222" i="6"/>
  <c r="W224" i="6"/>
  <c r="S223" i="6"/>
  <c r="S219" i="6"/>
  <c r="S221" i="6"/>
  <c r="S222" i="6"/>
  <c r="S220" i="6"/>
  <c r="S224" i="6"/>
  <c r="O223" i="6"/>
  <c r="O219" i="6"/>
  <c r="O221" i="6"/>
  <c r="O224" i="6"/>
  <c r="O222" i="6"/>
  <c r="O220" i="6"/>
  <c r="V223" i="6"/>
  <c r="V220" i="6"/>
  <c r="V221" i="6"/>
  <c r="V222" i="6"/>
  <c r="V224" i="6"/>
  <c r="V219" i="6"/>
  <c r="R222" i="6"/>
  <c r="R220" i="6"/>
  <c r="R221" i="6"/>
  <c r="R224" i="6"/>
  <c r="R219" i="6"/>
  <c r="R223" i="6"/>
  <c r="N223" i="6"/>
  <c r="N222" i="6"/>
  <c r="N220" i="6"/>
  <c r="N221" i="6"/>
  <c r="N219" i="6"/>
  <c r="N224" i="6"/>
  <c r="M223" i="6"/>
  <c r="U212" i="6"/>
  <c r="U214" i="6"/>
  <c r="U213" i="6"/>
  <c r="U210" i="6"/>
  <c r="U211" i="6"/>
  <c r="U209" i="6"/>
  <c r="T212" i="6"/>
  <c r="T214" i="6"/>
  <c r="T213" i="6"/>
  <c r="T210" i="6"/>
  <c r="T209" i="6"/>
  <c r="T211" i="6"/>
  <c r="P212" i="6"/>
  <c r="P214" i="6"/>
  <c r="P213" i="6"/>
  <c r="P209" i="6"/>
  <c r="P211" i="6"/>
  <c r="P210" i="6"/>
  <c r="M221" i="6"/>
  <c r="M213" i="6"/>
  <c r="M220" i="6"/>
  <c r="M212" i="6"/>
  <c r="M219" i="6"/>
  <c r="M206" i="6"/>
  <c r="M204" i="6"/>
  <c r="M209" i="6"/>
  <c r="M210" i="6"/>
  <c r="W212" i="6"/>
  <c r="W214" i="6"/>
  <c r="W213" i="6"/>
  <c r="W209" i="6"/>
  <c r="W211" i="6"/>
  <c r="W210" i="6"/>
  <c r="S212" i="6"/>
  <c r="S214" i="6"/>
  <c r="S213" i="6"/>
  <c r="S211" i="6"/>
  <c r="S209" i="6"/>
  <c r="S210" i="6"/>
  <c r="O212" i="6"/>
  <c r="O213" i="6"/>
  <c r="O214" i="6"/>
  <c r="O209" i="6"/>
  <c r="O210" i="6"/>
  <c r="O211" i="6"/>
  <c r="Q213" i="6"/>
  <c r="Q212" i="6"/>
  <c r="Q214" i="6"/>
  <c r="Q210" i="6"/>
  <c r="Q209" i="6"/>
  <c r="Q211" i="6"/>
  <c r="V213" i="6"/>
  <c r="V212" i="6"/>
  <c r="V214" i="6"/>
  <c r="V209" i="6"/>
  <c r="V211" i="6"/>
  <c r="V210" i="6"/>
  <c r="R213" i="6"/>
  <c r="R212" i="6"/>
  <c r="R214" i="6"/>
  <c r="R211" i="6"/>
  <c r="R210" i="6"/>
  <c r="R209" i="6"/>
  <c r="N213" i="6"/>
  <c r="N212" i="6"/>
  <c r="N214" i="6"/>
  <c r="N209" i="6"/>
  <c r="N211" i="6"/>
  <c r="N210" i="6"/>
  <c r="H205" i="9"/>
  <c r="H199" i="9"/>
  <c r="H204" i="9"/>
  <c r="E177" i="10" s="1"/>
  <c r="F177" i="10" s="1"/>
  <c r="W433" i="10"/>
  <c r="X433" i="10" s="1"/>
  <c r="O433" i="10"/>
  <c r="P433" i="10" s="1"/>
  <c r="G433" i="10"/>
  <c r="H433" i="10" s="1"/>
  <c r="U433" i="10"/>
  <c r="V433" i="10" s="1"/>
  <c r="M433" i="10"/>
  <c r="N433" i="10" s="1"/>
  <c r="Y433" i="10"/>
  <c r="Z433" i="10" s="1"/>
  <c r="S433" i="10"/>
  <c r="T433" i="10" s="1"/>
  <c r="K433" i="10"/>
  <c r="L433" i="10" s="1"/>
  <c r="AA433" i="10"/>
  <c r="AB433" i="10" s="1"/>
  <c r="Q433" i="10"/>
  <c r="R433" i="10" s="1"/>
  <c r="I433" i="10"/>
  <c r="J433" i="10" s="1"/>
  <c r="H201" i="9"/>
  <c r="H194" i="9"/>
  <c r="H206" i="9"/>
  <c r="H200" i="9"/>
  <c r="H192" i="9"/>
  <c r="H193" i="9"/>
  <c r="E175" i="10" s="1"/>
  <c r="F175" i="10" s="1"/>
  <c r="H196" i="9"/>
  <c r="E179" i="10" s="1"/>
  <c r="F179" i="10" s="1"/>
  <c r="H203" i="9"/>
  <c r="AA403" i="10"/>
  <c r="AB403" i="10" s="1"/>
  <c r="S403" i="10"/>
  <c r="T403" i="10" s="1"/>
  <c r="K403" i="10"/>
  <c r="L403" i="10" s="1"/>
  <c r="U401" i="10"/>
  <c r="M401" i="10"/>
  <c r="U431" i="10"/>
  <c r="M431" i="10"/>
  <c r="Y403" i="10"/>
  <c r="Z403" i="10" s="1"/>
  <c r="Q403" i="10"/>
  <c r="R403" i="10" s="1"/>
  <c r="AA401" i="10"/>
  <c r="S401" i="10"/>
  <c r="K401" i="10"/>
  <c r="AA431" i="10"/>
  <c r="S431" i="10"/>
  <c r="K431" i="10"/>
  <c r="G401" i="10"/>
  <c r="H401" i="10" s="1"/>
  <c r="W403" i="10"/>
  <c r="X403" i="10" s="1"/>
  <c r="O403" i="10"/>
  <c r="P403" i="10" s="1"/>
  <c r="Y401" i="10"/>
  <c r="Q401" i="10"/>
  <c r="Y431" i="10"/>
  <c r="Q431" i="10"/>
  <c r="I431" i="10"/>
  <c r="U403" i="10"/>
  <c r="V403" i="10" s="1"/>
  <c r="M403" i="10"/>
  <c r="N403" i="10" s="1"/>
  <c r="W401" i="10"/>
  <c r="O401" i="10"/>
  <c r="W431" i="10"/>
  <c r="O431" i="10"/>
  <c r="G403" i="10"/>
  <c r="H403" i="10" s="1"/>
  <c r="G431" i="10"/>
  <c r="H431" i="10" s="1"/>
  <c r="E384" i="10"/>
  <c r="F384" i="10" s="1"/>
  <c r="I238" i="6"/>
  <c r="I236" i="6"/>
  <c r="I245" i="6" s="1"/>
  <c r="L242" i="6"/>
  <c r="E374" i="10" s="1"/>
  <c r="F374" i="10" s="1"/>
  <c r="I239" i="6"/>
  <c r="I241" i="6" s="1"/>
  <c r="I237" i="6"/>
  <c r="I246" i="6" s="1"/>
  <c r="I248" i="6" s="1"/>
  <c r="AL457" i="6"/>
  <c r="AH457" i="6"/>
  <c r="Q365" i="10" s="1"/>
  <c r="R365" i="10" s="1"/>
  <c r="AD457" i="6"/>
  <c r="I365" i="10" s="1"/>
  <c r="J365" i="10" s="1"/>
  <c r="AK457" i="6"/>
  <c r="W365" i="10" s="1"/>
  <c r="X365" i="10" s="1"/>
  <c r="AG457" i="6"/>
  <c r="O365" i="10" s="1"/>
  <c r="P365" i="10" s="1"/>
  <c r="AB457" i="6"/>
  <c r="E365" i="10" s="1"/>
  <c r="F365" i="10" s="1"/>
  <c r="W368" i="10"/>
  <c r="X368" i="10" s="1"/>
  <c r="O368" i="10"/>
  <c r="P368" i="10" s="1"/>
  <c r="AJ457" i="6"/>
  <c r="U365" i="10" s="1"/>
  <c r="V365" i="10" s="1"/>
  <c r="AF457" i="6"/>
  <c r="M365" i="10" s="1"/>
  <c r="N365" i="10" s="1"/>
  <c r="AM457" i="6"/>
  <c r="AA365" i="10" s="1"/>
  <c r="AB365" i="10" s="1"/>
  <c r="AI457" i="6"/>
  <c r="S365" i="10" s="1"/>
  <c r="T365" i="10" s="1"/>
  <c r="AE457" i="6"/>
  <c r="K365" i="10" s="1"/>
  <c r="L365" i="10" s="1"/>
  <c r="AM441" i="6"/>
  <c r="AA357" i="10"/>
  <c r="AB357" i="10" s="1"/>
  <c r="AL441" i="6"/>
  <c r="AK441" i="6"/>
  <c r="W355" i="10" s="1"/>
  <c r="X355" i="10" s="1"/>
  <c r="AI441" i="6"/>
  <c r="AG441" i="6"/>
  <c r="O355" i="10" s="1"/>
  <c r="P355" i="10" s="1"/>
  <c r="AF441" i="6"/>
  <c r="AE441" i="6"/>
  <c r="AB441" i="6"/>
  <c r="AM438" i="6"/>
  <c r="AL438" i="6"/>
  <c r="Y355" i="10" s="1"/>
  <c r="Z355" i="10" s="1"/>
  <c r="AJ438" i="6"/>
  <c r="U355" i="10" s="1"/>
  <c r="V355" i="10" s="1"/>
  <c r="U368" i="10"/>
  <c r="V368" i="10" s="1"/>
  <c r="AI438" i="6"/>
  <c r="S368" i="10"/>
  <c r="T368" i="10" s="1"/>
  <c r="AH438" i="6"/>
  <c r="Q355" i="10" s="1"/>
  <c r="R355" i="10" s="1"/>
  <c r="AF438" i="6"/>
  <c r="AE438" i="6"/>
  <c r="AD438" i="6"/>
  <c r="AB438" i="6"/>
  <c r="AC534" i="10"/>
  <c r="I511" i="6"/>
  <c r="I515" i="6" s="1"/>
  <c r="I501" i="6"/>
  <c r="I510" i="6"/>
  <c r="I514" i="6" s="1"/>
  <c r="I500" i="6"/>
  <c r="I487" i="6"/>
  <c r="I490" i="6"/>
  <c r="I492" i="6"/>
  <c r="I486" i="6"/>
  <c r="I483" i="6"/>
  <c r="I481" i="6"/>
  <c r="I632" i="6"/>
  <c r="I494" i="6"/>
  <c r="I485" i="6"/>
  <c r="I502" i="6"/>
  <c r="I493" i="6"/>
  <c r="I484" i="6"/>
  <c r="I479" i="6"/>
  <c r="I633" i="6"/>
  <c r="I489" i="6"/>
  <c r="I491" i="6"/>
  <c r="I482" i="6"/>
  <c r="I629" i="6"/>
  <c r="I488" i="6"/>
  <c r="I480" i="6"/>
  <c r="I628" i="6"/>
  <c r="I622" i="6"/>
  <c r="I651" i="6"/>
  <c r="I643" i="6"/>
  <c r="I647" i="6"/>
  <c r="I639" i="6"/>
  <c r="I634" i="6"/>
  <c r="I624" i="6"/>
  <c r="I654" i="6"/>
  <c r="I646" i="6"/>
  <c r="I650" i="6"/>
  <c r="I642" i="6"/>
  <c r="I637" i="6"/>
  <c r="I627" i="6"/>
  <c r="I638" i="6"/>
  <c r="K638" i="6" s="1"/>
  <c r="C129" i="10" s="1"/>
  <c r="I631" i="6"/>
  <c r="I621" i="6"/>
  <c r="I653" i="6"/>
  <c r="I645" i="6"/>
  <c r="I649" i="6"/>
  <c r="I641" i="6"/>
  <c r="I636" i="6"/>
  <c r="I626" i="6"/>
  <c r="I630" i="6"/>
  <c r="I620" i="6"/>
  <c r="I652" i="6"/>
  <c r="I644" i="6"/>
  <c r="I648" i="6"/>
  <c r="I640" i="6"/>
  <c r="I635" i="6"/>
  <c r="I625" i="6"/>
  <c r="I623" i="6"/>
  <c r="K623" i="6" s="1"/>
  <c r="C139" i="10" s="1"/>
  <c r="K525" i="6"/>
  <c r="Q336" i="10"/>
  <c r="R336" i="10" s="1"/>
  <c r="K323" i="10"/>
  <c r="L323" i="10" s="1"/>
  <c r="O201" i="10"/>
  <c r="P201" i="10" s="1"/>
  <c r="O434" i="10"/>
  <c r="P434" i="10" s="1"/>
  <c r="I552" i="6"/>
  <c r="K552" i="6" s="1"/>
  <c r="C492" i="10" s="1"/>
  <c r="B163" i="9"/>
  <c r="I555" i="6"/>
  <c r="W201" i="10"/>
  <c r="X201" i="10" s="1"/>
  <c r="AA201" i="10"/>
  <c r="AB201" i="10" s="1"/>
  <c r="AA434" i="10"/>
  <c r="AB434" i="10" s="1"/>
  <c r="W434" i="10"/>
  <c r="X434" i="10" s="1"/>
  <c r="C208" i="9"/>
  <c r="S345" i="10"/>
  <c r="T345" i="10" s="1"/>
  <c r="I583" i="6"/>
  <c r="AB85" i="18"/>
  <c r="AH257" i="18"/>
  <c r="AI254" i="18"/>
  <c r="AF210" i="18"/>
  <c r="Y329" i="10"/>
  <c r="Z329" i="10" s="1"/>
  <c r="Q202" i="10"/>
  <c r="R202" i="10" s="1"/>
  <c r="AB88" i="18"/>
  <c r="AI259" i="18"/>
  <c r="AA202" i="10"/>
  <c r="AB202" i="10" s="1"/>
  <c r="S202" i="10"/>
  <c r="T202" i="10" s="1"/>
  <c r="K202" i="10"/>
  <c r="L202" i="10" s="1"/>
  <c r="U345" i="10"/>
  <c r="V345" i="10" s="1"/>
  <c r="U202" i="10"/>
  <c r="V202" i="10" s="1"/>
  <c r="M202" i="10"/>
  <c r="N202" i="10" s="1"/>
  <c r="Y201" i="10"/>
  <c r="Z201" i="10" s="1"/>
  <c r="Q201" i="10"/>
  <c r="R201" i="10" s="1"/>
  <c r="B208" i="9"/>
  <c r="B71" i="16"/>
  <c r="E314" i="18" s="1"/>
  <c r="AA189" i="10"/>
  <c r="AB189" i="10" s="1"/>
  <c r="I434" i="10"/>
  <c r="J434" i="10" s="1"/>
  <c r="M345" i="10"/>
  <c r="N345" i="10" s="1"/>
  <c r="AA336" i="10"/>
  <c r="S336" i="10"/>
  <c r="K336" i="10"/>
  <c r="Y332" i="10"/>
  <c r="Z332" i="10" s="1"/>
  <c r="Q332" i="10"/>
  <c r="R332" i="10" s="1"/>
  <c r="W329" i="10"/>
  <c r="X329" i="10" s="1"/>
  <c r="O329" i="10"/>
  <c r="P329" i="10" s="1"/>
  <c r="U323" i="10"/>
  <c r="V323" i="10" s="1"/>
  <c r="M323" i="10"/>
  <c r="N323" i="10" s="1"/>
  <c r="Y323" i="10"/>
  <c r="Z323" i="10" s="1"/>
  <c r="AA287" i="10"/>
  <c r="S287" i="10"/>
  <c r="K287" i="10"/>
  <c r="Q434" i="10"/>
  <c r="R434" i="10" s="1"/>
  <c r="W188" i="10"/>
  <c r="X188" i="10" s="1"/>
  <c r="AA345" i="10"/>
  <c r="AB345" i="10" s="1"/>
  <c r="K345" i="10"/>
  <c r="L345" i="10" s="1"/>
  <c r="Y336" i="10"/>
  <c r="W332" i="10"/>
  <c r="X332" i="10" s="1"/>
  <c r="O332" i="10"/>
  <c r="P332" i="10" s="1"/>
  <c r="U329" i="10"/>
  <c r="V329" i="10" s="1"/>
  <c r="M329" i="10"/>
  <c r="N329" i="10" s="1"/>
  <c r="AA323" i="10"/>
  <c r="AB323" i="10" s="1"/>
  <c r="S323" i="10"/>
  <c r="T323" i="10" s="1"/>
  <c r="Y287" i="10"/>
  <c r="Q287" i="10"/>
  <c r="Q188" i="10"/>
  <c r="R188" i="10" s="1"/>
  <c r="G434" i="10"/>
  <c r="H434" i="10" s="1"/>
  <c r="Y345" i="10"/>
  <c r="Z345" i="10" s="1"/>
  <c r="O336" i="10"/>
  <c r="U332" i="10"/>
  <c r="V332" i="10" s="1"/>
  <c r="AA329" i="10"/>
  <c r="AB329" i="10" s="1"/>
  <c r="Q323" i="10"/>
  <c r="R323" i="10" s="1"/>
  <c r="W287" i="10"/>
  <c r="O287" i="10"/>
  <c r="U201" i="10"/>
  <c r="B160" i="9"/>
  <c r="W345" i="10"/>
  <c r="X345" i="10" s="1"/>
  <c r="O345" i="10"/>
  <c r="P345" i="10" s="1"/>
  <c r="U336" i="10"/>
  <c r="M336" i="10"/>
  <c r="AA332" i="10"/>
  <c r="AB332" i="10" s="1"/>
  <c r="S332" i="10"/>
  <c r="T332" i="10" s="1"/>
  <c r="K332" i="10"/>
  <c r="Q329" i="10"/>
  <c r="R329" i="10" s="1"/>
  <c r="W323" i="10"/>
  <c r="X323" i="10" s="1"/>
  <c r="O323" i="10"/>
  <c r="P323" i="10" s="1"/>
  <c r="U287" i="10"/>
  <c r="M287" i="10"/>
  <c r="N287" i="10" s="1"/>
  <c r="W202" i="10"/>
  <c r="X202" i="10" s="1"/>
  <c r="O202" i="10"/>
  <c r="P202" i="10" s="1"/>
  <c r="S201" i="10"/>
  <c r="T201" i="10" s="1"/>
  <c r="K201" i="10"/>
  <c r="L201" i="10" s="1"/>
  <c r="I353" i="10"/>
  <c r="S329" i="10"/>
  <c r="T329" i="10" s="1"/>
  <c r="Y202" i="10"/>
  <c r="Z202" i="10" s="1"/>
  <c r="M201" i="10"/>
  <c r="N201" i="10" s="1"/>
  <c r="C160" i="9"/>
  <c r="I551" i="6"/>
  <c r="K551" i="6" s="1"/>
  <c r="C490" i="10" s="1"/>
  <c r="I553" i="6"/>
  <c r="K553" i="6" s="1"/>
  <c r="C496" i="10" s="1"/>
  <c r="D496" i="10" s="1"/>
  <c r="I557" i="6"/>
  <c r="K557" i="6" s="1"/>
  <c r="O188" i="10"/>
  <c r="P188" i="10" s="1"/>
  <c r="Q345" i="10"/>
  <c r="R345" i="10" s="1"/>
  <c r="W336" i="10"/>
  <c r="M332" i="10"/>
  <c r="N332" i="10" s="1"/>
  <c r="K329" i="10"/>
  <c r="L329" i="10" s="1"/>
  <c r="C153" i="9"/>
  <c r="I559" i="6"/>
  <c r="U434" i="10"/>
  <c r="V434" i="10" s="1"/>
  <c r="M434" i="10"/>
  <c r="N434" i="10" s="1"/>
  <c r="Y434" i="10"/>
  <c r="Z434" i="10" s="1"/>
  <c r="S434" i="10"/>
  <c r="T434" i="10" s="1"/>
  <c r="K434" i="10"/>
  <c r="L434" i="10" s="1"/>
  <c r="AD432" i="6"/>
  <c r="AA353" i="10"/>
  <c r="M188" i="10"/>
  <c r="N188" i="10" s="1"/>
  <c r="Q189" i="10"/>
  <c r="R189" i="10" s="1"/>
  <c r="U188" i="10"/>
  <c r="V188" i="10" s="1"/>
  <c r="S188" i="10"/>
  <c r="T188" i="10" s="1"/>
  <c r="Q353" i="10"/>
  <c r="E363" i="10"/>
  <c r="F363" i="10" s="1"/>
  <c r="D42" i="9"/>
  <c r="D38" i="9"/>
  <c r="D33" i="9"/>
  <c r="D26" i="9"/>
  <c r="D22" i="9"/>
  <c r="D18" i="9"/>
  <c r="D14" i="9"/>
  <c r="D10" i="9"/>
  <c r="D52" i="9"/>
  <c r="D48" i="9"/>
  <c r="D69" i="9"/>
  <c r="F582" i="6" s="1"/>
  <c r="K582" i="6" s="1"/>
  <c r="C526" i="10" s="1"/>
  <c r="C525" i="10" s="1"/>
  <c r="L35" i="9"/>
  <c r="L30" i="9"/>
  <c r="F25" i="9"/>
  <c r="F22" i="9"/>
  <c r="F18" i="9"/>
  <c r="F14" i="9"/>
  <c r="F10" i="9"/>
  <c r="L17" i="9"/>
  <c r="L13" i="9"/>
  <c r="N35" i="9"/>
  <c r="N30" i="9"/>
  <c r="F42" i="9"/>
  <c r="F38" i="9"/>
  <c r="F33" i="9"/>
  <c r="D103" i="9"/>
  <c r="D111" i="9"/>
  <c r="D93" i="9"/>
  <c r="G93" i="9" s="1"/>
  <c r="L33" i="9"/>
  <c r="D58" i="9"/>
  <c r="F579" i="6" s="1"/>
  <c r="D59" i="9"/>
  <c r="F580" i="6" s="1"/>
  <c r="U189" i="10"/>
  <c r="V189" i="10" s="1"/>
  <c r="H202" i="9"/>
  <c r="E179" i="9" s="1"/>
  <c r="D41" i="9"/>
  <c r="D37" i="9"/>
  <c r="L9" i="9"/>
  <c r="D25" i="9"/>
  <c r="D21" i="9"/>
  <c r="D17" i="9"/>
  <c r="D13" i="9"/>
  <c r="D46" i="9"/>
  <c r="D51" i="9"/>
  <c r="D47" i="9"/>
  <c r="D76" i="9"/>
  <c r="L34" i="9"/>
  <c r="F28" i="9"/>
  <c r="F24" i="9"/>
  <c r="F21" i="9"/>
  <c r="F17" i="9"/>
  <c r="F13" i="9"/>
  <c r="L20" i="9"/>
  <c r="L16" i="9"/>
  <c r="L11" i="9"/>
  <c r="L29" i="9"/>
  <c r="N34" i="9"/>
  <c r="F41" i="9"/>
  <c r="F37" i="9"/>
  <c r="D110" i="9"/>
  <c r="D97" i="9"/>
  <c r="G97" i="9" s="1"/>
  <c r="D92" i="9"/>
  <c r="G92" i="9" s="1"/>
  <c r="D94" i="9"/>
  <c r="E94" i="9" s="1"/>
  <c r="E89" i="9" s="1"/>
  <c r="F586" i="6" s="1"/>
  <c r="N33" i="9"/>
  <c r="D82" i="9"/>
  <c r="F583" i="6" s="1"/>
  <c r="E324" i="10"/>
  <c r="F324" i="10" s="1"/>
  <c r="K506" i="6"/>
  <c r="K600" i="6"/>
  <c r="C561" i="10" s="1"/>
  <c r="B6" i="16"/>
  <c r="W363" i="10"/>
  <c r="X363" i="10" s="1"/>
  <c r="B153" i="9"/>
  <c r="C163" i="9"/>
  <c r="D160" i="9"/>
  <c r="I558" i="6"/>
  <c r="I556" i="6"/>
  <c r="O363" i="10"/>
  <c r="P363" i="10" s="1"/>
  <c r="Y363" i="10"/>
  <c r="Z363" i="10" s="1"/>
  <c r="U353" i="10"/>
  <c r="M353" i="10"/>
  <c r="AL452" i="6"/>
  <c r="S363" i="10"/>
  <c r="T363" i="10" s="1"/>
  <c r="K363" i="10"/>
  <c r="L363" i="10" s="1"/>
  <c r="AA363" i="10"/>
  <c r="U363" i="10"/>
  <c r="V363" i="10" s="1"/>
  <c r="Q363" i="10"/>
  <c r="R363" i="10" s="1"/>
  <c r="M363" i="10"/>
  <c r="N363" i="10" s="1"/>
  <c r="I363" i="10"/>
  <c r="J363" i="10" s="1"/>
  <c r="Y353" i="10"/>
  <c r="W353" i="10"/>
  <c r="S353" i="10"/>
  <c r="O353" i="10"/>
  <c r="K353" i="10"/>
  <c r="E353" i="10"/>
  <c r="AB435" i="6"/>
  <c r="E333" i="10"/>
  <c r="F333" i="10" s="1"/>
  <c r="G213" i="10"/>
  <c r="H213" i="10" s="1"/>
  <c r="G272" i="10"/>
  <c r="E330" i="10"/>
  <c r="F330" i="10" s="1"/>
  <c r="E138" i="9"/>
  <c r="F608" i="6" s="1"/>
  <c r="AA188" i="10"/>
  <c r="AB188" i="10" s="1"/>
  <c r="A117" i="9"/>
  <c r="F602" i="6" s="1"/>
  <c r="K602" i="6" s="1"/>
  <c r="C543" i="10"/>
  <c r="E145" i="9"/>
  <c r="F611" i="6" s="1"/>
  <c r="Y189" i="10"/>
  <c r="Z189" i="10" s="1"/>
  <c r="I599" i="6"/>
  <c r="B541" i="10"/>
  <c r="C542" i="10"/>
  <c r="F573" i="6"/>
  <c r="K573" i="6" s="1"/>
  <c r="C551" i="10" s="1"/>
  <c r="F575" i="6"/>
  <c r="K575" i="6" s="1"/>
  <c r="C558" i="10" s="1"/>
  <c r="C566" i="10"/>
  <c r="W175" i="10"/>
  <c r="X175" i="10" s="1"/>
  <c r="S175" i="10"/>
  <c r="T175" i="10" s="1"/>
  <c r="O175" i="10"/>
  <c r="P175" i="10" s="1"/>
  <c r="K175" i="10"/>
  <c r="L175" i="10" s="1"/>
  <c r="E221" i="10"/>
  <c r="K214" i="10"/>
  <c r="L214" i="10" s="1"/>
  <c r="K219" i="10"/>
  <c r="L219" i="10" s="1"/>
  <c r="O214" i="10"/>
  <c r="P214" i="10" s="1"/>
  <c r="O219" i="10"/>
  <c r="P219" i="10" s="1"/>
  <c r="S214" i="10"/>
  <c r="T214" i="10" s="1"/>
  <c r="S219" i="10"/>
  <c r="T219" i="10" s="1"/>
  <c r="W214" i="10"/>
  <c r="X214" i="10" s="1"/>
  <c r="W219" i="10"/>
  <c r="X219" i="10" s="1"/>
  <c r="AA219" i="10"/>
  <c r="AB219" i="10" s="1"/>
  <c r="AA214" i="10"/>
  <c r="AB214" i="10" s="1"/>
  <c r="E322" i="10"/>
  <c r="F322" i="10" s="1"/>
  <c r="AA414" i="10"/>
  <c r="AB414" i="10" s="1"/>
  <c r="U414" i="10"/>
  <c r="V414" i="10" s="1"/>
  <c r="Q414" i="10"/>
  <c r="R414" i="10" s="1"/>
  <c r="M414" i="10"/>
  <c r="N414" i="10" s="1"/>
  <c r="I414" i="10"/>
  <c r="J414" i="10" s="1"/>
  <c r="Y413" i="10"/>
  <c r="Z413" i="10" s="1"/>
  <c r="W413" i="10"/>
  <c r="X413" i="10" s="1"/>
  <c r="S413" i="10"/>
  <c r="T413" i="10" s="1"/>
  <c r="O413" i="10"/>
  <c r="P413" i="10" s="1"/>
  <c r="K413" i="10"/>
  <c r="L413" i="10" s="1"/>
  <c r="E377" i="10"/>
  <c r="AA457" i="10"/>
  <c r="AB457" i="10" s="1"/>
  <c r="S457" i="10"/>
  <c r="T457" i="10" s="1"/>
  <c r="O457" i="10"/>
  <c r="P457" i="10" s="1"/>
  <c r="K457" i="10"/>
  <c r="L457" i="10" s="1"/>
  <c r="U457" i="10"/>
  <c r="V457" i="10" s="1"/>
  <c r="K272" i="10"/>
  <c r="O272" i="10"/>
  <c r="S272" i="10"/>
  <c r="W272" i="10"/>
  <c r="AA272" i="10"/>
  <c r="G413" i="10"/>
  <c r="H413" i="10" s="1"/>
  <c r="G457" i="10"/>
  <c r="H457" i="10" s="1"/>
  <c r="F574" i="6"/>
  <c r="K574" i="6" s="1"/>
  <c r="C552" i="10" s="1"/>
  <c r="D552" i="10" s="1"/>
  <c r="F576" i="6"/>
  <c r="K576" i="6" s="1"/>
  <c r="C559" i="10" s="1"/>
  <c r="C538" i="10"/>
  <c r="M189" i="10"/>
  <c r="N189" i="10" s="1"/>
  <c r="Y188" i="10"/>
  <c r="Z188" i="10" s="1"/>
  <c r="Q175" i="10"/>
  <c r="R175" i="10" s="1"/>
  <c r="I175" i="10"/>
  <c r="J175" i="10" s="1"/>
  <c r="I214" i="10"/>
  <c r="J214" i="10" s="1"/>
  <c r="I219" i="10"/>
  <c r="J219" i="10" s="1"/>
  <c r="M214" i="10"/>
  <c r="N214" i="10" s="1"/>
  <c r="M219" i="10"/>
  <c r="N219" i="10" s="1"/>
  <c r="Q214" i="10"/>
  <c r="R214" i="10" s="1"/>
  <c r="Q219" i="10"/>
  <c r="R219" i="10" s="1"/>
  <c r="U214" i="10"/>
  <c r="V214" i="10" s="1"/>
  <c r="U219" i="10"/>
  <c r="V219" i="10" s="1"/>
  <c r="Y214" i="10"/>
  <c r="Z214" i="10" s="1"/>
  <c r="Y219" i="10"/>
  <c r="Z219" i="10" s="1"/>
  <c r="E348" i="10"/>
  <c r="F348" i="10" s="1"/>
  <c r="E291" i="10"/>
  <c r="F291" i="10" s="1"/>
  <c r="Y414" i="10"/>
  <c r="Z414" i="10" s="1"/>
  <c r="W414" i="10"/>
  <c r="X414" i="10" s="1"/>
  <c r="S414" i="10"/>
  <c r="T414" i="10" s="1"/>
  <c r="O414" i="10"/>
  <c r="P414" i="10" s="1"/>
  <c r="K414" i="10"/>
  <c r="L414" i="10" s="1"/>
  <c r="E390" i="10"/>
  <c r="AA413" i="10"/>
  <c r="AB413" i="10" s="1"/>
  <c r="U413" i="10"/>
  <c r="V413" i="10" s="1"/>
  <c r="Q413" i="10"/>
  <c r="R413" i="10" s="1"/>
  <c r="M413" i="10"/>
  <c r="N413" i="10" s="1"/>
  <c r="I413" i="10"/>
  <c r="J413" i="10" s="1"/>
  <c r="Y457" i="10"/>
  <c r="Z457" i="10" s="1"/>
  <c r="W457" i="10"/>
  <c r="X457" i="10" s="1"/>
  <c r="Q457" i="10"/>
  <c r="R457" i="10" s="1"/>
  <c r="M457" i="10"/>
  <c r="N457" i="10" s="1"/>
  <c r="I457" i="10"/>
  <c r="J457" i="10" s="1"/>
  <c r="M272" i="10"/>
  <c r="Q272" i="10"/>
  <c r="U272" i="10"/>
  <c r="Y272" i="10"/>
  <c r="G175" i="10"/>
  <c r="H175" i="10" s="1"/>
  <c r="G214" i="10"/>
  <c r="H214" i="10" s="1"/>
  <c r="G219" i="10"/>
  <c r="H219" i="10" s="1"/>
  <c r="G414" i="10"/>
  <c r="H414" i="10" s="1"/>
  <c r="E146" i="9"/>
  <c r="F612" i="6" s="1"/>
  <c r="Y213" i="10"/>
  <c r="Z213" i="10" s="1"/>
  <c r="I213" i="10"/>
  <c r="J213" i="10" s="1"/>
  <c r="E337" i="10"/>
  <c r="F337" i="10" s="1"/>
  <c r="K213" i="10"/>
  <c r="L213" i="10" s="1"/>
  <c r="B551" i="10"/>
  <c r="I580" i="6"/>
  <c r="I598" i="6"/>
  <c r="I579" i="6"/>
  <c r="I584" i="6"/>
  <c r="K188" i="10"/>
  <c r="L188" i="10" s="1"/>
  <c r="Y348" i="10"/>
  <c r="W348" i="10"/>
  <c r="AA348" i="10"/>
  <c r="G291" i="10"/>
  <c r="G319" i="10"/>
  <c r="H319" i="10" s="1"/>
  <c r="K220" i="10"/>
  <c r="L220" i="10" s="1"/>
  <c r="O220" i="10"/>
  <c r="P220" i="10" s="1"/>
  <c r="G188" i="10"/>
  <c r="H188" i="10" s="1"/>
  <c r="E346" i="10"/>
  <c r="F346" i="10" s="1"/>
  <c r="H195" i="9"/>
  <c r="H186" i="9"/>
  <c r="AC111" i="10"/>
  <c r="Y190" i="10"/>
  <c r="Z190" i="10" s="1"/>
  <c r="U190" i="10"/>
  <c r="V190" i="10" s="1"/>
  <c r="Q190" i="10"/>
  <c r="R190" i="10" s="1"/>
  <c r="M190" i="10"/>
  <c r="N190" i="10" s="1"/>
  <c r="AA190" i="10"/>
  <c r="AB190" i="10" s="1"/>
  <c r="W190" i="10"/>
  <c r="X190" i="10" s="1"/>
  <c r="S190" i="10"/>
  <c r="T190" i="10" s="1"/>
  <c r="O190" i="10"/>
  <c r="P190" i="10" s="1"/>
  <c r="K190" i="10"/>
  <c r="L190" i="10" s="1"/>
  <c r="U216" i="10"/>
  <c r="V216" i="10" s="1"/>
  <c r="U220" i="10"/>
  <c r="V220" i="10" s="1"/>
  <c r="AA220" i="10"/>
  <c r="AB220" i="10" s="1"/>
  <c r="Y291" i="10"/>
  <c r="W291" i="10"/>
  <c r="S291" i="10"/>
  <c r="AA436" i="10"/>
  <c r="AB436" i="10" s="1"/>
  <c r="U436" i="10"/>
  <c r="V436" i="10" s="1"/>
  <c r="Q436" i="10"/>
  <c r="R436" i="10" s="1"/>
  <c r="M436" i="10"/>
  <c r="N436" i="10" s="1"/>
  <c r="I436" i="10"/>
  <c r="J436" i="10" s="1"/>
  <c r="G216" i="10"/>
  <c r="H216" i="10" s="1"/>
  <c r="AA291" i="10"/>
  <c r="U291" i="10"/>
  <c r="Q291" i="10"/>
  <c r="R291" i="10" s="1"/>
  <c r="Y436" i="10"/>
  <c r="Z436" i="10" s="1"/>
  <c r="W436" i="10"/>
  <c r="X436" i="10" s="1"/>
  <c r="S436" i="10"/>
  <c r="T436" i="10" s="1"/>
  <c r="O436" i="10"/>
  <c r="P436" i="10" s="1"/>
  <c r="K436" i="10"/>
  <c r="L436" i="10" s="1"/>
  <c r="G436" i="10"/>
  <c r="H436" i="10" s="1"/>
  <c r="Q216" i="10"/>
  <c r="R216" i="10" s="1"/>
  <c r="Q220" i="10"/>
  <c r="R220" i="10" s="1"/>
  <c r="W216" i="10"/>
  <c r="W220" i="10"/>
  <c r="X220" i="10" s="1"/>
  <c r="O348" i="10"/>
  <c r="K348" i="10"/>
  <c r="O291" i="10"/>
  <c r="K291" i="10"/>
  <c r="G220" i="10"/>
  <c r="H220" i="10" s="1"/>
  <c r="K216" i="10"/>
  <c r="L216" i="10" s="1"/>
  <c r="O216" i="10"/>
  <c r="P216" i="10" s="1"/>
  <c r="G190" i="10"/>
  <c r="H190" i="10" s="1"/>
  <c r="S189" i="10"/>
  <c r="T189" i="10" s="1"/>
  <c r="O189" i="10"/>
  <c r="P189" i="10" s="1"/>
  <c r="K189" i="10"/>
  <c r="L189" i="10" s="1"/>
  <c r="W189" i="10"/>
  <c r="X189" i="10" s="1"/>
  <c r="AC112" i="10"/>
  <c r="E137" i="9"/>
  <c r="F607" i="6" s="1"/>
  <c r="F599" i="6"/>
  <c r="I220" i="10"/>
  <c r="J220" i="10" s="1"/>
  <c r="M216" i="10"/>
  <c r="M220" i="10"/>
  <c r="N220" i="10" s="1"/>
  <c r="S216" i="10"/>
  <c r="T216" i="10" s="1"/>
  <c r="S220" i="10"/>
  <c r="T220" i="10" s="1"/>
  <c r="Y216" i="10"/>
  <c r="Y220" i="10"/>
  <c r="Z220" i="10" s="1"/>
  <c r="AA216" i="10"/>
  <c r="AB216" i="10" s="1"/>
  <c r="S348" i="10"/>
  <c r="AA322" i="10"/>
  <c r="AB322" i="10" s="1"/>
  <c r="U322" i="10"/>
  <c r="V322" i="10" s="1"/>
  <c r="Q322" i="10"/>
  <c r="R322" i="10" s="1"/>
  <c r="M322" i="10"/>
  <c r="N322" i="10" s="1"/>
  <c r="Y319" i="10"/>
  <c r="W319" i="10"/>
  <c r="S319" i="10"/>
  <c r="T319" i="10" s="1"/>
  <c r="O319" i="10"/>
  <c r="P319" i="10" s="1"/>
  <c r="K319" i="10"/>
  <c r="L319" i="10" s="1"/>
  <c r="U348" i="10"/>
  <c r="Y322" i="10"/>
  <c r="Z322" i="10" s="1"/>
  <c r="W322" i="10"/>
  <c r="X322" i="10" s="1"/>
  <c r="S322" i="10"/>
  <c r="T322" i="10" s="1"/>
  <c r="O322" i="10"/>
  <c r="P322" i="10" s="1"/>
  <c r="K322" i="10"/>
  <c r="L322" i="10" s="1"/>
  <c r="AA319" i="10"/>
  <c r="U319" i="10"/>
  <c r="Q319" i="10"/>
  <c r="R319" i="10" s="1"/>
  <c r="M319" i="10"/>
  <c r="N319" i="10" s="1"/>
  <c r="Q348" i="10"/>
  <c r="M348" i="10"/>
  <c r="M291" i="10"/>
  <c r="G189" i="10"/>
  <c r="H189" i="10" s="1"/>
  <c r="G348" i="10"/>
  <c r="G322" i="10"/>
  <c r="H322" i="10" s="1"/>
  <c r="I581" i="6"/>
  <c r="K581" i="6" s="1"/>
  <c r="F598" i="6"/>
  <c r="N208" i="6"/>
  <c r="P208" i="6"/>
  <c r="R208" i="6"/>
  <c r="T208" i="6"/>
  <c r="V208" i="6"/>
  <c r="O208" i="6"/>
  <c r="Q208" i="6"/>
  <c r="S208" i="6"/>
  <c r="U208" i="6"/>
  <c r="W208" i="6"/>
  <c r="N206" i="6"/>
  <c r="P206" i="6"/>
  <c r="R206" i="6"/>
  <c r="T206" i="6"/>
  <c r="V206" i="6"/>
  <c r="O206" i="6"/>
  <c r="Q206" i="6"/>
  <c r="S206" i="6"/>
  <c r="U206" i="6"/>
  <c r="W206" i="6"/>
  <c r="N204" i="6"/>
  <c r="P204" i="6"/>
  <c r="R204" i="6"/>
  <c r="T204" i="6"/>
  <c r="V204" i="6"/>
  <c r="O204" i="6"/>
  <c r="Q204" i="6"/>
  <c r="S204" i="6"/>
  <c r="U204" i="6"/>
  <c r="W204" i="6"/>
  <c r="M207" i="6"/>
  <c r="N207" i="6"/>
  <c r="P207" i="6"/>
  <c r="R207" i="6"/>
  <c r="T207" i="6"/>
  <c r="V207" i="6"/>
  <c r="O207" i="6"/>
  <c r="Q207" i="6"/>
  <c r="S207" i="6"/>
  <c r="U207" i="6"/>
  <c r="W207" i="6"/>
  <c r="M205" i="6"/>
  <c r="N205" i="6"/>
  <c r="P205" i="6"/>
  <c r="R205" i="6"/>
  <c r="T205" i="6"/>
  <c r="V205" i="6"/>
  <c r="O205" i="6"/>
  <c r="Q205" i="6"/>
  <c r="S205" i="6"/>
  <c r="U205" i="6"/>
  <c r="W205" i="6"/>
  <c r="G336" i="10"/>
  <c r="G329" i="10"/>
  <c r="H329" i="10" s="1"/>
  <c r="G287" i="10"/>
  <c r="G202" i="10"/>
  <c r="H202" i="10" s="1"/>
  <c r="G345" i="10"/>
  <c r="G332" i="10"/>
  <c r="H332" i="10" s="1"/>
  <c r="G323" i="10"/>
  <c r="E288" i="10"/>
  <c r="F288" i="10" s="1"/>
  <c r="G201" i="10"/>
  <c r="H201" i="10" s="1"/>
  <c r="E129" i="9"/>
  <c r="F604" i="6" s="1"/>
  <c r="E128" i="9"/>
  <c r="F603" i="6" s="1"/>
  <c r="F512" i="6" l="1"/>
  <c r="Z272" i="10"/>
  <c r="Y271" i="10"/>
  <c r="AB272" i="10"/>
  <c r="AA271" i="10"/>
  <c r="P272" i="10"/>
  <c r="O271" i="10"/>
  <c r="R272" i="10"/>
  <c r="Q271" i="10"/>
  <c r="X272" i="10"/>
  <c r="W271" i="10"/>
  <c r="J271" i="10"/>
  <c r="I270" i="10"/>
  <c r="J270" i="10" s="1"/>
  <c r="H272" i="10"/>
  <c r="G271" i="10"/>
  <c r="V272" i="10"/>
  <c r="U271" i="10"/>
  <c r="L272" i="10"/>
  <c r="K271" i="10"/>
  <c r="N272" i="10"/>
  <c r="M271" i="10"/>
  <c r="T272" i="10"/>
  <c r="S271" i="10"/>
  <c r="M349" i="10"/>
  <c r="N349" i="10" s="1"/>
  <c r="N348" i="10"/>
  <c r="M215" i="10"/>
  <c r="N215" i="10" s="1"/>
  <c r="N216" i="10"/>
  <c r="AC542" i="10"/>
  <c r="K352" i="10"/>
  <c r="L352" i="10" s="1"/>
  <c r="L353" i="10"/>
  <c r="AA352" i="10"/>
  <c r="AB352" i="10" s="1"/>
  <c r="AB353" i="10"/>
  <c r="K335" i="10"/>
  <c r="L335" i="10" s="1"/>
  <c r="L336" i="10"/>
  <c r="Q416" i="10"/>
  <c r="R416" i="10" s="1"/>
  <c r="R431" i="10"/>
  <c r="S416" i="10"/>
  <c r="T416" i="10" s="1"/>
  <c r="T431" i="10"/>
  <c r="U416" i="10"/>
  <c r="V416" i="10" s="1"/>
  <c r="V431" i="10"/>
  <c r="G349" i="10"/>
  <c r="H349" i="10" s="1"/>
  <c r="H348" i="10"/>
  <c r="S349" i="10"/>
  <c r="T349" i="10" s="1"/>
  <c r="T348" i="10"/>
  <c r="K292" i="10"/>
  <c r="L292" i="10" s="1"/>
  <c r="L291" i="10"/>
  <c r="AA292" i="10"/>
  <c r="AB292" i="10" s="1"/>
  <c r="AB291" i="10"/>
  <c r="W349" i="10"/>
  <c r="X349" i="10" s="1"/>
  <c r="X348" i="10"/>
  <c r="AC390" i="10"/>
  <c r="F390" i="10"/>
  <c r="O352" i="10"/>
  <c r="P352" i="10" s="1"/>
  <c r="P353" i="10"/>
  <c r="AA362" i="10"/>
  <c r="AB362" i="10" s="1"/>
  <c r="AB363" i="10"/>
  <c r="M352" i="10"/>
  <c r="N352" i="10" s="1"/>
  <c r="N353" i="10"/>
  <c r="I352" i="10"/>
  <c r="J352" i="10" s="1"/>
  <c r="J353" i="10"/>
  <c r="W286" i="10"/>
  <c r="X286" i="10" s="1"/>
  <c r="X287" i="10"/>
  <c r="O335" i="10"/>
  <c r="P335" i="10" s="1"/>
  <c r="P336" i="10"/>
  <c r="Q286" i="10"/>
  <c r="R286" i="10" s="1"/>
  <c r="R287" i="10"/>
  <c r="Y335" i="10"/>
  <c r="Z335" i="10" s="1"/>
  <c r="Z336" i="10"/>
  <c r="S335" i="10"/>
  <c r="T335" i="10" s="1"/>
  <c r="T336" i="10"/>
  <c r="O416" i="10"/>
  <c r="P416" i="10" s="1"/>
  <c r="P431" i="10"/>
  <c r="Y416" i="10"/>
  <c r="Z416" i="10" s="1"/>
  <c r="Z431" i="10"/>
  <c r="AA416" i="10"/>
  <c r="AB416" i="10" s="1"/>
  <c r="AB431" i="10"/>
  <c r="M396" i="10"/>
  <c r="N396" i="10" s="1"/>
  <c r="N401" i="10"/>
  <c r="O349" i="10"/>
  <c r="P349" i="10" s="1"/>
  <c r="P348" i="10"/>
  <c r="U292" i="10"/>
  <c r="V292" i="10" s="1"/>
  <c r="V291" i="10"/>
  <c r="E217" i="10"/>
  <c r="F217" i="10" s="1"/>
  <c r="F221" i="10"/>
  <c r="O286" i="10"/>
  <c r="P286" i="10" s="1"/>
  <c r="P287" i="10"/>
  <c r="AA286" i="10"/>
  <c r="AB286" i="10" s="1"/>
  <c r="AB287" i="10"/>
  <c r="W396" i="10"/>
  <c r="X396" i="10" s="1"/>
  <c r="X401" i="10"/>
  <c r="AA396" i="10"/>
  <c r="AB396" i="10" s="1"/>
  <c r="AB401" i="10"/>
  <c r="G346" i="10"/>
  <c r="H346" i="10" s="1"/>
  <c r="H345" i="10"/>
  <c r="Q349" i="10"/>
  <c r="R349" i="10" s="1"/>
  <c r="R348" i="10"/>
  <c r="W215" i="10"/>
  <c r="X215" i="10" s="1"/>
  <c r="X216" i="10"/>
  <c r="AC543" i="10"/>
  <c r="AD543" i="10" s="1"/>
  <c r="D543" i="10"/>
  <c r="S352" i="10"/>
  <c r="T352" i="10" s="1"/>
  <c r="T353" i="10"/>
  <c r="M335" i="10"/>
  <c r="N335" i="10" s="1"/>
  <c r="N336" i="10"/>
  <c r="Y286" i="10"/>
  <c r="Z286" i="10" s="1"/>
  <c r="Z287" i="10"/>
  <c r="K286" i="10"/>
  <c r="L286" i="10" s="1"/>
  <c r="L287" i="10"/>
  <c r="AA335" i="10"/>
  <c r="AB335" i="10" s="1"/>
  <c r="AB336" i="10"/>
  <c r="W416" i="10"/>
  <c r="X416" i="10" s="1"/>
  <c r="X431" i="10"/>
  <c r="Q396" i="10"/>
  <c r="R396" i="10" s="1"/>
  <c r="R401" i="10"/>
  <c r="K396" i="10"/>
  <c r="L396" i="10" s="1"/>
  <c r="L401" i="10"/>
  <c r="U396" i="10"/>
  <c r="V396" i="10" s="1"/>
  <c r="V401" i="10"/>
  <c r="AC533" i="10"/>
  <c r="U320" i="10"/>
  <c r="V320" i="10" s="1"/>
  <c r="V319" i="10"/>
  <c r="Y320" i="10"/>
  <c r="Z320" i="10" s="1"/>
  <c r="Z319" i="10"/>
  <c r="Y215" i="10"/>
  <c r="Z215" i="10" s="1"/>
  <c r="Z216" i="10"/>
  <c r="S292" i="10"/>
  <c r="T292" i="10" s="1"/>
  <c r="T291" i="10"/>
  <c r="AA349" i="10"/>
  <c r="AB349" i="10" s="1"/>
  <c r="AB348" i="10"/>
  <c r="Y352" i="10"/>
  <c r="Z352" i="10" s="1"/>
  <c r="Z353" i="10"/>
  <c r="G335" i="10"/>
  <c r="H335" i="10" s="1"/>
  <c r="H336" i="10"/>
  <c r="AA320" i="10"/>
  <c r="AB320" i="10" s="1"/>
  <c r="AB319" i="10"/>
  <c r="W292" i="10"/>
  <c r="X292" i="10" s="1"/>
  <c r="X291" i="10"/>
  <c r="O292" i="10"/>
  <c r="P292" i="10" s="1"/>
  <c r="P291" i="10"/>
  <c r="Y292" i="10"/>
  <c r="Z292" i="10" s="1"/>
  <c r="Z291" i="10"/>
  <c r="Y349" i="10"/>
  <c r="Z349" i="10" s="1"/>
  <c r="Z348" i="10"/>
  <c r="AC377" i="10"/>
  <c r="F377" i="10"/>
  <c r="AC558" i="10"/>
  <c r="U352" i="10"/>
  <c r="V352" i="10" s="1"/>
  <c r="V353" i="10"/>
  <c r="G324" i="10"/>
  <c r="H324" i="10" s="1"/>
  <c r="H323" i="10"/>
  <c r="G286" i="10"/>
  <c r="H286" i="10" s="1"/>
  <c r="H287" i="10"/>
  <c r="M292" i="10"/>
  <c r="N292" i="10" s="1"/>
  <c r="N291" i="10"/>
  <c r="U349" i="10"/>
  <c r="V349" i="10" s="1"/>
  <c r="V348" i="10"/>
  <c r="W320" i="10"/>
  <c r="X320" i="10" s="1"/>
  <c r="X319" i="10"/>
  <c r="K349" i="10"/>
  <c r="L349" i="10" s="1"/>
  <c r="L348" i="10"/>
  <c r="G292" i="10"/>
  <c r="H292" i="10" s="1"/>
  <c r="H291" i="10"/>
  <c r="AC551" i="10"/>
  <c r="E352" i="10"/>
  <c r="F352" i="10" s="1"/>
  <c r="F353" i="10"/>
  <c r="W352" i="10"/>
  <c r="X352" i="10" s="1"/>
  <c r="X353" i="10"/>
  <c r="AC526" i="10"/>
  <c r="Q352" i="10"/>
  <c r="R352" i="10" s="1"/>
  <c r="R353" i="10"/>
  <c r="W335" i="10"/>
  <c r="X335" i="10" s="1"/>
  <c r="X336" i="10"/>
  <c r="U286" i="10"/>
  <c r="V286" i="10" s="1"/>
  <c r="V287" i="10"/>
  <c r="K333" i="10"/>
  <c r="L333" i="10" s="1"/>
  <c r="L332" i="10"/>
  <c r="U335" i="10"/>
  <c r="V335" i="10" s="1"/>
  <c r="V336" i="10"/>
  <c r="U200" i="10"/>
  <c r="V200" i="10" s="1"/>
  <c r="V201" i="10"/>
  <c r="S286" i="10"/>
  <c r="T286" i="10" s="1"/>
  <c r="T287" i="10"/>
  <c r="O396" i="10"/>
  <c r="P396" i="10" s="1"/>
  <c r="P401" i="10"/>
  <c r="I416" i="10"/>
  <c r="J416" i="10" s="1"/>
  <c r="J431" i="10"/>
  <c r="Y396" i="10"/>
  <c r="Z396" i="10" s="1"/>
  <c r="Z401" i="10"/>
  <c r="K416" i="10"/>
  <c r="L416" i="10" s="1"/>
  <c r="L431" i="10"/>
  <c r="S396" i="10"/>
  <c r="T396" i="10" s="1"/>
  <c r="T401" i="10"/>
  <c r="M416" i="10"/>
  <c r="N416" i="10" s="1"/>
  <c r="N431" i="10"/>
  <c r="K200" i="10"/>
  <c r="I247" i="6"/>
  <c r="U247" i="6" s="1"/>
  <c r="W474" i="10" s="1"/>
  <c r="O245" i="6"/>
  <c r="K472" i="10" s="1"/>
  <c r="S245" i="6"/>
  <c r="S472" i="10" s="1"/>
  <c r="M245" i="6"/>
  <c r="G472" i="10" s="1"/>
  <c r="Q245" i="6"/>
  <c r="O472" i="10" s="1"/>
  <c r="R245" i="6"/>
  <c r="Q472" i="10" s="1"/>
  <c r="V245" i="6"/>
  <c r="Y472" i="10" s="1"/>
  <c r="P245" i="6"/>
  <c r="M472" i="10" s="1"/>
  <c r="T245" i="6"/>
  <c r="U472" i="10" s="1"/>
  <c r="U245" i="6"/>
  <c r="W472" i="10" s="1"/>
  <c r="W245" i="6"/>
  <c r="AA472" i="10" s="1"/>
  <c r="I240" i="6"/>
  <c r="L240" i="6" s="1"/>
  <c r="E375" i="10" s="1"/>
  <c r="F375" i="10" s="1"/>
  <c r="L238" i="6"/>
  <c r="E373" i="10" s="1"/>
  <c r="F373" i="10" s="1"/>
  <c r="F577" i="6"/>
  <c r="K577" i="6" s="1"/>
  <c r="C565" i="10" s="1"/>
  <c r="AC198" i="6"/>
  <c r="AC200" i="6"/>
  <c r="AC202" i="6"/>
  <c r="G261" i="10" s="1"/>
  <c r="H261" i="10" s="1"/>
  <c r="AC199" i="6"/>
  <c r="M200" i="6"/>
  <c r="M202" i="6"/>
  <c r="M199" i="6"/>
  <c r="M198" i="6"/>
  <c r="AB180" i="6"/>
  <c r="AC183" i="6"/>
  <c r="G233" i="10" s="1"/>
  <c r="H233" i="10" s="1"/>
  <c r="M183" i="6"/>
  <c r="AH202" i="6"/>
  <c r="Q261" i="10" s="1"/>
  <c r="R261" i="10" s="1"/>
  <c r="AH200" i="6"/>
  <c r="AH198" i="6"/>
  <c r="AH199" i="6"/>
  <c r="AH183" i="6"/>
  <c r="Q233" i="10" s="1"/>
  <c r="R233" i="10" s="1"/>
  <c r="AC236" i="10"/>
  <c r="AF199" i="6"/>
  <c r="AF202" i="6"/>
  <c r="M261" i="10" s="1"/>
  <c r="N261" i="10" s="1"/>
  <c r="AF200" i="6"/>
  <c r="AF198" i="6"/>
  <c r="AF183" i="6"/>
  <c r="M233" i="10" s="1"/>
  <c r="N233" i="10" s="1"/>
  <c r="AK198" i="6"/>
  <c r="AK199" i="6"/>
  <c r="AK202" i="6"/>
  <c r="W261" i="10" s="1"/>
  <c r="X261" i="10" s="1"/>
  <c r="AK200" i="6"/>
  <c r="AK183" i="6"/>
  <c r="W233" i="10" s="1"/>
  <c r="X233" i="10" s="1"/>
  <c r="AJ199" i="6"/>
  <c r="AJ202" i="6"/>
  <c r="U261" i="10" s="1"/>
  <c r="V261" i="10" s="1"/>
  <c r="AJ200" i="6"/>
  <c r="AJ198" i="6"/>
  <c r="AJ183" i="6"/>
  <c r="U233" i="10" s="1"/>
  <c r="V233" i="10" s="1"/>
  <c r="AG198" i="6"/>
  <c r="AG199" i="6"/>
  <c r="AG202" i="6"/>
  <c r="O261" i="10" s="1"/>
  <c r="P261" i="10" s="1"/>
  <c r="AG200" i="6"/>
  <c r="AG183" i="6"/>
  <c r="O233" i="10" s="1"/>
  <c r="P233" i="10" s="1"/>
  <c r="AI202" i="6"/>
  <c r="S261" i="10" s="1"/>
  <c r="T261" i="10" s="1"/>
  <c r="AI200" i="6"/>
  <c r="AI198" i="6"/>
  <c r="AI199" i="6"/>
  <c r="AI183" i="6"/>
  <c r="S233" i="10" s="1"/>
  <c r="T233" i="10" s="1"/>
  <c r="AE202" i="6"/>
  <c r="K261" i="10" s="1"/>
  <c r="L261" i="10" s="1"/>
  <c r="AE200" i="6"/>
  <c r="AE198" i="6"/>
  <c r="AE199" i="6"/>
  <c r="AE183" i="6"/>
  <c r="K233" i="10" s="1"/>
  <c r="L233" i="10" s="1"/>
  <c r="AM198" i="6"/>
  <c r="AM202" i="6"/>
  <c r="AA261" i="10" s="1"/>
  <c r="AB261" i="10" s="1"/>
  <c r="AM200" i="6"/>
  <c r="AM199" i="6"/>
  <c r="AM183" i="6"/>
  <c r="AA233" i="10" s="1"/>
  <c r="AB233" i="10" s="1"/>
  <c r="AL202" i="6"/>
  <c r="Y261" i="10" s="1"/>
  <c r="Z261" i="10" s="1"/>
  <c r="AL200" i="6"/>
  <c r="AL198" i="6"/>
  <c r="AL199" i="6"/>
  <c r="AL183" i="6"/>
  <c r="Y233" i="10" s="1"/>
  <c r="Z233" i="10" s="1"/>
  <c r="AC264" i="10"/>
  <c r="O230" i="10"/>
  <c r="P230" i="10" s="1"/>
  <c r="S230" i="10"/>
  <c r="T230" i="10" s="1"/>
  <c r="Q230" i="10"/>
  <c r="R230" i="10" s="1"/>
  <c r="U230" i="10"/>
  <c r="V230" i="10" s="1"/>
  <c r="K230" i="10"/>
  <c r="L230" i="10" s="1"/>
  <c r="W230" i="10"/>
  <c r="X230" i="10" s="1"/>
  <c r="M230" i="10"/>
  <c r="N230" i="10" s="1"/>
  <c r="I230" i="10"/>
  <c r="J230" i="10" s="1"/>
  <c r="Y230" i="10"/>
  <c r="Z230" i="10" s="1"/>
  <c r="G230" i="10"/>
  <c r="H230" i="10" s="1"/>
  <c r="AC284" i="10"/>
  <c r="AC281" i="10"/>
  <c r="AD281" i="10" s="1"/>
  <c r="K495" i="6"/>
  <c r="C523" i="10" s="1"/>
  <c r="C532" i="10"/>
  <c r="K499" i="6"/>
  <c r="C522" i="10" s="1"/>
  <c r="AC522" i="10" s="1"/>
  <c r="U218" i="10"/>
  <c r="V218" i="10" s="1"/>
  <c r="M218" i="10"/>
  <c r="N218" i="10" s="1"/>
  <c r="S218" i="10"/>
  <c r="T218" i="10" s="1"/>
  <c r="K218" i="10"/>
  <c r="L218" i="10" s="1"/>
  <c r="I218" i="10"/>
  <c r="J218" i="10" s="1"/>
  <c r="K215" i="10"/>
  <c r="L215" i="10" s="1"/>
  <c r="Q215" i="10"/>
  <c r="R215" i="10" s="1"/>
  <c r="G218" i="10"/>
  <c r="H218" i="10" s="1"/>
  <c r="AA218" i="10"/>
  <c r="AB218" i="10" s="1"/>
  <c r="AA215" i="10"/>
  <c r="AB215" i="10" s="1"/>
  <c r="S215" i="10"/>
  <c r="T215" i="10" s="1"/>
  <c r="Y218" i="10"/>
  <c r="Z218" i="10" s="1"/>
  <c r="Q218" i="10"/>
  <c r="R218" i="10" s="1"/>
  <c r="W218" i="10"/>
  <c r="X218" i="10" s="1"/>
  <c r="O218" i="10"/>
  <c r="P218" i="10" s="1"/>
  <c r="U215" i="10"/>
  <c r="V215" i="10" s="1"/>
  <c r="O215" i="10"/>
  <c r="P215" i="10" s="1"/>
  <c r="G215" i="10"/>
  <c r="AC220" i="10"/>
  <c r="U182" i="10"/>
  <c r="V182" i="10" s="1"/>
  <c r="AA182" i="10"/>
  <c r="AB182" i="10" s="1"/>
  <c r="O182" i="10"/>
  <c r="P182" i="10" s="1"/>
  <c r="Q182" i="10"/>
  <c r="R182" i="10" s="1"/>
  <c r="W182" i="10"/>
  <c r="X182" i="10" s="1"/>
  <c r="M182" i="10"/>
  <c r="N182" i="10" s="1"/>
  <c r="Y182" i="10"/>
  <c r="Z182" i="10" s="1"/>
  <c r="K182" i="10"/>
  <c r="L182" i="10" s="1"/>
  <c r="G182" i="10"/>
  <c r="H182" i="10" s="1"/>
  <c r="I182" i="10"/>
  <c r="J182" i="10" s="1"/>
  <c r="S182" i="10"/>
  <c r="T182" i="10" s="1"/>
  <c r="AC436" i="10"/>
  <c r="M362" i="10"/>
  <c r="N362" i="10" s="1"/>
  <c r="K362" i="10"/>
  <c r="L362" i="10" s="1"/>
  <c r="E362" i="10"/>
  <c r="AC384" i="10"/>
  <c r="E379" i="10"/>
  <c r="F379" i="10" s="1"/>
  <c r="Q362" i="10"/>
  <c r="R362" i="10" s="1"/>
  <c r="S362" i="10"/>
  <c r="T362" i="10" s="1"/>
  <c r="AC434" i="10"/>
  <c r="G416" i="10"/>
  <c r="AC431" i="10"/>
  <c r="G396" i="10"/>
  <c r="H396" i="10" s="1"/>
  <c r="AC433" i="10"/>
  <c r="AC414" i="10"/>
  <c r="AC457" i="10"/>
  <c r="U362" i="10"/>
  <c r="V362" i="10" s="1"/>
  <c r="Y362" i="10"/>
  <c r="Z362" i="10" s="1"/>
  <c r="Q415" i="10"/>
  <c r="R415" i="10" s="1"/>
  <c r="U394" i="10"/>
  <c r="V394" i="10" s="1"/>
  <c r="AC413" i="10"/>
  <c r="I362" i="10"/>
  <c r="J362" i="10" s="1"/>
  <c r="O362" i="10"/>
  <c r="P362" i="10" s="1"/>
  <c r="W362" i="10"/>
  <c r="X362" i="10" s="1"/>
  <c r="AA351" i="10"/>
  <c r="AB351" i="10" s="1"/>
  <c r="M286" i="10"/>
  <c r="N286" i="10" s="1"/>
  <c r="O415" i="10"/>
  <c r="P415" i="10" s="1"/>
  <c r="U285" i="10"/>
  <c r="V285" i="10" s="1"/>
  <c r="Q335" i="10"/>
  <c r="R335" i="10" s="1"/>
  <c r="S200" i="10"/>
  <c r="T200" i="10" s="1"/>
  <c r="E211" i="10"/>
  <c r="F211" i="10" s="1"/>
  <c r="M200" i="10"/>
  <c r="G200" i="10"/>
  <c r="H200" i="10" s="1"/>
  <c r="Y187" i="10"/>
  <c r="Z187" i="10" s="1"/>
  <c r="W200" i="10"/>
  <c r="X200" i="10" s="1"/>
  <c r="U198" i="10"/>
  <c r="V198" i="10" s="1"/>
  <c r="Q200" i="10"/>
  <c r="R200" i="10" s="1"/>
  <c r="O200" i="10"/>
  <c r="P200" i="10" s="1"/>
  <c r="Y200" i="10"/>
  <c r="Z200" i="10" s="1"/>
  <c r="AA200" i="10"/>
  <c r="AB200" i="10" s="1"/>
  <c r="E198" i="10"/>
  <c r="F198" i="10" s="1"/>
  <c r="B529" i="10"/>
  <c r="E147" i="9"/>
  <c r="F613" i="6" s="1"/>
  <c r="F614" i="6"/>
  <c r="E139" i="9"/>
  <c r="F609" i="6" s="1"/>
  <c r="E140" i="9"/>
  <c r="F610" i="6" s="1"/>
  <c r="AG89" i="18"/>
  <c r="K615" i="6"/>
  <c r="C149" i="10" s="1"/>
  <c r="L485" i="6"/>
  <c r="K485" i="6"/>
  <c r="C511" i="10" s="1"/>
  <c r="B136" i="16"/>
  <c r="AJ90" i="18"/>
  <c r="AD147" i="18"/>
  <c r="H208" i="9"/>
  <c r="K631" i="6"/>
  <c r="C119" i="10" s="1"/>
  <c r="K599" i="6"/>
  <c r="C554" i="10" s="1"/>
  <c r="AA228" i="10"/>
  <c r="AB228" i="10" s="1"/>
  <c r="K228" i="10"/>
  <c r="L228" i="10" s="1"/>
  <c r="M228" i="10"/>
  <c r="N228" i="10" s="1"/>
  <c r="U234" i="10"/>
  <c r="U262" i="10"/>
  <c r="G282" i="10"/>
  <c r="H282" i="10" s="1"/>
  <c r="Q279" i="10"/>
  <c r="K282" i="10"/>
  <c r="AA282" i="10"/>
  <c r="O279" i="10"/>
  <c r="M282" i="10"/>
  <c r="U279" i="10"/>
  <c r="Y262" i="10"/>
  <c r="W234" i="10"/>
  <c r="I234" i="10"/>
  <c r="W228" i="10"/>
  <c r="X228" i="10" s="1"/>
  <c r="Y228" i="10"/>
  <c r="Z228" i="10" s="1"/>
  <c r="S228" i="10"/>
  <c r="T228" i="10" s="1"/>
  <c r="U228" i="10"/>
  <c r="V228" i="10" s="1"/>
  <c r="AC272" i="10"/>
  <c r="I262" i="10"/>
  <c r="O234" i="10"/>
  <c r="S234" i="10"/>
  <c r="S262" i="10"/>
  <c r="M234" i="10"/>
  <c r="Q282" i="10"/>
  <c r="K279" i="10"/>
  <c r="AA279" i="10"/>
  <c r="U282" i="10"/>
  <c r="O282" i="10"/>
  <c r="W282" i="10"/>
  <c r="O228" i="10"/>
  <c r="P228" i="10" s="1"/>
  <c r="Q228" i="10"/>
  <c r="R228" i="10" s="1"/>
  <c r="W279" i="10"/>
  <c r="X279" i="10" s="1"/>
  <c r="K262" i="10"/>
  <c r="AA262" i="10"/>
  <c r="Y279" i="10"/>
  <c r="S279" i="10"/>
  <c r="I228" i="10"/>
  <c r="J228" i="10" s="1"/>
  <c r="Q234" i="10"/>
  <c r="Q262" i="10"/>
  <c r="Y234" i="10"/>
  <c r="O262" i="10"/>
  <c r="K234" i="10"/>
  <c r="AA234" i="10"/>
  <c r="M262" i="10"/>
  <c r="W262" i="10"/>
  <c r="I279" i="10"/>
  <c r="I282" i="10"/>
  <c r="Y282" i="10"/>
  <c r="S282" i="10"/>
  <c r="M279" i="10"/>
  <c r="G234" i="10"/>
  <c r="G279" i="10"/>
  <c r="H279" i="10" s="1"/>
  <c r="U201" i="6"/>
  <c r="U187" i="6"/>
  <c r="U189" i="6"/>
  <c r="U191" i="6"/>
  <c r="U193" i="6"/>
  <c r="U195" i="6"/>
  <c r="U197" i="6"/>
  <c r="U199" i="6"/>
  <c r="U202" i="6"/>
  <c r="U186" i="6"/>
  <c r="U188" i="6"/>
  <c r="U190" i="6"/>
  <c r="U192" i="6"/>
  <c r="U194" i="6"/>
  <c r="U196" i="6"/>
  <c r="U198" i="6"/>
  <c r="U200" i="6"/>
  <c r="U182" i="6"/>
  <c r="AJ179" i="6"/>
  <c r="AJ178" i="6"/>
  <c r="U181" i="6"/>
  <c r="U183" i="6"/>
  <c r="AJ180" i="6"/>
  <c r="T202" i="6"/>
  <c r="T186" i="6"/>
  <c r="T188" i="6"/>
  <c r="T190" i="6"/>
  <c r="T192" i="6"/>
  <c r="T194" i="6"/>
  <c r="T196" i="6"/>
  <c r="T198" i="6"/>
  <c r="T200" i="6"/>
  <c r="T187" i="6"/>
  <c r="T191" i="6"/>
  <c r="T201" i="6"/>
  <c r="T189" i="6"/>
  <c r="T197" i="6"/>
  <c r="T199" i="6"/>
  <c r="T193" i="6"/>
  <c r="T195" i="6"/>
  <c r="T182" i="6"/>
  <c r="AI178" i="6"/>
  <c r="T181" i="6"/>
  <c r="T183" i="6"/>
  <c r="AI179" i="6"/>
  <c r="AI180" i="6"/>
  <c r="O202" i="6"/>
  <c r="O186" i="6"/>
  <c r="O188" i="6"/>
  <c r="O190" i="6"/>
  <c r="O192" i="6"/>
  <c r="O194" i="6"/>
  <c r="O196" i="6"/>
  <c r="O198" i="6"/>
  <c r="O200" i="6"/>
  <c r="O201" i="6"/>
  <c r="O187" i="6"/>
  <c r="O189" i="6"/>
  <c r="O191" i="6"/>
  <c r="O193" i="6"/>
  <c r="O195" i="6"/>
  <c r="O197" i="6"/>
  <c r="O199" i="6"/>
  <c r="O182" i="6"/>
  <c r="AD180" i="6"/>
  <c r="AD178" i="6"/>
  <c r="O183" i="6"/>
  <c r="O181" i="6"/>
  <c r="AD179" i="6"/>
  <c r="W202" i="6"/>
  <c r="W186" i="6"/>
  <c r="W188" i="6"/>
  <c r="W190" i="6"/>
  <c r="W192" i="6"/>
  <c r="W194" i="6"/>
  <c r="W196" i="6"/>
  <c r="W198" i="6"/>
  <c r="W200" i="6"/>
  <c r="W201" i="6"/>
  <c r="W187" i="6"/>
  <c r="W189" i="6"/>
  <c r="W191" i="6"/>
  <c r="W193" i="6"/>
  <c r="W195" i="6"/>
  <c r="W197" i="6"/>
  <c r="W199" i="6"/>
  <c r="W183" i="6"/>
  <c r="W181" i="6"/>
  <c r="AL179" i="6"/>
  <c r="AL178" i="6"/>
  <c r="W182" i="6"/>
  <c r="AL180" i="6"/>
  <c r="V188" i="6"/>
  <c r="V192" i="6"/>
  <c r="V201" i="6"/>
  <c r="V187" i="6"/>
  <c r="V189" i="6"/>
  <c r="V191" i="6"/>
  <c r="V193" i="6"/>
  <c r="V195" i="6"/>
  <c r="V197" i="6"/>
  <c r="V199" i="6"/>
  <c r="V186" i="6"/>
  <c r="V202" i="6"/>
  <c r="V190" i="6"/>
  <c r="V200" i="6"/>
  <c r="V194" i="6"/>
  <c r="V196" i="6"/>
  <c r="V198" i="6"/>
  <c r="AK180" i="6"/>
  <c r="AK179" i="6"/>
  <c r="V183" i="6"/>
  <c r="V181" i="6"/>
  <c r="AK178" i="6"/>
  <c r="V182" i="6"/>
  <c r="G262" i="10"/>
  <c r="Q201" i="6"/>
  <c r="Q187" i="6"/>
  <c r="Q189" i="6"/>
  <c r="Q191" i="6"/>
  <c r="Q193" i="6"/>
  <c r="Q195" i="6"/>
  <c r="Q197" i="6"/>
  <c r="Q199" i="6"/>
  <c r="Q202" i="6"/>
  <c r="Q186" i="6"/>
  <c r="Q188" i="6"/>
  <c r="Q190" i="6"/>
  <c r="Q192" i="6"/>
  <c r="Q194" i="6"/>
  <c r="Q196" i="6"/>
  <c r="Q198" i="6"/>
  <c r="Q200" i="6"/>
  <c r="AF179" i="6"/>
  <c r="AF178" i="6"/>
  <c r="AF180" i="6"/>
  <c r="Q181" i="6"/>
  <c r="Q183" i="6"/>
  <c r="Q182" i="6"/>
  <c r="P202" i="6"/>
  <c r="P186" i="6"/>
  <c r="P188" i="6"/>
  <c r="P190" i="6"/>
  <c r="P192" i="6"/>
  <c r="P194" i="6"/>
  <c r="P196" i="6"/>
  <c r="P198" i="6"/>
  <c r="P200" i="6"/>
  <c r="P189" i="6"/>
  <c r="P193" i="6"/>
  <c r="P201" i="6"/>
  <c r="P187" i="6"/>
  <c r="P191" i="6"/>
  <c r="P199" i="6"/>
  <c r="P195" i="6"/>
  <c r="P197" i="6"/>
  <c r="P182" i="6"/>
  <c r="AE178" i="6"/>
  <c r="AE179" i="6"/>
  <c r="P181" i="6"/>
  <c r="P183" i="6"/>
  <c r="AE180" i="6"/>
  <c r="S174" i="6"/>
  <c r="S202" i="6"/>
  <c r="S186" i="6"/>
  <c r="S188" i="6"/>
  <c r="S190" i="6"/>
  <c r="S192" i="6"/>
  <c r="S194" i="6"/>
  <c r="S196" i="6"/>
  <c r="S198" i="6"/>
  <c r="S200" i="6"/>
  <c r="S201" i="6"/>
  <c r="S187" i="6"/>
  <c r="S189" i="6"/>
  <c r="S191" i="6"/>
  <c r="S193" i="6"/>
  <c r="S195" i="6"/>
  <c r="S197" i="6"/>
  <c r="S199" i="6"/>
  <c r="S181" i="6"/>
  <c r="AH179" i="6"/>
  <c r="AH178" i="6"/>
  <c r="S182" i="6"/>
  <c r="AH180" i="6"/>
  <c r="S183" i="6"/>
  <c r="M186" i="6"/>
  <c r="M201" i="6"/>
  <c r="M181" i="6"/>
  <c r="M182" i="6"/>
  <c r="M176" i="6"/>
  <c r="M166" i="6"/>
  <c r="AB178" i="6"/>
  <c r="AB179" i="6"/>
  <c r="M173" i="6"/>
  <c r="R190" i="6"/>
  <c r="R201" i="6"/>
  <c r="R187" i="6"/>
  <c r="R189" i="6"/>
  <c r="R191" i="6"/>
  <c r="R193" i="6"/>
  <c r="R195" i="6"/>
  <c r="R197" i="6"/>
  <c r="R199" i="6"/>
  <c r="R202" i="6"/>
  <c r="R188" i="6"/>
  <c r="R186" i="6"/>
  <c r="R192" i="6"/>
  <c r="R194" i="6"/>
  <c r="R196" i="6"/>
  <c r="R198" i="6"/>
  <c r="R200" i="6"/>
  <c r="R181" i="6"/>
  <c r="AG178" i="6"/>
  <c r="R182" i="6"/>
  <c r="R183" i="6"/>
  <c r="AG180" i="6"/>
  <c r="AG179" i="6"/>
  <c r="G228" i="10"/>
  <c r="H228" i="10" s="1"/>
  <c r="E355" i="10"/>
  <c r="S175" i="6"/>
  <c r="M320" i="10"/>
  <c r="N320" i="10" s="1"/>
  <c r="S320" i="10"/>
  <c r="T320" i="10" s="1"/>
  <c r="K320" i="10"/>
  <c r="L320" i="10" s="1"/>
  <c r="O320" i="10"/>
  <c r="P320" i="10" s="1"/>
  <c r="G320" i="10"/>
  <c r="H320" i="10" s="1"/>
  <c r="AC374" i="10"/>
  <c r="E385" i="10"/>
  <c r="G432" i="10"/>
  <c r="H432" i="10" s="1"/>
  <c r="O432" i="10"/>
  <c r="P432" i="10" s="1"/>
  <c r="W432" i="10"/>
  <c r="X432" i="10" s="1"/>
  <c r="O402" i="10"/>
  <c r="P402" i="10" s="1"/>
  <c r="W402" i="10"/>
  <c r="X402" i="10" s="1"/>
  <c r="I432" i="10"/>
  <c r="J432" i="10" s="1"/>
  <c r="Q432" i="10"/>
  <c r="R432" i="10" s="1"/>
  <c r="Y432" i="10"/>
  <c r="Z432" i="10" s="1"/>
  <c r="Q402" i="10"/>
  <c r="R402" i="10" s="1"/>
  <c r="Y402" i="10"/>
  <c r="Z402" i="10" s="1"/>
  <c r="G402" i="10"/>
  <c r="H402" i="10" s="1"/>
  <c r="K432" i="10"/>
  <c r="L432" i="10" s="1"/>
  <c r="S432" i="10"/>
  <c r="T432" i="10" s="1"/>
  <c r="AA432" i="10"/>
  <c r="AB432" i="10" s="1"/>
  <c r="K402" i="10"/>
  <c r="L402" i="10" s="1"/>
  <c r="S402" i="10"/>
  <c r="T402" i="10" s="1"/>
  <c r="AA402" i="10"/>
  <c r="AB402" i="10" s="1"/>
  <c r="M432" i="10"/>
  <c r="N432" i="10" s="1"/>
  <c r="U432" i="10"/>
  <c r="V432" i="10" s="1"/>
  <c r="M402" i="10"/>
  <c r="N402" i="10" s="1"/>
  <c r="U402" i="10"/>
  <c r="V402" i="10" s="1"/>
  <c r="K355" i="10"/>
  <c r="L355" i="10" s="1"/>
  <c r="S346" i="10"/>
  <c r="T346" i="10" s="1"/>
  <c r="Y365" i="10"/>
  <c r="Z365" i="10" s="1"/>
  <c r="D165" i="9"/>
  <c r="F556" i="6" s="1"/>
  <c r="K556" i="6" s="1"/>
  <c r="S355" i="10"/>
  <c r="T355" i="10" s="1"/>
  <c r="AA355" i="10"/>
  <c r="AB355" i="10" s="1"/>
  <c r="O176" i="6"/>
  <c r="U167" i="6"/>
  <c r="K488" i="6"/>
  <c r="C515" i="10" s="1"/>
  <c r="L236" i="6"/>
  <c r="E376" i="10" s="1"/>
  <c r="K491" i="6"/>
  <c r="C521" i="10" s="1"/>
  <c r="M355" i="10"/>
  <c r="K579" i="6"/>
  <c r="C550" i="10" s="1"/>
  <c r="I355" i="10"/>
  <c r="J355" i="10" s="1"/>
  <c r="Q337" i="10"/>
  <c r="R337" i="10" s="1"/>
  <c r="M357" i="10"/>
  <c r="N357" i="10" s="1"/>
  <c r="S357" i="10"/>
  <c r="T357" i="10" s="1"/>
  <c r="Y357" i="10"/>
  <c r="Z357" i="10" s="1"/>
  <c r="I357" i="10"/>
  <c r="J357" i="10" s="1"/>
  <c r="Y337" i="10"/>
  <c r="Z337" i="10" s="1"/>
  <c r="Q357" i="10"/>
  <c r="R357" i="10" s="1"/>
  <c r="K357" i="10"/>
  <c r="L357" i="10" s="1"/>
  <c r="O357" i="10"/>
  <c r="P357" i="10" s="1"/>
  <c r="W357" i="10"/>
  <c r="X357" i="10" s="1"/>
  <c r="U357" i="10"/>
  <c r="V357" i="10" s="1"/>
  <c r="K368" i="10"/>
  <c r="L368" i="10" s="1"/>
  <c r="Q368" i="10"/>
  <c r="R368" i="10" s="1"/>
  <c r="AA368" i="10"/>
  <c r="AB368" i="10" s="1"/>
  <c r="I368" i="10"/>
  <c r="J368" i="10" s="1"/>
  <c r="M368" i="10"/>
  <c r="N368" i="10" s="1"/>
  <c r="Y368" i="10"/>
  <c r="Z368" i="10" s="1"/>
  <c r="S166" i="6"/>
  <c r="S167" i="6"/>
  <c r="O175" i="6"/>
  <c r="O169" i="6"/>
  <c r="O167" i="6"/>
  <c r="C531" i="10"/>
  <c r="S171" i="6"/>
  <c r="Q167" i="6"/>
  <c r="S170" i="6"/>
  <c r="I513" i="6"/>
  <c r="K620" i="6"/>
  <c r="C138" i="10" s="1"/>
  <c r="K479" i="6"/>
  <c r="K628" i="6"/>
  <c r="C126" i="10" s="1"/>
  <c r="K482" i="6"/>
  <c r="C510" i="10" s="1"/>
  <c r="K502" i="6"/>
  <c r="C519" i="10" s="1"/>
  <c r="I503" i="6"/>
  <c r="K503" i="6" s="1"/>
  <c r="C520" i="10" s="1"/>
  <c r="K580" i="6"/>
  <c r="C557" i="10" s="1"/>
  <c r="AC139" i="10"/>
  <c r="AC129" i="10"/>
  <c r="S176" i="6"/>
  <c r="S172" i="6"/>
  <c r="S168" i="6"/>
  <c r="S177" i="6"/>
  <c r="S173" i="6"/>
  <c r="S169" i="6"/>
  <c r="K651" i="6"/>
  <c r="K634" i="6"/>
  <c r="C141" i="10" s="1"/>
  <c r="K647" i="6"/>
  <c r="C130" i="10" s="1"/>
  <c r="K624" i="6"/>
  <c r="C127" i="10" s="1"/>
  <c r="K643" i="6"/>
  <c r="C144" i="10" s="1"/>
  <c r="K639" i="6"/>
  <c r="C146" i="10" s="1"/>
  <c r="M196" i="6"/>
  <c r="M193" i="6"/>
  <c r="M189" i="6"/>
  <c r="O172" i="6"/>
  <c r="K346" i="10"/>
  <c r="L346" i="10" s="1"/>
  <c r="O177" i="6"/>
  <c r="O171" i="6"/>
  <c r="U174" i="6"/>
  <c r="Y330" i="10"/>
  <c r="Z330" i="10" s="1"/>
  <c r="K324" i="10"/>
  <c r="L324" i="10" s="1"/>
  <c r="V176" i="6"/>
  <c r="V168" i="6"/>
  <c r="V172" i="6"/>
  <c r="U173" i="6"/>
  <c r="U170" i="6"/>
  <c r="U178" i="6"/>
  <c r="U175" i="6"/>
  <c r="U169" i="6"/>
  <c r="AA187" i="10"/>
  <c r="AB187" i="10" s="1"/>
  <c r="W187" i="10"/>
  <c r="X187" i="10" s="1"/>
  <c r="M346" i="10"/>
  <c r="N346" i="10" s="1"/>
  <c r="Q175" i="6"/>
  <c r="M187" i="10"/>
  <c r="N187" i="10" s="1"/>
  <c r="Q171" i="6"/>
  <c r="E182" i="10"/>
  <c r="F182" i="10" s="1"/>
  <c r="G187" i="10"/>
  <c r="H187" i="10" s="1"/>
  <c r="O173" i="6"/>
  <c r="O168" i="6"/>
  <c r="U171" i="6"/>
  <c r="U166" i="6"/>
  <c r="C9" i="10"/>
  <c r="O174" i="6"/>
  <c r="O170" i="6"/>
  <c r="O166" i="6"/>
  <c r="U176" i="6"/>
  <c r="U172" i="6"/>
  <c r="U168" i="6"/>
  <c r="V173" i="6"/>
  <c r="K598" i="6"/>
  <c r="C547" i="10" s="1"/>
  <c r="AI257" i="18"/>
  <c r="AJ254" i="18"/>
  <c r="AC85" i="18"/>
  <c r="Q177" i="6"/>
  <c r="Q173" i="6"/>
  <c r="Q169" i="6"/>
  <c r="W172" i="6"/>
  <c r="Q176" i="6"/>
  <c r="Q172" i="6"/>
  <c r="Q168" i="6"/>
  <c r="W168" i="6"/>
  <c r="W177" i="6"/>
  <c r="Q174" i="6"/>
  <c r="Q170" i="6"/>
  <c r="Q166" i="6"/>
  <c r="W176" i="6"/>
  <c r="S330" i="10"/>
  <c r="T330" i="10" s="1"/>
  <c r="AG210" i="18"/>
  <c r="R171" i="6"/>
  <c r="D155" i="9"/>
  <c r="F550" i="6" s="1"/>
  <c r="O180" i="6"/>
  <c r="U333" i="10"/>
  <c r="V333" i="10" s="1"/>
  <c r="U330" i="10"/>
  <c r="V330" i="10" s="1"/>
  <c r="AA337" i="10"/>
  <c r="AB337" i="10" s="1"/>
  <c r="Q320" i="10"/>
  <c r="R320" i="10" s="1"/>
  <c r="E349" i="10"/>
  <c r="F349" i="10" s="1"/>
  <c r="AA330" i="10"/>
  <c r="AB330" i="10" s="1"/>
  <c r="E292" i="10"/>
  <c r="F292" i="10" s="1"/>
  <c r="W337" i="10"/>
  <c r="X337" i="10" s="1"/>
  <c r="O330" i="10"/>
  <c r="P330" i="10" s="1"/>
  <c r="Q330" i="10"/>
  <c r="R330" i="10" s="1"/>
  <c r="S333" i="10"/>
  <c r="T333" i="10" s="1"/>
  <c r="O346" i="10"/>
  <c r="P346" i="10" s="1"/>
  <c r="S337" i="10"/>
  <c r="T337" i="10" s="1"/>
  <c r="Q333" i="10"/>
  <c r="R333" i="10" s="1"/>
  <c r="M330" i="10"/>
  <c r="N330" i="10" s="1"/>
  <c r="Y346" i="10"/>
  <c r="Z346" i="10" s="1"/>
  <c r="W324" i="10"/>
  <c r="X324" i="10" s="1"/>
  <c r="U324" i="10"/>
  <c r="V324" i="10" s="1"/>
  <c r="K337" i="10"/>
  <c r="L337" i="10" s="1"/>
  <c r="U346" i="10"/>
  <c r="V346" i="10" s="1"/>
  <c r="S288" i="10"/>
  <c r="T288" i="10" s="1"/>
  <c r="AC88" i="18"/>
  <c r="AJ259" i="18"/>
  <c r="S179" i="6"/>
  <c r="S178" i="6"/>
  <c r="W171" i="6"/>
  <c r="R175" i="6"/>
  <c r="R167" i="6"/>
  <c r="V169" i="6"/>
  <c r="W174" i="6"/>
  <c r="W170" i="6"/>
  <c r="W166" i="6"/>
  <c r="S180" i="6"/>
  <c r="W330" i="10"/>
  <c r="X330" i="10" s="1"/>
  <c r="W333" i="10"/>
  <c r="X333" i="10" s="1"/>
  <c r="Y324" i="10"/>
  <c r="Z324" i="10" s="1"/>
  <c r="M337" i="10"/>
  <c r="N337" i="10" s="1"/>
  <c r="E169" i="9"/>
  <c r="F558" i="6" s="1"/>
  <c r="K558" i="6" s="1"/>
  <c r="C86" i="10" s="1"/>
  <c r="R174" i="6"/>
  <c r="R166" i="6"/>
  <c r="W173" i="6"/>
  <c r="W169" i="6"/>
  <c r="W180" i="6"/>
  <c r="R170" i="6"/>
  <c r="W175" i="6"/>
  <c r="W167" i="6"/>
  <c r="F559" i="6"/>
  <c r="K559" i="6" s="1"/>
  <c r="C46" i="10" s="1"/>
  <c r="I364" i="10"/>
  <c r="J364" i="10" s="1"/>
  <c r="K288" i="10"/>
  <c r="L288" i="10" s="1"/>
  <c r="Q288" i="10"/>
  <c r="R288" i="10" s="1"/>
  <c r="W179" i="6"/>
  <c r="W178" i="6"/>
  <c r="Y288" i="10"/>
  <c r="Z288" i="10" s="1"/>
  <c r="Q180" i="6"/>
  <c r="AC468" i="10"/>
  <c r="AC464" i="10"/>
  <c r="T174" i="6"/>
  <c r="T175" i="6"/>
  <c r="T168" i="6"/>
  <c r="T172" i="6"/>
  <c r="T176" i="6"/>
  <c r="T167" i="6"/>
  <c r="T169" i="6"/>
  <c r="T173" i="6"/>
  <c r="T177" i="6"/>
  <c r="T166" i="6"/>
  <c r="T170" i="6"/>
  <c r="T171" i="6"/>
  <c r="R177" i="6"/>
  <c r="R173" i="6"/>
  <c r="R169" i="6"/>
  <c r="V175" i="6"/>
  <c r="V171" i="6"/>
  <c r="V167" i="6"/>
  <c r="R176" i="6"/>
  <c r="R172" i="6"/>
  <c r="R168" i="6"/>
  <c r="V174" i="6"/>
  <c r="V170" i="6"/>
  <c r="V166" i="6"/>
  <c r="K364" i="10"/>
  <c r="L364" i="10" s="1"/>
  <c r="AA346" i="10"/>
  <c r="AB346" i="10" s="1"/>
  <c r="Y333" i="10"/>
  <c r="Z333" i="10" s="1"/>
  <c r="O333" i="10"/>
  <c r="P333" i="10" s="1"/>
  <c r="S324" i="10"/>
  <c r="T324" i="10" s="1"/>
  <c r="AA288" i="10"/>
  <c r="AB288" i="10" s="1"/>
  <c r="O179" i="6"/>
  <c r="O178" i="6"/>
  <c r="M324" i="10"/>
  <c r="N324" i="10" s="1"/>
  <c r="AA324" i="10"/>
  <c r="AB324" i="10" s="1"/>
  <c r="Y354" i="10"/>
  <c r="Z354" i="10" s="1"/>
  <c r="W364" i="10"/>
  <c r="X364" i="10" s="1"/>
  <c r="K330" i="10"/>
  <c r="L330" i="10" s="1"/>
  <c r="Q435" i="10"/>
  <c r="R435" i="10" s="1"/>
  <c r="Q346" i="10"/>
  <c r="R346" i="10" s="1"/>
  <c r="O288" i="10"/>
  <c r="P288" i="10" s="1"/>
  <c r="U288" i="10"/>
  <c r="V288" i="10" s="1"/>
  <c r="E364" i="10"/>
  <c r="F364" i="10" s="1"/>
  <c r="U337" i="10"/>
  <c r="V337" i="10" s="1"/>
  <c r="W288" i="10"/>
  <c r="X288" i="10" s="1"/>
  <c r="O324" i="10"/>
  <c r="P324" i="10" s="1"/>
  <c r="O337" i="10"/>
  <c r="P337" i="10" s="1"/>
  <c r="AC566" i="10"/>
  <c r="AA333" i="10"/>
  <c r="AB333" i="10" s="1"/>
  <c r="W346" i="10"/>
  <c r="X346" i="10" s="1"/>
  <c r="S364" i="10"/>
  <c r="T364" i="10" s="1"/>
  <c r="M333" i="10"/>
  <c r="N333" i="10" s="1"/>
  <c r="M288" i="10"/>
  <c r="N288" i="10" s="1"/>
  <c r="Q324" i="10"/>
  <c r="R324" i="10" s="1"/>
  <c r="M364" i="10"/>
  <c r="N364" i="10" s="1"/>
  <c r="E180" i="9"/>
  <c r="AC496" i="10"/>
  <c r="AD496" i="10" s="1"/>
  <c r="U354" i="10"/>
  <c r="V354" i="10" s="1"/>
  <c r="E162" i="9"/>
  <c r="F555" i="6" s="1"/>
  <c r="K555" i="6" s="1"/>
  <c r="C500" i="10" s="1"/>
  <c r="G337" i="10"/>
  <c r="H337" i="10" s="1"/>
  <c r="M167" i="6"/>
  <c r="M180" i="6"/>
  <c r="M172" i="6"/>
  <c r="M197" i="6"/>
  <c r="M187" i="6"/>
  <c r="M188" i="6"/>
  <c r="M178" i="6"/>
  <c r="M170" i="6"/>
  <c r="M195" i="6"/>
  <c r="M168" i="6"/>
  <c r="M174" i="6"/>
  <c r="M191" i="6"/>
  <c r="M190" i="6"/>
  <c r="P167" i="6"/>
  <c r="P171" i="6"/>
  <c r="P175" i="6"/>
  <c r="P168" i="6"/>
  <c r="P172" i="6"/>
  <c r="P176" i="6"/>
  <c r="P169" i="6"/>
  <c r="P177" i="6"/>
  <c r="P166" i="6"/>
  <c r="P170" i="6"/>
  <c r="P174" i="6"/>
  <c r="P173" i="6"/>
  <c r="U179" i="6"/>
  <c r="E160" i="10"/>
  <c r="AC214" i="10"/>
  <c r="Q179" i="6"/>
  <c r="U177" i="6"/>
  <c r="Q178" i="6"/>
  <c r="U180" i="6"/>
  <c r="E178" i="10"/>
  <c r="F178" i="10" s="1"/>
  <c r="AC561" i="10"/>
  <c r="E181" i="9"/>
  <c r="AC221" i="10"/>
  <c r="AC219" i="10"/>
  <c r="U435" i="10"/>
  <c r="V435" i="10" s="1"/>
  <c r="O364" i="10"/>
  <c r="P364" i="10" s="1"/>
  <c r="O354" i="10"/>
  <c r="P354" i="10" s="1"/>
  <c r="Q364" i="10"/>
  <c r="R364" i="10" s="1"/>
  <c r="U364" i="10"/>
  <c r="V364" i="10" s="1"/>
  <c r="AC492" i="10"/>
  <c r="K584" i="6"/>
  <c r="C556" i="10" s="1"/>
  <c r="K585" i="6"/>
  <c r="C563" i="10" s="1"/>
  <c r="F590" i="6"/>
  <c r="M435" i="10"/>
  <c r="N435" i="10" s="1"/>
  <c r="K583" i="6"/>
  <c r="C549" i="10" s="1"/>
  <c r="G89" i="9"/>
  <c r="F587" i="6" s="1"/>
  <c r="F591" i="6" s="1"/>
  <c r="F595" i="6" s="1"/>
  <c r="I435" i="10"/>
  <c r="J435" i="10" s="1"/>
  <c r="AA435" i="10"/>
  <c r="AB435" i="10" s="1"/>
  <c r="AA364" i="10"/>
  <c r="AB364" i="10" s="1"/>
  <c r="AC559" i="10"/>
  <c r="C4" i="10"/>
  <c r="D561" i="10" s="1"/>
  <c r="AC213" i="10"/>
  <c r="Q354" i="10"/>
  <c r="R354" i="10" s="1"/>
  <c r="AC538" i="10"/>
  <c r="P180" i="6"/>
  <c r="AC490" i="10"/>
  <c r="W435" i="10"/>
  <c r="X435" i="10" s="1"/>
  <c r="M169" i="6"/>
  <c r="V179" i="6"/>
  <c r="T180" i="6"/>
  <c r="AC552" i="10"/>
  <c r="AD552" i="10" s="1"/>
  <c r="AC175" i="10"/>
  <c r="G333" i="10"/>
  <c r="H333" i="10" s="1"/>
  <c r="AC179" i="10"/>
  <c r="M194" i="6"/>
  <c r="M175" i="6"/>
  <c r="M171" i="6"/>
  <c r="M179" i="6"/>
  <c r="C498" i="10"/>
  <c r="C564" i="10"/>
  <c r="C503" i="10"/>
  <c r="D503" i="10" s="1"/>
  <c r="C541" i="10"/>
  <c r="G330" i="10"/>
  <c r="H330" i="10" s="1"/>
  <c r="W354" i="10"/>
  <c r="X354" i="10" s="1"/>
  <c r="M192" i="6"/>
  <c r="H76" i="6"/>
  <c r="M177" i="6"/>
  <c r="K603" i="6"/>
  <c r="C571" i="10" s="1"/>
  <c r="O435" i="10"/>
  <c r="P435" i="10" s="1"/>
  <c r="K435" i="10"/>
  <c r="L435" i="10" s="1"/>
  <c r="S435" i="10"/>
  <c r="T435" i="10" s="1"/>
  <c r="Y435" i="10"/>
  <c r="Z435" i="10" s="1"/>
  <c r="P178" i="6"/>
  <c r="P179" i="6"/>
  <c r="K76" i="6"/>
  <c r="R179" i="6"/>
  <c r="R180" i="6"/>
  <c r="R178" i="6"/>
  <c r="T178" i="6"/>
  <c r="T179" i="6"/>
  <c r="V177" i="6"/>
  <c r="V178" i="6"/>
  <c r="V180" i="6"/>
  <c r="J76" i="6"/>
  <c r="AC166" i="10"/>
  <c r="AC177" i="10"/>
  <c r="AC110" i="10"/>
  <c r="G435" i="10"/>
  <c r="H435" i="10" s="1"/>
  <c r="G288" i="10"/>
  <c r="H288" i="10" s="1"/>
  <c r="D558" i="10" l="1"/>
  <c r="K415" i="10"/>
  <c r="L415" i="10" s="1"/>
  <c r="I415" i="10"/>
  <c r="J415" i="10" s="1"/>
  <c r="U415" i="10"/>
  <c r="V415" i="10" s="1"/>
  <c r="M415" i="10"/>
  <c r="N415" i="10" s="1"/>
  <c r="Y415" i="10"/>
  <c r="Z415" i="10" s="1"/>
  <c r="Y285" i="10"/>
  <c r="Z285" i="10" s="1"/>
  <c r="G285" i="10"/>
  <c r="H285" i="10" s="1"/>
  <c r="P247" i="6"/>
  <c r="M474" i="10" s="1"/>
  <c r="N474" i="10" s="1"/>
  <c r="S285" i="10"/>
  <c r="T285" i="10" s="1"/>
  <c r="O285" i="10"/>
  <c r="P285" i="10" s="1"/>
  <c r="M394" i="10"/>
  <c r="N394" i="10" s="1"/>
  <c r="O247" i="6"/>
  <c r="K474" i="10" s="1"/>
  <c r="K473" i="10" s="1"/>
  <c r="L473" i="10" s="1"/>
  <c r="K285" i="10"/>
  <c r="L285" i="10" s="1"/>
  <c r="S415" i="10"/>
  <c r="T415" i="10" s="1"/>
  <c r="W394" i="10"/>
  <c r="X394" i="10" s="1"/>
  <c r="Q394" i="10"/>
  <c r="R394" i="10" s="1"/>
  <c r="Y394" i="10"/>
  <c r="Z394" i="10" s="1"/>
  <c r="O394" i="10"/>
  <c r="P394" i="10" s="1"/>
  <c r="W285" i="10"/>
  <c r="X285" i="10" s="1"/>
  <c r="S394" i="10"/>
  <c r="T394" i="10" s="1"/>
  <c r="Q247" i="6"/>
  <c r="O474" i="10" s="1"/>
  <c r="O473" i="10" s="1"/>
  <c r="P473" i="10" s="1"/>
  <c r="V247" i="6"/>
  <c r="Y474" i="10" s="1"/>
  <c r="Y473" i="10" s="1"/>
  <c r="Z473" i="10" s="1"/>
  <c r="AA415" i="10"/>
  <c r="AB415" i="10" s="1"/>
  <c r="W247" i="6"/>
  <c r="AA474" i="10" s="1"/>
  <c r="AB474" i="10" s="1"/>
  <c r="X474" i="10"/>
  <c r="W473" i="10"/>
  <c r="X473" i="10" s="1"/>
  <c r="C285" i="10"/>
  <c r="D285" i="10" s="1"/>
  <c r="E328" i="10"/>
  <c r="V472" i="10"/>
  <c r="P472" i="10"/>
  <c r="N271" i="10"/>
  <c r="M270" i="10"/>
  <c r="N270" i="10" s="1"/>
  <c r="V271" i="10"/>
  <c r="U270" i="10"/>
  <c r="V270" i="10" s="1"/>
  <c r="R271" i="10"/>
  <c r="Q270" i="10"/>
  <c r="R270" i="10" s="1"/>
  <c r="AB271" i="10"/>
  <c r="AA270" i="10"/>
  <c r="AB270" i="10" s="1"/>
  <c r="K394" i="10"/>
  <c r="L394" i="10" s="1"/>
  <c r="W415" i="10"/>
  <c r="X415" i="10" s="1"/>
  <c r="T247" i="6"/>
  <c r="U474" i="10" s="1"/>
  <c r="S247" i="6"/>
  <c r="S474" i="10" s="1"/>
  <c r="R247" i="6"/>
  <c r="Q474" i="10" s="1"/>
  <c r="N472" i="10"/>
  <c r="AB472" i="10"/>
  <c r="Z472" i="10"/>
  <c r="T472" i="10"/>
  <c r="T271" i="10"/>
  <c r="S270" i="10"/>
  <c r="T270" i="10" s="1"/>
  <c r="K270" i="10"/>
  <c r="L270" i="10" s="1"/>
  <c r="L271" i="10"/>
  <c r="H271" i="10"/>
  <c r="G270" i="10"/>
  <c r="H270" i="10" s="1"/>
  <c r="X271" i="10"/>
  <c r="W270" i="10"/>
  <c r="X270" i="10" s="1"/>
  <c r="P271" i="10"/>
  <c r="O270" i="10"/>
  <c r="P270" i="10" s="1"/>
  <c r="Z271" i="10"/>
  <c r="Y270" i="10"/>
  <c r="Z270" i="10" s="1"/>
  <c r="AA285" i="10"/>
  <c r="AB285" i="10" s="1"/>
  <c r="AA394" i="10"/>
  <c r="AB394" i="10" s="1"/>
  <c r="M247" i="6"/>
  <c r="G474" i="10" s="1"/>
  <c r="G473" i="10" s="1"/>
  <c r="G471" i="10" s="1"/>
  <c r="H471" i="10" s="1"/>
  <c r="X472" i="10"/>
  <c r="R472" i="10"/>
  <c r="L472" i="10"/>
  <c r="AD272" i="10"/>
  <c r="AC271" i="10"/>
  <c r="D130" i="10"/>
  <c r="D520" i="10"/>
  <c r="S283" i="10"/>
  <c r="T283" i="10" s="1"/>
  <c r="T282" i="10"/>
  <c r="W263" i="10"/>
  <c r="X263" i="10" s="1"/>
  <c r="X262" i="10"/>
  <c r="O263" i="10"/>
  <c r="P263" i="10" s="1"/>
  <c r="P262" i="10"/>
  <c r="K263" i="10"/>
  <c r="L263" i="10" s="1"/>
  <c r="L262" i="10"/>
  <c r="W283" i="10"/>
  <c r="X283" i="10" s="1"/>
  <c r="X282" i="10"/>
  <c r="K280" i="10"/>
  <c r="L280" i="10" s="1"/>
  <c r="L279" i="10"/>
  <c r="S235" i="10"/>
  <c r="T235" i="10" s="1"/>
  <c r="T234" i="10"/>
  <c r="I235" i="10"/>
  <c r="J235" i="10" s="1"/>
  <c r="J234" i="10"/>
  <c r="M283" i="10"/>
  <c r="N283" i="10" s="1"/>
  <c r="N282" i="10"/>
  <c r="Q280" i="10"/>
  <c r="R280" i="10" s="1"/>
  <c r="R279" i="10"/>
  <c r="D119" i="10"/>
  <c r="F44" i="18"/>
  <c r="G44" i="18" s="1"/>
  <c r="E351" i="10"/>
  <c r="F351" i="10" s="1"/>
  <c r="F362" i="10"/>
  <c r="D139" i="10"/>
  <c r="AC525" i="10"/>
  <c r="F38" i="18"/>
  <c r="D110" i="10"/>
  <c r="D566" i="10"/>
  <c r="C145" i="10"/>
  <c r="D145" i="10" s="1"/>
  <c r="D146" i="10"/>
  <c r="D138" i="10"/>
  <c r="AC385" i="10"/>
  <c r="F385" i="10"/>
  <c r="Y283" i="10"/>
  <c r="Z283" i="10" s="1"/>
  <c r="Z282" i="10"/>
  <c r="Q283" i="10"/>
  <c r="R283" i="10" s="1"/>
  <c r="R282" i="10"/>
  <c r="W235" i="10"/>
  <c r="X235" i="10" s="1"/>
  <c r="X234" i="10"/>
  <c r="O280" i="10"/>
  <c r="P280" i="10" s="1"/>
  <c r="P279" i="10"/>
  <c r="D522" i="10"/>
  <c r="D551" i="10"/>
  <c r="D129" i="10"/>
  <c r="D492" i="10"/>
  <c r="D542" i="10"/>
  <c r="AC564" i="10"/>
  <c r="D564" i="10"/>
  <c r="D563" i="10"/>
  <c r="D141" i="10"/>
  <c r="D519" i="10"/>
  <c r="E354" i="10"/>
  <c r="F354" i="10" s="1"/>
  <c r="F355" i="10"/>
  <c r="M263" i="10"/>
  <c r="N263" i="10" s="1"/>
  <c r="N262" i="10"/>
  <c r="S280" i="10"/>
  <c r="T280" i="10" s="1"/>
  <c r="T279" i="10"/>
  <c r="O283" i="10"/>
  <c r="P283" i="10" s="1"/>
  <c r="P282" i="10"/>
  <c r="O235" i="10"/>
  <c r="P235" i="10" s="1"/>
  <c r="P234" i="10"/>
  <c r="D498" i="10"/>
  <c r="D549" i="10"/>
  <c r="AC556" i="10"/>
  <c r="D556" i="10"/>
  <c r="F32" i="18"/>
  <c r="EJ32" i="18" s="1"/>
  <c r="F28" i="18"/>
  <c r="G28" i="18" s="1"/>
  <c r="AD214" i="10"/>
  <c r="F60" i="18"/>
  <c r="G60" i="18" s="1"/>
  <c r="C45" i="10"/>
  <c r="D45" i="10" s="1"/>
  <c r="D46" i="10"/>
  <c r="D547" i="10"/>
  <c r="D9" i="10"/>
  <c r="C143" i="10"/>
  <c r="D143" i="10" s="1"/>
  <c r="D144" i="10"/>
  <c r="D510" i="10"/>
  <c r="C530" i="10"/>
  <c r="D530" i="10" s="1"/>
  <c r="D531" i="10"/>
  <c r="AC550" i="10"/>
  <c r="D550" i="10"/>
  <c r="AC376" i="10"/>
  <c r="F376" i="10"/>
  <c r="G235" i="10"/>
  <c r="H235" i="10" s="1"/>
  <c r="H234" i="10"/>
  <c r="I283" i="10"/>
  <c r="J283" i="10" s="1"/>
  <c r="J282" i="10"/>
  <c r="AA235" i="10"/>
  <c r="AB235" i="10" s="1"/>
  <c r="AB234" i="10"/>
  <c r="Q263" i="10"/>
  <c r="R263" i="10" s="1"/>
  <c r="R262" i="10"/>
  <c r="Y280" i="10"/>
  <c r="Z280" i="10" s="1"/>
  <c r="Z279" i="10"/>
  <c r="U283" i="10"/>
  <c r="V283" i="10" s="1"/>
  <c r="V282" i="10"/>
  <c r="M235" i="10"/>
  <c r="N235" i="10" s="1"/>
  <c r="N234" i="10"/>
  <c r="I263" i="10"/>
  <c r="J263" i="10" s="1"/>
  <c r="J262" i="10"/>
  <c r="Y263" i="10"/>
  <c r="Z263" i="10" s="1"/>
  <c r="Z262" i="10"/>
  <c r="AA283" i="10"/>
  <c r="AB283" i="10" s="1"/>
  <c r="AB282" i="10"/>
  <c r="U263" i="10"/>
  <c r="V263" i="10" s="1"/>
  <c r="V262" i="10"/>
  <c r="F45" i="18"/>
  <c r="G45" i="18" s="1"/>
  <c r="F31" i="18"/>
  <c r="G31" i="18" s="1"/>
  <c r="AC532" i="10"/>
  <c r="D532" i="10"/>
  <c r="D565" i="10"/>
  <c r="H472" i="10"/>
  <c r="K198" i="10"/>
  <c r="L198" i="10" s="1"/>
  <c r="L200" i="10"/>
  <c r="F41" i="18"/>
  <c r="D600" i="10"/>
  <c r="D601" i="10"/>
  <c r="D602" i="10"/>
  <c r="D621" i="10"/>
  <c r="D617" i="10"/>
  <c r="D618" i="10"/>
  <c r="D606" i="10"/>
  <c r="D622" i="10"/>
  <c r="D609" i="10"/>
  <c r="D612" i="10"/>
  <c r="D615" i="10"/>
  <c r="D619" i="10"/>
  <c r="D613" i="10"/>
  <c r="D607" i="10"/>
  <c r="D616" i="10"/>
  <c r="D610" i="10"/>
  <c r="D528" i="10"/>
  <c r="D252" i="10"/>
  <c r="D82" i="10"/>
  <c r="D467" i="10"/>
  <c r="D106" i="10"/>
  <c r="D459" i="10"/>
  <c r="D603" i="10"/>
  <c r="D251" i="10"/>
  <c r="D466" i="10"/>
  <c r="D465" i="10"/>
  <c r="D223" i="10"/>
  <c r="D105" i="10"/>
  <c r="D605" i="10"/>
  <c r="D598" i="10"/>
  <c r="D103" i="10"/>
  <c r="D460" i="10"/>
  <c r="D104" i="10"/>
  <c r="D599" i="10"/>
  <c r="D464" i="10"/>
  <c r="D604" i="10"/>
  <c r="D462" i="10"/>
  <c r="D102" i="10"/>
  <c r="D468" i="10"/>
  <c r="D463" i="10"/>
  <c r="D458" i="10"/>
  <c r="D393" i="10"/>
  <c r="D534" i="10"/>
  <c r="D111" i="10"/>
  <c r="D112" i="10"/>
  <c r="AC164" i="10"/>
  <c r="C570" i="10"/>
  <c r="D571" i="10"/>
  <c r="D521" i="10"/>
  <c r="G263" i="10"/>
  <c r="H263" i="10" s="1"/>
  <c r="H262" i="10"/>
  <c r="Y235" i="10"/>
  <c r="Z235" i="10" s="1"/>
  <c r="Z234" i="10"/>
  <c r="D511" i="10"/>
  <c r="C540" i="10"/>
  <c r="D541" i="10"/>
  <c r="F27" i="18"/>
  <c r="G27" i="18" s="1"/>
  <c r="AD213" i="10"/>
  <c r="E159" i="10"/>
  <c r="F159" i="10" s="1"/>
  <c r="F160" i="10"/>
  <c r="D500" i="10"/>
  <c r="C85" i="10"/>
  <c r="D85" i="10" s="1"/>
  <c r="D86" i="10"/>
  <c r="D127" i="10"/>
  <c r="D557" i="10"/>
  <c r="D126" i="10"/>
  <c r="M354" i="10"/>
  <c r="N354" i="10" s="1"/>
  <c r="N355" i="10"/>
  <c r="C514" i="10"/>
  <c r="D514" i="10" s="1"/>
  <c r="D515" i="10"/>
  <c r="M280" i="10"/>
  <c r="N280" i="10" s="1"/>
  <c r="N279" i="10"/>
  <c r="I280" i="10"/>
  <c r="J280" i="10" s="1"/>
  <c r="J279" i="10"/>
  <c r="K235" i="10"/>
  <c r="L235" i="10" s="1"/>
  <c r="L234" i="10"/>
  <c r="Q235" i="10"/>
  <c r="R235" i="10" s="1"/>
  <c r="R234" i="10"/>
  <c r="AA263" i="10"/>
  <c r="AB263" i="10" s="1"/>
  <c r="AB262" i="10"/>
  <c r="AA280" i="10"/>
  <c r="AB280" i="10" s="1"/>
  <c r="AB279" i="10"/>
  <c r="S263" i="10"/>
  <c r="T263" i="10" s="1"/>
  <c r="T262" i="10"/>
  <c r="U280" i="10"/>
  <c r="V280" i="10" s="1"/>
  <c r="V279" i="10"/>
  <c r="K283" i="10"/>
  <c r="L283" i="10" s="1"/>
  <c r="L282" i="10"/>
  <c r="U235" i="10"/>
  <c r="V235" i="10" s="1"/>
  <c r="V234" i="10"/>
  <c r="D554" i="10"/>
  <c r="D149" i="10"/>
  <c r="M198" i="10"/>
  <c r="N198" i="10" s="1"/>
  <c r="N200" i="10"/>
  <c r="AC416" i="10"/>
  <c r="H416" i="10"/>
  <c r="G212" i="10"/>
  <c r="H212" i="10" s="1"/>
  <c r="H215" i="10"/>
  <c r="AC523" i="10"/>
  <c r="D523" i="10"/>
  <c r="D526" i="10"/>
  <c r="D538" i="10"/>
  <c r="D533" i="10"/>
  <c r="D490" i="10"/>
  <c r="D559" i="10"/>
  <c r="AC375" i="10"/>
  <c r="U258" i="10"/>
  <c r="V258" i="10" s="1"/>
  <c r="G258" i="10"/>
  <c r="H258" i="10" s="1"/>
  <c r="W258" i="10"/>
  <c r="X258" i="10" s="1"/>
  <c r="F64" i="18"/>
  <c r="AA229" i="10"/>
  <c r="AB229" i="10" s="1"/>
  <c r="G229" i="10"/>
  <c r="H229" i="10" s="1"/>
  <c r="U259" i="10"/>
  <c r="K258" i="10"/>
  <c r="L258" i="10" s="1"/>
  <c r="M258" i="10"/>
  <c r="N258" i="10" s="1"/>
  <c r="AC230" i="10"/>
  <c r="O258" i="10"/>
  <c r="P258" i="10" s="1"/>
  <c r="Q258" i="10"/>
  <c r="R258" i="10" s="1"/>
  <c r="Y258" i="10"/>
  <c r="Z258" i="10" s="1"/>
  <c r="AA258" i="10"/>
  <c r="AB258" i="10" s="1"/>
  <c r="S258" i="10"/>
  <c r="T258" i="10" s="1"/>
  <c r="W278" i="10"/>
  <c r="X278" i="10" s="1"/>
  <c r="W280" i="10"/>
  <c r="X280" i="10" s="1"/>
  <c r="G283" i="10"/>
  <c r="H283" i="10" s="1"/>
  <c r="F19" i="18"/>
  <c r="G19" i="18" s="1"/>
  <c r="D13" i="14" s="1"/>
  <c r="F30" i="18"/>
  <c r="EJ30" i="18" s="1"/>
  <c r="AC218" i="10"/>
  <c r="A143" i="9"/>
  <c r="G32" i="18"/>
  <c r="EJ28" i="18"/>
  <c r="EJ45" i="18"/>
  <c r="F56" i="18"/>
  <c r="EJ60" i="18"/>
  <c r="K513" i="6"/>
  <c r="C529" i="10" s="1"/>
  <c r="D529" i="10" s="1"/>
  <c r="M351" i="10"/>
  <c r="N351" i="10" s="1"/>
  <c r="AC149" i="10"/>
  <c r="C148" i="10"/>
  <c r="D148" i="10" s="1"/>
  <c r="Q393" i="10"/>
  <c r="R393" i="10" s="1"/>
  <c r="S278" i="10"/>
  <c r="T278" i="10" s="1"/>
  <c r="S198" i="10"/>
  <c r="T198" i="10" s="1"/>
  <c r="K393" i="10"/>
  <c r="L393" i="10" s="1"/>
  <c r="U393" i="10"/>
  <c r="V393" i="10" s="1"/>
  <c r="Q351" i="10"/>
  <c r="R351" i="10" s="1"/>
  <c r="AA278" i="10"/>
  <c r="AB278" i="10" s="1"/>
  <c r="O393" i="10"/>
  <c r="P393" i="10" s="1"/>
  <c r="M278" i="10"/>
  <c r="N278" i="10" s="1"/>
  <c r="I278" i="10"/>
  <c r="J278" i="10" s="1"/>
  <c r="K278" i="10"/>
  <c r="L278" i="10" s="1"/>
  <c r="G415" i="10"/>
  <c r="K351" i="10"/>
  <c r="L351" i="10" s="1"/>
  <c r="M285" i="10"/>
  <c r="N285" i="10" s="1"/>
  <c r="AC126" i="10"/>
  <c r="AC373" i="10"/>
  <c r="E372" i="10"/>
  <c r="F372" i="10" s="1"/>
  <c r="AC119" i="10"/>
  <c r="C114" i="10"/>
  <c r="D114" i="10" s="1"/>
  <c r="W351" i="10"/>
  <c r="X351" i="10" s="1"/>
  <c r="S351" i="10"/>
  <c r="T351" i="10" s="1"/>
  <c r="Y351" i="10"/>
  <c r="Z351" i="10" s="1"/>
  <c r="AC138" i="10"/>
  <c r="C137" i="10"/>
  <c r="D137" i="10" s="1"/>
  <c r="G394" i="10"/>
  <c r="H394" i="10" s="1"/>
  <c r="U351" i="10"/>
  <c r="V351" i="10" s="1"/>
  <c r="AC379" i="10"/>
  <c r="E378" i="10"/>
  <c r="F378" i="10" s="1"/>
  <c r="O351" i="10"/>
  <c r="P351" i="10" s="1"/>
  <c r="I351" i="10"/>
  <c r="J351" i="10" s="1"/>
  <c r="AC432" i="10"/>
  <c r="AC435" i="10"/>
  <c r="Q285" i="10"/>
  <c r="R285" i="10" s="1"/>
  <c r="Q278" i="10"/>
  <c r="R278" i="10" s="1"/>
  <c r="O278" i="10"/>
  <c r="P278" i="10" s="1"/>
  <c r="Y278" i="10"/>
  <c r="Z278" i="10" s="1"/>
  <c r="G278" i="10"/>
  <c r="H278" i="10" s="1"/>
  <c r="U278" i="10"/>
  <c r="V278" i="10" s="1"/>
  <c r="S212" i="10"/>
  <c r="T212" i="10" s="1"/>
  <c r="M212" i="10"/>
  <c r="N212" i="10" s="1"/>
  <c r="K212" i="10"/>
  <c r="L212" i="10" s="1"/>
  <c r="U212" i="10"/>
  <c r="V212" i="10" s="1"/>
  <c r="W212" i="10"/>
  <c r="X212" i="10" s="1"/>
  <c r="Y212" i="10"/>
  <c r="Z212" i="10" s="1"/>
  <c r="I217" i="10"/>
  <c r="J217" i="10" s="1"/>
  <c r="G217" i="10"/>
  <c r="H217" i="10" s="1"/>
  <c r="O212" i="10"/>
  <c r="P212" i="10" s="1"/>
  <c r="S217" i="10"/>
  <c r="T217" i="10" s="1"/>
  <c r="U217" i="10"/>
  <c r="V217" i="10" s="1"/>
  <c r="W217" i="10"/>
  <c r="X217" i="10" s="1"/>
  <c r="Y217" i="10"/>
  <c r="Z217" i="10" s="1"/>
  <c r="AA217" i="10"/>
  <c r="AB217" i="10" s="1"/>
  <c r="K217" i="10"/>
  <c r="L217" i="10" s="1"/>
  <c r="M217" i="10"/>
  <c r="N217" i="10" s="1"/>
  <c r="O217" i="10"/>
  <c r="P217" i="10" s="1"/>
  <c r="Q217" i="10"/>
  <c r="R217" i="10" s="1"/>
  <c r="AA212" i="10"/>
  <c r="AB212" i="10" s="1"/>
  <c r="Q212" i="10"/>
  <c r="R212" i="10" s="1"/>
  <c r="AC510" i="10"/>
  <c r="C509" i="10"/>
  <c r="D509" i="10" s="1"/>
  <c r="G198" i="10"/>
  <c r="H198" i="10" s="1"/>
  <c r="Y198" i="10"/>
  <c r="Z198" i="10" s="1"/>
  <c r="U187" i="10"/>
  <c r="V187" i="10" s="1"/>
  <c r="O187" i="10"/>
  <c r="P187" i="10" s="1"/>
  <c r="Q198" i="10"/>
  <c r="R198" i="10" s="1"/>
  <c r="E186" i="10"/>
  <c r="F186" i="10" s="1"/>
  <c r="Q187" i="10"/>
  <c r="R187" i="10" s="1"/>
  <c r="K187" i="10"/>
  <c r="L187" i="10" s="1"/>
  <c r="AA198" i="10"/>
  <c r="AB198" i="10" s="1"/>
  <c r="O198" i="10"/>
  <c r="P198" i="10" s="1"/>
  <c r="S187" i="10"/>
  <c r="T187" i="10" s="1"/>
  <c r="W198" i="10"/>
  <c r="X198" i="10" s="1"/>
  <c r="E173" i="10"/>
  <c r="F173" i="10" s="1"/>
  <c r="AC9" i="10"/>
  <c r="K611" i="6"/>
  <c r="C81" i="10" s="1"/>
  <c r="K607" i="6"/>
  <c r="C50" i="10" s="1"/>
  <c r="D50" i="10" s="1"/>
  <c r="A135" i="9"/>
  <c r="AH89" i="18"/>
  <c r="C128" i="10"/>
  <c r="D128" i="10" s="1"/>
  <c r="AK90" i="18"/>
  <c r="K550" i="6"/>
  <c r="C486" i="10" s="1"/>
  <c r="D486" i="10" s="1"/>
  <c r="B137" i="16"/>
  <c r="E355" i="18" s="1"/>
  <c r="K229" i="10"/>
  <c r="L229" i="10" s="1"/>
  <c r="M229" i="10"/>
  <c r="N229" i="10" s="1"/>
  <c r="K227" i="10"/>
  <c r="L227" i="10" s="1"/>
  <c r="W227" i="10"/>
  <c r="X227" i="10" s="1"/>
  <c r="M259" i="10"/>
  <c r="N259" i="10" s="1"/>
  <c r="W231" i="10"/>
  <c r="Q231" i="10"/>
  <c r="S259" i="10"/>
  <c r="T259" i="10" s="1"/>
  <c r="U231" i="10"/>
  <c r="AA227" i="10"/>
  <c r="AB227" i="10" s="1"/>
  <c r="AA231" i="10"/>
  <c r="U225" i="10"/>
  <c r="V225" i="10" s="1"/>
  <c r="AA225" i="10"/>
  <c r="AB225" i="10" s="1"/>
  <c r="S225" i="10"/>
  <c r="T225" i="10" s="1"/>
  <c r="Q256" i="10"/>
  <c r="S227" i="10"/>
  <c r="T227" i="10" s="1"/>
  <c r="M231" i="10"/>
  <c r="O231" i="10"/>
  <c r="O259" i="10"/>
  <c r="P259" i="10" s="1"/>
  <c r="Y227" i="10"/>
  <c r="Z227" i="10" s="1"/>
  <c r="AA259" i="10"/>
  <c r="AB259" i="10" s="1"/>
  <c r="K231" i="10"/>
  <c r="K259" i="10"/>
  <c r="L259" i="10" s="1"/>
  <c r="W256" i="10"/>
  <c r="AC234" i="10"/>
  <c r="I229" i="10"/>
  <c r="J229" i="10" s="1"/>
  <c r="O229" i="10"/>
  <c r="P229" i="10" s="1"/>
  <c r="U229" i="10"/>
  <c r="V229" i="10" s="1"/>
  <c r="Y225" i="10"/>
  <c r="Z225" i="10" s="1"/>
  <c r="K225" i="10"/>
  <c r="L225" i="10" s="1"/>
  <c r="W225" i="10"/>
  <c r="X225" i="10" s="1"/>
  <c r="Q227" i="10"/>
  <c r="R227" i="10" s="1"/>
  <c r="Y231" i="10"/>
  <c r="AA256" i="10"/>
  <c r="K256" i="10"/>
  <c r="K255" i="10" s="1"/>
  <c r="L255" i="10" s="1"/>
  <c r="U256" i="10"/>
  <c r="W259" i="10"/>
  <c r="X259" i="10" s="1"/>
  <c r="S229" i="10"/>
  <c r="T229" i="10" s="1"/>
  <c r="M225" i="10"/>
  <c r="N225" i="10" s="1"/>
  <c r="O225" i="10"/>
  <c r="P225" i="10" s="1"/>
  <c r="Q259" i="10"/>
  <c r="R259" i="10" s="1"/>
  <c r="S231" i="10"/>
  <c r="M227" i="10"/>
  <c r="N227" i="10" s="1"/>
  <c r="O227" i="10"/>
  <c r="P227" i="10" s="1"/>
  <c r="AC262" i="10"/>
  <c r="Y229" i="10"/>
  <c r="Z229" i="10" s="1"/>
  <c r="AC282" i="10"/>
  <c r="Q225" i="10"/>
  <c r="R225" i="10" s="1"/>
  <c r="AC228" i="10"/>
  <c r="S256" i="10"/>
  <c r="M256" i="10"/>
  <c r="O256" i="10"/>
  <c r="Y256" i="10"/>
  <c r="Y259" i="10"/>
  <c r="Z259" i="10" s="1"/>
  <c r="U227" i="10"/>
  <c r="V227" i="10" s="1"/>
  <c r="G280" i="10"/>
  <c r="H280" i="10" s="1"/>
  <c r="AC279" i="10"/>
  <c r="Q229" i="10"/>
  <c r="R229" i="10" s="1"/>
  <c r="W229" i="10"/>
  <c r="X229" i="10" s="1"/>
  <c r="G227" i="10"/>
  <c r="H227" i="10" s="1"/>
  <c r="G231" i="10"/>
  <c r="G259" i="10"/>
  <c r="H259" i="10" s="1"/>
  <c r="AA354" i="10"/>
  <c r="AB354" i="10" s="1"/>
  <c r="G256" i="10"/>
  <c r="G225" i="10"/>
  <c r="H225" i="10" s="1"/>
  <c r="K354" i="10"/>
  <c r="L354" i="10" s="1"/>
  <c r="S354" i="10"/>
  <c r="T354" i="10" s="1"/>
  <c r="I354" i="10"/>
  <c r="J354" i="10" s="1"/>
  <c r="Y364" i="10"/>
  <c r="Z364" i="10" s="1"/>
  <c r="AC515" i="10"/>
  <c r="AC357" i="10"/>
  <c r="AC368" i="10"/>
  <c r="AC182" i="10"/>
  <c r="AC46" i="10"/>
  <c r="AC511" i="10"/>
  <c r="C513" i="10"/>
  <c r="AC520" i="10"/>
  <c r="AC519" i="10"/>
  <c r="C518" i="10"/>
  <c r="AC531" i="10"/>
  <c r="C508" i="10"/>
  <c r="D508" i="10" s="1"/>
  <c r="AC130" i="10"/>
  <c r="AC146" i="10"/>
  <c r="AC141" i="10"/>
  <c r="AC144" i="10"/>
  <c r="AC127" i="10"/>
  <c r="AC463" i="10"/>
  <c r="AC4" i="10"/>
  <c r="AD413" i="10" s="1"/>
  <c r="AD85" i="18"/>
  <c r="AJ257" i="18"/>
  <c r="AK254" i="18"/>
  <c r="AH210" i="18"/>
  <c r="AD88" i="18"/>
  <c r="AK259" i="18"/>
  <c r="AC500" i="10"/>
  <c r="AC565" i="10"/>
  <c r="AD565" i="10" s="1"/>
  <c r="B178" i="9"/>
  <c r="E178" i="9"/>
  <c r="G178" i="10" s="1"/>
  <c r="H178" i="10" s="1"/>
  <c r="C158" i="16"/>
  <c r="AC547" i="10"/>
  <c r="AD547" i="10" s="1"/>
  <c r="K586" i="6"/>
  <c r="C548" i="10" s="1"/>
  <c r="K590" i="6"/>
  <c r="C555" i="10" s="1"/>
  <c r="F594" i="6"/>
  <c r="K594" i="6" s="1"/>
  <c r="C562" i="10" s="1"/>
  <c r="D562" i="10" s="1"/>
  <c r="AC328" i="10"/>
  <c r="AD328" i="10" s="1"/>
  <c r="AC521" i="10"/>
  <c r="AC541" i="10"/>
  <c r="AC557" i="10"/>
  <c r="AC498" i="10"/>
  <c r="AD498" i="10" s="1"/>
  <c r="AC563" i="10"/>
  <c r="AC503" i="10"/>
  <c r="AC86" i="10"/>
  <c r="AC554" i="10"/>
  <c r="AD554" i="10" s="1"/>
  <c r="AC549" i="10"/>
  <c r="AC571" i="10"/>
  <c r="Z474" i="10" l="1"/>
  <c r="AD279" i="10"/>
  <c r="EJ31" i="18"/>
  <c r="AD166" i="10"/>
  <c r="M473" i="10"/>
  <c r="N473" i="10" s="1"/>
  <c r="AD558" i="10"/>
  <c r="P474" i="10"/>
  <c r="Y393" i="10"/>
  <c r="Z393" i="10" s="1"/>
  <c r="S393" i="10"/>
  <c r="T393" i="10" s="1"/>
  <c r="L474" i="10"/>
  <c r="M393" i="10"/>
  <c r="N393" i="10" s="1"/>
  <c r="W393" i="10"/>
  <c r="X393" i="10" s="1"/>
  <c r="EJ44" i="18"/>
  <c r="C142" i="10"/>
  <c r="D142" i="10" s="1"/>
  <c r="K471" i="10"/>
  <c r="L471" i="10" s="1"/>
  <c r="AA473" i="10"/>
  <c r="M186" i="10"/>
  <c r="N186" i="10" s="1"/>
  <c r="AA393" i="10"/>
  <c r="AB393" i="10" s="1"/>
  <c r="C8" i="10"/>
  <c r="D8" i="10" s="1"/>
  <c r="S255" i="10"/>
  <c r="T255" i="10" s="1"/>
  <c r="AA255" i="10"/>
  <c r="AB255" i="10" s="1"/>
  <c r="Q255" i="10"/>
  <c r="R255" i="10" s="1"/>
  <c r="H474" i="10"/>
  <c r="O471" i="10"/>
  <c r="P471" i="10" s="1"/>
  <c r="AD549" i="10"/>
  <c r="AD563" i="10"/>
  <c r="AD521" i="10"/>
  <c r="AD520" i="10"/>
  <c r="AD182" i="10"/>
  <c r="AD141" i="10"/>
  <c r="H256" i="10"/>
  <c r="G255" i="10"/>
  <c r="H255" i="10" s="1"/>
  <c r="P256" i="10"/>
  <c r="O255" i="10"/>
  <c r="P255" i="10" s="1"/>
  <c r="V256" i="10"/>
  <c r="U255" i="10"/>
  <c r="V255" i="10" s="1"/>
  <c r="X256" i="10"/>
  <c r="W255" i="10"/>
  <c r="X255" i="10" s="1"/>
  <c r="AD9" i="10"/>
  <c r="EJ27" i="18"/>
  <c r="W471" i="10"/>
  <c r="X471" i="10" s="1"/>
  <c r="F328" i="10"/>
  <c r="E285" i="10"/>
  <c r="F285" i="10" s="1"/>
  <c r="N256" i="10"/>
  <c r="M255" i="10"/>
  <c r="N255" i="10" s="1"/>
  <c r="R474" i="10"/>
  <c r="Q473" i="10"/>
  <c r="T474" i="10"/>
  <c r="S473" i="10"/>
  <c r="Z256" i="10"/>
  <c r="Y255" i="10"/>
  <c r="Z255" i="10" s="1"/>
  <c r="Y471" i="10"/>
  <c r="Z471" i="10" s="1"/>
  <c r="M471" i="10"/>
  <c r="N471" i="10" s="1"/>
  <c r="V474" i="10"/>
  <c r="U473" i="10"/>
  <c r="AD271" i="10"/>
  <c r="AC270" i="10"/>
  <c r="AD270" i="10" s="1"/>
  <c r="G232" i="10"/>
  <c r="H232" i="10" s="1"/>
  <c r="H231" i="10"/>
  <c r="AD228" i="10"/>
  <c r="AD262" i="10"/>
  <c r="Y232" i="10"/>
  <c r="Z232" i="10" s="1"/>
  <c r="Z231" i="10"/>
  <c r="AD234" i="10"/>
  <c r="M232" i="10"/>
  <c r="N232" i="10" s="1"/>
  <c r="N231" i="10"/>
  <c r="U232" i="10"/>
  <c r="V232" i="10" s="1"/>
  <c r="V231" i="10"/>
  <c r="C80" i="10"/>
  <c r="D80" i="10" s="1"/>
  <c r="D81" i="10"/>
  <c r="AD435" i="10"/>
  <c r="AC114" i="10"/>
  <c r="AD114" i="10" s="1"/>
  <c r="AD119" i="10"/>
  <c r="AC415" i="10"/>
  <c r="H415" i="10"/>
  <c r="AD230" i="10"/>
  <c r="AD523" i="10"/>
  <c r="AD384" i="10"/>
  <c r="AD492" i="10"/>
  <c r="AD179" i="10"/>
  <c r="AD551" i="10"/>
  <c r="AD532" i="10"/>
  <c r="AD414" i="10"/>
  <c r="AD374" i="10"/>
  <c r="AD550" i="10"/>
  <c r="AD139" i="10"/>
  <c r="AD566" i="10"/>
  <c r="AD221" i="10"/>
  <c r="AD284" i="10"/>
  <c r="AD385" i="10"/>
  <c r="AD464" i="10"/>
  <c r="AD177" i="10"/>
  <c r="AD377" i="10"/>
  <c r="AD264" i="10"/>
  <c r="AD432" i="10"/>
  <c r="AD218" i="10"/>
  <c r="D570" i="10"/>
  <c r="C569" i="10"/>
  <c r="D569" i="10" s="1"/>
  <c r="AD542" i="10"/>
  <c r="AD220" i="10"/>
  <c r="AD219" i="10"/>
  <c r="EJ38" i="18"/>
  <c r="G38" i="18"/>
  <c r="H473" i="10"/>
  <c r="AD434" i="10"/>
  <c r="AD522" i="10"/>
  <c r="C546" i="10"/>
  <c r="D546" i="10" s="1"/>
  <c r="D548" i="10"/>
  <c r="AC143" i="10"/>
  <c r="AD143" i="10" s="1"/>
  <c r="AD144" i="10"/>
  <c r="AD368" i="10"/>
  <c r="AD510" i="10"/>
  <c r="AD86" i="10"/>
  <c r="AD557" i="10"/>
  <c r="AD500" i="10"/>
  <c r="AC458" i="10"/>
  <c r="AD458" i="10" s="1"/>
  <c r="AD463" i="10"/>
  <c r="AC145" i="10"/>
  <c r="AD145" i="10" s="1"/>
  <c r="AD146" i="10"/>
  <c r="AC518" i="10"/>
  <c r="AD518" i="10" s="1"/>
  <c r="D518" i="10"/>
  <c r="AD511" i="10"/>
  <c r="AD357" i="10"/>
  <c r="AD282" i="10"/>
  <c r="K257" i="10"/>
  <c r="L257" i="10" s="1"/>
  <c r="L256" i="10"/>
  <c r="Q257" i="10"/>
  <c r="R257" i="10" s="1"/>
  <c r="R256" i="10"/>
  <c r="AA232" i="10"/>
  <c r="AB232" i="10" s="1"/>
  <c r="AB231" i="10"/>
  <c r="Q232" i="10"/>
  <c r="R232" i="10" s="1"/>
  <c r="R231" i="10"/>
  <c r="AD379" i="10"/>
  <c r="AC137" i="10"/>
  <c r="AD137" i="10" s="1"/>
  <c r="AD138" i="10"/>
  <c r="AC372" i="10"/>
  <c r="AD372" i="10" s="1"/>
  <c r="AD373" i="10"/>
  <c r="AD375" i="10"/>
  <c r="AD416" i="10"/>
  <c r="C535" i="10"/>
  <c r="D535" i="10" s="1"/>
  <c r="D540" i="10"/>
  <c r="AD129" i="10"/>
  <c r="AD390" i="10"/>
  <c r="AD376" i="10"/>
  <c r="AD564" i="10"/>
  <c r="AD457" i="10"/>
  <c r="AD175" i="10"/>
  <c r="AD526" i="10"/>
  <c r="AD484" i="10"/>
  <c r="AD594" i="10"/>
  <c r="AD591" i="10"/>
  <c r="AD590" i="10"/>
  <c r="AD593" i="10"/>
  <c r="AD596" i="10"/>
  <c r="AD595" i="10"/>
  <c r="AD601" i="10"/>
  <c r="AD600" i="10"/>
  <c r="AD602" i="10"/>
  <c r="AD617" i="10"/>
  <c r="AD621" i="10"/>
  <c r="AD622" i="10"/>
  <c r="AD606" i="10"/>
  <c r="AD609" i="10"/>
  <c r="AD610" i="10"/>
  <c r="AD607" i="10"/>
  <c r="AD481" i="10"/>
  <c r="AD483" i="10"/>
  <c r="AD209" i="10"/>
  <c r="AD204" i="10"/>
  <c r="AD482" i="10"/>
  <c r="AD479" i="10"/>
  <c r="AD480" i="10"/>
  <c r="AD316" i="10"/>
  <c r="AD302" i="10"/>
  <c r="AD317" i="10"/>
  <c r="AD309" i="10"/>
  <c r="AD310" i="10"/>
  <c r="AD303" i="10"/>
  <c r="AD299" i="10"/>
  <c r="AD301" i="10"/>
  <c r="AD315" i="10"/>
  <c r="AD300" i="10"/>
  <c r="AD579" i="10"/>
  <c r="AD583" i="10"/>
  <c r="AD574" i="10"/>
  <c r="AD589" i="10"/>
  <c r="AD575" i="10"/>
  <c r="AD588" i="10"/>
  <c r="AD580" i="10"/>
  <c r="AD582" i="10"/>
  <c r="AD584" i="10"/>
  <c r="AD586" i="10"/>
  <c r="AD576" i="10"/>
  <c r="AD587" i="10"/>
  <c r="AD577" i="10"/>
  <c r="AD578" i="10"/>
  <c r="AD581" i="10"/>
  <c r="AD573" i="10"/>
  <c r="AD417" i="10"/>
  <c r="AD419" i="10"/>
  <c r="AD420" i="10"/>
  <c r="AD585" i="10"/>
  <c r="AD426" i="10"/>
  <c r="AD430" i="10"/>
  <c r="AD397" i="10"/>
  <c r="AD455" i="10"/>
  <c r="AD203" i="10"/>
  <c r="AD383" i="10"/>
  <c r="AD425" i="10"/>
  <c r="AD423" i="10"/>
  <c r="AD185" i="10"/>
  <c r="AD572" i="10"/>
  <c r="AD427" i="10"/>
  <c r="AD429" i="10"/>
  <c r="AD418" i="10"/>
  <c r="AD421" i="10"/>
  <c r="AD422" i="10"/>
  <c r="AD380" i="10"/>
  <c r="AD398" i="10"/>
  <c r="AD183" i="10"/>
  <c r="AD467" i="10"/>
  <c r="AD106" i="10"/>
  <c r="AD358" i="10"/>
  <c r="AD428" i="10"/>
  <c r="AD369" i="10"/>
  <c r="AD424" i="10"/>
  <c r="AD82" i="10"/>
  <c r="AD356" i="10"/>
  <c r="AD252" i="10"/>
  <c r="AD528" i="10"/>
  <c r="AD381" i="10"/>
  <c r="AD359" i="10"/>
  <c r="AD360" i="10"/>
  <c r="AD105" i="10"/>
  <c r="AD465" i="10"/>
  <c r="AD104" i="10"/>
  <c r="AD605" i="10"/>
  <c r="AD459" i="10"/>
  <c r="AD251" i="10"/>
  <c r="AD603" i="10"/>
  <c r="AD466" i="10"/>
  <c r="AD604" i="10"/>
  <c r="AD462" i="10"/>
  <c r="AD460" i="10"/>
  <c r="AD103" i="10"/>
  <c r="AD102" i="10"/>
  <c r="AD165" i="10"/>
  <c r="AD447" i="10"/>
  <c r="AD448" i="10"/>
  <c r="AD449" i="10"/>
  <c r="AD440" i="10"/>
  <c r="AD438" i="10"/>
  <c r="AD446" i="10"/>
  <c r="AD439" i="10"/>
  <c r="AD437" i="10"/>
  <c r="AD386" i="10"/>
  <c r="AD534" i="10"/>
  <c r="AD112" i="10"/>
  <c r="AD111" i="10"/>
  <c r="AC530" i="10"/>
  <c r="AD530" i="10" s="1"/>
  <c r="AD531" i="10"/>
  <c r="C512" i="10"/>
  <c r="D513" i="10"/>
  <c r="AC570" i="10"/>
  <c r="AD571" i="10"/>
  <c r="AD503" i="10"/>
  <c r="AC540" i="10"/>
  <c r="AD540" i="10" s="1"/>
  <c r="AD541" i="10"/>
  <c r="C553" i="10"/>
  <c r="D553" i="10" s="1"/>
  <c r="D555" i="10"/>
  <c r="AD127" i="10"/>
  <c r="AD130" i="10"/>
  <c r="AD519" i="10"/>
  <c r="AC45" i="10"/>
  <c r="AC8" i="10" s="1"/>
  <c r="AD8" i="10" s="1"/>
  <c r="AD46" i="10"/>
  <c r="AC514" i="10"/>
  <c r="AD514" i="10" s="1"/>
  <c r="AD515" i="10"/>
  <c r="S257" i="10"/>
  <c r="T257" i="10" s="1"/>
  <c r="T256" i="10"/>
  <c r="S232" i="10"/>
  <c r="T232" i="10" s="1"/>
  <c r="T231" i="10"/>
  <c r="AA257" i="10"/>
  <c r="AB257" i="10" s="1"/>
  <c r="AB256" i="10"/>
  <c r="K232" i="10"/>
  <c r="L232" i="10" s="1"/>
  <c r="L231" i="10"/>
  <c r="O232" i="10"/>
  <c r="P232" i="10" s="1"/>
  <c r="P231" i="10"/>
  <c r="W232" i="10"/>
  <c r="X232" i="10" s="1"/>
  <c r="X231" i="10"/>
  <c r="AD126" i="10"/>
  <c r="AD149" i="10"/>
  <c r="U260" i="10"/>
  <c r="V260" i="10" s="1"/>
  <c r="V259" i="10"/>
  <c r="AD436" i="10"/>
  <c r="AD433" i="10"/>
  <c r="AD490" i="10"/>
  <c r="AD110" i="10"/>
  <c r="AD538" i="10"/>
  <c r="AD164" i="10"/>
  <c r="G41" i="18"/>
  <c r="EJ41" i="18"/>
  <c r="AD431" i="10"/>
  <c r="AD468" i="10"/>
  <c r="AD556" i="10"/>
  <c r="AD559" i="10"/>
  <c r="AD236" i="10"/>
  <c r="AD561" i="10"/>
  <c r="AD533" i="10"/>
  <c r="AD525" i="10"/>
  <c r="F52" i="18"/>
  <c r="M257" i="10"/>
  <c r="N257" i="10" s="1"/>
  <c r="U257" i="10"/>
  <c r="V257" i="10" s="1"/>
  <c r="G257" i="10"/>
  <c r="H257" i="10" s="1"/>
  <c r="W257" i="10"/>
  <c r="X257" i="10" s="1"/>
  <c r="EJ64" i="18"/>
  <c r="EG33" i="14" s="1"/>
  <c r="G64" i="18"/>
  <c r="D33" i="14" s="1"/>
  <c r="O257" i="10"/>
  <c r="P257" i="10" s="1"/>
  <c r="Y257" i="10"/>
  <c r="Z257" i="10" s="1"/>
  <c r="AC235" i="10"/>
  <c r="AD235" i="10" s="1"/>
  <c r="AA260" i="10"/>
  <c r="AB260" i="10" s="1"/>
  <c r="M260" i="10"/>
  <c r="N260" i="10" s="1"/>
  <c r="G224" i="10"/>
  <c r="Y260" i="10"/>
  <c r="Z260" i="10" s="1"/>
  <c r="W260" i="10"/>
  <c r="X260" i="10" s="1"/>
  <c r="O260" i="10"/>
  <c r="P260" i="10" s="1"/>
  <c r="S260" i="10"/>
  <c r="T260" i="10" s="1"/>
  <c r="Q260" i="10"/>
  <c r="R260" i="10" s="1"/>
  <c r="K260" i="10"/>
  <c r="L260" i="10" s="1"/>
  <c r="AC263" i="10"/>
  <c r="AD263" i="10" s="1"/>
  <c r="CT19" i="18"/>
  <c r="CQ13" i="14" s="1"/>
  <c r="BE19" i="18"/>
  <c r="BB13" i="14" s="1"/>
  <c r="W224" i="10"/>
  <c r="AC283" i="10"/>
  <c r="AD283" i="10" s="1"/>
  <c r="ED19" i="18"/>
  <c r="EA13" i="14" s="1"/>
  <c r="EF19" i="18"/>
  <c r="EC13" i="14" s="1"/>
  <c r="CZ19" i="18"/>
  <c r="CW13" i="14" s="1"/>
  <c r="BI19" i="18"/>
  <c r="BF13" i="14" s="1"/>
  <c r="Q19" i="18"/>
  <c r="N13" i="14" s="1"/>
  <c r="DU19" i="18"/>
  <c r="DR13" i="14" s="1"/>
  <c r="CD19" i="18"/>
  <c r="CA13" i="14" s="1"/>
  <c r="AN19" i="18"/>
  <c r="AK13" i="14" s="1"/>
  <c r="DP19" i="18"/>
  <c r="DM13" i="14" s="1"/>
  <c r="BY19" i="18"/>
  <c r="BV13" i="14" s="1"/>
  <c r="AJ19" i="18"/>
  <c r="AG13" i="14" s="1"/>
  <c r="EC19" i="18"/>
  <c r="DZ13" i="14" s="1"/>
  <c r="DJ19" i="18"/>
  <c r="DG13" i="14" s="1"/>
  <c r="CO19" i="18"/>
  <c r="CL13" i="14" s="1"/>
  <c r="BT19" i="18"/>
  <c r="BQ13" i="14" s="1"/>
  <c r="AZ19" i="18"/>
  <c r="AW13" i="14" s="1"/>
  <c r="AE19" i="18"/>
  <c r="AB13" i="14" s="1"/>
  <c r="EH19" i="18"/>
  <c r="EE13" i="14" s="1"/>
  <c r="DZ19" i="18"/>
  <c r="DW13" i="14" s="1"/>
  <c r="DE19" i="18"/>
  <c r="DB13" i="14" s="1"/>
  <c r="CJ19" i="18"/>
  <c r="CG13" i="14" s="1"/>
  <c r="BN19" i="18"/>
  <c r="BK13" i="14" s="1"/>
  <c r="AS19" i="18"/>
  <c r="AP13" i="14" s="1"/>
  <c r="X19" i="18"/>
  <c r="U13" i="14" s="1"/>
  <c r="EG19" i="18"/>
  <c r="ED13" i="14" s="1"/>
  <c r="EB19" i="18"/>
  <c r="DY13" i="14" s="1"/>
  <c r="DV19" i="18"/>
  <c r="DS13" i="14" s="1"/>
  <c r="DQ19" i="18"/>
  <c r="DN13" i="14" s="1"/>
  <c r="DL19" i="18"/>
  <c r="DI13" i="14" s="1"/>
  <c r="DH19" i="18"/>
  <c r="DE13" i="14" s="1"/>
  <c r="DA19" i="18"/>
  <c r="CX13" i="14" s="1"/>
  <c r="CV19" i="18"/>
  <c r="CS13" i="14" s="1"/>
  <c r="CP19" i="18"/>
  <c r="CM13" i="14" s="1"/>
  <c r="CK19" i="18"/>
  <c r="CH13" i="14" s="1"/>
  <c r="CF19" i="18"/>
  <c r="CC13" i="14" s="1"/>
  <c r="BZ19" i="18"/>
  <c r="BW13" i="14" s="1"/>
  <c r="BU19" i="18"/>
  <c r="BR13" i="14" s="1"/>
  <c r="BP19" i="18"/>
  <c r="BM13" i="14" s="1"/>
  <c r="BJ19" i="18"/>
  <c r="BG13" i="14" s="1"/>
  <c r="BD19" i="18"/>
  <c r="BA13" i="14" s="1"/>
  <c r="AY19" i="18"/>
  <c r="AV13" i="14" s="1"/>
  <c r="AV19" i="18"/>
  <c r="AS13" i="14" s="1"/>
  <c r="AO19" i="18"/>
  <c r="AL13" i="14" s="1"/>
  <c r="AI19" i="18"/>
  <c r="AF13" i="14" s="1"/>
  <c r="AC19" i="18"/>
  <c r="Z13" i="14" s="1"/>
  <c r="Y19" i="18"/>
  <c r="V13" i="14" s="1"/>
  <c r="T19" i="18"/>
  <c r="Q13" i="14" s="1"/>
  <c r="EJ19" i="18"/>
  <c r="EG13" i="14" s="1"/>
  <c r="DY19" i="18"/>
  <c r="DV13" i="14" s="1"/>
  <c r="DT19" i="18"/>
  <c r="DQ13" i="14" s="1"/>
  <c r="DN19" i="18"/>
  <c r="DK13" i="14" s="1"/>
  <c r="DI19" i="18"/>
  <c r="DF13" i="14" s="1"/>
  <c r="DD19" i="18"/>
  <c r="DA13" i="14" s="1"/>
  <c r="CX19" i="18"/>
  <c r="CU13" i="14" s="1"/>
  <c r="CS19" i="18"/>
  <c r="CP13" i="14" s="1"/>
  <c r="CN19" i="18"/>
  <c r="CK13" i="14" s="1"/>
  <c r="CH19" i="18"/>
  <c r="CE13" i="14" s="1"/>
  <c r="CC19" i="18"/>
  <c r="BZ13" i="14" s="1"/>
  <c r="BX19" i="18"/>
  <c r="BU13" i="14" s="1"/>
  <c r="BR19" i="18"/>
  <c r="BO13" i="14" s="1"/>
  <c r="BM19" i="18"/>
  <c r="BJ13" i="14" s="1"/>
  <c r="BH19" i="18"/>
  <c r="BE13" i="14" s="1"/>
  <c r="BA19" i="18"/>
  <c r="AX13" i="14" s="1"/>
  <c r="AX19" i="18"/>
  <c r="AU13" i="14" s="1"/>
  <c r="AR19" i="18"/>
  <c r="AO13" i="14" s="1"/>
  <c r="AM19" i="18"/>
  <c r="AJ13" i="14" s="1"/>
  <c r="AG19" i="18"/>
  <c r="AD13" i="14" s="1"/>
  <c r="AB19" i="18"/>
  <c r="Y13" i="14" s="1"/>
  <c r="V19" i="18"/>
  <c r="S13" i="14" s="1"/>
  <c r="P19" i="18"/>
  <c r="M13" i="14" s="1"/>
  <c r="DX19" i="18"/>
  <c r="DU13" i="14" s="1"/>
  <c r="DR19" i="18"/>
  <c r="DO13" i="14" s="1"/>
  <c r="DM19" i="18"/>
  <c r="DJ13" i="14" s="1"/>
  <c r="DF19" i="18"/>
  <c r="DC13" i="14" s="1"/>
  <c r="DB19" i="18"/>
  <c r="CY13" i="14" s="1"/>
  <c r="CW19" i="18"/>
  <c r="CT13" i="14" s="1"/>
  <c r="CR19" i="18"/>
  <c r="CO13" i="14" s="1"/>
  <c r="CL19" i="18"/>
  <c r="CI13" i="14" s="1"/>
  <c r="CG19" i="18"/>
  <c r="CD13" i="14" s="1"/>
  <c r="CB19" i="18"/>
  <c r="BY13" i="14" s="1"/>
  <c r="BV19" i="18"/>
  <c r="BS13" i="14" s="1"/>
  <c r="BQ19" i="18"/>
  <c r="BN13" i="14" s="1"/>
  <c r="BL19" i="18"/>
  <c r="BI13" i="14" s="1"/>
  <c r="BF19" i="18"/>
  <c r="BC13" i="14" s="1"/>
  <c r="BB19" i="18"/>
  <c r="AY13" i="14" s="1"/>
  <c r="AU19" i="18"/>
  <c r="AR13" i="14" s="1"/>
  <c r="AP19" i="18"/>
  <c r="AM13" i="14" s="1"/>
  <c r="AK19" i="18"/>
  <c r="AH13" i="14" s="1"/>
  <c r="AF19" i="18"/>
  <c r="AC13" i="14" s="1"/>
  <c r="Z19" i="18"/>
  <c r="W13" i="14" s="1"/>
  <c r="U19" i="18"/>
  <c r="R13" i="14" s="1"/>
  <c r="L19" i="18"/>
  <c r="I13" i="14" s="1"/>
  <c r="K19" i="18"/>
  <c r="H13" i="14" s="1"/>
  <c r="N19" i="18"/>
  <c r="K13" i="14" s="1"/>
  <c r="I19" i="18"/>
  <c r="F13" i="14" s="1"/>
  <c r="R19" i="18"/>
  <c r="O13" i="14" s="1"/>
  <c r="M19" i="18"/>
  <c r="J13" i="14" s="1"/>
  <c r="H19" i="18"/>
  <c r="E13" i="14" s="1"/>
  <c r="EI19" i="18"/>
  <c r="EF13" i="14" s="1"/>
  <c r="EE19" i="18"/>
  <c r="EB13" i="14" s="1"/>
  <c r="EA19" i="18"/>
  <c r="DX13" i="14" s="1"/>
  <c r="DW19" i="18"/>
  <c r="DT13" i="14" s="1"/>
  <c r="DS19" i="18"/>
  <c r="DP13" i="14" s="1"/>
  <c r="DO19" i="18"/>
  <c r="DL13" i="14" s="1"/>
  <c r="DK19" i="18"/>
  <c r="DH13" i="14" s="1"/>
  <c r="DG19" i="18"/>
  <c r="DD13" i="14" s="1"/>
  <c r="DC19" i="18"/>
  <c r="CZ13" i="14" s="1"/>
  <c r="CY19" i="18"/>
  <c r="CV13" i="14" s="1"/>
  <c r="CU19" i="18"/>
  <c r="CR13" i="14" s="1"/>
  <c r="CQ19" i="18"/>
  <c r="CN13" i="14" s="1"/>
  <c r="CM19" i="18"/>
  <c r="CJ13" i="14" s="1"/>
  <c r="CI19" i="18"/>
  <c r="CF13" i="14" s="1"/>
  <c r="CE19" i="18"/>
  <c r="CB13" i="14" s="1"/>
  <c r="CA19" i="18"/>
  <c r="BX13" i="14" s="1"/>
  <c r="BW19" i="18"/>
  <c r="BT13" i="14" s="1"/>
  <c r="BS19" i="18"/>
  <c r="BP13" i="14" s="1"/>
  <c r="BO19" i="18"/>
  <c r="BL13" i="14" s="1"/>
  <c r="BK19" i="18"/>
  <c r="BH13" i="14" s="1"/>
  <c r="BG19" i="18"/>
  <c r="BD13" i="14" s="1"/>
  <c r="BC19" i="18"/>
  <c r="AZ13" i="14" s="1"/>
  <c r="AW19" i="18"/>
  <c r="AT13" i="14" s="1"/>
  <c r="AT19" i="18"/>
  <c r="AQ13" i="14" s="1"/>
  <c r="AQ19" i="18"/>
  <c r="AN13" i="14" s="1"/>
  <c r="AL19" i="18"/>
  <c r="AI13" i="14" s="1"/>
  <c r="AH19" i="18"/>
  <c r="AE13" i="14" s="1"/>
  <c r="AD19" i="18"/>
  <c r="AA13" i="14" s="1"/>
  <c r="AA19" i="18"/>
  <c r="X13" i="14" s="1"/>
  <c r="W19" i="18"/>
  <c r="T13" i="14" s="1"/>
  <c r="S19" i="18"/>
  <c r="P13" i="14" s="1"/>
  <c r="O19" i="18"/>
  <c r="L13" i="14" s="1"/>
  <c r="J19" i="18"/>
  <c r="G13" i="14" s="1"/>
  <c r="G186" i="10"/>
  <c r="H186" i="10" s="1"/>
  <c r="G30" i="18"/>
  <c r="F47" i="18"/>
  <c r="EJ56" i="18"/>
  <c r="G56" i="18"/>
  <c r="H56" i="18"/>
  <c r="I56" i="18"/>
  <c r="J56" i="18"/>
  <c r="K56" i="18"/>
  <c r="L56" i="18"/>
  <c r="N56" i="18"/>
  <c r="M56" i="18"/>
  <c r="O56" i="18"/>
  <c r="P56" i="18"/>
  <c r="Q56" i="18"/>
  <c r="R56" i="18"/>
  <c r="S56" i="18"/>
  <c r="T56" i="18"/>
  <c r="U56" i="18"/>
  <c r="AC148" i="10"/>
  <c r="AD148" i="10" s="1"/>
  <c r="AC81" i="10"/>
  <c r="AD81" i="10" s="1"/>
  <c r="AC85" i="10"/>
  <c r="AC50" i="10"/>
  <c r="AD50" i="10" s="1"/>
  <c r="C49" i="10"/>
  <c r="D49" i="10" s="1"/>
  <c r="AC378" i="10"/>
  <c r="AD378" i="10" s="1"/>
  <c r="E371" i="10"/>
  <c r="F371" i="10" s="1"/>
  <c r="U224" i="10"/>
  <c r="V224" i="10" s="1"/>
  <c r="G393" i="10"/>
  <c r="H393" i="10" s="1"/>
  <c r="S224" i="10"/>
  <c r="T224" i="10" s="1"/>
  <c r="C125" i="10"/>
  <c r="D125" i="10" s="1"/>
  <c r="O224" i="10"/>
  <c r="P224" i="10" s="1"/>
  <c r="C133" i="10"/>
  <c r="D133" i="10" s="1"/>
  <c r="AC278" i="10"/>
  <c r="AD278" i="10" s="1"/>
  <c r="Y224" i="10"/>
  <c r="Z224" i="10" s="1"/>
  <c r="Q224" i="10"/>
  <c r="R224" i="10" s="1"/>
  <c r="M224" i="10"/>
  <c r="N224" i="10" s="1"/>
  <c r="K224" i="10"/>
  <c r="L224" i="10" s="1"/>
  <c r="AA224" i="10"/>
  <c r="AB224" i="10" s="1"/>
  <c r="AC509" i="10"/>
  <c r="AD509" i="10" s="1"/>
  <c r="G211" i="10"/>
  <c r="H211" i="10" s="1"/>
  <c r="W211" i="10"/>
  <c r="X211" i="10" s="1"/>
  <c r="U211" i="10"/>
  <c r="V211" i="10" s="1"/>
  <c r="Q211" i="10"/>
  <c r="R211" i="10" s="1"/>
  <c r="M211" i="10"/>
  <c r="N211" i="10" s="1"/>
  <c r="Y211" i="10"/>
  <c r="Z211" i="10" s="1"/>
  <c r="K211" i="10"/>
  <c r="L211" i="10" s="1"/>
  <c r="S211" i="10"/>
  <c r="T211" i="10" s="1"/>
  <c r="O211" i="10"/>
  <c r="P211" i="10" s="1"/>
  <c r="AA211" i="10"/>
  <c r="AB211" i="10" s="1"/>
  <c r="AC217" i="10"/>
  <c r="AD217" i="10" s="1"/>
  <c r="AC529" i="10"/>
  <c r="C527" i="10"/>
  <c r="D527" i="10" s="1"/>
  <c r="W186" i="10"/>
  <c r="X186" i="10" s="1"/>
  <c r="Y186" i="10"/>
  <c r="Z186" i="10" s="1"/>
  <c r="AA186" i="10"/>
  <c r="AB186" i="10" s="1"/>
  <c r="AC486" i="10"/>
  <c r="C485" i="10"/>
  <c r="D485" i="10" s="1"/>
  <c r="S186" i="10"/>
  <c r="T186" i="10" s="1"/>
  <c r="Q186" i="10"/>
  <c r="R186" i="10" s="1"/>
  <c r="O186" i="10"/>
  <c r="P186" i="10" s="1"/>
  <c r="K186" i="10"/>
  <c r="L186" i="10" s="1"/>
  <c r="U186" i="10"/>
  <c r="V186" i="10" s="1"/>
  <c r="E158" i="10"/>
  <c r="AD185" i="18"/>
  <c r="AI89" i="18"/>
  <c r="AC128" i="10"/>
  <c r="AD128" i="10" s="1"/>
  <c r="AL90" i="18"/>
  <c r="AD195" i="18"/>
  <c r="S226" i="10"/>
  <c r="T226" i="10" s="1"/>
  <c r="O226" i="10"/>
  <c r="P226" i="10" s="1"/>
  <c r="W226" i="10"/>
  <c r="X226" i="10" s="1"/>
  <c r="G226" i="10"/>
  <c r="H226" i="10" s="1"/>
  <c r="AC280" i="10"/>
  <c r="AD280" i="10" s="1"/>
  <c r="Q226" i="10"/>
  <c r="R226" i="10" s="1"/>
  <c r="M226" i="10"/>
  <c r="N226" i="10" s="1"/>
  <c r="K226" i="10"/>
  <c r="L226" i="10" s="1"/>
  <c r="AA226" i="10"/>
  <c r="AB226" i="10" s="1"/>
  <c r="G260" i="10"/>
  <c r="H260" i="10" s="1"/>
  <c r="AC229" i="10"/>
  <c r="AD229" i="10" s="1"/>
  <c r="Y226" i="10"/>
  <c r="Z226" i="10" s="1"/>
  <c r="U226" i="10"/>
  <c r="V226" i="10" s="1"/>
  <c r="AC513" i="10"/>
  <c r="AD513" i="10" s="1"/>
  <c r="AC508" i="10"/>
  <c r="AD508" i="10" s="1"/>
  <c r="Q178" i="10"/>
  <c r="R178" i="10" s="1"/>
  <c r="E324" i="18"/>
  <c r="AI210" i="18"/>
  <c r="AK257" i="18"/>
  <c r="AL254" i="18"/>
  <c r="AE85" i="18"/>
  <c r="AE88" i="18"/>
  <c r="AL259" i="18"/>
  <c r="O178" i="10"/>
  <c r="P178" i="10" s="1"/>
  <c r="C560" i="10"/>
  <c r="D560" i="10" s="1"/>
  <c r="AC562" i="10"/>
  <c r="AD562" i="10" s="1"/>
  <c r="G160" i="10"/>
  <c r="S160" i="10"/>
  <c r="B179" i="9"/>
  <c r="Q160" i="10"/>
  <c r="W160" i="10"/>
  <c r="K160" i="10"/>
  <c r="Y178" i="10"/>
  <c r="Z178" i="10" s="1"/>
  <c r="M178" i="10"/>
  <c r="N178" i="10" s="1"/>
  <c r="W178" i="10"/>
  <c r="X178" i="10" s="1"/>
  <c r="U160" i="10"/>
  <c r="I160" i="10"/>
  <c r="AA160" i="10"/>
  <c r="K178" i="10"/>
  <c r="L178" i="10" s="1"/>
  <c r="AA178" i="10"/>
  <c r="AB178" i="10" s="1"/>
  <c r="I178" i="10"/>
  <c r="J178" i="10" s="1"/>
  <c r="S178" i="10"/>
  <c r="T178" i="10" s="1"/>
  <c r="U178" i="10"/>
  <c r="V178" i="10" s="1"/>
  <c r="O160" i="10"/>
  <c r="M160" i="10"/>
  <c r="Y160" i="10"/>
  <c r="AC548" i="10"/>
  <c r="AD548" i="10" s="1"/>
  <c r="AC555" i="10"/>
  <c r="AD555" i="10" s="1"/>
  <c r="AC553" i="10" l="1"/>
  <c r="F57" i="18" s="1"/>
  <c r="EJ57" i="18" s="1"/>
  <c r="AC371" i="10"/>
  <c r="AC535" i="10"/>
  <c r="F53" i="18" s="1"/>
  <c r="EJ53" i="18" s="1"/>
  <c r="F54" i="18"/>
  <c r="EJ54" i="18" s="1"/>
  <c r="AC133" i="10"/>
  <c r="AD133" i="10" s="1"/>
  <c r="AC142" i="10"/>
  <c r="AD142" i="10" s="1"/>
  <c r="AB473" i="10"/>
  <c r="AA471" i="10"/>
  <c r="AB471" i="10" s="1"/>
  <c r="AC546" i="10"/>
  <c r="F55" i="18" s="1"/>
  <c r="T473" i="10"/>
  <c r="S471" i="10"/>
  <c r="T471" i="10" s="1"/>
  <c r="V473" i="10"/>
  <c r="U471" i="10"/>
  <c r="V471" i="10" s="1"/>
  <c r="R473" i="10"/>
  <c r="Q471" i="10"/>
  <c r="R471" i="10" s="1"/>
  <c r="AC485" i="10"/>
  <c r="AD485" i="10" s="1"/>
  <c r="AD486" i="10"/>
  <c r="G223" i="10"/>
  <c r="H223" i="10" s="1"/>
  <c r="H224" i="10"/>
  <c r="F37" i="18"/>
  <c r="AD371" i="10"/>
  <c r="AA159" i="10"/>
  <c r="AB159" i="10" s="1"/>
  <c r="AB160" i="10"/>
  <c r="F158" i="10"/>
  <c r="AC527" i="10"/>
  <c r="AD527" i="10" s="1"/>
  <c r="AD529" i="10"/>
  <c r="W223" i="10"/>
  <c r="X223" i="10" s="1"/>
  <c r="X224" i="10"/>
  <c r="F63" i="18"/>
  <c r="AD570" i="10"/>
  <c r="W159" i="10"/>
  <c r="X159" i="10" s="1"/>
  <c r="X160" i="10"/>
  <c r="G159" i="10"/>
  <c r="H159" i="10" s="1"/>
  <c r="H160" i="10"/>
  <c r="Q159" i="10"/>
  <c r="R159" i="10" s="1"/>
  <c r="R160" i="10"/>
  <c r="M159" i="10"/>
  <c r="N159" i="10" s="1"/>
  <c r="N160" i="10"/>
  <c r="I159" i="10"/>
  <c r="J159" i="10" s="1"/>
  <c r="J160" i="10"/>
  <c r="F11" i="18"/>
  <c r="G11" i="18" s="1"/>
  <c r="AD85" i="10"/>
  <c r="Y159" i="10"/>
  <c r="Z159" i="10" s="1"/>
  <c r="Z160" i="10"/>
  <c r="F58" i="18"/>
  <c r="EJ58" i="18" s="1"/>
  <c r="O159" i="10"/>
  <c r="P159" i="10" s="1"/>
  <c r="P160" i="10"/>
  <c r="U159" i="10"/>
  <c r="V159" i="10" s="1"/>
  <c r="V160" i="10"/>
  <c r="K159" i="10"/>
  <c r="L159" i="10" s="1"/>
  <c r="L160" i="10"/>
  <c r="S159" i="10"/>
  <c r="T159" i="10" s="1"/>
  <c r="T160" i="10"/>
  <c r="EJ52" i="18"/>
  <c r="G52" i="18"/>
  <c r="F12" i="18"/>
  <c r="F10" i="18" s="1"/>
  <c r="EJ10" i="18" s="1"/>
  <c r="AD45" i="10"/>
  <c r="AC512" i="10"/>
  <c r="AD512" i="10" s="1"/>
  <c r="D512" i="10"/>
  <c r="F46" i="18"/>
  <c r="AD415" i="10"/>
  <c r="U254" i="10"/>
  <c r="C13" i="14"/>
  <c r="C7" i="10"/>
  <c r="D525" i="10"/>
  <c r="EJ47" i="18"/>
  <c r="G47" i="18"/>
  <c r="F39" i="18"/>
  <c r="E16" i="18"/>
  <c r="E19" i="18"/>
  <c r="G254" i="10"/>
  <c r="AC49" i="10"/>
  <c r="AD49" i="10" s="1"/>
  <c r="AC80" i="10"/>
  <c r="AD80" i="10" s="1"/>
  <c r="AC370" i="10"/>
  <c r="AD370" i="10" s="1"/>
  <c r="C113" i="10"/>
  <c r="O223" i="10"/>
  <c r="P223" i="10" s="1"/>
  <c r="S223" i="10"/>
  <c r="T223" i="10" s="1"/>
  <c r="Y254" i="10"/>
  <c r="U223" i="10"/>
  <c r="V223" i="10" s="1"/>
  <c r="I158" i="16"/>
  <c r="E360" i="18" s="1"/>
  <c r="E370" i="10"/>
  <c r="F370" i="10" s="1"/>
  <c r="AC125" i="10"/>
  <c r="AD125" i="10" s="1"/>
  <c r="M223" i="10"/>
  <c r="N223" i="10" s="1"/>
  <c r="O254" i="10"/>
  <c r="P254" i="10" s="1"/>
  <c r="K223" i="10"/>
  <c r="L223" i="10" s="1"/>
  <c r="M254" i="10"/>
  <c r="N254" i="10" s="1"/>
  <c r="Q254" i="10"/>
  <c r="R254" i="10" s="1"/>
  <c r="AA223" i="10"/>
  <c r="AB223" i="10" s="1"/>
  <c r="AA254" i="10"/>
  <c r="AB254" i="10" s="1"/>
  <c r="W254" i="10"/>
  <c r="X254" i="10" s="1"/>
  <c r="K254" i="10"/>
  <c r="L254" i="10" s="1"/>
  <c r="Q223" i="10"/>
  <c r="R223" i="10" s="1"/>
  <c r="S254" i="10"/>
  <c r="T254" i="10" s="1"/>
  <c r="Y223" i="10"/>
  <c r="Z223" i="10" s="1"/>
  <c r="C544" i="10"/>
  <c r="D544" i="10" s="1"/>
  <c r="AJ89" i="18"/>
  <c r="AM90" i="18"/>
  <c r="AD157" i="18"/>
  <c r="AJ210" i="18"/>
  <c r="AC560" i="10"/>
  <c r="AD560" i="10" s="1"/>
  <c r="AF85" i="18"/>
  <c r="AL257" i="18"/>
  <c r="AM254" i="18"/>
  <c r="AF88" i="18"/>
  <c r="AM259" i="18"/>
  <c r="AC178" i="10"/>
  <c r="AD178" i="10" s="1"/>
  <c r="I174" i="10"/>
  <c r="S174" i="10"/>
  <c r="G174" i="10"/>
  <c r="O174" i="10"/>
  <c r="K174" i="10"/>
  <c r="AA174" i="10"/>
  <c r="U174" i="10"/>
  <c r="Y174" i="10"/>
  <c r="W174" i="10"/>
  <c r="Q174" i="10"/>
  <c r="M174" i="10"/>
  <c r="AC160" i="10"/>
  <c r="G57" i="18" l="1"/>
  <c r="AD553" i="10"/>
  <c r="AD535" i="10"/>
  <c r="G54" i="18"/>
  <c r="AD546" i="10"/>
  <c r="DQ11" i="18"/>
  <c r="EJ55" i="18"/>
  <c r="G55" i="18"/>
  <c r="AJ11" i="18"/>
  <c r="CV11" i="18"/>
  <c r="N11" i="18"/>
  <c r="BZ11" i="18"/>
  <c r="BE11" i="18"/>
  <c r="CK11" i="18"/>
  <c r="BQ11" i="18"/>
  <c r="AT11" i="18"/>
  <c r="Y11" i="18"/>
  <c r="EG11" i="18"/>
  <c r="DL11" i="18"/>
  <c r="CP11" i="18"/>
  <c r="BU11" i="18"/>
  <c r="AZ11" i="18"/>
  <c r="AD11" i="18"/>
  <c r="I11" i="18"/>
  <c r="EB11" i="18"/>
  <c r="DF11" i="18"/>
  <c r="DV11" i="18"/>
  <c r="DA11" i="18"/>
  <c r="CF11" i="18"/>
  <c r="BJ11" i="18"/>
  <c r="AP11" i="18"/>
  <c r="T11" i="18"/>
  <c r="G58" i="18"/>
  <c r="EE11" i="18"/>
  <c r="DU11" i="18"/>
  <c r="DJ11" i="18"/>
  <c r="CZ11" i="18"/>
  <c r="CO11" i="18"/>
  <c r="CD11" i="18"/>
  <c r="BT11" i="18"/>
  <c r="BI11" i="18"/>
  <c r="AX11" i="18"/>
  <c r="AN11" i="18"/>
  <c r="AC11" i="18"/>
  <c r="S11" i="18"/>
  <c r="M11" i="18"/>
  <c r="ED11" i="18"/>
  <c r="DY11" i="18"/>
  <c r="DT11" i="18"/>
  <c r="DN11" i="18"/>
  <c r="DI11" i="18"/>
  <c r="DD11" i="18"/>
  <c r="CX11" i="18"/>
  <c r="CS11" i="18"/>
  <c r="CN11" i="18"/>
  <c r="CH11" i="18"/>
  <c r="CC11" i="18"/>
  <c r="BX11" i="18"/>
  <c r="BR11" i="18"/>
  <c r="BM11" i="18"/>
  <c r="BH11" i="18"/>
  <c r="BA11" i="18"/>
  <c r="AW11" i="18"/>
  <c r="AQ11" i="18"/>
  <c r="AL11" i="18"/>
  <c r="AF11" i="18"/>
  <c r="AA11" i="18"/>
  <c r="V11" i="18"/>
  <c r="Q11" i="18"/>
  <c r="L11" i="18"/>
  <c r="DZ11" i="18"/>
  <c r="DP11" i="18"/>
  <c r="DE11" i="18"/>
  <c r="CT11" i="18"/>
  <c r="CJ11" i="18"/>
  <c r="BY11" i="18"/>
  <c r="BN11" i="18"/>
  <c r="BD11" i="18"/>
  <c r="AS11" i="18"/>
  <c r="AH11" i="18"/>
  <c r="X11" i="18"/>
  <c r="H11" i="18"/>
  <c r="G53" i="18"/>
  <c r="EH11" i="18"/>
  <c r="EC11" i="18"/>
  <c r="DX11" i="18"/>
  <c r="DR11" i="18"/>
  <c r="DM11" i="18"/>
  <c r="DH11" i="18"/>
  <c r="DB11" i="18"/>
  <c r="CW11" i="18"/>
  <c r="CR11" i="18"/>
  <c r="CL11" i="18"/>
  <c r="CG11" i="18"/>
  <c r="CB11" i="18"/>
  <c r="BV11" i="18"/>
  <c r="BP11" i="18"/>
  <c r="BL11" i="18"/>
  <c r="BF11" i="18"/>
  <c r="BB11" i="18"/>
  <c r="AU11" i="18"/>
  <c r="AO11" i="18"/>
  <c r="AK11" i="18"/>
  <c r="AG11" i="18"/>
  <c r="AB11" i="18"/>
  <c r="U11" i="18"/>
  <c r="P11" i="18"/>
  <c r="J11" i="18"/>
  <c r="EJ11" i="18"/>
  <c r="AC524" i="10"/>
  <c r="AD524" i="10" s="1"/>
  <c r="EI11" i="18"/>
  <c r="EF11" i="18"/>
  <c r="EA11" i="18"/>
  <c r="DW11" i="18"/>
  <c r="DS11" i="18"/>
  <c r="DO11" i="18"/>
  <c r="DK11" i="18"/>
  <c r="DG11" i="18"/>
  <c r="DC11" i="18"/>
  <c r="CY11" i="18"/>
  <c r="CU11" i="18"/>
  <c r="CQ11" i="18"/>
  <c r="CM11" i="18"/>
  <c r="CI11" i="18"/>
  <c r="CE11" i="18"/>
  <c r="CA11" i="18"/>
  <c r="BW11" i="18"/>
  <c r="BS11" i="18"/>
  <c r="BO11" i="18"/>
  <c r="BK11" i="18"/>
  <c r="BG11" i="18"/>
  <c r="BC11" i="18"/>
  <c r="AY11" i="18"/>
  <c r="AV11" i="18"/>
  <c r="AR11" i="18"/>
  <c r="AM11" i="18"/>
  <c r="AI11" i="18"/>
  <c r="AE11" i="18"/>
  <c r="Z11" i="18"/>
  <c r="W11" i="18"/>
  <c r="R11" i="18"/>
  <c r="O11" i="18"/>
  <c r="K11" i="18"/>
  <c r="F49" i="18"/>
  <c r="G49" i="18" s="1"/>
  <c r="D26" i="14" s="1"/>
  <c r="AA173" i="10"/>
  <c r="AB173" i="10" s="1"/>
  <c r="AB174" i="10"/>
  <c r="S173" i="10"/>
  <c r="T173" i="10" s="1"/>
  <c r="T174" i="10"/>
  <c r="AC159" i="10"/>
  <c r="AD160" i="10"/>
  <c r="Y173" i="10"/>
  <c r="Z173" i="10" s="1"/>
  <c r="Z174" i="10"/>
  <c r="O173" i="10"/>
  <c r="P173" i="10" s="1"/>
  <c r="P174" i="10"/>
  <c r="D113" i="10"/>
  <c r="E109" i="10"/>
  <c r="Q173" i="10"/>
  <c r="R173" i="10" s="1"/>
  <c r="R174" i="10"/>
  <c r="M173" i="10"/>
  <c r="N173" i="10" s="1"/>
  <c r="N174" i="10"/>
  <c r="U173" i="10"/>
  <c r="V173" i="10" s="1"/>
  <c r="V174" i="10"/>
  <c r="G173" i="10"/>
  <c r="H173" i="10" s="1"/>
  <c r="H174" i="10"/>
  <c r="D7" i="10"/>
  <c r="C6" i="10"/>
  <c r="W173" i="10"/>
  <c r="X173" i="10" s="1"/>
  <c r="X174" i="10"/>
  <c r="K173" i="10"/>
  <c r="L173" i="10" s="1"/>
  <c r="L174" i="10"/>
  <c r="I173" i="10"/>
  <c r="J173" i="10" s="1"/>
  <c r="J174" i="10"/>
  <c r="EJ46" i="18"/>
  <c r="G46" i="18"/>
  <c r="G12" i="18"/>
  <c r="K12" i="18"/>
  <c r="O12" i="18"/>
  <c r="S12" i="18"/>
  <c r="V12" i="18"/>
  <c r="AA12" i="18"/>
  <c r="AE12" i="18"/>
  <c r="AI12" i="18"/>
  <c r="AM12" i="18"/>
  <c r="AQ12" i="18"/>
  <c r="AT12" i="18"/>
  <c r="AY12" i="18"/>
  <c r="BC12" i="18"/>
  <c r="BG12" i="18"/>
  <c r="BK12" i="18"/>
  <c r="BO12" i="18"/>
  <c r="BS12" i="18"/>
  <c r="BW12" i="18"/>
  <c r="CA12" i="18"/>
  <c r="CE12" i="18"/>
  <c r="CI12" i="18"/>
  <c r="CM12" i="18"/>
  <c r="CQ12" i="18"/>
  <c r="CU12" i="18"/>
  <c r="CY12" i="18"/>
  <c r="DC12" i="18"/>
  <c r="DG12" i="18"/>
  <c r="DK12" i="18"/>
  <c r="DO12" i="18"/>
  <c r="DS12" i="18"/>
  <c r="DW12" i="18"/>
  <c r="EA12" i="18"/>
  <c r="EE12" i="18"/>
  <c r="EI12" i="18"/>
  <c r="H12" i="18"/>
  <c r="L12" i="18"/>
  <c r="Q12" i="18"/>
  <c r="T12" i="18"/>
  <c r="X12" i="18"/>
  <c r="AB12" i="18"/>
  <c r="AF12" i="18"/>
  <c r="AJ12" i="18"/>
  <c r="AN12" i="18"/>
  <c r="AR12" i="18"/>
  <c r="AV12" i="18"/>
  <c r="AZ12" i="18"/>
  <c r="BD12" i="18"/>
  <c r="BH12" i="18"/>
  <c r="BL12" i="18"/>
  <c r="BP12" i="18"/>
  <c r="BT12" i="18"/>
  <c r="BX12" i="18"/>
  <c r="CB12" i="18"/>
  <c r="CF12" i="18"/>
  <c r="CJ12" i="18"/>
  <c r="CN12" i="18"/>
  <c r="CR12" i="18"/>
  <c r="CV12" i="18"/>
  <c r="CZ12" i="18"/>
  <c r="DD12" i="18"/>
  <c r="DH12" i="18"/>
  <c r="DL12" i="18"/>
  <c r="DP12" i="18"/>
  <c r="DT12" i="18"/>
  <c r="DX12" i="18"/>
  <c r="EB12" i="18"/>
  <c r="EF12" i="18"/>
  <c r="I12" i="18"/>
  <c r="M12" i="18"/>
  <c r="P12" i="18"/>
  <c r="U12" i="18"/>
  <c r="Y12" i="18"/>
  <c r="AD12" i="18"/>
  <c r="AG12" i="18"/>
  <c r="AK12" i="18"/>
  <c r="AO12" i="18"/>
  <c r="AS12" i="18"/>
  <c r="AW12" i="18"/>
  <c r="BA12" i="18"/>
  <c r="BE12" i="18"/>
  <c r="BI12" i="18"/>
  <c r="BM12" i="18"/>
  <c r="BQ12" i="18"/>
  <c r="BU12" i="18"/>
  <c r="BY12" i="18"/>
  <c r="CC12" i="18"/>
  <c r="CG12" i="18"/>
  <c r="CK12" i="18"/>
  <c r="CO12" i="18"/>
  <c r="CS12" i="18"/>
  <c r="CW12" i="18"/>
  <c r="DA12" i="18"/>
  <c r="DE12" i="18"/>
  <c r="DI12" i="18"/>
  <c r="DM12" i="18"/>
  <c r="DQ12" i="18"/>
  <c r="DU12" i="18"/>
  <c r="DY12" i="18"/>
  <c r="EC12" i="18"/>
  <c r="EG12" i="18"/>
  <c r="EJ12" i="18"/>
  <c r="J12" i="18"/>
  <c r="N12" i="18"/>
  <c r="R12" i="18"/>
  <c r="W12" i="18"/>
  <c r="Z12" i="18"/>
  <c r="AC12" i="18"/>
  <c r="AH12" i="18"/>
  <c r="AL12" i="18"/>
  <c r="AP12" i="18"/>
  <c r="AU12" i="18"/>
  <c r="AX12" i="18"/>
  <c r="BB12" i="18"/>
  <c r="BF12" i="18"/>
  <c r="BJ12" i="18"/>
  <c r="BN12" i="18"/>
  <c r="BR12" i="18"/>
  <c r="BV12" i="18"/>
  <c r="BZ12" i="18"/>
  <c r="CD12" i="18"/>
  <c r="CH12" i="18"/>
  <c r="CL12" i="18"/>
  <c r="CP12" i="18"/>
  <c r="CT12" i="18"/>
  <c r="CX12" i="18"/>
  <c r="DB12" i="18"/>
  <c r="DF12" i="18"/>
  <c r="DJ12" i="18"/>
  <c r="DN12" i="18"/>
  <c r="DR12" i="18"/>
  <c r="DV12" i="18"/>
  <c r="DZ12" i="18"/>
  <c r="ED12" i="18"/>
  <c r="EH12" i="18"/>
  <c r="EJ63" i="18"/>
  <c r="EG32" i="14" s="1"/>
  <c r="G63" i="18"/>
  <c r="D32" i="14" s="1"/>
  <c r="EJ37" i="18"/>
  <c r="G37" i="18"/>
  <c r="G253" i="10"/>
  <c r="H253" i="10" s="1"/>
  <c r="H254" i="10"/>
  <c r="Y253" i="10"/>
  <c r="Z253" i="10" s="1"/>
  <c r="Z254" i="10"/>
  <c r="U253" i="10"/>
  <c r="V253" i="10" s="1"/>
  <c r="V254" i="10"/>
  <c r="G10" i="18"/>
  <c r="AC7" i="10"/>
  <c r="EG28" i="14"/>
  <c r="C524" i="10"/>
  <c r="D524" i="10" s="1"/>
  <c r="D28" i="14"/>
  <c r="EJ49" i="18"/>
  <c r="EG26" i="14" s="1"/>
  <c r="EJ39" i="18"/>
  <c r="G39" i="18"/>
  <c r="F59" i="18"/>
  <c r="G59" i="18" s="1"/>
  <c r="F13" i="18"/>
  <c r="F14" i="18"/>
  <c r="AC113" i="10"/>
  <c r="AD113" i="10" s="1"/>
  <c r="W253" i="10"/>
  <c r="M253" i="10"/>
  <c r="O253" i="10"/>
  <c r="S253" i="10"/>
  <c r="K253" i="10"/>
  <c r="AA253" i="10"/>
  <c r="Q253" i="10"/>
  <c r="M158" i="10"/>
  <c r="N158" i="10" s="1"/>
  <c r="AC544" i="10"/>
  <c r="AD544" i="10" s="1"/>
  <c r="AD190" i="18"/>
  <c r="AN90" i="18"/>
  <c r="AK89" i="18"/>
  <c r="AK210" i="18"/>
  <c r="AM257" i="18"/>
  <c r="AN254" i="18"/>
  <c r="AG85" i="18"/>
  <c r="AG88" i="18"/>
  <c r="AN259" i="18"/>
  <c r="AC174" i="10"/>
  <c r="S158" i="10" l="1"/>
  <c r="T158" i="10" s="1"/>
  <c r="I158" i="10"/>
  <c r="J158" i="10" s="1"/>
  <c r="G158" i="10"/>
  <c r="H158" i="10" s="1"/>
  <c r="Y158" i="10"/>
  <c r="Z158" i="10" s="1"/>
  <c r="AA158" i="10"/>
  <c r="AB158" i="10" s="1"/>
  <c r="K158" i="10"/>
  <c r="L158" i="10" s="1"/>
  <c r="D29" i="14"/>
  <c r="AC505" i="10"/>
  <c r="AD505" i="10" s="1"/>
  <c r="Q158" i="10"/>
  <c r="R158" i="10" s="1"/>
  <c r="U158" i="10"/>
  <c r="V158" i="10" s="1"/>
  <c r="O158" i="10"/>
  <c r="P158" i="10" s="1"/>
  <c r="E11" i="18"/>
  <c r="AL89" i="18"/>
  <c r="EG23" i="14"/>
  <c r="W158" i="10"/>
  <c r="X158" i="10" s="1"/>
  <c r="D23" i="14"/>
  <c r="E12" i="18"/>
  <c r="AD7" i="10"/>
  <c r="AC6" i="10"/>
  <c r="AD6" i="10" s="1"/>
  <c r="D6" i="10"/>
  <c r="AC173" i="10"/>
  <c r="AD173" i="10" s="1"/>
  <c r="AD174" i="10"/>
  <c r="F109" i="10"/>
  <c r="E5" i="10"/>
  <c r="F5" i="10" s="1"/>
  <c r="F21" i="18"/>
  <c r="AG21" i="18" s="1"/>
  <c r="AD159" i="10"/>
  <c r="R253" i="10"/>
  <c r="P253" i="10"/>
  <c r="AB253" i="10"/>
  <c r="N253" i="10"/>
  <c r="M109" i="10"/>
  <c r="L253" i="10"/>
  <c r="X253" i="10"/>
  <c r="T253" i="10"/>
  <c r="F20" i="18"/>
  <c r="AG20" i="18" s="1"/>
  <c r="AD14" i="14" s="1"/>
  <c r="C505" i="10"/>
  <c r="EJ59" i="18"/>
  <c r="EG29" i="14" s="1"/>
  <c r="EJ13" i="18"/>
  <c r="G13" i="18"/>
  <c r="EJ14" i="18"/>
  <c r="G14" i="18"/>
  <c r="AE190" i="18"/>
  <c r="AO90" i="18"/>
  <c r="AH85" i="18"/>
  <c r="AN257" i="18"/>
  <c r="AO254" i="18"/>
  <c r="AL210" i="18"/>
  <c r="AH88" i="18"/>
  <c r="AO259" i="18"/>
  <c r="AP90" i="18" l="1"/>
  <c r="AQ90" i="18" s="1"/>
  <c r="AR90" i="18" s="1"/>
  <c r="AS90" i="18" s="1"/>
  <c r="AT90" i="18" s="1"/>
  <c r="AU90" i="18" s="1"/>
  <c r="AV90" i="18" s="1"/>
  <c r="AW90" i="18" s="1"/>
  <c r="AX90" i="18" s="1"/>
  <c r="AY90" i="18" s="1"/>
  <c r="AZ90" i="18" s="1"/>
  <c r="BA90" i="18" s="1"/>
  <c r="BB90" i="18" s="1"/>
  <c r="BC90" i="18" s="1"/>
  <c r="BD90" i="18" s="1"/>
  <c r="BE90" i="18" s="1"/>
  <c r="BF90" i="18" s="1"/>
  <c r="BG90" i="18" s="1"/>
  <c r="BH90" i="18" s="1"/>
  <c r="BI90" i="18" s="1"/>
  <c r="BJ90" i="18" s="1"/>
  <c r="BK90" i="18" s="1"/>
  <c r="BL90" i="18" s="1"/>
  <c r="BM90" i="18" s="1"/>
  <c r="BN90" i="18" s="1"/>
  <c r="BO90" i="18" s="1"/>
  <c r="BP90" i="18" s="1"/>
  <c r="BQ90" i="18" s="1"/>
  <c r="BR90" i="18" s="1"/>
  <c r="BS90" i="18" s="1"/>
  <c r="BT90" i="18" s="1"/>
  <c r="BU90" i="18" s="1"/>
  <c r="BV90" i="18" s="1"/>
  <c r="BW90" i="18" s="1"/>
  <c r="BX90" i="18" s="1"/>
  <c r="BY90" i="18" s="1"/>
  <c r="BZ90" i="18" s="1"/>
  <c r="CA90" i="18" s="1"/>
  <c r="CB90" i="18" s="1"/>
  <c r="CC90" i="18" s="1"/>
  <c r="CD90" i="18" s="1"/>
  <c r="CE90" i="18" s="1"/>
  <c r="CF90" i="18" s="1"/>
  <c r="CG90" i="18" s="1"/>
  <c r="CH90" i="18" s="1"/>
  <c r="CI90" i="18" s="1"/>
  <c r="CJ90" i="18" s="1"/>
  <c r="CK90" i="18" s="1"/>
  <c r="CL90" i="18" s="1"/>
  <c r="CM90" i="18" s="1"/>
  <c r="CN90" i="18" s="1"/>
  <c r="CO90" i="18" s="1"/>
  <c r="CP90" i="18" s="1"/>
  <c r="CQ90" i="18" s="1"/>
  <c r="CR90" i="18" s="1"/>
  <c r="CS90" i="18" s="1"/>
  <c r="CT90" i="18" s="1"/>
  <c r="CU90" i="18" s="1"/>
  <c r="CV90" i="18" s="1"/>
  <c r="CW90" i="18" s="1"/>
  <c r="CX90" i="18" s="1"/>
  <c r="CY90" i="18" s="1"/>
  <c r="CZ90" i="18" s="1"/>
  <c r="DA90" i="18" s="1"/>
  <c r="DB90" i="18" s="1"/>
  <c r="DC90" i="18" s="1"/>
  <c r="DD90" i="18" s="1"/>
  <c r="DE90" i="18" s="1"/>
  <c r="DF90" i="18" s="1"/>
  <c r="DG90" i="18" s="1"/>
  <c r="DH90" i="18" s="1"/>
  <c r="DI90" i="18" s="1"/>
  <c r="DJ90" i="18" s="1"/>
  <c r="DK90" i="18" s="1"/>
  <c r="DL90" i="18" s="1"/>
  <c r="DM90" i="18" s="1"/>
  <c r="DN90" i="18" s="1"/>
  <c r="DO90" i="18" s="1"/>
  <c r="DP90" i="18" s="1"/>
  <c r="DQ90" i="18" s="1"/>
  <c r="DR90" i="18" s="1"/>
  <c r="DS90" i="18" s="1"/>
  <c r="DT90" i="18" s="1"/>
  <c r="DU90" i="18" s="1"/>
  <c r="DV90" i="18" s="1"/>
  <c r="DW90" i="18" s="1"/>
  <c r="DX90" i="18" s="1"/>
  <c r="DY90" i="18" s="1"/>
  <c r="DZ90" i="18" s="1"/>
  <c r="EA90" i="18" s="1"/>
  <c r="EB90" i="18" s="1"/>
  <c r="EC90" i="18" s="1"/>
  <c r="ED90" i="18" s="1"/>
  <c r="EE90" i="18" s="1"/>
  <c r="EF90" i="18" s="1"/>
  <c r="EG90" i="18" s="1"/>
  <c r="EH90" i="18" s="1"/>
  <c r="EI90" i="18" s="1"/>
  <c r="S109" i="10"/>
  <c r="S5" i="10" s="1"/>
  <c r="T5" i="10" s="1"/>
  <c r="Y109" i="10"/>
  <c r="Z109" i="10" s="1"/>
  <c r="K109" i="10"/>
  <c r="K5" i="10" s="1"/>
  <c r="L5" i="10" s="1"/>
  <c r="AA109" i="10"/>
  <c r="AB109" i="10" s="1"/>
  <c r="U109" i="10"/>
  <c r="V109" i="10" s="1"/>
  <c r="AC158" i="10"/>
  <c r="AD158" i="10" s="1"/>
  <c r="F50" i="18"/>
  <c r="G50" i="18" s="1"/>
  <c r="D27" i="14" s="1"/>
  <c r="Q109" i="10"/>
  <c r="R109" i="10" s="1"/>
  <c r="W109" i="10"/>
  <c r="W5" i="10" s="1"/>
  <c r="X5" i="10" s="1"/>
  <c r="O109" i="10"/>
  <c r="O5" i="10" s="1"/>
  <c r="P5" i="10" s="1"/>
  <c r="AH21" i="18"/>
  <c r="D505" i="10"/>
  <c r="C109" i="10"/>
  <c r="AE21" i="18"/>
  <c r="EJ21" i="18"/>
  <c r="J21" i="18"/>
  <c r="P21" i="18"/>
  <c r="S21" i="18"/>
  <c r="V21" i="18"/>
  <c r="Z21" i="18"/>
  <c r="AD21" i="18"/>
  <c r="G21" i="18"/>
  <c r="M21" i="18"/>
  <c r="N21" i="18"/>
  <c r="R21" i="18"/>
  <c r="W21" i="18"/>
  <c r="AA21" i="18"/>
  <c r="AF21" i="18"/>
  <c r="H21" i="18"/>
  <c r="K21" i="18"/>
  <c r="O21" i="18"/>
  <c r="T21" i="18"/>
  <c r="X21" i="18"/>
  <c r="AB21" i="18"/>
  <c r="I21" i="18"/>
  <c r="L21" i="18"/>
  <c r="Q21" i="18"/>
  <c r="U21" i="18"/>
  <c r="Y21" i="18"/>
  <c r="AC21" i="18"/>
  <c r="T109" i="10"/>
  <c r="N109" i="10"/>
  <c r="M5" i="10"/>
  <c r="N5" i="10" s="1"/>
  <c r="K20" i="18"/>
  <c r="H14" i="14" s="1"/>
  <c r="AH20" i="18"/>
  <c r="AE14" i="14" s="1"/>
  <c r="J20" i="18"/>
  <c r="G14" i="14" s="1"/>
  <c r="AF20" i="18"/>
  <c r="AC14" i="14" s="1"/>
  <c r="Z20" i="18"/>
  <c r="W14" i="14" s="1"/>
  <c r="Y20" i="18"/>
  <c r="V14" i="14" s="1"/>
  <c r="U20" i="18"/>
  <c r="R14" i="14" s="1"/>
  <c r="AB20" i="18"/>
  <c r="Y14" i="14" s="1"/>
  <c r="T20" i="18"/>
  <c r="Q14" i="14" s="1"/>
  <c r="Q20" i="18"/>
  <c r="N14" i="14" s="1"/>
  <c r="AD20" i="18"/>
  <c r="AA14" i="14" s="1"/>
  <c r="V20" i="18"/>
  <c r="S14" i="14" s="1"/>
  <c r="P20" i="18"/>
  <c r="M14" i="14" s="1"/>
  <c r="N20" i="18"/>
  <c r="K14" i="14" s="1"/>
  <c r="AC20" i="18"/>
  <c r="Z14" i="14" s="1"/>
  <c r="X20" i="18"/>
  <c r="U14" i="14" s="1"/>
  <c r="R20" i="18"/>
  <c r="O14" i="14" s="1"/>
  <c r="M20" i="18"/>
  <c r="J14" i="14" s="1"/>
  <c r="G20" i="18"/>
  <c r="D14" i="14" s="1"/>
  <c r="AE20" i="18"/>
  <c r="AB14" i="14" s="1"/>
  <c r="AA20" i="18"/>
  <c r="X14" i="14" s="1"/>
  <c r="W20" i="18"/>
  <c r="T14" i="14" s="1"/>
  <c r="S20" i="18"/>
  <c r="P14" i="14" s="1"/>
  <c r="O20" i="18"/>
  <c r="L14" i="14" s="1"/>
  <c r="L20" i="18"/>
  <c r="I14" i="14" s="1"/>
  <c r="EJ20" i="18"/>
  <c r="EG14" i="14" s="1"/>
  <c r="I20" i="18"/>
  <c r="F14" i="14" s="1"/>
  <c r="H20" i="18"/>
  <c r="E14" i="14" s="1"/>
  <c r="D11" i="14"/>
  <c r="EG11" i="14"/>
  <c r="AM89" i="18"/>
  <c r="AN89" i="18" s="1"/>
  <c r="AO89" i="18" s="1"/>
  <c r="AP89" i="18" s="1"/>
  <c r="AQ89" i="18" s="1"/>
  <c r="AR89" i="18" s="1"/>
  <c r="AS89" i="18" s="1"/>
  <c r="AT89" i="18" s="1"/>
  <c r="AU89" i="18" s="1"/>
  <c r="AV89" i="18" s="1"/>
  <c r="AW89" i="18" s="1"/>
  <c r="AX89" i="18" s="1"/>
  <c r="AY89" i="18" s="1"/>
  <c r="AZ89" i="18" s="1"/>
  <c r="BA89" i="18" s="1"/>
  <c r="BB89" i="18" s="1"/>
  <c r="BC89" i="18" s="1"/>
  <c r="BD89" i="18" s="1"/>
  <c r="BE89" i="18" s="1"/>
  <c r="BF89" i="18" s="1"/>
  <c r="BG89" i="18" s="1"/>
  <c r="BH89" i="18" s="1"/>
  <c r="BI89" i="18" s="1"/>
  <c r="BJ89" i="18" s="1"/>
  <c r="BK89" i="18" s="1"/>
  <c r="BL89" i="18" s="1"/>
  <c r="BM89" i="18" s="1"/>
  <c r="BN89" i="18" s="1"/>
  <c r="BO89" i="18" s="1"/>
  <c r="BP89" i="18" s="1"/>
  <c r="BQ89" i="18" s="1"/>
  <c r="BR89" i="18" s="1"/>
  <c r="BS89" i="18" s="1"/>
  <c r="BT89" i="18" s="1"/>
  <c r="BU89" i="18" s="1"/>
  <c r="BV89" i="18" s="1"/>
  <c r="BW89" i="18" s="1"/>
  <c r="BX89" i="18" s="1"/>
  <c r="BY89" i="18" s="1"/>
  <c r="BZ89" i="18" s="1"/>
  <c r="CA89" i="18" s="1"/>
  <c r="CB89" i="18" s="1"/>
  <c r="CC89" i="18" s="1"/>
  <c r="CD89" i="18" s="1"/>
  <c r="CE89" i="18" s="1"/>
  <c r="CF89" i="18" s="1"/>
  <c r="CG89" i="18" s="1"/>
  <c r="CH89" i="18" s="1"/>
  <c r="CI89" i="18" s="1"/>
  <c r="CJ89" i="18" s="1"/>
  <c r="CK89" i="18" s="1"/>
  <c r="CL89" i="18" s="1"/>
  <c r="CM89" i="18" s="1"/>
  <c r="CN89" i="18" s="1"/>
  <c r="CO89" i="18" s="1"/>
  <c r="CP89" i="18" s="1"/>
  <c r="CQ89" i="18" s="1"/>
  <c r="CR89" i="18" s="1"/>
  <c r="CS89" i="18" s="1"/>
  <c r="CT89" i="18" s="1"/>
  <c r="CU89" i="18" s="1"/>
  <c r="CV89" i="18" s="1"/>
  <c r="CW89" i="18" s="1"/>
  <c r="CX89" i="18" s="1"/>
  <c r="CY89" i="18" s="1"/>
  <c r="CZ89" i="18" s="1"/>
  <c r="DA89" i="18" s="1"/>
  <c r="DB89" i="18" s="1"/>
  <c r="DC89" i="18" s="1"/>
  <c r="DD89" i="18" s="1"/>
  <c r="DE89" i="18" s="1"/>
  <c r="DF89" i="18" s="1"/>
  <c r="DG89" i="18" s="1"/>
  <c r="DH89" i="18" s="1"/>
  <c r="DI89" i="18" s="1"/>
  <c r="DJ89" i="18" s="1"/>
  <c r="DK89" i="18" s="1"/>
  <c r="DL89" i="18" s="1"/>
  <c r="DM89" i="18" s="1"/>
  <c r="DN89" i="18" s="1"/>
  <c r="DO89" i="18" s="1"/>
  <c r="DP89" i="18" s="1"/>
  <c r="DQ89" i="18" s="1"/>
  <c r="DR89" i="18" s="1"/>
  <c r="DS89" i="18" s="1"/>
  <c r="DT89" i="18" s="1"/>
  <c r="DU89" i="18" s="1"/>
  <c r="DV89" i="18" s="1"/>
  <c r="DW89" i="18" s="1"/>
  <c r="DX89" i="18" s="1"/>
  <c r="DY89" i="18" s="1"/>
  <c r="DZ89" i="18" s="1"/>
  <c r="EA89" i="18" s="1"/>
  <c r="EB89" i="18" s="1"/>
  <c r="EC89" i="18" s="1"/>
  <c r="ED89" i="18" s="1"/>
  <c r="EE89" i="18" s="1"/>
  <c r="EF89" i="18" s="1"/>
  <c r="EG89" i="18" s="1"/>
  <c r="EH89" i="18" s="1"/>
  <c r="EI89" i="18" s="1"/>
  <c r="AI85" i="18"/>
  <c r="AI20" i="18" s="1"/>
  <c r="AF14" i="14" s="1"/>
  <c r="AO257" i="18"/>
  <c r="AP254" i="18"/>
  <c r="AM210" i="18"/>
  <c r="AI88" i="18"/>
  <c r="AI21" i="18" s="1"/>
  <c r="AP259" i="18"/>
  <c r="F90" i="18" l="1"/>
  <c r="E90" i="18" s="1"/>
  <c r="EJ50" i="18"/>
  <c r="EG27" i="14" s="1"/>
  <c r="F22" i="18"/>
  <c r="EJ22" i="18" s="1"/>
  <c r="EG15" i="14" s="1"/>
  <c r="Y5" i="10"/>
  <c r="Z5" i="10" s="1"/>
  <c r="P109" i="10"/>
  <c r="L109" i="10"/>
  <c r="X109" i="10"/>
  <c r="Q5" i="10"/>
  <c r="R5" i="10" s="1"/>
  <c r="U5" i="10"/>
  <c r="V5" i="10" s="1"/>
  <c r="AA5" i="10"/>
  <c r="AB5" i="10" s="1"/>
  <c r="D109" i="10"/>
  <c r="C5" i="10"/>
  <c r="D5" i="10" s="1"/>
  <c r="AJ85" i="18"/>
  <c r="AJ20" i="18" s="1"/>
  <c r="AG14" i="14" s="1"/>
  <c r="AP257" i="18"/>
  <c r="AQ254" i="18"/>
  <c r="AN210" i="18"/>
  <c r="M232" i="18"/>
  <c r="M231" i="18" s="1"/>
  <c r="AJ88" i="18"/>
  <c r="AJ21" i="18" s="1"/>
  <c r="AP262" i="18"/>
  <c r="AQ259" i="18"/>
  <c r="G22" i="18" l="1"/>
  <c r="D15" i="14" s="1"/>
  <c r="AK85" i="18"/>
  <c r="AK20" i="18" s="1"/>
  <c r="AH14" i="14" s="1"/>
  <c r="AQ257" i="18"/>
  <c r="AR254" i="18"/>
  <c r="AO210" i="18"/>
  <c r="AK88" i="18"/>
  <c r="AK21" i="18" s="1"/>
  <c r="AQ262" i="18"/>
  <c r="AR259" i="18"/>
  <c r="AR257" i="18" l="1"/>
  <c r="AS254" i="18"/>
  <c r="AL85" i="18"/>
  <c r="AL20" i="18" s="1"/>
  <c r="AI14" i="14" s="1"/>
  <c r="AP210" i="18"/>
  <c r="AL88" i="18"/>
  <c r="AL21" i="18" s="1"/>
  <c r="AR262" i="18"/>
  <c r="AS259" i="18"/>
  <c r="AS257" i="18" l="1"/>
  <c r="AT254" i="18"/>
  <c r="AM85" i="18"/>
  <c r="AM20" i="18" s="1"/>
  <c r="AJ14" i="14" s="1"/>
  <c r="AQ210" i="18"/>
  <c r="AM88" i="18"/>
  <c r="AM21" i="18" s="1"/>
  <c r="AS262" i="18"/>
  <c r="AT259" i="18"/>
  <c r="AT257" i="18" l="1"/>
  <c r="AU254" i="18"/>
  <c r="AN85" i="18"/>
  <c r="AN20" i="18" s="1"/>
  <c r="AK14" i="14" s="1"/>
  <c r="AR210" i="18"/>
  <c r="AN88" i="18"/>
  <c r="AN21" i="18" s="1"/>
  <c r="AT262" i="18"/>
  <c r="AU259" i="18"/>
  <c r="AO85" i="18" l="1"/>
  <c r="AO20" i="18" s="1"/>
  <c r="AL14" i="14" s="1"/>
  <c r="AU257" i="18"/>
  <c r="AV254" i="18"/>
  <c r="AS210" i="18"/>
  <c r="AO88" i="18"/>
  <c r="AO21" i="18" s="1"/>
  <c r="AU262" i="18"/>
  <c r="AV259" i="18"/>
  <c r="AV257" i="18" l="1"/>
  <c r="AW254" i="18"/>
  <c r="AP85" i="18"/>
  <c r="AP20" i="18" s="1"/>
  <c r="AM14" i="14" s="1"/>
  <c r="AT210" i="18"/>
  <c r="AP88" i="18"/>
  <c r="AP21" i="18" s="1"/>
  <c r="AV262" i="18"/>
  <c r="AW259" i="18"/>
  <c r="AQ85" i="18" l="1"/>
  <c r="AQ20" i="18" s="1"/>
  <c r="AN14" i="14" s="1"/>
  <c r="AW257" i="18"/>
  <c r="AX254" i="18"/>
  <c r="AU210" i="18"/>
  <c r="AQ88" i="18"/>
  <c r="AQ21" i="18" s="1"/>
  <c r="AW262" i="18"/>
  <c r="AX259" i="18"/>
  <c r="AX257" i="18" l="1"/>
  <c r="AY254" i="18"/>
  <c r="AR85" i="18"/>
  <c r="AR20" i="18" s="1"/>
  <c r="AO14" i="14" s="1"/>
  <c r="AV210" i="18"/>
  <c r="AR88" i="18"/>
  <c r="AR21" i="18" s="1"/>
  <c r="AX262" i="18"/>
  <c r="AY259" i="18"/>
  <c r="AS85" i="18" l="1"/>
  <c r="AS20" i="18" s="1"/>
  <c r="AP14" i="14" s="1"/>
  <c r="AY257" i="18"/>
  <c r="AZ254" i="18"/>
  <c r="AW210" i="18"/>
  <c r="AX210" i="18" s="1"/>
  <c r="AS88" i="18"/>
  <c r="AS21" i="18" s="1"/>
  <c r="AY262" i="18"/>
  <c r="AZ259" i="18"/>
  <c r="AZ257" i="18" l="1"/>
  <c r="BA254" i="18"/>
  <c r="AT85" i="18"/>
  <c r="AT20" i="18" s="1"/>
  <c r="AQ14" i="14" s="1"/>
  <c r="AT88" i="18"/>
  <c r="AT21" i="18" s="1"/>
  <c r="AZ262" i="18"/>
  <c r="BA259" i="18"/>
  <c r="AU85" i="18" l="1"/>
  <c r="AU20" i="18" s="1"/>
  <c r="AR14" i="14" s="1"/>
  <c r="BA257" i="18"/>
  <c r="BB254" i="18"/>
  <c r="AU88" i="18"/>
  <c r="AU21" i="18" s="1"/>
  <c r="BA262" i="18"/>
  <c r="BB259" i="18"/>
  <c r="BB257" i="18" l="1"/>
  <c r="BC254" i="18"/>
  <c r="AV85" i="18"/>
  <c r="AV20" i="18" s="1"/>
  <c r="AS14" i="14" s="1"/>
  <c r="AZ210" i="18"/>
  <c r="AV88" i="18"/>
  <c r="AV21" i="18" s="1"/>
  <c r="BB262" i="18"/>
  <c r="BC259" i="18"/>
  <c r="BC257" i="18" l="1"/>
  <c r="BD254" i="18"/>
  <c r="AW85" i="18"/>
  <c r="AW20" i="18" s="1"/>
  <c r="AT14" i="14" s="1"/>
  <c r="BA210" i="18"/>
  <c r="AW88" i="18"/>
  <c r="AW21" i="18" s="1"/>
  <c r="BC262" i="18"/>
  <c r="BD259" i="18"/>
  <c r="BD257" i="18" l="1"/>
  <c r="BE254" i="18"/>
  <c r="AX85" i="18"/>
  <c r="AX20" i="18" s="1"/>
  <c r="AU14" i="14" s="1"/>
  <c r="BB210" i="18"/>
  <c r="AX88" i="18"/>
  <c r="AX21" i="18" s="1"/>
  <c r="BD262" i="18"/>
  <c r="BE259" i="18"/>
  <c r="BE257" i="18" l="1"/>
  <c r="BF254" i="18"/>
  <c r="AY85" i="18"/>
  <c r="AY20" i="18" s="1"/>
  <c r="AV14" i="14" s="1"/>
  <c r="BC210" i="18"/>
  <c r="AY88" i="18"/>
  <c r="AY21" i="18" s="1"/>
  <c r="BE262" i="18"/>
  <c r="BF259" i="18"/>
  <c r="AZ85" i="18" l="1"/>
  <c r="AZ20" i="18" s="1"/>
  <c r="AW14" i="14" s="1"/>
  <c r="BF257" i="18"/>
  <c r="BG254" i="18"/>
  <c r="BD210" i="18"/>
  <c r="AZ88" i="18"/>
  <c r="AZ21" i="18" s="1"/>
  <c r="BF262" i="18"/>
  <c r="BG259" i="18"/>
  <c r="BG257" i="18" l="1"/>
  <c r="BH254" i="18"/>
  <c r="BA85" i="18"/>
  <c r="BA20" i="18" s="1"/>
  <c r="AX14" i="14" s="1"/>
  <c r="BE210" i="18"/>
  <c r="BA88" i="18"/>
  <c r="BA21" i="18" s="1"/>
  <c r="BG262" i="18"/>
  <c r="BH259" i="18"/>
  <c r="BH257" i="18" l="1"/>
  <c r="BI254" i="18"/>
  <c r="BB85" i="18"/>
  <c r="BB20" i="18" s="1"/>
  <c r="AY14" i="14" s="1"/>
  <c r="BF210" i="18"/>
  <c r="BB88" i="18"/>
  <c r="BB21" i="18" s="1"/>
  <c r="BH262" i="18"/>
  <c r="BI259" i="18"/>
  <c r="BI257" i="18" l="1"/>
  <c r="BJ254" i="18"/>
  <c r="BC85" i="18"/>
  <c r="BC20" i="18" s="1"/>
  <c r="AZ14" i="14" s="1"/>
  <c r="BG210" i="18"/>
  <c r="BC88" i="18"/>
  <c r="BC21" i="18" s="1"/>
  <c r="BI262" i="18"/>
  <c r="BJ259" i="18"/>
  <c r="BD85" i="18" l="1"/>
  <c r="BD20" i="18" s="1"/>
  <c r="BA14" i="14" s="1"/>
  <c r="BJ257" i="18"/>
  <c r="BK254" i="18"/>
  <c r="BH210" i="18"/>
  <c r="BD88" i="18"/>
  <c r="BD21" i="18" s="1"/>
  <c r="BJ262" i="18"/>
  <c r="BK259" i="18"/>
  <c r="BE85" i="18" l="1"/>
  <c r="BE20" i="18" s="1"/>
  <c r="BB14" i="14" s="1"/>
  <c r="BK257" i="18"/>
  <c r="BL254" i="18"/>
  <c r="BI210" i="18"/>
  <c r="BE88" i="18"/>
  <c r="BE21" i="18" s="1"/>
  <c r="BK262" i="18"/>
  <c r="BL259" i="18"/>
  <c r="BL257" i="18" l="1"/>
  <c r="BM254" i="18"/>
  <c r="BF85" i="18"/>
  <c r="BF20" i="18" s="1"/>
  <c r="BC14" i="14" s="1"/>
  <c r="BJ210" i="18"/>
  <c r="BF88" i="18"/>
  <c r="BF21" i="18" s="1"/>
  <c r="BL262" i="18"/>
  <c r="BM259" i="18"/>
  <c r="BG85" i="18" l="1"/>
  <c r="BG20" i="18" s="1"/>
  <c r="BD14" i="14" s="1"/>
  <c r="BM257" i="18"/>
  <c r="BN254" i="18"/>
  <c r="BG88" i="18"/>
  <c r="BG21" i="18" s="1"/>
  <c r="BM262" i="18"/>
  <c r="BN259" i="18"/>
  <c r="BN257" i="18" l="1"/>
  <c r="BO254" i="18"/>
  <c r="BH85" i="18"/>
  <c r="BH20" i="18" s="1"/>
  <c r="BE14" i="14" s="1"/>
  <c r="BH88" i="18"/>
  <c r="BH21" i="18" s="1"/>
  <c r="BN262" i="18"/>
  <c r="BO259" i="18"/>
  <c r="BI85" i="18" l="1"/>
  <c r="BI20" i="18" s="1"/>
  <c r="BF14" i="14" s="1"/>
  <c r="BO257" i="18"/>
  <c r="BP254" i="18"/>
  <c r="BI88" i="18"/>
  <c r="BI21" i="18" s="1"/>
  <c r="BO262" i="18"/>
  <c r="BP259" i="18"/>
  <c r="BJ85" i="18" l="1"/>
  <c r="BJ20" i="18" s="1"/>
  <c r="BG14" i="14" s="1"/>
  <c r="BP257" i="18"/>
  <c r="BQ254" i="18"/>
  <c r="BJ88" i="18"/>
  <c r="BJ21" i="18" s="1"/>
  <c r="BP262" i="18"/>
  <c r="BQ259" i="18"/>
  <c r="BQ257" i="18" l="1"/>
  <c r="BR254" i="18"/>
  <c r="BK85" i="18"/>
  <c r="BK20" i="18" s="1"/>
  <c r="BH14" i="14" s="1"/>
  <c r="BK88" i="18"/>
  <c r="BK21" i="18" s="1"/>
  <c r="BQ262" i="18"/>
  <c r="BR259" i="18"/>
  <c r="BL85" i="18" l="1"/>
  <c r="BL20" i="18" s="1"/>
  <c r="BI14" i="14" s="1"/>
  <c r="BR257" i="18"/>
  <c r="BS254" i="18"/>
  <c r="BL88" i="18"/>
  <c r="BL21" i="18" s="1"/>
  <c r="BR262" i="18"/>
  <c r="BS259" i="18"/>
  <c r="BS257" i="18" l="1"/>
  <c r="BT254" i="18"/>
  <c r="BM85" i="18"/>
  <c r="BM20" i="18" s="1"/>
  <c r="BJ14" i="14" s="1"/>
  <c r="BM88" i="18"/>
  <c r="BM21" i="18" s="1"/>
  <c r="BS262" i="18"/>
  <c r="BT259" i="18"/>
  <c r="BN85" i="18" l="1"/>
  <c r="BN20" i="18" s="1"/>
  <c r="BK14" i="14" s="1"/>
  <c r="BT257" i="18"/>
  <c r="BU254" i="18"/>
  <c r="BN88" i="18"/>
  <c r="BN21" i="18" s="1"/>
  <c r="BT262" i="18"/>
  <c r="BU259" i="18"/>
  <c r="BO85" i="18" l="1"/>
  <c r="BO20" i="18" s="1"/>
  <c r="BL14" i="14" s="1"/>
  <c r="BU257" i="18"/>
  <c r="BV254" i="18"/>
  <c r="BO88" i="18"/>
  <c r="BO21" i="18" s="1"/>
  <c r="BU262" i="18"/>
  <c r="BV259" i="18"/>
  <c r="BV257" i="18" l="1"/>
  <c r="BW254" i="18"/>
  <c r="BP85" i="18"/>
  <c r="BP20" i="18" s="1"/>
  <c r="BM14" i="14" s="1"/>
  <c r="BP88" i="18"/>
  <c r="BP21" i="18" s="1"/>
  <c r="BV262" i="18"/>
  <c r="BW259" i="18"/>
  <c r="BQ85" i="18" l="1"/>
  <c r="BQ20" i="18" s="1"/>
  <c r="BN14" i="14" s="1"/>
  <c r="BW257" i="18"/>
  <c r="BX254" i="18"/>
  <c r="BQ88" i="18"/>
  <c r="BQ21" i="18" s="1"/>
  <c r="BW262" i="18"/>
  <c r="BX259" i="18"/>
  <c r="BX257" i="18" l="1"/>
  <c r="BY254" i="18"/>
  <c r="BR85" i="18"/>
  <c r="BR20" i="18" s="1"/>
  <c r="BO14" i="14" s="1"/>
  <c r="BR88" i="18"/>
  <c r="BR21" i="18" s="1"/>
  <c r="BX262" i="18"/>
  <c r="BY259" i="18"/>
  <c r="BY257" i="18" l="1"/>
  <c r="BZ254" i="18"/>
  <c r="BS85" i="18"/>
  <c r="BS20" i="18" s="1"/>
  <c r="BP14" i="14" s="1"/>
  <c r="BS88" i="18"/>
  <c r="BS21" i="18" s="1"/>
  <c r="BY262" i="18"/>
  <c r="BZ259" i="18"/>
  <c r="BZ257" i="18" l="1"/>
  <c r="CA254" i="18"/>
  <c r="BT85" i="18"/>
  <c r="BT20" i="18" s="1"/>
  <c r="BQ14" i="14" s="1"/>
  <c r="BT88" i="18"/>
  <c r="BT21" i="18" s="1"/>
  <c r="BZ262" i="18"/>
  <c r="CA259" i="18"/>
  <c r="BU85" i="18" l="1"/>
  <c r="BU20" i="18" s="1"/>
  <c r="BR14" i="14" s="1"/>
  <c r="CA257" i="18"/>
  <c r="CB254" i="18"/>
  <c r="BU88" i="18"/>
  <c r="BU21" i="18" s="1"/>
  <c r="CA262" i="18"/>
  <c r="CB259" i="18"/>
  <c r="CB257" i="18" l="1"/>
  <c r="CC254" i="18"/>
  <c r="BV85" i="18"/>
  <c r="BV20" i="18" s="1"/>
  <c r="BS14" i="14" s="1"/>
  <c r="BV88" i="18"/>
  <c r="BV21" i="18" s="1"/>
  <c r="CB262" i="18"/>
  <c r="CC259" i="18"/>
  <c r="CC257" i="18" l="1"/>
  <c r="CD254" i="18"/>
  <c r="BW85" i="18"/>
  <c r="BW20" i="18" s="1"/>
  <c r="BT14" i="14" s="1"/>
  <c r="BW88" i="18"/>
  <c r="BW21" i="18" s="1"/>
  <c r="CC262" i="18"/>
  <c r="CD259" i="18"/>
  <c r="CD257" i="18" l="1"/>
  <c r="CE254" i="18"/>
  <c r="BX85" i="18"/>
  <c r="BX20" i="18" s="1"/>
  <c r="BU14" i="14" s="1"/>
  <c r="BX88" i="18"/>
  <c r="BX21" i="18" s="1"/>
  <c r="CD262" i="18"/>
  <c r="CE259" i="18"/>
  <c r="BY85" i="18" l="1"/>
  <c r="BY20" i="18" s="1"/>
  <c r="BV14" i="14" s="1"/>
  <c r="CE257" i="18"/>
  <c r="CF254" i="18"/>
  <c r="BY88" i="18"/>
  <c r="BY21" i="18" s="1"/>
  <c r="CE262" i="18"/>
  <c r="CF259" i="18"/>
  <c r="CF257" i="18" l="1"/>
  <c r="CG254" i="18"/>
  <c r="BZ85" i="18"/>
  <c r="BZ20" i="18" s="1"/>
  <c r="BW14" i="14" s="1"/>
  <c r="BZ88" i="18"/>
  <c r="BZ21" i="18" s="1"/>
  <c r="CF262" i="18"/>
  <c r="CG259" i="18"/>
  <c r="CA85" i="18" l="1"/>
  <c r="CA20" i="18" s="1"/>
  <c r="BX14" i="14" s="1"/>
  <c r="CG257" i="18"/>
  <c r="CH254" i="18"/>
  <c r="CA88" i="18"/>
  <c r="CA21" i="18" s="1"/>
  <c r="CG262" i="18"/>
  <c r="CH259" i="18"/>
  <c r="CH257" i="18" l="1"/>
  <c r="CI254" i="18"/>
  <c r="CB85" i="18"/>
  <c r="CB20" i="18" s="1"/>
  <c r="BY14" i="14" s="1"/>
  <c r="CB88" i="18"/>
  <c r="CB21" i="18" s="1"/>
  <c r="CH262" i="18"/>
  <c r="CI259" i="18"/>
  <c r="CI257" i="18" l="1"/>
  <c r="CJ254" i="18"/>
  <c r="CC85" i="18"/>
  <c r="CC20" i="18" s="1"/>
  <c r="BZ14" i="14" s="1"/>
  <c r="CC88" i="18"/>
  <c r="CC21" i="18" s="1"/>
  <c r="CI262" i="18"/>
  <c r="CJ259" i="18"/>
  <c r="CD85" i="18" l="1"/>
  <c r="CD20" i="18" s="1"/>
  <c r="CA14" i="14" s="1"/>
  <c r="CJ257" i="18"/>
  <c r="CK254" i="18"/>
  <c r="CD88" i="18"/>
  <c r="CD21" i="18" s="1"/>
  <c r="CJ262" i="18"/>
  <c r="CK259" i="18"/>
  <c r="CE85" i="18" l="1"/>
  <c r="CE20" i="18" s="1"/>
  <c r="CB14" i="14" s="1"/>
  <c r="CK257" i="18"/>
  <c r="CL254" i="18"/>
  <c r="CE88" i="18"/>
  <c r="CE21" i="18" s="1"/>
  <c r="CK262" i="18"/>
  <c r="CL259" i="18"/>
  <c r="CL257" i="18" l="1"/>
  <c r="CM254" i="18"/>
  <c r="CF85" i="18"/>
  <c r="CF20" i="18" s="1"/>
  <c r="CC14" i="14" s="1"/>
  <c r="CF88" i="18"/>
  <c r="CF21" i="18" s="1"/>
  <c r="CL262" i="18"/>
  <c r="CM259" i="18"/>
  <c r="CG85" i="18" l="1"/>
  <c r="CG20" i="18" s="1"/>
  <c r="CD14" i="14" s="1"/>
  <c r="CM257" i="18"/>
  <c r="CN254" i="18"/>
  <c r="CG88" i="18"/>
  <c r="CG21" i="18" s="1"/>
  <c r="CM262" i="18"/>
  <c r="CN259" i="18"/>
  <c r="CN257" i="18" l="1"/>
  <c r="CO254" i="18"/>
  <c r="CH85" i="18"/>
  <c r="CH20" i="18" s="1"/>
  <c r="CE14" i="14" s="1"/>
  <c r="CH88" i="18"/>
  <c r="CH21" i="18" s="1"/>
  <c r="CN262" i="18"/>
  <c r="CO259" i="18"/>
  <c r="CI85" i="18" l="1"/>
  <c r="CI20" i="18" s="1"/>
  <c r="CF14" i="14" s="1"/>
  <c r="CO257" i="18"/>
  <c r="CP254" i="18"/>
  <c r="CI88" i="18"/>
  <c r="CI21" i="18" s="1"/>
  <c r="CO262" i="18"/>
  <c r="CP259" i="18"/>
  <c r="CP257" i="18" l="1"/>
  <c r="CQ254" i="18"/>
  <c r="CJ85" i="18"/>
  <c r="CJ20" i="18" s="1"/>
  <c r="CG14" i="14" s="1"/>
  <c r="CJ88" i="18"/>
  <c r="CJ21" i="18" s="1"/>
  <c r="CP262" i="18"/>
  <c r="CQ259" i="18"/>
  <c r="CK85" i="18" l="1"/>
  <c r="CK20" i="18" s="1"/>
  <c r="CH14" i="14" s="1"/>
  <c r="CQ257" i="18"/>
  <c r="CR254" i="18"/>
  <c r="CK88" i="18"/>
  <c r="CK21" i="18" s="1"/>
  <c r="CQ262" i="18"/>
  <c r="CR259" i="18"/>
  <c r="CR257" i="18" l="1"/>
  <c r="CS254" i="18"/>
  <c r="CL85" i="18"/>
  <c r="CL20" i="18" s="1"/>
  <c r="CI14" i="14" s="1"/>
  <c r="CL88" i="18"/>
  <c r="CL21" i="18" s="1"/>
  <c r="CR262" i="18"/>
  <c r="CS259" i="18"/>
  <c r="CM85" i="18" l="1"/>
  <c r="CM20" i="18" s="1"/>
  <c r="CJ14" i="14" s="1"/>
  <c r="CS257" i="18"/>
  <c r="CT254" i="18"/>
  <c r="CM88" i="18"/>
  <c r="CM21" i="18" s="1"/>
  <c r="CN88" i="18"/>
  <c r="CN21" i="18" s="1"/>
  <c r="CS262" i="18"/>
  <c r="CT259" i="18"/>
  <c r="CT257" i="18" l="1"/>
  <c r="CU254" i="18"/>
  <c r="CN85" i="18"/>
  <c r="CN20" i="18" s="1"/>
  <c r="CK14" i="14" s="1"/>
  <c r="CT262" i="18"/>
  <c r="CU259" i="18"/>
  <c r="CO85" i="18" l="1"/>
  <c r="CO20" i="18" s="1"/>
  <c r="CL14" i="14" s="1"/>
  <c r="CU257" i="18"/>
  <c r="CV254" i="18"/>
  <c r="CO88" i="18"/>
  <c r="CO21" i="18" s="1"/>
  <c r="CU262" i="18"/>
  <c r="CV259" i="18"/>
  <c r="CP85" i="18" l="1"/>
  <c r="CP20" i="18" s="1"/>
  <c r="CM14" i="14" s="1"/>
  <c r="CV257" i="18"/>
  <c r="CW254" i="18"/>
  <c r="CP88" i="18"/>
  <c r="CP21" i="18" s="1"/>
  <c r="CV262" i="18"/>
  <c r="CW259" i="18"/>
  <c r="CW257" i="18" l="1"/>
  <c r="CX254" i="18"/>
  <c r="CQ85" i="18"/>
  <c r="CQ20" i="18" s="1"/>
  <c r="CN14" i="14" s="1"/>
  <c r="CQ88" i="18"/>
  <c r="CQ21" i="18" s="1"/>
  <c r="CW262" i="18"/>
  <c r="CX259" i="18"/>
  <c r="CR85" i="18" l="1"/>
  <c r="CR20" i="18" s="1"/>
  <c r="CO14" i="14" s="1"/>
  <c r="CX257" i="18"/>
  <c r="CY254" i="18"/>
  <c r="CR88" i="18"/>
  <c r="CR21" i="18" s="1"/>
  <c r="CX262" i="18"/>
  <c r="CY259" i="18"/>
  <c r="CS85" i="18" l="1"/>
  <c r="CS20" i="18" s="1"/>
  <c r="CP14" i="14" s="1"/>
  <c r="CY257" i="18"/>
  <c r="CZ254" i="18"/>
  <c r="CS88" i="18"/>
  <c r="CS21" i="18" s="1"/>
  <c r="CY262" i="18"/>
  <c r="CZ259" i="18"/>
  <c r="CT85" i="18" l="1"/>
  <c r="CT20" i="18" s="1"/>
  <c r="CQ14" i="14" s="1"/>
  <c r="CZ257" i="18"/>
  <c r="DA254" i="18"/>
  <c r="CT88" i="18"/>
  <c r="CT21" i="18" s="1"/>
  <c r="CZ262" i="18"/>
  <c r="DA259" i="18"/>
  <c r="DA257" i="18" l="1"/>
  <c r="DB254" i="18"/>
  <c r="CU85" i="18"/>
  <c r="CU20" i="18" s="1"/>
  <c r="CR14" i="14" s="1"/>
  <c r="CU88" i="18"/>
  <c r="CU21" i="18" s="1"/>
  <c r="DA262" i="18"/>
  <c r="DB259" i="18"/>
  <c r="CV85" i="18" l="1"/>
  <c r="CV20" i="18" s="1"/>
  <c r="CS14" i="14" s="1"/>
  <c r="DB257" i="18"/>
  <c r="DC254" i="18"/>
  <c r="CV88" i="18"/>
  <c r="CV21" i="18" s="1"/>
  <c r="DB262" i="18"/>
  <c r="DC259" i="18"/>
  <c r="DC257" i="18" l="1"/>
  <c r="DD254" i="18"/>
  <c r="CW85" i="18"/>
  <c r="CW20" i="18" s="1"/>
  <c r="CT14" i="14" s="1"/>
  <c r="CW88" i="18"/>
  <c r="CW21" i="18" s="1"/>
  <c r="DC262" i="18"/>
  <c r="DD259" i="18"/>
  <c r="CX85" i="18" l="1"/>
  <c r="CX20" i="18" s="1"/>
  <c r="CU14" i="14" s="1"/>
  <c r="DD257" i="18"/>
  <c r="DE254" i="18"/>
  <c r="CX88" i="18"/>
  <c r="CX21" i="18" s="1"/>
  <c r="DD262" i="18"/>
  <c r="DE259" i="18"/>
  <c r="DE257" i="18" l="1"/>
  <c r="DF254" i="18"/>
  <c r="CY85" i="18"/>
  <c r="CY20" i="18" s="1"/>
  <c r="CV14" i="14" s="1"/>
  <c r="CY88" i="18"/>
  <c r="CY21" i="18" s="1"/>
  <c r="DE262" i="18"/>
  <c r="DF259" i="18"/>
  <c r="CZ85" i="18" l="1"/>
  <c r="CZ20" i="18" s="1"/>
  <c r="CW14" i="14" s="1"/>
  <c r="DF257" i="18"/>
  <c r="DG254" i="18"/>
  <c r="CZ88" i="18"/>
  <c r="CZ21" i="18" s="1"/>
  <c r="DF262" i="18"/>
  <c r="DG259" i="18"/>
  <c r="DA85" i="18" l="1"/>
  <c r="DA20" i="18" s="1"/>
  <c r="CX14" i="14" s="1"/>
  <c r="DG257" i="18"/>
  <c r="DH254" i="18"/>
  <c r="DA88" i="18"/>
  <c r="DA21" i="18" s="1"/>
  <c r="DG262" i="18"/>
  <c r="DH259" i="18"/>
  <c r="DH257" i="18" l="1"/>
  <c r="DI254" i="18"/>
  <c r="DB85" i="18"/>
  <c r="DB20" i="18" s="1"/>
  <c r="CY14" i="14" s="1"/>
  <c r="DB88" i="18"/>
  <c r="DB21" i="18" s="1"/>
  <c r="DH262" i="18"/>
  <c r="DI259" i="18"/>
  <c r="DC85" i="18" l="1"/>
  <c r="DC20" i="18" s="1"/>
  <c r="CZ14" i="14" s="1"/>
  <c r="DI257" i="18"/>
  <c r="DJ254" i="18"/>
  <c r="DC88" i="18"/>
  <c r="DC21" i="18" s="1"/>
  <c r="DI262" i="18"/>
  <c r="DJ259" i="18"/>
  <c r="DJ257" i="18" l="1"/>
  <c r="DK254" i="18"/>
  <c r="DD85" i="18"/>
  <c r="DD20" i="18" s="1"/>
  <c r="DA14" i="14" s="1"/>
  <c r="DD88" i="18"/>
  <c r="DD21" i="18" s="1"/>
  <c r="DJ262" i="18"/>
  <c r="DK259" i="18"/>
  <c r="DE85" i="18" l="1"/>
  <c r="DE20" i="18" s="1"/>
  <c r="DB14" i="14" s="1"/>
  <c r="DK257" i="18"/>
  <c r="DL254" i="18"/>
  <c r="DE88" i="18"/>
  <c r="DE21" i="18" s="1"/>
  <c r="DK262" i="18"/>
  <c r="DL259" i="18"/>
  <c r="DF85" i="18" l="1"/>
  <c r="DF20" i="18" s="1"/>
  <c r="DC14" i="14" s="1"/>
  <c r="DL257" i="18"/>
  <c r="DM254" i="18"/>
  <c r="DF88" i="18"/>
  <c r="DF21" i="18" s="1"/>
  <c r="DL262" i="18"/>
  <c r="DM259" i="18"/>
  <c r="DG85" i="18" l="1"/>
  <c r="DG20" i="18" s="1"/>
  <c r="DD14" i="14" s="1"/>
  <c r="DM257" i="18"/>
  <c r="DN254" i="18"/>
  <c r="DG88" i="18"/>
  <c r="DG21" i="18" s="1"/>
  <c r="DH88" i="18"/>
  <c r="DH21" i="18" s="1"/>
  <c r="DM262" i="18"/>
  <c r="DN259" i="18"/>
  <c r="DN257" i="18" l="1"/>
  <c r="DO254" i="18"/>
  <c r="DH85" i="18"/>
  <c r="DH20" i="18" s="1"/>
  <c r="DE14" i="14" s="1"/>
  <c r="DN262" i="18"/>
  <c r="DO259" i="18"/>
  <c r="DI85" i="18" l="1"/>
  <c r="DI20" i="18" s="1"/>
  <c r="DF14" i="14" s="1"/>
  <c r="DO257" i="18"/>
  <c r="DP254" i="18"/>
  <c r="DI88" i="18"/>
  <c r="DI21" i="18" s="1"/>
  <c r="DO262" i="18"/>
  <c r="DP259" i="18"/>
  <c r="DJ85" i="18" l="1"/>
  <c r="DJ20" i="18" s="1"/>
  <c r="DG14" i="14" s="1"/>
  <c r="DP257" i="18"/>
  <c r="DQ254" i="18"/>
  <c r="DJ88" i="18"/>
  <c r="DJ21" i="18" s="1"/>
  <c r="DP262" i="18"/>
  <c r="DQ259" i="18"/>
  <c r="DQ257" i="18" l="1"/>
  <c r="DR254" i="18"/>
  <c r="DK85" i="18"/>
  <c r="DK20" i="18" s="1"/>
  <c r="DH14" i="14" s="1"/>
  <c r="DK88" i="18"/>
  <c r="DK21" i="18" s="1"/>
  <c r="DQ262" i="18"/>
  <c r="DR259" i="18"/>
  <c r="DR257" i="18" l="1"/>
  <c r="DS254" i="18"/>
  <c r="DL85" i="18"/>
  <c r="DL20" i="18" s="1"/>
  <c r="DI14" i="14" s="1"/>
  <c r="DL88" i="18"/>
  <c r="DL21" i="18" s="1"/>
  <c r="DR262" i="18"/>
  <c r="DS259" i="18"/>
  <c r="DS257" i="18" l="1"/>
  <c r="DT254" i="18"/>
  <c r="DM85" i="18"/>
  <c r="DM20" i="18" s="1"/>
  <c r="DJ14" i="14" s="1"/>
  <c r="DM88" i="18"/>
  <c r="DM21" i="18" s="1"/>
  <c r="DS262" i="18"/>
  <c r="DT259" i="18"/>
  <c r="DT257" i="18" l="1"/>
  <c r="DU254" i="18"/>
  <c r="DN85" i="18"/>
  <c r="DN20" i="18" s="1"/>
  <c r="DK14" i="14" s="1"/>
  <c r="DN88" i="18"/>
  <c r="DN21" i="18" s="1"/>
  <c r="DT262" i="18"/>
  <c r="DU259" i="18"/>
  <c r="DU257" i="18" l="1"/>
  <c r="DV254" i="18"/>
  <c r="DO85" i="18"/>
  <c r="DO20" i="18" s="1"/>
  <c r="DL14" i="14" s="1"/>
  <c r="DO88" i="18"/>
  <c r="DO21" i="18" s="1"/>
  <c r="DU262" i="18"/>
  <c r="DV259" i="18"/>
  <c r="DV257" i="18" l="1"/>
  <c r="DW254" i="18"/>
  <c r="DP85" i="18"/>
  <c r="DP20" i="18" s="1"/>
  <c r="DM14" i="14" s="1"/>
  <c r="DP88" i="18"/>
  <c r="DP21" i="18" s="1"/>
  <c r="DV262" i="18"/>
  <c r="DW259" i="18"/>
  <c r="DQ85" i="18" l="1"/>
  <c r="DQ20" i="18" s="1"/>
  <c r="DN14" i="14" s="1"/>
  <c r="DW257" i="18"/>
  <c r="DX254" i="18"/>
  <c r="DQ88" i="18"/>
  <c r="DQ21" i="18" s="1"/>
  <c r="DW262" i="18"/>
  <c r="DX259" i="18"/>
  <c r="DR85" i="18" l="1"/>
  <c r="DR20" i="18" s="1"/>
  <c r="DO14" i="14" s="1"/>
  <c r="DX257" i="18"/>
  <c r="DY254" i="18"/>
  <c r="DR88" i="18"/>
  <c r="DR21" i="18" s="1"/>
  <c r="DX262" i="18"/>
  <c r="DY259" i="18"/>
  <c r="DS85" i="18" l="1"/>
  <c r="DS20" i="18" s="1"/>
  <c r="DP14" i="14" s="1"/>
  <c r="DY257" i="18"/>
  <c r="DZ254" i="18"/>
  <c r="DS88" i="18"/>
  <c r="DS21" i="18" s="1"/>
  <c r="DY262" i="18"/>
  <c r="DZ259" i="18"/>
  <c r="DZ257" i="18" l="1"/>
  <c r="EA254" i="18"/>
  <c r="DT85" i="18"/>
  <c r="DT20" i="18" s="1"/>
  <c r="DQ14" i="14" s="1"/>
  <c r="DT88" i="18"/>
  <c r="DT21" i="18" s="1"/>
  <c r="DZ262" i="18"/>
  <c r="EA259" i="18"/>
  <c r="DU85" i="18" l="1"/>
  <c r="DU20" i="18" s="1"/>
  <c r="DR14" i="14" s="1"/>
  <c r="EA257" i="18"/>
  <c r="EB254" i="18"/>
  <c r="DU88" i="18"/>
  <c r="DU21" i="18" s="1"/>
  <c r="EA262" i="18"/>
  <c r="EB259" i="18"/>
  <c r="DV85" i="18" l="1"/>
  <c r="DV20" i="18" s="1"/>
  <c r="DS14" i="14" s="1"/>
  <c r="EB257" i="18"/>
  <c r="EC254" i="18"/>
  <c r="DV88" i="18"/>
  <c r="DV21" i="18" s="1"/>
  <c r="EB262" i="18"/>
  <c r="EC259" i="18"/>
  <c r="EC257" i="18" l="1"/>
  <c r="ED254" i="18"/>
  <c r="DW85" i="18"/>
  <c r="DW20" i="18" s="1"/>
  <c r="DT14" i="14" s="1"/>
  <c r="DW88" i="18"/>
  <c r="DW21" i="18" s="1"/>
  <c r="EC262" i="18"/>
  <c r="ED259" i="18"/>
  <c r="DX85" i="18" l="1"/>
  <c r="DX20" i="18" s="1"/>
  <c r="DU14" i="14" s="1"/>
  <c r="ED257" i="18"/>
  <c r="EE254" i="18"/>
  <c r="DX88" i="18"/>
  <c r="DX21" i="18" s="1"/>
  <c r="ED262" i="18"/>
  <c r="EE259" i="18"/>
  <c r="DY85" i="18" l="1"/>
  <c r="DY20" i="18" s="1"/>
  <c r="DV14" i="14" s="1"/>
  <c r="EE257" i="18"/>
  <c r="EF254" i="18"/>
  <c r="DY88" i="18"/>
  <c r="DY21" i="18" s="1"/>
  <c r="EE262" i="18"/>
  <c r="EF259" i="18"/>
  <c r="DZ85" i="18" l="1"/>
  <c r="DZ20" i="18" s="1"/>
  <c r="DW14" i="14" s="1"/>
  <c r="EF257" i="18"/>
  <c r="EG254" i="18"/>
  <c r="DZ88" i="18"/>
  <c r="DZ21" i="18" s="1"/>
  <c r="EF262" i="18"/>
  <c r="EG259" i="18"/>
  <c r="EG257" i="18" l="1"/>
  <c r="EH254" i="18"/>
  <c r="EA85" i="18"/>
  <c r="EA20" i="18" s="1"/>
  <c r="DX14" i="14" s="1"/>
  <c r="EA88" i="18"/>
  <c r="EA21" i="18" s="1"/>
  <c r="EG262" i="18"/>
  <c r="EH259" i="18"/>
  <c r="EB85" i="18" l="1"/>
  <c r="EB20" i="18" s="1"/>
  <c r="DY14" i="14" s="1"/>
  <c r="EH257" i="18"/>
  <c r="EI254" i="18"/>
  <c r="EB88" i="18"/>
  <c r="EB21" i="18" s="1"/>
  <c r="EH262" i="18"/>
  <c r="EI259" i="18"/>
  <c r="EG263" i="18" s="1"/>
  <c r="ED258" i="18" l="1"/>
  <c r="EI258" i="18"/>
  <c r="EI257" i="18"/>
  <c r="G258" i="18"/>
  <c r="F254" i="18"/>
  <c r="AA258" i="18"/>
  <c r="AB258" i="18"/>
  <c r="AC258" i="18"/>
  <c r="AD258" i="18"/>
  <c r="AE258" i="18"/>
  <c r="AG258" i="18"/>
  <c r="AF258" i="18"/>
  <c r="AH258" i="18"/>
  <c r="AI258" i="18"/>
  <c r="AJ258" i="18"/>
  <c r="AK258" i="18"/>
  <c r="AL258" i="18"/>
  <c r="AM258" i="18"/>
  <c r="AP258" i="18"/>
  <c r="AO258" i="18"/>
  <c r="AR258" i="18"/>
  <c r="AN258" i="18"/>
  <c r="AQ258" i="18"/>
  <c r="AT258" i="18"/>
  <c r="AS258" i="18"/>
  <c r="AU258" i="18"/>
  <c r="AW258" i="18"/>
  <c r="AV258" i="18"/>
  <c r="AY258" i="18"/>
  <c r="AX258" i="18"/>
  <c r="AZ258" i="18"/>
  <c r="BA258" i="18"/>
  <c r="BC258" i="18"/>
  <c r="BB258" i="18"/>
  <c r="BE258" i="18"/>
  <c r="BD258" i="18"/>
  <c r="BF258" i="18"/>
  <c r="BH258" i="18"/>
  <c r="BI258" i="18"/>
  <c r="BG258" i="18"/>
  <c r="BL258" i="18"/>
  <c r="BK258" i="18"/>
  <c r="BJ258" i="18"/>
  <c r="BM258" i="18"/>
  <c r="BO258" i="18"/>
  <c r="BN258" i="18"/>
  <c r="BP258" i="18"/>
  <c r="BQ258" i="18"/>
  <c r="BU258" i="18"/>
  <c r="BR258" i="18"/>
  <c r="BS258" i="18"/>
  <c r="BV258" i="18"/>
  <c r="BT258" i="18"/>
  <c r="BW258" i="18"/>
  <c r="BY258" i="18"/>
  <c r="BX258" i="18"/>
  <c r="BZ258" i="18"/>
  <c r="CB258" i="18"/>
  <c r="CC258" i="18"/>
  <c r="CA258" i="18"/>
  <c r="CD258" i="18"/>
  <c r="CG258" i="18"/>
  <c r="CE258" i="18"/>
  <c r="CI258" i="18"/>
  <c r="CF258" i="18"/>
  <c r="CH258" i="18"/>
  <c r="CJ258" i="18"/>
  <c r="CM258" i="18"/>
  <c r="CK258" i="18"/>
  <c r="CN258" i="18"/>
  <c r="CL258" i="18"/>
  <c r="CO258" i="18"/>
  <c r="CQ258" i="18"/>
  <c r="CP258" i="18"/>
  <c r="CR258" i="18"/>
  <c r="CS258" i="18"/>
  <c r="CU258" i="18"/>
  <c r="CT258" i="18"/>
  <c r="CV258" i="18"/>
  <c r="CW258" i="18"/>
  <c r="CX258" i="18"/>
  <c r="CY258" i="18"/>
  <c r="DA258" i="18"/>
  <c r="CZ258" i="18"/>
  <c r="DB258" i="18"/>
  <c r="DD258" i="18"/>
  <c r="DE258" i="18"/>
  <c r="DC258" i="18"/>
  <c r="DF258" i="18"/>
  <c r="DG258" i="18"/>
  <c r="DH258" i="18"/>
  <c r="DI258" i="18"/>
  <c r="DJ258" i="18"/>
  <c r="DL258" i="18"/>
  <c r="DM258" i="18"/>
  <c r="DK258" i="18"/>
  <c r="DN258" i="18"/>
  <c r="DO258" i="18"/>
  <c r="DP258" i="18"/>
  <c r="DQ258" i="18"/>
  <c r="DR258" i="18"/>
  <c r="DS258" i="18"/>
  <c r="DT258" i="18"/>
  <c r="DU258" i="18"/>
  <c r="DV258" i="18"/>
  <c r="DX258" i="18"/>
  <c r="DW258" i="18"/>
  <c r="DZ258" i="18"/>
  <c r="DY258" i="18"/>
  <c r="EA258" i="18"/>
  <c r="EC258" i="18"/>
  <c r="EE258" i="18"/>
  <c r="EG258" i="18"/>
  <c r="EH258" i="18"/>
  <c r="EC85" i="18"/>
  <c r="EC20" i="18" s="1"/>
  <c r="DZ14" i="14" s="1"/>
  <c r="EF258" i="18"/>
  <c r="EB258" i="18"/>
  <c r="EC88" i="18"/>
  <c r="EC21" i="18" s="1"/>
  <c r="ED263" i="18"/>
  <c r="EB263" i="18"/>
  <c r="EI263" i="18"/>
  <c r="EI262" i="18"/>
  <c r="F259" i="18"/>
  <c r="G263" i="18"/>
  <c r="AT263" i="18"/>
  <c r="AP263" i="18"/>
  <c r="AR263" i="18"/>
  <c r="AQ263" i="18"/>
  <c r="AS263" i="18"/>
  <c r="AV263" i="18"/>
  <c r="AX263" i="18"/>
  <c r="AU263" i="18"/>
  <c r="AW263" i="18"/>
  <c r="AY263" i="18"/>
  <c r="BA263" i="18"/>
  <c r="BB263" i="18"/>
  <c r="AZ263" i="18"/>
  <c r="BC263" i="18"/>
  <c r="BD263" i="18"/>
  <c r="BE263" i="18"/>
  <c r="BJ263" i="18"/>
  <c r="BF263" i="18"/>
  <c r="BG263" i="18"/>
  <c r="BH263" i="18"/>
  <c r="BK263" i="18"/>
  <c r="BI263" i="18"/>
  <c r="BL263" i="18"/>
  <c r="BM263" i="18"/>
  <c r="BN263" i="18"/>
  <c r="BO263" i="18"/>
  <c r="BP263" i="18"/>
  <c r="BS263" i="18"/>
  <c r="BQ263" i="18"/>
  <c r="BT263" i="18"/>
  <c r="BR263" i="18"/>
  <c r="BU263" i="18"/>
  <c r="BW263" i="18"/>
  <c r="BY263" i="18"/>
  <c r="BV263" i="18"/>
  <c r="BX263" i="18"/>
  <c r="BZ263" i="18"/>
  <c r="CB263" i="18"/>
  <c r="CA263" i="18"/>
  <c r="CE263" i="18"/>
  <c r="CC263" i="18"/>
  <c r="CD263" i="18"/>
  <c r="CG263" i="18"/>
  <c r="CF263" i="18"/>
  <c r="CH263" i="18"/>
  <c r="CI263" i="18"/>
  <c r="CL263" i="18"/>
  <c r="CJ263" i="18"/>
  <c r="CK263" i="18"/>
  <c r="CM263" i="18"/>
  <c r="CN263" i="18"/>
  <c r="CP263" i="18"/>
  <c r="CR263" i="18"/>
  <c r="CO263" i="18"/>
  <c r="CQ263" i="18"/>
  <c r="CU263" i="18"/>
  <c r="CS263" i="18"/>
  <c r="CV263" i="18"/>
  <c r="CT263" i="18"/>
  <c r="CW263" i="18"/>
  <c r="CX263" i="18"/>
  <c r="CY263" i="18"/>
  <c r="CZ263" i="18"/>
  <c r="DA263" i="18"/>
  <c r="DB263" i="18"/>
  <c r="DD263" i="18"/>
  <c r="DC263" i="18"/>
  <c r="DE263" i="18"/>
  <c r="DF263" i="18"/>
  <c r="DH263" i="18"/>
  <c r="DG263" i="18"/>
  <c r="DI263" i="18"/>
  <c r="DL263" i="18"/>
  <c r="DJ263" i="18"/>
  <c r="DK263" i="18"/>
  <c r="DO263" i="18"/>
  <c r="DM263" i="18"/>
  <c r="DN263" i="18"/>
  <c r="DQ263" i="18"/>
  <c r="DP263" i="18"/>
  <c r="DS263" i="18"/>
  <c r="DR263" i="18"/>
  <c r="DW263" i="18"/>
  <c r="DU263" i="18"/>
  <c r="DT263" i="18"/>
  <c r="DY263" i="18"/>
  <c r="DV263" i="18"/>
  <c r="DX263" i="18"/>
  <c r="EA263" i="18"/>
  <c r="EC263" i="18"/>
  <c r="EE263" i="18"/>
  <c r="EH263" i="18"/>
  <c r="DZ263" i="18"/>
  <c r="EF263" i="18"/>
  <c r="ED85" i="18" l="1"/>
  <c r="ED20" i="18" s="1"/>
  <c r="EA14" i="14" s="1"/>
  <c r="ED88" i="18"/>
  <c r="ED21" i="18" s="1"/>
  <c r="EE85" i="18" l="1"/>
  <c r="EE20" i="18" s="1"/>
  <c r="EB14" i="14" s="1"/>
  <c r="EE88" i="18"/>
  <c r="EE21" i="18" s="1"/>
  <c r="EF85" i="18" l="1"/>
  <c r="EF20" i="18" s="1"/>
  <c r="EC14" i="14" s="1"/>
  <c r="EF88" i="18"/>
  <c r="EF21" i="18" s="1"/>
  <c r="EG85" i="18" l="1"/>
  <c r="EG20" i="18" s="1"/>
  <c r="ED14" i="14" s="1"/>
  <c r="E394" i="18"/>
  <c r="E393" i="18"/>
  <c r="EG88" i="18"/>
  <c r="EG21" i="18" s="1"/>
  <c r="EH85" i="18" l="1"/>
  <c r="EH20" i="18" s="1"/>
  <c r="EE14" i="14" s="1"/>
  <c r="EH88" i="18"/>
  <c r="EH21" i="18" s="1"/>
  <c r="EI85" i="18" l="1"/>
  <c r="EI20" i="18" s="1"/>
  <c r="EF14" i="14" s="1"/>
  <c r="F86" i="18"/>
  <c r="E86" i="18" s="1"/>
  <c r="EI88" i="18"/>
  <c r="EI21" i="18" s="1"/>
  <c r="F89" i="18"/>
  <c r="E89" i="18" s="1"/>
  <c r="C14" i="14" l="1"/>
  <c r="F88" i="18"/>
  <c r="E88" i="18" s="1"/>
  <c r="E21" i="18"/>
  <c r="F85" i="18"/>
  <c r="E85" i="18" s="1"/>
  <c r="E20" i="18"/>
  <c r="C178" i="16" l="1"/>
  <c r="B81" i="18" s="1"/>
  <c r="I81" i="18" s="1"/>
  <c r="C175" i="16"/>
  <c r="B72" i="18" s="1"/>
  <c r="H72" i="18" s="1"/>
  <c r="C176" i="16"/>
  <c r="B75" i="18" s="1"/>
  <c r="I75" i="18" s="1"/>
  <c r="C177" i="16"/>
  <c r="B78" i="18" s="1"/>
  <c r="I78" i="18" s="1"/>
  <c r="J78" i="18" l="1"/>
  <c r="H77" i="18" s="1"/>
  <c r="J75" i="18"/>
  <c r="H74" i="18" s="1"/>
  <c r="I72" i="18"/>
  <c r="H71" i="18" s="1"/>
  <c r="J81" i="18"/>
  <c r="H80" i="18" s="1"/>
  <c r="AB70" i="16"/>
  <c r="L77" i="16" s="1"/>
  <c r="AB71" i="16"/>
  <c r="L78" i="16" s="1"/>
  <c r="K81" i="18" l="1"/>
  <c r="L81" i="18" s="1"/>
  <c r="M81" i="18" s="1"/>
  <c r="K78" i="18"/>
  <c r="J72" i="18"/>
  <c r="K75" i="18"/>
  <c r="I74" i="18" s="1"/>
  <c r="I73" i="18" s="1"/>
  <c r="I63" i="18" s="1"/>
  <c r="F32" i="14" s="1"/>
  <c r="H79" i="18"/>
  <c r="H14" i="18" s="1"/>
  <c r="H73" i="18"/>
  <c r="H63" i="18" s="1"/>
  <c r="E32" i="14" s="1"/>
  <c r="H76" i="18"/>
  <c r="H13" i="18" s="1"/>
  <c r="M468" i="6"/>
  <c r="AC468" i="6" s="1"/>
  <c r="M469" i="6"/>
  <c r="AC469" i="6" s="1"/>
  <c r="M456" i="6"/>
  <c r="AC456" i="6" s="1"/>
  <c r="M457" i="6"/>
  <c r="M464" i="6"/>
  <c r="AC464" i="6" s="1"/>
  <c r="M458" i="6"/>
  <c r="AC458" i="6" s="1"/>
  <c r="M455" i="6"/>
  <c r="M467" i="6"/>
  <c r="AC467" i="6" s="1"/>
  <c r="M463" i="6"/>
  <c r="AC463" i="6" s="1"/>
  <c r="M461" i="6"/>
  <c r="AC461" i="6" s="1"/>
  <c r="M470" i="6"/>
  <c r="AC470" i="6" s="1"/>
  <c r="M462" i="6"/>
  <c r="AC462" i="6" s="1"/>
  <c r="B41" i="16"/>
  <c r="I71" i="18" l="1"/>
  <c r="I70" i="18" s="1"/>
  <c r="I10" i="18" s="1"/>
  <c r="H70" i="18"/>
  <c r="H10" i="18" s="1"/>
  <c r="I80" i="18"/>
  <c r="I79" i="18" s="1"/>
  <c r="I14" i="18" s="1"/>
  <c r="I77" i="18"/>
  <c r="I76" i="18" s="1"/>
  <c r="I13" i="18" s="1"/>
  <c r="L78" i="18"/>
  <c r="L75" i="18"/>
  <c r="M75" i="18" s="1"/>
  <c r="N75" i="18" s="1"/>
  <c r="O75" i="18" s="1"/>
  <c r="P75" i="18" s="1"/>
  <c r="Q75" i="18" s="1"/>
  <c r="R75" i="18" s="1"/>
  <c r="S75" i="18" s="1"/>
  <c r="T75" i="18" s="1"/>
  <c r="U75" i="18" s="1"/>
  <c r="V75" i="18" s="1"/>
  <c r="W75" i="18" s="1"/>
  <c r="X75" i="18" s="1"/>
  <c r="Y75" i="18" s="1"/>
  <c r="Z75" i="18" s="1"/>
  <c r="AA75" i="18" s="1"/>
  <c r="AB75" i="18" s="1"/>
  <c r="AC75" i="18" s="1"/>
  <c r="AD75" i="18" s="1"/>
  <c r="AE75" i="18" s="1"/>
  <c r="AF75" i="18" s="1"/>
  <c r="AG75" i="18" s="1"/>
  <c r="AH75" i="18" s="1"/>
  <c r="AI75" i="18" s="1"/>
  <c r="AJ75" i="18" s="1"/>
  <c r="AK75" i="18" s="1"/>
  <c r="AL75" i="18" s="1"/>
  <c r="AM75" i="18" s="1"/>
  <c r="AN75" i="18" s="1"/>
  <c r="AO75" i="18" s="1"/>
  <c r="AP75" i="18" s="1"/>
  <c r="AQ75" i="18" s="1"/>
  <c r="AR75" i="18" s="1"/>
  <c r="AS75" i="18" s="1"/>
  <c r="AT75" i="18" s="1"/>
  <c r="AU75" i="18" s="1"/>
  <c r="AV75" i="18" s="1"/>
  <c r="AW75" i="18" s="1"/>
  <c r="AX75" i="18" s="1"/>
  <c r="AY75" i="18" s="1"/>
  <c r="AZ75" i="18" s="1"/>
  <c r="BA75" i="18" s="1"/>
  <c r="BB75" i="18" s="1"/>
  <c r="BC75" i="18" s="1"/>
  <c r="BD75" i="18" s="1"/>
  <c r="BE75" i="18" s="1"/>
  <c r="BF75" i="18" s="1"/>
  <c r="BG75" i="18" s="1"/>
  <c r="BH75" i="18" s="1"/>
  <c r="BI75" i="18" s="1"/>
  <c r="BJ75" i="18" s="1"/>
  <c r="BK75" i="18" s="1"/>
  <c r="BL75" i="18" s="1"/>
  <c r="BM75" i="18" s="1"/>
  <c r="BN75" i="18" s="1"/>
  <c r="BO75" i="18" s="1"/>
  <c r="BP75" i="18" s="1"/>
  <c r="BQ75" i="18" s="1"/>
  <c r="BR75" i="18" s="1"/>
  <c r="BS75" i="18" s="1"/>
  <c r="BT75" i="18" s="1"/>
  <c r="BU75" i="18" s="1"/>
  <c r="BV75" i="18" s="1"/>
  <c r="BW75" i="18" s="1"/>
  <c r="BX75" i="18" s="1"/>
  <c r="BY75" i="18" s="1"/>
  <c r="BZ75" i="18" s="1"/>
  <c r="CA75" i="18" s="1"/>
  <c r="CB75" i="18" s="1"/>
  <c r="CC75" i="18" s="1"/>
  <c r="CD75" i="18" s="1"/>
  <c r="CE75" i="18" s="1"/>
  <c r="CF75" i="18" s="1"/>
  <c r="CG75" i="18" s="1"/>
  <c r="CH75" i="18" s="1"/>
  <c r="CI75" i="18" s="1"/>
  <c r="CJ75" i="18" s="1"/>
  <c r="CK75" i="18" s="1"/>
  <c r="CL75" i="18" s="1"/>
  <c r="CM75" i="18" s="1"/>
  <c r="CN75" i="18" s="1"/>
  <c r="CO75" i="18" s="1"/>
  <c r="CP75" i="18" s="1"/>
  <c r="CQ75" i="18" s="1"/>
  <c r="CR75" i="18" s="1"/>
  <c r="CS75" i="18" s="1"/>
  <c r="CT75" i="18" s="1"/>
  <c r="CU75" i="18" s="1"/>
  <c r="CV75" i="18" s="1"/>
  <c r="CW75" i="18" s="1"/>
  <c r="CX75" i="18" s="1"/>
  <c r="CY75" i="18" s="1"/>
  <c r="CZ75" i="18" s="1"/>
  <c r="DA75" i="18" s="1"/>
  <c r="DB75" i="18" s="1"/>
  <c r="DC75" i="18" s="1"/>
  <c r="DD75" i="18" s="1"/>
  <c r="DE75" i="18" s="1"/>
  <c r="DF75" i="18" s="1"/>
  <c r="DG75" i="18" s="1"/>
  <c r="DH75" i="18" s="1"/>
  <c r="DI75" i="18" s="1"/>
  <c r="DJ75" i="18" s="1"/>
  <c r="DK75" i="18" s="1"/>
  <c r="DL75" i="18" s="1"/>
  <c r="DM75" i="18" s="1"/>
  <c r="DN75" i="18" s="1"/>
  <c r="DO75" i="18" s="1"/>
  <c r="DP75" i="18" s="1"/>
  <c r="DQ75" i="18" s="1"/>
  <c r="DR75" i="18" s="1"/>
  <c r="DS75" i="18" s="1"/>
  <c r="DT75" i="18" s="1"/>
  <c r="DU75" i="18" s="1"/>
  <c r="DV75" i="18" s="1"/>
  <c r="DW75" i="18" s="1"/>
  <c r="DX75" i="18" s="1"/>
  <c r="DY75" i="18" s="1"/>
  <c r="DZ75" i="18" s="1"/>
  <c r="EA75" i="18" s="1"/>
  <c r="EB75" i="18" s="1"/>
  <c r="EC75" i="18" s="1"/>
  <c r="ED75" i="18" s="1"/>
  <c r="EE75" i="18" s="1"/>
  <c r="EF75" i="18" s="1"/>
  <c r="EG75" i="18" s="1"/>
  <c r="EH75" i="18" s="1"/>
  <c r="EI75" i="18" s="1"/>
  <c r="K72" i="18"/>
  <c r="K131" i="16"/>
  <c r="L133" i="16" s="1"/>
  <c r="I134" i="16" s="1"/>
  <c r="N81" i="18"/>
  <c r="AC455" i="6"/>
  <c r="M446" i="6"/>
  <c r="AC446" i="6" s="1"/>
  <c r="M433" i="6"/>
  <c r="AC433" i="6" s="1"/>
  <c r="M439" i="6"/>
  <c r="AC439" i="6" s="1"/>
  <c r="M445" i="6"/>
  <c r="AC445" i="6" s="1"/>
  <c r="M434" i="6"/>
  <c r="AC434" i="6" s="1"/>
  <c r="M440" i="6"/>
  <c r="AC440" i="6" s="1"/>
  <c r="AC457" i="6"/>
  <c r="G363" i="10"/>
  <c r="M442" i="6"/>
  <c r="AC442" i="6" s="1"/>
  <c r="M436" i="6"/>
  <c r="AC436" i="6" s="1"/>
  <c r="M444" i="6"/>
  <c r="AC444" i="6" s="1"/>
  <c r="M435" i="6"/>
  <c r="M438" i="6"/>
  <c r="M441" i="6"/>
  <c r="M443" i="6"/>
  <c r="M449" i="6"/>
  <c r="AC449" i="6" s="1"/>
  <c r="M437" i="6"/>
  <c r="AC437" i="6" s="1"/>
  <c r="M447" i="6"/>
  <c r="AC447" i="6" s="1"/>
  <c r="M448" i="6"/>
  <c r="AC448" i="6" s="1"/>
  <c r="M450" i="6"/>
  <c r="AC450" i="6" s="1"/>
  <c r="N133" i="16" l="1"/>
  <c r="I135" i="16" s="1"/>
  <c r="I132" i="16" s="1"/>
  <c r="E309" i="18" s="1"/>
  <c r="J74" i="18"/>
  <c r="J73" i="18" s="1"/>
  <c r="J63" i="18" s="1"/>
  <c r="G32" i="14" s="1"/>
  <c r="G362" i="10"/>
  <c r="H362" i="10" s="1"/>
  <c r="H363" i="10"/>
  <c r="AC443" i="6"/>
  <c r="J71" i="18"/>
  <c r="J70" i="18" s="1"/>
  <c r="J10" i="18" s="1"/>
  <c r="J80" i="18"/>
  <c r="J79" i="18" s="1"/>
  <c r="J14" i="18" s="1"/>
  <c r="J77" i="18"/>
  <c r="M78" i="18"/>
  <c r="N78" i="18" s="1"/>
  <c r="L72" i="18"/>
  <c r="F75" i="18"/>
  <c r="E75" i="18" s="1"/>
  <c r="O81" i="18"/>
  <c r="G365" i="10"/>
  <c r="AC361" i="10"/>
  <c r="AD361" i="10" s="1"/>
  <c r="AC441" i="6"/>
  <c r="AC438" i="6"/>
  <c r="AC363" i="10"/>
  <c r="AD363" i="10" s="1"/>
  <c r="AC435" i="6"/>
  <c r="G353" i="10"/>
  <c r="K74" i="18" l="1"/>
  <c r="L74" i="18" s="1"/>
  <c r="L73" i="18" s="1"/>
  <c r="L63" i="18" s="1"/>
  <c r="I32" i="14" s="1"/>
  <c r="G352" i="10"/>
  <c r="H352" i="10" s="1"/>
  <c r="H353" i="10"/>
  <c r="AC365" i="10"/>
  <c r="AD365" i="10" s="1"/>
  <c r="H365" i="10"/>
  <c r="G351" i="10"/>
  <c r="AC362" i="10"/>
  <c r="AD362" i="10" s="1"/>
  <c r="K71" i="18"/>
  <c r="K70" i="18" s="1"/>
  <c r="K10" i="18" s="1"/>
  <c r="K80" i="18"/>
  <c r="L80" i="18" s="1"/>
  <c r="O78" i="18"/>
  <c r="M72" i="18"/>
  <c r="J76" i="18"/>
  <c r="J13" i="18" s="1"/>
  <c r="K77" i="18"/>
  <c r="P81" i="18"/>
  <c r="G364" i="10"/>
  <c r="H364" i="10" s="1"/>
  <c r="G355" i="10"/>
  <c r="AC367" i="10"/>
  <c r="AD367" i="10" s="1"/>
  <c r="AC353" i="10"/>
  <c r="AD353" i="10" s="1"/>
  <c r="K73" i="18" l="1"/>
  <c r="K63" i="18" s="1"/>
  <c r="H32" i="14" s="1"/>
  <c r="AC355" i="10"/>
  <c r="AD355" i="10" s="1"/>
  <c r="H355" i="10"/>
  <c r="H351" i="10"/>
  <c r="G109" i="10"/>
  <c r="AC352" i="10"/>
  <c r="AD352" i="10" s="1"/>
  <c r="AC366" i="10"/>
  <c r="AD366" i="10" s="1"/>
  <c r="L71" i="18"/>
  <c r="L70" i="18" s="1"/>
  <c r="L10" i="18" s="1"/>
  <c r="K79" i="18"/>
  <c r="K14" i="18" s="1"/>
  <c r="L77" i="18"/>
  <c r="M77" i="18" s="1"/>
  <c r="M76" i="18" s="1"/>
  <c r="M13" i="18" s="1"/>
  <c r="K76" i="18"/>
  <c r="K13" i="18" s="1"/>
  <c r="P78" i="18"/>
  <c r="Q78" i="18" s="1"/>
  <c r="R78" i="18" s="1"/>
  <c r="N72" i="18"/>
  <c r="Q81" i="18"/>
  <c r="M74" i="18"/>
  <c r="L79" i="18"/>
  <c r="L14" i="18" s="1"/>
  <c r="M80" i="18"/>
  <c r="AC364" i="10"/>
  <c r="AD364" i="10" s="1"/>
  <c r="G354" i="10"/>
  <c r="H354" i="10" s="1"/>
  <c r="G5" i="10" l="1"/>
  <c r="H5" i="10" s="1"/>
  <c r="H109" i="10"/>
  <c r="AC351" i="10"/>
  <c r="AD351" i="10" s="1"/>
  <c r="M71" i="18"/>
  <c r="M70" i="18" s="1"/>
  <c r="M10" i="18" s="1"/>
  <c r="N77" i="18"/>
  <c r="N76" i="18" s="1"/>
  <c r="N13" i="18" s="1"/>
  <c r="O72" i="18"/>
  <c r="S78" i="18"/>
  <c r="T78" i="18" s="1"/>
  <c r="U78" i="18" s="1"/>
  <c r="V78" i="18" s="1"/>
  <c r="W78" i="18" s="1"/>
  <c r="X78" i="18" s="1"/>
  <c r="Y78" i="18" s="1"/>
  <c r="Z78" i="18" s="1"/>
  <c r="AA78" i="18" s="1"/>
  <c r="AB78" i="18" s="1"/>
  <c r="AC78" i="18" s="1"/>
  <c r="AD78" i="18" s="1"/>
  <c r="AE78" i="18" s="1"/>
  <c r="AF78" i="18" s="1"/>
  <c r="AG78" i="18" s="1"/>
  <c r="AH78" i="18" s="1"/>
  <c r="AI78" i="18" s="1"/>
  <c r="AJ78" i="18" s="1"/>
  <c r="AK78" i="18" s="1"/>
  <c r="AL78" i="18" s="1"/>
  <c r="AM78" i="18" s="1"/>
  <c r="AN78" i="18" s="1"/>
  <c r="AO78" i="18" s="1"/>
  <c r="AP78" i="18" s="1"/>
  <c r="AQ78" i="18" s="1"/>
  <c r="AR78" i="18" s="1"/>
  <c r="AS78" i="18" s="1"/>
  <c r="AT78" i="18" s="1"/>
  <c r="AU78" i="18" s="1"/>
  <c r="AV78" i="18" s="1"/>
  <c r="AW78" i="18" s="1"/>
  <c r="AX78" i="18" s="1"/>
  <c r="AY78" i="18" s="1"/>
  <c r="AZ78" i="18" s="1"/>
  <c r="BA78" i="18" s="1"/>
  <c r="BB78" i="18" s="1"/>
  <c r="BC78" i="18" s="1"/>
  <c r="BD78" i="18" s="1"/>
  <c r="BE78" i="18" s="1"/>
  <c r="BF78" i="18" s="1"/>
  <c r="BG78" i="18" s="1"/>
  <c r="BH78" i="18" s="1"/>
  <c r="BI78" i="18" s="1"/>
  <c r="BJ78" i="18" s="1"/>
  <c r="BK78" i="18" s="1"/>
  <c r="BL78" i="18" s="1"/>
  <c r="BM78" i="18" s="1"/>
  <c r="BN78" i="18" s="1"/>
  <c r="BO78" i="18" s="1"/>
  <c r="BP78" i="18" s="1"/>
  <c r="BQ78" i="18" s="1"/>
  <c r="BR78" i="18" s="1"/>
  <c r="BS78" i="18" s="1"/>
  <c r="BT78" i="18" s="1"/>
  <c r="BU78" i="18" s="1"/>
  <c r="BV78" i="18" s="1"/>
  <c r="BW78" i="18" s="1"/>
  <c r="BX78" i="18" s="1"/>
  <c r="BY78" i="18" s="1"/>
  <c r="BZ78" i="18" s="1"/>
  <c r="CA78" i="18" s="1"/>
  <c r="CB78" i="18" s="1"/>
  <c r="CC78" i="18" s="1"/>
  <c r="CD78" i="18" s="1"/>
  <c r="CE78" i="18" s="1"/>
  <c r="CF78" i="18" s="1"/>
  <c r="CG78" i="18" s="1"/>
  <c r="CH78" i="18" s="1"/>
  <c r="CI78" i="18" s="1"/>
  <c r="CJ78" i="18" s="1"/>
  <c r="CK78" i="18" s="1"/>
  <c r="CL78" i="18" s="1"/>
  <c r="CM78" i="18" s="1"/>
  <c r="CN78" i="18" s="1"/>
  <c r="CO78" i="18" s="1"/>
  <c r="CP78" i="18" s="1"/>
  <c r="CQ78" i="18" s="1"/>
  <c r="CR78" i="18" s="1"/>
  <c r="CS78" i="18" s="1"/>
  <c r="CT78" i="18" s="1"/>
  <c r="CU78" i="18" s="1"/>
  <c r="CV78" i="18" s="1"/>
  <c r="CW78" i="18" s="1"/>
  <c r="CX78" i="18" s="1"/>
  <c r="CY78" i="18" s="1"/>
  <c r="CZ78" i="18" s="1"/>
  <c r="DA78" i="18" s="1"/>
  <c r="DB78" i="18" s="1"/>
  <c r="DC78" i="18" s="1"/>
  <c r="DD78" i="18" s="1"/>
  <c r="DE78" i="18" s="1"/>
  <c r="DF78" i="18" s="1"/>
  <c r="DG78" i="18" s="1"/>
  <c r="DH78" i="18" s="1"/>
  <c r="DI78" i="18" s="1"/>
  <c r="DJ78" i="18" s="1"/>
  <c r="DK78" i="18" s="1"/>
  <c r="DL78" i="18" s="1"/>
  <c r="DM78" i="18" s="1"/>
  <c r="DN78" i="18" s="1"/>
  <c r="DO78" i="18" s="1"/>
  <c r="DP78" i="18" s="1"/>
  <c r="DQ78" i="18" s="1"/>
  <c r="DR78" i="18" s="1"/>
  <c r="DS78" i="18" s="1"/>
  <c r="DT78" i="18" s="1"/>
  <c r="DU78" i="18" s="1"/>
  <c r="DV78" i="18" s="1"/>
  <c r="DW78" i="18" s="1"/>
  <c r="DX78" i="18" s="1"/>
  <c r="DY78" i="18" s="1"/>
  <c r="DZ78" i="18" s="1"/>
  <c r="EA78" i="18" s="1"/>
  <c r="EB78" i="18" s="1"/>
  <c r="EC78" i="18" s="1"/>
  <c r="ED78" i="18" s="1"/>
  <c r="EE78" i="18" s="1"/>
  <c r="EF78" i="18" s="1"/>
  <c r="EG78" i="18" s="1"/>
  <c r="EH78" i="18" s="1"/>
  <c r="EI78" i="18" s="1"/>
  <c r="F78" i="18" s="1"/>
  <c r="E78" i="18" s="1"/>
  <c r="L76" i="18"/>
  <c r="L13" i="18" s="1"/>
  <c r="R81" i="18"/>
  <c r="S81" i="18" s="1"/>
  <c r="T81" i="18" s="1"/>
  <c r="U81" i="18" s="1"/>
  <c r="N80" i="18"/>
  <c r="O80" i="18" s="1"/>
  <c r="O79" i="18" s="1"/>
  <c r="O14" i="18" s="1"/>
  <c r="M79" i="18"/>
  <c r="M14" i="18" s="1"/>
  <c r="N74" i="18"/>
  <c r="M73" i="18"/>
  <c r="M63" i="18" s="1"/>
  <c r="J32" i="14" s="1"/>
  <c r="AC354" i="10"/>
  <c r="AD354" i="10" s="1"/>
  <c r="F36" i="18" l="1"/>
  <c r="N71" i="18"/>
  <c r="N70" i="18" s="1"/>
  <c r="N10" i="18" s="1"/>
  <c r="O77" i="18"/>
  <c r="P77" i="18" s="1"/>
  <c r="P72" i="18"/>
  <c r="Q72" i="18" s="1"/>
  <c r="V81" i="18"/>
  <c r="W81" i="18" s="1"/>
  <c r="X81" i="18" s="1"/>
  <c r="Y81" i="18" s="1"/>
  <c r="Z81" i="18" s="1"/>
  <c r="AA81" i="18" s="1"/>
  <c r="AB81" i="18" s="1"/>
  <c r="AC81" i="18" s="1"/>
  <c r="AD81" i="18" s="1"/>
  <c r="AE81" i="18" s="1"/>
  <c r="AF81" i="18" s="1"/>
  <c r="AG81" i="18" s="1"/>
  <c r="AH81" i="18" s="1"/>
  <c r="AI81" i="18" s="1"/>
  <c r="AJ81" i="18" s="1"/>
  <c r="AK81" i="18" s="1"/>
  <c r="AL81" i="18" s="1"/>
  <c r="AM81" i="18" s="1"/>
  <c r="AN81" i="18" s="1"/>
  <c r="AO81" i="18" s="1"/>
  <c r="AP81" i="18" s="1"/>
  <c r="AQ81" i="18" s="1"/>
  <c r="AR81" i="18" s="1"/>
  <c r="AS81" i="18" s="1"/>
  <c r="AT81" i="18" s="1"/>
  <c r="AU81" i="18" s="1"/>
  <c r="AV81" i="18" s="1"/>
  <c r="AW81" i="18" s="1"/>
  <c r="AX81" i="18" s="1"/>
  <c r="AY81" i="18" s="1"/>
  <c r="AZ81" i="18" s="1"/>
  <c r="BA81" i="18" s="1"/>
  <c r="BB81" i="18" s="1"/>
  <c r="BC81" i="18" s="1"/>
  <c r="BD81" i="18" s="1"/>
  <c r="BE81" i="18" s="1"/>
  <c r="BF81" i="18" s="1"/>
  <c r="BG81" i="18" s="1"/>
  <c r="BH81" i="18" s="1"/>
  <c r="BI81" i="18" s="1"/>
  <c r="BJ81" i="18" s="1"/>
  <c r="BK81" i="18" s="1"/>
  <c r="BL81" i="18" s="1"/>
  <c r="BM81" i="18" s="1"/>
  <c r="BN81" i="18" s="1"/>
  <c r="BO81" i="18" s="1"/>
  <c r="BP81" i="18" s="1"/>
  <c r="BQ81" i="18" s="1"/>
  <c r="BR81" i="18" s="1"/>
  <c r="BS81" i="18" s="1"/>
  <c r="BT81" i="18" s="1"/>
  <c r="BU81" i="18" s="1"/>
  <c r="BV81" i="18" s="1"/>
  <c r="BW81" i="18" s="1"/>
  <c r="BX81" i="18" s="1"/>
  <c r="BY81" i="18" s="1"/>
  <c r="BZ81" i="18" s="1"/>
  <c r="CA81" i="18" s="1"/>
  <c r="CB81" i="18" s="1"/>
  <c r="CC81" i="18" s="1"/>
  <c r="CD81" i="18" s="1"/>
  <c r="CE81" i="18" s="1"/>
  <c r="CF81" i="18" s="1"/>
  <c r="CG81" i="18" s="1"/>
  <c r="CH81" i="18" s="1"/>
  <c r="CI81" i="18" s="1"/>
  <c r="CJ81" i="18" s="1"/>
  <c r="CK81" i="18" s="1"/>
  <c r="CL81" i="18" s="1"/>
  <c r="CM81" i="18" s="1"/>
  <c r="CN81" i="18" s="1"/>
  <c r="CO81" i="18" s="1"/>
  <c r="CP81" i="18" s="1"/>
  <c r="CQ81" i="18" s="1"/>
  <c r="CR81" i="18" s="1"/>
  <c r="CS81" i="18" s="1"/>
  <c r="CT81" i="18" s="1"/>
  <c r="CU81" i="18" s="1"/>
  <c r="CV81" i="18" s="1"/>
  <c r="CW81" i="18" s="1"/>
  <c r="CX81" i="18" s="1"/>
  <c r="CY81" i="18" s="1"/>
  <c r="CZ81" i="18" s="1"/>
  <c r="DA81" i="18" s="1"/>
  <c r="DB81" i="18" s="1"/>
  <c r="DC81" i="18" s="1"/>
  <c r="DD81" i="18" s="1"/>
  <c r="DE81" i="18" s="1"/>
  <c r="DF81" i="18" s="1"/>
  <c r="DG81" i="18" s="1"/>
  <c r="DH81" i="18" s="1"/>
  <c r="DI81" i="18" s="1"/>
  <c r="DJ81" i="18" s="1"/>
  <c r="DK81" i="18" s="1"/>
  <c r="DL81" i="18" s="1"/>
  <c r="DM81" i="18" s="1"/>
  <c r="DN81" i="18" s="1"/>
  <c r="DO81" i="18" s="1"/>
  <c r="DP81" i="18" s="1"/>
  <c r="DQ81" i="18" s="1"/>
  <c r="DR81" i="18" s="1"/>
  <c r="DS81" i="18" s="1"/>
  <c r="DT81" i="18" s="1"/>
  <c r="DU81" i="18" s="1"/>
  <c r="DV81" i="18" s="1"/>
  <c r="DW81" i="18" s="1"/>
  <c r="DX81" i="18" s="1"/>
  <c r="DY81" i="18" s="1"/>
  <c r="DZ81" i="18" s="1"/>
  <c r="EA81" i="18" s="1"/>
  <c r="EB81" i="18" s="1"/>
  <c r="EC81" i="18" s="1"/>
  <c r="ED81" i="18" s="1"/>
  <c r="EE81" i="18" s="1"/>
  <c r="EF81" i="18" s="1"/>
  <c r="EG81" i="18" s="1"/>
  <c r="EH81" i="18" s="1"/>
  <c r="EI81" i="18" s="1"/>
  <c r="F81" i="18" s="1"/>
  <c r="E81" i="18" s="1"/>
  <c r="P80" i="18"/>
  <c r="N79" i="18"/>
  <c r="N14" i="18" s="1"/>
  <c r="N73" i="18"/>
  <c r="N63" i="18" s="1"/>
  <c r="K32" i="14" s="1"/>
  <c r="O74" i="18"/>
  <c r="EJ36" i="18" l="1"/>
  <c r="EG22" i="14" s="1"/>
  <c r="G36" i="18"/>
  <c r="O71" i="18"/>
  <c r="O76" i="18"/>
  <c r="O13" i="18" s="1"/>
  <c r="Q77" i="18"/>
  <c r="Q76" i="18" s="1"/>
  <c r="Q13" i="18" s="1"/>
  <c r="R72" i="18"/>
  <c r="P76" i="18"/>
  <c r="P13" i="18" s="1"/>
  <c r="O73" i="18"/>
  <c r="O63" i="18" s="1"/>
  <c r="L32" i="14" s="1"/>
  <c r="P74" i="18"/>
  <c r="P79" i="18"/>
  <c r="P14" i="18" s="1"/>
  <c r="Q80" i="18"/>
  <c r="D22" i="14" l="1"/>
  <c r="P71" i="18"/>
  <c r="O70" i="18"/>
  <c r="O10" i="18" s="1"/>
  <c r="R77" i="18"/>
  <c r="R76" i="18" s="1"/>
  <c r="R13" i="18" s="1"/>
  <c r="S72" i="18"/>
  <c r="Q74" i="18"/>
  <c r="P73" i="18"/>
  <c r="P63" i="18" s="1"/>
  <c r="M32" i="14" s="1"/>
  <c r="R80" i="18"/>
  <c r="Q79" i="18"/>
  <c r="Q14" i="18" s="1"/>
  <c r="Q71" i="18" l="1"/>
  <c r="P70" i="18"/>
  <c r="P10" i="18" s="1"/>
  <c r="S77" i="18"/>
  <c r="T77" i="18" s="1"/>
  <c r="T72" i="18"/>
  <c r="U72" i="18" s="1"/>
  <c r="R79" i="18"/>
  <c r="R14" i="18" s="1"/>
  <c r="S80" i="18"/>
  <c r="Q73" i="18"/>
  <c r="Q63" i="18" s="1"/>
  <c r="N32" i="14" s="1"/>
  <c r="R74" i="18"/>
  <c r="O257" i="18"/>
  <c r="R71" i="18" l="1"/>
  <c r="Q70" i="18"/>
  <c r="Q10" i="18" s="1"/>
  <c r="S76" i="18"/>
  <c r="S13" i="18" s="1"/>
  <c r="V72" i="18"/>
  <c r="U77" i="18"/>
  <c r="T76" i="18"/>
  <c r="T13" i="18" s="1"/>
  <c r="S79" i="18"/>
  <c r="S14" i="18" s="1"/>
  <c r="T80" i="18"/>
  <c r="S74" i="18"/>
  <c r="R73" i="18"/>
  <c r="R63" i="18" s="1"/>
  <c r="O32" i="14" s="1"/>
  <c r="S418" i="18"/>
  <c r="S413" i="18"/>
  <c r="S71" i="18" l="1"/>
  <c r="R70" i="18"/>
  <c r="R10" i="18" s="1"/>
  <c r="W72" i="18"/>
  <c r="U76" i="18"/>
  <c r="U13" i="18" s="1"/>
  <c r="V77" i="18"/>
  <c r="V76" i="18" s="1"/>
  <c r="V13" i="18" s="1"/>
  <c r="T79" i="18"/>
  <c r="T14" i="18" s="1"/>
  <c r="U80" i="18"/>
  <c r="T74" i="18"/>
  <c r="S73" i="18"/>
  <c r="S63" i="18" s="1"/>
  <c r="P32" i="14" s="1"/>
  <c r="T418" i="18"/>
  <c r="T419" i="18" s="1"/>
  <c r="T413" i="18"/>
  <c r="T414" i="18" s="1"/>
  <c r="T71" i="18" l="1"/>
  <c r="S70" i="18"/>
  <c r="S10" i="18" s="1"/>
  <c r="X72" i="18"/>
  <c r="W77" i="18"/>
  <c r="U79" i="18"/>
  <c r="U14" i="18" s="1"/>
  <c r="V80" i="18"/>
  <c r="U74" i="18"/>
  <c r="T73" i="18"/>
  <c r="T63" i="18" s="1"/>
  <c r="Q32" i="14" s="1"/>
  <c r="U71" i="18" l="1"/>
  <c r="T70" i="18"/>
  <c r="T10" i="18" s="1"/>
  <c r="Y72" i="18"/>
  <c r="X77" i="18"/>
  <c r="W76" i="18"/>
  <c r="W13" i="18" s="1"/>
  <c r="V79" i="18"/>
  <c r="V14" i="18" s="1"/>
  <c r="W80" i="18"/>
  <c r="V74" i="18"/>
  <c r="U73" i="18"/>
  <c r="U63" i="18" s="1"/>
  <c r="R32" i="14" s="1"/>
  <c r="V71" i="18" l="1"/>
  <c r="U70" i="18"/>
  <c r="U10" i="18" s="1"/>
  <c r="Z72" i="18"/>
  <c r="Y77" i="18"/>
  <c r="X76" i="18"/>
  <c r="X13" i="18" s="1"/>
  <c r="W79" i="18"/>
  <c r="W14" i="18" s="1"/>
  <c r="X80" i="18"/>
  <c r="V73" i="18"/>
  <c r="V63" i="18" s="1"/>
  <c r="S32" i="14" s="1"/>
  <c r="W74" i="18"/>
  <c r="W71" i="18" l="1"/>
  <c r="V70" i="18"/>
  <c r="V10" i="18" s="1"/>
  <c r="AA72" i="18"/>
  <c r="Z77" i="18"/>
  <c r="Y76" i="18"/>
  <c r="Y13" i="18" s="1"/>
  <c r="X79" i="18"/>
  <c r="X14" i="18" s="1"/>
  <c r="Y80" i="18"/>
  <c r="X74" i="18"/>
  <c r="W73" i="18"/>
  <c r="W63" i="18" s="1"/>
  <c r="T32" i="14" s="1"/>
  <c r="X71" i="18" l="1"/>
  <c r="W70" i="18"/>
  <c r="W10" i="18" s="1"/>
  <c r="AB72" i="18"/>
  <c r="AA77" i="18"/>
  <c r="Z76" i="18"/>
  <c r="Z13" i="18" s="1"/>
  <c r="Z80" i="18"/>
  <c r="Y79" i="18"/>
  <c r="Y14" i="18" s="1"/>
  <c r="Y74" i="18"/>
  <c r="X73" i="18"/>
  <c r="X63" i="18" s="1"/>
  <c r="U32" i="14" s="1"/>
  <c r="Y71" i="18" l="1"/>
  <c r="X70" i="18"/>
  <c r="X10" i="18" s="1"/>
  <c r="AC72" i="18"/>
  <c r="AB77" i="18"/>
  <c r="AA76" i="18"/>
  <c r="AA13" i="18" s="1"/>
  <c r="Z74" i="18"/>
  <c r="Y73" i="18"/>
  <c r="Y63" i="18" s="1"/>
  <c r="V32" i="14" s="1"/>
  <c r="AA80" i="18"/>
  <c r="Z79" i="18"/>
  <c r="Z14" i="18" s="1"/>
  <c r="S414" i="18"/>
  <c r="S419" i="18"/>
  <c r="X210" i="18"/>
  <c r="V209" i="18" s="1"/>
  <c r="V208" i="18" s="1"/>
  <c r="V56" i="18" s="1"/>
  <c r="AY210" i="18"/>
  <c r="BK210" i="18"/>
  <c r="BL210" i="18"/>
  <c r="BM210" i="18"/>
  <c r="BN210" i="18"/>
  <c r="BO210" i="18"/>
  <c r="BP210" i="18"/>
  <c r="BQ210" i="18"/>
  <c r="BR210" i="18"/>
  <c r="BS210" i="18"/>
  <c r="BT210" i="18"/>
  <c r="BU210" i="18"/>
  <c r="BV210" i="18"/>
  <c r="BW210" i="18"/>
  <c r="BX210" i="18"/>
  <c r="BY210" i="18"/>
  <c r="BZ210" i="18"/>
  <c r="CA210" i="18"/>
  <c r="CB210" i="18"/>
  <c r="CC210" i="18"/>
  <c r="CD210" i="18"/>
  <c r="CE210" i="18"/>
  <c r="CF210" i="18"/>
  <c r="CG210" i="18"/>
  <c r="CH210" i="18"/>
  <c r="CI210" i="18"/>
  <c r="CJ210" i="18"/>
  <c r="CK210" i="18"/>
  <c r="CL210" i="18"/>
  <c r="CM210" i="18"/>
  <c r="CN210" i="18"/>
  <c r="CO210" i="18"/>
  <c r="CP210" i="18"/>
  <c r="CQ210" i="18"/>
  <c r="CR210" i="18"/>
  <c r="CS210" i="18"/>
  <c r="CT210" i="18"/>
  <c r="CU210" i="18"/>
  <c r="CV210" i="18"/>
  <c r="CW210" i="18"/>
  <c r="CX210" i="18"/>
  <c r="CY210" i="18"/>
  <c r="CZ210" i="18"/>
  <c r="DA210" i="18"/>
  <c r="DB210" i="18"/>
  <c r="DC210" i="18"/>
  <c r="DD210" i="18"/>
  <c r="DE210" i="18"/>
  <c r="DF210" i="18"/>
  <c r="DG210" i="18"/>
  <c r="DH210" i="18"/>
  <c r="DI210" i="18"/>
  <c r="DJ210" i="18"/>
  <c r="DK210" i="18"/>
  <c r="DL210" i="18"/>
  <c r="DM210" i="18"/>
  <c r="DN210" i="18"/>
  <c r="DO210" i="18"/>
  <c r="DP210" i="18"/>
  <c r="DQ210" i="18"/>
  <c r="DR210" i="18"/>
  <c r="DS210" i="18"/>
  <c r="DT210" i="18"/>
  <c r="DU210" i="18"/>
  <c r="DV210" i="18"/>
  <c r="DW210" i="18"/>
  <c r="DX210" i="18"/>
  <c r="DY210" i="18"/>
  <c r="DZ210" i="18"/>
  <c r="EA210" i="18"/>
  <c r="EB210" i="18"/>
  <c r="EC210" i="18"/>
  <c r="ED210" i="18"/>
  <c r="EE210" i="18"/>
  <c r="EF210" i="18"/>
  <c r="EG210" i="18"/>
  <c r="EH210" i="18"/>
  <c r="EI210" i="18"/>
  <c r="H390" i="18"/>
  <c r="H392" i="18" s="1"/>
  <c r="Z71" i="18" l="1"/>
  <c r="Y70" i="18"/>
  <c r="Y10" i="18" s="1"/>
  <c r="AD72" i="18"/>
  <c r="AB76" i="18"/>
  <c r="AB13" i="18" s="1"/>
  <c r="AC77" i="18"/>
  <c r="AB80" i="18"/>
  <c r="AA79" i="18"/>
  <c r="AA14" i="18" s="1"/>
  <c r="AA74" i="18"/>
  <c r="Z73" i="18"/>
  <c r="Z63" i="18" s="1"/>
  <c r="W32" i="14" s="1"/>
  <c r="F210" i="18"/>
  <c r="E210" i="18" s="1"/>
  <c r="I390" i="18"/>
  <c r="I393" i="18" s="1"/>
  <c r="H393" i="18"/>
  <c r="W209" i="18"/>
  <c r="AA71" i="18" l="1"/>
  <c r="Z70" i="18"/>
  <c r="Z10" i="18" s="1"/>
  <c r="AE72" i="18"/>
  <c r="AD77" i="18"/>
  <c r="AC76" i="18"/>
  <c r="AC13" i="18" s="1"/>
  <c r="AB74" i="18"/>
  <c r="AA73" i="18"/>
  <c r="AA63" i="18" s="1"/>
  <c r="X32" i="14" s="1"/>
  <c r="AC80" i="18"/>
  <c r="AB79" i="18"/>
  <c r="AB14" i="18" s="1"/>
  <c r="J390" i="18"/>
  <c r="J393" i="18" s="1"/>
  <c r="I392" i="18"/>
  <c r="W208" i="18"/>
  <c r="W56" i="18" s="1"/>
  <c r="X209" i="18"/>
  <c r="X208" i="18" s="1"/>
  <c r="X56" i="18" s="1"/>
  <c r="AB71" i="18" l="1"/>
  <c r="AA70" i="18"/>
  <c r="AA10" i="18" s="1"/>
  <c r="AF72" i="18"/>
  <c r="AE77" i="18"/>
  <c r="AD76" i="18"/>
  <c r="AD13" i="18" s="1"/>
  <c r="AD80" i="18"/>
  <c r="AC79" i="18"/>
  <c r="AC14" i="18" s="1"/>
  <c r="AC74" i="18"/>
  <c r="AB73" i="18"/>
  <c r="AB63" i="18" s="1"/>
  <c r="Y32" i="14" s="1"/>
  <c r="J392" i="18"/>
  <c r="K390" i="18"/>
  <c r="K393" i="18" s="1"/>
  <c r="Y209" i="18"/>
  <c r="Y208" i="18" s="1"/>
  <c r="Y56" i="18" s="1"/>
  <c r="AC71" i="18" l="1"/>
  <c r="AB70" i="18"/>
  <c r="AB10" i="18" s="1"/>
  <c r="AG72" i="18"/>
  <c r="AF77" i="18"/>
  <c r="AE76" i="18"/>
  <c r="AE13" i="18" s="1"/>
  <c r="AD74" i="18"/>
  <c r="AC73" i="18"/>
  <c r="AC63" i="18" s="1"/>
  <c r="Z32" i="14" s="1"/>
  <c r="AE80" i="18"/>
  <c r="AD79" i="18"/>
  <c r="AD14" i="18" s="1"/>
  <c r="K392" i="18"/>
  <c r="L390" i="18"/>
  <c r="M390" i="18" s="1"/>
  <c r="Z209" i="18"/>
  <c r="AA209" i="18" s="1"/>
  <c r="AB209" i="18" s="1"/>
  <c r="AB208" i="18" s="1"/>
  <c r="AB56" i="18" s="1"/>
  <c r="AD71" i="18" l="1"/>
  <c r="AC70" i="18"/>
  <c r="AC10" i="18" s="1"/>
  <c r="AH72" i="18"/>
  <c r="AG77" i="18"/>
  <c r="AF76" i="18"/>
  <c r="AF13" i="18" s="1"/>
  <c r="AF80" i="18"/>
  <c r="AE79" i="18"/>
  <c r="AE14" i="18" s="1"/>
  <c r="AE74" i="18"/>
  <c r="AD73" i="18"/>
  <c r="AD63" i="18" s="1"/>
  <c r="AA32" i="14" s="1"/>
  <c r="L393" i="18"/>
  <c r="L392" i="18"/>
  <c r="M392" i="18" s="1"/>
  <c r="Z208" i="18"/>
  <c r="Z56" i="18" s="1"/>
  <c r="M393" i="18"/>
  <c r="N390" i="18"/>
  <c r="AA208" i="18"/>
  <c r="AA56" i="18" s="1"/>
  <c r="AC209" i="18"/>
  <c r="AE71" i="18" l="1"/>
  <c r="AD70" i="18"/>
  <c r="AD10" i="18" s="1"/>
  <c r="AI72" i="18"/>
  <c r="AH77" i="18"/>
  <c r="AG76" i="18"/>
  <c r="AG13" i="18" s="1"/>
  <c r="AF74" i="18"/>
  <c r="AE73" i="18"/>
  <c r="AE63" i="18" s="1"/>
  <c r="AB32" i="14" s="1"/>
  <c r="AG80" i="18"/>
  <c r="AF79" i="18"/>
  <c r="AF14" i="18" s="1"/>
  <c r="N392" i="18"/>
  <c r="AD209" i="18"/>
  <c r="AD208" i="18" s="1"/>
  <c r="AD56" i="18" s="1"/>
  <c r="N393" i="18"/>
  <c r="O390" i="18"/>
  <c r="AC208" i="18"/>
  <c r="AC56" i="18" s="1"/>
  <c r="AF71" i="18" l="1"/>
  <c r="AE70" i="18"/>
  <c r="AE10" i="18" s="1"/>
  <c r="AJ72" i="18"/>
  <c r="AI77" i="18"/>
  <c r="AH76" i="18"/>
  <c r="AH13" i="18" s="1"/>
  <c r="AH80" i="18"/>
  <c r="AG79" i="18"/>
  <c r="AG14" i="18" s="1"/>
  <c r="AG74" i="18"/>
  <c r="AF73" i="18"/>
  <c r="AF63" i="18" s="1"/>
  <c r="AC32" i="14" s="1"/>
  <c r="AE209" i="18"/>
  <c r="O393" i="18"/>
  <c r="P390" i="18"/>
  <c r="O392" i="18"/>
  <c r="AG71" i="18" l="1"/>
  <c r="AF70" i="18"/>
  <c r="AF10" i="18" s="1"/>
  <c r="AK72" i="18"/>
  <c r="AJ77" i="18"/>
  <c r="AI76" i="18"/>
  <c r="AI13" i="18" s="1"/>
  <c r="AH74" i="18"/>
  <c r="AG73" i="18"/>
  <c r="AG63" i="18" s="1"/>
  <c r="AD32" i="14" s="1"/>
  <c r="AI80" i="18"/>
  <c r="AH79" i="18"/>
  <c r="AH14" i="18" s="1"/>
  <c r="AE208" i="18"/>
  <c r="AE56" i="18" s="1"/>
  <c r="AF209" i="18"/>
  <c r="P392" i="18"/>
  <c r="P393" i="18"/>
  <c r="Q390" i="18"/>
  <c r="Q393" i="18" s="1"/>
  <c r="AH71" i="18" l="1"/>
  <c r="AG70" i="18"/>
  <c r="AG10" i="18" s="1"/>
  <c r="AL72" i="18"/>
  <c r="AK77" i="18"/>
  <c r="AK76" i="18" s="1"/>
  <c r="AK13" i="18" s="1"/>
  <c r="AJ76" i="18"/>
  <c r="AJ13" i="18" s="1"/>
  <c r="AJ80" i="18"/>
  <c r="AI79" i="18"/>
  <c r="AI14" i="18" s="1"/>
  <c r="AI74" i="18"/>
  <c r="AH73" i="18"/>
  <c r="AH63" i="18" s="1"/>
  <c r="AE32" i="14" s="1"/>
  <c r="R390" i="18"/>
  <c r="R393" i="18" s="1"/>
  <c r="Q392" i="18"/>
  <c r="AF208" i="18"/>
  <c r="AF56" i="18" s="1"/>
  <c r="AG209" i="18"/>
  <c r="AH209" i="18" s="1"/>
  <c r="AH208" i="18" s="1"/>
  <c r="AH56" i="18" s="1"/>
  <c r="AI71" i="18" l="1"/>
  <c r="AH70" i="18"/>
  <c r="AH10" i="18" s="1"/>
  <c r="AM72" i="18"/>
  <c r="AL77" i="18"/>
  <c r="AL76" i="18" s="1"/>
  <c r="AL13" i="18" s="1"/>
  <c r="AJ74" i="18"/>
  <c r="AI73" i="18"/>
  <c r="AI63" i="18" s="1"/>
  <c r="AF32" i="14" s="1"/>
  <c r="AK80" i="18"/>
  <c r="AJ79" i="18"/>
  <c r="AJ14" i="18" s="1"/>
  <c r="R392" i="18"/>
  <c r="S390" i="18"/>
  <c r="T390" i="18" s="1"/>
  <c r="T393" i="18" s="1"/>
  <c r="AG208" i="18"/>
  <c r="AG56" i="18" s="1"/>
  <c r="AI209" i="18"/>
  <c r="AI208" i="18" s="1"/>
  <c r="AI56" i="18" s="1"/>
  <c r="AJ71" i="18" l="1"/>
  <c r="AI70" i="18"/>
  <c r="AI10" i="18" s="1"/>
  <c r="AN72" i="18"/>
  <c r="AM77" i="18"/>
  <c r="AN77" i="18" s="1"/>
  <c r="AN76" i="18" s="1"/>
  <c r="AN13" i="18" s="1"/>
  <c r="AL80" i="18"/>
  <c r="AK79" i="18"/>
  <c r="AK14" i="18" s="1"/>
  <c r="AK74" i="18"/>
  <c r="AJ73" i="18"/>
  <c r="AJ63" i="18" s="1"/>
  <c r="AG32" i="14" s="1"/>
  <c r="S392" i="18"/>
  <c r="T392" i="18" s="1"/>
  <c r="S393" i="18"/>
  <c r="U390" i="18"/>
  <c r="U393" i="18" s="1"/>
  <c r="AJ209" i="18"/>
  <c r="AK71" i="18" l="1"/>
  <c r="AJ70" i="18"/>
  <c r="AJ10" i="18" s="1"/>
  <c r="AO72" i="18"/>
  <c r="AO77" i="18"/>
  <c r="AP77" i="18" s="1"/>
  <c r="AM76" i="18"/>
  <c r="AM13" i="18" s="1"/>
  <c r="AL74" i="18"/>
  <c r="AK73" i="18"/>
  <c r="AK63" i="18" s="1"/>
  <c r="AH32" i="14" s="1"/>
  <c r="AM80" i="18"/>
  <c r="AL79" i="18"/>
  <c r="AL14" i="18" s="1"/>
  <c r="U392" i="18"/>
  <c r="V390" i="18"/>
  <c r="AK209" i="18"/>
  <c r="AJ208" i="18"/>
  <c r="AJ56" i="18" s="1"/>
  <c r="AL71" i="18" l="1"/>
  <c r="AK70" i="18"/>
  <c r="AK10" i="18" s="1"/>
  <c r="AP72" i="18"/>
  <c r="AO76" i="18"/>
  <c r="AO13" i="18" s="1"/>
  <c r="AN80" i="18"/>
  <c r="AM79" i="18"/>
  <c r="AM14" i="18" s="1"/>
  <c r="AM74" i="18"/>
  <c r="AL73" i="18"/>
  <c r="AL63" i="18" s="1"/>
  <c r="AI32" i="14" s="1"/>
  <c r="AQ77" i="18"/>
  <c r="AP76" i="18"/>
  <c r="AP13" i="18" s="1"/>
  <c r="V392" i="18"/>
  <c r="W390" i="18"/>
  <c r="V393" i="18"/>
  <c r="AL209" i="18"/>
  <c r="AK208" i="18"/>
  <c r="AK56" i="18" s="1"/>
  <c r="AM71" i="18" l="1"/>
  <c r="AL70" i="18"/>
  <c r="AL10" i="18" s="1"/>
  <c r="AQ72" i="18"/>
  <c r="AN74" i="18"/>
  <c r="AM73" i="18"/>
  <c r="AM63" i="18" s="1"/>
  <c r="AJ32" i="14" s="1"/>
  <c r="AR77" i="18"/>
  <c r="AQ76" i="18"/>
  <c r="AQ13" i="18" s="1"/>
  <c r="AO80" i="18"/>
  <c r="AN79" i="18"/>
  <c r="AN14" i="18" s="1"/>
  <c r="W392" i="18"/>
  <c r="W393" i="18"/>
  <c r="X390" i="18"/>
  <c r="AL208" i="18"/>
  <c r="AL56" i="18" s="1"/>
  <c r="AM209" i="18"/>
  <c r="AN71" i="18" l="1"/>
  <c r="AM70" i="18"/>
  <c r="AM10" i="18" s="1"/>
  <c r="AR72" i="18"/>
  <c r="AP80" i="18"/>
  <c r="AO79" i="18"/>
  <c r="AO14" i="18" s="1"/>
  <c r="AO74" i="18"/>
  <c r="AN73" i="18"/>
  <c r="AN63" i="18" s="1"/>
  <c r="AK32" i="14" s="1"/>
  <c r="AS77" i="18"/>
  <c r="AR76" i="18"/>
  <c r="AR13" i="18" s="1"/>
  <c r="X392" i="18"/>
  <c r="X393" i="18"/>
  <c r="Y390" i="18"/>
  <c r="AM208" i="18"/>
  <c r="AM56" i="18" s="1"/>
  <c r="AN209" i="18"/>
  <c r="AO71" i="18" l="1"/>
  <c r="AN70" i="18"/>
  <c r="AN10" i="18" s="1"/>
  <c r="AS72" i="18"/>
  <c r="AP74" i="18"/>
  <c r="AO73" i="18"/>
  <c r="AO63" i="18" s="1"/>
  <c r="AL32" i="14" s="1"/>
  <c r="AT77" i="18"/>
  <c r="AS76" i="18"/>
  <c r="AS13" i="18" s="1"/>
  <c r="AQ80" i="18"/>
  <c r="AP79" i="18"/>
  <c r="AP14" i="18" s="1"/>
  <c r="Y393" i="18"/>
  <c r="Z390" i="18"/>
  <c r="Y392" i="18"/>
  <c r="AN208" i="18"/>
  <c r="AN56" i="18" s="1"/>
  <c r="AO209" i="18"/>
  <c r="AP71" i="18" l="1"/>
  <c r="AO70" i="18"/>
  <c r="AO10" i="18" s="1"/>
  <c r="AT72" i="18"/>
  <c r="AR80" i="18"/>
  <c r="AQ79" i="18"/>
  <c r="AQ14" i="18" s="1"/>
  <c r="AQ74" i="18"/>
  <c r="AP73" i="18"/>
  <c r="AP63" i="18" s="1"/>
  <c r="AM32" i="14" s="1"/>
  <c r="AU77" i="18"/>
  <c r="AT76" i="18"/>
  <c r="AT13" i="18" s="1"/>
  <c r="Z393" i="18"/>
  <c r="AA390" i="18"/>
  <c r="AA393" i="18" s="1"/>
  <c r="Z392" i="18"/>
  <c r="AO208" i="18"/>
  <c r="AO56" i="18" s="1"/>
  <c r="AP209" i="18"/>
  <c r="AQ71" i="18" l="1"/>
  <c r="AP70" i="18"/>
  <c r="AP10" i="18" s="1"/>
  <c r="AU72" i="18"/>
  <c r="AR74" i="18"/>
  <c r="AQ73" i="18"/>
  <c r="AQ63" i="18" s="1"/>
  <c r="AN32" i="14" s="1"/>
  <c r="AV77" i="18"/>
  <c r="AU76" i="18"/>
  <c r="AU13" i="18" s="1"/>
  <c r="AS80" i="18"/>
  <c r="AR79" i="18"/>
  <c r="AR14" i="18" s="1"/>
  <c r="AB390" i="18"/>
  <c r="AB393" i="18" s="1"/>
  <c r="AA392" i="18"/>
  <c r="AQ209" i="18"/>
  <c r="AP208" i="18"/>
  <c r="AP56" i="18" s="1"/>
  <c r="AR71" i="18" l="1"/>
  <c r="AQ70" i="18"/>
  <c r="AQ10" i="18" s="1"/>
  <c r="AV72" i="18"/>
  <c r="AT80" i="18"/>
  <c r="AS79" i="18"/>
  <c r="AS14" i="18" s="1"/>
  <c r="AS74" i="18"/>
  <c r="AR73" i="18"/>
  <c r="AR63" i="18" s="1"/>
  <c r="AO32" i="14" s="1"/>
  <c r="AW77" i="18"/>
  <c r="AV76" i="18"/>
  <c r="AV13" i="18" s="1"/>
  <c r="AC390" i="18"/>
  <c r="AC393" i="18" s="1"/>
  <c r="AB392" i="18"/>
  <c r="AQ208" i="18"/>
  <c r="AQ56" i="18" s="1"/>
  <c r="AR209" i="18"/>
  <c r="AS71" i="18" l="1"/>
  <c r="AR70" i="18"/>
  <c r="AR10" i="18" s="1"/>
  <c r="AW72" i="18"/>
  <c r="AX77" i="18"/>
  <c r="AW76" i="18"/>
  <c r="AW13" i="18" s="1"/>
  <c r="AT74" i="18"/>
  <c r="AS73" i="18"/>
  <c r="AS63" i="18" s="1"/>
  <c r="AP32" i="14" s="1"/>
  <c r="AU80" i="18"/>
  <c r="AT79" i="18"/>
  <c r="AT14" i="18" s="1"/>
  <c r="AD390" i="18"/>
  <c r="AE390" i="18" s="1"/>
  <c r="AC392" i="18"/>
  <c r="AR208" i="18"/>
  <c r="AR56" i="18" s="1"/>
  <c r="AS209" i="18"/>
  <c r="AT71" i="18" l="1"/>
  <c r="AS70" i="18"/>
  <c r="AS10" i="18" s="1"/>
  <c r="AX72" i="18"/>
  <c r="AV80" i="18"/>
  <c r="AU79" i="18"/>
  <c r="AU14" i="18" s="1"/>
  <c r="AY77" i="18"/>
  <c r="AX76" i="18"/>
  <c r="AX13" i="18" s="1"/>
  <c r="AU74" i="18"/>
  <c r="AT73" i="18"/>
  <c r="AT63" i="18" s="1"/>
  <c r="AQ32" i="14" s="1"/>
  <c r="AD392" i="18"/>
  <c r="AE392" i="18" s="1"/>
  <c r="AD393" i="18"/>
  <c r="AF390" i="18"/>
  <c r="AE393" i="18"/>
  <c r="AT209" i="18"/>
  <c r="AT208" i="18" s="1"/>
  <c r="AT56" i="18" s="1"/>
  <c r="AS208" i="18"/>
  <c r="AS56" i="18" s="1"/>
  <c r="AU71" i="18" l="1"/>
  <c r="AT70" i="18"/>
  <c r="AT10" i="18" s="1"/>
  <c r="AY72" i="18"/>
  <c r="AV74" i="18"/>
  <c r="AU73" i="18"/>
  <c r="AU63" i="18" s="1"/>
  <c r="AR32" i="14" s="1"/>
  <c r="AZ77" i="18"/>
  <c r="AY76" i="18"/>
  <c r="AY13" i="18" s="1"/>
  <c r="AW80" i="18"/>
  <c r="AV79" i="18"/>
  <c r="AV14" i="18" s="1"/>
  <c r="AF392" i="18"/>
  <c r="AF393" i="18"/>
  <c r="AG390" i="18"/>
  <c r="AU209" i="18"/>
  <c r="AU208" i="18" s="1"/>
  <c r="AU56" i="18" s="1"/>
  <c r="AV71" i="18" l="1"/>
  <c r="AU70" i="18"/>
  <c r="AU10" i="18" s="1"/>
  <c r="AZ72" i="18"/>
  <c r="AX80" i="18"/>
  <c r="AW79" i="18"/>
  <c r="AW14" i="18" s="1"/>
  <c r="AW74" i="18"/>
  <c r="AV73" i="18"/>
  <c r="AV63" i="18" s="1"/>
  <c r="AS32" i="14" s="1"/>
  <c r="BA77" i="18"/>
  <c r="AZ76" i="18"/>
  <c r="AZ13" i="18" s="1"/>
  <c r="AG392" i="18"/>
  <c r="AV209" i="18"/>
  <c r="AW209" i="18" s="1"/>
  <c r="AW208" i="18" s="1"/>
  <c r="AW56" i="18" s="1"/>
  <c r="AH390" i="18"/>
  <c r="AH393" i="18" s="1"/>
  <c r="AG393" i="18"/>
  <c r="AW71" i="18" l="1"/>
  <c r="AV70" i="18"/>
  <c r="AV10" i="18" s="1"/>
  <c r="BA72" i="18"/>
  <c r="AX74" i="18"/>
  <c r="AW73" i="18"/>
  <c r="AW63" i="18" s="1"/>
  <c r="AT32" i="14" s="1"/>
  <c r="BB77" i="18"/>
  <c r="BA76" i="18"/>
  <c r="BA13" i="18" s="1"/>
  <c r="AY80" i="18"/>
  <c r="AX79" i="18"/>
  <c r="AX14" i="18" s="1"/>
  <c r="AV208" i="18"/>
  <c r="AV56" i="18" s="1"/>
  <c r="AX209" i="18"/>
  <c r="AX208" i="18" s="1"/>
  <c r="AX56" i="18" s="1"/>
  <c r="AI390" i="18"/>
  <c r="AI393" i="18" s="1"/>
  <c r="AH392" i="18"/>
  <c r="AX71" i="18" l="1"/>
  <c r="AW70" i="18"/>
  <c r="AW10" i="18" s="1"/>
  <c r="BB72" i="18"/>
  <c r="AZ80" i="18"/>
  <c r="AY79" i="18"/>
  <c r="AY14" i="18" s="1"/>
  <c r="AY74" i="18"/>
  <c r="AX73" i="18"/>
  <c r="AX63" i="18" s="1"/>
  <c r="AU32" i="14" s="1"/>
  <c r="BC77" i="18"/>
  <c r="BB76" i="18"/>
  <c r="BB13" i="18" s="1"/>
  <c r="AY209" i="18"/>
  <c r="AY208" i="18" s="1"/>
  <c r="AY56" i="18" s="1"/>
  <c r="AJ390" i="18"/>
  <c r="AJ393" i="18" s="1"/>
  <c r="AI392" i="18"/>
  <c r="AY71" i="18" l="1"/>
  <c r="AX70" i="18"/>
  <c r="AX10" i="18" s="1"/>
  <c r="BC72" i="18"/>
  <c r="AZ74" i="18"/>
  <c r="AY73" i="18"/>
  <c r="AY63" i="18" s="1"/>
  <c r="AV32" i="14" s="1"/>
  <c r="BD77" i="18"/>
  <c r="BC76" i="18"/>
  <c r="BC13" i="18" s="1"/>
  <c r="BA80" i="18"/>
  <c r="AZ79" i="18"/>
  <c r="AZ14" i="18" s="1"/>
  <c r="AZ209" i="18"/>
  <c r="BA209" i="18" s="1"/>
  <c r="AK390" i="18"/>
  <c r="AK393" i="18" s="1"/>
  <c r="AJ392" i="18"/>
  <c r="AZ71" i="18" l="1"/>
  <c r="AY70" i="18"/>
  <c r="AY10" i="18" s="1"/>
  <c r="BD72" i="18"/>
  <c r="BB80" i="18"/>
  <c r="BA79" i="18"/>
  <c r="BA14" i="18" s="1"/>
  <c r="BA74" i="18"/>
  <c r="AZ73" i="18"/>
  <c r="AZ63" i="18" s="1"/>
  <c r="AW32" i="14" s="1"/>
  <c r="BE77" i="18"/>
  <c r="BD76" i="18"/>
  <c r="BD13" i="18" s="1"/>
  <c r="AZ208" i="18"/>
  <c r="AZ56" i="18" s="1"/>
  <c r="AL390" i="18"/>
  <c r="AL393" i="18" s="1"/>
  <c r="AK392" i="18"/>
  <c r="BA208" i="18"/>
  <c r="BA56" i="18" s="1"/>
  <c r="BB209" i="18"/>
  <c r="BA71" i="18" l="1"/>
  <c r="AZ70" i="18"/>
  <c r="AZ10" i="18" s="1"/>
  <c r="BE72" i="18"/>
  <c r="BF77" i="18"/>
  <c r="BE76" i="18"/>
  <c r="BE13" i="18" s="1"/>
  <c r="BB74" i="18"/>
  <c r="BA73" i="18"/>
  <c r="BA63" i="18" s="1"/>
  <c r="AX32" i="14" s="1"/>
  <c r="BC80" i="18"/>
  <c r="BB79" i="18"/>
  <c r="BB14" i="18" s="1"/>
  <c r="AL392" i="18"/>
  <c r="AM390" i="18"/>
  <c r="AN390" i="18" s="1"/>
  <c r="AN393" i="18" s="1"/>
  <c r="BB208" i="18"/>
  <c r="BB56" i="18" s="1"/>
  <c r="BC209" i="18"/>
  <c r="BB71" i="18" l="1"/>
  <c r="BA70" i="18"/>
  <c r="BA10" i="18" s="1"/>
  <c r="BF72" i="18"/>
  <c r="BD80" i="18"/>
  <c r="BC79" i="18"/>
  <c r="BC14" i="18" s="1"/>
  <c r="BG77" i="18"/>
  <c r="BF76" i="18"/>
  <c r="BF13" i="18" s="1"/>
  <c r="BC74" i="18"/>
  <c r="BB73" i="18"/>
  <c r="BB63" i="18" s="1"/>
  <c r="AY32" i="14" s="1"/>
  <c r="AM392" i="18"/>
  <c r="AN392" i="18" s="1"/>
  <c r="AM393" i="18"/>
  <c r="AO390" i="18"/>
  <c r="AO393" i="18" s="1"/>
  <c r="BC208" i="18"/>
  <c r="BC56" i="18" s="1"/>
  <c r="BD209" i="18"/>
  <c r="BC71" i="18" l="1"/>
  <c r="BB70" i="18"/>
  <c r="BB10" i="18" s="1"/>
  <c r="BG72" i="18"/>
  <c r="BH77" i="18"/>
  <c r="BG76" i="18"/>
  <c r="BG13" i="18" s="1"/>
  <c r="BD74" i="18"/>
  <c r="BC73" i="18"/>
  <c r="BC63" i="18" s="1"/>
  <c r="AZ32" i="14" s="1"/>
  <c r="BE80" i="18"/>
  <c r="BD79" i="18"/>
  <c r="BD14" i="18" s="1"/>
  <c r="AO392" i="18"/>
  <c r="AP390" i="18"/>
  <c r="AQ390" i="18" s="1"/>
  <c r="AQ393" i="18" s="1"/>
  <c r="BD208" i="18"/>
  <c r="BD56" i="18" s="1"/>
  <c r="BE209" i="18"/>
  <c r="BD71" i="18" l="1"/>
  <c r="BC70" i="18"/>
  <c r="BC10" i="18" s="1"/>
  <c r="BH72" i="18"/>
  <c r="BF80" i="18"/>
  <c r="BE79" i="18"/>
  <c r="BE14" i="18" s="1"/>
  <c r="BI77" i="18"/>
  <c r="BH76" i="18"/>
  <c r="BH13" i="18" s="1"/>
  <c r="BE74" i="18"/>
  <c r="BD73" i="18"/>
  <c r="BD63" i="18" s="1"/>
  <c r="BA32" i="14" s="1"/>
  <c r="AP392" i="18"/>
  <c r="AQ392" i="18" s="1"/>
  <c r="AR390" i="18"/>
  <c r="AR393" i="18" s="1"/>
  <c r="AP393" i="18"/>
  <c r="BE208" i="18"/>
  <c r="BE56" i="18" s="1"/>
  <c r="BF209" i="18"/>
  <c r="BE71" i="18" l="1"/>
  <c r="BD70" i="18"/>
  <c r="BD10" i="18" s="1"/>
  <c r="BI72" i="18"/>
  <c r="BJ77" i="18"/>
  <c r="BI76" i="18"/>
  <c r="BI13" i="18" s="1"/>
  <c r="BF74" i="18"/>
  <c r="BE73" i="18"/>
  <c r="BE63" i="18" s="1"/>
  <c r="BB32" i="14" s="1"/>
  <c r="BG80" i="18"/>
  <c r="BF79" i="18"/>
  <c r="BF14" i="18" s="1"/>
  <c r="AR392" i="18"/>
  <c r="AS390" i="18"/>
  <c r="AT390" i="18" s="1"/>
  <c r="BF208" i="18"/>
  <c r="BF56" i="18" s="1"/>
  <c r="BG209" i="18"/>
  <c r="BF71" i="18" l="1"/>
  <c r="BE70" i="18"/>
  <c r="BE10" i="18" s="1"/>
  <c r="BJ72" i="18"/>
  <c r="BH80" i="18"/>
  <c r="BG79" i="18"/>
  <c r="BG14" i="18" s="1"/>
  <c r="BK77" i="18"/>
  <c r="BJ76" i="18"/>
  <c r="BJ13" i="18" s="1"/>
  <c r="BG74" i="18"/>
  <c r="BF73" i="18"/>
  <c r="BF63" i="18" s="1"/>
  <c r="BC32" i="14" s="1"/>
  <c r="AS393" i="18"/>
  <c r="AS392" i="18"/>
  <c r="AT392" i="18" s="1"/>
  <c r="AU390" i="18"/>
  <c r="AT393" i="18"/>
  <c r="BG208" i="18"/>
  <c r="BG56" i="18" s="1"/>
  <c r="BH209" i="18"/>
  <c r="BG71" i="18" l="1"/>
  <c r="BF70" i="18"/>
  <c r="BF10" i="18" s="1"/>
  <c r="BK72" i="18"/>
  <c r="BL77" i="18"/>
  <c r="BK76" i="18"/>
  <c r="BK13" i="18" s="1"/>
  <c r="BH74" i="18"/>
  <c r="BG73" i="18"/>
  <c r="BG63" i="18" s="1"/>
  <c r="BD32" i="14" s="1"/>
  <c r="BI80" i="18"/>
  <c r="BH79" i="18"/>
  <c r="BH14" i="18" s="1"/>
  <c r="AU392" i="18"/>
  <c r="AV390" i="18"/>
  <c r="AU393" i="18"/>
  <c r="BH208" i="18"/>
  <c r="BH56" i="18" s="1"/>
  <c r="BI209" i="18"/>
  <c r="BH71" i="18" l="1"/>
  <c r="BG70" i="18"/>
  <c r="BG10" i="18" s="1"/>
  <c r="BL72" i="18"/>
  <c r="BJ80" i="18"/>
  <c r="BI79" i="18"/>
  <c r="BI14" i="18" s="1"/>
  <c r="BM77" i="18"/>
  <c r="BL76" i="18"/>
  <c r="BL13" i="18" s="1"/>
  <c r="BI74" i="18"/>
  <c r="BH73" i="18"/>
  <c r="BH63" i="18" s="1"/>
  <c r="BE32" i="14" s="1"/>
  <c r="AV393" i="18"/>
  <c r="AW390" i="18"/>
  <c r="AV392" i="18"/>
  <c r="BI208" i="18"/>
  <c r="BI56" i="18" s="1"/>
  <c r="BJ209" i="18"/>
  <c r="BI71" i="18" l="1"/>
  <c r="BH70" i="18"/>
  <c r="BH10" i="18" s="1"/>
  <c r="BM72" i="18"/>
  <c r="BN77" i="18"/>
  <c r="BM76" i="18"/>
  <c r="BM13" i="18" s="1"/>
  <c r="BJ74" i="18"/>
  <c r="BI73" i="18"/>
  <c r="BI63" i="18" s="1"/>
  <c r="BF32" i="14" s="1"/>
  <c r="BK80" i="18"/>
  <c r="BJ79" i="18"/>
  <c r="BJ14" i="18" s="1"/>
  <c r="AW392" i="18"/>
  <c r="AW393" i="18"/>
  <c r="AX390" i="18"/>
  <c r="BJ208" i="18"/>
  <c r="BJ56" i="18" s="1"/>
  <c r="BK209" i="18"/>
  <c r="BJ71" i="18" l="1"/>
  <c r="BI70" i="18"/>
  <c r="BI10" i="18" s="1"/>
  <c r="BN72" i="18"/>
  <c r="BL80" i="18"/>
  <c r="BK79" i="18"/>
  <c r="BK14" i="18" s="1"/>
  <c r="BO77" i="18"/>
  <c r="BN76" i="18"/>
  <c r="BN13" i="18" s="1"/>
  <c r="BK74" i="18"/>
  <c r="BJ73" i="18"/>
  <c r="BJ63" i="18" s="1"/>
  <c r="BG32" i="14" s="1"/>
  <c r="AX392" i="18"/>
  <c r="AX393" i="18"/>
  <c r="AY390" i="18"/>
  <c r="BK208" i="18"/>
  <c r="BK56" i="18" s="1"/>
  <c r="BL209" i="18"/>
  <c r="BK71" i="18" l="1"/>
  <c r="BJ70" i="18"/>
  <c r="BJ10" i="18" s="1"/>
  <c r="BO72" i="18"/>
  <c r="BP77" i="18"/>
  <c r="BO76" i="18"/>
  <c r="BO13" i="18" s="1"/>
  <c r="BL74" i="18"/>
  <c r="BK73" i="18"/>
  <c r="BK63" i="18" s="1"/>
  <c r="BH32" i="14" s="1"/>
  <c r="BM80" i="18"/>
  <c r="BL79" i="18"/>
  <c r="BL14" i="18" s="1"/>
  <c r="AY392" i="18"/>
  <c r="AY393" i="18"/>
  <c r="AZ390" i="18"/>
  <c r="BL208" i="18"/>
  <c r="BL56" i="18" s="1"/>
  <c r="BM209" i="18"/>
  <c r="BL71" i="18" l="1"/>
  <c r="BK70" i="18"/>
  <c r="BK10" i="18" s="1"/>
  <c r="BP72" i="18"/>
  <c r="BN80" i="18"/>
  <c r="BM79" i="18"/>
  <c r="BM14" i="18" s="1"/>
  <c r="BQ77" i="18"/>
  <c r="BP76" i="18"/>
  <c r="BP13" i="18" s="1"/>
  <c r="BM74" i="18"/>
  <c r="BL73" i="18"/>
  <c r="BL63" i="18" s="1"/>
  <c r="BI32" i="14" s="1"/>
  <c r="AZ392" i="18"/>
  <c r="AZ393" i="18"/>
  <c r="BA390" i="18"/>
  <c r="BM208" i="18"/>
  <c r="BM56" i="18" s="1"/>
  <c r="BN209" i="18"/>
  <c r="BM71" i="18" l="1"/>
  <c r="BL70" i="18"/>
  <c r="BL10" i="18" s="1"/>
  <c r="BQ72" i="18"/>
  <c r="BR77" i="18"/>
  <c r="BQ76" i="18"/>
  <c r="BQ13" i="18" s="1"/>
  <c r="BN74" i="18"/>
  <c r="BM73" i="18"/>
  <c r="BM63" i="18" s="1"/>
  <c r="BJ32" i="14" s="1"/>
  <c r="BO80" i="18"/>
  <c r="BN79" i="18"/>
  <c r="BN14" i="18" s="1"/>
  <c r="BA392" i="18"/>
  <c r="BA393" i="18"/>
  <c r="BB390" i="18"/>
  <c r="BN208" i="18"/>
  <c r="BN56" i="18" s="1"/>
  <c r="BO209" i="18"/>
  <c r="BN71" i="18" l="1"/>
  <c r="BM70" i="18"/>
  <c r="BM10" i="18" s="1"/>
  <c r="BR72" i="18"/>
  <c r="BS77" i="18"/>
  <c r="BR76" i="18"/>
  <c r="BR13" i="18" s="1"/>
  <c r="BP80" i="18"/>
  <c r="BO79" i="18"/>
  <c r="BO14" i="18" s="1"/>
  <c r="BO74" i="18"/>
  <c r="BN73" i="18"/>
  <c r="BN63" i="18" s="1"/>
  <c r="BK32" i="14" s="1"/>
  <c r="BB393" i="18"/>
  <c r="BC390" i="18"/>
  <c r="BB392" i="18"/>
  <c r="BO208" i="18"/>
  <c r="BO56" i="18" s="1"/>
  <c r="BP209" i="18"/>
  <c r="BO71" i="18" l="1"/>
  <c r="BN70" i="18"/>
  <c r="BN10" i="18" s="1"/>
  <c r="BS72" i="18"/>
  <c r="BQ80" i="18"/>
  <c r="BP79" i="18"/>
  <c r="BP14" i="18" s="1"/>
  <c r="BP74" i="18"/>
  <c r="BO73" i="18"/>
  <c r="BO63" i="18" s="1"/>
  <c r="BL32" i="14" s="1"/>
  <c r="BT77" i="18"/>
  <c r="BS76" i="18"/>
  <c r="BS13" i="18" s="1"/>
  <c r="BC392" i="18"/>
  <c r="BD390" i="18"/>
  <c r="BC393" i="18"/>
  <c r="BP208" i="18"/>
  <c r="BP56" i="18" s="1"/>
  <c r="BQ209" i="18"/>
  <c r="BP71" i="18" l="1"/>
  <c r="BO70" i="18"/>
  <c r="BO10" i="18" s="1"/>
  <c r="BT72" i="18"/>
  <c r="BU77" i="18"/>
  <c r="BT76" i="18"/>
  <c r="BT13" i="18" s="1"/>
  <c r="BR80" i="18"/>
  <c r="BQ79" i="18"/>
  <c r="BQ14" i="18" s="1"/>
  <c r="BQ74" i="18"/>
  <c r="BP73" i="18"/>
  <c r="BP63" i="18" s="1"/>
  <c r="BM32" i="14" s="1"/>
  <c r="BD392" i="18"/>
  <c r="BE390" i="18"/>
  <c r="BD393" i="18"/>
  <c r="BQ208" i="18"/>
  <c r="BQ56" i="18" s="1"/>
  <c r="BR209" i="18"/>
  <c r="BQ71" i="18" l="1"/>
  <c r="BP70" i="18"/>
  <c r="BP10" i="18" s="1"/>
  <c r="BU72" i="18"/>
  <c r="BR74" i="18"/>
  <c r="BQ73" i="18"/>
  <c r="BQ63" i="18" s="1"/>
  <c r="BN32" i="14" s="1"/>
  <c r="BS80" i="18"/>
  <c r="BR79" i="18"/>
  <c r="BR14" i="18" s="1"/>
  <c r="BV77" i="18"/>
  <c r="BU76" i="18"/>
  <c r="BU13" i="18" s="1"/>
  <c r="BE392" i="18"/>
  <c r="BE393" i="18"/>
  <c r="BF390" i="18"/>
  <c r="BR208" i="18"/>
  <c r="BR56" i="18" s="1"/>
  <c r="BS209" i="18"/>
  <c r="BR71" i="18" l="1"/>
  <c r="BQ70" i="18"/>
  <c r="BQ10" i="18" s="1"/>
  <c r="BV72" i="18"/>
  <c r="BW77" i="18"/>
  <c r="BV76" i="18"/>
  <c r="BV13" i="18" s="1"/>
  <c r="BS74" i="18"/>
  <c r="BR73" i="18"/>
  <c r="BR63" i="18" s="1"/>
  <c r="BO32" i="14" s="1"/>
  <c r="BT80" i="18"/>
  <c r="BS79" i="18"/>
  <c r="BS14" i="18" s="1"/>
  <c r="BF393" i="18"/>
  <c r="BG390" i="18"/>
  <c r="BF392" i="18"/>
  <c r="BS208" i="18"/>
  <c r="BS56" i="18" s="1"/>
  <c r="BT209" i="18"/>
  <c r="BS71" i="18" l="1"/>
  <c r="BR70" i="18"/>
  <c r="BR10" i="18" s="1"/>
  <c r="BW72" i="18"/>
  <c r="BT74" i="18"/>
  <c r="BS73" i="18"/>
  <c r="BS63" i="18" s="1"/>
  <c r="BP32" i="14" s="1"/>
  <c r="BU80" i="18"/>
  <c r="BT79" i="18"/>
  <c r="BT14" i="18" s="1"/>
  <c r="BX77" i="18"/>
  <c r="BW76" i="18"/>
  <c r="BW13" i="18" s="1"/>
  <c r="BG392" i="18"/>
  <c r="BG393" i="18"/>
  <c r="BH390" i="18"/>
  <c r="BT208" i="18"/>
  <c r="BT56" i="18" s="1"/>
  <c r="BU209" i="18"/>
  <c r="BT71" i="18" l="1"/>
  <c r="BS70" i="18"/>
  <c r="BS10" i="18" s="1"/>
  <c r="BX72" i="18"/>
  <c r="BY77" i="18"/>
  <c r="BX76" i="18"/>
  <c r="BX13" i="18" s="1"/>
  <c r="BU74" i="18"/>
  <c r="BT73" i="18"/>
  <c r="BT63" i="18" s="1"/>
  <c r="BQ32" i="14" s="1"/>
  <c r="BV80" i="18"/>
  <c r="BU79" i="18"/>
  <c r="BU14" i="18" s="1"/>
  <c r="BH392" i="18"/>
  <c r="BH393" i="18"/>
  <c r="BI390" i="18"/>
  <c r="BU208" i="18"/>
  <c r="BU56" i="18" s="1"/>
  <c r="BV209" i="18"/>
  <c r="BU71" i="18" l="1"/>
  <c r="BT70" i="18"/>
  <c r="BT10" i="18" s="1"/>
  <c r="BY72" i="18"/>
  <c r="BV74" i="18"/>
  <c r="BU73" i="18"/>
  <c r="BU63" i="18" s="1"/>
  <c r="BR32" i="14" s="1"/>
  <c r="BW80" i="18"/>
  <c r="BV79" i="18"/>
  <c r="BV14" i="18" s="1"/>
  <c r="BZ77" i="18"/>
  <c r="BY76" i="18"/>
  <c r="BY13" i="18" s="1"/>
  <c r="BI392" i="18"/>
  <c r="BI393" i="18"/>
  <c r="BJ390" i="18"/>
  <c r="BV208" i="18"/>
  <c r="BV56" i="18" s="1"/>
  <c r="BW209" i="18"/>
  <c r="BV71" i="18" l="1"/>
  <c r="BU70" i="18"/>
  <c r="BU10" i="18" s="1"/>
  <c r="BZ72" i="18"/>
  <c r="CA77" i="18"/>
  <c r="BZ76" i="18"/>
  <c r="BZ13" i="18" s="1"/>
  <c r="BW74" i="18"/>
  <c r="BV73" i="18"/>
  <c r="BV63" i="18" s="1"/>
  <c r="BS32" i="14" s="1"/>
  <c r="BX80" i="18"/>
  <c r="BW79" i="18"/>
  <c r="BW14" i="18" s="1"/>
  <c r="BK390" i="18"/>
  <c r="BJ393" i="18"/>
  <c r="BJ392" i="18"/>
  <c r="BW208" i="18"/>
  <c r="BW56" i="18" s="1"/>
  <c r="BX209" i="18"/>
  <c r="BW71" i="18" l="1"/>
  <c r="BV70" i="18"/>
  <c r="BV10" i="18" s="1"/>
  <c r="CA72" i="18"/>
  <c r="BX74" i="18"/>
  <c r="BW73" i="18"/>
  <c r="BW63" i="18" s="1"/>
  <c r="BT32" i="14" s="1"/>
  <c r="BY80" i="18"/>
  <c r="BX79" i="18"/>
  <c r="BX14" i="18" s="1"/>
  <c r="CB77" i="18"/>
  <c r="CA76" i="18"/>
  <c r="CA13" i="18" s="1"/>
  <c r="BK392" i="18"/>
  <c r="BK393" i="18"/>
  <c r="BL390" i="18"/>
  <c r="BX208" i="18"/>
  <c r="BX56" i="18" s="1"/>
  <c r="BY209" i="18"/>
  <c r="BX71" i="18" l="1"/>
  <c r="BW70" i="18"/>
  <c r="BW10" i="18" s="1"/>
  <c r="CB72" i="18"/>
  <c r="CC77" i="18"/>
  <c r="CB76" i="18"/>
  <c r="CB13" i="18" s="1"/>
  <c r="BY74" i="18"/>
  <c r="BX73" i="18"/>
  <c r="BX63" i="18" s="1"/>
  <c r="BU32" i="14" s="1"/>
  <c r="BZ80" i="18"/>
  <c r="BY79" i="18"/>
  <c r="BY14" i="18" s="1"/>
  <c r="BL393" i="18"/>
  <c r="BM390" i="18"/>
  <c r="BL392" i="18"/>
  <c r="BY208" i="18"/>
  <c r="BY56" i="18" s="1"/>
  <c r="BZ209" i="18"/>
  <c r="BY71" i="18" l="1"/>
  <c r="BX70" i="18"/>
  <c r="BX10" i="18" s="1"/>
  <c r="CC72" i="18"/>
  <c r="BZ74" i="18"/>
  <c r="BY73" i="18"/>
  <c r="BY63" i="18" s="1"/>
  <c r="BV32" i="14" s="1"/>
  <c r="CA80" i="18"/>
  <c r="BZ79" i="18"/>
  <c r="BZ14" i="18" s="1"/>
  <c r="CD77" i="18"/>
  <c r="CC76" i="18"/>
  <c r="CC13" i="18" s="1"/>
  <c r="BM392" i="18"/>
  <c r="BM393" i="18"/>
  <c r="BN390" i="18"/>
  <c r="BZ208" i="18"/>
  <c r="BZ56" i="18" s="1"/>
  <c r="CA209" i="18"/>
  <c r="BZ71" i="18" l="1"/>
  <c r="BY70" i="18"/>
  <c r="BY10" i="18" s="1"/>
  <c r="CD72" i="18"/>
  <c r="CE77" i="18"/>
  <c r="CD76" i="18"/>
  <c r="CD13" i="18" s="1"/>
  <c r="CA74" i="18"/>
  <c r="BZ73" i="18"/>
  <c r="BZ63" i="18" s="1"/>
  <c r="BW32" i="14" s="1"/>
  <c r="CB80" i="18"/>
  <c r="CA79" i="18"/>
  <c r="CA14" i="18" s="1"/>
  <c r="BN392" i="18"/>
  <c r="BN393" i="18"/>
  <c r="BO390" i="18"/>
  <c r="CA208" i="18"/>
  <c r="CA56" i="18" s="1"/>
  <c r="CB209" i="18"/>
  <c r="CA71" i="18" l="1"/>
  <c r="BZ70" i="18"/>
  <c r="BZ10" i="18" s="1"/>
  <c r="CE72" i="18"/>
  <c r="CB74" i="18"/>
  <c r="CA73" i="18"/>
  <c r="CA63" i="18" s="1"/>
  <c r="BX32" i="14" s="1"/>
  <c r="CC80" i="18"/>
  <c r="CB79" i="18"/>
  <c r="CB14" i="18" s="1"/>
  <c r="CF77" i="18"/>
  <c r="CE76" i="18"/>
  <c r="CE13" i="18" s="1"/>
  <c r="BO392" i="18"/>
  <c r="BO393" i="18"/>
  <c r="BP390" i="18"/>
  <c r="CB208" i="18"/>
  <c r="CB56" i="18" s="1"/>
  <c r="CC209" i="18"/>
  <c r="CB71" i="18" l="1"/>
  <c r="CA70" i="18"/>
  <c r="CA10" i="18" s="1"/>
  <c r="CF72" i="18"/>
  <c r="CG77" i="18"/>
  <c r="CF76" i="18"/>
  <c r="CF13" i="18" s="1"/>
  <c r="CC74" i="18"/>
  <c r="CB73" i="18"/>
  <c r="CB63" i="18" s="1"/>
  <c r="BY32" i="14" s="1"/>
  <c r="CD80" i="18"/>
  <c r="CC79" i="18"/>
  <c r="CC14" i="18" s="1"/>
  <c r="BP392" i="18"/>
  <c r="BP393" i="18"/>
  <c r="BQ390" i="18"/>
  <c r="CC208" i="18"/>
  <c r="CC56" i="18" s="1"/>
  <c r="CD209" i="18"/>
  <c r="CC71" i="18" l="1"/>
  <c r="CB70" i="18"/>
  <c r="CB10" i="18" s="1"/>
  <c r="CG72" i="18"/>
  <c r="CD74" i="18"/>
  <c r="CC73" i="18"/>
  <c r="CC63" i="18" s="1"/>
  <c r="BZ32" i="14" s="1"/>
  <c r="CE80" i="18"/>
  <c r="CD79" i="18"/>
  <c r="CD14" i="18" s="1"/>
  <c r="CH77" i="18"/>
  <c r="CG76" i="18"/>
  <c r="CG13" i="18" s="1"/>
  <c r="BQ392" i="18"/>
  <c r="BQ393" i="18"/>
  <c r="BR390" i="18"/>
  <c r="CD208" i="18"/>
  <c r="CD56" i="18" s="1"/>
  <c r="CE209" i="18"/>
  <c r="CD71" i="18" l="1"/>
  <c r="CC70" i="18"/>
  <c r="CC10" i="18" s="1"/>
  <c r="CH72" i="18"/>
  <c r="CI77" i="18"/>
  <c r="CH76" i="18"/>
  <c r="CH13" i="18" s="1"/>
  <c r="CE74" i="18"/>
  <c r="CD73" i="18"/>
  <c r="CD63" i="18" s="1"/>
  <c r="CA32" i="14" s="1"/>
  <c r="CF80" i="18"/>
  <c r="CE79" i="18"/>
  <c r="CE14" i="18" s="1"/>
  <c r="BR392" i="18"/>
  <c r="BR393" i="18"/>
  <c r="BS390" i="18"/>
  <c r="BS393" i="18" s="1"/>
  <c r="CE208" i="18"/>
  <c r="CE56" i="18" s="1"/>
  <c r="CF209" i="18"/>
  <c r="CE71" i="18" l="1"/>
  <c r="CD70" i="18"/>
  <c r="CD10" i="18" s="1"/>
  <c r="CI72" i="18"/>
  <c r="CF74" i="18"/>
  <c r="CE73" i="18"/>
  <c r="CE63" i="18" s="1"/>
  <c r="CB32" i="14" s="1"/>
  <c r="CG80" i="18"/>
  <c r="CF79" i="18"/>
  <c r="CF14" i="18" s="1"/>
  <c r="CJ77" i="18"/>
  <c r="CI76" i="18"/>
  <c r="CI13" i="18" s="1"/>
  <c r="BT390" i="18"/>
  <c r="BT393" i="18" s="1"/>
  <c r="BS392" i="18"/>
  <c r="CF208" i="18"/>
  <c r="CF56" i="18" s="1"/>
  <c r="CG209" i="18"/>
  <c r="CF71" i="18" l="1"/>
  <c r="CE70" i="18"/>
  <c r="CE10" i="18" s="1"/>
  <c r="CJ72" i="18"/>
  <c r="CK77" i="18"/>
  <c r="CJ76" i="18"/>
  <c r="CJ13" i="18" s="1"/>
  <c r="CG74" i="18"/>
  <c r="CF73" i="18"/>
  <c r="CF63" i="18" s="1"/>
  <c r="CC32" i="14" s="1"/>
  <c r="CH80" i="18"/>
  <c r="CG79" i="18"/>
  <c r="CG14" i="18" s="1"/>
  <c r="BT392" i="18"/>
  <c r="BU390" i="18"/>
  <c r="CG208" i="18"/>
  <c r="CG56" i="18" s="1"/>
  <c r="CH209" i="18"/>
  <c r="CG71" i="18" l="1"/>
  <c r="CF70" i="18"/>
  <c r="CF10" i="18" s="1"/>
  <c r="CK72" i="18"/>
  <c r="CH74" i="18"/>
  <c r="CG73" i="18"/>
  <c r="CG63" i="18" s="1"/>
  <c r="CD32" i="14" s="1"/>
  <c r="CI80" i="18"/>
  <c r="CH79" i="18"/>
  <c r="CH14" i="18" s="1"/>
  <c r="CL77" i="18"/>
  <c r="CK76" i="18"/>
  <c r="CK13" i="18" s="1"/>
  <c r="BU392" i="18"/>
  <c r="BU393" i="18"/>
  <c r="BV390" i="18"/>
  <c r="CH208" i="18"/>
  <c r="CH56" i="18" s="1"/>
  <c r="CI209" i="18"/>
  <c r="CH71" i="18" l="1"/>
  <c r="CG70" i="18"/>
  <c r="CG10" i="18" s="1"/>
  <c r="CL72" i="18"/>
  <c r="CM77" i="18"/>
  <c r="CL76" i="18"/>
  <c r="CL13" i="18" s="1"/>
  <c r="CI74" i="18"/>
  <c r="CH73" i="18"/>
  <c r="CH63" i="18" s="1"/>
  <c r="CE32" i="14" s="1"/>
  <c r="CJ80" i="18"/>
  <c r="CI79" i="18"/>
  <c r="CI14" i="18" s="1"/>
  <c r="BW390" i="18"/>
  <c r="BV393" i="18"/>
  <c r="BV392" i="18"/>
  <c r="CI208" i="18"/>
  <c r="CI56" i="18" s="1"/>
  <c r="CJ209" i="18"/>
  <c r="CI71" i="18" l="1"/>
  <c r="CH70" i="18"/>
  <c r="CH10" i="18" s="1"/>
  <c r="CM72" i="18"/>
  <c r="CJ74" i="18"/>
  <c r="CI73" i="18"/>
  <c r="CI63" i="18" s="1"/>
  <c r="CF32" i="14" s="1"/>
  <c r="CK80" i="18"/>
  <c r="CJ79" i="18"/>
  <c r="CJ14" i="18" s="1"/>
  <c r="CN77" i="18"/>
  <c r="CM76" i="18"/>
  <c r="CM13" i="18" s="1"/>
  <c r="BW392" i="18"/>
  <c r="BW393" i="18"/>
  <c r="BX390" i="18"/>
  <c r="CJ208" i="18"/>
  <c r="CJ56" i="18" s="1"/>
  <c r="CK209" i="18"/>
  <c r="CJ71" i="18" l="1"/>
  <c r="CI70" i="18"/>
  <c r="CI10" i="18" s="1"/>
  <c r="CN72" i="18"/>
  <c r="CO77" i="18"/>
  <c r="CN76" i="18"/>
  <c r="CN13" i="18" s="1"/>
  <c r="CK74" i="18"/>
  <c r="CJ73" i="18"/>
  <c r="CJ63" i="18" s="1"/>
  <c r="CG32" i="14" s="1"/>
  <c r="CL80" i="18"/>
  <c r="CK79" i="18"/>
  <c r="CK14" i="18" s="1"/>
  <c r="BX393" i="18"/>
  <c r="BY390" i="18"/>
  <c r="BY393" i="18" s="1"/>
  <c r="BX392" i="18"/>
  <c r="CK208" i="18"/>
  <c r="CK56" i="18" s="1"/>
  <c r="CL209" i="18"/>
  <c r="CK71" i="18" l="1"/>
  <c r="CJ70" i="18"/>
  <c r="CJ10" i="18" s="1"/>
  <c r="CO72" i="18"/>
  <c r="CL74" i="18"/>
  <c r="CK73" i="18"/>
  <c r="CK63" i="18" s="1"/>
  <c r="CH32" i="14" s="1"/>
  <c r="CM80" i="18"/>
  <c r="CL79" i="18"/>
  <c r="CL14" i="18" s="1"/>
  <c r="CP77" i="18"/>
  <c r="CO76" i="18"/>
  <c r="CO13" i="18" s="1"/>
  <c r="BY392" i="18"/>
  <c r="BZ390" i="18"/>
  <c r="BZ393" i="18" s="1"/>
  <c r="CL208" i="18"/>
  <c r="CL56" i="18" s="1"/>
  <c r="CM209" i="18"/>
  <c r="CL71" i="18" l="1"/>
  <c r="CK70" i="18"/>
  <c r="CK10" i="18" s="1"/>
  <c r="CP72" i="18"/>
  <c r="CQ77" i="18"/>
  <c r="CP76" i="18"/>
  <c r="CP13" i="18" s="1"/>
  <c r="CM74" i="18"/>
  <c r="CL73" i="18"/>
  <c r="CL63" i="18" s="1"/>
  <c r="CI32" i="14" s="1"/>
  <c r="CN80" i="18"/>
  <c r="CM79" i="18"/>
  <c r="CM14" i="18" s="1"/>
  <c r="CA390" i="18"/>
  <c r="BZ392" i="18"/>
  <c r="CM208" i="18"/>
  <c r="CM56" i="18" s="1"/>
  <c r="CN209" i="18"/>
  <c r="CM71" i="18" l="1"/>
  <c r="CL70" i="18"/>
  <c r="CL10" i="18" s="1"/>
  <c r="CQ72" i="18"/>
  <c r="CN74" i="18"/>
  <c r="CM73" i="18"/>
  <c r="CM63" i="18" s="1"/>
  <c r="CJ32" i="14" s="1"/>
  <c r="CO80" i="18"/>
  <c r="CN79" i="18"/>
  <c r="CN14" i="18" s="1"/>
  <c r="CR77" i="18"/>
  <c r="CQ76" i="18"/>
  <c r="CQ13" i="18" s="1"/>
  <c r="CA392" i="18"/>
  <c r="CA393" i="18"/>
  <c r="CB390" i="18"/>
  <c r="CN208" i="18"/>
  <c r="CN56" i="18" s="1"/>
  <c r="CO209" i="18"/>
  <c r="CN71" i="18" l="1"/>
  <c r="CM70" i="18"/>
  <c r="CM10" i="18" s="1"/>
  <c r="CR72" i="18"/>
  <c r="CS77" i="18"/>
  <c r="CR76" i="18"/>
  <c r="CR13" i="18" s="1"/>
  <c r="CO74" i="18"/>
  <c r="CN73" i="18"/>
  <c r="CN63" i="18" s="1"/>
  <c r="CK32" i="14" s="1"/>
  <c r="CP80" i="18"/>
  <c r="CO79" i="18"/>
  <c r="CO14" i="18" s="1"/>
  <c r="CB392" i="18"/>
  <c r="CC390" i="18"/>
  <c r="CC393" i="18" s="1"/>
  <c r="CB393" i="18"/>
  <c r="CO208" i="18"/>
  <c r="CO56" i="18" s="1"/>
  <c r="CP209" i="18"/>
  <c r="CO71" i="18" l="1"/>
  <c r="CN70" i="18"/>
  <c r="CN10" i="18" s="1"/>
  <c r="CS72" i="18"/>
  <c r="CP74" i="18"/>
  <c r="CO73" i="18"/>
  <c r="CO63" i="18" s="1"/>
  <c r="CL32" i="14" s="1"/>
  <c r="CQ80" i="18"/>
  <c r="CP79" i="18"/>
  <c r="CP14" i="18" s="1"/>
  <c r="CT77" i="18"/>
  <c r="CS76" i="18"/>
  <c r="CS13" i="18" s="1"/>
  <c r="CC392" i="18"/>
  <c r="CD390" i="18"/>
  <c r="CP208" i="18"/>
  <c r="CP56" i="18" s="1"/>
  <c r="CQ209" i="18"/>
  <c r="CP71" i="18" l="1"/>
  <c r="CO70" i="18"/>
  <c r="CO10" i="18" s="1"/>
  <c r="CT72" i="18"/>
  <c r="CU77" i="18"/>
  <c r="CT76" i="18"/>
  <c r="CT13" i="18" s="1"/>
  <c r="CQ74" i="18"/>
  <c r="CP73" i="18"/>
  <c r="CP63" i="18" s="1"/>
  <c r="CM32" i="14" s="1"/>
  <c r="CR80" i="18"/>
  <c r="CQ79" i="18"/>
  <c r="CQ14" i="18" s="1"/>
  <c r="CD393" i="18"/>
  <c r="CE390" i="18"/>
  <c r="CD392" i="18"/>
  <c r="CQ208" i="18"/>
  <c r="CQ56" i="18" s="1"/>
  <c r="CR209" i="18"/>
  <c r="CQ71" i="18" l="1"/>
  <c r="CP70" i="18"/>
  <c r="CP10" i="18" s="1"/>
  <c r="CU72" i="18"/>
  <c r="CR74" i="18"/>
  <c r="CQ73" i="18"/>
  <c r="CQ63" i="18" s="1"/>
  <c r="CN32" i="14" s="1"/>
  <c r="CS80" i="18"/>
  <c r="CR79" i="18"/>
  <c r="CR14" i="18" s="1"/>
  <c r="CV77" i="18"/>
  <c r="CU76" i="18"/>
  <c r="CU13" i="18" s="1"/>
  <c r="CE392" i="18"/>
  <c r="CF390" i="18"/>
  <c r="CF393" i="18" s="1"/>
  <c r="CE393" i="18"/>
  <c r="CR208" i="18"/>
  <c r="CR56" i="18" s="1"/>
  <c r="CS209" i="18"/>
  <c r="CR71" i="18" l="1"/>
  <c r="CQ70" i="18"/>
  <c r="CQ10" i="18" s="1"/>
  <c r="CV72" i="18"/>
  <c r="CW77" i="18"/>
  <c r="CV76" i="18"/>
  <c r="CV13" i="18" s="1"/>
  <c r="CS74" i="18"/>
  <c r="CR73" i="18"/>
  <c r="CR63" i="18" s="1"/>
  <c r="CO32" i="14" s="1"/>
  <c r="CT80" i="18"/>
  <c r="CS79" i="18"/>
  <c r="CS14" i="18" s="1"/>
  <c r="CG390" i="18"/>
  <c r="CG393" i="18" s="1"/>
  <c r="CF392" i="18"/>
  <c r="CS208" i="18"/>
  <c r="CS56" i="18" s="1"/>
  <c r="CT209" i="18"/>
  <c r="CS71" i="18" l="1"/>
  <c r="CR70" i="18"/>
  <c r="CR10" i="18" s="1"/>
  <c r="CW72" i="18"/>
  <c r="CT74" i="18"/>
  <c r="CS73" i="18"/>
  <c r="CS63" i="18" s="1"/>
  <c r="CP32" i="14" s="1"/>
  <c r="CU80" i="18"/>
  <c r="CT79" i="18"/>
  <c r="CT14" i="18" s="1"/>
  <c r="CX77" i="18"/>
  <c r="CW76" i="18"/>
  <c r="CW13" i="18" s="1"/>
  <c r="CG392" i="18"/>
  <c r="CH390" i="18"/>
  <c r="CH393" i="18" s="1"/>
  <c r="CT208" i="18"/>
  <c r="CT56" i="18" s="1"/>
  <c r="CU209" i="18"/>
  <c r="CT71" i="18" l="1"/>
  <c r="CS70" i="18"/>
  <c r="CS10" i="18" s="1"/>
  <c r="CX72" i="18"/>
  <c r="CY77" i="18"/>
  <c r="CX76" i="18"/>
  <c r="CX13" i="18" s="1"/>
  <c r="CU74" i="18"/>
  <c r="CT73" i="18"/>
  <c r="CT63" i="18" s="1"/>
  <c r="CQ32" i="14" s="1"/>
  <c r="CV80" i="18"/>
  <c r="CU79" i="18"/>
  <c r="CU14" i="18" s="1"/>
  <c r="CI390" i="18"/>
  <c r="CH392" i="18"/>
  <c r="CU208" i="18"/>
  <c r="CU56" i="18" s="1"/>
  <c r="CV209" i="18"/>
  <c r="CU71" i="18" l="1"/>
  <c r="CT70" i="18"/>
  <c r="CT10" i="18" s="1"/>
  <c r="CY72" i="18"/>
  <c r="CV74" i="18"/>
  <c r="CU73" i="18"/>
  <c r="CU63" i="18" s="1"/>
  <c r="CR32" i="14" s="1"/>
  <c r="CW80" i="18"/>
  <c r="CV79" i="18"/>
  <c r="CV14" i="18" s="1"/>
  <c r="CZ77" i="18"/>
  <c r="CY76" i="18"/>
  <c r="CY13" i="18" s="1"/>
  <c r="CI392" i="18"/>
  <c r="CJ390" i="18"/>
  <c r="CI393" i="18"/>
  <c r="CV208" i="18"/>
  <c r="CV56" i="18" s="1"/>
  <c r="CW209" i="18"/>
  <c r="CV71" i="18" l="1"/>
  <c r="CU70" i="18"/>
  <c r="CU10" i="18" s="1"/>
  <c r="CZ72" i="18"/>
  <c r="DA77" i="18"/>
  <c r="CZ76" i="18"/>
  <c r="CZ13" i="18" s="1"/>
  <c r="CX80" i="18"/>
  <c r="CW79" i="18"/>
  <c r="CW14" i="18" s="1"/>
  <c r="CW74" i="18"/>
  <c r="CV73" i="18"/>
  <c r="CV63" i="18" s="1"/>
  <c r="CS32" i="14" s="1"/>
  <c r="CK390" i="18"/>
  <c r="CJ393" i="18"/>
  <c r="CJ392" i="18"/>
  <c r="CW208" i="18"/>
  <c r="CW56" i="18" s="1"/>
  <c r="CX209" i="18"/>
  <c r="CW71" i="18" l="1"/>
  <c r="CV70" i="18"/>
  <c r="CV10" i="18" s="1"/>
  <c r="DA72" i="18"/>
  <c r="CX74" i="18"/>
  <c r="CW73" i="18"/>
  <c r="CW63" i="18" s="1"/>
  <c r="CT32" i="14" s="1"/>
  <c r="CY80" i="18"/>
  <c r="CX79" i="18"/>
  <c r="CX14" i="18" s="1"/>
  <c r="DB77" i="18"/>
  <c r="DA76" i="18"/>
  <c r="DA13" i="18" s="1"/>
  <c r="CK392" i="18"/>
  <c r="CK393" i="18"/>
  <c r="CL390" i="18"/>
  <c r="CX208" i="18"/>
  <c r="CX56" i="18" s="1"/>
  <c r="CY209" i="18"/>
  <c r="CX71" i="18" l="1"/>
  <c r="CW70" i="18"/>
  <c r="CW10" i="18" s="1"/>
  <c r="DB72" i="18"/>
  <c r="CZ80" i="18"/>
  <c r="CY79" i="18"/>
  <c r="CY14" i="18" s="1"/>
  <c r="DC77" i="18"/>
  <c r="DB76" i="18"/>
  <c r="DB13" i="18" s="1"/>
  <c r="CY74" i="18"/>
  <c r="CX73" i="18"/>
  <c r="CX63" i="18" s="1"/>
  <c r="CU32" i="14" s="1"/>
  <c r="CL393" i="18"/>
  <c r="CM390" i="18"/>
  <c r="CL392" i="18"/>
  <c r="CY208" i="18"/>
  <c r="CY56" i="18" s="1"/>
  <c r="CZ209" i="18"/>
  <c r="CY71" i="18" l="1"/>
  <c r="CX70" i="18"/>
  <c r="CX10" i="18" s="1"/>
  <c r="DC72" i="18"/>
  <c r="CZ74" i="18"/>
  <c r="CY73" i="18"/>
  <c r="CY63" i="18" s="1"/>
  <c r="CV32" i="14" s="1"/>
  <c r="DD77" i="18"/>
  <c r="DC76" i="18"/>
  <c r="DC13" i="18" s="1"/>
  <c r="DA80" i="18"/>
  <c r="CZ79" i="18"/>
  <c r="CZ14" i="18" s="1"/>
  <c r="CM392" i="18"/>
  <c r="CM393" i="18"/>
  <c r="CN390" i="18"/>
  <c r="CN393" i="18" s="1"/>
  <c r="CZ208" i="18"/>
  <c r="CZ56" i="18" s="1"/>
  <c r="DA209" i="18"/>
  <c r="CZ71" i="18" l="1"/>
  <c r="CY70" i="18"/>
  <c r="CY10" i="18" s="1"/>
  <c r="DD72" i="18"/>
  <c r="DB80" i="18"/>
  <c r="DA79" i="18"/>
  <c r="DA14" i="18" s="1"/>
  <c r="DA74" i="18"/>
  <c r="CZ73" i="18"/>
  <c r="CZ63" i="18" s="1"/>
  <c r="CW32" i="14" s="1"/>
  <c r="DE77" i="18"/>
  <c r="DD76" i="18"/>
  <c r="DD13" i="18" s="1"/>
  <c r="CO390" i="18"/>
  <c r="CN392" i="18"/>
  <c r="DA208" i="18"/>
  <c r="DA56" i="18" s="1"/>
  <c r="DB209" i="18"/>
  <c r="DA71" i="18" l="1"/>
  <c r="CZ70" i="18"/>
  <c r="CZ10" i="18" s="1"/>
  <c r="DE72" i="18"/>
  <c r="DB74" i="18"/>
  <c r="DA73" i="18"/>
  <c r="DA63" i="18" s="1"/>
  <c r="CX32" i="14" s="1"/>
  <c r="DF77" i="18"/>
  <c r="DE76" i="18"/>
  <c r="DE13" i="18" s="1"/>
  <c r="DC80" i="18"/>
  <c r="DB79" i="18"/>
  <c r="DB14" i="18" s="1"/>
  <c r="CO392" i="18"/>
  <c r="CO393" i="18"/>
  <c r="CP390" i="18"/>
  <c r="DB208" i="18"/>
  <c r="DB56" i="18" s="1"/>
  <c r="DC209" i="18"/>
  <c r="DB71" i="18" l="1"/>
  <c r="DA70" i="18"/>
  <c r="DA10" i="18" s="1"/>
  <c r="DF72" i="18"/>
  <c r="DD80" i="18"/>
  <c r="DC79" i="18"/>
  <c r="DC14" i="18" s="1"/>
  <c r="DC74" i="18"/>
  <c r="DB73" i="18"/>
  <c r="DB63" i="18" s="1"/>
  <c r="CY32" i="14" s="1"/>
  <c r="DG77" i="18"/>
  <c r="DF76" i="18"/>
  <c r="DF13" i="18" s="1"/>
  <c r="CQ390" i="18"/>
  <c r="CP393" i="18"/>
  <c r="CP392" i="18"/>
  <c r="DC208" i="18"/>
  <c r="DC56" i="18" s="1"/>
  <c r="DD209" i="18"/>
  <c r="DC71" i="18" l="1"/>
  <c r="DB70" i="18"/>
  <c r="DB10" i="18" s="1"/>
  <c r="DG72" i="18"/>
  <c r="DD74" i="18"/>
  <c r="DC73" i="18"/>
  <c r="DC63" i="18" s="1"/>
  <c r="CZ32" i="14" s="1"/>
  <c r="DH77" i="18"/>
  <c r="DG76" i="18"/>
  <c r="DG13" i="18" s="1"/>
  <c r="DE80" i="18"/>
  <c r="DD79" i="18"/>
  <c r="DD14" i="18" s="1"/>
  <c r="CQ392" i="18"/>
  <c r="CQ393" i="18"/>
  <c r="CR390" i="18"/>
  <c r="DD208" i="18"/>
  <c r="DD56" i="18" s="1"/>
  <c r="DE209" i="18"/>
  <c r="DD71" i="18" l="1"/>
  <c r="DC70" i="18"/>
  <c r="DC10" i="18" s="1"/>
  <c r="DH72" i="18"/>
  <c r="DF80" i="18"/>
  <c r="DE79" i="18"/>
  <c r="DE14" i="18" s="1"/>
  <c r="DE74" i="18"/>
  <c r="DD73" i="18"/>
  <c r="DD63" i="18" s="1"/>
  <c r="DA32" i="14" s="1"/>
  <c r="DI77" i="18"/>
  <c r="DH76" i="18"/>
  <c r="DH13" i="18" s="1"/>
  <c r="CR393" i="18"/>
  <c r="CS390" i="18"/>
  <c r="CR392" i="18"/>
  <c r="DE208" i="18"/>
  <c r="DE56" i="18" s="1"/>
  <c r="DF209" i="18"/>
  <c r="DE71" i="18" l="1"/>
  <c r="DD70" i="18"/>
  <c r="DD10" i="18" s="1"/>
  <c r="DI72" i="18"/>
  <c r="DF74" i="18"/>
  <c r="DE73" i="18"/>
  <c r="DE63" i="18" s="1"/>
  <c r="DB32" i="14" s="1"/>
  <c r="DJ77" i="18"/>
  <c r="DI76" i="18"/>
  <c r="DI13" i="18" s="1"/>
  <c r="DG80" i="18"/>
  <c r="DF79" i="18"/>
  <c r="DF14" i="18" s="1"/>
  <c r="CS392" i="18"/>
  <c r="CS393" i="18"/>
  <c r="CT390" i="18"/>
  <c r="DF208" i="18"/>
  <c r="DF56" i="18" s="1"/>
  <c r="DG209" i="18"/>
  <c r="DF71" i="18" l="1"/>
  <c r="DE70" i="18"/>
  <c r="DE10" i="18" s="1"/>
  <c r="DJ72" i="18"/>
  <c r="DH80" i="18"/>
  <c r="DG79" i="18"/>
  <c r="DG14" i="18" s="1"/>
  <c r="DG74" i="18"/>
  <c r="DF73" i="18"/>
  <c r="DF63" i="18" s="1"/>
  <c r="DC32" i="14" s="1"/>
  <c r="DK77" i="18"/>
  <c r="DJ76" i="18"/>
  <c r="DJ13" i="18" s="1"/>
  <c r="CT393" i="18"/>
  <c r="CU390" i="18"/>
  <c r="CT392" i="18"/>
  <c r="DG208" i="18"/>
  <c r="DG56" i="18" s="1"/>
  <c r="DH209" i="18"/>
  <c r="DG71" i="18" l="1"/>
  <c r="DF70" i="18"/>
  <c r="DF10" i="18" s="1"/>
  <c r="DK72" i="18"/>
  <c r="DH74" i="18"/>
  <c r="DG73" i="18"/>
  <c r="DG63" i="18" s="1"/>
  <c r="DD32" i="14" s="1"/>
  <c r="DL77" i="18"/>
  <c r="DK76" i="18"/>
  <c r="DK13" i="18" s="1"/>
  <c r="DI80" i="18"/>
  <c r="DH79" i="18"/>
  <c r="DH14" i="18" s="1"/>
  <c r="CU392" i="18"/>
  <c r="CU393" i="18"/>
  <c r="CV390" i="18"/>
  <c r="DH208" i="18"/>
  <c r="DH56" i="18" s="1"/>
  <c r="DI209" i="18"/>
  <c r="DH71" i="18" l="1"/>
  <c r="DG70" i="18"/>
  <c r="DG10" i="18" s="1"/>
  <c r="DL72" i="18"/>
  <c r="DJ80" i="18"/>
  <c r="DI79" i="18"/>
  <c r="DI14" i="18" s="1"/>
  <c r="DI74" i="18"/>
  <c r="DH73" i="18"/>
  <c r="DH63" i="18" s="1"/>
  <c r="DE32" i="14" s="1"/>
  <c r="DM77" i="18"/>
  <c r="DL76" i="18"/>
  <c r="DL13" i="18" s="1"/>
  <c r="CV392" i="18"/>
  <c r="CV393" i="18"/>
  <c r="CW390" i="18"/>
  <c r="DI208" i="18"/>
  <c r="DI56" i="18" s="1"/>
  <c r="DJ209" i="18"/>
  <c r="DI71" i="18" l="1"/>
  <c r="DH70" i="18"/>
  <c r="DH10" i="18" s="1"/>
  <c r="DM72" i="18"/>
  <c r="DJ74" i="18"/>
  <c r="DI73" i="18"/>
  <c r="DI63" i="18" s="1"/>
  <c r="DF32" i="14" s="1"/>
  <c r="DN77" i="18"/>
  <c r="DM76" i="18"/>
  <c r="DM13" i="18" s="1"/>
  <c r="DK80" i="18"/>
  <c r="DJ79" i="18"/>
  <c r="DJ14" i="18" s="1"/>
  <c r="CW392" i="18"/>
  <c r="CW393" i="18"/>
  <c r="CX390" i="18"/>
  <c r="DJ208" i="18"/>
  <c r="DJ56" i="18" s="1"/>
  <c r="DK209" i="18"/>
  <c r="DJ71" i="18" l="1"/>
  <c r="DI70" i="18"/>
  <c r="DI10" i="18" s="1"/>
  <c r="DN72" i="18"/>
  <c r="DL80" i="18"/>
  <c r="DK79" i="18"/>
  <c r="DK14" i="18" s="1"/>
  <c r="DK74" i="18"/>
  <c r="DJ73" i="18"/>
  <c r="DJ63" i="18" s="1"/>
  <c r="DG32" i="14" s="1"/>
  <c r="DO77" i="18"/>
  <c r="DN76" i="18"/>
  <c r="DN13" i="18" s="1"/>
  <c r="CX392" i="18"/>
  <c r="CX393" i="18"/>
  <c r="CY390" i="18"/>
  <c r="DK208" i="18"/>
  <c r="DK56" i="18" s="1"/>
  <c r="DL209" i="18"/>
  <c r="DK71" i="18" l="1"/>
  <c r="DJ70" i="18"/>
  <c r="DJ10" i="18" s="1"/>
  <c r="DO72" i="18"/>
  <c r="DL74" i="18"/>
  <c r="DK73" i="18"/>
  <c r="DK63" i="18" s="1"/>
  <c r="DH32" i="14" s="1"/>
  <c r="DP77" i="18"/>
  <c r="DO76" i="18"/>
  <c r="DO13" i="18" s="1"/>
  <c r="DM80" i="18"/>
  <c r="DL79" i="18"/>
  <c r="DL14" i="18" s="1"/>
  <c r="CZ390" i="18"/>
  <c r="CY393" i="18"/>
  <c r="CY392" i="18"/>
  <c r="DL208" i="18"/>
  <c r="DL56" i="18" s="1"/>
  <c r="DM209" i="18"/>
  <c r="DL71" i="18" l="1"/>
  <c r="DK70" i="18"/>
  <c r="DK10" i="18" s="1"/>
  <c r="DP72" i="18"/>
  <c r="DN80" i="18"/>
  <c r="DM79" i="18"/>
  <c r="DM14" i="18" s="1"/>
  <c r="DM74" i="18"/>
  <c r="DL73" i="18"/>
  <c r="DL63" i="18" s="1"/>
  <c r="DI32" i="14" s="1"/>
  <c r="DQ77" i="18"/>
  <c r="DP76" i="18"/>
  <c r="DP13" i="18" s="1"/>
  <c r="CZ392" i="18"/>
  <c r="DA390" i="18"/>
  <c r="CZ393" i="18"/>
  <c r="DM208" i="18"/>
  <c r="DM56" i="18" s="1"/>
  <c r="DN209" i="18"/>
  <c r="DM71" i="18" l="1"/>
  <c r="DL70" i="18"/>
  <c r="DL10" i="18" s="1"/>
  <c r="DQ72" i="18"/>
  <c r="DN74" i="18"/>
  <c r="DM73" i="18"/>
  <c r="DM63" i="18" s="1"/>
  <c r="DJ32" i="14" s="1"/>
  <c r="DR77" i="18"/>
  <c r="DQ76" i="18"/>
  <c r="DQ13" i="18" s="1"/>
  <c r="DO80" i="18"/>
  <c r="DN79" i="18"/>
  <c r="DN14" i="18" s="1"/>
  <c r="DA393" i="18"/>
  <c r="DB390" i="18"/>
  <c r="DA392" i="18"/>
  <c r="DN208" i="18"/>
  <c r="DN56" i="18" s="1"/>
  <c r="DO209" i="18"/>
  <c r="DN71" i="18" l="1"/>
  <c r="DM70" i="18"/>
  <c r="DM10" i="18" s="1"/>
  <c r="DR72" i="18"/>
  <c r="DP80" i="18"/>
  <c r="DO79" i="18"/>
  <c r="DO14" i="18" s="1"/>
  <c r="DO74" i="18"/>
  <c r="DN73" i="18"/>
  <c r="DN63" i="18" s="1"/>
  <c r="DK32" i="14" s="1"/>
  <c r="DS77" i="18"/>
  <c r="DR76" i="18"/>
  <c r="DR13" i="18" s="1"/>
  <c r="DB392" i="18"/>
  <c r="DB393" i="18"/>
  <c r="DC390" i="18"/>
  <c r="DO208" i="18"/>
  <c r="DO56" i="18" s="1"/>
  <c r="DP209" i="18"/>
  <c r="DO71" i="18" l="1"/>
  <c r="DN70" i="18"/>
  <c r="DN10" i="18" s="1"/>
  <c r="DS72" i="18"/>
  <c r="DP74" i="18"/>
  <c r="DO73" i="18"/>
  <c r="DO63" i="18" s="1"/>
  <c r="DL32" i="14" s="1"/>
  <c r="DT77" i="18"/>
  <c r="DS76" i="18"/>
  <c r="DS13" i="18" s="1"/>
  <c r="DQ80" i="18"/>
  <c r="DP79" i="18"/>
  <c r="DP14" i="18" s="1"/>
  <c r="DD390" i="18"/>
  <c r="DC393" i="18"/>
  <c r="DC392" i="18"/>
  <c r="DP208" i="18"/>
  <c r="DP56" i="18" s="1"/>
  <c r="DQ209" i="18"/>
  <c r="DP71" i="18" l="1"/>
  <c r="DO70" i="18"/>
  <c r="DO10" i="18" s="1"/>
  <c r="DT72" i="18"/>
  <c r="DR80" i="18"/>
  <c r="DQ79" i="18"/>
  <c r="DQ14" i="18" s="1"/>
  <c r="DQ74" i="18"/>
  <c r="DP73" i="18"/>
  <c r="DP63" i="18" s="1"/>
  <c r="DM32" i="14" s="1"/>
  <c r="DU77" i="18"/>
  <c r="DT76" i="18"/>
  <c r="DT13" i="18" s="1"/>
  <c r="DD392" i="18"/>
  <c r="DD393" i="18"/>
  <c r="DE390" i="18"/>
  <c r="DQ208" i="18"/>
  <c r="DQ56" i="18" s="1"/>
  <c r="DR209" i="18"/>
  <c r="DQ71" i="18" l="1"/>
  <c r="DP70" i="18"/>
  <c r="DP10" i="18" s="1"/>
  <c r="DU72" i="18"/>
  <c r="DR74" i="18"/>
  <c r="DQ73" i="18"/>
  <c r="DQ63" i="18" s="1"/>
  <c r="DN32" i="14" s="1"/>
  <c r="DV77" i="18"/>
  <c r="DU76" i="18"/>
  <c r="DU13" i="18" s="1"/>
  <c r="DS80" i="18"/>
  <c r="DR79" i="18"/>
  <c r="DR14" i="18" s="1"/>
  <c r="DE393" i="18"/>
  <c r="DF390" i="18"/>
  <c r="DE392" i="18"/>
  <c r="DR208" i="18"/>
  <c r="DR56" i="18" s="1"/>
  <c r="DS209" i="18"/>
  <c r="DR71" i="18" l="1"/>
  <c r="DQ70" i="18"/>
  <c r="DQ10" i="18" s="1"/>
  <c r="DV72" i="18"/>
  <c r="DT80" i="18"/>
  <c r="DS79" i="18"/>
  <c r="DS14" i="18" s="1"/>
  <c r="DS74" i="18"/>
  <c r="DR73" i="18"/>
  <c r="DR63" i="18" s="1"/>
  <c r="DO32" i="14" s="1"/>
  <c r="DW77" i="18"/>
  <c r="DV76" i="18"/>
  <c r="DV13" i="18" s="1"/>
  <c r="DF392" i="18"/>
  <c r="DF393" i="18"/>
  <c r="DG390" i="18"/>
  <c r="DS208" i="18"/>
  <c r="DS56" i="18" s="1"/>
  <c r="DT209" i="18"/>
  <c r="DS71" i="18" l="1"/>
  <c r="DR70" i="18"/>
  <c r="DR10" i="18" s="1"/>
  <c r="DW72" i="18"/>
  <c r="DT74" i="18"/>
  <c r="DS73" i="18"/>
  <c r="DS63" i="18" s="1"/>
  <c r="DP32" i="14" s="1"/>
  <c r="DX77" i="18"/>
  <c r="DW76" i="18"/>
  <c r="DW13" i="18" s="1"/>
  <c r="DU80" i="18"/>
  <c r="DT79" i="18"/>
  <c r="DT14" i="18" s="1"/>
  <c r="DG393" i="18"/>
  <c r="DH390" i="18"/>
  <c r="DG392" i="18"/>
  <c r="DT208" i="18"/>
  <c r="DT56" i="18" s="1"/>
  <c r="DU209" i="18"/>
  <c r="DT71" i="18" l="1"/>
  <c r="DS70" i="18"/>
  <c r="DS10" i="18" s="1"/>
  <c r="DX72" i="18"/>
  <c r="DV80" i="18"/>
  <c r="DU79" i="18"/>
  <c r="DU14" i="18" s="1"/>
  <c r="DU74" i="18"/>
  <c r="DT73" i="18"/>
  <c r="DT63" i="18" s="1"/>
  <c r="DQ32" i="14" s="1"/>
  <c r="DY77" i="18"/>
  <c r="DX76" i="18"/>
  <c r="DX13" i="18" s="1"/>
  <c r="DH392" i="18"/>
  <c r="DH393" i="18"/>
  <c r="DI390" i="18"/>
  <c r="DU208" i="18"/>
  <c r="DU56" i="18" s="1"/>
  <c r="DV209" i="18"/>
  <c r="DU71" i="18" l="1"/>
  <c r="DT70" i="18"/>
  <c r="DT10" i="18" s="1"/>
  <c r="DY72" i="18"/>
  <c r="DV74" i="18"/>
  <c r="DU73" i="18"/>
  <c r="DU63" i="18" s="1"/>
  <c r="DR32" i="14" s="1"/>
  <c r="DZ77" i="18"/>
  <c r="DY76" i="18"/>
  <c r="DY13" i="18" s="1"/>
  <c r="DW80" i="18"/>
  <c r="DV79" i="18"/>
  <c r="DV14" i="18" s="1"/>
  <c r="DJ390" i="18"/>
  <c r="DI393" i="18"/>
  <c r="DI392" i="18"/>
  <c r="DV208" i="18"/>
  <c r="DV56" i="18" s="1"/>
  <c r="DW209" i="18"/>
  <c r="DV71" i="18" l="1"/>
  <c r="DU70" i="18"/>
  <c r="DU10" i="18" s="1"/>
  <c r="DZ72" i="18"/>
  <c r="DX80" i="18"/>
  <c r="DW79" i="18"/>
  <c r="DW14" i="18" s="1"/>
  <c r="DW74" i="18"/>
  <c r="DV73" i="18"/>
  <c r="DV63" i="18" s="1"/>
  <c r="DS32" i="14" s="1"/>
  <c r="EA77" i="18"/>
  <c r="DZ76" i="18"/>
  <c r="DZ13" i="18" s="1"/>
  <c r="DJ392" i="18"/>
  <c r="DK390" i="18"/>
  <c r="DJ393" i="18"/>
  <c r="DW208" i="18"/>
  <c r="DW56" i="18" s="1"/>
  <c r="DX209" i="18"/>
  <c r="DW71" i="18" l="1"/>
  <c r="DV70" i="18"/>
  <c r="DV10" i="18" s="1"/>
  <c r="EA72" i="18"/>
  <c r="DX74" i="18"/>
  <c r="DW73" i="18"/>
  <c r="DW63" i="18" s="1"/>
  <c r="DT32" i="14" s="1"/>
  <c r="EB77" i="18"/>
  <c r="EA76" i="18"/>
  <c r="EA13" i="18" s="1"/>
  <c r="DY80" i="18"/>
  <c r="DX79" i="18"/>
  <c r="DX14" i="18" s="1"/>
  <c r="DL390" i="18"/>
  <c r="DK393" i="18"/>
  <c r="DK392" i="18"/>
  <c r="DX208" i="18"/>
  <c r="DX56" i="18" s="1"/>
  <c r="DY209" i="18"/>
  <c r="DX71" i="18" l="1"/>
  <c r="DW70" i="18"/>
  <c r="DW10" i="18" s="1"/>
  <c r="EB72" i="18"/>
  <c r="DZ80" i="18"/>
  <c r="DY79" i="18"/>
  <c r="DY14" i="18" s="1"/>
  <c r="DY74" i="18"/>
  <c r="DX73" i="18"/>
  <c r="DX63" i="18" s="1"/>
  <c r="DU32" i="14" s="1"/>
  <c r="EC77" i="18"/>
  <c r="EB76" i="18"/>
  <c r="EB13" i="18" s="1"/>
  <c r="DL392" i="18"/>
  <c r="DL393" i="18"/>
  <c r="DM390" i="18"/>
  <c r="DY208" i="18"/>
  <c r="DY56" i="18" s="1"/>
  <c r="DZ209" i="18"/>
  <c r="DY71" i="18" l="1"/>
  <c r="DX70" i="18"/>
  <c r="DX10" i="18" s="1"/>
  <c r="EC72" i="18"/>
  <c r="DZ74" i="18"/>
  <c r="DY73" i="18"/>
  <c r="DY63" i="18" s="1"/>
  <c r="DV32" i="14" s="1"/>
  <c r="ED77" i="18"/>
  <c r="EC76" i="18"/>
  <c r="EC13" i="18" s="1"/>
  <c r="EA80" i="18"/>
  <c r="DZ79" i="18"/>
  <c r="DZ14" i="18" s="1"/>
  <c r="DM393" i="18"/>
  <c r="DN390" i="18"/>
  <c r="DM392" i="18"/>
  <c r="DZ208" i="18"/>
  <c r="DZ56" i="18" s="1"/>
  <c r="EA209" i="18"/>
  <c r="DZ71" i="18" l="1"/>
  <c r="DY70" i="18"/>
  <c r="DY10" i="18" s="1"/>
  <c r="ED72" i="18"/>
  <c r="EB80" i="18"/>
  <c r="EA79" i="18"/>
  <c r="EA14" i="18" s="1"/>
  <c r="EA74" i="18"/>
  <c r="DZ73" i="18"/>
  <c r="DZ63" i="18" s="1"/>
  <c r="DW32" i="14" s="1"/>
  <c r="EE77" i="18"/>
  <c r="ED76" i="18"/>
  <c r="ED13" i="18" s="1"/>
  <c r="DN392" i="18"/>
  <c r="DN393" i="18"/>
  <c r="DO390" i="18"/>
  <c r="EA208" i="18"/>
  <c r="EA56" i="18" s="1"/>
  <c r="EB209" i="18"/>
  <c r="EA71" i="18" l="1"/>
  <c r="DZ70" i="18"/>
  <c r="DZ10" i="18" s="1"/>
  <c r="EE72" i="18"/>
  <c r="EB74" i="18"/>
  <c r="EA73" i="18"/>
  <c r="EA63" i="18" s="1"/>
  <c r="DX32" i="14" s="1"/>
  <c r="EF77" i="18"/>
  <c r="EE76" i="18"/>
  <c r="EE13" i="18" s="1"/>
  <c r="EC80" i="18"/>
  <c r="EB79" i="18"/>
  <c r="EB14" i="18" s="1"/>
  <c r="DO392" i="18"/>
  <c r="DP390" i="18"/>
  <c r="DP393" i="18" s="1"/>
  <c r="DO393" i="18"/>
  <c r="EB208" i="18"/>
  <c r="EB56" i="18" s="1"/>
  <c r="EC209" i="18"/>
  <c r="EB71" i="18" l="1"/>
  <c r="EA70" i="18"/>
  <c r="EA10" i="18" s="1"/>
  <c r="EF72" i="18"/>
  <c r="ED80" i="18"/>
  <c r="EC79" i="18"/>
  <c r="EC14" i="18" s="1"/>
  <c r="EC74" i="18"/>
  <c r="EB73" i="18"/>
  <c r="EB63" i="18" s="1"/>
  <c r="DY32" i="14" s="1"/>
  <c r="EG77" i="18"/>
  <c r="EF76" i="18"/>
  <c r="EF13" i="18" s="1"/>
  <c r="DQ390" i="18"/>
  <c r="DQ393" i="18" s="1"/>
  <c r="DP392" i="18"/>
  <c r="EC208" i="18"/>
  <c r="EC56" i="18" s="1"/>
  <c r="ED209" i="18"/>
  <c r="EC71" i="18" l="1"/>
  <c r="EB70" i="18"/>
  <c r="EB10" i="18" s="1"/>
  <c r="EG72" i="18"/>
  <c r="ED74" i="18"/>
  <c r="EC73" i="18"/>
  <c r="EC63" i="18" s="1"/>
  <c r="DZ32" i="14" s="1"/>
  <c r="EH77" i="18"/>
  <c r="EG76" i="18"/>
  <c r="EG13" i="18" s="1"/>
  <c r="EE80" i="18"/>
  <c r="ED79" i="18"/>
  <c r="ED14" i="18" s="1"/>
  <c r="DR390" i="18"/>
  <c r="DR393" i="18" s="1"/>
  <c r="DQ392" i="18"/>
  <c r="ED208" i="18"/>
  <c r="ED56" i="18" s="1"/>
  <c r="EE209" i="18"/>
  <c r="ED71" i="18" l="1"/>
  <c r="EC70" i="18"/>
  <c r="EC10" i="18" s="1"/>
  <c r="EH72" i="18"/>
  <c r="EF80" i="18"/>
  <c r="EE79" i="18"/>
  <c r="EE14" i="18" s="1"/>
  <c r="EE74" i="18"/>
  <c r="ED73" i="18"/>
  <c r="ED63" i="18" s="1"/>
  <c r="EA32" i="14" s="1"/>
  <c r="EI77" i="18"/>
  <c r="EH76" i="18"/>
  <c r="EH13" i="18" s="1"/>
  <c r="DS390" i="18"/>
  <c r="DS393" i="18" s="1"/>
  <c r="DR392" i="18"/>
  <c r="EE208" i="18"/>
  <c r="EE56" i="18" s="1"/>
  <c r="EF209" i="18"/>
  <c r="EE71" i="18" l="1"/>
  <c r="ED70" i="18"/>
  <c r="ED10" i="18" s="1"/>
  <c r="EI72" i="18"/>
  <c r="EF74" i="18"/>
  <c r="EE73" i="18"/>
  <c r="EE63" i="18" s="1"/>
  <c r="EB32" i="14" s="1"/>
  <c r="EI76" i="18"/>
  <c r="EI13" i="18" s="1"/>
  <c r="F77" i="18"/>
  <c r="E77" i="18" s="1"/>
  <c r="EG80" i="18"/>
  <c r="EF79" i="18"/>
  <c r="EF14" i="18" s="1"/>
  <c r="DT390" i="18"/>
  <c r="DT393" i="18" s="1"/>
  <c r="DS392" i="18"/>
  <c r="EF208" i="18"/>
  <c r="EF56" i="18" s="1"/>
  <c r="EG209" i="18"/>
  <c r="F76" i="18" l="1"/>
  <c r="E76" i="18" s="1"/>
  <c r="E13" i="18"/>
  <c r="EF71" i="18"/>
  <c r="EE70" i="18"/>
  <c r="EE10" i="18" s="1"/>
  <c r="F72" i="18"/>
  <c r="E72" i="18" s="1"/>
  <c r="EH80" i="18"/>
  <c r="EG79" i="18"/>
  <c r="EG14" i="18" s="1"/>
  <c r="EG74" i="18"/>
  <c r="EF73" i="18"/>
  <c r="EF63" i="18" s="1"/>
  <c r="EC32" i="14" s="1"/>
  <c r="DT392" i="18"/>
  <c r="DU390" i="18"/>
  <c r="DV390" i="18" s="1"/>
  <c r="DV393" i="18" s="1"/>
  <c r="EG208" i="18"/>
  <c r="EG56" i="18" s="1"/>
  <c r="EH209" i="18"/>
  <c r="EG71" i="18" l="1"/>
  <c r="EF70" i="18"/>
  <c r="EF10" i="18" s="1"/>
  <c r="EH74" i="18"/>
  <c r="EG73" i="18"/>
  <c r="EG63" i="18" s="1"/>
  <c r="ED32" i="14" s="1"/>
  <c r="EI80" i="18"/>
  <c r="EH79" i="18"/>
  <c r="EH14" i="18" s="1"/>
  <c r="DU392" i="18"/>
  <c r="DV392" i="18" s="1"/>
  <c r="DW390" i="18"/>
  <c r="DW393" i="18" s="1"/>
  <c r="DU393" i="18"/>
  <c r="EH208" i="18"/>
  <c r="EH56" i="18" s="1"/>
  <c r="EI209" i="18"/>
  <c r="EH71" i="18" l="1"/>
  <c r="EG70" i="18"/>
  <c r="EG10" i="18" s="1"/>
  <c r="EI79" i="18"/>
  <c r="EI14" i="18" s="1"/>
  <c r="F80" i="18"/>
  <c r="E80" i="18" s="1"/>
  <c r="EI74" i="18"/>
  <c r="EH73" i="18"/>
  <c r="EH63" i="18" s="1"/>
  <c r="EE32" i="14" s="1"/>
  <c r="DX390" i="18"/>
  <c r="DX393" i="18" s="1"/>
  <c r="DW392" i="18"/>
  <c r="EI208" i="18"/>
  <c r="F209" i="18"/>
  <c r="E209" i="18" s="1"/>
  <c r="F208" i="18" l="1"/>
  <c r="E208" i="18" s="1"/>
  <c r="EI56" i="18"/>
  <c r="E56" i="18" s="1"/>
  <c r="F79" i="18"/>
  <c r="E79" i="18" s="1"/>
  <c r="E14" i="18"/>
  <c r="EI71" i="18"/>
  <c r="EH70" i="18"/>
  <c r="EH10" i="18" s="1"/>
  <c r="EI73" i="18"/>
  <c r="F74" i="18"/>
  <c r="E74" i="18" s="1"/>
  <c r="DY390" i="18"/>
  <c r="DZ390" i="18" s="1"/>
  <c r="DX392" i="18"/>
  <c r="EI63" i="18" l="1"/>
  <c r="F71" i="18"/>
  <c r="E71" i="18" s="1"/>
  <c r="EI70" i="18"/>
  <c r="EI10" i="18" s="1"/>
  <c r="F73" i="18"/>
  <c r="E73" i="18" s="1"/>
  <c r="DY393" i="18"/>
  <c r="DY392" i="18"/>
  <c r="DZ392" i="18" s="1"/>
  <c r="DZ393" i="18"/>
  <c r="EA390" i="18"/>
  <c r="E63" i="18" l="1"/>
  <c r="EF32" i="14"/>
  <c r="E10" i="18"/>
  <c r="F70" i="18"/>
  <c r="E70" i="18" s="1"/>
  <c r="EA393" i="18"/>
  <c r="EB390" i="18"/>
  <c r="EA392" i="18"/>
  <c r="C32" i="14" l="1"/>
  <c r="EB392" i="18"/>
  <c r="EB393" i="18"/>
  <c r="EC390" i="18"/>
  <c r="EC393" i="18" l="1"/>
  <c r="ED390" i="18"/>
  <c r="EC392" i="18"/>
  <c r="ED392" i="18" l="1"/>
  <c r="ED393" i="18"/>
  <c r="EE390" i="18"/>
  <c r="EE392" i="18" l="1"/>
  <c r="EE393" i="18"/>
  <c r="EF390" i="18"/>
  <c r="EF393" i="18" l="1"/>
  <c r="EG390" i="18"/>
  <c r="EF392" i="18"/>
  <c r="EG392" i="18" l="1"/>
  <c r="EG393" i="18"/>
  <c r="EH390" i="18"/>
  <c r="EH392" i="18" l="1"/>
  <c r="EH393" i="18"/>
  <c r="EI390" i="18"/>
  <c r="EC394" i="18" s="1"/>
  <c r="EG394" i="18" l="1"/>
  <c r="EF394" i="18"/>
  <c r="EB394" i="18"/>
  <c r="EI394" i="18"/>
  <c r="EI393" i="18"/>
  <c r="H394" i="18"/>
  <c r="O394" i="18"/>
  <c r="I394" i="18"/>
  <c r="G394" i="18"/>
  <c r="K394" i="18"/>
  <c r="J394" i="18"/>
  <c r="F390" i="18"/>
  <c r="N394" i="18"/>
  <c r="M394" i="18"/>
  <c r="W394" i="18"/>
  <c r="L394" i="18"/>
  <c r="P394" i="18"/>
  <c r="S394" i="18"/>
  <c r="Q394" i="18"/>
  <c r="R394" i="18"/>
  <c r="V394" i="18"/>
  <c r="U394" i="18"/>
  <c r="T394" i="18"/>
  <c r="Y394" i="18"/>
  <c r="X394" i="18"/>
  <c r="Z394" i="18"/>
  <c r="AB394" i="18"/>
  <c r="AA394" i="18"/>
  <c r="AC394" i="18"/>
  <c r="AD394" i="18"/>
  <c r="AE394" i="18"/>
  <c r="AF394" i="18"/>
  <c r="AG394" i="18"/>
  <c r="AK394" i="18"/>
  <c r="AH394" i="18"/>
  <c r="AI394" i="18"/>
  <c r="AJ394" i="18"/>
  <c r="AL394" i="18"/>
  <c r="AM394" i="18"/>
  <c r="AN394" i="18"/>
  <c r="AO394" i="18"/>
  <c r="AQ394" i="18"/>
  <c r="AP394" i="18"/>
  <c r="AR394" i="18"/>
  <c r="AT394" i="18"/>
  <c r="AS394" i="18"/>
  <c r="AU394" i="18"/>
  <c r="AV394" i="18"/>
  <c r="AW394" i="18"/>
  <c r="AX394" i="18"/>
  <c r="AY394" i="18"/>
  <c r="AZ394" i="18"/>
  <c r="BA394" i="18"/>
  <c r="BB394" i="18"/>
  <c r="BC394" i="18"/>
  <c r="BD394" i="18"/>
  <c r="BF394" i="18"/>
  <c r="BE394" i="18"/>
  <c r="BH394" i="18"/>
  <c r="BG394" i="18"/>
  <c r="BJ394" i="18"/>
  <c r="BI394" i="18"/>
  <c r="BM394" i="18"/>
  <c r="BK394" i="18"/>
  <c r="BO394" i="18"/>
  <c r="BQ394" i="18"/>
  <c r="BL394" i="18"/>
  <c r="BN394" i="18"/>
  <c r="BP394" i="18"/>
  <c r="BR394" i="18"/>
  <c r="BS394" i="18"/>
  <c r="BU394" i="18"/>
  <c r="BT394" i="18"/>
  <c r="BW394" i="18"/>
  <c r="BX394" i="18"/>
  <c r="BV394" i="18"/>
  <c r="BY394" i="18"/>
  <c r="BZ394" i="18"/>
  <c r="CB394" i="18"/>
  <c r="CA394" i="18"/>
  <c r="CC394" i="18"/>
  <c r="CE394" i="18"/>
  <c r="CD394" i="18"/>
  <c r="CF394" i="18"/>
  <c r="CH394" i="18"/>
  <c r="CG394" i="18"/>
  <c r="CI394" i="18"/>
  <c r="CL394" i="18"/>
  <c r="CM394" i="18"/>
  <c r="CJ394" i="18"/>
  <c r="CK394" i="18"/>
  <c r="CN394" i="18"/>
  <c r="CO394" i="18"/>
  <c r="CP394" i="18"/>
  <c r="CS394" i="18"/>
  <c r="CQ394" i="18"/>
  <c r="CR394" i="18"/>
  <c r="CU394" i="18"/>
  <c r="CV394" i="18"/>
  <c r="CT394" i="18"/>
  <c r="CW394" i="18"/>
  <c r="CX394" i="18"/>
  <c r="CY394" i="18"/>
  <c r="DB394" i="18"/>
  <c r="DA394" i="18"/>
  <c r="CZ394" i="18"/>
  <c r="DC394" i="18"/>
  <c r="DD394" i="18"/>
  <c r="DE394" i="18"/>
  <c r="DF394" i="18"/>
  <c r="DH394" i="18"/>
  <c r="DG394" i="18"/>
  <c r="DL394" i="18"/>
  <c r="DK394" i="18"/>
  <c r="DI394" i="18"/>
  <c r="DJ394" i="18"/>
  <c r="DM394" i="18"/>
  <c r="DN394" i="18"/>
  <c r="DO394" i="18"/>
  <c r="DP394" i="18"/>
  <c r="DR394" i="18"/>
  <c r="DQ394" i="18"/>
  <c r="DS394" i="18"/>
  <c r="DW394" i="18"/>
  <c r="DU394" i="18"/>
  <c r="DT394" i="18"/>
  <c r="DX394" i="18"/>
  <c r="DV394" i="18"/>
  <c r="DY394" i="18"/>
  <c r="DZ394" i="18"/>
  <c r="EA394" i="18"/>
  <c r="EI392" i="18"/>
  <c r="EE394" i="18"/>
  <c r="ED394" i="18"/>
  <c r="EH394" i="18"/>
  <c r="F392" i="18" l="1"/>
  <c r="E392" i="18"/>
  <c r="BX290" i="18" l="1"/>
  <c r="AM270" i="18"/>
  <c r="AJ290" i="18"/>
  <c r="AF270" i="18"/>
  <c r="AX270" i="18"/>
  <c r="DV361" i="18"/>
  <c r="DQ290" i="18"/>
  <c r="CV270" i="18"/>
  <c r="DY290" i="18"/>
  <c r="S270" i="18"/>
  <c r="DM270" i="18"/>
  <c r="CM361" i="18"/>
  <c r="P290" i="18"/>
  <c r="BF361" i="18"/>
  <c r="DT290" i="18"/>
  <c r="CL270" i="18"/>
  <c r="AO361" i="18"/>
  <c r="DW361" i="18"/>
  <c r="BR270" i="18"/>
  <c r="AP290" i="18"/>
  <c r="AY361" i="18"/>
  <c r="DT361" i="18"/>
  <c r="BZ361" i="18"/>
  <c r="AK290" i="18"/>
  <c r="DX270" i="18"/>
  <c r="Q290" i="18"/>
  <c r="BT290" i="18"/>
  <c r="BB361" i="18"/>
  <c r="ED361" i="18"/>
  <c r="CQ290" i="18"/>
  <c r="BX270" i="18"/>
  <c r="DO290" i="18"/>
  <c r="BO361" i="18"/>
  <c r="DQ361" i="18"/>
  <c r="CU361" i="18"/>
  <c r="AE290" i="18"/>
  <c r="DU270" i="18"/>
  <c r="CG270" i="18"/>
  <c r="N290" i="18"/>
  <c r="AS361" i="18"/>
  <c r="EE361" i="18"/>
  <c r="DZ290" i="18"/>
  <c r="AW270" i="18"/>
  <c r="I361" i="18"/>
  <c r="O290" i="18"/>
  <c r="CD361" i="18"/>
  <c r="CX290" i="18"/>
  <c r="EB270" i="18"/>
  <c r="CH361" i="18"/>
  <c r="DO361" i="18"/>
  <c r="AG290" i="18"/>
  <c r="DA290" i="18"/>
  <c r="AR270" i="18"/>
  <c r="BJ270" i="18"/>
  <c r="P361" i="18"/>
  <c r="DX361" i="18"/>
  <c r="CU290" i="18"/>
  <c r="DC361" i="18"/>
  <c r="AZ290" i="18"/>
  <c r="DY270" i="18"/>
  <c r="DK361" i="18"/>
  <c r="BY290" i="18"/>
  <c r="CI270" i="18"/>
  <c r="EC290" i="18"/>
  <c r="DJ270" i="18"/>
  <c r="BA270" i="18"/>
  <c r="AA361" i="18"/>
  <c r="AI290" i="18"/>
  <c r="DV290" i="18"/>
  <c r="X270" i="18"/>
  <c r="BT270" i="18"/>
  <c r="W361" i="18"/>
  <c r="K290" i="18"/>
  <c r="I270" i="18"/>
  <c r="CA361" i="18"/>
  <c r="DK290" i="18"/>
  <c r="AP361" i="18"/>
  <c r="AC290" i="18"/>
  <c r="CN270" i="18"/>
  <c r="AT270" i="18"/>
  <c r="DC270" i="18"/>
  <c r="AY290" i="18"/>
  <c r="DE361" i="18"/>
  <c r="BK361" i="18"/>
  <c r="AB270" i="18"/>
  <c r="DI270" i="18"/>
  <c r="AF290" i="18"/>
  <c r="CS290" i="18"/>
  <c r="AG361" i="18"/>
  <c r="CP290" i="18"/>
  <c r="DK270" i="18"/>
  <c r="AK270" i="18"/>
  <c r="BG290" i="18"/>
  <c r="DH270" i="18"/>
  <c r="BE290" i="18"/>
  <c r="BS270" i="18"/>
  <c r="DP270" i="18"/>
  <c r="BV361" i="18"/>
  <c r="DR270" i="18"/>
  <c r="BU361" i="18"/>
  <c r="X361" i="18"/>
  <c r="DG290" i="18"/>
  <c r="BV270" i="18"/>
  <c r="AB361" i="18"/>
  <c r="AS270" i="18"/>
  <c r="EA270" i="18"/>
  <c r="EA361" i="18"/>
  <c r="AU290" i="18"/>
  <c r="J270" i="18"/>
  <c r="BO270" i="18"/>
  <c r="K361" i="18"/>
  <c r="BA290" i="18"/>
  <c r="BG361" i="18"/>
  <c r="R290" i="18"/>
  <c r="BM270" i="18"/>
  <c r="BW361" i="18"/>
  <c r="CK290" i="18"/>
  <c r="AN361" i="18"/>
  <c r="EG290" i="18"/>
  <c r="CF270" i="18"/>
  <c r="BS361" i="18"/>
  <c r="BD361" i="18"/>
  <c r="AM290" i="18"/>
  <c r="EF290" i="18"/>
  <c r="BB270" i="18"/>
  <c r="N270" i="18"/>
  <c r="AF361" i="18"/>
  <c r="DM361" i="18"/>
  <c r="DB290" i="18"/>
  <c r="V290" i="18"/>
  <c r="BH270" i="18"/>
  <c r="CC270" i="18"/>
  <c r="S361" i="18"/>
  <c r="BA361" i="18"/>
  <c r="CR290" i="18"/>
  <c r="AD290" i="18"/>
  <c r="R270" i="18"/>
  <c r="EF270" i="18"/>
  <c r="CL361" i="18"/>
  <c r="BW290" i="18"/>
  <c r="BU270" i="18"/>
  <c r="AE361" i="18"/>
  <c r="AV290" i="18"/>
  <c r="CI361" i="18"/>
  <c r="AA290" i="18"/>
  <c r="Y270" i="18"/>
  <c r="CQ270" i="18"/>
  <c r="I290" i="18"/>
  <c r="DM290" i="18"/>
  <c r="AJ361" i="18"/>
  <c r="CZ290" i="18"/>
  <c r="CH270" i="18"/>
  <c r="AN270" i="18"/>
  <c r="CT290" i="18"/>
  <c r="AW290" i="18"/>
  <c r="AI361" i="18"/>
  <c r="AN290" i="18"/>
  <c r="V270" i="18"/>
  <c r="AY270" i="18"/>
  <c r="O270" i="18"/>
  <c r="CE270" i="18"/>
  <c r="CT361" i="18"/>
  <c r="J290" i="18"/>
  <c r="BY270" i="18"/>
  <c r="DB270" i="18"/>
  <c r="CL290" i="18"/>
  <c r="CJ270" i="18"/>
  <c r="CD290" i="18"/>
  <c r="CR270" i="18"/>
  <c r="CY270" i="18"/>
  <c r="BP361" i="18"/>
  <c r="BC290" i="18"/>
  <c r="EA290" i="18"/>
  <c r="EG361" i="18"/>
  <c r="EC270" i="18"/>
  <c r="T361" i="18"/>
  <c r="CJ290" i="18"/>
  <c r="BJ290" i="18"/>
  <c r="BO290" i="18"/>
  <c r="L361" i="18"/>
  <c r="BQ270" i="18"/>
  <c r="DS361" i="18"/>
  <c r="X290" i="18"/>
  <c r="EG270" i="18"/>
  <c r="AH290" i="18"/>
  <c r="CW361" i="18"/>
  <c r="BE361" i="18"/>
  <c r="AQ361" i="18"/>
  <c r="BI290" i="18"/>
  <c r="BI270" i="18"/>
  <c r="BE270" i="18"/>
  <c r="BR290" i="18"/>
  <c r="AM361" i="18"/>
  <c r="CO290" i="18"/>
  <c r="M270" i="18"/>
  <c r="BC270" i="18"/>
  <c r="EE290" i="18"/>
  <c r="EC361" i="18"/>
  <c r="BF270" i="18"/>
  <c r="CG290" i="18"/>
  <c r="BQ361" i="18"/>
  <c r="CP270" i="18"/>
  <c r="DH290" i="18"/>
  <c r="CM290" i="18"/>
  <c r="DZ270" i="18"/>
  <c r="EH290" i="18"/>
  <c r="DD270" i="18"/>
  <c r="CB361" i="18"/>
  <c r="DG270" i="18"/>
  <c r="AL270" i="18"/>
  <c r="J361" i="18"/>
  <c r="DT270" i="18"/>
  <c r="DA270" i="18"/>
  <c r="BY361" i="18"/>
  <c r="CD270" i="18"/>
  <c r="AC270" i="18"/>
  <c r="EB361" i="18"/>
  <c r="BL290" i="18"/>
  <c r="BN270" i="18"/>
  <c r="U290" i="18"/>
  <c r="BN290" i="18"/>
  <c r="BH361" i="18"/>
  <c r="DR290" i="18"/>
  <c r="BQ290" i="18"/>
  <c r="BK270" i="18"/>
  <c r="ED290" i="18"/>
  <c r="DQ270" i="18"/>
  <c r="O361" i="18"/>
  <c r="CN290" i="18"/>
  <c r="AG270" i="18"/>
  <c r="CJ361" i="18"/>
  <c r="AA270" i="18"/>
  <c r="S290" i="18"/>
  <c r="DW290" i="18"/>
  <c r="AR361" i="18"/>
  <c r="BF290" i="18"/>
  <c r="BK290" i="18"/>
  <c r="DF270" i="18"/>
  <c r="DN290" i="18"/>
  <c r="BS290" i="18"/>
  <c r="DJ361" i="18"/>
  <c r="AZ270" i="18"/>
  <c r="BV290" i="18"/>
  <c r="BT361" i="18"/>
  <c r="DO270" i="18"/>
  <c r="ED270" i="18"/>
  <c r="CU270" i="18"/>
  <c r="EE270" i="18"/>
  <c r="CV361" i="18"/>
  <c r="AD361" i="18"/>
  <c r="CS361" i="18"/>
  <c r="U361" i="18"/>
  <c r="BH290" i="18"/>
  <c r="AX290" i="18"/>
  <c r="BM290" i="18"/>
  <c r="AP270" i="18"/>
  <c r="BN361" i="18"/>
  <c r="DE290" i="18"/>
  <c r="AS290" i="18"/>
  <c r="BP290" i="18"/>
  <c r="DL290" i="18"/>
  <c r="CY290" i="18"/>
  <c r="AD270" i="18"/>
  <c r="Z361" i="18"/>
  <c r="DB361" i="18"/>
  <c r="AJ270" i="18"/>
  <c r="CO361" i="18"/>
  <c r="EI361" i="18"/>
  <c r="DU361" i="18"/>
  <c r="Q361" i="18"/>
  <c r="CA270" i="18"/>
  <c r="DI290" i="18"/>
  <c r="AO290" i="18"/>
  <c r="CZ270" i="18"/>
  <c r="CV290" i="18"/>
  <c r="W290" i="18"/>
  <c r="AH270" i="18"/>
  <c r="CI290" i="18"/>
  <c r="CH290" i="18"/>
  <c r="CW270" i="18"/>
  <c r="AW361" i="18"/>
  <c r="DD290" i="18"/>
  <c r="Y361" i="18"/>
  <c r="BL361" i="18"/>
  <c r="W270" i="18"/>
  <c r="BJ361" i="18"/>
  <c r="AT361" i="18"/>
  <c r="T270" i="18"/>
  <c r="CX361" i="18"/>
  <c r="AZ361" i="18"/>
  <c r="DS270" i="18"/>
  <c r="AU361" i="18"/>
  <c r="L290" i="18"/>
  <c r="AQ270" i="18"/>
  <c r="CY361" i="18"/>
  <c r="CS270" i="18"/>
  <c r="DH361" i="18"/>
  <c r="AL290" i="18"/>
  <c r="BG270" i="18"/>
  <c r="R361" i="18"/>
  <c r="BP270" i="18"/>
  <c r="U270" i="18"/>
  <c r="CG361" i="18"/>
  <c r="DV270" i="18"/>
  <c r="CQ361" i="18"/>
  <c r="DC290" i="18"/>
  <c r="AU270" i="18"/>
  <c r="T290" i="18"/>
  <c r="AV270" i="18"/>
  <c r="CR361" i="18"/>
  <c r="BL270" i="18"/>
  <c r="DF361" i="18"/>
  <c r="EH361" i="18"/>
  <c r="CW290" i="18"/>
  <c r="BW270" i="18"/>
  <c r="CB270" i="18"/>
  <c r="P270" i="18"/>
  <c r="CM270" i="18"/>
  <c r="M290" i="18"/>
  <c r="CB290" i="18"/>
  <c r="DA361" i="18"/>
  <c r="AC361" i="18"/>
  <c r="BZ290" i="18"/>
  <c r="DL270" i="18"/>
  <c r="DZ361" i="18"/>
  <c r="AO270" i="18"/>
  <c r="BZ270" i="18"/>
  <c r="AI270" i="18"/>
  <c r="AV361" i="18"/>
  <c r="AT290" i="18"/>
  <c r="DE270" i="18"/>
  <c r="CE361" i="18"/>
  <c r="Y290" i="18"/>
  <c r="AK361" i="18"/>
  <c r="DR361" i="18"/>
  <c r="CK270" i="18"/>
  <c r="DL361" i="18"/>
  <c r="AQ290" i="18"/>
  <c r="DW270" i="18"/>
  <c r="BC361" i="18"/>
  <c r="DP290" i="18"/>
  <c r="BD270" i="18"/>
  <c r="CZ361" i="18"/>
  <c r="BD290" i="18"/>
  <c r="CX270" i="18"/>
  <c r="EB290" i="18"/>
  <c r="Z290" i="18"/>
  <c r="EH270" i="18"/>
  <c r="EI270" i="18"/>
  <c r="DN361" i="18"/>
  <c r="CF361" i="18"/>
  <c r="K270" i="18"/>
  <c r="DI361" i="18"/>
  <c r="N361" i="18"/>
  <c r="EI290" i="18"/>
  <c r="CP361" i="18"/>
  <c r="CC361" i="18"/>
  <c r="DN270" i="18"/>
  <c r="CA290" i="18"/>
  <c r="EF361" i="18"/>
  <c r="AE270" i="18"/>
  <c r="BI361" i="18"/>
  <c r="AR290" i="18"/>
  <c r="CN361" i="18"/>
  <c r="BR361" i="18"/>
  <c r="Z270" i="18"/>
  <c r="DY361" i="18"/>
  <c r="BX361" i="18"/>
  <c r="CO270" i="18"/>
  <c r="BM361" i="18"/>
  <c r="AH361" i="18"/>
  <c r="Q270" i="18"/>
  <c r="DP361" i="18"/>
  <c r="DJ290" i="18"/>
  <c r="DG361" i="18"/>
  <c r="AB290" i="18"/>
  <c r="CF290" i="18"/>
  <c r="DF290" i="18"/>
  <c r="DX290" i="18"/>
  <c r="CC290" i="18"/>
  <c r="DU290" i="18"/>
  <c r="BB290" i="18"/>
  <c r="CT270" i="18"/>
  <c r="CE290" i="18"/>
  <c r="DD361" i="18"/>
  <c r="AL361" i="18"/>
  <c r="BU290" i="18"/>
  <c r="L270" i="18"/>
  <c r="DS290" i="18"/>
  <c r="V361" i="18"/>
  <c r="CK361" i="18"/>
  <c r="M361" i="18"/>
  <c r="AX361" i="18"/>
  <c r="H361" i="18"/>
  <c r="H290" i="18"/>
  <c r="H289" i="18" s="1"/>
  <c r="I118" i="18" s="1"/>
  <c r="H264" i="18"/>
  <c r="H270" i="18"/>
  <c r="H360" i="18" l="1"/>
  <c r="I188" i="18" s="1"/>
  <c r="I93" i="18"/>
  <c r="I264" i="18"/>
  <c r="J264" i="18" s="1"/>
  <c r="H267" i="18"/>
  <c r="H266" i="18"/>
  <c r="H291" i="18"/>
  <c r="H292" i="18"/>
  <c r="I289" i="18"/>
  <c r="J289" i="18" s="1"/>
  <c r="H362" i="18" l="1"/>
  <c r="I360" i="18"/>
  <c r="J360" i="18" s="1"/>
  <c r="J363" i="18" s="1"/>
  <c r="H363" i="18"/>
  <c r="J93" i="18"/>
  <c r="H92" i="18" s="1"/>
  <c r="J118" i="18"/>
  <c r="K289" i="18"/>
  <c r="L289" i="18" s="1"/>
  <c r="J292" i="18"/>
  <c r="I267" i="18"/>
  <c r="J267" i="18"/>
  <c r="I292" i="18"/>
  <c r="I291" i="18"/>
  <c r="I266" i="18"/>
  <c r="K264" i="18"/>
  <c r="L264" i="18" s="1"/>
  <c r="J188" i="18" l="1"/>
  <c r="K188" i="18" s="1"/>
  <c r="K360" i="18"/>
  <c r="K363" i="18" s="1"/>
  <c r="I363" i="18"/>
  <c r="I362" i="18"/>
  <c r="J362" i="18" s="1"/>
  <c r="J113" i="18"/>
  <c r="H117" i="18"/>
  <c r="K118" i="18"/>
  <c r="K93" i="18"/>
  <c r="L93" i="18" s="1"/>
  <c r="K292" i="18"/>
  <c r="M289" i="18"/>
  <c r="J291" i="18"/>
  <c r="L267" i="18"/>
  <c r="M264" i="18"/>
  <c r="K267" i="18"/>
  <c r="J266" i="18"/>
  <c r="H187" i="18" l="1"/>
  <c r="I187" i="18" s="1"/>
  <c r="L360" i="18"/>
  <c r="M360" i="18" s="1"/>
  <c r="L188" i="18"/>
  <c r="I92" i="18"/>
  <c r="J92" i="18" s="1"/>
  <c r="H112" i="18"/>
  <c r="K113" i="18"/>
  <c r="L113" i="18" s="1"/>
  <c r="M93" i="18"/>
  <c r="N93" i="18" s="1"/>
  <c r="I117" i="18"/>
  <c r="L118" i="18"/>
  <c r="N289" i="18"/>
  <c r="K291" i="18"/>
  <c r="K362" i="18"/>
  <c r="K266" i="18"/>
  <c r="N264" i="18"/>
  <c r="L363" i="18" l="1"/>
  <c r="J187" i="18"/>
  <c r="M188" i="18"/>
  <c r="M113" i="18"/>
  <c r="N113" i="18" s="1"/>
  <c r="I112" i="18"/>
  <c r="J112" i="18" s="1"/>
  <c r="J117" i="18"/>
  <c r="O93" i="18"/>
  <c r="M118" i="18"/>
  <c r="O289" i="18"/>
  <c r="L266" i="18"/>
  <c r="M363" i="18"/>
  <c r="O264" i="18"/>
  <c r="L362" i="18"/>
  <c r="N360" i="18"/>
  <c r="K187" i="18" l="1"/>
  <c r="N188" i="18"/>
  <c r="K112" i="18"/>
  <c r="L112" i="18" s="1"/>
  <c r="O113" i="18"/>
  <c r="P113" i="18" s="1"/>
  <c r="P93" i="18"/>
  <c r="K117" i="18"/>
  <c r="N118" i="18"/>
  <c r="O118" i="18" s="1"/>
  <c r="K92" i="18"/>
  <c r="M362" i="18"/>
  <c r="O292" i="18"/>
  <c r="P264" i="18"/>
  <c r="P289" i="18"/>
  <c r="Q289" i="18" s="1"/>
  <c r="N363" i="18"/>
  <c r="O360" i="18"/>
  <c r="L187" i="18" l="1"/>
  <c r="O188" i="18"/>
  <c r="Q93" i="18"/>
  <c r="Q113" i="18"/>
  <c r="M112" i="18"/>
  <c r="P118" i="18"/>
  <c r="Q118" i="18" s="1"/>
  <c r="L117" i="18"/>
  <c r="L92" i="18"/>
  <c r="L261" i="18"/>
  <c r="L291" i="18"/>
  <c r="L262" i="18"/>
  <c r="P360" i="18"/>
  <c r="P363" i="18" s="1"/>
  <c r="O363" i="18"/>
  <c r="Q264" i="18"/>
  <c r="N362" i="18"/>
  <c r="R289" i="18"/>
  <c r="P188" i="18" l="1"/>
  <c r="Q188" i="18" s="1"/>
  <c r="M187" i="18"/>
  <c r="R93" i="18"/>
  <c r="N112" i="18"/>
  <c r="R113" i="18"/>
  <c r="S113" i="18" s="1"/>
  <c r="R118" i="18"/>
  <c r="S118" i="18" s="1"/>
  <c r="M117" i="18"/>
  <c r="N117" i="18" s="1"/>
  <c r="M92" i="18"/>
  <c r="N92" i="18" s="1"/>
  <c r="L292" i="18"/>
  <c r="M291" i="18"/>
  <c r="Q360" i="18"/>
  <c r="R264" i="18"/>
  <c r="S289" i="18"/>
  <c r="O362" i="18"/>
  <c r="P362" i="18" s="1"/>
  <c r="N187" i="18" l="1"/>
  <c r="R188" i="18"/>
  <c r="S93" i="18"/>
  <c r="T113" i="18"/>
  <c r="O112" i="18"/>
  <c r="O117" i="18"/>
  <c r="P117" i="18" s="1"/>
  <c r="T118" i="18"/>
  <c r="O92" i="18"/>
  <c r="P92" i="18" s="1"/>
  <c r="M292" i="18"/>
  <c r="M266" i="18"/>
  <c r="R360" i="18"/>
  <c r="S360" i="18" s="1"/>
  <c r="S264" i="18"/>
  <c r="S292" i="18"/>
  <c r="T289" i="18"/>
  <c r="S188" i="18" l="1"/>
  <c r="T188" i="18" s="1"/>
  <c r="O187" i="18"/>
  <c r="T93" i="18"/>
  <c r="U113" i="18"/>
  <c r="P112" i="18"/>
  <c r="Q117" i="18"/>
  <c r="R117" i="18" s="1"/>
  <c r="U118" i="18"/>
  <c r="Q92" i="18"/>
  <c r="N266" i="18"/>
  <c r="O266" i="18" s="1"/>
  <c r="S363" i="18"/>
  <c r="T360" i="18"/>
  <c r="T264" i="18"/>
  <c r="T292" i="18"/>
  <c r="U289" i="18"/>
  <c r="U93" i="18" l="1"/>
  <c r="P187" i="18"/>
  <c r="U188" i="18"/>
  <c r="Q112" i="18"/>
  <c r="R112" i="18" s="1"/>
  <c r="S112" i="18" s="1"/>
  <c r="V113" i="18"/>
  <c r="V118" i="18"/>
  <c r="S117" i="18"/>
  <c r="R92" i="18"/>
  <c r="U264" i="18"/>
  <c r="U360" i="18"/>
  <c r="U292" i="18"/>
  <c r="V289" i="18"/>
  <c r="V93" i="18" l="1"/>
  <c r="Q187" i="18"/>
  <c r="V188" i="18"/>
  <c r="T112" i="18"/>
  <c r="W113" i="18"/>
  <c r="P257" i="18"/>
  <c r="T117" i="18"/>
  <c r="W118" i="18"/>
  <c r="S92" i="18"/>
  <c r="V360" i="18"/>
  <c r="W289" i="18"/>
  <c r="V264" i="18"/>
  <c r="R187" i="18" l="1"/>
  <c r="S187" i="18" s="1"/>
  <c r="W93" i="18"/>
  <c r="U117" i="18"/>
  <c r="W188" i="18"/>
  <c r="X113" i="18"/>
  <c r="U112" i="18"/>
  <c r="X118" i="18"/>
  <c r="T92" i="18"/>
  <c r="W264" i="18"/>
  <c r="W360" i="18"/>
  <c r="X289" i="18"/>
  <c r="T187" i="18" l="1"/>
  <c r="U187" i="18" s="1"/>
  <c r="X93" i="18"/>
  <c r="X188" i="18"/>
  <c r="V112" i="18"/>
  <c r="Y113" i="18"/>
  <c r="Y118" i="18"/>
  <c r="V117" i="18"/>
  <c r="U92" i="18"/>
  <c r="X360" i="18"/>
  <c r="X264" i="18"/>
  <c r="Y289" i="18"/>
  <c r="Y93" i="18" l="1"/>
  <c r="Y188" i="18"/>
  <c r="W117" i="18"/>
  <c r="Z113" i="18"/>
  <c r="W112" i="18"/>
  <c r="Z118" i="18"/>
  <c r="V92" i="18"/>
  <c r="V187" i="18"/>
  <c r="Y360" i="18"/>
  <c r="Z289" i="18"/>
  <c r="Y264" i="18"/>
  <c r="Z93" i="18" l="1"/>
  <c r="Z188" i="18"/>
  <c r="X112" i="18"/>
  <c r="AA113" i="18"/>
  <c r="U418" i="18"/>
  <c r="U413" i="18"/>
  <c r="AA118" i="18"/>
  <c r="X117" i="18"/>
  <c r="W92" i="18"/>
  <c r="W187" i="18"/>
  <c r="Z264" i="18"/>
  <c r="Z360" i="18"/>
  <c r="AA289" i="18"/>
  <c r="AA93" i="18" l="1"/>
  <c r="AA188" i="18"/>
  <c r="AB113" i="18"/>
  <c r="Y112" i="18"/>
  <c r="Y117" i="18"/>
  <c r="V413" i="18"/>
  <c r="V414" i="18" s="1"/>
  <c r="V418" i="18"/>
  <c r="V419" i="18" s="1"/>
  <c r="AB118" i="18"/>
  <c r="X92" i="18"/>
  <c r="X187" i="18"/>
  <c r="AB289" i="18"/>
  <c r="AA360" i="18"/>
  <c r="AA264" i="18"/>
  <c r="AB93" i="18" l="1"/>
  <c r="AB188" i="18"/>
  <c r="Z112" i="18"/>
  <c r="AC113" i="18"/>
  <c r="AC118" i="18"/>
  <c r="Z117" i="18"/>
  <c r="Y92" i="18"/>
  <c r="Y187" i="18"/>
  <c r="AB264" i="18"/>
  <c r="AB360" i="18"/>
  <c r="AC289" i="18"/>
  <c r="AC188" i="18" l="1"/>
  <c r="AC93" i="18"/>
  <c r="AD113" i="18"/>
  <c r="AA112" i="18"/>
  <c r="AD118" i="18"/>
  <c r="AA117" i="18"/>
  <c r="Z92" i="18"/>
  <c r="Z187" i="18"/>
  <c r="AC264" i="18"/>
  <c r="AD289" i="18"/>
  <c r="AC360" i="18"/>
  <c r="AD188" i="18" l="1"/>
  <c r="AD93" i="18"/>
  <c r="AB112" i="18"/>
  <c r="AE113" i="18"/>
  <c r="AB117" i="18"/>
  <c r="AE118" i="18"/>
  <c r="AA92" i="18"/>
  <c r="AA187" i="18"/>
  <c r="AE289" i="18"/>
  <c r="AD360" i="18"/>
  <c r="AD264" i="18"/>
  <c r="AE93" i="18" l="1"/>
  <c r="AE188" i="18"/>
  <c r="AF113" i="18"/>
  <c r="AC112" i="18"/>
  <c r="AF118" i="18"/>
  <c r="AC117" i="18"/>
  <c r="AB92" i="18"/>
  <c r="AB187" i="18"/>
  <c r="AF289" i="18"/>
  <c r="AE264" i="18"/>
  <c r="AE360" i="18"/>
  <c r="AF93" i="18" l="1"/>
  <c r="AF188" i="18"/>
  <c r="AD117" i="18"/>
  <c r="AD112" i="18"/>
  <c r="AG113" i="18"/>
  <c r="AG118" i="18"/>
  <c r="AC92" i="18"/>
  <c r="AC187" i="18"/>
  <c r="AG289" i="18"/>
  <c r="AF360" i="18"/>
  <c r="AF264" i="18"/>
  <c r="AG93" i="18" l="1"/>
  <c r="AG188" i="18"/>
  <c r="AE117" i="18"/>
  <c r="AH113" i="18"/>
  <c r="AE112" i="18"/>
  <c r="AH118" i="18"/>
  <c r="AD92" i="18"/>
  <c r="AD187" i="18"/>
  <c r="AH289" i="18"/>
  <c r="AG264" i="18"/>
  <c r="AG360" i="18"/>
  <c r="AH93" i="18" l="1"/>
  <c r="AH188" i="18"/>
  <c r="AF117" i="18"/>
  <c r="AF112" i="18"/>
  <c r="AI113" i="18"/>
  <c r="AI118" i="18"/>
  <c r="AE92" i="18"/>
  <c r="AE187" i="18"/>
  <c r="AH264" i="18"/>
  <c r="AG363" i="18"/>
  <c r="AH360" i="18"/>
  <c r="AI289" i="18"/>
  <c r="AI93" i="18" l="1"/>
  <c r="AI188" i="18"/>
  <c r="AJ113" i="18"/>
  <c r="AG112" i="18"/>
  <c r="AJ118" i="18"/>
  <c r="AG117" i="18"/>
  <c r="AF92" i="18"/>
  <c r="AF187" i="18"/>
  <c r="AJ289" i="18"/>
  <c r="AI264" i="18"/>
  <c r="AH363" i="18"/>
  <c r="AI360" i="18"/>
  <c r="AJ93" i="18" l="1"/>
  <c r="AJ188" i="18"/>
  <c r="AH112" i="18"/>
  <c r="AK113" i="18"/>
  <c r="AK118" i="18"/>
  <c r="AH117" i="18"/>
  <c r="AG92" i="18"/>
  <c r="AG187" i="18"/>
  <c r="AJ264" i="18"/>
  <c r="AK289" i="18"/>
  <c r="AI363" i="18"/>
  <c r="AJ360" i="18"/>
  <c r="AK93" i="18" l="1"/>
  <c r="AK188" i="18"/>
  <c r="AI117" i="18"/>
  <c r="AL113" i="18"/>
  <c r="AI112" i="18"/>
  <c r="AL118" i="18"/>
  <c r="AH92" i="18"/>
  <c r="AH187" i="18"/>
  <c r="AJ363" i="18"/>
  <c r="AK360" i="18"/>
  <c r="AL289" i="18"/>
  <c r="AK264" i="18"/>
  <c r="AL93" i="18" l="1"/>
  <c r="AL188" i="18"/>
  <c r="AJ117" i="18"/>
  <c r="AJ112" i="18"/>
  <c r="AM113" i="18"/>
  <c r="AM118" i="18"/>
  <c r="AI92" i="18"/>
  <c r="AI187" i="18"/>
  <c r="AL264" i="18"/>
  <c r="AK363" i="18"/>
  <c r="AL360" i="18"/>
  <c r="AM289" i="18"/>
  <c r="AM93" i="18" l="1"/>
  <c r="AM188" i="18"/>
  <c r="AN113" i="18"/>
  <c r="AK112" i="18"/>
  <c r="AN118" i="18"/>
  <c r="AK117" i="18"/>
  <c r="AJ92" i="18"/>
  <c r="AJ187" i="18"/>
  <c r="AN289" i="18"/>
  <c r="AL363" i="18"/>
  <c r="AM360" i="18"/>
  <c r="AM264" i="18"/>
  <c r="AN93" i="18" l="1"/>
  <c r="AN188" i="18"/>
  <c r="AL112" i="18"/>
  <c r="AO113" i="18"/>
  <c r="AO118" i="18"/>
  <c r="AL117" i="18"/>
  <c r="AK92" i="18"/>
  <c r="AK187" i="18"/>
  <c r="AN264" i="18"/>
  <c r="AM363" i="18"/>
  <c r="AN360" i="18"/>
  <c r="AO289" i="18"/>
  <c r="AO93" i="18" l="1"/>
  <c r="AO188" i="18"/>
  <c r="AM117" i="18"/>
  <c r="AP113" i="18"/>
  <c r="AM112" i="18"/>
  <c r="AP118" i="18"/>
  <c r="AL92" i="18"/>
  <c r="AL187" i="18"/>
  <c r="AN363" i="18"/>
  <c r="AO360" i="18"/>
  <c r="AP289" i="18"/>
  <c r="AO264" i="18"/>
  <c r="AP93" i="18" l="1"/>
  <c r="AP188" i="18"/>
  <c r="AN112" i="18"/>
  <c r="AQ113" i="18"/>
  <c r="AQ118" i="18"/>
  <c r="AN117" i="18"/>
  <c r="AM92" i="18"/>
  <c r="AM187" i="18"/>
  <c r="AQ289" i="18"/>
  <c r="AP264" i="18"/>
  <c r="AO363" i="18"/>
  <c r="AP360" i="18"/>
  <c r="AQ93" i="18" l="1"/>
  <c r="AQ188" i="18"/>
  <c r="AR113" i="18"/>
  <c r="AO112" i="18"/>
  <c r="AR118" i="18"/>
  <c r="AO117" i="18"/>
  <c r="AN92" i="18"/>
  <c r="AN187" i="18"/>
  <c r="AP267" i="18"/>
  <c r="AQ264" i="18"/>
  <c r="AP363" i="18"/>
  <c r="AQ360" i="18"/>
  <c r="AR289" i="18"/>
  <c r="AR93" i="18" l="1"/>
  <c r="AP117" i="18"/>
  <c r="AR188" i="18"/>
  <c r="AP112" i="18"/>
  <c r="AS113" i="18"/>
  <c r="AS118" i="18"/>
  <c r="AO92" i="18"/>
  <c r="AO187" i="18"/>
  <c r="AQ363" i="18"/>
  <c r="AR360" i="18"/>
  <c r="AR292" i="18"/>
  <c r="AS289" i="18"/>
  <c r="AQ267" i="18"/>
  <c r="AR264" i="18"/>
  <c r="AS93" i="18" l="1"/>
  <c r="AS188" i="18"/>
  <c r="AP187" i="18"/>
  <c r="AT113" i="18"/>
  <c r="AQ112" i="18"/>
  <c r="AT118" i="18"/>
  <c r="AQ117" i="18"/>
  <c r="AP92" i="18"/>
  <c r="AS292" i="18"/>
  <c r="AT289" i="18"/>
  <c r="AR363" i="18"/>
  <c r="AS360" i="18"/>
  <c r="AR267" i="18"/>
  <c r="AS264" i="18"/>
  <c r="AT93" i="18" l="1"/>
  <c r="AQ187" i="18"/>
  <c r="AT188" i="18"/>
  <c r="AR117" i="18"/>
  <c r="AR112" i="18"/>
  <c r="AU113" i="18"/>
  <c r="AU118" i="18"/>
  <c r="AQ92" i="18"/>
  <c r="AT292" i="18"/>
  <c r="AU289" i="18"/>
  <c r="AS267" i="18"/>
  <c r="AT264" i="18"/>
  <c r="AS363" i="18"/>
  <c r="AT360" i="18"/>
  <c r="AU93" i="18" l="1"/>
  <c r="AR187" i="18"/>
  <c r="AU188" i="18"/>
  <c r="AV113" i="18"/>
  <c r="AS112" i="18"/>
  <c r="AV118" i="18"/>
  <c r="AS117" i="18"/>
  <c r="AR92" i="18"/>
  <c r="AU292" i="18"/>
  <c r="AV289" i="18"/>
  <c r="AT363" i="18"/>
  <c r="AU360" i="18"/>
  <c r="AT267" i="18"/>
  <c r="AU264" i="18"/>
  <c r="AV93" i="18" l="1"/>
  <c r="AS187" i="18"/>
  <c r="AV188" i="18"/>
  <c r="AT117" i="18"/>
  <c r="AT112" i="18"/>
  <c r="AW113" i="18"/>
  <c r="AW118" i="18"/>
  <c r="AS92" i="18"/>
  <c r="AU267" i="18"/>
  <c r="AV264" i="18"/>
  <c r="AU363" i="18"/>
  <c r="AV360" i="18"/>
  <c r="AV292" i="18"/>
  <c r="AW289" i="18"/>
  <c r="AW93" i="18" l="1"/>
  <c r="AT187" i="18"/>
  <c r="AW188" i="18"/>
  <c r="AU117" i="18"/>
  <c r="AU112" i="18"/>
  <c r="AX113" i="18"/>
  <c r="AX118" i="18"/>
  <c r="AT92" i="18"/>
  <c r="AW292" i="18"/>
  <c r="AX289" i="18"/>
  <c r="AV267" i="18"/>
  <c r="AW264" i="18"/>
  <c r="AV363" i="18"/>
  <c r="AW360" i="18"/>
  <c r="AU187" i="18" l="1"/>
  <c r="AX93" i="18"/>
  <c r="AX188" i="18"/>
  <c r="AV112" i="18"/>
  <c r="AY113" i="18"/>
  <c r="AZ113" i="18" s="1"/>
  <c r="BA113" i="18" s="1"/>
  <c r="BB113" i="18" s="1"/>
  <c r="BC113" i="18" s="1"/>
  <c r="BD113" i="18" s="1"/>
  <c r="BE113" i="18" s="1"/>
  <c r="BF113" i="18" s="1"/>
  <c r="BG113" i="18" s="1"/>
  <c r="BH113" i="18" s="1"/>
  <c r="BI113" i="18" s="1"/>
  <c r="BJ113" i="18" s="1"/>
  <c r="BK113" i="18" s="1"/>
  <c r="BL113" i="18" s="1"/>
  <c r="BM113" i="18" s="1"/>
  <c r="BN113" i="18" s="1"/>
  <c r="BO113" i="18" s="1"/>
  <c r="BP113" i="18" s="1"/>
  <c r="BQ113" i="18" s="1"/>
  <c r="BR113" i="18" s="1"/>
  <c r="BS113" i="18" s="1"/>
  <c r="BT113" i="18" s="1"/>
  <c r="BU113" i="18" s="1"/>
  <c r="BV113" i="18" s="1"/>
  <c r="BW113" i="18" s="1"/>
  <c r="BX113" i="18" s="1"/>
  <c r="BY113" i="18" s="1"/>
  <c r="BZ113" i="18" s="1"/>
  <c r="CA113" i="18" s="1"/>
  <c r="CB113" i="18" s="1"/>
  <c r="CC113" i="18" s="1"/>
  <c r="CD113" i="18" s="1"/>
  <c r="CE113" i="18" s="1"/>
  <c r="CF113" i="18" s="1"/>
  <c r="CG113" i="18" s="1"/>
  <c r="CH113" i="18" s="1"/>
  <c r="CI113" i="18" s="1"/>
  <c r="CJ113" i="18" s="1"/>
  <c r="CK113" i="18" s="1"/>
  <c r="CL113" i="18" s="1"/>
  <c r="CM113" i="18" s="1"/>
  <c r="CN113" i="18" s="1"/>
  <c r="CO113" i="18" s="1"/>
  <c r="CP113" i="18" s="1"/>
  <c r="CQ113" i="18" s="1"/>
  <c r="CR113" i="18" s="1"/>
  <c r="CS113" i="18" s="1"/>
  <c r="CT113" i="18" s="1"/>
  <c r="CU113" i="18" s="1"/>
  <c r="CV113" i="18" s="1"/>
  <c r="CW113" i="18" s="1"/>
  <c r="CX113" i="18" s="1"/>
  <c r="CY113" i="18" s="1"/>
  <c r="CZ113" i="18" s="1"/>
  <c r="DA113" i="18" s="1"/>
  <c r="DB113" i="18" s="1"/>
  <c r="DC113" i="18" s="1"/>
  <c r="DD113" i="18" s="1"/>
  <c r="DE113" i="18" s="1"/>
  <c r="DF113" i="18" s="1"/>
  <c r="DG113" i="18" s="1"/>
  <c r="DH113" i="18" s="1"/>
  <c r="DI113" i="18" s="1"/>
  <c r="DJ113" i="18" s="1"/>
  <c r="DK113" i="18" s="1"/>
  <c r="DL113" i="18" s="1"/>
  <c r="DM113" i="18" s="1"/>
  <c r="DN113" i="18" s="1"/>
  <c r="DO113" i="18" s="1"/>
  <c r="DP113" i="18" s="1"/>
  <c r="DQ113" i="18" s="1"/>
  <c r="DR113" i="18" s="1"/>
  <c r="DS113" i="18" s="1"/>
  <c r="DT113" i="18" s="1"/>
  <c r="DU113" i="18" s="1"/>
  <c r="DV113" i="18" s="1"/>
  <c r="DW113" i="18" s="1"/>
  <c r="DX113" i="18" s="1"/>
  <c r="DY113" i="18" s="1"/>
  <c r="DZ113" i="18" s="1"/>
  <c r="EA113" i="18" s="1"/>
  <c r="EB113" i="18" s="1"/>
  <c r="EC113" i="18" s="1"/>
  <c r="ED113" i="18" s="1"/>
  <c r="EE113" i="18" s="1"/>
  <c r="EF113" i="18" s="1"/>
  <c r="EG113" i="18" s="1"/>
  <c r="EH113" i="18" s="1"/>
  <c r="EI113" i="18" s="1"/>
  <c r="H114" i="18" s="1"/>
  <c r="I114" i="18" s="1"/>
  <c r="J114" i="18" s="1"/>
  <c r="AY118" i="18"/>
  <c r="AV117" i="18"/>
  <c r="AU92" i="18"/>
  <c r="AW267" i="18"/>
  <c r="AX264" i="18"/>
  <c r="AX292" i="18"/>
  <c r="AY289" i="18"/>
  <c r="AW363" i="18"/>
  <c r="AX360" i="18"/>
  <c r="AV187" i="18" l="1"/>
  <c r="AW117" i="18"/>
  <c r="AY93" i="18"/>
  <c r="AY188" i="18"/>
  <c r="AW112" i="18"/>
  <c r="AX112" i="18" s="1"/>
  <c r="AY112" i="18" s="1"/>
  <c r="AZ112" i="18" s="1"/>
  <c r="BA112" i="18" s="1"/>
  <c r="BB112" i="18" s="1"/>
  <c r="BC112" i="18" s="1"/>
  <c r="BD112" i="18" s="1"/>
  <c r="BE112" i="18" s="1"/>
  <c r="BF112" i="18" s="1"/>
  <c r="BG112" i="18" s="1"/>
  <c r="BH112" i="18" s="1"/>
  <c r="BI112" i="18" s="1"/>
  <c r="BJ112" i="18" s="1"/>
  <c r="BK112" i="18" s="1"/>
  <c r="BL112" i="18" s="1"/>
  <c r="BM112" i="18" s="1"/>
  <c r="BN112" i="18" s="1"/>
  <c r="BO112" i="18" s="1"/>
  <c r="BP112" i="18" s="1"/>
  <c r="BQ112" i="18" s="1"/>
  <c r="BR112" i="18" s="1"/>
  <c r="BS112" i="18" s="1"/>
  <c r="BT112" i="18" s="1"/>
  <c r="BU112" i="18" s="1"/>
  <c r="BV112" i="18" s="1"/>
  <c r="BW112" i="18" s="1"/>
  <c r="BX112" i="18" s="1"/>
  <c r="BY112" i="18" s="1"/>
  <c r="BZ112" i="18" s="1"/>
  <c r="CA112" i="18" s="1"/>
  <c r="CB112" i="18" s="1"/>
  <c r="CC112" i="18" s="1"/>
  <c r="CD112" i="18" s="1"/>
  <c r="CE112" i="18" s="1"/>
  <c r="CF112" i="18" s="1"/>
  <c r="CG112" i="18" s="1"/>
  <c r="CH112" i="18" s="1"/>
  <c r="CI112" i="18" s="1"/>
  <c r="CJ112" i="18" s="1"/>
  <c r="CK112" i="18" s="1"/>
  <c r="CL112" i="18" s="1"/>
  <c r="CM112" i="18" s="1"/>
  <c r="CN112" i="18" s="1"/>
  <c r="CO112" i="18" s="1"/>
  <c r="CP112" i="18" s="1"/>
  <c r="CQ112" i="18" s="1"/>
  <c r="CR112" i="18" s="1"/>
  <c r="CS112" i="18" s="1"/>
  <c r="CT112" i="18" s="1"/>
  <c r="CU112" i="18" s="1"/>
  <c r="CV112" i="18" s="1"/>
  <c r="CW112" i="18" s="1"/>
  <c r="CX112" i="18" s="1"/>
  <c r="CY112" i="18" s="1"/>
  <c r="CZ112" i="18" s="1"/>
  <c r="DA112" i="18" s="1"/>
  <c r="DB112" i="18" s="1"/>
  <c r="DC112" i="18" s="1"/>
  <c r="DD112" i="18" s="1"/>
  <c r="DE112" i="18" s="1"/>
  <c r="DF112" i="18" s="1"/>
  <c r="DG112" i="18" s="1"/>
  <c r="DH112" i="18" s="1"/>
  <c r="DI112" i="18" s="1"/>
  <c r="DJ112" i="18" s="1"/>
  <c r="DK112" i="18" s="1"/>
  <c r="DL112" i="18" s="1"/>
  <c r="DM112" i="18" s="1"/>
  <c r="DN112" i="18" s="1"/>
  <c r="DO112" i="18" s="1"/>
  <c r="DP112" i="18" s="1"/>
  <c r="DQ112" i="18" s="1"/>
  <c r="DR112" i="18" s="1"/>
  <c r="DS112" i="18" s="1"/>
  <c r="DT112" i="18" s="1"/>
  <c r="DU112" i="18" s="1"/>
  <c r="DV112" i="18" s="1"/>
  <c r="DW112" i="18" s="1"/>
  <c r="DX112" i="18" s="1"/>
  <c r="DY112" i="18" s="1"/>
  <c r="DZ112" i="18" s="1"/>
  <c r="EA112" i="18" s="1"/>
  <c r="EB112" i="18" s="1"/>
  <c r="EC112" i="18" s="1"/>
  <c r="ED112" i="18" s="1"/>
  <c r="EE112" i="18" s="1"/>
  <c r="EF112" i="18" s="1"/>
  <c r="EG112" i="18" s="1"/>
  <c r="EH112" i="18" s="1"/>
  <c r="EI112" i="18" s="1"/>
  <c r="K114" i="18"/>
  <c r="L114" i="18"/>
  <c r="AZ118" i="18"/>
  <c r="AV92" i="18"/>
  <c r="AX267" i="18"/>
  <c r="AY264" i="18"/>
  <c r="AX363" i="18"/>
  <c r="AY360" i="18"/>
  <c r="AY292" i="18"/>
  <c r="AZ289" i="18"/>
  <c r="AW187" i="18" l="1"/>
  <c r="AZ93" i="18"/>
  <c r="AZ188" i="18"/>
  <c r="M114" i="18"/>
  <c r="BA118" i="18"/>
  <c r="AX117" i="18"/>
  <c r="AW92" i="18"/>
  <c r="AZ292" i="18"/>
  <c r="BA289" i="18"/>
  <c r="AY363" i="18"/>
  <c r="AZ360" i="18"/>
  <c r="AY267" i="18"/>
  <c r="AZ264" i="18"/>
  <c r="AX187" i="18" l="1"/>
  <c r="BA93" i="18"/>
  <c r="BA188" i="18"/>
  <c r="AY117" i="18"/>
  <c r="N114" i="18"/>
  <c r="O114" i="18" s="1"/>
  <c r="BB118" i="18"/>
  <c r="AX92" i="18"/>
  <c r="AZ363" i="18"/>
  <c r="BA360" i="18"/>
  <c r="AZ267" i="18"/>
  <c r="BA264" i="18"/>
  <c r="BA292" i="18"/>
  <c r="BB289" i="18"/>
  <c r="AY187" i="18" l="1"/>
  <c r="BB93" i="18"/>
  <c r="BB188" i="18"/>
  <c r="P114" i="18"/>
  <c r="Q114" i="18" s="1"/>
  <c r="BC118" i="18"/>
  <c r="AZ117" i="18"/>
  <c r="AY92" i="18"/>
  <c r="BA267" i="18"/>
  <c r="BB264" i="18"/>
  <c r="BB292" i="18"/>
  <c r="BC289" i="18"/>
  <c r="BA363" i="18"/>
  <c r="BB360" i="18"/>
  <c r="BC93" i="18" l="1"/>
  <c r="BC188" i="18"/>
  <c r="AZ187" i="18"/>
  <c r="BA117" i="18"/>
  <c r="R114" i="18"/>
  <c r="S114" i="18" s="1"/>
  <c r="BD118" i="18"/>
  <c r="AZ92" i="18"/>
  <c r="BC292" i="18"/>
  <c r="BD289" i="18"/>
  <c r="BB363" i="18"/>
  <c r="BC360" i="18"/>
  <c r="BB267" i="18"/>
  <c r="BC264" i="18"/>
  <c r="BD93" i="18" s="1"/>
  <c r="BD188" i="18" l="1"/>
  <c r="BA187" i="18"/>
  <c r="T114" i="18"/>
  <c r="U114" i="18" s="1"/>
  <c r="V114" i="18" s="1"/>
  <c r="W114" i="18" s="1"/>
  <c r="X114" i="18" s="1"/>
  <c r="Y114" i="18" s="1"/>
  <c r="Z114" i="18" s="1"/>
  <c r="AA114" i="18" s="1"/>
  <c r="AB114" i="18" s="1"/>
  <c r="AC114" i="18" s="1"/>
  <c r="AD114" i="18" s="1"/>
  <c r="AE114" i="18" s="1"/>
  <c r="AF114" i="18" s="1"/>
  <c r="AG114" i="18" s="1"/>
  <c r="AH114" i="18" s="1"/>
  <c r="AI114" i="18" s="1"/>
  <c r="AJ114" i="18" s="1"/>
  <c r="AK114" i="18" s="1"/>
  <c r="AL114" i="18" s="1"/>
  <c r="AM114" i="18" s="1"/>
  <c r="AN114" i="18" s="1"/>
  <c r="AO114" i="18" s="1"/>
  <c r="AP114" i="18" s="1"/>
  <c r="AQ114" i="18" s="1"/>
  <c r="AR114" i="18" s="1"/>
  <c r="AS114" i="18" s="1"/>
  <c r="AT114" i="18" s="1"/>
  <c r="AU114" i="18" s="1"/>
  <c r="AV114" i="18" s="1"/>
  <c r="AW114" i="18" s="1"/>
  <c r="AX114" i="18" s="1"/>
  <c r="AY114" i="18" s="1"/>
  <c r="AZ114" i="18" s="1"/>
  <c r="BA114" i="18" s="1"/>
  <c r="BB114" i="18" s="1"/>
  <c r="BC114" i="18" s="1"/>
  <c r="BD114" i="18" s="1"/>
  <c r="BE114" i="18" s="1"/>
  <c r="BF114" i="18" s="1"/>
  <c r="BG114" i="18" s="1"/>
  <c r="BH114" i="18" s="1"/>
  <c r="BI114" i="18" s="1"/>
  <c r="BJ114" i="18" s="1"/>
  <c r="BK114" i="18" s="1"/>
  <c r="BL114" i="18" s="1"/>
  <c r="BM114" i="18" s="1"/>
  <c r="BN114" i="18" s="1"/>
  <c r="BO114" i="18" s="1"/>
  <c r="BP114" i="18" s="1"/>
  <c r="BQ114" i="18" s="1"/>
  <c r="BR114" i="18" s="1"/>
  <c r="BS114" i="18" s="1"/>
  <c r="BT114" i="18" s="1"/>
  <c r="BU114" i="18" s="1"/>
  <c r="BV114" i="18" s="1"/>
  <c r="BW114" i="18" s="1"/>
  <c r="BX114" i="18" s="1"/>
  <c r="BY114" i="18" s="1"/>
  <c r="BZ114" i="18" s="1"/>
  <c r="CA114" i="18" s="1"/>
  <c r="CB114" i="18" s="1"/>
  <c r="CC114" i="18" s="1"/>
  <c r="CD114" i="18" s="1"/>
  <c r="CE114" i="18" s="1"/>
  <c r="CF114" i="18" s="1"/>
  <c r="CG114" i="18" s="1"/>
  <c r="CH114" i="18" s="1"/>
  <c r="CI114" i="18" s="1"/>
  <c r="CJ114" i="18" s="1"/>
  <c r="CK114" i="18" s="1"/>
  <c r="CL114" i="18" s="1"/>
  <c r="CM114" i="18" s="1"/>
  <c r="CN114" i="18" s="1"/>
  <c r="CO114" i="18" s="1"/>
  <c r="CP114" i="18" s="1"/>
  <c r="CQ114" i="18" s="1"/>
  <c r="CR114" i="18" s="1"/>
  <c r="CS114" i="18" s="1"/>
  <c r="CT114" i="18" s="1"/>
  <c r="CU114" i="18" s="1"/>
  <c r="CV114" i="18" s="1"/>
  <c r="CW114" i="18" s="1"/>
  <c r="CX114" i="18" s="1"/>
  <c r="CY114" i="18" s="1"/>
  <c r="CZ114" i="18" s="1"/>
  <c r="DA114" i="18" s="1"/>
  <c r="DB114" i="18" s="1"/>
  <c r="DC114" i="18" s="1"/>
  <c r="DD114" i="18" s="1"/>
  <c r="DE114" i="18" s="1"/>
  <c r="DF114" i="18" s="1"/>
  <c r="DG114" i="18" s="1"/>
  <c r="DH114" i="18" s="1"/>
  <c r="DI114" i="18" s="1"/>
  <c r="DJ114" i="18" s="1"/>
  <c r="DK114" i="18" s="1"/>
  <c r="DL114" i="18" s="1"/>
  <c r="DM114" i="18" s="1"/>
  <c r="DN114" i="18" s="1"/>
  <c r="DO114" i="18" s="1"/>
  <c r="DP114" i="18" s="1"/>
  <c r="DQ114" i="18" s="1"/>
  <c r="DR114" i="18" s="1"/>
  <c r="DS114" i="18" s="1"/>
  <c r="DT114" i="18" s="1"/>
  <c r="DU114" i="18" s="1"/>
  <c r="DV114" i="18" s="1"/>
  <c r="DW114" i="18" s="1"/>
  <c r="DX114" i="18" s="1"/>
  <c r="DY114" i="18" s="1"/>
  <c r="DZ114" i="18" s="1"/>
  <c r="EA114" i="18" s="1"/>
  <c r="EB114" i="18" s="1"/>
  <c r="EC114" i="18" s="1"/>
  <c r="ED114" i="18" s="1"/>
  <c r="EE114" i="18" s="1"/>
  <c r="EF114" i="18" s="1"/>
  <c r="EG114" i="18" s="1"/>
  <c r="EH114" i="18" s="1"/>
  <c r="EI114" i="18" s="1"/>
  <c r="BE118" i="18"/>
  <c r="BB117" i="18"/>
  <c r="BA92" i="18"/>
  <c r="BD292" i="18"/>
  <c r="BE289" i="18"/>
  <c r="BC267" i="18"/>
  <c r="BD264" i="18"/>
  <c r="BE93" i="18" s="1"/>
  <c r="BC363" i="18"/>
  <c r="BD360" i="18"/>
  <c r="BB187" i="18" l="1"/>
  <c r="BE188" i="18"/>
  <c r="BC117" i="18"/>
  <c r="BF118" i="18"/>
  <c r="BB92" i="18"/>
  <c r="BE292" i="18"/>
  <c r="BF289" i="18"/>
  <c r="BD363" i="18"/>
  <c r="BE360" i="18"/>
  <c r="BD267" i="18"/>
  <c r="BE264" i="18"/>
  <c r="BF93" i="18" s="1"/>
  <c r="BC187" i="18" l="1"/>
  <c r="BF188" i="18"/>
  <c r="BG118" i="18"/>
  <c r="BD117" i="18"/>
  <c r="BC92" i="18"/>
  <c r="BE363" i="18"/>
  <c r="BF360" i="18"/>
  <c r="BF292" i="18"/>
  <c r="BG289" i="18"/>
  <c r="BE267" i="18"/>
  <c r="BF264" i="18"/>
  <c r="BG93" i="18" s="1"/>
  <c r="BD187" i="18" l="1"/>
  <c r="BG188" i="18"/>
  <c r="BE117" i="18"/>
  <c r="BH118" i="18"/>
  <c r="BD92" i="18"/>
  <c r="BE92" i="18" s="1"/>
  <c r="BG292" i="18"/>
  <c r="BH289" i="18"/>
  <c r="BF363" i="18"/>
  <c r="BG360" i="18"/>
  <c r="BF267" i="18"/>
  <c r="BG264" i="18"/>
  <c r="BH93" i="18" s="1"/>
  <c r="BE187" i="18" l="1"/>
  <c r="BH188" i="18"/>
  <c r="BF117" i="18"/>
  <c r="BI118" i="18"/>
  <c r="BF92" i="18"/>
  <c r="BH292" i="18"/>
  <c r="BI289" i="18"/>
  <c r="BG267" i="18"/>
  <c r="BH264" i="18"/>
  <c r="BI93" i="18" s="1"/>
  <c r="BG363" i="18"/>
  <c r="BH360" i="18"/>
  <c r="BF187" i="18" l="1"/>
  <c r="BI188" i="18"/>
  <c r="BJ118" i="18"/>
  <c r="BG117" i="18"/>
  <c r="BG92" i="18"/>
  <c r="BI292" i="18"/>
  <c r="BJ289" i="18"/>
  <c r="BH363" i="18"/>
  <c r="BI360" i="18"/>
  <c r="BH267" i="18"/>
  <c r="BI264" i="18"/>
  <c r="BJ93" i="18" s="1"/>
  <c r="BG187" i="18" l="1"/>
  <c r="BJ188" i="18"/>
  <c r="BH117" i="18"/>
  <c r="BK118" i="18"/>
  <c r="BH92" i="18"/>
  <c r="BI267" i="18"/>
  <c r="BJ264" i="18"/>
  <c r="BK93" i="18" s="1"/>
  <c r="BI363" i="18"/>
  <c r="BJ360" i="18"/>
  <c r="BJ292" i="18"/>
  <c r="BK289" i="18"/>
  <c r="BH187" i="18" l="1"/>
  <c r="BK188" i="18"/>
  <c r="BL118" i="18"/>
  <c r="BI117" i="18"/>
  <c r="BI92" i="18"/>
  <c r="BJ267" i="18"/>
  <c r="BK264" i="18"/>
  <c r="BL93" i="18" s="1"/>
  <c r="BK292" i="18"/>
  <c r="BL289" i="18"/>
  <c r="BJ363" i="18"/>
  <c r="BK360" i="18"/>
  <c r="BI187" i="18" l="1"/>
  <c r="BL188" i="18"/>
  <c r="BJ117" i="18"/>
  <c r="BM118" i="18"/>
  <c r="BJ92" i="18"/>
  <c r="BK267" i="18"/>
  <c r="BL264" i="18"/>
  <c r="BM93" i="18" s="1"/>
  <c r="BK363" i="18"/>
  <c r="BL360" i="18"/>
  <c r="BL292" i="18"/>
  <c r="BM289" i="18"/>
  <c r="BJ187" i="18" l="1"/>
  <c r="BM188" i="18"/>
  <c r="BK117" i="18"/>
  <c r="BN118" i="18"/>
  <c r="BK92" i="18"/>
  <c r="BL363" i="18"/>
  <c r="BM360" i="18"/>
  <c r="BL267" i="18"/>
  <c r="BM264" i="18"/>
  <c r="BN93" i="18" s="1"/>
  <c r="BM292" i="18"/>
  <c r="BN289" i="18"/>
  <c r="BK187" i="18" l="1"/>
  <c r="BN188" i="18"/>
  <c r="BO118" i="18"/>
  <c r="BL117" i="18"/>
  <c r="BL92" i="18"/>
  <c r="BM267" i="18"/>
  <c r="BN264" i="18"/>
  <c r="BO93" i="18" s="1"/>
  <c r="BM363" i="18"/>
  <c r="BN360" i="18"/>
  <c r="BN292" i="18"/>
  <c r="BO289" i="18"/>
  <c r="BL187" i="18" l="1"/>
  <c r="BM117" i="18"/>
  <c r="BO188" i="18"/>
  <c r="BP118" i="18"/>
  <c r="BM92" i="18"/>
  <c r="BN363" i="18"/>
  <c r="BO360" i="18"/>
  <c r="BO292" i="18"/>
  <c r="BP289" i="18"/>
  <c r="BN267" i="18"/>
  <c r="BO264" i="18"/>
  <c r="BP93" i="18" s="1"/>
  <c r="BM187" i="18" l="1"/>
  <c r="BN117" i="18"/>
  <c r="BP188" i="18"/>
  <c r="BQ118" i="18"/>
  <c r="BN92" i="18"/>
  <c r="BO363" i="18"/>
  <c r="BP360" i="18"/>
  <c r="BQ188" i="18" s="1"/>
  <c r="BO267" i="18"/>
  <c r="BP264" i="18"/>
  <c r="BQ93" i="18" s="1"/>
  <c r="BP292" i="18"/>
  <c r="BQ289" i="18"/>
  <c r="BN187" i="18" l="1"/>
  <c r="BO187" i="18" s="1"/>
  <c r="BR118" i="18"/>
  <c r="BO117" i="18"/>
  <c r="BO92" i="18"/>
  <c r="BP267" i="18"/>
  <c r="BQ264" i="18"/>
  <c r="BR93" i="18" s="1"/>
  <c r="BQ292" i="18"/>
  <c r="BR289" i="18"/>
  <c r="BP363" i="18"/>
  <c r="BQ360" i="18"/>
  <c r="BR188" i="18" s="1"/>
  <c r="BP117" i="18" l="1"/>
  <c r="BS118" i="18"/>
  <c r="BP92" i="18"/>
  <c r="BP187" i="18"/>
  <c r="BR292" i="18"/>
  <c r="BS289" i="18"/>
  <c r="BQ363" i="18"/>
  <c r="BR360" i="18"/>
  <c r="BS188" i="18" s="1"/>
  <c r="BQ267" i="18"/>
  <c r="BR264" i="18"/>
  <c r="BS93" i="18" s="1"/>
  <c r="BT118" i="18" l="1"/>
  <c r="BQ117" i="18"/>
  <c r="BQ187" i="18"/>
  <c r="BQ92" i="18"/>
  <c r="BR267" i="18"/>
  <c r="BS264" i="18"/>
  <c r="BT93" i="18" s="1"/>
  <c r="BR363" i="18"/>
  <c r="BS360" i="18"/>
  <c r="BT188" i="18" s="1"/>
  <c r="BS292" i="18"/>
  <c r="BT289" i="18"/>
  <c r="BR117" i="18" l="1"/>
  <c r="BU118" i="18"/>
  <c r="BR92" i="18"/>
  <c r="BR187" i="18"/>
  <c r="BT292" i="18"/>
  <c r="BU289" i="18"/>
  <c r="BS363" i="18"/>
  <c r="BT360" i="18"/>
  <c r="BU188" i="18" s="1"/>
  <c r="BS267" i="18"/>
  <c r="BT264" i="18"/>
  <c r="BU93" i="18" s="1"/>
  <c r="BV118" i="18" l="1"/>
  <c r="BS117" i="18"/>
  <c r="BS92" i="18"/>
  <c r="BS187" i="18"/>
  <c r="BT267" i="18"/>
  <c r="BU264" i="18"/>
  <c r="BV93" i="18" s="1"/>
  <c r="BT363" i="18"/>
  <c r="BU360" i="18"/>
  <c r="BV188" i="18" s="1"/>
  <c r="BU292" i="18"/>
  <c r="BV289" i="18"/>
  <c r="BT117" i="18" l="1"/>
  <c r="BW118" i="18"/>
  <c r="BT187" i="18"/>
  <c r="BT92" i="18"/>
  <c r="BV292" i="18"/>
  <c r="BW289" i="18"/>
  <c r="BU363" i="18"/>
  <c r="BV360" i="18"/>
  <c r="BW188" i="18" s="1"/>
  <c r="BU267" i="18"/>
  <c r="BV264" i="18"/>
  <c r="BW93" i="18" s="1"/>
  <c r="BX118" i="18" l="1"/>
  <c r="BU117" i="18"/>
  <c r="BU92" i="18"/>
  <c r="BU187" i="18"/>
  <c r="BV363" i="18"/>
  <c r="BW360" i="18"/>
  <c r="BX188" i="18" s="1"/>
  <c r="BW292" i="18"/>
  <c r="BX289" i="18"/>
  <c r="BV267" i="18"/>
  <c r="BW264" i="18"/>
  <c r="BX93" i="18" s="1"/>
  <c r="BV117" i="18" l="1"/>
  <c r="BY118" i="18"/>
  <c r="BV187" i="18"/>
  <c r="BV92" i="18"/>
  <c r="BW363" i="18"/>
  <c r="BX360" i="18"/>
  <c r="BY188" i="18" s="1"/>
  <c r="BX292" i="18"/>
  <c r="BY289" i="18"/>
  <c r="BW267" i="18"/>
  <c r="BX264" i="18"/>
  <c r="BY93" i="18" s="1"/>
  <c r="BW117" i="18" l="1"/>
  <c r="BZ118" i="18"/>
  <c r="BW187" i="18"/>
  <c r="BW92" i="18"/>
  <c r="BX267" i="18"/>
  <c r="BY264" i="18"/>
  <c r="BZ93" i="18" s="1"/>
  <c r="BY292" i="18"/>
  <c r="BZ289" i="18"/>
  <c r="BX363" i="18"/>
  <c r="BY360" i="18"/>
  <c r="BZ188" i="18" s="1"/>
  <c r="CA118" i="18" l="1"/>
  <c r="BX117" i="18"/>
  <c r="BX92" i="18"/>
  <c r="BX187" i="18"/>
  <c r="BY363" i="18"/>
  <c r="BZ360" i="18"/>
  <c r="CA188" i="18" s="1"/>
  <c r="BZ292" i="18"/>
  <c r="CA289" i="18"/>
  <c r="BY267" i="18"/>
  <c r="BZ264" i="18"/>
  <c r="CA93" i="18" s="1"/>
  <c r="BY117" i="18" l="1"/>
  <c r="CB118" i="18"/>
  <c r="BY187" i="18"/>
  <c r="BY92" i="18"/>
  <c r="BZ363" i="18"/>
  <c r="CA360" i="18"/>
  <c r="CB188" i="18" s="1"/>
  <c r="BZ267" i="18"/>
  <c r="CA264" i="18"/>
  <c r="CB93" i="18" s="1"/>
  <c r="CA292" i="18"/>
  <c r="CB289" i="18"/>
  <c r="CC118" i="18" l="1"/>
  <c r="BZ117" i="18"/>
  <c r="BZ92" i="18"/>
  <c r="BZ187" i="18"/>
  <c r="CA267" i="18"/>
  <c r="CB264" i="18"/>
  <c r="CC93" i="18" s="1"/>
  <c r="CB292" i="18"/>
  <c r="CC289" i="18"/>
  <c r="CA363" i="18"/>
  <c r="CB360" i="18"/>
  <c r="CC188" i="18" s="1"/>
  <c r="CA117" i="18" l="1"/>
  <c r="CD118" i="18"/>
  <c r="CA92" i="18"/>
  <c r="CA187" i="18"/>
  <c r="CC292" i="18"/>
  <c r="CD289" i="18"/>
  <c r="CB267" i="18"/>
  <c r="CC264" i="18"/>
  <c r="CD93" i="18" s="1"/>
  <c r="CB363" i="18"/>
  <c r="CC360" i="18"/>
  <c r="CD188" i="18" s="1"/>
  <c r="CE118" i="18" l="1"/>
  <c r="CB117" i="18"/>
  <c r="CB187" i="18"/>
  <c r="CB92" i="18"/>
  <c r="CD292" i="18"/>
  <c r="CE289" i="18"/>
  <c r="CC363" i="18"/>
  <c r="CD360" i="18"/>
  <c r="CE188" i="18" s="1"/>
  <c r="CC267" i="18"/>
  <c r="CD264" i="18"/>
  <c r="CE93" i="18" s="1"/>
  <c r="CC117" i="18" l="1"/>
  <c r="CF118" i="18"/>
  <c r="CC187" i="18"/>
  <c r="CC92" i="18"/>
  <c r="CD267" i="18"/>
  <c r="CE264" i="18"/>
  <c r="CD363" i="18"/>
  <c r="CE360" i="18"/>
  <c r="CF188" i="18" s="1"/>
  <c r="CE292" i="18"/>
  <c r="CF289" i="18"/>
  <c r="CD187" i="18" l="1"/>
  <c r="CG118" i="18"/>
  <c r="CF93" i="18"/>
  <c r="CD92" i="18" s="1"/>
  <c r="CD117" i="18"/>
  <c r="CF292" i="18"/>
  <c r="CG289" i="18"/>
  <c r="CE363" i="18"/>
  <c r="CF360" i="18"/>
  <c r="CG188" i="18" s="1"/>
  <c r="CE267" i="18"/>
  <c r="CF264" i="18"/>
  <c r="CE187" i="18" l="1"/>
  <c r="CE117" i="18"/>
  <c r="CG93" i="18"/>
  <c r="CE92" i="18" s="1"/>
  <c r="CH118" i="18"/>
  <c r="CG292" i="18"/>
  <c r="CH289" i="18"/>
  <c r="CF267" i="18"/>
  <c r="CG264" i="18"/>
  <c r="CF363" i="18"/>
  <c r="CG360" i="18"/>
  <c r="CH188" i="18" l="1"/>
  <c r="CF187" i="18" s="1"/>
  <c r="CF117" i="18"/>
  <c r="CI118" i="18"/>
  <c r="CH93" i="18"/>
  <c r="CF92" i="18" s="1"/>
  <c r="CG267" i="18"/>
  <c r="CH264" i="18"/>
  <c r="CG363" i="18"/>
  <c r="CH360" i="18"/>
  <c r="CH292" i="18"/>
  <c r="CI289" i="18"/>
  <c r="CI188" i="18" l="1"/>
  <c r="CG117" i="18"/>
  <c r="CI93" i="18"/>
  <c r="CG92" i="18" s="1"/>
  <c r="CJ118" i="18"/>
  <c r="CI292" i="18"/>
  <c r="CJ289" i="18"/>
  <c r="CH363" i="18"/>
  <c r="CI360" i="18"/>
  <c r="CH267" i="18"/>
  <c r="CI264" i="18"/>
  <c r="CJ188" i="18" l="1"/>
  <c r="CG187" i="18"/>
  <c r="CH117" i="18"/>
  <c r="CK118" i="18"/>
  <c r="CJ93" i="18"/>
  <c r="CH92" i="18" s="1"/>
  <c r="CI363" i="18"/>
  <c r="CJ360" i="18"/>
  <c r="CJ292" i="18"/>
  <c r="CK289" i="18"/>
  <c r="CI267" i="18"/>
  <c r="CJ264" i="18"/>
  <c r="CH187" i="18" l="1"/>
  <c r="CK188" i="18"/>
  <c r="CL118" i="18"/>
  <c r="CI117" i="18"/>
  <c r="CK93" i="18"/>
  <c r="CI92" i="18" s="1"/>
  <c r="CK292" i="18"/>
  <c r="CL289" i="18"/>
  <c r="CJ363" i="18"/>
  <c r="CK360" i="18"/>
  <c r="CJ267" i="18"/>
  <c r="CK264" i="18"/>
  <c r="CI187" i="18" l="1"/>
  <c r="CL188" i="18"/>
  <c r="CJ117" i="18"/>
  <c r="CM118" i="18"/>
  <c r="CL93" i="18"/>
  <c r="CJ92" i="18" s="1"/>
  <c r="CK267" i="18"/>
  <c r="CL264" i="18"/>
  <c r="CK363" i="18"/>
  <c r="CL360" i="18"/>
  <c r="CL292" i="18"/>
  <c r="CM289" i="18"/>
  <c r="CM188" i="18" l="1"/>
  <c r="CJ187" i="18"/>
  <c r="CK117" i="18"/>
  <c r="CM93" i="18"/>
  <c r="CK92" i="18" s="1"/>
  <c r="CN118" i="18"/>
  <c r="CM292" i="18"/>
  <c r="CN289" i="18"/>
  <c r="CL363" i="18"/>
  <c r="CM360" i="18"/>
  <c r="CL267" i="18"/>
  <c r="CM264" i="18"/>
  <c r="CK187" i="18" l="1"/>
  <c r="CN188" i="18"/>
  <c r="CO118" i="18"/>
  <c r="CL117" i="18"/>
  <c r="CN93" i="18"/>
  <c r="CL92" i="18" s="1"/>
  <c r="CM267" i="18"/>
  <c r="CN264" i="18"/>
  <c r="CM363" i="18"/>
  <c r="CN360" i="18"/>
  <c r="CN292" i="18"/>
  <c r="CO289" i="18"/>
  <c r="CM117" i="18" l="1"/>
  <c r="CO188" i="18"/>
  <c r="CL187" i="18"/>
  <c r="CO93" i="18"/>
  <c r="CM92" i="18" s="1"/>
  <c r="CP118" i="18"/>
  <c r="CN267" i="18"/>
  <c r="CO264" i="18"/>
  <c r="CO292" i="18"/>
  <c r="CP289" i="18"/>
  <c r="CN363" i="18"/>
  <c r="CO360" i="18"/>
  <c r="CM187" i="18" l="1"/>
  <c r="CP188" i="18"/>
  <c r="CQ118" i="18"/>
  <c r="CN117" i="18"/>
  <c r="CP93" i="18"/>
  <c r="CN92" i="18" s="1"/>
  <c r="CP292" i="18"/>
  <c r="CQ289" i="18"/>
  <c r="CO267" i="18"/>
  <c r="CP264" i="18"/>
  <c r="CO363" i="18"/>
  <c r="CP360" i="18"/>
  <c r="CQ188" i="18" l="1"/>
  <c r="CN187" i="18"/>
  <c r="CO117" i="18"/>
  <c r="CQ93" i="18"/>
  <c r="CO92" i="18" s="1"/>
  <c r="CR118" i="18"/>
  <c r="CQ292" i="18"/>
  <c r="CR289" i="18"/>
  <c r="CP363" i="18"/>
  <c r="CQ360" i="18"/>
  <c r="CP267" i="18"/>
  <c r="CQ264" i="18"/>
  <c r="CR188" i="18" l="1"/>
  <c r="CO187" i="18"/>
  <c r="CP117" i="18"/>
  <c r="CR93" i="18"/>
  <c r="CP92" i="18" s="1"/>
  <c r="CS118" i="18"/>
  <c r="CR292" i="18"/>
  <c r="CS289" i="18"/>
  <c r="CQ363" i="18"/>
  <c r="CR360" i="18"/>
  <c r="CQ267" i="18"/>
  <c r="CR264" i="18"/>
  <c r="CP187" i="18" l="1"/>
  <c r="CS188" i="18"/>
  <c r="CT118" i="18"/>
  <c r="CS93" i="18"/>
  <c r="CQ92" i="18" s="1"/>
  <c r="CQ117" i="18"/>
  <c r="CR363" i="18"/>
  <c r="CS360" i="18"/>
  <c r="CR267" i="18"/>
  <c r="CS264" i="18"/>
  <c r="CS292" i="18"/>
  <c r="CT289" i="18"/>
  <c r="CT188" i="18" l="1"/>
  <c r="CQ187" i="18"/>
  <c r="CR117" i="18"/>
  <c r="CT93" i="18"/>
  <c r="CR92" i="18" s="1"/>
  <c r="CU118" i="18"/>
  <c r="CS267" i="18"/>
  <c r="CT264" i="18"/>
  <c r="CS363" i="18"/>
  <c r="CT360" i="18"/>
  <c r="CT292" i="18"/>
  <c r="CU289" i="18"/>
  <c r="CR187" i="18" l="1"/>
  <c r="CU188" i="18"/>
  <c r="CS117" i="18"/>
  <c r="CU93" i="18"/>
  <c r="CS92" i="18" s="1"/>
  <c r="CV118" i="18"/>
  <c r="CU292" i="18"/>
  <c r="CV289" i="18"/>
  <c r="CT363" i="18"/>
  <c r="CU360" i="18"/>
  <c r="CT267" i="18"/>
  <c r="CU264" i="18"/>
  <c r="CV188" i="18" l="1"/>
  <c r="CS187" i="18"/>
  <c r="CT117" i="18"/>
  <c r="CV93" i="18"/>
  <c r="CT92" i="18" s="1"/>
  <c r="CW118" i="18"/>
  <c r="CU363" i="18"/>
  <c r="CV360" i="18"/>
  <c r="CV292" i="18"/>
  <c r="CW289" i="18"/>
  <c r="CU267" i="18"/>
  <c r="CV264" i="18"/>
  <c r="CT187" i="18" l="1"/>
  <c r="CW188" i="18"/>
  <c r="CX118" i="18"/>
  <c r="CW93" i="18"/>
  <c r="CU92" i="18" s="1"/>
  <c r="CU117" i="18"/>
  <c r="CV267" i="18"/>
  <c r="CW264" i="18"/>
  <c r="CW292" i="18"/>
  <c r="CX289" i="18"/>
  <c r="CV363" i="18"/>
  <c r="CW360" i="18"/>
  <c r="CU187" i="18" l="1"/>
  <c r="CX188" i="18"/>
  <c r="CV117" i="18"/>
  <c r="CX93" i="18"/>
  <c r="CV92" i="18" s="1"/>
  <c r="CY118" i="18"/>
  <c r="CW363" i="18"/>
  <c r="CX360" i="18"/>
  <c r="CX292" i="18"/>
  <c r="CY289" i="18"/>
  <c r="CW267" i="18"/>
  <c r="CX264" i="18"/>
  <c r="CV187" i="18" l="1"/>
  <c r="CY188" i="18"/>
  <c r="CW117" i="18"/>
  <c r="CY93" i="18"/>
  <c r="CW92" i="18" s="1"/>
  <c r="CZ118" i="18"/>
  <c r="CY292" i="18"/>
  <c r="CZ289" i="18"/>
  <c r="CX267" i="18"/>
  <c r="CY264" i="18"/>
  <c r="CX363" i="18"/>
  <c r="CY360" i="18"/>
  <c r="CZ188" i="18" l="1"/>
  <c r="CW187" i="18"/>
  <c r="CX117" i="18"/>
  <c r="DA118" i="18"/>
  <c r="CZ93" i="18"/>
  <c r="CX92" i="18" s="1"/>
  <c r="CY267" i="18"/>
  <c r="CZ264" i="18"/>
  <c r="CY363" i="18"/>
  <c r="CZ360" i="18"/>
  <c r="CZ292" i="18"/>
  <c r="DA289" i="18"/>
  <c r="CX187" i="18" l="1"/>
  <c r="DA188" i="18"/>
  <c r="DA93" i="18"/>
  <c r="CY92" i="18" s="1"/>
  <c r="DB118" i="18"/>
  <c r="CY117" i="18"/>
  <c r="CZ267" i="18"/>
  <c r="DA264" i="18"/>
  <c r="CZ363" i="18"/>
  <c r="DA360" i="18"/>
  <c r="DA292" i="18"/>
  <c r="DB289" i="18"/>
  <c r="CY187" i="18" l="1"/>
  <c r="DB188" i="18"/>
  <c r="DC118" i="18"/>
  <c r="DB93" i="18"/>
  <c r="CZ92" i="18" s="1"/>
  <c r="CZ117" i="18"/>
  <c r="DA363" i="18"/>
  <c r="DB360" i="18"/>
  <c r="DA267" i="18"/>
  <c r="DB264" i="18"/>
  <c r="DB292" i="18"/>
  <c r="DC289" i="18"/>
  <c r="DC188" i="18" l="1"/>
  <c r="CZ187" i="18"/>
  <c r="DA117" i="18"/>
  <c r="DD118" i="18"/>
  <c r="DC93" i="18"/>
  <c r="DA92" i="18" s="1"/>
  <c r="DC292" i="18"/>
  <c r="DD289" i="18"/>
  <c r="DB363" i="18"/>
  <c r="DC360" i="18"/>
  <c r="DB267" i="18"/>
  <c r="DC264" i="18"/>
  <c r="DA187" i="18" l="1"/>
  <c r="DD188" i="18"/>
  <c r="DE118" i="18"/>
  <c r="DB117" i="18"/>
  <c r="DD93" i="18"/>
  <c r="DB92" i="18" s="1"/>
  <c r="DC267" i="18"/>
  <c r="DD264" i="18"/>
  <c r="DC363" i="18"/>
  <c r="DD360" i="18"/>
  <c r="DD292" i="18"/>
  <c r="DE289" i="18"/>
  <c r="DB187" i="18" l="1"/>
  <c r="DE188" i="18"/>
  <c r="DF118" i="18"/>
  <c r="DE93" i="18"/>
  <c r="DC92" i="18" s="1"/>
  <c r="DC117" i="18"/>
  <c r="DE292" i="18"/>
  <c r="DF289" i="18"/>
  <c r="DD363" i="18"/>
  <c r="DE360" i="18"/>
  <c r="DD267" i="18"/>
  <c r="DE264" i="18"/>
  <c r="DF188" i="18" l="1"/>
  <c r="DC187" i="18"/>
  <c r="DD117" i="18"/>
  <c r="DG118" i="18"/>
  <c r="DF93" i="18"/>
  <c r="DD92" i="18" s="1"/>
  <c r="DF292" i="18"/>
  <c r="DG289" i="18"/>
  <c r="DE267" i="18"/>
  <c r="DF264" i="18"/>
  <c r="DE363" i="18"/>
  <c r="DF360" i="18"/>
  <c r="DD187" i="18" l="1"/>
  <c r="DG188" i="18"/>
  <c r="DG93" i="18"/>
  <c r="DE92" i="18" s="1"/>
  <c r="DH118" i="18"/>
  <c r="DE117" i="18"/>
  <c r="DF363" i="18"/>
  <c r="DG360" i="18"/>
  <c r="DF267" i="18"/>
  <c r="DG264" i="18"/>
  <c r="DG292" i="18"/>
  <c r="DH289" i="18"/>
  <c r="DE187" i="18" l="1"/>
  <c r="DH188" i="18"/>
  <c r="DH93" i="18"/>
  <c r="DF92" i="18" s="1"/>
  <c r="DF117" i="18"/>
  <c r="DI118" i="18"/>
  <c r="DH292" i="18"/>
  <c r="DI289" i="18"/>
  <c r="DG363" i="18"/>
  <c r="DH360" i="18"/>
  <c r="DG267" i="18"/>
  <c r="DH264" i="18"/>
  <c r="DI188" i="18" l="1"/>
  <c r="DF187" i="18"/>
  <c r="DI93" i="18"/>
  <c r="DG92" i="18" s="1"/>
  <c r="DJ118" i="18"/>
  <c r="DG117" i="18"/>
  <c r="DH267" i="18"/>
  <c r="DI264" i="18"/>
  <c r="DH363" i="18"/>
  <c r="DI360" i="18"/>
  <c r="DI292" i="18"/>
  <c r="DJ289" i="18"/>
  <c r="DG187" i="18" l="1"/>
  <c r="DJ188" i="18"/>
  <c r="DH117" i="18"/>
  <c r="DK118" i="18"/>
  <c r="DJ93" i="18"/>
  <c r="DH92" i="18" s="1"/>
  <c r="DI363" i="18"/>
  <c r="DJ360" i="18"/>
  <c r="DI267" i="18"/>
  <c r="DJ264" i="18"/>
  <c r="DJ292" i="18"/>
  <c r="DK289" i="18"/>
  <c r="DK188" i="18" l="1"/>
  <c r="DH187" i="18"/>
  <c r="DI117" i="18"/>
  <c r="DL118" i="18"/>
  <c r="DK93" i="18"/>
  <c r="DI92" i="18" s="1"/>
  <c r="DJ363" i="18"/>
  <c r="DK360" i="18"/>
  <c r="DK292" i="18"/>
  <c r="DL289" i="18"/>
  <c r="DJ267" i="18"/>
  <c r="DK264" i="18"/>
  <c r="DL188" i="18" l="1"/>
  <c r="DI187" i="18"/>
  <c r="DJ117" i="18"/>
  <c r="DL93" i="18"/>
  <c r="DJ92" i="18" s="1"/>
  <c r="DM118" i="18"/>
  <c r="DK267" i="18"/>
  <c r="DL264" i="18"/>
  <c r="DL292" i="18"/>
  <c r="DM289" i="18"/>
  <c r="DK363" i="18"/>
  <c r="DL360" i="18"/>
  <c r="DJ187" i="18" l="1"/>
  <c r="DM188" i="18"/>
  <c r="DN118" i="18"/>
  <c r="DM93" i="18"/>
  <c r="DK92" i="18" s="1"/>
  <c r="DK117" i="18"/>
  <c r="DL267" i="18"/>
  <c r="DM264" i="18"/>
  <c r="DL363" i="18"/>
  <c r="DM360" i="18"/>
  <c r="DM292" i="18"/>
  <c r="DN289" i="18"/>
  <c r="DL117" i="18" l="1"/>
  <c r="DK187" i="18"/>
  <c r="DN188" i="18"/>
  <c r="DN93" i="18"/>
  <c r="DL92" i="18" s="1"/>
  <c r="DO118" i="18"/>
  <c r="DM363" i="18"/>
  <c r="DN360" i="18"/>
  <c r="DM267" i="18"/>
  <c r="DN264" i="18"/>
  <c r="DN292" i="18"/>
  <c r="DO289" i="18"/>
  <c r="DM117" i="18" l="1"/>
  <c r="DO188" i="18"/>
  <c r="DL187" i="18"/>
  <c r="DP118" i="18"/>
  <c r="DO93" i="18"/>
  <c r="DM92" i="18" s="1"/>
  <c r="DO292" i="18"/>
  <c r="DP289" i="18"/>
  <c r="DN267" i="18"/>
  <c r="DO264" i="18"/>
  <c r="DN363" i="18"/>
  <c r="DO360" i="18"/>
  <c r="DM187" i="18" l="1"/>
  <c r="DP188" i="18"/>
  <c r="DP93" i="18"/>
  <c r="DN92" i="18" s="1"/>
  <c r="DQ118" i="18"/>
  <c r="DN117" i="18"/>
  <c r="DO363" i="18"/>
  <c r="DP360" i="18"/>
  <c r="DO267" i="18"/>
  <c r="DP264" i="18"/>
  <c r="DP292" i="18"/>
  <c r="DQ289" i="18"/>
  <c r="DQ188" i="18" l="1"/>
  <c r="DN187" i="18"/>
  <c r="DO117" i="18"/>
  <c r="DQ93" i="18"/>
  <c r="DO92" i="18" s="1"/>
  <c r="DR118" i="18"/>
  <c r="DP267" i="18"/>
  <c r="DQ264" i="18"/>
  <c r="DP363" i="18"/>
  <c r="DQ360" i="18"/>
  <c r="DQ292" i="18"/>
  <c r="DR289" i="18"/>
  <c r="DO187" i="18" l="1"/>
  <c r="DR188" i="18"/>
  <c r="DS118" i="18"/>
  <c r="DP117" i="18"/>
  <c r="DR93" i="18"/>
  <c r="DP92" i="18" s="1"/>
  <c r="DR292" i="18"/>
  <c r="DS289" i="18"/>
  <c r="DQ363" i="18"/>
  <c r="DR360" i="18"/>
  <c r="DQ267" i="18"/>
  <c r="DR264" i="18"/>
  <c r="DP187" i="18" l="1"/>
  <c r="DS188" i="18"/>
  <c r="DQ117" i="18"/>
  <c r="DS93" i="18"/>
  <c r="DQ92" i="18" s="1"/>
  <c r="DT118" i="18"/>
  <c r="DR267" i="18"/>
  <c r="DS264" i="18"/>
  <c r="DR363" i="18"/>
  <c r="DS360" i="18"/>
  <c r="DS292" i="18"/>
  <c r="DT289" i="18"/>
  <c r="DQ187" i="18" l="1"/>
  <c r="DT188" i="18"/>
  <c r="DU118" i="18"/>
  <c r="DT93" i="18"/>
  <c r="DR92" i="18" s="1"/>
  <c r="DR117" i="18"/>
  <c r="DT292" i="18"/>
  <c r="DU289" i="18"/>
  <c r="DS267" i="18"/>
  <c r="DT264" i="18"/>
  <c r="DS363" i="18"/>
  <c r="DT360" i="18"/>
  <c r="DR187" i="18" l="1"/>
  <c r="DU188" i="18"/>
  <c r="DS117" i="18"/>
  <c r="DU93" i="18"/>
  <c r="DS92" i="18" s="1"/>
  <c r="DV118" i="18"/>
  <c r="DT363" i="18"/>
  <c r="DU360" i="18"/>
  <c r="DT267" i="18"/>
  <c r="DU264" i="18"/>
  <c r="DU292" i="18"/>
  <c r="DV289" i="18"/>
  <c r="DV188" i="18" l="1"/>
  <c r="DS187" i="18"/>
  <c r="DT117" i="18"/>
  <c r="DW118" i="18"/>
  <c r="DV93" i="18"/>
  <c r="DT92" i="18" s="1"/>
  <c r="DU267" i="18"/>
  <c r="DV264" i="18"/>
  <c r="DV292" i="18"/>
  <c r="DW289" i="18"/>
  <c r="DU363" i="18"/>
  <c r="DV360" i="18"/>
  <c r="DT187" i="18" l="1"/>
  <c r="DW188" i="18"/>
  <c r="DX118" i="18"/>
  <c r="DW93" i="18"/>
  <c r="DU92" i="18" s="1"/>
  <c r="DU117" i="18"/>
  <c r="DV363" i="18"/>
  <c r="DW360" i="18"/>
  <c r="DW292" i="18"/>
  <c r="DX289" i="18"/>
  <c r="DV267" i="18"/>
  <c r="DW264" i="18"/>
  <c r="DU187" i="18" l="1"/>
  <c r="DX188" i="18"/>
  <c r="DV117" i="18"/>
  <c r="DY118" i="18"/>
  <c r="DX93" i="18"/>
  <c r="DV92" i="18" s="1"/>
  <c r="DW363" i="18"/>
  <c r="DX360" i="18"/>
  <c r="DW267" i="18"/>
  <c r="DX264" i="18"/>
  <c r="DX292" i="18"/>
  <c r="DY289" i="18"/>
  <c r="DV187" i="18" l="1"/>
  <c r="DY188" i="18"/>
  <c r="DW117" i="18"/>
  <c r="DY93" i="18"/>
  <c r="DW92" i="18" s="1"/>
  <c r="DZ118" i="18"/>
  <c r="DY292" i="18"/>
  <c r="DZ289" i="18"/>
  <c r="DX267" i="18"/>
  <c r="DY264" i="18"/>
  <c r="DX363" i="18"/>
  <c r="DY360" i="18"/>
  <c r="DZ188" i="18" l="1"/>
  <c r="DW187" i="18"/>
  <c r="DX117" i="18"/>
  <c r="DZ93" i="18"/>
  <c r="DX92" i="18" s="1"/>
  <c r="EA118" i="18"/>
  <c r="DY363" i="18"/>
  <c r="DZ360" i="18"/>
  <c r="DY267" i="18"/>
  <c r="DZ264" i="18"/>
  <c r="DZ292" i="18"/>
  <c r="EA289" i="18"/>
  <c r="DX187" i="18" l="1"/>
  <c r="EA188" i="18"/>
  <c r="DY117" i="18"/>
  <c r="EB118" i="18"/>
  <c r="EA93" i="18"/>
  <c r="DY92" i="18" s="1"/>
  <c r="EA292" i="18"/>
  <c r="EB289" i="18"/>
  <c r="DZ267" i="18"/>
  <c r="EA264" i="18"/>
  <c r="DZ363" i="18"/>
  <c r="EA360" i="18"/>
  <c r="DY187" i="18" l="1"/>
  <c r="EB188" i="18"/>
  <c r="EB93" i="18"/>
  <c r="DZ92" i="18" s="1"/>
  <c r="EC118" i="18"/>
  <c r="DZ117" i="18"/>
  <c r="EA363" i="18"/>
  <c r="EB360" i="18"/>
  <c r="EA267" i="18"/>
  <c r="EB264" i="18"/>
  <c r="EB292" i="18"/>
  <c r="EC289" i="18"/>
  <c r="EC188" i="18" l="1"/>
  <c r="DZ187" i="18"/>
  <c r="ED118" i="18"/>
  <c r="EC93" i="18"/>
  <c r="EA92" i="18" s="1"/>
  <c r="EA117" i="18"/>
  <c r="EB363" i="18"/>
  <c r="EC360" i="18"/>
  <c r="EC292" i="18"/>
  <c r="ED289" i="18"/>
  <c r="EB267" i="18"/>
  <c r="EC264" i="18"/>
  <c r="EA187" i="18" l="1"/>
  <c r="ED188" i="18"/>
  <c r="EB117" i="18"/>
  <c r="ED93" i="18"/>
  <c r="EB92" i="18" s="1"/>
  <c r="EE118" i="18"/>
  <c r="EC363" i="18"/>
  <c r="ED360" i="18"/>
  <c r="EC267" i="18"/>
  <c r="ED264" i="18"/>
  <c r="ED292" i="18"/>
  <c r="EE289" i="18"/>
  <c r="EB187" i="18" l="1"/>
  <c r="EE188" i="18"/>
  <c r="EE93" i="18"/>
  <c r="EC92" i="18" s="1"/>
  <c r="EF118" i="18"/>
  <c r="EC117" i="18"/>
  <c r="EE292" i="18"/>
  <c r="EF289" i="18"/>
  <c r="ED267" i="18"/>
  <c r="EE264" i="18"/>
  <c r="ED363" i="18"/>
  <c r="EE360" i="18"/>
  <c r="EF188" i="18" l="1"/>
  <c r="EC187" i="18"/>
  <c r="ED117" i="18"/>
  <c r="EG118" i="18"/>
  <c r="EF93" i="18"/>
  <c r="ED92" i="18" s="1"/>
  <c r="EF292" i="18"/>
  <c r="EG289" i="18"/>
  <c r="EE363" i="18"/>
  <c r="EF360" i="18"/>
  <c r="EE267" i="18"/>
  <c r="EF264" i="18"/>
  <c r="ED187" i="18" l="1"/>
  <c r="EG188" i="18"/>
  <c r="EG93" i="18"/>
  <c r="EE92" i="18" s="1"/>
  <c r="EH118" i="18"/>
  <c r="EE117" i="18"/>
  <c r="EG292" i="18"/>
  <c r="EH289" i="18"/>
  <c r="EF267" i="18"/>
  <c r="EG264" i="18"/>
  <c r="EF363" i="18"/>
  <c r="EG360" i="18"/>
  <c r="EH188" i="18" l="1"/>
  <c r="EE187" i="18"/>
  <c r="EF117" i="18"/>
  <c r="EH93" i="18"/>
  <c r="EF92" i="18" s="1"/>
  <c r="EI118" i="18"/>
  <c r="H119" i="18" s="1"/>
  <c r="EG267" i="18"/>
  <c r="EH264" i="18"/>
  <c r="EH292" i="18"/>
  <c r="EI289" i="18"/>
  <c r="EC293" i="18" s="1"/>
  <c r="EG363" i="18"/>
  <c r="EH360" i="18"/>
  <c r="EF187" i="18" l="1"/>
  <c r="EI188" i="18"/>
  <c r="I189" i="18" s="1"/>
  <c r="AF190" i="18" s="1"/>
  <c r="F118" i="18"/>
  <c r="E118" i="18" s="1"/>
  <c r="EI93" i="18"/>
  <c r="H94" i="18" s="1"/>
  <c r="AE120" i="18"/>
  <c r="I119" i="18"/>
  <c r="EG117" i="18"/>
  <c r="EH117" i="18" s="1"/>
  <c r="EI117" i="18" s="1"/>
  <c r="H116" i="18"/>
  <c r="H32" i="18" s="1"/>
  <c r="H111" i="18"/>
  <c r="EH293" i="18"/>
  <c r="EG293" i="18"/>
  <c r="EE293" i="18"/>
  <c r="EB293" i="18"/>
  <c r="EF293" i="18"/>
  <c r="EI293" i="18"/>
  <c r="EI292" i="18"/>
  <c r="F289" i="18"/>
  <c r="G293" i="18"/>
  <c r="AR293" i="18"/>
  <c r="AT293" i="18"/>
  <c r="AS293" i="18"/>
  <c r="AV293" i="18"/>
  <c r="AU293" i="18"/>
  <c r="AW293" i="18"/>
  <c r="AX293" i="18"/>
  <c r="AY293" i="18"/>
  <c r="AZ293" i="18"/>
  <c r="BB293" i="18"/>
  <c r="BA293" i="18"/>
  <c r="BC293" i="18"/>
  <c r="BD293" i="18"/>
  <c r="BF293" i="18"/>
  <c r="BE293" i="18"/>
  <c r="BI293" i="18"/>
  <c r="BG293" i="18"/>
  <c r="BH293" i="18"/>
  <c r="BK293" i="18"/>
  <c r="BJ293" i="18"/>
  <c r="BM293" i="18"/>
  <c r="BN293" i="18"/>
  <c r="BL293" i="18"/>
  <c r="BO293" i="18"/>
  <c r="BP293" i="18"/>
  <c r="BQ293" i="18"/>
  <c r="BT293" i="18"/>
  <c r="BR293" i="18"/>
  <c r="BS293" i="18"/>
  <c r="BU293" i="18"/>
  <c r="BW293" i="18"/>
  <c r="BV293" i="18"/>
  <c r="BZ293" i="18"/>
  <c r="BX293" i="18"/>
  <c r="BY293" i="18"/>
  <c r="CA293" i="18"/>
  <c r="CB293" i="18"/>
  <c r="CC293" i="18"/>
  <c r="CF293" i="18"/>
  <c r="CD293" i="18"/>
  <c r="CE293" i="18"/>
  <c r="CG293" i="18"/>
  <c r="CK293" i="18"/>
  <c r="CH293" i="18"/>
  <c r="CI293" i="18"/>
  <c r="CJ293" i="18"/>
  <c r="CL293" i="18"/>
  <c r="CM293" i="18"/>
  <c r="CN293" i="18"/>
  <c r="CO293" i="18"/>
  <c r="CP293" i="18"/>
  <c r="CQ293" i="18"/>
  <c r="CR293" i="18"/>
  <c r="CS293" i="18"/>
  <c r="CT293" i="18"/>
  <c r="CU293" i="18"/>
  <c r="CY293" i="18"/>
  <c r="CX293" i="18"/>
  <c r="CW293" i="18"/>
  <c r="CV293" i="18"/>
  <c r="CZ293" i="18"/>
  <c r="DC293" i="18"/>
  <c r="DA293" i="18"/>
  <c r="DD293" i="18"/>
  <c r="DB293" i="18"/>
  <c r="DG293" i="18"/>
  <c r="DE293" i="18"/>
  <c r="DH293" i="18"/>
  <c r="DF293" i="18"/>
  <c r="DK293" i="18"/>
  <c r="DJ293" i="18"/>
  <c r="DO293" i="18"/>
  <c r="DI293" i="18"/>
  <c r="DL293" i="18"/>
  <c r="DM293" i="18"/>
  <c r="DP293" i="18"/>
  <c r="DN293" i="18"/>
  <c r="DU293" i="18"/>
  <c r="DQ293" i="18"/>
  <c r="DR293" i="18"/>
  <c r="DS293" i="18"/>
  <c r="DV293" i="18"/>
  <c r="DT293" i="18"/>
  <c r="DX293" i="18"/>
  <c r="DZ293" i="18"/>
  <c r="DW293" i="18"/>
  <c r="DY293" i="18"/>
  <c r="EA293" i="18"/>
  <c r="EH267" i="18"/>
  <c r="EI264" i="18"/>
  <c r="ED293" i="18"/>
  <c r="EH363" i="18"/>
  <c r="EI360" i="18"/>
  <c r="ED364" i="18" s="1"/>
  <c r="J189" i="18" l="1"/>
  <c r="K189" i="18" s="1"/>
  <c r="H186" i="18"/>
  <c r="H53" i="18" s="1"/>
  <c r="EG187" i="18"/>
  <c r="EH187" i="18" s="1"/>
  <c r="EG92" i="18"/>
  <c r="EH92" i="18" s="1"/>
  <c r="EI92" i="18" s="1"/>
  <c r="F188" i="18"/>
  <c r="E188" i="18" s="1"/>
  <c r="I94" i="18"/>
  <c r="J94" i="18" s="1"/>
  <c r="AE95" i="18"/>
  <c r="AF120" i="18"/>
  <c r="J119" i="18"/>
  <c r="EE268" i="18"/>
  <c r="I116" i="18"/>
  <c r="I32" i="18" s="1"/>
  <c r="F93" i="18"/>
  <c r="E93" i="18" s="1"/>
  <c r="ED268" i="18"/>
  <c r="EF364" i="18"/>
  <c r="EB364" i="18"/>
  <c r="EC364" i="18"/>
  <c r="EH268" i="18"/>
  <c r="E287" i="18"/>
  <c r="EI363" i="18"/>
  <c r="EI364" i="18"/>
  <c r="G364" i="18"/>
  <c r="F360" i="18"/>
  <c r="AH364" i="18"/>
  <c r="AG364" i="18"/>
  <c r="AI364" i="18"/>
  <c r="AK364" i="18"/>
  <c r="AJ364" i="18"/>
  <c r="AM364" i="18"/>
  <c r="AL364" i="18"/>
  <c r="AN364" i="18"/>
  <c r="AO364" i="18"/>
  <c r="AP364" i="18"/>
  <c r="AQ364" i="18"/>
  <c r="AT364" i="18"/>
  <c r="AR364" i="18"/>
  <c r="AS364" i="18"/>
  <c r="AU364" i="18"/>
  <c r="AY364" i="18"/>
  <c r="AV364" i="18"/>
  <c r="AX364" i="18"/>
  <c r="AW364" i="18"/>
  <c r="AZ364" i="18"/>
  <c r="BB364" i="18"/>
  <c r="BA364" i="18"/>
  <c r="BE364" i="18"/>
  <c r="BC364" i="18"/>
  <c r="BD364" i="18"/>
  <c r="BJ364" i="18"/>
  <c r="BF364" i="18"/>
  <c r="BH364" i="18"/>
  <c r="BG364" i="18"/>
  <c r="BI364" i="18"/>
  <c r="BK364" i="18"/>
  <c r="BL364" i="18"/>
  <c r="BM364" i="18"/>
  <c r="BN364" i="18"/>
  <c r="BQ364" i="18"/>
  <c r="BP364" i="18"/>
  <c r="BO364" i="18"/>
  <c r="BS364" i="18"/>
  <c r="BR364" i="18"/>
  <c r="BU364" i="18"/>
  <c r="BT364" i="18"/>
  <c r="BV364" i="18"/>
  <c r="BW364" i="18"/>
  <c r="BZ364" i="18"/>
  <c r="BY364" i="18"/>
  <c r="BX364" i="18"/>
  <c r="CA364" i="18"/>
  <c r="CC364" i="18"/>
  <c r="CB364" i="18"/>
  <c r="CE364" i="18"/>
  <c r="CF364" i="18"/>
  <c r="CD364" i="18"/>
  <c r="CI364" i="18"/>
  <c r="CG364" i="18"/>
  <c r="CJ364" i="18"/>
  <c r="CK364" i="18"/>
  <c r="CH364" i="18"/>
  <c r="CN364" i="18"/>
  <c r="CM364" i="18"/>
  <c r="CL364" i="18"/>
  <c r="CO364" i="18"/>
  <c r="CP364" i="18"/>
  <c r="CS364" i="18"/>
  <c r="CT364" i="18"/>
  <c r="CQ364" i="18"/>
  <c r="CR364" i="18"/>
  <c r="CW364" i="18"/>
  <c r="CV364" i="18"/>
  <c r="CX364" i="18"/>
  <c r="CU364" i="18"/>
  <c r="CY364" i="18"/>
  <c r="DB364" i="18"/>
  <c r="CZ364" i="18"/>
  <c r="DA364" i="18"/>
  <c r="DC364" i="18"/>
  <c r="DE364" i="18"/>
  <c r="DD364" i="18"/>
  <c r="DF364" i="18"/>
  <c r="DI364" i="18"/>
  <c r="DH364" i="18"/>
  <c r="DJ364" i="18"/>
  <c r="DG364" i="18"/>
  <c r="DM364" i="18"/>
  <c r="DL364" i="18"/>
  <c r="DK364" i="18"/>
  <c r="DP364" i="18"/>
  <c r="DQ364" i="18"/>
  <c r="DN364" i="18"/>
  <c r="DO364" i="18"/>
  <c r="DS364" i="18"/>
  <c r="DR364" i="18"/>
  <c r="DT364" i="18"/>
  <c r="DU364" i="18"/>
  <c r="DW364" i="18"/>
  <c r="DV364" i="18"/>
  <c r="DY364" i="18"/>
  <c r="DX364" i="18"/>
  <c r="EA364" i="18"/>
  <c r="DZ364" i="18"/>
  <c r="EG364" i="18"/>
  <c r="EI267" i="18"/>
  <c r="EI268" i="18"/>
  <c r="F264" i="18"/>
  <c r="G268" i="18"/>
  <c r="AR268" i="18"/>
  <c r="AP268" i="18"/>
  <c r="AQ268" i="18"/>
  <c r="AS268" i="18"/>
  <c r="AT268" i="18"/>
  <c r="AU268" i="18"/>
  <c r="AX268" i="18"/>
  <c r="AV268" i="18"/>
  <c r="AW268" i="18"/>
  <c r="AY268" i="18"/>
  <c r="BA268" i="18"/>
  <c r="AZ268" i="18"/>
  <c r="BD268" i="18"/>
  <c r="BB268" i="18"/>
  <c r="BC268" i="18"/>
  <c r="BE268" i="18"/>
  <c r="BH268" i="18"/>
  <c r="BF268" i="18"/>
  <c r="BI268" i="18"/>
  <c r="BG268" i="18"/>
  <c r="BJ268" i="18"/>
  <c r="BK268" i="18"/>
  <c r="BN268" i="18"/>
  <c r="BM268" i="18"/>
  <c r="BL268" i="18"/>
  <c r="BP268" i="18"/>
  <c r="BR268" i="18"/>
  <c r="BO268" i="18"/>
  <c r="BS268" i="18"/>
  <c r="BQ268" i="18"/>
  <c r="BT268" i="18"/>
  <c r="BV268" i="18"/>
  <c r="BX268" i="18"/>
  <c r="BU268" i="18"/>
  <c r="BW268" i="18"/>
  <c r="BY268" i="18"/>
  <c r="CA268" i="18"/>
  <c r="BZ268" i="18"/>
  <c r="CE268" i="18"/>
  <c r="CC268" i="18"/>
  <c r="CB268" i="18"/>
  <c r="CF268" i="18"/>
  <c r="CG268" i="18"/>
  <c r="CJ268" i="18"/>
  <c r="CD268" i="18"/>
  <c r="CI268" i="18"/>
  <c r="CH268" i="18"/>
  <c r="CK268" i="18"/>
  <c r="CL268" i="18"/>
  <c r="CM268" i="18"/>
  <c r="CS268" i="18"/>
  <c r="CO268" i="18"/>
  <c r="CN268" i="18"/>
  <c r="CQ268" i="18"/>
  <c r="CP268" i="18"/>
  <c r="CR268" i="18"/>
  <c r="CV268" i="18"/>
  <c r="CT268" i="18"/>
  <c r="CU268" i="18"/>
  <c r="CZ268" i="18"/>
  <c r="CW268" i="18"/>
  <c r="CX268" i="18"/>
  <c r="DB268" i="18"/>
  <c r="CY268" i="18"/>
  <c r="DA268" i="18"/>
  <c r="DE268" i="18"/>
  <c r="DD268" i="18"/>
  <c r="DC268" i="18"/>
  <c r="DI268" i="18"/>
  <c r="DF268" i="18"/>
  <c r="DG268" i="18"/>
  <c r="DH268" i="18"/>
  <c r="DM268" i="18"/>
  <c r="DJ268" i="18"/>
  <c r="DK268" i="18"/>
  <c r="DL268" i="18"/>
  <c r="DQ268" i="18"/>
  <c r="DN268" i="18"/>
  <c r="DR268" i="18"/>
  <c r="DO268" i="18"/>
  <c r="DP268" i="18"/>
  <c r="DT268" i="18"/>
  <c r="DS268" i="18"/>
  <c r="DW268" i="18"/>
  <c r="DU268" i="18"/>
  <c r="DV268" i="18"/>
  <c r="DY268" i="18"/>
  <c r="DX268" i="18"/>
  <c r="DZ268" i="18"/>
  <c r="EB268" i="18"/>
  <c r="EA268" i="18"/>
  <c r="EC268" i="18"/>
  <c r="EF268" i="18"/>
  <c r="E288" i="18"/>
  <c r="EG268" i="18"/>
  <c r="EE364" i="18"/>
  <c r="EH364" i="18"/>
  <c r="AG190" i="18" l="1"/>
  <c r="L189" i="18"/>
  <c r="M189" i="18" s="1"/>
  <c r="I186" i="18"/>
  <c r="I53" i="18" s="1"/>
  <c r="EI187" i="18"/>
  <c r="K119" i="18"/>
  <c r="L119" i="18" s="1"/>
  <c r="M119" i="18" s="1"/>
  <c r="AG120" i="18"/>
  <c r="K94" i="18"/>
  <c r="L94" i="18" s="1"/>
  <c r="M94" i="18" s="1"/>
  <c r="AF95" i="18"/>
  <c r="K111" i="18"/>
  <c r="H91" i="18"/>
  <c r="H22" i="18" s="1"/>
  <c r="J91" i="18"/>
  <c r="J22" i="18" s="1"/>
  <c r="J111" i="18"/>
  <c r="J116" i="18"/>
  <c r="J32" i="18" s="1"/>
  <c r="N111" i="18"/>
  <c r="AH190" i="18" l="1"/>
  <c r="N189" i="18"/>
  <c r="O189" i="18" s="1"/>
  <c r="K186" i="18"/>
  <c r="K53" i="18" s="1"/>
  <c r="M186" i="18"/>
  <c r="M53" i="18" s="1"/>
  <c r="J186" i="18"/>
  <c r="J53" i="18" s="1"/>
  <c r="AH120" i="18"/>
  <c r="N94" i="18"/>
  <c r="O94" i="18" s="1"/>
  <c r="AG95" i="18"/>
  <c r="N119" i="18"/>
  <c r="K116" i="18"/>
  <c r="K32" i="18" s="1"/>
  <c r="M111" i="18"/>
  <c r="I91" i="18"/>
  <c r="I22" i="18" s="1"/>
  <c r="L111" i="18"/>
  <c r="F112" i="18"/>
  <c r="E112" i="18" s="1"/>
  <c r="AI190" i="18" l="1"/>
  <c r="AJ190" i="18" s="1"/>
  <c r="P189" i="18"/>
  <c r="Q189" i="18" s="1"/>
  <c r="AH95" i="18"/>
  <c r="N186" i="18"/>
  <c r="N53" i="18" s="1"/>
  <c r="L186" i="18"/>
  <c r="L53" i="18" s="1"/>
  <c r="AI120" i="18"/>
  <c r="P94" i="18"/>
  <c r="Q94" i="18" s="1"/>
  <c r="R94" i="18" s="1"/>
  <c r="O119" i="18"/>
  <c r="M116" i="18"/>
  <c r="M32" i="18" s="1"/>
  <c r="K91" i="18"/>
  <c r="K22" i="18" s="1"/>
  <c r="O111" i="18"/>
  <c r="L116" i="18"/>
  <c r="L32" i="18" s="1"/>
  <c r="F187" i="18"/>
  <c r="E187" i="18" s="1"/>
  <c r="AK190" i="18" l="1"/>
  <c r="AL190" i="18" s="1"/>
  <c r="AM190" i="18" s="1"/>
  <c r="AN190" i="18" s="1"/>
  <c r="R189" i="18"/>
  <c r="AI95" i="18"/>
  <c r="AJ95" i="18" s="1"/>
  <c r="O186" i="18"/>
  <c r="O53" i="18" s="1"/>
  <c r="AJ120" i="18"/>
  <c r="S94" i="18"/>
  <c r="P119" i="18"/>
  <c r="P111" i="18"/>
  <c r="N116" i="18"/>
  <c r="N32" i="18" s="1"/>
  <c r="L91" i="18"/>
  <c r="L22" i="18" s="1"/>
  <c r="F117" i="18"/>
  <c r="E117" i="18" s="1"/>
  <c r="AO190" i="18" l="1"/>
  <c r="S189" i="18"/>
  <c r="T189" i="18" s="1"/>
  <c r="U189" i="18" s="1"/>
  <c r="V189" i="18" s="1"/>
  <c r="W189" i="18" s="1"/>
  <c r="X189" i="18" s="1"/>
  <c r="Y189" i="18" s="1"/>
  <c r="Z189" i="18" s="1"/>
  <c r="AA189" i="18" s="1"/>
  <c r="AB189" i="18" s="1"/>
  <c r="AC189" i="18" s="1"/>
  <c r="AD189" i="18" s="1"/>
  <c r="AE189" i="18" s="1"/>
  <c r="AF189" i="18" s="1"/>
  <c r="AG189" i="18" s="1"/>
  <c r="AH189" i="18" s="1"/>
  <c r="AI189" i="18" s="1"/>
  <c r="AJ189" i="18" s="1"/>
  <c r="AK189" i="18" s="1"/>
  <c r="AL189" i="18" s="1"/>
  <c r="AM189" i="18" s="1"/>
  <c r="AN189" i="18" s="1"/>
  <c r="AO189" i="18" s="1"/>
  <c r="AP189" i="18" s="1"/>
  <c r="AQ189" i="18" s="1"/>
  <c r="AR189" i="18" s="1"/>
  <c r="AS189" i="18" s="1"/>
  <c r="AT189" i="18" s="1"/>
  <c r="AU189" i="18" s="1"/>
  <c r="AV189" i="18" s="1"/>
  <c r="AW189" i="18" s="1"/>
  <c r="AX189" i="18" s="1"/>
  <c r="AY189" i="18" s="1"/>
  <c r="AZ189" i="18" s="1"/>
  <c r="BA189" i="18" s="1"/>
  <c r="BB189" i="18" s="1"/>
  <c r="BC189" i="18" s="1"/>
  <c r="BD189" i="18" s="1"/>
  <c r="BE189" i="18" s="1"/>
  <c r="BF189" i="18" s="1"/>
  <c r="BG189" i="18" s="1"/>
  <c r="BH189" i="18" s="1"/>
  <c r="BI189" i="18" s="1"/>
  <c r="BJ189" i="18" s="1"/>
  <c r="BK189" i="18" s="1"/>
  <c r="BL189" i="18" s="1"/>
  <c r="BM189" i="18" s="1"/>
  <c r="BN189" i="18" s="1"/>
  <c r="BO189" i="18" s="1"/>
  <c r="BP189" i="18" s="1"/>
  <c r="BQ189" i="18" s="1"/>
  <c r="BR189" i="18" s="1"/>
  <c r="BS189" i="18" s="1"/>
  <c r="BT189" i="18" s="1"/>
  <c r="BU189" i="18" s="1"/>
  <c r="BV189" i="18" s="1"/>
  <c r="BW189" i="18" s="1"/>
  <c r="BX189" i="18" s="1"/>
  <c r="BY189" i="18" s="1"/>
  <c r="BZ189" i="18" s="1"/>
  <c r="CA189" i="18" s="1"/>
  <c r="CB189" i="18" s="1"/>
  <c r="CC189" i="18" s="1"/>
  <c r="CD189" i="18" s="1"/>
  <c r="CE189" i="18" s="1"/>
  <c r="CF189" i="18" s="1"/>
  <c r="CG189" i="18" s="1"/>
  <c r="CH189" i="18" s="1"/>
  <c r="CI189" i="18" s="1"/>
  <c r="CJ189" i="18" s="1"/>
  <c r="CK189" i="18" s="1"/>
  <c r="CL189" i="18" s="1"/>
  <c r="CM189" i="18" s="1"/>
  <c r="CN189" i="18" s="1"/>
  <c r="CO189" i="18" s="1"/>
  <c r="CP189" i="18" s="1"/>
  <c r="CQ189" i="18" s="1"/>
  <c r="CR189" i="18" s="1"/>
  <c r="CS189" i="18" s="1"/>
  <c r="CT189" i="18" s="1"/>
  <c r="CU189" i="18" s="1"/>
  <c r="CV189" i="18" s="1"/>
  <c r="CW189" i="18" s="1"/>
  <c r="CX189" i="18" s="1"/>
  <c r="CY189" i="18" s="1"/>
  <c r="CZ189" i="18" s="1"/>
  <c r="DA189" i="18" s="1"/>
  <c r="DB189" i="18" s="1"/>
  <c r="DC189" i="18" s="1"/>
  <c r="DD189" i="18" s="1"/>
  <c r="DE189" i="18" s="1"/>
  <c r="DF189" i="18" s="1"/>
  <c r="DG189" i="18" s="1"/>
  <c r="DH189" i="18" s="1"/>
  <c r="DI189" i="18" s="1"/>
  <c r="DJ189" i="18" s="1"/>
  <c r="DK189" i="18" s="1"/>
  <c r="DL189" i="18" s="1"/>
  <c r="DM189" i="18" s="1"/>
  <c r="DN189" i="18" s="1"/>
  <c r="DO189" i="18" s="1"/>
  <c r="DP189" i="18" s="1"/>
  <c r="DQ189" i="18" s="1"/>
  <c r="DR189" i="18" s="1"/>
  <c r="DS189" i="18" s="1"/>
  <c r="DT189" i="18" s="1"/>
  <c r="DU189" i="18" s="1"/>
  <c r="DV189" i="18" s="1"/>
  <c r="DW189" i="18" s="1"/>
  <c r="DX189" i="18" s="1"/>
  <c r="DY189" i="18" s="1"/>
  <c r="DZ189" i="18" s="1"/>
  <c r="EA189" i="18" s="1"/>
  <c r="EB189" i="18" s="1"/>
  <c r="EC189" i="18" s="1"/>
  <c r="ED189" i="18" s="1"/>
  <c r="EE189" i="18" s="1"/>
  <c r="EF189" i="18" s="1"/>
  <c r="EG189" i="18" s="1"/>
  <c r="EH189" i="18" s="1"/>
  <c r="EI189" i="18" s="1"/>
  <c r="P186" i="18"/>
  <c r="P53" i="18" s="1"/>
  <c r="AK120" i="18"/>
  <c r="Q119" i="18"/>
  <c r="R119" i="18" s="1"/>
  <c r="S119" i="18" s="1"/>
  <c r="T119" i="18" s="1"/>
  <c r="U119" i="18" s="1"/>
  <c r="V119" i="18" s="1"/>
  <c r="W119" i="18" s="1"/>
  <c r="X119" i="18" s="1"/>
  <c r="Y119" i="18" s="1"/>
  <c r="Z119" i="18" s="1"/>
  <c r="AA119" i="18" s="1"/>
  <c r="AK95" i="18"/>
  <c r="T94" i="18"/>
  <c r="U94" i="18" s="1"/>
  <c r="O116" i="18"/>
  <c r="O32" i="18" s="1"/>
  <c r="Q111" i="18"/>
  <c r="M91" i="18"/>
  <c r="M22" i="18" s="1"/>
  <c r="F92" i="18"/>
  <c r="E92" i="18" s="1"/>
  <c r="AP190" i="18" l="1"/>
  <c r="AQ190" i="18" s="1"/>
  <c r="AR190" i="18" s="1"/>
  <c r="AS190" i="18" s="1"/>
  <c r="AT190" i="18" s="1"/>
  <c r="AU190" i="18" s="1"/>
  <c r="AV190" i="18" s="1"/>
  <c r="AW190" i="18" s="1"/>
  <c r="AX190" i="18" s="1"/>
  <c r="AY190" i="18" s="1"/>
  <c r="AZ190" i="18" s="1"/>
  <c r="BA190" i="18" s="1"/>
  <c r="BB190" i="18" s="1"/>
  <c r="BC190" i="18" s="1"/>
  <c r="BD190" i="18" s="1"/>
  <c r="BE190" i="18" s="1"/>
  <c r="BF190" i="18" s="1"/>
  <c r="BG190" i="18" s="1"/>
  <c r="BH190" i="18" s="1"/>
  <c r="BI190" i="18" s="1"/>
  <c r="BJ190" i="18" s="1"/>
  <c r="BK190" i="18" s="1"/>
  <c r="BL190" i="18" s="1"/>
  <c r="BM190" i="18" s="1"/>
  <c r="BN190" i="18" s="1"/>
  <c r="BO190" i="18" s="1"/>
  <c r="BP190" i="18" s="1"/>
  <c r="BQ190" i="18" s="1"/>
  <c r="BR190" i="18" s="1"/>
  <c r="BS190" i="18" s="1"/>
  <c r="BT190" i="18" s="1"/>
  <c r="BU190" i="18" s="1"/>
  <c r="BV190" i="18" s="1"/>
  <c r="BW190" i="18" s="1"/>
  <c r="BX190" i="18" s="1"/>
  <c r="BY190" i="18" s="1"/>
  <c r="BZ190" i="18" s="1"/>
  <c r="CA190" i="18" s="1"/>
  <c r="CB190" i="18" s="1"/>
  <c r="CC190" i="18" s="1"/>
  <c r="CD190" i="18" s="1"/>
  <c r="CE190" i="18" s="1"/>
  <c r="CF190" i="18" s="1"/>
  <c r="CG190" i="18" s="1"/>
  <c r="CH190" i="18" s="1"/>
  <c r="CI190" i="18" s="1"/>
  <c r="CJ190" i="18" s="1"/>
  <c r="CK190" i="18" s="1"/>
  <c r="CL190" i="18" s="1"/>
  <c r="CM190" i="18" s="1"/>
  <c r="CN190" i="18" s="1"/>
  <c r="CO190" i="18" s="1"/>
  <c r="CP190" i="18" s="1"/>
  <c r="CQ190" i="18" s="1"/>
  <c r="CR190" i="18" s="1"/>
  <c r="CS190" i="18" s="1"/>
  <c r="CT190" i="18" s="1"/>
  <c r="CU190" i="18" s="1"/>
  <c r="CV190" i="18" s="1"/>
  <c r="CW190" i="18" s="1"/>
  <c r="CX190" i="18" s="1"/>
  <c r="CY190" i="18" s="1"/>
  <c r="CZ190" i="18" s="1"/>
  <c r="DA190" i="18" s="1"/>
  <c r="DB190" i="18" s="1"/>
  <c r="DC190" i="18" s="1"/>
  <c r="DD190" i="18" s="1"/>
  <c r="DE190" i="18" s="1"/>
  <c r="DF190" i="18" s="1"/>
  <c r="DG190" i="18" s="1"/>
  <c r="DH190" i="18" s="1"/>
  <c r="DI190" i="18" s="1"/>
  <c r="DJ190" i="18" s="1"/>
  <c r="DK190" i="18" s="1"/>
  <c r="DL190" i="18" s="1"/>
  <c r="DM190" i="18" s="1"/>
  <c r="DN190" i="18" s="1"/>
  <c r="DO190" i="18" s="1"/>
  <c r="DP190" i="18" s="1"/>
  <c r="DQ190" i="18" s="1"/>
  <c r="DR190" i="18" s="1"/>
  <c r="DS190" i="18" s="1"/>
  <c r="DT190" i="18" s="1"/>
  <c r="DU190" i="18" s="1"/>
  <c r="DV190" i="18" s="1"/>
  <c r="DW190" i="18" s="1"/>
  <c r="DX190" i="18" s="1"/>
  <c r="DY190" i="18" s="1"/>
  <c r="DZ190" i="18" s="1"/>
  <c r="EA190" i="18" s="1"/>
  <c r="EB190" i="18" s="1"/>
  <c r="EC190" i="18" s="1"/>
  <c r="ED190" i="18" s="1"/>
  <c r="EE190" i="18" s="1"/>
  <c r="EF190" i="18" s="1"/>
  <c r="EG190" i="18" s="1"/>
  <c r="EH190" i="18" s="1"/>
  <c r="EI190" i="18" s="1"/>
  <c r="R186" i="18"/>
  <c r="R53" i="18" s="1"/>
  <c r="AL120" i="18"/>
  <c r="AB119" i="18"/>
  <c r="AL95" i="18"/>
  <c r="V94" i="18"/>
  <c r="W94" i="18" s="1"/>
  <c r="N91" i="18"/>
  <c r="N22" i="18" s="1"/>
  <c r="P116" i="18"/>
  <c r="P32" i="18" s="1"/>
  <c r="R111" i="18"/>
  <c r="Q186" i="18" l="1"/>
  <c r="Q53" i="18" s="1"/>
  <c r="AM95" i="18"/>
  <c r="AM120" i="18"/>
  <c r="AC119" i="18"/>
  <c r="X94" i="18"/>
  <c r="Y94" i="18" s="1"/>
  <c r="Z94" i="18" s="1"/>
  <c r="AA94" i="18" s="1"/>
  <c r="AB94" i="18" s="1"/>
  <c r="AC94" i="18" s="1"/>
  <c r="AD94" i="18" s="1"/>
  <c r="AE94" i="18" s="1"/>
  <c r="AF94" i="18" s="1"/>
  <c r="AG94" i="18" s="1"/>
  <c r="AH94" i="18" s="1"/>
  <c r="AI94" i="18" s="1"/>
  <c r="AJ94" i="18" s="1"/>
  <c r="AK94" i="18" s="1"/>
  <c r="AL94" i="18" s="1"/>
  <c r="AM94" i="18" s="1"/>
  <c r="AN94" i="18" s="1"/>
  <c r="AO94" i="18" s="1"/>
  <c r="AP94" i="18" s="1"/>
  <c r="AQ94" i="18" s="1"/>
  <c r="AR94" i="18" s="1"/>
  <c r="AS94" i="18" s="1"/>
  <c r="AT94" i="18" s="1"/>
  <c r="AU94" i="18" s="1"/>
  <c r="AV94" i="18" s="1"/>
  <c r="AW94" i="18" s="1"/>
  <c r="S111" i="18"/>
  <c r="Q116" i="18"/>
  <c r="Q32" i="18" s="1"/>
  <c r="O91" i="18"/>
  <c r="O22" i="18" s="1"/>
  <c r="S186" i="18" l="1"/>
  <c r="S53" i="18" s="1"/>
  <c r="AN95" i="18"/>
  <c r="AO95" i="18" s="1"/>
  <c r="T186" i="18"/>
  <c r="T53" i="18" s="1"/>
  <c r="AN120" i="18"/>
  <c r="AD119" i="18"/>
  <c r="AE119" i="18" s="1"/>
  <c r="AF119" i="18" s="1"/>
  <c r="AG119" i="18" s="1"/>
  <c r="AH119" i="18" s="1"/>
  <c r="AI119" i="18" s="1"/>
  <c r="AJ119" i="18" s="1"/>
  <c r="AK119" i="18" s="1"/>
  <c r="AL119" i="18" s="1"/>
  <c r="AM119" i="18" s="1"/>
  <c r="AN119" i="18" s="1"/>
  <c r="AO119" i="18" s="1"/>
  <c r="AP119" i="18" s="1"/>
  <c r="AQ119" i="18" s="1"/>
  <c r="AR119" i="18" s="1"/>
  <c r="AS119" i="18" s="1"/>
  <c r="AX94" i="18"/>
  <c r="AY94" i="18" s="1"/>
  <c r="AZ94" i="18" s="1"/>
  <c r="BA94" i="18" s="1"/>
  <c r="BB94" i="18" s="1"/>
  <c r="BC94" i="18" s="1"/>
  <c r="BD94" i="18" s="1"/>
  <c r="BE94" i="18" s="1"/>
  <c r="BF94" i="18" s="1"/>
  <c r="BG94" i="18" s="1"/>
  <c r="BH94" i="18" s="1"/>
  <c r="BI94" i="18" s="1"/>
  <c r="BJ94" i="18" s="1"/>
  <c r="BK94" i="18" s="1"/>
  <c r="BL94" i="18" s="1"/>
  <c r="BM94" i="18" s="1"/>
  <c r="BN94" i="18" s="1"/>
  <c r="BO94" i="18" s="1"/>
  <c r="BP94" i="18" s="1"/>
  <c r="BQ94" i="18" s="1"/>
  <c r="BR94" i="18" s="1"/>
  <c r="BS94" i="18" s="1"/>
  <c r="BT94" i="18" s="1"/>
  <c r="BU94" i="18" s="1"/>
  <c r="BV94" i="18" s="1"/>
  <c r="BW94" i="18" s="1"/>
  <c r="BX94" i="18" s="1"/>
  <c r="BY94" i="18" s="1"/>
  <c r="BZ94" i="18" s="1"/>
  <c r="CA94" i="18" s="1"/>
  <c r="CB94" i="18" s="1"/>
  <c r="CC94" i="18" s="1"/>
  <c r="CD94" i="18" s="1"/>
  <c r="CE94" i="18" s="1"/>
  <c r="CF94" i="18" s="1"/>
  <c r="CG94" i="18" s="1"/>
  <c r="T111" i="18"/>
  <c r="P91" i="18"/>
  <c r="P22" i="18" s="1"/>
  <c r="R116" i="18"/>
  <c r="R32" i="18" s="1"/>
  <c r="AP95" i="18" l="1"/>
  <c r="U186" i="18"/>
  <c r="U53" i="18" s="1"/>
  <c r="AO120" i="18"/>
  <c r="AT119" i="18"/>
  <c r="AU119" i="18" s="1"/>
  <c r="AV119" i="18" s="1"/>
  <c r="AW119" i="18" s="1"/>
  <c r="AX119" i="18" s="1"/>
  <c r="AY119" i="18" s="1"/>
  <c r="AZ119" i="18" s="1"/>
  <c r="BA119" i="18" s="1"/>
  <c r="BB119" i="18" s="1"/>
  <c r="BC119" i="18" s="1"/>
  <c r="BD119" i="18" s="1"/>
  <c r="BE119" i="18" s="1"/>
  <c r="BF119" i="18" s="1"/>
  <c r="BG119" i="18" s="1"/>
  <c r="BH119" i="18" s="1"/>
  <c r="BI119" i="18" s="1"/>
  <c r="BJ119" i="18" s="1"/>
  <c r="BK119" i="18" s="1"/>
  <c r="BL119" i="18" s="1"/>
  <c r="BM119" i="18" s="1"/>
  <c r="BN119" i="18" s="1"/>
  <c r="BO119" i="18" s="1"/>
  <c r="BP119" i="18" s="1"/>
  <c r="BQ119" i="18" s="1"/>
  <c r="BR119" i="18" s="1"/>
  <c r="BS119" i="18" s="1"/>
  <c r="BT119" i="18" s="1"/>
  <c r="BU119" i="18" s="1"/>
  <c r="BV119" i="18" s="1"/>
  <c r="BW119" i="18" s="1"/>
  <c r="BX119" i="18" s="1"/>
  <c r="BY119" i="18" s="1"/>
  <c r="BZ119" i="18" s="1"/>
  <c r="CA119" i="18" s="1"/>
  <c r="CB119" i="18" s="1"/>
  <c r="CC119" i="18" s="1"/>
  <c r="CD119" i="18" s="1"/>
  <c r="CE119" i="18" s="1"/>
  <c r="CF119" i="18" s="1"/>
  <c r="CG119" i="18" s="1"/>
  <c r="CH119" i="18" s="1"/>
  <c r="CI119" i="18" s="1"/>
  <c r="CJ119" i="18" s="1"/>
  <c r="CK119" i="18" s="1"/>
  <c r="CL119" i="18" s="1"/>
  <c r="CM119" i="18" s="1"/>
  <c r="CN119" i="18" s="1"/>
  <c r="CO119" i="18" s="1"/>
  <c r="CP119" i="18" s="1"/>
  <c r="CQ119" i="18" s="1"/>
  <c r="CR119" i="18" s="1"/>
  <c r="CS119" i="18" s="1"/>
  <c r="CT119" i="18" s="1"/>
  <c r="CU119" i="18" s="1"/>
  <c r="CV119" i="18" s="1"/>
  <c r="CW119" i="18" s="1"/>
  <c r="CX119" i="18" s="1"/>
  <c r="CY119" i="18" s="1"/>
  <c r="CZ119" i="18" s="1"/>
  <c r="DA119" i="18" s="1"/>
  <c r="DB119" i="18" s="1"/>
  <c r="DC119" i="18" s="1"/>
  <c r="DD119" i="18" s="1"/>
  <c r="DE119" i="18" s="1"/>
  <c r="DF119" i="18" s="1"/>
  <c r="DG119" i="18" s="1"/>
  <c r="DH119" i="18" s="1"/>
  <c r="DI119" i="18" s="1"/>
  <c r="DJ119" i="18" s="1"/>
  <c r="DK119" i="18" s="1"/>
  <c r="DL119" i="18" s="1"/>
  <c r="DM119" i="18" s="1"/>
  <c r="DN119" i="18" s="1"/>
  <c r="DO119" i="18" s="1"/>
  <c r="DP119" i="18" s="1"/>
  <c r="DQ119" i="18" s="1"/>
  <c r="DR119" i="18" s="1"/>
  <c r="DS119" i="18" s="1"/>
  <c r="DT119" i="18" s="1"/>
  <c r="DU119" i="18" s="1"/>
  <c r="DV119" i="18" s="1"/>
  <c r="DW119" i="18" s="1"/>
  <c r="DX119" i="18" s="1"/>
  <c r="DY119" i="18" s="1"/>
  <c r="DZ119" i="18" s="1"/>
  <c r="EA119" i="18" s="1"/>
  <c r="EB119" i="18" s="1"/>
  <c r="EC119" i="18" s="1"/>
  <c r="ED119" i="18" s="1"/>
  <c r="EE119" i="18" s="1"/>
  <c r="EF119" i="18" s="1"/>
  <c r="EG119" i="18" s="1"/>
  <c r="EH119" i="18" s="1"/>
  <c r="EI119" i="18" s="1"/>
  <c r="CH94" i="18"/>
  <c r="CI94" i="18" s="1"/>
  <c r="CJ94" i="18" s="1"/>
  <c r="CK94" i="18" s="1"/>
  <c r="CL94" i="18" s="1"/>
  <c r="CM94" i="18" s="1"/>
  <c r="CN94" i="18" s="1"/>
  <c r="CO94" i="18" s="1"/>
  <c r="CP94" i="18" s="1"/>
  <c r="CQ94" i="18" s="1"/>
  <c r="CR94" i="18" s="1"/>
  <c r="CS94" i="18" s="1"/>
  <c r="CT94" i="18" s="1"/>
  <c r="CU94" i="18" s="1"/>
  <c r="CV94" i="18" s="1"/>
  <c r="CW94" i="18" s="1"/>
  <c r="CX94" i="18" s="1"/>
  <c r="CY94" i="18" s="1"/>
  <c r="CZ94" i="18" s="1"/>
  <c r="DA94" i="18" s="1"/>
  <c r="DB94" i="18" s="1"/>
  <c r="DC94" i="18" s="1"/>
  <c r="DD94" i="18" s="1"/>
  <c r="DE94" i="18" s="1"/>
  <c r="DF94" i="18" s="1"/>
  <c r="DG94" i="18" s="1"/>
  <c r="DH94" i="18" s="1"/>
  <c r="DI94" i="18" s="1"/>
  <c r="DJ94" i="18" s="1"/>
  <c r="DK94" i="18" s="1"/>
  <c r="DL94" i="18" s="1"/>
  <c r="DM94" i="18" s="1"/>
  <c r="DN94" i="18" s="1"/>
  <c r="DO94" i="18" s="1"/>
  <c r="DP94" i="18" s="1"/>
  <c r="DQ94" i="18" s="1"/>
  <c r="DR94" i="18" s="1"/>
  <c r="DS94" i="18" s="1"/>
  <c r="DT94" i="18" s="1"/>
  <c r="DU94" i="18" s="1"/>
  <c r="DV94" i="18" s="1"/>
  <c r="DW94" i="18" s="1"/>
  <c r="DX94" i="18" s="1"/>
  <c r="DY94" i="18" s="1"/>
  <c r="DZ94" i="18" s="1"/>
  <c r="EA94" i="18" s="1"/>
  <c r="EB94" i="18" s="1"/>
  <c r="EC94" i="18" s="1"/>
  <c r="ED94" i="18" s="1"/>
  <c r="EE94" i="18" s="1"/>
  <c r="EF94" i="18" s="1"/>
  <c r="EG94" i="18" s="1"/>
  <c r="EH94" i="18" s="1"/>
  <c r="EI94" i="18" s="1"/>
  <c r="S116" i="18"/>
  <c r="S32" i="18" s="1"/>
  <c r="U111" i="18"/>
  <c r="Q91" i="18"/>
  <c r="Q22" i="18" s="1"/>
  <c r="AQ95" i="18" l="1"/>
  <c r="V186" i="18"/>
  <c r="V53" i="18" s="1"/>
  <c r="AP120" i="18"/>
  <c r="R91" i="18"/>
  <c r="R22" i="18" s="1"/>
  <c r="T116" i="18"/>
  <c r="T32" i="18" s="1"/>
  <c r="V111" i="18"/>
  <c r="AR95" i="18" l="1"/>
  <c r="W186" i="18"/>
  <c r="W53" i="18" s="1"/>
  <c r="AQ120" i="18"/>
  <c r="S91" i="18"/>
  <c r="S22" i="18" s="1"/>
  <c r="W111" i="18"/>
  <c r="U116" i="18"/>
  <c r="U32" i="18" s="1"/>
  <c r="AS95" i="18" l="1"/>
  <c r="X186" i="18"/>
  <c r="X53" i="18" s="1"/>
  <c r="AR120" i="18"/>
  <c r="X111" i="18"/>
  <c r="T91" i="18"/>
  <c r="T22" i="18" s="1"/>
  <c r="V116" i="18"/>
  <c r="V32" i="18" s="1"/>
  <c r="AT95" i="18" l="1"/>
  <c r="Y186" i="18"/>
  <c r="Y53" i="18" s="1"/>
  <c r="AS120" i="18"/>
  <c r="Y111" i="18"/>
  <c r="U91" i="18"/>
  <c r="U22" i="18" s="1"/>
  <c r="W116" i="18"/>
  <c r="W32" i="18" s="1"/>
  <c r="AU95" i="18" l="1"/>
  <c r="Z186" i="18"/>
  <c r="Z53" i="18" s="1"/>
  <c r="AT120" i="18"/>
  <c r="X116" i="18"/>
  <c r="X32" i="18" s="1"/>
  <c r="V91" i="18"/>
  <c r="V22" i="18" s="1"/>
  <c r="Z111" i="18"/>
  <c r="AV95" i="18" l="1"/>
  <c r="AA186" i="18"/>
  <c r="AA53" i="18" s="1"/>
  <c r="AU120" i="18"/>
  <c r="W91" i="18"/>
  <c r="W22" i="18" s="1"/>
  <c r="Y116" i="18"/>
  <c r="Y32" i="18" s="1"/>
  <c r="AA111" i="18"/>
  <c r="AW95" i="18" l="1"/>
  <c r="AB186" i="18"/>
  <c r="AB53" i="18" s="1"/>
  <c r="AV120" i="18"/>
  <c r="AB111" i="18"/>
  <c r="Z116" i="18"/>
  <c r="Z32" i="18" s="1"/>
  <c r="X91" i="18"/>
  <c r="X22" i="18" s="1"/>
  <c r="AX95" i="18" l="1"/>
  <c r="AC186" i="18"/>
  <c r="AC53" i="18" s="1"/>
  <c r="AW120" i="18"/>
  <c r="AA116" i="18"/>
  <c r="AA32" i="18" s="1"/>
  <c r="Y91" i="18"/>
  <c r="Y22" i="18" s="1"/>
  <c r="AC111" i="18"/>
  <c r="AY95" i="18" l="1"/>
  <c r="AD186" i="18"/>
  <c r="AD53" i="18" s="1"/>
  <c r="AX120" i="18"/>
  <c r="Z91" i="18"/>
  <c r="Z22" i="18" s="1"/>
  <c r="AB116" i="18"/>
  <c r="AB32" i="18" s="1"/>
  <c r="AZ95" i="18" l="1"/>
  <c r="AE186" i="18"/>
  <c r="AE53" i="18" s="1"/>
  <c r="AY120" i="18"/>
  <c r="AC116" i="18"/>
  <c r="AC32" i="18" s="1"/>
  <c r="AA91" i="18"/>
  <c r="AA22" i="18" s="1"/>
  <c r="BA95" i="18" l="1"/>
  <c r="AF186" i="18"/>
  <c r="AF53" i="18" s="1"/>
  <c r="AZ120" i="18"/>
  <c r="AB91" i="18"/>
  <c r="AB22" i="18" s="1"/>
  <c r="AD116" i="18"/>
  <c r="AD32" i="18" s="1"/>
  <c r="BB95" i="18" l="1"/>
  <c r="AG186" i="18"/>
  <c r="AG53" i="18" s="1"/>
  <c r="BA120" i="18"/>
  <c r="AC91" i="18"/>
  <c r="AC22" i="18" s="1"/>
  <c r="AE116" i="18"/>
  <c r="AE32" i="18" s="1"/>
  <c r="BC95" i="18" l="1"/>
  <c r="AH186" i="18"/>
  <c r="AH53" i="18" s="1"/>
  <c r="BB120" i="18"/>
  <c r="AF116" i="18"/>
  <c r="AF32" i="18" s="1"/>
  <c r="AD91" i="18"/>
  <c r="AD22" i="18" s="1"/>
  <c r="BD95" i="18" l="1"/>
  <c r="AI186" i="18"/>
  <c r="AI53" i="18" s="1"/>
  <c r="BC120" i="18"/>
  <c r="AG116" i="18"/>
  <c r="AG32" i="18" s="1"/>
  <c r="AE91" i="18"/>
  <c r="AE22" i="18" s="1"/>
  <c r="BE95" i="18" l="1"/>
  <c r="AJ186" i="18"/>
  <c r="AJ53" i="18" s="1"/>
  <c r="BD120" i="18"/>
  <c r="AH116" i="18"/>
  <c r="AH32" i="18" s="1"/>
  <c r="AF91" i="18"/>
  <c r="AF22" i="18" s="1"/>
  <c r="BF95" i="18" l="1"/>
  <c r="AK186" i="18"/>
  <c r="AK53" i="18" s="1"/>
  <c r="BE120" i="18"/>
  <c r="AG91" i="18"/>
  <c r="AG22" i="18" s="1"/>
  <c r="AI116" i="18"/>
  <c r="AI32" i="18" s="1"/>
  <c r="BG95" i="18" l="1"/>
  <c r="AL186" i="18"/>
  <c r="AL53" i="18" s="1"/>
  <c r="BF120" i="18"/>
  <c r="AJ116" i="18"/>
  <c r="AJ32" i="18" s="1"/>
  <c r="AH91" i="18"/>
  <c r="AH22" i="18" s="1"/>
  <c r="BH95" i="18" l="1"/>
  <c r="AM186" i="18"/>
  <c r="AM53" i="18" s="1"/>
  <c r="BG120" i="18"/>
  <c r="AI91" i="18"/>
  <c r="AI22" i="18" s="1"/>
  <c r="AK116" i="18"/>
  <c r="AK32" i="18" s="1"/>
  <c r="BI95" i="18" l="1"/>
  <c r="AN186" i="18"/>
  <c r="AN53" i="18" s="1"/>
  <c r="BH120" i="18"/>
  <c r="AL116" i="18"/>
  <c r="AL32" i="18" s="1"/>
  <c r="AJ91" i="18"/>
  <c r="AJ22" i="18" s="1"/>
  <c r="BJ95" i="18" l="1"/>
  <c r="AO186" i="18"/>
  <c r="AO53" i="18" s="1"/>
  <c r="BI120" i="18"/>
  <c r="AK91" i="18"/>
  <c r="AK22" i="18" s="1"/>
  <c r="AM116" i="18"/>
  <c r="AM32" i="18" s="1"/>
  <c r="BK95" i="18" l="1"/>
  <c r="AP186" i="18"/>
  <c r="AP53" i="18" s="1"/>
  <c r="BJ120" i="18"/>
  <c r="AL91" i="18"/>
  <c r="AL22" i="18" s="1"/>
  <c r="AN116" i="18"/>
  <c r="AN32" i="18" s="1"/>
  <c r="BL95" i="18" l="1"/>
  <c r="AQ186" i="18"/>
  <c r="AQ53" i="18" s="1"/>
  <c r="BK120" i="18"/>
  <c r="AM91" i="18"/>
  <c r="AM22" i="18" s="1"/>
  <c r="AO116" i="18"/>
  <c r="AO32" i="18" s="1"/>
  <c r="BM95" i="18" l="1"/>
  <c r="AR186" i="18"/>
  <c r="AR53" i="18" s="1"/>
  <c r="BL120" i="18"/>
  <c r="AP116" i="18"/>
  <c r="AP32" i="18" s="1"/>
  <c r="AN91" i="18"/>
  <c r="AN22" i="18" s="1"/>
  <c r="BN95" i="18" l="1"/>
  <c r="AS186" i="18"/>
  <c r="AS53" i="18" s="1"/>
  <c r="BM120" i="18"/>
  <c r="AQ116" i="18"/>
  <c r="AQ32" i="18" s="1"/>
  <c r="AO91" i="18"/>
  <c r="AO22" i="18" s="1"/>
  <c r="BO95" i="18" l="1"/>
  <c r="AT186" i="18"/>
  <c r="AT53" i="18" s="1"/>
  <c r="BN120" i="18"/>
  <c r="AR116" i="18"/>
  <c r="AR32" i="18" s="1"/>
  <c r="AP91" i="18"/>
  <c r="AP22" i="18" s="1"/>
  <c r="BP95" i="18" l="1"/>
  <c r="AU186" i="18"/>
  <c r="AU53" i="18" s="1"/>
  <c r="BO120" i="18"/>
  <c r="AS116" i="18"/>
  <c r="AS32" i="18" s="1"/>
  <c r="AQ91" i="18"/>
  <c r="AQ22" i="18" s="1"/>
  <c r="BQ95" i="18" l="1"/>
  <c r="AV186" i="18"/>
  <c r="AV53" i="18" s="1"/>
  <c r="BP120" i="18"/>
  <c r="AT116" i="18"/>
  <c r="AT32" i="18" s="1"/>
  <c r="AR91" i="18"/>
  <c r="AR22" i="18" s="1"/>
  <c r="BR95" i="18" l="1"/>
  <c r="AW186" i="18"/>
  <c r="AW53" i="18" s="1"/>
  <c r="BQ120" i="18"/>
  <c r="AU116" i="18"/>
  <c r="AU32" i="18" s="1"/>
  <c r="AS91" i="18"/>
  <c r="AS22" i="18" s="1"/>
  <c r="BS95" i="18" l="1"/>
  <c r="AX186" i="18"/>
  <c r="AX53" i="18" s="1"/>
  <c r="BR120" i="18"/>
  <c r="AT91" i="18"/>
  <c r="AT22" i="18" s="1"/>
  <c r="AV116" i="18"/>
  <c r="AV32" i="18" s="1"/>
  <c r="BT95" i="18" l="1"/>
  <c r="AY186" i="18"/>
  <c r="AY53" i="18" s="1"/>
  <c r="BS120" i="18"/>
  <c r="AW116" i="18"/>
  <c r="AW32" i="18" s="1"/>
  <c r="AU91" i="18"/>
  <c r="AU22" i="18" s="1"/>
  <c r="BU95" i="18" l="1"/>
  <c r="AZ186" i="18"/>
  <c r="AZ53" i="18" s="1"/>
  <c r="BT120" i="18"/>
  <c r="AV91" i="18"/>
  <c r="AV22" i="18" s="1"/>
  <c r="AX116" i="18"/>
  <c r="AX32" i="18" s="1"/>
  <c r="BV95" i="18" l="1"/>
  <c r="BA186" i="18"/>
  <c r="BA53" i="18" s="1"/>
  <c r="BU120" i="18"/>
  <c r="AY116" i="18"/>
  <c r="AY32" i="18" s="1"/>
  <c r="AW91" i="18"/>
  <c r="AW22" i="18" s="1"/>
  <c r="BW95" i="18" l="1"/>
  <c r="BB186" i="18"/>
  <c r="BB53" i="18" s="1"/>
  <c r="BV120" i="18"/>
  <c r="AX91" i="18"/>
  <c r="AX22" i="18" s="1"/>
  <c r="AZ116" i="18"/>
  <c r="AZ32" i="18" s="1"/>
  <c r="BX95" i="18" l="1"/>
  <c r="BC186" i="18"/>
  <c r="BC53" i="18" s="1"/>
  <c r="BW120" i="18"/>
  <c r="AY91" i="18"/>
  <c r="AY22" i="18" s="1"/>
  <c r="BA116" i="18"/>
  <c r="BA32" i="18" s="1"/>
  <c r="BY95" i="18" l="1"/>
  <c r="BD186" i="18"/>
  <c r="BD53" i="18" s="1"/>
  <c r="BX120" i="18"/>
  <c r="BB116" i="18"/>
  <c r="BB32" i="18" s="1"/>
  <c r="AZ91" i="18"/>
  <c r="AZ22" i="18" s="1"/>
  <c r="BZ95" i="18" l="1"/>
  <c r="BE186" i="18"/>
  <c r="BE53" i="18" s="1"/>
  <c r="BY120" i="18"/>
  <c r="BA91" i="18"/>
  <c r="BA22" i="18" s="1"/>
  <c r="BC116" i="18"/>
  <c r="BC32" i="18" s="1"/>
  <c r="CA95" i="18" l="1"/>
  <c r="BF186" i="18"/>
  <c r="BF53" i="18" s="1"/>
  <c r="BZ120" i="18"/>
  <c r="BD116" i="18"/>
  <c r="BD32" i="18" s="1"/>
  <c r="BB91" i="18"/>
  <c r="BB22" i="18" s="1"/>
  <c r="CB95" i="18" l="1"/>
  <c r="BG186" i="18"/>
  <c r="BG53" i="18" s="1"/>
  <c r="CA120" i="18"/>
  <c r="BC91" i="18"/>
  <c r="BC22" i="18" s="1"/>
  <c r="BE116" i="18"/>
  <c r="BE32" i="18" s="1"/>
  <c r="CC95" i="18" l="1"/>
  <c r="BH186" i="18"/>
  <c r="BH53" i="18" s="1"/>
  <c r="CB120" i="18"/>
  <c r="BD91" i="18"/>
  <c r="BD22" i="18" s="1"/>
  <c r="BF116" i="18"/>
  <c r="BF32" i="18" s="1"/>
  <c r="CD95" i="18" l="1"/>
  <c r="BI186" i="18"/>
  <c r="BI53" i="18" s="1"/>
  <c r="CC120" i="18"/>
  <c r="BG116" i="18"/>
  <c r="BG32" i="18" s="1"/>
  <c r="BE91" i="18"/>
  <c r="BE22" i="18" s="1"/>
  <c r="CE95" i="18" l="1"/>
  <c r="BJ186" i="18"/>
  <c r="BJ53" i="18" s="1"/>
  <c r="CD120" i="18"/>
  <c r="BH116" i="18"/>
  <c r="BH32" i="18" s="1"/>
  <c r="BF91" i="18"/>
  <c r="BF22" i="18" s="1"/>
  <c r="CF95" i="18" l="1"/>
  <c r="BK186" i="18"/>
  <c r="BK53" i="18" s="1"/>
  <c r="CE120" i="18"/>
  <c r="BI116" i="18"/>
  <c r="BI32" i="18" s="1"/>
  <c r="BG91" i="18"/>
  <c r="BG22" i="18" s="1"/>
  <c r="CG95" i="18" l="1"/>
  <c r="BL186" i="18"/>
  <c r="BL53" i="18" s="1"/>
  <c r="CF120" i="18"/>
  <c r="BH91" i="18"/>
  <c r="BH22" i="18" s="1"/>
  <c r="BJ116" i="18"/>
  <c r="BJ32" i="18" s="1"/>
  <c r="CH95" i="18" l="1"/>
  <c r="BM186" i="18"/>
  <c r="BM53" i="18" s="1"/>
  <c r="CG120" i="18"/>
  <c r="BK116" i="18"/>
  <c r="BK32" i="18" s="1"/>
  <c r="BI91" i="18"/>
  <c r="BI22" i="18" s="1"/>
  <c r="CI95" i="18" l="1"/>
  <c r="BN186" i="18"/>
  <c r="BN53" i="18" s="1"/>
  <c r="CH120" i="18"/>
  <c r="BJ91" i="18"/>
  <c r="BJ22" i="18" s="1"/>
  <c r="BL116" i="18"/>
  <c r="BL32" i="18" s="1"/>
  <c r="CJ95" i="18" l="1"/>
  <c r="BO186" i="18"/>
  <c r="BO53" i="18" s="1"/>
  <c r="CI120" i="18"/>
  <c r="BK91" i="18"/>
  <c r="BK22" i="18" s="1"/>
  <c r="BM116" i="18"/>
  <c r="BM32" i="18" s="1"/>
  <c r="CK95" i="18" l="1"/>
  <c r="BP186" i="18"/>
  <c r="BP53" i="18" s="1"/>
  <c r="CJ120" i="18"/>
  <c r="BN116" i="18"/>
  <c r="BN32" i="18" s="1"/>
  <c r="BL91" i="18"/>
  <c r="BL22" i="18" s="1"/>
  <c r="CL95" i="18" l="1"/>
  <c r="BQ186" i="18"/>
  <c r="BQ53" i="18" s="1"/>
  <c r="CK120" i="18"/>
  <c r="BM91" i="18"/>
  <c r="BM22" i="18" s="1"/>
  <c r="BO116" i="18"/>
  <c r="BO32" i="18" s="1"/>
  <c r="CM95" i="18" l="1"/>
  <c r="BR186" i="18"/>
  <c r="BR53" i="18" s="1"/>
  <c r="CL120" i="18"/>
  <c r="BN91" i="18"/>
  <c r="BN22" i="18" s="1"/>
  <c r="BP116" i="18"/>
  <c r="BP32" i="18" s="1"/>
  <c r="CN95" i="18" l="1"/>
  <c r="BS186" i="18"/>
  <c r="BS53" i="18" s="1"/>
  <c r="CM120" i="18"/>
  <c r="BQ116" i="18"/>
  <c r="BQ32" i="18" s="1"/>
  <c r="BO91" i="18"/>
  <c r="BO22" i="18" s="1"/>
  <c r="CO95" i="18" l="1"/>
  <c r="BT186" i="18"/>
  <c r="BT53" i="18" s="1"/>
  <c r="CN120" i="18"/>
  <c r="BP91" i="18"/>
  <c r="BP22" i="18" s="1"/>
  <c r="BR116" i="18"/>
  <c r="BR32" i="18" s="1"/>
  <c r="CP95" i="18" l="1"/>
  <c r="BU186" i="18"/>
  <c r="BU53" i="18" s="1"/>
  <c r="CO120" i="18"/>
  <c r="BS116" i="18"/>
  <c r="BS32" i="18" s="1"/>
  <c r="BQ91" i="18"/>
  <c r="BQ22" i="18" s="1"/>
  <c r="CQ95" i="18" l="1"/>
  <c r="BV186" i="18"/>
  <c r="BV53" i="18" s="1"/>
  <c r="CP120" i="18"/>
  <c r="BR91" i="18"/>
  <c r="BR22" i="18" s="1"/>
  <c r="BT116" i="18"/>
  <c r="BT32" i="18" s="1"/>
  <c r="CR95" i="18" l="1"/>
  <c r="BW186" i="18"/>
  <c r="BW53" i="18" s="1"/>
  <c r="CQ120" i="18"/>
  <c r="BU116" i="18"/>
  <c r="BU32" i="18" s="1"/>
  <c r="BS91" i="18"/>
  <c r="BS22" i="18" s="1"/>
  <c r="CS95" i="18" l="1"/>
  <c r="BX186" i="18"/>
  <c r="BX53" i="18" s="1"/>
  <c r="CR120" i="18"/>
  <c r="BV116" i="18"/>
  <c r="BV32" i="18" s="1"/>
  <c r="BT91" i="18"/>
  <c r="BT22" i="18" s="1"/>
  <c r="CT95" i="18" l="1"/>
  <c r="BY186" i="18"/>
  <c r="BY53" i="18" s="1"/>
  <c r="CS120" i="18"/>
  <c r="BU91" i="18"/>
  <c r="BU22" i="18" s="1"/>
  <c r="BW116" i="18"/>
  <c r="BW32" i="18" s="1"/>
  <c r="CU95" i="18" l="1"/>
  <c r="BZ186" i="18"/>
  <c r="BZ53" i="18" s="1"/>
  <c r="CT120" i="18"/>
  <c r="BX116" i="18"/>
  <c r="BX32" i="18" s="1"/>
  <c r="BV91" i="18"/>
  <c r="BV22" i="18" s="1"/>
  <c r="CV95" i="18" l="1"/>
  <c r="CA186" i="18"/>
  <c r="CA53" i="18" s="1"/>
  <c r="CU120" i="18"/>
  <c r="BY116" i="18"/>
  <c r="BY32" i="18" s="1"/>
  <c r="BW91" i="18"/>
  <c r="BW22" i="18" s="1"/>
  <c r="CW95" i="18" l="1"/>
  <c r="CB186" i="18"/>
  <c r="CB53" i="18" s="1"/>
  <c r="CV120" i="18"/>
  <c r="BX91" i="18"/>
  <c r="BX22" i="18" s="1"/>
  <c r="BZ116" i="18"/>
  <c r="BZ32" i="18" s="1"/>
  <c r="CX95" i="18" l="1"/>
  <c r="CC186" i="18"/>
  <c r="CC53" i="18" s="1"/>
  <c r="CW120" i="18"/>
  <c r="CA116" i="18"/>
  <c r="CA32" i="18" s="1"/>
  <c r="BY91" i="18"/>
  <c r="BY22" i="18" s="1"/>
  <c r="CY95" i="18" l="1"/>
  <c r="CD186" i="18"/>
  <c r="CD53" i="18" s="1"/>
  <c r="CX120" i="18"/>
  <c r="BZ91" i="18"/>
  <c r="BZ22" i="18" s="1"/>
  <c r="CB116" i="18"/>
  <c r="CB32" i="18" s="1"/>
  <c r="CZ95" i="18" l="1"/>
  <c r="CE186" i="18"/>
  <c r="CE53" i="18" s="1"/>
  <c r="CY120" i="18"/>
  <c r="CA91" i="18"/>
  <c r="CA22" i="18" s="1"/>
  <c r="CC116" i="18"/>
  <c r="CC32" i="18" s="1"/>
  <c r="DA95" i="18" l="1"/>
  <c r="CF186" i="18"/>
  <c r="CF53" i="18" s="1"/>
  <c r="CZ120" i="18"/>
  <c r="CD116" i="18"/>
  <c r="CD32" i="18" s="1"/>
  <c r="CB91" i="18"/>
  <c r="CB22" i="18" s="1"/>
  <c r="DB95" i="18" l="1"/>
  <c r="CG186" i="18"/>
  <c r="CG53" i="18" s="1"/>
  <c r="DA120" i="18"/>
  <c r="CC91" i="18"/>
  <c r="CC22" i="18" s="1"/>
  <c r="CE116" i="18"/>
  <c r="CE32" i="18" s="1"/>
  <c r="DC95" i="18" l="1"/>
  <c r="CH186" i="18"/>
  <c r="CH53" i="18" s="1"/>
  <c r="DB120" i="18"/>
  <c r="CF116" i="18"/>
  <c r="CF32" i="18" s="1"/>
  <c r="CD91" i="18"/>
  <c r="CD22" i="18" s="1"/>
  <c r="DD95" i="18" l="1"/>
  <c r="CI186" i="18"/>
  <c r="CI53" i="18" s="1"/>
  <c r="DC120" i="18"/>
  <c r="CE91" i="18"/>
  <c r="CE22" i="18" s="1"/>
  <c r="CG116" i="18"/>
  <c r="CG32" i="18" s="1"/>
  <c r="DE95" i="18" l="1"/>
  <c r="CJ186" i="18"/>
  <c r="CJ53" i="18" s="1"/>
  <c r="DD120" i="18"/>
  <c r="CH116" i="18"/>
  <c r="CH32" i="18" s="1"/>
  <c r="CF91" i="18"/>
  <c r="CF22" i="18" s="1"/>
  <c r="DF95" i="18" l="1"/>
  <c r="CK186" i="18"/>
  <c r="CK53" i="18" s="1"/>
  <c r="DE120" i="18"/>
  <c r="CI116" i="18"/>
  <c r="CI32" i="18" s="1"/>
  <c r="CG91" i="18"/>
  <c r="CG22" i="18" s="1"/>
  <c r="DG95" i="18" l="1"/>
  <c r="CL186" i="18"/>
  <c r="CL53" i="18" s="1"/>
  <c r="DF120" i="18"/>
  <c r="CH91" i="18"/>
  <c r="CH22" i="18" s="1"/>
  <c r="CJ116" i="18"/>
  <c r="CJ32" i="18" s="1"/>
  <c r="DH95" i="18" l="1"/>
  <c r="CM186" i="18"/>
  <c r="CM53" i="18" s="1"/>
  <c r="DG120" i="18"/>
  <c r="CK116" i="18"/>
  <c r="CK32" i="18" s="1"/>
  <c r="CI91" i="18"/>
  <c r="CI22" i="18" s="1"/>
  <c r="DI95" i="18" l="1"/>
  <c r="CN186" i="18"/>
  <c r="CN53" i="18" s="1"/>
  <c r="DH120" i="18"/>
  <c r="CJ91" i="18"/>
  <c r="CJ22" i="18" s="1"/>
  <c r="CL116" i="18"/>
  <c r="CL32" i="18" s="1"/>
  <c r="DJ95" i="18" l="1"/>
  <c r="CO186" i="18"/>
  <c r="CO53" i="18" s="1"/>
  <c r="DI120" i="18"/>
  <c r="CM116" i="18"/>
  <c r="CM32" i="18" s="1"/>
  <c r="CK91" i="18"/>
  <c r="CK22" i="18" s="1"/>
  <c r="DK95" i="18" l="1"/>
  <c r="CP186" i="18"/>
  <c r="CP53" i="18" s="1"/>
  <c r="DJ120" i="18"/>
  <c r="CL91" i="18"/>
  <c r="CL22" i="18" s="1"/>
  <c r="CN116" i="18"/>
  <c r="CN32" i="18" s="1"/>
  <c r="DL95" i="18" l="1"/>
  <c r="CQ186" i="18"/>
  <c r="CQ53" i="18" s="1"/>
  <c r="DK120" i="18"/>
  <c r="CO116" i="18"/>
  <c r="CO32" i="18" s="1"/>
  <c r="CM91" i="18"/>
  <c r="CM22" i="18" s="1"/>
  <c r="DM95" i="18" l="1"/>
  <c r="CR186" i="18"/>
  <c r="CR53" i="18" s="1"/>
  <c r="DL120" i="18"/>
  <c r="CP116" i="18"/>
  <c r="CP32" i="18" s="1"/>
  <c r="CN91" i="18"/>
  <c r="CN22" i="18" s="1"/>
  <c r="DN95" i="18" l="1"/>
  <c r="CS186" i="18"/>
  <c r="CS53" i="18" s="1"/>
  <c r="DM120" i="18"/>
  <c r="CO91" i="18"/>
  <c r="CO22" i="18" s="1"/>
  <c r="CQ116" i="18"/>
  <c r="CQ32" i="18" s="1"/>
  <c r="DO95" i="18" l="1"/>
  <c r="CT186" i="18"/>
  <c r="CT53" i="18" s="1"/>
  <c r="DN120" i="18"/>
  <c r="CR116" i="18"/>
  <c r="CR32" i="18" s="1"/>
  <c r="CP91" i="18"/>
  <c r="CP22" i="18" s="1"/>
  <c r="DP95" i="18" l="1"/>
  <c r="CU186" i="18"/>
  <c r="CU53" i="18" s="1"/>
  <c r="DO120" i="18"/>
  <c r="CS116" i="18"/>
  <c r="CS32" i="18" s="1"/>
  <c r="CQ91" i="18"/>
  <c r="CQ22" i="18" s="1"/>
  <c r="DQ95" i="18" l="1"/>
  <c r="CV186" i="18"/>
  <c r="CV53" i="18" s="1"/>
  <c r="DP120" i="18"/>
  <c r="CT116" i="18"/>
  <c r="CT32" i="18" s="1"/>
  <c r="CR91" i="18"/>
  <c r="CR22" i="18" s="1"/>
  <c r="DR95" i="18" l="1"/>
  <c r="CW186" i="18"/>
  <c r="CW53" i="18" s="1"/>
  <c r="DQ120" i="18"/>
  <c r="CS91" i="18"/>
  <c r="CS22" i="18" s="1"/>
  <c r="CU116" i="18"/>
  <c r="CU32" i="18" s="1"/>
  <c r="DS95" i="18" l="1"/>
  <c r="CX186" i="18"/>
  <c r="CX53" i="18" s="1"/>
  <c r="DR120" i="18"/>
  <c r="CT91" i="18"/>
  <c r="CT22" i="18" s="1"/>
  <c r="CV116" i="18"/>
  <c r="CV32" i="18" s="1"/>
  <c r="DT95" i="18" l="1"/>
  <c r="CY186" i="18"/>
  <c r="CY53" i="18" s="1"/>
  <c r="DS120" i="18"/>
  <c r="CU91" i="18"/>
  <c r="CU22" i="18" s="1"/>
  <c r="CW116" i="18"/>
  <c r="CW32" i="18" s="1"/>
  <c r="DU95" i="18" l="1"/>
  <c r="CZ186" i="18"/>
  <c r="CZ53" i="18" s="1"/>
  <c r="DT120" i="18"/>
  <c r="CX116" i="18"/>
  <c r="CX32" i="18" s="1"/>
  <c r="CV91" i="18"/>
  <c r="CV22" i="18" s="1"/>
  <c r="DV95" i="18" l="1"/>
  <c r="DA186" i="18"/>
  <c r="DA53" i="18" s="1"/>
  <c r="DU120" i="18"/>
  <c r="CW91" i="18"/>
  <c r="CW22" i="18" s="1"/>
  <c r="CY116" i="18"/>
  <c r="CY32" i="18" s="1"/>
  <c r="DW95" i="18" l="1"/>
  <c r="DB186" i="18"/>
  <c r="DB53" i="18" s="1"/>
  <c r="DV120" i="18"/>
  <c r="CX91" i="18"/>
  <c r="CX22" i="18" s="1"/>
  <c r="CZ116" i="18"/>
  <c r="CZ32" i="18" s="1"/>
  <c r="DX95" i="18" l="1"/>
  <c r="DC186" i="18"/>
  <c r="DC53" i="18" s="1"/>
  <c r="DW120" i="18"/>
  <c r="DA116" i="18"/>
  <c r="DA32" i="18" s="1"/>
  <c r="CY91" i="18"/>
  <c r="CY22" i="18" s="1"/>
  <c r="DY95" i="18" l="1"/>
  <c r="DD186" i="18"/>
  <c r="DD53" i="18" s="1"/>
  <c r="DX120" i="18"/>
  <c r="CZ91" i="18"/>
  <c r="CZ22" i="18" s="1"/>
  <c r="DB116" i="18"/>
  <c r="DB32" i="18" s="1"/>
  <c r="DZ95" i="18" l="1"/>
  <c r="DE186" i="18"/>
  <c r="DE53" i="18" s="1"/>
  <c r="DY120" i="18"/>
  <c r="DC116" i="18"/>
  <c r="DC32" i="18" s="1"/>
  <c r="DA91" i="18"/>
  <c r="DA22" i="18" s="1"/>
  <c r="EA95" i="18" l="1"/>
  <c r="DF186" i="18"/>
  <c r="DF53" i="18" s="1"/>
  <c r="DZ120" i="18"/>
  <c r="DB91" i="18"/>
  <c r="DB22" i="18" s="1"/>
  <c r="DD116" i="18"/>
  <c r="DD32" i="18" s="1"/>
  <c r="EB95" i="18" l="1"/>
  <c r="DG186" i="18"/>
  <c r="DG53" i="18" s="1"/>
  <c r="EA120" i="18"/>
  <c r="DC91" i="18"/>
  <c r="DC22" i="18" s="1"/>
  <c r="DE116" i="18"/>
  <c r="DE32" i="18" s="1"/>
  <c r="EC95" i="18" l="1"/>
  <c r="DH186" i="18"/>
  <c r="DH53" i="18" s="1"/>
  <c r="EB120" i="18"/>
  <c r="DF116" i="18"/>
  <c r="DF32" i="18" s="1"/>
  <c r="DD91" i="18"/>
  <c r="DD22" i="18" s="1"/>
  <c r="ED95" i="18" l="1"/>
  <c r="DI186" i="18"/>
  <c r="DI53" i="18" s="1"/>
  <c r="EC120" i="18"/>
  <c r="DG116" i="18"/>
  <c r="DG32" i="18" s="1"/>
  <c r="DE91" i="18"/>
  <c r="DE22" i="18" s="1"/>
  <c r="EE95" i="18" l="1"/>
  <c r="DJ186" i="18"/>
  <c r="DJ53" i="18" s="1"/>
  <c r="ED120" i="18"/>
  <c r="DF91" i="18"/>
  <c r="DF22" i="18" s="1"/>
  <c r="DH116" i="18"/>
  <c r="DH32" i="18" s="1"/>
  <c r="EF95" i="18" l="1"/>
  <c r="DK186" i="18"/>
  <c r="DK53" i="18" s="1"/>
  <c r="EE120" i="18"/>
  <c r="DI116" i="18"/>
  <c r="DI32" i="18" s="1"/>
  <c r="DG91" i="18"/>
  <c r="DG22" i="18" s="1"/>
  <c r="EG95" i="18" l="1"/>
  <c r="DL186" i="18"/>
  <c r="DL53" i="18" s="1"/>
  <c r="EF120" i="18"/>
  <c r="DH91" i="18"/>
  <c r="DH22" i="18" s="1"/>
  <c r="DJ116" i="18"/>
  <c r="DJ32" i="18" s="1"/>
  <c r="EH95" i="18" l="1"/>
  <c r="DM186" i="18"/>
  <c r="DM53" i="18" s="1"/>
  <c r="EG120" i="18"/>
  <c r="DI91" i="18"/>
  <c r="DI22" i="18" s="1"/>
  <c r="DK116" i="18"/>
  <c r="DK32" i="18" s="1"/>
  <c r="EI95" i="18" l="1"/>
  <c r="DN186" i="18"/>
  <c r="DN53" i="18" s="1"/>
  <c r="EH120" i="18"/>
  <c r="DJ91" i="18"/>
  <c r="DJ22" i="18" s="1"/>
  <c r="DL116" i="18"/>
  <c r="DL32" i="18" s="1"/>
  <c r="DO186" i="18" l="1"/>
  <c r="DO53" i="18" s="1"/>
  <c r="EI120" i="18"/>
  <c r="DK91" i="18"/>
  <c r="DK22" i="18" s="1"/>
  <c r="DM116" i="18"/>
  <c r="DM32" i="18" s="1"/>
  <c r="F95" i="18"/>
  <c r="E95" i="18" s="1"/>
  <c r="F190" i="18" l="1"/>
  <c r="E190" i="18" s="1"/>
  <c r="DP186" i="18"/>
  <c r="DP53" i="18" s="1"/>
  <c r="F120" i="18"/>
  <c r="E120" i="18" s="1"/>
  <c r="DN116" i="18"/>
  <c r="DN32" i="18" s="1"/>
  <c r="DL91" i="18"/>
  <c r="DL22" i="18" s="1"/>
  <c r="DQ186" i="18" l="1"/>
  <c r="DQ53" i="18" s="1"/>
  <c r="DO116" i="18"/>
  <c r="DO32" i="18" s="1"/>
  <c r="DM91" i="18"/>
  <c r="DM22" i="18" s="1"/>
  <c r="DR186" i="18" l="1"/>
  <c r="DR53" i="18" s="1"/>
  <c r="DN91" i="18"/>
  <c r="DN22" i="18" s="1"/>
  <c r="DP116" i="18"/>
  <c r="DP32" i="18" s="1"/>
  <c r="DS186" i="18" l="1"/>
  <c r="DS53" i="18" s="1"/>
  <c r="DQ116" i="18"/>
  <c r="DQ32" i="18" s="1"/>
  <c r="DO91" i="18"/>
  <c r="DO22" i="18" s="1"/>
  <c r="DT186" i="18" l="1"/>
  <c r="DT53" i="18" s="1"/>
  <c r="DP91" i="18"/>
  <c r="DP22" i="18" s="1"/>
  <c r="DR116" i="18"/>
  <c r="DR32" i="18" s="1"/>
  <c r="DU186" i="18" l="1"/>
  <c r="DU53" i="18" s="1"/>
  <c r="DS116" i="18"/>
  <c r="DS32" i="18" s="1"/>
  <c r="DQ91" i="18"/>
  <c r="DQ22" i="18" s="1"/>
  <c r="DV186" i="18" l="1"/>
  <c r="DV53" i="18" s="1"/>
  <c r="DR91" i="18"/>
  <c r="DR22" i="18" s="1"/>
  <c r="DT116" i="18"/>
  <c r="DT32" i="18" s="1"/>
  <c r="DW186" i="18" l="1"/>
  <c r="DW53" i="18" s="1"/>
  <c r="DS91" i="18"/>
  <c r="DS22" i="18" s="1"/>
  <c r="DU116" i="18"/>
  <c r="DU32" i="18" s="1"/>
  <c r="DX186" i="18" l="1"/>
  <c r="DX53" i="18" s="1"/>
  <c r="DV116" i="18"/>
  <c r="DV32" i="18" s="1"/>
  <c r="DT91" i="18"/>
  <c r="DT22" i="18" s="1"/>
  <c r="DY186" i="18" l="1"/>
  <c r="DY53" i="18" s="1"/>
  <c r="DU91" i="18"/>
  <c r="DU22" i="18" s="1"/>
  <c r="DW116" i="18"/>
  <c r="DW32" i="18" s="1"/>
  <c r="DZ186" i="18" l="1"/>
  <c r="DZ53" i="18" s="1"/>
  <c r="DX116" i="18"/>
  <c r="DX32" i="18" s="1"/>
  <c r="DV91" i="18"/>
  <c r="DV22" i="18" s="1"/>
  <c r="EA186" i="18" l="1"/>
  <c r="EA53" i="18" s="1"/>
  <c r="DW91" i="18"/>
  <c r="DW22" i="18" s="1"/>
  <c r="DY116" i="18"/>
  <c r="DY32" i="18" s="1"/>
  <c r="EB186" i="18" l="1"/>
  <c r="EB53" i="18" s="1"/>
  <c r="DX91" i="18"/>
  <c r="DX22" i="18" s="1"/>
  <c r="DZ116" i="18"/>
  <c r="DZ32" i="18" s="1"/>
  <c r="EC186" i="18" l="1"/>
  <c r="EC53" i="18" s="1"/>
  <c r="EA116" i="18"/>
  <c r="EA32" i="18" s="1"/>
  <c r="DY91" i="18"/>
  <c r="DY22" i="18" s="1"/>
  <c r="ED186" i="18" l="1"/>
  <c r="ED53" i="18" s="1"/>
  <c r="EB116" i="18"/>
  <c r="EB32" i="18" s="1"/>
  <c r="DZ91" i="18"/>
  <c r="DZ22" i="18" s="1"/>
  <c r="EE186" i="18" l="1"/>
  <c r="EE53" i="18" s="1"/>
  <c r="EA91" i="18"/>
  <c r="EA22" i="18" s="1"/>
  <c r="EC116" i="18"/>
  <c r="EC32" i="18" s="1"/>
  <c r="EF186" i="18" l="1"/>
  <c r="EF53" i="18" s="1"/>
  <c r="ED116" i="18"/>
  <c r="ED32" i="18" s="1"/>
  <c r="EB91" i="18"/>
  <c r="EB22" i="18" s="1"/>
  <c r="EG186" i="18" l="1"/>
  <c r="EG53" i="18" s="1"/>
  <c r="EC91" i="18"/>
  <c r="EC22" i="18" s="1"/>
  <c r="EE116" i="18"/>
  <c r="EE32" i="18" s="1"/>
  <c r="EH186" i="18" l="1"/>
  <c r="EH53" i="18" s="1"/>
  <c r="EF116" i="18"/>
  <c r="EF32" i="18" s="1"/>
  <c r="ED91" i="18"/>
  <c r="ED22" i="18" s="1"/>
  <c r="EI186" i="18" l="1"/>
  <c r="F189" i="18"/>
  <c r="E189" i="18" s="1"/>
  <c r="F114" i="18"/>
  <c r="E114" i="18" s="1"/>
  <c r="EE91" i="18"/>
  <c r="EE22" i="18" s="1"/>
  <c r="EG116" i="18"/>
  <c r="EG32" i="18" s="1"/>
  <c r="F186" i="18" l="1"/>
  <c r="E186" i="18" s="1"/>
  <c r="EI53" i="18"/>
  <c r="EH116" i="18"/>
  <c r="EH32" i="18" s="1"/>
  <c r="EF91" i="18"/>
  <c r="EF22" i="18" s="1"/>
  <c r="E53" i="18" l="1"/>
  <c r="EG91" i="18"/>
  <c r="EG22" i="18" s="1"/>
  <c r="EI116" i="18"/>
  <c r="EI32" i="18" s="1"/>
  <c r="E32" i="18" s="1"/>
  <c r="F119" i="18"/>
  <c r="E119" i="18" s="1"/>
  <c r="EH91" i="18" l="1"/>
  <c r="EH22" i="18" s="1"/>
  <c r="F116" i="18"/>
  <c r="E116" i="18" s="1"/>
  <c r="EI91" i="18" l="1"/>
  <c r="EI22" i="18" s="1"/>
  <c r="F94" i="18"/>
  <c r="E94" i="18" s="1"/>
  <c r="E22" i="18" l="1"/>
  <c r="F91" i="18"/>
  <c r="E91" i="18" s="1"/>
  <c r="M267" i="18" l="1"/>
  <c r="N267" i="18"/>
  <c r="O267" i="18"/>
  <c r="Q363" i="18"/>
  <c r="R363" i="18"/>
  <c r="T363" i="18"/>
  <c r="U363" i="18"/>
  <c r="V363" i="18"/>
  <c r="V292" i="18"/>
  <c r="Y292" i="18"/>
  <c r="Z292" i="18"/>
  <c r="AA292" i="18"/>
  <c r="AG292" i="18"/>
  <c r="U414" i="18"/>
  <c r="U419" i="18"/>
  <c r="R257" i="18"/>
  <c r="O251" i="18"/>
  <c r="P251" i="18"/>
  <c r="Q251" i="18"/>
  <c r="Q362" i="18"/>
  <c r="R362" i="18" l="1"/>
  <c r="S362" i="18" l="1"/>
  <c r="T362" i="18" l="1"/>
  <c r="U362" i="18" l="1"/>
  <c r="V362" i="18" s="1"/>
  <c r="F124" i="16" l="1"/>
  <c r="E365" i="18" s="1"/>
  <c r="H365" i="18" l="1"/>
  <c r="I193" i="18" l="1"/>
  <c r="I365" i="18"/>
  <c r="H256" i="18" l="1"/>
  <c r="I256" i="18" s="1"/>
  <c r="I257" i="18" s="1"/>
  <c r="J193" i="18"/>
  <c r="J365" i="18"/>
  <c r="H257" i="18" l="1"/>
  <c r="H192" i="18"/>
  <c r="K193" i="18"/>
  <c r="K365" i="18"/>
  <c r="L193" i="18" l="1"/>
  <c r="L365" i="18"/>
  <c r="I192" i="18"/>
  <c r="J192" i="18" l="1"/>
  <c r="M193" i="18"/>
  <c r="M365" i="18"/>
  <c r="K192" i="18" l="1"/>
  <c r="N365" i="18"/>
  <c r="O365" i="18" s="1"/>
  <c r="M368" i="18"/>
  <c r="N193" i="18"/>
  <c r="L192" i="18" l="1"/>
  <c r="N368" i="18"/>
  <c r="O193" i="18"/>
  <c r="P193" i="18" s="1"/>
  <c r="O368" i="18"/>
  <c r="P365" i="18"/>
  <c r="N291" i="18" l="1"/>
  <c r="Q257" i="18"/>
  <c r="M192" i="18"/>
  <c r="Q365" i="18"/>
  <c r="P368" i="18"/>
  <c r="Q193" i="18"/>
  <c r="O291" i="18" l="1"/>
  <c r="P291" i="18" s="1"/>
  <c r="Q291" i="18" s="1"/>
  <c r="R193" i="18"/>
  <c r="N192" i="18"/>
  <c r="R365" i="18"/>
  <c r="R291" i="18" l="1"/>
  <c r="S291" i="18" s="1"/>
  <c r="T291" i="18" s="1"/>
  <c r="U291" i="18" s="1"/>
  <c r="Q292" i="18"/>
  <c r="O192" i="18"/>
  <c r="S193" i="18"/>
  <c r="S365" i="18"/>
  <c r="V291" i="18" l="1"/>
  <c r="P192" i="18"/>
  <c r="T365" i="18"/>
  <c r="T193" i="18"/>
  <c r="U193" i="18" l="1"/>
  <c r="V193" i="18" s="1"/>
  <c r="W193" i="18" s="1"/>
  <c r="X193" i="18" s="1"/>
  <c r="Y193" i="18" s="1"/>
  <c r="Z193" i="18" s="1"/>
  <c r="AA193" i="18" s="1"/>
  <c r="AB193" i="18" s="1"/>
  <c r="AC193" i="18" s="1"/>
  <c r="AD193" i="18" s="1"/>
  <c r="AE193" i="18" s="1"/>
  <c r="AF193" i="18" s="1"/>
  <c r="AG193" i="18" s="1"/>
  <c r="AH193" i="18" s="1"/>
  <c r="AI193" i="18" s="1"/>
  <c r="AJ193" i="18" s="1"/>
  <c r="AK193" i="18" s="1"/>
  <c r="AL193" i="18" s="1"/>
  <c r="AM193" i="18" s="1"/>
  <c r="AN193" i="18" s="1"/>
  <c r="AO193" i="18" s="1"/>
  <c r="AP193" i="18" s="1"/>
  <c r="AQ193" i="18" s="1"/>
  <c r="AR193" i="18" s="1"/>
  <c r="AS193" i="18" s="1"/>
  <c r="AT193" i="18" s="1"/>
  <c r="AU193" i="18" s="1"/>
  <c r="AV193" i="18" s="1"/>
  <c r="AW193" i="18" s="1"/>
  <c r="AX193" i="18" s="1"/>
  <c r="AY193" i="18" s="1"/>
  <c r="AZ193" i="18" s="1"/>
  <c r="BA193" i="18" s="1"/>
  <c r="BB193" i="18" s="1"/>
  <c r="BC193" i="18" s="1"/>
  <c r="BD193" i="18" s="1"/>
  <c r="BE193" i="18" s="1"/>
  <c r="BF193" i="18" s="1"/>
  <c r="BG193" i="18" s="1"/>
  <c r="BH193" i="18" s="1"/>
  <c r="BI193" i="18" s="1"/>
  <c r="BJ193" i="18" s="1"/>
  <c r="BK193" i="18" s="1"/>
  <c r="BL193" i="18" s="1"/>
  <c r="BM193" i="18" s="1"/>
  <c r="BN193" i="18" s="1"/>
  <c r="BO193" i="18" s="1"/>
  <c r="BP193" i="18" s="1"/>
  <c r="BQ193" i="18" s="1"/>
  <c r="BR193" i="18" s="1"/>
  <c r="BS193" i="18" s="1"/>
  <c r="BT193" i="18" s="1"/>
  <c r="BU193" i="18" s="1"/>
  <c r="BV193" i="18" s="1"/>
  <c r="BW193" i="18" s="1"/>
  <c r="BX193" i="18" s="1"/>
  <c r="BY193" i="18" s="1"/>
  <c r="BZ193" i="18" s="1"/>
  <c r="CA193" i="18" s="1"/>
  <c r="CB193" i="18" s="1"/>
  <c r="CC193" i="18" s="1"/>
  <c r="CD193" i="18" s="1"/>
  <c r="CE193" i="18" s="1"/>
  <c r="CF193" i="18" s="1"/>
  <c r="CG193" i="18" s="1"/>
  <c r="CH193" i="18" s="1"/>
  <c r="CI193" i="18" s="1"/>
  <c r="CJ193" i="18" s="1"/>
  <c r="CK193" i="18" s="1"/>
  <c r="CL193" i="18" s="1"/>
  <c r="CM193" i="18" s="1"/>
  <c r="CN193" i="18" s="1"/>
  <c r="CO193" i="18" s="1"/>
  <c r="CP193" i="18" s="1"/>
  <c r="CQ193" i="18" s="1"/>
  <c r="CR193" i="18" s="1"/>
  <c r="CS193" i="18" s="1"/>
  <c r="CT193" i="18" s="1"/>
  <c r="CU193" i="18" s="1"/>
  <c r="CV193" i="18" s="1"/>
  <c r="CW193" i="18" s="1"/>
  <c r="CX193" i="18" s="1"/>
  <c r="CY193" i="18" s="1"/>
  <c r="CZ193" i="18" s="1"/>
  <c r="DA193" i="18" s="1"/>
  <c r="DB193" i="18" s="1"/>
  <c r="DC193" i="18" s="1"/>
  <c r="DD193" i="18" s="1"/>
  <c r="DE193" i="18" s="1"/>
  <c r="DF193" i="18" s="1"/>
  <c r="DG193" i="18" s="1"/>
  <c r="DH193" i="18" s="1"/>
  <c r="DI193" i="18" s="1"/>
  <c r="DJ193" i="18" s="1"/>
  <c r="DK193" i="18" s="1"/>
  <c r="DL193" i="18" s="1"/>
  <c r="DM193" i="18" s="1"/>
  <c r="DN193" i="18" s="1"/>
  <c r="DO193" i="18" s="1"/>
  <c r="DP193" i="18" s="1"/>
  <c r="DQ193" i="18" s="1"/>
  <c r="DR193" i="18" s="1"/>
  <c r="DS193" i="18" s="1"/>
  <c r="DT193" i="18" s="1"/>
  <c r="DU193" i="18" s="1"/>
  <c r="DV193" i="18" s="1"/>
  <c r="DW193" i="18" s="1"/>
  <c r="DX193" i="18" s="1"/>
  <c r="DY193" i="18" s="1"/>
  <c r="DZ193" i="18" s="1"/>
  <c r="EA193" i="18" s="1"/>
  <c r="EB193" i="18" s="1"/>
  <c r="EC193" i="18" s="1"/>
  <c r="ED193" i="18" s="1"/>
  <c r="EE193" i="18" s="1"/>
  <c r="EF193" i="18" s="1"/>
  <c r="EG193" i="18" s="1"/>
  <c r="EH193" i="18" s="1"/>
  <c r="EI193" i="18" s="1"/>
  <c r="Q192" i="18"/>
  <c r="R192" i="18" s="1"/>
  <c r="U365" i="18"/>
  <c r="H194" i="18" l="1"/>
  <c r="I194" i="18" s="1"/>
  <c r="F193" i="18"/>
  <c r="E193" i="18" s="1"/>
  <c r="S257" i="18"/>
  <c r="S192" i="18"/>
  <c r="U368" i="18"/>
  <c r="V365" i="18"/>
  <c r="H191" i="18" l="1"/>
  <c r="H54" i="18" s="1"/>
  <c r="E28" i="14" s="1"/>
  <c r="AE195" i="18"/>
  <c r="AF195" i="18" s="1"/>
  <c r="T257" i="18"/>
  <c r="I191" i="18"/>
  <c r="J194" i="18"/>
  <c r="V368" i="18"/>
  <c r="W365" i="18"/>
  <c r="T192" i="18"/>
  <c r="I54" i="18" l="1"/>
  <c r="F28" i="14" s="1"/>
  <c r="AG195" i="18"/>
  <c r="J191" i="18"/>
  <c r="K194" i="18"/>
  <c r="W368" i="18"/>
  <c r="X365" i="18"/>
  <c r="U192" i="18"/>
  <c r="J54" i="18" l="1"/>
  <c r="G28" i="14" s="1"/>
  <c r="W291" i="18"/>
  <c r="W362" i="18"/>
  <c r="W413" i="18"/>
  <c r="W414" i="18" s="1"/>
  <c r="W418" i="18"/>
  <c r="W419" i="18" s="1"/>
  <c r="AH195" i="18"/>
  <c r="K191" i="18"/>
  <c r="L194" i="18"/>
  <c r="V192" i="18"/>
  <c r="X368" i="18"/>
  <c r="Y365" i="18"/>
  <c r="K54" i="18" l="1"/>
  <c r="H28" i="14" s="1"/>
  <c r="X291" i="18"/>
  <c r="Y291" i="18" s="1"/>
  <c r="X362" i="18"/>
  <c r="M194" i="18"/>
  <c r="L191" i="18"/>
  <c r="AI195" i="18"/>
  <c r="X418" i="18"/>
  <c r="X413" i="18"/>
  <c r="W192" i="18"/>
  <c r="Y368" i="18"/>
  <c r="Z365" i="18"/>
  <c r="L54" i="18" l="1"/>
  <c r="I28" i="14" s="1"/>
  <c r="Z291" i="18"/>
  <c r="AA291" i="18" s="1"/>
  <c r="X363" i="18"/>
  <c r="X419" i="18"/>
  <c r="Y362" i="18"/>
  <c r="X414" i="18"/>
  <c r="N194" i="18"/>
  <c r="M191" i="18"/>
  <c r="AJ195" i="18"/>
  <c r="Z368" i="18"/>
  <c r="AA365" i="18"/>
  <c r="X192" i="18"/>
  <c r="M54" i="18" l="1"/>
  <c r="J28" i="14" s="1"/>
  <c r="N191" i="18"/>
  <c r="O194" i="18"/>
  <c r="AK195" i="18"/>
  <c r="Y192" i="18"/>
  <c r="AA368" i="18"/>
  <c r="AB365" i="18"/>
  <c r="Z362" i="18"/>
  <c r="N54" i="18" l="1"/>
  <c r="K28" i="14" s="1"/>
  <c r="Z363" i="18"/>
  <c r="P194" i="18"/>
  <c r="O191" i="18"/>
  <c r="AL195" i="18"/>
  <c r="AA362" i="18"/>
  <c r="AB368" i="18"/>
  <c r="AC365" i="18"/>
  <c r="Z192" i="18"/>
  <c r="O54" i="18" l="1"/>
  <c r="L28" i="14" s="1"/>
  <c r="AB291" i="18"/>
  <c r="Q194" i="18"/>
  <c r="P191" i="18"/>
  <c r="AM195" i="18"/>
  <c r="AC368" i="18"/>
  <c r="AD365" i="18"/>
  <c r="AA363" i="18"/>
  <c r="AB362" i="18"/>
  <c r="AA192" i="18"/>
  <c r="AB363" i="18" l="1"/>
  <c r="P54" i="18"/>
  <c r="M28" i="14" s="1"/>
  <c r="AN195" i="18"/>
  <c r="R194" i="18"/>
  <c r="Q191" i="18"/>
  <c r="AB192" i="18"/>
  <c r="AC362" i="18"/>
  <c r="AD368" i="18"/>
  <c r="AE365" i="18"/>
  <c r="Q54" i="18" l="1"/>
  <c r="N28" i="14" s="1"/>
  <c r="S194" i="18"/>
  <c r="R191" i="18"/>
  <c r="AO195" i="18"/>
  <c r="AE368" i="18"/>
  <c r="AF365" i="18"/>
  <c r="AC192" i="18"/>
  <c r="R54" i="18" l="1"/>
  <c r="O28" i="14" s="1"/>
  <c r="T194" i="18"/>
  <c r="S191" i="18"/>
  <c r="AP195" i="18"/>
  <c r="AD192" i="18"/>
  <c r="AF368" i="18"/>
  <c r="AG365" i="18"/>
  <c r="S54" i="18" l="1"/>
  <c r="P28" i="14" s="1"/>
  <c r="AQ195" i="18"/>
  <c r="U194" i="18"/>
  <c r="T191" i="18"/>
  <c r="AG368" i="18"/>
  <c r="AH365" i="18"/>
  <c r="AE192" i="18"/>
  <c r="T54" i="18" l="1"/>
  <c r="Q28" i="14" s="1"/>
  <c r="V194" i="18"/>
  <c r="U191" i="18"/>
  <c r="AR195" i="18"/>
  <c r="AF192" i="18"/>
  <c r="AH368" i="18"/>
  <c r="AI365" i="18"/>
  <c r="U54" i="18" l="1"/>
  <c r="R28" i="14" s="1"/>
  <c r="AS195" i="18"/>
  <c r="W194" i="18"/>
  <c r="V191" i="18"/>
  <c r="AI368" i="18"/>
  <c r="AJ365" i="18"/>
  <c r="AG192" i="18"/>
  <c r="V54" i="18" l="1"/>
  <c r="S28" i="14" s="1"/>
  <c r="AT195" i="18"/>
  <c r="X194" i="18"/>
  <c r="W191" i="18"/>
  <c r="AH192" i="18"/>
  <c r="AJ368" i="18"/>
  <c r="AK365" i="18"/>
  <c r="W54" i="18" l="1"/>
  <c r="T28" i="14" s="1"/>
  <c r="AU195" i="18"/>
  <c r="Y194" i="18"/>
  <c r="X191" i="18"/>
  <c r="AK368" i="18"/>
  <c r="AL365" i="18"/>
  <c r="AI192" i="18"/>
  <c r="X54" i="18" l="1"/>
  <c r="U28" i="14" s="1"/>
  <c r="AV195" i="18"/>
  <c r="AW195" i="18" s="1"/>
  <c r="Z194" i="18"/>
  <c r="Y191" i="18"/>
  <c r="AL368" i="18"/>
  <c r="AM365" i="18"/>
  <c r="AJ192" i="18"/>
  <c r="Y54" i="18" l="1"/>
  <c r="V28" i="14" s="1"/>
  <c r="AX195" i="18"/>
  <c r="AY195" i="18" s="1"/>
  <c r="AA194" i="18"/>
  <c r="Z191" i="18"/>
  <c r="AM368" i="18"/>
  <c r="AN365" i="18"/>
  <c r="AK192" i="18"/>
  <c r="Z54" i="18" l="1"/>
  <c r="W28" i="14" s="1"/>
  <c r="AB194" i="18"/>
  <c r="AA191" i="18"/>
  <c r="AZ195" i="18"/>
  <c r="AL192" i="18"/>
  <c r="AN368" i="18"/>
  <c r="AO365" i="18"/>
  <c r="AA54" i="18" l="1"/>
  <c r="X28" i="14" s="1"/>
  <c r="AC194" i="18"/>
  <c r="AB191" i="18"/>
  <c r="BA195" i="18"/>
  <c r="AO368" i="18"/>
  <c r="AP365" i="18"/>
  <c r="AM192" i="18"/>
  <c r="AB54" i="18" l="1"/>
  <c r="Y28" i="14" s="1"/>
  <c r="AD194" i="18"/>
  <c r="AC191" i="18"/>
  <c r="BB195" i="18"/>
  <c r="AN192" i="18"/>
  <c r="AP368" i="18"/>
  <c r="AQ365" i="18"/>
  <c r="AC54" i="18" l="1"/>
  <c r="Z28" i="14" s="1"/>
  <c r="AE194" i="18"/>
  <c r="AD191" i="18"/>
  <c r="BC195" i="18"/>
  <c r="AQ368" i="18"/>
  <c r="AR365" i="18"/>
  <c r="AO192" i="18"/>
  <c r="AD54" i="18" l="1"/>
  <c r="AA28" i="14" s="1"/>
  <c r="AF194" i="18"/>
  <c r="AE191" i="18"/>
  <c r="BD195" i="18"/>
  <c r="AP192" i="18"/>
  <c r="AR368" i="18"/>
  <c r="AS365" i="18"/>
  <c r="AE54" i="18" l="1"/>
  <c r="AB28" i="14" s="1"/>
  <c r="AG194" i="18"/>
  <c r="AF191" i="18"/>
  <c r="BE195" i="18"/>
  <c r="AS368" i="18"/>
  <c r="AT365" i="18"/>
  <c r="AQ192" i="18"/>
  <c r="AF54" i="18" l="1"/>
  <c r="AC28" i="14" s="1"/>
  <c r="AH194" i="18"/>
  <c r="AG191" i="18"/>
  <c r="BF195" i="18"/>
  <c r="AR192" i="18"/>
  <c r="AT368" i="18"/>
  <c r="AU365" i="18"/>
  <c r="AG54" i="18" l="1"/>
  <c r="AD28" i="14" s="1"/>
  <c r="AI194" i="18"/>
  <c r="AH191" i="18"/>
  <c r="BG195" i="18"/>
  <c r="AU368" i="18"/>
  <c r="AV365" i="18"/>
  <c r="AS192" i="18"/>
  <c r="AH54" i="18" l="1"/>
  <c r="AE28" i="14" s="1"/>
  <c r="AJ194" i="18"/>
  <c r="AI191" i="18"/>
  <c r="BH195" i="18"/>
  <c r="AT192" i="18"/>
  <c r="AV368" i="18"/>
  <c r="AW365" i="18"/>
  <c r="AI54" i="18" l="1"/>
  <c r="AF28" i="14" s="1"/>
  <c r="AK194" i="18"/>
  <c r="AJ191" i="18"/>
  <c r="BI195" i="18"/>
  <c r="AW368" i="18"/>
  <c r="AX365" i="18"/>
  <c r="AU192" i="18"/>
  <c r="AJ54" i="18" l="1"/>
  <c r="AG28" i="14" s="1"/>
  <c r="AL194" i="18"/>
  <c r="AK191" i="18"/>
  <c r="BJ195" i="18"/>
  <c r="AX368" i="18"/>
  <c r="AY365" i="18"/>
  <c r="AV192" i="18"/>
  <c r="AK54" i="18" l="1"/>
  <c r="AH28" i="14" s="1"/>
  <c r="AM194" i="18"/>
  <c r="AL191" i="18"/>
  <c r="BK195" i="18"/>
  <c r="AY368" i="18"/>
  <c r="AZ365" i="18"/>
  <c r="AW192" i="18"/>
  <c r="AL54" i="18" l="1"/>
  <c r="AI28" i="14" s="1"/>
  <c r="AN194" i="18"/>
  <c r="AM191" i="18"/>
  <c r="BL195" i="18"/>
  <c r="AZ368" i="18"/>
  <c r="BA365" i="18"/>
  <c r="AX192" i="18"/>
  <c r="AM54" i="18" l="1"/>
  <c r="AJ28" i="14" s="1"/>
  <c r="AO194" i="18"/>
  <c r="AN191" i="18"/>
  <c r="BM195" i="18"/>
  <c r="BA368" i="18"/>
  <c r="BB365" i="18"/>
  <c r="AY192" i="18"/>
  <c r="AN54" i="18" l="1"/>
  <c r="AK28" i="14" s="1"/>
  <c r="AP194" i="18"/>
  <c r="AO191" i="18"/>
  <c r="BN195" i="18"/>
  <c r="BB368" i="18"/>
  <c r="BC365" i="18"/>
  <c r="AZ192" i="18"/>
  <c r="AO54" i="18" l="1"/>
  <c r="AL28" i="14" s="1"/>
  <c r="AQ194" i="18"/>
  <c r="AP191" i="18"/>
  <c r="BO195" i="18"/>
  <c r="BC368" i="18"/>
  <c r="BD365" i="18"/>
  <c r="BA192" i="18"/>
  <c r="AP54" i="18" l="1"/>
  <c r="AM28" i="14" s="1"/>
  <c r="AR194" i="18"/>
  <c r="AQ191" i="18"/>
  <c r="BP195" i="18"/>
  <c r="BD368" i="18"/>
  <c r="BE365" i="18"/>
  <c r="BB192" i="18"/>
  <c r="AQ54" i="18" l="1"/>
  <c r="AN28" i="14" s="1"/>
  <c r="AS194" i="18"/>
  <c r="AR191" i="18"/>
  <c r="BQ195" i="18"/>
  <c r="BE368" i="18"/>
  <c r="BF365" i="18"/>
  <c r="BC192" i="18"/>
  <c r="AR54" i="18" l="1"/>
  <c r="AO28" i="14" s="1"/>
  <c r="AT194" i="18"/>
  <c r="AS191" i="18"/>
  <c r="BR195" i="18"/>
  <c r="BD192" i="18"/>
  <c r="BF368" i="18"/>
  <c r="BG365" i="18"/>
  <c r="AS54" i="18" l="1"/>
  <c r="AP28" i="14" s="1"/>
  <c r="AU194" i="18"/>
  <c r="AT191" i="18"/>
  <c r="BS195" i="18"/>
  <c r="BG368" i="18"/>
  <c r="BH365" i="18"/>
  <c r="BE192" i="18"/>
  <c r="AT54" i="18" l="1"/>
  <c r="AQ28" i="14" s="1"/>
  <c r="AV194" i="18"/>
  <c r="AU191" i="18"/>
  <c r="BT195" i="18"/>
  <c r="BF192" i="18"/>
  <c r="BH368" i="18"/>
  <c r="BI365" i="18"/>
  <c r="AU54" i="18" l="1"/>
  <c r="AR28" i="14" s="1"/>
  <c r="AW194" i="18"/>
  <c r="AV191" i="18"/>
  <c r="BU195" i="18"/>
  <c r="BG192" i="18"/>
  <c r="BI368" i="18"/>
  <c r="BJ365" i="18"/>
  <c r="AV54" i="18" l="1"/>
  <c r="AS28" i="14" s="1"/>
  <c r="AX194" i="18"/>
  <c r="AW191" i="18"/>
  <c r="BV195" i="18"/>
  <c r="BJ368" i="18"/>
  <c r="BK365" i="18"/>
  <c r="BH192" i="18"/>
  <c r="AW54" i="18" l="1"/>
  <c r="AT28" i="14" s="1"/>
  <c r="AY194" i="18"/>
  <c r="AX191" i="18"/>
  <c r="BW195" i="18"/>
  <c r="BK368" i="18"/>
  <c r="BL365" i="18"/>
  <c r="BI192" i="18"/>
  <c r="AX54" i="18" l="1"/>
  <c r="AU28" i="14" s="1"/>
  <c r="AZ194" i="18"/>
  <c r="AY191" i="18"/>
  <c r="BX195" i="18"/>
  <c r="BJ192" i="18"/>
  <c r="BL368" i="18"/>
  <c r="BM365" i="18"/>
  <c r="AY54" i="18" l="1"/>
  <c r="AV28" i="14" s="1"/>
  <c r="BA194" i="18"/>
  <c r="AZ191" i="18"/>
  <c r="BY195" i="18"/>
  <c r="BM368" i="18"/>
  <c r="BN365" i="18"/>
  <c r="BK192" i="18"/>
  <c r="AZ54" i="18" l="1"/>
  <c r="AW28" i="14" s="1"/>
  <c r="BB194" i="18"/>
  <c r="BA191" i="18"/>
  <c r="BZ195" i="18"/>
  <c r="BN368" i="18"/>
  <c r="BO365" i="18"/>
  <c r="BL192" i="18"/>
  <c r="BA54" i="18" l="1"/>
  <c r="AX28" i="14" s="1"/>
  <c r="BC194" i="18"/>
  <c r="BB191" i="18"/>
  <c r="CA195" i="18"/>
  <c r="BO368" i="18"/>
  <c r="BP365" i="18"/>
  <c r="BM192" i="18"/>
  <c r="BB54" i="18" l="1"/>
  <c r="AY28" i="14" s="1"/>
  <c r="BD194" i="18"/>
  <c r="BC191" i="18"/>
  <c r="CB195" i="18"/>
  <c r="BP368" i="18"/>
  <c r="BQ365" i="18"/>
  <c r="BN192" i="18"/>
  <c r="BC54" i="18" l="1"/>
  <c r="AZ28" i="14" s="1"/>
  <c r="BE194" i="18"/>
  <c r="BD191" i="18"/>
  <c r="CC195" i="18"/>
  <c r="BQ368" i="18"/>
  <c r="BR365" i="18"/>
  <c r="BO192" i="18"/>
  <c r="BD54" i="18" l="1"/>
  <c r="BA28" i="14" s="1"/>
  <c r="BF194" i="18"/>
  <c r="BE191" i="18"/>
  <c r="CD195" i="18"/>
  <c r="BP192" i="18"/>
  <c r="BR368" i="18"/>
  <c r="BS365" i="18"/>
  <c r="BE54" i="18" l="1"/>
  <c r="BB28" i="14" s="1"/>
  <c r="BG194" i="18"/>
  <c r="BF191" i="18"/>
  <c r="CE195" i="18"/>
  <c r="BQ192" i="18"/>
  <c r="BS368" i="18"/>
  <c r="BT365" i="18"/>
  <c r="BF54" i="18" l="1"/>
  <c r="BC28" i="14" s="1"/>
  <c r="BH194" i="18"/>
  <c r="BG191" i="18"/>
  <c r="CF195" i="18"/>
  <c r="BR192" i="18"/>
  <c r="BT368" i="18"/>
  <c r="BU365" i="18"/>
  <c r="BG54" i="18" l="1"/>
  <c r="BD28" i="14" s="1"/>
  <c r="BI194" i="18"/>
  <c r="BH191" i="18"/>
  <c r="CG195" i="18"/>
  <c r="BU368" i="18"/>
  <c r="BV365" i="18"/>
  <c r="BS192" i="18"/>
  <c r="BH54" i="18" l="1"/>
  <c r="BE28" i="14" s="1"/>
  <c r="BJ194" i="18"/>
  <c r="BI191" i="18"/>
  <c r="CH195" i="18"/>
  <c r="BT192" i="18"/>
  <c r="BV368" i="18"/>
  <c r="BW365" i="18"/>
  <c r="BI54" i="18" l="1"/>
  <c r="BF28" i="14" s="1"/>
  <c r="BK194" i="18"/>
  <c r="BJ191" i="18"/>
  <c r="CI195" i="18"/>
  <c r="BU192" i="18"/>
  <c r="BW368" i="18"/>
  <c r="BX365" i="18"/>
  <c r="BJ54" i="18" l="1"/>
  <c r="BG28" i="14" s="1"/>
  <c r="BL194" i="18"/>
  <c r="BK191" i="18"/>
  <c r="CJ195" i="18"/>
  <c r="BX368" i="18"/>
  <c r="BY365" i="18"/>
  <c r="BV192" i="18"/>
  <c r="BK54" i="18" l="1"/>
  <c r="BH28" i="14" s="1"/>
  <c r="BM194" i="18"/>
  <c r="BL191" i="18"/>
  <c r="CK195" i="18"/>
  <c r="BY368" i="18"/>
  <c r="BZ365" i="18"/>
  <c r="BW192" i="18"/>
  <c r="BL54" i="18" l="1"/>
  <c r="BI28" i="14" s="1"/>
  <c r="BN194" i="18"/>
  <c r="BM191" i="18"/>
  <c r="CL195" i="18"/>
  <c r="BZ368" i="18"/>
  <c r="CA365" i="18"/>
  <c r="BX192" i="18"/>
  <c r="BM54" i="18" l="1"/>
  <c r="BJ28" i="14" s="1"/>
  <c r="BO194" i="18"/>
  <c r="BN191" i="18"/>
  <c r="CM195" i="18"/>
  <c r="CA368" i="18"/>
  <c r="CB365" i="18"/>
  <c r="BY192" i="18"/>
  <c r="BN54" i="18" l="1"/>
  <c r="BK28" i="14" s="1"/>
  <c r="BP194" i="18"/>
  <c r="BO191" i="18"/>
  <c r="CN195" i="18"/>
  <c r="CB368" i="18"/>
  <c r="CC365" i="18"/>
  <c r="BZ192" i="18"/>
  <c r="BO54" i="18" l="1"/>
  <c r="BL28" i="14" s="1"/>
  <c r="BQ194" i="18"/>
  <c r="BP191" i="18"/>
  <c r="CO195" i="18"/>
  <c r="CA192" i="18"/>
  <c r="CC368" i="18"/>
  <c r="CD365" i="18"/>
  <c r="BP54" i="18" l="1"/>
  <c r="BM28" i="14" s="1"/>
  <c r="BR194" i="18"/>
  <c r="BQ191" i="18"/>
  <c r="CP195" i="18"/>
  <c r="CB192" i="18"/>
  <c r="CD368" i="18"/>
  <c r="CE365" i="18"/>
  <c r="BQ54" i="18" l="1"/>
  <c r="BN28" i="14" s="1"/>
  <c r="BS194" i="18"/>
  <c r="BR191" i="18"/>
  <c r="CQ195" i="18"/>
  <c r="CE368" i="18"/>
  <c r="CF365" i="18"/>
  <c r="CC192" i="18"/>
  <c r="BR54" i="18" l="1"/>
  <c r="BO28" i="14" s="1"/>
  <c r="BT194" i="18"/>
  <c r="BS191" i="18"/>
  <c r="CR195" i="18"/>
  <c r="CF368" i="18"/>
  <c r="CG365" i="18"/>
  <c r="CD192" i="18"/>
  <c r="BS54" i="18" l="1"/>
  <c r="BP28" i="14" s="1"/>
  <c r="BU194" i="18"/>
  <c r="BT191" i="18"/>
  <c r="CS195" i="18"/>
  <c r="CE192" i="18"/>
  <c r="CG368" i="18"/>
  <c r="CH365" i="18"/>
  <c r="BT54" i="18" l="1"/>
  <c r="BQ28" i="14" s="1"/>
  <c r="BV194" i="18"/>
  <c r="BU191" i="18"/>
  <c r="CT195" i="18"/>
  <c r="CH368" i="18"/>
  <c r="CI365" i="18"/>
  <c r="CF192" i="18"/>
  <c r="BU54" i="18" l="1"/>
  <c r="BR28" i="14" s="1"/>
  <c r="BW194" i="18"/>
  <c r="BV191" i="18"/>
  <c r="CU195" i="18"/>
  <c r="CG192" i="18"/>
  <c r="CI368" i="18"/>
  <c r="CJ365" i="18"/>
  <c r="BV54" i="18" l="1"/>
  <c r="BS28" i="14" s="1"/>
  <c r="BX194" i="18"/>
  <c r="BW191" i="18"/>
  <c r="CV195" i="18"/>
  <c r="CJ368" i="18"/>
  <c r="CK365" i="18"/>
  <c r="CH192" i="18"/>
  <c r="BW54" i="18" l="1"/>
  <c r="BT28" i="14" s="1"/>
  <c r="BY194" i="18"/>
  <c r="BX191" i="18"/>
  <c r="CW195" i="18"/>
  <c r="CK368" i="18"/>
  <c r="CL365" i="18"/>
  <c r="CI192" i="18"/>
  <c r="BX54" i="18" l="1"/>
  <c r="BU28" i="14" s="1"/>
  <c r="BZ194" i="18"/>
  <c r="BY191" i="18"/>
  <c r="CX195" i="18"/>
  <c r="CJ192" i="18"/>
  <c r="CL368" i="18"/>
  <c r="CM365" i="18"/>
  <c r="BY54" i="18" l="1"/>
  <c r="BV28" i="14" s="1"/>
  <c r="CA194" i="18"/>
  <c r="BZ191" i="18"/>
  <c r="CY195" i="18"/>
  <c r="CK192" i="18"/>
  <c r="CM368" i="18"/>
  <c r="CN365" i="18"/>
  <c r="BZ54" i="18" l="1"/>
  <c r="BW28" i="14" s="1"/>
  <c r="CB194" i="18"/>
  <c r="CA191" i="18"/>
  <c r="CZ195" i="18"/>
  <c r="CL192" i="18"/>
  <c r="CN368" i="18"/>
  <c r="CO365" i="18"/>
  <c r="CA54" i="18" l="1"/>
  <c r="BX28" i="14" s="1"/>
  <c r="CC194" i="18"/>
  <c r="CB191" i="18"/>
  <c r="DA195" i="18"/>
  <c r="CO368" i="18"/>
  <c r="CP365" i="18"/>
  <c r="CM192" i="18"/>
  <c r="CB54" i="18" l="1"/>
  <c r="BY28" i="14" s="1"/>
  <c r="CD194" i="18"/>
  <c r="CC191" i="18"/>
  <c r="DB195" i="18"/>
  <c r="CN192" i="18"/>
  <c r="CP368" i="18"/>
  <c r="CQ365" i="18"/>
  <c r="CC54" i="18" l="1"/>
  <c r="BZ28" i="14" s="1"/>
  <c r="CE194" i="18"/>
  <c r="CD191" i="18"/>
  <c r="DC195" i="18"/>
  <c r="CQ368" i="18"/>
  <c r="CR365" i="18"/>
  <c r="CO192" i="18"/>
  <c r="CD54" i="18" l="1"/>
  <c r="CA28" i="14" s="1"/>
  <c r="CF194" i="18"/>
  <c r="CE191" i="18"/>
  <c r="DD195" i="18"/>
  <c r="CR368" i="18"/>
  <c r="CS365" i="18"/>
  <c r="CP192" i="18"/>
  <c r="CE54" i="18" l="1"/>
  <c r="CB28" i="14" s="1"/>
  <c r="CG194" i="18"/>
  <c r="CF191" i="18"/>
  <c r="DE195" i="18"/>
  <c r="CS368" i="18"/>
  <c r="CT365" i="18"/>
  <c r="CQ192" i="18"/>
  <c r="CF54" i="18" l="1"/>
  <c r="CC28" i="14" s="1"/>
  <c r="CH194" i="18"/>
  <c r="CG191" i="18"/>
  <c r="DF195" i="18"/>
  <c r="CT368" i="18"/>
  <c r="CU365" i="18"/>
  <c r="CR192" i="18"/>
  <c r="CG54" i="18" l="1"/>
  <c r="CD28" i="14" s="1"/>
  <c r="CI194" i="18"/>
  <c r="CH191" i="18"/>
  <c r="DG195" i="18"/>
  <c r="CU368" i="18"/>
  <c r="CV365" i="18"/>
  <c r="CS192" i="18"/>
  <c r="CH54" i="18" l="1"/>
  <c r="CE28" i="14" s="1"/>
  <c r="CJ194" i="18"/>
  <c r="CI191" i="18"/>
  <c r="DH195" i="18"/>
  <c r="CV368" i="18"/>
  <c r="CW365" i="18"/>
  <c r="CT192" i="18"/>
  <c r="CI54" i="18" l="1"/>
  <c r="CF28" i="14" s="1"/>
  <c r="CK194" i="18"/>
  <c r="CJ191" i="18"/>
  <c r="DI195" i="18"/>
  <c r="CU192" i="18"/>
  <c r="CW368" i="18"/>
  <c r="CX365" i="18"/>
  <c r="CJ54" i="18" l="1"/>
  <c r="CG28" i="14" s="1"/>
  <c r="CL194" i="18"/>
  <c r="CK191" i="18"/>
  <c r="DJ195" i="18"/>
  <c r="CV192" i="18"/>
  <c r="CX368" i="18"/>
  <c r="CY365" i="18"/>
  <c r="CK54" i="18" l="1"/>
  <c r="CH28" i="14" s="1"/>
  <c r="CM194" i="18"/>
  <c r="CL191" i="18"/>
  <c r="DK195" i="18"/>
  <c r="CY368" i="18"/>
  <c r="CZ365" i="18"/>
  <c r="CW192" i="18"/>
  <c r="CL54" i="18" l="1"/>
  <c r="CI28" i="14" s="1"/>
  <c r="CN194" i="18"/>
  <c r="CM191" i="18"/>
  <c r="DL195" i="18"/>
  <c r="CX192" i="18"/>
  <c r="CZ368" i="18"/>
  <c r="DA365" i="18"/>
  <c r="CM54" i="18" l="1"/>
  <c r="CJ28" i="14" s="1"/>
  <c r="CO194" i="18"/>
  <c r="CN191" i="18"/>
  <c r="DM195" i="18"/>
  <c r="CY192" i="18"/>
  <c r="DA368" i="18"/>
  <c r="DB365" i="18"/>
  <c r="CN54" i="18" l="1"/>
  <c r="CK28" i="14" s="1"/>
  <c r="CP194" i="18"/>
  <c r="CO191" i="18"/>
  <c r="DN195" i="18"/>
  <c r="DB368" i="18"/>
  <c r="DC365" i="18"/>
  <c r="CZ192" i="18"/>
  <c r="CO54" i="18" l="1"/>
  <c r="CL28" i="14" s="1"/>
  <c r="CQ194" i="18"/>
  <c r="CP191" i="18"/>
  <c r="DO195" i="18"/>
  <c r="DC368" i="18"/>
  <c r="DD365" i="18"/>
  <c r="DA192" i="18"/>
  <c r="CP54" i="18" l="1"/>
  <c r="CM28" i="14" s="1"/>
  <c r="CR194" i="18"/>
  <c r="CQ191" i="18"/>
  <c r="DP195" i="18"/>
  <c r="DB192" i="18"/>
  <c r="DD368" i="18"/>
  <c r="DE365" i="18"/>
  <c r="CQ54" i="18" l="1"/>
  <c r="CN28" i="14" s="1"/>
  <c r="CS194" i="18"/>
  <c r="CR191" i="18"/>
  <c r="DQ195" i="18"/>
  <c r="DC192" i="18"/>
  <c r="DE368" i="18"/>
  <c r="DF365" i="18"/>
  <c r="CR54" i="18" l="1"/>
  <c r="CO28" i="14" s="1"/>
  <c r="CT194" i="18"/>
  <c r="CS191" i="18"/>
  <c r="DR195" i="18"/>
  <c r="DF368" i="18"/>
  <c r="DG365" i="18"/>
  <c r="DD192" i="18"/>
  <c r="CS54" i="18" l="1"/>
  <c r="CP28" i="14" s="1"/>
  <c r="CU194" i="18"/>
  <c r="CT191" i="18"/>
  <c r="DS195" i="18"/>
  <c r="DG368" i="18"/>
  <c r="DH365" i="18"/>
  <c r="DE192" i="18"/>
  <c r="CT54" i="18" l="1"/>
  <c r="CQ28" i="14" s="1"/>
  <c r="CV194" i="18"/>
  <c r="CU191" i="18"/>
  <c r="DT195" i="18"/>
  <c r="DH368" i="18"/>
  <c r="DI365" i="18"/>
  <c r="DF192" i="18"/>
  <c r="CU54" i="18" l="1"/>
  <c r="CR28" i="14" s="1"/>
  <c r="CW194" i="18"/>
  <c r="CV191" i="18"/>
  <c r="DU195" i="18"/>
  <c r="DG192" i="18"/>
  <c r="DI368" i="18"/>
  <c r="DJ365" i="18"/>
  <c r="CV54" i="18" l="1"/>
  <c r="CS28" i="14" s="1"/>
  <c r="CX194" i="18"/>
  <c r="CW191" i="18"/>
  <c r="DV195" i="18"/>
  <c r="DJ368" i="18"/>
  <c r="DK365" i="18"/>
  <c r="DH192" i="18"/>
  <c r="CW54" i="18" l="1"/>
  <c r="CT28" i="14" s="1"/>
  <c r="CY194" i="18"/>
  <c r="CX191" i="18"/>
  <c r="DW195" i="18"/>
  <c r="DI192" i="18"/>
  <c r="DK368" i="18"/>
  <c r="DL365" i="18"/>
  <c r="CX54" i="18" l="1"/>
  <c r="CU28" i="14" s="1"/>
  <c r="CZ194" i="18"/>
  <c r="CY191" i="18"/>
  <c r="DX195" i="18"/>
  <c r="DJ192" i="18"/>
  <c r="DL368" i="18"/>
  <c r="DM365" i="18"/>
  <c r="CY54" i="18" l="1"/>
  <c r="CV28" i="14" s="1"/>
  <c r="DA194" i="18"/>
  <c r="CZ191" i="18"/>
  <c r="DY195" i="18"/>
  <c r="DK192" i="18"/>
  <c r="DM368" i="18"/>
  <c r="DN365" i="18"/>
  <c r="CZ54" i="18" l="1"/>
  <c r="CW28" i="14" s="1"/>
  <c r="DB194" i="18"/>
  <c r="DA191" i="18"/>
  <c r="DZ195" i="18"/>
  <c r="DL192" i="18"/>
  <c r="DN368" i="18"/>
  <c r="DO365" i="18"/>
  <c r="DA54" i="18" l="1"/>
  <c r="CX28" i="14" s="1"/>
  <c r="DC194" i="18"/>
  <c r="DB191" i="18"/>
  <c r="EA195" i="18"/>
  <c r="DO368" i="18"/>
  <c r="DP365" i="18"/>
  <c r="DM192" i="18"/>
  <c r="DB54" i="18" l="1"/>
  <c r="CY28" i="14" s="1"/>
  <c r="DD194" i="18"/>
  <c r="DC191" i="18"/>
  <c r="EB195" i="18"/>
  <c r="DP368" i="18"/>
  <c r="DQ365" i="18"/>
  <c r="DN192" i="18"/>
  <c r="DC54" i="18" l="1"/>
  <c r="CZ28" i="14" s="1"/>
  <c r="DE194" i="18"/>
  <c r="DD191" i="18"/>
  <c r="EC195" i="18"/>
  <c r="DQ368" i="18"/>
  <c r="DR365" i="18"/>
  <c r="DO192" i="18"/>
  <c r="DD54" i="18" l="1"/>
  <c r="DA28" i="14" s="1"/>
  <c r="DF194" i="18"/>
  <c r="DE191" i="18"/>
  <c r="ED195" i="18"/>
  <c r="DR368" i="18"/>
  <c r="DS365" i="18"/>
  <c r="DP192" i="18"/>
  <c r="DE54" i="18" l="1"/>
  <c r="DB28" i="14" s="1"/>
  <c r="DG194" i="18"/>
  <c r="DF191" i="18"/>
  <c r="EE195" i="18"/>
  <c r="DQ192" i="18"/>
  <c r="DS368" i="18"/>
  <c r="DT365" i="18"/>
  <c r="DF54" i="18" l="1"/>
  <c r="DC28" i="14" s="1"/>
  <c r="DH194" i="18"/>
  <c r="DG191" i="18"/>
  <c r="EF195" i="18"/>
  <c r="DT368" i="18"/>
  <c r="DU365" i="18"/>
  <c r="DR192" i="18"/>
  <c r="DG54" i="18" l="1"/>
  <c r="DD28" i="14" s="1"/>
  <c r="DI194" i="18"/>
  <c r="DH191" i="18"/>
  <c r="EG195" i="18"/>
  <c r="DU368" i="18"/>
  <c r="DV365" i="18"/>
  <c r="DS192" i="18"/>
  <c r="DH54" i="18" l="1"/>
  <c r="DE28" i="14" s="1"/>
  <c r="DJ194" i="18"/>
  <c r="DI191" i="18"/>
  <c r="EH195" i="18"/>
  <c r="DT192" i="18"/>
  <c r="DV368" i="18"/>
  <c r="DW365" i="18"/>
  <c r="DI54" i="18" l="1"/>
  <c r="DF28" i="14" s="1"/>
  <c r="DK194" i="18"/>
  <c r="DJ191" i="18"/>
  <c r="EI195" i="18"/>
  <c r="DU192" i="18"/>
  <c r="DW368" i="18"/>
  <c r="DX365" i="18"/>
  <c r="DJ54" i="18" l="1"/>
  <c r="DG28" i="14" s="1"/>
  <c r="DL194" i="18"/>
  <c r="DK191" i="18"/>
  <c r="F195" i="18"/>
  <c r="E195" i="18" s="1"/>
  <c r="DV192" i="18"/>
  <c r="DX368" i="18"/>
  <c r="DY365" i="18"/>
  <c r="DK54" i="18" l="1"/>
  <c r="DH28" i="14" s="1"/>
  <c r="DM194" i="18"/>
  <c r="DL191" i="18"/>
  <c r="DY368" i="18"/>
  <c r="DZ365" i="18"/>
  <c r="DW192" i="18"/>
  <c r="DL54" i="18" l="1"/>
  <c r="DI28" i="14" s="1"/>
  <c r="DN194" i="18"/>
  <c r="DM191" i="18"/>
  <c r="DX192" i="18"/>
  <c r="DZ368" i="18"/>
  <c r="EA365" i="18"/>
  <c r="DM54" i="18" l="1"/>
  <c r="DJ28" i="14" s="1"/>
  <c r="DO194" i="18"/>
  <c r="DN191" i="18"/>
  <c r="DY192" i="18"/>
  <c r="EA368" i="18"/>
  <c r="EB365" i="18"/>
  <c r="DN54" i="18" l="1"/>
  <c r="DK28" i="14" s="1"/>
  <c r="DP194" i="18"/>
  <c r="DO191" i="18"/>
  <c r="DZ192" i="18"/>
  <c r="EB368" i="18"/>
  <c r="EC365" i="18"/>
  <c r="DO54" i="18" l="1"/>
  <c r="DL28" i="14" s="1"/>
  <c r="DQ194" i="18"/>
  <c r="DP191" i="18"/>
  <c r="EC368" i="18"/>
  <c r="ED365" i="18"/>
  <c r="EA192" i="18"/>
  <c r="DP54" i="18" l="1"/>
  <c r="DM28" i="14" s="1"/>
  <c r="DR194" i="18"/>
  <c r="DQ191" i="18"/>
  <c r="ED368" i="18"/>
  <c r="EE365" i="18"/>
  <c r="EB192" i="18"/>
  <c r="DQ54" i="18" l="1"/>
  <c r="DN28" i="14" s="1"/>
  <c r="DS194" i="18"/>
  <c r="DR191" i="18"/>
  <c r="EE368" i="18"/>
  <c r="EF365" i="18"/>
  <c r="EC192" i="18"/>
  <c r="DR54" i="18" l="1"/>
  <c r="DO28" i="14" s="1"/>
  <c r="DT194" i="18"/>
  <c r="DS191" i="18"/>
  <c r="EF368" i="18"/>
  <c r="EG365" i="18"/>
  <c r="ED192" i="18"/>
  <c r="DS54" i="18" l="1"/>
  <c r="DP28" i="14" s="1"/>
  <c r="DU194" i="18"/>
  <c r="DT191" i="18"/>
  <c r="EG368" i="18"/>
  <c r="EH365" i="18"/>
  <c r="EE192" i="18"/>
  <c r="DT54" i="18" l="1"/>
  <c r="DQ28" i="14" s="1"/>
  <c r="DV194" i="18"/>
  <c r="DU191" i="18"/>
  <c r="EF192" i="18"/>
  <c r="EH368" i="18"/>
  <c r="EI365" i="18"/>
  <c r="EH369" i="18" s="1"/>
  <c r="DU54" i="18" l="1"/>
  <c r="DR28" i="14" s="1"/>
  <c r="DW194" i="18"/>
  <c r="DV191" i="18"/>
  <c r="EG369" i="18"/>
  <c r="EC369" i="18"/>
  <c r="EI368" i="18"/>
  <c r="EI369" i="18"/>
  <c r="F365" i="18"/>
  <c r="G369" i="18"/>
  <c r="V369" i="18"/>
  <c r="U369" i="18"/>
  <c r="W369" i="18"/>
  <c r="X369" i="18"/>
  <c r="Y369" i="18"/>
  <c r="Z369" i="18"/>
  <c r="AC369" i="18"/>
  <c r="AA369" i="18"/>
  <c r="AE369" i="18"/>
  <c r="AB369" i="18"/>
  <c r="AD369" i="18"/>
  <c r="AF369" i="18"/>
  <c r="AG369" i="18"/>
  <c r="AK369" i="18"/>
  <c r="AI369" i="18"/>
  <c r="AH369" i="18"/>
  <c r="AJ369" i="18"/>
  <c r="AO369" i="18"/>
  <c r="AL369" i="18"/>
  <c r="AM369" i="18"/>
  <c r="AP369" i="18"/>
  <c r="AN369" i="18"/>
  <c r="AS369" i="18"/>
  <c r="AR369" i="18"/>
  <c r="AQ369" i="18"/>
  <c r="AV369" i="18"/>
  <c r="AT369" i="18"/>
  <c r="AU369" i="18"/>
  <c r="AW369" i="18"/>
  <c r="AX369" i="18"/>
  <c r="AZ369" i="18"/>
  <c r="AY369" i="18"/>
  <c r="BA369" i="18"/>
  <c r="BD369" i="18"/>
  <c r="BB369" i="18"/>
  <c r="BC369" i="18"/>
  <c r="BE369" i="18"/>
  <c r="BF369" i="18"/>
  <c r="BH369" i="18"/>
  <c r="BG369" i="18"/>
  <c r="BK369" i="18"/>
  <c r="BI369" i="18"/>
  <c r="BJ369" i="18"/>
  <c r="BM369" i="18"/>
  <c r="BQ369" i="18"/>
  <c r="BL369" i="18"/>
  <c r="BO369" i="18"/>
  <c r="BN369" i="18"/>
  <c r="BP369" i="18"/>
  <c r="BS369" i="18"/>
  <c r="BR369" i="18"/>
  <c r="BT369" i="18"/>
  <c r="BU369" i="18"/>
  <c r="BV369" i="18"/>
  <c r="BW369" i="18"/>
  <c r="BX369" i="18"/>
  <c r="BZ369" i="18"/>
  <c r="BY369" i="18"/>
  <c r="CB369" i="18"/>
  <c r="CA369" i="18"/>
  <c r="CD369" i="18"/>
  <c r="CF369" i="18"/>
  <c r="CC369" i="18"/>
  <c r="CG369" i="18"/>
  <c r="CE369" i="18"/>
  <c r="CH369" i="18"/>
  <c r="CJ369" i="18"/>
  <c r="CI369" i="18"/>
  <c r="CM369" i="18"/>
  <c r="CK369" i="18"/>
  <c r="CL369" i="18"/>
  <c r="CN369" i="18"/>
  <c r="CO369" i="18"/>
  <c r="CP369" i="18"/>
  <c r="CR369" i="18"/>
  <c r="CQ369" i="18"/>
  <c r="CS369" i="18"/>
  <c r="CT369" i="18"/>
  <c r="CX369" i="18"/>
  <c r="CV369" i="18"/>
  <c r="CU369" i="18"/>
  <c r="CW369" i="18"/>
  <c r="CZ369" i="18"/>
  <c r="CY369" i="18"/>
  <c r="DA369" i="18"/>
  <c r="DC369" i="18"/>
  <c r="DB369" i="18"/>
  <c r="DD369" i="18"/>
  <c r="DF369" i="18"/>
  <c r="DE369" i="18"/>
  <c r="DG369" i="18"/>
  <c r="DL369" i="18"/>
  <c r="DH369" i="18"/>
  <c r="DJ369" i="18"/>
  <c r="DI369" i="18"/>
  <c r="DN369" i="18"/>
  <c r="DK369" i="18"/>
  <c r="DM369" i="18"/>
  <c r="DO369" i="18"/>
  <c r="DR369" i="18"/>
  <c r="DP369" i="18"/>
  <c r="DQ369" i="18"/>
  <c r="DS369" i="18"/>
  <c r="DU369" i="18"/>
  <c r="DV369" i="18"/>
  <c r="DT369" i="18"/>
  <c r="DY369" i="18"/>
  <c r="DX369" i="18"/>
  <c r="EA369" i="18"/>
  <c r="DW369" i="18"/>
  <c r="EB369" i="18"/>
  <c r="DZ369" i="18"/>
  <c r="ED369" i="18"/>
  <c r="EG192" i="18"/>
  <c r="EE369" i="18"/>
  <c r="EF369" i="18"/>
  <c r="DV54" i="18" l="1"/>
  <c r="DS28" i="14" s="1"/>
  <c r="DX194" i="18"/>
  <c r="DW191" i="18"/>
  <c r="EH192" i="18"/>
  <c r="DW54" i="18" l="1"/>
  <c r="DT28" i="14" s="1"/>
  <c r="DY194" i="18"/>
  <c r="DX191" i="18"/>
  <c r="EI192" i="18"/>
  <c r="DX54" i="18" l="1"/>
  <c r="DU28" i="14" s="1"/>
  <c r="DZ194" i="18"/>
  <c r="DY191" i="18"/>
  <c r="F192" i="18"/>
  <c r="E192" i="18" s="1"/>
  <c r="DY54" i="18" l="1"/>
  <c r="DV28" i="14" s="1"/>
  <c r="EA194" i="18"/>
  <c r="DZ191" i="18"/>
  <c r="DZ54" i="18" l="1"/>
  <c r="DW28" i="14" s="1"/>
  <c r="EB194" i="18"/>
  <c r="EA191" i="18"/>
  <c r="EA54" i="18" l="1"/>
  <c r="DX28" i="14" s="1"/>
  <c r="EC194" i="18"/>
  <c r="EB191" i="18"/>
  <c r="EB54" i="18" l="1"/>
  <c r="DY28" i="14" s="1"/>
  <c r="ED194" i="18"/>
  <c r="EC191" i="18"/>
  <c r="EC54" i="18" l="1"/>
  <c r="DZ28" i="14" s="1"/>
  <c r="EE194" i="18"/>
  <c r="ED191" i="18"/>
  <c r="ED54" i="18" l="1"/>
  <c r="EA28" i="14" s="1"/>
  <c r="EF194" i="18"/>
  <c r="EE191" i="18"/>
  <c r="EE54" i="18" l="1"/>
  <c r="EB28" i="14" s="1"/>
  <c r="EG194" i="18"/>
  <c r="EF191" i="18"/>
  <c r="EF54" i="18" l="1"/>
  <c r="EC28" i="14" s="1"/>
  <c r="EH194" i="18"/>
  <c r="EG191" i="18"/>
  <c r="EG54" i="18" l="1"/>
  <c r="ED28" i="14" s="1"/>
  <c r="EI194" i="18"/>
  <c r="EH191" i="18"/>
  <c r="EH54" i="18" l="1"/>
  <c r="EE28" i="14" s="1"/>
  <c r="F194" i="18"/>
  <c r="E194" i="18" s="1"/>
  <c r="EI191" i="18"/>
  <c r="EI54" i="18" l="1"/>
  <c r="F191" i="18"/>
  <c r="E191" i="18" s="1"/>
  <c r="E54" i="18" l="1"/>
  <c r="EF28" i="14"/>
  <c r="C28" i="14" l="1"/>
  <c r="AC613" i="10" l="1"/>
  <c r="AD613" i="10" s="1"/>
  <c r="AC612" i="10" l="1"/>
  <c r="AD612" i="10" s="1"/>
  <c r="AC616" i="10"/>
  <c r="AD616" i="10" s="1"/>
  <c r="AC615" i="10" l="1"/>
  <c r="AD615" i="10" s="1"/>
  <c r="AC618" i="10"/>
  <c r="AD618" i="10" s="1"/>
  <c r="AC619" i="10"/>
  <c r="AD619" i="10" s="1"/>
  <c r="AC599" i="10" l="1"/>
  <c r="AD599" i="10" s="1"/>
  <c r="AC598" i="10" l="1"/>
  <c r="F65" i="18" l="1"/>
  <c r="AD598" i="10"/>
  <c r="AC569" i="10"/>
  <c r="AD569" i="10" s="1"/>
  <c r="EJ65" i="18"/>
  <c r="G65" i="18"/>
  <c r="H65" i="18"/>
  <c r="I65" i="18"/>
  <c r="J65" i="18"/>
  <c r="K65" i="18"/>
  <c r="L65" i="18"/>
  <c r="M65" i="18"/>
  <c r="N65" i="18"/>
  <c r="O65" i="18"/>
  <c r="P65" i="18"/>
  <c r="Q65" i="18"/>
  <c r="R65" i="18"/>
  <c r="S65" i="18"/>
  <c r="T65" i="18"/>
  <c r="U65" i="18"/>
  <c r="V65" i="18"/>
  <c r="W65" i="18"/>
  <c r="X65" i="18"/>
  <c r="Y65" i="18"/>
  <c r="Z65" i="18"/>
  <c r="AA65" i="18"/>
  <c r="AB65" i="18"/>
  <c r="AC65" i="18"/>
  <c r="AD65" i="18"/>
  <c r="AE65" i="18"/>
  <c r="AF65" i="18"/>
  <c r="AG65" i="18"/>
  <c r="AH65" i="18"/>
  <c r="AI65" i="18"/>
  <c r="AJ65" i="18"/>
  <c r="AK65" i="18"/>
  <c r="AL65" i="18"/>
  <c r="AM65" i="18"/>
  <c r="AN65" i="18"/>
  <c r="AO65" i="18"/>
  <c r="AP65" i="18"/>
  <c r="AQ65" i="18"/>
  <c r="AR65" i="18"/>
  <c r="AS65" i="18"/>
  <c r="AT65" i="18"/>
  <c r="AU65" i="18"/>
  <c r="AV65" i="18"/>
  <c r="AW65" i="18"/>
  <c r="AX65" i="18"/>
  <c r="AY65" i="18"/>
  <c r="AZ65" i="18"/>
  <c r="BA65" i="18"/>
  <c r="BB65" i="18"/>
  <c r="BC65" i="18"/>
  <c r="BD65" i="18"/>
  <c r="BE65" i="18"/>
  <c r="BF65" i="18"/>
  <c r="BG65" i="18"/>
  <c r="BH65" i="18"/>
  <c r="BI65" i="18"/>
  <c r="BJ65" i="18"/>
  <c r="BK65" i="18"/>
  <c r="BL65" i="18"/>
  <c r="BM65" i="18"/>
  <c r="BN65" i="18"/>
  <c r="BO65" i="18"/>
  <c r="BP65" i="18"/>
  <c r="BQ65" i="18"/>
  <c r="BR65" i="18"/>
  <c r="BS65" i="18"/>
  <c r="BT65" i="18"/>
  <c r="BU65" i="18"/>
  <c r="BV65" i="18"/>
  <c r="BW65" i="18"/>
  <c r="BX65" i="18"/>
  <c r="BY65" i="18"/>
  <c r="BZ65" i="18"/>
  <c r="CA65" i="18"/>
  <c r="CB65" i="18"/>
  <c r="CC65" i="18"/>
  <c r="CD65" i="18"/>
  <c r="CE65" i="18"/>
  <c r="CF65" i="18"/>
  <c r="CG65" i="18"/>
  <c r="CH65" i="18"/>
  <c r="CI65" i="18"/>
  <c r="CJ65" i="18"/>
  <c r="CK65" i="18"/>
  <c r="CL65" i="18"/>
  <c r="CM65" i="18"/>
  <c r="CN65" i="18"/>
  <c r="CO65" i="18"/>
  <c r="CP65" i="18"/>
  <c r="CQ65" i="18"/>
  <c r="CR65" i="18"/>
  <c r="CS65" i="18"/>
  <c r="CT65" i="18"/>
  <c r="CU65" i="18"/>
  <c r="CV65" i="18"/>
  <c r="CW65" i="18"/>
  <c r="CX65" i="18"/>
  <c r="CY65" i="18"/>
  <c r="CZ65" i="18"/>
  <c r="DA65" i="18"/>
  <c r="DB65" i="18"/>
  <c r="DC65" i="18"/>
  <c r="DD65" i="18"/>
  <c r="DE65" i="18"/>
  <c r="DF65" i="18"/>
  <c r="DG65" i="18"/>
  <c r="DH65" i="18"/>
  <c r="DI65" i="18"/>
  <c r="DJ65" i="18"/>
  <c r="DK65" i="18"/>
  <c r="DL65" i="18"/>
  <c r="DM65" i="18"/>
  <c r="DN65" i="18"/>
  <c r="DO65" i="18"/>
  <c r="DP65" i="18"/>
  <c r="DQ65" i="18"/>
  <c r="DR65" i="18"/>
  <c r="DS65" i="18"/>
  <c r="DT65" i="18"/>
  <c r="DU65" i="18"/>
  <c r="DV65" i="18"/>
  <c r="DW65" i="18"/>
  <c r="DX65" i="18"/>
  <c r="DY65" i="18"/>
  <c r="DZ65" i="18"/>
  <c r="EA65" i="18"/>
  <c r="EB65" i="18"/>
  <c r="EC65" i="18"/>
  <c r="ED65" i="18"/>
  <c r="EE65" i="18"/>
  <c r="EF65" i="18"/>
  <c r="EG65" i="18"/>
  <c r="EH65" i="18"/>
  <c r="EI65" i="18"/>
  <c r="EG34" i="14" l="1"/>
  <c r="EG31" i="14" s="1"/>
  <c r="D34" i="14"/>
  <c r="D31" i="14" s="1"/>
  <c r="DR34" i="14"/>
  <c r="DN34" i="14"/>
  <c r="DF34" i="14"/>
  <c r="DB34" i="14"/>
  <c r="CX34" i="14"/>
  <c r="CT34" i="14"/>
  <c r="CP34" i="14"/>
  <c r="CL34" i="14"/>
  <c r="CH34" i="14"/>
  <c r="CD34" i="14"/>
  <c r="BZ34" i="14"/>
  <c r="BV34" i="14"/>
  <c r="BR34" i="14"/>
  <c r="BN34" i="14"/>
  <c r="BJ34" i="14"/>
  <c r="BF34" i="14"/>
  <c r="BB34" i="14"/>
  <c r="AX34" i="14"/>
  <c r="AT34" i="14"/>
  <c r="AP34" i="14"/>
  <c r="AL34" i="14"/>
  <c r="AH34" i="14"/>
  <c r="AD34" i="14"/>
  <c r="Z34" i="14"/>
  <c r="V34" i="14"/>
  <c r="R34" i="14"/>
  <c r="N34" i="14"/>
  <c r="J34" i="14"/>
  <c r="F34" i="14"/>
  <c r="DZ34" i="14"/>
  <c r="DJ34" i="14"/>
  <c r="EC34" i="14"/>
  <c r="DY34" i="14"/>
  <c r="DU34" i="14"/>
  <c r="DQ34" i="14"/>
  <c r="DM34" i="14"/>
  <c r="DI34" i="14"/>
  <c r="DE34" i="14"/>
  <c r="DA34" i="14"/>
  <c r="CW34" i="14"/>
  <c r="CS34" i="14"/>
  <c r="CO34" i="14"/>
  <c r="CK34" i="14"/>
  <c r="CG34" i="14"/>
  <c r="CC34" i="14"/>
  <c r="BY34" i="14"/>
  <c r="BU34" i="14"/>
  <c r="BQ34" i="14"/>
  <c r="BM34" i="14"/>
  <c r="BI34" i="14"/>
  <c r="BE34" i="14"/>
  <c r="BA34" i="14"/>
  <c r="AW34" i="14"/>
  <c r="AS34" i="14"/>
  <c r="AO34" i="14"/>
  <c r="AK34" i="14"/>
  <c r="AG34" i="14"/>
  <c r="AC34" i="14"/>
  <c r="Y34" i="14"/>
  <c r="U34" i="14"/>
  <c r="Q34" i="14"/>
  <c r="M34" i="14"/>
  <c r="I34" i="14"/>
  <c r="E34" i="14"/>
  <c r="DV34" i="14"/>
  <c r="DX34" i="14"/>
  <c r="DP34" i="14"/>
  <c r="DD34" i="14"/>
  <c r="CV34" i="14"/>
  <c r="CN34" i="14"/>
  <c r="CF34" i="14"/>
  <c r="BX34" i="14"/>
  <c r="BP34" i="14"/>
  <c r="BH34" i="14"/>
  <c r="AZ34" i="14"/>
  <c r="AR34" i="14"/>
  <c r="AF34" i="14"/>
  <c r="X34" i="14"/>
  <c r="P34" i="14"/>
  <c r="H34" i="14"/>
  <c r="ED34" i="14"/>
  <c r="EF34" i="14"/>
  <c r="EB34" i="14"/>
  <c r="DT34" i="14"/>
  <c r="DL34" i="14"/>
  <c r="DH34" i="14"/>
  <c r="CZ34" i="14"/>
  <c r="CR34" i="14"/>
  <c r="CJ34" i="14"/>
  <c r="CB34" i="14"/>
  <c r="BT34" i="14"/>
  <c r="BL34" i="14"/>
  <c r="BD34" i="14"/>
  <c r="AV34" i="14"/>
  <c r="AN34" i="14"/>
  <c r="AJ34" i="14"/>
  <c r="AB34" i="14"/>
  <c r="T34" i="14"/>
  <c r="L34" i="14"/>
  <c r="EE34" i="14"/>
  <c r="EA34" i="14"/>
  <c r="DW34" i="14"/>
  <c r="DS34" i="14"/>
  <c r="DO34" i="14"/>
  <c r="DK34" i="14"/>
  <c r="DG34" i="14"/>
  <c r="DC34" i="14"/>
  <c r="CY34" i="14"/>
  <c r="CU34" i="14"/>
  <c r="CQ34" i="14"/>
  <c r="CM34" i="14"/>
  <c r="CI34" i="14"/>
  <c r="CE34" i="14"/>
  <c r="CA34" i="14"/>
  <c r="BW34" i="14"/>
  <c r="BS34" i="14"/>
  <c r="BO34" i="14"/>
  <c r="BK34" i="14"/>
  <c r="BG34" i="14"/>
  <c r="BC34" i="14"/>
  <c r="AY34" i="14"/>
  <c r="AU34" i="14"/>
  <c r="AQ34" i="14"/>
  <c r="AM34" i="14"/>
  <c r="AI34" i="14"/>
  <c r="AE34" i="14"/>
  <c r="AA34" i="14"/>
  <c r="W34" i="14"/>
  <c r="S34" i="14"/>
  <c r="O34" i="14"/>
  <c r="K34" i="14"/>
  <c r="G34" i="14"/>
  <c r="E65" i="18"/>
  <c r="C34" i="14" l="1"/>
  <c r="I113" i="18" l="1"/>
  <c r="I111" i="18" s="1"/>
  <c r="J368" i="18"/>
  <c r="Q368" i="18"/>
  <c r="N292" i="18"/>
  <c r="P292" i="18"/>
  <c r="R292" i="18"/>
  <c r="W292" i="18"/>
  <c r="X292" i="18"/>
  <c r="AB292" i="18"/>
  <c r="AH292" i="18"/>
  <c r="AI292" i="18"/>
  <c r="W363" i="18"/>
  <c r="Y363" i="18"/>
  <c r="AC363" i="18"/>
  <c r="K251" i="18"/>
  <c r="M251" i="18"/>
  <c r="N251" i="18"/>
  <c r="H284" i="18"/>
  <c r="H286" i="18" s="1"/>
  <c r="N247" i="6"/>
  <c r="I474" i="10" s="1"/>
  <c r="N245" i="6"/>
  <c r="I472" i="10" s="1"/>
  <c r="B14" i="16"/>
  <c r="H70" i="16" s="1"/>
  <c r="N390" i="6"/>
  <c r="F113" i="18" l="1"/>
  <c r="E113" i="18" s="1"/>
  <c r="I473" i="10"/>
  <c r="I471" i="10" s="1"/>
  <c r="J471" i="10" s="1"/>
  <c r="J474" i="10"/>
  <c r="AC474" i="10"/>
  <c r="AD474" i="10" s="1"/>
  <c r="J472" i="10"/>
  <c r="AC472" i="10"/>
  <c r="I284" i="18"/>
  <c r="I287" i="18" s="1"/>
  <c r="H287" i="18"/>
  <c r="N414" i="6"/>
  <c r="AD414" i="6" s="1"/>
  <c r="N419" i="6"/>
  <c r="AD419" i="6" s="1"/>
  <c r="N420" i="6"/>
  <c r="AD420" i="6" s="1"/>
  <c r="N412" i="6"/>
  <c r="AD412" i="6" s="1"/>
  <c r="N338" i="6"/>
  <c r="AD338" i="6" s="1"/>
  <c r="N410" i="6"/>
  <c r="AD410" i="6" s="1"/>
  <c r="N337" i="6"/>
  <c r="AD337" i="6" s="1"/>
  <c r="N316" i="6"/>
  <c r="E13" i="16"/>
  <c r="N395" i="6"/>
  <c r="N389" i="6"/>
  <c r="N152" i="6"/>
  <c r="N341" i="6"/>
  <c r="I347" i="10"/>
  <c r="J347" i="10" s="1"/>
  <c r="N381" i="6"/>
  <c r="N407" i="6"/>
  <c r="N230" i="6"/>
  <c r="N375" i="6"/>
  <c r="N157" i="6"/>
  <c r="N318" i="6"/>
  <c r="N327" i="6"/>
  <c r="N320" i="6"/>
  <c r="N317" i="6"/>
  <c r="N391" i="6"/>
  <c r="N159" i="6"/>
  <c r="N396" i="6"/>
  <c r="N342" i="6"/>
  <c r="N387" i="6"/>
  <c r="N408" i="6"/>
  <c r="AD408" i="6" s="1"/>
  <c r="N422" i="6"/>
  <c r="AD422" i="6" s="1"/>
  <c r="N413" i="6"/>
  <c r="AD413" i="6" s="1"/>
  <c r="N405" i="6"/>
  <c r="N344" i="6"/>
  <c r="N228" i="6"/>
  <c r="I325" i="10"/>
  <c r="J325" i="10" s="1"/>
  <c r="I350" i="10"/>
  <c r="J350" i="10" s="1"/>
  <c r="N343" i="6"/>
  <c r="N319" i="6"/>
  <c r="N331" i="6"/>
  <c r="N153" i="6"/>
  <c r="N397" i="6"/>
  <c r="N402" i="6"/>
  <c r="N229" i="6"/>
  <c r="N378" i="6"/>
  <c r="N403" i="6"/>
  <c r="N388" i="6"/>
  <c r="N325" i="6"/>
  <c r="N379" i="6"/>
  <c r="N393" i="6"/>
  <c r="N163" i="6"/>
  <c r="N339" i="6"/>
  <c r="AD339" i="6" s="1"/>
  <c r="N336" i="6"/>
  <c r="AD336" i="6" s="1"/>
  <c r="N416" i="6"/>
  <c r="AD416" i="6" s="1"/>
  <c r="N409" i="6"/>
  <c r="AD409" i="6" s="1"/>
  <c r="N418" i="6"/>
  <c r="AD418" i="6" s="1"/>
  <c r="N335" i="6"/>
  <c r="AD335" i="6" s="1"/>
  <c r="N386" i="6"/>
  <c r="N392" i="6"/>
  <c r="N377" i="6"/>
  <c r="N380" i="6"/>
  <c r="N383" i="6"/>
  <c r="I331" i="10"/>
  <c r="J331" i="10" s="1"/>
  <c r="I338" i="10"/>
  <c r="J338" i="10" s="1"/>
  <c r="I289" i="10"/>
  <c r="J289" i="10" s="1"/>
  <c r="N394" i="6"/>
  <c r="N382" i="6"/>
  <c r="N384" i="6"/>
  <c r="N329" i="6"/>
  <c r="N156" i="6"/>
  <c r="N330" i="6"/>
  <c r="N400" i="6"/>
  <c r="N162" i="6"/>
  <c r="N155" i="6"/>
  <c r="N385" i="6"/>
  <c r="N321" i="6"/>
  <c r="N161" i="6"/>
  <c r="N332" i="6"/>
  <c r="B13" i="16"/>
  <c r="N411" i="6"/>
  <c r="N417" i="6"/>
  <c r="N421" i="6"/>
  <c r="AD421" i="6" s="1"/>
  <c r="N415" i="6"/>
  <c r="AD415" i="6" s="1"/>
  <c r="N334" i="6"/>
  <c r="AD334" i="6" s="1"/>
  <c r="N328" i="6"/>
  <c r="N374" i="6"/>
  <c r="N158" i="6"/>
  <c r="N398" i="6"/>
  <c r="I321" i="10"/>
  <c r="J321" i="10" s="1"/>
  <c r="N401" i="6"/>
  <c r="I293" i="10"/>
  <c r="J293" i="10" s="1"/>
  <c r="I334" i="10"/>
  <c r="J334" i="10" s="1"/>
  <c r="N324" i="6"/>
  <c r="I76" i="6"/>
  <c r="N322" i="6"/>
  <c r="N154" i="6"/>
  <c r="N345" i="6"/>
  <c r="N346" i="6"/>
  <c r="N160" i="6"/>
  <c r="N406" i="6"/>
  <c r="N326" i="6"/>
  <c r="N333" i="6"/>
  <c r="N376" i="6"/>
  <c r="N323" i="6"/>
  <c r="N399" i="6"/>
  <c r="J284" i="18" l="1"/>
  <c r="J287" i="18" s="1"/>
  <c r="I286" i="18"/>
  <c r="I403" i="10"/>
  <c r="J403" i="10" s="1"/>
  <c r="I348" i="10"/>
  <c r="J348" i="10" s="1"/>
  <c r="I336" i="10"/>
  <c r="J336" i="10" s="1"/>
  <c r="AD472" i="10"/>
  <c r="J473" i="10"/>
  <c r="AC473" i="10"/>
  <c r="AD473" i="10" s="1"/>
  <c r="I329" i="10"/>
  <c r="AC293" i="10"/>
  <c r="AD293" i="10" s="1"/>
  <c r="I189" i="10"/>
  <c r="J189" i="10" s="1"/>
  <c r="I192" i="10"/>
  <c r="J192" i="10" s="1"/>
  <c r="I188" i="10"/>
  <c r="J188" i="10" s="1"/>
  <c r="D15" i="16"/>
  <c r="N15" i="16"/>
  <c r="I15" i="16"/>
  <c r="K15" i="16"/>
  <c r="J15" i="16"/>
  <c r="H97" i="16"/>
  <c r="L15" i="16"/>
  <c r="H15" i="16"/>
  <c r="M15" i="16"/>
  <c r="F15" i="16"/>
  <c r="G15" i="16"/>
  <c r="AC331" i="10"/>
  <c r="AD331" i="10" s="1"/>
  <c r="I337" i="10"/>
  <c r="J337" i="10" s="1"/>
  <c r="AC350" i="10"/>
  <c r="AD350" i="10" s="1"/>
  <c r="I306" i="10"/>
  <c r="J306" i="10" s="1"/>
  <c r="I190" i="10"/>
  <c r="J190" i="10" s="1"/>
  <c r="I400" i="10"/>
  <c r="J400" i="10" s="1"/>
  <c r="AC348" i="10"/>
  <c r="AD348" i="10" s="1"/>
  <c r="I287" i="10"/>
  <c r="J287" i="10" s="1"/>
  <c r="I323" i="10"/>
  <c r="J323" i="10" s="1"/>
  <c r="N191" i="6"/>
  <c r="N171" i="6"/>
  <c r="N194" i="6"/>
  <c r="N172" i="6"/>
  <c r="N188" i="6"/>
  <c r="N168" i="6"/>
  <c r="N175" i="6"/>
  <c r="N200" i="6"/>
  <c r="N181" i="6"/>
  <c r="N179" i="6"/>
  <c r="N167" i="6"/>
  <c r="N195" i="6"/>
  <c r="N192" i="6"/>
  <c r="AC179" i="6"/>
  <c r="N180" i="6"/>
  <c r="N198" i="6"/>
  <c r="AD199" i="6"/>
  <c r="AD200" i="6"/>
  <c r="N186" i="6"/>
  <c r="AD198" i="6"/>
  <c r="N201" i="6"/>
  <c r="AC180" i="6"/>
  <c r="N202" i="6"/>
  <c r="N177" i="6"/>
  <c r="N169" i="6"/>
  <c r="N173" i="6"/>
  <c r="N182" i="6"/>
  <c r="N187" i="6"/>
  <c r="N199" i="6"/>
  <c r="N176" i="6"/>
  <c r="AC178" i="6"/>
  <c r="N166" i="6"/>
  <c r="AD183" i="6"/>
  <c r="I233" i="10" s="1"/>
  <c r="J233" i="10" s="1"/>
  <c r="N183" i="6"/>
  <c r="N174" i="6"/>
  <c r="N196" i="6"/>
  <c r="N197" i="6"/>
  <c r="N193" i="6"/>
  <c r="N189" i="6"/>
  <c r="N178" i="6"/>
  <c r="N170" i="6"/>
  <c r="N190" i="6"/>
  <c r="AD202" i="6"/>
  <c r="I261" i="10" s="1"/>
  <c r="J261" i="10" s="1"/>
  <c r="AC325" i="10"/>
  <c r="AD325" i="10" s="1"/>
  <c r="I332" i="10"/>
  <c r="J332" i="10" s="1"/>
  <c r="AC321" i="10"/>
  <c r="AD321" i="10" s="1"/>
  <c r="I401" i="10"/>
  <c r="J401" i="10" s="1"/>
  <c r="AD417" i="6"/>
  <c r="I298" i="10" s="1"/>
  <c r="J298" i="10" s="1"/>
  <c r="I296" i="10"/>
  <c r="J296" i="10" s="1"/>
  <c r="AC289" i="10"/>
  <c r="AD289" i="10" s="1"/>
  <c r="I322" i="10"/>
  <c r="J322" i="10" s="1"/>
  <c r="I216" i="10"/>
  <c r="J216" i="10" s="1"/>
  <c r="AC347" i="10"/>
  <c r="AD347" i="10" s="1"/>
  <c r="I291" i="10"/>
  <c r="J291" i="10" s="1"/>
  <c r="AC334" i="10"/>
  <c r="AD334" i="10" s="1"/>
  <c r="I345" i="10"/>
  <c r="J345" i="10" s="1"/>
  <c r="AD411" i="6"/>
  <c r="I314" i="10" s="1"/>
  <c r="J314" i="10" s="1"/>
  <c r="I312" i="10"/>
  <c r="J312" i="10" s="1"/>
  <c r="AC338" i="10"/>
  <c r="AD338" i="10" s="1"/>
  <c r="I319" i="10"/>
  <c r="J319" i="10" s="1"/>
  <c r="I202" i="10"/>
  <c r="J202" i="10" s="1"/>
  <c r="I308" i="10"/>
  <c r="J308" i="10" s="1"/>
  <c r="I201" i="10"/>
  <c r="J201" i="10" s="1"/>
  <c r="E15" i="16"/>
  <c r="I349" i="10" l="1"/>
  <c r="J349" i="10" s="1"/>
  <c r="K284" i="18"/>
  <c r="K287" i="18" s="1"/>
  <c r="J286" i="18"/>
  <c r="I227" i="10"/>
  <c r="J227" i="10" s="1"/>
  <c r="I335" i="10"/>
  <c r="J335" i="10" s="1"/>
  <c r="AC336" i="10"/>
  <c r="AD336" i="10" s="1"/>
  <c r="AC403" i="10"/>
  <c r="AD403" i="10" s="1"/>
  <c r="I259" i="10"/>
  <c r="J259" i="10" s="1"/>
  <c r="AC471" i="10"/>
  <c r="I330" i="10"/>
  <c r="J330" i="10" s="1"/>
  <c r="J329" i="10"/>
  <c r="AC329" i="10"/>
  <c r="AD329" i="10" s="1"/>
  <c r="K656" i="6"/>
  <c r="H660" i="6" s="1"/>
  <c r="H662" i="6" s="1"/>
  <c r="J662" i="6" s="1"/>
  <c r="AC202" i="10"/>
  <c r="AD202" i="10" s="1"/>
  <c r="AC291" i="10"/>
  <c r="AD291" i="10" s="1"/>
  <c r="I292" i="10"/>
  <c r="J292" i="10" s="1"/>
  <c r="AC401" i="10"/>
  <c r="AD401" i="10" s="1"/>
  <c r="I402" i="10"/>
  <c r="J402" i="10" s="1"/>
  <c r="AC332" i="10"/>
  <c r="AD332" i="10" s="1"/>
  <c r="I333" i="10"/>
  <c r="J333" i="10" s="1"/>
  <c r="AC400" i="10"/>
  <c r="AD400" i="10" s="1"/>
  <c r="I396" i="10"/>
  <c r="J396" i="10" s="1"/>
  <c r="AC337" i="10"/>
  <c r="AD337" i="10" s="1"/>
  <c r="AC192" i="10"/>
  <c r="AD192" i="10" s="1"/>
  <c r="AC233" i="10"/>
  <c r="AD233" i="10" s="1"/>
  <c r="I231" i="10"/>
  <c r="J231" i="10" s="1"/>
  <c r="T120" i="16"/>
  <c r="I125" i="16" s="1"/>
  <c r="N120" i="16"/>
  <c r="I122" i="16" s="1"/>
  <c r="V120" i="16"/>
  <c r="I126" i="16" s="1"/>
  <c r="P120" i="16"/>
  <c r="I123" i="16" s="1"/>
  <c r="X120" i="16"/>
  <c r="I127" i="16" s="1"/>
  <c r="R120" i="16"/>
  <c r="I124" i="16" s="1"/>
  <c r="L120" i="16"/>
  <c r="I121" i="16" s="1"/>
  <c r="AC189" i="10"/>
  <c r="AD189" i="10" s="1"/>
  <c r="I311" i="10"/>
  <c r="J311" i="10" s="1"/>
  <c r="I313" i="10"/>
  <c r="J313" i="10" s="1"/>
  <c r="AC312" i="10"/>
  <c r="AD312" i="10" s="1"/>
  <c r="I320" i="10"/>
  <c r="J320" i="10" s="1"/>
  <c r="AC319" i="10"/>
  <c r="AD319" i="10" s="1"/>
  <c r="I200" i="10"/>
  <c r="J200" i="10" s="1"/>
  <c r="AC201" i="10"/>
  <c r="AD201" i="10" s="1"/>
  <c r="AC330" i="10"/>
  <c r="AD330" i="10" s="1"/>
  <c r="AC296" i="10"/>
  <c r="AD296" i="10" s="1"/>
  <c r="I297" i="10"/>
  <c r="J297" i="10" s="1"/>
  <c r="I295" i="10"/>
  <c r="J295" i="10" s="1"/>
  <c r="I225" i="10"/>
  <c r="J225" i="10" s="1"/>
  <c r="I258" i="10"/>
  <c r="J258" i="10" s="1"/>
  <c r="AC323" i="10"/>
  <c r="AD323" i="10" s="1"/>
  <c r="I324" i="10"/>
  <c r="J324" i="10" s="1"/>
  <c r="AC349" i="10"/>
  <c r="AD349" i="10" s="1"/>
  <c r="AC190" i="10"/>
  <c r="AD190" i="10" s="1"/>
  <c r="B16" i="16"/>
  <c r="H71" i="16" s="1"/>
  <c r="AC345" i="10"/>
  <c r="AD345" i="10" s="1"/>
  <c r="I346" i="10"/>
  <c r="J346" i="10" s="1"/>
  <c r="AC314" i="10"/>
  <c r="AD314" i="10" s="1"/>
  <c r="AC308" i="10"/>
  <c r="AD308" i="10" s="1"/>
  <c r="AC216" i="10"/>
  <c r="AD216" i="10" s="1"/>
  <c r="I215" i="10"/>
  <c r="J215" i="10" s="1"/>
  <c r="AC322" i="10"/>
  <c r="AD322" i="10" s="1"/>
  <c r="AC298" i="10"/>
  <c r="AD298" i="10" s="1"/>
  <c r="AC261" i="10"/>
  <c r="AD261" i="10" s="1"/>
  <c r="I256" i="10"/>
  <c r="I288" i="10"/>
  <c r="J288" i="10" s="1"/>
  <c r="AC287" i="10"/>
  <c r="AD287" i="10" s="1"/>
  <c r="I286" i="10"/>
  <c r="J286" i="10" s="1"/>
  <c r="I307" i="10"/>
  <c r="J307" i="10" s="1"/>
  <c r="AC306" i="10"/>
  <c r="AD306" i="10" s="1"/>
  <c r="I305" i="10"/>
  <c r="J305" i="10" s="1"/>
  <c r="I187" i="10"/>
  <c r="J187" i="10" s="1"/>
  <c r="AC188" i="10"/>
  <c r="AD188" i="10" s="1"/>
  <c r="AC227" i="10" l="1"/>
  <c r="AD227" i="10" s="1"/>
  <c r="L284" i="18"/>
  <c r="M284" i="18" s="1"/>
  <c r="M287" i="18" s="1"/>
  <c r="K286" i="18"/>
  <c r="AC335" i="10"/>
  <c r="AD335" i="10" s="1"/>
  <c r="AC259" i="10"/>
  <c r="AD259" i="10" s="1"/>
  <c r="I260" i="10"/>
  <c r="J260" i="10" s="1"/>
  <c r="I119" i="16"/>
  <c r="E304" i="18" s="1"/>
  <c r="J256" i="10"/>
  <c r="I255" i="10"/>
  <c r="J255" i="10" s="1"/>
  <c r="AD471" i="10"/>
  <c r="F48" i="18"/>
  <c r="J660" i="6"/>
  <c r="AC307" i="10"/>
  <c r="AD307" i="10" s="1"/>
  <c r="AC295" i="10"/>
  <c r="AD295" i="10" s="1"/>
  <c r="AC320" i="10"/>
  <c r="AD320" i="10" s="1"/>
  <c r="AC396" i="10"/>
  <c r="AD396" i="10" s="1"/>
  <c r="AC333" i="10"/>
  <c r="AD333" i="10" s="1"/>
  <c r="AC292" i="10"/>
  <c r="AD292" i="10" s="1"/>
  <c r="AC187" i="10"/>
  <c r="AD187" i="10" s="1"/>
  <c r="AC305" i="10"/>
  <c r="AD305" i="10" s="1"/>
  <c r="I257" i="10"/>
  <c r="J257" i="10" s="1"/>
  <c r="AC256" i="10"/>
  <c r="AC215" i="10"/>
  <c r="AD215" i="10" s="1"/>
  <c r="AC346" i="10"/>
  <c r="AD346" i="10" s="1"/>
  <c r="I294" i="10"/>
  <c r="J294" i="10" s="1"/>
  <c r="AC200" i="10"/>
  <c r="AD200" i="10" s="1"/>
  <c r="AC311" i="10"/>
  <c r="AD311" i="10" s="1"/>
  <c r="I232" i="10"/>
  <c r="J232" i="10" s="1"/>
  <c r="AC231" i="10"/>
  <c r="AD231" i="10" s="1"/>
  <c r="AC402" i="10"/>
  <c r="AD402" i="10" s="1"/>
  <c r="AC286" i="10"/>
  <c r="AD286" i="10" s="1"/>
  <c r="AC258" i="10"/>
  <c r="AD258" i="10" s="1"/>
  <c r="I198" i="10"/>
  <c r="J198" i="10" s="1"/>
  <c r="AC288" i="10"/>
  <c r="AD288" i="10" s="1"/>
  <c r="I212" i="10"/>
  <c r="J212" i="10" s="1"/>
  <c r="F71" i="16"/>
  <c r="P98" i="16"/>
  <c r="I101" i="16" s="1"/>
  <c r="R98" i="16"/>
  <c r="I102" i="16" s="1"/>
  <c r="L82" i="16"/>
  <c r="I83" i="16" s="1"/>
  <c r="V72" i="16"/>
  <c r="I78" i="16" s="1"/>
  <c r="N108" i="16"/>
  <c r="I110" i="16" s="1"/>
  <c r="V98" i="16"/>
  <c r="I104" i="16" s="1"/>
  <c r="P108" i="16"/>
  <c r="I111" i="16" s="1"/>
  <c r="X108" i="16"/>
  <c r="I115" i="16" s="1"/>
  <c r="L98" i="16"/>
  <c r="I99" i="16" s="1"/>
  <c r="P72" i="16"/>
  <c r="I75" i="16" s="1"/>
  <c r="R108" i="16"/>
  <c r="I112" i="16" s="1"/>
  <c r="R72" i="16"/>
  <c r="I76" i="16" s="1"/>
  <c r="R82" i="16"/>
  <c r="I86" i="16" s="1"/>
  <c r="N72" i="16"/>
  <c r="I74" i="16" s="1"/>
  <c r="T82" i="16"/>
  <c r="I87" i="16" s="1"/>
  <c r="N82" i="16"/>
  <c r="I84" i="16" s="1"/>
  <c r="L108" i="16"/>
  <c r="I109" i="16" s="1"/>
  <c r="X72" i="16"/>
  <c r="I79" i="16" s="1"/>
  <c r="T98" i="16"/>
  <c r="I103" i="16" s="1"/>
  <c r="L72" i="16"/>
  <c r="I73" i="16" s="1"/>
  <c r="V108" i="16"/>
  <c r="I114" i="16" s="1"/>
  <c r="V82" i="16"/>
  <c r="I88" i="16" s="1"/>
  <c r="N98" i="16"/>
  <c r="I100" i="16" s="1"/>
  <c r="X82" i="16"/>
  <c r="I89" i="16" s="1"/>
  <c r="T108" i="16"/>
  <c r="I113" i="16" s="1"/>
  <c r="P82" i="16"/>
  <c r="I85" i="16" s="1"/>
  <c r="X98" i="16"/>
  <c r="I105" i="16" s="1"/>
  <c r="T72" i="16"/>
  <c r="I77" i="16" s="1"/>
  <c r="AC324" i="10"/>
  <c r="AD324" i="10" s="1"/>
  <c r="AC225" i="10"/>
  <c r="AD225" i="10" s="1"/>
  <c r="I224" i="10"/>
  <c r="J224" i="10" s="1"/>
  <c r="I226" i="10"/>
  <c r="J226" i="10" s="1"/>
  <c r="AC297" i="10"/>
  <c r="AD297" i="10" s="1"/>
  <c r="AC313" i="10"/>
  <c r="AD313" i="10" s="1"/>
  <c r="I394" i="10"/>
  <c r="J394" i="10" s="1"/>
  <c r="I71" i="16" l="1"/>
  <c r="AC260" i="10"/>
  <c r="AD260" i="10" s="1"/>
  <c r="L286" i="18"/>
  <c r="M286" i="18" s="1"/>
  <c r="N284" i="18"/>
  <c r="L287" i="18"/>
  <c r="G48" i="18"/>
  <c r="D25" i="14" s="1"/>
  <c r="EJ48" i="18"/>
  <c r="EG25" i="14" s="1"/>
  <c r="AD256" i="10"/>
  <c r="AC255" i="10"/>
  <c r="AD255" i="10" s="1"/>
  <c r="I285" i="10"/>
  <c r="J285" i="10" s="1"/>
  <c r="J82" i="16"/>
  <c r="J70" i="16" s="1"/>
  <c r="E269" i="18" s="1"/>
  <c r="CN396" i="18" s="1"/>
  <c r="J98" i="16"/>
  <c r="J108" i="16"/>
  <c r="I223" i="10"/>
  <c r="J223" i="10" s="1"/>
  <c r="AC232" i="10"/>
  <c r="AD232" i="10" s="1"/>
  <c r="F29" i="18"/>
  <c r="AC212" i="10"/>
  <c r="AD212" i="10" s="1"/>
  <c r="AC257" i="10"/>
  <c r="AD257" i="10" s="1"/>
  <c r="I211" i="10"/>
  <c r="J211" i="10" s="1"/>
  <c r="I186" i="10"/>
  <c r="J186" i="10" s="1"/>
  <c r="I254" i="10"/>
  <c r="J254" i="10" s="1"/>
  <c r="AC294" i="10"/>
  <c r="AD294" i="10" s="1"/>
  <c r="I393" i="10"/>
  <c r="J393" i="10" s="1"/>
  <c r="AC224" i="10"/>
  <c r="AD224" i="10" s="1"/>
  <c r="AC198" i="10"/>
  <c r="AC226" i="10"/>
  <c r="AD226" i="10" s="1"/>
  <c r="AC394" i="10"/>
  <c r="AD394" i="10" s="1"/>
  <c r="N286" i="18" l="1"/>
  <c r="N287" i="18"/>
  <c r="O284" i="18"/>
  <c r="H280" i="18"/>
  <c r="H279" i="18" s="1"/>
  <c r="I108" i="18" s="1"/>
  <c r="AI376" i="18"/>
  <c r="H310" i="18"/>
  <c r="H309" i="18" s="1"/>
  <c r="DJ376" i="18"/>
  <c r="H386" i="18"/>
  <c r="H385" i="18" s="1"/>
  <c r="I207" i="18" s="1"/>
  <c r="EI376" i="18"/>
  <c r="H381" i="18"/>
  <c r="H380" i="18" s="1"/>
  <c r="H351" i="18"/>
  <c r="BN351" i="18"/>
  <c r="H376" i="18"/>
  <c r="H375" i="18" s="1"/>
  <c r="BW381" i="18"/>
  <c r="CR310" i="18"/>
  <c r="I371" i="18"/>
  <c r="H401" i="18"/>
  <c r="H400" i="18" s="1"/>
  <c r="H402" i="18" s="1"/>
  <c r="H300" i="18"/>
  <c r="H269" i="18"/>
  <c r="I98" i="18" s="1"/>
  <c r="AE310" i="18"/>
  <c r="K391" i="18"/>
  <c r="CJ376" i="18"/>
  <c r="H275" i="18"/>
  <c r="H295" i="18" s="1"/>
  <c r="H294" i="18" s="1"/>
  <c r="AD100" i="18"/>
  <c r="H396" i="18"/>
  <c r="H395" i="18" s="1"/>
  <c r="H397" i="18" s="1"/>
  <c r="BT376" i="18"/>
  <c r="AG376" i="18"/>
  <c r="DI376" i="18"/>
  <c r="DE376" i="18"/>
  <c r="AG305" i="18"/>
  <c r="CT376" i="18"/>
  <c r="CD376" i="18"/>
  <c r="EC376" i="18"/>
  <c r="BG376" i="18"/>
  <c r="BE376" i="18"/>
  <c r="EG376" i="18"/>
  <c r="CV376" i="18"/>
  <c r="DF300" i="18"/>
  <c r="AU396" i="18"/>
  <c r="AC305" i="18"/>
  <c r="BW275" i="18"/>
  <c r="CH285" i="18"/>
  <c r="CN381" i="18"/>
  <c r="DQ351" i="18"/>
  <c r="EC391" i="18"/>
  <c r="ED376" i="18"/>
  <c r="AE376" i="18"/>
  <c r="L275" i="18"/>
  <c r="DP305" i="18"/>
  <c r="BP386" i="18"/>
  <c r="CC381" i="18"/>
  <c r="AT376" i="18"/>
  <c r="I391" i="18"/>
  <c r="CX376" i="18"/>
  <c r="N386" i="18"/>
  <c r="AX391" i="18"/>
  <c r="BY391" i="18"/>
  <c r="CD305" i="18"/>
  <c r="AZ396" i="18"/>
  <c r="CF376" i="18"/>
  <c r="AJ275" i="18"/>
  <c r="CU300" i="18"/>
  <c r="CC386" i="18"/>
  <c r="DA381" i="18"/>
  <c r="BZ351" i="18"/>
  <c r="DS275" i="18"/>
  <c r="BX376" i="18"/>
  <c r="BH285" i="18"/>
  <c r="BN391" i="18"/>
  <c r="AC371" i="18"/>
  <c r="CT351" i="18"/>
  <c r="AR351" i="18"/>
  <c r="DC351" i="18"/>
  <c r="BJ376" i="18"/>
  <c r="CN376" i="18"/>
  <c r="O386" i="18"/>
  <c r="BI310" i="18"/>
  <c r="CJ285" i="18"/>
  <c r="CW381" i="18"/>
  <c r="DS396" i="18"/>
  <c r="AH305" i="18"/>
  <c r="K376" i="18"/>
  <c r="Z376" i="18"/>
  <c r="AC351" i="18"/>
  <c r="CB275" i="18"/>
  <c r="CQ310" i="18"/>
  <c r="Z305" i="18"/>
  <c r="BK300" i="18"/>
  <c r="Z371" i="18"/>
  <c r="N305" i="18"/>
  <c r="DA386" i="18"/>
  <c r="BN280" i="18"/>
  <c r="AJ310" i="18"/>
  <c r="DZ305" i="18"/>
  <c r="EA391" i="18"/>
  <c r="X285" i="18"/>
  <c r="X371" i="18"/>
  <c r="DD285" i="18"/>
  <c r="DC401" i="18"/>
  <c r="BJ371" i="18"/>
  <c r="BZ300" i="18"/>
  <c r="AS285" i="18"/>
  <c r="CO310" i="18"/>
  <c r="AK371" i="18"/>
  <c r="DT381" i="18"/>
  <c r="BS401" i="18"/>
  <c r="AO310" i="18"/>
  <c r="AI401" i="18"/>
  <c r="DP386" i="18"/>
  <c r="EC401" i="18"/>
  <c r="AJ285" i="18"/>
  <c r="BQ285" i="18"/>
  <c r="AA275" i="18"/>
  <c r="CG285" i="18"/>
  <c r="DA285" i="18"/>
  <c r="DH381" i="18"/>
  <c r="DP285" i="18"/>
  <c r="BW401" i="18"/>
  <c r="BF275" i="18"/>
  <c r="AE285" i="18"/>
  <c r="R280" i="18"/>
  <c r="EI280" i="18"/>
  <c r="EB300" i="18"/>
  <c r="CV371" i="18"/>
  <c r="CE305" i="18"/>
  <c r="AM300" i="18"/>
  <c r="CR285" i="18"/>
  <c r="DN381" i="18"/>
  <c r="EH386" i="18"/>
  <c r="AD396" i="18"/>
  <c r="BM280" i="18"/>
  <c r="W275" i="18"/>
  <c r="EB305" i="18"/>
  <c r="DR381" i="18"/>
  <c r="DE285" i="18"/>
  <c r="AZ280" i="18"/>
  <c r="BO305" i="18"/>
  <c r="EG401" i="18"/>
  <c r="T386" i="18"/>
  <c r="DO376" i="18"/>
  <c r="DX401" i="18"/>
  <c r="CO351" i="18"/>
  <c r="CM391" i="18"/>
  <c r="CS371" i="18"/>
  <c r="S376" i="18"/>
  <c r="DE381" i="18"/>
  <c r="L391" i="18"/>
  <c r="CM371" i="18"/>
  <c r="DF391" i="18"/>
  <c r="CS305" i="18"/>
  <c r="T391" i="18"/>
  <c r="BV285" i="18"/>
  <c r="AK381" i="18"/>
  <c r="K351" i="18"/>
  <c r="DS386" i="18"/>
  <c r="DV310" i="18"/>
  <c r="CC300" i="18"/>
  <c r="Y275" i="18"/>
  <c r="AL371" i="18"/>
  <c r="BD310" i="18"/>
  <c r="AH391" i="18"/>
  <c r="DC285" i="18"/>
  <c r="DO371" i="18"/>
  <c r="DT371" i="18"/>
  <c r="AD371" i="18"/>
  <c r="O396" i="18"/>
  <c r="X275" i="18"/>
  <c r="BG275" i="18"/>
  <c r="AB401" i="18"/>
  <c r="CV401" i="18"/>
  <c r="Q300" i="18"/>
  <c r="BH376" i="18"/>
  <c r="BZ280" i="18"/>
  <c r="AH386" i="18"/>
  <c r="L371" i="18"/>
  <c r="DD310" i="18"/>
  <c r="DM376" i="18"/>
  <c r="DK300" i="18"/>
  <c r="BZ285" i="18"/>
  <c r="BQ396" i="18"/>
  <c r="EC280" i="18"/>
  <c r="BG391" i="18"/>
  <c r="U391" i="18"/>
  <c r="CL376" i="18"/>
  <c r="AG275" i="18"/>
  <c r="J275" i="18"/>
  <c r="U376" i="18"/>
  <c r="CB376" i="18"/>
  <c r="V371" i="18"/>
  <c r="AF401" i="18"/>
  <c r="AA310" i="18"/>
  <c r="BB391" i="18"/>
  <c r="CI381" i="18"/>
  <c r="P386" i="18"/>
  <c r="CI376" i="18"/>
  <c r="R401" i="18"/>
  <c r="BI275" i="18"/>
  <c r="CK386" i="18"/>
  <c r="CA401" i="18"/>
  <c r="Q401" i="18"/>
  <c r="DP280" i="18"/>
  <c r="CQ300" i="18"/>
  <c r="CE376" i="18"/>
  <c r="EH285" i="18"/>
  <c r="EG300" i="18"/>
  <c r="AP401" i="18"/>
  <c r="K310" i="18"/>
  <c r="K280" i="18"/>
  <c r="BJ275" i="18"/>
  <c r="AM280" i="18"/>
  <c r="BG285" i="18"/>
  <c r="DL381" i="18"/>
  <c r="AI280" i="18"/>
  <c r="EG381" i="18"/>
  <c r="DY351" i="18"/>
  <c r="BR381" i="18"/>
  <c r="W381" i="18"/>
  <c r="DN371" i="18"/>
  <c r="CZ275" i="18"/>
  <c r="AQ391" i="18"/>
  <c r="CK275" i="18"/>
  <c r="CL381" i="18"/>
  <c r="CL386" i="18"/>
  <c r="CJ300" i="18"/>
  <c r="EI305" i="18"/>
  <c r="EE391" i="18"/>
  <c r="DU386" i="18"/>
  <c r="CH310" i="18"/>
  <c r="DR280" i="18"/>
  <c r="R381" i="18"/>
  <c r="Q280" i="18"/>
  <c r="Y396" i="18"/>
  <c r="CJ396" i="18"/>
  <c r="AD310" i="18"/>
  <c r="I381" i="18"/>
  <c r="BJ381" i="18"/>
  <c r="DW371" i="18"/>
  <c r="DU391" i="18"/>
  <c r="BG300" i="18"/>
  <c r="EA386" i="18"/>
  <c r="AR280" i="18"/>
  <c r="DK391" i="18"/>
  <c r="DG280" i="18"/>
  <c r="AM310" i="18"/>
  <c r="CE386" i="18"/>
  <c r="EG386" i="18"/>
  <c r="BB300" i="18"/>
  <c r="V376" i="18"/>
  <c r="S280" i="18"/>
  <c r="Y285" i="18"/>
  <c r="AY401" i="18"/>
  <c r="BX280" i="18"/>
  <c r="EA285" i="18"/>
  <c r="DN305" i="18"/>
  <c r="BP396" i="18"/>
  <c r="BK310" i="18"/>
  <c r="CL280" i="18"/>
  <c r="AM381" i="18"/>
  <c r="CL305" i="18"/>
  <c r="AH310" i="18"/>
  <c r="L351" i="18"/>
  <c r="AE401" i="18"/>
  <c r="DF371" i="18"/>
  <c r="AU391" i="18"/>
  <c r="CV396" i="18"/>
  <c r="DZ401" i="18"/>
  <c r="EE310" i="18"/>
  <c r="AO371" i="18"/>
  <c r="EE275" i="18"/>
  <c r="CY280" i="18"/>
  <c r="BU285" i="18"/>
  <c r="CP371" i="18"/>
  <c r="CG381" i="18"/>
  <c r="DB371" i="18"/>
  <c r="N280" i="18"/>
  <c r="DA351" i="18"/>
  <c r="CF275" i="18"/>
  <c r="M401" i="18"/>
  <c r="DZ280" i="18"/>
  <c r="AZ381" i="18"/>
  <c r="CT275" i="18"/>
  <c r="BW371" i="18"/>
  <c r="EF275" i="18"/>
  <c r="AN391" i="18"/>
  <c r="AK275" i="18"/>
  <c r="EG396" i="18"/>
  <c r="DN401" i="18"/>
  <c r="DK305" i="18"/>
  <c r="CC371" i="18"/>
  <c r="CE391" i="18"/>
  <c r="CZ351" i="18"/>
  <c r="AF310" i="18"/>
  <c r="CH275" i="18"/>
  <c r="AY386" i="18"/>
  <c r="W396" i="18"/>
  <c r="AE275" i="18"/>
  <c r="N371" i="18"/>
  <c r="X305" i="18"/>
  <c r="AX371" i="18"/>
  <c r="CT396" i="18"/>
  <c r="DK381" i="18"/>
  <c r="BR351" i="18"/>
  <c r="AA280" i="18"/>
  <c r="BK386" i="18"/>
  <c r="AI381" i="18"/>
  <c r="AB396" i="18"/>
  <c r="AO376" i="18"/>
  <c r="AN310" i="18"/>
  <c r="DO396" i="18"/>
  <c r="BZ396" i="18"/>
  <c r="AI391" i="18"/>
  <c r="CJ371" i="18"/>
  <c r="DZ351" i="18"/>
  <c r="N275" i="18"/>
  <c r="CW386" i="18"/>
  <c r="BD275" i="18"/>
  <c r="CO386" i="18"/>
  <c r="H391" i="18"/>
  <c r="AK300" i="18"/>
  <c r="CQ285" i="18"/>
  <c r="L381" i="18"/>
  <c r="N351" i="18"/>
  <c r="EH396" i="18"/>
  <c r="AN300" i="18"/>
  <c r="BK396" i="18"/>
  <c r="BN371" i="18"/>
  <c r="AM275" i="18"/>
  <c r="EC381" i="18"/>
  <c r="DD396" i="18"/>
  <c r="DN280" i="18"/>
  <c r="DO351" i="18"/>
  <c r="CN285" i="18"/>
  <c r="U386" i="18"/>
  <c r="I376" i="18"/>
  <c r="DH285" i="18"/>
  <c r="AI275" i="18"/>
  <c r="R351" i="18"/>
  <c r="CC376" i="18"/>
  <c r="DM391" i="18"/>
  <c r="BD391" i="18"/>
  <c r="BR275" i="18"/>
  <c r="EH376" i="18"/>
  <c r="K285" i="18"/>
  <c r="CL285" i="18"/>
  <c r="DG396" i="18"/>
  <c r="AP300" i="18"/>
  <c r="CS376" i="18"/>
  <c r="DG376" i="18"/>
  <c r="DB310" i="18"/>
  <c r="AF351" i="18"/>
  <c r="AP376" i="18"/>
  <c r="DO280" i="18"/>
  <c r="BN285" i="18"/>
  <c r="U351" i="18"/>
  <c r="DK371" i="18"/>
  <c r="DN386" i="18"/>
  <c r="CI305" i="18"/>
  <c r="CY386" i="18"/>
  <c r="DS376" i="18"/>
  <c r="AR401" i="18"/>
  <c r="BO401" i="18"/>
  <c r="Q381" i="18"/>
  <c r="AT371" i="18"/>
  <c r="AJ391" i="18"/>
  <c r="BN386" i="18"/>
  <c r="DU305" i="18"/>
  <c r="EF401" i="18"/>
  <c r="CJ275" i="18"/>
  <c r="AV396" i="18"/>
  <c r="AS305" i="18"/>
  <c r="DH391" i="18"/>
  <c r="DW401" i="18"/>
  <c r="AA381" i="18"/>
  <c r="AQ396" i="18"/>
  <c r="Q386" i="18"/>
  <c r="AS386" i="18"/>
  <c r="DC310" i="18"/>
  <c r="BC275" i="18"/>
  <c r="AH396" i="18"/>
  <c r="EA396" i="18"/>
  <c r="DS285" i="18"/>
  <c r="ED305" i="18"/>
  <c r="BU351" i="18"/>
  <c r="CH391" i="18"/>
  <c r="AL391" i="18"/>
  <c r="AT381" i="18"/>
  <c r="AS391" i="18"/>
  <c r="BP351" i="18"/>
  <c r="AD386" i="18"/>
  <c r="CO381" i="18"/>
  <c r="DR275" i="18"/>
  <c r="BT351" i="18"/>
  <c r="DC386" i="18"/>
  <c r="BK391" i="18"/>
  <c r="CU351" i="18"/>
  <c r="AX305" i="18"/>
  <c r="AQ305" i="18"/>
  <c r="CK310" i="18"/>
  <c r="BY285" i="18"/>
  <c r="CG310" i="18"/>
  <c r="W285" i="18"/>
  <c r="AU275" i="18"/>
  <c r="CN305" i="18"/>
  <c r="EG305" i="18"/>
  <c r="BN401" i="18"/>
  <c r="BM371" i="18"/>
  <c r="BU396" i="18"/>
  <c r="AC376" i="18"/>
  <c r="DJ381" i="18"/>
  <c r="DF275" i="18"/>
  <c r="CB310" i="18"/>
  <c r="CL275" i="18"/>
  <c r="BS386" i="18"/>
  <c r="BT371" i="18"/>
  <c r="CA285" i="18"/>
  <c r="CD275" i="18"/>
  <c r="BG280" i="18"/>
  <c r="P376" i="18"/>
  <c r="CZ371" i="18"/>
  <c r="AH371" i="18"/>
  <c r="CV305" i="18"/>
  <c r="AB371" i="18"/>
  <c r="S381" i="18"/>
  <c r="DN391" i="18"/>
  <c r="BI386" i="18"/>
  <c r="DM305" i="18"/>
  <c r="M310" i="18"/>
  <c r="ED396" i="18"/>
  <c r="DG391" i="18"/>
  <c r="CU305" i="18"/>
  <c r="DO381" i="18"/>
  <c r="J371" i="18"/>
  <c r="I310" i="18"/>
  <c r="CK396" i="18"/>
  <c r="BV396" i="18"/>
  <c r="CN351" i="18"/>
  <c r="CH371" i="18"/>
  <c r="BB351" i="18"/>
  <c r="BW386" i="18"/>
  <c r="CL300" i="18"/>
  <c r="DH396" i="18"/>
  <c r="BE305" i="18"/>
  <c r="AE351" i="18"/>
  <c r="V310" i="18"/>
  <c r="O275" i="18"/>
  <c r="AT300" i="18"/>
  <c r="BR401" i="18"/>
  <c r="DQ310" i="18"/>
  <c r="EI300" i="18"/>
  <c r="DP351" i="18"/>
  <c r="X401" i="18"/>
  <c r="BX401" i="18"/>
  <c r="BT300" i="18"/>
  <c r="DY401" i="18"/>
  <c r="U371" i="18"/>
  <c r="AY381" i="18"/>
  <c r="DF401" i="18"/>
  <c r="AC310" i="18"/>
  <c r="BQ305" i="18"/>
  <c r="BJ396" i="18"/>
  <c r="BU391" i="18"/>
  <c r="AM391" i="18"/>
  <c r="J401" i="18"/>
  <c r="DZ310" i="18"/>
  <c r="AZ371" i="18"/>
  <c r="EH401" i="18"/>
  <c r="BH386" i="18"/>
  <c r="X391" i="18"/>
  <c r="BE386" i="18"/>
  <c r="CX401" i="18"/>
  <c r="CY275" i="18"/>
  <c r="DY280" i="18"/>
  <c r="R371" i="18"/>
  <c r="DH300" i="18"/>
  <c r="AZ310" i="18"/>
  <c r="BS305" i="18"/>
  <c r="DT305" i="18"/>
  <c r="BK371" i="18"/>
  <c r="BX351" i="18"/>
  <c r="DW305" i="18"/>
  <c r="AU386" i="18"/>
  <c r="BL386" i="18"/>
  <c r="CP381" i="18"/>
  <c r="DX305" i="18"/>
  <c r="BJ310" i="18"/>
  <c r="DC381" i="18"/>
  <c r="AZ401" i="18"/>
  <c r="BX381" i="18"/>
  <c r="CJ305" i="18"/>
  <c r="DL305" i="18"/>
  <c r="EA300" i="18"/>
  <c r="DQ376" i="18"/>
  <c r="AO386" i="18"/>
  <c r="CN310" i="18"/>
  <c r="AV391" i="18"/>
  <c r="S401" i="18"/>
  <c r="BB275" i="18"/>
  <c r="CZ310" i="18"/>
  <c r="M386" i="18"/>
  <c r="AU371" i="18"/>
  <c r="CN300" i="18"/>
  <c r="EC386" i="18"/>
  <c r="CD386" i="18"/>
  <c r="AB381" i="18"/>
  <c r="CN391" i="18"/>
  <c r="BQ300" i="18"/>
  <c r="AG386" i="18"/>
  <c r="J280" i="18"/>
  <c r="AN351" i="18"/>
  <c r="DR285" i="18"/>
  <c r="AY391" i="18"/>
  <c r="CH386" i="18"/>
  <c r="R386" i="18"/>
  <c r="AP371" i="18"/>
  <c r="AP391" i="18"/>
  <c r="DN376" i="18"/>
  <c r="CH376" i="18"/>
  <c r="O351" i="18"/>
  <c r="M300" i="18"/>
  <c r="DQ275" i="18"/>
  <c r="CN371" i="18"/>
  <c r="BG351" i="18"/>
  <c r="AO300" i="18"/>
  <c r="DL280" i="18"/>
  <c r="O376" i="18"/>
  <c r="AD376" i="18"/>
  <c r="DJ275" i="18"/>
  <c r="BN396" i="18"/>
  <c r="DV300" i="18"/>
  <c r="EF376" i="18"/>
  <c r="AH376" i="18"/>
  <c r="DJ386" i="18"/>
  <c r="CE280" i="18"/>
  <c r="M396" i="18"/>
  <c r="EI351" i="18"/>
  <c r="BH396" i="18"/>
  <c r="DP371" i="18"/>
  <c r="CP305" i="18"/>
  <c r="BT391" i="18"/>
  <c r="EB386" i="18"/>
  <c r="CD300" i="18"/>
  <c r="T396" i="18"/>
  <c r="DW386" i="18"/>
  <c r="AA285" i="18"/>
  <c r="AI386" i="18"/>
  <c r="CR280" i="18"/>
  <c r="DQ371" i="18"/>
  <c r="DP391" i="18"/>
  <c r="EG391" i="18"/>
  <c r="CK401" i="18"/>
  <c r="DM285" i="18"/>
  <c r="N391" i="18"/>
  <c r="V391" i="18"/>
  <c r="DE280" i="18"/>
  <c r="BK305" i="18"/>
  <c r="EE376" i="18"/>
  <c r="BY376" i="18"/>
  <c r="CE371" i="18"/>
  <c r="ED285" i="18"/>
  <c r="CX386" i="18"/>
  <c r="AC386" i="18"/>
  <c r="CW396" i="18"/>
  <c r="CT305" i="18"/>
  <c r="CP275" i="18"/>
  <c r="AX401" i="18"/>
  <c r="BQ280" i="18"/>
  <c r="BC386" i="18"/>
  <c r="BY401" i="18"/>
  <c r="AT396" i="18"/>
  <c r="CU285" i="18"/>
  <c r="AN285" i="18"/>
  <c r="AT275" i="18"/>
  <c r="BL401" i="18"/>
  <c r="BA386" i="18"/>
  <c r="BQ351" i="18"/>
  <c r="DE396" i="18"/>
  <c r="AX386" i="18"/>
  <c r="O371" i="18"/>
  <c r="EC371" i="18"/>
  <c r="EE280" i="18"/>
  <c r="AU401" i="18"/>
  <c r="U401" i="18"/>
  <c r="BD401" i="18"/>
  <c r="CD381" i="18"/>
  <c r="DK386" i="18"/>
  <c r="AR285" i="18"/>
  <c r="DV386" i="18"/>
  <c r="CO391" i="18"/>
  <c r="DT285" i="18"/>
  <c r="DB285" i="18"/>
  <c r="BO376" i="18"/>
  <c r="EA275" i="18"/>
  <c r="AI300" i="18"/>
  <c r="CQ280" i="18"/>
  <c r="CM285" i="18"/>
  <c r="DG381" i="18"/>
  <c r="DJ401" i="18"/>
  <c r="CX391" i="18"/>
  <c r="BZ401" i="18"/>
  <c r="CE396" i="18"/>
  <c r="CJ386" i="18"/>
  <c r="CJ401" i="18"/>
  <c r="BO381" i="18"/>
  <c r="CO300" i="18"/>
  <c r="BI280" i="18"/>
  <c r="H371" i="18"/>
  <c r="H370" i="18" s="1"/>
  <c r="BA376" i="18"/>
  <c r="DI300" i="18"/>
  <c r="AW300" i="18"/>
  <c r="AR305" i="18"/>
  <c r="DX391" i="18"/>
  <c r="BA305" i="18"/>
  <c r="DN396" i="18"/>
  <c r="EF305" i="18"/>
  <c r="CV285" i="18"/>
  <c r="BK285" i="18"/>
  <c r="CT381" i="18"/>
  <c r="AP396" i="18"/>
  <c r="U310" i="18"/>
  <c r="CR386" i="18"/>
  <c r="P396" i="18"/>
  <c r="BD371" i="18"/>
  <c r="DL310" i="18"/>
  <c r="EA401" i="18"/>
  <c r="CB351" i="18"/>
  <c r="AR391" i="18"/>
  <c r="BB371" i="18"/>
  <c r="CR371" i="18"/>
  <c r="DG300" i="18"/>
  <c r="CC396" i="18"/>
  <c r="EH280" i="18"/>
  <c r="T305" i="18"/>
  <c r="CL401" i="18"/>
  <c r="BH381" i="18"/>
  <c r="AZ386" i="18"/>
  <c r="CR396" i="18"/>
  <c r="BU305" i="18"/>
  <c r="AI285" i="18"/>
  <c r="CM386" i="18"/>
  <c r="AN396" i="18"/>
  <c r="CO305" i="18"/>
  <c r="J310" i="18"/>
  <c r="BP371" i="18"/>
  <c r="BA351" i="18"/>
  <c r="CR275" i="18"/>
  <c r="AZ285" i="18"/>
  <c r="W300" i="18"/>
  <c r="BN376" i="18"/>
  <c r="AM305" i="18"/>
  <c r="DW280" i="18"/>
  <c r="DR371" i="18"/>
  <c r="AG381" i="18"/>
  <c r="AH275" i="18"/>
  <c r="DO275" i="18"/>
  <c r="DF280" i="18"/>
  <c r="BK280" i="18"/>
  <c r="EC275" i="18"/>
  <c r="DO310" i="18"/>
  <c r="CH305" i="18"/>
  <c r="CW275" i="18"/>
  <c r="EG351" i="18"/>
  <c r="BY371" i="18"/>
  <c r="AW285" i="18"/>
  <c r="DN285" i="18"/>
  <c r="J396" i="18"/>
  <c r="CZ386" i="18"/>
  <c r="DV305" i="18"/>
  <c r="CO396" i="18"/>
  <c r="DX396" i="18"/>
  <c r="BI305" i="18"/>
  <c r="AB391" i="18"/>
  <c r="AF386" i="18"/>
  <c r="DZ285" i="18"/>
  <c r="CW371" i="18"/>
  <c r="Q275" i="18"/>
  <c r="EB310" i="18"/>
  <c r="CQ401" i="18"/>
  <c r="AL275" i="18"/>
  <c r="BD300" i="18"/>
  <c r="P351" i="18"/>
  <c r="DB381" i="18"/>
  <c r="AX275" i="18"/>
  <c r="Y376" i="18"/>
  <c r="BL376" i="18"/>
  <c r="AK376" i="18"/>
  <c r="P371" i="18"/>
  <c r="AS381" i="18"/>
  <c r="BO396" i="18"/>
  <c r="DZ396" i="18"/>
  <c r="BM391" i="18"/>
  <c r="AW305" i="18"/>
  <c r="AS310" i="18"/>
  <c r="DF285" i="18"/>
  <c r="DX371" i="18"/>
  <c r="O300" i="18"/>
  <c r="Z391" i="18"/>
  <c r="BU401" i="18"/>
  <c r="CY376" i="18"/>
  <c r="J376" i="18"/>
  <c r="DW275" i="18"/>
  <c r="BN300" i="18"/>
  <c r="BY386" i="18"/>
  <c r="EB391" i="18"/>
  <c r="BZ371" i="18"/>
  <c r="BW285" i="18"/>
  <c r="AU305" i="18"/>
  <c r="BT401" i="18"/>
  <c r="DM381" i="18"/>
  <c r="DG401" i="18"/>
  <c r="CQ305" i="18"/>
  <c r="CR305" i="18"/>
  <c r="DT300" i="18"/>
  <c r="AD300" i="18"/>
  <c r="CO376" i="18"/>
  <c r="DC376" i="18"/>
  <c r="AD391" i="18"/>
  <c r="Y280" i="18"/>
  <c r="DD300" i="18"/>
  <c r="CI275" i="18"/>
  <c r="S305" i="18"/>
  <c r="CA351" i="18"/>
  <c r="EA371" i="18"/>
  <c r="V305" i="18"/>
  <c r="BS280" i="18"/>
  <c r="R275" i="18"/>
  <c r="P280" i="18"/>
  <c r="AO391" i="18"/>
  <c r="I401" i="18"/>
  <c r="CM310" i="18"/>
  <c r="DA401" i="18"/>
  <c r="Z300" i="18"/>
  <c r="EE386" i="18"/>
  <c r="BK351" i="18"/>
  <c r="CR351" i="18"/>
  <c r="AC280" i="18"/>
  <c r="S371" i="18"/>
  <c r="BK401" i="18"/>
  <c r="DS280" i="18"/>
  <c r="CH401" i="18"/>
  <c r="CK300" i="18"/>
  <c r="CS310" i="18"/>
  <c r="W310" i="18"/>
  <c r="EG275" i="18"/>
  <c r="CV381" i="18"/>
  <c r="CW351" i="18"/>
  <c r="EI371" i="18"/>
  <c r="BS396" i="18"/>
  <c r="AJ305" i="18"/>
  <c r="CA275" i="18"/>
  <c r="BA401" i="18"/>
  <c r="O391" i="18"/>
  <c r="DV401" i="18"/>
  <c r="DA376" i="18"/>
  <c r="BS275" i="18"/>
  <c r="EF310" i="18"/>
  <c r="DX275" i="18"/>
  <c r="DJ396" i="18"/>
  <c r="V401" i="18"/>
  <c r="CJ310" i="18"/>
  <c r="CI300" i="18"/>
  <c r="DV381" i="18"/>
  <c r="T351" i="18"/>
  <c r="DB305" i="18"/>
  <c r="BX386" i="18"/>
  <c r="CX305" i="18"/>
  <c r="CT285" i="18"/>
  <c r="BW300" i="18"/>
  <c r="BR386" i="18"/>
  <c r="AH351" i="18"/>
  <c r="CP280" i="18"/>
  <c r="BI381" i="18"/>
  <c r="DK310" i="18"/>
  <c r="R310" i="18"/>
  <c r="BJ401" i="18"/>
  <c r="CD391" i="18"/>
  <c r="BI396" i="18"/>
  <c r="DE371" i="18"/>
  <c r="X386" i="18"/>
  <c r="DB386" i="18"/>
  <c r="CK351" i="18"/>
  <c r="AS371" i="18"/>
  <c r="EG371" i="18"/>
  <c r="N285" i="18"/>
  <c r="EB285" i="18"/>
  <c r="CQ386" i="18"/>
  <c r="AS401" i="18"/>
  <c r="EI396" i="18"/>
  <c r="DT376" i="18"/>
  <c r="DO300" i="18"/>
  <c r="BX285" i="18"/>
  <c r="AA396" i="18"/>
  <c r="DV280" i="18"/>
  <c r="BD376" i="18"/>
  <c r="CM305" i="18"/>
  <c r="DH386" i="18"/>
  <c r="DJ285" i="18"/>
  <c r="AQ376" i="18"/>
  <c r="AC285" i="18"/>
  <c r="DC280" i="18"/>
  <c r="CG305" i="18"/>
  <c r="BR371" i="18"/>
  <c r="BY396" i="18"/>
  <c r="BM285" i="18"/>
  <c r="AS351" i="18"/>
  <c r="DM396" i="18"/>
  <c r="AL376" i="18"/>
  <c r="CM280" i="18"/>
  <c r="DA310" i="18"/>
  <c r="CX310" i="18"/>
  <c r="Y391" i="18"/>
  <c r="BR376" i="18"/>
  <c r="BG386" i="18"/>
  <c r="AA391" i="18"/>
  <c r="EB396" i="18"/>
  <c r="BK275" i="18"/>
  <c r="BH280" i="18"/>
  <c r="CS396" i="18"/>
  <c r="EA280" i="18"/>
  <c r="CV275" i="18"/>
  <c r="AB305" i="18"/>
  <c r="BI285" i="18"/>
  <c r="AH280" i="18"/>
  <c r="AM396" i="18"/>
  <c r="DW376" i="18"/>
  <c r="N376" i="18"/>
  <c r="EC396" i="18"/>
  <c r="N401" i="18"/>
  <c r="DB401" i="18"/>
  <c r="CL351" i="18"/>
  <c r="CU396" i="18"/>
  <c r="AH285" i="18"/>
  <c r="CH351" i="18"/>
  <c r="DR300" i="18"/>
  <c r="CT280" i="18"/>
  <c r="BF391" i="18"/>
  <c r="V396" i="18"/>
  <c r="CY305" i="18"/>
  <c r="DY300" i="18"/>
  <c r="M351" i="18"/>
  <c r="AR386" i="18"/>
  <c r="BD280" i="18"/>
  <c r="CT300" i="18"/>
  <c r="CX381" i="18"/>
  <c r="AF391" i="18"/>
  <c r="CD371" i="18"/>
  <c r="V386" i="18"/>
  <c r="ED351" i="18"/>
  <c r="BD285" i="18"/>
  <c r="CN275" i="18"/>
  <c r="DI396" i="18"/>
  <c r="DK280" i="18"/>
  <c r="DY396" i="18"/>
  <c r="DD305" i="18"/>
  <c r="AV371" i="18"/>
  <c r="BF305" i="18"/>
  <c r="DO285" i="18"/>
  <c r="DO401" i="18"/>
  <c r="BL351" i="18"/>
  <c r="DS391" i="18"/>
  <c r="CW391" i="18"/>
  <c r="DM280" i="18"/>
  <c r="AO285" i="18"/>
  <c r="I275" i="18"/>
  <c r="I295" i="18" s="1"/>
  <c r="BH351" i="18"/>
  <c r="DY285" i="18"/>
  <c r="DH280" i="18"/>
  <c r="AS280" i="18"/>
  <c r="CR381" i="18"/>
  <c r="CT401" i="18"/>
  <c r="EH275" i="18"/>
  <c r="CB280" i="18"/>
  <c r="W371" i="18"/>
  <c r="DD371" i="18"/>
  <c r="BW396" i="18"/>
  <c r="AU310" i="18"/>
  <c r="CZ381" i="18"/>
  <c r="AG285" i="18"/>
  <c r="AY275" i="18"/>
  <c r="BV275" i="18"/>
  <c r="BQ275" i="18"/>
  <c r="DG371" i="18"/>
  <c r="AE386" i="18"/>
  <c r="CG275" i="18"/>
  <c r="CW285" i="18"/>
  <c r="BO310" i="18"/>
  <c r="L285" i="18"/>
  <c r="BN381" i="18"/>
  <c r="DY376" i="18"/>
  <c r="BU310" i="18"/>
  <c r="CX300" i="18"/>
  <c r="AF305" i="18"/>
  <c r="EB280" i="18"/>
  <c r="AV351" i="18"/>
  <c r="Y381" i="18"/>
  <c r="BP275" i="18"/>
  <c r="DA396" i="18"/>
  <c r="BJ300" i="18"/>
  <c r="AJ386" i="18"/>
  <c r="CW280" i="18"/>
  <c r="EB275" i="18"/>
  <c r="CL396" i="18"/>
  <c r="DG310" i="18"/>
  <c r="H305" i="18"/>
  <c r="H304" i="18" s="1"/>
  <c r="DW381" i="18"/>
  <c r="DT351" i="18"/>
  <c r="Y310" i="18"/>
  <c r="BK376" i="18"/>
  <c r="DU280" i="18"/>
  <c r="BH310" i="18"/>
  <c r="BF376" i="18"/>
  <c r="BU376" i="18"/>
  <c r="W376" i="18"/>
  <c r="EI386" i="18"/>
  <c r="O310" i="18"/>
  <c r="DA391" i="18"/>
  <c r="BV386" i="18"/>
  <c r="DA371" i="18"/>
  <c r="W401" i="18"/>
  <c r="DV376" i="18"/>
  <c r="BA371" i="18"/>
  <c r="CG396" i="18"/>
  <c r="DM351" i="18"/>
  <c r="AG300" i="18"/>
  <c r="BW351" i="18"/>
  <c r="CB285" i="18"/>
  <c r="AP285" i="18"/>
  <c r="CX351" i="18"/>
  <c r="DP396" i="18"/>
  <c r="M376" i="18"/>
  <c r="DM371" i="18"/>
  <c r="J285" i="18"/>
  <c r="AW280" i="18"/>
  <c r="CW401" i="18"/>
  <c r="Y371" i="18"/>
  <c r="BA280" i="18"/>
  <c r="BG310" i="18"/>
  <c r="BQ381" i="18"/>
  <c r="DY386" i="18"/>
  <c r="AJ376" i="18"/>
  <c r="L376" i="18"/>
  <c r="CW300" i="18"/>
  <c r="DH371" i="18"/>
  <c r="BW310" i="18"/>
  <c r="Z275" i="18"/>
  <c r="AV310" i="18"/>
  <c r="AZ300" i="18"/>
  <c r="CA386" i="18"/>
  <c r="CF300" i="18"/>
  <c r="AF376" i="18"/>
  <c r="DJ371" i="18"/>
  <c r="AN386" i="18"/>
  <c r="BF381" i="18"/>
  <c r="CP376" i="18"/>
  <c r="EI391" i="18"/>
  <c r="CJ280" i="18"/>
  <c r="CH300" i="18"/>
  <c r="DC300" i="18"/>
  <c r="CY300" i="18"/>
  <c r="AD381" i="18"/>
  <c r="CN386" i="18"/>
  <c r="CA391" i="18"/>
  <c r="AL305" i="18"/>
  <c r="BC396" i="18"/>
  <c r="DO305" i="18"/>
  <c r="AX376" i="18"/>
  <c r="CG401" i="18"/>
  <c r="CM376" i="18"/>
  <c r="CZ305" i="18"/>
  <c r="BX310" i="18"/>
  <c r="BP280" i="18"/>
  <c r="AU280" i="18"/>
  <c r="AZ376" i="18"/>
  <c r="AV381" i="18"/>
  <c r="DZ275" i="18"/>
  <c r="X381" i="18"/>
  <c r="BO386" i="18"/>
  <c r="BV401" i="18"/>
  <c r="BM376" i="18"/>
  <c r="CF391" i="18"/>
  <c r="CJ391" i="18"/>
  <c r="Q376" i="18"/>
  <c r="CI351" i="18"/>
  <c r="AM401" i="18"/>
  <c r="DE351" i="18"/>
  <c r="DB396" i="18"/>
  <c r="AQ280" i="18"/>
  <c r="ED391" i="18"/>
  <c r="CS275" i="18"/>
  <c r="N381" i="18"/>
  <c r="BV310" i="18"/>
  <c r="DT401" i="18"/>
  <c r="DI280" i="18"/>
  <c r="AJ401" i="18"/>
  <c r="CH396" i="18"/>
  <c r="EH305" i="18"/>
  <c r="AO381" i="18"/>
  <c r="CK381" i="18"/>
  <c r="DR310" i="18"/>
  <c r="BX371" i="18"/>
  <c r="AX310" i="18"/>
  <c r="S386" i="18"/>
  <c r="CM381" i="18"/>
  <c r="AQ386" i="18"/>
  <c r="CF351" i="18"/>
  <c r="W305" i="18"/>
  <c r="BL275" i="18"/>
  <c r="BM381" i="18"/>
  <c r="AC391" i="18"/>
  <c r="EG280" i="18"/>
  <c r="BA396" i="18"/>
  <c r="AS396" i="18"/>
  <c r="DP381" i="18"/>
  <c r="L396" i="18"/>
  <c r="BN275" i="18"/>
  <c r="DC371" i="18"/>
  <c r="BO300" i="18"/>
  <c r="T401" i="18"/>
  <c r="BS310" i="18"/>
  <c r="CS285" i="18"/>
  <c r="AU285" i="18"/>
  <c r="DR386" i="18"/>
  <c r="DH275" i="18"/>
  <c r="BT386" i="18"/>
  <c r="CX275" i="18"/>
  <c r="BB381" i="18"/>
  <c r="W391" i="18"/>
  <c r="EA381" i="18"/>
  <c r="BM401" i="18"/>
  <c r="DQ280" i="18"/>
  <c r="AV280" i="18"/>
  <c r="CC391" i="18"/>
  <c r="CL391" i="18"/>
  <c r="AW401" i="18"/>
  <c r="DJ300" i="18"/>
  <c r="S275" i="18"/>
  <c r="Z381" i="18"/>
  <c r="DI371" i="18"/>
  <c r="DU371" i="18"/>
  <c r="BT280" i="18"/>
  <c r="BS391" i="18"/>
  <c r="BS381" i="18"/>
  <c r="CU376" i="18"/>
  <c r="DI310" i="18"/>
  <c r="DS351" i="18"/>
  <c r="AV376" i="18"/>
  <c r="Y351" i="18"/>
  <c r="BJ305" i="18"/>
  <c r="CI371" i="18"/>
  <c r="CT310" i="18"/>
  <c r="BM310" i="18"/>
  <c r="ED310" i="18"/>
  <c r="DP275" i="18"/>
  <c r="DL376" i="18"/>
  <c r="AW391" i="18"/>
  <c r="Y300" i="18"/>
  <c r="CK376" i="18"/>
  <c r="DF386" i="18"/>
  <c r="CS391" i="18"/>
  <c r="DU351" i="18"/>
  <c r="BD396" i="18"/>
  <c r="DZ376" i="18"/>
  <c r="R376" i="18"/>
  <c r="AK285" i="18"/>
  <c r="DT275" i="18"/>
  <c r="CR401" i="18"/>
  <c r="Q285" i="18"/>
  <c r="DS401" i="18"/>
  <c r="CI391" i="18"/>
  <c r="V300" i="18"/>
  <c r="BC310" i="18"/>
  <c r="CB401" i="18"/>
  <c r="AH300" i="18"/>
  <c r="BT285" i="18"/>
  <c r="BM300" i="18"/>
  <c r="AR376" i="18"/>
  <c r="AF280" i="18"/>
  <c r="DB280" i="18"/>
  <c r="CW376" i="18"/>
  <c r="BQ386" i="18"/>
  <c r="EF381" i="18"/>
  <c r="EA351" i="18"/>
  <c r="S351" i="18"/>
  <c r="BZ381" i="18"/>
  <c r="R305" i="18"/>
  <c r="EI275" i="18"/>
  <c r="BJ285" i="18"/>
  <c r="DK396" i="18"/>
  <c r="DM275" i="18"/>
  <c r="CS401" i="18"/>
  <c r="CF386" i="18"/>
  <c r="M391" i="18"/>
  <c r="CA376" i="18"/>
  <c r="AU376" i="18"/>
  <c r="BC381" i="18"/>
  <c r="BP305" i="18"/>
  <c r="AK391" i="18"/>
  <c r="BJ351" i="18"/>
  <c r="AK351" i="18"/>
  <c r="BC285" i="18"/>
  <c r="AZ275" i="18"/>
  <c r="CV280" i="18"/>
  <c r="AQ401" i="18"/>
  <c r="CP285" i="18"/>
  <c r="EA310" i="18"/>
  <c r="BV376" i="18"/>
  <c r="AD275" i="18"/>
  <c r="CJ351" i="18"/>
  <c r="EC310" i="18"/>
  <c r="CU386" i="18"/>
  <c r="K300" i="18"/>
  <c r="AT391" i="18"/>
  <c r="DX285" i="18"/>
  <c r="CE275" i="18"/>
  <c r="DU396" i="18"/>
  <c r="DQ381" i="18"/>
  <c r="DV275" i="18"/>
  <c r="CQ381" i="18"/>
  <c r="AT386" i="18"/>
  <c r="CX280" i="18"/>
  <c r="DI305" i="18"/>
  <c r="CR376" i="18"/>
  <c r="I300" i="18"/>
  <c r="P300" i="18"/>
  <c r="DT280" i="18"/>
  <c r="BC305" i="18"/>
  <c r="AB310" i="18"/>
  <c r="BE310" i="18"/>
  <c r="DX386" i="18"/>
  <c r="BL300" i="18"/>
  <c r="AA401" i="18"/>
  <c r="CW310" i="18"/>
  <c r="Z401" i="18"/>
  <c r="BU275" i="18"/>
  <c r="EI401" i="18"/>
  <c r="BE351" i="18"/>
  <c r="AE391" i="18"/>
  <c r="BS376" i="18"/>
  <c r="AM376" i="18"/>
  <c r="AF381" i="18"/>
  <c r="DS300" i="18"/>
  <c r="BP376" i="18"/>
  <c r="EB351" i="18"/>
  <c r="AI305" i="18"/>
  <c r="BC280" i="18"/>
  <c r="DI391" i="18"/>
  <c r="AT401" i="18"/>
  <c r="BY280" i="18"/>
  <c r="BV351" i="18"/>
  <c r="AW371" i="18"/>
  <c r="DP310" i="18"/>
  <c r="I386" i="18"/>
  <c r="DK376" i="18"/>
  <c r="Q351" i="18"/>
  <c r="CA305" i="18"/>
  <c r="V381" i="18"/>
  <c r="AX300" i="18"/>
  <c r="DT391" i="18"/>
  <c r="DS371" i="18"/>
  <c r="BE381" i="18"/>
  <c r="CK285" i="18"/>
  <c r="AK396" i="18"/>
  <c r="AA351" i="18"/>
  <c r="BH371" i="18"/>
  <c r="CI310" i="18"/>
  <c r="BP285" i="18"/>
  <c r="BA275" i="18"/>
  <c r="DW396" i="18"/>
  <c r="BN305" i="18"/>
  <c r="BX305" i="18"/>
  <c r="AO396" i="18"/>
  <c r="BE300" i="18"/>
  <c r="BQ310" i="18"/>
  <c r="BA381" i="18"/>
  <c r="EF391" i="18"/>
  <c r="CS280" i="18"/>
  <c r="DU275" i="18"/>
  <c r="CS381" i="18"/>
  <c r="L310" i="18"/>
  <c r="DZ391" i="18"/>
  <c r="CZ300" i="18"/>
  <c r="AF285" i="18"/>
  <c r="AG401" i="18"/>
  <c r="DU401" i="18"/>
  <c r="BJ391" i="18"/>
  <c r="CL310" i="18"/>
  <c r="AL396" i="18"/>
  <c r="CE285" i="18"/>
  <c r="CA371" i="18"/>
  <c r="CD310" i="18"/>
  <c r="CP310" i="18"/>
  <c r="BH401" i="18"/>
  <c r="DG386" i="18"/>
  <c r="ED280" i="18"/>
  <c r="AQ275" i="18"/>
  <c r="DF305" i="18"/>
  <c r="AM351" i="18"/>
  <c r="EB371" i="18"/>
  <c r="BF386" i="18"/>
  <c r="BT275" i="18"/>
  <c r="CY396" i="18"/>
  <c r="BU280" i="18"/>
  <c r="CV300" i="18"/>
  <c r="DB275" i="18"/>
  <c r="CB300" i="18"/>
  <c r="CC310" i="18"/>
  <c r="BY310" i="18"/>
  <c r="ED381" i="18"/>
  <c r="EE300" i="18"/>
  <c r="DH305" i="18"/>
  <c r="AL401" i="18"/>
  <c r="BC371" i="18"/>
  <c r="BF351" i="18"/>
  <c r="AG391" i="18"/>
  <c r="CC401" i="18"/>
  <c r="BE280" i="18"/>
  <c r="DF351" i="18"/>
  <c r="S300" i="18"/>
  <c r="Z285" i="18"/>
  <c r="V275" i="18"/>
  <c r="DE310" i="18"/>
  <c r="AF275" i="18"/>
  <c r="EB401" i="18"/>
  <c r="DR351" i="18"/>
  <c r="DQ305" i="18"/>
  <c r="AH381" i="18"/>
  <c r="DL396" i="18"/>
  <c r="EH371" i="18"/>
  <c r="AG371" i="18"/>
  <c r="BC351" i="18"/>
  <c r="BB285" i="18"/>
  <c r="K381" i="18"/>
  <c r="CA300" i="18"/>
  <c r="AB351" i="18"/>
  <c r="AK305" i="18"/>
  <c r="BW376" i="18"/>
  <c r="CB396" i="18"/>
  <c r="AA376" i="18"/>
  <c r="AN305" i="18"/>
  <c r="DW351" i="18"/>
  <c r="DG285" i="18"/>
  <c r="BA300" i="18"/>
  <c r="Q305" i="18"/>
  <c r="AY371" i="18"/>
  <c r="CG376" i="18"/>
  <c r="DH376" i="18"/>
  <c r="DU376" i="18"/>
  <c r="CV310" i="18"/>
  <c r="AM285" i="18"/>
  <c r="DT396" i="18"/>
  <c r="DL285" i="18"/>
  <c r="X376" i="18"/>
  <c r="BB376" i="18"/>
  <c r="AT310" i="18"/>
  <c r="CY401" i="18"/>
  <c r="U381" i="18"/>
  <c r="DF396" i="18"/>
  <c r="AP386" i="18"/>
  <c r="BB401" i="18"/>
  <c r="AC275" i="18"/>
  <c r="BB310" i="18"/>
  <c r="DW310" i="18"/>
  <c r="BN310" i="18"/>
  <c r="CD396" i="18"/>
  <c r="DE305" i="18"/>
  <c r="W280" i="18"/>
  <c r="BH300" i="18"/>
  <c r="EI285" i="18"/>
  <c r="AC401" i="18"/>
  <c r="DR305" i="18"/>
  <c r="BV300" i="18"/>
  <c r="CF371" i="18"/>
  <c r="BS371" i="18"/>
  <c r="AA371" i="18"/>
  <c r="DQ300" i="18"/>
  <c r="Y305" i="18"/>
  <c r="BE391" i="18"/>
  <c r="CE401" i="18"/>
  <c r="CN401" i="18"/>
  <c r="DL386" i="18"/>
  <c r="BY351" i="18"/>
  <c r="P401" i="18"/>
  <c r="CD285" i="18"/>
  <c r="AG280" i="18"/>
  <c r="DA305" i="18"/>
  <c r="BI300" i="18"/>
  <c r="AE300" i="18"/>
  <c r="DA300" i="18"/>
  <c r="AU381" i="18"/>
  <c r="BB386" i="18"/>
  <c r="J97" i="16"/>
  <c r="E299" i="18" s="1"/>
  <c r="AD130" i="18" s="1"/>
  <c r="EC285" i="18"/>
  <c r="DE275" i="18"/>
  <c r="AB300" i="18"/>
  <c r="DJ280" i="18"/>
  <c r="DF381" i="18"/>
  <c r="DD376" i="18"/>
  <c r="EF371" i="18"/>
  <c r="I351" i="18"/>
  <c r="DF310" i="18"/>
  <c r="K396" i="18"/>
  <c r="CM351" i="18"/>
  <c r="EA376" i="18"/>
  <c r="DI285" i="18"/>
  <c r="AV305" i="18"/>
  <c r="DL401" i="18"/>
  <c r="DL351" i="18"/>
  <c r="K371" i="18"/>
  <c r="AK310" i="18"/>
  <c r="CQ376" i="18"/>
  <c r="BH305" i="18"/>
  <c r="DK351" i="18"/>
  <c r="DF376" i="18"/>
  <c r="AN376" i="18"/>
  <c r="BO371" i="18"/>
  <c r="DR376" i="18"/>
  <c r="CO275" i="18"/>
  <c r="CD351" i="18"/>
  <c r="BI376" i="18"/>
  <c r="CE310" i="18"/>
  <c r="CF305" i="18"/>
  <c r="BE275" i="18"/>
  <c r="AW396" i="18"/>
  <c r="CR300" i="18"/>
  <c r="DH351" i="18"/>
  <c r="DX376" i="18"/>
  <c r="AW275" i="18"/>
  <c r="Q371" i="18"/>
  <c r="AC381" i="18"/>
  <c r="BQ371" i="18"/>
  <c r="CU371" i="18"/>
  <c r="O305" i="18"/>
  <c r="EE305" i="18"/>
  <c r="Z396" i="18"/>
  <c r="I280" i="18"/>
  <c r="BE285" i="18"/>
  <c r="DI275" i="18"/>
  <c r="CC285" i="18"/>
  <c r="AN401" i="18"/>
  <c r="DY381" i="18"/>
  <c r="L280" i="18"/>
  <c r="AS300" i="18"/>
  <c r="T371" i="18"/>
  <c r="P381" i="18"/>
  <c r="AD285" i="18"/>
  <c r="Q310" i="18"/>
  <c r="AA386" i="18"/>
  <c r="CI396" i="18"/>
  <c r="P310" i="18"/>
  <c r="EF351" i="18"/>
  <c r="BH391" i="18"/>
  <c r="AH401" i="18"/>
  <c r="CF280" i="18"/>
  <c r="P285" i="18"/>
  <c r="AS275" i="18"/>
  <c r="BR300" i="18"/>
  <c r="AW376" i="18"/>
  <c r="BF401" i="18"/>
  <c r="BR305" i="18"/>
  <c r="AV401" i="18"/>
  <c r="DG305" i="18"/>
  <c r="AJ371" i="18"/>
  <c r="AW310" i="18"/>
  <c r="BU381" i="18"/>
  <c r="BR280" i="18"/>
  <c r="CQ371" i="18"/>
  <c r="DV351" i="18"/>
  <c r="O381" i="18"/>
  <c r="AG310" i="18"/>
  <c r="I285" i="18"/>
  <c r="DC275" i="18"/>
  <c r="DN310" i="18"/>
  <c r="AQ371" i="18"/>
  <c r="BK381" i="18"/>
  <c r="CX285" i="18"/>
  <c r="BU371" i="18"/>
  <c r="AO401" i="18"/>
  <c r="AZ391" i="18"/>
  <c r="U285" i="18"/>
  <c r="P305" i="18"/>
  <c r="CO285" i="18"/>
  <c r="AO280" i="18"/>
  <c r="AQ285" i="18"/>
  <c r="AG396" i="18"/>
  <c r="AO275" i="18"/>
  <c r="AD280" i="18"/>
  <c r="BA310" i="18"/>
  <c r="AK386" i="18"/>
  <c r="BX275" i="18"/>
  <c r="CM275" i="18"/>
  <c r="DQ285" i="18"/>
  <c r="T280" i="18"/>
  <c r="BV280" i="18"/>
  <c r="BB280" i="18"/>
  <c r="DV396" i="18"/>
  <c r="X396" i="18"/>
  <c r="DL371" i="18"/>
  <c r="CU280" i="18"/>
  <c r="CT371" i="18"/>
  <c r="CM401" i="18"/>
  <c r="BY275" i="18"/>
  <c r="AV275" i="18"/>
  <c r="DB376" i="18"/>
  <c r="BZ376" i="18"/>
  <c r="L300" i="18"/>
  <c r="BQ376" i="18"/>
  <c r="S396" i="18"/>
  <c r="Q396" i="18"/>
  <c r="BQ391" i="18"/>
  <c r="Z280" i="18"/>
  <c r="X351" i="18"/>
  <c r="AN275" i="18"/>
  <c r="BW391" i="18"/>
  <c r="DP300" i="18"/>
  <c r="DR396" i="18"/>
  <c r="AX396" i="18"/>
  <c r="CC280" i="18"/>
  <c r="AL280" i="18"/>
  <c r="CY371" i="18"/>
  <c r="DD275" i="18"/>
  <c r="AJ280" i="18"/>
  <c r="AP381" i="18"/>
  <c r="CB391" i="18"/>
  <c r="BI371" i="18"/>
  <c r="CY351" i="18"/>
  <c r="AP351" i="18"/>
  <c r="DQ391" i="18"/>
  <c r="DU285" i="18"/>
  <c r="Z351" i="18"/>
  <c r="BF280" i="18"/>
  <c r="EF285" i="18"/>
  <c r="DZ300" i="18"/>
  <c r="CX396" i="18"/>
  <c r="DV285" i="18"/>
  <c r="BZ310" i="18"/>
  <c r="CO280" i="18"/>
  <c r="EE396" i="18"/>
  <c r="DA280" i="18"/>
  <c r="AV300" i="18"/>
  <c r="BS351" i="18"/>
  <c r="DP401" i="18"/>
  <c r="CS300" i="18"/>
  <c r="U300" i="18"/>
  <c r="BC300" i="18"/>
  <c r="T285" i="18"/>
  <c r="DX351" i="18"/>
  <c r="CP401" i="18"/>
  <c r="T381" i="18"/>
  <c r="AY396" i="18"/>
  <c r="J381" i="18"/>
  <c r="AY376" i="18"/>
  <c r="BG381" i="18"/>
  <c r="BF396" i="18"/>
  <c r="CZ376" i="18"/>
  <c r="CA381" i="18"/>
  <c r="EB376" i="18"/>
  <c r="DI381" i="18"/>
  <c r="AR381" i="18"/>
  <c r="J386" i="18"/>
  <c r="AY305" i="18"/>
  <c r="DE300" i="18"/>
  <c r="Z386" i="18"/>
  <c r="AD401" i="18"/>
  <c r="CC305" i="18"/>
  <c r="ED386" i="18"/>
  <c r="BV381" i="18"/>
  <c r="AQ351" i="18"/>
  <c r="BA391" i="18"/>
  <c r="DW300" i="18"/>
  <c r="AW381" i="18"/>
  <c r="AW351" i="18"/>
  <c r="DC391" i="18"/>
  <c r="CV391" i="18"/>
  <c r="AR300" i="18"/>
  <c r="AX280" i="18"/>
  <c r="CN280" i="18"/>
  <c r="AM386" i="18"/>
  <c r="DK401" i="18"/>
  <c r="CP300" i="18"/>
  <c r="T310" i="18"/>
  <c r="CM396" i="18"/>
  <c r="AI310" i="18"/>
  <c r="EE401" i="18"/>
  <c r="CK371" i="18"/>
  <c r="CS386" i="18"/>
  <c r="CG371" i="18"/>
  <c r="AY285" i="18"/>
  <c r="CB381" i="18"/>
  <c r="DL300" i="18"/>
  <c r="BG305" i="18"/>
  <c r="EA305" i="18"/>
  <c r="AC396" i="18"/>
  <c r="Q391" i="18"/>
  <c r="BP401" i="18"/>
  <c r="DV371" i="18"/>
  <c r="DL275" i="18"/>
  <c r="X310" i="18"/>
  <c r="BZ391" i="18"/>
  <c r="AE305" i="18"/>
  <c r="BZ305" i="18"/>
  <c r="DZ371" i="18"/>
  <c r="T376" i="18"/>
  <c r="BL371" i="18"/>
  <c r="U280" i="18"/>
  <c r="BL396" i="18"/>
  <c r="V351" i="18"/>
  <c r="CI386" i="18"/>
  <c r="S285" i="18"/>
  <c r="CU310" i="18"/>
  <c r="AV285" i="18"/>
  <c r="L386" i="18"/>
  <c r="CO371" i="18"/>
  <c r="Y386" i="18"/>
  <c r="DX300" i="18"/>
  <c r="K401" i="18"/>
  <c r="AP275" i="18"/>
  <c r="CC275" i="18"/>
  <c r="CF310" i="18"/>
  <c r="DD351" i="18"/>
  <c r="CH381" i="18"/>
  <c r="CR391" i="18"/>
  <c r="R285" i="18"/>
  <c r="ED275" i="18"/>
  <c r="BL280" i="18"/>
  <c r="BP310" i="18"/>
  <c r="CK391" i="18"/>
  <c r="CP351" i="18"/>
  <c r="AN280" i="18"/>
  <c r="AR275" i="18"/>
  <c r="EF280" i="18"/>
  <c r="DQ401" i="18"/>
  <c r="CP391" i="18"/>
  <c r="DX381" i="18"/>
  <c r="CQ391" i="18"/>
  <c r="DI386" i="18"/>
  <c r="DY310" i="18"/>
  <c r="AE396" i="18"/>
  <c r="AT305" i="18"/>
  <c r="CF401" i="18"/>
  <c r="CJ381" i="18"/>
  <c r="AI371" i="18"/>
  <c r="DN275" i="18"/>
  <c r="CD280" i="18"/>
  <c r="ED300" i="18"/>
  <c r="EI310" i="18"/>
  <c r="DD280" i="18"/>
  <c r="CZ396" i="18"/>
  <c r="CC351" i="18"/>
  <c r="AL351" i="18"/>
  <c r="CU401" i="18"/>
  <c r="U305" i="18"/>
  <c r="BF300" i="18"/>
  <c r="BY300" i="18"/>
  <c r="AN381" i="18"/>
  <c r="O285" i="18"/>
  <c r="BM351" i="18"/>
  <c r="EB381" i="18"/>
  <c r="CV386" i="18"/>
  <c r="AX381" i="18"/>
  <c r="AS376" i="18"/>
  <c r="BH275" i="18"/>
  <c r="DQ396" i="18"/>
  <c r="DE401" i="18"/>
  <c r="BJ386" i="18"/>
  <c r="BI351" i="18"/>
  <c r="DJ310" i="18"/>
  <c r="AJ351" i="18"/>
  <c r="DV391" i="18"/>
  <c r="R391" i="18"/>
  <c r="EE351" i="18"/>
  <c r="DX310" i="18"/>
  <c r="M381" i="18"/>
  <c r="BP300" i="18"/>
  <c r="AJ381" i="18"/>
  <c r="DJ391" i="18"/>
  <c r="N310" i="18"/>
  <c r="DZ386" i="18"/>
  <c r="BD386" i="18"/>
  <c r="EC351" i="18"/>
  <c r="BF371" i="18"/>
  <c r="CX371" i="18"/>
  <c r="CT386" i="18"/>
  <c r="BD351" i="18"/>
  <c r="J351" i="18"/>
  <c r="BC401" i="18"/>
  <c r="DN351" i="18"/>
  <c r="DH401" i="18"/>
  <c r="CF396" i="18"/>
  <c r="X280" i="18"/>
  <c r="BI391" i="18"/>
  <c r="V285" i="18"/>
  <c r="P275" i="18"/>
  <c r="AO305" i="18"/>
  <c r="BV305" i="18"/>
  <c r="AM371" i="18"/>
  <c r="AU300" i="18"/>
  <c r="AX285" i="18"/>
  <c r="AL310" i="18"/>
  <c r="K305" i="18"/>
  <c r="N300" i="18"/>
  <c r="DH310" i="18"/>
  <c r="CF381" i="18"/>
  <c r="AN371" i="18"/>
  <c r="BV391" i="18"/>
  <c r="AZ351" i="18"/>
  <c r="M371" i="18"/>
  <c r="DY371" i="18"/>
  <c r="M285" i="18"/>
  <c r="X300" i="18"/>
  <c r="BV371" i="18"/>
  <c r="BM305" i="18"/>
  <c r="CD401" i="18"/>
  <c r="BT305" i="18"/>
  <c r="EC305" i="18"/>
  <c r="AB280" i="18"/>
  <c r="AA305" i="18"/>
  <c r="BR310" i="18"/>
  <c r="V280" i="18"/>
  <c r="AF371" i="18"/>
  <c r="AJ300" i="18"/>
  <c r="DS305" i="18"/>
  <c r="DY305" i="18"/>
  <c r="DI401" i="18"/>
  <c r="S391" i="18"/>
  <c r="K275" i="18"/>
  <c r="BG371" i="18"/>
  <c r="EH391" i="18"/>
  <c r="BC391" i="18"/>
  <c r="BD381" i="18"/>
  <c r="CG280" i="18"/>
  <c r="ED371" i="18"/>
  <c r="BO285" i="18"/>
  <c r="CZ285" i="18"/>
  <c r="S310" i="18"/>
  <c r="Z310" i="18"/>
  <c r="AQ310" i="18"/>
  <c r="BT381" i="18"/>
  <c r="CG386" i="18"/>
  <c r="EI381" i="18"/>
  <c r="DD386" i="18"/>
  <c r="DU310" i="18"/>
  <c r="BO280" i="18"/>
  <c r="BY381" i="18"/>
  <c r="AB376" i="18"/>
  <c r="BL391" i="18"/>
  <c r="CQ351" i="18"/>
  <c r="AE280" i="18"/>
  <c r="AB275" i="18"/>
  <c r="BP391" i="18"/>
  <c r="EG310" i="18"/>
  <c r="DG275" i="18"/>
  <c r="AG351" i="18"/>
  <c r="BE396" i="18"/>
  <c r="DJ305" i="18"/>
  <c r="AV386" i="18"/>
  <c r="CU381" i="18"/>
  <c r="AP310" i="18"/>
  <c r="CG351" i="18"/>
  <c r="BG401" i="18"/>
  <c r="AT351" i="18"/>
  <c r="L401" i="18"/>
  <c r="CT391" i="18"/>
  <c r="U275" i="18"/>
  <c r="DM300" i="18"/>
  <c r="BL381" i="18"/>
  <c r="N396" i="18"/>
  <c r="BR391" i="18"/>
  <c r="BJ280" i="18"/>
  <c r="AR310" i="18"/>
  <c r="DP376" i="18"/>
  <c r="BX300" i="18"/>
  <c r="BG396" i="18"/>
  <c r="DZ381" i="18"/>
  <c r="BF285" i="18"/>
  <c r="AU351" i="18"/>
  <c r="DK275" i="18"/>
  <c r="BR285" i="18"/>
  <c r="EE285" i="18"/>
  <c r="EF396" i="18"/>
  <c r="U396" i="18"/>
  <c r="DG351" i="18"/>
  <c r="CU275" i="18"/>
  <c r="CK305" i="18"/>
  <c r="EE381" i="18"/>
  <c r="DC396" i="18"/>
  <c r="DK285" i="18"/>
  <c r="BD305" i="18"/>
  <c r="DT310" i="18"/>
  <c r="CZ280" i="18"/>
  <c r="CY310" i="18"/>
  <c r="DI351" i="18"/>
  <c r="DD391" i="18"/>
  <c r="CO401" i="18"/>
  <c r="DL391" i="18"/>
  <c r="DB391" i="18"/>
  <c r="DR401" i="18"/>
  <c r="AC300" i="18"/>
  <c r="CI285" i="18"/>
  <c r="P391" i="18"/>
  <c r="AR396" i="18"/>
  <c r="AY300" i="18"/>
  <c r="AB386" i="18"/>
  <c r="Y401" i="18"/>
  <c r="DO391" i="18"/>
  <c r="BB305" i="18"/>
  <c r="DU381" i="18"/>
  <c r="DW391" i="18"/>
  <c r="AI396" i="18"/>
  <c r="BZ386" i="18"/>
  <c r="CQ275" i="18"/>
  <c r="M305" i="18"/>
  <c r="CA280" i="18"/>
  <c r="BL285" i="18"/>
  <c r="AD305" i="18"/>
  <c r="AF300" i="18"/>
  <c r="CY381" i="18"/>
  <c r="W351" i="18"/>
  <c r="AO351" i="18"/>
  <c r="W386" i="18"/>
  <c r="AL285" i="18"/>
  <c r="AJ396" i="18"/>
  <c r="EC300" i="18"/>
  <c r="O280" i="18"/>
  <c r="AY351" i="18"/>
  <c r="BT310" i="18"/>
  <c r="DX280" i="18"/>
  <c r="H285" i="18"/>
  <c r="BE401" i="18"/>
  <c r="AP280" i="18"/>
  <c r="BS300" i="18"/>
  <c r="CH280" i="18"/>
  <c r="CU391" i="18"/>
  <c r="CY285" i="18"/>
  <c r="CI280" i="18"/>
  <c r="CF285" i="18"/>
  <c r="DU300" i="18"/>
  <c r="AI351" i="18"/>
  <c r="CP386" i="18"/>
  <c r="CZ401" i="18"/>
  <c r="DD381" i="18"/>
  <c r="CV351" i="18"/>
  <c r="BO391" i="18"/>
  <c r="AE371" i="18"/>
  <c r="BY305" i="18"/>
  <c r="BU386" i="18"/>
  <c r="AT285" i="18"/>
  <c r="DA275" i="18"/>
  <c r="BW305" i="18"/>
  <c r="EF386" i="18"/>
  <c r="BL310" i="18"/>
  <c r="CW305" i="18"/>
  <c r="DE391" i="18"/>
  <c r="AR371" i="18"/>
  <c r="CE351" i="18"/>
  <c r="CL371" i="18"/>
  <c r="BM396" i="18"/>
  <c r="BZ275" i="18"/>
  <c r="BS285" i="18"/>
  <c r="DY275" i="18"/>
  <c r="K386" i="18"/>
  <c r="DN300" i="18"/>
  <c r="CY391" i="18"/>
  <c r="EH300" i="18"/>
  <c r="DO386" i="18"/>
  <c r="L305" i="18"/>
  <c r="BF310" i="18"/>
  <c r="BM386" i="18"/>
  <c r="BO275" i="18"/>
  <c r="R396" i="18"/>
  <c r="EH351" i="18"/>
  <c r="CK280" i="18"/>
  <c r="DM386" i="18"/>
  <c r="DS381" i="18"/>
  <c r="CG391" i="18"/>
  <c r="J305" i="18"/>
  <c r="DB351" i="18"/>
  <c r="AF396" i="18"/>
  <c r="AL300" i="18"/>
  <c r="AX351" i="18"/>
  <c r="DQ386" i="18"/>
  <c r="CI401" i="18"/>
  <c r="CS351" i="18"/>
  <c r="I396" i="18"/>
  <c r="AQ300" i="18"/>
  <c r="AW386" i="18"/>
  <c r="CA310" i="18"/>
  <c r="R300" i="18"/>
  <c r="AP305" i="18"/>
  <c r="AY310" i="18"/>
  <c r="BL305" i="18"/>
  <c r="AL386" i="18"/>
  <c r="CB371" i="18"/>
  <c r="DC305" i="18"/>
  <c r="BM275" i="18"/>
  <c r="BP381" i="18"/>
  <c r="AB285" i="18"/>
  <c r="CE300" i="18"/>
  <c r="CB386" i="18"/>
  <c r="DB300" i="18"/>
  <c r="DW285" i="18"/>
  <c r="BC376" i="18"/>
  <c r="EE371" i="18"/>
  <c r="DY391" i="18"/>
  <c r="BX391" i="18"/>
  <c r="AA300" i="18"/>
  <c r="AZ305" i="18"/>
  <c r="CG300" i="18"/>
  <c r="BR396" i="18"/>
  <c r="CA396" i="18"/>
  <c r="DD401" i="18"/>
  <c r="AD351" i="18"/>
  <c r="CZ391" i="18"/>
  <c r="BE371" i="18"/>
  <c r="J391" i="18"/>
  <c r="BB396" i="18"/>
  <c r="BI401" i="18"/>
  <c r="M275" i="18"/>
  <c r="DJ351" i="18"/>
  <c r="CQ396" i="18"/>
  <c r="T275" i="18"/>
  <c r="DM310" i="18"/>
  <c r="EH381" i="18"/>
  <c r="EH310" i="18"/>
  <c r="CP396" i="18"/>
  <c r="BT396" i="18"/>
  <c r="BU300" i="18"/>
  <c r="I305" i="18"/>
  <c r="AK401" i="18"/>
  <c r="BQ401" i="18"/>
  <c r="O401" i="18"/>
  <c r="BW280" i="18"/>
  <c r="AE381" i="18"/>
  <c r="BO351" i="18"/>
  <c r="BX396" i="18"/>
  <c r="AT280" i="18"/>
  <c r="EG285" i="18"/>
  <c r="BA285" i="18"/>
  <c r="DT386" i="18"/>
  <c r="J300" i="18"/>
  <c r="K335" i="18" s="1"/>
  <c r="EF300" i="18"/>
  <c r="CB305" i="18"/>
  <c r="CE381" i="18"/>
  <c r="DS310" i="18"/>
  <c r="ED401" i="18"/>
  <c r="AL381" i="18"/>
  <c r="AK280" i="18"/>
  <c r="CM300" i="18"/>
  <c r="DM401" i="18"/>
  <c r="M280" i="18"/>
  <c r="T300" i="18"/>
  <c r="DE386" i="18"/>
  <c r="AQ381" i="18"/>
  <c r="AY280" i="18"/>
  <c r="DR391" i="18"/>
  <c r="AC186" i="10"/>
  <c r="AD186" i="10" s="1"/>
  <c r="AD198" i="10"/>
  <c r="AC285" i="10"/>
  <c r="AD285" i="10" s="1"/>
  <c r="AC223" i="10"/>
  <c r="AD223" i="10" s="1"/>
  <c r="AC211" i="10"/>
  <c r="AD211" i="10" s="1"/>
  <c r="H274" i="18"/>
  <c r="H398" i="18"/>
  <c r="I213" i="18"/>
  <c r="G29" i="18"/>
  <c r="D18" i="14" s="1"/>
  <c r="EJ29" i="18"/>
  <c r="EG18" i="14" s="1"/>
  <c r="AC254" i="10"/>
  <c r="AD254" i="10" s="1"/>
  <c r="F26" i="18"/>
  <c r="H378" i="18"/>
  <c r="I375" i="18"/>
  <c r="H377" i="18"/>
  <c r="I198" i="18"/>
  <c r="F23" i="18"/>
  <c r="H383" i="18"/>
  <c r="H382" i="18"/>
  <c r="I380" i="18"/>
  <c r="I204" i="18"/>
  <c r="I216" i="18"/>
  <c r="O287" i="18"/>
  <c r="P284" i="18"/>
  <c r="F42" i="18"/>
  <c r="AC393" i="10"/>
  <c r="AD393" i="10" s="1"/>
  <c r="I253" i="10"/>
  <c r="J253" i="10" s="1"/>
  <c r="H312" i="18"/>
  <c r="H311" i="18"/>
  <c r="I309" i="18"/>
  <c r="J309" i="18" s="1"/>
  <c r="I139" i="18"/>
  <c r="H356" i="18"/>
  <c r="H355" i="18" s="1"/>
  <c r="H350" i="18"/>
  <c r="H272" i="18"/>
  <c r="I269" i="18"/>
  <c r="J269" i="18" s="1"/>
  <c r="I133" i="18"/>
  <c r="I279" i="18" l="1"/>
  <c r="O286" i="18"/>
  <c r="P286" i="18" s="1"/>
  <c r="I395" i="18"/>
  <c r="J395" i="18" s="1"/>
  <c r="I400" i="18"/>
  <c r="J400" i="18" s="1"/>
  <c r="K400" i="18" s="1"/>
  <c r="K403" i="18" s="1"/>
  <c r="H403" i="18"/>
  <c r="I304" i="18"/>
  <c r="I307" i="18" s="1"/>
  <c r="H325" i="18"/>
  <c r="H324" i="18" s="1"/>
  <c r="I320" i="18"/>
  <c r="I315" i="18"/>
  <c r="I340" i="18"/>
  <c r="I330" i="18"/>
  <c r="H299" i="18"/>
  <c r="H302" i="18" s="1"/>
  <c r="I335" i="18"/>
  <c r="H406" i="18"/>
  <c r="H405" i="18" s="1"/>
  <c r="H407" i="18" s="1"/>
  <c r="H330" i="18"/>
  <c r="H335" i="18"/>
  <c r="H334" i="18" s="1"/>
  <c r="H336" i="18" s="1"/>
  <c r="H315" i="18"/>
  <c r="H314" i="18" s="1"/>
  <c r="I314" i="18" s="1"/>
  <c r="I356" i="18"/>
  <c r="H271" i="18"/>
  <c r="H320" i="18"/>
  <c r="H319" i="18" s="1"/>
  <c r="H321" i="18" s="1"/>
  <c r="H340" i="18"/>
  <c r="H339" i="18" s="1"/>
  <c r="H342" i="18" s="1"/>
  <c r="I325" i="18"/>
  <c r="I406" i="18"/>
  <c r="H281" i="18"/>
  <c r="H282" i="18"/>
  <c r="I385" i="18"/>
  <c r="J385" i="18" s="1"/>
  <c r="K385" i="18" s="1"/>
  <c r="I370" i="18"/>
  <c r="J370" i="18" s="1"/>
  <c r="K370" i="18" s="1"/>
  <c r="I201" i="18"/>
  <c r="H306" i="18"/>
  <c r="J295" i="18"/>
  <c r="H307" i="18"/>
  <c r="L295" i="18"/>
  <c r="N356" i="18"/>
  <c r="M330" i="18"/>
  <c r="L330" i="18"/>
  <c r="P406" i="18"/>
  <c r="DV295" i="18"/>
  <c r="BH356" i="18"/>
  <c r="DT356" i="18"/>
  <c r="Z356" i="18"/>
  <c r="DX315" i="18"/>
  <c r="T356" i="18"/>
  <c r="S340" i="18"/>
  <c r="CT320" i="18"/>
  <c r="BV356" i="18"/>
  <c r="AD356" i="18"/>
  <c r="BF356" i="18"/>
  <c r="CG295" i="18"/>
  <c r="CO335" i="18"/>
  <c r="AK356" i="18"/>
  <c r="DO356" i="18"/>
  <c r="AM356" i="18"/>
  <c r="CS356" i="18"/>
  <c r="CZ356" i="18"/>
  <c r="AA356" i="18"/>
  <c r="Y356" i="18"/>
  <c r="ED356" i="18"/>
  <c r="AF356" i="18"/>
  <c r="AZ356" i="18"/>
  <c r="BY356" i="18"/>
  <c r="EF356" i="18"/>
  <c r="BX356" i="18"/>
  <c r="AT356" i="18"/>
  <c r="DC356" i="18"/>
  <c r="CM330" i="18"/>
  <c r="DB406" i="18"/>
  <c r="DA325" i="18"/>
  <c r="BP320" i="18"/>
  <c r="BY330" i="18"/>
  <c r="BQ315" i="18"/>
  <c r="DD330" i="18"/>
  <c r="BF325" i="18"/>
  <c r="BB330" i="18"/>
  <c r="BN330" i="18"/>
  <c r="DX320" i="18"/>
  <c r="AT315" i="18"/>
  <c r="BD335" i="18"/>
  <c r="CB406" i="18"/>
  <c r="AU330" i="18"/>
  <c r="CA320" i="18"/>
  <c r="BZ330" i="18"/>
  <c r="DX335" i="18"/>
  <c r="AH315" i="18"/>
  <c r="BB340" i="18"/>
  <c r="AN315" i="18"/>
  <c r="BW315" i="18"/>
  <c r="CS406" i="18"/>
  <c r="DN315" i="18"/>
  <c r="DC315" i="18"/>
  <c r="BG335" i="18"/>
  <c r="CF330" i="18"/>
  <c r="CT325" i="18"/>
  <c r="CG406" i="18"/>
  <c r="EI335" i="18"/>
  <c r="AY320" i="18"/>
  <c r="AH406" i="18"/>
  <c r="BG320" i="18"/>
  <c r="BG295" i="18"/>
  <c r="CN295" i="18"/>
  <c r="AV295" i="18"/>
  <c r="BK295" i="18"/>
  <c r="DF295" i="18"/>
  <c r="X295" i="18"/>
  <c r="AR295" i="18"/>
  <c r="DH295" i="18"/>
  <c r="AX356" i="18"/>
  <c r="BW356" i="18"/>
  <c r="DG356" i="18"/>
  <c r="BU356" i="18"/>
  <c r="BD356" i="18"/>
  <c r="AC356" i="18"/>
  <c r="CY356" i="18"/>
  <c r="AW356" i="18"/>
  <c r="CH356" i="18"/>
  <c r="BL356" i="18"/>
  <c r="DI356" i="18"/>
  <c r="BE356" i="18"/>
  <c r="X356" i="18"/>
  <c r="AO356" i="18"/>
  <c r="DN356" i="18"/>
  <c r="BJ356" i="18"/>
  <c r="V356" i="18"/>
  <c r="AO330" i="18"/>
  <c r="AU406" i="18"/>
  <c r="T330" i="18"/>
  <c r="AB330" i="18"/>
  <c r="DW315" i="18"/>
  <c r="AJ330" i="18"/>
  <c r="DQ330" i="18"/>
  <c r="DB330" i="18"/>
  <c r="AY335" i="18"/>
  <c r="CY330" i="18"/>
  <c r="AH330" i="18"/>
  <c r="S320" i="18"/>
  <c r="AQ340" i="18"/>
  <c r="BO340" i="18"/>
  <c r="BS320" i="18"/>
  <c r="BR325" i="18"/>
  <c r="AK406" i="18"/>
  <c r="DZ340" i="18"/>
  <c r="EA340" i="18"/>
  <c r="AJ340" i="18"/>
  <c r="EF320" i="18"/>
  <c r="CC320" i="18"/>
  <c r="CH320" i="18"/>
  <c r="BO335" i="18"/>
  <c r="BQ320" i="18"/>
  <c r="AD320" i="18"/>
  <c r="AM315" i="18"/>
  <c r="AP340" i="18"/>
  <c r="BX340" i="18"/>
  <c r="AW335" i="18"/>
  <c r="AE330" i="18"/>
  <c r="AS295" i="18"/>
  <c r="EA295" i="18"/>
  <c r="BA315" i="18"/>
  <c r="J356" i="18"/>
  <c r="DS356" i="18"/>
  <c r="CN356" i="18"/>
  <c r="DP356" i="18"/>
  <c r="CV330" i="18"/>
  <c r="AL356" i="18"/>
  <c r="CI356" i="18"/>
  <c r="EI356" i="18"/>
  <c r="BG356" i="18"/>
  <c r="AE356" i="18"/>
  <c r="BA356" i="18"/>
  <c r="CT356" i="18"/>
  <c r="R356" i="18"/>
  <c r="CR356" i="18"/>
  <c r="BN356" i="18"/>
  <c r="AG356" i="18"/>
  <c r="AB356" i="18"/>
  <c r="AU356" i="18"/>
  <c r="AV356" i="18"/>
  <c r="DE356" i="18"/>
  <c r="CJ356" i="18"/>
  <c r="CF356" i="18"/>
  <c r="DY356" i="18"/>
  <c r="EE356" i="18"/>
  <c r="W356" i="18"/>
  <c r="AF330" i="18"/>
  <c r="W330" i="18"/>
  <c r="AB325" i="18"/>
  <c r="BA320" i="18"/>
  <c r="CZ406" i="18"/>
  <c r="AD340" i="18"/>
  <c r="CR330" i="18"/>
  <c r="DA315" i="18"/>
  <c r="AH340" i="18"/>
  <c r="AN330" i="18"/>
  <c r="EI330" i="18"/>
  <c r="DL406" i="18"/>
  <c r="BG406" i="18"/>
  <c r="CW320" i="18"/>
  <c r="X340" i="18"/>
  <c r="AH335" i="18"/>
  <c r="Z325" i="18"/>
  <c r="BY340" i="18"/>
  <c r="EG406" i="18"/>
  <c r="U325" i="18"/>
  <c r="BF320" i="18"/>
  <c r="Z340" i="18"/>
  <c r="DK406" i="18"/>
  <c r="AY325" i="18"/>
  <c r="DJ325" i="18"/>
  <c r="EE320" i="18"/>
  <c r="AB320" i="18"/>
  <c r="EA406" i="18"/>
  <c r="BY335" i="18"/>
  <c r="CG335" i="18"/>
  <c r="CA325" i="18"/>
  <c r="CM335" i="18"/>
  <c r="DY325" i="18"/>
  <c r="EE295" i="18"/>
  <c r="CR295" i="18"/>
  <c r="AN356" i="18"/>
  <c r="DZ356" i="18"/>
  <c r="AH356" i="18"/>
  <c r="BB356" i="18"/>
  <c r="K356" i="18"/>
  <c r="CD356" i="18"/>
  <c r="Q356" i="18"/>
  <c r="BR356" i="18"/>
  <c r="AJ356" i="18"/>
  <c r="U356" i="18"/>
  <c r="EH356" i="18"/>
  <c r="BU406" i="18"/>
  <c r="O356" i="18"/>
  <c r="CB356" i="18"/>
  <c r="BP356" i="18"/>
  <c r="DR356" i="18"/>
  <c r="M356" i="18"/>
  <c r="CE356" i="18"/>
  <c r="AR356" i="18"/>
  <c r="L356" i="18"/>
  <c r="CX356" i="18"/>
  <c r="BO356" i="18"/>
  <c r="BK356" i="18"/>
  <c r="AP356" i="18"/>
  <c r="P356" i="18"/>
  <c r="BM356" i="18"/>
  <c r="DW356" i="18"/>
  <c r="DX356" i="18"/>
  <c r="EC356" i="18"/>
  <c r="AY356" i="18"/>
  <c r="S356" i="18"/>
  <c r="DD356" i="18"/>
  <c r="AI356" i="18"/>
  <c r="AQ356" i="18"/>
  <c r="BC356" i="18"/>
  <c r="EA356" i="18"/>
  <c r="BO330" i="18"/>
  <c r="BG330" i="18"/>
  <c r="BS315" i="18"/>
  <c r="CP330" i="18"/>
  <c r="BX406" i="18"/>
  <c r="DN325" i="18"/>
  <c r="DC330" i="18"/>
  <c r="DE340" i="18"/>
  <c r="BV340" i="18"/>
  <c r="CD330" i="18"/>
  <c r="CE330" i="18"/>
  <c r="BG340" i="18"/>
  <c r="BI340" i="18"/>
  <c r="CJ406" i="18"/>
  <c r="AQ325" i="18"/>
  <c r="CF335" i="18"/>
  <c r="BQ335" i="18"/>
  <c r="AX325" i="18"/>
  <c r="BX320" i="18"/>
  <c r="BN340" i="18"/>
  <c r="DV320" i="18"/>
  <c r="CM340" i="18"/>
  <c r="CK320" i="18"/>
  <c r="CZ320" i="18"/>
  <c r="CN325" i="18"/>
  <c r="BJ320" i="18"/>
  <c r="DY335" i="18"/>
  <c r="T315" i="18"/>
  <c r="CS340" i="18"/>
  <c r="AD315" i="18"/>
  <c r="CV315" i="18"/>
  <c r="DV340" i="18"/>
  <c r="EB335" i="18"/>
  <c r="DS295" i="18"/>
  <c r="BU295" i="18"/>
  <c r="BI356" i="18"/>
  <c r="DU330" i="18"/>
  <c r="BM330" i="18"/>
  <c r="Q330" i="18"/>
  <c r="DW330" i="18"/>
  <c r="EC325" i="18"/>
  <c r="BV315" i="18"/>
  <c r="S335" i="18"/>
  <c r="BC406" i="18"/>
  <c r="CB330" i="18"/>
  <c r="EB330" i="18"/>
  <c r="BJ330" i="18"/>
  <c r="AZ330" i="18"/>
  <c r="BD330" i="18"/>
  <c r="DS320" i="18"/>
  <c r="BH340" i="18"/>
  <c r="BW406" i="18"/>
  <c r="DT330" i="18"/>
  <c r="CT330" i="18"/>
  <c r="DL330" i="18"/>
  <c r="BI330" i="18"/>
  <c r="AW325" i="18"/>
  <c r="J320" i="18"/>
  <c r="BZ340" i="18"/>
  <c r="X330" i="18"/>
  <c r="X344" i="18" s="1"/>
  <c r="BP330" i="18"/>
  <c r="AQ330" i="18"/>
  <c r="AR330" i="18"/>
  <c r="K315" i="18"/>
  <c r="BZ325" i="18"/>
  <c r="BI320" i="18"/>
  <c r="AR340" i="18"/>
  <c r="DH315" i="18"/>
  <c r="EC335" i="18"/>
  <c r="AV340" i="18"/>
  <c r="DB325" i="18"/>
  <c r="BI335" i="18"/>
  <c r="AF320" i="18"/>
  <c r="AC340" i="18"/>
  <c r="AA406" i="18"/>
  <c r="EH315" i="18"/>
  <c r="DO406" i="18"/>
  <c r="CE320" i="18"/>
  <c r="DB315" i="18"/>
  <c r="M340" i="18"/>
  <c r="CH315" i="18"/>
  <c r="DE315" i="18"/>
  <c r="K406" i="18"/>
  <c r="CD315" i="18"/>
  <c r="CY325" i="18"/>
  <c r="Q340" i="18"/>
  <c r="K325" i="18"/>
  <c r="BZ406" i="18"/>
  <c r="CC315" i="18"/>
  <c r="AT340" i="18"/>
  <c r="CP315" i="18"/>
  <c r="AK315" i="18"/>
  <c r="AF406" i="18"/>
  <c r="CW315" i="18"/>
  <c r="CI315" i="18"/>
  <c r="AL315" i="18"/>
  <c r="AS315" i="18"/>
  <c r="CX406" i="18"/>
  <c r="CU325" i="18"/>
  <c r="AA325" i="18"/>
  <c r="AV320" i="18"/>
  <c r="DI406" i="18"/>
  <c r="X320" i="18"/>
  <c r="AE320" i="18"/>
  <c r="Q406" i="18"/>
  <c r="BE406" i="18"/>
  <c r="DT406" i="18"/>
  <c r="DD340" i="18"/>
  <c r="BT330" i="18"/>
  <c r="AA330" i="18"/>
  <c r="DS330" i="18"/>
  <c r="CH330" i="18"/>
  <c r="K340" i="18"/>
  <c r="CI406" i="18"/>
  <c r="DQ335" i="18"/>
  <c r="AP406" i="18"/>
  <c r="Y330" i="18"/>
  <c r="AP330" i="18"/>
  <c r="AP344" i="18" s="1"/>
  <c r="BK330" i="18"/>
  <c r="BA330" i="18"/>
  <c r="AW320" i="18"/>
  <c r="CP320" i="18"/>
  <c r="AK320" i="18"/>
  <c r="DO330" i="18"/>
  <c r="BC330" i="18"/>
  <c r="DG330" i="18"/>
  <c r="BW330" i="18"/>
  <c r="CZ330" i="18"/>
  <c r="AE315" i="18"/>
  <c r="X335" i="18"/>
  <c r="DN406" i="18"/>
  <c r="AY330" i="18"/>
  <c r="CL330" i="18"/>
  <c r="DX330" i="18"/>
  <c r="BV330" i="18"/>
  <c r="BY325" i="18"/>
  <c r="BB315" i="18"/>
  <c r="DE320" i="18"/>
  <c r="AX335" i="18"/>
  <c r="CY406" i="18"/>
  <c r="CM406" i="18"/>
  <c r="BU340" i="18"/>
  <c r="W320" i="18"/>
  <c r="DH325" i="18"/>
  <c r="DU406" i="18"/>
  <c r="AM335" i="18"/>
  <c r="EH335" i="18"/>
  <c r="DO340" i="18"/>
  <c r="R320" i="18"/>
  <c r="EI315" i="18"/>
  <c r="AA320" i="18"/>
  <c r="DU320" i="18"/>
  <c r="CJ320" i="18"/>
  <c r="AI335" i="18"/>
  <c r="AC406" i="18"/>
  <c r="AE325" i="18"/>
  <c r="CQ325" i="18"/>
  <c r="T325" i="18"/>
  <c r="DF330" i="18"/>
  <c r="DO335" i="18"/>
  <c r="DE406" i="18"/>
  <c r="AS335" i="18"/>
  <c r="AY315" i="18"/>
  <c r="DK340" i="18"/>
  <c r="EC315" i="18"/>
  <c r="DD335" i="18"/>
  <c r="DU340" i="18"/>
  <c r="Y315" i="18"/>
  <c r="BK325" i="18"/>
  <c r="DY315" i="18"/>
  <c r="DC320" i="18"/>
  <c r="EH406" i="18"/>
  <c r="M325" i="18"/>
  <c r="BK340" i="18"/>
  <c r="CC325" i="18"/>
  <c r="DJ406" i="18"/>
  <c r="AF340" i="18"/>
  <c r="DG406" i="18"/>
  <c r="BD295" i="18"/>
  <c r="DR406" i="18"/>
  <c r="BI325" i="18"/>
  <c r="DF356" i="18"/>
  <c r="CA356" i="18"/>
  <c r="CL356" i="18"/>
  <c r="DB356" i="18"/>
  <c r="DV356" i="18"/>
  <c r="CC356" i="18"/>
  <c r="DA356" i="18"/>
  <c r="BZ356" i="18"/>
  <c r="BQ356" i="18"/>
  <c r="CV356" i="18"/>
  <c r="CP356" i="18"/>
  <c r="DH356" i="18"/>
  <c r="DQ356" i="18"/>
  <c r="BS356" i="18"/>
  <c r="CK356" i="18"/>
  <c r="EG356" i="18"/>
  <c r="BT356" i="18"/>
  <c r="DM356" i="18"/>
  <c r="CM356" i="18"/>
  <c r="CU356" i="18"/>
  <c r="CW356" i="18"/>
  <c r="CQ356" i="18"/>
  <c r="DK356" i="18"/>
  <c r="CG356" i="18"/>
  <c r="CO356" i="18"/>
  <c r="EB356" i="18"/>
  <c r="DL356" i="18"/>
  <c r="DU356" i="18"/>
  <c r="DJ356" i="18"/>
  <c r="AS356" i="18"/>
  <c r="P330" i="18"/>
  <c r="AX330" i="18"/>
  <c r="DJ330" i="18"/>
  <c r="DY330" i="18"/>
  <c r="DN330" i="18"/>
  <c r="AW330" i="18"/>
  <c r="Z330" i="18"/>
  <c r="EG330" i="18"/>
  <c r="CG325" i="18"/>
  <c r="AI340" i="18"/>
  <c r="CJ315" i="18"/>
  <c r="BE325" i="18"/>
  <c r="CE340" i="18"/>
  <c r="BX315" i="18"/>
  <c r="AV330" i="18"/>
  <c r="AS330" i="18"/>
  <c r="DA330" i="18"/>
  <c r="BX330" i="18"/>
  <c r="DI330" i="18"/>
  <c r="BE330" i="18"/>
  <c r="CO330" i="18"/>
  <c r="K330" i="18"/>
  <c r="CX340" i="18"/>
  <c r="EF325" i="18"/>
  <c r="CM320" i="18"/>
  <c r="AB406" i="18"/>
  <c r="DC406" i="18"/>
  <c r="BF406" i="18"/>
  <c r="Q315" i="18"/>
  <c r="DP330" i="18"/>
  <c r="AK330" i="18"/>
  <c r="R330" i="18"/>
  <c r="EH330" i="18"/>
  <c r="CI330" i="18"/>
  <c r="V330" i="18"/>
  <c r="DH330" i="18"/>
  <c r="ED330" i="18"/>
  <c r="CM325" i="18"/>
  <c r="CF340" i="18"/>
  <c r="BH325" i="18"/>
  <c r="DP340" i="18"/>
  <c r="CR325" i="18"/>
  <c r="BY406" i="18"/>
  <c r="BO315" i="18"/>
  <c r="DR330" i="18"/>
  <c r="U330" i="18"/>
  <c r="N330" i="18"/>
  <c r="CU330" i="18"/>
  <c r="CJ330" i="18"/>
  <c r="CX330" i="18"/>
  <c r="DM330" i="18"/>
  <c r="S330" i="18"/>
  <c r="BH320" i="18"/>
  <c r="DJ315" i="18"/>
  <c r="AD325" i="18"/>
  <c r="AR320" i="18"/>
  <c r="S315" i="18"/>
  <c r="BW340" i="18"/>
  <c r="EG335" i="18"/>
  <c r="BH315" i="18"/>
  <c r="BC340" i="18"/>
  <c r="DS325" i="18"/>
  <c r="AR315" i="18"/>
  <c r="BP325" i="18"/>
  <c r="AV406" i="18"/>
  <c r="AF325" i="18"/>
  <c r="BL340" i="18"/>
  <c r="AA335" i="18"/>
  <c r="CI320" i="18"/>
  <c r="DZ320" i="18"/>
  <c r="AD406" i="18"/>
  <c r="AG340" i="18"/>
  <c r="BR335" i="18"/>
  <c r="BV406" i="18"/>
  <c r="CL315" i="18"/>
  <c r="BR320" i="18"/>
  <c r="DJ335" i="18"/>
  <c r="BM320" i="18"/>
  <c r="CK335" i="18"/>
  <c r="AM406" i="18"/>
  <c r="BF340" i="18"/>
  <c r="BQ325" i="18"/>
  <c r="J315" i="18"/>
  <c r="AF335" i="18"/>
  <c r="CN315" i="18"/>
  <c r="BE315" i="18"/>
  <c r="DG315" i="18"/>
  <c r="AP315" i="18"/>
  <c r="EC406" i="18"/>
  <c r="BD406" i="18"/>
  <c r="J340" i="18"/>
  <c r="BS325" i="18"/>
  <c r="CU340" i="18"/>
  <c r="CN320" i="18"/>
  <c r="AB315" i="18"/>
  <c r="DA340" i="18"/>
  <c r="AG325" i="18"/>
  <c r="CV335" i="18"/>
  <c r="BG325" i="18"/>
  <c r="ED320" i="18"/>
  <c r="BM340" i="18"/>
  <c r="BF315" i="18"/>
  <c r="P340" i="18"/>
  <c r="DL340" i="18"/>
  <c r="CR320" i="18"/>
  <c r="EF340" i="18"/>
  <c r="DA335" i="18"/>
  <c r="EC320" i="18"/>
  <c r="DP325" i="18"/>
  <c r="S406" i="18"/>
  <c r="AU315" i="18"/>
  <c r="BL325" i="18"/>
  <c r="J406" i="18"/>
  <c r="DU335" i="18"/>
  <c r="CY335" i="18"/>
  <c r="CS325" i="18"/>
  <c r="BQ406" i="18"/>
  <c r="AX340" i="18"/>
  <c r="AQ320" i="18"/>
  <c r="CX315" i="18"/>
  <c r="X315" i="18"/>
  <c r="BM325" i="18"/>
  <c r="DM320" i="18"/>
  <c r="AY406" i="18"/>
  <c r="J335" i="18"/>
  <c r="BU325" i="18"/>
  <c r="EG340" i="18"/>
  <c r="Q335" i="18"/>
  <c r="BH335" i="18"/>
  <c r="AT320" i="18"/>
  <c r="AG406" i="18"/>
  <c r="DL315" i="18"/>
  <c r="AI406" i="18"/>
  <c r="CJ340" i="18"/>
  <c r="BW335" i="18"/>
  <c r="EA325" i="18"/>
  <c r="CO320" i="18"/>
  <c r="BU335" i="18"/>
  <c r="CD335" i="18"/>
  <c r="CF315" i="18"/>
  <c r="BP335" i="18"/>
  <c r="BB320" i="18"/>
  <c r="Q325" i="18"/>
  <c r="CW295" i="18"/>
  <c r="AJ295" i="18"/>
  <c r="CQ295" i="18"/>
  <c r="AE295" i="18"/>
  <c r="CC295" i="18"/>
  <c r="DE295" i="18"/>
  <c r="AU295" i="18"/>
  <c r="AC295" i="18"/>
  <c r="BT295" i="18"/>
  <c r="CK295" i="18"/>
  <c r="AF295" i="18"/>
  <c r="CP340" i="18"/>
  <c r="EI340" i="18"/>
  <c r="O406" i="18"/>
  <c r="T320" i="18"/>
  <c r="L406" i="18"/>
  <c r="BE320" i="18"/>
  <c r="AN406" i="18"/>
  <c r="DW340" i="18"/>
  <c r="EF315" i="18"/>
  <c r="ED340" i="18"/>
  <c r="CV406" i="18"/>
  <c r="BD340" i="18"/>
  <c r="BJ340" i="18"/>
  <c r="CW335" i="18"/>
  <c r="AH325" i="18"/>
  <c r="CK340" i="18"/>
  <c r="CX325" i="18"/>
  <c r="N406" i="18"/>
  <c r="DJ320" i="18"/>
  <c r="CC406" i="18"/>
  <c r="M320" i="18"/>
  <c r="DD320" i="18"/>
  <c r="CQ340" i="18"/>
  <c r="L320" i="18"/>
  <c r="DM335" i="18"/>
  <c r="BY320" i="18"/>
  <c r="CQ320" i="18"/>
  <c r="DQ325" i="18"/>
  <c r="DD406" i="18"/>
  <c r="BE335" i="18"/>
  <c r="AC315" i="18"/>
  <c r="M315" i="18"/>
  <c r="AS325" i="18"/>
  <c r="BT320" i="18"/>
  <c r="BJ325" i="18"/>
  <c r="O325" i="18"/>
  <c r="CJ325" i="18"/>
  <c r="CU335" i="18"/>
  <c r="BT335" i="18"/>
  <c r="CI340" i="18"/>
  <c r="CB335" i="18"/>
  <c r="Y335" i="18"/>
  <c r="DF335" i="18"/>
  <c r="P315" i="18"/>
  <c r="P325" i="18"/>
  <c r="DF325" i="18"/>
  <c r="CZ335" i="18"/>
  <c r="AX315" i="18"/>
  <c r="DQ320" i="18"/>
  <c r="BL335" i="18"/>
  <c r="R315" i="18"/>
  <c r="CC340" i="18"/>
  <c r="BO406" i="18"/>
  <c r="CE335" i="18"/>
  <c r="Y340" i="18"/>
  <c r="CC335" i="18"/>
  <c r="CD406" i="18"/>
  <c r="DP320" i="18"/>
  <c r="CU320" i="18"/>
  <c r="DB335" i="18"/>
  <c r="CG315" i="18"/>
  <c r="DI320" i="18"/>
  <c r="AG315" i="18"/>
  <c r="CB320" i="18"/>
  <c r="CE325" i="18"/>
  <c r="AO315" i="18"/>
  <c r="L340" i="18"/>
  <c r="U315" i="18"/>
  <c r="CW406" i="18"/>
  <c r="CA315" i="18"/>
  <c r="AL335" i="18"/>
  <c r="X406" i="18"/>
  <c r="DU325" i="18"/>
  <c r="CK315" i="18"/>
  <c r="DU315" i="18"/>
  <c r="DT325" i="18"/>
  <c r="AC325" i="18"/>
  <c r="CT340" i="18"/>
  <c r="CP325" i="18"/>
  <c r="DM315" i="18"/>
  <c r="P335" i="18"/>
  <c r="CU315" i="18"/>
  <c r="BC325" i="18"/>
  <c r="CE406" i="18"/>
  <c r="AI320" i="18"/>
  <c r="CR315" i="18"/>
  <c r="BC335" i="18"/>
  <c r="DH340" i="18"/>
  <c r="CI335" i="18"/>
  <c r="BS335" i="18"/>
  <c r="BM315" i="18"/>
  <c r="AW406" i="18"/>
  <c r="AW315" i="18"/>
  <c r="DM406" i="18"/>
  <c r="AS406" i="18"/>
  <c r="DR340" i="18"/>
  <c r="EB320" i="18"/>
  <c r="CG340" i="18"/>
  <c r="CV325" i="18"/>
  <c r="DG320" i="18"/>
  <c r="CM315" i="18"/>
  <c r="DL320" i="18"/>
  <c r="EH320" i="18"/>
  <c r="CV340" i="18"/>
  <c r="O320" i="18"/>
  <c r="BL315" i="18"/>
  <c r="O335" i="18"/>
  <c r="CJ335" i="18"/>
  <c r="BP406" i="18"/>
  <c r="CH406" i="18"/>
  <c r="AN320" i="18"/>
  <c r="DI325" i="18"/>
  <c r="CY320" i="18"/>
  <c r="AI315" i="18"/>
  <c r="AT335" i="18"/>
  <c r="DI315" i="18"/>
  <c r="CL325" i="18"/>
  <c r="AZ325" i="18"/>
  <c r="CO406" i="18"/>
  <c r="AQ315" i="18"/>
  <c r="CZ325" i="18"/>
  <c r="AU340" i="18"/>
  <c r="DI335" i="18"/>
  <c r="DI340" i="18"/>
  <c r="BN320" i="18"/>
  <c r="CE315" i="18"/>
  <c r="AM325" i="18"/>
  <c r="DT335" i="18"/>
  <c r="AP320" i="18"/>
  <c r="BK406" i="18"/>
  <c r="CH335" i="18"/>
  <c r="AV335" i="18"/>
  <c r="EI320" i="18"/>
  <c r="AC335" i="18"/>
  <c r="DM325" i="18"/>
  <c r="N325" i="18"/>
  <c r="AZ340" i="18"/>
  <c r="O340" i="18"/>
  <c r="DN340" i="18"/>
  <c r="DW325" i="18"/>
  <c r="CT406" i="18"/>
  <c r="BM406" i="18"/>
  <c r="EE335" i="18"/>
  <c r="BN335" i="18"/>
  <c r="AO406" i="18"/>
  <c r="CH325" i="18"/>
  <c r="AZ320" i="18"/>
  <c r="BK320" i="18"/>
  <c r="AE406" i="18"/>
  <c r="W325" i="18"/>
  <c r="DR315" i="18"/>
  <c r="U335" i="18"/>
  <c r="BH406" i="18"/>
  <c r="Z406" i="18"/>
  <c r="DA320" i="18"/>
  <c r="BD320" i="18"/>
  <c r="DB340" i="18"/>
  <c r="AK335" i="18"/>
  <c r="DS335" i="18"/>
  <c r="BK335" i="18"/>
  <c r="CL340" i="18"/>
  <c r="O315" i="18"/>
  <c r="Y406" i="18"/>
  <c r="DF315" i="18"/>
  <c r="BE340" i="18"/>
  <c r="W315" i="18"/>
  <c r="DS315" i="18"/>
  <c r="BL406" i="18"/>
  <c r="AI325" i="18"/>
  <c r="CF406" i="18"/>
  <c r="DV315" i="18"/>
  <c r="DK325" i="18"/>
  <c r="BN315" i="18"/>
  <c r="T335" i="18"/>
  <c r="DK335" i="18"/>
  <c r="J325" i="18"/>
  <c r="BB406" i="18"/>
  <c r="CW330" i="18"/>
  <c r="DW406" i="18"/>
  <c r="CO325" i="18"/>
  <c r="BY315" i="18"/>
  <c r="CS320" i="18"/>
  <c r="BJ335" i="18"/>
  <c r="AR325" i="18"/>
  <c r="CO315" i="18"/>
  <c r="CO340" i="18"/>
  <c r="AO335" i="18"/>
  <c r="CB315" i="18"/>
  <c r="CW340" i="18"/>
  <c r="ED406" i="18"/>
  <c r="AQ406" i="18"/>
  <c r="CT335" i="18"/>
  <c r="Z315" i="18"/>
  <c r="L325" i="18"/>
  <c r="CS315" i="18"/>
  <c r="DG325" i="18"/>
  <c r="AT406" i="18"/>
  <c r="DT320" i="18"/>
  <c r="CX335" i="18"/>
  <c r="DT340" i="18"/>
  <c r="DA406" i="18"/>
  <c r="R335" i="18"/>
  <c r="AJ335" i="18"/>
  <c r="BM335" i="18"/>
  <c r="CQ315" i="18"/>
  <c r="AP325" i="18"/>
  <c r="EG320" i="18"/>
  <c r="BA325" i="18"/>
  <c r="AJ315" i="18"/>
  <c r="CN335" i="18"/>
  <c r="CQ406" i="18"/>
  <c r="DQ315" i="18"/>
  <c r="BA340" i="18"/>
  <c r="BT340" i="18"/>
  <c r="BT325" i="18"/>
  <c r="AF315" i="18"/>
  <c r="BZ315" i="18"/>
  <c r="R406" i="18"/>
  <c r="BU315" i="18"/>
  <c r="AC320" i="18"/>
  <c r="BJ315" i="18"/>
  <c r="DC340" i="18"/>
  <c r="DC344" i="18" s="1"/>
  <c r="DH406" i="18"/>
  <c r="EF406" i="18"/>
  <c r="V315" i="18"/>
  <c r="R340" i="18"/>
  <c r="AV315" i="18"/>
  <c r="BS340" i="18"/>
  <c r="CD325" i="18"/>
  <c r="CN340" i="18"/>
  <c r="DF406" i="18"/>
  <c r="AN340" i="18"/>
  <c r="AA340" i="18"/>
  <c r="BS406" i="18"/>
  <c r="AP335" i="18"/>
  <c r="T406" i="18"/>
  <c r="CD320" i="18"/>
  <c r="EE315" i="18"/>
  <c r="BB325" i="18"/>
  <c r="EB325" i="18"/>
  <c r="BI406" i="18"/>
  <c r="DE335" i="18"/>
  <c r="AZ335" i="18"/>
  <c r="BR406" i="18"/>
  <c r="AZ406" i="18"/>
  <c r="K320" i="18"/>
  <c r="EI406" i="18"/>
  <c r="AU335" i="18"/>
  <c r="BK315" i="18"/>
  <c r="CR335" i="18"/>
  <c r="DE325" i="18"/>
  <c r="AL340" i="18"/>
  <c r="CQ335" i="18"/>
  <c r="BX325" i="18"/>
  <c r="BR340" i="18"/>
  <c r="AR406" i="18"/>
  <c r="AU320" i="18"/>
  <c r="ED335" i="18"/>
  <c r="AG320" i="18"/>
  <c r="CU406" i="18"/>
  <c r="AU325" i="18"/>
  <c r="DR320" i="18"/>
  <c r="DQ406" i="18"/>
  <c r="DT315" i="18"/>
  <c r="DY340" i="18"/>
  <c r="DH335" i="18"/>
  <c r="CI325" i="18"/>
  <c r="ED315" i="18"/>
  <c r="DL325" i="18"/>
  <c r="CL320" i="18"/>
  <c r="CB340" i="18"/>
  <c r="Z335" i="18"/>
  <c r="BG315" i="18"/>
  <c r="CF325" i="18"/>
  <c r="BP315" i="18"/>
  <c r="CL406" i="18"/>
  <c r="CN406" i="18"/>
  <c r="DB320" i="18"/>
  <c r="L335" i="18"/>
  <c r="DG335" i="18"/>
  <c r="AB340" i="18"/>
  <c r="V335" i="18"/>
  <c r="AD335" i="18"/>
  <c r="CX320" i="18"/>
  <c r="Y325" i="18"/>
  <c r="BA335" i="18"/>
  <c r="CK406" i="18"/>
  <c r="BU320" i="18"/>
  <c r="BC320" i="18"/>
  <c r="CB325" i="18"/>
  <c r="X325" i="18"/>
  <c r="CD340" i="18"/>
  <c r="BB335" i="18"/>
  <c r="EA320" i="18"/>
  <c r="DZ325" i="18"/>
  <c r="CG320" i="18"/>
  <c r="U340" i="18"/>
  <c r="AM340" i="18"/>
  <c r="ED325" i="18"/>
  <c r="DV406" i="18"/>
  <c r="DX325" i="18"/>
  <c r="N335" i="18"/>
  <c r="DO320" i="18"/>
  <c r="BD325" i="18"/>
  <c r="AG335" i="18"/>
  <c r="V325" i="18"/>
  <c r="EG325" i="18"/>
  <c r="EE340" i="18"/>
  <c r="BO320" i="18"/>
  <c r="DN320" i="18"/>
  <c r="DC335" i="18"/>
  <c r="DS406" i="18"/>
  <c r="EH340" i="18"/>
  <c r="BI315" i="18"/>
  <c r="DH320" i="18"/>
  <c r="DW335" i="18"/>
  <c r="AE335" i="18"/>
  <c r="S325" i="18"/>
  <c r="AR335" i="18"/>
  <c r="CK325" i="18"/>
  <c r="AN325" i="18"/>
  <c r="N340" i="18"/>
  <c r="CL335" i="18"/>
  <c r="BN406" i="18"/>
  <c r="CY315" i="18"/>
  <c r="R325" i="18"/>
  <c r="CR340" i="18"/>
  <c r="CR344" i="18" s="1"/>
  <c r="AH320" i="18"/>
  <c r="M335" i="18"/>
  <c r="DK320" i="18"/>
  <c r="T340" i="18"/>
  <c r="L315" i="18"/>
  <c r="DP315" i="18"/>
  <c r="AK325" i="18"/>
  <c r="CA406" i="18"/>
  <c r="AT325" i="18"/>
  <c r="CA335" i="18"/>
  <c r="DS340" i="18"/>
  <c r="EB406" i="18"/>
  <c r="DY320" i="18"/>
  <c r="Z320" i="18"/>
  <c r="AM330" i="18"/>
  <c r="AM344" i="18" s="1"/>
  <c r="CG330" i="18"/>
  <c r="EA330" i="18"/>
  <c r="BS330" i="18"/>
  <c r="AC330" i="18"/>
  <c r="DZ330" i="18"/>
  <c r="DZ344" i="18" s="1"/>
  <c r="O330" i="18"/>
  <c r="BL330" i="18"/>
  <c r="BL344" i="18" s="1"/>
  <c r="BU330" i="18"/>
  <c r="DZ406" i="18"/>
  <c r="DV335" i="18"/>
  <c r="N315" i="18"/>
  <c r="AO325" i="18"/>
  <c r="DL335" i="18"/>
  <c r="DX340" i="18"/>
  <c r="EC330" i="18"/>
  <c r="CK330" i="18"/>
  <c r="AG330" i="18"/>
  <c r="BH330" i="18"/>
  <c r="DV330" i="18"/>
  <c r="BF330" i="18"/>
  <c r="DW320" i="18"/>
  <c r="U320" i="18"/>
  <c r="AN335" i="18"/>
  <c r="EA335" i="18"/>
  <c r="BR315" i="18"/>
  <c r="W406" i="18"/>
  <c r="CS330" i="18"/>
  <c r="BQ330" i="18"/>
  <c r="AL330" i="18"/>
  <c r="AT330" i="18"/>
  <c r="EF330" i="18"/>
  <c r="AD330" i="18"/>
  <c r="AD344" i="18" s="1"/>
  <c r="CA330" i="18"/>
  <c r="CN330" i="18"/>
  <c r="BT315" i="18"/>
  <c r="AW340" i="18"/>
  <c r="BX335" i="18"/>
  <c r="AS340" i="18"/>
  <c r="CW325" i="18"/>
  <c r="W335" i="18"/>
  <c r="CQ330" i="18"/>
  <c r="CQ344" i="18" s="1"/>
  <c r="J330" i="18"/>
  <c r="CC330" i="18"/>
  <c r="BR330" i="18"/>
  <c r="AI330" i="18"/>
  <c r="DK330" i="18"/>
  <c r="DE330" i="18"/>
  <c r="EE330" i="18"/>
  <c r="CT315" i="18"/>
  <c r="EF335" i="18"/>
  <c r="AL320" i="18"/>
  <c r="V406" i="18"/>
  <c r="DQ340" i="18"/>
  <c r="AY340" i="18"/>
  <c r="AX406" i="18"/>
  <c r="BJ406" i="18"/>
  <c r="DR335" i="18"/>
  <c r="DZ315" i="18"/>
  <c r="DM340" i="18"/>
  <c r="EB315" i="18"/>
  <c r="W340" i="18"/>
  <c r="DN335" i="18"/>
  <c r="V340" i="18"/>
  <c r="EE406" i="18"/>
  <c r="DV325" i="18"/>
  <c r="DO325" i="18"/>
  <c r="EB340" i="18"/>
  <c r="M406" i="18"/>
  <c r="Y320" i="18"/>
  <c r="AZ315" i="18"/>
  <c r="AJ325" i="18"/>
  <c r="BA406" i="18"/>
  <c r="BT406" i="18"/>
  <c r="BV335" i="18"/>
  <c r="CS335" i="18"/>
  <c r="DY406" i="18"/>
  <c r="BV325" i="18"/>
  <c r="CH340" i="18"/>
  <c r="AQ335" i="18"/>
  <c r="DD325" i="18"/>
  <c r="N320" i="18"/>
  <c r="AV325" i="18"/>
  <c r="BW320" i="18"/>
  <c r="AL325" i="18"/>
  <c r="DZ335" i="18"/>
  <c r="CP335" i="18"/>
  <c r="AB335" i="18"/>
  <c r="CV320" i="18"/>
  <c r="CF320" i="18"/>
  <c r="CZ315" i="18"/>
  <c r="AO340" i="18"/>
  <c r="DF340" i="18"/>
  <c r="DJ340" i="18"/>
  <c r="BC315" i="18"/>
  <c r="EA315" i="18"/>
  <c r="DG340" i="18"/>
  <c r="AJ406" i="18"/>
  <c r="CR406" i="18"/>
  <c r="DC325" i="18"/>
  <c r="DX406" i="18"/>
  <c r="CA340" i="18"/>
  <c r="V320" i="18"/>
  <c r="AA315" i="18"/>
  <c r="DP406" i="18"/>
  <c r="DK315" i="18"/>
  <c r="AE340" i="18"/>
  <c r="CP406" i="18"/>
  <c r="BO325" i="18"/>
  <c r="EI325" i="18"/>
  <c r="CY340" i="18"/>
  <c r="AX320" i="18"/>
  <c r="AK340" i="18"/>
  <c r="BW325" i="18"/>
  <c r="BL320" i="18"/>
  <c r="DD315" i="18"/>
  <c r="P320" i="18"/>
  <c r="AM320" i="18"/>
  <c r="DF320" i="18"/>
  <c r="BP340" i="18"/>
  <c r="BN325" i="18"/>
  <c r="EE325" i="18"/>
  <c r="BF335" i="18"/>
  <c r="AS320" i="18"/>
  <c r="DO315" i="18"/>
  <c r="EG315" i="18"/>
  <c r="BZ320" i="18"/>
  <c r="AL406" i="18"/>
  <c r="BV320" i="18"/>
  <c r="DP335" i="18"/>
  <c r="U406" i="18"/>
  <c r="BZ335" i="18"/>
  <c r="BD315" i="18"/>
  <c r="AJ320" i="18"/>
  <c r="EH325" i="18"/>
  <c r="EC340" i="18"/>
  <c r="EC344" i="18" s="1"/>
  <c r="CZ340" i="18"/>
  <c r="AO320" i="18"/>
  <c r="DR325" i="18"/>
  <c r="BQ340" i="18"/>
  <c r="Q320" i="18"/>
  <c r="DN295" i="18"/>
  <c r="BP295" i="18"/>
  <c r="DM295" i="18"/>
  <c r="DD295" i="18"/>
  <c r="DT295" i="18"/>
  <c r="BC295" i="18"/>
  <c r="CZ295" i="18"/>
  <c r="AM295" i="18"/>
  <c r="P295" i="18"/>
  <c r="AT295" i="18"/>
  <c r="R295" i="18"/>
  <c r="AY295" i="18"/>
  <c r="CO295" i="18"/>
  <c r="CA295" i="18"/>
  <c r="DX295" i="18"/>
  <c r="DZ295" i="18"/>
  <c r="CF295" i="18"/>
  <c r="BB295" i="18"/>
  <c r="EB295" i="18"/>
  <c r="EF295" i="18"/>
  <c r="DR295" i="18"/>
  <c r="CH295" i="18"/>
  <c r="O295" i="18"/>
  <c r="CX295" i="18"/>
  <c r="AN295" i="18"/>
  <c r="CD295" i="18"/>
  <c r="K295" i="18"/>
  <c r="BR295" i="18"/>
  <c r="AK295" i="18"/>
  <c r="BS295" i="18"/>
  <c r="DY295" i="18"/>
  <c r="AG295" i="18"/>
  <c r="AI295" i="18"/>
  <c r="T295" i="18"/>
  <c r="BN295" i="18"/>
  <c r="AQ295" i="18"/>
  <c r="AZ295" i="18"/>
  <c r="DC295" i="18"/>
  <c r="AP295" i="18"/>
  <c r="DP295" i="18"/>
  <c r="AX295" i="18"/>
  <c r="AL295" i="18"/>
  <c r="CP295" i="18"/>
  <c r="ED295" i="18"/>
  <c r="Z295" i="18"/>
  <c r="CM295" i="18"/>
  <c r="DQ295" i="18"/>
  <c r="AB295" i="18"/>
  <c r="DJ295" i="18"/>
  <c r="CY295" i="18"/>
  <c r="BY295" i="18"/>
  <c r="BJ295" i="18"/>
  <c r="BQ295" i="18"/>
  <c r="AW295" i="18"/>
  <c r="CL295" i="18"/>
  <c r="V295" i="18"/>
  <c r="AA295" i="18"/>
  <c r="BI295" i="18"/>
  <c r="BM295" i="18"/>
  <c r="DL295" i="18"/>
  <c r="BW295" i="18"/>
  <c r="DG295" i="18"/>
  <c r="CV295" i="18"/>
  <c r="DK295" i="18"/>
  <c r="DA295" i="18"/>
  <c r="U295" i="18"/>
  <c r="DB295" i="18"/>
  <c r="AH295" i="18"/>
  <c r="BL295" i="18"/>
  <c r="S295" i="18"/>
  <c r="DW295" i="18"/>
  <c r="Y295" i="18"/>
  <c r="BH295" i="18"/>
  <c r="DU295" i="18"/>
  <c r="CU295" i="18"/>
  <c r="BA295" i="18"/>
  <c r="EG295" i="18"/>
  <c r="CI295" i="18"/>
  <c r="M295" i="18"/>
  <c r="CE295" i="18"/>
  <c r="CS295" i="18"/>
  <c r="BX295" i="18"/>
  <c r="EI295" i="18"/>
  <c r="BE295" i="18"/>
  <c r="W295" i="18"/>
  <c r="BV295" i="18"/>
  <c r="AD295" i="18"/>
  <c r="Q295" i="18"/>
  <c r="BZ295" i="18"/>
  <c r="EH295" i="18"/>
  <c r="BO295" i="18"/>
  <c r="AO295" i="18"/>
  <c r="CT295" i="18"/>
  <c r="DO295" i="18"/>
  <c r="CJ295" i="18"/>
  <c r="CB295" i="18"/>
  <c r="EC295" i="18"/>
  <c r="N295" i="18"/>
  <c r="DI295" i="18"/>
  <c r="BF295" i="18"/>
  <c r="I128" i="18"/>
  <c r="I109" i="10"/>
  <c r="J109" i="10" s="1"/>
  <c r="F35" i="18"/>
  <c r="G35" i="18" s="1"/>
  <c r="D21" i="14" s="1"/>
  <c r="K395" i="18"/>
  <c r="L395" i="18" s="1"/>
  <c r="K269" i="18"/>
  <c r="L269" i="18" s="1"/>
  <c r="H353" i="18"/>
  <c r="H352" i="18"/>
  <c r="I350" i="18"/>
  <c r="J350" i="18" s="1"/>
  <c r="I178" i="18"/>
  <c r="J139" i="18"/>
  <c r="K139" i="18" s="1"/>
  <c r="J141" i="18"/>
  <c r="J312" i="18"/>
  <c r="P287" i="18"/>
  <c r="I219" i="18"/>
  <c r="J216" i="18"/>
  <c r="H215" i="18" s="1"/>
  <c r="J198" i="18"/>
  <c r="H197" i="18" s="1"/>
  <c r="I377" i="18"/>
  <c r="AC253" i="10"/>
  <c r="AD253" i="10" s="1"/>
  <c r="J272" i="18"/>
  <c r="I312" i="18"/>
  <c r="I311" i="18"/>
  <c r="J311" i="18" s="1"/>
  <c r="H327" i="18"/>
  <c r="I155" i="18"/>
  <c r="H326" i="18"/>
  <c r="I324" i="18"/>
  <c r="H329" i="18"/>
  <c r="I145" i="18"/>
  <c r="J204" i="18"/>
  <c r="H203" i="18" s="1"/>
  <c r="J380" i="18"/>
  <c r="EJ23" i="18"/>
  <c r="G23" i="18"/>
  <c r="J375" i="18"/>
  <c r="I282" i="18"/>
  <c r="EJ26" i="18"/>
  <c r="G26" i="18"/>
  <c r="I398" i="18"/>
  <c r="H297" i="18"/>
  <c r="H296" i="18"/>
  <c r="I123" i="18"/>
  <c r="I294" i="18"/>
  <c r="I271" i="18"/>
  <c r="I272" i="18"/>
  <c r="H358" i="18"/>
  <c r="H357" i="18"/>
  <c r="I355" i="18"/>
  <c r="I183" i="18"/>
  <c r="K309" i="18"/>
  <c r="Q284" i="18"/>
  <c r="R284" i="18" s="1"/>
  <c r="G42" i="18"/>
  <c r="D24" i="14" s="1"/>
  <c r="EJ42" i="18"/>
  <c r="EG24" i="14" s="1"/>
  <c r="I383" i="18"/>
  <c r="J108" i="18"/>
  <c r="H107" i="18" s="1"/>
  <c r="J279" i="18"/>
  <c r="J398" i="18"/>
  <c r="J135" i="18"/>
  <c r="I382" i="18"/>
  <c r="I378" i="18"/>
  <c r="J213" i="18"/>
  <c r="H212" i="18" s="1"/>
  <c r="I397" i="18"/>
  <c r="J397" i="18" s="1"/>
  <c r="H277" i="18"/>
  <c r="I274" i="18"/>
  <c r="H276" i="18"/>
  <c r="I103" i="18"/>
  <c r="F33" i="18"/>
  <c r="J98" i="18"/>
  <c r="I281" i="18" l="1"/>
  <c r="I403" i="18"/>
  <c r="I150" i="18"/>
  <c r="L400" i="18"/>
  <c r="J403" i="18"/>
  <c r="I402" i="18"/>
  <c r="I165" i="18"/>
  <c r="J304" i="18"/>
  <c r="J307" i="18" s="1"/>
  <c r="J133" i="18"/>
  <c r="H132" i="18" s="1"/>
  <c r="I306" i="18"/>
  <c r="J355" i="18"/>
  <c r="K355" i="18" s="1"/>
  <c r="L355" i="18" s="1"/>
  <c r="I339" i="18"/>
  <c r="J339" i="18" s="1"/>
  <c r="J342" i="18" s="1"/>
  <c r="I170" i="18"/>
  <c r="I344" i="18"/>
  <c r="I405" i="18"/>
  <c r="I407" i="18" s="1"/>
  <c r="J207" i="18"/>
  <c r="H206" i="18" s="1"/>
  <c r="H205" i="18" s="1"/>
  <c r="H408" i="18"/>
  <c r="H337" i="18"/>
  <c r="I334" i="18"/>
  <c r="J334" i="18" s="1"/>
  <c r="J337" i="18" s="1"/>
  <c r="H301" i="18"/>
  <c r="I319" i="18"/>
  <c r="I321" i="18" s="1"/>
  <c r="I299" i="18"/>
  <c r="I302" i="18" s="1"/>
  <c r="H316" i="18"/>
  <c r="I316" i="18" s="1"/>
  <c r="H317" i="18"/>
  <c r="DO344" i="18"/>
  <c r="H322" i="18"/>
  <c r="CY344" i="18"/>
  <c r="CH344" i="18"/>
  <c r="AY344" i="18"/>
  <c r="DK344" i="18"/>
  <c r="DW344" i="18"/>
  <c r="BO344" i="18"/>
  <c r="CZ344" i="18"/>
  <c r="EI344" i="18"/>
  <c r="DE344" i="18"/>
  <c r="DV344" i="18"/>
  <c r="BA344" i="18"/>
  <c r="AZ344" i="18"/>
  <c r="CP344" i="18"/>
  <c r="BB344" i="18"/>
  <c r="H344" i="18"/>
  <c r="H341" i="18"/>
  <c r="R344" i="18"/>
  <c r="DD344" i="18"/>
  <c r="AO344" i="18"/>
  <c r="CG344" i="18"/>
  <c r="DY344" i="18"/>
  <c r="BJ344" i="18"/>
  <c r="CF344" i="18"/>
  <c r="Z344" i="18"/>
  <c r="AS344" i="18"/>
  <c r="BH344" i="18"/>
  <c r="AN344" i="18"/>
  <c r="BX344" i="18"/>
  <c r="AG344" i="18"/>
  <c r="L344" i="18"/>
  <c r="J201" i="18"/>
  <c r="H200" i="18" s="1"/>
  <c r="H199" i="18" s="1"/>
  <c r="AT344" i="18"/>
  <c r="CS344" i="18"/>
  <c r="N344" i="18"/>
  <c r="M344" i="18"/>
  <c r="L370" i="18"/>
  <c r="DA344" i="18"/>
  <c r="AQ344" i="18"/>
  <c r="CM344" i="18"/>
  <c r="CJ344" i="18"/>
  <c r="K344" i="18"/>
  <c r="AJ344" i="18"/>
  <c r="DB344" i="18"/>
  <c r="U344" i="18"/>
  <c r="AW344" i="18"/>
  <c r="AC344" i="18"/>
  <c r="CT344" i="18"/>
  <c r="CN344" i="18"/>
  <c r="O344" i="18"/>
  <c r="DH344" i="18"/>
  <c r="CU344" i="18"/>
  <c r="EG344" i="18"/>
  <c r="EF344" i="18"/>
  <c r="AX344" i="18"/>
  <c r="BU344" i="18"/>
  <c r="DX344" i="18"/>
  <c r="DG344" i="18"/>
  <c r="CD344" i="18"/>
  <c r="AF344" i="18"/>
  <c r="AI344" i="18"/>
  <c r="AL344" i="18"/>
  <c r="BM344" i="18"/>
  <c r="EE344" i="18"/>
  <c r="CK344" i="18"/>
  <c r="BN344" i="18"/>
  <c r="EB344" i="18"/>
  <c r="CC344" i="18"/>
  <c r="BS344" i="18"/>
  <c r="AB344" i="18"/>
  <c r="AA344" i="18"/>
  <c r="AV344" i="18"/>
  <c r="CW344" i="18"/>
  <c r="J344" i="18"/>
  <c r="DM344" i="18"/>
  <c r="V344" i="18"/>
  <c r="AK344" i="18"/>
  <c r="CX344" i="18"/>
  <c r="DF344" i="18"/>
  <c r="BW344" i="18"/>
  <c r="BK344" i="18"/>
  <c r="DS344" i="18"/>
  <c r="AU344" i="18"/>
  <c r="S344" i="18"/>
  <c r="CA344" i="18"/>
  <c r="DJ344" i="18"/>
  <c r="W344" i="18"/>
  <c r="CE344" i="18"/>
  <c r="DL344" i="18"/>
  <c r="BF344" i="18"/>
  <c r="EH344" i="18"/>
  <c r="P344" i="18"/>
  <c r="CL344" i="18"/>
  <c r="BC344" i="18"/>
  <c r="Y344" i="18"/>
  <c r="BP344" i="18"/>
  <c r="DT344" i="18"/>
  <c r="CB344" i="18"/>
  <c r="BV344" i="18"/>
  <c r="CV344" i="18"/>
  <c r="AE344" i="18"/>
  <c r="EA344" i="18"/>
  <c r="AH344" i="18"/>
  <c r="DQ344" i="18"/>
  <c r="T344" i="18"/>
  <c r="BY344" i="18"/>
  <c r="BR344" i="18"/>
  <c r="BT344" i="18"/>
  <c r="BI344" i="18"/>
  <c r="BZ344" i="18"/>
  <c r="BD344" i="18"/>
  <c r="DU344" i="18"/>
  <c r="BG344" i="18"/>
  <c r="AR344" i="18"/>
  <c r="Q344" i="18"/>
  <c r="BQ344" i="18"/>
  <c r="BE344" i="18"/>
  <c r="DI344" i="18"/>
  <c r="CI344" i="18"/>
  <c r="DP344" i="18"/>
  <c r="DR344" i="18"/>
  <c r="ED344" i="18"/>
  <c r="CO344" i="18"/>
  <c r="DN344" i="18"/>
  <c r="J299" i="18"/>
  <c r="K299" i="18" s="1"/>
  <c r="I5" i="10"/>
  <c r="J5" i="10" s="1"/>
  <c r="AC109" i="10"/>
  <c r="K398" i="18"/>
  <c r="EJ35" i="18"/>
  <c r="EG21" i="14" s="1"/>
  <c r="J382" i="18"/>
  <c r="J281" i="18"/>
  <c r="M269" i="18"/>
  <c r="M272" i="18" s="1"/>
  <c r="R287" i="18"/>
  <c r="S284" i="18"/>
  <c r="K213" i="18"/>
  <c r="I212" i="18" s="1"/>
  <c r="I211" i="18" s="1"/>
  <c r="I59" i="18" s="1"/>
  <c r="J271" i="18"/>
  <c r="K271" i="18" s="1"/>
  <c r="H202" i="18"/>
  <c r="J145" i="18"/>
  <c r="H144" i="18" s="1"/>
  <c r="J314" i="18"/>
  <c r="J324" i="18"/>
  <c r="K324" i="18" s="1"/>
  <c r="F34" i="18"/>
  <c r="F8" i="18" s="1"/>
  <c r="K216" i="18"/>
  <c r="L216" i="18" s="1"/>
  <c r="J219" i="18"/>
  <c r="H218" i="18" s="1"/>
  <c r="I352" i="18"/>
  <c r="J353" i="18"/>
  <c r="K272" i="18"/>
  <c r="H97" i="18"/>
  <c r="K98" i="18"/>
  <c r="I277" i="18"/>
  <c r="K397" i="18"/>
  <c r="L397" i="18" s="1"/>
  <c r="J282" i="18"/>
  <c r="L385" i="18"/>
  <c r="M385" i="18" s="1"/>
  <c r="N385" i="18" s="1"/>
  <c r="K312" i="18"/>
  <c r="I357" i="18"/>
  <c r="I297" i="18"/>
  <c r="K279" i="18"/>
  <c r="D16" i="14"/>
  <c r="J383" i="18"/>
  <c r="K380" i="18"/>
  <c r="K204" i="18"/>
  <c r="I317" i="18"/>
  <c r="I327" i="18"/>
  <c r="J377" i="18"/>
  <c r="K198" i="18"/>
  <c r="I197" i="18" s="1"/>
  <c r="I196" i="18" s="1"/>
  <c r="I52" i="18" s="1"/>
  <c r="H214" i="18"/>
  <c r="K350" i="18"/>
  <c r="G33" i="18"/>
  <c r="D19" i="14" s="1"/>
  <c r="EJ33" i="18"/>
  <c r="EG19" i="14" s="1"/>
  <c r="J274" i="18"/>
  <c r="H211" i="18"/>
  <c r="L403" i="18"/>
  <c r="Q287" i="18"/>
  <c r="J183" i="18"/>
  <c r="H182" i="18" s="1"/>
  <c r="Q286" i="18"/>
  <c r="J123" i="18"/>
  <c r="H122" i="18" s="1"/>
  <c r="I296" i="18"/>
  <c r="J294" i="18"/>
  <c r="K294" i="18" s="1"/>
  <c r="EG16" i="14"/>
  <c r="M400" i="18"/>
  <c r="I326" i="18"/>
  <c r="L272" i="18"/>
  <c r="L309" i="18"/>
  <c r="M309" i="18" s="1"/>
  <c r="K141" i="18"/>
  <c r="L141" i="18" s="1"/>
  <c r="J178" i="18"/>
  <c r="H177" i="18" s="1"/>
  <c r="J103" i="18"/>
  <c r="H102" i="18" s="1"/>
  <c r="I276" i="18"/>
  <c r="L398" i="18"/>
  <c r="M395" i="18"/>
  <c r="N395" i="18" s="1"/>
  <c r="K108" i="18"/>
  <c r="I358" i="18"/>
  <c r="J378" i="18"/>
  <c r="K375" i="18"/>
  <c r="J402" i="18"/>
  <c r="H332" i="18"/>
  <c r="I329" i="18"/>
  <c r="J329" i="18" s="1"/>
  <c r="H331" i="18"/>
  <c r="I160" i="18"/>
  <c r="J155" i="18"/>
  <c r="H154" i="18" s="1"/>
  <c r="K311" i="18"/>
  <c r="H196" i="18"/>
  <c r="L139" i="18"/>
  <c r="I353" i="18"/>
  <c r="K304" i="18" l="1"/>
  <c r="K135" i="18"/>
  <c r="K133" i="18"/>
  <c r="I132" i="18" s="1"/>
  <c r="J306" i="18"/>
  <c r="J358" i="18"/>
  <c r="K207" i="18"/>
  <c r="I206" i="18" s="1"/>
  <c r="J170" i="18"/>
  <c r="H169" i="18" s="1"/>
  <c r="I341" i="18"/>
  <c r="J341" i="18" s="1"/>
  <c r="K339" i="18"/>
  <c r="K342" i="18" s="1"/>
  <c r="I342" i="18"/>
  <c r="J128" i="18"/>
  <c r="I408" i="18"/>
  <c r="J405" i="18"/>
  <c r="K405" i="18" s="1"/>
  <c r="K408" i="18" s="1"/>
  <c r="J165" i="18"/>
  <c r="H164" i="18" s="1"/>
  <c r="J150" i="18"/>
  <c r="H149" i="18" s="1"/>
  <c r="I346" i="18"/>
  <c r="I337" i="18"/>
  <c r="I336" i="18"/>
  <c r="J336" i="18" s="1"/>
  <c r="K334" i="18"/>
  <c r="L334" i="18" s="1"/>
  <c r="L337" i="18" s="1"/>
  <c r="J319" i="18"/>
  <c r="K319" i="18" s="1"/>
  <c r="K322" i="18" s="1"/>
  <c r="H346" i="18"/>
  <c r="H345" i="18" s="1"/>
  <c r="H227" i="18" s="1"/>
  <c r="H372" i="18" s="1"/>
  <c r="I322" i="18"/>
  <c r="I301" i="18"/>
  <c r="J301" i="18" s="1"/>
  <c r="K301" i="18" s="1"/>
  <c r="L346" i="18"/>
  <c r="K201" i="18"/>
  <c r="L201" i="18" s="1"/>
  <c r="M201" i="18" s="1"/>
  <c r="O346" i="18"/>
  <c r="K346" i="18"/>
  <c r="M346" i="18"/>
  <c r="N346" i="18"/>
  <c r="J346" i="18"/>
  <c r="H57" i="18"/>
  <c r="M370" i="18"/>
  <c r="J302" i="18"/>
  <c r="BO346" i="18"/>
  <c r="DH346" i="18"/>
  <c r="U346" i="18"/>
  <c r="CX346" i="18"/>
  <c r="EE346" i="18"/>
  <c r="DY346" i="18"/>
  <c r="AD346" i="18"/>
  <c r="AX346" i="18"/>
  <c r="CI346" i="18"/>
  <c r="AG346" i="18"/>
  <c r="AC346" i="18"/>
  <c r="AO346" i="18"/>
  <c r="BF346" i="18"/>
  <c r="AK346" i="18"/>
  <c r="EG346" i="18"/>
  <c r="W346" i="18"/>
  <c r="AJ346" i="18"/>
  <c r="BV346" i="18"/>
  <c r="Q346" i="18"/>
  <c r="P346" i="18"/>
  <c r="S346" i="18"/>
  <c r="CW346" i="18"/>
  <c r="AV346" i="18"/>
  <c r="AF346" i="18"/>
  <c r="BA346" i="18"/>
  <c r="CY346" i="18"/>
  <c r="DL346" i="18"/>
  <c r="R346" i="18"/>
  <c r="Z346" i="18"/>
  <c r="DK346" i="18"/>
  <c r="AU346" i="18"/>
  <c r="BZ346" i="18"/>
  <c r="AQ346" i="18"/>
  <c r="T346" i="18"/>
  <c r="BK346" i="18"/>
  <c r="AH346" i="18"/>
  <c r="DJ346" i="18"/>
  <c r="DP346" i="18"/>
  <c r="EF346" i="18"/>
  <c r="AA346" i="18"/>
  <c r="AI346" i="18"/>
  <c r="AE346" i="18"/>
  <c r="AP346" i="18"/>
  <c r="AR346" i="18"/>
  <c r="AM346" i="18"/>
  <c r="AB346" i="18"/>
  <c r="BC346" i="18"/>
  <c r="X346" i="18"/>
  <c r="Y346" i="18"/>
  <c r="V346" i="18"/>
  <c r="AL346" i="18"/>
  <c r="AN346" i="18"/>
  <c r="BJ346" i="18"/>
  <c r="CB346" i="18"/>
  <c r="BH346" i="18"/>
  <c r="EB346" i="18"/>
  <c r="BL346" i="18"/>
  <c r="BT346" i="18"/>
  <c r="CV346" i="18"/>
  <c r="EC346" i="18"/>
  <c r="CO346" i="18"/>
  <c r="CC346" i="18"/>
  <c r="BX346" i="18"/>
  <c r="CK346" i="18"/>
  <c r="BW346" i="18"/>
  <c r="DR346" i="18"/>
  <c r="CQ346" i="18"/>
  <c r="CR346" i="18"/>
  <c r="BR346" i="18"/>
  <c r="BD346" i="18"/>
  <c r="AS346" i="18"/>
  <c r="BU346" i="18"/>
  <c r="DM346" i="18"/>
  <c r="DT346" i="18"/>
  <c r="DQ346" i="18"/>
  <c r="CD346" i="18"/>
  <c r="BB346" i="18"/>
  <c r="DO346" i="18"/>
  <c r="DW346" i="18"/>
  <c r="EH346" i="18"/>
  <c r="CL346" i="18"/>
  <c r="ED346" i="18"/>
  <c r="BY346" i="18"/>
  <c r="CS346" i="18"/>
  <c r="DB346" i="18"/>
  <c r="DX346" i="18"/>
  <c r="CA346" i="18"/>
  <c r="AW346" i="18"/>
  <c r="AY346" i="18"/>
  <c r="DC346" i="18"/>
  <c r="CT346" i="18"/>
  <c r="DF346" i="18"/>
  <c r="BM346" i="18"/>
  <c r="DE346" i="18"/>
  <c r="CU346" i="18"/>
  <c r="BE346" i="18"/>
  <c r="DN346" i="18"/>
  <c r="AT346" i="18"/>
  <c r="DZ346" i="18"/>
  <c r="EI346" i="18"/>
  <c r="BN346" i="18"/>
  <c r="CM346" i="18"/>
  <c r="DU346" i="18"/>
  <c r="CH346" i="18"/>
  <c r="DV346" i="18"/>
  <c r="CN346" i="18"/>
  <c r="DS346" i="18"/>
  <c r="BQ346" i="18"/>
  <c r="CP346" i="18"/>
  <c r="BI346" i="18"/>
  <c r="CJ346" i="18"/>
  <c r="DD346" i="18"/>
  <c r="EA346" i="18"/>
  <c r="DA346" i="18"/>
  <c r="CF346" i="18"/>
  <c r="BP346" i="18"/>
  <c r="CE346" i="18"/>
  <c r="DG346" i="18"/>
  <c r="BG346" i="18"/>
  <c r="CG346" i="18"/>
  <c r="BS346" i="18"/>
  <c r="AZ346" i="18"/>
  <c r="DI346" i="18"/>
  <c r="CZ346" i="18"/>
  <c r="H245" i="18"/>
  <c r="H367" i="18"/>
  <c r="AD109" i="10"/>
  <c r="AC5" i="10"/>
  <c r="AD5" i="10" s="1"/>
  <c r="J276" i="18"/>
  <c r="J316" i="18"/>
  <c r="N269" i="18"/>
  <c r="O269" i="18" s="1"/>
  <c r="O272" i="18" s="1"/>
  <c r="J326" i="18"/>
  <c r="K326" i="18" s="1"/>
  <c r="I215" i="18"/>
  <c r="I214" i="18" s="1"/>
  <c r="I60" i="18" s="1"/>
  <c r="J296" i="18"/>
  <c r="K296" i="18" s="1"/>
  <c r="K329" i="18"/>
  <c r="L329" i="18" s="1"/>
  <c r="L207" i="18"/>
  <c r="M207" i="18" s="1"/>
  <c r="N207" i="18" s="1"/>
  <c r="H364" i="18"/>
  <c r="H258" i="18"/>
  <c r="M397" i="18"/>
  <c r="N397" i="18" s="1"/>
  <c r="K219" i="18"/>
  <c r="I218" i="18" s="1"/>
  <c r="I217" i="18" s="1"/>
  <c r="M216" i="18"/>
  <c r="N216" i="18" s="1"/>
  <c r="J160" i="18"/>
  <c r="H159" i="18" s="1"/>
  <c r="I332" i="18"/>
  <c r="N398" i="18"/>
  <c r="O395" i="18"/>
  <c r="P395" i="18" s="1"/>
  <c r="Q395" i="18" s="1"/>
  <c r="R395" i="18" s="1"/>
  <c r="K155" i="18"/>
  <c r="I154" i="18" s="1"/>
  <c r="I331" i="18"/>
  <c r="J331" i="18" s="1"/>
  <c r="K297" i="18"/>
  <c r="K302" i="18"/>
  <c r="L299" i="18"/>
  <c r="I107" i="18"/>
  <c r="L108" i="18"/>
  <c r="M398" i="18"/>
  <c r="K103" i="18"/>
  <c r="I102" i="18" s="1"/>
  <c r="M141" i="18"/>
  <c r="L312" i="18"/>
  <c r="N309" i="18"/>
  <c r="O309" i="18" s="1"/>
  <c r="M139" i="18"/>
  <c r="M312" i="18"/>
  <c r="H52" i="18"/>
  <c r="L311" i="18"/>
  <c r="J332" i="18"/>
  <c r="K402" i="18"/>
  <c r="K378" i="18"/>
  <c r="L375" i="18"/>
  <c r="K377" i="18"/>
  <c r="L358" i="18"/>
  <c r="M355" i="18"/>
  <c r="N355" i="18" s="1"/>
  <c r="O355" i="18" s="1"/>
  <c r="O385" i="18"/>
  <c r="K178" i="18"/>
  <c r="M403" i="18"/>
  <c r="J297" i="18"/>
  <c r="L350" i="18"/>
  <c r="L198" i="18"/>
  <c r="L271" i="18"/>
  <c r="M271" i="18" s="1"/>
  <c r="K358" i="18"/>
  <c r="J352" i="18"/>
  <c r="K352" i="18" s="1"/>
  <c r="H217" i="18"/>
  <c r="G34" i="18"/>
  <c r="D20" i="14" s="1"/>
  <c r="D12" i="14" s="1"/>
  <c r="EJ34" i="18"/>
  <c r="H58" i="18"/>
  <c r="L213" i="18"/>
  <c r="K274" i="18"/>
  <c r="R286" i="18"/>
  <c r="K353" i="18"/>
  <c r="H55" i="18"/>
  <c r="K383" i="18"/>
  <c r="L380" i="18"/>
  <c r="M380" i="18" s="1"/>
  <c r="K382" i="18"/>
  <c r="K282" i="18"/>
  <c r="L98" i="18"/>
  <c r="L324" i="18"/>
  <c r="J327" i="18"/>
  <c r="L279" i="18"/>
  <c r="S287" i="18"/>
  <c r="T284" i="18"/>
  <c r="K327" i="18"/>
  <c r="K123" i="18"/>
  <c r="K183" i="18"/>
  <c r="I182" i="18" s="1"/>
  <c r="K281" i="18"/>
  <c r="K145" i="18"/>
  <c r="I144" i="18" s="1"/>
  <c r="L204" i="18"/>
  <c r="K307" i="18"/>
  <c r="L304" i="18"/>
  <c r="N400" i="18"/>
  <c r="H59" i="18"/>
  <c r="J277" i="18"/>
  <c r="H60" i="18"/>
  <c r="J357" i="18"/>
  <c r="I97" i="18"/>
  <c r="J317" i="18"/>
  <c r="K314" i="18"/>
  <c r="I203" i="18"/>
  <c r="L294" i="18"/>
  <c r="L133" i="18" l="1"/>
  <c r="M133" i="18" s="1"/>
  <c r="K306" i="18"/>
  <c r="L135" i="18"/>
  <c r="K170" i="18"/>
  <c r="I169" i="18" s="1"/>
  <c r="I175" i="18"/>
  <c r="H293" i="18"/>
  <c r="H235" i="18"/>
  <c r="I235" i="18" s="1"/>
  <c r="I236" i="18" s="1"/>
  <c r="L339" i="18"/>
  <c r="M339" i="18" s="1"/>
  <c r="M342" i="18" s="1"/>
  <c r="L405" i="18"/>
  <c r="M405" i="18" s="1"/>
  <c r="M408" i="18" s="1"/>
  <c r="H420" i="18"/>
  <c r="J407" i="18"/>
  <c r="K407" i="18" s="1"/>
  <c r="J408" i="18"/>
  <c r="H237" i="18"/>
  <c r="H236" i="18" s="1"/>
  <c r="H415" i="18"/>
  <c r="K165" i="18"/>
  <c r="L165" i="18" s="1"/>
  <c r="M165" i="18" s="1"/>
  <c r="H127" i="18"/>
  <c r="K128" i="18"/>
  <c r="L128" i="18" s="1"/>
  <c r="I345" i="18"/>
  <c r="I227" i="18" s="1"/>
  <c r="I252" i="18" s="1"/>
  <c r="H232" i="18"/>
  <c r="H263" i="18"/>
  <c r="H268" i="18"/>
  <c r="K150" i="18"/>
  <c r="L150" i="18" s="1"/>
  <c r="H242" i="18"/>
  <c r="H241" i="18" s="1"/>
  <c r="H240" i="18"/>
  <c r="I240" i="18" s="1"/>
  <c r="I241" i="18" s="1"/>
  <c r="H348" i="18"/>
  <c r="M334" i="18"/>
  <c r="M337" i="18" s="1"/>
  <c r="K337" i="18"/>
  <c r="H247" i="18"/>
  <c r="H246" i="18" s="1"/>
  <c r="H252" i="18"/>
  <c r="K336" i="18"/>
  <c r="L336" i="18" s="1"/>
  <c r="I200" i="18"/>
  <c r="I199" i="18" s="1"/>
  <c r="J321" i="18"/>
  <c r="K321" i="18" s="1"/>
  <c r="J322" i="18"/>
  <c r="L319" i="18"/>
  <c r="H347" i="18"/>
  <c r="H369" i="18"/>
  <c r="H250" i="18"/>
  <c r="I250" i="18" s="1"/>
  <c r="H387" i="18"/>
  <c r="H388" i="18" s="1"/>
  <c r="N370" i="18"/>
  <c r="I372" i="18"/>
  <c r="I373" i="18" s="1"/>
  <c r="H373" i="18"/>
  <c r="N201" i="18"/>
  <c r="I245" i="18"/>
  <c r="J245" i="18" s="1"/>
  <c r="AE4" i="10"/>
  <c r="N272" i="18"/>
  <c r="H251" i="18"/>
  <c r="H368" i="18"/>
  <c r="I367" i="18"/>
  <c r="J367" i="18" s="1"/>
  <c r="G8" i="18"/>
  <c r="P269" i="18"/>
  <c r="Q269" i="18" s="1"/>
  <c r="Q272" i="18" s="1"/>
  <c r="J215" i="18"/>
  <c r="J214" i="18" s="1"/>
  <c r="K332" i="18"/>
  <c r="J97" i="18"/>
  <c r="L332" i="18"/>
  <c r="M329" i="18"/>
  <c r="N329" i="18" s="1"/>
  <c r="I364" i="18"/>
  <c r="O397" i="18"/>
  <c r="P397" i="18" s="1"/>
  <c r="Q397" i="18" s="1"/>
  <c r="D10" i="14"/>
  <c r="O358" i="18"/>
  <c r="L327" i="18"/>
  <c r="M324" i="18"/>
  <c r="M383" i="18"/>
  <c r="K277" i="18"/>
  <c r="L274" i="18"/>
  <c r="H47" i="18"/>
  <c r="H41" i="18"/>
  <c r="L352" i="18"/>
  <c r="L123" i="18"/>
  <c r="M123" i="18" s="1"/>
  <c r="N358" i="18"/>
  <c r="L378" i="18"/>
  <c r="K341" i="18"/>
  <c r="O312" i="18"/>
  <c r="N312" i="18"/>
  <c r="P309" i="18"/>
  <c r="L302" i="18"/>
  <c r="F67" i="18"/>
  <c r="I177" i="18"/>
  <c r="O216" i="18"/>
  <c r="N139" i="18"/>
  <c r="O139" i="18" s="1"/>
  <c r="P139" i="18" s="1"/>
  <c r="L297" i="18"/>
  <c r="K357" i="18"/>
  <c r="L357" i="18" s="1"/>
  <c r="E29" i="14"/>
  <c r="M204" i="18"/>
  <c r="N204" i="18" s="1"/>
  <c r="L145" i="18"/>
  <c r="L281" i="18"/>
  <c r="L282" i="18"/>
  <c r="M279" i="18"/>
  <c r="N380" i="18"/>
  <c r="L383" i="18"/>
  <c r="M98" i="18"/>
  <c r="O400" i="18"/>
  <c r="P400" i="18" s="1"/>
  <c r="L326" i="18"/>
  <c r="M358" i="18"/>
  <c r="P355" i="18"/>
  <c r="M375" i="18"/>
  <c r="N141" i="18"/>
  <c r="P398" i="18"/>
  <c r="M108" i="18"/>
  <c r="L301" i="18"/>
  <c r="I205" i="18"/>
  <c r="J206" i="18"/>
  <c r="J205" i="18" s="1"/>
  <c r="J55" i="18" s="1"/>
  <c r="I202" i="18"/>
  <c r="J203" i="18"/>
  <c r="J202" i="18" s="1"/>
  <c r="J58" i="18" s="1"/>
  <c r="K317" i="18"/>
  <c r="L314" i="18"/>
  <c r="K316" i="18"/>
  <c r="N403" i="18"/>
  <c r="T287" i="18"/>
  <c r="U284" i="18"/>
  <c r="M294" i="18"/>
  <c r="L382" i="18"/>
  <c r="M382" i="18" s="1"/>
  <c r="S286" i="18"/>
  <c r="T286" i="18" s="1"/>
  <c r="J212" i="18"/>
  <c r="M213" i="18"/>
  <c r="N213" i="18" s="1"/>
  <c r="EG20" i="14"/>
  <c r="EG12" i="14" s="1"/>
  <c r="EG10" i="14" s="1"/>
  <c r="EG9" i="14" s="1"/>
  <c r="EH2" i="15" s="1"/>
  <c r="EJ8" i="18"/>
  <c r="EJ6" i="18" s="1"/>
  <c r="N271" i="18"/>
  <c r="J197" i="18"/>
  <c r="L296" i="18"/>
  <c r="L178" i="18"/>
  <c r="L103" i="18"/>
  <c r="P385" i="18"/>
  <c r="L377" i="18"/>
  <c r="L402" i="18"/>
  <c r="M402" i="18" s="1"/>
  <c r="N402" i="18" s="1"/>
  <c r="M311" i="18"/>
  <c r="N311" i="18" s="1"/>
  <c r="Q398" i="18"/>
  <c r="J107" i="18"/>
  <c r="K331" i="18"/>
  <c r="L331" i="18" s="1"/>
  <c r="K160" i="18"/>
  <c r="I159" i="18" s="1"/>
  <c r="K276" i="18"/>
  <c r="L307" i="18"/>
  <c r="M304" i="18"/>
  <c r="N304" i="18" s="1"/>
  <c r="I122" i="18"/>
  <c r="L183" i="18"/>
  <c r="I41" i="18"/>
  <c r="I47" i="18"/>
  <c r="M198" i="18"/>
  <c r="L353" i="18"/>
  <c r="M350" i="18"/>
  <c r="N350" i="18" s="1"/>
  <c r="R398" i="18"/>
  <c r="L306" i="18"/>
  <c r="M299" i="18"/>
  <c r="L155" i="18"/>
  <c r="M155" i="18" s="1"/>
  <c r="O207" i="18"/>
  <c r="O398" i="18"/>
  <c r="S395" i="18"/>
  <c r="L219" i="18"/>
  <c r="J132" i="18" l="1"/>
  <c r="M135" i="18"/>
  <c r="L170" i="18"/>
  <c r="M170" i="18" s="1"/>
  <c r="N405" i="18"/>
  <c r="N408" i="18" s="1"/>
  <c r="L408" i="18"/>
  <c r="M128" i="18"/>
  <c r="I258" i="18"/>
  <c r="N339" i="18"/>
  <c r="N342" i="18" s="1"/>
  <c r="L342" i="18"/>
  <c r="L341" i="18"/>
  <c r="M341" i="18" s="1"/>
  <c r="I164" i="18"/>
  <c r="J164" i="18" s="1"/>
  <c r="K164" i="18" s="1"/>
  <c r="I415" i="18"/>
  <c r="I293" i="18"/>
  <c r="I232" i="18"/>
  <c r="J175" i="18"/>
  <c r="H174" i="18" s="1"/>
  <c r="H173" i="18" s="1"/>
  <c r="I268" i="18"/>
  <c r="N334" i="18"/>
  <c r="O334" i="18" s="1"/>
  <c r="O337" i="18" s="1"/>
  <c r="I242" i="18"/>
  <c r="I263" i="18"/>
  <c r="M150" i="18"/>
  <c r="J345" i="18"/>
  <c r="J227" i="18" s="1"/>
  <c r="J256" i="18" s="1"/>
  <c r="I348" i="18"/>
  <c r="M319" i="18"/>
  <c r="N319" i="18" s="1"/>
  <c r="N322" i="18" s="1"/>
  <c r="I420" i="18"/>
  <c r="I237" i="18"/>
  <c r="I247" i="18"/>
  <c r="I246" i="18" s="1"/>
  <c r="I149" i="18"/>
  <c r="J149" i="18" s="1"/>
  <c r="L322" i="18"/>
  <c r="I369" i="18"/>
  <c r="I368" i="18" s="1"/>
  <c r="I347" i="18"/>
  <c r="N165" i="18"/>
  <c r="I127" i="18"/>
  <c r="J127" i="18" s="1"/>
  <c r="J200" i="18"/>
  <c r="K200" i="18" s="1"/>
  <c r="K199" i="18" s="1"/>
  <c r="K57" i="18" s="1"/>
  <c r="I387" i="18"/>
  <c r="I388" i="18" s="1"/>
  <c r="O201" i="18"/>
  <c r="O370" i="18"/>
  <c r="I57" i="18"/>
  <c r="J372" i="18"/>
  <c r="J240" i="18"/>
  <c r="J241" i="18" s="1"/>
  <c r="J250" i="18"/>
  <c r="I251" i="18"/>
  <c r="R269" i="18"/>
  <c r="R272" i="18" s="1"/>
  <c r="M332" i="18"/>
  <c r="P272" i="18"/>
  <c r="K215" i="18"/>
  <c r="L215" i="18" s="1"/>
  <c r="L214" i="18" s="1"/>
  <c r="L60" i="18" s="1"/>
  <c r="M326" i="18"/>
  <c r="O141" i="18"/>
  <c r="P141" i="18" s="1"/>
  <c r="Q141" i="18" s="1"/>
  <c r="M331" i="18"/>
  <c r="N331" i="18" s="1"/>
  <c r="O204" i="18"/>
  <c r="U286" i="18"/>
  <c r="J235" i="18"/>
  <c r="J236" i="18" s="1"/>
  <c r="K206" i="18"/>
  <c r="K205" i="18" s="1"/>
  <c r="K55" i="18" s="1"/>
  <c r="N135" i="18"/>
  <c r="N307" i="18"/>
  <c r="P403" i="18"/>
  <c r="Q400" i="18"/>
  <c r="S398" i="18"/>
  <c r="J122" i="18"/>
  <c r="R397" i="18"/>
  <c r="S397" i="18" s="1"/>
  <c r="L160" i="18"/>
  <c r="M160" i="18" s="1"/>
  <c r="N160" i="18" s="1"/>
  <c r="J60" i="18"/>
  <c r="N133" i="18"/>
  <c r="L316" i="18"/>
  <c r="I58" i="18"/>
  <c r="M378" i="18"/>
  <c r="M296" i="18"/>
  <c r="K97" i="18"/>
  <c r="N383" i="18"/>
  <c r="M183" i="18"/>
  <c r="N294" i="18"/>
  <c r="H138" i="18"/>
  <c r="Q139" i="18"/>
  <c r="O329" i="18"/>
  <c r="L321" i="18"/>
  <c r="N98" i="18"/>
  <c r="O98" i="18" s="1"/>
  <c r="P98" i="18" s="1"/>
  <c r="Q98" i="18" s="1"/>
  <c r="R98" i="18" s="1"/>
  <c r="M302" i="18"/>
  <c r="M306" i="18"/>
  <c r="N306" i="18" s="1"/>
  <c r="N353" i="18"/>
  <c r="O350" i="18"/>
  <c r="P350" i="18" s="1"/>
  <c r="J182" i="18"/>
  <c r="L276" i="18"/>
  <c r="L407" i="18"/>
  <c r="O213" i="18"/>
  <c r="U287" i="18"/>
  <c r="V284" i="18"/>
  <c r="L317" i="18"/>
  <c r="M314" i="18"/>
  <c r="M178" i="18"/>
  <c r="N108" i="18"/>
  <c r="P358" i="18"/>
  <c r="J102" i="18"/>
  <c r="M282" i="18"/>
  <c r="P216" i="18"/>
  <c r="M336" i="18"/>
  <c r="J218" i="18"/>
  <c r="P207" i="18"/>
  <c r="N299" i="18"/>
  <c r="N123" i="18"/>
  <c r="J196" i="18"/>
  <c r="K197" i="18"/>
  <c r="K196" i="18" s="1"/>
  <c r="K52" i="18" s="1"/>
  <c r="K203" i="18"/>
  <c r="M301" i="18"/>
  <c r="N375" i="18"/>
  <c r="M281" i="18"/>
  <c r="J144" i="18"/>
  <c r="M145" i="18"/>
  <c r="N128" i="18"/>
  <c r="L277" i="18"/>
  <c r="M274" i="18"/>
  <c r="M327" i="18"/>
  <c r="N324" i="18"/>
  <c r="M219" i="18"/>
  <c r="N155" i="18"/>
  <c r="J154" i="18"/>
  <c r="M353" i="18"/>
  <c r="N198" i="18"/>
  <c r="M307" i="18"/>
  <c r="O304" i="18"/>
  <c r="M357" i="18"/>
  <c r="N332" i="18"/>
  <c r="K107" i="18"/>
  <c r="O311" i="18"/>
  <c r="P311" i="18" s="1"/>
  <c r="O402" i="18"/>
  <c r="M377" i="18"/>
  <c r="Q385" i="18"/>
  <c r="O271" i="18"/>
  <c r="J211" i="18"/>
  <c r="K212" i="18"/>
  <c r="K211" i="18" s="1"/>
  <c r="K59" i="18" s="1"/>
  <c r="N382" i="18"/>
  <c r="M297" i="18"/>
  <c r="K132" i="18"/>
  <c r="M103" i="18"/>
  <c r="I55" i="18"/>
  <c r="O403" i="18"/>
  <c r="O380" i="18"/>
  <c r="Q355" i="18"/>
  <c r="J177" i="18"/>
  <c r="T395" i="18"/>
  <c r="P312" i="18"/>
  <c r="Q309" i="18"/>
  <c r="M352" i="18"/>
  <c r="N279" i="18"/>
  <c r="O339" i="18" l="1"/>
  <c r="J169" i="18"/>
  <c r="O405" i="18"/>
  <c r="K127" i="18"/>
  <c r="L127" i="18" s="1"/>
  <c r="P334" i="18"/>
  <c r="N341" i="18"/>
  <c r="O165" i="18"/>
  <c r="P165" i="18" s="1"/>
  <c r="M322" i="18"/>
  <c r="K175" i="18"/>
  <c r="O319" i="18"/>
  <c r="O322" i="18" s="1"/>
  <c r="K149" i="18"/>
  <c r="J347" i="18"/>
  <c r="K345" i="18"/>
  <c r="K227" i="18" s="1"/>
  <c r="J348" i="18"/>
  <c r="N336" i="18"/>
  <c r="O336" i="18" s="1"/>
  <c r="N337" i="18"/>
  <c r="N150" i="18"/>
  <c r="S98" i="18"/>
  <c r="J199" i="18"/>
  <c r="J57" i="18" s="1"/>
  <c r="L200" i="18"/>
  <c r="L199" i="18" s="1"/>
  <c r="L57" i="18" s="1"/>
  <c r="J387" i="18"/>
  <c r="P201" i="18"/>
  <c r="K372" i="18"/>
  <c r="K373" i="18" s="1"/>
  <c r="J373" i="18"/>
  <c r="P370" i="18"/>
  <c r="K240" i="18"/>
  <c r="K214" i="18"/>
  <c r="K60" i="18" s="1"/>
  <c r="S269" i="18"/>
  <c r="T269" i="18" s="1"/>
  <c r="J257" i="18"/>
  <c r="K256" i="18"/>
  <c r="J251" i="18"/>
  <c r="K250" i="18"/>
  <c r="N296" i="18"/>
  <c r="V286" i="18"/>
  <c r="M215" i="18"/>
  <c r="N215" i="18" s="1"/>
  <c r="O331" i="18"/>
  <c r="O135" i="18"/>
  <c r="K177" i="18"/>
  <c r="M276" i="18"/>
  <c r="O294" i="18"/>
  <c r="P294" i="18" s="1"/>
  <c r="L212" i="18"/>
  <c r="L211" i="18" s="1"/>
  <c r="L59" i="18" s="1"/>
  <c r="N377" i="18"/>
  <c r="N274" i="18"/>
  <c r="O274" i="18" s="1"/>
  <c r="K235" i="18"/>
  <c r="K236" i="18" s="1"/>
  <c r="N170" i="18"/>
  <c r="O170" i="18" s="1"/>
  <c r="L206" i="18"/>
  <c r="O279" i="18"/>
  <c r="P279" i="18" s="1"/>
  <c r="L132" i="18"/>
  <c r="O382" i="18"/>
  <c r="J59" i="18"/>
  <c r="O342" i="18"/>
  <c r="K154" i="18"/>
  <c r="P271" i="18"/>
  <c r="Q271" i="18" s="1"/>
  <c r="L197" i="18"/>
  <c r="Q207" i="18"/>
  <c r="O123" i="18"/>
  <c r="K102" i="18"/>
  <c r="N178" i="18"/>
  <c r="P213" i="18"/>
  <c r="U395" i="18"/>
  <c r="P337" i="18"/>
  <c r="N297" i="18"/>
  <c r="P204" i="18"/>
  <c r="O133" i="18"/>
  <c r="Q311" i="18"/>
  <c r="Q312" i="18"/>
  <c r="R309" i="18"/>
  <c r="T398" i="18"/>
  <c r="R385" i="18"/>
  <c r="S385" i="18" s="1"/>
  <c r="L107" i="18"/>
  <c r="O307" i="18"/>
  <c r="O198" i="18"/>
  <c r="P353" i="18"/>
  <c r="M277" i="18"/>
  <c r="R355" i="18"/>
  <c r="R139" i="18"/>
  <c r="N302" i="18"/>
  <c r="O299" i="18"/>
  <c r="T397" i="18"/>
  <c r="J217" i="18"/>
  <c r="K218" i="18"/>
  <c r="K217" i="18" s="1"/>
  <c r="Q216" i="18"/>
  <c r="O108" i="18"/>
  <c r="M317" i="18"/>
  <c r="N314" i="18"/>
  <c r="O314" i="18" s="1"/>
  <c r="P314" i="18" s="1"/>
  <c r="Q314" i="18" s="1"/>
  <c r="N103" i="18"/>
  <c r="N357" i="18"/>
  <c r="K182" i="18"/>
  <c r="N145" i="18"/>
  <c r="O408" i="18"/>
  <c r="P405" i="18"/>
  <c r="Q405" i="18" s="1"/>
  <c r="R405" i="18" s="1"/>
  <c r="Q334" i="18"/>
  <c r="L97" i="18"/>
  <c r="Q403" i="18"/>
  <c r="R400" i="18"/>
  <c r="N281" i="18"/>
  <c r="O155" i="18"/>
  <c r="K202" i="18"/>
  <c r="L203" i="18"/>
  <c r="J52" i="18"/>
  <c r="O353" i="18"/>
  <c r="Q350" i="18"/>
  <c r="R350" i="18" s="1"/>
  <c r="P339" i="18"/>
  <c r="M321" i="18"/>
  <c r="N183" i="18"/>
  <c r="N301" i="18"/>
  <c r="O160" i="18"/>
  <c r="K122" i="18"/>
  <c r="J247" i="18"/>
  <c r="J258" i="18"/>
  <c r="J415" i="18"/>
  <c r="J364" i="18"/>
  <c r="J242" i="18"/>
  <c r="J268" i="18"/>
  <c r="J293" i="18"/>
  <c r="J232" i="18"/>
  <c r="J369" i="18"/>
  <c r="J252" i="18"/>
  <c r="J420" i="18"/>
  <c r="J237" i="18"/>
  <c r="J263" i="18"/>
  <c r="J159" i="18"/>
  <c r="N282" i="18"/>
  <c r="N352" i="18"/>
  <c r="O352" i="18" s="1"/>
  <c r="Q358" i="18"/>
  <c r="O383" i="18"/>
  <c r="P380" i="18"/>
  <c r="Q380" i="18" s="1"/>
  <c r="L164" i="18"/>
  <c r="P304" i="18"/>
  <c r="N219" i="18"/>
  <c r="O219" i="18" s="1"/>
  <c r="P219" i="18" s="1"/>
  <c r="N327" i="18"/>
  <c r="O324" i="18"/>
  <c r="P324" i="18" s="1"/>
  <c r="N326" i="18"/>
  <c r="O128" i="18"/>
  <c r="K144" i="18"/>
  <c r="N378" i="18"/>
  <c r="O375" i="18"/>
  <c r="R141" i="18"/>
  <c r="P402" i="18"/>
  <c r="Q402" i="18" s="1"/>
  <c r="V287" i="18"/>
  <c r="W284" i="18"/>
  <c r="H64" i="18"/>
  <c r="O306" i="18"/>
  <c r="M407" i="18"/>
  <c r="K169" i="18"/>
  <c r="O332" i="18"/>
  <c r="P329" i="18"/>
  <c r="I138" i="18"/>
  <c r="F29" i="14"/>
  <c r="M316" i="18"/>
  <c r="O341" i="18" l="1"/>
  <c r="P319" i="18"/>
  <c r="Q165" i="18"/>
  <c r="L175" i="18"/>
  <c r="I174" i="18"/>
  <c r="I173" i="18" s="1"/>
  <c r="L149" i="18"/>
  <c r="G29" i="14"/>
  <c r="L345" i="18"/>
  <c r="L227" i="18" s="1"/>
  <c r="L250" i="18" s="1"/>
  <c r="O150" i="18"/>
  <c r="P150" i="18" s="1"/>
  <c r="Q150" i="18" s="1"/>
  <c r="K347" i="18"/>
  <c r="T98" i="18"/>
  <c r="U98" i="18" s="1"/>
  <c r="K348" i="18"/>
  <c r="S272" i="18"/>
  <c r="M200" i="18"/>
  <c r="N200" i="18" s="1"/>
  <c r="N199" i="18" s="1"/>
  <c r="N57" i="18" s="1"/>
  <c r="L240" i="18"/>
  <c r="K241" i="18"/>
  <c r="K367" i="18"/>
  <c r="K245" i="18"/>
  <c r="L245" i="18" s="1"/>
  <c r="L246" i="18" s="1"/>
  <c r="K387" i="18"/>
  <c r="J388" i="18"/>
  <c r="Q370" i="18"/>
  <c r="L372" i="18"/>
  <c r="Q201" i="18"/>
  <c r="P135" i="18"/>
  <c r="L177" i="18"/>
  <c r="L256" i="18"/>
  <c r="M256" i="18" s="1"/>
  <c r="K257" i="18"/>
  <c r="M214" i="18"/>
  <c r="M60" i="18" s="1"/>
  <c r="O103" i="18"/>
  <c r="P103" i="18" s="1"/>
  <c r="U397" i="18"/>
  <c r="N277" i="18"/>
  <c r="O296" i="18"/>
  <c r="P296" i="18" s="1"/>
  <c r="N276" i="18"/>
  <c r="O276" i="18" s="1"/>
  <c r="O297" i="18"/>
  <c r="P123" i="18"/>
  <c r="Q123" i="18" s="1"/>
  <c r="L182" i="18"/>
  <c r="M212" i="18"/>
  <c r="M211" i="18" s="1"/>
  <c r="M59" i="18" s="1"/>
  <c r="O215" i="18"/>
  <c r="O214" i="18" s="1"/>
  <c r="O60" i="18" s="1"/>
  <c r="L144" i="18"/>
  <c r="L235" i="18"/>
  <c r="M235" i="18" s="1"/>
  <c r="P170" i="18"/>
  <c r="Q170" i="18" s="1"/>
  <c r="L205" i="18"/>
  <c r="L55" i="18" s="1"/>
  <c r="M206" i="18"/>
  <c r="Q324" i="18"/>
  <c r="Q327" i="18" s="1"/>
  <c r="R165" i="18"/>
  <c r="J138" i="18"/>
  <c r="K138" i="18" s="1"/>
  <c r="L138" i="18" s="1"/>
  <c r="R408" i="18"/>
  <c r="S405" i="18"/>
  <c r="Q317" i="18"/>
  <c r="P282" i="18"/>
  <c r="Q279" i="18"/>
  <c r="K58" i="18"/>
  <c r="O277" i="18"/>
  <c r="Q337" i="18"/>
  <c r="R334" i="18"/>
  <c r="O317" i="18"/>
  <c r="P108" i="18"/>
  <c r="P274" i="18"/>
  <c r="K41" i="18"/>
  <c r="K47" i="18"/>
  <c r="O145" i="18"/>
  <c r="P145" i="18" s="1"/>
  <c r="P198" i="18"/>
  <c r="P382" i="18"/>
  <c r="Q382" i="18" s="1"/>
  <c r="P160" i="18"/>
  <c r="Q160" i="18" s="1"/>
  <c r="U398" i="18"/>
  <c r="V395" i="18"/>
  <c r="P331" i="18"/>
  <c r="P341" i="18"/>
  <c r="M127" i="18"/>
  <c r="M132" i="18"/>
  <c r="O282" i="18"/>
  <c r="W287" i="18"/>
  <c r="X284" i="18"/>
  <c r="R402" i="18"/>
  <c r="P307" i="18"/>
  <c r="Q304" i="18"/>
  <c r="R380" i="18"/>
  <c r="P383" i="18"/>
  <c r="S141" i="18"/>
  <c r="P306" i="18"/>
  <c r="T385" i="18"/>
  <c r="M97" i="18"/>
  <c r="P408" i="18"/>
  <c r="R216" i="18"/>
  <c r="S216" i="18" s="1"/>
  <c r="R358" i="18"/>
  <c r="S355" i="18"/>
  <c r="P322" i="18"/>
  <c r="Q319" i="18"/>
  <c r="R271" i="18"/>
  <c r="R311" i="18"/>
  <c r="T272" i="18"/>
  <c r="U269" i="18"/>
  <c r="E33" i="14"/>
  <c r="P128" i="18"/>
  <c r="O326" i="18"/>
  <c r="M164" i="18"/>
  <c r="K159" i="18"/>
  <c r="L159" i="18" s="1"/>
  <c r="L122" i="18"/>
  <c r="O301" i="18"/>
  <c r="O183" i="18"/>
  <c r="P183" i="18" s="1"/>
  <c r="Q353" i="18"/>
  <c r="S350" i="18"/>
  <c r="T350" i="18" s="1"/>
  <c r="N214" i="18"/>
  <c r="P297" i="18"/>
  <c r="R403" i="18"/>
  <c r="S400" i="18"/>
  <c r="O357" i="18"/>
  <c r="R314" i="18"/>
  <c r="S314" i="18" s="1"/>
  <c r="L218" i="18"/>
  <c r="M218" i="18" s="1"/>
  <c r="M217" i="18" s="1"/>
  <c r="M107" i="18"/>
  <c r="R312" i="18"/>
  <c r="Q294" i="18"/>
  <c r="L102" i="18"/>
  <c r="R207" i="18"/>
  <c r="L196" i="18"/>
  <c r="M197" i="18"/>
  <c r="K252" i="18"/>
  <c r="K263" i="18"/>
  <c r="K415" i="18"/>
  <c r="K258" i="18"/>
  <c r="K268" i="18"/>
  <c r="K369" i="18"/>
  <c r="K368" i="18" s="1"/>
  <c r="K232" i="18"/>
  <c r="K237" i="18"/>
  <c r="K420" i="18"/>
  <c r="K247" i="18"/>
  <c r="K246" i="18" s="1"/>
  <c r="K364" i="18"/>
  <c r="K293" i="18"/>
  <c r="K242" i="18"/>
  <c r="L154" i="18"/>
  <c r="W286" i="18"/>
  <c r="Q383" i="18"/>
  <c r="N407" i="18"/>
  <c r="R353" i="18"/>
  <c r="P332" i="18"/>
  <c r="Q329" i="18"/>
  <c r="L169" i="18"/>
  <c r="P317" i="18"/>
  <c r="P336" i="18"/>
  <c r="Q336" i="18" s="1"/>
  <c r="O378" i="18"/>
  <c r="P375" i="18"/>
  <c r="P327" i="18"/>
  <c r="O327" i="18"/>
  <c r="Q219" i="18"/>
  <c r="P352" i="18"/>
  <c r="N316" i="18"/>
  <c r="N321" i="18"/>
  <c r="P342" i="18"/>
  <c r="Q339" i="18"/>
  <c r="L202" i="18"/>
  <c r="L58" i="18" s="1"/>
  <c r="M203" i="18"/>
  <c r="P155" i="18"/>
  <c r="Q408" i="18"/>
  <c r="N317" i="18"/>
  <c r="J41" i="18"/>
  <c r="J47" i="18"/>
  <c r="O302" i="18"/>
  <c r="P299" i="18"/>
  <c r="S139" i="18"/>
  <c r="O281" i="18"/>
  <c r="O377" i="18"/>
  <c r="S309" i="18"/>
  <c r="P133" i="18"/>
  <c r="Q204" i="18"/>
  <c r="R204" i="18" s="1"/>
  <c r="Q213" i="18"/>
  <c r="R213" i="18" s="1"/>
  <c r="S213" i="18" s="1"/>
  <c r="T213" i="18" s="1"/>
  <c r="U213" i="18" s="1"/>
  <c r="V213" i="18" s="1"/>
  <c r="O178" i="18"/>
  <c r="M199" i="18" l="1"/>
  <c r="J174" i="18"/>
  <c r="J173" i="18" s="1"/>
  <c r="J64" i="18" s="1"/>
  <c r="G33" i="14" s="1"/>
  <c r="G31" i="14" s="1"/>
  <c r="L348" i="18"/>
  <c r="L347" i="18"/>
  <c r="M345" i="18"/>
  <c r="N345" i="18" s="1"/>
  <c r="N348" i="18" s="1"/>
  <c r="M149" i="18"/>
  <c r="M175" i="18"/>
  <c r="L236" i="18"/>
  <c r="R201" i="18"/>
  <c r="M250" i="18"/>
  <c r="N250" i="18" s="1"/>
  <c r="O250" i="18" s="1"/>
  <c r="P250" i="18" s="1"/>
  <c r="L367" i="18"/>
  <c r="M367" i="18" s="1"/>
  <c r="M245" i="18"/>
  <c r="M246" i="18" s="1"/>
  <c r="M240" i="18"/>
  <c r="N240" i="18" s="1"/>
  <c r="N241" i="18" s="1"/>
  <c r="L241" i="18"/>
  <c r="L387" i="18"/>
  <c r="M387" i="18" s="1"/>
  <c r="K388" i="18"/>
  <c r="M57" i="18"/>
  <c r="O200" i="18"/>
  <c r="M372" i="18"/>
  <c r="R370" i="18"/>
  <c r="L373" i="18"/>
  <c r="V397" i="18"/>
  <c r="N256" i="18"/>
  <c r="O256" i="18" s="1"/>
  <c r="P256" i="18" s="1"/>
  <c r="S204" i="18"/>
  <c r="M144" i="18"/>
  <c r="N144" i="18" s="1"/>
  <c r="T141" i="18"/>
  <c r="I29" i="14"/>
  <c r="N132" i="18"/>
  <c r="V98" i="18"/>
  <c r="N149" i="18"/>
  <c r="O149" i="18" s="1"/>
  <c r="Q296" i="18"/>
  <c r="R336" i="18"/>
  <c r="N212" i="18"/>
  <c r="N211" i="18" s="1"/>
  <c r="N59" i="18" s="1"/>
  <c r="Q198" i="18"/>
  <c r="P276" i="18"/>
  <c r="R324" i="18"/>
  <c r="R327" i="18" s="1"/>
  <c r="W213" i="18"/>
  <c r="X286" i="18"/>
  <c r="S165" i="18"/>
  <c r="M205" i="18"/>
  <c r="M55" i="18" s="1"/>
  <c r="R170" i="18"/>
  <c r="N206" i="18"/>
  <c r="N205" i="18" s="1"/>
  <c r="N55" i="18" s="1"/>
  <c r="R160" i="18"/>
  <c r="T139" i="18"/>
  <c r="P301" i="18"/>
  <c r="Q306" i="18"/>
  <c r="M202" i="18"/>
  <c r="M58" i="18" s="1"/>
  <c r="Q342" i="18"/>
  <c r="R339" i="18"/>
  <c r="P378" i="18"/>
  <c r="Q375" i="18"/>
  <c r="M169" i="18"/>
  <c r="N169" i="18" s="1"/>
  <c r="L369" i="18"/>
  <c r="L368" i="18" s="1"/>
  <c r="L237" i="18"/>
  <c r="L415" i="18"/>
  <c r="L364" i="18"/>
  <c r="L293" i="18"/>
  <c r="L252" i="18"/>
  <c r="L251" i="18" s="1"/>
  <c r="L420" i="18"/>
  <c r="L268" i="18"/>
  <c r="L247" i="18"/>
  <c r="L258" i="18"/>
  <c r="L257" i="18" s="1"/>
  <c r="L242" i="18"/>
  <c r="L263" i="18"/>
  <c r="L232" i="18"/>
  <c r="L231" i="18" s="1"/>
  <c r="E231" i="18" s="1"/>
  <c r="C4" i="15" s="1"/>
  <c r="N107" i="18"/>
  <c r="M41" i="18"/>
  <c r="M47" i="18"/>
  <c r="S353" i="18"/>
  <c r="N164" i="18"/>
  <c r="S311" i="18"/>
  <c r="P178" i="18"/>
  <c r="Q178" i="18" s="1"/>
  <c r="R178" i="18" s="1"/>
  <c r="S178" i="18" s="1"/>
  <c r="T178" i="18" s="1"/>
  <c r="U178" i="18" s="1"/>
  <c r="Q322" i="18"/>
  <c r="R319" i="18"/>
  <c r="T216" i="18"/>
  <c r="N97" i="18"/>
  <c r="O97" i="18" s="1"/>
  <c r="P97" i="18" s="1"/>
  <c r="N203" i="18"/>
  <c r="R383" i="18"/>
  <c r="S380" i="18"/>
  <c r="R219" i="18"/>
  <c r="S219" i="18" s="1"/>
  <c r="T219" i="18" s="1"/>
  <c r="X287" i="18"/>
  <c r="Y284" i="18"/>
  <c r="M154" i="18"/>
  <c r="N154" i="18" s="1"/>
  <c r="P277" i="18"/>
  <c r="Q274" i="18"/>
  <c r="H29" i="14"/>
  <c r="M236" i="18"/>
  <c r="S312" i="18"/>
  <c r="T309" i="18"/>
  <c r="P302" i="18"/>
  <c r="Q299" i="18"/>
  <c r="S317" i="18"/>
  <c r="Q155" i="18"/>
  <c r="T353" i="18"/>
  <c r="L52" i="18"/>
  <c r="R317" i="18"/>
  <c r="P357" i="18"/>
  <c r="U350" i="18"/>
  <c r="Q183" i="18"/>
  <c r="M159" i="18"/>
  <c r="N159" i="18" s="1"/>
  <c r="O159" i="18" s="1"/>
  <c r="P326" i="18"/>
  <c r="Q326" i="18" s="1"/>
  <c r="E31" i="14"/>
  <c r="Q352" i="18"/>
  <c r="R352" i="18" s="1"/>
  <c r="S352" i="18" s="1"/>
  <c r="T352" i="18" s="1"/>
  <c r="N127" i="18"/>
  <c r="V398" i="18"/>
  <c r="W395" i="18"/>
  <c r="M177" i="18"/>
  <c r="P377" i="18"/>
  <c r="Q341" i="18"/>
  <c r="O321" i="18"/>
  <c r="I64" i="18"/>
  <c r="M196" i="18"/>
  <c r="M52" i="18" s="1"/>
  <c r="N197" i="18"/>
  <c r="S207" i="18"/>
  <c r="T207" i="18" s="1"/>
  <c r="U207" i="18" s="1"/>
  <c r="M102" i="18"/>
  <c r="N102" i="18" s="1"/>
  <c r="O316" i="18"/>
  <c r="N235" i="18"/>
  <c r="O235" i="18" s="1"/>
  <c r="P235" i="18" s="1"/>
  <c r="N218" i="18"/>
  <c r="O218" i="18" s="1"/>
  <c r="O217" i="18" s="1"/>
  <c r="S403" i="18"/>
  <c r="T400" i="18"/>
  <c r="U272" i="18"/>
  <c r="V269" i="18"/>
  <c r="S271" i="18"/>
  <c r="T271" i="18" s="1"/>
  <c r="U271" i="18" s="1"/>
  <c r="Q103" i="18"/>
  <c r="U385" i="18"/>
  <c r="M122" i="18"/>
  <c r="S402" i="18"/>
  <c r="R123" i="18"/>
  <c r="Q108" i="18"/>
  <c r="Q282" i="18"/>
  <c r="R279" i="18"/>
  <c r="S408" i="18"/>
  <c r="T405" i="18"/>
  <c r="M182" i="18"/>
  <c r="Q133" i="18"/>
  <c r="R133" i="18" s="1"/>
  <c r="Q135" i="18"/>
  <c r="T314" i="18"/>
  <c r="Q332" i="18"/>
  <c r="R329" i="18"/>
  <c r="M138" i="18"/>
  <c r="O407" i="18"/>
  <c r="Q297" i="18"/>
  <c r="R294" i="18"/>
  <c r="L217" i="18"/>
  <c r="Q145" i="18"/>
  <c r="N60" i="18"/>
  <c r="Q128" i="18"/>
  <c r="S358" i="18"/>
  <c r="T355" i="18"/>
  <c r="P215" i="18"/>
  <c r="P281" i="18"/>
  <c r="Q281" i="18" s="1"/>
  <c r="Q307" i="18"/>
  <c r="R304" i="18"/>
  <c r="R150" i="18"/>
  <c r="Q331" i="18"/>
  <c r="R382" i="18"/>
  <c r="R337" i="18"/>
  <c r="S334" i="18"/>
  <c r="U139" i="18" l="1"/>
  <c r="K174" i="18"/>
  <c r="K173" i="18" s="1"/>
  <c r="K64" i="18" s="1"/>
  <c r="H33" i="14" s="1"/>
  <c r="H31" i="14" s="1"/>
  <c r="N175" i="18"/>
  <c r="O175" i="18" s="1"/>
  <c r="M347" i="18"/>
  <c r="N347" i="18" s="1"/>
  <c r="M227" i="18"/>
  <c r="M261" i="18" s="1"/>
  <c r="N261" i="18" s="1"/>
  <c r="N227" i="18"/>
  <c r="N252" i="18" s="1"/>
  <c r="M348" i="18"/>
  <c r="O345" i="18"/>
  <c r="P345" i="18" s="1"/>
  <c r="P227" i="18" s="1"/>
  <c r="P266" i="18" s="1"/>
  <c r="Q266" i="18" s="1"/>
  <c r="Q267" i="18" s="1"/>
  <c r="S201" i="18"/>
  <c r="N245" i="18"/>
  <c r="O245" i="18" s="1"/>
  <c r="N367" i="18"/>
  <c r="O367" i="18" s="1"/>
  <c r="P367" i="18" s="1"/>
  <c r="Q367" i="18" s="1"/>
  <c r="M388" i="18"/>
  <c r="L388" i="18"/>
  <c r="N387" i="18"/>
  <c r="N388" i="18" s="1"/>
  <c r="S336" i="18"/>
  <c r="N372" i="18"/>
  <c r="O199" i="18"/>
  <c r="P200" i="18"/>
  <c r="S370" i="18"/>
  <c r="M373" i="18"/>
  <c r="W397" i="18"/>
  <c r="R326" i="18"/>
  <c r="Q250" i="18"/>
  <c r="Q256" i="18"/>
  <c r="R256" i="18" s="1"/>
  <c r="R103" i="18"/>
  <c r="S324" i="18"/>
  <c r="S327" i="18" s="1"/>
  <c r="U141" i="18"/>
  <c r="V141" i="18" s="1"/>
  <c r="Q377" i="18"/>
  <c r="J29" i="14"/>
  <c r="W98" i="18"/>
  <c r="O212" i="18"/>
  <c r="P212" i="18" s="1"/>
  <c r="P211" i="18" s="1"/>
  <c r="P59" i="18" s="1"/>
  <c r="R296" i="18"/>
  <c r="Q276" i="18"/>
  <c r="R198" i="18"/>
  <c r="R128" i="18"/>
  <c r="O107" i="18"/>
  <c r="R341" i="18"/>
  <c r="R281" i="18"/>
  <c r="O132" i="18"/>
  <c r="P132" i="18" s="1"/>
  <c r="O206" i="18"/>
  <c r="T402" i="18"/>
  <c r="U219" i="18"/>
  <c r="P159" i="18"/>
  <c r="P364" i="18"/>
  <c r="S150" i="18"/>
  <c r="P214" i="18"/>
  <c r="Q215" i="18"/>
  <c r="Q214" i="18" s="1"/>
  <c r="Q60" i="18" s="1"/>
  <c r="R135" i="18"/>
  <c r="S135" i="18" s="1"/>
  <c r="S123" i="18"/>
  <c r="N122" i="18"/>
  <c r="V272" i="18"/>
  <c r="W269" i="18"/>
  <c r="N217" i="18"/>
  <c r="P218" i="18"/>
  <c r="N196" i="18"/>
  <c r="N52" i="18" s="1"/>
  <c r="O197" i="18"/>
  <c r="O144" i="18"/>
  <c r="Q302" i="18"/>
  <c r="R299" i="18"/>
  <c r="P149" i="18"/>
  <c r="Q277" i="18"/>
  <c r="R274" i="18"/>
  <c r="S383" i="18"/>
  <c r="T380" i="18"/>
  <c r="N202" i="18"/>
  <c r="T311" i="18"/>
  <c r="X213" i="18"/>
  <c r="E232" i="18"/>
  <c r="D4" i="15" s="1"/>
  <c r="R307" i="18"/>
  <c r="S304" i="18"/>
  <c r="T358" i="18"/>
  <c r="U355" i="18"/>
  <c r="O47" i="18"/>
  <c r="O41" i="18"/>
  <c r="R297" i="18"/>
  <c r="S294" i="18"/>
  <c r="P407" i="18"/>
  <c r="Q407" i="18" s="1"/>
  <c r="R407" i="18" s="1"/>
  <c r="S407" i="18" s="1"/>
  <c r="T407" i="18" s="1"/>
  <c r="R332" i="18"/>
  <c r="S329" i="18"/>
  <c r="R282" i="18"/>
  <c r="S279" i="18"/>
  <c r="V271" i="18"/>
  <c r="P321" i="18"/>
  <c r="Q321" i="18" s="1"/>
  <c r="N177" i="18"/>
  <c r="O177" i="18" s="1"/>
  <c r="R183" i="18"/>
  <c r="S183" i="18" s="1"/>
  <c r="T183" i="18" s="1"/>
  <c r="U183" i="18" s="1"/>
  <c r="Y287" i="18"/>
  <c r="Z284" i="18"/>
  <c r="Q97" i="18"/>
  <c r="R322" i="18"/>
  <c r="S319" i="18"/>
  <c r="N138" i="18"/>
  <c r="O164" i="18"/>
  <c r="S160" i="18"/>
  <c r="O169" i="18"/>
  <c r="P169" i="18" s="1"/>
  <c r="R342" i="18"/>
  <c r="S339" i="18"/>
  <c r="O203" i="18"/>
  <c r="O202" i="18" s="1"/>
  <c r="O58" i="18" s="1"/>
  <c r="S170" i="18"/>
  <c r="R306" i="18"/>
  <c r="R331" i="18"/>
  <c r="N182" i="18"/>
  <c r="O127" i="18"/>
  <c r="V385" i="18"/>
  <c r="T403" i="18"/>
  <c r="U400" i="18"/>
  <c r="N236" i="18"/>
  <c r="P316" i="18"/>
  <c r="Q316" i="18" s="1"/>
  <c r="R316" i="18" s="1"/>
  <c r="S316" i="18" s="1"/>
  <c r="T316" i="18" s="1"/>
  <c r="O102" i="18"/>
  <c r="V207" i="18"/>
  <c r="F33" i="14"/>
  <c r="W398" i="18"/>
  <c r="X395" i="18"/>
  <c r="U352" i="18"/>
  <c r="Q357" i="18"/>
  <c r="R357" i="18" s="1"/>
  <c r="O154" i="18"/>
  <c r="V178" i="18"/>
  <c r="Q235" i="18"/>
  <c r="R235" i="18" s="1"/>
  <c r="S235" i="18" s="1"/>
  <c r="T235" i="18" s="1"/>
  <c r="U235" i="18" s="1"/>
  <c r="V235" i="18" s="1"/>
  <c r="W235" i="18" s="1"/>
  <c r="X235" i="18" s="1"/>
  <c r="Y235" i="18" s="1"/>
  <c r="Z235" i="18" s="1"/>
  <c r="AA235" i="18" s="1"/>
  <c r="Y286" i="18"/>
  <c r="R155" i="18"/>
  <c r="S155" i="18" s="1"/>
  <c r="T204" i="18"/>
  <c r="Q301" i="18"/>
  <c r="N364" i="18"/>
  <c r="S337" i="18"/>
  <c r="T334" i="18"/>
  <c r="S382" i="18"/>
  <c r="L41" i="18"/>
  <c r="L47" i="18"/>
  <c r="T317" i="18"/>
  <c r="U314" i="18"/>
  <c r="S133" i="18"/>
  <c r="T408" i="18"/>
  <c r="U405" i="18"/>
  <c r="R108" i="18"/>
  <c r="S108" i="18" s="1"/>
  <c r="R145" i="18"/>
  <c r="S145" i="18" s="1"/>
  <c r="T145" i="18" s="1"/>
  <c r="U145" i="18" s="1"/>
  <c r="M364" i="18"/>
  <c r="T165" i="18"/>
  <c r="U353" i="18"/>
  <c r="V350" i="18"/>
  <c r="T312" i="18"/>
  <c r="U309" i="18"/>
  <c r="V139" i="18" s="1"/>
  <c r="U216" i="18"/>
  <c r="Q378" i="18"/>
  <c r="R375" i="18"/>
  <c r="P348" i="18" l="1"/>
  <c r="L174" i="18"/>
  <c r="L173" i="18" s="1"/>
  <c r="P420" i="18"/>
  <c r="P247" i="18"/>
  <c r="M252" i="18"/>
  <c r="M293" i="18"/>
  <c r="M237" i="18"/>
  <c r="M258" i="18"/>
  <c r="M369" i="18"/>
  <c r="M247" i="18"/>
  <c r="M263" i="18"/>
  <c r="M262" i="18" s="1"/>
  <c r="T201" i="18"/>
  <c r="M268" i="18"/>
  <c r="M242" i="18"/>
  <c r="M241" i="18" s="1"/>
  <c r="M415" i="18"/>
  <c r="M420" i="18"/>
  <c r="P263" i="18"/>
  <c r="N263" i="18"/>
  <c r="N258" i="18"/>
  <c r="N247" i="18"/>
  <c r="N415" i="18"/>
  <c r="N293" i="18"/>
  <c r="N237" i="18"/>
  <c r="N420" i="18"/>
  <c r="N242" i="18"/>
  <c r="N268" i="18"/>
  <c r="N369" i="18"/>
  <c r="P258" i="18"/>
  <c r="P268" i="18"/>
  <c r="P267" i="18" s="1"/>
  <c r="O227" i="18"/>
  <c r="O293" i="18" s="1"/>
  <c r="O348" i="18"/>
  <c r="O347" i="18"/>
  <c r="P347" i="18" s="1"/>
  <c r="P175" i="18"/>
  <c r="Q175" i="18" s="1"/>
  <c r="P415" i="18"/>
  <c r="P369" i="18"/>
  <c r="Q345" i="18"/>
  <c r="R345" i="18" s="1"/>
  <c r="R348" i="18" s="1"/>
  <c r="P252" i="18"/>
  <c r="P293" i="18"/>
  <c r="P242" i="18"/>
  <c r="S103" i="18"/>
  <c r="N246" i="18"/>
  <c r="R266" i="18"/>
  <c r="R267" i="18" s="1"/>
  <c r="O261" i="18"/>
  <c r="P261" i="18" s="1"/>
  <c r="P262" i="18" s="1"/>
  <c r="N262" i="18"/>
  <c r="P245" i="18"/>
  <c r="O246" i="18"/>
  <c r="O387" i="18"/>
  <c r="T370" i="18"/>
  <c r="U201" i="18" s="1"/>
  <c r="O372" i="18"/>
  <c r="N373" i="18"/>
  <c r="O57" i="18"/>
  <c r="Q200" i="18"/>
  <c r="P199" i="18"/>
  <c r="P57" i="18" s="1"/>
  <c r="R377" i="18"/>
  <c r="S281" i="18"/>
  <c r="O211" i="18"/>
  <c r="O59" i="18" s="1"/>
  <c r="S256" i="18"/>
  <c r="T256" i="18" s="1"/>
  <c r="S326" i="18"/>
  <c r="X98" i="18"/>
  <c r="T133" i="18"/>
  <c r="R301" i="18"/>
  <c r="T324" i="18"/>
  <c r="T327" i="18" s="1"/>
  <c r="T155" i="18"/>
  <c r="Q348" i="18"/>
  <c r="S306" i="18"/>
  <c r="Q159" i="18"/>
  <c r="Q149" i="18"/>
  <c r="S128" i="18"/>
  <c r="M174" i="18"/>
  <c r="M173" i="18" s="1"/>
  <c r="M64" i="18" s="1"/>
  <c r="J33" i="14" s="1"/>
  <c r="J31" i="14" s="1"/>
  <c r="Z286" i="18"/>
  <c r="U402" i="18"/>
  <c r="V216" i="18"/>
  <c r="U204" i="18"/>
  <c r="V145" i="18"/>
  <c r="V183" i="18"/>
  <c r="W271" i="18"/>
  <c r="O205" i="18"/>
  <c r="O55" i="18" s="1"/>
  <c r="P206" i="18"/>
  <c r="S357" i="18"/>
  <c r="T357" i="18" s="1"/>
  <c r="U357" i="18" s="1"/>
  <c r="W207" i="18"/>
  <c r="T108" i="18"/>
  <c r="R321" i="18"/>
  <c r="S321" i="18" s="1"/>
  <c r="P154" i="18"/>
  <c r="Q154" i="18" s="1"/>
  <c r="W141" i="18"/>
  <c r="V352" i="18"/>
  <c r="F31" i="14"/>
  <c r="T170" i="18"/>
  <c r="S342" i="18"/>
  <c r="T339" i="18"/>
  <c r="R97" i="18"/>
  <c r="S97" i="18" s="1"/>
  <c r="P177" i="18"/>
  <c r="U311" i="18"/>
  <c r="R277" i="18"/>
  <c r="S274" i="18"/>
  <c r="P144" i="18"/>
  <c r="Q144" i="18" s="1"/>
  <c r="P60" i="18"/>
  <c r="S341" i="18"/>
  <c r="P107" i="18"/>
  <c r="V353" i="18"/>
  <c r="W350" i="18"/>
  <c r="Q132" i="18"/>
  <c r="T337" i="18"/>
  <c r="U334" i="18"/>
  <c r="X398" i="18"/>
  <c r="Y395" i="18"/>
  <c r="U403" i="18"/>
  <c r="V400" i="18"/>
  <c r="O182" i="18"/>
  <c r="P182" i="18" s="1"/>
  <c r="P164" i="18"/>
  <c r="S322" i="18"/>
  <c r="T319" i="18"/>
  <c r="Y213" i="18"/>
  <c r="Q364" i="18"/>
  <c r="O196" i="18"/>
  <c r="P197" i="18"/>
  <c r="P102" i="18"/>
  <c r="P217" i="18"/>
  <c r="Q218" i="18"/>
  <c r="R276" i="18"/>
  <c r="R378" i="18"/>
  <c r="S375" i="18"/>
  <c r="U408" i="18"/>
  <c r="V405" i="18"/>
  <c r="AB235" i="18"/>
  <c r="AC235" i="18" s="1"/>
  <c r="AD235" i="18" s="1"/>
  <c r="AE235" i="18" s="1"/>
  <c r="AF235" i="18" s="1"/>
  <c r="AG235" i="18" s="1"/>
  <c r="AH235" i="18" s="1"/>
  <c r="AI235" i="18" s="1"/>
  <c r="AJ235" i="18" s="1"/>
  <c r="AK235" i="18" s="1"/>
  <c r="AL235" i="18" s="1"/>
  <c r="AM235" i="18" s="1"/>
  <c r="AN235" i="18" s="1"/>
  <c r="AO235" i="18" s="1"/>
  <c r="AP235" i="18" s="1"/>
  <c r="AQ235" i="18" s="1"/>
  <c r="AR235" i="18" s="1"/>
  <c r="AS235" i="18" s="1"/>
  <c r="AT235" i="18" s="1"/>
  <c r="AU235" i="18" s="1"/>
  <c r="AV235" i="18" s="1"/>
  <c r="AW235" i="18" s="1"/>
  <c r="AX235" i="18" s="1"/>
  <c r="AY235" i="18" s="1"/>
  <c r="AZ235" i="18" s="1"/>
  <c r="BA235" i="18" s="1"/>
  <c r="BB235" i="18" s="1"/>
  <c r="BC235" i="18" s="1"/>
  <c r="BD235" i="18" s="1"/>
  <c r="BE235" i="18" s="1"/>
  <c r="BF235" i="18" s="1"/>
  <c r="BG235" i="18" s="1"/>
  <c r="BH235" i="18" s="1"/>
  <c r="BI235" i="18" s="1"/>
  <c r="BJ235" i="18" s="1"/>
  <c r="BK235" i="18" s="1"/>
  <c r="BL235" i="18" s="1"/>
  <c r="BM235" i="18" s="1"/>
  <c r="BN235" i="18" s="1"/>
  <c r="BO235" i="18" s="1"/>
  <c r="BP235" i="18" s="1"/>
  <c r="BQ235" i="18" s="1"/>
  <c r="BR235" i="18" s="1"/>
  <c r="BS235" i="18" s="1"/>
  <c r="BT235" i="18" s="1"/>
  <c r="BU235" i="18" s="1"/>
  <c r="BV235" i="18" s="1"/>
  <c r="BW235" i="18" s="1"/>
  <c r="BX235" i="18" s="1"/>
  <c r="BY235" i="18" s="1"/>
  <c r="BZ235" i="18" s="1"/>
  <c r="CA235" i="18" s="1"/>
  <c r="CB235" i="18" s="1"/>
  <c r="CC235" i="18" s="1"/>
  <c r="CD235" i="18" s="1"/>
  <c r="CE235" i="18" s="1"/>
  <c r="CF235" i="18" s="1"/>
  <c r="CG235" i="18" s="1"/>
  <c r="CH235" i="18" s="1"/>
  <c r="CI235" i="18" s="1"/>
  <c r="CJ235" i="18" s="1"/>
  <c r="CK235" i="18" s="1"/>
  <c r="CL235" i="18" s="1"/>
  <c r="CM235" i="18" s="1"/>
  <c r="CN235" i="18" s="1"/>
  <c r="CO235" i="18" s="1"/>
  <c r="CP235" i="18" s="1"/>
  <c r="CQ235" i="18" s="1"/>
  <c r="CR235" i="18" s="1"/>
  <c r="CS235" i="18" s="1"/>
  <c r="CT235" i="18" s="1"/>
  <c r="CU235" i="18" s="1"/>
  <c r="CV235" i="18" s="1"/>
  <c r="CW235" i="18" s="1"/>
  <c r="CX235" i="18" s="1"/>
  <c r="CY235" i="18" s="1"/>
  <c r="CZ235" i="18" s="1"/>
  <c r="DA235" i="18" s="1"/>
  <c r="DB235" i="18" s="1"/>
  <c r="DC235" i="18" s="1"/>
  <c r="DD235" i="18" s="1"/>
  <c r="DE235" i="18" s="1"/>
  <c r="DF235" i="18" s="1"/>
  <c r="DG235" i="18" s="1"/>
  <c r="DH235" i="18" s="1"/>
  <c r="DI235" i="18" s="1"/>
  <c r="DJ235" i="18" s="1"/>
  <c r="DK235" i="18" s="1"/>
  <c r="DL235" i="18" s="1"/>
  <c r="DM235" i="18" s="1"/>
  <c r="DN235" i="18" s="1"/>
  <c r="DO235" i="18" s="1"/>
  <c r="DP235" i="18" s="1"/>
  <c r="DQ235" i="18" s="1"/>
  <c r="DR235" i="18" s="1"/>
  <c r="DS235" i="18" s="1"/>
  <c r="DT235" i="18" s="1"/>
  <c r="DU235" i="18" s="1"/>
  <c r="DV235" i="18" s="1"/>
  <c r="DW235" i="18" s="1"/>
  <c r="DX235" i="18" s="1"/>
  <c r="DY235" i="18" s="1"/>
  <c r="DZ235" i="18" s="1"/>
  <c r="EA235" i="18" s="1"/>
  <c r="EB235" i="18" s="1"/>
  <c r="EC235" i="18" s="1"/>
  <c r="ED235" i="18" s="1"/>
  <c r="EE235" i="18" s="1"/>
  <c r="EF235" i="18" s="1"/>
  <c r="EG235" i="18" s="1"/>
  <c r="EH235" i="18" s="1"/>
  <c r="EI235" i="18" s="1"/>
  <c r="W385" i="18"/>
  <c r="P127" i="18"/>
  <c r="Q169" i="18"/>
  <c r="T160" i="18"/>
  <c r="Z287" i="18"/>
  <c r="AA284" i="18"/>
  <c r="S332" i="18"/>
  <c r="T329" i="18"/>
  <c r="U407" i="18"/>
  <c r="S297" i="18"/>
  <c r="T294" i="18"/>
  <c r="S307" i="18"/>
  <c r="T304" i="18"/>
  <c r="N58" i="18"/>
  <c r="R302" i="18"/>
  <c r="S299" i="18"/>
  <c r="O122" i="18"/>
  <c r="O138" i="18"/>
  <c r="T123" i="18"/>
  <c r="T150" i="18"/>
  <c r="V219" i="18"/>
  <c r="S296" i="18"/>
  <c r="O364" i="18"/>
  <c r="U312" i="18"/>
  <c r="V309" i="18"/>
  <c r="U165" i="18"/>
  <c r="U317" i="18"/>
  <c r="V314" i="18"/>
  <c r="T382" i="18"/>
  <c r="W178" i="18"/>
  <c r="U316" i="18"/>
  <c r="L64" i="18"/>
  <c r="P203" i="18"/>
  <c r="S282" i="18"/>
  <c r="T279" i="18"/>
  <c r="S198" i="18"/>
  <c r="U358" i="18"/>
  <c r="V355" i="18"/>
  <c r="S331" i="18"/>
  <c r="T383" i="18"/>
  <c r="U380" i="18"/>
  <c r="Q212" i="18"/>
  <c r="N41" i="18"/>
  <c r="N47" i="18"/>
  <c r="W272" i="18"/>
  <c r="X269" i="18"/>
  <c r="T135" i="18"/>
  <c r="R215" i="18"/>
  <c r="X397" i="18"/>
  <c r="T336" i="18"/>
  <c r="O263" i="18" l="1"/>
  <c r="O237" i="18"/>
  <c r="O247" i="18"/>
  <c r="O258" i="18"/>
  <c r="O369" i="18"/>
  <c r="O415" i="18"/>
  <c r="O242" i="18"/>
  <c r="O241" i="18" s="1"/>
  <c r="O252" i="18"/>
  <c r="O420" i="18"/>
  <c r="O240" i="18"/>
  <c r="P240" i="18" s="1"/>
  <c r="P241" i="18" s="1"/>
  <c r="O268" i="18"/>
  <c r="R227" i="18"/>
  <c r="R250" i="18" s="1"/>
  <c r="Q227" i="18"/>
  <c r="Q369" i="18" s="1"/>
  <c r="T103" i="18"/>
  <c r="S345" i="18"/>
  <c r="S348" i="18" s="1"/>
  <c r="R175" i="18"/>
  <c r="S175" i="18" s="1"/>
  <c r="S266" i="18"/>
  <c r="T266" i="18" s="1"/>
  <c r="U266" i="18" s="1"/>
  <c r="U267" i="18" s="1"/>
  <c r="P246" i="18"/>
  <c r="Q245" i="18"/>
  <c r="R245" i="18" s="1"/>
  <c r="O262" i="18"/>
  <c r="Q261" i="18"/>
  <c r="O388" i="18"/>
  <c r="P387" i="18"/>
  <c r="U370" i="18"/>
  <c r="V201" i="18" s="1"/>
  <c r="Q199" i="18"/>
  <c r="Q57" i="18" s="1"/>
  <c r="R200" i="18"/>
  <c r="O373" i="18"/>
  <c r="P372" i="18"/>
  <c r="N174" i="18"/>
  <c r="N173" i="18" s="1"/>
  <c r="T281" i="18"/>
  <c r="T326" i="18"/>
  <c r="U135" i="18"/>
  <c r="U324" i="18"/>
  <c r="V324" i="18" s="1"/>
  <c r="T306" i="18"/>
  <c r="U155" i="18"/>
  <c r="R154" i="18"/>
  <c r="Q242" i="18"/>
  <c r="R159" i="18"/>
  <c r="T331" i="18"/>
  <c r="W145" i="18"/>
  <c r="V402" i="18"/>
  <c r="V204" i="18"/>
  <c r="T128" i="18"/>
  <c r="V407" i="18"/>
  <c r="U336" i="18"/>
  <c r="W183" i="18"/>
  <c r="X271" i="18"/>
  <c r="Y397" i="18"/>
  <c r="X178" i="18"/>
  <c r="V165" i="18"/>
  <c r="S276" i="18"/>
  <c r="T198" i="18"/>
  <c r="W216" i="18"/>
  <c r="U150" i="18"/>
  <c r="L29" i="14"/>
  <c r="T341" i="18"/>
  <c r="T296" i="18"/>
  <c r="U123" i="18"/>
  <c r="W219" i="18"/>
  <c r="P205" i="18"/>
  <c r="P55" i="18" s="1"/>
  <c r="Q206" i="18"/>
  <c r="Z213" i="18"/>
  <c r="V316" i="18"/>
  <c r="E235" i="18"/>
  <c r="F235" i="18"/>
  <c r="U382" i="18"/>
  <c r="Q347" i="18"/>
  <c r="R347" i="18" s="1"/>
  <c r="K29" i="14"/>
  <c r="T307" i="18"/>
  <c r="U304" i="18"/>
  <c r="AA287" i="18"/>
  <c r="AB284" i="18"/>
  <c r="T97" i="18"/>
  <c r="R169" i="18"/>
  <c r="Q127" i="18"/>
  <c r="X385" i="18"/>
  <c r="R149" i="18"/>
  <c r="AA286" i="18"/>
  <c r="Q102" i="18"/>
  <c r="U133" i="18"/>
  <c r="W353" i="18"/>
  <c r="X350" i="18"/>
  <c r="T342" i="18"/>
  <c r="U339" i="18"/>
  <c r="S377" i="18"/>
  <c r="Q211" i="18"/>
  <c r="T282" i="18"/>
  <c r="U279" i="18"/>
  <c r="I33" i="14"/>
  <c r="V312" i="18"/>
  <c r="W309" i="18"/>
  <c r="T297" i="18"/>
  <c r="U294" i="18"/>
  <c r="O52" i="18"/>
  <c r="Y98" i="18"/>
  <c r="W352" i="18"/>
  <c r="V357" i="18"/>
  <c r="R214" i="18"/>
  <c r="R60" i="18" s="1"/>
  <c r="S215" i="18"/>
  <c r="P202" i="18"/>
  <c r="P58" i="18" s="1"/>
  <c r="Q203" i="18"/>
  <c r="Q182" i="18"/>
  <c r="R212" i="18"/>
  <c r="V408" i="18"/>
  <c r="W405" i="18"/>
  <c r="Q217" i="18"/>
  <c r="R218" i="18"/>
  <c r="P196" i="18"/>
  <c r="P52" i="18" s="1"/>
  <c r="T322" i="18"/>
  <c r="U319" i="18"/>
  <c r="U337" i="18"/>
  <c r="V334" i="18"/>
  <c r="Q197" i="18"/>
  <c r="S277" i="18"/>
  <c r="T274" i="18"/>
  <c r="V311" i="18"/>
  <c r="Q177" i="18"/>
  <c r="U170" i="18"/>
  <c r="X207" i="18"/>
  <c r="X272" i="18"/>
  <c r="Y269" i="18"/>
  <c r="U383" i="18"/>
  <c r="V380" i="18"/>
  <c r="V358" i="18"/>
  <c r="W355" i="18"/>
  <c r="V317" i="18"/>
  <c r="W314" i="18"/>
  <c r="O236" i="18"/>
  <c r="E236" i="18" s="1"/>
  <c r="C5" i="15" s="1"/>
  <c r="E237" i="18"/>
  <c r="D5" i="15" s="1"/>
  <c r="P122" i="18"/>
  <c r="S302" i="18"/>
  <c r="T299" i="18"/>
  <c r="T332" i="18"/>
  <c r="U329" i="18"/>
  <c r="P138" i="18"/>
  <c r="U160" i="18"/>
  <c r="S378" i="18"/>
  <c r="T375" i="18"/>
  <c r="P41" i="18"/>
  <c r="P47" i="18"/>
  <c r="Q164" i="18"/>
  <c r="V403" i="18"/>
  <c r="W400" i="18"/>
  <c r="Y398" i="18"/>
  <c r="Z395" i="18"/>
  <c r="R132" i="18"/>
  <c r="Q107" i="18"/>
  <c r="R144" i="18"/>
  <c r="R364" i="18"/>
  <c r="S301" i="18"/>
  <c r="U108" i="18"/>
  <c r="T321" i="18"/>
  <c r="W139" i="18"/>
  <c r="R367" i="18" l="1"/>
  <c r="S367" i="18" s="1"/>
  <c r="R242" i="18"/>
  <c r="Q258" i="18"/>
  <c r="R415" i="18"/>
  <c r="U103" i="18"/>
  <c r="R263" i="18"/>
  <c r="R268" i="18"/>
  <c r="R247" i="18"/>
  <c r="R246" i="18" s="1"/>
  <c r="R420" i="18"/>
  <c r="R252" i="18"/>
  <c r="R251" i="18" s="1"/>
  <c r="R293" i="18"/>
  <c r="R258" i="18"/>
  <c r="R369" i="18"/>
  <c r="R368" i="18" s="1"/>
  <c r="S227" i="18"/>
  <c r="S242" i="18" s="1"/>
  <c r="S347" i="18"/>
  <c r="T345" i="18"/>
  <c r="U345" i="18" s="1"/>
  <c r="U348" i="18" s="1"/>
  <c r="T175" i="18"/>
  <c r="Q293" i="18"/>
  <c r="Q268" i="18"/>
  <c r="Q415" i="18"/>
  <c r="Q420" i="18"/>
  <c r="Q247" i="18"/>
  <c r="Q246" i="18" s="1"/>
  <c r="Q252" i="18"/>
  <c r="Q263" i="18"/>
  <c r="V155" i="18"/>
  <c r="W155" i="18" s="1"/>
  <c r="S267" i="18"/>
  <c r="R261" i="18"/>
  <c r="S261" i="18" s="1"/>
  <c r="Q262" i="18"/>
  <c r="T267" i="18"/>
  <c r="V266" i="18"/>
  <c r="W266" i="18" s="1"/>
  <c r="W267" i="18" s="1"/>
  <c r="Q387" i="18"/>
  <c r="Q388" i="18" s="1"/>
  <c r="P388" i="18"/>
  <c r="P373" i="18"/>
  <c r="Q372" i="18"/>
  <c r="V370" i="18"/>
  <c r="W201" i="18" s="1"/>
  <c r="R199" i="18"/>
  <c r="R57" i="18" s="1"/>
  <c r="S200" i="18"/>
  <c r="O174" i="18"/>
  <c r="P174" i="18" s="1"/>
  <c r="T301" i="18"/>
  <c r="U326" i="18"/>
  <c r="V326" i="18" s="1"/>
  <c r="U327" i="18"/>
  <c r="U306" i="18"/>
  <c r="S154" i="18"/>
  <c r="S159" i="18"/>
  <c r="U198" i="18"/>
  <c r="U321" i="18"/>
  <c r="V170" i="18"/>
  <c r="X139" i="18"/>
  <c r="U296" i="18"/>
  <c r="Y178" i="18"/>
  <c r="Y207" i="18"/>
  <c r="X352" i="18"/>
  <c r="M29" i="14"/>
  <c r="U341" i="18"/>
  <c r="V133" i="18"/>
  <c r="AB286" i="18"/>
  <c r="V108" i="18"/>
  <c r="V123" i="18"/>
  <c r="W311" i="18"/>
  <c r="Q205" i="18"/>
  <c r="Q55" i="18" s="1"/>
  <c r="R206" i="18"/>
  <c r="V135" i="18"/>
  <c r="Q138" i="18"/>
  <c r="Z398" i="18"/>
  <c r="AA395" i="18"/>
  <c r="R164" i="18"/>
  <c r="U332" i="18"/>
  <c r="V329" i="18"/>
  <c r="T302" i="18"/>
  <c r="U299" i="18"/>
  <c r="Q122" i="18"/>
  <c r="W317" i="18"/>
  <c r="X314" i="18"/>
  <c r="W358" i="18"/>
  <c r="X355" i="18"/>
  <c r="S364" i="18"/>
  <c r="S263" i="18"/>
  <c r="S369" i="18"/>
  <c r="V337" i="18"/>
  <c r="W334" i="18"/>
  <c r="Q47" i="18"/>
  <c r="Q41" i="18"/>
  <c r="W408" i="18"/>
  <c r="X405" i="18"/>
  <c r="Z98" i="18"/>
  <c r="T276" i="18"/>
  <c r="W312" i="18"/>
  <c r="X309" i="18"/>
  <c r="W316" i="18"/>
  <c r="U282" i="18"/>
  <c r="V279" i="18"/>
  <c r="Q59" i="18"/>
  <c r="U342" i="18"/>
  <c r="V339" i="18"/>
  <c r="R102" i="18"/>
  <c r="R127" i="18"/>
  <c r="U97" i="18"/>
  <c r="W407" i="18"/>
  <c r="X219" i="18"/>
  <c r="X145" i="18"/>
  <c r="U281" i="18"/>
  <c r="S144" i="18"/>
  <c r="N64" i="18"/>
  <c r="W403" i="18"/>
  <c r="X400" i="18"/>
  <c r="V383" i="18"/>
  <c r="W380" i="18"/>
  <c r="Y272" i="18"/>
  <c r="Z269" i="18"/>
  <c r="X141" i="18"/>
  <c r="Q196" i="18"/>
  <c r="Q52" i="18" s="1"/>
  <c r="R197" i="18"/>
  <c r="R211" i="18"/>
  <c r="R59" i="18" s="1"/>
  <c r="S212" i="18"/>
  <c r="Q202" i="18"/>
  <c r="Q58" i="18" s="1"/>
  <c r="R203" i="18"/>
  <c r="W357" i="18"/>
  <c r="T377" i="18"/>
  <c r="Y385" i="18"/>
  <c r="V336" i="18"/>
  <c r="R107" i="18"/>
  <c r="S132" i="18"/>
  <c r="T378" i="18"/>
  <c r="U375" i="18"/>
  <c r="V160" i="18"/>
  <c r="U322" i="18"/>
  <c r="V319" i="18"/>
  <c r="W165" i="18"/>
  <c r="U297" i="18"/>
  <c r="V294" i="18"/>
  <c r="V150" i="18"/>
  <c r="I31" i="14"/>
  <c r="Z397" i="18"/>
  <c r="V327" i="18"/>
  <c r="W324" i="18"/>
  <c r="S169" i="18"/>
  <c r="U307" i="18"/>
  <c r="V304" i="18"/>
  <c r="X216" i="18"/>
  <c r="U128" i="18"/>
  <c r="W402" i="18"/>
  <c r="U331" i="18"/>
  <c r="R177" i="18"/>
  <c r="T277" i="18"/>
  <c r="U274" i="18"/>
  <c r="AA213" i="18"/>
  <c r="R217" i="18"/>
  <c r="S218" i="18"/>
  <c r="Q240" i="18"/>
  <c r="R182" i="18"/>
  <c r="S214" i="18"/>
  <c r="S60" i="18" s="1"/>
  <c r="T215" i="18"/>
  <c r="X353" i="18"/>
  <c r="Y350" i="18"/>
  <c r="S149" i="18"/>
  <c r="AB287" i="18"/>
  <c r="AC284" i="18"/>
  <c r="V382" i="18"/>
  <c r="W204" i="18"/>
  <c r="X183" i="18"/>
  <c r="Y271" i="18"/>
  <c r="Y145" i="18" l="1"/>
  <c r="S420" i="18"/>
  <c r="S247" i="18"/>
  <c r="S246" i="18" s="1"/>
  <c r="S293" i="18"/>
  <c r="S245" i="18"/>
  <c r="T245" i="18" s="1"/>
  <c r="T246" i="18" s="1"/>
  <c r="S252" i="18"/>
  <c r="S251" i="18" s="1"/>
  <c r="S258" i="18"/>
  <c r="S268" i="18"/>
  <c r="S250" i="18"/>
  <c r="T250" i="18" s="1"/>
  <c r="S415" i="18"/>
  <c r="T347" i="18"/>
  <c r="U347" i="18" s="1"/>
  <c r="T227" i="18"/>
  <c r="T420" i="18" s="1"/>
  <c r="T348" i="18"/>
  <c r="V345" i="18"/>
  <c r="W345" i="18" s="1"/>
  <c r="U175" i="18"/>
  <c r="V175" i="18" s="1"/>
  <c r="O173" i="18"/>
  <c r="O64" i="18" s="1"/>
  <c r="L33" i="14" s="1"/>
  <c r="L31" i="14" s="1"/>
  <c r="T154" i="18"/>
  <c r="U154" i="18" s="1"/>
  <c r="S368" i="18"/>
  <c r="W170" i="18"/>
  <c r="V267" i="18"/>
  <c r="T261" i="18"/>
  <c r="S262" i="18"/>
  <c r="R262" i="18"/>
  <c r="R387" i="18"/>
  <c r="R388" i="18" s="1"/>
  <c r="S199" i="18"/>
  <c r="S57" i="18" s="1"/>
  <c r="T200" i="18"/>
  <c r="W370" i="18"/>
  <c r="X201" i="18" s="1"/>
  <c r="R372" i="18"/>
  <c r="Q373" i="18"/>
  <c r="W123" i="18"/>
  <c r="V331" i="18"/>
  <c r="Y139" i="18"/>
  <c r="R138" i="18"/>
  <c r="Y141" i="18"/>
  <c r="X402" i="18"/>
  <c r="AA397" i="18"/>
  <c r="V341" i="18"/>
  <c r="V128" i="18"/>
  <c r="W326" i="18"/>
  <c r="X165" i="18"/>
  <c r="W108" i="18"/>
  <c r="Y216" i="18"/>
  <c r="W336" i="18"/>
  <c r="Z271" i="18"/>
  <c r="AB213" i="18"/>
  <c r="X311" i="18"/>
  <c r="W133" i="18"/>
  <c r="W135" i="18"/>
  <c r="X357" i="18"/>
  <c r="X204" i="18"/>
  <c r="Y183" i="18"/>
  <c r="W382" i="18"/>
  <c r="V281" i="18"/>
  <c r="W160" i="18"/>
  <c r="V306" i="18"/>
  <c r="X407" i="18"/>
  <c r="X316" i="18"/>
  <c r="R205" i="18"/>
  <c r="R55" i="18" s="1"/>
  <c r="S206" i="18"/>
  <c r="X155" i="18"/>
  <c r="Y219" i="18"/>
  <c r="AC287" i="18"/>
  <c r="AD284" i="18"/>
  <c r="T149" i="18"/>
  <c r="Z178" i="18"/>
  <c r="T214" i="18"/>
  <c r="T60" i="18" s="1"/>
  <c r="U215" i="18"/>
  <c r="R47" i="18"/>
  <c r="R41" i="18"/>
  <c r="U277" i="18"/>
  <c r="V274" i="18"/>
  <c r="U227" i="18"/>
  <c r="S177" i="18"/>
  <c r="AC286" i="18"/>
  <c r="S102" i="18"/>
  <c r="AA98" i="18"/>
  <c r="X317" i="18"/>
  <c r="Y314" i="18"/>
  <c r="R122" i="18"/>
  <c r="U302" i="18"/>
  <c r="V299" i="18"/>
  <c r="AA398" i="18"/>
  <c r="AB395" i="18"/>
  <c r="V322" i="18"/>
  <c r="W319" i="18"/>
  <c r="U378" i="18"/>
  <c r="V375" i="18"/>
  <c r="T132" i="18"/>
  <c r="R196" i="18"/>
  <c r="R52" i="18" s="1"/>
  <c r="S197" i="18"/>
  <c r="Z272" i="18"/>
  <c r="AA269" i="18"/>
  <c r="W383" i="18"/>
  <c r="X380" i="18"/>
  <c r="T144" i="18"/>
  <c r="S127" i="18"/>
  <c r="V342" i="18"/>
  <c r="W339" i="18"/>
  <c r="V282" i="18"/>
  <c r="W279" i="18"/>
  <c r="S164" i="18"/>
  <c r="V103" i="18"/>
  <c r="Y353" i="18"/>
  <c r="Z350" i="18"/>
  <c r="S182" i="18"/>
  <c r="S217" i="18"/>
  <c r="T218" i="18"/>
  <c r="T169" i="18"/>
  <c r="V297" i="18"/>
  <c r="W294" i="18"/>
  <c r="X123" i="18" s="1"/>
  <c r="V321" i="18"/>
  <c r="Z385" i="18"/>
  <c r="X403" i="18"/>
  <c r="Y400" i="18"/>
  <c r="K33" i="14"/>
  <c r="N29" i="14"/>
  <c r="X408" i="18"/>
  <c r="Y405" i="18"/>
  <c r="Z207" i="18"/>
  <c r="X358" i="18"/>
  <c r="Y355" i="18"/>
  <c r="V332" i="18"/>
  <c r="W329" i="18"/>
  <c r="T367" i="18"/>
  <c r="U367" i="18" s="1"/>
  <c r="U301" i="18"/>
  <c r="V198" i="18"/>
  <c r="T159" i="18"/>
  <c r="Y352" i="18"/>
  <c r="Q241" i="18"/>
  <c r="R240" i="18"/>
  <c r="T364" i="18"/>
  <c r="V307" i="18"/>
  <c r="W304" i="18"/>
  <c r="W327" i="18"/>
  <c r="X324" i="18"/>
  <c r="W150" i="18"/>
  <c r="S107" i="18"/>
  <c r="U377" i="18"/>
  <c r="R202" i="18"/>
  <c r="R58" i="18" s="1"/>
  <c r="S203" i="18"/>
  <c r="S211" i="18"/>
  <c r="S59" i="18" s="1"/>
  <c r="T212" i="18"/>
  <c r="P173" i="18"/>
  <c r="P64" i="18" s="1"/>
  <c r="M33" i="14" s="1"/>
  <c r="M31" i="14" s="1"/>
  <c r="Q174" i="18"/>
  <c r="V97" i="18"/>
  <c r="X312" i="18"/>
  <c r="Y309" i="18"/>
  <c r="U276" i="18"/>
  <c r="W337" i="18"/>
  <c r="X334" i="18"/>
  <c r="V296" i="18"/>
  <c r="T415" i="18" l="1"/>
  <c r="T293" i="18"/>
  <c r="T252" i="18"/>
  <c r="T251" i="18" s="1"/>
  <c r="T263" i="18"/>
  <c r="T369" i="18"/>
  <c r="T268" i="18"/>
  <c r="T247" i="18"/>
  <c r="T242" i="18"/>
  <c r="T258" i="18"/>
  <c r="V348" i="18"/>
  <c r="V347" i="18"/>
  <c r="W347" i="18" s="1"/>
  <c r="W175" i="18"/>
  <c r="X175" i="18" s="1"/>
  <c r="X170" i="18"/>
  <c r="U256" i="18"/>
  <c r="U242" i="18"/>
  <c r="U241" i="18" s="1"/>
  <c r="U261" i="18"/>
  <c r="V261" i="18" s="1"/>
  <c r="Z183" i="18"/>
  <c r="T262" i="18"/>
  <c r="S387" i="18"/>
  <c r="Y402" i="18"/>
  <c r="T199" i="18"/>
  <c r="T57" i="18" s="1"/>
  <c r="U200" i="18"/>
  <c r="X370" i="18"/>
  <c r="AA207" i="18"/>
  <c r="R373" i="18"/>
  <c r="S372" i="18"/>
  <c r="W331" i="18"/>
  <c r="Y407" i="18"/>
  <c r="W103" i="18"/>
  <c r="V276" i="18"/>
  <c r="AA271" i="18"/>
  <c r="S138" i="18"/>
  <c r="AC213" i="18"/>
  <c r="Z141" i="18"/>
  <c r="O29" i="14"/>
  <c r="W128" i="18"/>
  <c r="W198" i="18"/>
  <c r="X135" i="18"/>
  <c r="W281" i="18"/>
  <c r="V377" i="18"/>
  <c r="AB397" i="18"/>
  <c r="X382" i="18"/>
  <c r="X150" i="18"/>
  <c r="Z352" i="18"/>
  <c r="W296" i="18"/>
  <c r="V301" i="18"/>
  <c r="W321" i="18"/>
  <c r="AD286" i="18"/>
  <c r="S205" i="18"/>
  <c r="S55" i="18" s="1"/>
  <c r="T206" i="18"/>
  <c r="X160" i="18"/>
  <c r="U250" i="18"/>
  <c r="U245" i="18"/>
  <c r="S202" i="18"/>
  <c r="S58" i="18" s="1"/>
  <c r="T203" i="18"/>
  <c r="V154" i="18"/>
  <c r="X327" i="18"/>
  <c r="Y324" i="18"/>
  <c r="W307" i="18"/>
  <c r="X304" i="18"/>
  <c r="W306" i="18"/>
  <c r="T368" i="18"/>
  <c r="E368" i="18" s="1"/>
  <c r="C36" i="15" s="1"/>
  <c r="E369" i="18"/>
  <c r="D36" i="15" s="1"/>
  <c r="U159" i="18"/>
  <c r="Y403" i="18"/>
  <c r="Z400" i="18"/>
  <c r="U169" i="18"/>
  <c r="T182" i="18"/>
  <c r="W282" i="18"/>
  <c r="X279" i="18"/>
  <c r="U144" i="18"/>
  <c r="U132" i="18"/>
  <c r="Z216" i="18"/>
  <c r="Y317" i="18"/>
  <c r="Z314" i="18"/>
  <c r="U247" i="18"/>
  <c r="U364" i="18"/>
  <c r="U415" i="18"/>
  <c r="U293" i="18"/>
  <c r="U268" i="18"/>
  <c r="U258" i="18"/>
  <c r="U257" i="18" s="1"/>
  <c r="U420" i="18"/>
  <c r="U252" i="18"/>
  <c r="U263" i="18"/>
  <c r="W97" i="18"/>
  <c r="X337" i="18"/>
  <c r="Y334" i="18"/>
  <c r="Y312" i="18"/>
  <c r="Z309" i="18"/>
  <c r="Q173" i="18"/>
  <c r="Q64" i="18" s="1"/>
  <c r="N33" i="14" s="1"/>
  <c r="N31" i="14" s="1"/>
  <c r="R174" i="18"/>
  <c r="Y311" i="18"/>
  <c r="R241" i="18"/>
  <c r="S240" i="18"/>
  <c r="T240" i="18" s="1"/>
  <c r="T241" i="18" s="1"/>
  <c r="T164" i="18"/>
  <c r="T127" i="18"/>
  <c r="X383" i="18"/>
  <c r="Y380" i="18"/>
  <c r="X108" i="18"/>
  <c r="S122" i="18"/>
  <c r="AB98" i="18"/>
  <c r="Z145" i="18"/>
  <c r="V277" i="18"/>
  <c r="W274" i="18"/>
  <c r="V227" i="18"/>
  <c r="AA178" i="18"/>
  <c r="T211" i="18"/>
  <c r="T59" i="18" s="1"/>
  <c r="U212" i="18"/>
  <c r="T107" i="18"/>
  <c r="Y408" i="18"/>
  <c r="Z405" i="18"/>
  <c r="K31" i="14"/>
  <c r="Z139" i="18"/>
  <c r="T217" i="18"/>
  <c r="U218" i="18"/>
  <c r="W342" i="18"/>
  <c r="X339" i="18"/>
  <c r="W341" i="18"/>
  <c r="V378" i="18"/>
  <c r="W375" i="18"/>
  <c r="W322" i="18"/>
  <c r="X319" i="18"/>
  <c r="Y204" i="18"/>
  <c r="V367" i="18"/>
  <c r="V302" i="18"/>
  <c r="W299" i="18"/>
  <c r="Y316" i="18"/>
  <c r="T177" i="18"/>
  <c r="W332" i="18"/>
  <c r="X329" i="18"/>
  <c r="Y358" i="18"/>
  <c r="Z355" i="18"/>
  <c r="Y357" i="18"/>
  <c r="AA385" i="18"/>
  <c r="Y165" i="18"/>
  <c r="W297" i="18"/>
  <c r="X294" i="18"/>
  <c r="Y123" i="18" s="1"/>
  <c r="X133" i="18"/>
  <c r="Y155" i="18"/>
  <c r="W348" i="18"/>
  <c r="X345" i="18"/>
  <c r="S41" i="18"/>
  <c r="S47" i="18"/>
  <c r="Z353" i="18"/>
  <c r="AA350" i="18"/>
  <c r="Z219" i="18"/>
  <c r="AA272" i="18"/>
  <c r="AB269" i="18"/>
  <c r="S196" i="18"/>
  <c r="S52" i="18" s="1"/>
  <c r="T197" i="18"/>
  <c r="X336" i="18"/>
  <c r="X326" i="18"/>
  <c r="AB398" i="18"/>
  <c r="AC395" i="18"/>
  <c r="T102" i="18"/>
  <c r="U214" i="18"/>
  <c r="U60" i="18" s="1"/>
  <c r="V215" i="18"/>
  <c r="U149" i="18"/>
  <c r="AD287" i="18"/>
  <c r="AE284" i="18"/>
  <c r="X103" i="18" l="1"/>
  <c r="Y170" i="18"/>
  <c r="E242" i="18"/>
  <c r="D6" i="15" s="1"/>
  <c r="U262" i="18"/>
  <c r="Z402" i="18"/>
  <c r="V262" i="18"/>
  <c r="W261" i="18"/>
  <c r="S388" i="18"/>
  <c r="T387" i="18"/>
  <c r="X281" i="18"/>
  <c r="AB207" i="18"/>
  <c r="Y370" i="18"/>
  <c r="Y201" i="18"/>
  <c r="T372" i="18"/>
  <c r="S373" i="18"/>
  <c r="U199" i="18"/>
  <c r="U57" i="18" s="1"/>
  <c r="V200" i="18"/>
  <c r="Y336" i="18"/>
  <c r="Z165" i="18"/>
  <c r="X198" i="18"/>
  <c r="W276" i="18"/>
  <c r="Z407" i="18"/>
  <c r="AA219" i="18"/>
  <c r="Y382" i="18"/>
  <c r="AA145" i="18"/>
  <c r="Z316" i="18"/>
  <c r="Z204" i="18"/>
  <c r="X321" i="18"/>
  <c r="Y326" i="18"/>
  <c r="Z155" i="18"/>
  <c r="Y108" i="18"/>
  <c r="P29" i="14"/>
  <c r="AA139" i="18"/>
  <c r="T205" i="18"/>
  <c r="T55" i="18" s="1"/>
  <c r="U206" i="18"/>
  <c r="AA216" i="18"/>
  <c r="X306" i="18"/>
  <c r="U246" i="18"/>
  <c r="V245" i="18"/>
  <c r="X341" i="18"/>
  <c r="U251" i="18"/>
  <c r="V250" i="18"/>
  <c r="AC398" i="18"/>
  <c r="AD395" i="18"/>
  <c r="U217" i="18"/>
  <c r="V218" i="18"/>
  <c r="U107" i="18"/>
  <c r="AB178" i="18"/>
  <c r="U164" i="18"/>
  <c r="W367" i="18"/>
  <c r="S241" i="18"/>
  <c r="E241" i="18" s="1"/>
  <c r="C6" i="15" s="1"/>
  <c r="Z312" i="18"/>
  <c r="AA309" i="18"/>
  <c r="AA141" i="18"/>
  <c r="Z317" i="18"/>
  <c r="AA314" i="18"/>
  <c r="AD213" i="18"/>
  <c r="X307" i="18"/>
  <c r="Y304" i="18"/>
  <c r="T202" i="18"/>
  <c r="T58" i="18" s="1"/>
  <c r="U203" i="18"/>
  <c r="T196" i="18"/>
  <c r="T52" i="18" s="1"/>
  <c r="U197" i="18"/>
  <c r="AB272" i="18"/>
  <c r="AC269" i="18"/>
  <c r="X348" i="18"/>
  <c r="Y345" i="18"/>
  <c r="Y133" i="18"/>
  <c r="Y135" i="18"/>
  <c r="Z358" i="18"/>
  <c r="AA355" i="18"/>
  <c r="W302" i="18"/>
  <c r="X299" i="18"/>
  <c r="X322" i="18"/>
  <c r="Y319" i="18"/>
  <c r="T47" i="18"/>
  <c r="T41" i="18"/>
  <c r="V420" i="18"/>
  <c r="V364" i="18"/>
  <c r="V263" i="18"/>
  <c r="V268" i="18"/>
  <c r="V252" i="18"/>
  <c r="V415" i="18"/>
  <c r="V247" i="18"/>
  <c r="V293" i="18"/>
  <c r="V256" i="18"/>
  <c r="V258" i="18"/>
  <c r="AC98" i="18"/>
  <c r="T138" i="18"/>
  <c r="R173" i="18"/>
  <c r="R64" i="18" s="1"/>
  <c r="O33" i="14" s="1"/>
  <c r="S174" i="18"/>
  <c r="Y337" i="18"/>
  <c r="Z334" i="18"/>
  <c r="X97" i="18"/>
  <c r="V144" i="18"/>
  <c r="X282" i="18"/>
  <c r="Y279" i="18"/>
  <c r="V169" i="18"/>
  <c r="AA183" i="18"/>
  <c r="Y150" i="18"/>
  <c r="AE287" i="18"/>
  <c r="AF284" i="18"/>
  <c r="Z357" i="18"/>
  <c r="U177" i="18"/>
  <c r="W378" i="18"/>
  <c r="X375" i="18"/>
  <c r="Y198" i="18" s="1"/>
  <c r="X342" i="18"/>
  <c r="Y339" i="18"/>
  <c r="AB271" i="18"/>
  <c r="W377" i="18"/>
  <c r="X347" i="18"/>
  <c r="Y347" i="18" s="1"/>
  <c r="W277" i="18"/>
  <c r="X274" i="18"/>
  <c r="W227" i="18"/>
  <c r="Y383" i="18"/>
  <c r="Z380" i="18"/>
  <c r="U127" i="18"/>
  <c r="U240" i="18"/>
  <c r="AE286" i="18"/>
  <c r="V132" i="18"/>
  <c r="W301" i="18"/>
  <c r="Y327" i="18"/>
  <c r="Z324" i="18"/>
  <c r="W154" i="18"/>
  <c r="V149" i="18"/>
  <c r="V214" i="18"/>
  <c r="V60" i="18" s="1"/>
  <c r="W215" i="18"/>
  <c r="U102" i="18"/>
  <c r="AA353" i="18"/>
  <c r="AB350" i="18"/>
  <c r="X297" i="18"/>
  <c r="Y294" i="18"/>
  <c r="AB385" i="18"/>
  <c r="X332" i="18"/>
  <c r="Y329" i="18"/>
  <c r="Y175" i="18"/>
  <c r="Z408" i="18"/>
  <c r="AA405" i="18"/>
  <c r="C11" i="15"/>
  <c r="D11" i="15" s="1"/>
  <c r="C2" i="14" s="1"/>
  <c r="Y160" i="18"/>
  <c r="U211" i="18"/>
  <c r="U59" i="18" s="1"/>
  <c r="V212" i="18"/>
  <c r="T122" i="18"/>
  <c r="AA352" i="18"/>
  <c r="Z311" i="18"/>
  <c r="AC397" i="18"/>
  <c r="X296" i="18"/>
  <c r="U182" i="18"/>
  <c r="Z403" i="18"/>
  <c r="AA400" i="18"/>
  <c r="AB216" i="18" s="1"/>
  <c r="V159" i="18"/>
  <c r="X128" i="18"/>
  <c r="X331" i="18"/>
  <c r="V257" i="18" l="1"/>
  <c r="AA165" i="18"/>
  <c r="X261" i="18"/>
  <c r="X262" i="18" s="1"/>
  <c r="W262" i="18"/>
  <c r="U387" i="18"/>
  <c r="V387" i="18" s="1"/>
  <c r="V388" i="18" s="1"/>
  <c r="T388" i="18"/>
  <c r="Z201" i="18"/>
  <c r="V199" i="18"/>
  <c r="V57" i="18" s="1"/>
  <c r="W200" i="18"/>
  <c r="U372" i="18"/>
  <c r="T373" i="18"/>
  <c r="Z370" i="18"/>
  <c r="AB145" i="18"/>
  <c r="Y128" i="18"/>
  <c r="AA311" i="18"/>
  <c r="AD397" i="18"/>
  <c r="Y321" i="18"/>
  <c r="Q29" i="14"/>
  <c r="Z108" i="18"/>
  <c r="Z175" i="18"/>
  <c r="Y306" i="18"/>
  <c r="AB139" i="18"/>
  <c r="Z336" i="18"/>
  <c r="X301" i="18"/>
  <c r="AC271" i="18"/>
  <c r="AB141" i="18"/>
  <c r="AB352" i="18"/>
  <c r="AA357" i="18"/>
  <c r="AD98" i="18"/>
  <c r="AE213" i="18"/>
  <c r="AA316" i="18"/>
  <c r="Z150" i="18"/>
  <c r="U205" i="18"/>
  <c r="U55" i="18" s="1"/>
  <c r="V206" i="18"/>
  <c r="Y331" i="18"/>
  <c r="AB183" i="18"/>
  <c r="AF286" i="18"/>
  <c r="Y296" i="18"/>
  <c r="Z160" i="18"/>
  <c r="Z133" i="18"/>
  <c r="V246" i="18"/>
  <c r="W245" i="18"/>
  <c r="W250" i="18"/>
  <c r="X250" i="18" s="1"/>
  <c r="X377" i="18"/>
  <c r="X277" i="18"/>
  <c r="Y274" i="18"/>
  <c r="X227" i="18"/>
  <c r="X266" i="18" s="1"/>
  <c r="V240" i="18"/>
  <c r="W240" i="18" s="1"/>
  <c r="W256" i="18"/>
  <c r="V251" i="18"/>
  <c r="E251" i="18" s="1"/>
  <c r="C10" i="15" s="1"/>
  <c r="E252" i="18"/>
  <c r="D10" i="15" s="1"/>
  <c r="Y341" i="18"/>
  <c r="Z135" i="18"/>
  <c r="Y348" i="18"/>
  <c r="Z345" i="18"/>
  <c r="Z347" i="18" s="1"/>
  <c r="AA312" i="18"/>
  <c r="AB309" i="18"/>
  <c r="X367" i="18"/>
  <c r="Y367" i="18" s="1"/>
  <c r="AA408" i="18"/>
  <c r="AB405" i="18"/>
  <c r="AC385" i="18"/>
  <c r="Y297" i="18"/>
  <c r="Z294" i="18"/>
  <c r="AB353" i="18"/>
  <c r="AC350" i="18"/>
  <c r="W214" i="18"/>
  <c r="W60" i="18" s="1"/>
  <c r="X215" i="18"/>
  <c r="W149" i="18"/>
  <c r="Z327" i="18"/>
  <c r="AA324" i="18"/>
  <c r="W132" i="18"/>
  <c r="V127" i="18"/>
  <c r="V177" i="18"/>
  <c r="Y322" i="18"/>
  <c r="Z319" i="18"/>
  <c r="AA358" i="18"/>
  <c r="AB355" i="18"/>
  <c r="Z326" i="18"/>
  <c r="Y307" i="18"/>
  <c r="Z304" i="18"/>
  <c r="AC141" i="18"/>
  <c r="V164" i="18"/>
  <c r="AC178" i="18"/>
  <c r="V217" i="18"/>
  <c r="W218" i="18"/>
  <c r="AA155" i="18"/>
  <c r="AB155" i="18" s="1"/>
  <c r="AA407" i="18"/>
  <c r="AA403" i="18"/>
  <c r="AB400" i="18"/>
  <c r="V182" i="18"/>
  <c r="U122" i="18"/>
  <c r="Y332" i="18"/>
  <c r="Z329" i="18"/>
  <c r="Z383" i="18"/>
  <c r="AA380" i="18"/>
  <c r="Y342" i="18"/>
  <c r="Z339" i="18"/>
  <c r="AF287" i="18"/>
  <c r="AG284" i="18"/>
  <c r="Y97" i="18"/>
  <c r="Z337" i="18"/>
  <c r="AA334" i="18"/>
  <c r="S173" i="18"/>
  <c r="S64" i="18" s="1"/>
  <c r="P33" i="14" s="1"/>
  <c r="P31" i="14" s="1"/>
  <c r="T174" i="18"/>
  <c r="U138" i="18"/>
  <c r="U202" i="18"/>
  <c r="U58" i="18" s="1"/>
  <c r="V203" i="18"/>
  <c r="AA317" i="18"/>
  <c r="AB314" i="18"/>
  <c r="U41" i="18"/>
  <c r="U47" i="18"/>
  <c r="AD398" i="18"/>
  <c r="AE395" i="18"/>
  <c r="Z170" i="18"/>
  <c r="AC207" i="18"/>
  <c r="W159" i="18"/>
  <c r="V211" i="18"/>
  <c r="V59" i="18" s="1"/>
  <c r="W212" i="18"/>
  <c r="V102" i="18"/>
  <c r="AB219" i="18"/>
  <c r="X154" i="18"/>
  <c r="W293" i="18"/>
  <c r="W247" i="18"/>
  <c r="W420" i="18"/>
  <c r="W415" i="18"/>
  <c r="W364" i="18"/>
  <c r="W263" i="18"/>
  <c r="W268" i="18"/>
  <c r="W258" i="18"/>
  <c r="W257" i="18" s="1"/>
  <c r="X378" i="18"/>
  <c r="Y375" i="18"/>
  <c r="Z198" i="18" s="1"/>
  <c r="AA204" i="18"/>
  <c r="AA402" i="18"/>
  <c r="Y103" i="18"/>
  <c r="W169" i="18"/>
  <c r="Y282" i="18"/>
  <c r="Z279" i="18"/>
  <c r="W144" i="18"/>
  <c r="O31" i="14"/>
  <c r="Y281" i="18"/>
  <c r="X302" i="18"/>
  <c r="Y299" i="18"/>
  <c r="Z382" i="18"/>
  <c r="AC272" i="18"/>
  <c r="AD269" i="18"/>
  <c r="U196" i="18"/>
  <c r="U52" i="18" s="1"/>
  <c r="V197" i="18"/>
  <c r="V107" i="18"/>
  <c r="X276" i="18"/>
  <c r="Z123" i="18"/>
  <c r="AA123" i="18" s="1"/>
  <c r="Z306" i="18" l="1"/>
  <c r="Y266" i="18"/>
  <c r="Y267" i="18" s="1"/>
  <c r="AA150" i="18"/>
  <c r="U388" i="18"/>
  <c r="W387" i="18"/>
  <c r="AA336" i="18"/>
  <c r="AA201" i="18"/>
  <c r="AA370" i="18"/>
  <c r="V372" i="18"/>
  <c r="U373" i="18"/>
  <c r="W199" i="18"/>
  <c r="W57" i="18" s="1"/>
  <c r="X200" i="18"/>
  <c r="AB311" i="18"/>
  <c r="AG286" i="18"/>
  <c r="AD271" i="18"/>
  <c r="R29" i="14"/>
  <c r="Z321" i="18"/>
  <c r="AE397" i="18"/>
  <c r="AC183" i="18"/>
  <c r="AA382" i="18"/>
  <c r="AC219" i="18"/>
  <c r="Z331" i="18"/>
  <c r="AC352" i="18"/>
  <c r="AA170" i="18"/>
  <c r="AD207" i="18"/>
  <c r="AD178" i="18"/>
  <c r="Z296" i="18"/>
  <c r="Y276" i="18"/>
  <c r="Z103" i="18"/>
  <c r="V205" i="18"/>
  <c r="V55" i="18" s="1"/>
  <c r="W206" i="18"/>
  <c r="AA326" i="18"/>
  <c r="AB402" i="18"/>
  <c r="AB204" i="18"/>
  <c r="AB407" i="18"/>
  <c r="AA135" i="18"/>
  <c r="Z281" i="18"/>
  <c r="Y250" i="18"/>
  <c r="Z250" i="18" s="1"/>
  <c r="AA250" i="18" s="1"/>
  <c r="X245" i="18"/>
  <c r="W246" i="18"/>
  <c r="X240" i="18"/>
  <c r="Y240" i="18" s="1"/>
  <c r="Z240" i="18" s="1"/>
  <c r="AA240" i="18" s="1"/>
  <c r="AB240" i="18" s="1"/>
  <c r="AC240" i="18" s="1"/>
  <c r="AD240" i="18" s="1"/>
  <c r="AE240" i="18" s="1"/>
  <c r="AF240" i="18" s="1"/>
  <c r="AG240" i="18" s="1"/>
  <c r="AH240" i="18" s="1"/>
  <c r="AI240" i="18" s="1"/>
  <c r="AJ240" i="18" s="1"/>
  <c r="AK240" i="18" s="1"/>
  <c r="AL240" i="18" s="1"/>
  <c r="AM240" i="18" s="1"/>
  <c r="AN240" i="18" s="1"/>
  <c r="AO240" i="18" s="1"/>
  <c r="AP240" i="18" s="1"/>
  <c r="AQ240" i="18" s="1"/>
  <c r="AR240" i="18" s="1"/>
  <c r="AS240" i="18" s="1"/>
  <c r="AT240" i="18" s="1"/>
  <c r="AU240" i="18" s="1"/>
  <c r="AV240" i="18" s="1"/>
  <c r="AW240" i="18" s="1"/>
  <c r="AX240" i="18" s="1"/>
  <c r="AY240" i="18" s="1"/>
  <c r="AZ240" i="18" s="1"/>
  <c r="BA240" i="18" s="1"/>
  <c r="BB240" i="18" s="1"/>
  <c r="BC240" i="18" s="1"/>
  <c r="BD240" i="18" s="1"/>
  <c r="BE240" i="18" s="1"/>
  <c r="BF240" i="18" s="1"/>
  <c r="BG240" i="18" s="1"/>
  <c r="BH240" i="18" s="1"/>
  <c r="BI240" i="18" s="1"/>
  <c r="BJ240" i="18" s="1"/>
  <c r="BK240" i="18" s="1"/>
  <c r="BL240" i="18" s="1"/>
  <c r="BM240" i="18" s="1"/>
  <c r="BN240" i="18" s="1"/>
  <c r="BO240" i="18" s="1"/>
  <c r="BP240" i="18" s="1"/>
  <c r="BQ240" i="18" s="1"/>
  <c r="BR240" i="18" s="1"/>
  <c r="BS240" i="18" s="1"/>
  <c r="BT240" i="18" s="1"/>
  <c r="BU240" i="18" s="1"/>
  <c r="BV240" i="18" s="1"/>
  <c r="BW240" i="18" s="1"/>
  <c r="BX240" i="18" s="1"/>
  <c r="BY240" i="18" s="1"/>
  <c r="BZ240" i="18" s="1"/>
  <c r="CA240" i="18" s="1"/>
  <c r="CB240" i="18" s="1"/>
  <c r="CC240" i="18" s="1"/>
  <c r="CD240" i="18" s="1"/>
  <c r="CE240" i="18" s="1"/>
  <c r="CF240" i="18" s="1"/>
  <c r="CG240" i="18" s="1"/>
  <c r="CH240" i="18" s="1"/>
  <c r="CI240" i="18" s="1"/>
  <c r="CJ240" i="18" s="1"/>
  <c r="CK240" i="18" s="1"/>
  <c r="CL240" i="18" s="1"/>
  <c r="CM240" i="18" s="1"/>
  <c r="CN240" i="18" s="1"/>
  <c r="CO240" i="18" s="1"/>
  <c r="CP240" i="18" s="1"/>
  <c r="CQ240" i="18" s="1"/>
  <c r="CR240" i="18" s="1"/>
  <c r="CS240" i="18" s="1"/>
  <c r="CT240" i="18" s="1"/>
  <c r="CU240" i="18" s="1"/>
  <c r="CV240" i="18" s="1"/>
  <c r="CW240" i="18" s="1"/>
  <c r="CX240" i="18" s="1"/>
  <c r="CY240" i="18" s="1"/>
  <c r="CZ240" i="18" s="1"/>
  <c r="DA240" i="18" s="1"/>
  <c r="DB240" i="18" s="1"/>
  <c r="DC240" i="18" s="1"/>
  <c r="DD240" i="18" s="1"/>
  <c r="DE240" i="18" s="1"/>
  <c r="DF240" i="18" s="1"/>
  <c r="DG240" i="18" s="1"/>
  <c r="DH240" i="18" s="1"/>
  <c r="DI240" i="18" s="1"/>
  <c r="DJ240" i="18" s="1"/>
  <c r="DK240" i="18" s="1"/>
  <c r="DL240" i="18" s="1"/>
  <c r="DM240" i="18" s="1"/>
  <c r="DN240" i="18" s="1"/>
  <c r="DO240" i="18" s="1"/>
  <c r="DP240" i="18" s="1"/>
  <c r="DQ240" i="18" s="1"/>
  <c r="DR240" i="18" s="1"/>
  <c r="DS240" i="18" s="1"/>
  <c r="DT240" i="18" s="1"/>
  <c r="DU240" i="18" s="1"/>
  <c r="DV240" i="18" s="1"/>
  <c r="DW240" i="18" s="1"/>
  <c r="DX240" i="18" s="1"/>
  <c r="DY240" i="18" s="1"/>
  <c r="DZ240" i="18" s="1"/>
  <c r="EA240" i="18" s="1"/>
  <c r="EB240" i="18" s="1"/>
  <c r="EC240" i="18" s="1"/>
  <c r="ED240" i="18" s="1"/>
  <c r="EE240" i="18" s="1"/>
  <c r="EF240" i="18" s="1"/>
  <c r="EG240" i="18" s="1"/>
  <c r="EH240" i="18" s="1"/>
  <c r="EI240" i="18" s="1"/>
  <c r="AB317" i="18"/>
  <c r="AC314" i="18"/>
  <c r="AB316" i="18"/>
  <c r="AE98" i="18"/>
  <c r="V138" i="18"/>
  <c r="Z97" i="18"/>
  <c r="AG287" i="18"/>
  <c r="AH284" i="18"/>
  <c r="W127" i="18"/>
  <c r="Y301" i="18"/>
  <c r="X214" i="18"/>
  <c r="X60" i="18" s="1"/>
  <c r="Y215" i="18"/>
  <c r="AC353" i="18"/>
  <c r="AD350" i="18"/>
  <c r="AB408" i="18"/>
  <c r="AC405" i="18"/>
  <c r="X415" i="18"/>
  <c r="X247" i="18"/>
  <c r="X293" i="18"/>
  <c r="X364" i="18"/>
  <c r="X268" i="18"/>
  <c r="X267" i="18" s="1"/>
  <c r="X263" i="18"/>
  <c r="X258" i="18"/>
  <c r="X420" i="18"/>
  <c r="Z128" i="18"/>
  <c r="AC145" i="18"/>
  <c r="AD145" i="18" s="1"/>
  <c r="W102" i="18"/>
  <c r="AA383" i="18"/>
  <c r="AB380" i="18"/>
  <c r="Z332" i="18"/>
  <c r="AA329" i="18"/>
  <c r="V122" i="18"/>
  <c r="AB403" i="18"/>
  <c r="AC400" i="18"/>
  <c r="W164" i="18"/>
  <c r="Z297" i="18"/>
  <c r="AA294" i="18"/>
  <c r="AB312" i="18"/>
  <c r="AC309" i="18"/>
  <c r="Z348" i="18"/>
  <c r="AA345" i="18"/>
  <c r="AA347" i="18" s="1"/>
  <c r="Z341" i="18"/>
  <c r="Y277" i="18"/>
  <c r="Z274" i="18"/>
  <c r="AA103" i="18" s="1"/>
  <c r="Y227" i="18"/>
  <c r="Y261" i="18" s="1"/>
  <c r="AA175" i="18"/>
  <c r="W107" i="18"/>
  <c r="X169" i="18"/>
  <c r="AD272" i="18"/>
  <c r="AE269" i="18"/>
  <c r="AE271" i="18" s="1"/>
  <c r="X144" i="18"/>
  <c r="Z282" i="18"/>
  <c r="AA279" i="18"/>
  <c r="Y154" i="18"/>
  <c r="W211" i="18"/>
  <c r="W59" i="18" s="1"/>
  <c r="X212" i="18"/>
  <c r="X159" i="18"/>
  <c r="AE398" i="18"/>
  <c r="AF395" i="18"/>
  <c r="Y377" i="18"/>
  <c r="W182" i="18"/>
  <c r="W217" i="18"/>
  <c r="X218" i="18"/>
  <c r="Z307" i="18"/>
  <c r="AA304" i="18"/>
  <c r="AB358" i="18"/>
  <c r="AC355" i="18"/>
  <c r="Z322" i="18"/>
  <c r="AA319" i="18"/>
  <c r="AB357" i="18"/>
  <c r="X132" i="18"/>
  <c r="X149" i="18"/>
  <c r="AC139" i="18"/>
  <c r="AA108" i="18"/>
  <c r="V196" i="18"/>
  <c r="V52" i="18" s="1"/>
  <c r="W197" i="18"/>
  <c r="Y302" i="18"/>
  <c r="Z299" i="18"/>
  <c r="Y378" i="18"/>
  <c r="Z375" i="18"/>
  <c r="AF213" i="18"/>
  <c r="V202" i="18"/>
  <c r="V58" i="18" s="1"/>
  <c r="W203" i="18"/>
  <c r="T173" i="18"/>
  <c r="T64" i="18" s="1"/>
  <c r="Q33" i="14" s="1"/>
  <c r="Q31" i="14" s="1"/>
  <c r="U174" i="18"/>
  <c r="AA337" i="18"/>
  <c r="AB334" i="18"/>
  <c r="AB165" i="18"/>
  <c r="Z342" i="18"/>
  <c r="AA339" i="18"/>
  <c r="V41" i="18"/>
  <c r="V47" i="18"/>
  <c r="AA133" i="18"/>
  <c r="W177" i="18"/>
  <c r="AA327" i="18"/>
  <c r="AB324" i="18"/>
  <c r="AC155" i="18" s="1"/>
  <c r="AD385" i="18"/>
  <c r="AA160" i="18"/>
  <c r="Z367" i="18"/>
  <c r="AA367" i="18" s="1"/>
  <c r="AB367" i="18" s="1"/>
  <c r="X256" i="18"/>
  <c r="X257" i="18" s="1"/>
  <c r="AC216" i="18"/>
  <c r="Z266" i="18" l="1"/>
  <c r="W388" i="18"/>
  <c r="X387" i="18"/>
  <c r="X199" i="18"/>
  <c r="X57" i="18" s="1"/>
  <c r="Y200" i="18"/>
  <c r="AB370" i="18"/>
  <c r="W372" i="18"/>
  <c r="V373" i="18"/>
  <c r="AB201" i="18"/>
  <c r="Y413" i="18"/>
  <c r="Y418" i="18"/>
  <c r="AD183" i="18"/>
  <c r="AH286" i="18"/>
  <c r="AB170" i="18"/>
  <c r="AD139" i="18"/>
  <c r="AA321" i="18"/>
  <c r="AD352" i="18"/>
  <c r="AD216" i="18"/>
  <c r="AE207" i="18"/>
  <c r="AC204" i="18"/>
  <c r="S29" i="14"/>
  <c r="AC402" i="18"/>
  <c r="AB108" i="18"/>
  <c r="AG213" i="18"/>
  <c r="W205" i="18"/>
  <c r="W55" i="18" s="1"/>
  <c r="X206" i="18"/>
  <c r="Z276" i="18"/>
  <c r="AB133" i="18"/>
  <c r="AB150" i="18"/>
  <c r="X246" i="18"/>
  <c r="Y245" i="18"/>
  <c r="AB160" i="18"/>
  <c r="AC165" i="18"/>
  <c r="AC316" i="18"/>
  <c r="AC367" i="18"/>
  <c r="AD367" i="18" s="1"/>
  <c r="AE367" i="18" s="1"/>
  <c r="AF367" i="18" s="1"/>
  <c r="AG367" i="18" s="1"/>
  <c r="AH367" i="18" s="1"/>
  <c r="AI367" i="18" s="1"/>
  <c r="AJ367" i="18" s="1"/>
  <c r="AK367" i="18" s="1"/>
  <c r="AL367" i="18" s="1"/>
  <c r="AM367" i="18" s="1"/>
  <c r="AN367" i="18" s="1"/>
  <c r="AO367" i="18" s="1"/>
  <c r="AP367" i="18" s="1"/>
  <c r="AQ367" i="18" s="1"/>
  <c r="AR367" i="18" s="1"/>
  <c r="AS367" i="18" s="1"/>
  <c r="AT367" i="18" s="1"/>
  <c r="AU367" i="18" s="1"/>
  <c r="AV367" i="18" s="1"/>
  <c r="AW367" i="18" s="1"/>
  <c r="AX367" i="18" s="1"/>
  <c r="AY367" i="18" s="1"/>
  <c r="AZ367" i="18" s="1"/>
  <c r="BA367" i="18" s="1"/>
  <c r="BB367" i="18" s="1"/>
  <c r="BC367" i="18" s="1"/>
  <c r="BD367" i="18" s="1"/>
  <c r="BE367" i="18" s="1"/>
  <c r="BF367" i="18" s="1"/>
  <c r="BG367" i="18" s="1"/>
  <c r="BH367" i="18" s="1"/>
  <c r="BI367" i="18" s="1"/>
  <c r="BJ367" i="18" s="1"/>
  <c r="BK367" i="18" s="1"/>
  <c r="BL367" i="18" s="1"/>
  <c r="BM367" i="18" s="1"/>
  <c r="BN367" i="18" s="1"/>
  <c r="BO367" i="18" s="1"/>
  <c r="BP367" i="18" s="1"/>
  <c r="BQ367" i="18" s="1"/>
  <c r="BR367" i="18" s="1"/>
  <c r="BS367" i="18" s="1"/>
  <c r="BT367" i="18" s="1"/>
  <c r="BU367" i="18" s="1"/>
  <c r="BV367" i="18" s="1"/>
  <c r="BW367" i="18" s="1"/>
  <c r="BX367" i="18" s="1"/>
  <c r="BY367" i="18" s="1"/>
  <c r="BZ367" i="18" s="1"/>
  <c r="CA367" i="18" s="1"/>
  <c r="CB367" i="18" s="1"/>
  <c r="CC367" i="18" s="1"/>
  <c r="CD367" i="18" s="1"/>
  <c r="CE367" i="18" s="1"/>
  <c r="CF367" i="18" s="1"/>
  <c r="CG367" i="18" s="1"/>
  <c r="CH367" i="18" s="1"/>
  <c r="CI367" i="18" s="1"/>
  <c r="CJ367" i="18" s="1"/>
  <c r="CK367" i="18" s="1"/>
  <c r="CL367" i="18" s="1"/>
  <c r="CM367" i="18" s="1"/>
  <c r="CN367" i="18" s="1"/>
  <c r="CO367" i="18" s="1"/>
  <c r="CP367" i="18" s="1"/>
  <c r="CQ367" i="18" s="1"/>
  <c r="CR367" i="18" s="1"/>
  <c r="CS367" i="18" s="1"/>
  <c r="CT367" i="18" s="1"/>
  <c r="CU367" i="18" s="1"/>
  <c r="CV367" i="18" s="1"/>
  <c r="CW367" i="18" s="1"/>
  <c r="CX367" i="18" s="1"/>
  <c r="CY367" i="18" s="1"/>
  <c r="CZ367" i="18" s="1"/>
  <c r="DA367" i="18" s="1"/>
  <c r="DB367" i="18" s="1"/>
  <c r="DC367" i="18" s="1"/>
  <c r="DD367" i="18" s="1"/>
  <c r="DE367" i="18" s="1"/>
  <c r="DF367" i="18" s="1"/>
  <c r="DG367" i="18" s="1"/>
  <c r="DH367" i="18" s="1"/>
  <c r="DI367" i="18" s="1"/>
  <c r="DJ367" i="18" s="1"/>
  <c r="DK367" i="18" s="1"/>
  <c r="DL367" i="18" s="1"/>
  <c r="DM367" i="18" s="1"/>
  <c r="DN367" i="18" s="1"/>
  <c r="DO367" i="18" s="1"/>
  <c r="DP367" i="18" s="1"/>
  <c r="DQ367" i="18" s="1"/>
  <c r="DR367" i="18" s="1"/>
  <c r="DS367" i="18" s="1"/>
  <c r="DT367" i="18" s="1"/>
  <c r="DU367" i="18" s="1"/>
  <c r="DV367" i="18" s="1"/>
  <c r="DW367" i="18" s="1"/>
  <c r="DX367" i="18" s="1"/>
  <c r="DY367" i="18" s="1"/>
  <c r="DZ367" i="18" s="1"/>
  <c r="EA367" i="18" s="1"/>
  <c r="EB367" i="18" s="1"/>
  <c r="EC367" i="18" s="1"/>
  <c r="ED367" i="18" s="1"/>
  <c r="EE367" i="18" s="1"/>
  <c r="EF367" i="18" s="1"/>
  <c r="EG367" i="18" s="1"/>
  <c r="EH367" i="18" s="1"/>
  <c r="EI367" i="18" s="1"/>
  <c r="E240" i="18"/>
  <c r="F240" i="18"/>
  <c r="W202" i="18"/>
  <c r="W58" i="18" s="1"/>
  <c r="X203" i="18"/>
  <c r="Z378" i="18"/>
  <c r="AA375" i="18"/>
  <c r="AB326" i="18"/>
  <c r="AA307" i="18"/>
  <c r="AB304" i="18"/>
  <c r="W47" i="18"/>
  <c r="W41" i="18"/>
  <c r="X211" i="18"/>
  <c r="X59" i="18" s="1"/>
  <c r="Y212" i="18"/>
  <c r="Y144" i="18"/>
  <c r="X107" i="18"/>
  <c r="AA341" i="18"/>
  <c r="AC312" i="18"/>
  <c r="AD309" i="18"/>
  <c r="X102" i="18"/>
  <c r="AC408" i="18"/>
  <c r="AD405" i="18"/>
  <c r="AD353" i="18"/>
  <c r="AE350" i="18"/>
  <c r="AA306" i="18"/>
  <c r="AA97" i="18"/>
  <c r="AF98" i="18"/>
  <c r="X177" i="18"/>
  <c r="Y132" i="18"/>
  <c r="AD355" i="18"/>
  <c r="Z377" i="18"/>
  <c r="AA282" i="18"/>
  <c r="AB279" i="18"/>
  <c r="AA348" i="18"/>
  <c r="AB345" i="18"/>
  <c r="AA297" i="18"/>
  <c r="AB294" i="18"/>
  <c r="AA332" i="18"/>
  <c r="AB329" i="18"/>
  <c r="AB383" i="18"/>
  <c r="AC380" i="18"/>
  <c r="AA128" i="18"/>
  <c r="Z301" i="18"/>
  <c r="AE178" i="18"/>
  <c r="AF178" i="18" s="1"/>
  <c r="AH287" i="18"/>
  <c r="AI284" i="18"/>
  <c r="AB382" i="18"/>
  <c r="AE385" i="18"/>
  <c r="AB327" i="18"/>
  <c r="AC324" i="18"/>
  <c r="U173" i="18"/>
  <c r="U64" i="18" s="1"/>
  <c r="R33" i="14" s="1"/>
  <c r="R31" i="14" s="1"/>
  <c r="V174" i="18"/>
  <c r="Y159" i="18"/>
  <c r="Z154" i="18"/>
  <c r="AA281" i="18"/>
  <c r="AE272" i="18"/>
  <c r="AF269" i="18"/>
  <c r="Y169" i="18"/>
  <c r="Y415" i="18"/>
  <c r="Y258" i="18"/>
  <c r="Y268" i="18"/>
  <c r="Y364" i="18"/>
  <c r="Y293" i="18"/>
  <c r="Y263" i="18"/>
  <c r="Y262" i="18" s="1"/>
  <c r="Y420" i="18"/>
  <c r="Y419" i="18" s="1"/>
  <c r="Y247" i="18"/>
  <c r="AD141" i="18"/>
  <c r="AE141" i="18" s="1"/>
  <c r="AA296" i="18"/>
  <c r="AB135" i="18"/>
  <c r="X127" i="18"/>
  <c r="AC407" i="18"/>
  <c r="W138" i="18"/>
  <c r="AC317" i="18"/>
  <c r="AD314" i="18"/>
  <c r="AC311" i="18"/>
  <c r="AA342" i="18"/>
  <c r="AB339" i="18"/>
  <c r="AB337" i="18"/>
  <c r="AC334" i="18"/>
  <c r="Z302" i="18"/>
  <c r="AA299" i="18"/>
  <c r="W196" i="18"/>
  <c r="W52" i="18" s="1"/>
  <c r="X197" i="18"/>
  <c r="AB250" i="18"/>
  <c r="Y256" i="18"/>
  <c r="Y149" i="18"/>
  <c r="AA322" i="18"/>
  <c r="AB319" i="18"/>
  <c r="X217" i="18"/>
  <c r="Y218" i="18"/>
  <c r="X182" i="18"/>
  <c r="AF398" i="18"/>
  <c r="AG395" i="18"/>
  <c r="AB175" i="18"/>
  <c r="Z277" i="18"/>
  <c r="AA274" i="18"/>
  <c r="Z227" i="18"/>
  <c r="X164" i="18"/>
  <c r="AC403" i="18"/>
  <c r="AD400" i="18"/>
  <c r="W122" i="18"/>
  <c r="AA331" i="18"/>
  <c r="AB123" i="18"/>
  <c r="AC123" i="18" s="1"/>
  <c r="Y214" i="18"/>
  <c r="Y60" i="18" s="1"/>
  <c r="Z215" i="18"/>
  <c r="AF397" i="18"/>
  <c r="AD219" i="18"/>
  <c r="AB336" i="18"/>
  <c r="AA198" i="18"/>
  <c r="AB198" i="18" s="1"/>
  <c r="AC175" i="18" l="1"/>
  <c r="Z267" i="18"/>
  <c r="AA266" i="18"/>
  <c r="AA267" i="18" s="1"/>
  <c r="AB331" i="18"/>
  <c r="X388" i="18"/>
  <c r="Y387" i="18"/>
  <c r="Y388" i="18" s="1"/>
  <c r="AC201" i="18"/>
  <c r="AB296" i="18"/>
  <c r="X372" i="18"/>
  <c r="W373" i="18"/>
  <c r="Y199" i="18"/>
  <c r="Y57" i="18" s="1"/>
  <c r="Z200" i="18"/>
  <c r="AC370" i="18"/>
  <c r="AD316" i="18"/>
  <c r="Y414" i="18"/>
  <c r="AE183" i="18"/>
  <c r="AC170" i="18"/>
  <c r="AE139" i="18"/>
  <c r="AF141" i="18" s="1"/>
  <c r="AE352" i="18"/>
  <c r="AE216" i="18"/>
  <c r="AA377" i="18"/>
  <c r="T29" i="14"/>
  <c r="AD407" i="18"/>
  <c r="AE219" i="18"/>
  <c r="AC135" i="18"/>
  <c r="Y206" i="18"/>
  <c r="X205" i="18"/>
  <c r="X55" i="18" s="1"/>
  <c r="AB306" i="18"/>
  <c r="AB281" i="18"/>
  <c r="AG397" i="18"/>
  <c r="AD311" i="18"/>
  <c r="Z245" i="18"/>
  <c r="AA245" i="18" s="1"/>
  <c r="Y246" i="18"/>
  <c r="E367" i="18"/>
  <c r="F367" i="18"/>
  <c r="Y182" i="18"/>
  <c r="Y257" i="18"/>
  <c r="AC150" i="18"/>
  <c r="AD334" i="18"/>
  <c r="Z169" i="18"/>
  <c r="Z159" i="18"/>
  <c r="AC327" i="18"/>
  <c r="AD324" i="18"/>
  <c r="AF385" i="18"/>
  <c r="AC383" i="18"/>
  <c r="AD380" i="18"/>
  <c r="AG98" i="18"/>
  <c r="Y102" i="18"/>
  <c r="AD312" i="18"/>
  <c r="AE309" i="18"/>
  <c r="Y211" i="18"/>
  <c r="Y59" i="18" s="1"/>
  <c r="Z212" i="18"/>
  <c r="AC133" i="18"/>
  <c r="AD402" i="18"/>
  <c r="Z268" i="18"/>
  <c r="Z364" i="18"/>
  <c r="Z293" i="18"/>
  <c r="Z263" i="18"/>
  <c r="Z420" i="18"/>
  <c r="Z247" i="18"/>
  <c r="Z413" i="18"/>
  <c r="Z258" i="18"/>
  <c r="Z415" i="18"/>
  <c r="Z418" i="18"/>
  <c r="Z261" i="18"/>
  <c r="AG398" i="18"/>
  <c r="AH395" i="18"/>
  <c r="AA302" i="18"/>
  <c r="AB299" i="18"/>
  <c r="Y127" i="18"/>
  <c r="AD165" i="18"/>
  <c r="AC382" i="18"/>
  <c r="Y177" i="18"/>
  <c r="AB97" i="18"/>
  <c r="AD408" i="18"/>
  <c r="AE405" i="18"/>
  <c r="Z144" i="18"/>
  <c r="AC326" i="18"/>
  <c r="AD155" i="18"/>
  <c r="Z214" i="18"/>
  <c r="Z60" i="18" s="1"/>
  <c r="AA215" i="18"/>
  <c r="Y164" i="18"/>
  <c r="AA277" i="18"/>
  <c r="AB274" i="18"/>
  <c r="AA227" i="18"/>
  <c r="AA247" i="18" s="1"/>
  <c r="Y217" i="18"/>
  <c r="Z218" i="18"/>
  <c r="AB322" i="18"/>
  <c r="AC319" i="18"/>
  <c r="Z149" i="18"/>
  <c r="X138" i="18"/>
  <c r="AA154" i="18"/>
  <c r="AH213" i="18"/>
  <c r="AB128" i="18"/>
  <c r="AB332" i="18"/>
  <c r="AC329" i="18"/>
  <c r="AB297" i="18"/>
  <c r="AC294" i="18"/>
  <c r="AB348" i="18"/>
  <c r="AC345" i="18"/>
  <c r="AD204" i="18"/>
  <c r="Z132" i="18"/>
  <c r="Z256" i="18"/>
  <c r="AC250" i="18"/>
  <c r="AD250" i="18" s="1"/>
  <c r="AE250" i="18" s="1"/>
  <c r="AF250" i="18" s="1"/>
  <c r="AG250" i="18" s="1"/>
  <c r="AH250" i="18" s="1"/>
  <c r="AI250" i="18" s="1"/>
  <c r="AJ250" i="18" s="1"/>
  <c r="AK250" i="18" s="1"/>
  <c r="AL250" i="18" s="1"/>
  <c r="AM250" i="18" s="1"/>
  <c r="AN250" i="18" s="1"/>
  <c r="AO250" i="18" s="1"/>
  <c r="AP250" i="18" s="1"/>
  <c r="AQ250" i="18" s="1"/>
  <c r="AR250" i="18" s="1"/>
  <c r="AS250" i="18" s="1"/>
  <c r="AT250" i="18" s="1"/>
  <c r="AU250" i="18" s="1"/>
  <c r="AV250" i="18" s="1"/>
  <c r="AW250" i="18" s="1"/>
  <c r="AX250" i="18" s="1"/>
  <c r="AY250" i="18" s="1"/>
  <c r="AZ250" i="18" s="1"/>
  <c r="BA250" i="18" s="1"/>
  <c r="BB250" i="18" s="1"/>
  <c r="BC250" i="18" s="1"/>
  <c r="BD250" i="18" s="1"/>
  <c r="BE250" i="18" s="1"/>
  <c r="BF250" i="18" s="1"/>
  <c r="BG250" i="18" s="1"/>
  <c r="BH250" i="18" s="1"/>
  <c r="BI250" i="18" s="1"/>
  <c r="BJ250" i="18" s="1"/>
  <c r="BK250" i="18" s="1"/>
  <c r="BL250" i="18" s="1"/>
  <c r="BM250" i="18" s="1"/>
  <c r="BN250" i="18" s="1"/>
  <c r="BO250" i="18" s="1"/>
  <c r="BP250" i="18" s="1"/>
  <c r="BQ250" i="18" s="1"/>
  <c r="BR250" i="18" s="1"/>
  <c r="BS250" i="18" s="1"/>
  <c r="BT250" i="18" s="1"/>
  <c r="BU250" i="18" s="1"/>
  <c r="BV250" i="18" s="1"/>
  <c r="BW250" i="18" s="1"/>
  <c r="BX250" i="18" s="1"/>
  <c r="BY250" i="18" s="1"/>
  <c r="BZ250" i="18" s="1"/>
  <c r="CA250" i="18" s="1"/>
  <c r="CB250" i="18" s="1"/>
  <c r="CC250" i="18" s="1"/>
  <c r="CD250" i="18" s="1"/>
  <c r="CE250" i="18" s="1"/>
  <c r="CF250" i="18" s="1"/>
  <c r="CG250" i="18" s="1"/>
  <c r="CH250" i="18" s="1"/>
  <c r="CI250" i="18" s="1"/>
  <c r="CJ250" i="18" s="1"/>
  <c r="CK250" i="18" s="1"/>
  <c r="CL250" i="18" s="1"/>
  <c r="CM250" i="18" s="1"/>
  <c r="CN250" i="18" s="1"/>
  <c r="CO250" i="18" s="1"/>
  <c r="CP250" i="18" s="1"/>
  <c r="CQ250" i="18" s="1"/>
  <c r="CR250" i="18" s="1"/>
  <c r="CS250" i="18" s="1"/>
  <c r="CT250" i="18" s="1"/>
  <c r="CU250" i="18" s="1"/>
  <c r="CV250" i="18" s="1"/>
  <c r="CW250" i="18" s="1"/>
  <c r="CX250" i="18" s="1"/>
  <c r="CY250" i="18" s="1"/>
  <c r="CZ250" i="18" s="1"/>
  <c r="DA250" i="18" s="1"/>
  <c r="DB250" i="18" s="1"/>
  <c r="DC250" i="18" s="1"/>
  <c r="DD250" i="18" s="1"/>
  <c r="DE250" i="18" s="1"/>
  <c r="DF250" i="18" s="1"/>
  <c r="DG250" i="18" s="1"/>
  <c r="DH250" i="18" s="1"/>
  <c r="DI250" i="18" s="1"/>
  <c r="DJ250" i="18" s="1"/>
  <c r="DK250" i="18" s="1"/>
  <c r="DL250" i="18" s="1"/>
  <c r="DM250" i="18" s="1"/>
  <c r="DN250" i="18" s="1"/>
  <c r="DO250" i="18" s="1"/>
  <c r="DP250" i="18" s="1"/>
  <c r="DQ250" i="18" s="1"/>
  <c r="DR250" i="18" s="1"/>
  <c r="DS250" i="18" s="1"/>
  <c r="DT250" i="18" s="1"/>
  <c r="DU250" i="18" s="1"/>
  <c r="DV250" i="18" s="1"/>
  <c r="DW250" i="18" s="1"/>
  <c r="DX250" i="18" s="1"/>
  <c r="DY250" i="18" s="1"/>
  <c r="DZ250" i="18" s="1"/>
  <c r="EA250" i="18" s="1"/>
  <c r="EB250" i="18" s="1"/>
  <c r="EC250" i="18" s="1"/>
  <c r="ED250" i="18" s="1"/>
  <c r="EE250" i="18" s="1"/>
  <c r="EF250" i="18" s="1"/>
  <c r="EG250" i="18" s="1"/>
  <c r="EH250" i="18" s="1"/>
  <c r="EI250" i="18" s="1"/>
  <c r="AB307" i="18"/>
  <c r="AC304" i="18"/>
  <c r="X202" i="18"/>
  <c r="X58" i="18" s="1"/>
  <c r="Y203" i="18"/>
  <c r="X122" i="18"/>
  <c r="AD403" i="18"/>
  <c r="AE400" i="18"/>
  <c r="X41" i="18"/>
  <c r="X47" i="18"/>
  <c r="X196" i="18"/>
  <c r="X52" i="18" s="1"/>
  <c r="Y197" i="18"/>
  <c r="AB342" i="18"/>
  <c r="AC339" i="18"/>
  <c r="AD317" i="18"/>
  <c r="AE314" i="18"/>
  <c r="AA276" i="18"/>
  <c r="AF272" i="18"/>
  <c r="AG269" i="18"/>
  <c r="AB103" i="18"/>
  <c r="V173" i="18"/>
  <c r="V64" i="18" s="1"/>
  <c r="S33" i="14" s="1"/>
  <c r="S31" i="14" s="1"/>
  <c r="W174" i="18"/>
  <c r="AI287" i="18"/>
  <c r="AJ284" i="18"/>
  <c r="AA301" i="18"/>
  <c r="AB282" i="18"/>
  <c r="AC279" i="18"/>
  <c r="AE355" i="18"/>
  <c r="AC108" i="18"/>
  <c r="AC160" i="18"/>
  <c r="AE353" i="18"/>
  <c r="AF350" i="18"/>
  <c r="AE145" i="18"/>
  <c r="AB341" i="18"/>
  <c r="Y107" i="18"/>
  <c r="AB347" i="18"/>
  <c r="AA378" i="18"/>
  <c r="AB375" i="18"/>
  <c r="AB321" i="18"/>
  <c r="AI286" i="18"/>
  <c r="AF207" i="18"/>
  <c r="AF271" i="18"/>
  <c r="AA246" i="18" l="1"/>
  <c r="Z262" i="18"/>
  <c r="Z387" i="18"/>
  <c r="AF352" i="18"/>
  <c r="AD370" i="18"/>
  <c r="Z199" i="18"/>
  <c r="Z57" i="18" s="1"/>
  <c r="AA200" i="18"/>
  <c r="AD201" i="18"/>
  <c r="Y372" i="18"/>
  <c r="X373" i="18"/>
  <c r="Z414" i="18"/>
  <c r="Z419" i="18"/>
  <c r="AF139" i="18"/>
  <c r="AG141" i="18" s="1"/>
  <c r="AE204" i="18"/>
  <c r="AD135" i="18"/>
  <c r="AD160" i="18"/>
  <c r="AG207" i="18"/>
  <c r="AE311" i="18"/>
  <c r="AB301" i="18"/>
  <c r="AB276" i="18"/>
  <c r="AC128" i="18"/>
  <c r="AC347" i="18"/>
  <c r="AC103" i="18"/>
  <c r="U29" i="14"/>
  <c r="AB245" i="18"/>
  <c r="AC245" i="18" s="1"/>
  <c r="AD245" i="18" s="1"/>
  <c r="AE245" i="18" s="1"/>
  <c r="AF245" i="18" s="1"/>
  <c r="AG245" i="18" s="1"/>
  <c r="AH245" i="18" s="1"/>
  <c r="AI245" i="18" s="1"/>
  <c r="AJ245" i="18" s="1"/>
  <c r="AK245" i="18" s="1"/>
  <c r="AL245" i="18" s="1"/>
  <c r="AM245" i="18" s="1"/>
  <c r="AN245" i="18" s="1"/>
  <c r="AO245" i="18" s="1"/>
  <c r="AP245" i="18" s="1"/>
  <c r="AQ245" i="18" s="1"/>
  <c r="AR245" i="18" s="1"/>
  <c r="AS245" i="18" s="1"/>
  <c r="AT245" i="18" s="1"/>
  <c r="AU245" i="18" s="1"/>
  <c r="AV245" i="18" s="1"/>
  <c r="AW245" i="18" s="1"/>
  <c r="AX245" i="18" s="1"/>
  <c r="AY245" i="18" s="1"/>
  <c r="AZ245" i="18" s="1"/>
  <c r="BA245" i="18" s="1"/>
  <c r="BB245" i="18" s="1"/>
  <c r="BC245" i="18" s="1"/>
  <c r="BD245" i="18" s="1"/>
  <c r="BE245" i="18" s="1"/>
  <c r="BF245" i="18" s="1"/>
  <c r="BG245" i="18" s="1"/>
  <c r="BH245" i="18" s="1"/>
  <c r="BI245" i="18" s="1"/>
  <c r="BJ245" i="18" s="1"/>
  <c r="BK245" i="18" s="1"/>
  <c r="BL245" i="18" s="1"/>
  <c r="BM245" i="18" s="1"/>
  <c r="BN245" i="18" s="1"/>
  <c r="BO245" i="18" s="1"/>
  <c r="BP245" i="18" s="1"/>
  <c r="BQ245" i="18" s="1"/>
  <c r="BR245" i="18" s="1"/>
  <c r="BS245" i="18" s="1"/>
  <c r="BT245" i="18" s="1"/>
  <c r="BU245" i="18" s="1"/>
  <c r="BV245" i="18" s="1"/>
  <c r="BW245" i="18" s="1"/>
  <c r="BX245" i="18" s="1"/>
  <c r="BY245" i="18" s="1"/>
  <c r="BZ245" i="18" s="1"/>
  <c r="CA245" i="18" s="1"/>
  <c r="CB245" i="18" s="1"/>
  <c r="CC245" i="18" s="1"/>
  <c r="CD245" i="18" s="1"/>
  <c r="CE245" i="18" s="1"/>
  <c r="CF245" i="18" s="1"/>
  <c r="CG245" i="18" s="1"/>
  <c r="CH245" i="18" s="1"/>
  <c r="CI245" i="18" s="1"/>
  <c r="CJ245" i="18" s="1"/>
  <c r="CK245" i="18" s="1"/>
  <c r="CL245" i="18" s="1"/>
  <c r="CM245" i="18" s="1"/>
  <c r="CN245" i="18" s="1"/>
  <c r="CO245" i="18" s="1"/>
  <c r="CP245" i="18" s="1"/>
  <c r="CQ245" i="18" s="1"/>
  <c r="CR245" i="18" s="1"/>
  <c r="CS245" i="18" s="1"/>
  <c r="CT245" i="18" s="1"/>
  <c r="CU245" i="18" s="1"/>
  <c r="CV245" i="18" s="1"/>
  <c r="CW245" i="18" s="1"/>
  <c r="CX245" i="18" s="1"/>
  <c r="CY245" i="18" s="1"/>
  <c r="CZ245" i="18" s="1"/>
  <c r="DA245" i="18" s="1"/>
  <c r="DB245" i="18" s="1"/>
  <c r="DC245" i="18" s="1"/>
  <c r="DD245" i="18" s="1"/>
  <c r="DE245" i="18" s="1"/>
  <c r="DF245" i="18" s="1"/>
  <c r="DG245" i="18" s="1"/>
  <c r="DH245" i="18" s="1"/>
  <c r="DI245" i="18" s="1"/>
  <c r="DJ245" i="18" s="1"/>
  <c r="DK245" i="18" s="1"/>
  <c r="DL245" i="18" s="1"/>
  <c r="DM245" i="18" s="1"/>
  <c r="DN245" i="18" s="1"/>
  <c r="DO245" i="18" s="1"/>
  <c r="DP245" i="18" s="1"/>
  <c r="DQ245" i="18" s="1"/>
  <c r="DR245" i="18" s="1"/>
  <c r="DS245" i="18" s="1"/>
  <c r="DT245" i="18" s="1"/>
  <c r="DU245" i="18" s="1"/>
  <c r="DV245" i="18" s="1"/>
  <c r="DW245" i="18" s="1"/>
  <c r="DX245" i="18" s="1"/>
  <c r="DY245" i="18" s="1"/>
  <c r="DZ245" i="18" s="1"/>
  <c r="EA245" i="18" s="1"/>
  <c r="EB245" i="18" s="1"/>
  <c r="EC245" i="18" s="1"/>
  <c r="ED245" i="18" s="1"/>
  <c r="EE245" i="18" s="1"/>
  <c r="EF245" i="18" s="1"/>
  <c r="EG245" i="18" s="1"/>
  <c r="EH245" i="18" s="1"/>
  <c r="EI245" i="18" s="1"/>
  <c r="AF145" i="18"/>
  <c r="AI213" i="18"/>
  <c r="Y205" i="18"/>
  <c r="Y55" i="18" s="1"/>
  <c r="Z206" i="18"/>
  <c r="AJ286" i="18"/>
  <c r="AE155" i="18"/>
  <c r="AE165" i="18"/>
  <c r="AD326" i="18"/>
  <c r="AD382" i="18"/>
  <c r="AD108" i="18"/>
  <c r="AG271" i="18"/>
  <c r="F250" i="18"/>
  <c r="E250" i="18"/>
  <c r="AF355" i="18"/>
  <c r="AE317" i="18"/>
  <c r="AF314" i="18"/>
  <c r="AD339" i="18"/>
  <c r="AE403" i="18"/>
  <c r="AF400" i="18"/>
  <c r="AC297" i="18"/>
  <c r="AD294" i="18"/>
  <c r="AG178" i="18"/>
  <c r="Y138" i="18"/>
  <c r="Z217" i="18"/>
  <c r="AA218" i="18"/>
  <c r="AB277" i="18"/>
  <c r="AC274" i="18"/>
  <c r="AC276" i="18" s="1"/>
  <c r="AB227" i="18"/>
  <c r="AB247" i="18" s="1"/>
  <c r="AB246" i="18" s="1"/>
  <c r="Z177" i="18"/>
  <c r="AA256" i="18"/>
  <c r="AB256" i="18" s="1"/>
  <c r="AH398" i="18"/>
  <c r="AI395" i="18"/>
  <c r="AA261" i="18"/>
  <c r="AA262" i="18" s="1"/>
  <c r="AA413" i="18"/>
  <c r="AF219" i="18"/>
  <c r="AE312" i="18"/>
  <c r="AF309" i="18"/>
  <c r="AA159" i="18"/>
  <c r="AE407" i="18"/>
  <c r="AD150" i="18"/>
  <c r="Z182" i="18"/>
  <c r="AB378" i="18"/>
  <c r="AC375" i="18"/>
  <c r="Z107" i="18"/>
  <c r="W173" i="18"/>
  <c r="W64" i="18" s="1"/>
  <c r="T33" i="14" s="1"/>
  <c r="T31" i="14" s="1"/>
  <c r="X174" i="18"/>
  <c r="AB154" i="18"/>
  <c r="AC296" i="18"/>
  <c r="AA149" i="18"/>
  <c r="AD319" i="18"/>
  <c r="Y41" i="18"/>
  <c r="Y47" i="18"/>
  <c r="AA144" i="18"/>
  <c r="AC97" i="18"/>
  <c r="AA418" i="18"/>
  <c r="Z246" i="18"/>
  <c r="AD123" i="18"/>
  <c r="AE402" i="18"/>
  <c r="AE334" i="18"/>
  <c r="AF165" i="18" s="1"/>
  <c r="AC282" i="18"/>
  <c r="AD279" i="18"/>
  <c r="AJ287" i="18"/>
  <c r="AK284" i="18"/>
  <c r="AC281" i="18"/>
  <c r="AC198" i="18"/>
  <c r="AD304" i="18"/>
  <c r="AA132" i="18"/>
  <c r="AC348" i="18"/>
  <c r="AD345" i="18"/>
  <c r="AD329" i="18"/>
  <c r="AE408" i="18"/>
  <c r="AF405" i="18"/>
  <c r="Z127" i="18"/>
  <c r="AB302" i="18"/>
  <c r="AC299" i="18"/>
  <c r="AD133" i="18"/>
  <c r="AG385" i="18"/>
  <c r="AA169" i="18"/>
  <c r="AF216" i="18"/>
  <c r="AE316" i="18"/>
  <c r="AF353" i="18"/>
  <c r="AG350" i="18"/>
  <c r="AB377" i="18"/>
  <c r="AG272" i="18"/>
  <c r="AH269" i="18"/>
  <c r="Y196" i="18"/>
  <c r="Y52" i="18" s="1"/>
  <c r="Z197" i="18"/>
  <c r="Y122" i="18"/>
  <c r="Y202" i="18"/>
  <c r="Y58" i="18" s="1"/>
  <c r="Z203" i="18"/>
  <c r="AA263" i="18"/>
  <c r="AA268" i="18"/>
  <c r="AA293" i="18"/>
  <c r="AA420" i="18"/>
  <c r="AA364" i="18"/>
  <c r="AA415" i="18"/>
  <c r="Z164" i="18"/>
  <c r="AA214" i="18"/>
  <c r="AA60" i="18" s="1"/>
  <c r="AB215" i="18"/>
  <c r="AD175" i="18"/>
  <c r="Z257" i="18"/>
  <c r="E257" i="18" s="1"/>
  <c r="C12" i="15" s="1"/>
  <c r="E258" i="18"/>
  <c r="D12" i="15" s="1"/>
  <c r="AH397" i="18"/>
  <c r="Z211" i="18"/>
  <c r="Z59" i="18" s="1"/>
  <c r="AA212" i="18"/>
  <c r="Z102" i="18"/>
  <c r="AH98" i="18"/>
  <c r="AD383" i="18"/>
  <c r="AE380" i="18"/>
  <c r="AD327" i="18"/>
  <c r="AE324" i="18"/>
  <c r="AF183" i="18"/>
  <c r="AD170" i="18"/>
  <c r="AB266" i="18" l="1"/>
  <c r="AC266" i="18" s="1"/>
  <c r="E246" i="18"/>
  <c r="C7" i="15" s="1"/>
  <c r="E247" i="18"/>
  <c r="D7" i="15" s="1"/>
  <c r="AA414" i="18"/>
  <c r="AA419" i="18"/>
  <c r="AE170" i="18"/>
  <c r="AE133" i="18"/>
  <c r="Z388" i="18"/>
  <c r="AA387" i="18"/>
  <c r="AD296" i="18"/>
  <c r="AE201" i="18"/>
  <c r="Z372" i="18"/>
  <c r="Y373" i="18"/>
  <c r="AE370" i="18"/>
  <c r="AA199" i="18"/>
  <c r="AA57" i="18" s="1"/>
  <c r="AB200" i="18"/>
  <c r="AF204" i="18"/>
  <c r="V29" i="14"/>
  <c r="AF311" i="18"/>
  <c r="AG145" i="18"/>
  <c r="AG139" i="18"/>
  <c r="AH141" i="18" s="1"/>
  <c r="F245" i="18"/>
  <c r="AI397" i="18"/>
  <c r="E245" i="18"/>
  <c r="AG183" i="18"/>
  <c r="AE123" i="18"/>
  <c r="AD103" i="18"/>
  <c r="AF155" i="18"/>
  <c r="AI98" i="18"/>
  <c r="AJ213" i="18"/>
  <c r="AG216" i="18"/>
  <c r="AE175" i="18"/>
  <c r="AC377" i="18"/>
  <c r="AF316" i="18"/>
  <c r="AD198" i="18"/>
  <c r="AF402" i="18"/>
  <c r="AA206" i="18"/>
  <c r="Z205" i="18"/>
  <c r="Z55" i="18" s="1"/>
  <c r="AE150" i="18"/>
  <c r="AB261" i="18"/>
  <c r="AB262" i="18" s="1"/>
  <c r="AE382" i="18"/>
  <c r="AB214" i="18"/>
  <c r="AB60" i="18" s="1"/>
  <c r="AC215" i="18"/>
  <c r="Z202" i="18"/>
  <c r="Z58" i="18" s="1"/>
  <c r="AA203" i="18"/>
  <c r="AH385" i="18"/>
  <c r="AC302" i="18"/>
  <c r="AD299" i="18"/>
  <c r="AD282" i="18"/>
  <c r="AE279" i="18"/>
  <c r="AD97" i="18"/>
  <c r="AD128" i="18"/>
  <c r="AF312" i="18"/>
  <c r="AG309" i="18"/>
  <c r="AG219" i="18"/>
  <c r="AD297" i="18"/>
  <c r="AE294" i="18"/>
  <c r="AF403" i="18"/>
  <c r="AG400" i="18"/>
  <c r="AE339" i="18"/>
  <c r="AF317" i="18"/>
  <c r="AG314" i="18"/>
  <c r="AE383" i="18"/>
  <c r="AF380" i="18"/>
  <c r="Z196" i="18"/>
  <c r="Z52" i="18" s="1"/>
  <c r="AA197" i="18"/>
  <c r="AH207" i="18"/>
  <c r="AB169" i="18"/>
  <c r="AA127" i="18"/>
  <c r="AE329" i="18"/>
  <c r="AD348" i="18"/>
  <c r="AE345" i="18"/>
  <c r="AB132" i="18"/>
  <c r="AE304" i="18"/>
  <c r="AK287" i="18"/>
  <c r="AL284" i="18"/>
  <c r="AB149" i="18"/>
  <c r="AC154" i="18"/>
  <c r="AC301" i="18"/>
  <c r="AC378" i="18"/>
  <c r="AD375" i="18"/>
  <c r="AA182" i="18"/>
  <c r="AB159" i="18"/>
  <c r="AB268" i="18"/>
  <c r="AB364" i="18"/>
  <c r="AB420" i="18"/>
  <c r="AB293" i="18"/>
  <c r="AB263" i="18"/>
  <c r="AB415" i="18"/>
  <c r="AA217" i="18"/>
  <c r="AB218" i="18"/>
  <c r="Z138" i="18"/>
  <c r="AH178" i="18"/>
  <c r="AA211" i="18"/>
  <c r="AA59" i="18" s="1"/>
  <c r="AB212" i="18"/>
  <c r="AE327" i="18"/>
  <c r="AF324" i="18"/>
  <c r="AA102" i="18"/>
  <c r="AA164" i="18"/>
  <c r="Z122" i="18"/>
  <c r="AH272" i="18"/>
  <c r="AI269" i="18"/>
  <c r="AB144" i="18"/>
  <c r="AE319" i="18"/>
  <c r="AE108" i="18"/>
  <c r="AK286" i="18"/>
  <c r="AA177" i="18"/>
  <c r="AE326" i="18"/>
  <c r="AC277" i="18"/>
  <c r="AD274" i="18"/>
  <c r="AC227" i="18"/>
  <c r="AC357" i="18" s="1"/>
  <c r="Z41" i="18"/>
  <c r="Z47" i="18"/>
  <c r="AE160" i="18"/>
  <c r="AG353" i="18"/>
  <c r="AH350" i="18"/>
  <c r="AH271" i="18"/>
  <c r="AF408" i="18"/>
  <c r="AG405" i="18"/>
  <c r="AD281" i="18"/>
  <c r="AF334" i="18"/>
  <c r="AB418" i="18"/>
  <c r="X173" i="18"/>
  <c r="X64" i="18" s="1"/>
  <c r="U33" i="14" s="1"/>
  <c r="U31" i="14" s="1"/>
  <c r="Y174" i="18"/>
  <c r="AA107" i="18"/>
  <c r="AF407" i="18"/>
  <c r="AB413" i="18"/>
  <c r="AI398" i="18"/>
  <c r="AJ395" i="18"/>
  <c r="AC256" i="18"/>
  <c r="AE135" i="18"/>
  <c r="AF358" i="18"/>
  <c r="AG355" i="18"/>
  <c r="AD347" i="18"/>
  <c r="AG352" i="18"/>
  <c r="AE128" i="18" l="1"/>
  <c r="AB419" i="18"/>
  <c r="AB267" i="18"/>
  <c r="AB414" i="18"/>
  <c r="AL286" i="18"/>
  <c r="AH352" i="18"/>
  <c r="AD357" i="18"/>
  <c r="AD358" i="18" s="1"/>
  <c r="AF135" i="18"/>
  <c r="AC291" i="18"/>
  <c r="AC336" i="18"/>
  <c r="AC341" i="18"/>
  <c r="AD341" i="18" s="1"/>
  <c r="AD342" i="18" s="1"/>
  <c r="AC331" i="18"/>
  <c r="AD331" i="18" s="1"/>
  <c r="AD332" i="18" s="1"/>
  <c r="AC306" i="18"/>
  <c r="AD306" i="18" s="1"/>
  <c r="AD307" i="18" s="1"/>
  <c r="AC321" i="18"/>
  <c r="AD321" i="18" s="1"/>
  <c r="AD322" i="18" s="1"/>
  <c r="AB387" i="18"/>
  <c r="AB388" i="18" s="1"/>
  <c r="AA388" i="18"/>
  <c r="AB199" i="18"/>
  <c r="AB57" i="18" s="1"/>
  <c r="AC200" i="18"/>
  <c r="AF201" i="18"/>
  <c r="AF370" i="18"/>
  <c r="AA372" i="18"/>
  <c r="Z373" i="18"/>
  <c r="AG311" i="18"/>
  <c r="AF123" i="18"/>
  <c r="AC261" i="18"/>
  <c r="AD261" i="18" s="1"/>
  <c r="AD262" i="18" s="1"/>
  <c r="AG407" i="18"/>
  <c r="AH216" i="18"/>
  <c r="AE198" i="18"/>
  <c r="AH139" i="18"/>
  <c r="AI141" i="18" s="1"/>
  <c r="AG316" i="18"/>
  <c r="AE347" i="18"/>
  <c r="AD301" i="18"/>
  <c r="W29" i="14"/>
  <c r="AF326" i="18"/>
  <c r="AF175" i="18"/>
  <c r="AF108" i="18"/>
  <c r="AF170" i="18"/>
  <c r="AE281" i="18"/>
  <c r="AF160" i="18"/>
  <c r="AI207" i="18"/>
  <c r="AI271" i="18"/>
  <c r="AA205" i="18"/>
  <c r="AA55" i="18" s="1"/>
  <c r="AB206" i="18"/>
  <c r="Y173" i="18"/>
  <c r="Y64" i="18" s="1"/>
  <c r="V33" i="14" s="1"/>
  <c r="V31" i="14" s="1"/>
  <c r="Z174" i="18"/>
  <c r="AG165" i="18"/>
  <c r="AD277" i="18"/>
  <c r="AE274" i="18"/>
  <c r="AD227" i="18"/>
  <c r="AD420" i="18" s="1"/>
  <c r="AD419" i="18" s="1"/>
  <c r="AB177" i="18"/>
  <c r="AC413" i="18"/>
  <c r="AD413" i="18" s="1"/>
  <c r="AE413" i="18" s="1"/>
  <c r="AF413" i="18" s="1"/>
  <c r="AG413" i="18" s="1"/>
  <c r="AF319" i="18"/>
  <c r="AI272" i="18"/>
  <c r="AJ269" i="18"/>
  <c r="AA122" i="18"/>
  <c r="AB164" i="18"/>
  <c r="AJ397" i="18"/>
  <c r="AI178" i="18"/>
  <c r="AA47" i="18"/>
  <c r="AA41" i="18"/>
  <c r="AF150" i="18"/>
  <c r="AC132" i="18"/>
  <c r="AB127" i="18"/>
  <c r="AD377" i="18"/>
  <c r="AG317" i="18"/>
  <c r="AH314" i="18"/>
  <c r="AG312" i="18"/>
  <c r="AH309" i="18"/>
  <c r="AI385" i="18"/>
  <c r="AD276" i="18"/>
  <c r="AH353" i="18"/>
  <c r="AI350" i="18"/>
  <c r="AF327" i="18"/>
  <c r="AG324" i="18"/>
  <c r="AB211" i="18"/>
  <c r="AB59" i="18" s="1"/>
  <c r="AC212" i="18"/>
  <c r="AA138" i="18"/>
  <c r="AB182" i="18"/>
  <c r="AC149" i="18"/>
  <c r="AF304" i="18"/>
  <c r="AF329" i="18"/>
  <c r="AC169" i="18"/>
  <c r="AA196" i="18"/>
  <c r="AA52" i="18" s="1"/>
  <c r="AB197" i="18"/>
  <c r="AF383" i="18"/>
  <c r="AG380" i="18"/>
  <c r="AE297" i="18"/>
  <c r="AF294" i="18"/>
  <c r="AH219" i="18"/>
  <c r="AC418" i="18"/>
  <c r="AG402" i="18"/>
  <c r="AA202" i="18"/>
  <c r="AA58" i="18" s="1"/>
  <c r="AB203" i="18"/>
  <c r="AF382" i="18"/>
  <c r="AD256" i="18"/>
  <c r="AE256" i="18" s="1"/>
  <c r="AF256" i="18" s="1"/>
  <c r="AG256" i="18" s="1"/>
  <c r="AH256" i="18" s="1"/>
  <c r="AI256" i="18" s="1"/>
  <c r="AJ256" i="18" s="1"/>
  <c r="AK256" i="18" s="1"/>
  <c r="AL256" i="18" s="1"/>
  <c r="AM256" i="18" s="1"/>
  <c r="AN256" i="18" s="1"/>
  <c r="AO256" i="18" s="1"/>
  <c r="AP256" i="18" s="1"/>
  <c r="AQ256" i="18" s="1"/>
  <c r="AR256" i="18" s="1"/>
  <c r="AS256" i="18" s="1"/>
  <c r="AT256" i="18" s="1"/>
  <c r="AU256" i="18" s="1"/>
  <c r="AV256" i="18" s="1"/>
  <c r="AW256" i="18" s="1"/>
  <c r="AX256" i="18" s="1"/>
  <c r="AY256" i="18" s="1"/>
  <c r="AZ256" i="18" s="1"/>
  <c r="BA256" i="18" s="1"/>
  <c r="BB256" i="18" s="1"/>
  <c r="BC256" i="18" s="1"/>
  <c r="BD256" i="18" s="1"/>
  <c r="BE256" i="18" s="1"/>
  <c r="BF256" i="18" s="1"/>
  <c r="BG256" i="18" s="1"/>
  <c r="BH256" i="18" s="1"/>
  <c r="BI256" i="18" s="1"/>
  <c r="BJ256" i="18" s="1"/>
  <c r="BK256" i="18" s="1"/>
  <c r="BL256" i="18" s="1"/>
  <c r="BM256" i="18" s="1"/>
  <c r="BN256" i="18" s="1"/>
  <c r="BO256" i="18" s="1"/>
  <c r="BP256" i="18" s="1"/>
  <c r="BQ256" i="18" s="1"/>
  <c r="BR256" i="18" s="1"/>
  <c r="BS256" i="18" s="1"/>
  <c r="BT256" i="18" s="1"/>
  <c r="BU256" i="18" s="1"/>
  <c r="BV256" i="18" s="1"/>
  <c r="BW256" i="18" s="1"/>
  <c r="BX256" i="18" s="1"/>
  <c r="BY256" i="18" s="1"/>
  <c r="BZ256" i="18" s="1"/>
  <c r="CA256" i="18" s="1"/>
  <c r="CB256" i="18" s="1"/>
  <c r="CC256" i="18" s="1"/>
  <c r="CD256" i="18" s="1"/>
  <c r="CE256" i="18" s="1"/>
  <c r="CF256" i="18" s="1"/>
  <c r="CG256" i="18" s="1"/>
  <c r="CH256" i="18" s="1"/>
  <c r="CI256" i="18" s="1"/>
  <c r="CJ256" i="18" s="1"/>
  <c r="CK256" i="18" s="1"/>
  <c r="CL256" i="18" s="1"/>
  <c r="CM256" i="18" s="1"/>
  <c r="CN256" i="18" s="1"/>
  <c r="CO256" i="18" s="1"/>
  <c r="CP256" i="18" s="1"/>
  <c r="CQ256" i="18" s="1"/>
  <c r="CR256" i="18" s="1"/>
  <c r="CS256" i="18" s="1"/>
  <c r="CT256" i="18" s="1"/>
  <c r="CU256" i="18" s="1"/>
  <c r="CV256" i="18" s="1"/>
  <c r="CW256" i="18" s="1"/>
  <c r="CX256" i="18" s="1"/>
  <c r="CY256" i="18" s="1"/>
  <c r="CZ256" i="18" s="1"/>
  <c r="DA256" i="18" s="1"/>
  <c r="DB256" i="18" s="1"/>
  <c r="DC256" i="18" s="1"/>
  <c r="DD256" i="18" s="1"/>
  <c r="DE256" i="18" s="1"/>
  <c r="DF256" i="18" s="1"/>
  <c r="DG256" i="18" s="1"/>
  <c r="DH256" i="18" s="1"/>
  <c r="DI256" i="18" s="1"/>
  <c r="DJ256" i="18" s="1"/>
  <c r="DK256" i="18" s="1"/>
  <c r="DL256" i="18" s="1"/>
  <c r="DM256" i="18" s="1"/>
  <c r="DN256" i="18" s="1"/>
  <c r="DO256" i="18" s="1"/>
  <c r="DP256" i="18" s="1"/>
  <c r="DQ256" i="18" s="1"/>
  <c r="DR256" i="18" s="1"/>
  <c r="DS256" i="18" s="1"/>
  <c r="DT256" i="18" s="1"/>
  <c r="DU256" i="18" s="1"/>
  <c r="DV256" i="18" s="1"/>
  <c r="DW256" i="18" s="1"/>
  <c r="DX256" i="18" s="1"/>
  <c r="DY256" i="18" s="1"/>
  <c r="DZ256" i="18" s="1"/>
  <c r="EA256" i="18" s="1"/>
  <c r="EB256" i="18" s="1"/>
  <c r="EC256" i="18" s="1"/>
  <c r="ED256" i="18" s="1"/>
  <c r="EE256" i="18" s="1"/>
  <c r="EF256" i="18" s="1"/>
  <c r="EG256" i="18" s="1"/>
  <c r="EH256" i="18" s="1"/>
  <c r="EI256" i="18" s="1"/>
  <c r="AB107" i="18"/>
  <c r="AK213" i="18"/>
  <c r="AE103" i="18"/>
  <c r="AB102" i="18"/>
  <c r="AC159" i="18"/>
  <c r="AL287" i="18"/>
  <c r="AM284" i="18"/>
  <c r="AE348" i="18"/>
  <c r="AF345" i="18"/>
  <c r="AE296" i="18"/>
  <c r="AE282" i="18"/>
  <c r="AF279" i="18"/>
  <c r="AF133" i="18"/>
  <c r="AG358" i="18"/>
  <c r="AH355" i="18"/>
  <c r="AJ398" i="18"/>
  <c r="AK395" i="18"/>
  <c r="AG334" i="18"/>
  <c r="AG408" i="18"/>
  <c r="AH405" i="18"/>
  <c r="AH183" i="18"/>
  <c r="AC293" i="18"/>
  <c r="AC292" i="18" s="1"/>
  <c r="AC420" i="18"/>
  <c r="AC263" i="18"/>
  <c r="AC268" i="18"/>
  <c r="AC267" i="18" s="1"/>
  <c r="AC364" i="18"/>
  <c r="AC415" i="18"/>
  <c r="AC144" i="18"/>
  <c r="AJ98" i="18"/>
  <c r="AB217" i="18"/>
  <c r="AC218" i="18"/>
  <c r="AD378" i="18"/>
  <c r="AE375" i="18"/>
  <c r="AD154" i="18"/>
  <c r="AF339" i="18"/>
  <c r="AG403" i="18"/>
  <c r="AH400" i="18"/>
  <c r="AE97" i="18"/>
  <c r="AD302" i="18"/>
  <c r="AE299" i="18"/>
  <c r="AF128" i="18" s="1"/>
  <c r="AH145" i="18"/>
  <c r="AC214" i="18"/>
  <c r="AC60" i="18" s="1"/>
  <c r="AD215" i="18"/>
  <c r="AG204" i="18"/>
  <c r="AG155" i="18"/>
  <c r="AM286" i="18" l="1"/>
  <c r="AI352" i="18"/>
  <c r="AE331" i="18"/>
  <c r="AE332" i="18" s="1"/>
  <c r="AE321" i="18"/>
  <c r="AE322" i="18" s="1"/>
  <c r="AE306" i="18"/>
  <c r="AE307" i="18" s="1"/>
  <c r="AE357" i="18"/>
  <c r="AE341" i="18"/>
  <c r="AE342" i="18" s="1"/>
  <c r="AG201" i="18"/>
  <c r="AD336" i="18"/>
  <c r="AE336" i="18" s="1"/>
  <c r="AD291" i="18"/>
  <c r="AD292" i="18" s="1"/>
  <c r="AC387" i="18"/>
  <c r="AG370" i="18"/>
  <c r="AC199" i="18"/>
  <c r="AC57" i="18" s="1"/>
  <c r="AD200" i="18"/>
  <c r="AB372" i="18"/>
  <c r="AA373" i="18"/>
  <c r="AH311" i="18"/>
  <c r="AG382" i="18"/>
  <c r="AH316" i="18"/>
  <c r="AF347" i="18"/>
  <c r="AC262" i="18"/>
  <c r="AF198" i="18"/>
  <c r="X29" i="14"/>
  <c r="AG123" i="18"/>
  <c r="AE261" i="18"/>
  <c r="AE262" i="18" s="1"/>
  <c r="AF281" i="18"/>
  <c r="AF103" i="18"/>
  <c r="AH155" i="18"/>
  <c r="AG326" i="18"/>
  <c r="AK98" i="18"/>
  <c r="AI145" i="18"/>
  <c r="AJ271" i="18"/>
  <c r="AH204" i="18"/>
  <c r="AJ207" i="18"/>
  <c r="AG133" i="18"/>
  <c r="AI183" i="18"/>
  <c r="AF296" i="18"/>
  <c r="AG160" i="18"/>
  <c r="AB205" i="18"/>
  <c r="AB55" i="18" s="1"/>
  <c r="AC206" i="18"/>
  <c r="AE276" i="18"/>
  <c r="E256" i="18"/>
  <c r="F256" i="18"/>
  <c r="AB41" i="18"/>
  <c r="AB47" i="18"/>
  <c r="AH334" i="18"/>
  <c r="AH402" i="18"/>
  <c r="AG329" i="18"/>
  <c r="AD149" i="18"/>
  <c r="AJ385" i="18"/>
  <c r="AH312" i="18"/>
  <c r="AI309" i="18"/>
  <c r="AH317" i="18"/>
  <c r="AI314" i="18"/>
  <c r="AC127" i="18"/>
  <c r="AG150" i="18"/>
  <c r="AG170" i="18"/>
  <c r="AG108" i="18"/>
  <c r="Z173" i="18"/>
  <c r="Z64" i="18" s="1"/>
  <c r="W33" i="14" s="1"/>
  <c r="W31" i="14" s="1"/>
  <c r="AA174" i="18"/>
  <c r="AE302" i="18"/>
  <c r="AF299" i="18"/>
  <c r="AH408" i="18"/>
  <c r="AI405" i="18"/>
  <c r="AH407" i="18"/>
  <c r="AH358" i="18"/>
  <c r="AI355" i="18"/>
  <c r="AC102" i="18"/>
  <c r="AC107" i="18"/>
  <c r="AB202" i="18"/>
  <c r="AB58" i="18" s="1"/>
  <c r="AC203" i="18"/>
  <c r="AI219" i="18"/>
  <c r="AJ219" i="18" s="1"/>
  <c r="AB196" i="18"/>
  <c r="AB52" i="18" s="1"/>
  <c r="AC197" i="18"/>
  <c r="AG304" i="18"/>
  <c r="AC211" i="18"/>
  <c r="AC59" i="18" s="1"/>
  <c r="AD212" i="18"/>
  <c r="AD418" i="18"/>
  <c r="AC164" i="18"/>
  <c r="AG319" i="18"/>
  <c r="AC414" i="18"/>
  <c r="AD293" i="18"/>
  <c r="AD263" i="18"/>
  <c r="AD268" i="18"/>
  <c r="AD362" i="18"/>
  <c r="AD266" i="18"/>
  <c r="AD364" i="18"/>
  <c r="AD363" i="18" s="1"/>
  <c r="AD415" i="18"/>
  <c r="AI139" i="18"/>
  <c r="AD214" i="18"/>
  <c r="AD60" i="18" s="1"/>
  <c r="AE215" i="18"/>
  <c r="AE378" i="18"/>
  <c r="AF375" i="18"/>
  <c r="AK398" i="18"/>
  <c r="AL395" i="18"/>
  <c r="AF282" i="18"/>
  <c r="AG279" i="18"/>
  <c r="AF348" i="18"/>
  <c r="AG345" i="18"/>
  <c r="AE301" i="18"/>
  <c r="AG383" i="18"/>
  <c r="AH380" i="18"/>
  <c r="AC182" i="18"/>
  <c r="AG327" i="18"/>
  <c r="AH324" i="18"/>
  <c r="AD132" i="18"/>
  <c r="AJ178" i="18"/>
  <c r="AE277" i="18"/>
  <c r="AF274" i="18"/>
  <c r="AE227" i="18"/>
  <c r="AE415" i="18" s="1"/>
  <c r="AE414" i="18" s="1"/>
  <c r="AH165" i="18"/>
  <c r="AG339" i="18"/>
  <c r="AH403" i="18"/>
  <c r="AI400" i="18"/>
  <c r="AE154" i="18"/>
  <c r="AF97" i="18"/>
  <c r="AC217" i="18"/>
  <c r="AD218" i="18"/>
  <c r="AD144" i="18"/>
  <c r="AH413" i="18"/>
  <c r="AC419" i="18"/>
  <c r="E419" i="18" s="1"/>
  <c r="C9" i="15" s="1"/>
  <c r="E420" i="18"/>
  <c r="D9" i="15" s="1"/>
  <c r="AM287" i="18"/>
  <c r="AN284" i="18"/>
  <c r="AD159" i="18"/>
  <c r="AL213" i="18"/>
  <c r="AG135" i="18"/>
  <c r="AF297" i="18"/>
  <c r="AG294" i="18"/>
  <c r="AD169" i="18"/>
  <c r="AB138" i="18"/>
  <c r="AI353" i="18"/>
  <c r="AJ350" i="18"/>
  <c r="AE377" i="18"/>
  <c r="AK397" i="18"/>
  <c r="AB122" i="18"/>
  <c r="AJ272" i="18"/>
  <c r="AK269" i="18"/>
  <c r="AC177" i="18"/>
  <c r="AI216" i="18"/>
  <c r="AG175" i="18"/>
  <c r="AN286" i="18" l="1"/>
  <c r="AH201" i="18"/>
  <c r="AF331" i="18"/>
  <c r="AF332" i="18" s="1"/>
  <c r="AF321" i="18"/>
  <c r="AF322" i="18" s="1"/>
  <c r="AD267" i="18"/>
  <c r="AF341" i="18"/>
  <c r="AF342" i="18" s="1"/>
  <c r="AF306" i="18"/>
  <c r="AF307" i="18" s="1"/>
  <c r="AF357" i="18"/>
  <c r="AE337" i="18"/>
  <c r="AD337" i="18"/>
  <c r="AF336" i="18"/>
  <c r="AF337" i="18" s="1"/>
  <c r="AE291" i="18"/>
  <c r="AD387" i="18"/>
  <c r="AC372" i="18"/>
  <c r="AB373" i="18"/>
  <c r="AH370" i="18"/>
  <c r="AD199" i="18"/>
  <c r="AD57" i="18" s="1"/>
  <c r="AE200" i="18"/>
  <c r="AI316" i="18"/>
  <c r="AH123" i="18"/>
  <c r="AG103" i="18"/>
  <c r="AI155" i="18"/>
  <c r="AF261" i="18"/>
  <c r="AF262" i="18" s="1"/>
  <c r="AF301" i="18"/>
  <c r="AJ216" i="18"/>
  <c r="AL98" i="18"/>
  <c r="AL397" i="18"/>
  <c r="Y29" i="14"/>
  <c r="AH160" i="18"/>
  <c r="AM213" i="18"/>
  <c r="AJ183" i="18"/>
  <c r="AH135" i="18"/>
  <c r="AJ145" i="18"/>
  <c r="AI165" i="18"/>
  <c r="AH175" i="18"/>
  <c r="AJ139" i="18"/>
  <c r="AF377" i="18"/>
  <c r="AI407" i="18"/>
  <c r="AC205" i="18"/>
  <c r="AC55" i="18" s="1"/>
  <c r="AD206" i="18"/>
  <c r="AE144" i="18"/>
  <c r="AG97" i="18"/>
  <c r="AH339" i="18"/>
  <c r="AE263" i="18"/>
  <c r="AE293" i="18"/>
  <c r="AE364" i="18"/>
  <c r="AE268" i="18"/>
  <c r="AE266" i="18"/>
  <c r="AE267" i="18" s="1"/>
  <c r="AD164" i="18"/>
  <c r="AH304" i="18"/>
  <c r="AC196" i="18"/>
  <c r="AC52" i="18" s="1"/>
  <c r="AD197" i="18"/>
  <c r="AI358" i="18"/>
  <c r="AJ355" i="18"/>
  <c r="AF302" i="18"/>
  <c r="AG299" i="18"/>
  <c r="AA173" i="18"/>
  <c r="AA64" i="18" s="1"/>
  <c r="X33" i="14" s="1"/>
  <c r="X31" i="14" s="1"/>
  <c r="AB174" i="18"/>
  <c r="AH150" i="18"/>
  <c r="AI317" i="18"/>
  <c r="AJ314" i="18"/>
  <c r="AI312" i="18"/>
  <c r="AJ309" i="18"/>
  <c r="AK385" i="18"/>
  <c r="AH329" i="18"/>
  <c r="AJ141" i="18"/>
  <c r="AI334" i="18"/>
  <c r="AD177" i="18"/>
  <c r="AJ353" i="18"/>
  <c r="AK350" i="18"/>
  <c r="AF277" i="18"/>
  <c r="AG274" i="18"/>
  <c r="AF227" i="18"/>
  <c r="AF415" i="18" s="1"/>
  <c r="AF414" i="18" s="1"/>
  <c r="AK178" i="18"/>
  <c r="AL178" i="18" s="1"/>
  <c r="AH327" i="18"/>
  <c r="AI324" i="18"/>
  <c r="AJ352" i="18"/>
  <c r="AL398" i="18"/>
  <c r="AM395" i="18"/>
  <c r="AH326" i="18"/>
  <c r="AE362" i="18"/>
  <c r="AE363" i="18" s="1"/>
  <c r="AD211" i="18"/>
  <c r="AD59" i="18" s="1"/>
  <c r="AE212" i="18"/>
  <c r="AE418" i="18"/>
  <c r="AI311" i="18"/>
  <c r="AK207" i="18"/>
  <c r="AG347" i="18"/>
  <c r="AL269" i="18"/>
  <c r="AC122" i="18"/>
  <c r="AD217" i="18"/>
  <c r="AE218" i="18"/>
  <c r="AF154" i="18"/>
  <c r="AE132" i="18"/>
  <c r="AD182" i="18"/>
  <c r="AH383" i="18"/>
  <c r="AI380" i="18"/>
  <c r="AF378" i="18"/>
  <c r="AG375" i="18"/>
  <c r="AE214" i="18"/>
  <c r="AE60" i="18" s="1"/>
  <c r="AF215" i="18"/>
  <c r="AD414" i="18"/>
  <c r="AF276" i="18"/>
  <c r="AC202" i="18"/>
  <c r="AC58" i="18" s="1"/>
  <c r="AD203" i="18"/>
  <c r="AD107" i="18"/>
  <c r="AD102" i="18"/>
  <c r="AH170" i="18"/>
  <c r="AE149" i="18"/>
  <c r="AI402" i="18"/>
  <c r="AG128" i="18"/>
  <c r="AC138" i="18"/>
  <c r="AE169" i="18"/>
  <c r="AG297" i="18"/>
  <c r="AH294" i="18"/>
  <c r="AE159" i="18"/>
  <c r="AN287" i="18"/>
  <c r="AO284" i="18"/>
  <c r="AC47" i="18"/>
  <c r="AC41" i="18"/>
  <c r="AI403" i="18"/>
  <c r="AJ400" i="18"/>
  <c r="AG348" i="18"/>
  <c r="AH345" i="18"/>
  <c r="AG282" i="18"/>
  <c r="AH279" i="18"/>
  <c r="AI413" i="18"/>
  <c r="AH319" i="18"/>
  <c r="AH133" i="18"/>
  <c r="AI408" i="18"/>
  <c r="AJ405" i="18"/>
  <c r="AI204" i="18"/>
  <c r="AH108" i="18"/>
  <c r="AD127" i="18"/>
  <c r="AH382" i="18"/>
  <c r="AG296" i="18"/>
  <c r="AG281" i="18"/>
  <c r="AG198" i="18"/>
  <c r="AI201" i="18" l="1"/>
  <c r="E414" i="18"/>
  <c r="C8" i="15" s="1"/>
  <c r="AG321" i="18"/>
  <c r="AG322" i="18" s="1"/>
  <c r="AG331" i="18"/>
  <c r="AG332" i="18" s="1"/>
  <c r="AJ155" i="18"/>
  <c r="E415" i="18"/>
  <c r="D8" i="15" s="1"/>
  <c r="AG341" i="18"/>
  <c r="AG342" i="18" s="1"/>
  <c r="AG306" i="18"/>
  <c r="AG307" i="18" s="1"/>
  <c r="AG357" i="18"/>
  <c r="AG336" i="18"/>
  <c r="AF291" i="18"/>
  <c r="AE292" i="18"/>
  <c r="AE387" i="18"/>
  <c r="AD388" i="18"/>
  <c r="AE199" i="18"/>
  <c r="AE57" i="18" s="1"/>
  <c r="AF200" i="18"/>
  <c r="AI370" i="18"/>
  <c r="AJ201" i="18" s="1"/>
  <c r="AD372" i="18"/>
  <c r="AI326" i="18"/>
  <c r="AG261" i="18"/>
  <c r="AH261" i="18" s="1"/>
  <c r="AG301" i="18"/>
  <c r="Z29" i="14"/>
  <c r="AN213" i="18"/>
  <c r="AH198" i="18"/>
  <c r="AG276" i="18"/>
  <c r="AK145" i="18"/>
  <c r="AH128" i="18"/>
  <c r="AL207" i="18"/>
  <c r="AJ165" i="18"/>
  <c r="AI170" i="18"/>
  <c r="AK141" i="18"/>
  <c r="AI133" i="18"/>
  <c r="AK139" i="18"/>
  <c r="AH296" i="18"/>
  <c r="AJ204" i="18"/>
  <c r="AI382" i="18"/>
  <c r="AI160" i="18"/>
  <c r="AJ311" i="18"/>
  <c r="AD205" i="18"/>
  <c r="AD55" i="18" s="1"/>
  <c r="AE206" i="18"/>
  <c r="AK352" i="18"/>
  <c r="AH281" i="18"/>
  <c r="AJ408" i="18"/>
  <c r="AK405" i="18"/>
  <c r="AH282" i="18"/>
  <c r="AI279" i="18"/>
  <c r="AF159" i="18"/>
  <c r="AH297" i="18"/>
  <c r="AI294" i="18"/>
  <c r="AJ402" i="18"/>
  <c r="AG378" i="18"/>
  <c r="AH375" i="18"/>
  <c r="AF132" i="18"/>
  <c r="AG154" i="18"/>
  <c r="AE217" i="18"/>
  <c r="AF218" i="18"/>
  <c r="AD122" i="18"/>
  <c r="AM398" i="18"/>
  <c r="AN395" i="18"/>
  <c r="AF263" i="18"/>
  <c r="AF293" i="18"/>
  <c r="AF292" i="18" s="1"/>
  <c r="AF268" i="18"/>
  <c r="AF364" i="18"/>
  <c r="AG377" i="18"/>
  <c r="AH377" i="18" s="1"/>
  <c r="AL385" i="18"/>
  <c r="AB173" i="18"/>
  <c r="AB64" i="18" s="1"/>
  <c r="Y33" i="14" s="1"/>
  <c r="Y31" i="14" s="1"/>
  <c r="AC174" i="18"/>
  <c r="AJ358" i="18"/>
  <c r="AK355" i="18"/>
  <c r="AI339" i="18"/>
  <c r="AF144" i="18"/>
  <c r="AI123" i="18"/>
  <c r="AH348" i="18"/>
  <c r="AI345" i="18"/>
  <c r="AJ403" i="18"/>
  <c r="AK400" i="18"/>
  <c r="AO287" i="18"/>
  <c r="AP284" i="18"/>
  <c r="AD138" i="18"/>
  <c r="AF149" i="18"/>
  <c r="AE107" i="18"/>
  <c r="AF214" i="18"/>
  <c r="AF60" i="18" s="1"/>
  <c r="AG215" i="18"/>
  <c r="AD41" i="18"/>
  <c r="AD47" i="18"/>
  <c r="AH347" i="18"/>
  <c r="AE211" i="18"/>
  <c r="AE59" i="18" s="1"/>
  <c r="AF212" i="18"/>
  <c r="AI327" i="18"/>
  <c r="AJ324" i="18"/>
  <c r="AG277" i="18"/>
  <c r="AH274" i="18"/>
  <c r="AG227" i="18"/>
  <c r="AK353" i="18"/>
  <c r="AL350" i="18"/>
  <c r="AM178" i="18" s="1"/>
  <c r="AI329" i="18"/>
  <c r="AF418" i="18"/>
  <c r="AF266" i="18"/>
  <c r="AG266" i="18" s="1"/>
  <c r="AG267" i="18" s="1"/>
  <c r="AH97" i="18"/>
  <c r="AH103" i="18"/>
  <c r="AO286" i="18"/>
  <c r="AK219" i="18"/>
  <c r="AL219" i="18" s="1"/>
  <c r="AI108" i="18"/>
  <c r="AE182" i="18"/>
  <c r="AE177" i="18"/>
  <c r="AJ334" i="18"/>
  <c r="AJ312" i="18"/>
  <c r="AK309" i="18"/>
  <c r="AI150" i="18"/>
  <c r="AJ413" i="18"/>
  <c r="AK183" i="18"/>
  <c r="AE127" i="18"/>
  <c r="AJ407" i="18"/>
  <c r="AH322" i="18"/>
  <c r="AI319" i="18"/>
  <c r="AF169" i="18"/>
  <c r="AE102" i="18"/>
  <c r="AD202" i="18"/>
  <c r="AD58" i="18" s="1"/>
  <c r="AE203" i="18"/>
  <c r="AI383" i="18"/>
  <c r="AJ380" i="18"/>
  <c r="AI135" i="18"/>
  <c r="AM269" i="18"/>
  <c r="AI175" i="18"/>
  <c r="AF362" i="18"/>
  <c r="AK216" i="18"/>
  <c r="AJ317" i="18"/>
  <c r="AK314" i="18"/>
  <c r="AG302" i="18"/>
  <c r="AH299" i="18"/>
  <c r="AD196" i="18"/>
  <c r="AD52" i="18" s="1"/>
  <c r="AE197" i="18"/>
  <c r="AH307" i="18"/>
  <c r="AI304" i="18"/>
  <c r="AJ316" i="18"/>
  <c r="AE164" i="18"/>
  <c r="AM397" i="18"/>
  <c r="AM98" i="18"/>
  <c r="AH321" i="18" l="1"/>
  <c r="AH331" i="18"/>
  <c r="AI331" i="18" s="1"/>
  <c r="AH341" i="18"/>
  <c r="AI341" i="18" s="1"/>
  <c r="AG262" i="18"/>
  <c r="AH306" i="18"/>
  <c r="AI306" i="18" s="1"/>
  <c r="AH357" i="18"/>
  <c r="AG291" i="18"/>
  <c r="AG337" i="18"/>
  <c r="AH336" i="18"/>
  <c r="AH337" i="18" s="1"/>
  <c r="AF387" i="18"/>
  <c r="AF199" i="18"/>
  <c r="AF57" i="18" s="1"/>
  <c r="AG200" i="18"/>
  <c r="AE372" i="18"/>
  <c r="AF372" i="18" s="1"/>
  <c r="AD373" i="18"/>
  <c r="AJ370" i="18"/>
  <c r="AK201" i="18" s="1"/>
  <c r="AK407" i="18"/>
  <c r="AO213" i="18"/>
  <c r="AJ135" i="18"/>
  <c r="AK165" i="18"/>
  <c r="AH276" i="18"/>
  <c r="AI198" i="18"/>
  <c r="AN397" i="18"/>
  <c r="AL216" i="18"/>
  <c r="AI281" i="18"/>
  <c r="AL183" i="18"/>
  <c r="AM207" i="18"/>
  <c r="AJ108" i="18"/>
  <c r="AI296" i="18"/>
  <c r="AL352" i="18"/>
  <c r="AP286" i="18"/>
  <c r="AJ123" i="18"/>
  <c r="AL141" i="18"/>
  <c r="AJ175" i="18"/>
  <c r="AJ160" i="18"/>
  <c r="AK204" i="18"/>
  <c r="AA29" i="14"/>
  <c r="AI347" i="18"/>
  <c r="AE205" i="18"/>
  <c r="AE55" i="18" s="1"/>
  <c r="AF206" i="18"/>
  <c r="AI103" i="18"/>
  <c r="AN269" i="18"/>
  <c r="AF102" i="18"/>
  <c r="AJ133" i="18"/>
  <c r="AK312" i="18"/>
  <c r="AL309" i="18"/>
  <c r="AF177" i="18"/>
  <c r="AF182" i="18"/>
  <c r="AJ327" i="18"/>
  <c r="AK324" i="18"/>
  <c r="AK311" i="18"/>
  <c r="AP287" i="18"/>
  <c r="AQ284" i="18"/>
  <c r="AK403" i="18"/>
  <c r="AL400" i="18"/>
  <c r="AI342" i="18"/>
  <c r="AJ339" i="18"/>
  <c r="AK358" i="18"/>
  <c r="AL355" i="18"/>
  <c r="AE41" i="18"/>
  <c r="AE47" i="18"/>
  <c r="AI128" i="18"/>
  <c r="AG159" i="18"/>
  <c r="AK408" i="18"/>
  <c r="AL405" i="18"/>
  <c r="AM219" i="18" s="1"/>
  <c r="AN98" i="18"/>
  <c r="AO98" i="18" s="1"/>
  <c r="AF164" i="18"/>
  <c r="AK316" i="18"/>
  <c r="AJ383" i="18"/>
  <c r="AK380" i="18"/>
  <c r="AF127" i="18"/>
  <c r="AJ150" i="18"/>
  <c r="AK334" i="18"/>
  <c r="AF211" i="18"/>
  <c r="AF59" i="18" s="1"/>
  <c r="AG212" i="18"/>
  <c r="AE138" i="18"/>
  <c r="AG144" i="18"/>
  <c r="AF363" i="18"/>
  <c r="E363" i="18" s="1"/>
  <c r="C35" i="15" s="1"/>
  <c r="E364" i="18"/>
  <c r="D35" i="15" s="1"/>
  <c r="AE122" i="18"/>
  <c r="AH154" i="18"/>
  <c r="AI297" i="18"/>
  <c r="AJ294" i="18"/>
  <c r="AE196" i="18"/>
  <c r="AE52" i="18" s="1"/>
  <c r="AF197" i="18"/>
  <c r="AH302" i="18"/>
  <c r="AI299" i="18"/>
  <c r="AK317" i="18"/>
  <c r="AL314" i="18"/>
  <c r="AE202" i="18"/>
  <c r="AE58" i="18" s="1"/>
  <c r="AF203" i="18"/>
  <c r="AG362" i="18"/>
  <c r="AH362" i="18" s="1"/>
  <c r="AI97" i="18"/>
  <c r="AI332" i="18"/>
  <c r="AJ329" i="18"/>
  <c r="AG293" i="18"/>
  <c r="AG263" i="18"/>
  <c r="AG268" i="18"/>
  <c r="AH262" i="18"/>
  <c r="AI261" i="18"/>
  <c r="AG214" i="18"/>
  <c r="AG60" i="18" s="1"/>
  <c r="AH215" i="18"/>
  <c r="AJ170" i="18"/>
  <c r="AI348" i="18"/>
  <c r="AJ345" i="18"/>
  <c r="AJ382" i="18"/>
  <c r="AJ326" i="18"/>
  <c r="AK155" i="18"/>
  <c r="AI282" i="18"/>
  <c r="AJ279" i="18"/>
  <c r="AJ304" i="18"/>
  <c r="AG169" i="18"/>
  <c r="AI322" i="18"/>
  <c r="AJ319" i="18"/>
  <c r="AK413" i="18"/>
  <c r="AL413" i="18" s="1"/>
  <c r="AM413" i="18" s="1"/>
  <c r="AN413" i="18" s="1"/>
  <c r="AO413" i="18" s="1"/>
  <c r="AP413" i="18" s="1"/>
  <c r="AQ413" i="18" s="1"/>
  <c r="AR413" i="18" s="1"/>
  <c r="AS413" i="18" s="1"/>
  <c r="AT413" i="18" s="1"/>
  <c r="AU413" i="18" s="1"/>
  <c r="AV413" i="18" s="1"/>
  <c r="AW413" i="18" s="1"/>
  <c r="AX413" i="18" s="1"/>
  <c r="AY413" i="18" s="1"/>
  <c r="AZ413" i="18" s="1"/>
  <c r="BA413" i="18" s="1"/>
  <c r="BB413" i="18" s="1"/>
  <c r="BC413" i="18" s="1"/>
  <c r="BD413" i="18" s="1"/>
  <c r="BE413" i="18" s="1"/>
  <c r="BF413" i="18" s="1"/>
  <c r="BG413" i="18" s="1"/>
  <c r="BH413" i="18" s="1"/>
  <c r="BI413" i="18" s="1"/>
  <c r="BJ413" i="18" s="1"/>
  <c r="BK413" i="18" s="1"/>
  <c r="BL413" i="18" s="1"/>
  <c r="BM413" i="18" s="1"/>
  <c r="BN413" i="18" s="1"/>
  <c r="BO413" i="18" s="1"/>
  <c r="BP413" i="18" s="1"/>
  <c r="BQ413" i="18" s="1"/>
  <c r="BR413" i="18" s="1"/>
  <c r="BS413" i="18" s="1"/>
  <c r="BT413" i="18" s="1"/>
  <c r="BU413" i="18" s="1"/>
  <c r="BV413" i="18" s="1"/>
  <c r="BW413" i="18" s="1"/>
  <c r="BX413" i="18" s="1"/>
  <c r="BY413" i="18" s="1"/>
  <c r="BZ413" i="18" s="1"/>
  <c r="CA413" i="18" s="1"/>
  <c r="CB413" i="18" s="1"/>
  <c r="CC413" i="18" s="1"/>
  <c r="CD413" i="18" s="1"/>
  <c r="CE413" i="18" s="1"/>
  <c r="CF413" i="18" s="1"/>
  <c r="CG413" i="18" s="1"/>
  <c r="CH413" i="18" s="1"/>
  <c r="CI413" i="18" s="1"/>
  <c r="CJ413" i="18" s="1"/>
  <c r="CK413" i="18" s="1"/>
  <c r="CL413" i="18" s="1"/>
  <c r="CM413" i="18" s="1"/>
  <c r="CN413" i="18" s="1"/>
  <c r="CO413" i="18" s="1"/>
  <c r="CP413" i="18" s="1"/>
  <c r="CQ413" i="18" s="1"/>
  <c r="CR413" i="18" s="1"/>
  <c r="CS413" i="18" s="1"/>
  <c r="CT413" i="18" s="1"/>
  <c r="CU413" i="18" s="1"/>
  <c r="CV413" i="18" s="1"/>
  <c r="CW413" i="18" s="1"/>
  <c r="CX413" i="18" s="1"/>
  <c r="CY413" i="18" s="1"/>
  <c r="CZ413" i="18" s="1"/>
  <c r="DA413" i="18" s="1"/>
  <c r="DB413" i="18" s="1"/>
  <c r="DC413" i="18" s="1"/>
  <c r="DD413" i="18" s="1"/>
  <c r="DE413" i="18" s="1"/>
  <c r="DF413" i="18" s="1"/>
  <c r="DG413" i="18" s="1"/>
  <c r="DH413" i="18" s="1"/>
  <c r="DI413" i="18" s="1"/>
  <c r="DJ413" i="18" s="1"/>
  <c r="DK413" i="18" s="1"/>
  <c r="DL413" i="18" s="1"/>
  <c r="DM413" i="18" s="1"/>
  <c r="DN413" i="18" s="1"/>
  <c r="DO413" i="18" s="1"/>
  <c r="DP413" i="18" s="1"/>
  <c r="DQ413" i="18" s="1"/>
  <c r="DR413" i="18" s="1"/>
  <c r="DS413" i="18" s="1"/>
  <c r="DT413" i="18" s="1"/>
  <c r="DU413" i="18" s="1"/>
  <c r="DV413" i="18" s="1"/>
  <c r="DW413" i="18" s="1"/>
  <c r="DX413" i="18" s="1"/>
  <c r="DY413" i="18" s="1"/>
  <c r="DZ413" i="18" s="1"/>
  <c r="EA413" i="18" s="1"/>
  <c r="EB413" i="18" s="1"/>
  <c r="EC413" i="18" s="1"/>
  <c r="ED413" i="18" s="1"/>
  <c r="EE413" i="18" s="1"/>
  <c r="EF413" i="18" s="1"/>
  <c r="EG413" i="18" s="1"/>
  <c r="EH413" i="18" s="1"/>
  <c r="EI413" i="18" s="1"/>
  <c r="AL139" i="18"/>
  <c r="AL145" i="18"/>
  <c r="AF267" i="18"/>
  <c r="AH266" i="18"/>
  <c r="AL353" i="18"/>
  <c r="AM350" i="18"/>
  <c r="AN178" i="18" s="1"/>
  <c r="AH277" i="18"/>
  <c r="AI274" i="18"/>
  <c r="AH227" i="18"/>
  <c r="AF107" i="18"/>
  <c r="AG149" i="18"/>
  <c r="AI321" i="18"/>
  <c r="AC173" i="18"/>
  <c r="AC64" i="18" s="1"/>
  <c r="Z33" i="14" s="1"/>
  <c r="Z31" i="14" s="1"/>
  <c r="AD174" i="18"/>
  <c r="AM385" i="18"/>
  <c r="AN398" i="18"/>
  <c r="AO395" i="18"/>
  <c r="AP213" i="18" s="1"/>
  <c r="AG418" i="18"/>
  <c r="AH418" i="18" s="1"/>
  <c r="AI418" i="18" s="1"/>
  <c r="AJ418" i="18" s="1"/>
  <c r="AK418" i="18" s="1"/>
  <c r="AL418" i="18" s="1"/>
  <c r="AM418" i="18" s="1"/>
  <c r="AN418" i="18" s="1"/>
  <c r="AO418" i="18" s="1"/>
  <c r="AP418" i="18" s="1"/>
  <c r="AQ418" i="18" s="1"/>
  <c r="AR418" i="18" s="1"/>
  <c r="AS418" i="18" s="1"/>
  <c r="AT418" i="18" s="1"/>
  <c r="AU418" i="18" s="1"/>
  <c r="AV418" i="18" s="1"/>
  <c r="AW418" i="18" s="1"/>
  <c r="AX418" i="18" s="1"/>
  <c r="AY418" i="18" s="1"/>
  <c r="AZ418" i="18" s="1"/>
  <c r="BA418" i="18" s="1"/>
  <c r="BB418" i="18" s="1"/>
  <c r="BC418" i="18" s="1"/>
  <c r="BD418" i="18" s="1"/>
  <c r="BE418" i="18" s="1"/>
  <c r="BF418" i="18" s="1"/>
  <c r="BG418" i="18" s="1"/>
  <c r="BH418" i="18" s="1"/>
  <c r="BI418" i="18" s="1"/>
  <c r="BJ418" i="18" s="1"/>
  <c r="BK418" i="18" s="1"/>
  <c r="BL418" i="18" s="1"/>
  <c r="BM418" i="18" s="1"/>
  <c r="BN418" i="18" s="1"/>
  <c r="BO418" i="18" s="1"/>
  <c r="BP418" i="18" s="1"/>
  <c r="BQ418" i="18" s="1"/>
  <c r="BR418" i="18" s="1"/>
  <c r="BS418" i="18" s="1"/>
  <c r="BT418" i="18" s="1"/>
  <c r="BU418" i="18" s="1"/>
  <c r="BV418" i="18" s="1"/>
  <c r="BW418" i="18" s="1"/>
  <c r="BX418" i="18" s="1"/>
  <c r="BY418" i="18" s="1"/>
  <c r="BZ418" i="18" s="1"/>
  <c r="CA418" i="18" s="1"/>
  <c r="CB418" i="18" s="1"/>
  <c r="CC418" i="18" s="1"/>
  <c r="CD418" i="18" s="1"/>
  <c r="CE418" i="18" s="1"/>
  <c r="CF418" i="18" s="1"/>
  <c r="CG418" i="18" s="1"/>
  <c r="CH418" i="18" s="1"/>
  <c r="CI418" i="18" s="1"/>
  <c r="CJ418" i="18" s="1"/>
  <c r="CK418" i="18" s="1"/>
  <c r="CL418" i="18" s="1"/>
  <c r="CM418" i="18" s="1"/>
  <c r="CN418" i="18" s="1"/>
  <c r="CO418" i="18" s="1"/>
  <c r="CP418" i="18" s="1"/>
  <c r="CQ418" i="18" s="1"/>
  <c r="CR418" i="18" s="1"/>
  <c r="CS418" i="18" s="1"/>
  <c r="CT418" i="18" s="1"/>
  <c r="CU418" i="18" s="1"/>
  <c r="CV418" i="18" s="1"/>
  <c r="CW418" i="18" s="1"/>
  <c r="CX418" i="18" s="1"/>
  <c r="CY418" i="18" s="1"/>
  <c r="CZ418" i="18" s="1"/>
  <c r="DA418" i="18" s="1"/>
  <c r="DB418" i="18" s="1"/>
  <c r="DC418" i="18" s="1"/>
  <c r="DD418" i="18" s="1"/>
  <c r="DE418" i="18" s="1"/>
  <c r="DF418" i="18" s="1"/>
  <c r="DG418" i="18" s="1"/>
  <c r="DH418" i="18" s="1"/>
  <c r="DI418" i="18" s="1"/>
  <c r="DJ418" i="18" s="1"/>
  <c r="DK418" i="18" s="1"/>
  <c r="DL418" i="18" s="1"/>
  <c r="DM418" i="18" s="1"/>
  <c r="DN418" i="18" s="1"/>
  <c r="DO418" i="18" s="1"/>
  <c r="DP418" i="18" s="1"/>
  <c r="DQ418" i="18" s="1"/>
  <c r="DR418" i="18" s="1"/>
  <c r="DS418" i="18" s="1"/>
  <c r="DT418" i="18" s="1"/>
  <c r="DU418" i="18" s="1"/>
  <c r="DV418" i="18" s="1"/>
  <c r="DW418" i="18" s="1"/>
  <c r="DX418" i="18" s="1"/>
  <c r="DY418" i="18" s="1"/>
  <c r="DZ418" i="18" s="1"/>
  <c r="EA418" i="18" s="1"/>
  <c r="EB418" i="18" s="1"/>
  <c r="EC418" i="18" s="1"/>
  <c r="ED418" i="18" s="1"/>
  <c r="EE418" i="18" s="1"/>
  <c r="EF418" i="18" s="1"/>
  <c r="EG418" i="18" s="1"/>
  <c r="EH418" i="18" s="1"/>
  <c r="EI418" i="18" s="1"/>
  <c r="AF217" i="18"/>
  <c r="AG218" i="18"/>
  <c r="AG132" i="18"/>
  <c r="AH378" i="18"/>
  <c r="AI375" i="18"/>
  <c r="AK402" i="18"/>
  <c r="AH301" i="18"/>
  <c r="AI276" i="18" l="1"/>
  <c r="AJ341" i="18"/>
  <c r="AI357" i="18"/>
  <c r="AG372" i="18"/>
  <c r="AF373" i="18"/>
  <c r="AH291" i="18"/>
  <c r="AI336" i="18"/>
  <c r="AG387" i="18"/>
  <c r="AG388" i="18" s="1"/>
  <c r="AF388" i="18"/>
  <c r="AK370" i="18"/>
  <c r="AL201" i="18" s="1"/>
  <c r="AG199" i="18"/>
  <c r="AG57" i="18" s="1"/>
  <c r="AH200" i="18"/>
  <c r="AJ296" i="18"/>
  <c r="AM183" i="18"/>
  <c r="AI301" i="18"/>
  <c r="AK108" i="18"/>
  <c r="AM216" i="18"/>
  <c r="AK326" i="18"/>
  <c r="AL402" i="18"/>
  <c r="AK123" i="18"/>
  <c r="AJ321" i="18"/>
  <c r="AQ286" i="18"/>
  <c r="AK170" i="18"/>
  <c r="AL407" i="18"/>
  <c r="AM145" i="18"/>
  <c r="AK382" i="18"/>
  <c r="AM139" i="18"/>
  <c r="AL155" i="18"/>
  <c r="AB29" i="14"/>
  <c r="AL311" i="18"/>
  <c r="AJ306" i="18"/>
  <c r="AJ307" i="18" s="1"/>
  <c r="AG206" i="18"/>
  <c r="AF205" i="18"/>
  <c r="AF55" i="18" s="1"/>
  <c r="E413" i="18"/>
  <c r="F413" i="18"/>
  <c r="E418" i="18"/>
  <c r="F418" i="18"/>
  <c r="AI378" i="18"/>
  <c r="AJ375" i="18"/>
  <c r="AK304" i="18"/>
  <c r="AJ348" i="18"/>
  <c r="AK345" i="18"/>
  <c r="AJ97" i="18"/>
  <c r="AF122" i="18"/>
  <c r="AF138" i="18"/>
  <c r="AL334" i="18"/>
  <c r="AG127" i="18"/>
  <c r="AK383" i="18"/>
  <c r="AL380" i="18"/>
  <c r="AL316" i="18"/>
  <c r="AJ128" i="18"/>
  <c r="AG102" i="18"/>
  <c r="AH132" i="18"/>
  <c r="AG217" i="18"/>
  <c r="AH218" i="18"/>
  <c r="AO398" i="18"/>
  <c r="AP395" i="18"/>
  <c r="AG107" i="18"/>
  <c r="AH268" i="18"/>
  <c r="AH293" i="18"/>
  <c r="AH263" i="18"/>
  <c r="AH169" i="18"/>
  <c r="AJ282" i="18"/>
  <c r="AK279" i="18"/>
  <c r="AI262" i="18"/>
  <c r="AJ261" i="18"/>
  <c r="AM141" i="18"/>
  <c r="AJ332" i="18"/>
  <c r="AK329" i="18"/>
  <c r="AM352" i="18"/>
  <c r="AL317" i="18"/>
  <c r="AM314" i="18"/>
  <c r="AF196" i="18"/>
  <c r="AF52" i="18" s="1"/>
  <c r="AG197" i="18"/>
  <c r="AG164" i="18"/>
  <c r="AL358" i="18"/>
  <c r="AM355" i="18"/>
  <c r="AK133" i="18"/>
  <c r="AO269" i="18"/>
  <c r="AP98" i="18" s="1"/>
  <c r="AF41" i="18"/>
  <c r="AF47" i="18"/>
  <c r="AD173" i="18"/>
  <c r="AD64" i="18" s="1"/>
  <c r="AA33" i="14" s="1"/>
  <c r="AA31" i="14" s="1"/>
  <c r="AE174" i="18"/>
  <c r="AI277" i="18"/>
  <c r="AJ274" i="18"/>
  <c r="AJ276" i="18" s="1"/>
  <c r="AI227" i="18"/>
  <c r="AM353" i="18"/>
  <c r="AN350" i="18"/>
  <c r="AH267" i="18"/>
  <c r="AJ322" i="18"/>
  <c r="AK319" i="18"/>
  <c r="AH214" i="18"/>
  <c r="AH60" i="18" s="1"/>
  <c r="AI215" i="18"/>
  <c r="AJ198" i="18"/>
  <c r="AF202" i="18"/>
  <c r="AF58" i="18" s="1"/>
  <c r="AG203" i="18"/>
  <c r="AI302" i="18"/>
  <c r="AJ299" i="18"/>
  <c r="AO397" i="18"/>
  <c r="AI154" i="18"/>
  <c r="AH144" i="18"/>
  <c r="AJ347" i="18"/>
  <c r="AJ103" i="18"/>
  <c r="AH159" i="18"/>
  <c r="AQ287" i="18"/>
  <c r="AR284" i="18"/>
  <c r="AK327" i="18"/>
  <c r="AL324" i="18"/>
  <c r="AG177" i="18"/>
  <c r="AL312" i="18"/>
  <c r="AM309" i="18"/>
  <c r="AL204" i="18"/>
  <c r="AJ331" i="18"/>
  <c r="AK331" i="18" s="1"/>
  <c r="AK160" i="18"/>
  <c r="AN385" i="18"/>
  <c r="AH149" i="18"/>
  <c r="AI266" i="18"/>
  <c r="AK175" i="18"/>
  <c r="AN207" i="18"/>
  <c r="AJ297" i="18"/>
  <c r="AK294" i="18"/>
  <c r="AL123" i="18" s="1"/>
  <c r="AI362" i="18"/>
  <c r="AG211" i="18"/>
  <c r="AG59" i="18" s="1"/>
  <c r="AH212" i="18"/>
  <c r="AJ281" i="18"/>
  <c r="AK150" i="18"/>
  <c r="AL408" i="18"/>
  <c r="AM405" i="18"/>
  <c r="AI377" i="18"/>
  <c r="AJ342" i="18"/>
  <c r="AK339" i="18"/>
  <c r="AL403" i="18"/>
  <c r="AM400" i="18"/>
  <c r="AG182" i="18"/>
  <c r="AL165" i="18"/>
  <c r="AK135" i="18"/>
  <c r="AK341" i="18" l="1"/>
  <c r="AC29" i="14"/>
  <c r="AK321" i="18"/>
  <c r="AJ357" i="18"/>
  <c r="AI337" i="18"/>
  <c r="AJ336" i="18"/>
  <c r="AH372" i="18"/>
  <c r="AG373" i="18"/>
  <c r="AI291" i="18"/>
  <c r="AH387" i="18"/>
  <c r="AL370" i="18"/>
  <c r="AM201" i="18" s="1"/>
  <c r="AH199" i="18"/>
  <c r="AH57" i="18" s="1"/>
  <c r="AI200" i="18"/>
  <c r="AN183" i="18"/>
  <c r="AM311" i="18"/>
  <c r="AM407" i="18"/>
  <c r="AL108" i="18"/>
  <c r="AN141" i="18"/>
  <c r="AL135" i="18"/>
  <c r="AL382" i="18"/>
  <c r="AM165" i="18"/>
  <c r="AK103" i="18"/>
  <c r="AL160" i="18"/>
  <c r="AL175" i="18"/>
  <c r="AK347" i="18"/>
  <c r="AK198" i="18"/>
  <c r="AK306" i="18"/>
  <c r="AK307" i="18" s="1"/>
  <c r="AJ377" i="18"/>
  <c r="AG205" i="18"/>
  <c r="AG55" i="18" s="1"/>
  <c r="AH206" i="18"/>
  <c r="AL150" i="18"/>
  <c r="AK281" i="18"/>
  <c r="AN139" i="18"/>
  <c r="AM204" i="18"/>
  <c r="AL133" i="18"/>
  <c r="AO207" i="18"/>
  <c r="AP397" i="18"/>
  <c r="AO385" i="18"/>
  <c r="AJ302" i="18"/>
  <c r="AK299" i="18"/>
  <c r="AN352" i="18"/>
  <c r="AK332" i="18"/>
  <c r="AL329" i="18"/>
  <c r="AL331" i="18" s="1"/>
  <c r="AJ266" i="18"/>
  <c r="AK266" i="18" s="1"/>
  <c r="AI132" i="18"/>
  <c r="AH102" i="18"/>
  <c r="AH127" i="18"/>
  <c r="AL304" i="18"/>
  <c r="AN219" i="18"/>
  <c r="AH211" i="18"/>
  <c r="AH59" i="18" s="1"/>
  <c r="AI212" i="18"/>
  <c r="AI267" i="18"/>
  <c r="AL327" i="18"/>
  <c r="AM324" i="18"/>
  <c r="AR287" i="18"/>
  <c r="AS284" i="18"/>
  <c r="AJ362" i="18"/>
  <c r="AK362" i="18" s="1"/>
  <c r="AI144" i="18"/>
  <c r="AG202" i="18"/>
  <c r="AG58" i="18" s="1"/>
  <c r="AH203" i="18"/>
  <c r="AI214" i="18"/>
  <c r="AI60" i="18" s="1"/>
  <c r="AJ215" i="18"/>
  <c r="AN353" i="18"/>
  <c r="AO350" i="18"/>
  <c r="AP269" i="18"/>
  <c r="AM358" i="18"/>
  <c r="AN355" i="18"/>
  <c r="AM317" i="18"/>
  <c r="AN314" i="18"/>
  <c r="AJ262" i="18"/>
  <c r="AK261" i="18"/>
  <c r="AL326" i="18"/>
  <c r="AI169" i="18"/>
  <c r="AH217" i="18"/>
  <c r="AI218" i="18"/>
  <c r="AL383" i="18"/>
  <c r="AM380" i="18"/>
  <c r="AK97" i="18"/>
  <c r="AN145" i="18"/>
  <c r="AK297" i="18"/>
  <c r="AL294" i="18"/>
  <c r="AM123" i="18" s="1"/>
  <c r="AI149" i="18"/>
  <c r="AH177" i="18"/>
  <c r="AJ154" i="18"/>
  <c r="AI268" i="18"/>
  <c r="AI293" i="18"/>
  <c r="AI263" i="18"/>
  <c r="AE173" i="18"/>
  <c r="AE64" i="18" s="1"/>
  <c r="AB33" i="14" s="1"/>
  <c r="AB31" i="14" s="1"/>
  <c r="AF174" i="18"/>
  <c r="AJ301" i="18"/>
  <c r="AG196" i="18"/>
  <c r="AG52" i="18" s="1"/>
  <c r="AH197" i="18"/>
  <c r="AK282" i="18"/>
  <c r="AL279" i="18"/>
  <c r="AP398" i="18"/>
  <c r="AQ395" i="18"/>
  <c r="AG47" i="18"/>
  <c r="AG41" i="18"/>
  <c r="AM402" i="18"/>
  <c r="AK128" i="18"/>
  <c r="AL128" i="18" s="1"/>
  <c r="AM316" i="18"/>
  <c r="AL337" i="18"/>
  <c r="AM334" i="18"/>
  <c r="AK348" i="18"/>
  <c r="AL345" i="18"/>
  <c r="AQ213" i="18"/>
  <c r="AM408" i="18"/>
  <c r="AN405" i="18"/>
  <c r="AH182" i="18"/>
  <c r="AM403" i="18"/>
  <c r="AN400" i="18"/>
  <c r="AK342" i="18"/>
  <c r="AL339" i="18"/>
  <c r="AL341" i="18" s="1"/>
  <c r="AK296" i="18"/>
  <c r="AM312" i="18"/>
  <c r="AN309" i="18"/>
  <c r="AO139" i="18" s="1"/>
  <c r="AI159" i="18"/>
  <c r="AK322" i="18"/>
  <c r="AL319" i="18"/>
  <c r="AR286" i="18"/>
  <c r="AJ277" i="18"/>
  <c r="AK274" i="18"/>
  <c r="AJ227" i="18"/>
  <c r="AH164" i="18"/>
  <c r="AL170" i="18"/>
  <c r="AH107" i="18"/>
  <c r="AG138" i="18"/>
  <c r="AG122" i="18"/>
  <c r="AM155" i="18"/>
  <c r="AN216" i="18"/>
  <c r="AJ378" i="18"/>
  <c r="AK375" i="18"/>
  <c r="AO178" i="18"/>
  <c r="AO141" i="18" l="1"/>
  <c r="AO183" i="18"/>
  <c r="AK357" i="18"/>
  <c r="AD29" i="14"/>
  <c r="AI387" i="18"/>
  <c r="AH388" i="18"/>
  <c r="AJ337" i="18"/>
  <c r="AK336" i="18"/>
  <c r="AL336" i="18" s="1"/>
  <c r="AJ291" i="18"/>
  <c r="AI372" i="18"/>
  <c r="AH373" i="18"/>
  <c r="AM370" i="18"/>
  <c r="AN201" i="18" s="1"/>
  <c r="AI199" i="18"/>
  <c r="AI57" i="18" s="1"/>
  <c r="AJ200" i="18"/>
  <c r="AM135" i="18"/>
  <c r="AK301" i="18"/>
  <c r="AQ397" i="18"/>
  <c r="AS286" i="18"/>
  <c r="AN155" i="18"/>
  <c r="AM170" i="18"/>
  <c r="AN407" i="18"/>
  <c r="AM382" i="18"/>
  <c r="AL296" i="18"/>
  <c r="AM160" i="18"/>
  <c r="AL266" i="18"/>
  <c r="AM326" i="18"/>
  <c r="AM133" i="18"/>
  <c r="AI206" i="18"/>
  <c r="AH205" i="18"/>
  <c r="AH55" i="18" s="1"/>
  <c r="AN316" i="18"/>
  <c r="AP178" i="18"/>
  <c r="AR213" i="18"/>
  <c r="AO216" i="18"/>
  <c r="AN165" i="18"/>
  <c r="AO145" i="18"/>
  <c r="AK378" i="18"/>
  <c r="AL375" i="18"/>
  <c r="AK277" i="18"/>
  <c r="AL274" i="18"/>
  <c r="AK227" i="18"/>
  <c r="AK271" i="18" s="1"/>
  <c r="AL103" i="18"/>
  <c r="AN403" i="18"/>
  <c r="AO400" i="18"/>
  <c r="AI182" i="18"/>
  <c r="AL348" i="18"/>
  <c r="AM345" i="18"/>
  <c r="AM337" i="18"/>
  <c r="AN334" i="18"/>
  <c r="AL362" i="18"/>
  <c r="AF173" i="18"/>
  <c r="AF64" i="18" s="1"/>
  <c r="AC33" i="14" s="1"/>
  <c r="AC31" i="14" s="1"/>
  <c r="AG174" i="18"/>
  <c r="AK377" i="18"/>
  <c r="AL97" i="18"/>
  <c r="AI217" i="18"/>
  <c r="AJ218" i="18"/>
  <c r="AM304" i="18"/>
  <c r="AJ267" i="18"/>
  <c r="AL306" i="18"/>
  <c r="AL307" i="18" s="1"/>
  <c r="AH122" i="18"/>
  <c r="AI107" i="18"/>
  <c r="AI164" i="18"/>
  <c r="AL322" i="18"/>
  <c r="AM319" i="18"/>
  <c r="AQ398" i="18"/>
  <c r="AR395" i="18"/>
  <c r="AL198" i="18"/>
  <c r="AJ149" i="18"/>
  <c r="AL297" i="18"/>
  <c r="AM294" i="18"/>
  <c r="AN123" i="18" s="1"/>
  <c r="AM383" i="18"/>
  <c r="AN380" i="18"/>
  <c r="AH41" i="18"/>
  <c r="AH47" i="18"/>
  <c r="AL261" i="18"/>
  <c r="AN317" i="18"/>
  <c r="AO314" i="18"/>
  <c r="AI211" i="18"/>
  <c r="AI59" i="18" s="1"/>
  <c r="AJ212" i="18"/>
  <c r="AJ132" i="18"/>
  <c r="AN204" i="18"/>
  <c r="AP385" i="18"/>
  <c r="AK276" i="18"/>
  <c r="AL321" i="18"/>
  <c r="AN408" i="18"/>
  <c r="AO405" i="18"/>
  <c r="AN402" i="18"/>
  <c r="AL282" i="18"/>
  <c r="AM279" i="18"/>
  <c r="AK154" i="18"/>
  <c r="AM108" i="18"/>
  <c r="AJ169" i="18"/>
  <c r="AN358" i="18"/>
  <c r="AO355" i="18"/>
  <c r="AH202" i="18"/>
  <c r="AH58" i="18" s="1"/>
  <c r="AI203" i="18"/>
  <c r="AJ144" i="18"/>
  <c r="AI127" i="18"/>
  <c r="AK302" i="18"/>
  <c r="AL299" i="18"/>
  <c r="AL281" i="18"/>
  <c r="AH138" i="18"/>
  <c r="AP141" i="18"/>
  <c r="AJ263" i="18"/>
  <c r="AJ268" i="18"/>
  <c r="AJ293" i="18"/>
  <c r="AJ159" i="18"/>
  <c r="AN312" i="18"/>
  <c r="AO309" i="18"/>
  <c r="AL342" i="18"/>
  <c r="AM339" i="18"/>
  <c r="AH196" i="18"/>
  <c r="AH52" i="18" s="1"/>
  <c r="AI197" i="18"/>
  <c r="AI177" i="18"/>
  <c r="AM175" i="18"/>
  <c r="AQ269" i="18"/>
  <c r="AO353" i="18"/>
  <c r="AP350" i="18"/>
  <c r="AJ214" i="18"/>
  <c r="AJ60" i="18" s="1"/>
  <c r="AK215" i="18"/>
  <c r="AS287" i="18"/>
  <c r="AT284" i="18"/>
  <c r="AM327" i="18"/>
  <c r="AN324" i="18"/>
  <c r="AO219" i="18"/>
  <c r="AI102" i="18"/>
  <c r="AL332" i="18"/>
  <c r="AM329" i="18"/>
  <c r="AO352" i="18"/>
  <c r="AL347" i="18"/>
  <c r="AP207" i="18"/>
  <c r="AM150" i="18"/>
  <c r="AN311" i="18"/>
  <c r="AQ98" i="18"/>
  <c r="AQ178" i="18" l="1"/>
  <c r="AL271" i="18"/>
  <c r="AL272" i="18" s="1"/>
  <c r="AL357" i="18"/>
  <c r="AN133" i="18"/>
  <c r="AM336" i="18"/>
  <c r="AN336" i="18" s="1"/>
  <c r="AJ372" i="18"/>
  <c r="AI373" i="18"/>
  <c r="AJ292" i="18"/>
  <c r="AK291" i="18"/>
  <c r="AL291" i="18" s="1"/>
  <c r="AJ387" i="18"/>
  <c r="AK387" i="18" s="1"/>
  <c r="AK388" i="18" s="1"/>
  <c r="AI388" i="18"/>
  <c r="AN370" i="18"/>
  <c r="AO201" i="18" s="1"/>
  <c r="AJ199" i="18"/>
  <c r="AJ57" i="18" s="1"/>
  <c r="AK200" i="18"/>
  <c r="AN135" i="18"/>
  <c r="AL301" i="18"/>
  <c r="AM198" i="18"/>
  <c r="AN170" i="18"/>
  <c r="AO155" i="18"/>
  <c r="AN150" i="18"/>
  <c r="AQ207" i="18"/>
  <c r="AM321" i="18"/>
  <c r="AP216" i="18"/>
  <c r="AE29" i="14"/>
  <c r="AP145" i="18"/>
  <c r="AO402" i="18"/>
  <c r="AL276" i="18"/>
  <c r="AN175" i="18"/>
  <c r="AM347" i="18"/>
  <c r="AL267" i="18"/>
  <c r="AM266" i="18"/>
  <c r="AN266" i="18" s="1"/>
  <c r="AR98" i="18"/>
  <c r="AL377" i="18"/>
  <c r="AP183" i="18"/>
  <c r="AI205" i="18"/>
  <c r="AI55" i="18" s="1"/>
  <c r="AJ206" i="18"/>
  <c r="AO316" i="18"/>
  <c r="AP352" i="18"/>
  <c r="AP219" i="18"/>
  <c r="AM128" i="18"/>
  <c r="AO165" i="18"/>
  <c r="AM281" i="18"/>
  <c r="AM103" i="18"/>
  <c r="AN108" i="18"/>
  <c r="AM306" i="18"/>
  <c r="AO312" i="18"/>
  <c r="AP309" i="18"/>
  <c r="AI138" i="18"/>
  <c r="AI202" i="18"/>
  <c r="AI58" i="18" s="1"/>
  <c r="AJ203" i="18"/>
  <c r="AN383" i="18"/>
  <c r="AO380" i="18"/>
  <c r="AR398" i="18"/>
  <c r="AS395" i="18"/>
  <c r="AS213" i="18"/>
  <c r="AJ164" i="18"/>
  <c r="AN304" i="18"/>
  <c r="AJ217" i="18"/>
  <c r="AK218" i="18"/>
  <c r="AJ182" i="18"/>
  <c r="AN160" i="18"/>
  <c r="AJ102" i="18"/>
  <c r="AK214" i="18"/>
  <c r="AK60" i="18" s="1"/>
  <c r="AL215" i="18"/>
  <c r="AP353" i="18"/>
  <c r="AQ350" i="18"/>
  <c r="AL302" i="18"/>
  <c r="AM299" i="18"/>
  <c r="AO408" i="18"/>
  <c r="AP405" i="18"/>
  <c r="AO204" i="18"/>
  <c r="AI41" i="18"/>
  <c r="AI47" i="18"/>
  <c r="AN337" i="18"/>
  <c r="AO334" i="18"/>
  <c r="AO403" i="18"/>
  <c r="AP400" i="18"/>
  <c r="AM296" i="18"/>
  <c r="AN382" i="18"/>
  <c r="AK263" i="18"/>
  <c r="AK262" i="18" s="1"/>
  <c r="AK293" i="18"/>
  <c r="AK292" i="18" s="1"/>
  <c r="AK268" i="18"/>
  <c r="AK267" i="18" s="1"/>
  <c r="AP139" i="18"/>
  <c r="AT287" i="18"/>
  <c r="AU284" i="18"/>
  <c r="AR269" i="18"/>
  <c r="AJ177" i="18"/>
  <c r="AM342" i="18"/>
  <c r="AN339" i="18"/>
  <c r="AK144" i="18"/>
  <c r="AK169" i="18"/>
  <c r="AL154" i="18"/>
  <c r="AM331" i="18"/>
  <c r="AQ385" i="18"/>
  <c r="AL262" i="18"/>
  <c r="AM261" i="18"/>
  <c r="AK149" i="18"/>
  <c r="AJ107" i="18"/>
  <c r="AI122" i="18"/>
  <c r="AN326" i="18"/>
  <c r="AG173" i="18"/>
  <c r="AG64" i="18" s="1"/>
  <c r="AD33" i="14" s="1"/>
  <c r="AD31" i="14" s="1"/>
  <c r="AH174" i="18"/>
  <c r="AM362" i="18"/>
  <c r="AM348" i="18"/>
  <c r="AN345" i="18"/>
  <c r="AL277" i="18"/>
  <c r="AM274" i="18"/>
  <c r="AL227" i="18"/>
  <c r="AM341" i="18"/>
  <c r="AM332" i="18"/>
  <c r="AN329" i="18"/>
  <c r="AO311" i="18"/>
  <c r="AP311" i="18" s="1"/>
  <c r="AN327" i="18"/>
  <c r="AO324" i="18"/>
  <c r="AI196" i="18"/>
  <c r="AI52" i="18" s="1"/>
  <c r="AJ197" i="18"/>
  <c r="AK159" i="18"/>
  <c r="AJ127" i="18"/>
  <c r="AO358" i="18"/>
  <c r="AP355" i="18"/>
  <c r="AM282" i="18"/>
  <c r="AN279" i="18"/>
  <c r="AT286" i="18"/>
  <c r="AK132" i="18"/>
  <c r="AJ211" i="18"/>
  <c r="AJ59" i="18" s="1"/>
  <c r="AK212" i="18"/>
  <c r="AO317" i="18"/>
  <c r="AP314" i="18"/>
  <c r="AM297" i="18"/>
  <c r="AN294" i="18"/>
  <c r="AO123" i="18" s="1"/>
  <c r="AM322" i="18"/>
  <c r="AN319" i="18"/>
  <c r="AM97" i="18"/>
  <c r="AL378" i="18"/>
  <c r="AM375" i="18"/>
  <c r="AR397" i="18"/>
  <c r="AO407" i="18"/>
  <c r="AM271" i="18" l="1"/>
  <c r="AM272" i="18" s="1"/>
  <c r="AO175" i="18"/>
  <c r="AM291" i="18"/>
  <c r="AM292" i="18" s="1"/>
  <c r="AL292" i="18"/>
  <c r="AO135" i="18"/>
  <c r="AO133" i="18"/>
  <c r="AM357" i="18"/>
  <c r="AK372" i="18"/>
  <c r="AJ373" i="18"/>
  <c r="AJ388" i="18"/>
  <c r="AL387" i="18"/>
  <c r="AR207" i="18"/>
  <c r="AK199" i="18"/>
  <c r="AK57" i="18" s="1"/>
  <c r="AL200" i="18"/>
  <c r="AO370" i="18"/>
  <c r="AP201" i="18" s="1"/>
  <c r="AM301" i="18"/>
  <c r="AN321" i="18"/>
  <c r="AP316" i="18"/>
  <c r="AO382" i="18"/>
  <c r="AU286" i="18"/>
  <c r="AP407" i="18"/>
  <c r="AQ139" i="18"/>
  <c r="AF29" i="14"/>
  <c r="AS397" i="18"/>
  <c r="AM267" i="18"/>
  <c r="AO266" i="18"/>
  <c r="AP266" i="18" s="1"/>
  <c r="AQ266" i="18" s="1"/>
  <c r="AR266" i="18" s="1"/>
  <c r="AS266" i="18" s="1"/>
  <c r="AT266" i="18" s="1"/>
  <c r="AU266" i="18" s="1"/>
  <c r="AV266" i="18" s="1"/>
  <c r="AW266" i="18" s="1"/>
  <c r="AX266" i="18" s="1"/>
  <c r="AY266" i="18" s="1"/>
  <c r="AZ266" i="18" s="1"/>
  <c r="BA266" i="18" s="1"/>
  <c r="BB266" i="18" s="1"/>
  <c r="BC266" i="18" s="1"/>
  <c r="BD266" i="18" s="1"/>
  <c r="BE266" i="18" s="1"/>
  <c r="BF266" i="18" s="1"/>
  <c r="BG266" i="18" s="1"/>
  <c r="BH266" i="18" s="1"/>
  <c r="BI266" i="18" s="1"/>
  <c r="BJ266" i="18" s="1"/>
  <c r="BK266" i="18" s="1"/>
  <c r="BL266" i="18" s="1"/>
  <c r="BM266" i="18" s="1"/>
  <c r="BN266" i="18" s="1"/>
  <c r="BO266" i="18" s="1"/>
  <c r="BP266" i="18" s="1"/>
  <c r="BQ266" i="18" s="1"/>
  <c r="BR266" i="18" s="1"/>
  <c r="BS266" i="18" s="1"/>
  <c r="BT266" i="18" s="1"/>
  <c r="BU266" i="18" s="1"/>
  <c r="BV266" i="18" s="1"/>
  <c r="BW266" i="18" s="1"/>
  <c r="BX266" i="18" s="1"/>
  <c r="BY266" i="18" s="1"/>
  <c r="BZ266" i="18" s="1"/>
  <c r="CA266" i="18" s="1"/>
  <c r="CB266" i="18" s="1"/>
  <c r="CC266" i="18" s="1"/>
  <c r="CD266" i="18" s="1"/>
  <c r="CE266" i="18" s="1"/>
  <c r="CF266" i="18" s="1"/>
  <c r="CG266" i="18" s="1"/>
  <c r="CH266" i="18" s="1"/>
  <c r="CI266" i="18" s="1"/>
  <c r="CJ266" i="18" s="1"/>
  <c r="CK266" i="18" s="1"/>
  <c r="CL266" i="18" s="1"/>
  <c r="CM266" i="18" s="1"/>
  <c r="CN266" i="18" s="1"/>
  <c r="CO266" i="18" s="1"/>
  <c r="CP266" i="18" s="1"/>
  <c r="CQ266" i="18" s="1"/>
  <c r="CR266" i="18" s="1"/>
  <c r="CS266" i="18" s="1"/>
  <c r="CT266" i="18" s="1"/>
  <c r="CU266" i="18" s="1"/>
  <c r="CV266" i="18" s="1"/>
  <c r="CW266" i="18" s="1"/>
  <c r="CX266" i="18" s="1"/>
  <c r="CY266" i="18" s="1"/>
  <c r="CZ266" i="18" s="1"/>
  <c r="DA266" i="18" s="1"/>
  <c r="DB266" i="18" s="1"/>
  <c r="DC266" i="18" s="1"/>
  <c r="DD266" i="18" s="1"/>
  <c r="DE266" i="18" s="1"/>
  <c r="DF266" i="18" s="1"/>
  <c r="DG266" i="18" s="1"/>
  <c r="DH266" i="18" s="1"/>
  <c r="DI266" i="18" s="1"/>
  <c r="DJ266" i="18" s="1"/>
  <c r="DK266" i="18" s="1"/>
  <c r="DL266" i="18" s="1"/>
  <c r="DM266" i="18" s="1"/>
  <c r="DN266" i="18" s="1"/>
  <c r="DO266" i="18" s="1"/>
  <c r="DP266" i="18" s="1"/>
  <c r="DQ266" i="18" s="1"/>
  <c r="DR266" i="18" s="1"/>
  <c r="DS266" i="18" s="1"/>
  <c r="DT266" i="18" s="1"/>
  <c r="DU266" i="18" s="1"/>
  <c r="DV266" i="18" s="1"/>
  <c r="DW266" i="18" s="1"/>
  <c r="DX266" i="18" s="1"/>
  <c r="DY266" i="18" s="1"/>
  <c r="DZ266" i="18" s="1"/>
  <c r="EA266" i="18" s="1"/>
  <c r="EB266" i="18" s="1"/>
  <c r="EC266" i="18" s="1"/>
  <c r="ED266" i="18" s="1"/>
  <c r="EE266" i="18" s="1"/>
  <c r="EF266" i="18" s="1"/>
  <c r="EG266" i="18" s="1"/>
  <c r="EH266" i="18" s="1"/>
  <c r="EI266" i="18" s="1"/>
  <c r="AP204" i="18"/>
  <c r="AN128" i="18"/>
  <c r="AQ352" i="18"/>
  <c r="AJ205" i="18"/>
  <c r="AJ55" i="18" s="1"/>
  <c r="AK206" i="18"/>
  <c r="AT213" i="18"/>
  <c r="AN341" i="18"/>
  <c r="AN347" i="18"/>
  <c r="AQ141" i="18"/>
  <c r="AO150" i="18"/>
  <c r="AL268" i="18"/>
  <c r="AL263" i="18"/>
  <c r="AL293" i="18"/>
  <c r="AP403" i="18"/>
  <c r="AQ400" i="18"/>
  <c r="AO337" i="18"/>
  <c r="AP334" i="18"/>
  <c r="AQ353" i="18"/>
  <c r="AR350" i="18"/>
  <c r="AK182" i="18"/>
  <c r="AP402" i="18"/>
  <c r="AJ138" i="18"/>
  <c r="AP155" i="18"/>
  <c r="AN297" i="18"/>
  <c r="AO294" i="18"/>
  <c r="AN282" i="18"/>
  <c r="AO279" i="18"/>
  <c r="AM378" i="18"/>
  <c r="AN375" i="18"/>
  <c r="AK211" i="18"/>
  <c r="AK59" i="18" s="1"/>
  <c r="AL212" i="18"/>
  <c r="AN281" i="18"/>
  <c r="AM277" i="18"/>
  <c r="AN274" i="18"/>
  <c r="AM227" i="18"/>
  <c r="AM377" i="18"/>
  <c r="AJ122" i="18"/>
  <c r="AM276" i="18"/>
  <c r="AN276" i="18" s="1"/>
  <c r="AL169" i="18"/>
  <c r="AN342" i="18"/>
  <c r="AO339" i="18"/>
  <c r="AN296" i="18"/>
  <c r="AP408" i="18"/>
  <c r="AQ405" i="18"/>
  <c r="AQ219" i="18"/>
  <c r="AO160" i="18"/>
  <c r="AO304" i="18"/>
  <c r="AN198" i="18"/>
  <c r="AO108" i="18"/>
  <c r="AP312" i="18"/>
  <c r="AQ309" i="18"/>
  <c r="AR178" i="18"/>
  <c r="AO327" i="18"/>
  <c r="AP324" i="18"/>
  <c r="AP317" i="18"/>
  <c r="AQ314" i="18"/>
  <c r="AN362" i="18"/>
  <c r="AO362" i="18" s="1"/>
  <c r="AP362" i="18" s="1"/>
  <c r="AQ362" i="18" s="1"/>
  <c r="AO326" i="18"/>
  <c r="AM262" i="18"/>
  <c r="AN261" i="18"/>
  <c r="AO261" i="18" s="1"/>
  <c r="AP261" i="18" s="1"/>
  <c r="AQ261" i="18" s="1"/>
  <c r="AR261" i="18" s="1"/>
  <c r="AS261" i="18" s="1"/>
  <c r="AT261" i="18" s="1"/>
  <c r="AU261" i="18" s="1"/>
  <c r="AV261" i="18" s="1"/>
  <c r="AW261" i="18" s="1"/>
  <c r="AX261" i="18" s="1"/>
  <c r="AY261" i="18" s="1"/>
  <c r="AZ261" i="18" s="1"/>
  <c r="BA261" i="18" s="1"/>
  <c r="BB261" i="18" s="1"/>
  <c r="BC261" i="18" s="1"/>
  <c r="BD261" i="18" s="1"/>
  <c r="BE261" i="18" s="1"/>
  <c r="BF261" i="18" s="1"/>
  <c r="BG261" i="18" s="1"/>
  <c r="BH261" i="18" s="1"/>
  <c r="BI261" i="18" s="1"/>
  <c r="BJ261" i="18" s="1"/>
  <c r="BK261" i="18" s="1"/>
  <c r="BL261" i="18" s="1"/>
  <c r="BM261" i="18" s="1"/>
  <c r="BN261" i="18" s="1"/>
  <c r="BO261" i="18" s="1"/>
  <c r="BP261" i="18" s="1"/>
  <c r="BQ261" i="18" s="1"/>
  <c r="BR261" i="18" s="1"/>
  <c r="BS261" i="18" s="1"/>
  <c r="BT261" i="18" s="1"/>
  <c r="BU261" i="18" s="1"/>
  <c r="BV261" i="18" s="1"/>
  <c r="BW261" i="18" s="1"/>
  <c r="BX261" i="18" s="1"/>
  <c r="BY261" i="18" s="1"/>
  <c r="BZ261" i="18" s="1"/>
  <c r="CA261" i="18" s="1"/>
  <c r="CB261" i="18" s="1"/>
  <c r="CC261" i="18" s="1"/>
  <c r="CD261" i="18" s="1"/>
  <c r="CE261" i="18" s="1"/>
  <c r="CF261" i="18" s="1"/>
  <c r="CG261" i="18" s="1"/>
  <c r="CH261" i="18" s="1"/>
  <c r="CI261" i="18" s="1"/>
  <c r="CJ261" i="18" s="1"/>
  <c r="CK261" i="18" s="1"/>
  <c r="CL261" i="18" s="1"/>
  <c r="CM261" i="18" s="1"/>
  <c r="CN261" i="18" s="1"/>
  <c r="CO261" i="18" s="1"/>
  <c r="CP261" i="18" s="1"/>
  <c r="CQ261" i="18" s="1"/>
  <c r="CR261" i="18" s="1"/>
  <c r="CS261" i="18" s="1"/>
  <c r="CT261" i="18" s="1"/>
  <c r="CU261" i="18" s="1"/>
  <c r="CV261" i="18" s="1"/>
  <c r="CW261" i="18" s="1"/>
  <c r="CX261" i="18" s="1"/>
  <c r="CY261" i="18" s="1"/>
  <c r="CZ261" i="18" s="1"/>
  <c r="DA261" i="18" s="1"/>
  <c r="DB261" i="18" s="1"/>
  <c r="DC261" i="18" s="1"/>
  <c r="DD261" i="18" s="1"/>
  <c r="DE261" i="18" s="1"/>
  <c r="DF261" i="18" s="1"/>
  <c r="DG261" i="18" s="1"/>
  <c r="DH261" i="18" s="1"/>
  <c r="DI261" i="18" s="1"/>
  <c r="DJ261" i="18" s="1"/>
  <c r="DK261" i="18" s="1"/>
  <c r="DL261" i="18" s="1"/>
  <c r="DM261" i="18" s="1"/>
  <c r="DN261" i="18" s="1"/>
  <c r="DO261" i="18" s="1"/>
  <c r="DP261" i="18" s="1"/>
  <c r="DQ261" i="18" s="1"/>
  <c r="DR261" i="18" s="1"/>
  <c r="DS261" i="18" s="1"/>
  <c r="DT261" i="18" s="1"/>
  <c r="DU261" i="18" s="1"/>
  <c r="DV261" i="18" s="1"/>
  <c r="DW261" i="18" s="1"/>
  <c r="DX261" i="18" s="1"/>
  <c r="DY261" i="18" s="1"/>
  <c r="DZ261" i="18" s="1"/>
  <c r="EA261" i="18" s="1"/>
  <c r="EB261" i="18" s="1"/>
  <c r="EC261" i="18" s="1"/>
  <c r="ED261" i="18" s="1"/>
  <c r="EE261" i="18" s="1"/>
  <c r="EF261" i="18" s="1"/>
  <c r="EG261" i="18" s="1"/>
  <c r="EH261" i="18" s="1"/>
  <c r="EI261" i="18" s="1"/>
  <c r="AR385" i="18"/>
  <c r="AN331" i="18"/>
  <c r="AK177" i="18"/>
  <c r="AS269" i="18"/>
  <c r="AU287" i="18"/>
  <c r="AV284" i="18"/>
  <c r="AO336" i="18"/>
  <c r="AM302" i="18"/>
  <c r="AN299" i="18"/>
  <c r="AS98" i="18"/>
  <c r="AN103" i="18"/>
  <c r="AK217" i="18"/>
  <c r="AL218" i="18"/>
  <c r="AK164" i="18"/>
  <c r="AS398" i="18"/>
  <c r="AT395" i="18"/>
  <c r="AQ145" i="18"/>
  <c r="AJ202" i="18"/>
  <c r="AJ58" i="18" s="1"/>
  <c r="AK203" i="18"/>
  <c r="AP358" i="18"/>
  <c r="AQ355" i="18"/>
  <c r="AN332" i="18"/>
  <c r="AO329" i="18"/>
  <c r="AN97" i="18"/>
  <c r="AN322" i="18"/>
  <c r="AO319" i="18"/>
  <c r="AL132" i="18"/>
  <c r="AK127" i="18"/>
  <c r="AL159" i="18"/>
  <c r="AJ196" i="18"/>
  <c r="AJ52" i="18" s="1"/>
  <c r="AK197" i="18"/>
  <c r="AN348" i="18"/>
  <c r="AO345" i="18"/>
  <c r="AH173" i="18"/>
  <c r="AH64" i="18" s="1"/>
  <c r="AE33" i="14" s="1"/>
  <c r="AE31" i="14" s="1"/>
  <c r="AI174" i="18"/>
  <c r="AK107" i="18"/>
  <c r="AL149" i="18"/>
  <c r="AM154" i="18"/>
  <c r="AL144" i="18"/>
  <c r="AQ216" i="18"/>
  <c r="AQ183" i="18"/>
  <c r="AL214" i="18"/>
  <c r="AL60" i="18" s="1"/>
  <c r="AM215" i="18"/>
  <c r="AK102" i="18"/>
  <c r="AJ41" i="18"/>
  <c r="AJ47" i="18"/>
  <c r="AO383" i="18"/>
  <c r="AP380" i="18"/>
  <c r="AP165" i="18"/>
  <c r="AO170" i="18"/>
  <c r="AP336" i="18" l="1"/>
  <c r="AP135" i="18"/>
  <c r="AN357" i="18"/>
  <c r="AG29" i="14"/>
  <c r="AL372" i="18"/>
  <c r="AK373" i="18"/>
  <c r="AL388" i="18"/>
  <c r="AM387" i="18"/>
  <c r="AV286" i="18"/>
  <c r="AP382" i="18"/>
  <c r="AP370" i="18"/>
  <c r="AQ201" i="18" s="1"/>
  <c r="AL199" i="18"/>
  <c r="AL57" i="18" s="1"/>
  <c r="AM200" i="18"/>
  <c r="AR352" i="18"/>
  <c r="AR216" i="18"/>
  <c r="AQ165" i="18"/>
  <c r="AQ407" i="18"/>
  <c r="AR145" i="18"/>
  <c r="AP170" i="18"/>
  <c r="AO103" i="18"/>
  <c r="AR141" i="18"/>
  <c r="AT397" i="18"/>
  <c r="AP108" i="18"/>
  <c r="AO341" i="18"/>
  <c r="AN377" i="18"/>
  <c r="AQ402" i="18"/>
  <c r="AS178" i="18"/>
  <c r="AO296" i="18"/>
  <c r="AK205" i="18"/>
  <c r="AK55" i="18" s="1"/>
  <c r="AL206" i="18"/>
  <c r="AO198" i="18"/>
  <c r="AP326" i="18"/>
  <c r="AR183" i="18"/>
  <c r="AR362" i="18"/>
  <c r="AS362" i="18" s="1"/>
  <c r="AT362" i="18" s="1"/>
  <c r="AU362" i="18" s="1"/>
  <c r="AV362" i="18" s="1"/>
  <c r="AW362" i="18" s="1"/>
  <c r="AX362" i="18" s="1"/>
  <c r="AY362" i="18" s="1"/>
  <c r="AZ362" i="18" s="1"/>
  <c r="BA362" i="18" s="1"/>
  <c r="BB362" i="18" s="1"/>
  <c r="BC362" i="18" s="1"/>
  <c r="BD362" i="18" s="1"/>
  <c r="BE362" i="18" s="1"/>
  <c r="BF362" i="18" s="1"/>
  <c r="BG362" i="18" s="1"/>
  <c r="BH362" i="18" s="1"/>
  <c r="BI362" i="18" s="1"/>
  <c r="BJ362" i="18" s="1"/>
  <c r="BK362" i="18" s="1"/>
  <c r="BL362" i="18" s="1"/>
  <c r="BM362" i="18" s="1"/>
  <c r="BN362" i="18" s="1"/>
  <c r="BO362" i="18" s="1"/>
  <c r="BP362" i="18" s="1"/>
  <c r="BQ362" i="18" s="1"/>
  <c r="BR362" i="18" s="1"/>
  <c r="BS362" i="18" s="1"/>
  <c r="BT362" i="18" s="1"/>
  <c r="BU362" i="18" s="1"/>
  <c r="BV362" i="18" s="1"/>
  <c r="BW362" i="18" s="1"/>
  <c r="BX362" i="18" s="1"/>
  <c r="BY362" i="18" s="1"/>
  <c r="BZ362" i="18" s="1"/>
  <c r="CA362" i="18" s="1"/>
  <c r="CB362" i="18" s="1"/>
  <c r="CC362" i="18" s="1"/>
  <c r="CD362" i="18" s="1"/>
  <c r="CE362" i="18" s="1"/>
  <c r="CF362" i="18" s="1"/>
  <c r="CG362" i="18" s="1"/>
  <c r="CH362" i="18" s="1"/>
  <c r="CI362" i="18" s="1"/>
  <c r="CJ362" i="18" s="1"/>
  <c r="CK362" i="18" s="1"/>
  <c r="CL362" i="18" s="1"/>
  <c r="CM362" i="18" s="1"/>
  <c r="CN362" i="18" s="1"/>
  <c r="CO362" i="18" s="1"/>
  <c r="CP362" i="18" s="1"/>
  <c r="CQ362" i="18" s="1"/>
  <c r="CR362" i="18" s="1"/>
  <c r="CS362" i="18" s="1"/>
  <c r="CT362" i="18" s="1"/>
  <c r="CU362" i="18" s="1"/>
  <c r="CV362" i="18" s="1"/>
  <c r="CW362" i="18" s="1"/>
  <c r="CX362" i="18" s="1"/>
  <c r="CY362" i="18" s="1"/>
  <c r="CZ362" i="18" s="1"/>
  <c r="DA362" i="18" s="1"/>
  <c r="DB362" i="18" s="1"/>
  <c r="DC362" i="18" s="1"/>
  <c r="DD362" i="18" s="1"/>
  <c r="DE362" i="18" s="1"/>
  <c r="DF362" i="18" s="1"/>
  <c r="DG362" i="18" s="1"/>
  <c r="DH362" i="18" s="1"/>
  <c r="DI362" i="18" s="1"/>
  <c r="DJ362" i="18" s="1"/>
  <c r="DK362" i="18" s="1"/>
  <c r="DL362" i="18" s="1"/>
  <c r="DM362" i="18" s="1"/>
  <c r="DN362" i="18" s="1"/>
  <c r="DO362" i="18" s="1"/>
  <c r="DP362" i="18" s="1"/>
  <c r="DQ362" i="18" s="1"/>
  <c r="DR362" i="18" s="1"/>
  <c r="DS362" i="18" s="1"/>
  <c r="DT362" i="18" s="1"/>
  <c r="DU362" i="18" s="1"/>
  <c r="DV362" i="18" s="1"/>
  <c r="DW362" i="18" s="1"/>
  <c r="DX362" i="18" s="1"/>
  <c r="DY362" i="18" s="1"/>
  <c r="DZ362" i="18" s="1"/>
  <c r="EA362" i="18" s="1"/>
  <c r="EB362" i="18" s="1"/>
  <c r="EC362" i="18" s="1"/>
  <c r="ED362" i="18" s="1"/>
  <c r="EE362" i="18" s="1"/>
  <c r="EF362" i="18" s="1"/>
  <c r="EG362" i="18" s="1"/>
  <c r="EH362" i="18" s="1"/>
  <c r="EI362" i="18" s="1"/>
  <c r="AO281" i="18"/>
  <c r="AO331" i="18"/>
  <c r="AT98" i="18"/>
  <c r="AR219" i="18"/>
  <c r="F266" i="18"/>
  <c r="E266" i="18"/>
  <c r="F261" i="18"/>
  <c r="E261" i="18"/>
  <c r="AQ312" i="18"/>
  <c r="AR309" i="18"/>
  <c r="AO342" i="18"/>
  <c r="AP339" i="18"/>
  <c r="AQ155" i="18"/>
  <c r="AU213" i="18"/>
  <c r="AM214" i="18"/>
  <c r="AM60" i="18" s="1"/>
  <c r="AN215" i="18"/>
  <c r="AM144" i="18"/>
  <c r="AM149" i="18"/>
  <c r="AI173" i="18"/>
  <c r="AI64" i="18" s="1"/>
  <c r="AF33" i="14" s="1"/>
  <c r="AF31" i="14" s="1"/>
  <c r="AJ174" i="18"/>
  <c r="AO322" i="18"/>
  <c r="AP319" i="18"/>
  <c r="AL217" i="18"/>
  <c r="AM218" i="18"/>
  <c r="AP150" i="18"/>
  <c r="AK47" i="18"/>
  <c r="AK41" i="18"/>
  <c r="AL102" i="18"/>
  <c r="AN154" i="18"/>
  <c r="AL107" i="18"/>
  <c r="AO332" i="18"/>
  <c r="AP329" i="18"/>
  <c r="AR355" i="18"/>
  <c r="AL164" i="18"/>
  <c r="AQ204" i="18"/>
  <c r="AS385" i="18"/>
  <c r="AP160" i="18"/>
  <c r="AP133" i="18"/>
  <c r="AN378" i="18"/>
  <c r="AO375" i="18"/>
  <c r="AO297" i="18"/>
  <c r="AP294" i="18"/>
  <c r="AK138" i="18"/>
  <c r="AQ311" i="18"/>
  <c r="AS207" i="18"/>
  <c r="AM159" i="18"/>
  <c r="AP383" i="18"/>
  <c r="AQ380" i="18"/>
  <c r="AO348" i="18"/>
  <c r="AP345" i="18"/>
  <c r="AK196" i="18"/>
  <c r="AK52" i="18" s="1"/>
  <c r="AL197" i="18"/>
  <c r="AL127" i="18"/>
  <c r="AM132" i="18"/>
  <c r="AO97" i="18"/>
  <c r="AK202" i="18"/>
  <c r="AK58" i="18" s="1"/>
  <c r="AL203" i="18"/>
  <c r="AT398" i="18"/>
  <c r="AU395" i="18"/>
  <c r="AO299" i="18"/>
  <c r="AV287" i="18"/>
  <c r="AW284" i="18"/>
  <c r="AT269" i="18"/>
  <c r="AU98" i="18" s="1"/>
  <c r="AL177" i="18"/>
  <c r="AQ317" i="18"/>
  <c r="AR314" i="18"/>
  <c r="AP304" i="18"/>
  <c r="AK122" i="18"/>
  <c r="AM263" i="18"/>
  <c r="AM293" i="18"/>
  <c r="AM268" i="18"/>
  <c r="AL211" i="18"/>
  <c r="AL59" i="18" s="1"/>
  <c r="AM212" i="18"/>
  <c r="AO282" i="18"/>
  <c r="AP279" i="18"/>
  <c r="AQ403" i="18"/>
  <c r="AR400" i="18"/>
  <c r="AR139" i="18"/>
  <c r="AQ316" i="18"/>
  <c r="AP175" i="18"/>
  <c r="AP327" i="18"/>
  <c r="AQ324" i="18"/>
  <c r="AQ408" i="18"/>
  <c r="AR405" i="18"/>
  <c r="AM169" i="18"/>
  <c r="AN277" i="18"/>
  <c r="AO274" i="18"/>
  <c r="AN227" i="18"/>
  <c r="AN306" i="18" s="1"/>
  <c r="AO347" i="18"/>
  <c r="AL182" i="18"/>
  <c r="AR353" i="18"/>
  <c r="AS350" i="18"/>
  <c r="AP337" i="18"/>
  <c r="AQ334" i="18"/>
  <c r="AO128" i="18"/>
  <c r="AO321" i="18"/>
  <c r="AP123" i="18"/>
  <c r="AQ135" i="18" l="1"/>
  <c r="AQ170" i="18"/>
  <c r="AN301" i="18"/>
  <c r="AO357" i="18"/>
  <c r="AM388" i="18"/>
  <c r="AN387" i="18"/>
  <c r="AN388" i="18" s="1"/>
  <c r="AM372" i="18"/>
  <c r="AL373" i="18"/>
  <c r="AH29" i="14"/>
  <c r="AQ370" i="18"/>
  <c r="AR201" i="18" s="1"/>
  <c r="AM199" i="18"/>
  <c r="AM57" i="18" s="1"/>
  <c r="AN200" i="18"/>
  <c r="AP321" i="18"/>
  <c r="AQ108" i="18"/>
  <c r="AT207" i="18"/>
  <c r="AQ123" i="18"/>
  <c r="AP198" i="18"/>
  <c r="AT178" i="18"/>
  <c r="AR402" i="18"/>
  <c r="AS183" i="18"/>
  <c r="AP341" i="18"/>
  <c r="AL205" i="18"/>
  <c r="AL55" i="18" s="1"/>
  <c r="AM206" i="18"/>
  <c r="AQ175" i="18"/>
  <c r="AP347" i="18"/>
  <c r="AS219" i="18"/>
  <c r="AP128" i="18"/>
  <c r="E362" i="18"/>
  <c r="AR316" i="18"/>
  <c r="AR311" i="18"/>
  <c r="F362" i="18"/>
  <c r="AQ150" i="18"/>
  <c r="AQ160" i="18"/>
  <c r="AR403" i="18"/>
  <c r="AS400" i="18"/>
  <c r="AP282" i="18"/>
  <c r="AQ279" i="18"/>
  <c r="AM211" i="18"/>
  <c r="AM59" i="18" s="1"/>
  <c r="AN212" i="18"/>
  <c r="AM177" i="18"/>
  <c r="AL202" i="18"/>
  <c r="AL58" i="18" s="1"/>
  <c r="AM203" i="18"/>
  <c r="AM127" i="18"/>
  <c r="AL138" i="18"/>
  <c r="AQ133" i="18"/>
  <c r="AR135" i="18" s="1"/>
  <c r="AM164" i="18"/>
  <c r="AR165" i="18"/>
  <c r="AS145" i="18"/>
  <c r="AM217" i="18"/>
  <c r="AN218" i="18"/>
  <c r="AN149" i="18"/>
  <c r="AN214" i="18"/>
  <c r="AN60" i="18" s="1"/>
  <c r="AO215" i="18"/>
  <c r="AP342" i="18"/>
  <c r="AQ339" i="18"/>
  <c r="AR312" i="18"/>
  <c r="AS309" i="18"/>
  <c r="AU269" i="18"/>
  <c r="AP299" i="18"/>
  <c r="AU398" i="18"/>
  <c r="AV395" i="18"/>
  <c r="AQ383" i="18"/>
  <c r="AR380" i="18"/>
  <c r="AT385" i="18"/>
  <c r="AR204" i="18"/>
  <c r="AP332" i="18"/>
  <c r="AQ329" i="18"/>
  <c r="AM107" i="18"/>
  <c r="AP331" i="18"/>
  <c r="AL47" i="18"/>
  <c r="AL41" i="18"/>
  <c r="AO377" i="18"/>
  <c r="AN169" i="18"/>
  <c r="AO277" i="18"/>
  <c r="AP274" i="18"/>
  <c r="AO227" i="18"/>
  <c r="AR408" i="18"/>
  <c r="AS405" i="18"/>
  <c r="AS139" i="18"/>
  <c r="AS141" i="18"/>
  <c r="AP281" i="18"/>
  <c r="AQ304" i="18"/>
  <c r="AW287" i="18"/>
  <c r="AX284" i="18"/>
  <c r="AW286" i="18"/>
  <c r="AN132" i="18"/>
  <c r="AL196" i="18"/>
  <c r="AL52" i="18" s="1"/>
  <c r="AM197" i="18"/>
  <c r="AS216" i="18"/>
  <c r="AN159" i="18"/>
  <c r="AP297" i="18"/>
  <c r="AQ294" i="18"/>
  <c r="AO378" i="18"/>
  <c r="AP375" i="18"/>
  <c r="AO276" i="18"/>
  <c r="AR407" i="18"/>
  <c r="AM102" i="18"/>
  <c r="AJ173" i="18"/>
  <c r="AJ64" i="18" s="1"/>
  <c r="AG33" i="14" s="1"/>
  <c r="AG31" i="14" s="1"/>
  <c r="AK174" i="18"/>
  <c r="AN144" i="18"/>
  <c r="AV213" i="18"/>
  <c r="AN293" i="18"/>
  <c r="AN292" i="18" s="1"/>
  <c r="AN263" i="18"/>
  <c r="AN268" i="18"/>
  <c r="AN291" i="18"/>
  <c r="AN271" i="18"/>
  <c r="AR334" i="18"/>
  <c r="AM182" i="18"/>
  <c r="AS353" i="18"/>
  <c r="AT350" i="18"/>
  <c r="AQ327" i="18"/>
  <c r="AR324" i="18"/>
  <c r="AS352" i="18"/>
  <c r="AL122" i="18"/>
  <c r="AR317" i="18"/>
  <c r="AS314" i="18"/>
  <c r="AQ326" i="18"/>
  <c r="AP97" i="18"/>
  <c r="AP348" i="18"/>
  <c r="AQ345" i="18"/>
  <c r="AP103" i="18"/>
  <c r="AS355" i="18"/>
  <c r="AO154" i="18"/>
  <c r="AP322" i="18"/>
  <c r="AQ319" i="18"/>
  <c r="AR155" i="18"/>
  <c r="AP296" i="18"/>
  <c r="AU397" i="18"/>
  <c r="AQ382" i="18"/>
  <c r="AO271" i="18" l="1"/>
  <c r="AO293" i="18"/>
  <c r="AO263" i="18"/>
  <c r="AO262" i="18" s="1"/>
  <c r="AO268" i="18"/>
  <c r="AO267" i="18" s="1"/>
  <c r="AO301" i="18"/>
  <c r="AP301" i="18" s="1"/>
  <c r="AP302" i="18" s="1"/>
  <c r="AO306" i="18"/>
  <c r="AP357" i="18"/>
  <c r="AN372" i="18"/>
  <c r="AO372" i="18" s="1"/>
  <c r="AO387" i="18"/>
  <c r="AN199" i="18"/>
  <c r="AN57" i="18" s="1"/>
  <c r="AO200" i="18"/>
  <c r="AR370" i="18"/>
  <c r="AS201" i="18" s="1"/>
  <c r="AS407" i="18"/>
  <c r="AR108" i="18"/>
  <c r="AS155" i="18"/>
  <c r="AQ281" i="18"/>
  <c r="AQ296" i="18"/>
  <c r="AR382" i="18"/>
  <c r="AI29" i="14"/>
  <c r="AT139" i="18"/>
  <c r="AV397" i="18"/>
  <c r="AW213" i="18"/>
  <c r="AT216" i="18"/>
  <c r="AQ103" i="18"/>
  <c r="AR175" i="18"/>
  <c r="AP276" i="18"/>
  <c r="AR326" i="18"/>
  <c r="AM205" i="18"/>
  <c r="AM55" i="18" s="1"/>
  <c r="AN206" i="18"/>
  <c r="AS311" i="18"/>
  <c r="AX286" i="18"/>
  <c r="AT352" i="18"/>
  <c r="AR319" i="18"/>
  <c r="AT355" i="18"/>
  <c r="AQ348" i="18"/>
  <c r="AR345" i="18"/>
  <c r="AS317" i="18"/>
  <c r="AT314" i="18"/>
  <c r="AN262" i="18"/>
  <c r="E262" i="18" s="1"/>
  <c r="C13" i="15" s="1"/>
  <c r="AK173" i="18"/>
  <c r="AK64" i="18" s="1"/>
  <c r="AH33" i="14" s="1"/>
  <c r="AH31" i="14" s="1"/>
  <c r="AL174" i="18"/>
  <c r="AR304" i="18"/>
  <c r="AP377" i="18"/>
  <c r="AR150" i="18"/>
  <c r="AU385" i="18"/>
  <c r="AQ299" i="18"/>
  <c r="AV269" i="18"/>
  <c r="AT219" i="18"/>
  <c r="AO214" i="18"/>
  <c r="AO60" i="18" s="1"/>
  <c r="AP215" i="18"/>
  <c r="AS165" i="18"/>
  <c r="AM138" i="18"/>
  <c r="AS403" i="18"/>
  <c r="AT400" i="18"/>
  <c r="AU216" i="18" s="1"/>
  <c r="AS402" i="18"/>
  <c r="AM122" i="18"/>
  <c r="AS334" i="18"/>
  <c r="AP271" i="18"/>
  <c r="AO132" i="18"/>
  <c r="AQ347" i="18"/>
  <c r="AR339" i="18"/>
  <c r="AN217" i="18"/>
  <c r="AO218" i="18"/>
  <c r="AN164" i="18"/>
  <c r="AN127" i="18"/>
  <c r="AN177" i="18"/>
  <c r="AQ198" i="18"/>
  <c r="AU178" i="18"/>
  <c r="AO291" i="18"/>
  <c r="AO292" i="18" s="1"/>
  <c r="AO144" i="18"/>
  <c r="AN102" i="18"/>
  <c r="AQ297" i="18"/>
  <c r="AR294" i="18"/>
  <c r="AX287" i="18"/>
  <c r="AY284" i="18"/>
  <c r="AT141" i="18"/>
  <c r="AP277" i="18"/>
  <c r="AQ274" i="18"/>
  <c r="AP227" i="18"/>
  <c r="AP293" i="18" s="1"/>
  <c r="AQ128" i="18"/>
  <c r="AN107" i="18"/>
  <c r="AS204" i="18"/>
  <c r="AR123" i="18"/>
  <c r="AS312" i="18"/>
  <c r="AT309" i="18"/>
  <c r="AO149" i="18"/>
  <c r="AM41" i="18"/>
  <c r="AM47" i="18"/>
  <c r="AU207" i="18"/>
  <c r="AV98" i="18"/>
  <c r="AP154" i="18"/>
  <c r="AQ97" i="18"/>
  <c r="AR327" i="18"/>
  <c r="AS324" i="18"/>
  <c r="AT353" i="18"/>
  <c r="AU350" i="18"/>
  <c r="AN182" i="18"/>
  <c r="AN267" i="18"/>
  <c r="AP378" i="18"/>
  <c r="AQ375" i="18"/>
  <c r="AO159" i="18"/>
  <c r="AM196" i="18"/>
  <c r="AM52" i="18" s="1"/>
  <c r="AN197" i="18"/>
  <c r="AS408" i="18"/>
  <c r="AT405" i="18"/>
  <c r="AO169" i="18"/>
  <c r="AR329" i="18"/>
  <c r="AR160" i="18"/>
  <c r="AR383" i="18"/>
  <c r="AS380" i="18"/>
  <c r="AV398" i="18"/>
  <c r="AW395" i="18"/>
  <c r="AT145" i="18"/>
  <c r="AR133" i="18"/>
  <c r="AR170" i="18"/>
  <c r="AM202" i="18"/>
  <c r="AM58" i="18" s="1"/>
  <c r="AN203" i="18"/>
  <c r="AN211" i="18"/>
  <c r="AN59" i="18" s="1"/>
  <c r="AO212" i="18"/>
  <c r="AQ282" i="18"/>
  <c r="AR279" i="18"/>
  <c r="AS316" i="18"/>
  <c r="AT183" i="18"/>
  <c r="E267" i="18" l="1"/>
  <c r="C14" i="15" s="1"/>
  <c r="E268" i="18"/>
  <c r="D14" i="15" s="1"/>
  <c r="AU183" i="18"/>
  <c r="E263" i="18"/>
  <c r="D13" i="15" s="1"/>
  <c r="AS133" i="18"/>
  <c r="AP306" i="18"/>
  <c r="AP372" i="18"/>
  <c r="AP373" i="18" s="1"/>
  <c r="AO373" i="18"/>
  <c r="AO388" i="18"/>
  <c r="AP387" i="18"/>
  <c r="AP388" i="18" s="1"/>
  <c r="AO199" i="18"/>
  <c r="AO57" i="18" s="1"/>
  <c r="AP200" i="18"/>
  <c r="AS370" i="18"/>
  <c r="AT201" i="18" s="1"/>
  <c r="AU141" i="18"/>
  <c r="AU352" i="18"/>
  <c r="AS175" i="18"/>
  <c r="AU145" i="18"/>
  <c r="AQ301" i="18"/>
  <c r="AQ302" i="18" s="1"/>
  <c r="AJ29" i="14"/>
  <c r="AW98" i="18"/>
  <c r="AR103" i="18"/>
  <c r="AS170" i="18"/>
  <c r="AV207" i="18"/>
  <c r="AU139" i="18"/>
  <c r="AT316" i="18"/>
  <c r="AY286" i="18"/>
  <c r="AS382" i="18"/>
  <c r="AR128" i="18"/>
  <c r="AS150" i="18"/>
  <c r="AR347" i="18"/>
  <c r="AT311" i="18"/>
  <c r="AS123" i="18"/>
  <c r="AN205" i="18"/>
  <c r="AN55" i="18" s="1"/>
  <c r="AO206" i="18"/>
  <c r="AS160" i="18"/>
  <c r="AP291" i="18"/>
  <c r="AP292" i="18" s="1"/>
  <c r="AT402" i="18"/>
  <c r="AN202" i="18"/>
  <c r="AN58" i="18" s="1"/>
  <c r="AO203" i="18"/>
  <c r="AW398" i="18"/>
  <c r="AX395" i="18"/>
  <c r="AT408" i="18"/>
  <c r="AU405" i="18"/>
  <c r="AR281" i="18"/>
  <c r="AO182" i="18"/>
  <c r="AU353" i="18"/>
  <c r="AV350" i="18"/>
  <c r="AS327" i="18"/>
  <c r="AT324" i="18"/>
  <c r="AR97" i="18"/>
  <c r="AY287" i="18"/>
  <c r="AZ284" i="18"/>
  <c r="AP144" i="18"/>
  <c r="AS326" i="18"/>
  <c r="AO177" i="18"/>
  <c r="AO164" i="18"/>
  <c r="AP132" i="18"/>
  <c r="AQ271" i="18"/>
  <c r="AP272" i="18"/>
  <c r="AW269" i="18"/>
  <c r="AX98" i="18" s="1"/>
  <c r="AR299" i="18"/>
  <c r="AV385" i="18"/>
  <c r="AQ377" i="18"/>
  <c r="AT407" i="18"/>
  <c r="AT317" i="18"/>
  <c r="AU314" i="18"/>
  <c r="AO211" i="18"/>
  <c r="AO59" i="18" s="1"/>
  <c r="AP212" i="18"/>
  <c r="AP169" i="18"/>
  <c r="AS329" i="18"/>
  <c r="AP159" i="18"/>
  <c r="AQ378" i="18"/>
  <c r="AR375" i="18"/>
  <c r="AP149" i="18"/>
  <c r="AQ277" i="18"/>
  <c r="AR274" i="18"/>
  <c r="AQ227" i="18"/>
  <c r="AQ276" i="18"/>
  <c r="AV178" i="18"/>
  <c r="AX213" i="18"/>
  <c r="AT403" i="18"/>
  <c r="AU400" i="18"/>
  <c r="AV216" i="18" s="1"/>
  <c r="AN138" i="18"/>
  <c r="AP214" i="18"/>
  <c r="AP60" i="18" s="1"/>
  <c r="AQ215" i="18"/>
  <c r="AL173" i="18"/>
  <c r="AL64" i="18" s="1"/>
  <c r="AI33" i="14" s="1"/>
  <c r="AI31" i="14" s="1"/>
  <c r="AM174" i="18"/>
  <c r="AR348" i="18"/>
  <c r="AS345" i="18"/>
  <c r="AT312" i="18"/>
  <c r="AU309" i="18"/>
  <c r="AT204" i="18"/>
  <c r="AR297" i="18"/>
  <c r="AS294" i="18"/>
  <c r="AO102" i="18"/>
  <c r="AT155" i="18"/>
  <c r="AO127" i="18"/>
  <c r="AO217" i="18"/>
  <c r="AP218" i="18"/>
  <c r="AU355" i="18"/>
  <c r="AR296" i="18"/>
  <c r="AR282" i="18"/>
  <c r="AS279" i="18"/>
  <c r="AS383" i="18"/>
  <c r="AT380" i="18"/>
  <c r="AN196" i="18"/>
  <c r="AN52" i="18" s="1"/>
  <c r="AO197" i="18"/>
  <c r="AQ154" i="18"/>
  <c r="AO107" i="18"/>
  <c r="AW397" i="18"/>
  <c r="AR198" i="18"/>
  <c r="AN41" i="18"/>
  <c r="AN47" i="18"/>
  <c r="AS339" i="18"/>
  <c r="AS108" i="18"/>
  <c r="AT334" i="18"/>
  <c r="AN122" i="18"/>
  <c r="AT165" i="18"/>
  <c r="AU219" i="18"/>
  <c r="AS304" i="18"/>
  <c r="AS319" i="18"/>
  <c r="AS135" i="18"/>
  <c r="AV139" i="18" l="1"/>
  <c r="AT135" i="18"/>
  <c r="AP307" i="18"/>
  <c r="AQ306" i="18"/>
  <c r="AQ293" i="18"/>
  <c r="E293" i="18" s="1"/>
  <c r="D16" i="15" s="1"/>
  <c r="AQ336" i="18"/>
  <c r="AQ331" i="18"/>
  <c r="AQ321" i="18"/>
  <c r="AQ341" i="18"/>
  <c r="AQ357" i="18"/>
  <c r="AQ372" i="18"/>
  <c r="AQ387" i="18"/>
  <c r="AP199" i="18"/>
  <c r="AP57" i="18" s="1"/>
  <c r="AQ200" i="18"/>
  <c r="AT370" i="18"/>
  <c r="AU201" i="18" s="1"/>
  <c r="AV141" i="18"/>
  <c r="AY213" i="18"/>
  <c r="AU316" i="18"/>
  <c r="AS103" i="18"/>
  <c r="AW207" i="18"/>
  <c r="AS128" i="18"/>
  <c r="AU155" i="18"/>
  <c r="AZ286" i="18"/>
  <c r="AT170" i="18"/>
  <c r="AT160" i="18"/>
  <c r="AS347" i="18"/>
  <c r="AT175" i="18"/>
  <c r="AV219" i="18"/>
  <c r="AU407" i="18"/>
  <c r="AS198" i="18"/>
  <c r="AW178" i="18"/>
  <c r="AQ291" i="18"/>
  <c r="AR291" i="18" s="1"/>
  <c r="AK29" i="14"/>
  <c r="AR301" i="18"/>
  <c r="AR302" i="18" s="1"/>
  <c r="AO205" i="18"/>
  <c r="AO55" i="18" s="1"/>
  <c r="AP206" i="18"/>
  <c r="AS296" i="18"/>
  <c r="AR276" i="18"/>
  <c r="AT150" i="18"/>
  <c r="AO122" i="18"/>
  <c r="AS282" i="18"/>
  <c r="AT279" i="18"/>
  <c r="AP127" i="18"/>
  <c r="AS297" i="18"/>
  <c r="AT294" i="18"/>
  <c r="AS348" i="18"/>
  <c r="AT345" i="18"/>
  <c r="AM173" i="18"/>
  <c r="AM64" i="18" s="1"/>
  <c r="AJ33" i="14" s="1"/>
  <c r="AJ31" i="14" s="1"/>
  <c r="AN174" i="18"/>
  <c r="AR277" i="18"/>
  <c r="AS274" i="18"/>
  <c r="AT103" i="18" s="1"/>
  <c r="AR227" i="18"/>
  <c r="AT133" i="18"/>
  <c r="AU317" i="18"/>
  <c r="AV314" i="18"/>
  <c r="AW385" i="18"/>
  <c r="AR271" i="18"/>
  <c r="AQ272" i="18"/>
  <c r="AZ287" i="18"/>
  <c r="BA284" i="18"/>
  <c r="AS97" i="18"/>
  <c r="AU408" i="18"/>
  <c r="AV405" i="18"/>
  <c r="AT319" i="18"/>
  <c r="AT339" i="18"/>
  <c r="AP107" i="18"/>
  <c r="AT383" i="18"/>
  <c r="AU380" i="18"/>
  <c r="AU204" i="18"/>
  <c r="AO138" i="18"/>
  <c r="AQ149" i="18"/>
  <c r="AQ169" i="18"/>
  <c r="AP211" i="18"/>
  <c r="AP59" i="18" s="1"/>
  <c r="AQ212" i="18"/>
  <c r="AR377" i="18"/>
  <c r="AS299" i="18"/>
  <c r="AQ132" i="18"/>
  <c r="AP164" i="18"/>
  <c r="AP182" i="18"/>
  <c r="AO202" i="18"/>
  <c r="AO58" i="18" s="1"/>
  <c r="AP203" i="18"/>
  <c r="AU311" i="18"/>
  <c r="AT304" i="18"/>
  <c r="AU165" i="18"/>
  <c r="AT108" i="18"/>
  <c r="AO196" i="18"/>
  <c r="AO52" i="18" s="1"/>
  <c r="AP197" i="18"/>
  <c r="AP217" i="18"/>
  <c r="AQ218" i="18"/>
  <c r="AP102" i="18"/>
  <c r="AU403" i="18"/>
  <c r="AV400" i="18"/>
  <c r="AQ159" i="18"/>
  <c r="AT329" i="18"/>
  <c r="AX269" i="18"/>
  <c r="AY98" i="18" s="1"/>
  <c r="AU402" i="18"/>
  <c r="AW350" i="18"/>
  <c r="AY395" i="18"/>
  <c r="AZ213" i="18" s="1"/>
  <c r="AT382" i="18"/>
  <c r="AU334" i="18"/>
  <c r="AR154" i="18"/>
  <c r="AU358" i="18"/>
  <c r="AV355" i="18"/>
  <c r="AO47" i="18"/>
  <c r="AO41" i="18"/>
  <c r="AU312" i="18"/>
  <c r="AV309" i="18"/>
  <c r="AQ214" i="18"/>
  <c r="AQ60" i="18" s="1"/>
  <c r="AR215" i="18"/>
  <c r="AT123" i="18"/>
  <c r="AR378" i="18"/>
  <c r="AS375" i="18"/>
  <c r="AV145" i="18"/>
  <c r="AP177" i="18"/>
  <c r="AQ144" i="18"/>
  <c r="AW141" i="18"/>
  <c r="AU324" i="18"/>
  <c r="AS281" i="18"/>
  <c r="AV183" i="18"/>
  <c r="AU135" i="18" l="1"/>
  <c r="AQ292" i="18"/>
  <c r="E292" i="18" s="1"/>
  <c r="C16" i="15" s="1"/>
  <c r="BA286" i="18"/>
  <c r="AR357" i="18"/>
  <c r="AV407" i="18"/>
  <c r="AQ307" i="18"/>
  <c r="AR306" i="18"/>
  <c r="AR321" i="18"/>
  <c r="AR331" i="18"/>
  <c r="AR341" i="18"/>
  <c r="AR336" i="18"/>
  <c r="AS336" i="18" s="1"/>
  <c r="AQ388" i="18"/>
  <c r="AR387" i="18"/>
  <c r="AR372" i="18"/>
  <c r="AQ373" i="18"/>
  <c r="AU370" i="18"/>
  <c r="AV201" i="18" s="1"/>
  <c r="AQ199" i="18"/>
  <c r="AQ57" i="18" s="1"/>
  <c r="AR200" i="18"/>
  <c r="AU150" i="18"/>
  <c r="AW145" i="18"/>
  <c r="AX207" i="18"/>
  <c r="AS276" i="18"/>
  <c r="AV155" i="18"/>
  <c r="AL29" i="14"/>
  <c r="AW219" i="18"/>
  <c r="AU175" i="18"/>
  <c r="AT281" i="18"/>
  <c r="AX178" i="18"/>
  <c r="AU108" i="18"/>
  <c r="AS291" i="18"/>
  <c r="AT291" i="18" s="1"/>
  <c r="AW183" i="18"/>
  <c r="AT296" i="18"/>
  <c r="AU382" i="18"/>
  <c r="AU123" i="18"/>
  <c r="AP205" i="18"/>
  <c r="AP55" i="18" s="1"/>
  <c r="AQ206" i="18"/>
  <c r="AZ395" i="18"/>
  <c r="BA213" i="18" s="1"/>
  <c r="AR159" i="18"/>
  <c r="AV403" i="18"/>
  <c r="AW400" i="18"/>
  <c r="AV165" i="18"/>
  <c r="AP202" i="18"/>
  <c r="AP58" i="18" s="1"/>
  <c r="AQ203" i="18"/>
  <c r="AR132" i="18"/>
  <c r="AS377" i="18"/>
  <c r="AR169" i="18"/>
  <c r="AP138" i="18"/>
  <c r="AQ107" i="18"/>
  <c r="AU339" i="18"/>
  <c r="AT97" i="18"/>
  <c r="AV317" i="18"/>
  <c r="AW314" i="18"/>
  <c r="AX145" i="18" s="1"/>
  <c r="AV316" i="18"/>
  <c r="AT297" i="18"/>
  <c r="AU294" i="18"/>
  <c r="AP122" i="18"/>
  <c r="AR214" i="18"/>
  <c r="AR60" i="18" s="1"/>
  <c r="AS215" i="18"/>
  <c r="AV324" i="18"/>
  <c r="AQ177" i="18"/>
  <c r="AS378" i="18"/>
  <c r="AT375" i="18"/>
  <c r="AV312" i="18"/>
  <c r="AW309" i="18"/>
  <c r="AY269" i="18"/>
  <c r="AZ98" i="18" s="1"/>
  <c r="AU329" i="18"/>
  <c r="AQ217" i="18"/>
  <c r="AR218" i="18"/>
  <c r="AT198" i="18"/>
  <c r="AT299" i="18"/>
  <c r="AU383" i="18"/>
  <c r="AV380" i="18"/>
  <c r="AU319" i="18"/>
  <c r="AV408" i="18"/>
  <c r="AW405" i="18"/>
  <c r="AS271" i="18"/>
  <c r="AR272" i="18"/>
  <c r="AX385" i="18"/>
  <c r="AS277" i="18"/>
  <c r="AT274" i="18"/>
  <c r="AS227" i="18"/>
  <c r="AS301" i="18" s="1"/>
  <c r="AN173" i="18"/>
  <c r="AN64" i="18" s="1"/>
  <c r="AK33" i="14" s="1"/>
  <c r="AK31" i="14" s="1"/>
  <c r="AO174" i="18"/>
  <c r="AT348" i="18"/>
  <c r="AU345" i="18"/>
  <c r="AT128" i="18"/>
  <c r="AT347" i="18"/>
  <c r="AR144" i="18"/>
  <c r="AV358" i="18"/>
  <c r="AW355" i="18"/>
  <c r="AS154" i="18"/>
  <c r="AQ102" i="18"/>
  <c r="AP47" i="18"/>
  <c r="AP41" i="18"/>
  <c r="AQ164" i="18"/>
  <c r="AQ211" i="18"/>
  <c r="AQ59" i="18" s="1"/>
  <c r="AR212" i="18"/>
  <c r="AV204" i="18"/>
  <c r="BA287" i="18"/>
  <c r="BB284" i="18"/>
  <c r="AW139" i="18"/>
  <c r="AV334" i="18"/>
  <c r="AX350" i="18"/>
  <c r="AV402" i="18"/>
  <c r="AU160" i="18"/>
  <c r="AP196" i="18"/>
  <c r="AP52" i="18" s="1"/>
  <c r="AQ197" i="18"/>
  <c r="AU304" i="18"/>
  <c r="AV311" i="18"/>
  <c r="AQ182" i="18"/>
  <c r="AR149" i="18"/>
  <c r="AU133" i="18"/>
  <c r="AQ127" i="18"/>
  <c r="AT282" i="18"/>
  <c r="AU279" i="18"/>
  <c r="AW216" i="18"/>
  <c r="AU170" i="18"/>
  <c r="BB286" i="18" l="1"/>
  <c r="AS357" i="18"/>
  <c r="AT357" i="18" s="1"/>
  <c r="AW407" i="18"/>
  <c r="AR307" i="18"/>
  <c r="AS306" i="18"/>
  <c r="AS341" i="18"/>
  <c r="AS331" i="18"/>
  <c r="AS321" i="18"/>
  <c r="AS337" i="18"/>
  <c r="AS372" i="18"/>
  <c r="AT372" i="18" s="1"/>
  <c r="AR373" i="18"/>
  <c r="AR388" i="18"/>
  <c r="AS387" i="18"/>
  <c r="AS388" i="18" s="1"/>
  <c r="AR199" i="18"/>
  <c r="AR57" i="18" s="1"/>
  <c r="AS200" i="18"/>
  <c r="AV370" i="18"/>
  <c r="AW201" i="18" s="1"/>
  <c r="AV150" i="18"/>
  <c r="AX139" i="18"/>
  <c r="AY178" i="18"/>
  <c r="AV160" i="18"/>
  <c r="AV123" i="18"/>
  <c r="AX183" i="18"/>
  <c r="AW204" i="18"/>
  <c r="AV382" i="18"/>
  <c r="AW311" i="18"/>
  <c r="AV170" i="18"/>
  <c r="AU296" i="18"/>
  <c r="AU128" i="18"/>
  <c r="AM29" i="14"/>
  <c r="AX216" i="18"/>
  <c r="AW402" i="18"/>
  <c r="AV133" i="18"/>
  <c r="AQ205" i="18"/>
  <c r="AQ55" i="18" s="1"/>
  <c r="AR206" i="18"/>
  <c r="AU347" i="18"/>
  <c r="AU198" i="18"/>
  <c r="AR182" i="18"/>
  <c r="AU282" i="18"/>
  <c r="AV279" i="18"/>
  <c r="AR211" i="18"/>
  <c r="AR59" i="18" s="1"/>
  <c r="AS212" i="18"/>
  <c r="AO173" i="18"/>
  <c r="AO64" i="18" s="1"/>
  <c r="AL33" i="14" s="1"/>
  <c r="AL31" i="14" s="1"/>
  <c r="AP174" i="18"/>
  <c r="AT277" i="18"/>
  <c r="AU274" i="18"/>
  <c r="AT227" i="18"/>
  <c r="AV319" i="18"/>
  <c r="AU299" i="18"/>
  <c r="AR217" i="18"/>
  <c r="AS218" i="18"/>
  <c r="AZ269" i="18"/>
  <c r="BA98" i="18" s="1"/>
  <c r="AT378" i="18"/>
  <c r="AU375" i="18"/>
  <c r="AX219" i="18"/>
  <c r="AQ138" i="18"/>
  <c r="AS169" i="18"/>
  <c r="AW403" i="18"/>
  <c r="AX400" i="18"/>
  <c r="AY216" i="18" s="1"/>
  <c r="AS149" i="18"/>
  <c r="AR102" i="18"/>
  <c r="AS144" i="18"/>
  <c r="AU348" i="18"/>
  <c r="AV345" i="18"/>
  <c r="AQ47" i="18"/>
  <c r="AQ41" i="18"/>
  <c r="AV329" i="18"/>
  <c r="AW312" i="18"/>
  <c r="AX309" i="18"/>
  <c r="AY139" i="18" s="1"/>
  <c r="AS214" i="18"/>
  <c r="AS60" i="18" s="1"/>
  <c r="AT215" i="18"/>
  <c r="AX314" i="18"/>
  <c r="AU97" i="18"/>
  <c r="AR107" i="18"/>
  <c r="AW165" i="18"/>
  <c r="AS159" i="18"/>
  <c r="AV108" i="18"/>
  <c r="AW358" i="18"/>
  <c r="AX355" i="18"/>
  <c r="AY385" i="18"/>
  <c r="AT271" i="18"/>
  <c r="AS272" i="18"/>
  <c r="AW408" i="18"/>
  <c r="AX405" i="18"/>
  <c r="AV175" i="18"/>
  <c r="AV135" i="18"/>
  <c r="AW324" i="18"/>
  <c r="AQ122" i="18"/>
  <c r="AU297" i="18"/>
  <c r="AV294" i="18"/>
  <c r="AV339" i="18"/>
  <c r="AT377" i="18"/>
  <c r="AW155" i="18"/>
  <c r="AR127" i="18"/>
  <c r="AV304" i="18"/>
  <c r="AQ196" i="18"/>
  <c r="AQ52" i="18" s="1"/>
  <c r="AR197" i="18"/>
  <c r="AY350" i="18"/>
  <c r="AW334" i="18"/>
  <c r="BB287" i="18"/>
  <c r="BC284" i="18"/>
  <c r="AR164" i="18"/>
  <c r="AT154" i="18"/>
  <c r="AU281" i="18"/>
  <c r="AV383" i="18"/>
  <c r="AW380" i="18"/>
  <c r="AR177" i="18"/>
  <c r="AT276" i="18"/>
  <c r="AS132" i="18"/>
  <c r="AQ202" i="18"/>
  <c r="AQ58" i="18" s="1"/>
  <c r="AR203" i="18"/>
  <c r="AY207" i="18"/>
  <c r="AU291" i="18"/>
  <c r="BA395" i="18"/>
  <c r="BB213" i="18" s="1"/>
  <c r="AX141" i="18"/>
  <c r="AU103" i="18"/>
  <c r="AV103" i="18" l="1"/>
  <c r="BC286" i="18"/>
  <c r="AW108" i="18"/>
  <c r="AT306" i="18"/>
  <c r="AU306" i="18" s="1"/>
  <c r="AU307" i="18" s="1"/>
  <c r="AT326" i="18"/>
  <c r="AT336" i="18"/>
  <c r="AU336" i="18" s="1"/>
  <c r="AT387" i="18"/>
  <c r="AT388" i="18" s="1"/>
  <c r="AS332" i="18"/>
  <c r="AT331" i="18"/>
  <c r="AS322" i="18"/>
  <c r="AT321" i="18"/>
  <c r="AS342" i="18"/>
  <c r="AT341" i="18"/>
  <c r="AU357" i="18"/>
  <c r="AW150" i="18"/>
  <c r="AS199" i="18"/>
  <c r="AS57" i="18" s="1"/>
  <c r="AT200" i="18"/>
  <c r="AW370" i="18"/>
  <c r="AX201" i="18" s="1"/>
  <c r="AY141" i="18"/>
  <c r="AZ141" i="18" s="1"/>
  <c r="AV296" i="18"/>
  <c r="AU276" i="18"/>
  <c r="AW175" i="18"/>
  <c r="AW160" i="18"/>
  <c r="AV281" i="18"/>
  <c r="AN29" i="14"/>
  <c r="AW135" i="18"/>
  <c r="AV128" i="18"/>
  <c r="AT301" i="18"/>
  <c r="AU301" i="18" s="1"/>
  <c r="AV347" i="18"/>
  <c r="AR205" i="18"/>
  <c r="AR55" i="18" s="1"/>
  <c r="AS206" i="18"/>
  <c r="AZ350" i="18"/>
  <c r="AR196" i="18"/>
  <c r="AR52" i="18" s="1"/>
  <c r="AS197" i="18"/>
  <c r="AU271" i="18"/>
  <c r="AT272" i="18"/>
  <c r="AY314" i="18"/>
  <c r="AT149" i="18"/>
  <c r="AU378" i="18"/>
  <c r="AV375" i="18"/>
  <c r="AS217" i="18"/>
  <c r="AT218" i="18"/>
  <c r="AT132" i="18"/>
  <c r="AW383" i="18"/>
  <c r="AX380" i="18"/>
  <c r="AX155" i="18"/>
  <c r="AW339" i="18"/>
  <c r="AV97" i="18"/>
  <c r="AX204" i="18"/>
  <c r="AR47" i="18"/>
  <c r="AR41" i="18"/>
  <c r="AU277" i="18"/>
  <c r="AV274" i="18"/>
  <c r="AU227" i="18"/>
  <c r="AU372" i="18" s="1"/>
  <c r="AZ178" i="18"/>
  <c r="AR202" i="18"/>
  <c r="AR58" i="18" s="1"/>
  <c r="AS203" i="18"/>
  <c r="BB395" i="18"/>
  <c r="AS164" i="18"/>
  <c r="AW304" i="18"/>
  <c r="AX324" i="18"/>
  <c r="AX408" i="18"/>
  <c r="AY405" i="18"/>
  <c r="AZ385" i="18"/>
  <c r="AX358" i="18"/>
  <c r="AY355" i="18"/>
  <c r="AT144" i="18"/>
  <c r="AR138" i="18"/>
  <c r="BA269" i="18"/>
  <c r="BB98" i="18" s="1"/>
  <c r="AV291" i="18"/>
  <c r="AZ207" i="18"/>
  <c r="AV198" i="18"/>
  <c r="AU154" i="18"/>
  <c r="BC287" i="18"/>
  <c r="BD284" i="18"/>
  <c r="AR122" i="18"/>
  <c r="AW170" i="18"/>
  <c r="AT159" i="18"/>
  <c r="AX165" i="18"/>
  <c r="AY309" i="18"/>
  <c r="AW133" i="18"/>
  <c r="AT169" i="18"/>
  <c r="AW319" i="18"/>
  <c r="AS177" i="18"/>
  <c r="AX334" i="18"/>
  <c r="AS127" i="18"/>
  <c r="AU377" i="18"/>
  <c r="AV297" i="18"/>
  <c r="AW294" i="18"/>
  <c r="AW382" i="18"/>
  <c r="AS107" i="18"/>
  <c r="AT214" i="18"/>
  <c r="AT60" i="18" s="1"/>
  <c r="AU215" i="18"/>
  <c r="AW329" i="18"/>
  <c r="AV348" i="18"/>
  <c r="AW345" i="18"/>
  <c r="AW123" i="18"/>
  <c r="AS102" i="18"/>
  <c r="AY400" i="18"/>
  <c r="AZ216" i="18" s="1"/>
  <c r="AY219" i="18"/>
  <c r="AV299" i="18"/>
  <c r="AY145" i="18"/>
  <c r="AX407" i="18"/>
  <c r="AP173" i="18"/>
  <c r="AP64" i="18" s="1"/>
  <c r="AM33" i="14" s="1"/>
  <c r="AM31" i="14" s="1"/>
  <c r="AQ174" i="18"/>
  <c r="AS211" i="18"/>
  <c r="AS59" i="18" s="1"/>
  <c r="AT212" i="18"/>
  <c r="AV282" i="18"/>
  <c r="AW279" i="18"/>
  <c r="AS182" i="18"/>
  <c r="AY183" i="18"/>
  <c r="AV306" i="18" l="1"/>
  <c r="AV307" i="18" s="1"/>
  <c r="AU326" i="18"/>
  <c r="AV326" i="18" s="1"/>
  <c r="AX175" i="18"/>
  <c r="AX133" i="18"/>
  <c r="AU321" i="18"/>
  <c r="AU341" i="18"/>
  <c r="AU331" i="18"/>
  <c r="AU337" i="18"/>
  <c r="AV336" i="18"/>
  <c r="AU387" i="18"/>
  <c r="AV357" i="18"/>
  <c r="AX370" i="18"/>
  <c r="AY201" i="18" s="1"/>
  <c r="AT199" i="18"/>
  <c r="AT57" i="18" s="1"/>
  <c r="AU200" i="18"/>
  <c r="AV301" i="18"/>
  <c r="AV302" i="18" s="1"/>
  <c r="AY407" i="18"/>
  <c r="AZ145" i="18"/>
  <c r="AU302" i="18"/>
  <c r="AW198" i="18"/>
  <c r="AW128" i="18"/>
  <c r="AZ183" i="18"/>
  <c r="AZ219" i="18"/>
  <c r="AO29" i="14"/>
  <c r="AX123" i="18"/>
  <c r="BA178" i="18"/>
  <c r="AV377" i="18"/>
  <c r="AX170" i="18"/>
  <c r="AY204" i="18"/>
  <c r="AT206" i="18"/>
  <c r="AS205" i="18"/>
  <c r="AS55" i="18" s="1"/>
  <c r="BA207" i="18"/>
  <c r="AT182" i="18"/>
  <c r="AT211" i="18"/>
  <c r="AT59" i="18" s="1"/>
  <c r="AU212" i="18"/>
  <c r="AX329" i="18"/>
  <c r="AW297" i="18"/>
  <c r="AX294" i="18"/>
  <c r="AU169" i="18"/>
  <c r="AY165" i="18"/>
  <c r="AS122" i="18"/>
  <c r="AV154" i="18"/>
  <c r="AW296" i="18"/>
  <c r="BB269" i="18"/>
  <c r="BC98" i="18" s="1"/>
  <c r="AS138" i="18"/>
  <c r="BA385" i="18"/>
  <c r="AV277" i="18"/>
  <c r="AW274" i="18"/>
  <c r="AV227" i="18"/>
  <c r="AV352" i="18" s="1"/>
  <c r="AW352" i="18" s="1"/>
  <c r="AY155" i="18"/>
  <c r="AS41" i="18"/>
  <c r="AS47" i="18"/>
  <c r="AW347" i="18"/>
  <c r="AT102" i="18"/>
  <c r="AX160" i="18"/>
  <c r="AZ309" i="18"/>
  <c r="AU159" i="18"/>
  <c r="BD287" i="18"/>
  <c r="BE284" i="18"/>
  <c r="AU144" i="18"/>
  <c r="AS196" i="18"/>
  <c r="AS52" i="18" s="1"/>
  <c r="AT197" i="18"/>
  <c r="BC213" i="18"/>
  <c r="AQ173" i="18"/>
  <c r="AQ64" i="18" s="1"/>
  <c r="AN33" i="14" s="1"/>
  <c r="AN31" i="14" s="1"/>
  <c r="AR174" i="18"/>
  <c r="AW299" i="18"/>
  <c r="AT107" i="18"/>
  <c r="AT127" i="18"/>
  <c r="AY334" i="18"/>
  <c r="AX319" i="18"/>
  <c r="AY358" i="18"/>
  <c r="AZ355" i="18"/>
  <c r="AT164" i="18"/>
  <c r="AS202" i="18"/>
  <c r="AS58" i="18" s="1"/>
  <c r="AT203" i="18"/>
  <c r="AW97" i="18"/>
  <c r="AY380" i="18"/>
  <c r="AV276" i="18"/>
  <c r="AV378" i="18"/>
  <c r="AW375" i="18"/>
  <c r="AU149" i="18"/>
  <c r="AV271" i="18"/>
  <c r="AW291" i="18"/>
  <c r="AX291" i="18" s="1"/>
  <c r="AY291" i="18" s="1"/>
  <c r="AZ291" i="18" s="1"/>
  <c r="BA291" i="18" s="1"/>
  <c r="BB291" i="18" s="1"/>
  <c r="BC291" i="18" s="1"/>
  <c r="BD291" i="18" s="1"/>
  <c r="BE291" i="18" s="1"/>
  <c r="BF291" i="18" s="1"/>
  <c r="BG291" i="18" s="1"/>
  <c r="BH291" i="18" s="1"/>
  <c r="BI291" i="18" s="1"/>
  <c r="BJ291" i="18" s="1"/>
  <c r="BK291" i="18" s="1"/>
  <c r="BL291" i="18" s="1"/>
  <c r="BM291" i="18" s="1"/>
  <c r="BN291" i="18" s="1"/>
  <c r="BO291" i="18" s="1"/>
  <c r="BP291" i="18" s="1"/>
  <c r="BQ291" i="18" s="1"/>
  <c r="BR291" i="18" s="1"/>
  <c r="BS291" i="18" s="1"/>
  <c r="BT291" i="18" s="1"/>
  <c r="BU291" i="18" s="1"/>
  <c r="BV291" i="18" s="1"/>
  <c r="BW291" i="18" s="1"/>
  <c r="BX291" i="18" s="1"/>
  <c r="BY291" i="18" s="1"/>
  <c r="BZ291" i="18" s="1"/>
  <c r="CA291" i="18" s="1"/>
  <c r="CB291" i="18" s="1"/>
  <c r="CC291" i="18" s="1"/>
  <c r="CD291" i="18" s="1"/>
  <c r="CE291" i="18" s="1"/>
  <c r="CF291" i="18" s="1"/>
  <c r="CG291" i="18" s="1"/>
  <c r="CH291" i="18" s="1"/>
  <c r="CI291" i="18" s="1"/>
  <c r="CJ291" i="18" s="1"/>
  <c r="CK291" i="18" s="1"/>
  <c r="CL291" i="18" s="1"/>
  <c r="CM291" i="18" s="1"/>
  <c r="CN291" i="18" s="1"/>
  <c r="CO291" i="18" s="1"/>
  <c r="CP291" i="18" s="1"/>
  <c r="CQ291" i="18" s="1"/>
  <c r="CR291" i="18" s="1"/>
  <c r="CS291" i="18" s="1"/>
  <c r="CT291" i="18" s="1"/>
  <c r="CU291" i="18" s="1"/>
  <c r="CV291" i="18" s="1"/>
  <c r="CW291" i="18" s="1"/>
  <c r="CX291" i="18" s="1"/>
  <c r="CY291" i="18" s="1"/>
  <c r="CZ291" i="18" s="1"/>
  <c r="DA291" i="18" s="1"/>
  <c r="DB291" i="18" s="1"/>
  <c r="DC291" i="18" s="1"/>
  <c r="DD291" i="18" s="1"/>
  <c r="DE291" i="18" s="1"/>
  <c r="DF291" i="18" s="1"/>
  <c r="DG291" i="18" s="1"/>
  <c r="DH291" i="18" s="1"/>
  <c r="DI291" i="18" s="1"/>
  <c r="DJ291" i="18" s="1"/>
  <c r="DK291" i="18" s="1"/>
  <c r="DL291" i="18" s="1"/>
  <c r="DM291" i="18" s="1"/>
  <c r="DN291" i="18" s="1"/>
  <c r="DO291" i="18" s="1"/>
  <c r="DP291" i="18" s="1"/>
  <c r="DQ291" i="18" s="1"/>
  <c r="DR291" i="18" s="1"/>
  <c r="DS291" i="18" s="1"/>
  <c r="DT291" i="18" s="1"/>
  <c r="DU291" i="18" s="1"/>
  <c r="DV291" i="18" s="1"/>
  <c r="DW291" i="18" s="1"/>
  <c r="DX291" i="18" s="1"/>
  <c r="DY291" i="18" s="1"/>
  <c r="DZ291" i="18" s="1"/>
  <c r="EA291" i="18" s="1"/>
  <c r="EB291" i="18" s="1"/>
  <c r="EC291" i="18" s="1"/>
  <c r="ED291" i="18" s="1"/>
  <c r="EE291" i="18" s="1"/>
  <c r="EF291" i="18" s="1"/>
  <c r="EG291" i="18" s="1"/>
  <c r="EH291" i="18" s="1"/>
  <c r="EI291" i="18" s="1"/>
  <c r="AW103" i="18"/>
  <c r="AW282" i="18"/>
  <c r="AX279" i="18"/>
  <c r="AZ400" i="18"/>
  <c r="AW348" i="18"/>
  <c r="AX345" i="18"/>
  <c r="AU214" i="18"/>
  <c r="AU60" i="18" s="1"/>
  <c r="AV215" i="18"/>
  <c r="AX108" i="18"/>
  <c r="AT177" i="18"/>
  <c r="AY408" i="18"/>
  <c r="AZ405" i="18"/>
  <c r="AY324" i="18"/>
  <c r="AX304" i="18"/>
  <c r="BC395" i="18"/>
  <c r="AZ139" i="18"/>
  <c r="AX339" i="18"/>
  <c r="AW281" i="18"/>
  <c r="AU132" i="18"/>
  <c r="AT217" i="18"/>
  <c r="AU218" i="18"/>
  <c r="AZ314" i="18"/>
  <c r="AX150" i="18"/>
  <c r="AX135" i="18"/>
  <c r="BA350" i="18"/>
  <c r="BD286" i="18"/>
  <c r="AW306" i="18" l="1"/>
  <c r="AW307" i="18" s="1"/>
  <c r="AY135" i="18"/>
  <c r="AU327" i="18"/>
  <c r="AY170" i="18"/>
  <c r="AV387" i="18"/>
  <c r="AW387" i="18" s="1"/>
  <c r="AW388" i="18" s="1"/>
  <c r="AU342" i="18"/>
  <c r="AV341" i="18"/>
  <c r="AV372" i="18"/>
  <c r="AW372" i="18" s="1"/>
  <c r="AU332" i="18"/>
  <c r="AV331" i="18"/>
  <c r="AU322" i="18"/>
  <c r="AV321" i="18"/>
  <c r="AV337" i="18"/>
  <c r="AW357" i="18"/>
  <c r="AY370" i="18"/>
  <c r="AZ201" i="18" s="1"/>
  <c r="AU199" i="18"/>
  <c r="AU57" i="18" s="1"/>
  <c r="AV200" i="18"/>
  <c r="AW301" i="18"/>
  <c r="AW302" i="18" s="1"/>
  <c r="AZ204" i="18"/>
  <c r="AX103" i="18"/>
  <c r="AW276" i="18"/>
  <c r="AP29" i="14"/>
  <c r="AX198" i="18"/>
  <c r="AX128" i="18"/>
  <c r="AY123" i="18"/>
  <c r="BB207" i="18"/>
  <c r="BE286" i="18"/>
  <c r="AW377" i="18"/>
  <c r="AY160" i="18"/>
  <c r="AY150" i="18"/>
  <c r="AY108" i="18"/>
  <c r="AT205" i="18"/>
  <c r="AT55" i="18" s="1"/>
  <c r="AU206" i="18"/>
  <c r="F291" i="18"/>
  <c r="E291" i="18"/>
  <c r="BA139" i="18"/>
  <c r="BA141" i="18"/>
  <c r="AY304" i="18"/>
  <c r="BA400" i="18"/>
  <c r="AZ407" i="18"/>
  <c r="BA183" i="18"/>
  <c r="AU102" i="18"/>
  <c r="AZ155" i="18"/>
  <c r="AY133" i="18"/>
  <c r="BA216" i="18"/>
  <c r="BD395" i="18"/>
  <c r="AU177" i="18"/>
  <c r="AV214" i="18"/>
  <c r="AV60" i="18" s="1"/>
  <c r="AW215" i="18"/>
  <c r="AW378" i="18"/>
  <c r="AX375" i="18"/>
  <c r="AU164" i="18"/>
  <c r="AU127" i="18"/>
  <c r="AR173" i="18"/>
  <c r="AR64" i="18" s="1"/>
  <c r="AO33" i="14" s="1"/>
  <c r="AO31" i="14" s="1"/>
  <c r="AS174" i="18"/>
  <c r="BD213" i="18"/>
  <c r="AV144" i="18"/>
  <c r="BE287" i="18"/>
  <c r="BF284" i="18"/>
  <c r="AV159" i="18"/>
  <c r="BA309" i="18"/>
  <c r="AX352" i="18"/>
  <c r="AW353" i="18"/>
  <c r="BB272" i="18"/>
  <c r="BC269" i="18"/>
  <c r="BD98" i="18" s="1"/>
  <c r="AT122" i="18"/>
  <c r="AV169" i="18"/>
  <c r="AX297" i="18"/>
  <c r="AY294" i="18"/>
  <c r="AU182" i="18"/>
  <c r="BB350" i="18"/>
  <c r="AY339" i="18"/>
  <c r="AU217" i="18"/>
  <c r="AV218" i="18"/>
  <c r="BA314" i="18"/>
  <c r="AT47" i="18"/>
  <c r="AT41" i="18"/>
  <c r="AZ408" i="18"/>
  <c r="BA405" i="18"/>
  <c r="AY345" i="18"/>
  <c r="AW271" i="18"/>
  <c r="AZ380" i="18"/>
  <c r="AX97" i="18"/>
  <c r="AZ358" i="18"/>
  <c r="BA355" i="18"/>
  <c r="AY319" i="18"/>
  <c r="AZ334" i="18"/>
  <c r="AW277" i="18"/>
  <c r="AX274" i="18"/>
  <c r="AW227" i="18"/>
  <c r="AT138" i="18"/>
  <c r="AX296" i="18"/>
  <c r="BA145" i="18"/>
  <c r="AY175" i="18"/>
  <c r="AV132" i="18"/>
  <c r="AZ324" i="18"/>
  <c r="BA219" i="18"/>
  <c r="AY279" i="18"/>
  <c r="AV149" i="18"/>
  <c r="AT202" i="18"/>
  <c r="AT58" i="18" s="1"/>
  <c r="AU203" i="18"/>
  <c r="AU107" i="18"/>
  <c r="AX299" i="18"/>
  <c r="AT196" i="18"/>
  <c r="AT52" i="18" s="1"/>
  <c r="AU197" i="18"/>
  <c r="BB178" i="18"/>
  <c r="BB385" i="18"/>
  <c r="AW154" i="18"/>
  <c r="AZ165" i="18"/>
  <c r="AY329" i="18"/>
  <c r="AU211" i="18"/>
  <c r="AU59" i="18" s="1"/>
  <c r="AV212" i="18"/>
  <c r="AW336" i="18" l="1"/>
  <c r="AX336" i="18" s="1"/>
  <c r="AX337" i="18" s="1"/>
  <c r="AW316" i="18"/>
  <c r="AX316" i="18" s="1"/>
  <c r="AX317" i="18" s="1"/>
  <c r="AX306" i="18"/>
  <c r="AX307" i="18" s="1"/>
  <c r="AW326" i="18"/>
  <c r="AX326" i="18" s="1"/>
  <c r="AX327" i="18" s="1"/>
  <c r="AZ135" i="18"/>
  <c r="AZ170" i="18"/>
  <c r="AY296" i="18"/>
  <c r="AV322" i="18"/>
  <c r="AW321" i="18"/>
  <c r="AV342" i="18"/>
  <c r="AW341" i="18"/>
  <c r="AX341" i="18" s="1"/>
  <c r="AV332" i="18"/>
  <c r="AW331" i="18"/>
  <c r="AW373" i="18"/>
  <c r="AX357" i="18"/>
  <c r="AY357" i="18" s="1"/>
  <c r="AV199" i="18"/>
  <c r="AV57" i="18" s="1"/>
  <c r="AW200" i="18"/>
  <c r="AZ370" i="18"/>
  <c r="BA201" i="18" s="1"/>
  <c r="AX301" i="18"/>
  <c r="AX302" i="18" s="1"/>
  <c r="AZ160" i="18"/>
  <c r="BB219" i="18"/>
  <c r="BA204" i="18"/>
  <c r="BC178" i="18"/>
  <c r="AQ29" i="14"/>
  <c r="AY198" i="18"/>
  <c r="BA165" i="18"/>
  <c r="BE213" i="18"/>
  <c r="AZ108" i="18"/>
  <c r="BB145" i="18"/>
  <c r="AZ133" i="18"/>
  <c r="AV206" i="18"/>
  <c r="AU205" i="18"/>
  <c r="AU55" i="18" s="1"/>
  <c r="BB141" i="18"/>
  <c r="BB216" i="18"/>
  <c r="AV211" i="18"/>
  <c r="AV59" i="18" s="1"/>
  <c r="AW212" i="18"/>
  <c r="AU196" i="18"/>
  <c r="AU52" i="18" s="1"/>
  <c r="AV197" i="18"/>
  <c r="BA324" i="18"/>
  <c r="AW132" i="18"/>
  <c r="AZ319" i="18"/>
  <c r="AY103" i="18"/>
  <c r="BA408" i="18"/>
  <c r="BB405" i="18"/>
  <c r="BC219" i="18" s="1"/>
  <c r="AY297" i="18"/>
  <c r="AZ294" i="18"/>
  <c r="AW159" i="18"/>
  <c r="AW144" i="18"/>
  <c r="AV177" i="18"/>
  <c r="BA155" i="18"/>
  <c r="BC385" i="18"/>
  <c r="AU202" i="18"/>
  <c r="AU58" i="18" s="1"/>
  <c r="AV203" i="18"/>
  <c r="AZ279" i="18"/>
  <c r="AU138" i="18"/>
  <c r="AZ345" i="18"/>
  <c r="AV182" i="18"/>
  <c r="AW169" i="18"/>
  <c r="BB309" i="18"/>
  <c r="BF287" i="18"/>
  <c r="BG284" i="18"/>
  <c r="AV127" i="18"/>
  <c r="AY375" i="18"/>
  <c r="AZ198" i="18" s="1"/>
  <c r="AZ123" i="18"/>
  <c r="BE395" i="18"/>
  <c r="AZ150" i="18"/>
  <c r="BA407" i="18"/>
  <c r="BB400" i="18"/>
  <c r="BC216" i="18" s="1"/>
  <c r="AZ304" i="18"/>
  <c r="BB139" i="18"/>
  <c r="AZ329" i="18"/>
  <c r="AY274" i="18"/>
  <c r="AX227" i="18"/>
  <c r="AX347" i="18" s="1"/>
  <c r="BA334" i="18"/>
  <c r="AY97" i="18"/>
  <c r="BA380" i="18"/>
  <c r="BB314" i="18"/>
  <c r="AV217" i="18"/>
  <c r="AW218" i="18"/>
  <c r="AZ339" i="18"/>
  <c r="BC350" i="18"/>
  <c r="AY352" i="18"/>
  <c r="AX353" i="18"/>
  <c r="AW214" i="18"/>
  <c r="AW60" i="18" s="1"/>
  <c r="AX215" i="18"/>
  <c r="AV102" i="18"/>
  <c r="BF286" i="18"/>
  <c r="AX154" i="18"/>
  <c r="AY299" i="18"/>
  <c r="AV107" i="18"/>
  <c r="AW149" i="18"/>
  <c r="AZ175" i="18"/>
  <c r="BC207" i="18"/>
  <c r="BB355" i="18"/>
  <c r="AX271" i="18"/>
  <c r="AY271" i="18" s="1"/>
  <c r="AW272" i="18"/>
  <c r="AU41" i="18"/>
  <c r="AU47" i="18"/>
  <c r="AU122" i="18"/>
  <c r="BC272" i="18"/>
  <c r="BD269" i="18"/>
  <c r="BE98" i="18" s="1"/>
  <c r="AS173" i="18"/>
  <c r="AS64" i="18" s="1"/>
  <c r="AP33" i="14" s="1"/>
  <c r="AP31" i="14" s="1"/>
  <c r="AT174" i="18"/>
  <c r="AV164" i="18"/>
  <c r="BB183" i="18"/>
  <c r="AY128" i="18"/>
  <c r="BC139" i="18" l="1"/>
  <c r="BA135" i="18"/>
  <c r="BD178" i="18"/>
  <c r="AY306" i="18"/>
  <c r="AY307" i="18" s="1"/>
  <c r="AZ271" i="18"/>
  <c r="AY272" i="18"/>
  <c r="BA108" i="18"/>
  <c r="BA170" i="18"/>
  <c r="AX372" i="18"/>
  <c r="AY372" i="18" s="1"/>
  <c r="AX331" i="18"/>
  <c r="AX332" i="18" s="1"/>
  <c r="AX321" i="18"/>
  <c r="BB407" i="18"/>
  <c r="AZ357" i="18"/>
  <c r="BA370" i="18"/>
  <c r="BB201" i="18" s="1"/>
  <c r="AW199" i="18"/>
  <c r="AW57" i="18" s="1"/>
  <c r="AX200" i="18"/>
  <c r="AY301" i="18"/>
  <c r="AY302" i="18" s="1"/>
  <c r="BB204" i="18"/>
  <c r="BA123" i="18"/>
  <c r="BD207" i="18"/>
  <c r="BF213" i="18"/>
  <c r="BA150" i="18"/>
  <c r="AR29" i="14"/>
  <c r="BB155" i="18"/>
  <c r="BA133" i="18"/>
  <c r="BB135" i="18" s="1"/>
  <c r="AW206" i="18"/>
  <c r="AV205" i="18"/>
  <c r="AV55" i="18" s="1"/>
  <c r="BC183" i="18"/>
  <c r="BA175" i="18"/>
  <c r="AZ128" i="18"/>
  <c r="AT173" i="18"/>
  <c r="AT64" i="18" s="1"/>
  <c r="AQ33" i="14" s="1"/>
  <c r="AQ31" i="14" s="1"/>
  <c r="AU174" i="18"/>
  <c r="AW107" i="18"/>
  <c r="AX214" i="18"/>
  <c r="AX60" i="18" s="1"/>
  <c r="AY215" i="18"/>
  <c r="AW217" i="18"/>
  <c r="AX218" i="18"/>
  <c r="BC314" i="18"/>
  <c r="AZ97" i="18"/>
  <c r="AZ274" i="18"/>
  <c r="AY227" i="18"/>
  <c r="AY347" i="18" s="1"/>
  <c r="BA329" i="18"/>
  <c r="BG287" i="18"/>
  <c r="BH284" i="18"/>
  <c r="BA345" i="18"/>
  <c r="BC141" i="18"/>
  <c r="BD141" i="18" s="1"/>
  <c r="AW164" i="18"/>
  <c r="BD272" i="18"/>
  <c r="BE269" i="18"/>
  <c r="BF98" i="18" s="1"/>
  <c r="AV122" i="18"/>
  <c r="AX149" i="18"/>
  <c r="AY154" i="18"/>
  <c r="BD350" i="18"/>
  <c r="BC400" i="18"/>
  <c r="BF395" i="18"/>
  <c r="AZ375" i="18"/>
  <c r="BB165" i="18"/>
  <c r="AW211" i="18"/>
  <c r="AW59" i="18" s="1"/>
  <c r="AX212" i="18"/>
  <c r="BC309" i="18"/>
  <c r="BD139" i="18" s="1"/>
  <c r="AV202" i="18"/>
  <c r="AV58" i="18" s="1"/>
  <c r="AW203" i="18"/>
  <c r="AZ299" i="18"/>
  <c r="BG286" i="18"/>
  <c r="AW102" i="18"/>
  <c r="AX397" i="18"/>
  <c r="AY397" i="18" s="1"/>
  <c r="AX402" i="18"/>
  <c r="AY402" i="18" s="1"/>
  <c r="AX387" i="18"/>
  <c r="AY387" i="18" s="1"/>
  <c r="AX311" i="18"/>
  <c r="AY311" i="18" s="1"/>
  <c r="AX382" i="18"/>
  <c r="AY382" i="18" s="1"/>
  <c r="AX377" i="18"/>
  <c r="AY377" i="18" s="1"/>
  <c r="AX281" i="18"/>
  <c r="AY281" i="18" s="1"/>
  <c r="BC145" i="18"/>
  <c r="BD145" i="18" s="1"/>
  <c r="AX169" i="18"/>
  <c r="AV138" i="18"/>
  <c r="BD385" i="18"/>
  <c r="AW177" i="18"/>
  <c r="AX159" i="18"/>
  <c r="AZ297" i="18"/>
  <c r="BA294" i="18"/>
  <c r="BB123" i="18" s="1"/>
  <c r="AZ103" i="18"/>
  <c r="BB324" i="18"/>
  <c r="AV196" i="18"/>
  <c r="AV52" i="18" s="1"/>
  <c r="AW197" i="18"/>
  <c r="BA160" i="18"/>
  <c r="BC355" i="18"/>
  <c r="BB408" i="18"/>
  <c r="BC405" i="18"/>
  <c r="BD219" i="18" s="1"/>
  <c r="AZ296" i="18"/>
  <c r="AZ352" i="18"/>
  <c r="AY353" i="18"/>
  <c r="BA339" i="18"/>
  <c r="AV47" i="18"/>
  <c r="AV41" i="18"/>
  <c r="BB380" i="18"/>
  <c r="BC204" i="18" s="1"/>
  <c r="BB334" i="18"/>
  <c r="BA304" i="18"/>
  <c r="AW127" i="18"/>
  <c r="AW182" i="18"/>
  <c r="BA279" i="18"/>
  <c r="AX276" i="18"/>
  <c r="AY276" i="18" s="1"/>
  <c r="AX144" i="18"/>
  <c r="BA319" i="18"/>
  <c r="AX132" i="18"/>
  <c r="BB160" i="18" l="1"/>
  <c r="AZ306" i="18"/>
  <c r="AZ307" i="18" s="1"/>
  <c r="BA271" i="18"/>
  <c r="AZ272" i="18"/>
  <c r="AS29" i="14"/>
  <c r="AZ347" i="18"/>
  <c r="AZ372" i="18"/>
  <c r="BB370" i="18"/>
  <c r="BC201" i="18" s="1"/>
  <c r="AX199" i="18"/>
  <c r="AX57" i="18" s="1"/>
  <c r="AY200" i="18"/>
  <c r="AZ377" i="18"/>
  <c r="AZ276" i="18"/>
  <c r="BE141" i="18"/>
  <c r="AZ301" i="18"/>
  <c r="AZ302" i="18" s="1"/>
  <c r="BC155" i="18"/>
  <c r="BG213" i="18"/>
  <c r="BB150" i="18"/>
  <c r="BA103" i="18"/>
  <c r="BA128" i="18"/>
  <c r="BH286" i="18"/>
  <c r="BA296" i="18"/>
  <c r="AW205" i="18"/>
  <c r="AW55" i="18" s="1"/>
  <c r="AX206" i="18"/>
  <c r="AX211" i="18"/>
  <c r="AX59" i="18" s="1"/>
  <c r="AY212" i="18"/>
  <c r="BA375" i="18"/>
  <c r="BD400" i="18"/>
  <c r="BE350" i="18"/>
  <c r="AX164" i="18"/>
  <c r="AY144" i="18"/>
  <c r="BB304" i="18"/>
  <c r="BD216" i="18"/>
  <c r="BB327" i="18"/>
  <c r="BC324" i="18"/>
  <c r="BA297" i="18"/>
  <c r="BB294" i="18"/>
  <c r="BC123" i="18" s="1"/>
  <c r="BE385" i="18"/>
  <c r="AZ281" i="18"/>
  <c r="AY282" i="18"/>
  <c r="AZ387" i="18"/>
  <c r="AY388" i="18"/>
  <c r="BE207" i="18"/>
  <c r="BC165" i="18"/>
  <c r="BC407" i="18"/>
  <c r="AZ154" i="18"/>
  <c r="BD314" i="18"/>
  <c r="BE145" i="18" s="1"/>
  <c r="AW41" i="18"/>
  <c r="AW47" i="18"/>
  <c r="BE178" i="18"/>
  <c r="AU173" i="18"/>
  <c r="AU64" i="18" s="1"/>
  <c r="AR33" i="14" s="1"/>
  <c r="AR31" i="14" s="1"/>
  <c r="AV174" i="18"/>
  <c r="BB170" i="18"/>
  <c r="AZ402" i="18"/>
  <c r="AY403" i="18"/>
  <c r="BA299" i="18"/>
  <c r="AY378" i="18"/>
  <c r="BG395" i="18"/>
  <c r="AW122" i="18"/>
  <c r="BB345" i="18"/>
  <c r="AY277" i="18"/>
  <c r="AY214" i="18"/>
  <c r="AY60" i="18" s="1"/>
  <c r="AZ215" i="18"/>
  <c r="AX107" i="18"/>
  <c r="AY159" i="18"/>
  <c r="AW138" i="18"/>
  <c r="AY169" i="18"/>
  <c r="AZ311" i="18"/>
  <c r="AY312" i="18"/>
  <c r="AY132" i="18"/>
  <c r="BB279" i="18"/>
  <c r="AX127" i="18"/>
  <c r="BC334" i="18"/>
  <c r="BC380" i="18"/>
  <c r="BD204" i="18" s="1"/>
  <c r="BA198" i="18"/>
  <c r="BB198" i="18" s="1"/>
  <c r="AW196" i="18"/>
  <c r="AW52" i="18" s="1"/>
  <c r="AX197" i="18"/>
  <c r="AX177" i="18"/>
  <c r="BB319" i="18"/>
  <c r="AX182" i="18"/>
  <c r="BB339" i="18"/>
  <c r="BA352" i="18"/>
  <c r="AZ353" i="18"/>
  <c r="BC408" i="18"/>
  <c r="BD405" i="18"/>
  <c r="BD355" i="18"/>
  <c r="AZ382" i="18"/>
  <c r="AY383" i="18"/>
  <c r="AZ397" i="18"/>
  <c r="AY398" i="18"/>
  <c r="AX102" i="18"/>
  <c r="AW202" i="18"/>
  <c r="AW58" i="18" s="1"/>
  <c r="AX203" i="18"/>
  <c r="BD309" i="18"/>
  <c r="BE139" i="18" s="1"/>
  <c r="AY149" i="18"/>
  <c r="BE272" i="18"/>
  <c r="BF269" i="18"/>
  <c r="BG98" i="18" s="1"/>
  <c r="BH287" i="18"/>
  <c r="BI284" i="18"/>
  <c r="BB329" i="18"/>
  <c r="AY316" i="18"/>
  <c r="AZ316" i="18" s="1"/>
  <c r="AY326" i="18"/>
  <c r="AZ326" i="18" s="1"/>
  <c r="AY336" i="18"/>
  <c r="AZ336" i="18" s="1"/>
  <c r="AY321" i="18"/>
  <c r="AZ321" i="18" s="1"/>
  <c r="AY331" i="18"/>
  <c r="AZ331" i="18" s="1"/>
  <c r="AY341" i="18"/>
  <c r="AZ341" i="18" s="1"/>
  <c r="BA97" i="18"/>
  <c r="BD183" i="18"/>
  <c r="BB108" i="18"/>
  <c r="BA274" i="18"/>
  <c r="AZ227" i="18"/>
  <c r="AX217" i="18"/>
  <c r="AY218" i="18"/>
  <c r="BB133" i="18"/>
  <c r="BB175" i="18"/>
  <c r="BA306" i="18" l="1"/>
  <c r="BB306" i="18" s="1"/>
  <c r="BB307" i="18" s="1"/>
  <c r="BB271" i="18"/>
  <c r="BC175" i="18"/>
  <c r="AZ373" i="18"/>
  <c r="AY199" i="18"/>
  <c r="AY57" i="18" s="1"/>
  <c r="AZ200" i="18"/>
  <c r="BC370" i="18"/>
  <c r="BD201" i="18" s="1"/>
  <c r="BA377" i="18"/>
  <c r="BH213" i="18"/>
  <c r="BF141" i="18"/>
  <c r="BD155" i="18"/>
  <c r="BA301" i="18"/>
  <c r="AT29" i="14"/>
  <c r="BE183" i="18"/>
  <c r="BB128" i="18"/>
  <c r="BF178" i="18"/>
  <c r="BE216" i="18"/>
  <c r="BC108" i="18"/>
  <c r="BF207" i="18"/>
  <c r="AX205" i="18"/>
  <c r="AX55" i="18" s="1"/>
  <c r="AY206" i="18"/>
  <c r="AY217" i="18"/>
  <c r="AZ218" i="18"/>
  <c r="BA331" i="18"/>
  <c r="BC133" i="18"/>
  <c r="BC135" i="18"/>
  <c r="BB274" i="18"/>
  <c r="BA227" i="18"/>
  <c r="BA372" i="18" s="1"/>
  <c r="BB372" i="18" s="1"/>
  <c r="BC372" i="18" s="1"/>
  <c r="BD372" i="18" s="1"/>
  <c r="BE372" i="18" s="1"/>
  <c r="BF372" i="18" s="1"/>
  <c r="BG372" i="18" s="1"/>
  <c r="BH372" i="18" s="1"/>
  <c r="BI372" i="18" s="1"/>
  <c r="BJ372" i="18" s="1"/>
  <c r="BK372" i="18" s="1"/>
  <c r="BL372" i="18" s="1"/>
  <c r="BM372" i="18" s="1"/>
  <c r="BN372" i="18" s="1"/>
  <c r="BO372" i="18" s="1"/>
  <c r="BP372" i="18" s="1"/>
  <c r="BQ372" i="18" s="1"/>
  <c r="BR372" i="18" s="1"/>
  <c r="BS372" i="18" s="1"/>
  <c r="BT372" i="18" s="1"/>
  <c r="BU372" i="18" s="1"/>
  <c r="BV372" i="18" s="1"/>
  <c r="BW372" i="18" s="1"/>
  <c r="BX372" i="18" s="1"/>
  <c r="BY372" i="18" s="1"/>
  <c r="BZ372" i="18" s="1"/>
  <c r="CA372" i="18" s="1"/>
  <c r="CB372" i="18" s="1"/>
  <c r="CC372" i="18" s="1"/>
  <c r="CD372" i="18" s="1"/>
  <c r="CE372" i="18" s="1"/>
  <c r="CF372" i="18" s="1"/>
  <c r="CG372" i="18" s="1"/>
  <c r="CH372" i="18" s="1"/>
  <c r="CI372" i="18" s="1"/>
  <c r="CJ372" i="18" s="1"/>
  <c r="CK372" i="18" s="1"/>
  <c r="CL372" i="18" s="1"/>
  <c r="CM372" i="18" s="1"/>
  <c r="CN372" i="18" s="1"/>
  <c r="CO372" i="18" s="1"/>
  <c r="CP372" i="18" s="1"/>
  <c r="CQ372" i="18" s="1"/>
  <c r="CR372" i="18" s="1"/>
  <c r="CS372" i="18" s="1"/>
  <c r="CT372" i="18" s="1"/>
  <c r="CU372" i="18" s="1"/>
  <c r="CV372" i="18" s="1"/>
  <c r="CW372" i="18" s="1"/>
  <c r="CX372" i="18" s="1"/>
  <c r="CY372" i="18" s="1"/>
  <c r="CZ372" i="18" s="1"/>
  <c r="DA372" i="18" s="1"/>
  <c r="DB372" i="18" s="1"/>
  <c r="DC372" i="18" s="1"/>
  <c r="DD372" i="18" s="1"/>
  <c r="DE372" i="18" s="1"/>
  <c r="DF372" i="18" s="1"/>
  <c r="DG372" i="18" s="1"/>
  <c r="DH372" i="18" s="1"/>
  <c r="DI372" i="18" s="1"/>
  <c r="DJ372" i="18" s="1"/>
  <c r="DK372" i="18" s="1"/>
  <c r="DL372" i="18" s="1"/>
  <c r="DM372" i="18" s="1"/>
  <c r="DN372" i="18" s="1"/>
  <c r="DO372" i="18" s="1"/>
  <c r="DP372" i="18" s="1"/>
  <c r="DQ372" i="18" s="1"/>
  <c r="DR372" i="18" s="1"/>
  <c r="DS372" i="18" s="1"/>
  <c r="DT372" i="18" s="1"/>
  <c r="DU372" i="18" s="1"/>
  <c r="DV372" i="18" s="1"/>
  <c r="DW372" i="18" s="1"/>
  <c r="DX372" i="18" s="1"/>
  <c r="DY372" i="18" s="1"/>
  <c r="DZ372" i="18" s="1"/>
  <c r="EA372" i="18" s="1"/>
  <c r="EB372" i="18" s="1"/>
  <c r="EC372" i="18" s="1"/>
  <c r="ED372" i="18" s="1"/>
  <c r="EE372" i="18" s="1"/>
  <c r="EF372" i="18" s="1"/>
  <c r="EG372" i="18" s="1"/>
  <c r="EH372" i="18" s="1"/>
  <c r="EI372" i="18" s="1"/>
  <c r="F372" i="18" s="1"/>
  <c r="BA341" i="18"/>
  <c r="BA326" i="18"/>
  <c r="BB326" i="18" s="1"/>
  <c r="BC326" i="18" s="1"/>
  <c r="BE355" i="18"/>
  <c r="BC319" i="18"/>
  <c r="AY177" i="18"/>
  <c r="AZ132" i="18"/>
  <c r="AZ214" i="18"/>
  <c r="AZ60" i="18" s="1"/>
  <c r="BA215" i="18"/>
  <c r="BC345" i="18"/>
  <c r="BG398" i="18"/>
  <c r="BH395" i="18"/>
  <c r="BC170" i="18"/>
  <c r="BB103" i="18"/>
  <c r="AY164" i="18"/>
  <c r="BF350" i="18"/>
  <c r="BE400" i="18"/>
  <c r="AY211" i="18"/>
  <c r="AY59" i="18" s="1"/>
  <c r="AZ212" i="18"/>
  <c r="BD380" i="18"/>
  <c r="AY127" i="18"/>
  <c r="AZ169" i="18"/>
  <c r="AZ159" i="18"/>
  <c r="BB299" i="18"/>
  <c r="BA402" i="18"/>
  <c r="AZ403" i="18"/>
  <c r="AV173" i="18"/>
  <c r="AV64" i="18" s="1"/>
  <c r="AS33" i="14" s="1"/>
  <c r="AS31" i="14" s="1"/>
  <c r="AW174" i="18"/>
  <c r="BE314" i="18"/>
  <c r="BF145" i="18" s="1"/>
  <c r="BD165" i="18"/>
  <c r="BC294" i="18"/>
  <c r="AZ144" i="18"/>
  <c r="BA378" i="18"/>
  <c r="BB375" i="18"/>
  <c r="BI287" i="18"/>
  <c r="BJ284" i="18"/>
  <c r="AX202" i="18"/>
  <c r="AX58" i="18" s="1"/>
  <c r="AY203" i="18"/>
  <c r="BA397" i="18"/>
  <c r="AZ398" i="18"/>
  <c r="AX47" i="18"/>
  <c r="AX41" i="18"/>
  <c r="BA321" i="18"/>
  <c r="BC329" i="18"/>
  <c r="BF272" i="18"/>
  <c r="BG269" i="18"/>
  <c r="BH98" i="18" s="1"/>
  <c r="AZ149" i="18"/>
  <c r="BE309" i="18"/>
  <c r="BF139" i="18" s="1"/>
  <c r="BD408" i="18"/>
  <c r="BE405" i="18"/>
  <c r="AX196" i="18"/>
  <c r="AX52" i="18" s="1"/>
  <c r="AY197" i="18"/>
  <c r="BD334" i="18"/>
  <c r="AY107" i="18"/>
  <c r="AZ388" i="18"/>
  <c r="BF385" i="18"/>
  <c r="BC327" i="18"/>
  <c r="BD324" i="18"/>
  <c r="BC150" i="18"/>
  <c r="BA316" i="18"/>
  <c r="AZ317" i="18"/>
  <c r="AY102" i="18"/>
  <c r="BC339" i="18"/>
  <c r="BB97" i="18"/>
  <c r="BA336" i="18"/>
  <c r="AZ337" i="18"/>
  <c r="BA382" i="18"/>
  <c r="AZ383" i="18"/>
  <c r="BB352" i="18"/>
  <c r="BA353" i="18"/>
  <c r="AY182" i="18"/>
  <c r="BC279" i="18"/>
  <c r="BA311" i="18"/>
  <c r="BB311" i="18" s="1"/>
  <c r="AZ312" i="18"/>
  <c r="AX138" i="18"/>
  <c r="BC160" i="18"/>
  <c r="AX122" i="18"/>
  <c r="BA154" i="18"/>
  <c r="BD407" i="18"/>
  <c r="BI286" i="18"/>
  <c r="BC304" i="18"/>
  <c r="BE219" i="18"/>
  <c r="BC311" i="18" l="1"/>
  <c r="BB312" i="18"/>
  <c r="BD175" i="18"/>
  <c r="BA387" i="18"/>
  <c r="BB387" i="18" s="1"/>
  <c r="BA281" i="18"/>
  <c r="BB281" i="18" s="1"/>
  <c r="BA276" i="18"/>
  <c r="BB276" i="18" s="1"/>
  <c r="BD150" i="18"/>
  <c r="BC271" i="18"/>
  <c r="BB377" i="18"/>
  <c r="BA357" i="18"/>
  <c r="BB357" i="18" s="1"/>
  <c r="BB358" i="18" s="1"/>
  <c r="BA347" i="18"/>
  <c r="BB347" i="18" s="1"/>
  <c r="BB348" i="18" s="1"/>
  <c r="E372" i="18"/>
  <c r="BD370" i="18"/>
  <c r="BE201" i="18" s="1"/>
  <c r="AZ199" i="18"/>
  <c r="AZ57" i="18" s="1"/>
  <c r="BA200" i="18"/>
  <c r="AU29" i="14"/>
  <c r="BC103" i="18"/>
  <c r="BE155" i="18"/>
  <c r="BI213" i="18"/>
  <c r="BC198" i="18"/>
  <c r="BB301" i="18"/>
  <c r="BB302" i="18" s="1"/>
  <c r="BG141" i="18"/>
  <c r="BD326" i="18"/>
  <c r="BC306" i="18"/>
  <c r="BC307" i="18" s="1"/>
  <c r="BG207" i="18"/>
  <c r="BE407" i="18"/>
  <c r="AY205" i="18"/>
  <c r="AY55" i="18" s="1"/>
  <c r="AZ206" i="18"/>
  <c r="BD160" i="18"/>
  <c r="BF219" i="18"/>
  <c r="BJ286" i="18"/>
  <c r="BD170" i="18"/>
  <c r="AZ182" i="18"/>
  <c r="BB382" i="18"/>
  <c r="BA383" i="18"/>
  <c r="BC97" i="18"/>
  <c r="AY196" i="18"/>
  <c r="AY52" i="18" s="1"/>
  <c r="AZ197" i="18"/>
  <c r="BA144" i="18"/>
  <c r="BE165" i="18"/>
  <c r="AZ211" i="18"/>
  <c r="AZ59" i="18" s="1"/>
  <c r="BA212" i="18"/>
  <c r="AZ164" i="18"/>
  <c r="BH398" i="18"/>
  <c r="BI395" i="18"/>
  <c r="AZ177" i="18"/>
  <c r="BF355" i="18"/>
  <c r="BB341" i="18"/>
  <c r="BA342" i="18"/>
  <c r="BC274" i="18"/>
  <c r="BB227" i="18"/>
  <c r="BB296" i="18" s="1"/>
  <c r="BC296" i="18" s="1"/>
  <c r="BD133" i="18"/>
  <c r="AY47" i="18"/>
  <c r="AY41" i="18"/>
  <c r="AY138" i="18"/>
  <c r="AZ107" i="18"/>
  <c r="BF309" i="18"/>
  <c r="BG139" i="18" s="1"/>
  <c r="BD294" i="18"/>
  <c r="BF314" i="18"/>
  <c r="BG145" i="18" s="1"/>
  <c r="BB402" i="18"/>
  <c r="BA403" i="18"/>
  <c r="BA169" i="18"/>
  <c r="BE380" i="18"/>
  <c r="BG350" i="18"/>
  <c r="BA132" i="18"/>
  <c r="BD319" i="18"/>
  <c r="BF183" i="18"/>
  <c r="BD279" i="18"/>
  <c r="AY122" i="18"/>
  <c r="BD108" i="18"/>
  <c r="BD123" i="18"/>
  <c r="BB331" i="18"/>
  <c r="BE204" i="18"/>
  <c r="BB336" i="18"/>
  <c r="BA337" i="18"/>
  <c r="BB154" i="18"/>
  <c r="BB316" i="18"/>
  <c r="BA317" i="18"/>
  <c r="BE408" i="18"/>
  <c r="BF405" i="18"/>
  <c r="BB397" i="18"/>
  <c r="BA398" i="18"/>
  <c r="AW173" i="18"/>
  <c r="AW64" i="18" s="1"/>
  <c r="AT33" i="14" s="1"/>
  <c r="AT31" i="14" s="1"/>
  <c r="AX174" i="18"/>
  <c r="BF400" i="18"/>
  <c r="BA214" i="18"/>
  <c r="BA60" i="18" s="1"/>
  <c r="BB215" i="18"/>
  <c r="BD304" i="18"/>
  <c r="BC352" i="18"/>
  <c r="BB353" i="18"/>
  <c r="BD339" i="18"/>
  <c r="AZ102" i="18"/>
  <c r="BD327" i="18"/>
  <c r="BE324" i="18"/>
  <c r="BG385" i="18"/>
  <c r="BG178" i="18"/>
  <c r="BH178" i="18" s="1"/>
  <c r="BE334" i="18"/>
  <c r="BA149" i="18"/>
  <c r="BG272" i="18"/>
  <c r="BH269" i="18"/>
  <c r="BI98" i="18" s="1"/>
  <c r="BD329" i="18"/>
  <c r="BB321" i="18"/>
  <c r="AY202" i="18"/>
  <c r="AY58" i="18" s="1"/>
  <c r="AZ203" i="18"/>
  <c r="BJ287" i="18"/>
  <c r="BK284" i="18"/>
  <c r="BB378" i="18"/>
  <c r="BC375" i="18"/>
  <c r="BF216" i="18"/>
  <c r="BC299" i="18"/>
  <c r="BA159" i="18"/>
  <c r="AZ127" i="18"/>
  <c r="BD345" i="18"/>
  <c r="BC128" i="18"/>
  <c r="BD135" i="18"/>
  <c r="AZ217" i="18"/>
  <c r="BA218" i="18"/>
  <c r="BC377" i="18" l="1"/>
  <c r="BD311" i="18"/>
  <c r="BE311" i="18" s="1"/>
  <c r="BF311" i="18" s="1"/>
  <c r="BC312" i="18"/>
  <c r="BE150" i="18"/>
  <c r="BD271" i="18"/>
  <c r="BC347" i="18"/>
  <c r="BD347" i="18" s="1"/>
  <c r="BC357" i="18"/>
  <c r="BD357" i="18" s="1"/>
  <c r="BE160" i="18"/>
  <c r="BH207" i="18"/>
  <c r="BA199" i="18"/>
  <c r="BA57" i="18" s="1"/>
  <c r="BB200" i="18"/>
  <c r="BD373" i="18"/>
  <c r="BE370" i="18"/>
  <c r="BF201" i="18" s="1"/>
  <c r="BC276" i="18"/>
  <c r="BE326" i="18"/>
  <c r="BJ213" i="18"/>
  <c r="BF155" i="18"/>
  <c r="BD103" i="18"/>
  <c r="BC301" i="18"/>
  <c r="BD296" i="18"/>
  <c r="BD306" i="18"/>
  <c r="BH141" i="18"/>
  <c r="BD198" i="18"/>
  <c r="BG219" i="18"/>
  <c r="BF204" i="18"/>
  <c r="BE135" i="18"/>
  <c r="AV29" i="14"/>
  <c r="BG183" i="18"/>
  <c r="BG216" i="18"/>
  <c r="AZ205" i="18"/>
  <c r="AZ55" i="18" s="1"/>
  <c r="BA206" i="18"/>
  <c r="BE123" i="18"/>
  <c r="BD128" i="18"/>
  <c r="AZ202" i="18"/>
  <c r="AZ58" i="18" s="1"/>
  <c r="BA203" i="18"/>
  <c r="BC281" i="18"/>
  <c r="BK287" i="18"/>
  <c r="BL284" i="18"/>
  <c r="BC321" i="18"/>
  <c r="BB322" i="18"/>
  <c r="BH272" i="18"/>
  <c r="BI269" i="18"/>
  <c r="BJ98" i="18" s="1"/>
  <c r="BB149" i="18"/>
  <c r="BE327" i="18"/>
  <c r="BF324" i="18"/>
  <c r="BA102" i="18"/>
  <c r="BB214" i="18"/>
  <c r="BB60" i="18" s="1"/>
  <c r="BC215" i="18"/>
  <c r="AX173" i="18"/>
  <c r="AX64" i="18" s="1"/>
  <c r="AU33" i="14" s="1"/>
  <c r="AU31" i="14" s="1"/>
  <c r="AY174" i="18"/>
  <c r="BC316" i="18"/>
  <c r="BB317" i="18"/>
  <c r="BK286" i="18"/>
  <c r="BA127" i="18"/>
  <c r="BC378" i="18"/>
  <c r="BD375" i="18"/>
  <c r="BC387" i="18"/>
  <c r="BB388" i="18"/>
  <c r="BD352" i="18"/>
  <c r="BC353" i="18"/>
  <c r="BE304" i="18"/>
  <c r="BG400" i="18"/>
  <c r="AZ122" i="18"/>
  <c r="BC297" i="18"/>
  <c r="BA107" i="18"/>
  <c r="BI398" i="18"/>
  <c r="BJ395" i="18"/>
  <c r="BD97" i="18"/>
  <c r="BA217" i="18"/>
  <c r="BB218" i="18"/>
  <c r="BE329" i="18"/>
  <c r="BF334" i="18"/>
  <c r="BE339" i="18"/>
  <c r="BC397" i="18"/>
  <c r="BB398" i="18"/>
  <c r="BC154" i="18"/>
  <c r="BC336" i="18"/>
  <c r="BE279" i="18"/>
  <c r="BB132" i="18"/>
  <c r="BC402" i="18"/>
  <c r="BB403" i="18"/>
  <c r="BF312" i="18"/>
  <c r="BG309" i="18"/>
  <c r="BH139" i="18" s="1"/>
  <c r="BG355" i="18"/>
  <c r="BA164" i="18"/>
  <c r="AZ47" i="18"/>
  <c r="AZ41" i="18"/>
  <c r="BH385" i="18"/>
  <c r="BE175" i="18"/>
  <c r="BG405" i="18"/>
  <c r="BC331" i="18"/>
  <c r="BB332" i="18"/>
  <c r="BE170" i="18"/>
  <c r="BE108" i="18"/>
  <c r="BF108" i="18" s="1"/>
  <c r="BE319" i="18"/>
  <c r="BB169" i="18"/>
  <c r="AZ138" i="18"/>
  <c r="BC277" i="18"/>
  <c r="BD274" i="18"/>
  <c r="BC227" i="18"/>
  <c r="BC341" i="18"/>
  <c r="BB342" i="18"/>
  <c r="BA177" i="18"/>
  <c r="BF165" i="18"/>
  <c r="BG165" i="18" s="1"/>
  <c r="BC382" i="18"/>
  <c r="BB383" i="18"/>
  <c r="BD348" i="18"/>
  <c r="BE345" i="18"/>
  <c r="BB159" i="18"/>
  <c r="BD299" i="18"/>
  <c r="BG353" i="18"/>
  <c r="BH350" i="18"/>
  <c r="BI178" i="18" s="1"/>
  <c r="BF380" i="18"/>
  <c r="BG314" i="18"/>
  <c r="BE294" i="18"/>
  <c r="BE133" i="18"/>
  <c r="BA211" i="18"/>
  <c r="BA59" i="18" s="1"/>
  <c r="BB212" i="18"/>
  <c r="BB144" i="18"/>
  <c r="AZ196" i="18"/>
  <c r="AZ52" i="18" s="1"/>
  <c r="BA197" i="18"/>
  <c r="BA182" i="18"/>
  <c r="BD377" i="18" l="1"/>
  <c r="BC358" i="18"/>
  <c r="BE271" i="18"/>
  <c r="BE128" i="18"/>
  <c r="BH183" i="18"/>
  <c r="BD276" i="18"/>
  <c r="BB199" i="18"/>
  <c r="BB57" i="18" s="1"/>
  <c r="BC200" i="18"/>
  <c r="BE373" i="18"/>
  <c r="BF370" i="18"/>
  <c r="BG201" i="18" s="1"/>
  <c r="BE198" i="18"/>
  <c r="BI141" i="18"/>
  <c r="BK213" i="18"/>
  <c r="BH216" i="18"/>
  <c r="BD301" i="18"/>
  <c r="BD302" i="18" s="1"/>
  <c r="BF326" i="18"/>
  <c r="BE306" i="18"/>
  <c r="BE307" i="18" s="1"/>
  <c r="BE103" i="18"/>
  <c r="BF123" i="18"/>
  <c r="BG311" i="18"/>
  <c r="BE296" i="18"/>
  <c r="BG155" i="18"/>
  <c r="AW29" i="14"/>
  <c r="BA205" i="18"/>
  <c r="BA55" i="18" s="1"/>
  <c r="BB206" i="18"/>
  <c r="BL286" i="18"/>
  <c r="BF133" i="18"/>
  <c r="BF170" i="18"/>
  <c r="BF175" i="18"/>
  <c r="BG312" i="18"/>
  <c r="BH309" i="18"/>
  <c r="BI139" i="18" s="1"/>
  <c r="BD402" i="18"/>
  <c r="BC403" i="18"/>
  <c r="BF339" i="18"/>
  <c r="BG334" i="18"/>
  <c r="BH165" i="18" s="1"/>
  <c r="BE357" i="18"/>
  <c r="BD358" i="18"/>
  <c r="BB107" i="18"/>
  <c r="BF304" i="18"/>
  <c r="BE352" i="18"/>
  <c r="BD353" i="18"/>
  <c r="BC214" i="18"/>
  <c r="BC60" i="18" s="1"/>
  <c r="BD215" i="18"/>
  <c r="BC149" i="18"/>
  <c r="BH353" i="18"/>
  <c r="BI350" i="18"/>
  <c r="BJ178" i="18" s="1"/>
  <c r="BB182" i="18"/>
  <c r="BB211" i="18"/>
  <c r="BB59" i="18" s="1"/>
  <c r="BC212" i="18"/>
  <c r="BE297" i="18"/>
  <c r="BF294" i="18"/>
  <c r="BH314" i="18"/>
  <c r="BG380" i="18"/>
  <c r="BA138" i="18"/>
  <c r="BC159" i="18"/>
  <c r="BF345" i="18"/>
  <c r="BB177" i="18"/>
  <c r="BD341" i="18"/>
  <c r="BE274" i="18"/>
  <c r="BD227" i="18"/>
  <c r="BA196" i="18"/>
  <c r="BA52" i="18" s="1"/>
  <c r="BB197" i="18"/>
  <c r="BC144" i="18"/>
  <c r="BE299" i="18"/>
  <c r="BD382" i="18"/>
  <c r="BC383" i="18"/>
  <c r="BF319" i="18"/>
  <c r="BH405" i="18"/>
  <c r="BB164" i="18"/>
  <c r="BC132" i="18"/>
  <c r="BF279" i="18"/>
  <c r="BG108" i="18" s="1"/>
  <c r="BD336" i="18"/>
  <c r="BD397" i="18"/>
  <c r="BC398" i="18"/>
  <c r="BB217" i="18"/>
  <c r="BC218" i="18"/>
  <c r="BA122" i="18"/>
  <c r="BB127" i="18"/>
  <c r="BD316" i="18"/>
  <c r="BC317" i="18"/>
  <c r="BF327" i="18"/>
  <c r="BG324" i="18"/>
  <c r="BI272" i="18"/>
  <c r="BJ269" i="18"/>
  <c r="BK98" i="18" s="1"/>
  <c r="BA202" i="18"/>
  <c r="BA58" i="18" s="1"/>
  <c r="BB203" i="18"/>
  <c r="BF150" i="18"/>
  <c r="BC169" i="18"/>
  <c r="BD331" i="18"/>
  <c r="BI385" i="18"/>
  <c r="BD154" i="18"/>
  <c r="BF329" i="18"/>
  <c r="BA41" i="18"/>
  <c r="BA47" i="18"/>
  <c r="BE97" i="18"/>
  <c r="BG403" i="18"/>
  <c r="BH400" i="18"/>
  <c r="BD378" i="18"/>
  <c r="BE375" i="18"/>
  <c r="BE377" i="18" s="1"/>
  <c r="AY173" i="18"/>
  <c r="AY64" i="18" s="1"/>
  <c r="AV33" i="14" s="1"/>
  <c r="AV31" i="14" s="1"/>
  <c r="AZ174" i="18"/>
  <c r="BD321" i="18"/>
  <c r="BC322" i="18"/>
  <c r="BF135" i="18"/>
  <c r="BF160" i="18"/>
  <c r="BH355" i="18"/>
  <c r="BJ398" i="18"/>
  <c r="BK395" i="18"/>
  <c r="BG204" i="18"/>
  <c r="BD387" i="18"/>
  <c r="BC388" i="18"/>
  <c r="BH219" i="18"/>
  <c r="BI219" i="18" s="1"/>
  <c r="BB102" i="18"/>
  <c r="BL287" i="18"/>
  <c r="BM284" i="18"/>
  <c r="BD281" i="18"/>
  <c r="BE281" i="18" s="1"/>
  <c r="BC282" i="18"/>
  <c r="BH145" i="18"/>
  <c r="BI207" i="18"/>
  <c r="BF271" i="18" l="1"/>
  <c r="BF128" i="18"/>
  <c r="BI183" i="18"/>
  <c r="BG133" i="18"/>
  <c r="BE276" i="18"/>
  <c r="BC199" i="18"/>
  <c r="BC57" i="18" s="1"/>
  <c r="BD200" i="18"/>
  <c r="BF373" i="18"/>
  <c r="BG370" i="18"/>
  <c r="BH201" i="18" s="1"/>
  <c r="BF281" i="18"/>
  <c r="BF296" i="18"/>
  <c r="BG123" i="18"/>
  <c r="BF306" i="18"/>
  <c r="BF307" i="18" s="1"/>
  <c r="BE301" i="18"/>
  <c r="BE302" i="18" s="1"/>
  <c r="BL213" i="18"/>
  <c r="BJ141" i="18"/>
  <c r="BI216" i="18"/>
  <c r="BF198" i="18"/>
  <c r="BG170" i="18"/>
  <c r="BH155" i="18"/>
  <c r="BH311" i="18"/>
  <c r="BF103" i="18"/>
  <c r="BG326" i="18"/>
  <c r="AX29" i="14"/>
  <c r="BG135" i="18"/>
  <c r="BH204" i="18"/>
  <c r="BG160" i="18"/>
  <c r="BB205" i="18"/>
  <c r="BB55" i="18" s="1"/>
  <c r="BC206" i="18"/>
  <c r="BI145" i="18"/>
  <c r="BJ207" i="18"/>
  <c r="BM287" i="18"/>
  <c r="BN284" i="18"/>
  <c r="BC102" i="18"/>
  <c r="BH358" i="18"/>
  <c r="BI355" i="18"/>
  <c r="AZ173" i="18"/>
  <c r="AZ64" i="18" s="1"/>
  <c r="AW33" i="14" s="1"/>
  <c r="AW31" i="14" s="1"/>
  <c r="BA174" i="18"/>
  <c r="BH403" i="18"/>
  <c r="BI400" i="18"/>
  <c r="BF97" i="18"/>
  <c r="BG329" i="18"/>
  <c r="BE331" i="18"/>
  <c r="BD332" i="18"/>
  <c r="BG150" i="18"/>
  <c r="BB202" i="18"/>
  <c r="BB58" i="18" s="1"/>
  <c r="BC203" i="18"/>
  <c r="BE316" i="18"/>
  <c r="BD317" i="18"/>
  <c r="BB47" i="18"/>
  <c r="BB41" i="18"/>
  <c r="BE336" i="18"/>
  <c r="BD337" i="18"/>
  <c r="BD132" i="18"/>
  <c r="BB196" i="18"/>
  <c r="BB52" i="18" s="1"/>
  <c r="BC197" i="18"/>
  <c r="BD159" i="18"/>
  <c r="BC211" i="18"/>
  <c r="BC59" i="18" s="1"/>
  <c r="BD212" i="18"/>
  <c r="BD214" i="18"/>
  <c r="BD60" i="18" s="1"/>
  <c r="BE215" i="18"/>
  <c r="BG304" i="18"/>
  <c r="BH312" i="18"/>
  <c r="BI309" i="18"/>
  <c r="BJ139" i="18" s="1"/>
  <c r="BE321" i="18"/>
  <c r="BD322" i="18"/>
  <c r="BD169" i="18"/>
  <c r="BC127" i="18"/>
  <c r="BF282" i="18"/>
  <c r="BG279" i="18"/>
  <c r="BH408" i="18"/>
  <c r="BI405" i="18"/>
  <c r="BJ219" i="18" s="1"/>
  <c r="BG319" i="18"/>
  <c r="BF299" i="18"/>
  <c r="BE277" i="18"/>
  <c r="BF274" i="18"/>
  <c r="BE227" i="18"/>
  <c r="BE347" i="18" s="1"/>
  <c r="BE341" i="18"/>
  <c r="BF341" i="18" s="1"/>
  <c r="BD342" i="18"/>
  <c r="BG345" i="18"/>
  <c r="BB138" i="18"/>
  <c r="BI314" i="18"/>
  <c r="BF297" i="18"/>
  <c r="BG294" i="18"/>
  <c r="BI353" i="18"/>
  <c r="BJ350" i="18"/>
  <c r="BK178" i="18" s="1"/>
  <c r="BF352" i="18"/>
  <c r="BG352" i="18" s="1"/>
  <c r="BH352" i="18" s="1"/>
  <c r="BI352" i="18" s="1"/>
  <c r="BE353" i="18"/>
  <c r="BC107" i="18"/>
  <c r="BF357" i="18"/>
  <c r="BE358" i="18"/>
  <c r="BF342" i="18"/>
  <c r="BG339" i="18"/>
  <c r="BE402" i="18"/>
  <c r="BD403" i="18"/>
  <c r="BG175" i="18"/>
  <c r="BH175" i="18" s="1"/>
  <c r="BE387" i="18"/>
  <c r="BD388" i="18"/>
  <c r="BM286" i="18"/>
  <c r="BE154" i="18"/>
  <c r="BJ272" i="18"/>
  <c r="BK269" i="18"/>
  <c r="BL98" i="18" s="1"/>
  <c r="BE397" i="18"/>
  <c r="BD398" i="18"/>
  <c r="BC164" i="18"/>
  <c r="BD144" i="18"/>
  <c r="BC177" i="18"/>
  <c r="BH380" i="18"/>
  <c r="BC182" i="18"/>
  <c r="BD149" i="18"/>
  <c r="BH334" i="18"/>
  <c r="BK398" i="18"/>
  <c r="BL395" i="18"/>
  <c r="BE378" i="18"/>
  <c r="BF375" i="18"/>
  <c r="BF377" i="18" s="1"/>
  <c r="BJ385" i="18"/>
  <c r="BG327" i="18"/>
  <c r="BH324" i="18"/>
  <c r="BB122" i="18"/>
  <c r="BC217" i="18"/>
  <c r="BD218" i="18"/>
  <c r="BE382" i="18"/>
  <c r="BD383" i="18"/>
  <c r="BH133" i="18" l="1"/>
  <c r="BH135" i="18"/>
  <c r="BG271" i="18"/>
  <c r="BF276" i="18"/>
  <c r="BJ183" i="18"/>
  <c r="BD199" i="18"/>
  <c r="BD57" i="18" s="1"/>
  <c r="BE200" i="18"/>
  <c r="BG373" i="18"/>
  <c r="BH370" i="18"/>
  <c r="BI201" i="18" s="1"/>
  <c r="BG281" i="18"/>
  <c r="BJ352" i="18"/>
  <c r="BI311" i="18"/>
  <c r="BH170" i="18"/>
  <c r="BK141" i="18"/>
  <c r="BH108" i="18"/>
  <c r="BG341" i="18"/>
  <c r="BG198" i="18"/>
  <c r="BM213" i="18"/>
  <c r="BG306" i="18"/>
  <c r="BG307" i="18" s="1"/>
  <c r="BG296" i="18"/>
  <c r="BJ145" i="18"/>
  <c r="BH326" i="18"/>
  <c r="BJ216" i="18"/>
  <c r="BF301" i="18"/>
  <c r="BH123" i="18"/>
  <c r="BG103" i="18"/>
  <c r="BI155" i="18"/>
  <c r="BI204" i="18"/>
  <c r="BN286" i="18"/>
  <c r="AY29" i="14"/>
  <c r="BD206" i="18"/>
  <c r="BC205" i="18"/>
  <c r="BC55" i="18" s="1"/>
  <c r="BF382" i="18"/>
  <c r="BE383" i="18"/>
  <c r="BK385" i="18"/>
  <c r="BI334" i="18"/>
  <c r="BE149" i="18"/>
  <c r="BD164" i="18"/>
  <c r="BG299" i="18"/>
  <c r="BF321" i="18"/>
  <c r="BI312" i="18"/>
  <c r="BJ309" i="18"/>
  <c r="BK139" i="18" s="1"/>
  <c r="BC196" i="18"/>
  <c r="BC52" i="18" s="1"/>
  <c r="BD197" i="18"/>
  <c r="BE132" i="18"/>
  <c r="BC202" i="18"/>
  <c r="BC58" i="18" s="1"/>
  <c r="BD203" i="18"/>
  <c r="BI403" i="18"/>
  <c r="BJ400" i="18"/>
  <c r="BD217" i="18"/>
  <c r="BE218" i="18"/>
  <c r="BG342" i="18"/>
  <c r="BH339" i="18"/>
  <c r="BI165" i="18"/>
  <c r="BC41" i="18"/>
  <c r="BC47" i="18"/>
  <c r="BC122" i="18"/>
  <c r="BH327" i="18"/>
  <c r="BI324" i="18"/>
  <c r="BD107" i="18"/>
  <c r="BG282" i="18"/>
  <c r="BH279" i="18"/>
  <c r="BE214" i="18"/>
  <c r="BE60" i="18" s="1"/>
  <c r="BF215" i="18"/>
  <c r="BD211" i="18"/>
  <c r="BD59" i="18" s="1"/>
  <c r="BE212" i="18"/>
  <c r="BG97" i="18"/>
  <c r="BN287" i="18"/>
  <c r="BO284" i="18"/>
  <c r="BF378" i="18"/>
  <c r="BG375" i="18"/>
  <c r="BG377" i="18" s="1"/>
  <c r="BG357" i="18"/>
  <c r="BH357" i="18" s="1"/>
  <c r="BI357" i="18" s="1"/>
  <c r="BF358" i="18"/>
  <c r="BL398" i="18"/>
  <c r="BM395" i="18"/>
  <c r="BD182" i="18"/>
  <c r="BD177" i="18"/>
  <c r="BE144" i="18"/>
  <c r="BK272" i="18"/>
  <c r="BL269" i="18"/>
  <c r="BM98" i="18" s="1"/>
  <c r="BF387" i="18"/>
  <c r="BE388" i="18"/>
  <c r="BF402" i="18"/>
  <c r="BG402" i="18" s="1"/>
  <c r="BH402" i="18" s="1"/>
  <c r="BI402" i="18" s="1"/>
  <c r="BE403" i="18"/>
  <c r="BF277" i="18"/>
  <c r="BG274" i="18"/>
  <c r="BF227" i="18"/>
  <c r="BD127" i="18"/>
  <c r="BE169" i="18"/>
  <c r="BH304" i="18"/>
  <c r="BF331" i="18"/>
  <c r="BE332" i="18"/>
  <c r="BH329" i="18"/>
  <c r="BH160" i="18"/>
  <c r="BD102" i="18"/>
  <c r="BK207" i="18"/>
  <c r="BG128" i="18"/>
  <c r="BI380" i="18"/>
  <c r="BF397" i="18"/>
  <c r="BG397" i="18" s="1"/>
  <c r="BH397" i="18" s="1"/>
  <c r="BI397" i="18" s="1"/>
  <c r="BJ397" i="18" s="1"/>
  <c r="BK397" i="18" s="1"/>
  <c r="BL397" i="18" s="1"/>
  <c r="BE398" i="18"/>
  <c r="BF154" i="18"/>
  <c r="BJ353" i="18"/>
  <c r="BK350" i="18"/>
  <c r="BL178" i="18" s="1"/>
  <c r="BG297" i="18"/>
  <c r="BH294" i="18"/>
  <c r="BI317" i="18"/>
  <c r="BJ314" i="18"/>
  <c r="BC138" i="18"/>
  <c r="BH345" i="18"/>
  <c r="BH319" i="18"/>
  <c r="BI408" i="18"/>
  <c r="BJ405" i="18"/>
  <c r="BK219" i="18" s="1"/>
  <c r="BE159" i="18"/>
  <c r="BF336" i="18"/>
  <c r="BF316" i="18"/>
  <c r="BE317" i="18"/>
  <c r="BH150" i="18"/>
  <c r="BA173" i="18"/>
  <c r="BA64" i="18" s="1"/>
  <c r="AX33" i="14" s="1"/>
  <c r="AX31" i="14" s="1"/>
  <c r="BB174" i="18"/>
  <c r="BI358" i="18"/>
  <c r="BJ355" i="18"/>
  <c r="BI135" i="18" l="1"/>
  <c r="BK183" i="18"/>
  <c r="BH128" i="18"/>
  <c r="BH271" i="18"/>
  <c r="BI271" i="18" s="1"/>
  <c r="BG276" i="18"/>
  <c r="BE199" i="18"/>
  <c r="BE57" i="18" s="1"/>
  <c r="BF200" i="18"/>
  <c r="BH373" i="18"/>
  <c r="BI370" i="18"/>
  <c r="BJ201" i="18" s="1"/>
  <c r="BH281" i="18"/>
  <c r="BJ402" i="18"/>
  <c r="BM397" i="18"/>
  <c r="BJ357" i="18"/>
  <c r="BI123" i="18"/>
  <c r="BH306" i="18"/>
  <c r="BI108" i="18"/>
  <c r="BI170" i="18"/>
  <c r="BK352" i="18"/>
  <c r="BH103" i="18"/>
  <c r="BG301" i="18"/>
  <c r="BG302" i="18" s="1"/>
  <c r="BI326" i="18"/>
  <c r="BN213" i="18"/>
  <c r="BJ155" i="18"/>
  <c r="BK216" i="18"/>
  <c r="BK145" i="18"/>
  <c r="BH198" i="18"/>
  <c r="BI150" i="18"/>
  <c r="BH296" i="18"/>
  <c r="BH341" i="18"/>
  <c r="BL141" i="18"/>
  <c r="BJ311" i="18"/>
  <c r="BL207" i="18"/>
  <c r="BJ165" i="18"/>
  <c r="AZ29" i="14"/>
  <c r="BD205" i="18"/>
  <c r="BD55" i="18" s="1"/>
  <c r="BE206" i="18"/>
  <c r="BI160" i="18"/>
  <c r="BF159" i="18"/>
  <c r="BI345" i="18"/>
  <c r="BD138" i="18"/>
  <c r="BJ358" i="18"/>
  <c r="BK355" i="18"/>
  <c r="BL183" i="18" s="1"/>
  <c r="BB173" i="18"/>
  <c r="BB64" i="18" s="1"/>
  <c r="AY33" i="14" s="1"/>
  <c r="AY31" i="14" s="1"/>
  <c r="BC174" i="18"/>
  <c r="BH322" i="18"/>
  <c r="BI319" i="18"/>
  <c r="BJ317" i="18"/>
  <c r="BK314" i="18"/>
  <c r="BH297" i="18"/>
  <c r="BI294" i="18"/>
  <c r="BJ380" i="18"/>
  <c r="BI329" i="18"/>
  <c r="BH97" i="18"/>
  <c r="BF214" i="18"/>
  <c r="BF60" i="18" s="1"/>
  <c r="BG215" i="18"/>
  <c r="BH282" i="18"/>
  <c r="BI279" i="18"/>
  <c r="BE107" i="18"/>
  <c r="BD41" i="18"/>
  <c r="BD47" i="18"/>
  <c r="BD202" i="18"/>
  <c r="BD58" i="18" s="1"/>
  <c r="BE203" i="18"/>
  <c r="BF132" i="18"/>
  <c r="BF149" i="18"/>
  <c r="BG316" i="18"/>
  <c r="BF317" i="18"/>
  <c r="BG336" i="18"/>
  <c r="BF337" i="18"/>
  <c r="BJ408" i="18"/>
  <c r="BK405" i="18"/>
  <c r="BL219" i="18" s="1"/>
  <c r="BK353" i="18"/>
  <c r="BL350" i="18"/>
  <c r="BM178" i="18" s="1"/>
  <c r="BG154" i="18"/>
  <c r="BI304" i="18"/>
  <c r="BE127" i="18"/>
  <c r="BF407" i="18"/>
  <c r="BG407" i="18" s="1"/>
  <c r="BH407" i="18" s="1"/>
  <c r="BI407" i="18" s="1"/>
  <c r="BJ407" i="18" s="1"/>
  <c r="BF347" i="18"/>
  <c r="BG347" i="18" s="1"/>
  <c r="BG387" i="18"/>
  <c r="BF388" i="18"/>
  <c r="BL272" i="18"/>
  <c r="BM269" i="18"/>
  <c r="BN98" i="18" s="1"/>
  <c r="BE177" i="18"/>
  <c r="BG378" i="18"/>
  <c r="BH375" i="18"/>
  <c r="BH377" i="18" s="1"/>
  <c r="BO287" i="18"/>
  <c r="BP284" i="18"/>
  <c r="BE211" i="18"/>
  <c r="BE59" i="18" s="1"/>
  <c r="BF212" i="18"/>
  <c r="BJ312" i="18"/>
  <c r="BK309" i="18"/>
  <c r="BL139" i="18" s="1"/>
  <c r="BH299" i="18"/>
  <c r="BI128" i="18" s="1"/>
  <c r="BI175" i="18"/>
  <c r="BJ175" i="18" s="1"/>
  <c r="BL385" i="18"/>
  <c r="BG382" i="18"/>
  <c r="BF383" i="18"/>
  <c r="BE102" i="18"/>
  <c r="BG331" i="18"/>
  <c r="BF332" i="18"/>
  <c r="BF169" i="18"/>
  <c r="BG277" i="18"/>
  <c r="BH274" i="18"/>
  <c r="BH276" i="18" s="1"/>
  <c r="BG227" i="18"/>
  <c r="BE182" i="18"/>
  <c r="BI133" i="18"/>
  <c r="BO286" i="18"/>
  <c r="BD122" i="18"/>
  <c r="BH342" i="18"/>
  <c r="BI339" i="18"/>
  <c r="BJ403" i="18"/>
  <c r="BK400" i="18"/>
  <c r="BD196" i="18"/>
  <c r="BD52" i="18" s="1"/>
  <c r="BE197" i="18"/>
  <c r="BJ334" i="18"/>
  <c r="BF144" i="18"/>
  <c r="BM398" i="18"/>
  <c r="BN395" i="18"/>
  <c r="BI327" i="18"/>
  <c r="BJ324" i="18"/>
  <c r="BE217" i="18"/>
  <c r="BF218" i="18"/>
  <c r="BG321" i="18"/>
  <c r="BH321" i="18" s="1"/>
  <c r="BI321" i="18" s="1"/>
  <c r="BF322" i="18"/>
  <c r="BE164" i="18"/>
  <c r="BJ204" i="18"/>
  <c r="BK204" i="18" s="1"/>
  <c r="BJ271" i="18" l="1"/>
  <c r="BF199" i="18"/>
  <c r="BF57" i="18" s="1"/>
  <c r="BG200" i="18"/>
  <c r="BI373" i="18"/>
  <c r="BJ370" i="18"/>
  <c r="BK201" i="18" s="1"/>
  <c r="BI281" i="18"/>
  <c r="BK402" i="18"/>
  <c r="BN397" i="18"/>
  <c r="BK407" i="18"/>
  <c r="BJ160" i="18"/>
  <c r="BI296" i="18"/>
  <c r="BJ150" i="18"/>
  <c r="BL145" i="18"/>
  <c r="BK155" i="18"/>
  <c r="BH301" i="18"/>
  <c r="BK357" i="18"/>
  <c r="BK311" i="18"/>
  <c r="BL216" i="18"/>
  <c r="BI103" i="18"/>
  <c r="BJ108" i="18"/>
  <c r="BM141" i="18"/>
  <c r="BO213" i="18"/>
  <c r="BJ170" i="18"/>
  <c r="BI306" i="18"/>
  <c r="BI341" i="18"/>
  <c r="BI198" i="18"/>
  <c r="BJ326" i="18"/>
  <c r="BL352" i="18"/>
  <c r="BJ123" i="18"/>
  <c r="BK165" i="18"/>
  <c r="BA29" i="14"/>
  <c r="BP286" i="18"/>
  <c r="BF206" i="18"/>
  <c r="BE205" i="18"/>
  <c r="BE55" i="18" s="1"/>
  <c r="BE41" i="18"/>
  <c r="BE47" i="18"/>
  <c r="BE196" i="18"/>
  <c r="BE52" i="18" s="1"/>
  <c r="BF197" i="18"/>
  <c r="BH277" i="18"/>
  <c r="BI274" i="18"/>
  <c r="BI276" i="18" s="1"/>
  <c r="BH227" i="18"/>
  <c r="BF102" i="18"/>
  <c r="BH347" i="18"/>
  <c r="BI347" i="18" s="1"/>
  <c r="BL353" i="18"/>
  <c r="BM350" i="18"/>
  <c r="BN178" i="18" s="1"/>
  <c r="BK408" i="18"/>
  <c r="BL405" i="18"/>
  <c r="BM219" i="18" s="1"/>
  <c r="BH336" i="18"/>
  <c r="BG337" i="18"/>
  <c r="BG132" i="18"/>
  <c r="BF107" i="18"/>
  <c r="BI97" i="18"/>
  <c r="BK380" i="18"/>
  <c r="BL204" i="18" s="1"/>
  <c r="BG159" i="18"/>
  <c r="BF217" i="18"/>
  <c r="BG218" i="18"/>
  <c r="BJ327" i="18"/>
  <c r="BK324" i="18"/>
  <c r="BK403" i="18"/>
  <c r="BL400" i="18"/>
  <c r="BM385" i="18"/>
  <c r="BH378" i="18"/>
  <c r="BI375" i="18"/>
  <c r="BI377" i="18" s="1"/>
  <c r="BM272" i="18"/>
  <c r="BN269" i="18"/>
  <c r="BO98" i="18" s="1"/>
  <c r="BI307" i="18"/>
  <c r="BJ304" i="18"/>
  <c r="BI282" i="18"/>
  <c r="BJ279" i="18"/>
  <c r="BI297" i="18"/>
  <c r="BJ294" i="18"/>
  <c r="BI322" i="18"/>
  <c r="BJ319" i="18"/>
  <c r="BJ321" i="18" s="1"/>
  <c r="BE138" i="18"/>
  <c r="BI348" i="18"/>
  <c r="BJ345" i="18"/>
  <c r="BK175" i="18" s="1"/>
  <c r="BI299" i="18"/>
  <c r="BJ128" i="18" s="1"/>
  <c r="BK312" i="18"/>
  <c r="BL309" i="18"/>
  <c r="BM139" i="18" s="1"/>
  <c r="BF177" i="18"/>
  <c r="BF127" i="18"/>
  <c r="BH316" i="18"/>
  <c r="BI316" i="18" s="1"/>
  <c r="BJ316" i="18" s="1"/>
  <c r="BK316" i="18" s="1"/>
  <c r="BG317" i="18"/>
  <c r="BG149" i="18"/>
  <c r="BE202" i="18"/>
  <c r="BE58" i="18" s="1"/>
  <c r="BF203" i="18"/>
  <c r="BI332" i="18"/>
  <c r="BJ329" i="18"/>
  <c r="BK358" i="18"/>
  <c r="BL355" i="18"/>
  <c r="BM183" i="18" s="1"/>
  <c r="BN398" i="18"/>
  <c r="BO395" i="18"/>
  <c r="BK334" i="18"/>
  <c r="BI342" i="18"/>
  <c r="BJ339" i="18"/>
  <c r="BE122" i="18"/>
  <c r="BF182" i="18"/>
  <c r="BF164" i="18"/>
  <c r="BG144" i="18"/>
  <c r="BM207" i="18"/>
  <c r="BJ133" i="18"/>
  <c r="BK133" i="18" s="1"/>
  <c r="BJ135" i="18"/>
  <c r="BG169" i="18"/>
  <c r="BH331" i="18"/>
  <c r="BI331" i="18" s="1"/>
  <c r="BJ331" i="18" s="1"/>
  <c r="BH382" i="18"/>
  <c r="BG383" i="18"/>
  <c r="BF211" i="18"/>
  <c r="BF59" i="18" s="1"/>
  <c r="BG212" i="18"/>
  <c r="BP287" i="18"/>
  <c r="BQ284" i="18"/>
  <c r="BH387" i="18"/>
  <c r="BG388" i="18"/>
  <c r="BH154" i="18"/>
  <c r="BG214" i="18"/>
  <c r="BG60" i="18" s="1"/>
  <c r="BH215" i="18"/>
  <c r="BK317" i="18"/>
  <c r="BL314" i="18"/>
  <c r="BC173" i="18"/>
  <c r="BC64" i="18" s="1"/>
  <c r="AZ33" i="14" s="1"/>
  <c r="AZ31" i="14" s="1"/>
  <c r="BD174" i="18"/>
  <c r="BK271" i="18" l="1"/>
  <c r="BG199" i="18"/>
  <c r="BG57" i="18" s="1"/>
  <c r="BH200" i="18"/>
  <c r="BJ373" i="18"/>
  <c r="BK370" i="18"/>
  <c r="BL201" i="18" s="1"/>
  <c r="BJ281" i="18"/>
  <c r="BL402" i="18"/>
  <c r="BO397" i="18"/>
  <c r="BK123" i="18"/>
  <c r="BM352" i="18"/>
  <c r="BJ198" i="18"/>
  <c r="BJ306" i="18"/>
  <c r="BN141" i="18"/>
  <c r="BJ103" i="18"/>
  <c r="BK135" i="18"/>
  <c r="BL135" i="18" s="1"/>
  <c r="BK170" i="18"/>
  <c r="BL407" i="18"/>
  <c r="BM216" i="18"/>
  <c r="BL357" i="18"/>
  <c r="BJ296" i="18"/>
  <c r="BL316" i="18"/>
  <c r="BJ347" i="18"/>
  <c r="BK326" i="18"/>
  <c r="BP213" i="18"/>
  <c r="BI301" i="18"/>
  <c r="BM145" i="18"/>
  <c r="BK160" i="18"/>
  <c r="BL165" i="18"/>
  <c r="BJ341" i="18"/>
  <c r="BK108" i="18"/>
  <c r="BL311" i="18"/>
  <c r="BL155" i="18"/>
  <c r="BK150" i="18"/>
  <c r="BB29" i="14"/>
  <c r="BN207" i="18"/>
  <c r="BF205" i="18"/>
  <c r="BF55" i="18" s="1"/>
  <c r="BG206" i="18"/>
  <c r="BL317" i="18"/>
  <c r="BM314" i="18"/>
  <c r="BI382" i="18"/>
  <c r="BH383" i="18"/>
  <c r="BI154" i="18"/>
  <c r="BQ287" i="18"/>
  <c r="BR284" i="18"/>
  <c r="BF202" i="18"/>
  <c r="BF58" i="18" s="1"/>
  <c r="BG203" i="18"/>
  <c r="BJ348" i="18"/>
  <c r="BK345" i="18"/>
  <c r="BL175" i="18" s="1"/>
  <c r="BN385" i="18"/>
  <c r="BG217" i="18"/>
  <c r="BH218" i="18"/>
  <c r="BH159" i="18"/>
  <c r="BI336" i="18"/>
  <c r="BG102" i="18"/>
  <c r="BI277" i="18"/>
  <c r="BJ274" i="18"/>
  <c r="BJ276" i="18" s="1"/>
  <c r="BI227" i="18"/>
  <c r="BH214" i="18"/>
  <c r="BH60" i="18" s="1"/>
  <c r="BI215" i="18"/>
  <c r="BG211" i="18"/>
  <c r="BG59" i="18" s="1"/>
  <c r="BH212" i="18"/>
  <c r="BH144" i="18"/>
  <c r="BG164" i="18"/>
  <c r="BL358" i="18"/>
  <c r="BM355" i="18"/>
  <c r="BN183" i="18" s="1"/>
  <c r="BJ332" i="18"/>
  <c r="BK329" i="18"/>
  <c r="BK331" i="18" s="1"/>
  <c r="BH149" i="18"/>
  <c r="BI302" i="18"/>
  <c r="BJ299" i="18"/>
  <c r="BK128" i="18" s="1"/>
  <c r="BJ322" i="18"/>
  <c r="BK319" i="18"/>
  <c r="BK321" i="18" s="1"/>
  <c r="BJ297" i="18"/>
  <c r="BK294" i="18"/>
  <c r="BJ282" i="18"/>
  <c r="BK279" i="18"/>
  <c r="BN272" i="18"/>
  <c r="BO269" i="18"/>
  <c r="BP98" i="18" s="1"/>
  <c r="BI378" i="18"/>
  <c r="BJ375" i="18"/>
  <c r="BJ377" i="18" s="1"/>
  <c r="BL403" i="18"/>
  <c r="BM400" i="18"/>
  <c r="BF47" i="18"/>
  <c r="BF41" i="18"/>
  <c r="BJ97" i="18"/>
  <c r="BQ286" i="18"/>
  <c r="BF196" i="18"/>
  <c r="BF52" i="18" s="1"/>
  <c r="BG197" i="18"/>
  <c r="BG182" i="18"/>
  <c r="BF122" i="18"/>
  <c r="BO398" i="18"/>
  <c r="BP395" i="18"/>
  <c r="BJ307" i="18"/>
  <c r="BK304" i="18"/>
  <c r="BL133" i="18" s="1"/>
  <c r="BG107" i="18"/>
  <c r="BL408" i="18"/>
  <c r="BM405" i="18"/>
  <c r="BN219" i="18" s="1"/>
  <c r="BM353" i="18"/>
  <c r="BN350" i="18"/>
  <c r="BO178" i="18" s="1"/>
  <c r="BI387" i="18"/>
  <c r="BH388" i="18"/>
  <c r="BD173" i="18"/>
  <c r="BD64" i="18" s="1"/>
  <c r="BA33" i="14" s="1"/>
  <c r="BA31" i="14" s="1"/>
  <c r="BE174" i="18"/>
  <c r="BH169" i="18"/>
  <c r="BJ342" i="18"/>
  <c r="BK339" i="18"/>
  <c r="BK337" i="18"/>
  <c r="BL334" i="18"/>
  <c r="BG127" i="18"/>
  <c r="BG177" i="18"/>
  <c r="BL312" i="18"/>
  <c r="BM309" i="18"/>
  <c r="BN139" i="18" s="1"/>
  <c r="BF138" i="18"/>
  <c r="BK327" i="18"/>
  <c r="BL324" i="18"/>
  <c r="BL380" i="18"/>
  <c r="BM204" i="18" s="1"/>
  <c r="BH132" i="18"/>
  <c r="BK281" i="18" l="1"/>
  <c r="BL271" i="18"/>
  <c r="BH199" i="18"/>
  <c r="BH57" i="18" s="1"/>
  <c r="BI200" i="18"/>
  <c r="BL370" i="18"/>
  <c r="BM201" i="18" s="1"/>
  <c r="BM402" i="18"/>
  <c r="BP397" i="18"/>
  <c r="BM155" i="18"/>
  <c r="BM165" i="18"/>
  <c r="BN145" i="18"/>
  <c r="BK347" i="18"/>
  <c r="BK198" i="18"/>
  <c r="BM311" i="18"/>
  <c r="BK341" i="18"/>
  <c r="BJ301" i="18"/>
  <c r="BM316" i="18"/>
  <c r="BM357" i="18"/>
  <c r="BK103" i="18"/>
  <c r="BN352" i="18"/>
  <c r="BL150" i="18"/>
  <c r="BQ213" i="18"/>
  <c r="BK296" i="18"/>
  <c r="BN216" i="18"/>
  <c r="BL170" i="18"/>
  <c r="BO141" i="18"/>
  <c r="BL108" i="18"/>
  <c r="BL160" i="18"/>
  <c r="BL326" i="18"/>
  <c r="BM407" i="18"/>
  <c r="BM135" i="18"/>
  <c r="BK306" i="18"/>
  <c r="BL123" i="18"/>
  <c r="BO207" i="18"/>
  <c r="BR286" i="18"/>
  <c r="BC29" i="14"/>
  <c r="BH206" i="18"/>
  <c r="BG205" i="18"/>
  <c r="BG55" i="18" s="1"/>
  <c r="BL327" i="18"/>
  <c r="BM324" i="18"/>
  <c r="BH177" i="18"/>
  <c r="BK342" i="18"/>
  <c r="BL339" i="18"/>
  <c r="BI169" i="18"/>
  <c r="BN353" i="18"/>
  <c r="BO350" i="18"/>
  <c r="BP178" i="18" s="1"/>
  <c r="BH182" i="18"/>
  <c r="BG196" i="18"/>
  <c r="BG52" i="18" s="1"/>
  <c r="BH197" i="18"/>
  <c r="BO272" i="18"/>
  <c r="BP269" i="18"/>
  <c r="BQ98" i="18" s="1"/>
  <c r="BK322" i="18"/>
  <c r="BL319" i="18"/>
  <c r="BL321" i="18" s="1"/>
  <c r="BI149" i="18"/>
  <c r="BH211" i="18"/>
  <c r="BH59" i="18" s="1"/>
  <c r="BI212" i="18"/>
  <c r="BJ336" i="18"/>
  <c r="BK336" i="18" s="1"/>
  <c r="BL336" i="18" s="1"/>
  <c r="BI337" i="18"/>
  <c r="BJ154" i="18"/>
  <c r="BJ382" i="18"/>
  <c r="BI383" i="18"/>
  <c r="BM408" i="18"/>
  <c r="BN405" i="18"/>
  <c r="BO219" i="18" s="1"/>
  <c r="BK97" i="18"/>
  <c r="BM403" i="18"/>
  <c r="BN400" i="18"/>
  <c r="BK332" i="18"/>
  <c r="BL329" i="18"/>
  <c r="BL331" i="18" s="1"/>
  <c r="BI144" i="18"/>
  <c r="BH217" i="18"/>
  <c r="BI218" i="18"/>
  <c r="BK348" i="18"/>
  <c r="BL345" i="18"/>
  <c r="BM175" i="18" s="1"/>
  <c r="BR287" i="18"/>
  <c r="BS284" i="18"/>
  <c r="BM317" i="18"/>
  <c r="BN314" i="18"/>
  <c r="BI132" i="18"/>
  <c r="BM380" i="18"/>
  <c r="BG138" i="18"/>
  <c r="BM312" i="18"/>
  <c r="BN309" i="18"/>
  <c r="BO139" i="18" s="1"/>
  <c r="BH127" i="18"/>
  <c r="BJ387" i="18"/>
  <c r="BI388" i="18"/>
  <c r="BK307" i="18"/>
  <c r="BL304" i="18"/>
  <c r="BM133" i="18" s="1"/>
  <c r="BP398" i="18"/>
  <c r="BQ395" i="18"/>
  <c r="BG122" i="18"/>
  <c r="BI214" i="18"/>
  <c r="BI60" i="18" s="1"/>
  <c r="BJ215" i="18"/>
  <c r="BH102" i="18"/>
  <c r="BG41" i="18"/>
  <c r="BG47" i="18"/>
  <c r="BO385" i="18"/>
  <c r="BL337" i="18"/>
  <c r="BM334" i="18"/>
  <c r="BE173" i="18"/>
  <c r="BE64" i="18" s="1"/>
  <c r="BB33" i="14" s="1"/>
  <c r="BB31" i="14" s="1"/>
  <c r="BF174" i="18"/>
  <c r="BH107" i="18"/>
  <c r="BJ378" i="18"/>
  <c r="BK375" i="18"/>
  <c r="BK377" i="18" s="1"/>
  <c r="BK282" i="18"/>
  <c r="BL279" i="18"/>
  <c r="BL281" i="18" s="1"/>
  <c r="BK297" i="18"/>
  <c r="BL294" i="18"/>
  <c r="BJ302" i="18"/>
  <c r="BK299" i="18"/>
  <c r="BL128" i="18" s="1"/>
  <c r="BM358" i="18"/>
  <c r="BN355" i="18"/>
  <c r="BO183" i="18" s="1"/>
  <c r="BH164" i="18"/>
  <c r="BJ277" i="18"/>
  <c r="BK274" i="18"/>
  <c r="BK276" i="18" s="1"/>
  <c r="BJ227" i="18"/>
  <c r="BI159" i="18"/>
  <c r="BG202" i="18"/>
  <c r="BG58" i="18" s="1"/>
  <c r="BH203" i="18"/>
  <c r="BM271" i="18" l="1"/>
  <c r="BM370" i="18"/>
  <c r="BN201" i="18" s="1"/>
  <c r="BI199" i="18"/>
  <c r="BI57" i="18" s="1"/>
  <c r="BJ200" i="18"/>
  <c r="BQ397" i="18"/>
  <c r="BN402" i="18"/>
  <c r="BN135" i="18"/>
  <c r="BM326" i="18"/>
  <c r="BM170" i="18"/>
  <c r="BM150" i="18"/>
  <c r="BN357" i="18"/>
  <c r="BL198" i="18"/>
  <c r="BN165" i="18"/>
  <c r="BM108" i="18"/>
  <c r="BO216" i="18"/>
  <c r="BN316" i="18"/>
  <c r="BL341" i="18"/>
  <c r="BL347" i="18"/>
  <c r="BM336" i="18"/>
  <c r="BM123" i="18"/>
  <c r="BL296" i="18"/>
  <c r="BO352" i="18"/>
  <c r="BK301" i="18"/>
  <c r="BN155" i="18"/>
  <c r="BL306" i="18"/>
  <c r="BN407" i="18"/>
  <c r="BM160" i="18"/>
  <c r="BP141" i="18"/>
  <c r="BR213" i="18"/>
  <c r="BL103" i="18"/>
  <c r="BN311" i="18"/>
  <c r="BO145" i="18"/>
  <c r="BP207" i="18"/>
  <c r="BD29" i="14"/>
  <c r="BI206" i="18"/>
  <c r="BH205" i="18"/>
  <c r="BH55" i="18" s="1"/>
  <c r="BQ398" i="18"/>
  <c r="BR395" i="18"/>
  <c r="BS287" i="18"/>
  <c r="BT284" i="18"/>
  <c r="BH41" i="18"/>
  <c r="BH47" i="18"/>
  <c r="BJ144" i="18"/>
  <c r="BN403" i="18"/>
  <c r="BO400" i="18"/>
  <c r="BN408" i="18"/>
  <c r="BO405" i="18"/>
  <c r="BP219" i="18" s="1"/>
  <c r="BI211" i="18"/>
  <c r="BI59" i="18" s="1"/>
  <c r="BJ212" i="18"/>
  <c r="BL322" i="18"/>
  <c r="BM319" i="18"/>
  <c r="BM321" i="18" s="1"/>
  <c r="BP272" i="18"/>
  <c r="BQ269" i="18"/>
  <c r="BR98" i="18" s="1"/>
  <c r="BI182" i="18"/>
  <c r="BI177" i="18"/>
  <c r="BJ159" i="18"/>
  <c r="BL297" i="18"/>
  <c r="BM294" i="18"/>
  <c r="BI107" i="18"/>
  <c r="BH122" i="18"/>
  <c r="BL307" i="18"/>
  <c r="BM304" i="18"/>
  <c r="BN133" i="18" s="1"/>
  <c r="BH138" i="18"/>
  <c r="BJ132" i="18"/>
  <c r="BN317" i="18"/>
  <c r="BO314" i="18"/>
  <c r="BK382" i="18"/>
  <c r="BJ383" i="18"/>
  <c r="BH196" i="18"/>
  <c r="BH52" i="18" s="1"/>
  <c r="BI197" i="18"/>
  <c r="BJ169" i="18"/>
  <c r="BM327" i="18"/>
  <c r="BN324" i="18"/>
  <c r="BH202" i="18"/>
  <c r="BH58" i="18" s="1"/>
  <c r="BI203" i="18"/>
  <c r="BK277" i="18"/>
  <c r="BL274" i="18"/>
  <c r="BL276" i="18" s="1"/>
  <c r="BK227" i="18"/>
  <c r="BL299" i="18"/>
  <c r="BM128" i="18" s="1"/>
  <c r="BL282" i="18"/>
  <c r="BM279" i="18"/>
  <c r="BM281" i="18" s="1"/>
  <c r="BK378" i="18"/>
  <c r="BL375" i="18"/>
  <c r="BL377" i="18" s="1"/>
  <c r="BF173" i="18"/>
  <c r="BF64" i="18" s="1"/>
  <c r="BC33" i="14" s="1"/>
  <c r="BC31" i="14" s="1"/>
  <c r="BG174" i="18"/>
  <c r="BM337" i="18"/>
  <c r="BN334" i="18"/>
  <c r="BI102" i="18"/>
  <c r="BK387" i="18"/>
  <c r="BJ388" i="18"/>
  <c r="BI127" i="18"/>
  <c r="BN312" i="18"/>
  <c r="BO309" i="18"/>
  <c r="BP139" i="18" s="1"/>
  <c r="BL332" i="18"/>
  <c r="BM329" i="18"/>
  <c r="BM331" i="18" s="1"/>
  <c r="BK154" i="18"/>
  <c r="BJ149" i="18"/>
  <c r="BI164" i="18"/>
  <c r="BN358" i="18"/>
  <c r="BO355" i="18"/>
  <c r="BP183" i="18" s="1"/>
  <c r="BP385" i="18"/>
  <c r="BJ214" i="18"/>
  <c r="BJ60" i="18" s="1"/>
  <c r="BK215" i="18"/>
  <c r="BN380" i="18"/>
  <c r="BL348" i="18"/>
  <c r="BM345" i="18"/>
  <c r="BN175" i="18" s="1"/>
  <c r="BI217" i="18"/>
  <c r="BJ218" i="18"/>
  <c r="BL97" i="18"/>
  <c r="BS286" i="18"/>
  <c r="BO353" i="18"/>
  <c r="BP350" i="18"/>
  <c r="BQ178" i="18" s="1"/>
  <c r="BL342" i="18"/>
  <c r="BM339" i="18"/>
  <c r="BN204" i="18"/>
  <c r="BO402" i="18" l="1"/>
  <c r="BN271" i="18"/>
  <c r="BR397" i="18"/>
  <c r="BJ199" i="18"/>
  <c r="BJ57" i="18" s="1"/>
  <c r="BK200" i="18"/>
  <c r="BM373" i="18"/>
  <c r="BN370" i="18"/>
  <c r="BO201" i="18" s="1"/>
  <c r="BO311" i="18"/>
  <c r="BQ141" i="18"/>
  <c r="BO155" i="18"/>
  <c r="BM296" i="18"/>
  <c r="BN336" i="18"/>
  <c r="BM347" i="18"/>
  <c r="BO316" i="18"/>
  <c r="BO165" i="18"/>
  <c r="BN150" i="18"/>
  <c r="BN326" i="18"/>
  <c r="BN160" i="18"/>
  <c r="BL301" i="18"/>
  <c r="BM341" i="18"/>
  <c r="BP216" i="18"/>
  <c r="BM198" i="18"/>
  <c r="BO135" i="18"/>
  <c r="BM103" i="18"/>
  <c r="BO407" i="18"/>
  <c r="BP145" i="18"/>
  <c r="BS213" i="18"/>
  <c r="BM306" i="18"/>
  <c r="BP352" i="18"/>
  <c r="BN123" i="18"/>
  <c r="BN108" i="18"/>
  <c r="BO357" i="18"/>
  <c r="BN170" i="18"/>
  <c r="BT286" i="18"/>
  <c r="BO204" i="18"/>
  <c r="BJ206" i="18"/>
  <c r="BI205" i="18"/>
  <c r="BI55" i="18" s="1"/>
  <c r="BE29" i="14"/>
  <c r="BJ217" i="18"/>
  <c r="BK218" i="18"/>
  <c r="BK214" i="18"/>
  <c r="BK60" i="18" s="1"/>
  <c r="BL215" i="18"/>
  <c r="BJ127" i="18"/>
  <c r="BM282" i="18"/>
  <c r="BN279" i="18"/>
  <c r="BN281" i="18" s="1"/>
  <c r="BL277" i="18"/>
  <c r="BM274" i="18"/>
  <c r="BM276" i="18" s="1"/>
  <c r="BL227" i="18"/>
  <c r="BJ107" i="18"/>
  <c r="BR398" i="18"/>
  <c r="BS395" i="18"/>
  <c r="BI41" i="18"/>
  <c r="BI47" i="18"/>
  <c r="BQ385" i="18"/>
  <c r="BK149" i="18"/>
  <c r="BM332" i="18"/>
  <c r="BN329" i="18"/>
  <c r="BN331" i="18" s="1"/>
  <c r="BO312" i="18"/>
  <c r="BP309" i="18"/>
  <c r="BQ139" i="18" s="1"/>
  <c r="BG173" i="18"/>
  <c r="BG64" i="18" s="1"/>
  <c r="BD33" i="14" s="1"/>
  <c r="BD31" i="14" s="1"/>
  <c r="BH174" i="18"/>
  <c r="BL302" i="18"/>
  <c r="BM299" i="18"/>
  <c r="BN128" i="18" s="1"/>
  <c r="BN327" i="18"/>
  <c r="BO324" i="18"/>
  <c r="BK169" i="18"/>
  <c r="BO317" i="18"/>
  <c r="BP314" i="18"/>
  <c r="BK132" i="18"/>
  <c r="BM307" i="18"/>
  <c r="BN304" i="18"/>
  <c r="BO133" i="18" s="1"/>
  <c r="BJ177" i="18"/>
  <c r="BJ182" i="18"/>
  <c r="BM322" i="18"/>
  <c r="BN319" i="18"/>
  <c r="BN321" i="18" s="1"/>
  <c r="BO408" i="18"/>
  <c r="BP405" i="18"/>
  <c r="BQ219" i="18" s="1"/>
  <c r="BT287" i="18"/>
  <c r="BU284" i="18"/>
  <c r="BM342" i="18"/>
  <c r="BN339" i="18"/>
  <c r="BO380" i="18"/>
  <c r="BN337" i="18"/>
  <c r="BO334" i="18"/>
  <c r="BI202" i="18"/>
  <c r="BI58" i="18" s="1"/>
  <c r="BJ203" i="18"/>
  <c r="BI196" i="18"/>
  <c r="BI52" i="18" s="1"/>
  <c r="BJ197" i="18"/>
  <c r="BL382" i="18"/>
  <c r="BK383" i="18"/>
  <c r="BI138" i="18"/>
  <c r="BI122" i="18"/>
  <c r="BO403" i="18"/>
  <c r="BP400" i="18"/>
  <c r="BP402" i="18" s="1"/>
  <c r="BK144" i="18"/>
  <c r="BQ207" i="18"/>
  <c r="BP353" i="18"/>
  <c r="BQ350" i="18"/>
  <c r="BR178" i="18" s="1"/>
  <c r="BM97" i="18"/>
  <c r="BM348" i="18"/>
  <c r="BN345" i="18"/>
  <c r="BO175" i="18" s="1"/>
  <c r="BO358" i="18"/>
  <c r="BP355" i="18"/>
  <c r="BQ183" i="18" s="1"/>
  <c r="BJ164" i="18"/>
  <c r="BL154" i="18"/>
  <c r="BL387" i="18"/>
  <c r="BK388" i="18"/>
  <c r="BJ102" i="18"/>
  <c r="BL378" i="18"/>
  <c r="BM375" i="18"/>
  <c r="BM377" i="18" s="1"/>
  <c r="BM297" i="18"/>
  <c r="BN294" i="18"/>
  <c r="BK159" i="18"/>
  <c r="BQ272" i="18"/>
  <c r="BR269" i="18"/>
  <c r="BS98" i="18" s="1"/>
  <c r="BJ211" i="18"/>
  <c r="BJ59" i="18" s="1"/>
  <c r="BK212" i="18"/>
  <c r="BO271" i="18" l="1"/>
  <c r="BS397" i="18"/>
  <c r="BK199" i="18"/>
  <c r="BK57" i="18" s="1"/>
  <c r="BL200" i="18"/>
  <c r="BN373" i="18"/>
  <c r="BO370" i="18"/>
  <c r="BP201" i="18" s="1"/>
  <c r="BP357" i="18"/>
  <c r="BQ352" i="18"/>
  <c r="BP135" i="18"/>
  <c r="BN341" i="18"/>
  <c r="BP316" i="18"/>
  <c r="BP155" i="18"/>
  <c r="BN306" i="18"/>
  <c r="BQ145" i="18"/>
  <c r="BN198" i="18"/>
  <c r="BO326" i="18"/>
  <c r="BN347" i="18"/>
  <c r="BR141" i="18"/>
  <c r="BO123" i="18"/>
  <c r="BT213" i="18"/>
  <c r="BP407" i="18"/>
  <c r="BQ216" i="18"/>
  <c r="BM301" i="18"/>
  <c r="BO150" i="18"/>
  <c r="BO336" i="18"/>
  <c r="BP311" i="18"/>
  <c r="BO170" i="18"/>
  <c r="BO108" i="18"/>
  <c r="BN103" i="18"/>
  <c r="BO160" i="18"/>
  <c r="BP165" i="18"/>
  <c r="BN296" i="18"/>
  <c r="BF29" i="14"/>
  <c r="BR207" i="18"/>
  <c r="BK206" i="18"/>
  <c r="BJ205" i="18"/>
  <c r="BJ55" i="18" s="1"/>
  <c r="BK102" i="18"/>
  <c r="BN97" i="18"/>
  <c r="BQ353" i="18"/>
  <c r="BR350" i="18"/>
  <c r="BS178" i="18" s="1"/>
  <c r="BL144" i="18"/>
  <c r="BP403" i="18"/>
  <c r="BQ400" i="18"/>
  <c r="BQ402" i="18" s="1"/>
  <c r="BJ122" i="18"/>
  <c r="BJ138" i="18"/>
  <c r="BU287" i="18"/>
  <c r="BV284" i="18"/>
  <c r="BK182" i="18"/>
  <c r="BN307" i="18"/>
  <c r="BO304" i="18"/>
  <c r="BP133" i="18" s="1"/>
  <c r="BL132" i="18"/>
  <c r="BP317" i="18"/>
  <c r="BQ314" i="18"/>
  <c r="BL149" i="18"/>
  <c r="BR385" i="18"/>
  <c r="BK107" i="18"/>
  <c r="BN282" i="18"/>
  <c r="BO279" i="18"/>
  <c r="BO281" i="18" s="1"/>
  <c r="BL214" i="18"/>
  <c r="BL60" i="18" s="1"/>
  <c r="BM215" i="18"/>
  <c r="BJ41" i="18"/>
  <c r="BJ47" i="18"/>
  <c r="BM378" i="18"/>
  <c r="BN375" i="18"/>
  <c r="BN377" i="18" s="1"/>
  <c r="BN348" i="18"/>
  <c r="BO345" i="18"/>
  <c r="BP175" i="18" s="1"/>
  <c r="BJ196" i="18"/>
  <c r="BJ52" i="18" s="1"/>
  <c r="BK197" i="18"/>
  <c r="BJ202" i="18"/>
  <c r="BJ58" i="18" s="1"/>
  <c r="BK203" i="18"/>
  <c r="BO337" i="18"/>
  <c r="BP334" i="18"/>
  <c r="BP380" i="18"/>
  <c r="BP408" i="18"/>
  <c r="BQ405" i="18"/>
  <c r="BR219" i="18" s="1"/>
  <c r="BN322" i="18"/>
  <c r="BO319" i="18"/>
  <c r="BO321" i="18" s="1"/>
  <c r="BS398" i="18"/>
  <c r="BT395" i="18"/>
  <c r="BM277" i="18"/>
  <c r="BN274" i="18"/>
  <c r="BN276" i="18" s="1"/>
  <c r="BM227" i="18"/>
  <c r="BN297" i="18"/>
  <c r="BO294" i="18"/>
  <c r="BK164" i="18"/>
  <c r="BP358" i="18"/>
  <c r="BQ355" i="18"/>
  <c r="BR183" i="18" s="1"/>
  <c r="BP204" i="18"/>
  <c r="BK177" i="18"/>
  <c r="BH173" i="18"/>
  <c r="BH64" i="18" s="1"/>
  <c r="BE33" i="14" s="1"/>
  <c r="BE31" i="14" s="1"/>
  <c r="BI174" i="18"/>
  <c r="BK127" i="18"/>
  <c r="BK211" i="18"/>
  <c r="BK59" i="18" s="1"/>
  <c r="BL212" i="18"/>
  <c r="BL159" i="18"/>
  <c r="BR272" i="18"/>
  <c r="BS269" i="18"/>
  <c r="BT98" i="18" s="1"/>
  <c r="BM387" i="18"/>
  <c r="BL388" i="18"/>
  <c r="BM154" i="18"/>
  <c r="BM382" i="18"/>
  <c r="BL383" i="18"/>
  <c r="BN342" i="18"/>
  <c r="BO339" i="18"/>
  <c r="BL169" i="18"/>
  <c r="BO327" i="18"/>
  <c r="BP324" i="18"/>
  <c r="BM302" i="18"/>
  <c r="BN299" i="18"/>
  <c r="BO128" i="18" s="1"/>
  <c r="BP312" i="18"/>
  <c r="BQ309" i="18"/>
  <c r="BR139" i="18" s="1"/>
  <c r="BN332" i="18"/>
  <c r="BO329" i="18"/>
  <c r="BO331" i="18" s="1"/>
  <c r="BU286" i="18"/>
  <c r="BK217" i="18"/>
  <c r="BL218" i="18"/>
  <c r="BP271" i="18" l="1"/>
  <c r="BT397" i="18"/>
  <c r="BL199" i="18"/>
  <c r="BL57" i="18" s="1"/>
  <c r="BM200" i="18"/>
  <c r="BO373" i="18"/>
  <c r="BP370" i="18"/>
  <c r="BQ201" i="18" s="1"/>
  <c r="BQ165" i="18"/>
  <c r="BQ407" i="18"/>
  <c r="BS141" i="18"/>
  <c r="BO198" i="18"/>
  <c r="BQ316" i="18"/>
  <c r="BQ135" i="18"/>
  <c r="BP160" i="18"/>
  <c r="BP150" i="18"/>
  <c r="BU213" i="18"/>
  <c r="BO347" i="18"/>
  <c r="BR145" i="18"/>
  <c r="BR352" i="18"/>
  <c r="BO103" i="18"/>
  <c r="BP170" i="18"/>
  <c r="BP336" i="18"/>
  <c r="BN301" i="18"/>
  <c r="BP326" i="18"/>
  <c r="BO306" i="18"/>
  <c r="BO296" i="18"/>
  <c r="BP108" i="18"/>
  <c r="BQ311" i="18"/>
  <c r="BR216" i="18"/>
  <c r="BP123" i="18"/>
  <c r="BQ155" i="18"/>
  <c r="BO341" i="18"/>
  <c r="BQ357" i="18"/>
  <c r="BV286" i="18"/>
  <c r="BS207" i="18"/>
  <c r="BG29" i="14"/>
  <c r="BQ204" i="18"/>
  <c r="BK205" i="18"/>
  <c r="BK55" i="18" s="1"/>
  <c r="BL206" i="18"/>
  <c r="BL217" i="18"/>
  <c r="BM218" i="18"/>
  <c r="BO332" i="18"/>
  <c r="BP329" i="18"/>
  <c r="BP331" i="18" s="1"/>
  <c r="BO342" i="18"/>
  <c r="BP339" i="18"/>
  <c r="BL211" i="18"/>
  <c r="BL59" i="18" s="1"/>
  <c r="BM212" i="18"/>
  <c r="BL177" i="18"/>
  <c r="BO322" i="18"/>
  <c r="BP319" i="18"/>
  <c r="BP321" i="18" s="1"/>
  <c r="BK202" i="18"/>
  <c r="BK58" i="18" s="1"/>
  <c r="BL203" i="18"/>
  <c r="BM214" i="18"/>
  <c r="BM60" i="18" s="1"/>
  <c r="BN215" i="18"/>
  <c r="BL107" i="18"/>
  <c r="BM132" i="18"/>
  <c r="BK138" i="18"/>
  <c r="BQ312" i="18"/>
  <c r="BR309" i="18"/>
  <c r="BS139" i="18" s="1"/>
  <c r="BM159" i="18"/>
  <c r="BO297" i="18"/>
  <c r="BP294" i="18"/>
  <c r="BT398" i="18"/>
  <c r="BU395" i="18"/>
  <c r="BQ317" i="18"/>
  <c r="BR314" i="18"/>
  <c r="BL182" i="18"/>
  <c r="BM144" i="18"/>
  <c r="BL102" i="18"/>
  <c r="BM169" i="18"/>
  <c r="BI173" i="18"/>
  <c r="BI64" i="18" s="1"/>
  <c r="BF33" i="14" s="1"/>
  <c r="BF31" i="14" s="1"/>
  <c r="BJ174" i="18"/>
  <c r="BP337" i="18"/>
  <c r="BQ334" i="18"/>
  <c r="BK196" i="18"/>
  <c r="BK52" i="18" s="1"/>
  <c r="BL197" i="18"/>
  <c r="BN378" i="18"/>
  <c r="BO375" i="18"/>
  <c r="BO377" i="18" s="1"/>
  <c r="BM149" i="18"/>
  <c r="BO307" i="18"/>
  <c r="BP304" i="18"/>
  <c r="BQ133" i="18" s="1"/>
  <c r="BV287" i="18"/>
  <c r="BW284" i="18"/>
  <c r="BK122" i="18"/>
  <c r="BQ403" i="18"/>
  <c r="BR400" i="18"/>
  <c r="BR402" i="18" s="1"/>
  <c r="BK41" i="18"/>
  <c r="BK47" i="18"/>
  <c r="BN302" i="18"/>
  <c r="BO299" i="18"/>
  <c r="BP128" i="18" s="1"/>
  <c r="BP327" i="18"/>
  <c r="BQ324" i="18"/>
  <c r="BN382" i="18"/>
  <c r="BM383" i="18"/>
  <c r="BN154" i="18"/>
  <c r="BN387" i="18"/>
  <c r="BM388" i="18"/>
  <c r="BS272" i="18"/>
  <c r="BT269" i="18"/>
  <c r="BU98" i="18" s="1"/>
  <c r="BL127" i="18"/>
  <c r="BQ358" i="18"/>
  <c r="BR355" i="18"/>
  <c r="BS183" i="18" s="1"/>
  <c r="BL164" i="18"/>
  <c r="BN277" i="18"/>
  <c r="BO274" i="18"/>
  <c r="BO276" i="18" s="1"/>
  <c r="BN227" i="18"/>
  <c r="BQ408" i="18"/>
  <c r="BR405" i="18"/>
  <c r="BS219" i="18" s="1"/>
  <c r="BQ380" i="18"/>
  <c r="BO348" i="18"/>
  <c r="BP345" i="18"/>
  <c r="BQ175" i="18" s="1"/>
  <c r="BO282" i="18"/>
  <c r="BP279" i="18"/>
  <c r="BP281" i="18" s="1"/>
  <c r="BS385" i="18"/>
  <c r="BR353" i="18"/>
  <c r="BS350" i="18"/>
  <c r="BT178" i="18" s="1"/>
  <c r="BO97" i="18"/>
  <c r="BU397" i="18" l="1"/>
  <c r="BQ271" i="18"/>
  <c r="BM199" i="18"/>
  <c r="BM57" i="18" s="1"/>
  <c r="BN200" i="18"/>
  <c r="BP373" i="18"/>
  <c r="BQ370" i="18"/>
  <c r="BR201" i="18" s="1"/>
  <c r="BR357" i="18"/>
  <c r="BQ108" i="18"/>
  <c r="BO301" i="18"/>
  <c r="BR407" i="18"/>
  <c r="BQ123" i="18"/>
  <c r="BP296" i="18"/>
  <c r="BQ336" i="18"/>
  <c r="BS352" i="18"/>
  <c r="BP347" i="18"/>
  <c r="BQ160" i="18"/>
  <c r="BR316" i="18"/>
  <c r="BP341" i="18"/>
  <c r="BS216" i="18"/>
  <c r="BP306" i="18"/>
  <c r="BQ170" i="18"/>
  <c r="BS145" i="18"/>
  <c r="BV213" i="18"/>
  <c r="BR135" i="18"/>
  <c r="BP198" i="18"/>
  <c r="BR155" i="18"/>
  <c r="BR311" i="18"/>
  <c r="BQ326" i="18"/>
  <c r="BP103" i="18"/>
  <c r="BQ150" i="18"/>
  <c r="BT141" i="18"/>
  <c r="BR165" i="18"/>
  <c r="BW286" i="18"/>
  <c r="BH29" i="14"/>
  <c r="BM206" i="18"/>
  <c r="BL205" i="18"/>
  <c r="BL55" i="18" s="1"/>
  <c r="BP97" i="18"/>
  <c r="BO277" i="18"/>
  <c r="BP274" i="18"/>
  <c r="BP276" i="18" s="1"/>
  <c r="BO227" i="18"/>
  <c r="BM127" i="18"/>
  <c r="BT272" i="18"/>
  <c r="BU269" i="18"/>
  <c r="BV98" i="18" s="1"/>
  <c r="BQ327" i="18"/>
  <c r="BR324" i="18"/>
  <c r="BO378" i="18"/>
  <c r="BP375" i="18"/>
  <c r="BP377" i="18" s="1"/>
  <c r="BL196" i="18"/>
  <c r="BL52" i="18" s="1"/>
  <c r="BM197" i="18"/>
  <c r="BQ337" i="18"/>
  <c r="BR334" i="18"/>
  <c r="BJ173" i="18"/>
  <c r="BJ64" i="18" s="1"/>
  <c r="BG33" i="14" s="1"/>
  <c r="BG31" i="14" s="1"/>
  <c r="BK174" i="18"/>
  <c r="BN169" i="18"/>
  <c r="BL138" i="18"/>
  <c r="BP332" i="18"/>
  <c r="BQ329" i="18"/>
  <c r="BQ331" i="18" s="1"/>
  <c r="BL41" i="18"/>
  <c r="BL47" i="18"/>
  <c r="BR380" i="18"/>
  <c r="BM164" i="18"/>
  <c r="BR358" i="18"/>
  <c r="BS355" i="18"/>
  <c r="BT183" i="18" s="1"/>
  <c r="BO387" i="18"/>
  <c r="BN388" i="18"/>
  <c r="BO382" i="18"/>
  <c r="BN383" i="18"/>
  <c r="BW287" i="18"/>
  <c r="BX284" i="18"/>
  <c r="BP307" i="18"/>
  <c r="BQ304" i="18"/>
  <c r="BR133" i="18" s="1"/>
  <c r="BN144" i="18"/>
  <c r="BP297" i="18"/>
  <c r="BQ294" i="18"/>
  <c r="BR204" i="18"/>
  <c r="BR312" i="18"/>
  <c r="BS309" i="18"/>
  <c r="BT139" i="18" s="1"/>
  <c r="BN214" i="18"/>
  <c r="BN60" i="18" s="1"/>
  <c r="BO215" i="18"/>
  <c r="BP322" i="18"/>
  <c r="BQ319" i="18"/>
  <c r="BQ321" i="18" s="1"/>
  <c r="BT385" i="18"/>
  <c r="BP282" i="18"/>
  <c r="BQ279" i="18"/>
  <c r="BQ281" i="18" s="1"/>
  <c r="BP348" i="18"/>
  <c r="BQ345" i="18"/>
  <c r="BR175" i="18" s="1"/>
  <c r="BO154" i="18"/>
  <c r="BL122" i="18"/>
  <c r="BN149" i="18"/>
  <c r="BR317" i="18"/>
  <c r="BS314" i="18"/>
  <c r="BM107" i="18"/>
  <c r="BM177" i="18"/>
  <c r="BM211" i="18"/>
  <c r="BM59" i="18" s="1"/>
  <c r="BN212" i="18"/>
  <c r="BS353" i="18"/>
  <c r="BT350" i="18"/>
  <c r="BU178" i="18" s="1"/>
  <c r="BR408" i="18"/>
  <c r="BS405" i="18"/>
  <c r="BT219" i="18" s="1"/>
  <c r="BO302" i="18"/>
  <c r="BP299" i="18"/>
  <c r="BQ128" i="18" s="1"/>
  <c r="BR403" i="18"/>
  <c r="BS400" i="18"/>
  <c r="BS402" i="18" s="1"/>
  <c r="BT207" i="18"/>
  <c r="BM102" i="18"/>
  <c r="BM182" i="18"/>
  <c r="BU398" i="18"/>
  <c r="BV395" i="18"/>
  <c r="BN159" i="18"/>
  <c r="BN132" i="18"/>
  <c r="BL202" i="18"/>
  <c r="BL58" i="18" s="1"/>
  <c r="BM203" i="18"/>
  <c r="BP342" i="18"/>
  <c r="BQ339" i="18"/>
  <c r="BM217" i="18"/>
  <c r="BN218" i="18"/>
  <c r="BV397" i="18" l="1"/>
  <c r="BR271" i="18"/>
  <c r="BX286" i="18"/>
  <c r="BN199" i="18"/>
  <c r="BN57" i="18" s="1"/>
  <c r="BO200" i="18"/>
  <c r="BR370" i="18"/>
  <c r="BS201" i="18" s="1"/>
  <c r="BS204" i="18"/>
  <c r="BS165" i="18"/>
  <c r="BR150" i="18"/>
  <c r="BS311" i="18"/>
  <c r="BW213" i="18"/>
  <c r="BR170" i="18"/>
  <c r="BS316" i="18"/>
  <c r="BR123" i="18"/>
  <c r="BU141" i="18"/>
  <c r="BS155" i="18"/>
  <c r="BT145" i="18"/>
  <c r="BQ306" i="18"/>
  <c r="BR160" i="18"/>
  <c r="BS407" i="18"/>
  <c r="BS357" i="18"/>
  <c r="BQ103" i="18"/>
  <c r="BQ198" i="18"/>
  <c r="BT216" i="18"/>
  <c r="BQ347" i="18"/>
  <c r="BR336" i="18"/>
  <c r="BP301" i="18"/>
  <c r="BR326" i="18"/>
  <c r="BS135" i="18"/>
  <c r="BQ341" i="18"/>
  <c r="BT352" i="18"/>
  <c r="BQ296" i="18"/>
  <c r="BR108" i="18"/>
  <c r="BI29" i="14"/>
  <c r="BU207" i="18"/>
  <c r="BN206" i="18"/>
  <c r="BM205" i="18"/>
  <c r="BM55" i="18" s="1"/>
  <c r="BM202" i="18"/>
  <c r="BM58" i="18" s="1"/>
  <c r="BN203" i="18"/>
  <c r="BN217" i="18"/>
  <c r="BO218" i="18"/>
  <c r="BN182" i="18"/>
  <c r="BS403" i="18"/>
  <c r="BT400" i="18"/>
  <c r="BT402" i="18" s="1"/>
  <c r="BP302" i="18"/>
  <c r="BQ299" i="18"/>
  <c r="BR128" i="18" s="1"/>
  <c r="BT353" i="18"/>
  <c r="BU350" i="18"/>
  <c r="BV178" i="18" s="1"/>
  <c r="BN211" i="18"/>
  <c r="BN59" i="18" s="1"/>
  <c r="BO212" i="18"/>
  <c r="BN107" i="18"/>
  <c r="BO214" i="18"/>
  <c r="BO60" i="18" s="1"/>
  <c r="BP215" i="18"/>
  <c r="BS312" i="18"/>
  <c r="BT309" i="18"/>
  <c r="BU139" i="18" s="1"/>
  <c r="BO144" i="18"/>
  <c r="BQ332" i="18"/>
  <c r="BR329" i="18"/>
  <c r="BR331" i="18" s="1"/>
  <c r="BM138" i="18"/>
  <c r="BP378" i="18"/>
  <c r="BQ375" i="18"/>
  <c r="BQ377" i="18" s="1"/>
  <c r="BP277" i="18"/>
  <c r="BQ274" i="18"/>
  <c r="BQ276" i="18" s="1"/>
  <c r="BP227" i="18"/>
  <c r="BM41" i="18"/>
  <c r="BM47" i="18"/>
  <c r="BO132" i="18"/>
  <c r="BS317" i="18"/>
  <c r="BT314" i="18"/>
  <c r="BQ348" i="18"/>
  <c r="BR345" i="18"/>
  <c r="BS175" i="18" s="1"/>
  <c r="BU385" i="18"/>
  <c r="BQ297" i="18"/>
  <c r="BR294" i="18"/>
  <c r="BQ307" i="18"/>
  <c r="BR304" i="18"/>
  <c r="BS133" i="18" s="1"/>
  <c r="BP387" i="18"/>
  <c r="BO388" i="18"/>
  <c r="BN164" i="18"/>
  <c r="BO169" i="18"/>
  <c r="BM196" i="18"/>
  <c r="BM52" i="18" s="1"/>
  <c r="BN197" i="18"/>
  <c r="BU272" i="18"/>
  <c r="BV269" i="18"/>
  <c r="BW98" i="18" s="1"/>
  <c r="BN127" i="18"/>
  <c r="BO159" i="18"/>
  <c r="BV398" i="18"/>
  <c r="BW395" i="18"/>
  <c r="BN102" i="18"/>
  <c r="BN177" i="18"/>
  <c r="BQ322" i="18"/>
  <c r="BR319" i="18"/>
  <c r="BR321" i="18" s="1"/>
  <c r="BX287" i="18"/>
  <c r="BY284" i="18"/>
  <c r="BS358" i="18"/>
  <c r="BT355" i="18"/>
  <c r="BU183" i="18" s="1"/>
  <c r="BK173" i="18"/>
  <c r="BK64" i="18" s="1"/>
  <c r="BH33" i="14" s="1"/>
  <c r="BH31" i="14" s="1"/>
  <c r="BL174" i="18"/>
  <c r="BR337" i="18"/>
  <c r="BS334" i="18"/>
  <c r="BQ97" i="18"/>
  <c r="BQ342" i="18"/>
  <c r="BR339" i="18"/>
  <c r="BS408" i="18"/>
  <c r="BT405" i="18"/>
  <c r="BU219" i="18" s="1"/>
  <c r="BO149" i="18"/>
  <c r="BM122" i="18"/>
  <c r="BP154" i="18"/>
  <c r="BQ282" i="18"/>
  <c r="BR279" i="18"/>
  <c r="BR281" i="18" s="1"/>
  <c r="BP382" i="18"/>
  <c r="BO383" i="18"/>
  <c r="BS380" i="18"/>
  <c r="BR327" i="18"/>
  <c r="BS324" i="18"/>
  <c r="BW397" i="18" l="1"/>
  <c r="BV207" i="18"/>
  <c r="BY286" i="18"/>
  <c r="BS271" i="18"/>
  <c r="BS370" i="18"/>
  <c r="BT201" i="18" s="1"/>
  <c r="BO199" i="18"/>
  <c r="BO57" i="18" s="1"/>
  <c r="BP200" i="18"/>
  <c r="BR296" i="18"/>
  <c r="BS326" i="18"/>
  <c r="BU216" i="18"/>
  <c r="BT407" i="18"/>
  <c r="BT155" i="18"/>
  <c r="BT311" i="18"/>
  <c r="BT165" i="18"/>
  <c r="BU352" i="18"/>
  <c r="BQ301" i="18"/>
  <c r="BR198" i="18"/>
  <c r="BS160" i="18"/>
  <c r="BV141" i="18"/>
  <c r="BT316" i="18"/>
  <c r="BS150" i="18"/>
  <c r="BR341" i="18"/>
  <c r="BS336" i="18"/>
  <c r="BR103" i="18"/>
  <c r="BR306" i="18"/>
  <c r="BS170" i="18"/>
  <c r="BS108" i="18"/>
  <c r="BT135" i="18"/>
  <c r="BR347" i="18"/>
  <c r="BT357" i="18"/>
  <c r="BU145" i="18"/>
  <c r="BS123" i="18"/>
  <c r="BX213" i="18"/>
  <c r="BJ29" i="14"/>
  <c r="BO206" i="18"/>
  <c r="BN205" i="18"/>
  <c r="BN55" i="18" s="1"/>
  <c r="BS327" i="18"/>
  <c r="BT324" i="18"/>
  <c r="BQ154" i="18"/>
  <c r="BP149" i="18"/>
  <c r="BS337" i="18"/>
  <c r="BT334" i="18"/>
  <c r="BT204" i="18"/>
  <c r="BO102" i="18"/>
  <c r="BP169" i="18"/>
  <c r="BN138" i="18"/>
  <c r="BO211" i="18"/>
  <c r="BO59" i="18" s="1"/>
  <c r="BP212" i="18"/>
  <c r="BU353" i="18"/>
  <c r="BV350" i="18"/>
  <c r="BW178" i="18" s="1"/>
  <c r="BQ302" i="18"/>
  <c r="BR299" i="18"/>
  <c r="BS128" i="18" s="1"/>
  <c r="BT403" i="18"/>
  <c r="BU400" i="18"/>
  <c r="BU402" i="18" s="1"/>
  <c r="BO217" i="18"/>
  <c r="BP218" i="18"/>
  <c r="BQ382" i="18"/>
  <c r="BP383" i="18"/>
  <c r="BT408" i="18"/>
  <c r="BU405" i="18"/>
  <c r="BV219" i="18" s="1"/>
  <c r="BV272" i="18"/>
  <c r="BW269" i="18"/>
  <c r="BX98" i="18" s="1"/>
  <c r="BQ387" i="18"/>
  <c r="BP388" i="18"/>
  <c r="BR307" i="18"/>
  <c r="BS304" i="18"/>
  <c r="BT133" i="18" s="1"/>
  <c r="BQ277" i="18"/>
  <c r="BR274" i="18"/>
  <c r="BR276" i="18" s="1"/>
  <c r="BQ227" i="18"/>
  <c r="BT312" i="18"/>
  <c r="BU309" i="18"/>
  <c r="BV139" i="18" s="1"/>
  <c r="BP214" i="18"/>
  <c r="BP60" i="18" s="1"/>
  <c r="BQ215" i="18"/>
  <c r="BO182" i="18"/>
  <c r="BN47" i="18"/>
  <c r="BN41" i="18"/>
  <c r="BN122" i="18"/>
  <c r="BR342" i="18"/>
  <c r="BS339" i="18"/>
  <c r="BO177" i="18"/>
  <c r="BP159" i="18"/>
  <c r="BN196" i="18"/>
  <c r="BN52" i="18" s="1"/>
  <c r="BO197" i="18"/>
  <c r="BO164" i="18"/>
  <c r="BQ378" i="18"/>
  <c r="BR375" i="18"/>
  <c r="BR377" i="18" s="1"/>
  <c r="BP144" i="18"/>
  <c r="BO107" i="18"/>
  <c r="BN202" i="18"/>
  <c r="BN58" i="18" s="1"/>
  <c r="BO203" i="18"/>
  <c r="BT380" i="18"/>
  <c r="BR282" i="18"/>
  <c r="BS279" i="18"/>
  <c r="BS281" i="18" s="1"/>
  <c r="BR97" i="18"/>
  <c r="BL173" i="18"/>
  <c r="BL64" i="18" s="1"/>
  <c r="BI33" i="14" s="1"/>
  <c r="BI31" i="14" s="1"/>
  <c r="BM174" i="18"/>
  <c r="BT358" i="18"/>
  <c r="BU355" i="18"/>
  <c r="BV183" i="18" s="1"/>
  <c r="BY287" i="18"/>
  <c r="BZ284" i="18"/>
  <c r="BR322" i="18"/>
  <c r="BS319" i="18"/>
  <c r="BS321" i="18" s="1"/>
  <c r="BW398" i="18"/>
  <c r="BX395" i="18"/>
  <c r="BX397" i="18" s="1"/>
  <c r="BO127" i="18"/>
  <c r="BR297" i="18"/>
  <c r="BS294" i="18"/>
  <c r="BV385" i="18"/>
  <c r="BR348" i="18"/>
  <c r="BS345" i="18"/>
  <c r="BT175" i="18" s="1"/>
  <c r="BT317" i="18"/>
  <c r="BU314" i="18"/>
  <c r="BP132" i="18"/>
  <c r="BR332" i="18"/>
  <c r="BS329" i="18"/>
  <c r="BS331" i="18" s="1"/>
  <c r="BT271" i="18" l="1"/>
  <c r="BP199" i="18"/>
  <c r="BP57" i="18" s="1"/>
  <c r="BQ200" i="18"/>
  <c r="BT370" i="18"/>
  <c r="BU201" i="18" s="1"/>
  <c r="BU357" i="18"/>
  <c r="BT108" i="18"/>
  <c r="BS306" i="18"/>
  <c r="BT336" i="18"/>
  <c r="BU316" i="18"/>
  <c r="BR301" i="18"/>
  <c r="BU155" i="18"/>
  <c r="BS296" i="18"/>
  <c r="BY213" i="18"/>
  <c r="BS103" i="18"/>
  <c r="BS341" i="18"/>
  <c r="BW141" i="18"/>
  <c r="BV352" i="18"/>
  <c r="BU407" i="18"/>
  <c r="BT123" i="18"/>
  <c r="BS347" i="18"/>
  <c r="BT170" i="18"/>
  <c r="BT150" i="18"/>
  <c r="BT160" i="18"/>
  <c r="BU165" i="18"/>
  <c r="BV216" i="18"/>
  <c r="BV145" i="18"/>
  <c r="BU135" i="18"/>
  <c r="BS198" i="18"/>
  <c r="BU311" i="18"/>
  <c r="BT326" i="18"/>
  <c r="BK29" i="14"/>
  <c r="BP206" i="18"/>
  <c r="BO205" i="18"/>
  <c r="BO55" i="18" s="1"/>
  <c r="BU380" i="18"/>
  <c r="BO196" i="18"/>
  <c r="BO52" i="18" s="1"/>
  <c r="BP197" i="18"/>
  <c r="BS342" i="18"/>
  <c r="BT339" i="18"/>
  <c r="BO122" i="18"/>
  <c r="BP182" i="18"/>
  <c r="BU312" i="18"/>
  <c r="BV309" i="18"/>
  <c r="BW139" i="18" s="1"/>
  <c r="BR277" i="18"/>
  <c r="BS274" i="18"/>
  <c r="BS276" i="18" s="1"/>
  <c r="BR227" i="18"/>
  <c r="BO41" i="18"/>
  <c r="BO47" i="18"/>
  <c r="BP211" i="18"/>
  <c r="BP59" i="18" s="1"/>
  <c r="BQ212" i="18"/>
  <c r="BU204" i="18"/>
  <c r="BQ149" i="18"/>
  <c r="BS348" i="18"/>
  <c r="BT345" i="18"/>
  <c r="BU175" i="18" s="1"/>
  <c r="BW385" i="18"/>
  <c r="BM173" i="18"/>
  <c r="BM64" i="18" s="1"/>
  <c r="BJ33" i="14" s="1"/>
  <c r="BJ31" i="14" s="1"/>
  <c r="BN174" i="18"/>
  <c r="BQ144" i="18"/>
  <c r="BQ214" i="18"/>
  <c r="BQ60" i="18" s="1"/>
  <c r="BR215" i="18"/>
  <c r="BS307" i="18"/>
  <c r="BT304" i="18"/>
  <c r="BU133" i="18" s="1"/>
  <c r="BR387" i="18"/>
  <c r="BQ388" i="18"/>
  <c r="BV353" i="18"/>
  <c r="BW350" i="18"/>
  <c r="BX178" i="18" s="1"/>
  <c r="BO138" i="18"/>
  <c r="BQ169" i="18"/>
  <c r="BT337" i="18"/>
  <c r="BU334" i="18"/>
  <c r="BZ286" i="18"/>
  <c r="BQ132" i="18"/>
  <c r="BU317" i="18"/>
  <c r="BV314" i="18"/>
  <c r="BS297" i="18"/>
  <c r="BT294" i="18"/>
  <c r="BP127" i="18"/>
  <c r="BS322" i="18"/>
  <c r="BT319" i="18"/>
  <c r="BT321" i="18" s="1"/>
  <c r="BU358" i="18"/>
  <c r="BV355" i="18"/>
  <c r="BW183" i="18" s="1"/>
  <c r="BS282" i="18"/>
  <c r="BT279" i="18"/>
  <c r="BT281" i="18" s="1"/>
  <c r="BP107" i="18"/>
  <c r="BP164" i="18"/>
  <c r="BU408" i="18"/>
  <c r="BV405" i="18"/>
  <c r="BW219" i="18" s="1"/>
  <c r="BR154" i="18"/>
  <c r="BS332" i="18"/>
  <c r="BT329" i="18"/>
  <c r="BT331" i="18" s="1"/>
  <c r="BX398" i="18"/>
  <c r="BY395" i="18"/>
  <c r="BY397" i="18" s="1"/>
  <c r="BZ287" i="18"/>
  <c r="CA284" i="18"/>
  <c r="BS97" i="18"/>
  <c r="BO202" i="18"/>
  <c r="BO58" i="18" s="1"/>
  <c r="BP203" i="18"/>
  <c r="BR378" i="18"/>
  <c r="BS375" i="18"/>
  <c r="BS377" i="18" s="1"/>
  <c r="BQ159" i="18"/>
  <c r="BP177" i="18"/>
  <c r="BW207" i="18"/>
  <c r="BW272" i="18"/>
  <c r="BX269" i="18"/>
  <c r="BY98" i="18" s="1"/>
  <c r="BR382" i="18"/>
  <c r="BQ383" i="18"/>
  <c r="BP217" i="18"/>
  <c r="BQ218" i="18"/>
  <c r="BU403" i="18"/>
  <c r="BV400" i="18"/>
  <c r="BV402" i="18" s="1"/>
  <c r="BR302" i="18"/>
  <c r="BS299" i="18"/>
  <c r="BT128" i="18" s="1"/>
  <c r="BP102" i="18"/>
  <c r="BT327" i="18"/>
  <c r="BU324" i="18"/>
  <c r="BX207" i="18" l="1"/>
  <c r="BU271" i="18"/>
  <c r="BU370" i="18"/>
  <c r="BV201" i="18" s="1"/>
  <c r="BQ199" i="18"/>
  <c r="BQ57" i="18" s="1"/>
  <c r="BR200" i="18"/>
  <c r="BU326" i="18"/>
  <c r="BV165" i="18"/>
  <c r="BT347" i="18"/>
  <c r="BX141" i="18"/>
  <c r="BT296" i="18"/>
  <c r="BV316" i="18"/>
  <c r="BV357" i="18"/>
  <c r="BV311" i="18"/>
  <c r="BV135" i="18"/>
  <c r="BU160" i="18"/>
  <c r="BU123" i="18"/>
  <c r="BT341" i="18"/>
  <c r="BV155" i="18"/>
  <c r="BU336" i="18"/>
  <c r="BT198" i="18"/>
  <c r="BW145" i="18"/>
  <c r="BU150" i="18"/>
  <c r="BV407" i="18"/>
  <c r="BT103" i="18"/>
  <c r="BS301" i="18"/>
  <c r="BT306" i="18"/>
  <c r="BW216" i="18"/>
  <c r="BU170" i="18"/>
  <c r="BW352" i="18"/>
  <c r="BZ213" i="18"/>
  <c r="BU108" i="18"/>
  <c r="BV204" i="18"/>
  <c r="BQ206" i="18"/>
  <c r="BP205" i="18"/>
  <c r="BP55" i="18" s="1"/>
  <c r="BL29" i="14"/>
  <c r="BQ177" i="18"/>
  <c r="BS378" i="18"/>
  <c r="BT375" i="18"/>
  <c r="BT377" i="18" s="1"/>
  <c r="BT332" i="18"/>
  <c r="BU329" i="18"/>
  <c r="BU331" i="18" s="1"/>
  <c r="BT297" i="18"/>
  <c r="BU294" i="18"/>
  <c r="BT307" i="18"/>
  <c r="BU304" i="18"/>
  <c r="BV133" i="18" s="1"/>
  <c r="BR214" i="18"/>
  <c r="BR60" i="18" s="1"/>
  <c r="BS215" i="18"/>
  <c r="BR149" i="18"/>
  <c r="BQ211" i="18"/>
  <c r="BQ59" i="18" s="1"/>
  <c r="BR212" i="18"/>
  <c r="BP122" i="18"/>
  <c r="BU327" i="18"/>
  <c r="BV324" i="18"/>
  <c r="BQ217" i="18"/>
  <c r="BR218" i="18"/>
  <c r="CA287" i="18"/>
  <c r="CB284" i="18"/>
  <c r="BS154" i="18"/>
  <c r="BQ107" i="18"/>
  <c r="BT282" i="18"/>
  <c r="BU279" i="18"/>
  <c r="BU281" i="18" s="1"/>
  <c r="BV358" i="18"/>
  <c r="BW355" i="18"/>
  <c r="BX183" i="18" s="1"/>
  <c r="BV317" i="18"/>
  <c r="BW314" i="18"/>
  <c r="CA286" i="18"/>
  <c r="BW353" i="18"/>
  <c r="BX350" i="18"/>
  <c r="BY178" i="18" s="1"/>
  <c r="BX385" i="18"/>
  <c r="BP196" i="18"/>
  <c r="BP52" i="18" s="1"/>
  <c r="BQ197" i="18"/>
  <c r="BS382" i="18"/>
  <c r="BR383" i="18"/>
  <c r="BY398" i="18"/>
  <c r="BZ395" i="18"/>
  <c r="BZ397" i="18" s="1"/>
  <c r="BQ102" i="18"/>
  <c r="BS302" i="18"/>
  <c r="BT299" i="18"/>
  <c r="BU128" i="18" s="1"/>
  <c r="BV403" i="18"/>
  <c r="BW400" i="18"/>
  <c r="BW402" i="18" s="1"/>
  <c r="BP47" i="18"/>
  <c r="BP41" i="18"/>
  <c r="BR159" i="18"/>
  <c r="BT97" i="18"/>
  <c r="BQ164" i="18"/>
  <c r="BT322" i="18"/>
  <c r="BU319" i="18"/>
  <c r="BU321" i="18" s="1"/>
  <c r="BQ127" i="18"/>
  <c r="BR169" i="18"/>
  <c r="BP138" i="18"/>
  <c r="BS387" i="18"/>
  <c r="BR388" i="18"/>
  <c r="BT348" i="18"/>
  <c r="BU345" i="18"/>
  <c r="BV175" i="18" s="1"/>
  <c r="BV312" i="18"/>
  <c r="BW309" i="18"/>
  <c r="BX139" i="18" s="1"/>
  <c r="BQ182" i="18"/>
  <c r="BT342" i="18"/>
  <c r="BU339" i="18"/>
  <c r="BX272" i="18"/>
  <c r="BY269" i="18"/>
  <c r="BZ98" i="18" s="1"/>
  <c r="BP202" i="18"/>
  <c r="BP58" i="18" s="1"/>
  <c r="BQ203" i="18"/>
  <c r="BV408" i="18"/>
  <c r="BW405" i="18"/>
  <c r="BX219" i="18" s="1"/>
  <c r="BR132" i="18"/>
  <c r="BU337" i="18"/>
  <c r="BV334" i="18"/>
  <c r="BR144" i="18"/>
  <c r="BN173" i="18"/>
  <c r="BN64" i="18" s="1"/>
  <c r="BK33" i="14" s="1"/>
  <c r="BK31" i="14" s="1"/>
  <c r="BO174" i="18"/>
  <c r="BS277" i="18"/>
  <c r="BT274" i="18"/>
  <c r="BT276" i="18" s="1"/>
  <c r="BS227" i="18"/>
  <c r="BV380" i="18"/>
  <c r="BY207" i="18" l="1"/>
  <c r="BV271" i="18"/>
  <c r="BR199" i="18"/>
  <c r="BR57" i="18" s="1"/>
  <c r="BS200" i="18"/>
  <c r="BU373" i="18"/>
  <c r="BV370" i="18"/>
  <c r="BW201" i="18" s="1"/>
  <c r="BV108" i="18"/>
  <c r="BX216" i="18"/>
  <c r="BW407" i="18"/>
  <c r="BV123" i="18"/>
  <c r="BY141" i="18"/>
  <c r="BV326" i="18"/>
  <c r="CA213" i="18"/>
  <c r="BU306" i="18"/>
  <c r="BV150" i="18"/>
  <c r="BV336" i="18"/>
  <c r="BV160" i="18"/>
  <c r="BW357" i="18"/>
  <c r="BU347" i="18"/>
  <c r="BX352" i="18"/>
  <c r="BT301" i="18"/>
  <c r="BX145" i="18"/>
  <c r="BW155" i="18"/>
  <c r="BW135" i="18"/>
  <c r="BW316" i="18"/>
  <c r="BW165" i="18"/>
  <c r="BV170" i="18"/>
  <c r="BU103" i="18"/>
  <c r="BU198" i="18"/>
  <c r="BU341" i="18"/>
  <c r="BW311" i="18"/>
  <c r="BU296" i="18"/>
  <c r="BW204" i="18"/>
  <c r="BM29" i="14"/>
  <c r="CB286" i="18"/>
  <c r="BQ205" i="18"/>
  <c r="BQ55" i="18" s="1"/>
  <c r="BR206" i="18"/>
  <c r="BV337" i="18"/>
  <c r="BW334" i="18"/>
  <c r="BQ138" i="18"/>
  <c r="BR127" i="18"/>
  <c r="BU322" i="18"/>
  <c r="BV319" i="18"/>
  <c r="BV321" i="18" s="1"/>
  <c r="BS159" i="18"/>
  <c r="BT382" i="18"/>
  <c r="BS383" i="18"/>
  <c r="BT154" i="18"/>
  <c r="BQ41" i="18"/>
  <c r="BQ47" i="18"/>
  <c r="BQ122" i="18"/>
  <c r="BR211" i="18"/>
  <c r="BR59" i="18" s="1"/>
  <c r="BS212" i="18"/>
  <c r="BU307" i="18"/>
  <c r="BV304" i="18"/>
  <c r="BW133" i="18" s="1"/>
  <c r="BT277" i="18"/>
  <c r="BU274" i="18"/>
  <c r="BU276" i="18" s="1"/>
  <c r="BT227" i="18"/>
  <c r="BS144" i="18"/>
  <c r="BQ202" i="18"/>
  <c r="BQ58" i="18" s="1"/>
  <c r="BR203" i="18"/>
  <c r="BU348" i="18"/>
  <c r="BV345" i="18"/>
  <c r="BW175" i="18" s="1"/>
  <c r="BT387" i="18"/>
  <c r="BS388" i="18"/>
  <c r="BR164" i="18"/>
  <c r="BZ398" i="18"/>
  <c r="CA395" i="18"/>
  <c r="CA397" i="18" s="1"/>
  <c r="BR107" i="18"/>
  <c r="CB287" i="18"/>
  <c r="CC284" i="18"/>
  <c r="BV327" i="18"/>
  <c r="BW324" i="18"/>
  <c r="BS214" i="18"/>
  <c r="BS60" i="18" s="1"/>
  <c r="BT215" i="18"/>
  <c r="BT378" i="18"/>
  <c r="BU375" i="18"/>
  <c r="BU377" i="18" s="1"/>
  <c r="BY272" i="18"/>
  <c r="BZ269" i="18"/>
  <c r="CA98" i="18" s="1"/>
  <c r="BR182" i="18"/>
  <c r="BW312" i="18"/>
  <c r="BX309" i="18"/>
  <c r="BY139" i="18" s="1"/>
  <c r="BS169" i="18"/>
  <c r="BU97" i="18"/>
  <c r="BT302" i="18"/>
  <c r="BU299" i="18"/>
  <c r="BV128" i="18" s="1"/>
  <c r="BR102" i="18"/>
  <c r="BQ196" i="18"/>
  <c r="BQ52" i="18" s="1"/>
  <c r="BR197" i="18"/>
  <c r="BX353" i="18"/>
  <c r="BY350" i="18"/>
  <c r="BZ178" i="18" s="1"/>
  <c r="BU282" i="18"/>
  <c r="BV279" i="18"/>
  <c r="BV281" i="18" s="1"/>
  <c r="BU297" i="18"/>
  <c r="BV294" i="18"/>
  <c r="BU332" i="18"/>
  <c r="BV329" i="18"/>
  <c r="BV331" i="18" s="1"/>
  <c r="BR177" i="18"/>
  <c r="BW380" i="18"/>
  <c r="BO173" i="18"/>
  <c r="BO64" i="18" s="1"/>
  <c r="BL33" i="14" s="1"/>
  <c r="BL31" i="14" s="1"/>
  <c r="BP174" i="18"/>
  <c r="BS132" i="18"/>
  <c r="BW408" i="18"/>
  <c r="BX405" i="18"/>
  <c r="BY219" i="18" s="1"/>
  <c r="BU342" i="18"/>
  <c r="BV339" i="18"/>
  <c r="BW403" i="18"/>
  <c r="BX400" i="18"/>
  <c r="BX402" i="18" s="1"/>
  <c r="BY385" i="18"/>
  <c r="BZ207" i="18" s="1"/>
  <c r="BW317" i="18"/>
  <c r="BX314" i="18"/>
  <c r="BW358" i="18"/>
  <c r="BX355" i="18"/>
  <c r="BY183" i="18" s="1"/>
  <c r="BR217" i="18"/>
  <c r="BS218" i="18"/>
  <c r="BS149" i="18"/>
  <c r="BW271" i="18" l="1"/>
  <c r="BX271" i="18" s="1"/>
  <c r="BS199" i="18"/>
  <c r="BS57" i="18" s="1"/>
  <c r="BT200" i="18"/>
  <c r="BW370" i="18"/>
  <c r="BX201" i="18" s="1"/>
  <c r="BV198" i="18"/>
  <c r="BX316" i="18"/>
  <c r="BU301" i="18"/>
  <c r="BW160" i="18"/>
  <c r="BV306" i="18"/>
  <c r="BW123" i="18"/>
  <c r="BV296" i="18"/>
  <c r="BV103" i="18"/>
  <c r="BX135" i="18"/>
  <c r="BY352" i="18"/>
  <c r="CB213" i="18"/>
  <c r="BX407" i="18"/>
  <c r="BX311" i="18"/>
  <c r="BW170" i="18"/>
  <c r="BX155" i="18"/>
  <c r="BV347" i="18"/>
  <c r="BW336" i="18"/>
  <c r="BW326" i="18"/>
  <c r="BY216" i="18"/>
  <c r="BV341" i="18"/>
  <c r="BX165" i="18"/>
  <c r="BY145" i="18"/>
  <c r="BX357" i="18"/>
  <c r="BW150" i="18"/>
  <c r="BZ141" i="18"/>
  <c r="BW108" i="18"/>
  <c r="CC286" i="18"/>
  <c r="BN29" i="14"/>
  <c r="BR205" i="18"/>
  <c r="BR55" i="18" s="1"/>
  <c r="BS206" i="18"/>
  <c r="BV332" i="18"/>
  <c r="BW329" i="18"/>
  <c r="BW331" i="18" s="1"/>
  <c r="BV297" i="18"/>
  <c r="BW294" i="18"/>
  <c r="BY353" i="18"/>
  <c r="BZ350" i="18"/>
  <c r="CA178" i="18" s="1"/>
  <c r="BS102" i="18"/>
  <c r="BS182" i="18"/>
  <c r="BZ272" i="18"/>
  <c r="CA269" i="18"/>
  <c r="CB98" i="18" s="1"/>
  <c r="BT214" i="18"/>
  <c r="BT60" i="18" s="1"/>
  <c r="BU215" i="18"/>
  <c r="BS164" i="18"/>
  <c r="BU387" i="18"/>
  <c r="BU277" i="18"/>
  <c r="BV274" i="18"/>
  <c r="BV276" i="18" s="1"/>
  <c r="BU227" i="18"/>
  <c r="BV307" i="18"/>
  <c r="BW304" i="18"/>
  <c r="BX133" i="18" s="1"/>
  <c r="BV322" i="18"/>
  <c r="BW319" i="18"/>
  <c r="BW321" i="18" s="1"/>
  <c r="BW337" i="18"/>
  <c r="BX334" i="18"/>
  <c r="BX380" i="18"/>
  <c r="BS217" i="18"/>
  <c r="BT218" i="18"/>
  <c r="BV342" i="18"/>
  <c r="BW339" i="18"/>
  <c r="BX408" i="18"/>
  <c r="BY405" i="18"/>
  <c r="BZ219" i="18" s="1"/>
  <c r="BP173" i="18"/>
  <c r="BP64" i="18" s="1"/>
  <c r="BM33" i="14" s="1"/>
  <c r="BM31" i="14" s="1"/>
  <c r="BQ174" i="18"/>
  <c r="BS177" i="18"/>
  <c r="BR196" i="18"/>
  <c r="BR52" i="18" s="1"/>
  <c r="BS197" i="18"/>
  <c r="BU302" i="18"/>
  <c r="BV299" i="18"/>
  <c r="BW128" i="18" s="1"/>
  <c r="BT169" i="18"/>
  <c r="BX312" i="18"/>
  <c r="BY309" i="18"/>
  <c r="BZ139" i="18" s="1"/>
  <c r="CA398" i="18"/>
  <c r="CB395" i="18"/>
  <c r="CB397" i="18" s="1"/>
  <c r="BR122" i="18"/>
  <c r="BR138" i="18"/>
  <c r="BT132" i="18"/>
  <c r="BR41" i="18"/>
  <c r="BR47" i="18"/>
  <c r="BX358" i="18"/>
  <c r="BY355" i="18"/>
  <c r="BZ183" i="18" s="1"/>
  <c r="BZ385" i="18"/>
  <c r="CA207" i="18" s="1"/>
  <c r="BV97" i="18"/>
  <c r="BS107" i="18"/>
  <c r="BV348" i="18"/>
  <c r="BW345" i="18"/>
  <c r="BX175" i="18" s="1"/>
  <c r="BR202" i="18"/>
  <c r="BR58" i="18" s="1"/>
  <c r="BS203" i="18"/>
  <c r="BU154" i="18"/>
  <c r="BT159" i="18"/>
  <c r="BT149" i="18"/>
  <c r="BX317" i="18"/>
  <c r="BY314" i="18"/>
  <c r="BX403" i="18"/>
  <c r="BY400" i="18"/>
  <c r="BY402" i="18" s="1"/>
  <c r="BV282" i="18"/>
  <c r="BW279" i="18"/>
  <c r="BW281" i="18" s="1"/>
  <c r="BU378" i="18"/>
  <c r="BV375" i="18"/>
  <c r="BV377" i="18" s="1"/>
  <c r="BW327" i="18"/>
  <c r="BX324" i="18"/>
  <c r="CC287" i="18"/>
  <c r="CD284" i="18"/>
  <c r="BT144" i="18"/>
  <c r="BS211" i="18"/>
  <c r="BS59" i="18" s="1"/>
  <c r="BT212" i="18"/>
  <c r="BU382" i="18"/>
  <c r="BT383" i="18"/>
  <c r="BS127" i="18"/>
  <c r="BX204" i="18"/>
  <c r="BY271" i="18" l="1"/>
  <c r="BZ271" i="18" s="1"/>
  <c r="CA271" i="18" s="1"/>
  <c r="BT199" i="18"/>
  <c r="BT57" i="18" s="1"/>
  <c r="BU200" i="18"/>
  <c r="BX370" i="18"/>
  <c r="BY201" i="18" s="1"/>
  <c r="BX108" i="18"/>
  <c r="BZ145" i="18"/>
  <c r="BX326" i="18"/>
  <c r="BY155" i="18"/>
  <c r="CC213" i="18"/>
  <c r="BW296" i="18"/>
  <c r="BV301" i="18"/>
  <c r="CA141" i="18"/>
  <c r="BY165" i="18"/>
  <c r="BX170" i="18"/>
  <c r="BZ352" i="18"/>
  <c r="BX123" i="18"/>
  <c r="BY316" i="18"/>
  <c r="BX150" i="18"/>
  <c r="BW341" i="18"/>
  <c r="BX336" i="18"/>
  <c r="BY311" i="18"/>
  <c r="BY135" i="18"/>
  <c r="BW306" i="18"/>
  <c r="BW198" i="18"/>
  <c r="BY357" i="18"/>
  <c r="BZ216" i="18"/>
  <c r="BW347" i="18"/>
  <c r="BY407" i="18"/>
  <c r="BW103" i="18"/>
  <c r="BX160" i="18"/>
  <c r="CD286" i="18"/>
  <c r="BY204" i="18"/>
  <c r="BO29" i="14"/>
  <c r="BS205" i="18"/>
  <c r="BS55" i="18" s="1"/>
  <c r="BT206" i="18"/>
  <c r="BX327" i="18"/>
  <c r="BY324" i="18"/>
  <c r="BU149" i="18"/>
  <c r="BV154" i="18"/>
  <c r="BS202" i="18"/>
  <c r="BS58" i="18" s="1"/>
  <c r="BT203" i="18"/>
  <c r="BU132" i="18"/>
  <c r="BS196" i="18"/>
  <c r="BS52" i="18" s="1"/>
  <c r="BT197" i="18"/>
  <c r="BQ173" i="18"/>
  <c r="BQ64" i="18" s="1"/>
  <c r="BN33" i="14" s="1"/>
  <c r="BN31" i="14" s="1"/>
  <c r="BR174" i="18"/>
  <c r="BY408" i="18"/>
  <c r="BZ405" i="18"/>
  <c r="CA219" i="18" s="1"/>
  <c r="BV277" i="18"/>
  <c r="BW274" i="18"/>
  <c r="BW276" i="18" s="1"/>
  <c r="BV227" i="18"/>
  <c r="BW332" i="18"/>
  <c r="BX329" i="18"/>
  <c r="BX331" i="18" s="1"/>
  <c r="BW282" i="18"/>
  <c r="BX279" i="18"/>
  <c r="BX281" i="18" s="1"/>
  <c r="BT107" i="18"/>
  <c r="BW97" i="18"/>
  <c r="CB398" i="18"/>
  <c r="CC395" i="18"/>
  <c r="CC397" i="18" s="1"/>
  <c r="BY312" i="18"/>
  <c r="BZ309" i="18"/>
  <c r="CA139" i="18" s="1"/>
  <c r="BU169" i="18"/>
  <c r="BV302" i="18"/>
  <c r="BW299" i="18"/>
  <c r="BX128" i="18" s="1"/>
  <c r="BT177" i="18"/>
  <c r="BY380" i="18"/>
  <c r="CA272" i="18"/>
  <c r="CB269" i="18"/>
  <c r="CC98" i="18" s="1"/>
  <c r="BT182" i="18"/>
  <c r="BT102" i="18"/>
  <c r="CD287" i="18"/>
  <c r="CE284" i="18"/>
  <c r="BY403" i="18"/>
  <c r="BZ400" i="18"/>
  <c r="BZ402" i="18" s="1"/>
  <c r="BY317" i="18"/>
  <c r="BZ314" i="18"/>
  <c r="BU159" i="18"/>
  <c r="BW348" i="18"/>
  <c r="BX345" i="18"/>
  <c r="BY175" i="18" s="1"/>
  <c r="BZ388" i="18"/>
  <c r="CA385" i="18"/>
  <c r="CB207" i="18" s="1"/>
  <c r="BY358" i="18"/>
  <c r="BZ355" i="18"/>
  <c r="CA183" i="18" s="1"/>
  <c r="BS122" i="18"/>
  <c r="BW342" i="18"/>
  <c r="BX339" i="18"/>
  <c r="BT217" i="18"/>
  <c r="BU218" i="18"/>
  <c r="BX337" i="18"/>
  <c r="BY334" i="18"/>
  <c r="BW307" i="18"/>
  <c r="BX304" i="18"/>
  <c r="BY133" i="18" s="1"/>
  <c r="BV387" i="18"/>
  <c r="BW387" i="18" s="1"/>
  <c r="BU388" i="18"/>
  <c r="BZ353" i="18"/>
  <c r="CA350" i="18"/>
  <c r="CB178" i="18" s="1"/>
  <c r="BW297" i="18"/>
  <c r="BX294" i="18"/>
  <c r="BT211" i="18"/>
  <c r="BT59" i="18" s="1"/>
  <c r="BU212" i="18"/>
  <c r="BV378" i="18"/>
  <c r="BW375" i="18"/>
  <c r="BW377" i="18" s="1"/>
  <c r="BT127" i="18"/>
  <c r="BV382" i="18"/>
  <c r="BU383" i="18"/>
  <c r="BU144" i="18"/>
  <c r="BS138" i="18"/>
  <c r="BS41" i="18"/>
  <c r="BS47" i="18"/>
  <c r="BW322" i="18"/>
  <c r="BX319" i="18"/>
  <c r="BX321" i="18" s="1"/>
  <c r="BT164" i="18"/>
  <c r="BU214" i="18"/>
  <c r="BU60" i="18" s="1"/>
  <c r="BV215" i="18"/>
  <c r="BX387" i="18" l="1"/>
  <c r="BW388" i="18"/>
  <c r="BX373" i="18"/>
  <c r="BY370" i="18"/>
  <c r="BZ201" i="18" s="1"/>
  <c r="CA201" i="18" s="1"/>
  <c r="CB201" i="18" s="1"/>
  <c r="CC201" i="18" s="1"/>
  <c r="CD201" i="18" s="1"/>
  <c r="CE201" i="18" s="1"/>
  <c r="CF201" i="18" s="1"/>
  <c r="CG201" i="18" s="1"/>
  <c r="CH201" i="18" s="1"/>
  <c r="CI201" i="18" s="1"/>
  <c r="CJ201" i="18" s="1"/>
  <c r="CK201" i="18" s="1"/>
  <c r="CL201" i="18" s="1"/>
  <c r="CM201" i="18" s="1"/>
  <c r="CN201" i="18" s="1"/>
  <c r="CO201" i="18" s="1"/>
  <c r="CP201" i="18" s="1"/>
  <c r="CQ201" i="18" s="1"/>
  <c r="CR201" i="18" s="1"/>
  <c r="CS201" i="18" s="1"/>
  <c r="CT201" i="18" s="1"/>
  <c r="CU201" i="18" s="1"/>
  <c r="CV201" i="18" s="1"/>
  <c r="CW201" i="18" s="1"/>
  <c r="CX201" i="18" s="1"/>
  <c r="CY201" i="18" s="1"/>
  <c r="CZ201" i="18" s="1"/>
  <c r="DA201" i="18" s="1"/>
  <c r="DB201" i="18" s="1"/>
  <c r="DC201" i="18" s="1"/>
  <c r="DD201" i="18" s="1"/>
  <c r="DE201" i="18" s="1"/>
  <c r="DF201" i="18" s="1"/>
  <c r="DG201" i="18" s="1"/>
  <c r="DH201" i="18" s="1"/>
  <c r="DI201" i="18" s="1"/>
  <c r="DJ201" i="18" s="1"/>
  <c r="DK201" i="18" s="1"/>
  <c r="DL201" i="18" s="1"/>
  <c r="DM201" i="18" s="1"/>
  <c r="DN201" i="18" s="1"/>
  <c r="DO201" i="18" s="1"/>
  <c r="DP201" i="18" s="1"/>
  <c r="DQ201" i="18" s="1"/>
  <c r="DR201" i="18" s="1"/>
  <c r="DS201" i="18" s="1"/>
  <c r="DT201" i="18" s="1"/>
  <c r="DU201" i="18" s="1"/>
  <c r="DV201" i="18" s="1"/>
  <c r="DW201" i="18" s="1"/>
  <c r="DX201" i="18" s="1"/>
  <c r="DY201" i="18" s="1"/>
  <c r="DZ201" i="18" s="1"/>
  <c r="EA201" i="18" s="1"/>
  <c r="EB201" i="18" s="1"/>
  <c r="EC201" i="18" s="1"/>
  <c r="ED201" i="18" s="1"/>
  <c r="EE201" i="18" s="1"/>
  <c r="EF201" i="18" s="1"/>
  <c r="EG201" i="18" s="1"/>
  <c r="EH201" i="18" s="1"/>
  <c r="EI201" i="18" s="1"/>
  <c r="F201" i="18" s="1"/>
  <c r="E201" i="18" s="1"/>
  <c r="BU199" i="18"/>
  <c r="BU57" i="18" s="1"/>
  <c r="BV200" i="18"/>
  <c r="BZ407" i="18"/>
  <c r="BX198" i="18"/>
  <c r="BY336" i="18"/>
  <c r="BY123" i="18"/>
  <c r="CB141" i="18"/>
  <c r="BZ155" i="18"/>
  <c r="CB271" i="18"/>
  <c r="BX347" i="18"/>
  <c r="BX306" i="18"/>
  <c r="BX341" i="18"/>
  <c r="CA352" i="18"/>
  <c r="BW301" i="18"/>
  <c r="BY326" i="18"/>
  <c r="BY160" i="18"/>
  <c r="CA216" i="18"/>
  <c r="BZ135" i="18"/>
  <c r="BY150" i="18"/>
  <c r="BY170" i="18"/>
  <c r="BX296" i="18"/>
  <c r="CA145" i="18"/>
  <c r="BX103" i="18"/>
  <c r="BZ357" i="18"/>
  <c r="BZ311" i="18"/>
  <c r="BZ316" i="18"/>
  <c r="BZ165" i="18"/>
  <c r="CD213" i="18"/>
  <c r="BY108" i="18"/>
  <c r="BP29" i="14"/>
  <c r="BT205" i="18"/>
  <c r="BT55" i="18" s="1"/>
  <c r="BU206" i="18"/>
  <c r="BZ358" i="18"/>
  <c r="CA355" i="18"/>
  <c r="CB183" i="18" s="1"/>
  <c r="BU102" i="18"/>
  <c r="BT196" i="18"/>
  <c r="BT52" i="18" s="1"/>
  <c r="BU197" i="18"/>
  <c r="BV132" i="18"/>
  <c r="BW378" i="18"/>
  <c r="BX375" i="18"/>
  <c r="BX377" i="18" s="1"/>
  <c r="BX322" i="18"/>
  <c r="BY319" i="18"/>
  <c r="BY321" i="18" s="1"/>
  <c r="BV144" i="18"/>
  <c r="BU127" i="18"/>
  <c r="BX307" i="18"/>
  <c r="BY304" i="18"/>
  <c r="BZ133" i="18" s="1"/>
  <c r="CA388" i="18"/>
  <c r="CB385" i="18"/>
  <c r="CC207" i="18" s="1"/>
  <c r="BZ317" i="18"/>
  <c r="CA314" i="18"/>
  <c r="BZ403" i="18"/>
  <c r="CA400" i="18"/>
  <c r="CA402" i="18" s="1"/>
  <c r="CE287" i="18"/>
  <c r="CF284" i="18"/>
  <c r="BX97" i="18"/>
  <c r="BW277" i="18"/>
  <c r="BX274" i="18"/>
  <c r="BX276" i="18" s="1"/>
  <c r="BW227" i="18"/>
  <c r="BT202" i="18"/>
  <c r="BT58" i="18" s="1"/>
  <c r="BU203" i="18"/>
  <c r="BV149" i="18"/>
  <c r="BZ204" i="18"/>
  <c r="CE286" i="18"/>
  <c r="BV214" i="18"/>
  <c r="BV60" i="18" s="1"/>
  <c r="BW215" i="18"/>
  <c r="BW382" i="18"/>
  <c r="BV383" i="18"/>
  <c r="BY337" i="18"/>
  <c r="BZ334" i="18"/>
  <c r="BU217" i="18"/>
  <c r="BV218" i="18"/>
  <c r="BT122" i="18"/>
  <c r="BV159" i="18"/>
  <c r="BU182" i="18"/>
  <c r="CB272" i="18"/>
  <c r="CC269" i="18"/>
  <c r="CD98" i="18" s="1"/>
  <c r="BU177" i="18"/>
  <c r="BV169" i="18"/>
  <c r="BX282" i="18"/>
  <c r="BY279" i="18"/>
  <c r="BY281" i="18" s="1"/>
  <c r="BR173" i="18"/>
  <c r="BR64" i="18" s="1"/>
  <c r="BO33" i="14" s="1"/>
  <c r="BO31" i="14" s="1"/>
  <c r="BS174" i="18"/>
  <c r="BY327" i="18"/>
  <c r="BZ324" i="18"/>
  <c r="CA353" i="18"/>
  <c r="CB350" i="18"/>
  <c r="CC178" i="18" s="1"/>
  <c r="BU164" i="18"/>
  <c r="BT138" i="18"/>
  <c r="BU211" i="18"/>
  <c r="BU59" i="18" s="1"/>
  <c r="BV212" i="18"/>
  <c r="BX297" i="18"/>
  <c r="BY294" i="18"/>
  <c r="BT41" i="18"/>
  <c r="BT47" i="18"/>
  <c r="BX342" i="18"/>
  <c r="BY339" i="18"/>
  <c r="BX348" i="18"/>
  <c r="BY345" i="18"/>
  <c r="BZ175" i="18" s="1"/>
  <c r="BZ380" i="18"/>
  <c r="BW302" i="18"/>
  <c r="BX299" i="18"/>
  <c r="BY128" i="18" s="1"/>
  <c r="BZ312" i="18"/>
  <c r="CA309" i="18"/>
  <c r="CB139" i="18" s="1"/>
  <c r="CC398" i="18"/>
  <c r="CD395" i="18"/>
  <c r="CD397" i="18" s="1"/>
  <c r="BU107" i="18"/>
  <c r="BX332" i="18"/>
  <c r="BY329" i="18"/>
  <c r="BY331" i="18" s="1"/>
  <c r="BZ408" i="18"/>
  <c r="CA405" i="18"/>
  <c r="CB219" i="18" s="1"/>
  <c r="BW154" i="18"/>
  <c r="BY387" i="18" l="1"/>
  <c r="BZ387" i="18" s="1"/>
  <c r="CA387" i="18" s="1"/>
  <c r="BX388" i="18"/>
  <c r="BV199" i="18"/>
  <c r="BV57" i="18" s="1"/>
  <c r="BW200" i="18"/>
  <c r="BZ370" i="18"/>
  <c r="BZ108" i="18"/>
  <c r="CA311" i="18"/>
  <c r="BY296" i="18"/>
  <c r="CB216" i="18"/>
  <c r="CB352" i="18"/>
  <c r="CC271" i="18"/>
  <c r="BZ123" i="18"/>
  <c r="CE213" i="18"/>
  <c r="CA357" i="18"/>
  <c r="BZ170" i="18"/>
  <c r="BZ160" i="18"/>
  <c r="BY341" i="18"/>
  <c r="BZ336" i="18"/>
  <c r="CA165" i="18"/>
  <c r="BY103" i="18"/>
  <c r="BZ150" i="18"/>
  <c r="BZ326" i="18"/>
  <c r="BY306" i="18"/>
  <c r="CA155" i="18"/>
  <c r="BY198" i="18"/>
  <c r="CA316" i="18"/>
  <c r="CB145" i="18"/>
  <c r="CA135" i="18"/>
  <c r="BX301" i="18"/>
  <c r="BY347" i="18"/>
  <c r="CC141" i="18"/>
  <c r="CA407" i="18"/>
  <c r="BQ29" i="14"/>
  <c r="CF286" i="18"/>
  <c r="BU205" i="18"/>
  <c r="BU55" i="18" s="1"/>
  <c r="BV206" i="18"/>
  <c r="BV211" i="18"/>
  <c r="BV59" i="18" s="1"/>
  <c r="BW212" i="18"/>
  <c r="BU138" i="18"/>
  <c r="BW169" i="18"/>
  <c r="BU122" i="18"/>
  <c r="BV217" i="18"/>
  <c r="BW218" i="18"/>
  <c r="BZ337" i="18"/>
  <c r="CA334" i="18"/>
  <c r="BW214" i="18"/>
  <c r="BW60" i="18" s="1"/>
  <c r="BX215" i="18"/>
  <c r="BU202" i="18"/>
  <c r="BU58" i="18" s="1"/>
  <c r="BV203" i="18"/>
  <c r="BX277" i="18"/>
  <c r="BY274" i="18"/>
  <c r="BY276" i="18" s="1"/>
  <c r="BX227" i="18"/>
  <c r="BY97" i="18"/>
  <c r="CA403" i="18"/>
  <c r="CB400" i="18"/>
  <c r="CB402" i="18" s="1"/>
  <c r="BV127" i="18"/>
  <c r="BU196" i="18"/>
  <c r="BU52" i="18" s="1"/>
  <c r="BV197" i="18"/>
  <c r="CA358" i="18"/>
  <c r="CB355" i="18"/>
  <c r="CC183" i="18" s="1"/>
  <c r="BV107" i="18"/>
  <c r="BY332" i="18"/>
  <c r="BZ329" i="18"/>
  <c r="BZ331" i="18" s="1"/>
  <c r="BY348" i="18"/>
  <c r="BZ345" i="18"/>
  <c r="CA175" i="18" s="1"/>
  <c r="BY297" i="18"/>
  <c r="BZ294" i="18"/>
  <c r="CB353" i="18"/>
  <c r="CC350" i="18"/>
  <c r="CD178" i="18" s="1"/>
  <c r="BS173" i="18"/>
  <c r="BS64" i="18" s="1"/>
  <c r="BP33" i="14" s="1"/>
  <c r="BP31" i="14" s="1"/>
  <c r="BT174" i="18"/>
  <c r="BY282" i="18"/>
  <c r="BZ279" i="18"/>
  <c r="BZ281" i="18" s="1"/>
  <c r="BU41" i="18"/>
  <c r="BU47" i="18"/>
  <c r="CA204" i="18"/>
  <c r="CA312" i="18"/>
  <c r="CB309" i="18"/>
  <c r="CC139" i="18" s="1"/>
  <c r="BX302" i="18"/>
  <c r="BY299" i="18"/>
  <c r="BZ128" i="18" s="1"/>
  <c r="BV177" i="18"/>
  <c r="BW159" i="18"/>
  <c r="BW149" i="18"/>
  <c r="CA317" i="18"/>
  <c r="CB314" i="18"/>
  <c r="BW144" i="18"/>
  <c r="BW132" i="18"/>
  <c r="BV102" i="18"/>
  <c r="BX154" i="18"/>
  <c r="CA408" i="18"/>
  <c r="CB405" i="18"/>
  <c r="CC219" i="18" s="1"/>
  <c r="CD398" i="18"/>
  <c r="CE395" i="18"/>
  <c r="CE397" i="18" s="1"/>
  <c r="CA380" i="18"/>
  <c r="BY342" i="18"/>
  <c r="BZ339" i="18"/>
  <c r="BV164" i="18"/>
  <c r="BZ327" i="18"/>
  <c r="CA324" i="18"/>
  <c r="CC272" i="18"/>
  <c r="CD269" i="18"/>
  <c r="CE98" i="18" s="1"/>
  <c r="BV182" i="18"/>
  <c r="BX382" i="18"/>
  <c r="BW383" i="18"/>
  <c r="CF287" i="18"/>
  <c r="CG284" i="18"/>
  <c r="CG286" i="18" s="1"/>
  <c r="CB388" i="18"/>
  <c r="CC385" i="18"/>
  <c r="CD207" i="18" s="1"/>
  <c r="BY307" i="18"/>
  <c r="BZ304" i="18"/>
  <c r="CA133" i="18" s="1"/>
  <c r="BY322" i="18"/>
  <c r="BZ319" i="18"/>
  <c r="BZ321" i="18" s="1"/>
  <c r="BX378" i="18"/>
  <c r="BY375" i="18"/>
  <c r="BY377" i="18" s="1"/>
  <c r="CB387" i="18" l="1"/>
  <c r="CC387" i="18" s="1"/>
  <c r="CA370" i="18"/>
  <c r="BW199" i="18"/>
  <c r="BW57" i="18" s="1"/>
  <c r="BX200" i="18"/>
  <c r="CB407" i="18"/>
  <c r="CB135" i="18"/>
  <c r="CB155" i="18"/>
  <c r="BZ103" i="18"/>
  <c r="BZ341" i="18"/>
  <c r="CF213" i="18"/>
  <c r="CC216" i="18"/>
  <c r="CD141" i="18"/>
  <c r="CC145" i="18"/>
  <c r="BZ306" i="18"/>
  <c r="CB165" i="18"/>
  <c r="CA160" i="18"/>
  <c r="CA123" i="18"/>
  <c r="BZ296" i="18"/>
  <c r="CB204" i="18"/>
  <c r="BZ347" i="18"/>
  <c r="CB316" i="18"/>
  <c r="CA326" i="18"/>
  <c r="CA336" i="18"/>
  <c r="CA170" i="18"/>
  <c r="CD271" i="18"/>
  <c r="CB311" i="18"/>
  <c r="BY301" i="18"/>
  <c r="BZ198" i="18"/>
  <c r="CA150" i="18"/>
  <c r="CB357" i="18"/>
  <c r="CC352" i="18"/>
  <c r="CA108" i="18"/>
  <c r="BR29" i="14"/>
  <c r="BV205" i="18"/>
  <c r="BV55" i="18" s="1"/>
  <c r="BW206" i="18"/>
  <c r="BT173" i="18"/>
  <c r="BT64" i="18" s="1"/>
  <c r="BQ33" i="14" s="1"/>
  <c r="BQ31" i="14" s="1"/>
  <c r="BU174" i="18"/>
  <c r="BZ348" i="18"/>
  <c r="CA345" i="18"/>
  <c r="CB175" i="18" s="1"/>
  <c r="BZ332" i="18"/>
  <c r="CA329" i="18"/>
  <c r="CA331" i="18" s="1"/>
  <c r="CB358" i="18"/>
  <c r="CC355" i="18"/>
  <c r="CD183" i="18" s="1"/>
  <c r="BW127" i="18"/>
  <c r="CB312" i="18"/>
  <c r="CC309" i="18"/>
  <c r="CD139" i="18" s="1"/>
  <c r="BZ307" i="18"/>
  <c r="CA304" i="18"/>
  <c r="CB133" i="18" s="1"/>
  <c r="CC388" i="18"/>
  <c r="CD385" i="18"/>
  <c r="CE207" i="18" s="1"/>
  <c r="BY382" i="18"/>
  <c r="BX383" i="18"/>
  <c r="BZ342" i="18"/>
  <c r="CA339" i="18"/>
  <c r="CB317" i="18"/>
  <c r="CC314" i="18"/>
  <c r="BY302" i="18"/>
  <c r="BZ299" i="18"/>
  <c r="CA128" i="18" s="1"/>
  <c r="BZ282" i="18"/>
  <c r="CA279" i="18"/>
  <c r="CA281" i="18" s="1"/>
  <c r="CC353" i="18"/>
  <c r="CD350" i="18"/>
  <c r="CE178" i="18" s="1"/>
  <c r="BZ297" i="18"/>
  <c r="CA294" i="18"/>
  <c r="BV202" i="18"/>
  <c r="BV58" i="18" s="1"/>
  <c r="BW203" i="18"/>
  <c r="BW217" i="18"/>
  <c r="BX218" i="18"/>
  <c r="BW211" i="18"/>
  <c r="BW59" i="18" s="1"/>
  <c r="BX212" i="18"/>
  <c r="CA327" i="18"/>
  <c r="CB324" i="18"/>
  <c r="CE398" i="18"/>
  <c r="CF395" i="18"/>
  <c r="CF397" i="18" s="1"/>
  <c r="CB408" i="18"/>
  <c r="CC405" i="18"/>
  <c r="CD219" i="18" s="1"/>
  <c r="BW102" i="18"/>
  <c r="BX132" i="18"/>
  <c r="BX144" i="18"/>
  <c r="BZ97" i="18"/>
  <c r="BY277" i="18"/>
  <c r="BZ274" i="18"/>
  <c r="BZ276" i="18" s="1"/>
  <c r="BY227" i="18"/>
  <c r="BX214" i="18"/>
  <c r="BX60" i="18" s="1"/>
  <c r="BY215" i="18"/>
  <c r="CA337" i="18"/>
  <c r="CB334" i="18"/>
  <c r="BV41" i="18"/>
  <c r="BV47" i="18"/>
  <c r="BX169" i="18"/>
  <c r="BY378" i="18"/>
  <c r="BZ375" i="18"/>
  <c r="BZ377" i="18" s="1"/>
  <c r="BZ322" i="18"/>
  <c r="CA319" i="18"/>
  <c r="CA321" i="18" s="1"/>
  <c r="CG287" i="18"/>
  <c r="CH284" i="18"/>
  <c r="CH286" i="18" s="1"/>
  <c r="BW182" i="18"/>
  <c r="CD272" i="18"/>
  <c r="CE269" i="18"/>
  <c r="CF98" i="18" s="1"/>
  <c r="BW164" i="18"/>
  <c r="CA383" i="18"/>
  <c r="CB380" i="18"/>
  <c r="BY154" i="18"/>
  <c r="BX149" i="18"/>
  <c r="BX159" i="18"/>
  <c r="BW177" i="18"/>
  <c r="BW107" i="18"/>
  <c r="BV196" i="18"/>
  <c r="BV52" i="18" s="1"/>
  <c r="BW197" i="18"/>
  <c r="CB403" i="18"/>
  <c r="CC400" i="18"/>
  <c r="CC402" i="18" s="1"/>
  <c r="BV122" i="18"/>
  <c r="BV138" i="18"/>
  <c r="BX199" i="18" l="1"/>
  <c r="BX57" i="18" s="1"/>
  <c r="BY200" i="18"/>
  <c r="CB370" i="18"/>
  <c r="BS29" i="14"/>
  <c r="CA198" i="18"/>
  <c r="CB170" i="18"/>
  <c r="CA347" i="18"/>
  <c r="CB160" i="18"/>
  <c r="CE141" i="18"/>
  <c r="CA103" i="18"/>
  <c r="CB108" i="18"/>
  <c r="BZ301" i="18"/>
  <c r="CB336" i="18"/>
  <c r="CC204" i="18"/>
  <c r="CC165" i="18"/>
  <c r="CD216" i="18"/>
  <c r="CC155" i="18"/>
  <c r="CD352" i="18"/>
  <c r="CD387" i="18"/>
  <c r="CC311" i="18"/>
  <c r="CB326" i="18"/>
  <c r="CA296" i="18"/>
  <c r="CA306" i="18"/>
  <c r="CG213" i="18"/>
  <c r="CC135" i="18"/>
  <c r="CC357" i="18"/>
  <c r="CB150" i="18"/>
  <c r="CE271" i="18"/>
  <c r="CC316" i="18"/>
  <c r="CB123" i="18"/>
  <c r="CD145" i="18"/>
  <c r="CA341" i="18"/>
  <c r="CC407" i="18"/>
  <c r="BW205" i="18"/>
  <c r="BW55" i="18" s="1"/>
  <c r="BX206" i="18"/>
  <c r="BZ154" i="18"/>
  <c r="BY214" i="18"/>
  <c r="BY60" i="18" s="1"/>
  <c r="BZ215" i="18"/>
  <c r="CA97" i="18"/>
  <c r="BY132" i="18"/>
  <c r="CC408" i="18"/>
  <c r="CD405" i="18"/>
  <c r="CE219" i="18" s="1"/>
  <c r="CF398" i="18"/>
  <c r="CG395" i="18"/>
  <c r="CG397" i="18" s="1"/>
  <c r="BX211" i="18"/>
  <c r="BX59" i="18" s="1"/>
  <c r="BY212" i="18"/>
  <c r="BW47" i="18"/>
  <c r="BW41" i="18"/>
  <c r="CD353" i="18"/>
  <c r="CE350" i="18"/>
  <c r="CF178" i="18" s="1"/>
  <c r="CA282" i="18"/>
  <c r="CB279" i="18"/>
  <c r="CB281" i="18" s="1"/>
  <c r="BZ302" i="18"/>
  <c r="CA299" i="18"/>
  <c r="CB128" i="18" s="1"/>
  <c r="BX127" i="18"/>
  <c r="BU173" i="18"/>
  <c r="BU64" i="18" s="1"/>
  <c r="BR33" i="14" s="1"/>
  <c r="BR31" i="14" s="1"/>
  <c r="BV174" i="18"/>
  <c r="BW122" i="18"/>
  <c r="BX107" i="18"/>
  <c r="BX177" i="18"/>
  <c r="CB383" i="18"/>
  <c r="CC380" i="18"/>
  <c r="CE272" i="18"/>
  <c r="CF269" i="18"/>
  <c r="CG98" i="18" s="1"/>
  <c r="BX182" i="18"/>
  <c r="BZ277" i="18"/>
  <c r="CA274" i="18"/>
  <c r="CA276" i="18" s="1"/>
  <c r="BZ227" i="18"/>
  <c r="CB327" i="18"/>
  <c r="CC324" i="18"/>
  <c r="BW202" i="18"/>
  <c r="BW58" i="18" s="1"/>
  <c r="BX203" i="18"/>
  <c r="CC317" i="18"/>
  <c r="CD314" i="18"/>
  <c r="CA342" i="18"/>
  <c r="CB339" i="18"/>
  <c r="CA332" i="18"/>
  <c r="CB329" i="18"/>
  <c r="CB331" i="18" s="1"/>
  <c r="CA348" i="18"/>
  <c r="CB345" i="18"/>
  <c r="CC175" i="18" s="1"/>
  <c r="BY149" i="18"/>
  <c r="BW138" i="18"/>
  <c r="CC403" i="18"/>
  <c r="CD400" i="18"/>
  <c r="CD402" i="18" s="1"/>
  <c r="BW196" i="18"/>
  <c r="BW52" i="18" s="1"/>
  <c r="BX197" i="18"/>
  <c r="CH287" i="18"/>
  <c r="CI284" i="18"/>
  <c r="BZ378" i="18"/>
  <c r="CA375" i="18"/>
  <c r="CA377" i="18" s="1"/>
  <c r="BY144" i="18"/>
  <c r="BX102" i="18"/>
  <c r="CA297" i="18"/>
  <c r="CB294" i="18"/>
  <c r="BZ382" i="18"/>
  <c r="CA382" i="18" s="1"/>
  <c r="CB382" i="18" s="1"/>
  <c r="BY383" i="18"/>
  <c r="BY159" i="18"/>
  <c r="BX164" i="18"/>
  <c r="CA322" i="18"/>
  <c r="CB319" i="18"/>
  <c r="CB321" i="18" s="1"/>
  <c r="BY169" i="18"/>
  <c r="CB337" i="18"/>
  <c r="CC334" i="18"/>
  <c r="BX217" i="18"/>
  <c r="BY218" i="18"/>
  <c r="CD388" i="18"/>
  <c r="CE385" i="18"/>
  <c r="CF207" i="18" s="1"/>
  <c r="CA307" i="18"/>
  <c r="CB304" i="18"/>
  <c r="CC133" i="18" s="1"/>
  <c r="CC312" i="18"/>
  <c r="CD309" i="18"/>
  <c r="CE139" i="18" s="1"/>
  <c r="CC358" i="18"/>
  <c r="CD355" i="18"/>
  <c r="CE183" i="18" s="1"/>
  <c r="CB373" i="18" l="1"/>
  <c r="CC370" i="18"/>
  <c r="BY199" i="18"/>
  <c r="BY57" i="18" s="1"/>
  <c r="BZ200" i="18"/>
  <c r="CC382" i="18"/>
  <c r="CB341" i="18"/>
  <c r="CF271" i="18"/>
  <c r="CH213" i="18"/>
  <c r="CD311" i="18"/>
  <c r="CE216" i="18"/>
  <c r="CA301" i="18"/>
  <c r="CC160" i="18"/>
  <c r="CE145" i="18"/>
  <c r="CC150" i="18"/>
  <c r="CB306" i="18"/>
  <c r="CE387" i="18"/>
  <c r="CD165" i="18"/>
  <c r="CC108" i="18"/>
  <c r="CB347" i="18"/>
  <c r="CC123" i="18"/>
  <c r="CD357" i="18"/>
  <c r="CB296" i="18"/>
  <c r="CE352" i="18"/>
  <c r="CD204" i="18"/>
  <c r="CB103" i="18"/>
  <c r="CC170" i="18"/>
  <c r="CD407" i="18"/>
  <c r="CD316" i="18"/>
  <c r="CD135" i="18"/>
  <c r="CC326" i="18"/>
  <c r="CD155" i="18"/>
  <c r="CC336" i="18"/>
  <c r="CF141" i="18"/>
  <c r="CB198" i="18"/>
  <c r="BT29" i="14"/>
  <c r="BX205" i="18"/>
  <c r="BX55" i="18" s="1"/>
  <c r="BY206" i="18"/>
  <c r="CB307" i="18"/>
  <c r="CC304" i="18"/>
  <c r="CD133" i="18" s="1"/>
  <c r="CC337" i="18"/>
  <c r="CD334" i="18"/>
  <c r="BY164" i="18"/>
  <c r="BZ159" i="18"/>
  <c r="BY102" i="18"/>
  <c r="CI287" i="18"/>
  <c r="CJ284" i="18"/>
  <c r="BX196" i="18"/>
  <c r="BX52" i="18" s="1"/>
  <c r="BY197" i="18"/>
  <c r="BX138" i="18"/>
  <c r="CF272" i="18"/>
  <c r="CG269" i="18"/>
  <c r="CH98" i="18" s="1"/>
  <c r="CC383" i="18"/>
  <c r="CD380" i="18"/>
  <c r="CD382" i="18" s="1"/>
  <c r="CB282" i="18"/>
  <c r="CC279" i="18"/>
  <c r="CC281" i="18" s="1"/>
  <c r="CG398" i="18"/>
  <c r="CH395" i="18"/>
  <c r="CH397" i="18" s="1"/>
  <c r="BZ214" i="18"/>
  <c r="BZ60" i="18" s="1"/>
  <c r="CA215" i="18"/>
  <c r="CA154" i="18"/>
  <c r="CD312" i="18"/>
  <c r="CE309" i="18"/>
  <c r="CF139" i="18" s="1"/>
  <c r="CB322" i="18"/>
  <c r="CC319" i="18"/>
  <c r="CC321" i="18" s="1"/>
  <c r="BX41" i="18"/>
  <c r="BX47" i="18"/>
  <c r="CD403" i="18"/>
  <c r="CE400" i="18"/>
  <c r="CE402" i="18" s="1"/>
  <c r="CB342" i="18"/>
  <c r="CC339" i="18"/>
  <c r="CC327" i="18"/>
  <c r="CD324" i="18"/>
  <c r="BX122" i="18"/>
  <c r="BY127" i="18"/>
  <c r="CA302" i="18"/>
  <c r="CB299" i="18"/>
  <c r="CC128" i="18" s="1"/>
  <c r="CE353" i="18"/>
  <c r="CF350" i="18"/>
  <c r="CG178" i="18" s="1"/>
  <c r="CD408" i="18"/>
  <c r="CE405" i="18"/>
  <c r="CF219" i="18" s="1"/>
  <c r="BZ132" i="18"/>
  <c r="CE388" i="18"/>
  <c r="CF385" i="18"/>
  <c r="CG207" i="18" s="1"/>
  <c r="BY217" i="18"/>
  <c r="BZ218" i="18"/>
  <c r="CD358" i="18"/>
  <c r="CE355" i="18"/>
  <c r="CF183" i="18" s="1"/>
  <c r="BZ169" i="18"/>
  <c r="CB297" i="18"/>
  <c r="CC294" i="18"/>
  <c r="BZ144" i="18"/>
  <c r="BZ149" i="18"/>
  <c r="CB348" i="18"/>
  <c r="CC345" i="18"/>
  <c r="CD175" i="18" s="1"/>
  <c r="BX202" i="18"/>
  <c r="BX58" i="18" s="1"/>
  <c r="BY203" i="18"/>
  <c r="CA277" i="18"/>
  <c r="CB274" i="18"/>
  <c r="CB276" i="18" s="1"/>
  <c r="CA227" i="18"/>
  <c r="BY211" i="18"/>
  <c r="BY59" i="18" s="1"/>
  <c r="BZ212" i="18"/>
  <c r="CB97" i="18"/>
  <c r="CA378" i="18"/>
  <c r="CB375" i="18"/>
  <c r="CB377" i="18" s="1"/>
  <c r="CB332" i="18"/>
  <c r="CC329" i="18"/>
  <c r="CC331" i="18" s="1"/>
  <c r="CD317" i="18"/>
  <c r="CE314" i="18"/>
  <c r="BY182" i="18"/>
  <c r="BY177" i="18"/>
  <c r="BY107" i="18"/>
  <c r="BV173" i="18"/>
  <c r="BV64" i="18" s="1"/>
  <c r="BS33" i="14" s="1"/>
  <c r="BS31" i="14" s="1"/>
  <c r="BW174" i="18"/>
  <c r="CI286" i="18"/>
  <c r="BZ199" i="18" l="1"/>
  <c r="BZ57" i="18" s="1"/>
  <c r="CA200" i="18"/>
  <c r="CC373" i="18"/>
  <c r="CD370" i="18"/>
  <c r="CC198" i="18"/>
  <c r="CD326" i="18"/>
  <c r="CF352" i="18"/>
  <c r="CC347" i="18"/>
  <c r="CF145" i="18"/>
  <c r="CE311" i="18"/>
  <c r="CG141" i="18"/>
  <c r="CE135" i="18"/>
  <c r="CD170" i="18"/>
  <c r="CC296" i="18"/>
  <c r="CD108" i="18"/>
  <c r="CF387" i="18"/>
  <c r="CD160" i="18"/>
  <c r="CI213" i="18"/>
  <c r="CD336" i="18"/>
  <c r="CE316" i="18"/>
  <c r="CC103" i="18"/>
  <c r="CE357" i="18"/>
  <c r="CE165" i="18"/>
  <c r="CC306" i="18"/>
  <c r="CB301" i="18"/>
  <c r="CG271" i="18"/>
  <c r="CE155" i="18"/>
  <c r="CE407" i="18"/>
  <c r="CE204" i="18"/>
  <c r="CD123" i="18"/>
  <c r="CD150" i="18"/>
  <c r="CF216" i="18"/>
  <c r="CC341" i="18"/>
  <c r="BU29" i="14"/>
  <c r="CJ286" i="18"/>
  <c r="BY205" i="18"/>
  <c r="BY55" i="18" s="1"/>
  <c r="BZ206" i="18"/>
  <c r="CE317" i="18"/>
  <c r="CF314" i="18"/>
  <c r="CB378" i="18"/>
  <c r="CC375" i="18"/>
  <c r="CC377" i="18" s="1"/>
  <c r="CB277" i="18"/>
  <c r="CC274" i="18"/>
  <c r="CC276" i="18" s="1"/>
  <c r="CB227" i="18"/>
  <c r="CA144" i="18"/>
  <c r="CE358" i="18"/>
  <c r="CF355" i="18"/>
  <c r="CG183" i="18" s="1"/>
  <c r="BZ217" i="18"/>
  <c r="CA218" i="18"/>
  <c r="CF353" i="18"/>
  <c r="CG350" i="18"/>
  <c r="CH178" i="18" s="1"/>
  <c r="CC342" i="18"/>
  <c r="CD339" i="18"/>
  <c r="CA214" i="18"/>
  <c r="CA60" i="18" s="1"/>
  <c r="CB215" i="18"/>
  <c r="CG272" i="18"/>
  <c r="CH269" i="18"/>
  <c r="CI98" i="18" s="1"/>
  <c r="BY138" i="18"/>
  <c r="BW173" i="18"/>
  <c r="BW64" i="18" s="1"/>
  <c r="BT33" i="14" s="1"/>
  <c r="BT31" i="14" s="1"/>
  <c r="BX174" i="18"/>
  <c r="BZ177" i="18"/>
  <c r="BZ182" i="18"/>
  <c r="CA169" i="18"/>
  <c r="BY47" i="18"/>
  <c r="BY41" i="18"/>
  <c r="BY122" i="18"/>
  <c r="CD327" i="18"/>
  <c r="CE324" i="18"/>
  <c r="CE403" i="18"/>
  <c r="CF400" i="18"/>
  <c r="CF402" i="18" s="1"/>
  <c r="CC322" i="18"/>
  <c r="CD319" i="18"/>
  <c r="CD321" i="18" s="1"/>
  <c r="BZ164" i="18"/>
  <c r="BY202" i="18"/>
  <c r="BY58" i="18" s="1"/>
  <c r="BZ203" i="18"/>
  <c r="CA149" i="18"/>
  <c r="CC297" i="18"/>
  <c r="CD294" i="18"/>
  <c r="CF388" i="18"/>
  <c r="CG385" i="18"/>
  <c r="CH207" i="18" s="1"/>
  <c r="CA132" i="18"/>
  <c r="CE408" i="18"/>
  <c r="CF405" i="18"/>
  <c r="CG219" i="18" s="1"/>
  <c r="CB302" i="18"/>
  <c r="CC299" i="18"/>
  <c r="CD128" i="18" s="1"/>
  <c r="CE312" i="18"/>
  <c r="CF309" i="18"/>
  <c r="CG139" i="18" s="1"/>
  <c r="CB154" i="18"/>
  <c r="CH398" i="18"/>
  <c r="CI395" i="18"/>
  <c r="CI397" i="18" s="1"/>
  <c r="CD383" i="18"/>
  <c r="CE380" i="18"/>
  <c r="CE382" i="18" s="1"/>
  <c r="BY196" i="18"/>
  <c r="BY52" i="18" s="1"/>
  <c r="BZ197" i="18"/>
  <c r="BZ102" i="18"/>
  <c r="CC307" i="18"/>
  <c r="CD304" i="18"/>
  <c r="CE133" i="18" s="1"/>
  <c r="BZ107" i="18"/>
  <c r="CC332" i="18"/>
  <c r="CD329" i="18"/>
  <c r="CD331" i="18" s="1"/>
  <c r="CC97" i="18"/>
  <c r="BZ211" i="18"/>
  <c r="BZ59" i="18" s="1"/>
  <c r="CA212" i="18"/>
  <c r="CC348" i="18"/>
  <c r="CD345" i="18"/>
  <c r="CE175" i="18" s="1"/>
  <c r="BZ127" i="18"/>
  <c r="CC282" i="18"/>
  <c r="CD279" i="18"/>
  <c r="CD281" i="18" s="1"/>
  <c r="CJ287" i="18"/>
  <c r="CK284" i="18"/>
  <c r="CA159" i="18"/>
  <c r="CD337" i="18"/>
  <c r="CE334" i="18"/>
  <c r="CA199" i="18" l="1"/>
  <c r="CA57" i="18" s="1"/>
  <c r="CB200" i="18"/>
  <c r="CD373" i="18"/>
  <c r="CE370" i="18"/>
  <c r="CE150" i="18"/>
  <c r="CF407" i="18"/>
  <c r="CD306" i="18"/>
  <c r="CF316" i="18"/>
  <c r="CG387" i="18"/>
  <c r="CF135" i="18"/>
  <c r="CD347" i="18"/>
  <c r="CF155" i="18"/>
  <c r="CF165" i="18"/>
  <c r="CE336" i="18"/>
  <c r="CE108" i="18"/>
  <c r="CH141" i="18"/>
  <c r="CG352" i="18"/>
  <c r="CD341" i="18"/>
  <c r="CE123" i="18"/>
  <c r="CH271" i="18"/>
  <c r="CF357" i="18"/>
  <c r="CJ213" i="18"/>
  <c r="CD296" i="18"/>
  <c r="CF311" i="18"/>
  <c r="CE326" i="18"/>
  <c r="CG216" i="18"/>
  <c r="CF204" i="18"/>
  <c r="CC301" i="18"/>
  <c r="CD103" i="18"/>
  <c r="CE160" i="18"/>
  <c r="CE170" i="18"/>
  <c r="CG145" i="18"/>
  <c r="CD198" i="18"/>
  <c r="BV29" i="14"/>
  <c r="BZ205" i="18"/>
  <c r="BZ55" i="18" s="1"/>
  <c r="CA206" i="18"/>
  <c r="CD97" i="18"/>
  <c r="CD307" i="18"/>
  <c r="CE304" i="18"/>
  <c r="CF133" i="18" s="1"/>
  <c r="BZ196" i="18"/>
  <c r="BZ52" i="18" s="1"/>
  <c r="CA197" i="18"/>
  <c r="CE327" i="18"/>
  <c r="CF324" i="18"/>
  <c r="CA177" i="18"/>
  <c r="CK286" i="18"/>
  <c r="CG353" i="18"/>
  <c r="CH350" i="18"/>
  <c r="CI178" i="18" s="1"/>
  <c r="BZ47" i="18"/>
  <c r="BZ41" i="18"/>
  <c r="CB159" i="18"/>
  <c r="CD348" i="18"/>
  <c r="CE345" i="18"/>
  <c r="CF175" i="18" s="1"/>
  <c r="CD332" i="18"/>
  <c r="CE329" i="18"/>
  <c r="CE331" i="18" s="1"/>
  <c r="CE383" i="18"/>
  <c r="CF380" i="18"/>
  <c r="CF382" i="18" s="1"/>
  <c r="CF312" i="18"/>
  <c r="CG309" i="18"/>
  <c r="CH139" i="18" s="1"/>
  <c r="BZ202" i="18"/>
  <c r="BZ58" i="18" s="1"/>
  <c r="CA203" i="18"/>
  <c r="BZ138" i="18"/>
  <c r="CH272" i="18"/>
  <c r="CI269" i="18"/>
  <c r="CJ98" i="18" s="1"/>
  <c r="CB214" i="18"/>
  <c r="CB60" i="18" s="1"/>
  <c r="CC215" i="18"/>
  <c r="CD342" i="18"/>
  <c r="CE339" i="18"/>
  <c r="CC277" i="18"/>
  <c r="CD274" i="18"/>
  <c r="CD276" i="18" s="1"/>
  <c r="CC227" i="18"/>
  <c r="CF317" i="18"/>
  <c r="CG314" i="18"/>
  <c r="CE337" i="18"/>
  <c r="CF334" i="18"/>
  <c r="CD282" i="18"/>
  <c r="CE279" i="18"/>
  <c r="CE281" i="18" s="1"/>
  <c r="CA211" i="18"/>
  <c r="CA59" i="18" s="1"/>
  <c r="CB212" i="18"/>
  <c r="CA107" i="18"/>
  <c r="CA102" i="18"/>
  <c r="CI398" i="18"/>
  <c r="CJ395" i="18"/>
  <c r="CJ397" i="18" s="1"/>
  <c r="CC302" i="18"/>
  <c r="CD299" i="18"/>
  <c r="CE128" i="18" s="1"/>
  <c r="CB132" i="18"/>
  <c r="CG388" i="18"/>
  <c r="CH385" i="18"/>
  <c r="CI207" i="18" s="1"/>
  <c r="CB149" i="18"/>
  <c r="CA164" i="18"/>
  <c r="CD322" i="18"/>
  <c r="CE319" i="18"/>
  <c r="CE321" i="18" s="1"/>
  <c r="CB169" i="18"/>
  <c r="CA182" i="18"/>
  <c r="BX173" i="18"/>
  <c r="BX64" i="18" s="1"/>
  <c r="BU33" i="14" s="1"/>
  <c r="BU31" i="14" s="1"/>
  <c r="BY174" i="18"/>
  <c r="CK287" i="18"/>
  <c r="CL284" i="18"/>
  <c r="CA127" i="18"/>
  <c r="CC154" i="18"/>
  <c r="CF408" i="18"/>
  <c r="CG405" i="18"/>
  <c r="CH219" i="18" s="1"/>
  <c r="CD297" i="18"/>
  <c r="CE294" i="18"/>
  <c r="CF403" i="18"/>
  <c r="CG400" i="18"/>
  <c r="CG402" i="18" s="1"/>
  <c r="BZ122" i="18"/>
  <c r="CA217" i="18"/>
  <c r="CB218" i="18"/>
  <c r="CF358" i="18"/>
  <c r="CG355" i="18"/>
  <c r="CH183" i="18" s="1"/>
  <c r="CB144" i="18"/>
  <c r="CC378" i="18"/>
  <c r="CD375" i="18"/>
  <c r="CD377" i="18" s="1"/>
  <c r="CB199" i="18" l="1"/>
  <c r="CB57" i="18" s="1"/>
  <c r="CC200" i="18"/>
  <c r="CE373" i="18"/>
  <c r="CF370" i="18"/>
  <c r="CH145" i="18"/>
  <c r="CD301" i="18"/>
  <c r="CG311" i="18"/>
  <c r="CI271" i="18"/>
  <c r="CI141" i="18"/>
  <c r="CG155" i="18"/>
  <c r="CH387" i="18"/>
  <c r="CF150" i="18"/>
  <c r="CF170" i="18"/>
  <c r="CG204" i="18"/>
  <c r="CE296" i="18"/>
  <c r="CF123" i="18"/>
  <c r="CF108" i="18"/>
  <c r="CG316" i="18"/>
  <c r="CF160" i="18"/>
  <c r="CH216" i="18"/>
  <c r="CK213" i="18"/>
  <c r="CE341" i="18"/>
  <c r="CF336" i="18"/>
  <c r="CE347" i="18"/>
  <c r="CE306" i="18"/>
  <c r="CE198" i="18"/>
  <c r="CE103" i="18"/>
  <c r="CF326" i="18"/>
  <c r="CG357" i="18"/>
  <c r="CH352" i="18"/>
  <c r="CG165" i="18"/>
  <c r="CG135" i="18"/>
  <c r="CG407" i="18"/>
  <c r="BW29" i="14"/>
  <c r="CA205" i="18"/>
  <c r="CA55" i="18" s="1"/>
  <c r="CB206" i="18"/>
  <c r="CB217" i="18"/>
  <c r="CC218" i="18"/>
  <c r="CC144" i="18"/>
  <c r="BY173" i="18"/>
  <c r="BY64" i="18" s="1"/>
  <c r="BV33" i="14" s="1"/>
  <c r="BV31" i="14" s="1"/>
  <c r="BZ174" i="18"/>
  <c r="CE322" i="18"/>
  <c r="CF319" i="18"/>
  <c r="CF321" i="18" s="1"/>
  <c r="CH388" i="18"/>
  <c r="CI385" i="18"/>
  <c r="CJ207" i="18" s="1"/>
  <c r="CJ398" i="18"/>
  <c r="CK395" i="18"/>
  <c r="CK397" i="18" s="1"/>
  <c r="CB107" i="18"/>
  <c r="CG312" i="18"/>
  <c r="CH309" i="18"/>
  <c r="CI139" i="18" s="1"/>
  <c r="CE332" i="18"/>
  <c r="CF329" i="18"/>
  <c r="CF331" i="18" s="1"/>
  <c r="CE348" i="18"/>
  <c r="CF345" i="18"/>
  <c r="CG175" i="18" s="1"/>
  <c r="CH353" i="18"/>
  <c r="CI350" i="18"/>
  <c r="CJ178" i="18" s="1"/>
  <c r="CB177" i="18"/>
  <c r="CE307" i="18"/>
  <c r="CF304" i="18"/>
  <c r="CG133" i="18" s="1"/>
  <c r="CG403" i="18"/>
  <c r="CH400" i="18"/>
  <c r="CH402" i="18" s="1"/>
  <c r="CG358" i="18"/>
  <c r="CH355" i="18"/>
  <c r="CI183" i="18" s="1"/>
  <c r="CC149" i="18"/>
  <c r="CB102" i="18"/>
  <c r="CB211" i="18"/>
  <c r="CB59" i="18" s="1"/>
  <c r="CC212" i="18"/>
  <c r="CG317" i="18"/>
  <c r="CH314" i="18"/>
  <c r="CE342" i="18"/>
  <c r="CF339" i="18"/>
  <c r="CA196" i="18"/>
  <c r="CA52" i="18" s="1"/>
  <c r="CB197" i="18"/>
  <c r="CD378" i="18"/>
  <c r="CE375" i="18"/>
  <c r="CE377" i="18" s="1"/>
  <c r="CA47" i="18"/>
  <c r="CA41" i="18"/>
  <c r="CA122" i="18"/>
  <c r="CE297" i="18"/>
  <c r="CF294" i="18"/>
  <c r="CL287" i="18"/>
  <c r="CM284" i="18"/>
  <c r="CB182" i="18"/>
  <c r="CC169" i="18"/>
  <c r="CD302" i="18"/>
  <c r="CE299" i="18"/>
  <c r="CF128" i="18" s="1"/>
  <c r="CC214" i="18"/>
  <c r="CC60" i="18" s="1"/>
  <c r="CD215" i="18"/>
  <c r="CF327" i="18"/>
  <c r="CG324" i="18"/>
  <c r="CG408" i="18"/>
  <c r="CH405" i="18"/>
  <c r="CI219" i="18" s="1"/>
  <c r="CD154" i="18"/>
  <c r="CB127" i="18"/>
  <c r="CB164" i="18"/>
  <c r="CC132" i="18"/>
  <c r="CE282" i="18"/>
  <c r="CF279" i="18"/>
  <c r="CF281" i="18" s="1"/>
  <c r="CF337" i="18"/>
  <c r="CG334" i="18"/>
  <c r="CD277" i="18"/>
  <c r="CE274" i="18"/>
  <c r="CE276" i="18" s="1"/>
  <c r="CD227" i="18"/>
  <c r="CI272" i="18"/>
  <c r="CJ269" i="18"/>
  <c r="CK98" i="18" s="1"/>
  <c r="CA138" i="18"/>
  <c r="CA202" i="18"/>
  <c r="CA58" i="18" s="1"/>
  <c r="BX29" i="14" s="1"/>
  <c r="CB203" i="18"/>
  <c r="CF383" i="18"/>
  <c r="CG380" i="18"/>
  <c r="CG382" i="18" s="1"/>
  <c r="CC159" i="18"/>
  <c r="CL286" i="18"/>
  <c r="CE97" i="18"/>
  <c r="CF373" i="18" l="1"/>
  <c r="CG370" i="18"/>
  <c r="CC199" i="18"/>
  <c r="CC57" i="18" s="1"/>
  <c r="CD200" i="18"/>
  <c r="CH135" i="18"/>
  <c r="CG326" i="18"/>
  <c r="CF347" i="18"/>
  <c r="CI216" i="18"/>
  <c r="CG123" i="18"/>
  <c r="CG150" i="18"/>
  <c r="CJ141" i="18"/>
  <c r="CI145" i="18"/>
  <c r="CH165" i="18"/>
  <c r="CF103" i="18"/>
  <c r="CG336" i="18"/>
  <c r="CG160" i="18"/>
  <c r="CF296" i="18"/>
  <c r="CJ271" i="18"/>
  <c r="CI352" i="18"/>
  <c r="CF198" i="18"/>
  <c r="CF341" i="18"/>
  <c r="CH316" i="18"/>
  <c r="CH204" i="18"/>
  <c r="CI387" i="18"/>
  <c r="CH311" i="18"/>
  <c r="CH407" i="18"/>
  <c r="CH357" i="18"/>
  <c r="CF306" i="18"/>
  <c r="CL213" i="18"/>
  <c r="CG108" i="18"/>
  <c r="CG170" i="18"/>
  <c r="CH155" i="18"/>
  <c r="CE301" i="18"/>
  <c r="CM286" i="18"/>
  <c r="CB205" i="18"/>
  <c r="CB55" i="18" s="1"/>
  <c r="CC206" i="18"/>
  <c r="CB138" i="18"/>
  <c r="CE277" i="18"/>
  <c r="CF274" i="18"/>
  <c r="CF276" i="18" s="1"/>
  <c r="CE227" i="18"/>
  <c r="CC164" i="18"/>
  <c r="CB122" i="18"/>
  <c r="CF342" i="18"/>
  <c r="CG339" i="18"/>
  <c r="CD149" i="18"/>
  <c r="CF307" i="18"/>
  <c r="CG304" i="18"/>
  <c r="CH133" i="18" s="1"/>
  <c r="CC177" i="18"/>
  <c r="CI353" i="18"/>
  <c r="CJ350" i="18"/>
  <c r="CK178" i="18" s="1"/>
  <c r="CB47" i="18"/>
  <c r="CB41" i="18"/>
  <c r="CD159" i="18"/>
  <c r="CG383" i="18"/>
  <c r="CH380" i="18"/>
  <c r="CH382" i="18" s="1"/>
  <c r="CE154" i="18"/>
  <c r="CH408" i="18"/>
  <c r="CI405" i="18"/>
  <c r="CJ219" i="18" s="1"/>
  <c r="CG327" i="18"/>
  <c r="CH324" i="18"/>
  <c r="CC182" i="18"/>
  <c r="CF297" i="18"/>
  <c r="CG294" i="18"/>
  <c r="CH317" i="18"/>
  <c r="CI314" i="18"/>
  <c r="CC102" i="18"/>
  <c r="CH403" i="18"/>
  <c r="CI400" i="18"/>
  <c r="CI402" i="18" s="1"/>
  <c r="CK398" i="18"/>
  <c r="CL395" i="18"/>
  <c r="CL397" i="18" s="1"/>
  <c r="CD144" i="18"/>
  <c r="CF97" i="18"/>
  <c r="CB202" i="18"/>
  <c r="CB58" i="18" s="1"/>
  <c r="CC203" i="18"/>
  <c r="CJ272" i="18"/>
  <c r="CK269" i="18"/>
  <c r="CL98" i="18" s="1"/>
  <c r="CD132" i="18"/>
  <c r="CD214" i="18"/>
  <c r="CD60" i="18" s="1"/>
  <c r="CE215" i="18"/>
  <c r="CE302" i="18"/>
  <c r="CF299" i="18"/>
  <c r="CG128" i="18" s="1"/>
  <c r="CM287" i="18"/>
  <c r="CN284" i="18"/>
  <c r="CF348" i="18"/>
  <c r="CG345" i="18"/>
  <c r="CH175" i="18" s="1"/>
  <c r="CF332" i="18"/>
  <c r="CG329" i="18"/>
  <c r="CG331" i="18" s="1"/>
  <c r="CI388" i="18"/>
  <c r="CJ385" i="18"/>
  <c r="CK207" i="18" s="1"/>
  <c r="CF322" i="18"/>
  <c r="CG319" i="18"/>
  <c r="CG321" i="18" s="1"/>
  <c r="CG337" i="18"/>
  <c r="CH334" i="18"/>
  <c r="CF282" i="18"/>
  <c r="CG279" i="18"/>
  <c r="CG281" i="18" s="1"/>
  <c r="CC127" i="18"/>
  <c r="CD169" i="18"/>
  <c r="CE378" i="18"/>
  <c r="CF375" i="18"/>
  <c r="CF377" i="18" s="1"/>
  <c r="CB196" i="18"/>
  <c r="CB52" i="18" s="1"/>
  <c r="CC197" i="18"/>
  <c r="CC211" i="18"/>
  <c r="CC59" i="18" s="1"/>
  <c r="CD212" i="18"/>
  <c r="CH358" i="18"/>
  <c r="CI355" i="18"/>
  <c r="CJ183" i="18" s="1"/>
  <c r="CH312" i="18"/>
  <c r="CI309" i="18"/>
  <c r="CJ139" i="18" s="1"/>
  <c r="CC107" i="18"/>
  <c r="BZ173" i="18"/>
  <c r="BZ64" i="18" s="1"/>
  <c r="BW33" i="14" s="1"/>
  <c r="BW31" i="14" s="1"/>
  <c r="CA174" i="18"/>
  <c r="CC217" i="18"/>
  <c r="CD218" i="18"/>
  <c r="CD199" i="18" l="1"/>
  <c r="CD57" i="18" s="1"/>
  <c r="CE200" i="18"/>
  <c r="CG373" i="18"/>
  <c r="CH370" i="18"/>
  <c r="CF301" i="18"/>
  <c r="CM213" i="18"/>
  <c r="CI311" i="18"/>
  <c r="CG341" i="18"/>
  <c r="CG296" i="18"/>
  <c r="CI165" i="18"/>
  <c r="CH123" i="18"/>
  <c r="CI135" i="18"/>
  <c r="CI155" i="18"/>
  <c r="CG306" i="18"/>
  <c r="CJ387" i="18"/>
  <c r="CG198" i="18"/>
  <c r="CH160" i="18"/>
  <c r="CJ145" i="18"/>
  <c r="CJ216" i="18"/>
  <c r="CH170" i="18"/>
  <c r="CI357" i="18"/>
  <c r="CI204" i="18"/>
  <c r="CJ352" i="18"/>
  <c r="CH336" i="18"/>
  <c r="CK141" i="18"/>
  <c r="CG347" i="18"/>
  <c r="CH108" i="18"/>
  <c r="CI407" i="18"/>
  <c r="CI316" i="18"/>
  <c r="CK271" i="18"/>
  <c r="CG103" i="18"/>
  <c r="CH150" i="18"/>
  <c r="CH326" i="18"/>
  <c r="BY29" i="14"/>
  <c r="CC205" i="18"/>
  <c r="CC55" i="18" s="1"/>
  <c r="CD206" i="18"/>
  <c r="CD127" i="18"/>
  <c r="CG332" i="18"/>
  <c r="CH329" i="18"/>
  <c r="CH331" i="18" s="1"/>
  <c r="CE132" i="18"/>
  <c r="CE144" i="18"/>
  <c r="CD102" i="18"/>
  <c r="CD182" i="18"/>
  <c r="CH327" i="18"/>
  <c r="CI324" i="18"/>
  <c r="CH383" i="18"/>
  <c r="CI380" i="18"/>
  <c r="CI382" i="18" s="1"/>
  <c r="CJ353" i="18"/>
  <c r="CK350" i="18"/>
  <c r="CL178" i="18" s="1"/>
  <c r="CG307" i="18"/>
  <c r="CH304" i="18"/>
  <c r="CI133" i="18" s="1"/>
  <c r="CG342" i="18"/>
  <c r="CH339" i="18"/>
  <c r="CA173" i="18"/>
  <c r="CA64" i="18" s="1"/>
  <c r="BX33" i="14" s="1"/>
  <c r="BX31" i="14" s="1"/>
  <c r="CB174" i="18"/>
  <c r="CD217" i="18"/>
  <c r="CE218" i="18"/>
  <c r="CD211" i="18"/>
  <c r="CD59" i="18" s="1"/>
  <c r="CE212" i="18"/>
  <c r="CG282" i="18"/>
  <c r="CH279" i="18"/>
  <c r="CH281" i="18" s="1"/>
  <c r="CG348" i="18"/>
  <c r="CH345" i="18"/>
  <c r="CI175" i="18" s="1"/>
  <c r="CN287" i="18"/>
  <c r="CO284" i="18"/>
  <c r="CG97" i="18"/>
  <c r="CG297" i="18"/>
  <c r="CH294" i="18"/>
  <c r="CE159" i="18"/>
  <c r="CC41" i="18"/>
  <c r="CC47" i="18"/>
  <c r="CI312" i="18"/>
  <c r="CJ309" i="18"/>
  <c r="CK139" i="18" s="1"/>
  <c r="CI358" i="18"/>
  <c r="CJ355" i="18"/>
  <c r="CK183" i="18" s="1"/>
  <c r="CC196" i="18"/>
  <c r="CC52" i="18" s="1"/>
  <c r="CD197" i="18"/>
  <c r="CH337" i="18"/>
  <c r="CI334" i="18"/>
  <c r="CG322" i="18"/>
  <c r="CH319" i="18"/>
  <c r="CH321" i="18" s="1"/>
  <c r="CJ388" i="18"/>
  <c r="CK385" i="18"/>
  <c r="CL207" i="18" s="1"/>
  <c r="CE214" i="18"/>
  <c r="CE60" i="18" s="1"/>
  <c r="CF215" i="18"/>
  <c r="CI317" i="18"/>
  <c r="CJ314" i="18"/>
  <c r="CF154" i="18"/>
  <c r="CC122" i="18"/>
  <c r="CC138" i="18"/>
  <c r="CN286" i="18"/>
  <c r="CD107" i="18"/>
  <c r="CF378" i="18"/>
  <c r="CG375" i="18"/>
  <c r="CG377" i="18" s="1"/>
  <c r="CE169" i="18"/>
  <c r="CF302" i="18"/>
  <c r="CG299" i="18"/>
  <c r="CH128" i="18" s="1"/>
  <c r="CK272" i="18"/>
  <c r="CL269" i="18"/>
  <c r="CM98" i="18" s="1"/>
  <c r="CC202" i="18"/>
  <c r="CC58" i="18" s="1"/>
  <c r="CD203" i="18"/>
  <c r="CL398" i="18"/>
  <c r="CM395" i="18"/>
  <c r="CM397" i="18" s="1"/>
  <c r="CI403" i="18"/>
  <c r="CJ400" i="18"/>
  <c r="CJ402" i="18" s="1"/>
  <c r="CI408" i="18"/>
  <c r="CJ405" i="18"/>
  <c r="CK219" i="18" s="1"/>
  <c r="CD177" i="18"/>
  <c r="CE149" i="18"/>
  <c r="CD164" i="18"/>
  <c r="CF277" i="18"/>
  <c r="CG274" i="18"/>
  <c r="CG276" i="18" s="1"/>
  <c r="CF227" i="18"/>
  <c r="CE199" i="18" l="1"/>
  <c r="CE57" i="18" s="1"/>
  <c r="CF200" i="18"/>
  <c r="CH373" i="18"/>
  <c r="CI370" i="18"/>
  <c r="CI150" i="18"/>
  <c r="CJ407" i="18"/>
  <c r="CI336" i="18"/>
  <c r="CI170" i="18"/>
  <c r="CH198" i="18"/>
  <c r="CJ155" i="18"/>
  <c r="CH296" i="18"/>
  <c r="CG301" i="18"/>
  <c r="CH103" i="18"/>
  <c r="CI108" i="18"/>
  <c r="CK352" i="18"/>
  <c r="CK216" i="18"/>
  <c r="CJ135" i="18"/>
  <c r="CH341" i="18"/>
  <c r="CL271" i="18"/>
  <c r="CH347" i="18"/>
  <c r="CJ204" i="18"/>
  <c r="CK145" i="18"/>
  <c r="CK387" i="18"/>
  <c r="CI123" i="18"/>
  <c r="CJ311" i="18"/>
  <c r="CI326" i="18"/>
  <c r="CJ316" i="18"/>
  <c r="CL141" i="18"/>
  <c r="CJ357" i="18"/>
  <c r="CI160" i="18"/>
  <c r="CH306" i="18"/>
  <c r="CJ165" i="18"/>
  <c r="CN213" i="18"/>
  <c r="BZ29" i="14"/>
  <c r="CO286" i="18"/>
  <c r="CE206" i="18"/>
  <c r="CD205" i="18"/>
  <c r="CD55" i="18" s="1"/>
  <c r="CE164" i="18"/>
  <c r="CG277" i="18"/>
  <c r="CH274" i="18"/>
  <c r="CH276" i="18" s="1"/>
  <c r="CG227" i="18"/>
  <c r="CG378" i="18"/>
  <c r="CH375" i="18"/>
  <c r="CH377" i="18" s="1"/>
  <c r="CE107" i="18"/>
  <c r="CD122" i="18"/>
  <c r="CK388" i="18"/>
  <c r="CL385" i="18"/>
  <c r="CM207" i="18" s="1"/>
  <c r="CH348" i="18"/>
  <c r="CI345" i="18"/>
  <c r="CJ175" i="18" s="1"/>
  <c r="CD41" i="18"/>
  <c r="CD47" i="18"/>
  <c r="CH307" i="18"/>
  <c r="CI304" i="18"/>
  <c r="CJ133" i="18" s="1"/>
  <c r="CI327" i="18"/>
  <c r="CJ324" i="18"/>
  <c r="CF169" i="18"/>
  <c r="CD138" i="18"/>
  <c r="CG154" i="18"/>
  <c r="CD196" i="18"/>
  <c r="CD52" i="18" s="1"/>
  <c r="CE197" i="18"/>
  <c r="CH97" i="18"/>
  <c r="CE211" i="18"/>
  <c r="CE59" i="18" s="1"/>
  <c r="CF212" i="18"/>
  <c r="CB173" i="18"/>
  <c r="CB64" i="18" s="1"/>
  <c r="BY33" i="14" s="1"/>
  <c r="BY31" i="14" s="1"/>
  <c r="CC174" i="18"/>
  <c r="CE127" i="18"/>
  <c r="CE177" i="18"/>
  <c r="CJ408" i="18"/>
  <c r="CK405" i="18"/>
  <c r="CL219" i="18" s="1"/>
  <c r="CJ403" i="18"/>
  <c r="CK400" i="18"/>
  <c r="CK402" i="18" s="1"/>
  <c r="CL272" i="18"/>
  <c r="CM269" i="18"/>
  <c r="CN98" i="18" s="1"/>
  <c r="CG302" i="18"/>
  <c r="CH299" i="18"/>
  <c r="CI128" i="18" s="1"/>
  <c r="CH322" i="18"/>
  <c r="CI319" i="18"/>
  <c r="CI321" i="18" s="1"/>
  <c r="CJ358" i="18"/>
  <c r="CK355" i="18"/>
  <c r="CL183" i="18" s="1"/>
  <c r="CH297" i="18"/>
  <c r="CI294" i="18"/>
  <c r="CH282" i="18"/>
  <c r="CI279" i="18"/>
  <c r="CI281" i="18" s="1"/>
  <c r="CH332" i="18"/>
  <c r="CI329" i="18"/>
  <c r="CI331" i="18" s="1"/>
  <c r="CF149" i="18"/>
  <c r="CM398" i="18"/>
  <c r="CN395" i="18"/>
  <c r="CN397" i="18" s="1"/>
  <c r="CD202" i="18"/>
  <c r="CD58" i="18" s="1"/>
  <c r="CE203" i="18"/>
  <c r="CJ317" i="18"/>
  <c r="CK314" i="18"/>
  <c r="CF214" i="18"/>
  <c r="CF60" i="18" s="1"/>
  <c r="CG215" i="18"/>
  <c r="CI337" i="18"/>
  <c r="CJ334" i="18"/>
  <c r="CJ312" i="18"/>
  <c r="CK309" i="18"/>
  <c r="CL139" i="18" s="1"/>
  <c r="CF159" i="18"/>
  <c r="CO287" i="18"/>
  <c r="CP284" i="18"/>
  <c r="CE217" i="18"/>
  <c r="CF218" i="18"/>
  <c r="CH342" i="18"/>
  <c r="CI339" i="18"/>
  <c r="CK353" i="18"/>
  <c r="CL350" i="18"/>
  <c r="CM178" i="18" s="1"/>
  <c r="CI383" i="18"/>
  <c r="CJ380" i="18"/>
  <c r="CJ382" i="18" s="1"/>
  <c r="CE182" i="18"/>
  <c r="CE102" i="18"/>
  <c r="CF144" i="18"/>
  <c r="CF132" i="18"/>
  <c r="CF199" i="18" l="1"/>
  <c r="CF57" i="18" s="1"/>
  <c r="CG200" i="18"/>
  <c r="CI373" i="18"/>
  <c r="CJ370" i="18"/>
  <c r="CI306" i="18"/>
  <c r="CK316" i="18"/>
  <c r="CL387" i="18"/>
  <c r="CM271" i="18"/>
  <c r="CL352" i="18"/>
  <c r="CI296" i="18"/>
  <c r="CJ336" i="18"/>
  <c r="CJ160" i="18"/>
  <c r="CJ326" i="18"/>
  <c r="CL145" i="18"/>
  <c r="CI341" i="18"/>
  <c r="CJ108" i="18"/>
  <c r="CK155" i="18"/>
  <c r="CK407" i="18"/>
  <c r="CO213" i="18"/>
  <c r="CK357" i="18"/>
  <c r="CK311" i="18"/>
  <c r="CK204" i="18"/>
  <c r="CK135" i="18"/>
  <c r="CI103" i="18"/>
  <c r="CI198" i="18"/>
  <c r="CJ150" i="18"/>
  <c r="CK165" i="18"/>
  <c r="CM141" i="18"/>
  <c r="CJ123" i="18"/>
  <c r="CI347" i="18"/>
  <c r="CL216" i="18"/>
  <c r="CH301" i="18"/>
  <c r="CJ170" i="18"/>
  <c r="CA29" i="14"/>
  <c r="CF206" i="18"/>
  <c r="CE205" i="18"/>
  <c r="CE55" i="18" s="1"/>
  <c r="CI342" i="18"/>
  <c r="CJ339" i="18"/>
  <c r="CJ383" i="18"/>
  <c r="CK380" i="18"/>
  <c r="CK382" i="18" s="1"/>
  <c r="CE47" i="18"/>
  <c r="CE41" i="18"/>
  <c r="CN398" i="18"/>
  <c r="CO395" i="18"/>
  <c r="CO397" i="18" s="1"/>
  <c r="CI322" i="18"/>
  <c r="CJ319" i="18"/>
  <c r="CJ321" i="18" s="1"/>
  <c r="CH302" i="18"/>
  <c r="CI299" i="18"/>
  <c r="CJ128" i="18" s="1"/>
  <c r="CF177" i="18"/>
  <c r="CE122" i="18"/>
  <c r="CH277" i="18"/>
  <c r="CI274" i="18"/>
  <c r="CI276" i="18" s="1"/>
  <c r="CH227" i="18"/>
  <c r="CF182" i="18"/>
  <c r="CL353" i="18"/>
  <c r="CM350" i="18"/>
  <c r="CN178" i="18" s="1"/>
  <c r="CP287" i="18"/>
  <c r="CQ284" i="18"/>
  <c r="CK312" i="18"/>
  <c r="CL309" i="18"/>
  <c r="CM139" i="18" s="1"/>
  <c r="CK317" i="18"/>
  <c r="CL314" i="18"/>
  <c r="CI282" i="18"/>
  <c r="CJ279" i="18"/>
  <c r="CJ281" i="18" s="1"/>
  <c r="CK408" i="18"/>
  <c r="CL405" i="18"/>
  <c r="CM219" i="18" s="1"/>
  <c r="CF211" i="18"/>
  <c r="CF59" i="18" s="1"/>
  <c r="CG212" i="18"/>
  <c r="CI97" i="18"/>
  <c r="CE196" i="18"/>
  <c r="CE52" i="18" s="1"/>
  <c r="CF197" i="18"/>
  <c r="CH154" i="18"/>
  <c r="CG169" i="18"/>
  <c r="CG144" i="18"/>
  <c r="CG132" i="18"/>
  <c r="CF102" i="18"/>
  <c r="CG159" i="18"/>
  <c r="CG214" i="18"/>
  <c r="CG60" i="18" s="1"/>
  <c r="CH215" i="18"/>
  <c r="CE202" i="18"/>
  <c r="CE58" i="18" s="1"/>
  <c r="CF203" i="18"/>
  <c r="CI297" i="18"/>
  <c r="CJ294" i="18"/>
  <c r="CM272" i="18"/>
  <c r="CN269" i="18"/>
  <c r="CO98" i="18" s="1"/>
  <c r="CF127" i="18"/>
  <c r="CJ327" i="18"/>
  <c r="CK324" i="18"/>
  <c r="CL388" i="18"/>
  <c r="CM385" i="18"/>
  <c r="CN207" i="18" s="1"/>
  <c r="CP286" i="18"/>
  <c r="CF217" i="18"/>
  <c r="CG218" i="18"/>
  <c r="CJ337" i="18"/>
  <c r="CK334" i="18"/>
  <c r="CG149" i="18"/>
  <c r="CI332" i="18"/>
  <c r="CJ329" i="18"/>
  <c r="CJ331" i="18" s="1"/>
  <c r="CK358" i="18"/>
  <c r="CL355" i="18"/>
  <c r="CM183" i="18" s="1"/>
  <c r="CK403" i="18"/>
  <c r="CL400" i="18"/>
  <c r="CL402" i="18" s="1"/>
  <c r="CC173" i="18"/>
  <c r="CC64" i="18" s="1"/>
  <c r="BZ33" i="14" s="1"/>
  <c r="BZ31" i="14" s="1"/>
  <c r="CD174" i="18"/>
  <c r="CE138" i="18"/>
  <c r="CI307" i="18"/>
  <c r="CJ304" i="18"/>
  <c r="CK133" i="18" s="1"/>
  <c r="CI348" i="18"/>
  <c r="CJ345" i="18"/>
  <c r="CK175" i="18" s="1"/>
  <c r="CF107" i="18"/>
  <c r="CH378" i="18"/>
  <c r="CI375" i="18"/>
  <c r="CI377" i="18" s="1"/>
  <c r="CF164" i="18"/>
  <c r="CG199" i="18" l="1"/>
  <c r="CG57" i="18" s="1"/>
  <c r="CH200" i="18"/>
  <c r="CJ373" i="18"/>
  <c r="CK370" i="18"/>
  <c r="CQ286" i="18"/>
  <c r="CM216" i="18"/>
  <c r="CL165" i="18"/>
  <c r="CL135" i="18"/>
  <c r="CP213" i="18"/>
  <c r="CJ341" i="18"/>
  <c r="CK336" i="18"/>
  <c r="CM387" i="18"/>
  <c r="CJ347" i="18"/>
  <c r="CK150" i="18"/>
  <c r="CL204" i="18"/>
  <c r="CL407" i="18"/>
  <c r="CM145" i="18"/>
  <c r="CJ296" i="18"/>
  <c r="CL316" i="18"/>
  <c r="CK170" i="18"/>
  <c r="CK123" i="18"/>
  <c r="CJ198" i="18"/>
  <c r="CL311" i="18"/>
  <c r="CL155" i="18"/>
  <c r="CK326" i="18"/>
  <c r="CM352" i="18"/>
  <c r="CJ306" i="18"/>
  <c r="CI301" i="18"/>
  <c r="CN141" i="18"/>
  <c r="CJ103" i="18"/>
  <c r="CL357" i="18"/>
  <c r="CK108" i="18"/>
  <c r="CK160" i="18"/>
  <c r="CN271" i="18"/>
  <c r="CB29" i="14"/>
  <c r="CF205" i="18"/>
  <c r="CF55" i="18" s="1"/>
  <c r="CG206" i="18"/>
  <c r="CJ307" i="18"/>
  <c r="CK304" i="18"/>
  <c r="CL133" i="18" s="1"/>
  <c r="CL403" i="18"/>
  <c r="CM400" i="18"/>
  <c r="CM402" i="18" s="1"/>
  <c r="CK337" i="18"/>
  <c r="CL334" i="18"/>
  <c r="CF41" i="18"/>
  <c r="CF47" i="18"/>
  <c r="CG127" i="18"/>
  <c r="CH214" i="18"/>
  <c r="CH60" i="18" s="1"/>
  <c r="CI215" i="18"/>
  <c r="CH132" i="18"/>
  <c r="CL312" i="18"/>
  <c r="CM309" i="18"/>
  <c r="CN139" i="18" s="1"/>
  <c r="CI277" i="18"/>
  <c r="CJ274" i="18"/>
  <c r="CJ276" i="18" s="1"/>
  <c r="CI227" i="18"/>
  <c r="CK383" i="18"/>
  <c r="CL380" i="18"/>
  <c r="CL382" i="18" s="1"/>
  <c r="CF138" i="18"/>
  <c r="CH149" i="18"/>
  <c r="CJ297" i="18"/>
  <c r="CK294" i="18"/>
  <c r="CH169" i="18"/>
  <c r="CJ97" i="18"/>
  <c r="CJ282" i="18"/>
  <c r="CK279" i="18"/>
  <c r="CK281" i="18" s="1"/>
  <c r="CL317" i="18"/>
  <c r="CM314" i="18"/>
  <c r="CQ287" i="18"/>
  <c r="CR284" i="18"/>
  <c r="CM353" i="18"/>
  <c r="CN350" i="18"/>
  <c r="CO178" i="18" s="1"/>
  <c r="CF122" i="18"/>
  <c r="CI302" i="18"/>
  <c r="CJ299" i="18"/>
  <c r="CK128" i="18" s="1"/>
  <c r="CO398" i="18"/>
  <c r="CP395" i="18"/>
  <c r="CP397" i="18" s="1"/>
  <c r="CJ342" i="18"/>
  <c r="CK339" i="18"/>
  <c r="CJ332" i="18"/>
  <c r="CK329" i="18"/>
  <c r="CK331" i="18" s="1"/>
  <c r="CF202" i="18"/>
  <c r="CF58" i="18" s="1"/>
  <c r="CC29" i="14" s="1"/>
  <c r="CG203" i="18"/>
  <c r="CH159" i="18"/>
  <c r="CG102" i="18"/>
  <c r="CL408" i="18"/>
  <c r="CM405" i="18"/>
  <c r="CN219" i="18" s="1"/>
  <c r="CG182" i="18"/>
  <c r="CG177" i="18"/>
  <c r="CI378" i="18"/>
  <c r="CJ375" i="18"/>
  <c r="CJ377" i="18" s="1"/>
  <c r="CG164" i="18"/>
  <c r="CG107" i="18"/>
  <c r="CJ348" i="18"/>
  <c r="CK345" i="18"/>
  <c r="CL175" i="18" s="1"/>
  <c r="CD173" i="18"/>
  <c r="CD64" i="18" s="1"/>
  <c r="CA33" i="14" s="1"/>
  <c r="CA31" i="14" s="1"/>
  <c r="CE174" i="18"/>
  <c r="CL358" i="18"/>
  <c r="CM355" i="18"/>
  <c r="CN183" i="18" s="1"/>
  <c r="CG217" i="18"/>
  <c r="CH218" i="18"/>
  <c r="CM388" i="18"/>
  <c r="CN385" i="18"/>
  <c r="CO207" i="18" s="1"/>
  <c r="CK327" i="18"/>
  <c r="CL324" i="18"/>
  <c r="CN272" i="18"/>
  <c r="CO269" i="18"/>
  <c r="CP98" i="18" s="1"/>
  <c r="CH144" i="18"/>
  <c r="CI154" i="18"/>
  <c r="CF196" i="18"/>
  <c r="CF52" i="18" s="1"/>
  <c r="CG197" i="18"/>
  <c r="CG211" i="18"/>
  <c r="CG59" i="18" s="1"/>
  <c r="CH212" i="18"/>
  <c r="CJ322" i="18"/>
  <c r="CK319" i="18"/>
  <c r="CK321" i="18" s="1"/>
  <c r="CH199" i="18" l="1"/>
  <c r="CH57" i="18" s="1"/>
  <c r="CI200" i="18"/>
  <c r="CK373" i="18"/>
  <c r="CL370" i="18"/>
  <c r="CR286" i="18"/>
  <c r="CL108" i="18"/>
  <c r="CJ301" i="18"/>
  <c r="CM155" i="18"/>
  <c r="CL170" i="18"/>
  <c r="CM407" i="18"/>
  <c r="CN387" i="18"/>
  <c r="CM135" i="18"/>
  <c r="CM357" i="18"/>
  <c r="CK306" i="18"/>
  <c r="CM311" i="18"/>
  <c r="CM316" i="18"/>
  <c r="CM204" i="18"/>
  <c r="CL336" i="18"/>
  <c r="CM165" i="18"/>
  <c r="CO271" i="18"/>
  <c r="CK103" i="18"/>
  <c r="CN352" i="18"/>
  <c r="CK198" i="18"/>
  <c r="CK296" i="18"/>
  <c r="CL150" i="18"/>
  <c r="CK341" i="18"/>
  <c r="CN216" i="18"/>
  <c r="CL160" i="18"/>
  <c r="CO141" i="18"/>
  <c r="CL326" i="18"/>
  <c r="CL123" i="18"/>
  <c r="CN145" i="18"/>
  <c r="CK347" i="18"/>
  <c r="CQ213" i="18"/>
  <c r="CG205" i="18"/>
  <c r="CG55" i="18" s="1"/>
  <c r="CH206" i="18"/>
  <c r="CL327" i="18"/>
  <c r="CM324" i="18"/>
  <c r="CH164" i="18"/>
  <c r="CH177" i="18"/>
  <c r="CG202" i="18"/>
  <c r="CG58" i="18" s="1"/>
  <c r="CH203" i="18"/>
  <c r="CK342" i="18"/>
  <c r="CL339" i="18"/>
  <c r="CG122" i="18"/>
  <c r="CN353" i="18"/>
  <c r="CO350" i="18"/>
  <c r="CP178" i="18" s="1"/>
  <c r="CK97" i="18"/>
  <c r="CI169" i="18"/>
  <c r="CL383" i="18"/>
  <c r="CM380" i="18"/>
  <c r="CM382" i="18" s="1"/>
  <c r="CN388" i="18"/>
  <c r="CO385" i="18"/>
  <c r="CP207" i="18" s="1"/>
  <c r="CG41" i="18"/>
  <c r="CG47" i="18"/>
  <c r="CK322" i="18"/>
  <c r="CL319" i="18"/>
  <c r="CL321" i="18" s="1"/>
  <c r="CH211" i="18"/>
  <c r="CH59" i="18" s="1"/>
  <c r="CI212" i="18"/>
  <c r="CJ154" i="18"/>
  <c r="CM358" i="18"/>
  <c r="CN355" i="18"/>
  <c r="CO183" i="18" s="1"/>
  <c r="CM408" i="18"/>
  <c r="CN405" i="18"/>
  <c r="CO219" i="18" s="1"/>
  <c r="CK332" i="18"/>
  <c r="CL329" i="18"/>
  <c r="CL331" i="18" s="1"/>
  <c r="CM317" i="18"/>
  <c r="CN314" i="18"/>
  <c r="CJ277" i="18"/>
  <c r="CK274" i="18"/>
  <c r="CK276" i="18" s="1"/>
  <c r="CJ227" i="18"/>
  <c r="CI132" i="18"/>
  <c r="CH127" i="18"/>
  <c r="CI144" i="18"/>
  <c r="CE173" i="18"/>
  <c r="CE64" i="18" s="1"/>
  <c r="CB33" i="14" s="1"/>
  <c r="CB31" i="14" s="1"/>
  <c r="CF174" i="18"/>
  <c r="CH107" i="18"/>
  <c r="CI159" i="18"/>
  <c r="CP398" i="18"/>
  <c r="CQ395" i="18"/>
  <c r="CQ397" i="18" s="1"/>
  <c r="CM312" i="18"/>
  <c r="CN309" i="18"/>
  <c r="CO139" i="18" s="1"/>
  <c r="CL337" i="18"/>
  <c r="CM334" i="18"/>
  <c r="CM403" i="18"/>
  <c r="CN400" i="18"/>
  <c r="CN402" i="18" s="1"/>
  <c r="CG196" i="18"/>
  <c r="CG52" i="18" s="1"/>
  <c r="CH197" i="18"/>
  <c r="CO272" i="18"/>
  <c r="CP269" i="18"/>
  <c r="CQ98" i="18" s="1"/>
  <c r="CH217" i="18"/>
  <c r="CI218" i="18"/>
  <c r="CK348" i="18"/>
  <c r="CL345" i="18"/>
  <c r="CM175" i="18" s="1"/>
  <c r="CJ378" i="18"/>
  <c r="CK375" i="18"/>
  <c r="CK377" i="18" s="1"/>
  <c r="CH182" i="18"/>
  <c r="CH102" i="18"/>
  <c r="CJ302" i="18"/>
  <c r="CK299" i="18"/>
  <c r="CL128" i="18" s="1"/>
  <c r="CR287" i="18"/>
  <c r="CS284" i="18"/>
  <c r="CK282" i="18"/>
  <c r="CL279" i="18"/>
  <c r="CL281" i="18" s="1"/>
  <c r="CK297" i="18"/>
  <c r="CL294" i="18"/>
  <c r="CI149" i="18"/>
  <c r="CG138" i="18"/>
  <c r="CI214" i="18"/>
  <c r="CI60" i="18" s="1"/>
  <c r="CJ215" i="18"/>
  <c r="CK307" i="18"/>
  <c r="CL304" i="18"/>
  <c r="CM133" i="18" s="1"/>
  <c r="CI199" i="18" l="1"/>
  <c r="CI57" i="18" s="1"/>
  <c r="CJ200" i="18"/>
  <c r="CL373" i="18"/>
  <c r="CM370" i="18"/>
  <c r="CS286" i="18"/>
  <c r="CO145" i="18"/>
  <c r="CM160" i="18"/>
  <c r="CL296" i="18"/>
  <c r="CP271" i="18"/>
  <c r="CN316" i="18"/>
  <c r="CN135" i="18"/>
  <c r="CN155" i="18"/>
  <c r="CM123" i="18"/>
  <c r="CO216" i="18"/>
  <c r="CL198" i="18"/>
  <c r="CN165" i="18"/>
  <c r="CN311" i="18"/>
  <c r="CO387" i="18"/>
  <c r="CK301" i="18"/>
  <c r="CR213" i="18"/>
  <c r="CM326" i="18"/>
  <c r="CL341" i="18"/>
  <c r="CO352" i="18"/>
  <c r="CM336" i="18"/>
  <c r="CL306" i="18"/>
  <c r="CN407" i="18"/>
  <c r="CM108" i="18"/>
  <c r="CL347" i="18"/>
  <c r="CP141" i="18"/>
  <c r="CM150" i="18"/>
  <c r="CL103" i="18"/>
  <c r="CN204" i="18"/>
  <c r="CN357" i="18"/>
  <c r="CM170" i="18"/>
  <c r="CD29" i="14"/>
  <c r="CH205" i="18"/>
  <c r="CH55" i="18" s="1"/>
  <c r="CI206" i="18"/>
  <c r="CK302" i="18"/>
  <c r="CL299" i="18"/>
  <c r="CM128" i="18" s="1"/>
  <c r="CN403" i="18"/>
  <c r="CO400" i="18"/>
  <c r="CO402" i="18" s="1"/>
  <c r="CM337" i="18"/>
  <c r="CN334" i="18"/>
  <c r="CQ398" i="18"/>
  <c r="CR395" i="18"/>
  <c r="CR397" i="18" s="1"/>
  <c r="CI127" i="18"/>
  <c r="CK277" i="18"/>
  <c r="CL274" i="18"/>
  <c r="CL276" i="18" s="1"/>
  <c r="CK227" i="18"/>
  <c r="CN317" i="18"/>
  <c r="CO314" i="18"/>
  <c r="CL332" i="18"/>
  <c r="CM329" i="18"/>
  <c r="CM331" i="18" s="1"/>
  <c r="CL322" i="18"/>
  <c r="CM319" i="18"/>
  <c r="CM321" i="18" s="1"/>
  <c r="CM383" i="18"/>
  <c r="CN380" i="18"/>
  <c r="CN382" i="18" s="1"/>
  <c r="CJ169" i="18"/>
  <c r="CH122" i="18"/>
  <c r="CI177" i="18"/>
  <c r="CI164" i="18"/>
  <c r="CL307" i="18"/>
  <c r="CM304" i="18"/>
  <c r="CN133" i="18" s="1"/>
  <c r="CS287" i="18"/>
  <c r="CT284" i="18"/>
  <c r="CL348" i="18"/>
  <c r="CM345" i="18"/>
  <c r="CN175" i="18" s="1"/>
  <c r="CP272" i="18"/>
  <c r="CQ269" i="18"/>
  <c r="CR98" i="18" s="1"/>
  <c r="CH196" i="18"/>
  <c r="CH52" i="18" s="1"/>
  <c r="CI197" i="18"/>
  <c r="CN312" i="18"/>
  <c r="CO309" i="18"/>
  <c r="CP139" i="18" s="1"/>
  <c r="CJ159" i="18"/>
  <c r="CN408" i="18"/>
  <c r="CO405" i="18"/>
  <c r="CP219" i="18" s="1"/>
  <c r="CN358" i="18"/>
  <c r="CO355" i="18"/>
  <c r="CP183" i="18" s="1"/>
  <c r="CK154" i="18"/>
  <c r="CO388" i="18"/>
  <c r="CP385" i="18"/>
  <c r="CQ207" i="18" s="1"/>
  <c r="CO353" i="18"/>
  <c r="CP350" i="18"/>
  <c r="CQ178" i="18" s="1"/>
  <c r="CJ214" i="18"/>
  <c r="CJ60" i="18" s="1"/>
  <c r="CK215" i="18"/>
  <c r="CI182" i="18"/>
  <c r="CH138" i="18"/>
  <c r="CL297" i="18"/>
  <c r="CM294" i="18"/>
  <c r="CI102" i="18"/>
  <c r="CI217" i="18"/>
  <c r="CJ218" i="18"/>
  <c r="CJ144" i="18"/>
  <c r="CJ132" i="18"/>
  <c r="CL97" i="18"/>
  <c r="CL342" i="18"/>
  <c r="CM339" i="18"/>
  <c r="CH202" i="18"/>
  <c r="CH58" i="18" s="1"/>
  <c r="CI203" i="18"/>
  <c r="CJ149" i="18"/>
  <c r="CL282" i="18"/>
  <c r="CM279" i="18"/>
  <c r="CM281" i="18" s="1"/>
  <c r="CK378" i="18"/>
  <c r="CL375" i="18"/>
  <c r="CL377" i="18" s="1"/>
  <c r="CH41" i="18"/>
  <c r="CH47" i="18"/>
  <c r="CI107" i="18"/>
  <c r="CF173" i="18"/>
  <c r="CF64" i="18" s="1"/>
  <c r="CC33" i="14" s="1"/>
  <c r="CC31" i="14" s="1"/>
  <c r="CG174" i="18"/>
  <c r="CI211" i="18"/>
  <c r="CI59" i="18" s="1"/>
  <c r="CJ212" i="18"/>
  <c r="CM327" i="18"/>
  <c r="CN324" i="18"/>
  <c r="CJ199" i="18" l="1"/>
  <c r="CJ57" i="18" s="1"/>
  <c r="CK200" i="18"/>
  <c r="CM373" i="18"/>
  <c r="CN370" i="18"/>
  <c r="CE29" i="14"/>
  <c r="CO204" i="18"/>
  <c r="CM347" i="18"/>
  <c r="CN336" i="18"/>
  <c r="CS213" i="18"/>
  <c r="CO165" i="18"/>
  <c r="CO155" i="18"/>
  <c r="CM296" i="18"/>
  <c r="CM103" i="18"/>
  <c r="CN108" i="18"/>
  <c r="CP352" i="18"/>
  <c r="CL301" i="18"/>
  <c r="CM198" i="18"/>
  <c r="CO135" i="18"/>
  <c r="CN160" i="18"/>
  <c r="CN170" i="18"/>
  <c r="CN150" i="18"/>
  <c r="CO407" i="18"/>
  <c r="CM341" i="18"/>
  <c r="CP387" i="18"/>
  <c r="CP216" i="18"/>
  <c r="CO316" i="18"/>
  <c r="CP145" i="18"/>
  <c r="CO357" i="18"/>
  <c r="CQ141" i="18"/>
  <c r="CM306" i="18"/>
  <c r="CN326" i="18"/>
  <c r="CO311" i="18"/>
  <c r="CN123" i="18"/>
  <c r="CQ271" i="18"/>
  <c r="CJ206" i="18"/>
  <c r="CI205" i="18"/>
  <c r="CI55" i="18" s="1"/>
  <c r="CM342" i="18"/>
  <c r="CN339" i="18"/>
  <c r="CM97" i="18"/>
  <c r="CK144" i="18"/>
  <c r="CM297" i="18"/>
  <c r="CN294" i="18"/>
  <c r="CP353" i="18"/>
  <c r="CQ350" i="18"/>
  <c r="CR178" i="18" s="1"/>
  <c r="CL154" i="18"/>
  <c r="CI196" i="18"/>
  <c r="CI52" i="18" s="1"/>
  <c r="CJ197" i="18"/>
  <c r="CQ272" i="18"/>
  <c r="CR269" i="18"/>
  <c r="CS98" i="18" s="1"/>
  <c r="CT287" i="18"/>
  <c r="CU284" i="18"/>
  <c r="CJ177" i="18"/>
  <c r="CN383" i="18"/>
  <c r="CO380" i="18"/>
  <c r="CO382" i="18" s="1"/>
  <c r="CO317" i="18"/>
  <c r="CP314" i="18"/>
  <c r="CO403" i="18"/>
  <c r="CP400" i="18"/>
  <c r="CP402" i="18" s="1"/>
  <c r="CJ107" i="18"/>
  <c r="CM282" i="18"/>
  <c r="CN279" i="18"/>
  <c r="CN281" i="18" s="1"/>
  <c r="CI202" i="18"/>
  <c r="CI58" i="18" s="1"/>
  <c r="CJ203" i="18"/>
  <c r="CK132" i="18"/>
  <c r="CJ182" i="18"/>
  <c r="CO408" i="18"/>
  <c r="CP405" i="18"/>
  <c r="CQ219" i="18" s="1"/>
  <c r="CM307" i="18"/>
  <c r="CN304" i="18"/>
  <c r="CO133" i="18" s="1"/>
  <c r="CK169" i="18"/>
  <c r="CM322" i="18"/>
  <c r="CN319" i="18"/>
  <c r="CN321" i="18" s="1"/>
  <c r="CM332" i="18"/>
  <c r="CN329" i="18"/>
  <c r="CN331" i="18" s="1"/>
  <c r="CL302" i="18"/>
  <c r="CM299" i="18"/>
  <c r="CN128" i="18" s="1"/>
  <c r="CL378" i="18"/>
  <c r="CM375" i="18"/>
  <c r="CM377" i="18" s="1"/>
  <c r="CJ217" i="18"/>
  <c r="CK218" i="18"/>
  <c r="CJ102" i="18"/>
  <c r="CK159" i="18"/>
  <c r="CO312" i="18"/>
  <c r="CP309" i="18"/>
  <c r="CQ139" i="18" s="1"/>
  <c r="CM348" i="18"/>
  <c r="CN345" i="18"/>
  <c r="CO175" i="18" s="1"/>
  <c r="CJ164" i="18"/>
  <c r="CI122" i="18"/>
  <c r="CL277" i="18"/>
  <c r="CM274" i="18"/>
  <c r="CM276" i="18" s="1"/>
  <c r="CL227" i="18"/>
  <c r="CJ127" i="18"/>
  <c r="CR398" i="18"/>
  <c r="CS395" i="18"/>
  <c r="CS397" i="18" s="1"/>
  <c r="CN337" i="18"/>
  <c r="CO334" i="18"/>
  <c r="CT286" i="18"/>
  <c r="CJ211" i="18"/>
  <c r="CJ59" i="18" s="1"/>
  <c r="CK212" i="18"/>
  <c r="CN327" i="18"/>
  <c r="CO324" i="18"/>
  <c r="CG173" i="18"/>
  <c r="CG64" i="18" s="1"/>
  <c r="CD33" i="14" s="1"/>
  <c r="CD31" i="14" s="1"/>
  <c r="CH174" i="18"/>
  <c r="CK149" i="18"/>
  <c r="CI41" i="18"/>
  <c r="CI47" i="18"/>
  <c r="CI138" i="18"/>
  <c r="CK214" i="18"/>
  <c r="CK60" i="18" s="1"/>
  <c r="CL215" i="18"/>
  <c r="CP388" i="18"/>
  <c r="CQ385" i="18"/>
  <c r="CR207" i="18" s="1"/>
  <c r="CO358" i="18"/>
  <c r="CP355" i="18"/>
  <c r="CQ183" i="18" s="1"/>
  <c r="CK199" i="18" l="1"/>
  <c r="CK57" i="18" s="1"/>
  <c r="CL200" i="18"/>
  <c r="CN373" i="18"/>
  <c r="CO370" i="18"/>
  <c r="CU286" i="18"/>
  <c r="CO123" i="18"/>
  <c r="CP311" i="18"/>
  <c r="CP357" i="18"/>
  <c r="CQ387" i="18"/>
  <c r="CO170" i="18"/>
  <c r="CM301" i="18"/>
  <c r="CN296" i="18"/>
  <c r="CO336" i="18"/>
  <c r="CO326" i="18"/>
  <c r="CQ145" i="18"/>
  <c r="CN341" i="18"/>
  <c r="CO160" i="18"/>
  <c r="CQ352" i="18"/>
  <c r="CP155" i="18"/>
  <c r="CN347" i="18"/>
  <c r="CR271" i="18"/>
  <c r="CN306" i="18"/>
  <c r="CP316" i="18"/>
  <c r="CP407" i="18"/>
  <c r="CP135" i="18"/>
  <c r="CO108" i="18"/>
  <c r="CP165" i="18"/>
  <c r="CP204" i="18"/>
  <c r="CR141" i="18"/>
  <c r="CQ216" i="18"/>
  <c r="CO150" i="18"/>
  <c r="CN198" i="18"/>
  <c r="CN103" i="18"/>
  <c r="CT213" i="18"/>
  <c r="CF29" i="14"/>
  <c r="CJ205" i="18"/>
  <c r="CJ55" i="18" s="1"/>
  <c r="CK206" i="18"/>
  <c r="CQ388" i="18"/>
  <c r="CR385" i="18"/>
  <c r="CS207" i="18" s="1"/>
  <c r="CJ138" i="18"/>
  <c r="CO327" i="18"/>
  <c r="CP324" i="18"/>
  <c r="CO337" i="18"/>
  <c r="CP334" i="18"/>
  <c r="CP312" i="18"/>
  <c r="CQ309" i="18"/>
  <c r="CR139" i="18" s="1"/>
  <c r="CL159" i="18"/>
  <c r="CN322" i="18"/>
  <c r="CO319" i="18"/>
  <c r="CO321" i="18" s="1"/>
  <c r="CK107" i="18"/>
  <c r="CP403" i="18"/>
  <c r="CQ400" i="18"/>
  <c r="CQ402" i="18" s="1"/>
  <c r="CO383" i="18"/>
  <c r="CP380" i="18"/>
  <c r="CP382" i="18" s="1"/>
  <c r="CP358" i="18"/>
  <c r="CQ355" i="18"/>
  <c r="CR183" i="18" s="1"/>
  <c r="CH173" i="18"/>
  <c r="CH64" i="18" s="1"/>
  <c r="CE33" i="14" s="1"/>
  <c r="CE31" i="14" s="1"/>
  <c r="CI174" i="18"/>
  <c r="CK164" i="18"/>
  <c r="CK217" i="18"/>
  <c r="CL218" i="18"/>
  <c r="CM302" i="18"/>
  <c r="CN299" i="18"/>
  <c r="CO128" i="18" s="1"/>
  <c r="CN332" i="18"/>
  <c r="CO329" i="18"/>
  <c r="CO331" i="18" s="1"/>
  <c r="CL132" i="18"/>
  <c r="CN297" i="18"/>
  <c r="CO294" i="18"/>
  <c r="CP123" i="18" s="1"/>
  <c r="CL144" i="18"/>
  <c r="CL214" i="18"/>
  <c r="CL60" i="18" s="1"/>
  <c r="CM215" i="18"/>
  <c r="CK127" i="18"/>
  <c r="CN348" i="18"/>
  <c r="CO345" i="18"/>
  <c r="CP175" i="18" s="1"/>
  <c r="CJ41" i="18"/>
  <c r="CJ47" i="18"/>
  <c r="CN307" i="18"/>
  <c r="CO304" i="18"/>
  <c r="CP133" i="18" s="1"/>
  <c r="CK182" i="18"/>
  <c r="CP317" i="18"/>
  <c r="CQ314" i="18"/>
  <c r="CN342" i="18"/>
  <c r="CO339" i="18"/>
  <c r="CL149" i="18"/>
  <c r="CK211" i="18"/>
  <c r="CK59" i="18" s="1"/>
  <c r="CL212" i="18"/>
  <c r="CS398" i="18"/>
  <c r="CT395" i="18"/>
  <c r="CT397" i="18" s="1"/>
  <c r="CM277" i="18"/>
  <c r="CN274" i="18"/>
  <c r="CN276" i="18" s="1"/>
  <c r="CM227" i="18"/>
  <c r="CJ122" i="18"/>
  <c r="CK102" i="18"/>
  <c r="CM378" i="18"/>
  <c r="CN375" i="18"/>
  <c r="CN377" i="18" s="1"/>
  <c r="CL169" i="18"/>
  <c r="CP408" i="18"/>
  <c r="CQ405" i="18"/>
  <c r="CR219" i="18" s="1"/>
  <c r="CJ202" i="18"/>
  <c r="CJ58" i="18" s="1"/>
  <c r="CK203" i="18"/>
  <c r="CN282" i="18"/>
  <c r="CO279" i="18"/>
  <c r="CO281" i="18" s="1"/>
  <c r="CK177" i="18"/>
  <c r="CU287" i="18"/>
  <c r="CV284" i="18"/>
  <c r="CR272" i="18"/>
  <c r="CS269" i="18"/>
  <c r="CT98" i="18" s="1"/>
  <c r="CJ196" i="18"/>
  <c r="CJ52" i="18" s="1"/>
  <c r="CK197" i="18"/>
  <c r="CM154" i="18"/>
  <c r="CQ353" i="18"/>
  <c r="CR350" i="18"/>
  <c r="CS178" i="18" s="1"/>
  <c r="CN97" i="18"/>
  <c r="CL199" i="18" l="1"/>
  <c r="CL57" i="18" s="1"/>
  <c r="CM200" i="18"/>
  <c r="CO373" i="18"/>
  <c r="CP370" i="18"/>
  <c r="CO198" i="18"/>
  <c r="CQ135" i="18"/>
  <c r="CS271" i="18"/>
  <c r="CP160" i="18"/>
  <c r="CP336" i="18"/>
  <c r="CR387" i="18"/>
  <c r="CP150" i="18"/>
  <c r="CQ204" i="18"/>
  <c r="CQ407" i="18"/>
  <c r="CO347" i="18"/>
  <c r="CO341" i="18"/>
  <c r="CO296" i="18"/>
  <c r="CQ357" i="18"/>
  <c r="CU213" i="18"/>
  <c r="CR216" i="18"/>
  <c r="CQ165" i="18"/>
  <c r="CQ316" i="18"/>
  <c r="CQ155" i="18"/>
  <c r="CR145" i="18"/>
  <c r="CN301" i="18"/>
  <c r="CQ311" i="18"/>
  <c r="CO103" i="18"/>
  <c r="CS141" i="18"/>
  <c r="CP108" i="18"/>
  <c r="CO306" i="18"/>
  <c r="CR352" i="18"/>
  <c r="CP326" i="18"/>
  <c r="CP170" i="18"/>
  <c r="CG29" i="14"/>
  <c r="CL206" i="18"/>
  <c r="CK205" i="18"/>
  <c r="CK55" i="18" s="1"/>
  <c r="CN154" i="18"/>
  <c r="CV287" i="18"/>
  <c r="CW284" i="18"/>
  <c r="CN378" i="18"/>
  <c r="CO375" i="18"/>
  <c r="CO377" i="18" s="1"/>
  <c r="CL102" i="18"/>
  <c r="CT398" i="18"/>
  <c r="CU395" i="18"/>
  <c r="CU397" i="18" s="1"/>
  <c r="CV286" i="18"/>
  <c r="CM144" i="18"/>
  <c r="CM132" i="18"/>
  <c r="CI173" i="18"/>
  <c r="CI64" i="18" s="1"/>
  <c r="CF33" i="14" s="1"/>
  <c r="CF31" i="14" s="1"/>
  <c r="CJ174" i="18"/>
  <c r="CL107" i="18"/>
  <c r="CP337" i="18"/>
  <c r="CQ334" i="18"/>
  <c r="CP327" i="18"/>
  <c r="CQ324" i="18"/>
  <c r="CO97" i="18"/>
  <c r="CR353" i="18"/>
  <c r="CS350" i="18"/>
  <c r="CT178" i="18" s="1"/>
  <c r="CS272" i="18"/>
  <c r="CT269" i="18"/>
  <c r="CU98" i="18" s="1"/>
  <c r="CK202" i="18"/>
  <c r="CK58" i="18" s="1"/>
  <c r="CH29" i="14" s="1"/>
  <c r="CL203" i="18"/>
  <c r="CM169" i="18"/>
  <c r="CK122" i="18"/>
  <c r="CL211" i="18"/>
  <c r="CL59" i="18" s="1"/>
  <c r="CM212" i="18"/>
  <c r="CM149" i="18"/>
  <c r="CO307" i="18"/>
  <c r="CP304" i="18"/>
  <c r="CQ133" i="18" s="1"/>
  <c r="CO332" i="18"/>
  <c r="CP329" i="18"/>
  <c r="CP331" i="18" s="1"/>
  <c r="CN302" i="18"/>
  <c r="CO299" i="18"/>
  <c r="CP128" i="18" s="1"/>
  <c r="CL164" i="18"/>
  <c r="CM159" i="18"/>
  <c r="CK196" i="18"/>
  <c r="CK52" i="18" s="1"/>
  <c r="CL197" i="18"/>
  <c r="CO282" i="18"/>
  <c r="CP279" i="18"/>
  <c r="CP281" i="18" s="1"/>
  <c r="CQ408" i="18"/>
  <c r="CR405" i="18"/>
  <c r="CS219" i="18" s="1"/>
  <c r="CN277" i="18"/>
  <c r="CO274" i="18"/>
  <c r="CO276" i="18" s="1"/>
  <c r="CN227" i="18"/>
  <c r="CL127" i="18"/>
  <c r="CL217" i="18"/>
  <c r="CM218" i="18"/>
  <c r="CQ358" i="18"/>
  <c r="CR355" i="18"/>
  <c r="CS183" i="18" s="1"/>
  <c r="CP383" i="18"/>
  <c r="CQ380" i="18"/>
  <c r="CQ382" i="18" s="1"/>
  <c r="CO322" i="18"/>
  <c r="CP319" i="18"/>
  <c r="CP321" i="18" s="1"/>
  <c r="CQ312" i="18"/>
  <c r="CR309" i="18"/>
  <c r="CS139" i="18" s="1"/>
  <c r="CK138" i="18"/>
  <c r="CL177" i="18"/>
  <c r="CO342" i="18"/>
  <c r="CP339" i="18"/>
  <c r="CQ317" i="18"/>
  <c r="CR314" i="18"/>
  <c r="CL182" i="18"/>
  <c r="CO348" i="18"/>
  <c r="CP345" i="18"/>
  <c r="CQ175" i="18" s="1"/>
  <c r="CM214" i="18"/>
  <c r="CM60" i="18" s="1"/>
  <c r="CN215" i="18"/>
  <c r="CO297" i="18"/>
  <c r="CP294" i="18"/>
  <c r="CQ123" i="18" s="1"/>
  <c r="CK41" i="18"/>
  <c r="CK47" i="18"/>
  <c r="CQ403" i="18"/>
  <c r="CR400" i="18"/>
  <c r="CR402" i="18" s="1"/>
  <c r="CR388" i="18"/>
  <c r="CS385" i="18"/>
  <c r="CT207" i="18" s="1"/>
  <c r="CM199" i="18" l="1"/>
  <c r="CM57" i="18" s="1"/>
  <c r="CN200" i="18"/>
  <c r="CP373" i="18"/>
  <c r="CQ370" i="18"/>
  <c r="CW286" i="18"/>
  <c r="CS352" i="18"/>
  <c r="CP103" i="18"/>
  <c r="CR155" i="18"/>
  <c r="CV213" i="18"/>
  <c r="CP347" i="18"/>
  <c r="CS387" i="18"/>
  <c r="CR135" i="18"/>
  <c r="CP306" i="18"/>
  <c r="CR311" i="18"/>
  <c r="CR316" i="18"/>
  <c r="CR357" i="18"/>
  <c r="CR407" i="18"/>
  <c r="CQ336" i="18"/>
  <c r="CP198" i="18"/>
  <c r="CQ170" i="18"/>
  <c r="CQ108" i="18"/>
  <c r="CO301" i="18"/>
  <c r="CR165" i="18"/>
  <c r="CP296" i="18"/>
  <c r="CR204" i="18"/>
  <c r="CQ160" i="18"/>
  <c r="CQ326" i="18"/>
  <c r="CT141" i="18"/>
  <c r="CS145" i="18"/>
  <c r="CS216" i="18"/>
  <c r="CP341" i="18"/>
  <c r="CQ150" i="18"/>
  <c r="CT271" i="18"/>
  <c r="CL205" i="18"/>
  <c r="CL55" i="18" s="1"/>
  <c r="CM206" i="18"/>
  <c r="CP297" i="18"/>
  <c r="CQ294" i="18"/>
  <c r="CR123" i="18" s="1"/>
  <c r="CN214" i="18"/>
  <c r="CN60" i="18" s="1"/>
  <c r="CO215" i="18"/>
  <c r="CR317" i="18"/>
  <c r="CS314" i="18"/>
  <c r="CM177" i="18"/>
  <c r="CR312" i="18"/>
  <c r="CS309" i="18"/>
  <c r="CT139" i="18" s="1"/>
  <c r="CP282" i="18"/>
  <c r="CQ279" i="18"/>
  <c r="CQ281" i="18" s="1"/>
  <c r="CN149" i="18"/>
  <c r="CL122" i="18"/>
  <c r="CN169" i="18"/>
  <c r="CP97" i="18"/>
  <c r="CN144" i="18"/>
  <c r="CP348" i="18"/>
  <c r="CQ345" i="18"/>
  <c r="CR175" i="18" s="1"/>
  <c r="CP322" i="18"/>
  <c r="CQ319" i="18"/>
  <c r="CQ321" i="18" s="1"/>
  <c r="CQ383" i="18"/>
  <c r="CR380" i="18"/>
  <c r="CR382" i="18" s="1"/>
  <c r="CM217" i="18"/>
  <c r="CN218" i="18"/>
  <c r="CM127" i="18"/>
  <c r="CM164" i="18"/>
  <c r="CP332" i="18"/>
  <c r="CQ329" i="18"/>
  <c r="CQ331" i="18" s="1"/>
  <c r="CP307" i="18"/>
  <c r="CQ304" i="18"/>
  <c r="CR133" i="18" s="1"/>
  <c r="CT272" i="18"/>
  <c r="CU269" i="18"/>
  <c r="CV98" i="18" s="1"/>
  <c r="CS353" i="18"/>
  <c r="CT350" i="18"/>
  <c r="CU178" i="18" s="1"/>
  <c r="CQ327" i="18"/>
  <c r="CR324" i="18"/>
  <c r="CM107" i="18"/>
  <c r="CO378" i="18"/>
  <c r="CP375" i="18"/>
  <c r="CP377" i="18" s="1"/>
  <c r="CW287" i="18"/>
  <c r="CX284" i="18"/>
  <c r="CO154" i="18"/>
  <c r="CR403" i="18"/>
  <c r="CS400" i="18"/>
  <c r="CS402" i="18" s="1"/>
  <c r="CM182" i="18"/>
  <c r="CL138" i="18"/>
  <c r="CL41" i="18"/>
  <c r="CL47" i="18"/>
  <c r="CR408" i="18"/>
  <c r="CS405" i="18"/>
  <c r="CT219" i="18" s="1"/>
  <c r="CO302" i="18"/>
  <c r="CP299" i="18"/>
  <c r="CQ128" i="18" s="1"/>
  <c r="CM211" i="18"/>
  <c r="CM59" i="18" s="1"/>
  <c r="CN212" i="18"/>
  <c r="CL202" i="18"/>
  <c r="CL58" i="18" s="1"/>
  <c r="CM203" i="18"/>
  <c r="CQ337" i="18"/>
  <c r="CR334" i="18"/>
  <c r="CJ173" i="18"/>
  <c r="CJ64" i="18" s="1"/>
  <c r="CG33" i="14" s="1"/>
  <c r="CG31" i="14" s="1"/>
  <c r="CK174" i="18"/>
  <c r="CN132" i="18"/>
  <c r="CM102" i="18"/>
  <c r="CS388" i="18"/>
  <c r="CT385" i="18"/>
  <c r="CU207" i="18" s="1"/>
  <c r="CP342" i="18"/>
  <c r="CQ339" i="18"/>
  <c r="CR358" i="18"/>
  <c r="CS355" i="18"/>
  <c r="CT183" i="18" s="1"/>
  <c r="CO277" i="18"/>
  <c r="CP274" i="18"/>
  <c r="CP276" i="18" s="1"/>
  <c r="CO227" i="18"/>
  <c r="CL196" i="18"/>
  <c r="CL52" i="18" s="1"/>
  <c r="CM197" i="18"/>
  <c r="CN159" i="18"/>
  <c r="CU398" i="18"/>
  <c r="CV395" i="18"/>
  <c r="CV397" i="18" s="1"/>
  <c r="CX286" i="18" l="1"/>
  <c r="CN199" i="18"/>
  <c r="CN57" i="18" s="1"/>
  <c r="CO200" i="18"/>
  <c r="CQ373" i="18"/>
  <c r="CR370" i="18"/>
  <c r="CQ341" i="18"/>
  <c r="CR326" i="18"/>
  <c r="CS165" i="18"/>
  <c r="CQ198" i="18"/>
  <c r="CS316" i="18"/>
  <c r="CT387" i="18"/>
  <c r="CQ103" i="18"/>
  <c r="CT216" i="18"/>
  <c r="CR160" i="18"/>
  <c r="CP301" i="18"/>
  <c r="CR336" i="18"/>
  <c r="CS311" i="18"/>
  <c r="CQ347" i="18"/>
  <c r="CT352" i="18"/>
  <c r="CU271" i="18"/>
  <c r="CT145" i="18"/>
  <c r="CS204" i="18"/>
  <c r="CR108" i="18"/>
  <c r="CS407" i="18"/>
  <c r="CQ306" i="18"/>
  <c r="CW213" i="18"/>
  <c r="CR150" i="18"/>
  <c r="CU141" i="18"/>
  <c r="CQ296" i="18"/>
  <c r="CR170" i="18"/>
  <c r="CS357" i="18"/>
  <c r="CS135" i="18"/>
  <c r="CS155" i="18"/>
  <c r="CI29" i="14"/>
  <c r="CM205" i="18"/>
  <c r="CM55" i="18" s="1"/>
  <c r="CN206" i="18"/>
  <c r="CV398" i="18"/>
  <c r="CW395" i="18"/>
  <c r="CW397" i="18" s="1"/>
  <c r="CO159" i="18"/>
  <c r="CM138" i="18"/>
  <c r="CN182" i="18"/>
  <c r="CP378" i="18"/>
  <c r="CQ375" i="18"/>
  <c r="CQ377" i="18" s="1"/>
  <c r="CN107" i="18"/>
  <c r="CQ307" i="18"/>
  <c r="CR304" i="18"/>
  <c r="CS133" i="18" s="1"/>
  <c r="CN164" i="18"/>
  <c r="CQ322" i="18"/>
  <c r="CR319" i="18"/>
  <c r="CR321" i="18" s="1"/>
  <c r="CM122" i="18"/>
  <c r="CN177" i="18"/>
  <c r="CO214" i="18"/>
  <c r="CO60" i="18" s="1"/>
  <c r="CP215" i="18"/>
  <c r="CN211" i="18"/>
  <c r="CN59" i="18" s="1"/>
  <c r="CO212" i="18"/>
  <c r="CK173" i="18"/>
  <c r="CK64" i="18" s="1"/>
  <c r="CH33" i="14" s="1"/>
  <c r="CH31" i="14" s="1"/>
  <c r="CL174" i="18"/>
  <c r="CP302" i="18"/>
  <c r="CQ299" i="18"/>
  <c r="CR128" i="18" s="1"/>
  <c r="CS403" i="18"/>
  <c r="CT400" i="18"/>
  <c r="CT402" i="18" s="1"/>
  <c r="CP154" i="18"/>
  <c r="CU272" i="18"/>
  <c r="CV269" i="18"/>
  <c r="CW98" i="18" s="1"/>
  <c r="CQ332" i="18"/>
  <c r="CR329" i="18"/>
  <c r="CR331" i="18" s="1"/>
  <c r="CN217" i="18"/>
  <c r="CO218" i="18"/>
  <c r="CS312" i="18"/>
  <c r="CT309" i="18"/>
  <c r="CU139" i="18" s="1"/>
  <c r="CS317" i="18"/>
  <c r="CT314" i="18"/>
  <c r="CQ297" i="18"/>
  <c r="CR294" i="18"/>
  <c r="CS123" i="18" s="1"/>
  <c r="CS358" i="18"/>
  <c r="CT355" i="18"/>
  <c r="CU183" i="18" s="1"/>
  <c r="CM202" i="18"/>
  <c r="CM58" i="18" s="1"/>
  <c r="CN203" i="18"/>
  <c r="CX287" i="18"/>
  <c r="CY284" i="18"/>
  <c r="CR327" i="18"/>
  <c r="CS324" i="18"/>
  <c r="CT353" i="18"/>
  <c r="CU350" i="18"/>
  <c r="CV178" i="18" s="1"/>
  <c r="CM47" i="18"/>
  <c r="CM41" i="18"/>
  <c r="CQ348" i="18"/>
  <c r="CR345" i="18"/>
  <c r="CS175" i="18" s="1"/>
  <c r="CO144" i="18"/>
  <c r="CQ97" i="18"/>
  <c r="CO169" i="18"/>
  <c r="CO149" i="18"/>
  <c r="CM196" i="18"/>
  <c r="CM52" i="18" s="1"/>
  <c r="CN197" i="18"/>
  <c r="CP277" i="18"/>
  <c r="CQ274" i="18"/>
  <c r="CQ276" i="18" s="1"/>
  <c r="CP227" i="18"/>
  <c r="CQ342" i="18"/>
  <c r="CR339" i="18"/>
  <c r="CT388" i="18"/>
  <c r="CU385" i="18"/>
  <c r="CV207" i="18" s="1"/>
  <c r="CN102" i="18"/>
  <c r="CO132" i="18"/>
  <c r="CR337" i="18"/>
  <c r="CS334" i="18"/>
  <c r="CS408" i="18"/>
  <c r="CT405" i="18"/>
  <c r="CU219" i="18" s="1"/>
  <c r="CN127" i="18"/>
  <c r="CR383" i="18"/>
  <c r="CS380" i="18"/>
  <c r="CS382" i="18" s="1"/>
  <c r="CQ282" i="18"/>
  <c r="CR279" i="18"/>
  <c r="CR281" i="18" s="1"/>
  <c r="CY286" i="18" l="1"/>
  <c r="CO199" i="18"/>
  <c r="CO57" i="18" s="1"/>
  <c r="CP200" i="18"/>
  <c r="CR373" i="18"/>
  <c r="CS370" i="18"/>
  <c r="CJ29" i="14"/>
  <c r="CT357" i="18"/>
  <c r="CS150" i="18"/>
  <c r="CS108" i="18"/>
  <c r="CU352" i="18"/>
  <c r="CQ301" i="18"/>
  <c r="CU387" i="18"/>
  <c r="CS326" i="18"/>
  <c r="CS170" i="18"/>
  <c r="CX213" i="18"/>
  <c r="CT204" i="18"/>
  <c r="CR347" i="18"/>
  <c r="CS160" i="18"/>
  <c r="CT316" i="18"/>
  <c r="CR341" i="18"/>
  <c r="CT155" i="18"/>
  <c r="CR296" i="18"/>
  <c r="CR306" i="18"/>
  <c r="CU145" i="18"/>
  <c r="CT311" i="18"/>
  <c r="CU216" i="18"/>
  <c r="CR198" i="18"/>
  <c r="CT135" i="18"/>
  <c r="CV141" i="18"/>
  <c r="CT407" i="18"/>
  <c r="CV271" i="18"/>
  <c r="CS336" i="18"/>
  <c r="CR103" i="18"/>
  <c r="CT165" i="18"/>
  <c r="CO206" i="18"/>
  <c r="CN205" i="18"/>
  <c r="CN55" i="18" s="1"/>
  <c r="CT408" i="18"/>
  <c r="CU405" i="18"/>
  <c r="CV219" i="18" s="1"/>
  <c r="CR282" i="18"/>
  <c r="CS279" i="18"/>
  <c r="CS281" i="18" s="1"/>
  <c r="CP132" i="18"/>
  <c r="CU388" i="18"/>
  <c r="CV385" i="18"/>
  <c r="CW207" i="18" s="1"/>
  <c r="CP169" i="18"/>
  <c r="CP144" i="18"/>
  <c r="CQ302" i="18"/>
  <c r="CR299" i="18"/>
  <c r="CS128" i="18" s="1"/>
  <c r="CO211" i="18"/>
  <c r="CO59" i="18" s="1"/>
  <c r="CP212" i="18"/>
  <c r="CP214" i="18"/>
  <c r="CP60" i="18" s="1"/>
  <c r="CQ215" i="18"/>
  <c r="CO177" i="18"/>
  <c r="CO164" i="18"/>
  <c r="CS337" i="18"/>
  <c r="CT334" i="18"/>
  <c r="CN196" i="18"/>
  <c r="CN52" i="18" s="1"/>
  <c r="CO197" i="18"/>
  <c r="CU353" i="18"/>
  <c r="CV350" i="18"/>
  <c r="CW178" i="18" s="1"/>
  <c r="CY287" i="18"/>
  <c r="CZ284" i="18"/>
  <c r="CZ286" i="18" s="1"/>
  <c r="CR332" i="18"/>
  <c r="CS329" i="18"/>
  <c r="CS331" i="18" s="1"/>
  <c r="CV272" i="18"/>
  <c r="CW269" i="18"/>
  <c r="CX98" i="18" s="1"/>
  <c r="CN122" i="18"/>
  <c r="CR322" i="18"/>
  <c r="CS319" i="18"/>
  <c r="CS321" i="18" s="1"/>
  <c r="CQ378" i="18"/>
  <c r="CR375" i="18"/>
  <c r="CR377" i="18" s="1"/>
  <c r="CO182" i="18"/>
  <c r="CN138" i="18"/>
  <c r="CP159" i="18"/>
  <c r="CW398" i="18"/>
  <c r="CX395" i="18"/>
  <c r="CX397" i="18" s="1"/>
  <c r="CO127" i="18"/>
  <c r="CO102" i="18"/>
  <c r="CQ277" i="18"/>
  <c r="CR274" i="18"/>
  <c r="CR276" i="18" s="1"/>
  <c r="CQ227" i="18"/>
  <c r="CP149" i="18"/>
  <c r="CR97" i="18"/>
  <c r="CR348" i="18"/>
  <c r="CS345" i="18"/>
  <c r="CT175" i="18" s="1"/>
  <c r="CT358" i="18"/>
  <c r="CU355" i="18"/>
  <c r="CV183" i="18" s="1"/>
  <c r="CO217" i="18"/>
  <c r="CP218" i="18"/>
  <c r="CQ154" i="18"/>
  <c r="CT403" i="18"/>
  <c r="CU400" i="18"/>
  <c r="CU402" i="18" s="1"/>
  <c r="CO107" i="18"/>
  <c r="CS383" i="18"/>
  <c r="CT380" i="18"/>
  <c r="CT382" i="18" s="1"/>
  <c r="CR342" i="18"/>
  <c r="CS339" i="18"/>
  <c r="CS327" i="18"/>
  <c r="CT324" i="18"/>
  <c r="CN202" i="18"/>
  <c r="CN58" i="18" s="1"/>
  <c r="CO203" i="18"/>
  <c r="CR297" i="18"/>
  <c r="CS294" i="18"/>
  <c r="CT123" i="18" s="1"/>
  <c r="CT317" i="18"/>
  <c r="CU314" i="18"/>
  <c r="CT312" i="18"/>
  <c r="CU309" i="18"/>
  <c r="CV139" i="18" s="1"/>
  <c r="CN47" i="18"/>
  <c r="CN41" i="18"/>
  <c r="CL173" i="18"/>
  <c r="CL64" i="18" s="1"/>
  <c r="CI33" i="14" s="1"/>
  <c r="CI31" i="14" s="1"/>
  <c r="CM174" i="18"/>
  <c r="CR307" i="18"/>
  <c r="CS304" i="18"/>
  <c r="CT133" i="18" s="1"/>
  <c r="CP199" i="18" l="1"/>
  <c r="CP57" i="18" s="1"/>
  <c r="CQ200" i="18"/>
  <c r="CS373" i="18"/>
  <c r="CT370" i="18"/>
  <c r="CT336" i="18"/>
  <c r="CU135" i="18"/>
  <c r="CV145" i="18"/>
  <c r="CS341" i="18"/>
  <c r="CU204" i="18"/>
  <c r="CV387" i="18"/>
  <c r="CT150" i="18"/>
  <c r="CW271" i="18"/>
  <c r="CS198" i="18"/>
  <c r="CS306" i="18"/>
  <c r="CU316" i="18"/>
  <c r="CY213" i="18"/>
  <c r="CR301" i="18"/>
  <c r="CU357" i="18"/>
  <c r="CU165" i="18"/>
  <c r="CU407" i="18"/>
  <c r="CV216" i="18"/>
  <c r="CS296" i="18"/>
  <c r="CT160" i="18"/>
  <c r="CT170" i="18"/>
  <c r="CV352" i="18"/>
  <c r="CS103" i="18"/>
  <c r="CW141" i="18"/>
  <c r="CU311" i="18"/>
  <c r="CU155" i="18"/>
  <c r="CS347" i="18"/>
  <c r="CT326" i="18"/>
  <c r="CT108" i="18"/>
  <c r="CK29" i="14"/>
  <c r="CO205" i="18"/>
  <c r="CO55" i="18" s="1"/>
  <c r="CP206" i="18"/>
  <c r="CO41" i="18"/>
  <c r="CO47" i="18"/>
  <c r="CO122" i="18"/>
  <c r="CM173" i="18"/>
  <c r="CM64" i="18" s="1"/>
  <c r="CJ33" i="14" s="1"/>
  <c r="CJ31" i="14" s="1"/>
  <c r="CN174" i="18"/>
  <c r="CU312" i="18"/>
  <c r="CV309" i="18"/>
  <c r="CW139" i="18" s="1"/>
  <c r="CS342" i="18"/>
  <c r="CT339" i="18"/>
  <c r="CT383" i="18"/>
  <c r="CU380" i="18"/>
  <c r="CU382" i="18" s="1"/>
  <c r="CS348" i="18"/>
  <c r="CT345" i="18"/>
  <c r="CU175" i="18" s="1"/>
  <c r="CR378" i="18"/>
  <c r="CS375" i="18"/>
  <c r="CS377" i="18" s="1"/>
  <c r="CW272" i="18"/>
  <c r="CX269" i="18"/>
  <c r="CY98" i="18" s="1"/>
  <c r="CZ287" i="18"/>
  <c r="DA284" i="18"/>
  <c r="DA286" i="18" s="1"/>
  <c r="CP107" i="18"/>
  <c r="CU358" i="18"/>
  <c r="CV355" i="18"/>
  <c r="CW183" i="18" s="1"/>
  <c r="CX398" i="18"/>
  <c r="CY395" i="18"/>
  <c r="CY397" i="18" s="1"/>
  <c r="CP217" i="18"/>
  <c r="CQ218" i="18"/>
  <c r="CQ149" i="18"/>
  <c r="CP127" i="18"/>
  <c r="CQ159" i="18"/>
  <c r="CP182" i="18"/>
  <c r="CS322" i="18"/>
  <c r="CT319" i="18"/>
  <c r="CT321" i="18" s="1"/>
  <c r="CP177" i="18"/>
  <c r="CP211" i="18"/>
  <c r="CP59" i="18" s="1"/>
  <c r="CQ212" i="18"/>
  <c r="CR302" i="18"/>
  <c r="CS299" i="18"/>
  <c r="CT128" i="18" s="1"/>
  <c r="CQ144" i="18"/>
  <c r="CS282" i="18"/>
  <c r="CT279" i="18"/>
  <c r="CT281" i="18" s="1"/>
  <c r="CU317" i="18"/>
  <c r="CV314" i="18"/>
  <c r="CR154" i="18"/>
  <c r="CV353" i="18"/>
  <c r="CW350" i="18"/>
  <c r="CX178" i="18" s="1"/>
  <c r="CT337" i="18"/>
  <c r="CU334" i="18"/>
  <c r="CS307" i="18"/>
  <c r="CT304" i="18"/>
  <c r="CU133" i="18" s="1"/>
  <c r="CS297" i="18"/>
  <c r="CT294" i="18"/>
  <c r="CU123" i="18" s="1"/>
  <c r="CO202" i="18"/>
  <c r="CO58" i="18" s="1"/>
  <c r="CP203" i="18"/>
  <c r="CT327" i="18"/>
  <c r="CU324" i="18"/>
  <c r="CU403" i="18"/>
  <c r="CV400" i="18"/>
  <c r="CV402" i="18" s="1"/>
  <c r="CS97" i="18"/>
  <c r="CR277" i="18"/>
  <c r="CS274" i="18"/>
  <c r="CS276" i="18" s="1"/>
  <c r="CR227" i="18"/>
  <c r="CP102" i="18"/>
  <c r="CO138" i="18"/>
  <c r="CS332" i="18"/>
  <c r="CT329" i="18"/>
  <c r="CT331" i="18" s="1"/>
  <c r="CO196" i="18"/>
  <c r="CO52" i="18" s="1"/>
  <c r="CP197" i="18"/>
  <c r="CP164" i="18"/>
  <c r="CQ214" i="18"/>
  <c r="CQ60" i="18" s="1"/>
  <c r="CR215" i="18"/>
  <c r="CQ169" i="18"/>
  <c r="CV388" i="18"/>
  <c r="CW385" i="18"/>
  <c r="CX207" i="18" s="1"/>
  <c r="CQ132" i="18"/>
  <c r="CU408" i="18"/>
  <c r="CV405" i="18"/>
  <c r="CW219" i="18" s="1"/>
  <c r="CQ199" i="18" l="1"/>
  <c r="CQ57" i="18" s="1"/>
  <c r="CR200" i="18"/>
  <c r="CT373" i="18"/>
  <c r="CU370" i="18"/>
  <c r="CT347" i="18"/>
  <c r="CT103" i="18"/>
  <c r="CT296" i="18"/>
  <c r="CV357" i="18"/>
  <c r="CT306" i="18"/>
  <c r="CW387" i="18"/>
  <c r="CV135" i="18"/>
  <c r="CV155" i="18"/>
  <c r="CW352" i="18"/>
  <c r="CW216" i="18"/>
  <c r="CS301" i="18"/>
  <c r="CT198" i="18"/>
  <c r="CV204" i="18"/>
  <c r="CU336" i="18"/>
  <c r="CU108" i="18"/>
  <c r="CV311" i="18"/>
  <c r="CU170" i="18"/>
  <c r="CV407" i="18"/>
  <c r="CZ213" i="18"/>
  <c r="CX271" i="18"/>
  <c r="CT341" i="18"/>
  <c r="CU326" i="18"/>
  <c r="CX141" i="18"/>
  <c r="CU160" i="18"/>
  <c r="CV165" i="18"/>
  <c r="CV316" i="18"/>
  <c r="CU150" i="18"/>
  <c r="CW145" i="18"/>
  <c r="CL29" i="14"/>
  <c r="CQ206" i="18"/>
  <c r="CQ205" i="18" s="1"/>
  <c r="CQ55" i="18" s="1"/>
  <c r="CP205" i="18"/>
  <c r="CP55" i="18" s="1"/>
  <c r="CR132" i="18"/>
  <c r="CP138" i="18"/>
  <c r="CS277" i="18"/>
  <c r="CT274" i="18"/>
  <c r="CT276" i="18" s="1"/>
  <c r="CS227" i="18"/>
  <c r="CU327" i="18"/>
  <c r="CV324" i="18"/>
  <c r="CW388" i="18"/>
  <c r="CX385" i="18"/>
  <c r="CY207" i="18" s="1"/>
  <c r="CT332" i="18"/>
  <c r="CU329" i="18"/>
  <c r="CU331" i="18" s="1"/>
  <c r="CT97" i="18"/>
  <c r="CV403" i="18"/>
  <c r="CW400" i="18"/>
  <c r="CW402" i="18" s="1"/>
  <c r="CS154" i="18"/>
  <c r="CV317" i="18"/>
  <c r="CW314" i="18"/>
  <c r="CQ211" i="18"/>
  <c r="CQ59" i="18" s="1"/>
  <c r="CR212" i="18"/>
  <c r="CR149" i="18"/>
  <c r="CP41" i="18"/>
  <c r="CP47" i="18"/>
  <c r="CP196" i="18"/>
  <c r="CP52" i="18" s="1"/>
  <c r="CQ197" i="18"/>
  <c r="CT282" i="18"/>
  <c r="CU279" i="18"/>
  <c r="CU281" i="18" s="1"/>
  <c r="CS302" i="18"/>
  <c r="CT299" i="18"/>
  <c r="CU128" i="18" s="1"/>
  <c r="CQ182" i="18"/>
  <c r="CQ127" i="18"/>
  <c r="CY398" i="18"/>
  <c r="CZ395" i="18"/>
  <c r="CZ397" i="18" s="1"/>
  <c r="CU383" i="18"/>
  <c r="CV380" i="18"/>
  <c r="CV382" i="18" s="1"/>
  <c r="CN173" i="18"/>
  <c r="CN64" i="18" s="1"/>
  <c r="CK33" i="14" s="1"/>
  <c r="CK31" i="14" s="1"/>
  <c r="CO174" i="18"/>
  <c r="CP122" i="18"/>
  <c r="CR214" i="18"/>
  <c r="CR60" i="18" s="1"/>
  <c r="CS215" i="18"/>
  <c r="CQ102" i="18"/>
  <c r="CP202" i="18"/>
  <c r="CP58" i="18" s="1"/>
  <c r="CQ203" i="18"/>
  <c r="CT297" i="18"/>
  <c r="CU294" i="18"/>
  <c r="CV123" i="18" s="1"/>
  <c r="CR144" i="18"/>
  <c r="CQ177" i="18"/>
  <c r="CT322" i="18"/>
  <c r="CU319" i="18"/>
  <c r="CU321" i="18" s="1"/>
  <c r="CQ107" i="18"/>
  <c r="CX272" i="18"/>
  <c r="CY269" i="18"/>
  <c r="CZ98" i="18" s="1"/>
  <c r="CT348" i="18"/>
  <c r="CU345" i="18"/>
  <c r="CV175" i="18" s="1"/>
  <c r="CV312" i="18"/>
  <c r="CW309" i="18"/>
  <c r="CX139" i="18" s="1"/>
  <c r="CV408" i="18"/>
  <c r="CW405" i="18"/>
  <c r="CX219" i="18" s="1"/>
  <c r="CQ164" i="18"/>
  <c r="CR169" i="18"/>
  <c r="CT307" i="18"/>
  <c r="CU304" i="18"/>
  <c r="CV133" i="18" s="1"/>
  <c r="CU337" i="18"/>
  <c r="CV334" i="18"/>
  <c r="CW353" i="18"/>
  <c r="CX350" i="18"/>
  <c r="CY178" i="18" s="1"/>
  <c r="CR159" i="18"/>
  <c r="CQ217" i="18"/>
  <c r="CR218" i="18"/>
  <c r="CV358" i="18"/>
  <c r="CW355" i="18"/>
  <c r="CX183" i="18" s="1"/>
  <c r="DA287" i="18"/>
  <c r="DB284" i="18"/>
  <c r="CS378" i="18"/>
  <c r="CT375" i="18"/>
  <c r="CT377" i="18" s="1"/>
  <c r="CT342" i="18"/>
  <c r="CU339" i="18"/>
  <c r="CU373" i="18" l="1"/>
  <c r="CV370" i="18"/>
  <c r="CR199" i="18"/>
  <c r="CR57" i="18" s="1"/>
  <c r="CS200" i="18"/>
  <c r="CW316" i="18"/>
  <c r="CV326" i="18"/>
  <c r="CW407" i="18"/>
  <c r="CV336" i="18"/>
  <c r="CX216" i="18"/>
  <c r="CX387" i="18"/>
  <c r="CU103" i="18"/>
  <c r="CW165" i="18"/>
  <c r="CU341" i="18"/>
  <c r="CV170" i="18"/>
  <c r="CW204" i="18"/>
  <c r="CX352" i="18"/>
  <c r="CU306" i="18"/>
  <c r="CU347" i="18"/>
  <c r="CX145" i="18"/>
  <c r="CV160" i="18"/>
  <c r="CY271" i="18"/>
  <c r="CW311" i="18"/>
  <c r="CU198" i="18"/>
  <c r="CW155" i="18"/>
  <c r="CW357" i="18"/>
  <c r="CV150" i="18"/>
  <c r="CY141" i="18"/>
  <c r="DA213" i="18"/>
  <c r="CV108" i="18"/>
  <c r="CT301" i="18"/>
  <c r="CW135" i="18"/>
  <c r="CU296" i="18"/>
  <c r="CM29" i="14"/>
  <c r="CR206" i="18"/>
  <c r="CX353" i="18"/>
  <c r="CY350" i="18"/>
  <c r="CZ178" i="18" s="1"/>
  <c r="CU307" i="18"/>
  <c r="CV304" i="18"/>
  <c r="CW133" i="18" s="1"/>
  <c r="CR164" i="18"/>
  <c r="CW312" i="18"/>
  <c r="CX309" i="18"/>
  <c r="CY139" i="18" s="1"/>
  <c r="CU322" i="18"/>
  <c r="CV319" i="18"/>
  <c r="CV321" i="18" s="1"/>
  <c r="CQ202" i="18"/>
  <c r="CQ58" i="18" s="1"/>
  <c r="CN29" i="14" s="1"/>
  <c r="CR203" i="18"/>
  <c r="CR102" i="18"/>
  <c r="CR182" i="18"/>
  <c r="CT302" i="18"/>
  <c r="CU299" i="18"/>
  <c r="CV128" i="18" s="1"/>
  <c r="CT154" i="18"/>
  <c r="CW403" i="18"/>
  <c r="CX400" i="18"/>
  <c r="CX402" i="18" s="1"/>
  <c r="CS132" i="18"/>
  <c r="CS159" i="18"/>
  <c r="CS169" i="18"/>
  <c r="CR177" i="18"/>
  <c r="CS144" i="18"/>
  <c r="CU297" i="18"/>
  <c r="CV294" i="18"/>
  <c r="CW123" i="18" s="1"/>
  <c r="CO173" i="18"/>
  <c r="CO64" i="18" s="1"/>
  <c r="CL33" i="14" s="1"/>
  <c r="CL31" i="14" s="1"/>
  <c r="CP174" i="18"/>
  <c r="CV383" i="18"/>
  <c r="CW380" i="18"/>
  <c r="CW382" i="18" s="1"/>
  <c r="DB286" i="18"/>
  <c r="CU282" i="18"/>
  <c r="CV279" i="18"/>
  <c r="CV281" i="18" s="1"/>
  <c r="CW317" i="18"/>
  <c r="CX314" i="18"/>
  <c r="CV327" i="18"/>
  <c r="CW324" i="18"/>
  <c r="CQ138" i="18"/>
  <c r="CU342" i="18"/>
  <c r="CV339" i="18"/>
  <c r="CW408" i="18"/>
  <c r="CX405" i="18"/>
  <c r="CY219" i="18" s="1"/>
  <c r="CU348" i="18"/>
  <c r="CV345" i="18"/>
  <c r="CW175" i="18" s="1"/>
  <c r="CR107" i="18"/>
  <c r="CS214" i="18"/>
  <c r="CS60" i="18" s="1"/>
  <c r="CT215" i="18"/>
  <c r="CZ398" i="18"/>
  <c r="DA395" i="18"/>
  <c r="DA397" i="18" s="1"/>
  <c r="CR127" i="18"/>
  <c r="CQ196" i="18"/>
  <c r="CQ52" i="18" s="1"/>
  <c r="CR197" i="18"/>
  <c r="CR211" i="18"/>
  <c r="CR59" i="18" s="1"/>
  <c r="CS212" i="18"/>
  <c r="CU332" i="18"/>
  <c r="CV329" i="18"/>
  <c r="CV331" i="18" s="1"/>
  <c r="CX388" i="18"/>
  <c r="CY385" i="18"/>
  <c r="CZ207" i="18" s="1"/>
  <c r="CT277" i="18"/>
  <c r="CU274" i="18"/>
  <c r="CU276" i="18" s="1"/>
  <c r="CT227" i="18"/>
  <c r="CW358" i="18"/>
  <c r="CX355" i="18"/>
  <c r="CY183" i="18" s="1"/>
  <c r="DB287" i="18"/>
  <c r="DC284" i="18"/>
  <c r="CR217" i="18"/>
  <c r="CS218" i="18"/>
  <c r="CT378" i="18"/>
  <c r="CU375" i="18"/>
  <c r="CU377" i="18" s="1"/>
  <c r="CQ47" i="18"/>
  <c r="CQ41" i="18"/>
  <c r="CV337" i="18"/>
  <c r="CW334" i="18"/>
  <c r="CY272" i="18"/>
  <c r="CZ269" i="18"/>
  <c r="DA98" i="18" s="1"/>
  <c r="CQ122" i="18"/>
  <c r="CS149" i="18"/>
  <c r="CU97" i="18"/>
  <c r="CV373" i="18" l="1"/>
  <c r="CW370" i="18"/>
  <c r="CS199" i="18"/>
  <c r="CS57" i="18" s="1"/>
  <c r="CT200" i="18"/>
  <c r="CU301" i="18"/>
  <c r="CW150" i="18"/>
  <c r="CX311" i="18"/>
  <c r="CV347" i="18"/>
  <c r="CW170" i="18"/>
  <c r="CY387" i="18"/>
  <c r="CW326" i="18"/>
  <c r="CW108" i="18"/>
  <c r="CX357" i="18"/>
  <c r="CZ271" i="18"/>
  <c r="CV306" i="18"/>
  <c r="CV341" i="18"/>
  <c r="CY216" i="18"/>
  <c r="CX316" i="18"/>
  <c r="CV296" i="18"/>
  <c r="DB213" i="18"/>
  <c r="CX155" i="18"/>
  <c r="CW160" i="18"/>
  <c r="CY352" i="18"/>
  <c r="CX165" i="18"/>
  <c r="CW336" i="18"/>
  <c r="CX135" i="18"/>
  <c r="CZ141" i="18"/>
  <c r="CV198" i="18"/>
  <c r="CY145" i="18"/>
  <c r="CX204" i="18"/>
  <c r="CV103" i="18"/>
  <c r="CX407" i="18"/>
  <c r="CS206" i="18"/>
  <c r="CR205" i="18"/>
  <c r="CR55" i="18" s="1"/>
  <c r="CW337" i="18"/>
  <c r="CX334" i="18"/>
  <c r="CR41" i="18"/>
  <c r="CR47" i="18"/>
  <c r="CX358" i="18"/>
  <c r="CY355" i="18"/>
  <c r="CZ183" i="18" s="1"/>
  <c r="CY388" i="18"/>
  <c r="CZ385" i="18"/>
  <c r="DA207" i="18" s="1"/>
  <c r="CT214" i="18"/>
  <c r="CT60" i="18" s="1"/>
  <c r="CU215" i="18"/>
  <c r="CV342" i="18"/>
  <c r="CW339" i="18"/>
  <c r="CR138" i="18"/>
  <c r="CW327" i="18"/>
  <c r="CX324" i="18"/>
  <c r="CW383" i="18"/>
  <c r="CX380" i="18"/>
  <c r="CX382" i="18" s="1"/>
  <c r="CV297" i="18"/>
  <c r="CW294" i="18"/>
  <c r="CX123" i="18" s="1"/>
  <c r="CT144" i="18"/>
  <c r="CT132" i="18"/>
  <c r="CX403" i="18"/>
  <c r="CY400" i="18"/>
  <c r="CY402" i="18" s="1"/>
  <c r="CV322" i="18"/>
  <c r="CW319" i="18"/>
  <c r="CW321" i="18" s="1"/>
  <c r="CV307" i="18"/>
  <c r="CW304" i="18"/>
  <c r="CX133" i="18" s="1"/>
  <c r="CY353" i="18"/>
  <c r="CZ350" i="18"/>
  <c r="DA178" i="18" s="1"/>
  <c r="DC287" i="18"/>
  <c r="DD284" i="18"/>
  <c r="CS211" i="18"/>
  <c r="CS59" i="18" s="1"/>
  <c r="CT212" i="18"/>
  <c r="DA398" i="18"/>
  <c r="DB395" i="18"/>
  <c r="DB397" i="18" s="1"/>
  <c r="CS107" i="18"/>
  <c r="CX408" i="18"/>
  <c r="CY405" i="18"/>
  <c r="CZ219" i="18" s="1"/>
  <c r="DC286" i="18"/>
  <c r="DD286" i="18" s="1"/>
  <c r="CT169" i="18"/>
  <c r="CT159" i="18"/>
  <c r="CR202" i="18"/>
  <c r="CR58" i="18" s="1"/>
  <c r="CS203" i="18"/>
  <c r="CR122" i="18"/>
  <c r="CZ272" i="18"/>
  <c r="DA269" i="18"/>
  <c r="DB98" i="18" s="1"/>
  <c r="CV332" i="18"/>
  <c r="CW329" i="18"/>
  <c r="CW331" i="18" s="1"/>
  <c r="CR196" i="18"/>
  <c r="CR52" i="18" s="1"/>
  <c r="CS197" i="18"/>
  <c r="CV348" i="18"/>
  <c r="CW345" i="18"/>
  <c r="CX175" i="18" s="1"/>
  <c r="CV282" i="18"/>
  <c r="CW279" i="18"/>
  <c r="CW281" i="18" s="1"/>
  <c r="CS177" i="18"/>
  <c r="CS182" i="18"/>
  <c r="CX312" i="18"/>
  <c r="CY309" i="18"/>
  <c r="CZ139" i="18" s="1"/>
  <c r="CV97" i="18"/>
  <c r="CT149" i="18"/>
  <c r="CU378" i="18"/>
  <c r="CV375" i="18"/>
  <c r="CV377" i="18" s="1"/>
  <c r="CS217" i="18"/>
  <c r="CT218" i="18"/>
  <c r="CU277" i="18"/>
  <c r="CV274" i="18"/>
  <c r="CV276" i="18" s="1"/>
  <c r="CU227" i="18"/>
  <c r="CS127" i="18"/>
  <c r="CX317" i="18"/>
  <c r="CY314" i="18"/>
  <c r="CP173" i="18"/>
  <c r="CP64" i="18" s="1"/>
  <c r="CM33" i="14" s="1"/>
  <c r="CM31" i="14" s="1"/>
  <c r="CQ174" i="18"/>
  <c r="CU154" i="18"/>
  <c r="CU302" i="18"/>
  <c r="CV299" i="18"/>
  <c r="CW128" i="18" s="1"/>
  <c r="CS102" i="18"/>
  <c r="CS164" i="18"/>
  <c r="CT199" i="18" l="1"/>
  <c r="CT57" i="18" s="1"/>
  <c r="CU200" i="18"/>
  <c r="CW373" i="18"/>
  <c r="CX370" i="18"/>
  <c r="CY204" i="18"/>
  <c r="CY135" i="18"/>
  <c r="CX160" i="18"/>
  <c r="CY316" i="18"/>
  <c r="DA271" i="18"/>
  <c r="CZ387" i="18"/>
  <c r="CX150" i="18"/>
  <c r="CZ145" i="18"/>
  <c r="CX336" i="18"/>
  <c r="CY155" i="18"/>
  <c r="CZ216" i="18"/>
  <c r="CY357" i="18"/>
  <c r="CX170" i="18"/>
  <c r="CV301" i="18"/>
  <c r="CY407" i="18"/>
  <c r="CW198" i="18"/>
  <c r="CY165" i="18"/>
  <c r="DC213" i="18"/>
  <c r="CW341" i="18"/>
  <c r="CX108" i="18"/>
  <c r="CW347" i="18"/>
  <c r="CW103" i="18"/>
  <c r="DA141" i="18"/>
  <c r="CZ352" i="18"/>
  <c r="CW296" i="18"/>
  <c r="CW306" i="18"/>
  <c r="CX326" i="18"/>
  <c r="CY311" i="18"/>
  <c r="CO29" i="14"/>
  <c r="CT206" i="18"/>
  <c r="CS205" i="18"/>
  <c r="CS55" i="18" s="1"/>
  <c r="CQ173" i="18"/>
  <c r="CQ64" i="18" s="1"/>
  <c r="CN33" i="14" s="1"/>
  <c r="CN31" i="14" s="1"/>
  <c r="CR174" i="18"/>
  <c r="CS122" i="18"/>
  <c r="CU169" i="18"/>
  <c r="CT107" i="18"/>
  <c r="CT211" i="18"/>
  <c r="CT59" i="18" s="1"/>
  <c r="CU212" i="18"/>
  <c r="CW307" i="18"/>
  <c r="CX304" i="18"/>
  <c r="CY133" i="18" s="1"/>
  <c r="CW297" i="18"/>
  <c r="CX294" i="18"/>
  <c r="CY123" i="18" s="1"/>
  <c r="CX383" i="18"/>
  <c r="CY380" i="18"/>
  <c r="CY382" i="18" s="1"/>
  <c r="CX327" i="18"/>
  <c r="CY324" i="18"/>
  <c r="CW342" i="18"/>
  <c r="CX339" i="18"/>
  <c r="CU214" i="18"/>
  <c r="CU60" i="18" s="1"/>
  <c r="CV215" i="18"/>
  <c r="CV154" i="18"/>
  <c r="CT217" i="18"/>
  <c r="CU218" i="18"/>
  <c r="CY312" i="18"/>
  <c r="CZ309" i="18"/>
  <c r="DA139" i="18" s="1"/>
  <c r="CS202" i="18"/>
  <c r="CS58" i="18" s="1"/>
  <c r="CT203" i="18"/>
  <c r="CY408" i="18"/>
  <c r="CZ405" i="18"/>
  <c r="DA219" i="18" s="1"/>
  <c r="DB398" i="18"/>
  <c r="DC395" i="18"/>
  <c r="DC397" i="18" s="1"/>
  <c r="CZ353" i="18"/>
  <c r="DA350" i="18"/>
  <c r="DB178" i="18" s="1"/>
  <c r="CW322" i="18"/>
  <c r="CX319" i="18"/>
  <c r="CX321" i="18" s="1"/>
  <c r="CY358" i="18"/>
  <c r="CZ355" i="18"/>
  <c r="DA183" i="18" s="1"/>
  <c r="CU149" i="18"/>
  <c r="CV302" i="18"/>
  <c r="CW299" i="18"/>
  <c r="CX128" i="18" s="1"/>
  <c r="CY317" i="18"/>
  <c r="CZ314" i="18"/>
  <c r="CV277" i="18"/>
  <c r="CW274" i="18"/>
  <c r="CW276" i="18" s="1"/>
  <c r="CV227" i="18"/>
  <c r="CS47" i="18"/>
  <c r="CS41" i="18"/>
  <c r="CV378" i="18"/>
  <c r="CW375" i="18"/>
  <c r="CW377" i="18" s="1"/>
  <c r="CW97" i="18"/>
  <c r="CT182" i="18"/>
  <c r="CW348" i="18"/>
  <c r="CX345" i="18"/>
  <c r="CY175" i="18" s="1"/>
  <c r="DA272" i="18"/>
  <c r="DB269" i="18"/>
  <c r="DC98" i="18" s="1"/>
  <c r="CU159" i="18"/>
  <c r="CU132" i="18"/>
  <c r="CU144" i="18"/>
  <c r="CZ388" i="18"/>
  <c r="DA385" i="18"/>
  <c r="DB207" i="18" s="1"/>
  <c r="CX337" i="18"/>
  <c r="CY334" i="18"/>
  <c r="CT102" i="18"/>
  <c r="CT127" i="18"/>
  <c r="CT164" i="18"/>
  <c r="CT177" i="18"/>
  <c r="CW282" i="18"/>
  <c r="CX279" i="18"/>
  <c r="CX281" i="18" s="1"/>
  <c r="CS196" i="18"/>
  <c r="CS52" i="18" s="1"/>
  <c r="CT197" i="18"/>
  <c r="CW332" i="18"/>
  <c r="CX329" i="18"/>
  <c r="CX331" i="18" s="1"/>
  <c r="DD287" i="18"/>
  <c r="DE284" i="18"/>
  <c r="CY403" i="18"/>
  <c r="CZ400" i="18"/>
  <c r="CZ402" i="18" s="1"/>
  <c r="CS138" i="18"/>
  <c r="CU199" i="18" l="1"/>
  <c r="CU57" i="18" s="1"/>
  <c r="CV200" i="18"/>
  <c r="CX373" i="18"/>
  <c r="CY370" i="18"/>
  <c r="CX306" i="18"/>
  <c r="CX103" i="18"/>
  <c r="DD213" i="18"/>
  <c r="CW301" i="18"/>
  <c r="CZ155" i="18"/>
  <c r="DA387" i="18"/>
  <c r="CZ135" i="18"/>
  <c r="CX296" i="18"/>
  <c r="CX347" i="18"/>
  <c r="CZ165" i="18"/>
  <c r="CY170" i="18"/>
  <c r="CY336" i="18"/>
  <c r="DB271" i="18"/>
  <c r="CZ204" i="18"/>
  <c r="CZ311" i="18"/>
  <c r="DA352" i="18"/>
  <c r="CY108" i="18"/>
  <c r="CX198" i="18"/>
  <c r="CZ357" i="18"/>
  <c r="DA145" i="18"/>
  <c r="CZ316" i="18"/>
  <c r="CY326" i="18"/>
  <c r="DB141" i="18"/>
  <c r="CX341" i="18"/>
  <c r="CZ407" i="18"/>
  <c r="DA216" i="18"/>
  <c r="CY150" i="18"/>
  <c r="CY160" i="18"/>
  <c r="CP29" i="14"/>
  <c r="CT205" i="18"/>
  <c r="CT55" i="18" s="1"/>
  <c r="CU206" i="18"/>
  <c r="CX282" i="18"/>
  <c r="CY279" i="18"/>
  <c r="CY281" i="18" s="1"/>
  <c r="CU102" i="18"/>
  <c r="CV132" i="18"/>
  <c r="CV149" i="18"/>
  <c r="CX322" i="18"/>
  <c r="CY319" i="18"/>
  <c r="CY321" i="18" s="1"/>
  <c r="CT41" i="18"/>
  <c r="CT47" i="18"/>
  <c r="CW154" i="18"/>
  <c r="CV214" i="18"/>
  <c r="CV60" i="18" s="1"/>
  <c r="CW215" i="18"/>
  <c r="CV169" i="18"/>
  <c r="CT122" i="18"/>
  <c r="CZ403" i="18"/>
  <c r="DA400" i="18"/>
  <c r="DA402" i="18" s="1"/>
  <c r="DE287" i="18"/>
  <c r="DF284" i="18"/>
  <c r="CU127" i="18"/>
  <c r="CX97" i="18"/>
  <c r="CW302" i="18"/>
  <c r="CX299" i="18"/>
  <c r="CY128" i="18" s="1"/>
  <c r="CU211" i="18"/>
  <c r="CU59" i="18" s="1"/>
  <c r="CV212" i="18"/>
  <c r="CU107" i="18"/>
  <c r="CR173" i="18"/>
  <c r="CR64" i="18" s="1"/>
  <c r="CO33" i="14" s="1"/>
  <c r="CO31" i="14" s="1"/>
  <c r="CS174" i="18"/>
  <c r="CT196" i="18"/>
  <c r="CT52" i="18" s="1"/>
  <c r="CU197" i="18"/>
  <c r="CY337" i="18"/>
  <c r="CZ334" i="18"/>
  <c r="DA388" i="18"/>
  <c r="DB385" i="18"/>
  <c r="DC207" i="18" s="1"/>
  <c r="CV144" i="18"/>
  <c r="DB272" i="18"/>
  <c r="DC269" i="18"/>
  <c r="DD98" i="18" s="1"/>
  <c r="CU182" i="18"/>
  <c r="CZ317" i="18"/>
  <c r="DA314" i="18"/>
  <c r="CZ312" i="18"/>
  <c r="DA309" i="18"/>
  <c r="DB139" i="18" s="1"/>
  <c r="CX307" i="18"/>
  <c r="CY304" i="18"/>
  <c r="CZ133" i="18" s="1"/>
  <c r="CT138" i="18"/>
  <c r="CX332" i="18"/>
  <c r="CY329" i="18"/>
  <c r="CY331" i="18" s="1"/>
  <c r="CU177" i="18"/>
  <c r="CU164" i="18"/>
  <c r="CV159" i="18"/>
  <c r="CX348" i="18"/>
  <c r="CY345" i="18"/>
  <c r="CZ175" i="18" s="1"/>
  <c r="CW378" i="18"/>
  <c r="CX375" i="18"/>
  <c r="CX377" i="18" s="1"/>
  <c r="CW277" i="18"/>
  <c r="CX274" i="18"/>
  <c r="CX276" i="18" s="1"/>
  <c r="CW227" i="18"/>
  <c r="CZ358" i="18"/>
  <c r="DA355" i="18"/>
  <c r="DB183" i="18" s="1"/>
  <c r="DA353" i="18"/>
  <c r="DB350" i="18"/>
  <c r="DC178" i="18" s="1"/>
  <c r="DC398" i="18"/>
  <c r="DD395" i="18"/>
  <c r="DD397" i="18" s="1"/>
  <c r="CZ408" i="18"/>
  <c r="DA405" i="18"/>
  <c r="DB219" i="18" s="1"/>
  <c r="CT202" i="18"/>
  <c r="CT58" i="18" s="1"/>
  <c r="CU203" i="18"/>
  <c r="CU217" i="18"/>
  <c r="CV218" i="18"/>
  <c r="CX342" i="18"/>
  <c r="CY339" i="18"/>
  <c r="CY327" i="18"/>
  <c r="CZ324" i="18"/>
  <c r="CY383" i="18"/>
  <c r="CZ380" i="18"/>
  <c r="CZ382" i="18" s="1"/>
  <c r="CX297" i="18"/>
  <c r="CY294" i="18"/>
  <c r="CZ123" i="18" s="1"/>
  <c r="DE286" i="18"/>
  <c r="CY373" i="18" l="1"/>
  <c r="CZ370" i="18"/>
  <c r="CV199" i="18"/>
  <c r="CV57" i="18" s="1"/>
  <c r="CW200" i="18"/>
  <c r="DB216" i="18"/>
  <c r="CZ326" i="18"/>
  <c r="CY198" i="18"/>
  <c r="DA204" i="18"/>
  <c r="DA165" i="18"/>
  <c r="DB387" i="18"/>
  <c r="CY103" i="18"/>
  <c r="DA407" i="18"/>
  <c r="DA316" i="18"/>
  <c r="CZ108" i="18"/>
  <c r="DC271" i="18"/>
  <c r="CY347" i="18"/>
  <c r="DA155" i="18"/>
  <c r="CY306" i="18"/>
  <c r="CZ160" i="18"/>
  <c r="CY341" i="18"/>
  <c r="DB145" i="18"/>
  <c r="DB352" i="18"/>
  <c r="CZ336" i="18"/>
  <c r="CY296" i="18"/>
  <c r="CX301" i="18"/>
  <c r="CZ150" i="18"/>
  <c r="DC141" i="18"/>
  <c r="DA357" i="18"/>
  <c r="DA311" i="18"/>
  <c r="CZ170" i="18"/>
  <c r="DA135" i="18"/>
  <c r="DE213" i="18"/>
  <c r="CQ29" i="14"/>
  <c r="DF286" i="18"/>
  <c r="CU205" i="18"/>
  <c r="CU55" i="18" s="1"/>
  <c r="CV206" i="18"/>
  <c r="DD398" i="18"/>
  <c r="DE395" i="18"/>
  <c r="DE397" i="18" s="1"/>
  <c r="DA358" i="18"/>
  <c r="DB355" i="18"/>
  <c r="DC183" i="18" s="1"/>
  <c r="DA312" i="18"/>
  <c r="DB309" i="18"/>
  <c r="DC139" i="18" s="1"/>
  <c r="DB388" i="18"/>
  <c r="DC385" i="18"/>
  <c r="DD207" i="18" s="1"/>
  <c r="CU196" i="18"/>
  <c r="CU52" i="18" s="1"/>
  <c r="CV197" i="18"/>
  <c r="CW169" i="18"/>
  <c r="CX154" i="18"/>
  <c r="CY322" i="18"/>
  <c r="CZ319" i="18"/>
  <c r="CZ321" i="18" s="1"/>
  <c r="CZ327" i="18"/>
  <c r="DA324" i="18"/>
  <c r="CV217" i="18"/>
  <c r="CW218" i="18"/>
  <c r="DB353" i="18"/>
  <c r="DC350" i="18"/>
  <c r="DD178" i="18" s="1"/>
  <c r="CX277" i="18"/>
  <c r="CY274" i="18"/>
  <c r="CY276" i="18" s="1"/>
  <c r="CX227" i="18"/>
  <c r="CV177" i="18"/>
  <c r="CY332" i="18"/>
  <c r="CZ329" i="18"/>
  <c r="CZ331" i="18" s="1"/>
  <c r="CV107" i="18"/>
  <c r="DF287" i="18"/>
  <c r="DG284" i="18"/>
  <c r="CZ383" i="18"/>
  <c r="DA380" i="18"/>
  <c r="DA382" i="18" s="1"/>
  <c r="CU41" i="18"/>
  <c r="CU47" i="18"/>
  <c r="CX378" i="18"/>
  <c r="CY375" i="18"/>
  <c r="CY377" i="18" s="1"/>
  <c r="CY348" i="18"/>
  <c r="CZ345" i="18"/>
  <c r="DA175" i="18" s="1"/>
  <c r="CW159" i="18"/>
  <c r="CU138" i="18"/>
  <c r="CY307" i="18"/>
  <c r="CZ304" i="18"/>
  <c r="DA133" i="18" s="1"/>
  <c r="CV182" i="18"/>
  <c r="CZ337" i="18"/>
  <c r="DA334" i="18"/>
  <c r="CY97" i="18"/>
  <c r="CV127" i="18"/>
  <c r="DA403" i="18"/>
  <c r="DB400" i="18"/>
  <c r="DB402" i="18" s="1"/>
  <c r="CU122" i="18"/>
  <c r="CW214" i="18"/>
  <c r="CW60" i="18" s="1"/>
  <c r="CX215" i="18"/>
  <c r="CY297" i="18"/>
  <c r="CZ294" i="18"/>
  <c r="DA123" i="18" s="1"/>
  <c r="CY342" i="18"/>
  <c r="CZ339" i="18"/>
  <c r="CU202" i="18"/>
  <c r="CU58" i="18" s="1"/>
  <c r="CV203" i="18"/>
  <c r="DA408" i="18"/>
  <c r="DB405" i="18"/>
  <c r="DC219" i="18" s="1"/>
  <c r="CV164" i="18"/>
  <c r="DA317" i="18"/>
  <c r="DB314" i="18"/>
  <c r="DC272" i="18"/>
  <c r="DD269" i="18"/>
  <c r="DE98" i="18" s="1"/>
  <c r="CW144" i="18"/>
  <c r="CS173" i="18"/>
  <c r="CS64" i="18" s="1"/>
  <c r="CP33" i="14" s="1"/>
  <c r="CP31" i="14" s="1"/>
  <c r="CT174" i="18"/>
  <c r="CV211" i="18"/>
  <c r="CV59" i="18" s="1"/>
  <c r="CW212" i="18"/>
  <c r="CX302" i="18"/>
  <c r="CY299" i="18"/>
  <c r="CZ128" i="18" s="1"/>
  <c r="CW149" i="18"/>
  <c r="CW132" i="18"/>
  <c r="CV102" i="18"/>
  <c r="CY282" i="18"/>
  <c r="CZ279" i="18"/>
  <c r="CZ281" i="18" s="1"/>
  <c r="CZ373" i="18" l="1"/>
  <c r="DA370" i="18"/>
  <c r="CW199" i="18"/>
  <c r="CW57" i="18" s="1"/>
  <c r="CX200" i="18"/>
  <c r="DA170" i="18"/>
  <c r="DA150" i="18"/>
  <c r="DC352" i="18"/>
  <c r="CZ306" i="18"/>
  <c r="DA108" i="18"/>
  <c r="DC387" i="18"/>
  <c r="DA326" i="18"/>
  <c r="DB311" i="18"/>
  <c r="CY301" i="18"/>
  <c r="DC145" i="18"/>
  <c r="DB155" i="18"/>
  <c r="DB316" i="18"/>
  <c r="DB165" i="18"/>
  <c r="DC216" i="18"/>
  <c r="DF213" i="18"/>
  <c r="DB357" i="18"/>
  <c r="CZ296" i="18"/>
  <c r="CZ341" i="18"/>
  <c r="CZ347" i="18"/>
  <c r="DB407" i="18"/>
  <c r="DB204" i="18"/>
  <c r="DB135" i="18"/>
  <c r="DD141" i="18"/>
  <c r="DA336" i="18"/>
  <c r="DA160" i="18"/>
  <c r="DD271" i="18"/>
  <c r="CZ103" i="18"/>
  <c r="CZ198" i="18"/>
  <c r="CR29" i="14"/>
  <c r="DG286" i="18"/>
  <c r="CW206" i="18"/>
  <c r="CV205" i="18"/>
  <c r="CV55" i="18" s="1"/>
  <c r="CX149" i="18"/>
  <c r="CW211" i="18"/>
  <c r="CW59" i="18" s="1"/>
  <c r="CX212" i="18"/>
  <c r="DB408" i="18"/>
  <c r="DC405" i="18"/>
  <c r="DD219" i="18" s="1"/>
  <c r="CZ342" i="18"/>
  <c r="DA339" i="18"/>
  <c r="CZ297" i="18"/>
  <c r="DA294" i="18"/>
  <c r="DB123" i="18" s="1"/>
  <c r="DB403" i="18"/>
  <c r="DC400" i="18"/>
  <c r="DC402" i="18" s="1"/>
  <c r="DA337" i="18"/>
  <c r="DB334" i="18"/>
  <c r="DG287" i="18"/>
  <c r="DH284" i="18"/>
  <c r="CW217" i="18"/>
  <c r="CX218" i="18"/>
  <c r="CX169" i="18"/>
  <c r="DB358" i="18"/>
  <c r="DC355" i="18"/>
  <c r="DD183" i="18" s="1"/>
  <c r="DB317" i="18"/>
  <c r="DC314" i="18"/>
  <c r="CW164" i="18"/>
  <c r="CX214" i="18"/>
  <c r="CX60" i="18" s="1"/>
  <c r="CY215" i="18"/>
  <c r="CZ97" i="18"/>
  <c r="CW182" i="18"/>
  <c r="CZ348" i="18"/>
  <c r="DA345" i="18"/>
  <c r="DB175" i="18" s="1"/>
  <c r="CY378" i="18"/>
  <c r="CZ375" i="18"/>
  <c r="CZ377" i="18" s="1"/>
  <c r="CW177" i="18"/>
  <c r="CY277" i="18"/>
  <c r="CZ274" i="18"/>
  <c r="CZ276" i="18" s="1"/>
  <c r="CY227" i="18"/>
  <c r="DC353" i="18"/>
  <c r="DD350" i="18"/>
  <c r="DE178" i="18" s="1"/>
  <c r="CV47" i="18"/>
  <c r="CV41" i="18"/>
  <c r="DC388" i="18"/>
  <c r="DD385" i="18"/>
  <c r="DE207" i="18" s="1"/>
  <c r="DE398" i="18"/>
  <c r="DF395" i="18"/>
  <c r="DF397" i="18" s="1"/>
  <c r="CZ282" i="18"/>
  <c r="DA279" i="18"/>
  <c r="DA281" i="18" s="1"/>
  <c r="CX132" i="18"/>
  <c r="CT173" i="18"/>
  <c r="CT64" i="18" s="1"/>
  <c r="CQ33" i="14" s="1"/>
  <c r="CQ31" i="14" s="1"/>
  <c r="CU174" i="18"/>
  <c r="CX159" i="18"/>
  <c r="DA383" i="18"/>
  <c r="DB380" i="18"/>
  <c r="DB382" i="18" s="1"/>
  <c r="CW107" i="18"/>
  <c r="CZ332" i="18"/>
  <c r="DA329" i="18"/>
  <c r="DA331" i="18" s="1"/>
  <c r="DA327" i="18"/>
  <c r="DB324" i="18"/>
  <c r="CY154" i="18"/>
  <c r="DB312" i="18"/>
  <c r="DC309" i="18"/>
  <c r="DD139" i="18" s="1"/>
  <c r="CY302" i="18"/>
  <c r="CZ299" i="18"/>
  <c r="DA128" i="18" s="1"/>
  <c r="CW102" i="18"/>
  <c r="CX144" i="18"/>
  <c r="DD272" i="18"/>
  <c r="DE269" i="18"/>
  <c r="DF98" i="18" s="1"/>
  <c r="CV202" i="18"/>
  <c r="CV58" i="18" s="1"/>
  <c r="CW203" i="18"/>
  <c r="CV122" i="18"/>
  <c r="CW127" i="18"/>
  <c r="CZ307" i="18"/>
  <c r="DA304" i="18"/>
  <c r="DB133" i="18" s="1"/>
  <c r="CV138" i="18"/>
  <c r="CZ322" i="18"/>
  <c r="DA319" i="18"/>
  <c r="DA321" i="18" s="1"/>
  <c r="CV196" i="18"/>
  <c r="CV52" i="18" s="1"/>
  <c r="CW197" i="18"/>
  <c r="DA373" i="18" l="1"/>
  <c r="DB370" i="18"/>
  <c r="CX199" i="18"/>
  <c r="CX57" i="18" s="1"/>
  <c r="CY200" i="18"/>
  <c r="DE271" i="18"/>
  <c r="DC135" i="18"/>
  <c r="DA341" i="18"/>
  <c r="DD216" i="18"/>
  <c r="DD145" i="18"/>
  <c r="DD387" i="18"/>
  <c r="DB150" i="18"/>
  <c r="DB160" i="18"/>
  <c r="DC204" i="18"/>
  <c r="DA296" i="18"/>
  <c r="DC165" i="18"/>
  <c r="CZ301" i="18"/>
  <c r="DB108" i="18"/>
  <c r="DB170" i="18"/>
  <c r="DA198" i="18"/>
  <c r="DB336" i="18"/>
  <c r="DC407" i="18"/>
  <c r="DC357" i="18"/>
  <c r="DC316" i="18"/>
  <c r="DC311" i="18"/>
  <c r="DA306" i="18"/>
  <c r="DA103" i="18"/>
  <c r="DE141" i="18"/>
  <c r="DA347" i="18"/>
  <c r="DG213" i="18"/>
  <c r="DC155" i="18"/>
  <c r="DB326" i="18"/>
  <c r="DD352" i="18"/>
  <c r="CS29" i="14"/>
  <c r="DH286" i="18"/>
  <c r="CW205" i="18"/>
  <c r="CW55" i="18" s="1"/>
  <c r="CX206" i="18"/>
  <c r="CW196" i="18"/>
  <c r="CW52" i="18" s="1"/>
  <c r="CX197" i="18"/>
  <c r="CX127" i="18"/>
  <c r="CX102" i="18"/>
  <c r="CX107" i="18"/>
  <c r="CW47" i="18"/>
  <c r="CW41" i="18"/>
  <c r="DB337" i="18"/>
  <c r="DC334" i="18"/>
  <c r="DA342" i="18"/>
  <c r="DB339" i="18"/>
  <c r="CX211" i="18"/>
  <c r="CX59" i="18" s="1"/>
  <c r="CY212" i="18"/>
  <c r="DA307" i="18"/>
  <c r="DB304" i="18"/>
  <c r="DC133" i="18" s="1"/>
  <c r="DE272" i="18"/>
  <c r="DF269" i="18"/>
  <c r="DG98" i="18" s="1"/>
  <c r="DA322" i="18"/>
  <c r="DB319" i="18"/>
  <c r="DB321" i="18" s="1"/>
  <c r="CW138" i="18"/>
  <c r="DA282" i="18"/>
  <c r="DB279" i="18"/>
  <c r="DB281" i="18" s="1"/>
  <c r="CZ378" i="18"/>
  <c r="DA375" i="18"/>
  <c r="DA377" i="18" s="1"/>
  <c r="DA97" i="18"/>
  <c r="CX164" i="18"/>
  <c r="DC317" i="18"/>
  <c r="DD314" i="18"/>
  <c r="DH287" i="18"/>
  <c r="DI284" i="18"/>
  <c r="DA297" i="18"/>
  <c r="DB294" i="18"/>
  <c r="DC123" i="18" s="1"/>
  <c r="DC408" i="18"/>
  <c r="DD405" i="18"/>
  <c r="DE219" i="18" s="1"/>
  <c r="DD353" i="18"/>
  <c r="DE350" i="18"/>
  <c r="DF178" i="18" s="1"/>
  <c r="CX177" i="18"/>
  <c r="DA348" i="18"/>
  <c r="DB345" i="18"/>
  <c r="DC175" i="18" s="1"/>
  <c r="CX182" i="18"/>
  <c r="DC358" i="18"/>
  <c r="DD355" i="18"/>
  <c r="DE183" i="18" s="1"/>
  <c r="CY169" i="18"/>
  <c r="DC403" i="18"/>
  <c r="DD400" i="18"/>
  <c r="DD402" i="18" s="1"/>
  <c r="CY149" i="18"/>
  <c r="CW202" i="18"/>
  <c r="CW58" i="18" s="1"/>
  <c r="CX203" i="18"/>
  <c r="CY144" i="18"/>
  <c r="DC312" i="18"/>
  <c r="DD309" i="18"/>
  <c r="DE139" i="18" s="1"/>
  <c r="DB327" i="18"/>
  <c r="DC324" i="18"/>
  <c r="CY159" i="18"/>
  <c r="CY132" i="18"/>
  <c r="CW122" i="18"/>
  <c r="CZ302" i="18"/>
  <c r="DA299" i="18"/>
  <c r="DB128" i="18" s="1"/>
  <c r="CZ154" i="18"/>
  <c r="DA332" i="18"/>
  <c r="DB329" i="18"/>
  <c r="DB331" i="18" s="1"/>
  <c r="DB383" i="18"/>
  <c r="DC380" i="18"/>
  <c r="DC382" i="18" s="1"/>
  <c r="CU173" i="18"/>
  <c r="CU64" i="18" s="1"/>
  <c r="CR33" i="14" s="1"/>
  <c r="CR31" i="14" s="1"/>
  <c r="CV174" i="18"/>
  <c r="DF398" i="18"/>
  <c r="DG395" i="18"/>
  <c r="DG397" i="18" s="1"/>
  <c r="DD388" i="18"/>
  <c r="DE385" i="18"/>
  <c r="DF207" i="18" s="1"/>
  <c r="CZ277" i="18"/>
  <c r="DA274" i="18"/>
  <c r="DA276" i="18" s="1"/>
  <c r="CZ227" i="18"/>
  <c r="CY214" i="18"/>
  <c r="CY60" i="18" s="1"/>
  <c r="CZ215" i="18"/>
  <c r="CX217" i="18"/>
  <c r="CY218" i="18"/>
  <c r="CY199" i="18" l="1"/>
  <c r="CY57" i="18" s="1"/>
  <c r="CZ200" i="18"/>
  <c r="DB373" i="18"/>
  <c r="DC370" i="18"/>
  <c r="DD155" i="18"/>
  <c r="DB103" i="18"/>
  <c r="DD357" i="18"/>
  <c r="DC170" i="18"/>
  <c r="DB296" i="18"/>
  <c r="DE387" i="18"/>
  <c r="DD135" i="18"/>
  <c r="DH213" i="18"/>
  <c r="DB306" i="18"/>
  <c r="DD407" i="18"/>
  <c r="DC108" i="18"/>
  <c r="DD204" i="18"/>
  <c r="DE145" i="18"/>
  <c r="DF271" i="18"/>
  <c r="DE352" i="18"/>
  <c r="DB347" i="18"/>
  <c r="DD311" i="18"/>
  <c r="DC336" i="18"/>
  <c r="DA301" i="18"/>
  <c r="DC160" i="18"/>
  <c r="DE216" i="18"/>
  <c r="DC326" i="18"/>
  <c r="DF141" i="18"/>
  <c r="DD316" i="18"/>
  <c r="DB198" i="18"/>
  <c r="DD165" i="18"/>
  <c r="DC150" i="18"/>
  <c r="DB341" i="18"/>
  <c r="CT29" i="14"/>
  <c r="CX205" i="18"/>
  <c r="CX55" i="18" s="1"/>
  <c r="CY206" i="18"/>
  <c r="CX202" i="18"/>
  <c r="CX58" i="18" s="1"/>
  <c r="CY203" i="18"/>
  <c r="CZ149" i="18"/>
  <c r="DD403" i="18"/>
  <c r="DE400" i="18"/>
  <c r="DE402" i="18" s="1"/>
  <c r="CZ169" i="18"/>
  <c r="DB348" i="18"/>
  <c r="DC345" i="18"/>
  <c r="DD175" i="18" s="1"/>
  <c r="CY177" i="18"/>
  <c r="DD317" i="18"/>
  <c r="DE314" i="18"/>
  <c r="CX138" i="18"/>
  <c r="DB322" i="18"/>
  <c r="DC319" i="18"/>
  <c r="DC321" i="18" s="1"/>
  <c r="DC337" i="18"/>
  <c r="DD334" i="18"/>
  <c r="CY102" i="18"/>
  <c r="CX196" i="18"/>
  <c r="CX52" i="18" s="1"/>
  <c r="CY197" i="18"/>
  <c r="DA277" i="18"/>
  <c r="DB274" i="18"/>
  <c r="DB276" i="18" s="1"/>
  <c r="DA227" i="18"/>
  <c r="DB332" i="18"/>
  <c r="DC329" i="18"/>
  <c r="DC331" i="18" s="1"/>
  <c r="DA154" i="18"/>
  <c r="CZ132" i="18"/>
  <c r="CZ159" i="18"/>
  <c r="DC327" i="18"/>
  <c r="DD324" i="18"/>
  <c r="DD358" i="18"/>
  <c r="DE355" i="18"/>
  <c r="DF183" i="18" s="1"/>
  <c r="DE353" i="18"/>
  <c r="DF350" i="18"/>
  <c r="DG178" i="18" s="1"/>
  <c r="DD408" i="18"/>
  <c r="DE405" i="18"/>
  <c r="DF219" i="18" s="1"/>
  <c r="DB297" i="18"/>
  <c r="DC294" i="18"/>
  <c r="DD123" i="18" s="1"/>
  <c r="DI287" i="18"/>
  <c r="DJ284" i="18"/>
  <c r="DB97" i="18"/>
  <c r="DA378" i="18"/>
  <c r="DB375" i="18"/>
  <c r="DB377" i="18" s="1"/>
  <c r="DB282" i="18"/>
  <c r="DC279" i="18"/>
  <c r="DC281" i="18" s="1"/>
  <c r="DB307" i="18"/>
  <c r="DC304" i="18"/>
  <c r="DD133" i="18" s="1"/>
  <c r="DB342" i="18"/>
  <c r="DC339" i="18"/>
  <c r="CY217" i="18"/>
  <c r="CZ218" i="18"/>
  <c r="CV173" i="18"/>
  <c r="CV64" i="18" s="1"/>
  <c r="CS33" i="14" s="1"/>
  <c r="CS31" i="14" s="1"/>
  <c r="CW174" i="18"/>
  <c r="CZ144" i="18"/>
  <c r="CY182" i="18"/>
  <c r="DF272" i="18"/>
  <c r="DG269" i="18"/>
  <c r="DH98" i="18" s="1"/>
  <c r="CY211" i="18"/>
  <c r="CY59" i="18" s="1"/>
  <c r="CZ212" i="18"/>
  <c r="CY127" i="18"/>
  <c r="CX41" i="18"/>
  <c r="CX47" i="18"/>
  <c r="CZ214" i="18"/>
  <c r="CZ60" i="18" s="1"/>
  <c r="DA215" i="18"/>
  <c r="DE388" i="18"/>
  <c r="DF385" i="18"/>
  <c r="DG207" i="18" s="1"/>
  <c r="DG398" i="18"/>
  <c r="DH395" i="18"/>
  <c r="DH397" i="18" s="1"/>
  <c r="DC383" i="18"/>
  <c r="DD380" i="18"/>
  <c r="DD382" i="18" s="1"/>
  <c r="DA302" i="18"/>
  <c r="DB299" i="18"/>
  <c r="DC128" i="18" s="1"/>
  <c r="CX122" i="18"/>
  <c r="DD312" i="18"/>
  <c r="DE309" i="18"/>
  <c r="DF139" i="18" s="1"/>
  <c r="DI286" i="18"/>
  <c r="CY164" i="18"/>
  <c r="CY107" i="18"/>
  <c r="CZ199" i="18" l="1"/>
  <c r="CZ57" i="18" s="1"/>
  <c r="DA200" i="18"/>
  <c r="DC373" i="18"/>
  <c r="DD370" i="18"/>
  <c r="DE165" i="18"/>
  <c r="DD326" i="18"/>
  <c r="DD336" i="18"/>
  <c r="DG271" i="18"/>
  <c r="DE407" i="18"/>
  <c r="DF387" i="18"/>
  <c r="DC103" i="18"/>
  <c r="DC198" i="18"/>
  <c r="DF216" i="18"/>
  <c r="DE311" i="18"/>
  <c r="DF145" i="18"/>
  <c r="DC306" i="18"/>
  <c r="DC296" i="18"/>
  <c r="DE155" i="18"/>
  <c r="DC341" i="18"/>
  <c r="DE316" i="18"/>
  <c r="DD160" i="18"/>
  <c r="DC347" i="18"/>
  <c r="DE204" i="18"/>
  <c r="DI213" i="18"/>
  <c r="DD170" i="18"/>
  <c r="DD150" i="18"/>
  <c r="DG141" i="18"/>
  <c r="DB301" i="18"/>
  <c r="DF352" i="18"/>
  <c r="DD108" i="18"/>
  <c r="DE135" i="18"/>
  <c r="DE357" i="18"/>
  <c r="DJ286" i="18"/>
  <c r="CU29" i="14"/>
  <c r="CY205" i="18"/>
  <c r="CY55" i="18" s="1"/>
  <c r="CZ206" i="18"/>
  <c r="CY122" i="18"/>
  <c r="CZ164" i="18"/>
  <c r="DB302" i="18"/>
  <c r="DC299" i="18"/>
  <c r="DD128" i="18" s="1"/>
  <c r="DH398" i="18"/>
  <c r="DI395" i="18"/>
  <c r="DI397" i="18" s="1"/>
  <c r="DF388" i="18"/>
  <c r="DG385" i="18"/>
  <c r="DH207" i="18" s="1"/>
  <c r="DG272" i="18"/>
  <c r="DH269" i="18"/>
  <c r="DI98" i="18" s="1"/>
  <c r="CZ182" i="18"/>
  <c r="DA144" i="18"/>
  <c r="CW173" i="18"/>
  <c r="CW64" i="18" s="1"/>
  <c r="CT33" i="14" s="1"/>
  <c r="CT31" i="14" s="1"/>
  <c r="CX174" i="18"/>
  <c r="DC307" i="18"/>
  <c r="DD304" i="18"/>
  <c r="DE133" i="18" s="1"/>
  <c r="DC282" i="18"/>
  <c r="DD279" i="18"/>
  <c r="DD281" i="18" s="1"/>
  <c r="DC97" i="18"/>
  <c r="DE408" i="18"/>
  <c r="DF405" i="18"/>
  <c r="DG219" i="18" s="1"/>
  <c r="DF353" i="18"/>
  <c r="DG350" i="18"/>
  <c r="DH178" i="18" s="1"/>
  <c r="DB277" i="18"/>
  <c r="DC274" i="18"/>
  <c r="DC276" i="18" s="1"/>
  <c r="DB227" i="18"/>
  <c r="CZ102" i="18"/>
  <c r="DE312" i="18"/>
  <c r="DF309" i="18"/>
  <c r="DG139" i="18" s="1"/>
  <c r="CZ107" i="18"/>
  <c r="DA214" i="18"/>
  <c r="DA60" i="18" s="1"/>
  <c r="DB215" i="18"/>
  <c r="CZ127" i="18"/>
  <c r="CZ211" i="18"/>
  <c r="CZ59" i="18" s="1"/>
  <c r="DA212" i="18"/>
  <c r="DC342" i="18"/>
  <c r="DD339" i="18"/>
  <c r="DB378" i="18"/>
  <c r="DC375" i="18"/>
  <c r="DC377" i="18" s="1"/>
  <c r="DA159" i="18"/>
  <c r="DB154" i="18"/>
  <c r="DC332" i="18"/>
  <c r="DD329" i="18"/>
  <c r="DD331" i="18" s="1"/>
  <c r="DD337" i="18"/>
  <c r="DE334" i="18"/>
  <c r="DE317" i="18"/>
  <c r="DF314" i="18"/>
  <c r="CZ177" i="18"/>
  <c r="DC348" i="18"/>
  <c r="DD345" i="18"/>
  <c r="DE175" i="18" s="1"/>
  <c r="DA149" i="18"/>
  <c r="DD383" i="18"/>
  <c r="DE380" i="18"/>
  <c r="DE382" i="18" s="1"/>
  <c r="CZ217" i="18"/>
  <c r="DA218" i="18"/>
  <c r="DJ287" i="18"/>
  <c r="DK284" i="18"/>
  <c r="DC297" i="18"/>
  <c r="DD294" i="18"/>
  <c r="DE123" i="18" s="1"/>
  <c r="DE358" i="18"/>
  <c r="DF355" i="18"/>
  <c r="DG183" i="18" s="1"/>
  <c r="DD327" i="18"/>
  <c r="DE324" i="18"/>
  <c r="CY196" i="18"/>
  <c r="CY52" i="18" s="1"/>
  <c r="CZ197" i="18"/>
  <c r="DC322" i="18"/>
  <c r="DD319" i="18"/>
  <c r="DD321" i="18" s="1"/>
  <c r="DA169" i="18"/>
  <c r="DE403" i="18"/>
  <c r="DF400" i="18"/>
  <c r="DF402" i="18" s="1"/>
  <c r="CY41" i="18"/>
  <c r="CY47" i="18"/>
  <c r="DA132" i="18"/>
  <c r="CY138" i="18"/>
  <c r="CY202" i="18"/>
  <c r="CY58" i="18" s="1"/>
  <c r="CZ203" i="18"/>
  <c r="DA199" i="18" l="1"/>
  <c r="DA57" i="18" s="1"/>
  <c r="DB200" i="18"/>
  <c r="DD373" i="18"/>
  <c r="DE370" i="18"/>
  <c r="DE108" i="18"/>
  <c r="DE150" i="18"/>
  <c r="DD347" i="18"/>
  <c r="DF155" i="18"/>
  <c r="DF311" i="18"/>
  <c r="DG387" i="18"/>
  <c r="DE326" i="18"/>
  <c r="DG352" i="18"/>
  <c r="DE170" i="18"/>
  <c r="DE160" i="18"/>
  <c r="DD296" i="18"/>
  <c r="DG216" i="18"/>
  <c r="DF407" i="18"/>
  <c r="DF165" i="18"/>
  <c r="DF357" i="18"/>
  <c r="DC301" i="18"/>
  <c r="DJ213" i="18"/>
  <c r="DF316" i="18"/>
  <c r="DD306" i="18"/>
  <c r="DD198" i="18"/>
  <c r="DH271" i="18"/>
  <c r="DF135" i="18"/>
  <c r="DH141" i="18"/>
  <c r="DF204" i="18"/>
  <c r="DD341" i="18"/>
  <c r="DG145" i="18"/>
  <c r="DD103" i="18"/>
  <c r="DE336" i="18"/>
  <c r="CV29" i="14"/>
  <c r="DK286" i="18"/>
  <c r="DA206" i="18"/>
  <c r="CZ205" i="18"/>
  <c r="CZ55" i="18" s="1"/>
  <c r="CZ138" i="18"/>
  <c r="CZ196" i="18"/>
  <c r="CZ52" i="18" s="1"/>
  <c r="DA197" i="18"/>
  <c r="DA177" i="18"/>
  <c r="DD332" i="18"/>
  <c r="DE329" i="18"/>
  <c r="DE331" i="18" s="1"/>
  <c r="DA211" i="18"/>
  <c r="DA59" i="18" s="1"/>
  <c r="DB212" i="18"/>
  <c r="DA107" i="18"/>
  <c r="DC277" i="18"/>
  <c r="DD274" i="18"/>
  <c r="DD276" i="18" s="1"/>
  <c r="DC227" i="18"/>
  <c r="DB144" i="18"/>
  <c r="CZ202" i="18"/>
  <c r="CZ58" i="18" s="1"/>
  <c r="DA203" i="18"/>
  <c r="DF358" i="18"/>
  <c r="DG355" i="18"/>
  <c r="DH183" i="18" s="1"/>
  <c r="DA127" i="18"/>
  <c r="DD322" i="18"/>
  <c r="DE319" i="18"/>
  <c r="DE321" i="18" s="1"/>
  <c r="DK287" i="18"/>
  <c r="DL284" i="18"/>
  <c r="DA217" i="18"/>
  <c r="DB218" i="18"/>
  <c r="DD348" i="18"/>
  <c r="DE345" i="18"/>
  <c r="DF175" i="18" s="1"/>
  <c r="DE337" i="18"/>
  <c r="DF334" i="18"/>
  <c r="DB159" i="18"/>
  <c r="DC378" i="18"/>
  <c r="DD375" i="18"/>
  <c r="DD377" i="18" s="1"/>
  <c r="DD342" i="18"/>
  <c r="DE339" i="18"/>
  <c r="DB214" i="18"/>
  <c r="DB60" i="18" s="1"/>
  <c r="DC215" i="18"/>
  <c r="DF408" i="18"/>
  <c r="DG405" i="18"/>
  <c r="DH219" i="18" s="1"/>
  <c r="DD97" i="18"/>
  <c r="DD307" i="18"/>
  <c r="DE304" i="18"/>
  <c r="DF133" i="18" s="1"/>
  <c r="DA164" i="18"/>
  <c r="CX173" i="18"/>
  <c r="CX64" i="18" s="1"/>
  <c r="CU33" i="14" s="1"/>
  <c r="CU31" i="14" s="1"/>
  <c r="CY174" i="18"/>
  <c r="DA182" i="18"/>
  <c r="DB132" i="18"/>
  <c r="DB169" i="18"/>
  <c r="CZ41" i="18"/>
  <c r="CZ47" i="18"/>
  <c r="DB149" i="18"/>
  <c r="DF403" i="18"/>
  <c r="DG400" i="18"/>
  <c r="DG402" i="18" s="1"/>
  <c r="DE327" i="18"/>
  <c r="DF324" i="18"/>
  <c r="DD297" i="18"/>
  <c r="DE294" i="18"/>
  <c r="DF123" i="18" s="1"/>
  <c r="DE383" i="18"/>
  <c r="DF380" i="18"/>
  <c r="DF382" i="18" s="1"/>
  <c r="DF317" i="18"/>
  <c r="DG314" i="18"/>
  <c r="DC154" i="18"/>
  <c r="DF312" i="18"/>
  <c r="DG309" i="18"/>
  <c r="DH139" i="18" s="1"/>
  <c r="DA102" i="18"/>
  <c r="DG353" i="18"/>
  <c r="DH350" i="18"/>
  <c r="DI178" i="18" s="1"/>
  <c r="DD282" i="18"/>
  <c r="DE279" i="18"/>
  <c r="DE281" i="18" s="1"/>
  <c r="DH272" i="18"/>
  <c r="DI269" i="18"/>
  <c r="DJ98" i="18" s="1"/>
  <c r="DG388" i="18"/>
  <c r="DH385" i="18"/>
  <c r="DI207" i="18" s="1"/>
  <c r="DI398" i="18"/>
  <c r="DJ395" i="18"/>
  <c r="DJ397" i="18" s="1"/>
  <c r="DC302" i="18"/>
  <c r="DD299" i="18"/>
  <c r="DE128" i="18" s="1"/>
  <c r="CZ122" i="18"/>
  <c r="DB199" i="18" l="1"/>
  <c r="DB57" i="18" s="1"/>
  <c r="DC200" i="18"/>
  <c r="DE373" i="18"/>
  <c r="DF370" i="18"/>
  <c r="DH145" i="18"/>
  <c r="DG135" i="18"/>
  <c r="DG316" i="18"/>
  <c r="DG165" i="18"/>
  <c r="DF160" i="18"/>
  <c r="DH387" i="18"/>
  <c r="DF150" i="18"/>
  <c r="DE341" i="18"/>
  <c r="DI271" i="18"/>
  <c r="DK213" i="18"/>
  <c r="DG407" i="18"/>
  <c r="DF170" i="18"/>
  <c r="DG311" i="18"/>
  <c r="DF108" i="18"/>
  <c r="DF336" i="18"/>
  <c r="DG204" i="18"/>
  <c r="DE198" i="18"/>
  <c r="DD301" i="18"/>
  <c r="DH216" i="18"/>
  <c r="DH352" i="18"/>
  <c r="DG155" i="18"/>
  <c r="DE103" i="18"/>
  <c r="DI141" i="18"/>
  <c r="DE306" i="18"/>
  <c r="DG357" i="18"/>
  <c r="DE296" i="18"/>
  <c r="DF326" i="18"/>
  <c r="DE347" i="18"/>
  <c r="CW29" i="14"/>
  <c r="DL286" i="18"/>
  <c r="DA205" i="18"/>
  <c r="DA55" i="18" s="1"/>
  <c r="DB206" i="18"/>
  <c r="DJ398" i="18"/>
  <c r="DK395" i="18"/>
  <c r="DK397" i="18" s="1"/>
  <c r="DE282" i="18"/>
  <c r="DF279" i="18"/>
  <c r="DF281" i="18" s="1"/>
  <c r="DD154" i="18"/>
  <c r="DF327" i="18"/>
  <c r="DG324" i="18"/>
  <c r="DC132" i="18"/>
  <c r="DB182" i="18"/>
  <c r="DE97" i="18"/>
  <c r="DG408" i="18"/>
  <c r="DH405" i="18"/>
  <c r="DI219" i="18" s="1"/>
  <c r="DC159" i="18"/>
  <c r="DF337" i="18"/>
  <c r="DG334" i="18"/>
  <c r="DE348" i="18"/>
  <c r="DF345" i="18"/>
  <c r="DG175" i="18" s="1"/>
  <c r="DA47" i="18"/>
  <c r="DA41" i="18"/>
  <c r="DD277" i="18"/>
  <c r="DE274" i="18"/>
  <c r="DE276" i="18" s="1"/>
  <c r="DD227" i="18"/>
  <c r="DB177" i="18"/>
  <c r="DA196" i="18"/>
  <c r="DA52" i="18" s="1"/>
  <c r="DB197" i="18"/>
  <c r="DA138" i="18"/>
  <c r="DD302" i="18"/>
  <c r="DE299" i="18"/>
  <c r="DF128" i="18" s="1"/>
  <c r="DG312" i="18"/>
  <c r="DH309" i="18"/>
  <c r="DI139" i="18" s="1"/>
  <c r="DE297" i="18"/>
  <c r="DF294" i="18"/>
  <c r="DG123" i="18" s="1"/>
  <c r="DE307" i="18"/>
  <c r="DF304" i="18"/>
  <c r="DG133" i="18" s="1"/>
  <c r="DE342" i="18"/>
  <c r="DF339" i="18"/>
  <c r="DD378" i="18"/>
  <c r="DE375" i="18"/>
  <c r="DE377" i="18" s="1"/>
  <c r="DE322" i="18"/>
  <c r="DF319" i="18"/>
  <c r="DF321" i="18" s="1"/>
  <c r="DG358" i="18"/>
  <c r="DH355" i="18"/>
  <c r="DI183" i="18" s="1"/>
  <c r="DA202" i="18"/>
  <c r="DA58" i="18" s="1"/>
  <c r="DB203" i="18"/>
  <c r="DC144" i="18"/>
  <c r="DB107" i="18"/>
  <c r="DE332" i="18"/>
  <c r="DF329" i="18"/>
  <c r="DF331" i="18" s="1"/>
  <c r="DA122" i="18"/>
  <c r="DH388" i="18"/>
  <c r="DI385" i="18"/>
  <c r="DJ207" i="18" s="1"/>
  <c r="DI272" i="18"/>
  <c r="DJ269" i="18"/>
  <c r="DK98" i="18" s="1"/>
  <c r="DF383" i="18"/>
  <c r="DG380" i="18"/>
  <c r="DG382" i="18" s="1"/>
  <c r="DG403" i="18"/>
  <c r="DH400" i="18"/>
  <c r="DH402" i="18" s="1"/>
  <c r="DC149" i="18"/>
  <c r="DC169" i="18"/>
  <c r="CY173" i="18"/>
  <c r="CY64" i="18" s="1"/>
  <c r="CV33" i="14" s="1"/>
  <c r="CV31" i="14" s="1"/>
  <c r="CZ174" i="18"/>
  <c r="DB164" i="18"/>
  <c r="DC214" i="18"/>
  <c r="DC60" i="18" s="1"/>
  <c r="DD215" i="18"/>
  <c r="DL287" i="18"/>
  <c r="DM284" i="18"/>
  <c r="DB127" i="18"/>
  <c r="DH353" i="18"/>
  <c r="DI350" i="18"/>
  <c r="DJ178" i="18" s="1"/>
  <c r="DB102" i="18"/>
  <c r="DG317" i="18"/>
  <c r="DH314" i="18"/>
  <c r="DB217" i="18"/>
  <c r="DC218" i="18"/>
  <c r="DB211" i="18"/>
  <c r="DB59" i="18" s="1"/>
  <c r="DC212" i="18"/>
  <c r="DC199" i="18" l="1"/>
  <c r="DC57" i="18" s="1"/>
  <c r="DD200" i="18"/>
  <c r="DF373" i="18"/>
  <c r="DG370" i="18"/>
  <c r="DF296" i="18"/>
  <c r="DF103" i="18"/>
  <c r="DE301" i="18"/>
  <c r="DG108" i="18"/>
  <c r="DL213" i="18"/>
  <c r="DI387" i="18"/>
  <c r="DH135" i="18"/>
  <c r="DH357" i="18"/>
  <c r="DH155" i="18"/>
  <c r="DF198" i="18"/>
  <c r="DH311" i="18"/>
  <c r="DJ271" i="18"/>
  <c r="DG160" i="18"/>
  <c r="DI145" i="18"/>
  <c r="DF347" i="18"/>
  <c r="DF306" i="18"/>
  <c r="DI352" i="18"/>
  <c r="DH204" i="18"/>
  <c r="DG170" i="18"/>
  <c r="DF341" i="18"/>
  <c r="DH165" i="18"/>
  <c r="DG326" i="18"/>
  <c r="DJ141" i="18"/>
  <c r="DI216" i="18"/>
  <c r="DG336" i="18"/>
  <c r="DH407" i="18"/>
  <c r="DG150" i="18"/>
  <c r="DH316" i="18"/>
  <c r="CX29" i="14"/>
  <c r="DB205" i="18"/>
  <c r="DB55" i="18" s="1"/>
  <c r="DC206" i="18"/>
  <c r="DM287" i="18"/>
  <c r="DN284" i="18"/>
  <c r="DC164" i="18"/>
  <c r="DD149" i="18"/>
  <c r="DB122" i="18"/>
  <c r="DH358" i="18"/>
  <c r="DI355" i="18"/>
  <c r="DJ183" i="18" s="1"/>
  <c r="DE378" i="18"/>
  <c r="DF375" i="18"/>
  <c r="DF377" i="18" s="1"/>
  <c r="DF297" i="18"/>
  <c r="DG294" i="18"/>
  <c r="DH123" i="18" s="1"/>
  <c r="DD159" i="18"/>
  <c r="DF97" i="18"/>
  <c r="DG327" i="18"/>
  <c r="DH324" i="18"/>
  <c r="DE154" i="18"/>
  <c r="DC102" i="18"/>
  <c r="DC127" i="18"/>
  <c r="DG383" i="18"/>
  <c r="DH380" i="18"/>
  <c r="DH382" i="18" s="1"/>
  <c r="DJ272" i="18"/>
  <c r="DK269" i="18"/>
  <c r="DL98" i="18" s="1"/>
  <c r="DB196" i="18"/>
  <c r="DB52" i="18" s="1"/>
  <c r="DC197" i="18"/>
  <c r="DC177" i="18"/>
  <c r="DE277" i="18"/>
  <c r="DF274" i="18"/>
  <c r="DF276" i="18" s="1"/>
  <c r="DE227" i="18"/>
  <c r="DG337" i="18"/>
  <c r="DH334" i="18"/>
  <c r="DH408" i="18"/>
  <c r="DI405" i="18"/>
  <c r="DJ219" i="18" s="1"/>
  <c r="DD132" i="18"/>
  <c r="DK398" i="18"/>
  <c r="DL395" i="18"/>
  <c r="DL397" i="18" s="1"/>
  <c r="DC211" i="18"/>
  <c r="DC59" i="18" s="1"/>
  <c r="DD212" i="18"/>
  <c r="DC217" i="18"/>
  <c r="DD218" i="18"/>
  <c r="DH317" i="18"/>
  <c r="DI314" i="18"/>
  <c r="CZ173" i="18"/>
  <c r="CZ64" i="18" s="1"/>
  <c r="CW33" i="14" s="1"/>
  <c r="CW31" i="14" s="1"/>
  <c r="DA174" i="18"/>
  <c r="DD169" i="18"/>
  <c r="DH403" i="18"/>
  <c r="DI400" i="18"/>
  <c r="DI402" i="18" s="1"/>
  <c r="DF332" i="18"/>
  <c r="DG329" i="18"/>
  <c r="DG331" i="18" s="1"/>
  <c r="DB202" i="18"/>
  <c r="DB58" i="18" s="1"/>
  <c r="DC203" i="18"/>
  <c r="DF322" i="18"/>
  <c r="DG319" i="18"/>
  <c r="DG321" i="18" s="1"/>
  <c r="DF342" i="18"/>
  <c r="DG339" i="18"/>
  <c r="DF307" i="18"/>
  <c r="DG304" i="18"/>
  <c r="DH133" i="18" s="1"/>
  <c r="DF348" i="18"/>
  <c r="DG345" i="18"/>
  <c r="DH175" i="18" s="1"/>
  <c r="DI353" i="18"/>
  <c r="DJ350" i="18"/>
  <c r="DK178" i="18" s="1"/>
  <c r="DB41" i="18"/>
  <c r="DB47" i="18"/>
  <c r="DD214" i="18"/>
  <c r="DD60" i="18" s="1"/>
  <c r="DE215" i="18"/>
  <c r="DI388" i="18"/>
  <c r="DJ385" i="18"/>
  <c r="DK207" i="18" s="1"/>
  <c r="DC107" i="18"/>
  <c r="DD144" i="18"/>
  <c r="DH312" i="18"/>
  <c r="DI309" i="18"/>
  <c r="DJ139" i="18" s="1"/>
  <c r="DE302" i="18"/>
  <c r="DF299" i="18"/>
  <c r="DG128" i="18" s="1"/>
  <c r="DB138" i="18"/>
  <c r="DC182" i="18"/>
  <c r="DF282" i="18"/>
  <c r="DG279" i="18"/>
  <c r="DG281" i="18" s="1"/>
  <c r="DM286" i="18"/>
  <c r="DD199" i="18" l="1"/>
  <c r="DD57" i="18" s="1"/>
  <c r="DE200" i="18"/>
  <c r="DG373" i="18"/>
  <c r="DH370" i="18"/>
  <c r="CY29" i="14"/>
  <c r="DI407" i="18"/>
  <c r="DH326" i="18"/>
  <c r="DI204" i="18"/>
  <c r="DJ145" i="18"/>
  <c r="DG198" i="18"/>
  <c r="DJ387" i="18"/>
  <c r="DG103" i="18"/>
  <c r="DH336" i="18"/>
  <c r="DI165" i="18"/>
  <c r="DJ352" i="18"/>
  <c r="DH160" i="18"/>
  <c r="DI155" i="18"/>
  <c r="DM213" i="18"/>
  <c r="DG296" i="18"/>
  <c r="DI316" i="18"/>
  <c r="DJ216" i="18"/>
  <c r="DG341" i="18"/>
  <c r="DG306" i="18"/>
  <c r="DK271" i="18"/>
  <c r="DI357" i="18"/>
  <c r="DH108" i="18"/>
  <c r="DH150" i="18"/>
  <c r="DK141" i="18"/>
  <c r="DH170" i="18"/>
  <c r="DG347" i="18"/>
  <c r="DI311" i="18"/>
  <c r="DI135" i="18"/>
  <c r="DF301" i="18"/>
  <c r="DC205" i="18"/>
  <c r="DC55" i="18" s="1"/>
  <c r="DD206" i="18"/>
  <c r="DN286" i="18"/>
  <c r="DJ353" i="18"/>
  <c r="DK350" i="18"/>
  <c r="DL178" i="18" s="1"/>
  <c r="DC41" i="18"/>
  <c r="DC47" i="18"/>
  <c r="DF277" i="18"/>
  <c r="DG274" i="18"/>
  <c r="DG276" i="18" s="1"/>
  <c r="DF227" i="18"/>
  <c r="DH383" i="18"/>
  <c r="DI380" i="18"/>
  <c r="DI382" i="18" s="1"/>
  <c r="DD102" i="18"/>
  <c r="DE159" i="18"/>
  <c r="DG297" i="18"/>
  <c r="DH294" i="18"/>
  <c r="DI123" i="18" s="1"/>
  <c r="DI358" i="18"/>
  <c r="DJ355" i="18"/>
  <c r="DK183" i="18" s="1"/>
  <c r="DC122" i="18"/>
  <c r="DN287" i="18"/>
  <c r="DO284" i="18"/>
  <c r="DD182" i="18"/>
  <c r="DC138" i="18"/>
  <c r="DG342" i="18"/>
  <c r="DH339" i="18"/>
  <c r="DG332" i="18"/>
  <c r="DH329" i="18"/>
  <c r="DH331" i="18" s="1"/>
  <c r="DE169" i="18"/>
  <c r="DD211" i="18"/>
  <c r="DD59" i="18" s="1"/>
  <c r="DE212" i="18"/>
  <c r="DE132" i="18"/>
  <c r="DC196" i="18"/>
  <c r="DC52" i="18" s="1"/>
  <c r="DD197" i="18"/>
  <c r="DF154" i="18"/>
  <c r="DE144" i="18"/>
  <c r="DD107" i="18"/>
  <c r="DJ388" i="18"/>
  <c r="DK385" i="18"/>
  <c r="DL207" i="18" s="1"/>
  <c r="DE214" i="18"/>
  <c r="DE60" i="18" s="1"/>
  <c r="DF215" i="18"/>
  <c r="DG307" i="18"/>
  <c r="DH304" i="18"/>
  <c r="DI133" i="18" s="1"/>
  <c r="DI403" i="18"/>
  <c r="DJ400" i="18"/>
  <c r="DJ402" i="18" s="1"/>
  <c r="DL398" i="18"/>
  <c r="DM395" i="18"/>
  <c r="DM397" i="18" s="1"/>
  <c r="DI408" i="18"/>
  <c r="DJ405" i="18"/>
  <c r="DK219" i="18" s="1"/>
  <c r="DH337" i="18"/>
  <c r="DI334" i="18"/>
  <c r="DG97" i="18"/>
  <c r="DE149" i="18"/>
  <c r="DD164" i="18"/>
  <c r="DG282" i="18"/>
  <c r="DH279" i="18"/>
  <c r="DH281" i="18" s="1"/>
  <c r="DF302" i="18"/>
  <c r="DG299" i="18"/>
  <c r="DH128" i="18" s="1"/>
  <c r="DI312" i="18"/>
  <c r="DJ309" i="18"/>
  <c r="DK139" i="18" s="1"/>
  <c r="DG348" i="18"/>
  <c r="DH345" i="18"/>
  <c r="DI175" i="18" s="1"/>
  <c r="DG322" i="18"/>
  <c r="DH319" i="18"/>
  <c r="DH321" i="18" s="1"/>
  <c r="DC202" i="18"/>
  <c r="DC58" i="18" s="1"/>
  <c r="DD203" i="18"/>
  <c r="DA173" i="18"/>
  <c r="DA64" i="18" s="1"/>
  <c r="CX33" i="14" s="1"/>
  <c r="CX31" i="14" s="1"/>
  <c r="DB174" i="18"/>
  <c r="DI317" i="18"/>
  <c r="DJ314" i="18"/>
  <c r="DD217" i="18"/>
  <c r="DE218" i="18"/>
  <c r="DD177" i="18"/>
  <c r="DK272" i="18"/>
  <c r="DL269" i="18"/>
  <c r="DM98" i="18" s="1"/>
  <c r="DD127" i="18"/>
  <c r="DH327" i="18"/>
  <c r="DI324" i="18"/>
  <c r="DF378" i="18"/>
  <c r="DG375" i="18"/>
  <c r="DG377" i="18" s="1"/>
  <c r="DE199" i="18" l="1"/>
  <c r="DE57" i="18" s="1"/>
  <c r="DF200" i="18"/>
  <c r="DH373" i="18"/>
  <c r="DI370" i="18"/>
  <c r="DJ311" i="18"/>
  <c r="DI150" i="18"/>
  <c r="DH306" i="18"/>
  <c r="DH296" i="18"/>
  <c r="DK352" i="18"/>
  <c r="DK387" i="18"/>
  <c r="DI326" i="18"/>
  <c r="DH347" i="18"/>
  <c r="DI108" i="18"/>
  <c r="DH341" i="18"/>
  <c r="DN213" i="18"/>
  <c r="DJ165" i="18"/>
  <c r="DH198" i="18"/>
  <c r="DJ407" i="18"/>
  <c r="DG301" i="18"/>
  <c r="DI170" i="18"/>
  <c r="DJ357" i="18"/>
  <c r="DK216" i="18"/>
  <c r="DJ155" i="18"/>
  <c r="DI336" i="18"/>
  <c r="DK145" i="18"/>
  <c r="DJ135" i="18"/>
  <c r="DL141" i="18"/>
  <c r="DL271" i="18"/>
  <c r="DJ316" i="18"/>
  <c r="DI160" i="18"/>
  <c r="DH103" i="18"/>
  <c r="DJ204" i="18"/>
  <c r="DO286" i="18"/>
  <c r="CZ29" i="14"/>
  <c r="DE206" i="18"/>
  <c r="DD205" i="18"/>
  <c r="DD55" i="18" s="1"/>
  <c r="DG302" i="18"/>
  <c r="DH299" i="18"/>
  <c r="DI128" i="18" s="1"/>
  <c r="DF149" i="18"/>
  <c r="DM398" i="18"/>
  <c r="DN395" i="18"/>
  <c r="DN397" i="18" s="1"/>
  <c r="DE127" i="18"/>
  <c r="DE217" i="18"/>
  <c r="DF218" i="18"/>
  <c r="DB173" i="18"/>
  <c r="DB64" i="18" s="1"/>
  <c r="CY33" i="14" s="1"/>
  <c r="CY31" i="14" s="1"/>
  <c r="DC174" i="18"/>
  <c r="DJ312" i="18"/>
  <c r="DK309" i="18"/>
  <c r="DL139" i="18" s="1"/>
  <c r="DH282" i="18"/>
  <c r="DI279" i="18"/>
  <c r="DI281" i="18" s="1"/>
  <c r="DH307" i="18"/>
  <c r="DI304" i="18"/>
  <c r="DJ133" i="18" s="1"/>
  <c r="DF214" i="18"/>
  <c r="DF60" i="18" s="1"/>
  <c r="DG215" i="18"/>
  <c r="DK388" i="18"/>
  <c r="DL385" i="18"/>
  <c r="DM207" i="18" s="1"/>
  <c r="DG154" i="18"/>
  <c r="DO287" i="18"/>
  <c r="DP284" i="18"/>
  <c r="DJ358" i="18"/>
  <c r="DK355" i="18"/>
  <c r="DL183" i="18" s="1"/>
  <c r="DH297" i="18"/>
  <c r="DI294" i="18"/>
  <c r="DJ123" i="18" s="1"/>
  <c r="DI383" i="18"/>
  <c r="DJ380" i="18"/>
  <c r="DJ382" i="18" s="1"/>
  <c r="DG378" i="18"/>
  <c r="DH375" i="18"/>
  <c r="DH377" i="18" s="1"/>
  <c r="DH322" i="18"/>
  <c r="DI319" i="18"/>
  <c r="DI321" i="18" s="1"/>
  <c r="DJ408" i="18"/>
  <c r="DK405" i="18"/>
  <c r="DL219" i="18" s="1"/>
  <c r="DE107" i="18"/>
  <c r="DE211" i="18"/>
  <c r="DE59" i="18" s="1"/>
  <c r="DF212" i="18"/>
  <c r="DE182" i="18"/>
  <c r="DL272" i="18"/>
  <c r="DM269" i="18"/>
  <c r="DN98" i="18" s="1"/>
  <c r="DD47" i="18"/>
  <c r="DD41" i="18"/>
  <c r="DJ317" i="18"/>
  <c r="DK314" i="18"/>
  <c r="DE164" i="18"/>
  <c r="DH97" i="18"/>
  <c r="DD196" i="18"/>
  <c r="DD52" i="18" s="1"/>
  <c r="DE197" i="18"/>
  <c r="DF132" i="18"/>
  <c r="DF169" i="18"/>
  <c r="DD138" i="18"/>
  <c r="DD122" i="18"/>
  <c r="DF159" i="18"/>
  <c r="DE102" i="18"/>
  <c r="DK353" i="18"/>
  <c r="DL350" i="18"/>
  <c r="DM178" i="18" s="1"/>
  <c r="DI327" i="18"/>
  <c r="DJ324" i="18"/>
  <c r="DE177" i="18"/>
  <c r="DD202" i="18"/>
  <c r="DD58" i="18" s="1"/>
  <c r="DE203" i="18"/>
  <c r="DH348" i="18"/>
  <c r="DI345" i="18"/>
  <c r="DJ175" i="18" s="1"/>
  <c r="DI337" i="18"/>
  <c r="DJ334" i="18"/>
  <c r="DJ403" i="18"/>
  <c r="DK400" i="18"/>
  <c r="DK402" i="18" s="1"/>
  <c r="DF144" i="18"/>
  <c r="DH332" i="18"/>
  <c r="DI329" i="18"/>
  <c r="DI331" i="18" s="1"/>
  <c r="DH342" i="18"/>
  <c r="DI339" i="18"/>
  <c r="DG277" i="18"/>
  <c r="DH274" i="18"/>
  <c r="DH276" i="18" s="1"/>
  <c r="DG227" i="18"/>
  <c r="DF199" i="18" l="1"/>
  <c r="DF57" i="18" s="1"/>
  <c r="DG200" i="18"/>
  <c r="DI373" i="18"/>
  <c r="DJ370" i="18"/>
  <c r="DJ160" i="18"/>
  <c r="DK135" i="18"/>
  <c r="DL216" i="18"/>
  <c r="DK407" i="18"/>
  <c r="DI341" i="18"/>
  <c r="DL387" i="18"/>
  <c r="DJ150" i="18"/>
  <c r="DK316" i="18"/>
  <c r="DL145" i="18"/>
  <c r="DK357" i="18"/>
  <c r="DI198" i="18"/>
  <c r="DJ108" i="18"/>
  <c r="DL352" i="18"/>
  <c r="DK311" i="18"/>
  <c r="DK204" i="18"/>
  <c r="DM271" i="18"/>
  <c r="DJ336" i="18"/>
  <c r="DJ170" i="18"/>
  <c r="DK165" i="18"/>
  <c r="DI347" i="18"/>
  <c r="DI296" i="18"/>
  <c r="DI103" i="18"/>
  <c r="DM141" i="18"/>
  <c r="DK155" i="18"/>
  <c r="DH301" i="18"/>
  <c r="DO213" i="18"/>
  <c r="DJ326" i="18"/>
  <c r="DI306" i="18"/>
  <c r="DA29" i="14"/>
  <c r="DE205" i="18"/>
  <c r="DE55" i="18" s="1"/>
  <c r="DF206" i="18"/>
  <c r="DI342" i="18"/>
  <c r="DJ339" i="18"/>
  <c r="DI332" i="18"/>
  <c r="DJ329" i="18"/>
  <c r="DJ331" i="18" s="1"/>
  <c r="DK403" i="18"/>
  <c r="DL400" i="18"/>
  <c r="DL402" i="18" s="1"/>
  <c r="DF177" i="18"/>
  <c r="DG159" i="18"/>
  <c r="DI97" i="18"/>
  <c r="DF211" i="18"/>
  <c r="DF59" i="18" s="1"/>
  <c r="DG212" i="18"/>
  <c r="DI297" i="18"/>
  <c r="DJ294" i="18"/>
  <c r="DK123" i="18" s="1"/>
  <c r="DP287" i="18"/>
  <c r="DQ284" i="18"/>
  <c r="DL388" i="18"/>
  <c r="DM385" i="18"/>
  <c r="DN207" i="18" s="1"/>
  <c r="DK312" i="18"/>
  <c r="DL309" i="18"/>
  <c r="DM139" i="18" s="1"/>
  <c r="DC173" i="18"/>
  <c r="DC64" i="18" s="1"/>
  <c r="CZ33" i="14" s="1"/>
  <c r="CZ31" i="14" s="1"/>
  <c r="DD174" i="18"/>
  <c r="DF127" i="18"/>
  <c r="DP286" i="18"/>
  <c r="DH302" i="18"/>
  <c r="DI299" i="18"/>
  <c r="DJ128" i="18" s="1"/>
  <c r="DE202" i="18"/>
  <c r="DE58" i="18" s="1"/>
  <c r="DF203" i="18"/>
  <c r="DL353" i="18"/>
  <c r="DM350" i="18"/>
  <c r="DN178" i="18" s="1"/>
  <c r="DE138" i="18"/>
  <c r="DG132" i="18"/>
  <c r="DK317" i="18"/>
  <c r="DL314" i="18"/>
  <c r="DM272" i="18"/>
  <c r="DN269" i="18"/>
  <c r="DO98" i="18" s="1"/>
  <c r="DK408" i="18"/>
  <c r="DL405" i="18"/>
  <c r="DM219" i="18" s="1"/>
  <c r="DK358" i="18"/>
  <c r="DL355" i="18"/>
  <c r="DM183" i="18" s="1"/>
  <c r="DG149" i="18"/>
  <c r="DH277" i="18"/>
  <c r="DI274" i="18"/>
  <c r="DI276" i="18" s="1"/>
  <c r="DH227" i="18"/>
  <c r="DE122" i="18"/>
  <c r="DF164" i="18"/>
  <c r="DF182" i="18"/>
  <c r="DF107" i="18"/>
  <c r="DH378" i="18"/>
  <c r="DI375" i="18"/>
  <c r="DI377" i="18" s="1"/>
  <c r="DJ383" i="18"/>
  <c r="DK380" i="18"/>
  <c r="DK382" i="18" s="1"/>
  <c r="DH154" i="18"/>
  <c r="DI307" i="18"/>
  <c r="DJ304" i="18"/>
  <c r="DK133" i="18" s="1"/>
  <c r="DI282" i="18"/>
  <c r="DJ279" i="18"/>
  <c r="DJ281" i="18" s="1"/>
  <c r="DF217" i="18"/>
  <c r="DG218" i="18"/>
  <c r="DN398" i="18"/>
  <c r="DO395" i="18"/>
  <c r="DO397" i="18" s="1"/>
  <c r="DG144" i="18"/>
  <c r="DI348" i="18"/>
  <c r="DJ345" i="18"/>
  <c r="DK175" i="18" s="1"/>
  <c r="DF102" i="18"/>
  <c r="DJ337" i="18"/>
  <c r="DK334" i="18"/>
  <c r="DJ327" i="18"/>
  <c r="DK324" i="18"/>
  <c r="DG169" i="18"/>
  <c r="DE196" i="18"/>
  <c r="DE52" i="18" s="1"/>
  <c r="DF197" i="18"/>
  <c r="DI322" i="18"/>
  <c r="DJ319" i="18"/>
  <c r="DJ321" i="18" s="1"/>
  <c r="DG214" i="18"/>
  <c r="DG60" i="18" s="1"/>
  <c r="DH215" i="18"/>
  <c r="DE41" i="18"/>
  <c r="DE47" i="18"/>
  <c r="DG199" i="18" l="1"/>
  <c r="DG57" i="18" s="1"/>
  <c r="DH200" i="18"/>
  <c r="DJ373" i="18"/>
  <c r="DK370" i="18"/>
  <c r="DP213" i="18"/>
  <c r="DJ103" i="18"/>
  <c r="DK170" i="18"/>
  <c r="DL311" i="18"/>
  <c r="DL357" i="18"/>
  <c r="DM387" i="18"/>
  <c r="DL135" i="18"/>
  <c r="DI301" i="18"/>
  <c r="DJ296" i="18"/>
  <c r="DK336" i="18"/>
  <c r="DM352" i="18"/>
  <c r="DM145" i="18"/>
  <c r="DJ341" i="18"/>
  <c r="DK160" i="18"/>
  <c r="DJ306" i="18"/>
  <c r="DL155" i="18"/>
  <c r="DJ347" i="18"/>
  <c r="DN271" i="18"/>
  <c r="DK108" i="18"/>
  <c r="DL316" i="18"/>
  <c r="DL407" i="18"/>
  <c r="DK326" i="18"/>
  <c r="DN141" i="18"/>
  <c r="DL165" i="18"/>
  <c r="DL204" i="18"/>
  <c r="DJ198" i="18"/>
  <c r="DK150" i="18"/>
  <c r="DM216" i="18"/>
  <c r="DB29" i="14"/>
  <c r="DF205" i="18"/>
  <c r="DF55" i="18" s="1"/>
  <c r="DG206" i="18"/>
  <c r="DK327" i="18"/>
  <c r="DL324" i="18"/>
  <c r="DK337" i="18"/>
  <c r="DL334" i="18"/>
  <c r="DG102" i="18"/>
  <c r="DJ348" i="18"/>
  <c r="DK345" i="18"/>
  <c r="DL175" i="18" s="1"/>
  <c r="DF41" i="18"/>
  <c r="DF47" i="18"/>
  <c r="DJ282" i="18"/>
  <c r="DK279" i="18"/>
  <c r="DK281" i="18" s="1"/>
  <c r="DK383" i="18"/>
  <c r="DL380" i="18"/>
  <c r="DL382" i="18" s="1"/>
  <c r="DG107" i="18"/>
  <c r="DF122" i="18"/>
  <c r="DL358" i="18"/>
  <c r="DM355" i="18"/>
  <c r="DN183" i="18" s="1"/>
  <c r="DL317" i="18"/>
  <c r="DM314" i="18"/>
  <c r="DL312" i="18"/>
  <c r="DM309" i="18"/>
  <c r="DN139" i="18" s="1"/>
  <c r="DM388" i="18"/>
  <c r="DN385" i="18"/>
  <c r="DO207" i="18" s="1"/>
  <c r="DH214" i="18"/>
  <c r="DH60" i="18" s="1"/>
  <c r="DI215" i="18"/>
  <c r="DJ307" i="18"/>
  <c r="DK304" i="18"/>
  <c r="DL133" i="18" s="1"/>
  <c r="DI154" i="18"/>
  <c r="DH149" i="18"/>
  <c r="DF138" i="18"/>
  <c r="DF202" i="18"/>
  <c r="DF58" i="18" s="1"/>
  <c r="DG203" i="18"/>
  <c r="DD173" i="18"/>
  <c r="DD64" i="18" s="1"/>
  <c r="DA33" i="14" s="1"/>
  <c r="DA31" i="14" s="1"/>
  <c r="DE174" i="18"/>
  <c r="DQ287" i="18"/>
  <c r="DR284" i="18"/>
  <c r="DJ297" i="18"/>
  <c r="DK294" i="18"/>
  <c r="DL123" i="18" s="1"/>
  <c r="DG211" i="18"/>
  <c r="DG59" i="18" s="1"/>
  <c r="DH212" i="18"/>
  <c r="DH159" i="18"/>
  <c r="DG177" i="18"/>
  <c r="DL403" i="18"/>
  <c r="DM400" i="18"/>
  <c r="DM402" i="18" s="1"/>
  <c r="DF196" i="18"/>
  <c r="DF52" i="18" s="1"/>
  <c r="DG197" i="18"/>
  <c r="DJ322" i="18"/>
  <c r="DK319" i="18"/>
  <c r="DK321" i="18" s="1"/>
  <c r="DO398" i="18"/>
  <c r="DP395" i="18"/>
  <c r="DP397" i="18" s="1"/>
  <c r="DG182" i="18"/>
  <c r="DG164" i="18"/>
  <c r="DI277" i="18"/>
  <c r="DJ274" i="18"/>
  <c r="DJ276" i="18" s="1"/>
  <c r="DI227" i="18"/>
  <c r="DN272" i="18"/>
  <c r="DO269" i="18"/>
  <c r="DP98" i="18" s="1"/>
  <c r="DM353" i="18"/>
  <c r="DN350" i="18"/>
  <c r="DO178" i="18" s="1"/>
  <c r="DQ286" i="18"/>
  <c r="DJ332" i="18"/>
  <c r="DK329" i="18"/>
  <c r="DK331" i="18" s="1"/>
  <c r="DJ342" i="18"/>
  <c r="DK339" i="18"/>
  <c r="DH169" i="18"/>
  <c r="DH144" i="18"/>
  <c r="DG217" i="18"/>
  <c r="DH218" i="18"/>
  <c r="DI378" i="18"/>
  <c r="DJ375" i="18"/>
  <c r="DJ377" i="18" s="1"/>
  <c r="DL408" i="18"/>
  <c r="DM405" i="18"/>
  <c r="DN219" i="18" s="1"/>
  <c r="DH132" i="18"/>
  <c r="DI302" i="18"/>
  <c r="DJ299" i="18"/>
  <c r="DK128" i="18" s="1"/>
  <c r="DG127" i="18"/>
  <c r="DJ97" i="18"/>
  <c r="DH199" i="18" l="1"/>
  <c r="DH57" i="18" s="1"/>
  <c r="DI200" i="18"/>
  <c r="DK373" i="18"/>
  <c r="DL370" i="18"/>
  <c r="DK198" i="18"/>
  <c r="DL326" i="18"/>
  <c r="DO271" i="18"/>
  <c r="DL160" i="18"/>
  <c r="DL336" i="18"/>
  <c r="DN387" i="18"/>
  <c r="DK103" i="18"/>
  <c r="DM204" i="18"/>
  <c r="DM407" i="18"/>
  <c r="DK347" i="18"/>
  <c r="DK341" i="18"/>
  <c r="DK296" i="18"/>
  <c r="DM357" i="18"/>
  <c r="DQ213" i="18"/>
  <c r="DN216" i="18"/>
  <c r="DM165" i="18"/>
  <c r="DM316" i="18"/>
  <c r="DM155" i="18"/>
  <c r="DN145" i="18"/>
  <c r="DJ301" i="18"/>
  <c r="DM311" i="18"/>
  <c r="DL150" i="18"/>
  <c r="DO141" i="18"/>
  <c r="DL108" i="18"/>
  <c r="DK306" i="18"/>
  <c r="DN352" i="18"/>
  <c r="DM135" i="18"/>
  <c r="DL170" i="18"/>
  <c r="DC29" i="14"/>
  <c r="DR286" i="18"/>
  <c r="DG205" i="18"/>
  <c r="DG55" i="18" s="1"/>
  <c r="DH206" i="18"/>
  <c r="DJ302" i="18"/>
  <c r="DK299" i="18"/>
  <c r="DL128" i="18" s="1"/>
  <c r="DK342" i="18"/>
  <c r="DL339" i="18"/>
  <c r="DK332" i="18"/>
  <c r="DL329" i="18"/>
  <c r="DL331" i="18" s="1"/>
  <c r="DN353" i="18"/>
  <c r="DO350" i="18"/>
  <c r="DP178" i="18" s="1"/>
  <c r="DJ277" i="18"/>
  <c r="DK274" i="18"/>
  <c r="DK276" i="18" s="1"/>
  <c r="DJ227" i="18"/>
  <c r="DG196" i="18"/>
  <c r="DG52" i="18" s="1"/>
  <c r="DH197" i="18"/>
  <c r="DI159" i="18"/>
  <c r="DI149" i="18"/>
  <c r="DM317" i="18"/>
  <c r="DN314" i="18"/>
  <c r="DH107" i="18"/>
  <c r="DL337" i="18"/>
  <c r="DM334" i="18"/>
  <c r="DJ378" i="18"/>
  <c r="DK375" i="18"/>
  <c r="DK377" i="18" s="1"/>
  <c r="DH217" i="18"/>
  <c r="DI218" i="18"/>
  <c r="DI144" i="18"/>
  <c r="DI169" i="18"/>
  <c r="DH182" i="18"/>
  <c r="DP398" i="18"/>
  <c r="DQ395" i="18"/>
  <c r="DQ397" i="18" s="1"/>
  <c r="DK322" i="18"/>
  <c r="DL319" i="18"/>
  <c r="DL321" i="18" s="1"/>
  <c r="DG202" i="18"/>
  <c r="DG58" i="18" s="1"/>
  <c r="DH203" i="18"/>
  <c r="DJ154" i="18"/>
  <c r="DK307" i="18"/>
  <c r="DL304" i="18"/>
  <c r="DM133" i="18" s="1"/>
  <c r="DI214" i="18"/>
  <c r="DI60" i="18" s="1"/>
  <c r="DJ215" i="18"/>
  <c r="DM358" i="18"/>
  <c r="DN355" i="18"/>
  <c r="DO183" i="18" s="1"/>
  <c r="DL383" i="18"/>
  <c r="DM380" i="18"/>
  <c r="DM382" i="18" s="1"/>
  <c r="DM408" i="18"/>
  <c r="DN405" i="18"/>
  <c r="DO219" i="18" s="1"/>
  <c r="DK97" i="18"/>
  <c r="DH127" i="18"/>
  <c r="DG47" i="18"/>
  <c r="DG41" i="18"/>
  <c r="DH177" i="18"/>
  <c r="DH211" i="18"/>
  <c r="DH59" i="18" s="1"/>
  <c r="DI212" i="18"/>
  <c r="DR287" i="18"/>
  <c r="DS284" i="18"/>
  <c r="DG122" i="18"/>
  <c r="DK282" i="18"/>
  <c r="DL279" i="18"/>
  <c r="DL281" i="18" s="1"/>
  <c r="DH102" i="18"/>
  <c r="DL327" i="18"/>
  <c r="DM324" i="18"/>
  <c r="DI132" i="18"/>
  <c r="DO272" i="18"/>
  <c r="DP269" i="18"/>
  <c r="DQ98" i="18" s="1"/>
  <c r="DH164" i="18"/>
  <c r="DM403" i="18"/>
  <c r="DN400" i="18"/>
  <c r="DN402" i="18" s="1"/>
  <c r="DK297" i="18"/>
  <c r="DL294" i="18"/>
  <c r="DM123" i="18" s="1"/>
  <c r="DE173" i="18"/>
  <c r="DE64" i="18" s="1"/>
  <c r="DB33" i="14" s="1"/>
  <c r="DB31" i="14" s="1"/>
  <c r="DF174" i="18"/>
  <c r="DG138" i="18"/>
  <c r="DN388" i="18"/>
  <c r="DO385" i="18"/>
  <c r="DP207" i="18" s="1"/>
  <c r="DM312" i="18"/>
  <c r="DN309" i="18"/>
  <c r="DO139" i="18" s="1"/>
  <c r="DK348" i="18"/>
  <c r="DL345" i="18"/>
  <c r="DM175" i="18" s="1"/>
  <c r="DI199" i="18" l="1"/>
  <c r="DI57" i="18" s="1"/>
  <c r="DJ200" i="18"/>
  <c r="DL373" i="18"/>
  <c r="DM370" i="18"/>
  <c r="DD29" i="14"/>
  <c r="DM170" i="18"/>
  <c r="DO352" i="18"/>
  <c r="DM150" i="18"/>
  <c r="DN155" i="18"/>
  <c r="DR213" i="18"/>
  <c r="DL347" i="18"/>
  <c r="DO387" i="18"/>
  <c r="DM326" i="18"/>
  <c r="DL306" i="18"/>
  <c r="DN311" i="18"/>
  <c r="DN316" i="18"/>
  <c r="DN357" i="18"/>
  <c r="DN407" i="18"/>
  <c r="DM336" i="18"/>
  <c r="DL198" i="18"/>
  <c r="DM108" i="18"/>
  <c r="DK301" i="18"/>
  <c r="DN165" i="18"/>
  <c r="DL296" i="18"/>
  <c r="DN204" i="18"/>
  <c r="DM160" i="18"/>
  <c r="DN135" i="18"/>
  <c r="DP141" i="18"/>
  <c r="DO145" i="18"/>
  <c r="DO216" i="18"/>
  <c r="DL341" i="18"/>
  <c r="DL103" i="18"/>
  <c r="DP271" i="18"/>
  <c r="DS286" i="18"/>
  <c r="DH205" i="18"/>
  <c r="DH55" i="18" s="1"/>
  <c r="DI206" i="18"/>
  <c r="DN312" i="18"/>
  <c r="DO309" i="18"/>
  <c r="DP139" i="18" s="1"/>
  <c r="DN403" i="18"/>
  <c r="DO400" i="18"/>
  <c r="DO402" i="18" s="1"/>
  <c r="DH122" i="18"/>
  <c r="DJ144" i="18"/>
  <c r="DM337" i="18"/>
  <c r="DN334" i="18"/>
  <c r="DI164" i="18"/>
  <c r="DP272" i="18"/>
  <c r="DQ269" i="18"/>
  <c r="DR98" i="18" s="1"/>
  <c r="DJ132" i="18"/>
  <c r="DM327" i="18"/>
  <c r="DN324" i="18"/>
  <c r="DI102" i="18"/>
  <c r="DL282" i="18"/>
  <c r="DM279" i="18"/>
  <c r="DM281" i="18" s="1"/>
  <c r="DI127" i="18"/>
  <c r="DL307" i="18"/>
  <c r="DM304" i="18"/>
  <c r="DN133" i="18" s="1"/>
  <c r="DH202" i="18"/>
  <c r="DH58" i="18" s="1"/>
  <c r="DI203" i="18"/>
  <c r="DL322" i="18"/>
  <c r="DM319" i="18"/>
  <c r="DM321" i="18" s="1"/>
  <c r="DI182" i="18"/>
  <c r="DJ149" i="18"/>
  <c r="DH196" i="18"/>
  <c r="DH52" i="18" s="1"/>
  <c r="DI197" i="18"/>
  <c r="DK277" i="18"/>
  <c r="DL274" i="18"/>
  <c r="DL276" i="18" s="1"/>
  <c r="DK227" i="18"/>
  <c r="DO353" i="18"/>
  <c r="DP350" i="18"/>
  <c r="DQ178" i="18" s="1"/>
  <c r="DL342" i="18"/>
  <c r="DM339" i="18"/>
  <c r="DK302" i="18"/>
  <c r="DL299" i="18"/>
  <c r="DM128" i="18" s="1"/>
  <c r="DO388" i="18"/>
  <c r="DP385" i="18"/>
  <c r="DQ207" i="18" s="1"/>
  <c r="DL297" i="18"/>
  <c r="DM294" i="18"/>
  <c r="DN123" i="18" s="1"/>
  <c r="DI211" i="18"/>
  <c r="DI59" i="18" s="1"/>
  <c r="DJ212" i="18"/>
  <c r="DN408" i="18"/>
  <c r="DO405" i="18"/>
  <c r="DP219" i="18" s="1"/>
  <c r="DJ214" i="18"/>
  <c r="DJ60" i="18" s="1"/>
  <c r="DK215" i="18"/>
  <c r="DQ398" i="18"/>
  <c r="DR395" i="18"/>
  <c r="DR397" i="18" s="1"/>
  <c r="DJ169" i="18"/>
  <c r="DI217" i="18"/>
  <c r="DJ218" i="18"/>
  <c r="DI177" i="18"/>
  <c r="DK154" i="18"/>
  <c r="DH138" i="18"/>
  <c r="DL348" i="18"/>
  <c r="DM345" i="18"/>
  <c r="DN175" i="18" s="1"/>
  <c r="DF173" i="18"/>
  <c r="DF64" i="18" s="1"/>
  <c r="DC33" i="14" s="1"/>
  <c r="DC31" i="14" s="1"/>
  <c r="DG174" i="18"/>
  <c r="DS287" i="18"/>
  <c r="DT284" i="18"/>
  <c r="DL97" i="18"/>
  <c r="DM383" i="18"/>
  <c r="DN380" i="18"/>
  <c r="DN382" i="18" s="1"/>
  <c r="DN358" i="18"/>
  <c r="DO355" i="18"/>
  <c r="DP183" i="18" s="1"/>
  <c r="DH47" i="18"/>
  <c r="DH41" i="18"/>
  <c r="DK378" i="18"/>
  <c r="DL375" i="18"/>
  <c r="DL377" i="18" s="1"/>
  <c r="DI107" i="18"/>
  <c r="DN317" i="18"/>
  <c r="DO314" i="18"/>
  <c r="DJ159" i="18"/>
  <c r="DL332" i="18"/>
  <c r="DM329" i="18"/>
  <c r="DM331" i="18" s="1"/>
  <c r="DN170" i="18" l="1"/>
  <c r="DJ199" i="18"/>
  <c r="DJ57" i="18" s="1"/>
  <c r="DK200" i="18"/>
  <c r="DM373" i="18"/>
  <c r="DN370" i="18"/>
  <c r="DM341" i="18"/>
  <c r="DO135" i="18"/>
  <c r="DO165" i="18"/>
  <c r="DM198" i="18"/>
  <c r="DO316" i="18"/>
  <c r="DP387" i="18"/>
  <c r="DN150" i="18"/>
  <c r="DP216" i="18"/>
  <c r="DN160" i="18"/>
  <c r="DL301" i="18"/>
  <c r="DN336" i="18"/>
  <c r="DO311" i="18"/>
  <c r="DM347" i="18"/>
  <c r="DP352" i="18"/>
  <c r="DQ271" i="18"/>
  <c r="DP145" i="18"/>
  <c r="DO204" i="18"/>
  <c r="DN108" i="18"/>
  <c r="DO407" i="18"/>
  <c r="DM306" i="18"/>
  <c r="DS213" i="18"/>
  <c r="DM103" i="18"/>
  <c r="DQ141" i="18"/>
  <c r="DM296" i="18"/>
  <c r="DO357" i="18"/>
  <c r="DN326" i="18"/>
  <c r="DO155" i="18"/>
  <c r="DE29" i="14"/>
  <c r="DJ206" i="18"/>
  <c r="DI205" i="18"/>
  <c r="DI55" i="18" s="1"/>
  <c r="DT287" i="18"/>
  <c r="DU284" i="18"/>
  <c r="DL154" i="18"/>
  <c r="DI41" i="18"/>
  <c r="DI47" i="18"/>
  <c r="DJ211" i="18"/>
  <c r="DJ59" i="18" s="1"/>
  <c r="DK212" i="18"/>
  <c r="DM297" i="18"/>
  <c r="DN294" i="18"/>
  <c r="DO123" i="18" s="1"/>
  <c r="DM342" i="18"/>
  <c r="DN339" i="18"/>
  <c r="DI196" i="18"/>
  <c r="DI52" i="18" s="1"/>
  <c r="DJ197" i="18"/>
  <c r="DJ182" i="18"/>
  <c r="DJ127" i="18"/>
  <c r="DJ102" i="18"/>
  <c r="DK132" i="18"/>
  <c r="DI122" i="18"/>
  <c r="DO312" i="18"/>
  <c r="DP309" i="18"/>
  <c r="DQ139" i="18" s="1"/>
  <c r="DJ107" i="18"/>
  <c r="DM97" i="18"/>
  <c r="DG173" i="18"/>
  <c r="DG64" i="18" s="1"/>
  <c r="DD33" i="14" s="1"/>
  <c r="DD31" i="14" s="1"/>
  <c r="DH174" i="18"/>
  <c r="DK169" i="18"/>
  <c r="DL277" i="18"/>
  <c r="DM274" i="18"/>
  <c r="DM276" i="18" s="1"/>
  <c r="DL227" i="18"/>
  <c r="DM282" i="18"/>
  <c r="DN279" i="18"/>
  <c r="DN281" i="18" s="1"/>
  <c r="DN327" i="18"/>
  <c r="DO324" i="18"/>
  <c r="DQ272" i="18"/>
  <c r="DR269" i="18"/>
  <c r="DS98" i="18" s="1"/>
  <c r="DJ164" i="18"/>
  <c r="DO403" i="18"/>
  <c r="DP400" i="18"/>
  <c r="DP402" i="18" s="1"/>
  <c r="DM332" i="18"/>
  <c r="DN329" i="18"/>
  <c r="DN331" i="18" s="1"/>
  <c r="DO317" i="18"/>
  <c r="DP314" i="18"/>
  <c r="DI138" i="18"/>
  <c r="DJ177" i="18"/>
  <c r="DK149" i="18"/>
  <c r="DI202" i="18"/>
  <c r="DI58" i="18" s="1"/>
  <c r="DJ203" i="18"/>
  <c r="DT286" i="18"/>
  <c r="DK144" i="18"/>
  <c r="DK159" i="18"/>
  <c r="DL378" i="18"/>
  <c r="DM375" i="18"/>
  <c r="DM377" i="18" s="1"/>
  <c r="DO358" i="18"/>
  <c r="DP355" i="18"/>
  <c r="DQ183" i="18" s="1"/>
  <c r="DN383" i="18"/>
  <c r="DO380" i="18"/>
  <c r="DO382" i="18" s="1"/>
  <c r="DM348" i="18"/>
  <c r="DN345" i="18"/>
  <c r="DO175" i="18" s="1"/>
  <c r="DJ217" i="18"/>
  <c r="DK218" i="18"/>
  <c r="DR398" i="18"/>
  <c r="DS395" i="18"/>
  <c r="DS397" i="18" s="1"/>
  <c r="DK214" i="18"/>
  <c r="DK60" i="18" s="1"/>
  <c r="DL215" i="18"/>
  <c r="DO408" i="18"/>
  <c r="DP405" i="18"/>
  <c r="DQ219" i="18" s="1"/>
  <c r="DP388" i="18"/>
  <c r="DQ385" i="18"/>
  <c r="DR207" i="18" s="1"/>
  <c r="DL302" i="18"/>
  <c r="DM299" i="18"/>
  <c r="DN128" i="18" s="1"/>
  <c r="DP353" i="18"/>
  <c r="DQ350" i="18"/>
  <c r="DR178" i="18" s="1"/>
  <c r="DM322" i="18"/>
  <c r="DN319" i="18"/>
  <c r="DN321" i="18" s="1"/>
  <c r="DM307" i="18"/>
  <c r="DN304" i="18"/>
  <c r="DO133" i="18" s="1"/>
  <c r="DN337" i="18"/>
  <c r="DO334" i="18"/>
  <c r="DO170" i="18" l="1"/>
  <c r="DK199" i="18"/>
  <c r="DK57" i="18" s="1"/>
  <c r="DL200" i="18"/>
  <c r="DN373" i="18"/>
  <c r="DO370" i="18"/>
  <c r="DP357" i="18"/>
  <c r="DT213" i="18"/>
  <c r="DP204" i="18"/>
  <c r="DN347" i="18"/>
  <c r="DO160" i="18"/>
  <c r="DP316" i="18"/>
  <c r="DN341" i="18"/>
  <c r="DN296" i="18"/>
  <c r="DN306" i="18"/>
  <c r="DQ145" i="18"/>
  <c r="DP311" i="18"/>
  <c r="DQ216" i="18"/>
  <c r="DN198" i="18"/>
  <c r="DP155" i="18"/>
  <c r="DR141" i="18"/>
  <c r="DP407" i="18"/>
  <c r="DR271" i="18"/>
  <c r="DO336" i="18"/>
  <c r="DO150" i="18"/>
  <c r="DP165" i="18"/>
  <c r="DO326" i="18"/>
  <c r="DN103" i="18"/>
  <c r="DO108" i="18"/>
  <c r="DQ352" i="18"/>
  <c r="DM301" i="18"/>
  <c r="DQ387" i="18"/>
  <c r="DP135" i="18"/>
  <c r="DU286" i="18"/>
  <c r="DF29" i="14"/>
  <c r="DJ205" i="18"/>
  <c r="DJ55" i="18" s="1"/>
  <c r="DK206" i="18"/>
  <c r="DP408" i="18"/>
  <c r="DQ405" i="18"/>
  <c r="DR219" i="18" s="1"/>
  <c r="DQ388" i="18"/>
  <c r="DR385" i="18"/>
  <c r="DS207" i="18" s="1"/>
  <c r="DL144" i="18"/>
  <c r="DJ138" i="18"/>
  <c r="DN282" i="18"/>
  <c r="DO279" i="18"/>
  <c r="DO281" i="18" s="1"/>
  <c r="DM277" i="18"/>
  <c r="DN274" i="18"/>
  <c r="DN276" i="18" s="1"/>
  <c r="DM227" i="18"/>
  <c r="DH173" i="18"/>
  <c r="DH64" i="18" s="1"/>
  <c r="DE33" i="14" s="1"/>
  <c r="DE31" i="14" s="1"/>
  <c r="DI174" i="18"/>
  <c r="DK107" i="18"/>
  <c r="DP312" i="18"/>
  <c r="DQ309" i="18"/>
  <c r="DR139" i="18" s="1"/>
  <c r="DM302" i="18"/>
  <c r="DN299" i="18"/>
  <c r="DO128" i="18" s="1"/>
  <c r="DO337" i="18"/>
  <c r="DP334" i="18"/>
  <c r="DN322" i="18"/>
  <c r="DO319" i="18"/>
  <c r="DO321" i="18" s="1"/>
  <c r="DK217" i="18"/>
  <c r="DL218" i="18"/>
  <c r="DO383" i="18"/>
  <c r="DP380" i="18"/>
  <c r="DP382" i="18" s="1"/>
  <c r="DL159" i="18"/>
  <c r="DJ202" i="18"/>
  <c r="DJ58" i="18" s="1"/>
  <c r="DK203" i="18"/>
  <c r="DK164" i="18"/>
  <c r="DR272" i="18"/>
  <c r="DS269" i="18"/>
  <c r="DT98" i="18" s="1"/>
  <c r="DJ122" i="18"/>
  <c r="DK102" i="18"/>
  <c r="DK182" i="18"/>
  <c r="DL214" i="18"/>
  <c r="DL60" i="18" s="1"/>
  <c r="DM215" i="18"/>
  <c r="DS398" i="18"/>
  <c r="DT395" i="18"/>
  <c r="DT397" i="18" s="1"/>
  <c r="DJ47" i="18"/>
  <c r="DJ41" i="18"/>
  <c r="DN348" i="18"/>
  <c r="DO345" i="18"/>
  <c r="DP175" i="18" s="1"/>
  <c r="DP358" i="18"/>
  <c r="DQ355" i="18"/>
  <c r="DR183" i="18" s="1"/>
  <c r="DM378" i="18"/>
  <c r="DN375" i="18"/>
  <c r="DN377" i="18" s="1"/>
  <c r="DK177" i="18"/>
  <c r="DP317" i="18"/>
  <c r="DQ314" i="18"/>
  <c r="DN332" i="18"/>
  <c r="DO329" i="18"/>
  <c r="DO331" i="18" s="1"/>
  <c r="DP403" i="18"/>
  <c r="DQ400" i="18"/>
  <c r="DQ402" i="18" s="1"/>
  <c r="DN97" i="18"/>
  <c r="DK211" i="18"/>
  <c r="DK59" i="18" s="1"/>
  <c r="DL212" i="18"/>
  <c r="DU287" i="18"/>
  <c r="DV284" i="18"/>
  <c r="DN307" i="18"/>
  <c r="DO304" i="18"/>
  <c r="DP133" i="18" s="1"/>
  <c r="DQ353" i="18"/>
  <c r="DR350" i="18"/>
  <c r="DS178" i="18" s="1"/>
  <c r="DL149" i="18"/>
  <c r="DO327" i="18"/>
  <c r="DP324" i="18"/>
  <c r="DL169" i="18"/>
  <c r="DL132" i="18"/>
  <c r="DK127" i="18"/>
  <c r="DJ196" i="18"/>
  <c r="DJ52" i="18" s="1"/>
  <c r="DK197" i="18"/>
  <c r="DN342" i="18"/>
  <c r="DO339" i="18"/>
  <c r="DP170" i="18" s="1"/>
  <c r="DN297" i="18"/>
  <c r="DO294" i="18"/>
  <c r="DP123" i="18" s="1"/>
  <c r="DM154" i="18"/>
  <c r="DL199" i="18" l="1"/>
  <c r="DL57" i="18" s="1"/>
  <c r="DM200" i="18"/>
  <c r="DO373" i="18"/>
  <c r="DP370" i="18"/>
  <c r="DG29" i="14"/>
  <c r="DN301" i="18"/>
  <c r="DP326" i="18"/>
  <c r="DS271" i="18"/>
  <c r="DO198" i="18"/>
  <c r="DO306" i="18"/>
  <c r="DP160" i="18"/>
  <c r="DQ357" i="18"/>
  <c r="DR352" i="18"/>
  <c r="DQ165" i="18"/>
  <c r="DQ407" i="18"/>
  <c r="DR216" i="18"/>
  <c r="DO296" i="18"/>
  <c r="DO347" i="18"/>
  <c r="DQ135" i="18"/>
  <c r="DP108" i="18"/>
  <c r="DP150" i="18"/>
  <c r="DS141" i="18"/>
  <c r="DQ311" i="18"/>
  <c r="DO341" i="18"/>
  <c r="DQ204" i="18"/>
  <c r="DR387" i="18"/>
  <c r="DO103" i="18"/>
  <c r="DP336" i="18"/>
  <c r="DQ155" i="18"/>
  <c r="DR145" i="18"/>
  <c r="DQ316" i="18"/>
  <c r="DU213" i="18"/>
  <c r="DK205" i="18"/>
  <c r="DK55" i="18" s="1"/>
  <c r="DL206" i="18"/>
  <c r="DP327" i="18"/>
  <c r="DQ324" i="18"/>
  <c r="DO307" i="18"/>
  <c r="DP304" i="18"/>
  <c r="DQ133" i="18" s="1"/>
  <c r="DT398" i="18"/>
  <c r="DU395" i="18"/>
  <c r="DU397" i="18" s="1"/>
  <c r="DS272" i="18"/>
  <c r="DT269" i="18"/>
  <c r="DU98" i="18" s="1"/>
  <c r="DL164" i="18"/>
  <c r="DK202" i="18"/>
  <c r="DK58" i="18" s="1"/>
  <c r="DL203" i="18"/>
  <c r="DP337" i="18"/>
  <c r="DQ334" i="18"/>
  <c r="DL107" i="18"/>
  <c r="DR388" i="18"/>
  <c r="DS385" i="18"/>
  <c r="DT207" i="18" s="1"/>
  <c r="DQ408" i="18"/>
  <c r="DR405" i="18"/>
  <c r="DS219" i="18" s="1"/>
  <c r="DM132" i="18"/>
  <c r="DM169" i="18"/>
  <c r="DM149" i="18"/>
  <c r="DR353" i="18"/>
  <c r="DS350" i="18"/>
  <c r="DT178" i="18" s="1"/>
  <c r="DQ403" i="18"/>
  <c r="DR400" i="18"/>
  <c r="DR402" i="18" s="1"/>
  <c r="DQ317" i="18"/>
  <c r="DR314" i="18"/>
  <c r="DL182" i="18"/>
  <c r="DQ312" i="18"/>
  <c r="DR309" i="18"/>
  <c r="DS139" i="18" s="1"/>
  <c r="DO282" i="18"/>
  <c r="DP279" i="18"/>
  <c r="DP281" i="18" s="1"/>
  <c r="DK196" i="18"/>
  <c r="DK52" i="18" s="1"/>
  <c r="DL197" i="18"/>
  <c r="DV287" i="18"/>
  <c r="DW284" i="18"/>
  <c r="DL177" i="18"/>
  <c r="DV286" i="18"/>
  <c r="DQ358" i="18"/>
  <c r="DR355" i="18"/>
  <c r="DS183" i="18" s="1"/>
  <c r="DO348" i="18"/>
  <c r="DP345" i="18"/>
  <c r="DQ175" i="18" s="1"/>
  <c r="DL217" i="18"/>
  <c r="DM218" i="18"/>
  <c r="DO322" i="18"/>
  <c r="DP319" i="18"/>
  <c r="DP321" i="18" s="1"/>
  <c r="DI173" i="18"/>
  <c r="DI64" i="18" s="1"/>
  <c r="DF33" i="14" s="1"/>
  <c r="DF31" i="14" s="1"/>
  <c r="DJ174" i="18"/>
  <c r="DN277" i="18"/>
  <c r="DO274" i="18"/>
  <c r="DO276" i="18" s="1"/>
  <c r="DN227" i="18"/>
  <c r="DK138" i="18"/>
  <c r="DM144" i="18"/>
  <c r="DO297" i="18"/>
  <c r="DP294" i="18"/>
  <c r="DQ123" i="18" s="1"/>
  <c r="DO342" i="18"/>
  <c r="DP339" i="18"/>
  <c r="DQ170" i="18" s="1"/>
  <c r="DN154" i="18"/>
  <c r="DL127" i="18"/>
  <c r="DL211" i="18"/>
  <c r="DL59" i="18" s="1"/>
  <c r="DM212" i="18"/>
  <c r="DO97" i="18"/>
  <c r="DO332" i="18"/>
  <c r="DP329" i="18"/>
  <c r="DP331" i="18" s="1"/>
  <c r="DN378" i="18"/>
  <c r="DO375" i="18"/>
  <c r="DO377" i="18" s="1"/>
  <c r="DM214" i="18"/>
  <c r="DM60" i="18" s="1"/>
  <c r="DN215" i="18"/>
  <c r="DL102" i="18"/>
  <c r="DK122" i="18"/>
  <c r="DM159" i="18"/>
  <c r="DP383" i="18"/>
  <c r="DQ380" i="18"/>
  <c r="DQ382" i="18" s="1"/>
  <c r="DK41" i="18"/>
  <c r="DK47" i="18"/>
  <c r="DN302" i="18"/>
  <c r="DO299" i="18"/>
  <c r="DP128" i="18" s="1"/>
  <c r="DM199" i="18" l="1"/>
  <c r="DM57" i="18" s="1"/>
  <c r="DN200" i="18"/>
  <c r="DP373" i="18"/>
  <c r="DQ370" i="18"/>
  <c r="DS145" i="18"/>
  <c r="DS387" i="18"/>
  <c r="DT141" i="18"/>
  <c r="DP347" i="18"/>
  <c r="DR165" i="18"/>
  <c r="DP306" i="18"/>
  <c r="DO301" i="18"/>
  <c r="DR155" i="18"/>
  <c r="DR204" i="18"/>
  <c r="DQ150" i="18"/>
  <c r="DP296" i="18"/>
  <c r="DS352" i="18"/>
  <c r="DP198" i="18"/>
  <c r="DV213" i="18"/>
  <c r="DQ336" i="18"/>
  <c r="DP341" i="18"/>
  <c r="DQ108" i="18"/>
  <c r="DS216" i="18"/>
  <c r="DR357" i="18"/>
  <c r="DT271" i="18"/>
  <c r="DR316" i="18"/>
  <c r="DP103" i="18"/>
  <c r="DR311" i="18"/>
  <c r="DR135" i="18"/>
  <c r="DR407" i="18"/>
  <c r="DQ160" i="18"/>
  <c r="DQ326" i="18"/>
  <c r="DH29" i="14"/>
  <c r="DL205" i="18"/>
  <c r="DL55" i="18" s="1"/>
  <c r="DM206" i="18"/>
  <c r="DM102" i="18"/>
  <c r="DM211" i="18"/>
  <c r="DM59" i="18" s="1"/>
  <c r="DN212" i="18"/>
  <c r="DO154" i="18"/>
  <c r="DP342" i="18"/>
  <c r="DQ339" i="18"/>
  <c r="DR170" i="18" s="1"/>
  <c r="DP297" i="18"/>
  <c r="DQ294" i="18"/>
  <c r="DR123" i="18" s="1"/>
  <c r="DL138" i="18"/>
  <c r="DP322" i="18"/>
  <c r="DQ319" i="18"/>
  <c r="DQ321" i="18" s="1"/>
  <c r="DM217" i="18"/>
  <c r="DN218" i="18"/>
  <c r="DP348" i="18"/>
  <c r="DQ345" i="18"/>
  <c r="DR175" i="18" s="1"/>
  <c r="DR312" i="18"/>
  <c r="DS309" i="18"/>
  <c r="DT139" i="18" s="1"/>
  <c r="DN149" i="18"/>
  <c r="DN132" i="18"/>
  <c r="DT272" i="18"/>
  <c r="DU269" i="18"/>
  <c r="DV98" i="18" s="1"/>
  <c r="DP332" i="18"/>
  <c r="DQ329" i="18"/>
  <c r="DQ331" i="18" s="1"/>
  <c r="DL47" i="18"/>
  <c r="DL41" i="18"/>
  <c r="DW287" i="18"/>
  <c r="DX284" i="18"/>
  <c r="DP282" i="18"/>
  <c r="DQ279" i="18"/>
  <c r="DQ281" i="18" s="1"/>
  <c r="DM182" i="18"/>
  <c r="DR317" i="18"/>
  <c r="DS314" i="18"/>
  <c r="DR403" i="18"/>
  <c r="DS400" i="18"/>
  <c r="DS402" i="18" s="1"/>
  <c r="DS353" i="18"/>
  <c r="DT350" i="18"/>
  <c r="DU178" i="18" s="1"/>
  <c r="DL202" i="18"/>
  <c r="DL58" i="18" s="1"/>
  <c r="DM203" i="18"/>
  <c r="DU398" i="18"/>
  <c r="DV395" i="18"/>
  <c r="DV397" i="18" s="1"/>
  <c r="DN159" i="18"/>
  <c r="DN214" i="18"/>
  <c r="DN60" i="18" s="1"/>
  <c r="DO215" i="18"/>
  <c r="DO378" i="18"/>
  <c r="DP375" i="18"/>
  <c r="DP377" i="18" s="1"/>
  <c r="DP97" i="18"/>
  <c r="DM127" i="18"/>
  <c r="DN144" i="18"/>
  <c r="DJ173" i="18"/>
  <c r="DJ64" i="18" s="1"/>
  <c r="DG33" i="14" s="1"/>
  <c r="DG31" i="14" s="1"/>
  <c r="DK174" i="18"/>
  <c r="DW286" i="18"/>
  <c r="DN169" i="18"/>
  <c r="DR408" i="18"/>
  <c r="DS405" i="18"/>
  <c r="DT219" i="18" s="1"/>
  <c r="DQ337" i="18"/>
  <c r="DR334" i="18"/>
  <c r="DO302" i="18"/>
  <c r="DP299" i="18"/>
  <c r="DQ128" i="18" s="1"/>
  <c r="DL122" i="18"/>
  <c r="DQ383" i="18"/>
  <c r="DR380" i="18"/>
  <c r="DR382" i="18" s="1"/>
  <c r="DO277" i="18"/>
  <c r="DP274" i="18"/>
  <c r="DP276" i="18" s="1"/>
  <c r="DO227" i="18"/>
  <c r="DR358" i="18"/>
  <c r="DS355" i="18"/>
  <c r="DT183" i="18" s="1"/>
  <c r="DM177" i="18"/>
  <c r="DL196" i="18"/>
  <c r="DL52" i="18" s="1"/>
  <c r="DM197" i="18"/>
  <c r="DS388" i="18"/>
  <c r="DT385" i="18"/>
  <c r="DU207" i="18" s="1"/>
  <c r="DM107" i="18"/>
  <c r="DM164" i="18"/>
  <c r="DP307" i="18"/>
  <c r="DQ304" i="18"/>
  <c r="DR133" i="18" s="1"/>
  <c r="DQ327" i="18"/>
  <c r="DR324" i="18"/>
  <c r="DN199" i="18" l="1"/>
  <c r="DN57" i="18" s="1"/>
  <c r="DO200" i="18"/>
  <c r="DQ373" i="18"/>
  <c r="DR370" i="18"/>
  <c r="DS407" i="18"/>
  <c r="DS316" i="18"/>
  <c r="DR108" i="18"/>
  <c r="DQ198" i="18"/>
  <c r="DS204" i="18"/>
  <c r="DS165" i="18"/>
  <c r="DT145" i="18"/>
  <c r="DS135" i="18"/>
  <c r="DU271" i="18"/>
  <c r="DQ341" i="18"/>
  <c r="DT352" i="18"/>
  <c r="DS155" i="18"/>
  <c r="DQ347" i="18"/>
  <c r="DR326" i="18"/>
  <c r="DS311" i="18"/>
  <c r="DS357" i="18"/>
  <c r="DR336" i="18"/>
  <c r="DQ296" i="18"/>
  <c r="DP301" i="18"/>
  <c r="DU141" i="18"/>
  <c r="DR160" i="18"/>
  <c r="DQ103" i="18"/>
  <c r="DT216" i="18"/>
  <c r="DW213" i="18"/>
  <c r="DR150" i="18"/>
  <c r="DQ306" i="18"/>
  <c r="DT387" i="18"/>
  <c r="DX286" i="18"/>
  <c r="DI29" i="14"/>
  <c r="DM205" i="18"/>
  <c r="DM55" i="18" s="1"/>
  <c r="DN206" i="18"/>
  <c r="DM196" i="18"/>
  <c r="DM52" i="18" s="1"/>
  <c r="DN197" i="18"/>
  <c r="DO169" i="18"/>
  <c r="DK173" i="18"/>
  <c r="DK64" i="18" s="1"/>
  <c r="DH33" i="14" s="1"/>
  <c r="DH31" i="14" s="1"/>
  <c r="DL174" i="18"/>
  <c r="DN127" i="18"/>
  <c r="DP378" i="18"/>
  <c r="DQ375" i="18"/>
  <c r="DQ377" i="18" s="1"/>
  <c r="DT353" i="18"/>
  <c r="DU350" i="18"/>
  <c r="DV178" i="18" s="1"/>
  <c r="DN182" i="18"/>
  <c r="DQ297" i="18"/>
  <c r="DR294" i="18"/>
  <c r="DS123" i="18" s="1"/>
  <c r="DQ342" i="18"/>
  <c r="DR339" i="18"/>
  <c r="DS170" i="18" s="1"/>
  <c r="DP277" i="18"/>
  <c r="DQ274" i="18"/>
  <c r="DQ276" i="18" s="1"/>
  <c r="DP227" i="18"/>
  <c r="DR337" i="18"/>
  <c r="DS334" i="18"/>
  <c r="DS408" i="18"/>
  <c r="DT405" i="18"/>
  <c r="DU219" i="18" s="1"/>
  <c r="DO159" i="18"/>
  <c r="DM202" i="18"/>
  <c r="DM58" i="18" s="1"/>
  <c r="DN203" i="18"/>
  <c r="DS403" i="18"/>
  <c r="DT400" i="18"/>
  <c r="DT402" i="18" s="1"/>
  <c r="DX287" i="18"/>
  <c r="DY284" i="18"/>
  <c r="DU272" i="18"/>
  <c r="DV269" i="18"/>
  <c r="DW98" i="18" s="1"/>
  <c r="DO132" i="18"/>
  <c r="DS312" i="18"/>
  <c r="DT309" i="18"/>
  <c r="DU139" i="18" s="1"/>
  <c r="DQ322" i="18"/>
  <c r="DR319" i="18"/>
  <c r="DR321" i="18" s="1"/>
  <c r="DN211" i="18"/>
  <c r="DN59" i="18" s="1"/>
  <c r="DO212" i="18"/>
  <c r="DR327" i="18"/>
  <c r="DS324" i="18"/>
  <c r="DN177" i="18"/>
  <c r="DN164" i="18"/>
  <c r="DP302" i="18"/>
  <c r="DQ299" i="18"/>
  <c r="DR128" i="18" s="1"/>
  <c r="DO144" i="18"/>
  <c r="DQ97" i="18"/>
  <c r="DV398" i="18"/>
  <c r="DW395" i="18"/>
  <c r="DW397" i="18" s="1"/>
  <c r="DQ348" i="18"/>
  <c r="DR345" i="18"/>
  <c r="DS175" i="18" s="1"/>
  <c r="DN217" i="18"/>
  <c r="DO218" i="18"/>
  <c r="DM138" i="18"/>
  <c r="DN107" i="18"/>
  <c r="DQ307" i="18"/>
  <c r="DR304" i="18"/>
  <c r="DS133" i="18" s="1"/>
  <c r="DT388" i="18"/>
  <c r="DU385" i="18"/>
  <c r="DV207" i="18" s="1"/>
  <c r="DS358" i="18"/>
  <c r="DT355" i="18"/>
  <c r="DU183" i="18" s="1"/>
  <c r="DR383" i="18"/>
  <c r="DS380" i="18"/>
  <c r="DS382" i="18" s="1"/>
  <c r="DM122" i="18"/>
  <c r="DO214" i="18"/>
  <c r="DO60" i="18" s="1"/>
  <c r="DP215" i="18"/>
  <c r="DS317" i="18"/>
  <c r="DT314" i="18"/>
  <c r="DQ282" i="18"/>
  <c r="DR279" i="18"/>
  <c r="DR281" i="18" s="1"/>
  <c r="DQ332" i="18"/>
  <c r="DR329" i="18"/>
  <c r="DR331" i="18" s="1"/>
  <c r="DO149" i="18"/>
  <c r="DM47" i="18"/>
  <c r="DM41" i="18"/>
  <c r="DP154" i="18"/>
  <c r="DN102" i="18"/>
  <c r="DO199" i="18" l="1"/>
  <c r="DO57" i="18" s="1"/>
  <c r="DP200" i="18"/>
  <c r="DR373" i="18"/>
  <c r="DS370" i="18"/>
  <c r="DJ29" i="14"/>
  <c r="DS150" i="18"/>
  <c r="DS160" i="18"/>
  <c r="DS336" i="18"/>
  <c r="DR347" i="18"/>
  <c r="DV271" i="18"/>
  <c r="DT204" i="18"/>
  <c r="DT407" i="18"/>
  <c r="DX213" i="18"/>
  <c r="DV141" i="18"/>
  <c r="DT357" i="18"/>
  <c r="DT155" i="18"/>
  <c r="DT135" i="18"/>
  <c r="DR198" i="18"/>
  <c r="DU387" i="18"/>
  <c r="DU216" i="18"/>
  <c r="DQ301" i="18"/>
  <c r="DT311" i="18"/>
  <c r="DU352" i="18"/>
  <c r="DU145" i="18"/>
  <c r="DS108" i="18"/>
  <c r="DR306" i="18"/>
  <c r="DR103" i="18"/>
  <c r="DR296" i="18"/>
  <c r="DS326" i="18"/>
  <c r="DR341" i="18"/>
  <c r="DT165" i="18"/>
  <c r="DT316" i="18"/>
  <c r="DN205" i="18"/>
  <c r="DN55" i="18" s="1"/>
  <c r="DO206" i="18"/>
  <c r="DR332" i="18"/>
  <c r="DS329" i="18"/>
  <c r="DS331" i="18" s="1"/>
  <c r="DQ154" i="18"/>
  <c r="DT358" i="18"/>
  <c r="DU355" i="18"/>
  <c r="DV183" i="18" s="1"/>
  <c r="DU388" i="18"/>
  <c r="DV385" i="18"/>
  <c r="DW207" i="18" s="1"/>
  <c r="DR348" i="18"/>
  <c r="DS345" i="18"/>
  <c r="DT175" i="18" s="1"/>
  <c r="DT312" i="18"/>
  <c r="DU309" i="18"/>
  <c r="DV139" i="18" s="1"/>
  <c r="DL173" i="18"/>
  <c r="DL64" i="18" s="1"/>
  <c r="DI33" i="14" s="1"/>
  <c r="DI31" i="14" s="1"/>
  <c r="DM174" i="18"/>
  <c r="DP214" i="18"/>
  <c r="DP60" i="18" s="1"/>
  <c r="DQ215" i="18"/>
  <c r="DN122" i="18"/>
  <c r="DO107" i="18"/>
  <c r="DO217" i="18"/>
  <c r="DP218" i="18"/>
  <c r="DP144" i="18"/>
  <c r="DO211" i="18"/>
  <c r="DO59" i="18" s="1"/>
  <c r="DP212" i="18"/>
  <c r="DY287" i="18"/>
  <c r="DZ284" i="18"/>
  <c r="DO182" i="18"/>
  <c r="DP149" i="18"/>
  <c r="DR282" i="18"/>
  <c r="DS279" i="18"/>
  <c r="DS281" i="18" s="1"/>
  <c r="DR307" i="18"/>
  <c r="DS304" i="18"/>
  <c r="DT133" i="18" s="1"/>
  <c r="DN41" i="18"/>
  <c r="DN47" i="18"/>
  <c r="DW398" i="18"/>
  <c r="DX395" i="18"/>
  <c r="DX397" i="18" s="1"/>
  <c r="DQ302" i="18"/>
  <c r="DR299" i="18"/>
  <c r="DS128" i="18" s="1"/>
  <c r="DO164" i="18"/>
  <c r="DS327" i="18"/>
  <c r="DT324" i="18"/>
  <c r="DN202" i="18"/>
  <c r="DN58" i="18" s="1"/>
  <c r="DO203" i="18"/>
  <c r="DP159" i="18"/>
  <c r="DT408" i="18"/>
  <c r="DU405" i="18"/>
  <c r="DV219" i="18" s="1"/>
  <c r="DS337" i="18"/>
  <c r="DT334" i="18"/>
  <c r="DQ277" i="18"/>
  <c r="DR274" i="18"/>
  <c r="DR276" i="18" s="1"/>
  <c r="DQ227" i="18"/>
  <c r="DU353" i="18"/>
  <c r="DV350" i="18"/>
  <c r="DW178" i="18" s="1"/>
  <c r="DO127" i="18"/>
  <c r="DY286" i="18"/>
  <c r="DN196" i="18"/>
  <c r="DN52" i="18" s="1"/>
  <c r="DO197" i="18"/>
  <c r="DO102" i="18"/>
  <c r="DT317" i="18"/>
  <c r="DU314" i="18"/>
  <c r="DS383" i="18"/>
  <c r="DT380" i="18"/>
  <c r="DT382" i="18" s="1"/>
  <c r="DN138" i="18"/>
  <c r="DR97" i="18"/>
  <c r="DO177" i="18"/>
  <c r="DR322" i="18"/>
  <c r="DS319" i="18"/>
  <c r="DS321" i="18" s="1"/>
  <c r="DP132" i="18"/>
  <c r="DV272" i="18"/>
  <c r="DW269" i="18"/>
  <c r="DX98" i="18" s="1"/>
  <c r="DT403" i="18"/>
  <c r="DU400" i="18"/>
  <c r="DU402" i="18" s="1"/>
  <c r="DR342" i="18"/>
  <c r="DS339" i="18"/>
  <c r="DT170" i="18" s="1"/>
  <c r="DR297" i="18"/>
  <c r="DS294" i="18"/>
  <c r="DT123" i="18" s="1"/>
  <c r="DQ378" i="18"/>
  <c r="DR375" i="18"/>
  <c r="DR377" i="18" s="1"/>
  <c r="DP169" i="18"/>
  <c r="DP199" i="18" l="1"/>
  <c r="DP57" i="18" s="1"/>
  <c r="DQ200" i="18"/>
  <c r="DS373" i="18"/>
  <c r="DT370" i="18"/>
  <c r="DS341" i="18"/>
  <c r="DS306" i="18"/>
  <c r="DU311" i="18"/>
  <c r="DS198" i="18"/>
  <c r="DW141" i="18"/>
  <c r="DW271" i="18"/>
  <c r="DT150" i="18"/>
  <c r="DT326" i="18"/>
  <c r="DT108" i="18"/>
  <c r="DR301" i="18"/>
  <c r="DU135" i="18"/>
  <c r="DY213" i="18"/>
  <c r="DS347" i="18"/>
  <c r="DU316" i="18"/>
  <c r="DS296" i="18"/>
  <c r="DV145" i="18"/>
  <c r="DV216" i="18"/>
  <c r="DU155" i="18"/>
  <c r="DU407" i="18"/>
  <c r="DT336" i="18"/>
  <c r="DU165" i="18"/>
  <c r="DS103" i="18"/>
  <c r="DV352" i="18"/>
  <c r="DV387" i="18"/>
  <c r="DU357" i="18"/>
  <c r="DU204" i="18"/>
  <c r="DT160" i="18"/>
  <c r="DZ286" i="18"/>
  <c r="DK29" i="14"/>
  <c r="DO205" i="18"/>
  <c r="DO55" i="18" s="1"/>
  <c r="DP206" i="18"/>
  <c r="DQ132" i="18"/>
  <c r="DP102" i="18"/>
  <c r="DP164" i="18"/>
  <c r="DX398" i="18"/>
  <c r="DY395" i="18"/>
  <c r="DY397" i="18" s="1"/>
  <c r="DP182" i="18"/>
  <c r="DQ144" i="18"/>
  <c r="DO41" i="18"/>
  <c r="DO47" i="18"/>
  <c r="DU312" i="18"/>
  <c r="DV309" i="18"/>
  <c r="DW139" i="18" s="1"/>
  <c r="DS332" i="18"/>
  <c r="DT329" i="18"/>
  <c r="DT331" i="18" s="1"/>
  <c r="DT383" i="18"/>
  <c r="DU380" i="18"/>
  <c r="DU382" i="18" s="1"/>
  <c r="DU317" i="18"/>
  <c r="DV314" i="18"/>
  <c r="DO202" i="18"/>
  <c r="DO58" i="18" s="1"/>
  <c r="DP203" i="18"/>
  <c r="DT327" i="18"/>
  <c r="DU324" i="18"/>
  <c r="DQ149" i="18"/>
  <c r="DZ287" i="18"/>
  <c r="EA284" i="18"/>
  <c r="DP107" i="18"/>
  <c r="DO122" i="18"/>
  <c r="DQ214" i="18"/>
  <c r="DQ60" i="18" s="1"/>
  <c r="DR215" i="18"/>
  <c r="DS348" i="18"/>
  <c r="DT345" i="18"/>
  <c r="DU175" i="18" s="1"/>
  <c r="DR154" i="18"/>
  <c r="DS342" i="18"/>
  <c r="DT339" i="18"/>
  <c r="DU170" i="18" s="1"/>
  <c r="DO138" i="18"/>
  <c r="DO196" i="18"/>
  <c r="DO52" i="18" s="1"/>
  <c r="DP197" i="18"/>
  <c r="DP127" i="18"/>
  <c r="DV353" i="18"/>
  <c r="DW350" i="18"/>
  <c r="DX178" i="18" s="1"/>
  <c r="DT337" i="18"/>
  <c r="DU334" i="18"/>
  <c r="DU408" i="18"/>
  <c r="DV405" i="18"/>
  <c r="DW219" i="18" s="1"/>
  <c r="DR302" i="18"/>
  <c r="DS299" i="18"/>
  <c r="DT128" i="18" s="1"/>
  <c r="DS307" i="18"/>
  <c r="DT304" i="18"/>
  <c r="DU133" i="18" s="1"/>
  <c r="DS282" i="18"/>
  <c r="DT279" i="18"/>
  <c r="DT281" i="18" s="1"/>
  <c r="DP211" i="18"/>
  <c r="DP59" i="18" s="1"/>
  <c r="DQ212" i="18"/>
  <c r="DV388" i="18"/>
  <c r="DW385" i="18"/>
  <c r="DX207" i="18" s="1"/>
  <c r="DU358" i="18"/>
  <c r="DV355" i="18"/>
  <c r="DW183" i="18" s="1"/>
  <c r="DW272" i="18"/>
  <c r="DX269" i="18"/>
  <c r="DY98" i="18" s="1"/>
  <c r="DR378" i="18"/>
  <c r="DS375" i="18"/>
  <c r="DS377" i="18" s="1"/>
  <c r="DQ169" i="18"/>
  <c r="DS297" i="18"/>
  <c r="DT294" i="18"/>
  <c r="DU123" i="18" s="1"/>
  <c r="DU403" i="18"/>
  <c r="DV400" i="18"/>
  <c r="DV402" i="18" s="1"/>
  <c r="DS322" i="18"/>
  <c r="DT319" i="18"/>
  <c r="DT321" i="18" s="1"/>
  <c r="DP177" i="18"/>
  <c r="DS97" i="18"/>
  <c r="DR277" i="18"/>
  <c r="DS274" i="18"/>
  <c r="DS276" i="18" s="1"/>
  <c r="DR227" i="18"/>
  <c r="DQ159" i="18"/>
  <c r="DP217" i="18"/>
  <c r="DQ218" i="18"/>
  <c r="DM173" i="18"/>
  <c r="DM64" i="18" s="1"/>
  <c r="DJ33" i="14" s="1"/>
  <c r="DJ31" i="14" s="1"/>
  <c r="DN174" i="18"/>
  <c r="DQ199" i="18" l="1"/>
  <c r="DQ57" i="18" s="1"/>
  <c r="DR200" i="18"/>
  <c r="DT373" i="18"/>
  <c r="DU370" i="18"/>
  <c r="DV357" i="18"/>
  <c r="DV165" i="18"/>
  <c r="DW216" i="18"/>
  <c r="DT347" i="18"/>
  <c r="DU108" i="18"/>
  <c r="DX141" i="18"/>
  <c r="DT341" i="18"/>
  <c r="DW387" i="18"/>
  <c r="DU336" i="18"/>
  <c r="DW145" i="18"/>
  <c r="DZ213" i="18"/>
  <c r="DU326" i="18"/>
  <c r="DT198" i="18"/>
  <c r="DU160" i="18"/>
  <c r="DW352" i="18"/>
  <c r="DV407" i="18"/>
  <c r="DT296" i="18"/>
  <c r="DV135" i="18"/>
  <c r="DU150" i="18"/>
  <c r="DV311" i="18"/>
  <c r="DV204" i="18"/>
  <c r="DT103" i="18"/>
  <c r="DV155" i="18"/>
  <c r="DV316" i="18"/>
  <c r="DS301" i="18"/>
  <c r="DX271" i="18"/>
  <c r="DT306" i="18"/>
  <c r="DL29" i="14"/>
  <c r="DP205" i="18"/>
  <c r="DP55" i="18" s="1"/>
  <c r="DQ206" i="18"/>
  <c r="DP47" i="18"/>
  <c r="DP41" i="18"/>
  <c r="DR159" i="18"/>
  <c r="DS378" i="18"/>
  <c r="DT375" i="18"/>
  <c r="DT377" i="18" s="1"/>
  <c r="DT307" i="18"/>
  <c r="DU304" i="18"/>
  <c r="DV133" i="18" s="1"/>
  <c r="DU337" i="18"/>
  <c r="DV334" i="18"/>
  <c r="DQ127" i="18"/>
  <c r="DU327" i="18"/>
  <c r="DV324" i="18"/>
  <c r="DV317" i="18"/>
  <c r="DW314" i="18"/>
  <c r="DU383" i="18"/>
  <c r="DV380" i="18"/>
  <c r="DV382" i="18" s="1"/>
  <c r="DR144" i="18"/>
  <c r="DQ182" i="18"/>
  <c r="DT322" i="18"/>
  <c r="DU319" i="18"/>
  <c r="DU321" i="18" s="1"/>
  <c r="DV403" i="18"/>
  <c r="DW400" i="18"/>
  <c r="DW402" i="18" s="1"/>
  <c r="DT297" i="18"/>
  <c r="DU294" i="18"/>
  <c r="DV123" i="18" s="1"/>
  <c r="DV358" i="18"/>
  <c r="DW355" i="18"/>
  <c r="DX183" i="18" s="1"/>
  <c r="DW388" i="18"/>
  <c r="DX385" i="18"/>
  <c r="DY207" i="18" s="1"/>
  <c r="DQ211" i="18"/>
  <c r="DQ59" i="18" s="1"/>
  <c r="DR212" i="18"/>
  <c r="DT282" i="18"/>
  <c r="DU279" i="18"/>
  <c r="DU281" i="18" s="1"/>
  <c r="DV408" i="18"/>
  <c r="DW405" i="18"/>
  <c r="DX219" i="18" s="1"/>
  <c r="DW353" i="18"/>
  <c r="DX350" i="18"/>
  <c r="DY178" i="18" s="1"/>
  <c r="DP138" i="18"/>
  <c r="DP122" i="18"/>
  <c r="DP202" i="18"/>
  <c r="DP58" i="18" s="1"/>
  <c r="DM29" i="14" s="1"/>
  <c r="DQ203" i="18"/>
  <c r="DT332" i="18"/>
  <c r="DU329" i="18"/>
  <c r="DU331" i="18" s="1"/>
  <c r="DV312" i="18"/>
  <c r="DW309" i="18"/>
  <c r="DX139" i="18" s="1"/>
  <c r="DQ164" i="18"/>
  <c r="DQ102" i="18"/>
  <c r="DT97" i="18"/>
  <c r="DR169" i="18"/>
  <c r="DX272" i="18"/>
  <c r="DY269" i="18"/>
  <c r="DZ98" i="18" s="1"/>
  <c r="DP196" i="18"/>
  <c r="DP52" i="18" s="1"/>
  <c r="DQ197" i="18"/>
  <c r="DT348" i="18"/>
  <c r="DU345" i="18"/>
  <c r="DV175" i="18" s="1"/>
  <c r="EA287" i="18"/>
  <c r="EB284" i="18"/>
  <c r="DY398" i="18"/>
  <c r="DZ395" i="18"/>
  <c r="DZ397" i="18" s="1"/>
  <c r="DN173" i="18"/>
  <c r="DN64" i="18" s="1"/>
  <c r="DK33" i="14" s="1"/>
  <c r="DK31" i="14" s="1"/>
  <c r="DO174" i="18"/>
  <c r="DQ217" i="18"/>
  <c r="DR218" i="18"/>
  <c r="DS277" i="18"/>
  <c r="DT274" i="18"/>
  <c r="DT276" i="18" s="1"/>
  <c r="DS227" i="18"/>
  <c r="DQ177" i="18"/>
  <c r="DS302" i="18"/>
  <c r="DT299" i="18"/>
  <c r="DU128" i="18" s="1"/>
  <c r="DT342" i="18"/>
  <c r="DU339" i="18"/>
  <c r="DV170" i="18" s="1"/>
  <c r="DS154" i="18"/>
  <c r="DR214" i="18"/>
  <c r="DR60" i="18" s="1"/>
  <c r="DS215" i="18"/>
  <c r="DQ107" i="18"/>
  <c r="DR149" i="18"/>
  <c r="EA286" i="18"/>
  <c r="DR132" i="18"/>
  <c r="DR199" i="18" l="1"/>
  <c r="DR57" i="18" s="1"/>
  <c r="DS200" i="18"/>
  <c r="DU373" i="18"/>
  <c r="DV370" i="18"/>
  <c r="DU306" i="18"/>
  <c r="DT301" i="18"/>
  <c r="DW204" i="18"/>
  <c r="DU296" i="18"/>
  <c r="DU198" i="18"/>
  <c r="DV336" i="18"/>
  <c r="DV108" i="18"/>
  <c r="DW357" i="18"/>
  <c r="DW316" i="18"/>
  <c r="DW311" i="18"/>
  <c r="DW407" i="18"/>
  <c r="DV326" i="18"/>
  <c r="DX387" i="18"/>
  <c r="DU347" i="18"/>
  <c r="DW155" i="18"/>
  <c r="DV150" i="18"/>
  <c r="DX352" i="18"/>
  <c r="EA213" i="18"/>
  <c r="DU341" i="18"/>
  <c r="DX216" i="18"/>
  <c r="DY271" i="18"/>
  <c r="DU103" i="18"/>
  <c r="DW135" i="18"/>
  <c r="DV160" i="18"/>
  <c r="DX145" i="18"/>
  <c r="DY141" i="18"/>
  <c r="DW165" i="18"/>
  <c r="DQ205" i="18"/>
  <c r="DQ55" i="18" s="1"/>
  <c r="DR206" i="18"/>
  <c r="EB286" i="18"/>
  <c r="DS214" i="18"/>
  <c r="DS60" i="18" s="1"/>
  <c r="DT215" i="18"/>
  <c r="DO173" i="18"/>
  <c r="DO64" i="18" s="1"/>
  <c r="DL33" i="14" s="1"/>
  <c r="DL31" i="14" s="1"/>
  <c r="DP174" i="18"/>
  <c r="DZ398" i="18"/>
  <c r="EA395" i="18"/>
  <c r="EA397" i="18" s="1"/>
  <c r="DQ196" i="18"/>
  <c r="DQ52" i="18" s="1"/>
  <c r="DR197" i="18"/>
  <c r="DS169" i="18"/>
  <c r="DR102" i="18"/>
  <c r="DQ138" i="18"/>
  <c r="DR211" i="18"/>
  <c r="DR59" i="18" s="1"/>
  <c r="DS212" i="18"/>
  <c r="DW358" i="18"/>
  <c r="DX355" i="18"/>
  <c r="DY183" i="18" s="1"/>
  <c r="DW403" i="18"/>
  <c r="DX400" i="18"/>
  <c r="DX402" i="18" s="1"/>
  <c r="DS144" i="18"/>
  <c r="DV383" i="18"/>
  <c r="DW380" i="18"/>
  <c r="DW382" i="18" s="1"/>
  <c r="DU307" i="18"/>
  <c r="DV304" i="18"/>
  <c r="DT378" i="18"/>
  <c r="DU375" i="18"/>
  <c r="DU377" i="18" s="1"/>
  <c r="DS132" i="18"/>
  <c r="DU342" i="18"/>
  <c r="DV339" i="18"/>
  <c r="DW170" i="18" s="1"/>
  <c r="DT302" i="18"/>
  <c r="DU299" i="18"/>
  <c r="DV128" i="18" s="1"/>
  <c r="EB287" i="18"/>
  <c r="EC284" i="18"/>
  <c r="DU348" i="18"/>
  <c r="DV345" i="18"/>
  <c r="DW175" i="18" s="1"/>
  <c r="DU282" i="18"/>
  <c r="DV279" i="18"/>
  <c r="DV281" i="18" s="1"/>
  <c r="DU322" i="18"/>
  <c r="DV319" i="18"/>
  <c r="DV321" i="18" s="1"/>
  <c r="DW317" i="18"/>
  <c r="DX314" i="18"/>
  <c r="DV327" i="18"/>
  <c r="DW324" i="18"/>
  <c r="DR127" i="18"/>
  <c r="DR107" i="18"/>
  <c r="DR177" i="18"/>
  <c r="DR217" i="18"/>
  <c r="DS218" i="18"/>
  <c r="DY272" i="18"/>
  <c r="DZ269" i="18"/>
  <c r="EA98" i="18" s="1"/>
  <c r="DR164" i="18"/>
  <c r="DQ202" i="18"/>
  <c r="DQ58" i="18" s="1"/>
  <c r="DR203" i="18"/>
  <c r="DQ122" i="18"/>
  <c r="DU297" i="18"/>
  <c r="DV294" i="18"/>
  <c r="DW123" i="18" s="1"/>
  <c r="DR182" i="18"/>
  <c r="DV337" i="18"/>
  <c r="DW334" i="18"/>
  <c r="DS149" i="18"/>
  <c r="DT154" i="18"/>
  <c r="DT277" i="18"/>
  <c r="DU274" i="18"/>
  <c r="DU276" i="18" s="1"/>
  <c r="DT227" i="18"/>
  <c r="DQ41" i="18"/>
  <c r="DQ47" i="18"/>
  <c r="DU97" i="18"/>
  <c r="DW312" i="18"/>
  <c r="DX309" i="18"/>
  <c r="DY139" i="18" s="1"/>
  <c r="DU332" i="18"/>
  <c r="DV329" i="18"/>
  <c r="DV331" i="18" s="1"/>
  <c r="DX353" i="18"/>
  <c r="DY350" i="18"/>
  <c r="DZ178" i="18" s="1"/>
  <c r="DW408" i="18"/>
  <c r="DX405" i="18"/>
  <c r="DY219" i="18" s="1"/>
  <c r="DX388" i="18"/>
  <c r="DY385" i="18"/>
  <c r="DZ207" i="18" s="1"/>
  <c r="DS159" i="18"/>
  <c r="DS199" i="18" l="1"/>
  <c r="DS57" i="18" s="1"/>
  <c r="DT200" i="18"/>
  <c r="DV373" i="18"/>
  <c r="DW370" i="18"/>
  <c r="DV306" i="18"/>
  <c r="DY145" i="18"/>
  <c r="DZ271" i="18"/>
  <c r="DY352" i="18"/>
  <c r="DV347" i="18"/>
  <c r="DX311" i="18"/>
  <c r="DW336" i="18"/>
  <c r="DU301" i="18"/>
  <c r="DW160" i="18"/>
  <c r="DY216" i="18"/>
  <c r="DW150" i="18"/>
  <c r="DY387" i="18"/>
  <c r="DX316" i="18"/>
  <c r="DV198" i="18"/>
  <c r="DW133" i="18"/>
  <c r="DX135" i="18" s="1"/>
  <c r="DX165" i="18"/>
  <c r="DV341" i="18"/>
  <c r="DX155" i="18"/>
  <c r="DW326" i="18"/>
  <c r="DX357" i="18"/>
  <c r="DV296" i="18"/>
  <c r="DZ141" i="18"/>
  <c r="DV103" i="18"/>
  <c r="EB213" i="18"/>
  <c r="DX407" i="18"/>
  <c r="DW108" i="18"/>
  <c r="DX204" i="18"/>
  <c r="EC286" i="18"/>
  <c r="DN29" i="14"/>
  <c r="DR205" i="18"/>
  <c r="DR55" i="18" s="1"/>
  <c r="DS206" i="18"/>
  <c r="DT159" i="18"/>
  <c r="DX312" i="18"/>
  <c r="DY309" i="18"/>
  <c r="DZ139" i="18" s="1"/>
  <c r="DV97" i="18"/>
  <c r="DT149" i="18"/>
  <c r="DS182" i="18"/>
  <c r="DR47" i="18"/>
  <c r="DR41" i="18"/>
  <c r="DW327" i="18"/>
  <c r="DX324" i="18"/>
  <c r="DU302" i="18"/>
  <c r="DV299" i="18"/>
  <c r="DW128" i="18" s="1"/>
  <c r="DV342" i="18"/>
  <c r="DW339" i="18"/>
  <c r="DX170" i="18" s="1"/>
  <c r="DT144" i="18"/>
  <c r="DY353" i="18"/>
  <c r="DZ350" i="18"/>
  <c r="EA178" i="18" s="1"/>
  <c r="DW337" i="18"/>
  <c r="DX334" i="18"/>
  <c r="DR202" i="18"/>
  <c r="DR58" i="18" s="1"/>
  <c r="DS203" i="18"/>
  <c r="DS127" i="18"/>
  <c r="DX317" i="18"/>
  <c r="DY314" i="18"/>
  <c r="DV322" i="18"/>
  <c r="DW319" i="18"/>
  <c r="DW321" i="18" s="1"/>
  <c r="EC287" i="18"/>
  <c r="ED284" i="18"/>
  <c r="DT132" i="18"/>
  <c r="DW383" i="18"/>
  <c r="DX380" i="18"/>
  <c r="DX382" i="18" s="1"/>
  <c r="DS211" i="18"/>
  <c r="DS59" i="18" s="1"/>
  <c r="DT212" i="18"/>
  <c r="DR196" i="18"/>
  <c r="DR52" i="18" s="1"/>
  <c r="DS197" i="18"/>
  <c r="DP173" i="18"/>
  <c r="DP64" i="18" s="1"/>
  <c r="DM33" i="14" s="1"/>
  <c r="DM31" i="14" s="1"/>
  <c r="DQ174" i="18"/>
  <c r="DX408" i="18"/>
  <c r="DY405" i="18"/>
  <c r="DZ219" i="18" s="1"/>
  <c r="DV332" i="18"/>
  <c r="DW329" i="18"/>
  <c r="DW331" i="18" s="1"/>
  <c r="DU277" i="18"/>
  <c r="DV274" i="18"/>
  <c r="DV276" i="18" s="1"/>
  <c r="DU227" i="18"/>
  <c r="DU154" i="18"/>
  <c r="DV297" i="18"/>
  <c r="DW294" i="18"/>
  <c r="DX123" i="18" s="1"/>
  <c r="DV282" i="18"/>
  <c r="DW279" i="18"/>
  <c r="DW281" i="18" s="1"/>
  <c r="DU378" i="18"/>
  <c r="DV375" i="18"/>
  <c r="DV377" i="18" s="1"/>
  <c r="DV307" i="18"/>
  <c r="DW304" i="18"/>
  <c r="DX358" i="18"/>
  <c r="DY355" i="18"/>
  <c r="DZ183" i="18" s="1"/>
  <c r="EA398" i="18"/>
  <c r="EB395" i="18"/>
  <c r="EB397" i="18" s="1"/>
  <c r="DY388" i="18"/>
  <c r="DZ385" i="18"/>
  <c r="EA207" i="18" s="1"/>
  <c r="DR122" i="18"/>
  <c r="DS164" i="18"/>
  <c r="DZ272" i="18"/>
  <c r="EA269" i="18"/>
  <c r="EB98" i="18" s="1"/>
  <c r="DS217" i="18"/>
  <c r="DT218" i="18"/>
  <c r="DS177" i="18"/>
  <c r="DS107" i="18"/>
  <c r="DV348" i="18"/>
  <c r="DW345" i="18"/>
  <c r="DX175" i="18" s="1"/>
  <c r="DX403" i="18"/>
  <c r="DY400" i="18"/>
  <c r="DY402" i="18" s="1"/>
  <c r="DR138" i="18"/>
  <c r="DS102" i="18"/>
  <c r="DT169" i="18"/>
  <c r="DT214" i="18"/>
  <c r="DT60" i="18" s="1"/>
  <c r="DU215" i="18"/>
  <c r="DT199" i="18" l="1"/>
  <c r="DT57" i="18" s="1"/>
  <c r="DU200" i="18"/>
  <c r="DW373" i="18"/>
  <c r="DX370" i="18"/>
  <c r="DW306" i="18"/>
  <c r="DO29" i="14"/>
  <c r="DY407" i="18"/>
  <c r="DW296" i="18"/>
  <c r="DW341" i="18"/>
  <c r="DW198" i="18"/>
  <c r="DZ216" i="18"/>
  <c r="DY311" i="18"/>
  <c r="DZ145" i="18"/>
  <c r="EC213" i="18"/>
  <c r="DY357" i="18"/>
  <c r="DY316" i="18"/>
  <c r="DX160" i="18"/>
  <c r="DW347" i="18"/>
  <c r="DY204" i="18"/>
  <c r="DW103" i="18"/>
  <c r="DX326" i="18"/>
  <c r="DY165" i="18"/>
  <c r="DZ387" i="18"/>
  <c r="DV301" i="18"/>
  <c r="DZ352" i="18"/>
  <c r="DX108" i="18"/>
  <c r="EA141" i="18"/>
  <c r="DY155" i="18"/>
  <c r="DX133" i="18"/>
  <c r="DX150" i="18"/>
  <c r="DX336" i="18"/>
  <c r="EA271" i="18"/>
  <c r="DS205" i="18"/>
  <c r="DS55" i="18" s="1"/>
  <c r="DT206" i="18"/>
  <c r="DT102" i="18"/>
  <c r="DS138" i="18"/>
  <c r="DT217" i="18"/>
  <c r="DU218" i="18"/>
  <c r="DV277" i="18"/>
  <c r="DW274" i="18"/>
  <c r="DW276" i="18" s="1"/>
  <c r="DV227" i="18"/>
  <c r="DS196" i="18"/>
  <c r="DS52" i="18" s="1"/>
  <c r="DT197" i="18"/>
  <c r="DX383" i="18"/>
  <c r="DY380" i="18"/>
  <c r="DY382" i="18" s="1"/>
  <c r="ED286" i="18"/>
  <c r="DZ353" i="18"/>
  <c r="EA350" i="18"/>
  <c r="EB178" i="18" s="1"/>
  <c r="DU144" i="18"/>
  <c r="DX327" i="18"/>
  <c r="DY324" i="18"/>
  <c r="DU149" i="18"/>
  <c r="DU169" i="18"/>
  <c r="DT107" i="18"/>
  <c r="DU214" i="18"/>
  <c r="DU60" i="18" s="1"/>
  <c r="DV215" i="18"/>
  <c r="DS41" i="18"/>
  <c r="DS47" i="18"/>
  <c r="DT164" i="18"/>
  <c r="DZ388" i="18"/>
  <c r="EA385" i="18"/>
  <c r="EB207" i="18" s="1"/>
  <c r="DY358" i="18"/>
  <c r="DZ355" i="18"/>
  <c r="EA183" i="18" s="1"/>
  <c r="DW307" i="18"/>
  <c r="DX304" i="18"/>
  <c r="DX306" i="18" s="1"/>
  <c r="DY408" i="18"/>
  <c r="DZ405" i="18"/>
  <c r="EA219" i="18" s="1"/>
  <c r="DS202" i="18"/>
  <c r="DS58" i="18" s="1"/>
  <c r="DT203" i="18"/>
  <c r="DT177" i="18"/>
  <c r="EB398" i="18"/>
  <c r="EC395" i="18"/>
  <c r="EC397" i="18" s="1"/>
  <c r="DV378" i="18"/>
  <c r="DW375" i="18"/>
  <c r="DW377" i="18" s="1"/>
  <c r="DW297" i="18"/>
  <c r="DX294" i="18"/>
  <c r="DY123" i="18" s="1"/>
  <c r="DV154" i="18"/>
  <c r="DW332" i="18"/>
  <c r="DX329" i="18"/>
  <c r="DX331" i="18" s="1"/>
  <c r="DQ173" i="18"/>
  <c r="DQ64" i="18" s="1"/>
  <c r="DN33" i="14" s="1"/>
  <c r="DN31" i="14" s="1"/>
  <c r="DR174" i="18"/>
  <c r="DT211" i="18"/>
  <c r="DT59" i="18" s="1"/>
  <c r="DU212" i="18"/>
  <c r="ED287" i="18"/>
  <c r="EE284" i="18"/>
  <c r="DT127" i="18"/>
  <c r="DX337" i="18"/>
  <c r="DY334" i="18"/>
  <c r="DT182" i="18"/>
  <c r="DW97" i="18"/>
  <c r="DU159" i="18"/>
  <c r="DY403" i="18"/>
  <c r="DZ400" i="18"/>
  <c r="DZ402" i="18" s="1"/>
  <c r="DW348" i="18"/>
  <c r="DX345" i="18"/>
  <c r="DY175" i="18" s="1"/>
  <c r="EA272" i="18"/>
  <c r="EB269" i="18"/>
  <c r="EC98" i="18" s="1"/>
  <c r="DS122" i="18"/>
  <c r="DW282" i="18"/>
  <c r="DX279" i="18"/>
  <c r="DX281" i="18" s="1"/>
  <c r="DU132" i="18"/>
  <c r="DW322" i="18"/>
  <c r="DX319" i="18"/>
  <c r="DX321" i="18" s="1"/>
  <c r="DY317" i="18"/>
  <c r="DZ314" i="18"/>
  <c r="DW342" i="18"/>
  <c r="DX339" i="18"/>
  <c r="DY170" i="18" s="1"/>
  <c r="DV302" i="18"/>
  <c r="DW299" i="18"/>
  <c r="DX128" i="18" s="1"/>
  <c r="DY312" i="18"/>
  <c r="DZ309" i="18"/>
  <c r="EA139" i="18" s="1"/>
  <c r="DU199" i="18" l="1"/>
  <c r="DU57" i="18" s="1"/>
  <c r="DV200" i="18"/>
  <c r="DX373" i="18"/>
  <c r="DY370" i="18"/>
  <c r="DP29" i="14"/>
  <c r="DY150" i="18"/>
  <c r="DY108" i="18"/>
  <c r="DZ165" i="18"/>
  <c r="DX347" i="18"/>
  <c r="ED213" i="18"/>
  <c r="DX198" i="18"/>
  <c r="DY133" i="18"/>
  <c r="EA352" i="18"/>
  <c r="DY326" i="18"/>
  <c r="DY160" i="18"/>
  <c r="EA145" i="18"/>
  <c r="DX341" i="18"/>
  <c r="DY135" i="18"/>
  <c r="EB271" i="18"/>
  <c r="DZ155" i="18"/>
  <c r="DW301" i="18"/>
  <c r="DX103" i="18"/>
  <c r="DZ316" i="18"/>
  <c r="DZ311" i="18"/>
  <c r="DX296" i="18"/>
  <c r="DY336" i="18"/>
  <c r="EB141" i="18"/>
  <c r="EA387" i="18"/>
  <c r="DZ204" i="18"/>
  <c r="DZ357" i="18"/>
  <c r="EA216" i="18"/>
  <c r="DZ407" i="18"/>
  <c r="DT205" i="18"/>
  <c r="DT55" i="18" s="1"/>
  <c r="DU206" i="18"/>
  <c r="DW302" i="18"/>
  <c r="DX299" i="18"/>
  <c r="DY128" i="18" s="1"/>
  <c r="DX282" i="18"/>
  <c r="DY279" i="18"/>
  <c r="DY281" i="18" s="1"/>
  <c r="DV159" i="18"/>
  <c r="DU211" i="18"/>
  <c r="DU59" i="18" s="1"/>
  <c r="DV212" i="18"/>
  <c r="DW378" i="18"/>
  <c r="DX375" i="18"/>
  <c r="DX377" i="18" s="1"/>
  <c r="DU177" i="18"/>
  <c r="DV214" i="18"/>
  <c r="DV60" i="18" s="1"/>
  <c r="DW215" i="18"/>
  <c r="DY327" i="18"/>
  <c r="DZ324" i="18"/>
  <c r="DV144" i="18"/>
  <c r="DT196" i="18"/>
  <c r="DT52" i="18" s="1"/>
  <c r="DU197" i="18"/>
  <c r="DU217" i="18"/>
  <c r="DV218" i="18"/>
  <c r="DZ317" i="18"/>
  <c r="EA314" i="18"/>
  <c r="DT122" i="18"/>
  <c r="EB272" i="18"/>
  <c r="EC269" i="18"/>
  <c r="ED98" i="18" s="1"/>
  <c r="EE287" i="18"/>
  <c r="EF284" i="18"/>
  <c r="DX332" i="18"/>
  <c r="DY329" i="18"/>
  <c r="DY331" i="18" s="1"/>
  <c r="EC398" i="18"/>
  <c r="ED395" i="18"/>
  <c r="ED397" i="18" s="1"/>
  <c r="DT202" i="18"/>
  <c r="DT58" i="18" s="1"/>
  <c r="DU203" i="18"/>
  <c r="DX307" i="18"/>
  <c r="DY304" i="18"/>
  <c r="DY306" i="18" s="1"/>
  <c r="EE286" i="18"/>
  <c r="DY383" i="18"/>
  <c r="DZ380" i="18"/>
  <c r="DZ382" i="18" s="1"/>
  <c r="DT41" i="18"/>
  <c r="DT47" i="18"/>
  <c r="DU102" i="18"/>
  <c r="DZ312" i="18"/>
  <c r="EA309" i="18"/>
  <c r="EB139" i="18" s="1"/>
  <c r="DX342" i="18"/>
  <c r="DY339" i="18"/>
  <c r="DZ170" i="18" s="1"/>
  <c r="DX322" i="18"/>
  <c r="DY319" i="18"/>
  <c r="DY321" i="18" s="1"/>
  <c r="DX348" i="18"/>
  <c r="DY345" i="18"/>
  <c r="DZ175" i="18" s="1"/>
  <c r="DX97" i="18"/>
  <c r="DU182" i="18"/>
  <c r="DU127" i="18"/>
  <c r="DR173" i="18"/>
  <c r="DR64" i="18" s="1"/>
  <c r="DO33" i="14" s="1"/>
  <c r="DO31" i="14" s="1"/>
  <c r="DS174" i="18"/>
  <c r="DU164" i="18"/>
  <c r="DU107" i="18"/>
  <c r="EA353" i="18"/>
  <c r="EB350" i="18"/>
  <c r="EC178" i="18" s="1"/>
  <c r="DW277" i="18"/>
  <c r="DX274" i="18"/>
  <c r="DX276" i="18" s="1"/>
  <c r="DW227" i="18"/>
  <c r="DV132" i="18"/>
  <c r="DZ403" i="18"/>
  <c r="EA400" i="18"/>
  <c r="EA402" i="18" s="1"/>
  <c r="DY337" i="18"/>
  <c r="DZ334" i="18"/>
  <c r="DW154" i="18"/>
  <c r="DX297" i="18"/>
  <c r="DY294" i="18"/>
  <c r="DZ123" i="18" s="1"/>
  <c r="DZ408" i="18"/>
  <c r="EA405" i="18"/>
  <c r="EB219" i="18" s="1"/>
  <c r="DZ358" i="18"/>
  <c r="EA355" i="18"/>
  <c r="EB183" i="18" s="1"/>
  <c r="EA388" i="18"/>
  <c r="EB385" i="18"/>
  <c r="EC207" i="18" s="1"/>
  <c r="DV169" i="18"/>
  <c r="DV149" i="18"/>
  <c r="DT138" i="18"/>
  <c r="DV199" i="18" l="1"/>
  <c r="DV57" i="18" s="1"/>
  <c r="DW200" i="18"/>
  <c r="DY373" i="18"/>
  <c r="DZ370" i="18"/>
  <c r="DZ135" i="18"/>
  <c r="EA357" i="18"/>
  <c r="DZ336" i="18"/>
  <c r="DY103" i="18"/>
  <c r="DZ326" i="18"/>
  <c r="EE213" i="18"/>
  <c r="DZ150" i="18"/>
  <c r="EA204" i="18"/>
  <c r="DY296" i="18"/>
  <c r="DX301" i="18"/>
  <c r="DY341" i="18"/>
  <c r="EB352" i="18"/>
  <c r="DY347" i="18"/>
  <c r="EA407" i="18"/>
  <c r="EB387" i="18"/>
  <c r="EA311" i="18"/>
  <c r="EA155" i="18"/>
  <c r="EB145" i="18"/>
  <c r="DZ133" i="18"/>
  <c r="EA165" i="18"/>
  <c r="EB216" i="18"/>
  <c r="EC141" i="18"/>
  <c r="EA316" i="18"/>
  <c r="EC271" i="18"/>
  <c r="DZ160" i="18"/>
  <c r="DY198" i="18"/>
  <c r="DZ108" i="18"/>
  <c r="DQ29" i="14"/>
  <c r="DU205" i="18"/>
  <c r="DU55" i="18" s="1"/>
  <c r="DV206" i="18"/>
  <c r="EF286" i="18"/>
  <c r="EA408" i="18"/>
  <c r="EB405" i="18"/>
  <c r="EC219" i="18" s="1"/>
  <c r="DY297" i="18"/>
  <c r="DZ294" i="18"/>
  <c r="EA123" i="18" s="1"/>
  <c r="DW132" i="18"/>
  <c r="DX277" i="18"/>
  <c r="DY274" i="18"/>
  <c r="DY276" i="18" s="1"/>
  <c r="DX227" i="18"/>
  <c r="DV164" i="18"/>
  <c r="DV182" i="18"/>
  <c r="DY322" i="18"/>
  <c r="DZ319" i="18"/>
  <c r="DZ321" i="18" s="1"/>
  <c r="DU202" i="18"/>
  <c r="DU58" i="18" s="1"/>
  <c r="DV203" i="18"/>
  <c r="ED398" i="18"/>
  <c r="EE395" i="18"/>
  <c r="EE397" i="18" s="1"/>
  <c r="DU122" i="18"/>
  <c r="DU138" i="18"/>
  <c r="EA358" i="18"/>
  <c r="EB355" i="18"/>
  <c r="EC183" i="18" s="1"/>
  <c r="DV107" i="18"/>
  <c r="DZ383" i="18"/>
  <c r="EA380" i="18"/>
  <c r="EA382" i="18" s="1"/>
  <c r="DY332" i="18"/>
  <c r="DZ329" i="18"/>
  <c r="DZ331" i="18" s="1"/>
  <c r="EA317" i="18"/>
  <c r="EB314" i="18"/>
  <c r="DU196" i="18"/>
  <c r="DU52" i="18" s="1"/>
  <c r="DV197" i="18"/>
  <c r="DZ327" i="18"/>
  <c r="EA324" i="18"/>
  <c r="DW214" i="18"/>
  <c r="DW60" i="18" s="1"/>
  <c r="DX215" i="18"/>
  <c r="DV211" i="18"/>
  <c r="DV59" i="18" s="1"/>
  <c r="DW212" i="18"/>
  <c r="EA403" i="18"/>
  <c r="EB400" i="18"/>
  <c r="EB402" i="18" s="1"/>
  <c r="EB353" i="18"/>
  <c r="EC350" i="18"/>
  <c r="ED178" i="18" s="1"/>
  <c r="DV127" i="18"/>
  <c r="DY97" i="18"/>
  <c r="DY342" i="18"/>
  <c r="DZ339" i="18"/>
  <c r="EA170" i="18" s="1"/>
  <c r="DV102" i="18"/>
  <c r="DY307" i="18"/>
  <c r="DZ304" i="18"/>
  <c r="DZ306" i="18" s="1"/>
  <c r="EC272" i="18"/>
  <c r="ED269" i="18"/>
  <c r="EE98" i="18" s="1"/>
  <c r="DV217" i="18"/>
  <c r="DW218" i="18"/>
  <c r="DV177" i="18"/>
  <c r="DX378" i="18"/>
  <c r="DY375" i="18"/>
  <c r="DY377" i="18" s="1"/>
  <c r="DY282" i="18"/>
  <c r="DZ279" i="18"/>
  <c r="DZ281" i="18" s="1"/>
  <c r="DW149" i="18"/>
  <c r="DW169" i="18"/>
  <c r="EB388" i="18"/>
  <c r="EC385" i="18"/>
  <c r="ED207" i="18" s="1"/>
  <c r="DX154" i="18"/>
  <c r="DZ337" i="18"/>
  <c r="EA334" i="18"/>
  <c r="DS173" i="18"/>
  <c r="DS64" i="18" s="1"/>
  <c r="DP33" i="14" s="1"/>
  <c r="DP31" i="14" s="1"/>
  <c r="DT174" i="18"/>
  <c r="DY348" i="18"/>
  <c r="DZ345" i="18"/>
  <c r="EA175" i="18" s="1"/>
  <c r="EA312" i="18"/>
  <c r="EB309" i="18"/>
  <c r="EC139" i="18" s="1"/>
  <c r="EF287" i="18"/>
  <c r="EG284" i="18"/>
  <c r="DU41" i="18"/>
  <c r="DU47" i="18"/>
  <c r="DW144" i="18"/>
  <c r="DW159" i="18"/>
  <c r="DX302" i="18"/>
  <c r="DY299" i="18"/>
  <c r="DZ128" i="18" s="1"/>
  <c r="DW199" i="18" l="1"/>
  <c r="DW57" i="18" s="1"/>
  <c r="DX200" i="18"/>
  <c r="DZ373" i="18"/>
  <c r="EA370" i="18"/>
  <c r="EA135" i="18"/>
  <c r="EA160" i="18"/>
  <c r="EC216" i="18"/>
  <c r="EB155" i="18"/>
  <c r="DZ347" i="18"/>
  <c r="DZ296" i="18"/>
  <c r="EA326" i="18"/>
  <c r="EB357" i="18"/>
  <c r="ED271" i="18"/>
  <c r="EB165" i="18"/>
  <c r="EB311" i="18"/>
  <c r="EC352" i="18"/>
  <c r="EB204" i="18"/>
  <c r="EA108" i="18"/>
  <c r="EB316" i="18"/>
  <c r="EA133" i="18"/>
  <c r="EC387" i="18"/>
  <c r="DZ341" i="18"/>
  <c r="EA150" i="18"/>
  <c r="DZ103" i="18"/>
  <c r="DZ198" i="18"/>
  <c r="ED141" i="18"/>
  <c r="EC145" i="18"/>
  <c r="EB407" i="18"/>
  <c r="DY301" i="18"/>
  <c r="EF213" i="18"/>
  <c r="EA336" i="18"/>
  <c r="EG286" i="18"/>
  <c r="DR29" i="14"/>
  <c r="DV205" i="18"/>
  <c r="DV55" i="18" s="1"/>
  <c r="DW206" i="18"/>
  <c r="EC388" i="18"/>
  <c r="ED385" i="18"/>
  <c r="EE207" i="18" s="1"/>
  <c r="DW102" i="18"/>
  <c r="DZ342" i="18"/>
  <c r="EA339" i="18"/>
  <c r="EB170" i="18" s="1"/>
  <c r="EC353" i="18"/>
  <c r="ED350" i="18"/>
  <c r="EE178" i="18" s="1"/>
  <c r="EB317" i="18"/>
  <c r="EC314" i="18"/>
  <c r="DZ332" i="18"/>
  <c r="EA329" i="18"/>
  <c r="EA331" i="18" s="1"/>
  <c r="EA383" i="18"/>
  <c r="EB380" i="18"/>
  <c r="EB382" i="18" s="1"/>
  <c r="DW107" i="18"/>
  <c r="DV202" i="18"/>
  <c r="DV58" i="18" s="1"/>
  <c r="DW203" i="18"/>
  <c r="EB408" i="18"/>
  <c r="EC405" i="18"/>
  <c r="ED219" i="18" s="1"/>
  <c r="DY154" i="18"/>
  <c r="DT173" i="18"/>
  <c r="DT64" i="18" s="1"/>
  <c r="DQ33" i="14" s="1"/>
  <c r="DQ31" i="14" s="1"/>
  <c r="DU174" i="18"/>
  <c r="EA337" i="18"/>
  <c r="EB334" i="18"/>
  <c r="DX149" i="18"/>
  <c r="DW177" i="18"/>
  <c r="DZ97" i="18"/>
  <c r="DV196" i="18"/>
  <c r="DV52" i="18" s="1"/>
  <c r="DW197" i="18"/>
  <c r="DV138" i="18"/>
  <c r="EE398" i="18"/>
  <c r="EF395" i="18"/>
  <c r="EF397" i="18" s="1"/>
  <c r="DW182" i="18"/>
  <c r="DY277" i="18"/>
  <c r="DZ274" i="18"/>
  <c r="DZ276" i="18" s="1"/>
  <c r="DY227" i="18"/>
  <c r="DX144" i="18"/>
  <c r="EG287" i="18"/>
  <c r="EH284" i="18"/>
  <c r="EB312" i="18"/>
  <c r="EC309" i="18"/>
  <c r="ED139" i="18" s="1"/>
  <c r="DZ348" i="18"/>
  <c r="EA345" i="18"/>
  <c r="EB175" i="18" s="1"/>
  <c r="DZ282" i="18"/>
  <c r="EA279" i="18"/>
  <c r="EA281" i="18" s="1"/>
  <c r="DY378" i="18"/>
  <c r="DZ375" i="18"/>
  <c r="DZ377" i="18" s="1"/>
  <c r="DW217" i="18"/>
  <c r="DX218" i="18"/>
  <c r="EB403" i="18"/>
  <c r="EC400" i="18"/>
  <c r="EC402" i="18" s="1"/>
  <c r="EA327" i="18"/>
  <c r="EB324" i="18"/>
  <c r="EB358" i="18"/>
  <c r="EC355" i="18"/>
  <c r="ED183" i="18" s="1"/>
  <c r="DV122" i="18"/>
  <c r="DZ322" i="18"/>
  <c r="EA319" i="18"/>
  <c r="EA321" i="18" s="1"/>
  <c r="DX132" i="18"/>
  <c r="DX159" i="18"/>
  <c r="DY302" i="18"/>
  <c r="DZ299" i="18"/>
  <c r="EA128" i="18" s="1"/>
  <c r="DX169" i="18"/>
  <c r="DV41" i="18"/>
  <c r="DV47" i="18"/>
  <c r="ED272" i="18"/>
  <c r="EE269" i="18"/>
  <c r="EF98" i="18" s="1"/>
  <c r="DZ307" i="18"/>
  <c r="EA304" i="18"/>
  <c r="EA306" i="18" s="1"/>
  <c r="DW127" i="18"/>
  <c r="DW211" i="18"/>
  <c r="DW59" i="18" s="1"/>
  <c r="DX212" i="18"/>
  <c r="DX214" i="18"/>
  <c r="DX60" i="18" s="1"/>
  <c r="DY215" i="18"/>
  <c r="DW164" i="18"/>
  <c r="DZ297" i="18"/>
  <c r="EA294" i="18"/>
  <c r="EB123" i="18" s="1"/>
  <c r="DX199" i="18" l="1"/>
  <c r="DX57" i="18" s="1"/>
  <c r="DY200" i="18"/>
  <c r="EA373" i="18"/>
  <c r="EB370" i="18"/>
  <c r="DZ301" i="18"/>
  <c r="EA198" i="18"/>
  <c r="ED387" i="18"/>
  <c r="EC204" i="18"/>
  <c r="EE271" i="18"/>
  <c r="EA347" i="18"/>
  <c r="EC407" i="18"/>
  <c r="EA103" i="18"/>
  <c r="EB133" i="18"/>
  <c r="ED352" i="18"/>
  <c r="EC357" i="18"/>
  <c r="EC155" i="18"/>
  <c r="EB135" i="18"/>
  <c r="EC135" i="18" s="1"/>
  <c r="EB336" i="18"/>
  <c r="ED145" i="18"/>
  <c r="EB150" i="18"/>
  <c r="EC316" i="18"/>
  <c r="EC311" i="18"/>
  <c r="EB326" i="18"/>
  <c r="ED216" i="18"/>
  <c r="EG213" i="18"/>
  <c r="EE141" i="18"/>
  <c r="EA341" i="18"/>
  <c r="EB108" i="18"/>
  <c r="EC165" i="18"/>
  <c r="EA296" i="18"/>
  <c r="EB160" i="18"/>
  <c r="DS29" i="14"/>
  <c r="DX206" i="18"/>
  <c r="DW205" i="18"/>
  <c r="DW55" i="18" s="1"/>
  <c r="DZ302" i="18"/>
  <c r="EA299" i="18"/>
  <c r="EB128" i="18" s="1"/>
  <c r="DX217" i="18"/>
  <c r="DY218" i="18"/>
  <c r="DZ378" i="18"/>
  <c r="EA375" i="18"/>
  <c r="EA377" i="18" s="1"/>
  <c r="EC312" i="18"/>
  <c r="ED309" i="18"/>
  <c r="EE139" i="18" s="1"/>
  <c r="DX182" i="18"/>
  <c r="DU173" i="18"/>
  <c r="DU64" i="18" s="1"/>
  <c r="DR33" i="14" s="1"/>
  <c r="DR31" i="14" s="1"/>
  <c r="DV174" i="18"/>
  <c r="DZ154" i="18"/>
  <c r="DX102" i="18"/>
  <c r="ED388" i="18"/>
  <c r="EE385" i="18"/>
  <c r="EF207" i="18" s="1"/>
  <c r="EE272" i="18"/>
  <c r="EF269" i="18"/>
  <c r="EG98" i="18" s="1"/>
  <c r="DY169" i="18"/>
  <c r="DY159" i="18"/>
  <c r="EC358" i="18"/>
  <c r="ED355" i="18"/>
  <c r="EE183" i="18" s="1"/>
  <c r="DW47" i="18"/>
  <c r="DW41" i="18"/>
  <c r="EA348" i="18"/>
  <c r="EB345" i="18"/>
  <c r="EC175" i="18" s="1"/>
  <c r="DZ277" i="18"/>
  <c r="EA274" i="18"/>
  <c r="EA276" i="18" s="1"/>
  <c r="DZ227" i="18"/>
  <c r="DW138" i="18"/>
  <c r="DY149" i="18"/>
  <c r="EB337" i="18"/>
  <c r="EC334" i="18"/>
  <c r="EA332" i="18"/>
  <c r="EB329" i="18"/>
  <c r="EB331" i="18" s="1"/>
  <c r="EC317" i="18"/>
  <c r="ED314" i="18"/>
  <c r="ED353" i="18"/>
  <c r="EE350" i="18"/>
  <c r="EF178" i="18" s="1"/>
  <c r="EA342" i="18"/>
  <c r="EB339" i="18"/>
  <c r="EC170" i="18" s="1"/>
  <c r="DX211" i="18"/>
  <c r="DX59" i="18" s="1"/>
  <c r="DY212" i="18"/>
  <c r="DX127" i="18"/>
  <c r="EA322" i="18"/>
  <c r="EB319" i="18"/>
  <c r="EB321" i="18" s="1"/>
  <c r="EB327" i="18"/>
  <c r="EC324" i="18"/>
  <c r="EC403" i="18"/>
  <c r="ED400" i="18"/>
  <c r="ED402" i="18" s="1"/>
  <c r="EA282" i="18"/>
  <c r="EB279" i="18"/>
  <c r="EB281" i="18" s="1"/>
  <c r="EF398" i="18"/>
  <c r="EG395" i="18"/>
  <c r="EG397" i="18" s="1"/>
  <c r="DW196" i="18"/>
  <c r="DW52" i="18" s="1"/>
  <c r="DX197" i="18"/>
  <c r="EA97" i="18"/>
  <c r="EC408" i="18"/>
  <c r="ED405" i="18"/>
  <c r="EE219" i="18" s="1"/>
  <c r="DW202" i="18"/>
  <c r="DW58" i="18" s="1"/>
  <c r="DX203" i="18"/>
  <c r="EB383" i="18"/>
  <c r="EC380" i="18"/>
  <c r="EC382" i="18" s="1"/>
  <c r="EA297" i="18"/>
  <c r="EB294" i="18"/>
  <c r="EC123" i="18" s="1"/>
  <c r="DX164" i="18"/>
  <c r="DY214" i="18"/>
  <c r="DY60" i="18" s="1"/>
  <c r="DZ215" i="18"/>
  <c r="EA307" i="18"/>
  <c r="EB304" i="18"/>
  <c r="EB306" i="18" s="1"/>
  <c r="DY132" i="18"/>
  <c r="DW122" i="18"/>
  <c r="EH287" i="18"/>
  <c r="EI284" i="18"/>
  <c r="EH288" i="18" s="1"/>
  <c r="DY144" i="18"/>
  <c r="DX177" i="18"/>
  <c r="DX107" i="18"/>
  <c r="EH286" i="18"/>
  <c r="EB373" i="18" l="1"/>
  <c r="EC370" i="18"/>
  <c r="DY199" i="18"/>
  <c r="DY57" i="18" s="1"/>
  <c r="DZ200" i="18"/>
  <c r="ED165" i="18"/>
  <c r="EH213" i="18"/>
  <c r="ED316" i="18"/>
  <c r="EC133" i="18"/>
  <c r="EF271" i="18"/>
  <c r="EA301" i="18"/>
  <c r="EC108" i="18"/>
  <c r="EE216" i="18"/>
  <c r="EC150" i="18"/>
  <c r="ED155" i="18"/>
  <c r="EB103" i="18"/>
  <c r="ED204" i="18"/>
  <c r="EC160" i="18"/>
  <c r="EB341" i="18"/>
  <c r="EC326" i="18"/>
  <c r="EE145" i="18"/>
  <c r="ED357" i="18"/>
  <c r="ED407" i="18"/>
  <c r="EE387" i="18"/>
  <c r="EB296" i="18"/>
  <c r="EF141" i="18"/>
  <c r="ED311" i="18"/>
  <c r="EC336" i="18"/>
  <c r="EE352" i="18"/>
  <c r="EB347" i="18"/>
  <c r="EB198" i="18"/>
  <c r="DT29" i="14"/>
  <c r="DY206" i="18"/>
  <c r="DX205" i="18"/>
  <c r="DX55" i="18" s="1"/>
  <c r="EI286" i="18"/>
  <c r="DY177" i="18"/>
  <c r="DZ144" i="18"/>
  <c r="EB307" i="18"/>
  <c r="EC304" i="18"/>
  <c r="EC306" i="18" s="1"/>
  <c r="DY164" i="18"/>
  <c r="EC383" i="18"/>
  <c r="ED380" i="18"/>
  <c r="ED382" i="18" s="1"/>
  <c r="ED408" i="18"/>
  <c r="EE405" i="18"/>
  <c r="EF219" i="18" s="1"/>
  <c r="EB97" i="18"/>
  <c r="EB282" i="18"/>
  <c r="EC279" i="18"/>
  <c r="EC281" i="18" s="1"/>
  <c r="ED403" i="18"/>
  <c r="EE400" i="18"/>
  <c r="EE402" i="18" s="1"/>
  <c r="DY127" i="18"/>
  <c r="DX138" i="18"/>
  <c r="EA277" i="18"/>
  <c r="EB274" i="18"/>
  <c r="EB276" i="18" s="1"/>
  <c r="EA227" i="18"/>
  <c r="EI288" i="18"/>
  <c r="EI287" i="18"/>
  <c r="F284" i="18"/>
  <c r="G288" i="18"/>
  <c r="I288" i="18"/>
  <c r="J288" i="18"/>
  <c r="H288" i="18"/>
  <c r="K288" i="18"/>
  <c r="M288" i="18"/>
  <c r="L288" i="18"/>
  <c r="N288" i="18"/>
  <c r="O288" i="18"/>
  <c r="P288" i="18"/>
  <c r="R288" i="18"/>
  <c r="U288" i="18"/>
  <c r="Q288" i="18"/>
  <c r="T288" i="18"/>
  <c r="S288" i="18"/>
  <c r="X288" i="18"/>
  <c r="V288" i="18"/>
  <c r="W288" i="18"/>
  <c r="Y288" i="18"/>
  <c r="AB288" i="18"/>
  <c r="Z288" i="18"/>
  <c r="AA288" i="18"/>
  <c r="AC288" i="18"/>
  <c r="AD288" i="18"/>
  <c r="AE288" i="18"/>
  <c r="AH288" i="18"/>
  <c r="AF288" i="18"/>
  <c r="AI288" i="18"/>
  <c r="AG288" i="18"/>
  <c r="AJ288" i="18"/>
  <c r="AM288" i="18"/>
  <c r="AK288" i="18"/>
  <c r="AL288" i="18"/>
  <c r="AO288" i="18"/>
  <c r="AP288" i="18"/>
  <c r="AN288" i="18"/>
  <c r="AQ288" i="18"/>
  <c r="AS288" i="18"/>
  <c r="AR288" i="18"/>
  <c r="AT288" i="18"/>
  <c r="AV288" i="18"/>
  <c r="AU288" i="18"/>
  <c r="AW288" i="18"/>
  <c r="AX288" i="18"/>
  <c r="AY288" i="18"/>
  <c r="BA288" i="18"/>
  <c r="BC288" i="18"/>
  <c r="AZ288" i="18"/>
  <c r="BB288" i="18"/>
  <c r="BD288" i="18"/>
  <c r="BG288" i="18"/>
  <c r="BE288" i="18"/>
  <c r="BF288" i="18"/>
  <c r="BH288" i="18"/>
  <c r="BK288" i="18"/>
  <c r="BI288" i="18"/>
  <c r="BJ288" i="18"/>
  <c r="BL288" i="18"/>
  <c r="BM288" i="18"/>
  <c r="BN288" i="18"/>
  <c r="BO288" i="18"/>
  <c r="BR288" i="18"/>
  <c r="BP288" i="18"/>
  <c r="BQ288" i="18"/>
  <c r="BT288" i="18"/>
  <c r="BU288" i="18"/>
  <c r="BV288" i="18"/>
  <c r="BS288" i="18"/>
  <c r="BW288" i="18"/>
  <c r="BX288" i="18"/>
  <c r="BY288" i="18"/>
  <c r="BZ288" i="18"/>
  <c r="CB288" i="18"/>
  <c r="CA288" i="18"/>
  <c r="CC288" i="18"/>
  <c r="CE288" i="18"/>
  <c r="CG288" i="18"/>
  <c r="CD288" i="18"/>
  <c r="CF288" i="18"/>
  <c r="CI288" i="18"/>
  <c r="CH288" i="18"/>
  <c r="CL288" i="18"/>
  <c r="CJ288" i="18"/>
  <c r="CK288" i="18"/>
  <c r="CN288" i="18"/>
  <c r="CM288" i="18"/>
  <c r="CO288" i="18"/>
  <c r="CP288" i="18"/>
  <c r="CT288" i="18"/>
  <c r="CQ288" i="18"/>
  <c r="CS288" i="18"/>
  <c r="CR288" i="18"/>
  <c r="CU288" i="18"/>
  <c r="CX288" i="18"/>
  <c r="CV288" i="18"/>
  <c r="CZ288" i="18"/>
  <c r="CW288" i="18"/>
  <c r="CY288" i="18"/>
  <c r="DB288" i="18"/>
  <c r="DA288" i="18"/>
  <c r="DC288" i="18"/>
  <c r="DD288" i="18"/>
  <c r="DE288" i="18"/>
  <c r="DI288" i="18"/>
  <c r="DG288" i="18"/>
  <c r="DF288" i="18"/>
  <c r="DH288" i="18"/>
  <c r="DJ288" i="18"/>
  <c r="DK288" i="18"/>
  <c r="DN288" i="18"/>
  <c r="DL288" i="18"/>
  <c r="DO288" i="18"/>
  <c r="DM288" i="18"/>
  <c r="DR288" i="18"/>
  <c r="DP288" i="18"/>
  <c r="DQ288" i="18"/>
  <c r="DT288" i="18"/>
  <c r="DS288" i="18"/>
  <c r="DU288" i="18"/>
  <c r="DV288" i="18"/>
  <c r="DW288" i="18"/>
  <c r="DZ288" i="18"/>
  <c r="DY288" i="18"/>
  <c r="EA288" i="18"/>
  <c r="DX288" i="18"/>
  <c r="EC288" i="18"/>
  <c r="EE288" i="18"/>
  <c r="EG288" i="18"/>
  <c r="EB288" i="18"/>
  <c r="ED288" i="18"/>
  <c r="EF288" i="18"/>
  <c r="DX122" i="18"/>
  <c r="DZ132" i="18"/>
  <c r="EE353" i="18"/>
  <c r="EF350" i="18"/>
  <c r="EG178" i="18" s="1"/>
  <c r="DZ159" i="18"/>
  <c r="DZ169" i="18"/>
  <c r="EA154" i="18"/>
  <c r="DZ214" i="18"/>
  <c r="DZ60" i="18" s="1"/>
  <c r="EA215" i="18"/>
  <c r="DX196" i="18"/>
  <c r="DX52" i="18" s="1"/>
  <c r="DY197" i="18"/>
  <c r="EG398" i="18"/>
  <c r="EH395" i="18"/>
  <c r="EH397" i="18" s="1"/>
  <c r="EC327" i="18"/>
  <c r="ED324" i="18"/>
  <c r="EB322" i="18"/>
  <c r="EC319" i="18"/>
  <c r="EC321" i="18" s="1"/>
  <c r="DY211" i="18"/>
  <c r="DY59" i="18" s="1"/>
  <c r="DZ212" i="18"/>
  <c r="EB342" i="18"/>
  <c r="EC339" i="18"/>
  <c r="ED170" i="18" s="1"/>
  <c r="DZ149" i="18"/>
  <c r="ED358" i="18"/>
  <c r="EE355" i="18"/>
  <c r="EF183" i="18" s="1"/>
  <c r="EF272" i="18"/>
  <c r="EG269" i="18"/>
  <c r="EH98" i="18" s="1"/>
  <c r="EE388" i="18"/>
  <c r="EF385" i="18"/>
  <c r="EG207" i="18" s="1"/>
  <c r="ED312" i="18"/>
  <c r="EE309" i="18"/>
  <c r="EF139" i="18" s="1"/>
  <c r="DY217" i="18"/>
  <c r="DZ218" i="18"/>
  <c r="EA302" i="18"/>
  <c r="EB299" i="18"/>
  <c r="EC128" i="18" s="1"/>
  <c r="DY107" i="18"/>
  <c r="EB297" i="18"/>
  <c r="EC294" i="18"/>
  <c r="ED123" i="18" s="1"/>
  <c r="DX202" i="18"/>
  <c r="DX58" i="18" s="1"/>
  <c r="DY203" i="18"/>
  <c r="ED317" i="18"/>
  <c r="EE314" i="18"/>
  <c r="EB332" i="18"/>
  <c r="EC329" i="18"/>
  <c r="EC331" i="18" s="1"/>
  <c r="EC337" i="18"/>
  <c r="ED334" i="18"/>
  <c r="EB348" i="18"/>
  <c r="EC345" i="18"/>
  <c r="ED175" i="18" s="1"/>
  <c r="DY102" i="18"/>
  <c r="DV173" i="18"/>
  <c r="DV64" i="18" s="1"/>
  <c r="DS33" i="14" s="1"/>
  <c r="DS31" i="14" s="1"/>
  <c r="DW174" i="18"/>
  <c r="DY182" i="18"/>
  <c r="EA378" i="18"/>
  <c r="EB375" i="18"/>
  <c r="EB377" i="18" s="1"/>
  <c r="DX41" i="18"/>
  <c r="DX47" i="18"/>
  <c r="EC373" i="18" l="1"/>
  <c r="ED370" i="18"/>
  <c r="DZ199" i="18"/>
  <c r="DZ57" i="18" s="1"/>
  <c r="EA200" i="18"/>
  <c r="EF352" i="18"/>
  <c r="EC296" i="18"/>
  <c r="EF145" i="18"/>
  <c r="EE204" i="18"/>
  <c r="EF216" i="18"/>
  <c r="ED133" i="18"/>
  <c r="EE165" i="18"/>
  <c r="ED336" i="18"/>
  <c r="EF387" i="18"/>
  <c r="ED326" i="18"/>
  <c r="EC103" i="18"/>
  <c r="ED108" i="18"/>
  <c r="ED135" i="18"/>
  <c r="EC198" i="18"/>
  <c r="EE311" i="18"/>
  <c r="EE407" i="18"/>
  <c r="EC341" i="18"/>
  <c r="EE155" i="18"/>
  <c r="EB301" i="18"/>
  <c r="EE316" i="18"/>
  <c r="EC347" i="18"/>
  <c r="EG141" i="18"/>
  <c r="EE357" i="18"/>
  <c r="ED160" i="18"/>
  <c r="ED150" i="18"/>
  <c r="EG271" i="18"/>
  <c r="EI213" i="18"/>
  <c r="F213" i="18" s="1"/>
  <c r="E213" i="18" s="1"/>
  <c r="DU29" i="14"/>
  <c r="DY205" i="18"/>
  <c r="DY55" i="18" s="1"/>
  <c r="DZ206" i="18"/>
  <c r="DY202" i="18"/>
  <c r="DY58" i="18" s="1"/>
  <c r="DZ203" i="18"/>
  <c r="EC297" i="18"/>
  <c r="ED294" i="18"/>
  <c r="EE123" i="18" s="1"/>
  <c r="DZ107" i="18"/>
  <c r="EB302" i="18"/>
  <c r="EC299" i="18"/>
  <c r="ED128" i="18" s="1"/>
  <c r="DY41" i="18"/>
  <c r="DY47" i="18"/>
  <c r="EE312" i="18"/>
  <c r="EF309" i="18"/>
  <c r="EG139" i="18" s="1"/>
  <c r="EA149" i="18"/>
  <c r="EA159" i="18"/>
  <c r="DY122" i="18"/>
  <c r="DY138" i="18"/>
  <c r="EC97" i="18"/>
  <c r="EE408" i="18"/>
  <c r="EF405" i="18"/>
  <c r="EG219" i="18" s="1"/>
  <c r="DZ164" i="18"/>
  <c r="EA144" i="18"/>
  <c r="F286" i="18"/>
  <c r="E286" i="18"/>
  <c r="EC332" i="18"/>
  <c r="ED329" i="18"/>
  <c r="ED331" i="18" s="1"/>
  <c r="EB378" i="18"/>
  <c r="EC375" i="18"/>
  <c r="EC377" i="18" s="1"/>
  <c r="DZ182" i="18"/>
  <c r="DZ102" i="18"/>
  <c r="EE317" i="18"/>
  <c r="EF314" i="18"/>
  <c r="EF388" i="18"/>
  <c r="EG385" i="18"/>
  <c r="EH207" i="18" s="1"/>
  <c r="DZ211" i="18"/>
  <c r="DZ59" i="18" s="1"/>
  <c r="EA212" i="18"/>
  <c r="EB277" i="18"/>
  <c r="EC274" i="18"/>
  <c r="EC276" i="18" s="1"/>
  <c r="EB227" i="18"/>
  <c r="EE403" i="18"/>
  <c r="EF400" i="18"/>
  <c r="EF402" i="18" s="1"/>
  <c r="EC282" i="18"/>
  <c r="ED279" i="18"/>
  <c r="ED281" i="18" s="1"/>
  <c r="ED383" i="18"/>
  <c r="EE380" i="18"/>
  <c r="EE382" i="18" s="1"/>
  <c r="EC348" i="18"/>
  <c r="ED345" i="18"/>
  <c r="EE175" i="18" s="1"/>
  <c r="EG272" i="18"/>
  <c r="EH269" i="18"/>
  <c r="EI98" i="18" s="1"/>
  <c r="EC342" i="18"/>
  <c r="ED339" i="18"/>
  <c r="EE170" i="18" s="1"/>
  <c r="ED327" i="18"/>
  <c r="EE324" i="18"/>
  <c r="DY196" i="18"/>
  <c r="DY52" i="18" s="1"/>
  <c r="DZ197" i="18"/>
  <c r="EA214" i="18"/>
  <c r="EA60" i="18" s="1"/>
  <c r="EB215" i="18"/>
  <c r="EA169" i="18"/>
  <c r="EF353" i="18"/>
  <c r="EG350" i="18"/>
  <c r="EH178" i="18" s="1"/>
  <c r="EA132" i="18"/>
  <c r="DZ177" i="18"/>
  <c r="ED337" i="18"/>
  <c r="EE334" i="18"/>
  <c r="DW173" i="18"/>
  <c r="DW64" i="18" s="1"/>
  <c r="DT33" i="14" s="1"/>
  <c r="DT31" i="14" s="1"/>
  <c r="DX174" i="18"/>
  <c r="DZ217" i="18"/>
  <c r="EA218" i="18"/>
  <c r="EE358" i="18"/>
  <c r="EF355" i="18"/>
  <c r="EG183" i="18" s="1"/>
  <c r="EC322" i="18"/>
  <c r="ED319" i="18"/>
  <c r="ED321" i="18" s="1"/>
  <c r="EH398" i="18"/>
  <c r="EI395" i="18"/>
  <c r="EI397" i="18" s="1"/>
  <c r="EB154" i="18"/>
  <c r="DZ127" i="18"/>
  <c r="EC307" i="18"/>
  <c r="ED304" i="18"/>
  <c r="ED306" i="18" s="1"/>
  <c r="EA199" i="18" l="1"/>
  <c r="EA57" i="18" s="1"/>
  <c r="EB200" i="18"/>
  <c r="ED373" i="18"/>
  <c r="EE370" i="18"/>
  <c r="EE135" i="18"/>
  <c r="E397" i="18"/>
  <c r="F397" i="18"/>
  <c r="H99" i="18"/>
  <c r="F98" i="18"/>
  <c r="E98" i="18" s="1"/>
  <c r="EE150" i="18"/>
  <c r="ED347" i="18"/>
  <c r="ED341" i="18"/>
  <c r="EG387" i="18"/>
  <c r="EG216" i="18"/>
  <c r="EG352" i="18"/>
  <c r="EE160" i="18"/>
  <c r="EF316" i="18"/>
  <c r="EF407" i="18"/>
  <c r="EE108" i="18"/>
  <c r="EE336" i="18"/>
  <c r="EF204" i="18"/>
  <c r="EF357" i="18"/>
  <c r="EC301" i="18"/>
  <c r="EF311" i="18"/>
  <c r="ED103" i="18"/>
  <c r="EF165" i="18"/>
  <c r="EG145" i="18"/>
  <c r="EH271" i="18"/>
  <c r="EH141" i="18"/>
  <c r="EF155" i="18"/>
  <c r="ED198" i="18"/>
  <c r="EE326" i="18"/>
  <c r="EE133" i="18"/>
  <c r="ED296" i="18"/>
  <c r="DV29" i="14"/>
  <c r="DZ205" i="18"/>
  <c r="DZ55" i="18" s="1"/>
  <c r="EA206" i="18"/>
  <c r="EI399" i="18"/>
  <c r="EI398" i="18"/>
  <c r="G399" i="18"/>
  <c r="F395" i="18"/>
  <c r="H399" i="18"/>
  <c r="I399" i="18"/>
  <c r="L399" i="18"/>
  <c r="J399" i="18"/>
  <c r="K399" i="18"/>
  <c r="M399" i="18"/>
  <c r="N399" i="18"/>
  <c r="O399" i="18"/>
  <c r="R399" i="18"/>
  <c r="Q399" i="18"/>
  <c r="S399" i="18"/>
  <c r="P399" i="18"/>
  <c r="T399" i="18"/>
  <c r="U399" i="18"/>
  <c r="V399" i="18"/>
  <c r="W399" i="18"/>
  <c r="Z399" i="18"/>
  <c r="Y399" i="18"/>
  <c r="X399" i="18"/>
  <c r="AB399" i="18"/>
  <c r="AA399" i="18"/>
  <c r="AF399" i="18"/>
  <c r="AD399" i="18"/>
  <c r="AC399" i="18"/>
  <c r="AE399" i="18"/>
  <c r="AI399" i="18"/>
  <c r="AG399" i="18"/>
  <c r="AH399" i="18"/>
  <c r="AK399" i="18"/>
  <c r="AJ399" i="18"/>
  <c r="AL399" i="18"/>
  <c r="AM399" i="18"/>
  <c r="AN399" i="18"/>
  <c r="AP399" i="18"/>
  <c r="AO399" i="18"/>
  <c r="AS399" i="18"/>
  <c r="AQ399" i="18"/>
  <c r="AR399" i="18"/>
  <c r="AV399" i="18"/>
  <c r="AT399" i="18"/>
  <c r="AU399" i="18"/>
  <c r="AX399" i="18"/>
  <c r="AX398" i="18" s="1"/>
  <c r="AW399" i="18"/>
  <c r="AY399" i="18"/>
  <c r="AZ399" i="18"/>
  <c r="BA399" i="18"/>
  <c r="BB399" i="18"/>
  <c r="BC399" i="18"/>
  <c r="BD399" i="18"/>
  <c r="BE399" i="18"/>
  <c r="BH399" i="18"/>
  <c r="BF399" i="18"/>
  <c r="BF398" i="18" s="1"/>
  <c r="BJ399" i="18"/>
  <c r="BG399" i="18"/>
  <c r="BI399" i="18"/>
  <c r="BK399" i="18"/>
  <c r="BL399" i="18"/>
  <c r="BM399" i="18"/>
  <c r="BN399" i="18"/>
  <c r="BO399" i="18"/>
  <c r="BR399" i="18"/>
  <c r="BP399" i="18"/>
  <c r="BQ399" i="18"/>
  <c r="BT399" i="18"/>
  <c r="BV399" i="18"/>
  <c r="BS399" i="18"/>
  <c r="BU399" i="18"/>
  <c r="BW399" i="18"/>
  <c r="BX399" i="18"/>
  <c r="BZ399" i="18"/>
  <c r="BY399" i="18"/>
  <c r="CA399" i="18"/>
  <c r="CD399" i="18"/>
  <c r="CB399" i="18"/>
  <c r="CC399" i="18"/>
  <c r="CG399" i="18"/>
  <c r="CE399" i="18"/>
  <c r="CF399" i="18"/>
  <c r="CI399" i="18"/>
  <c r="CH399" i="18"/>
  <c r="CJ399" i="18"/>
  <c r="CK399" i="18"/>
  <c r="CL399" i="18"/>
  <c r="CN399" i="18"/>
  <c r="CM399" i="18"/>
  <c r="CQ399" i="18"/>
  <c r="CO399" i="18"/>
  <c r="CP399" i="18"/>
  <c r="CR399" i="18"/>
  <c r="CS399" i="18"/>
  <c r="CV399" i="18"/>
  <c r="CT399" i="18"/>
  <c r="CU399" i="18"/>
  <c r="CW399" i="18"/>
  <c r="CY399" i="18"/>
  <c r="CX399" i="18"/>
  <c r="CZ399" i="18"/>
  <c r="DA399" i="18"/>
  <c r="DB399" i="18"/>
  <c r="DD399" i="18"/>
  <c r="DC399" i="18"/>
  <c r="DE399" i="18"/>
  <c r="DF399" i="18"/>
  <c r="DG399" i="18"/>
  <c r="DJ399" i="18"/>
  <c r="DH399" i="18"/>
  <c r="DI399" i="18"/>
  <c r="DL399" i="18"/>
  <c r="DK399" i="18"/>
  <c r="DM399" i="18"/>
  <c r="DO399" i="18"/>
  <c r="DN399" i="18"/>
  <c r="DP399" i="18"/>
  <c r="DS399" i="18"/>
  <c r="DQ399" i="18"/>
  <c r="DR399" i="18"/>
  <c r="DT399" i="18"/>
  <c r="DU399" i="18"/>
  <c r="DV399" i="18"/>
  <c r="DX399" i="18"/>
  <c r="DZ399" i="18"/>
  <c r="DW399" i="18"/>
  <c r="DY399" i="18"/>
  <c r="EA399" i="18"/>
  <c r="EE399" i="18"/>
  <c r="EC399" i="18"/>
  <c r="EB399" i="18"/>
  <c r="EG399" i="18"/>
  <c r="ED399" i="18"/>
  <c r="DX173" i="18"/>
  <c r="DX64" i="18" s="1"/>
  <c r="DU33" i="14" s="1"/>
  <c r="DU31" i="14" s="1"/>
  <c r="DY174" i="18"/>
  <c r="EA177" i="18"/>
  <c r="EB132" i="18"/>
  <c r="EB169" i="18"/>
  <c r="ED342" i="18"/>
  <c r="EE339" i="18"/>
  <c r="EF170" i="18" s="1"/>
  <c r="EH272" i="18"/>
  <c r="EI269" i="18"/>
  <c r="EG273" i="18" s="1"/>
  <c r="EA211" i="18"/>
  <c r="EA59" i="18" s="1"/>
  <c r="EB212" i="18"/>
  <c r="EG388" i="18"/>
  <c r="EH385" i="18"/>
  <c r="EI207" i="18" s="1"/>
  <c r="F207" i="18" s="1"/>
  <c r="E207" i="18" s="1"/>
  <c r="EA182" i="18"/>
  <c r="EB144" i="18"/>
  <c r="EA164" i="18"/>
  <c r="EB149" i="18"/>
  <c r="EF312" i="18"/>
  <c r="EG309" i="18"/>
  <c r="EH139" i="18" s="1"/>
  <c r="DZ202" i="18"/>
  <c r="DZ58" i="18" s="1"/>
  <c r="EA203" i="18"/>
  <c r="ED322" i="18"/>
  <c r="EE319" i="18"/>
  <c r="EE321" i="18" s="1"/>
  <c r="EH399" i="18"/>
  <c r="EF358" i="18"/>
  <c r="EG355" i="18"/>
  <c r="EH183" i="18" s="1"/>
  <c r="DZ47" i="18"/>
  <c r="DZ41" i="18"/>
  <c r="EG353" i="18"/>
  <c r="EH350" i="18"/>
  <c r="EI178" i="18" s="1"/>
  <c r="EB214" i="18"/>
  <c r="EB60" i="18" s="1"/>
  <c r="EC215" i="18"/>
  <c r="ED348" i="18"/>
  <c r="EE345" i="18"/>
  <c r="EF175" i="18" s="1"/>
  <c r="EE383" i="18"/>
  <c r="EF380" i="18"/>
  <c r="EF382" i="18" s="1"/>
  <c r="ED282" i="18"/>
  <c r="EE279" i="18"/>
  <c r="EE281" i="18" s="1"/>
  <c r="EB159" i="18"/>
  <c r="EA107" i="18"/>
  <c r="ED297" i="18"/>
  <c r="EE294" i="18"/>
  <c r="EF123" i="18" s="1"/>
  <c r="ED307" i="18"/>
  <c r="EE304" i="18"/>
  <c r="EE306" i="18" s="1"/>
  <c r="EA217" i="18"/>
  <c r="EB218" i="18"/>
  <c r="EE327" i="18"/>
  <c r="EF324" i="18"/>
  <c r="EF403" i="18"/>
  <c r="EG400" i="18"/>
  <c r="EG402" i="18" s="1"/>
  <c r="EA102" i="18"/>
  <c r="EC378" i="18"/>
  <c r="ED375" i="18"/>
  <c r="ED377" i="18" s="1"/>
  <c r="ED332" i="18"/>
  <c r="EE329" i="18"/>
  <c r="EE331" i="18" s="1"/>
  <c r="ED97" i="18"/>
  <c r="DZ138" i="18"/>
  <c r="DZ122" i="18"/>
  <c r="EC302" i="18"/>
  <c r="ED299" i="18"/>
  <c r="EE128" i="18" s="1"/>
  <c r="EF399" i="18"/>
  <c r="EC154" i="18"/>
  <c r="EA127" i="18"/>
  <c r="EE337" i="18"/>
  <c r="EF334" i="18"/>
  <c r="DZ196" i="18"/>
  <c r="DZ52" i="18" s="1"/>
  <c r="EA197" i="18"/>
  <c r="EC277" i="18"/>
  <c r="ED274" i="18"/>
  <c r="ED276" i="18" s="1"/>
  <c r="EC227" i="18"/>
  <c r="EF317" i="18"/>
  <c r="EG314" i="18"/>
  <c r="EF408" i="18"/>
  <c r="EG405" i="18"/>
  <c r="EH219" i="18" s="1"/>
  <c r="EB199" i="18" l="1"/>
  <c r="EB57" i="18" s="1"/>
  <c r="EC200" i="18"/>
  <c r="EE373" i="18"/>
  <c r="EF370" i="18"/>
  <c r="H179" i="18"/>
  <c r="F178" i="18"/>
  <c r="E178" i="18" s="1"/>
  <c r="EE198" i="18"/>
  <c r="EH145" i="18"/>
  <c r="ED301" i="18"/>
  <c r="EF108" i="18"/>
  <c r="EH352" i="18"/>
  <c r="EE341" i="18"/>
  <c r="I99" i="18"/>
  <c r="J99" i="18" s="1"/>
  <c r="J96" i="18" s="1"/>
  <c r="AE100" i="18"/>
  <c r="H96" i="18"/>
  <c r="EE296" i="18"/>
  <c r="EG155" i="18"/>
  <c r="EG165" i="18"/>
  <c r="EG357" i="18"/>
  <c r="EG407" i="18"/>
  <c r="EH216" i="18"/>
  <c r="EE347" i="18"/>
  <c r="EF133" i="18"/>
  <c r="EI141" i="18"/>
  <c r="F141" i="18" s="1"/>
  <c r="E141" i="18" s="1"/>
  <c r="EE103" i="18"/>
  <c r="EG204" i="18"/>
  <c r="EG316" i="18"/>
  <c r="EH387" i="18"/>
  <c r="EF150" i="18"/>
  <c r="EF326" i="18"/>
  <c r="EI271" i="18"/>
  <c r="EG311" i="18"/>
  <c r="EF336" i="18"/>
  <c r="EF160" i="18"/>
  <c r="EF135" i="18"/>
  <c r="EG135" i="18" s="1"/>
  <c r="ED273" i="18"/>
  <c r="EF273" i="18"/>
  <c r="DW29" i="14"/>
  <c r="EB206" i="18"/>
  <c r="EA205" i="18"/>
  <c r="EA55" i="18" s="1"/>
  <c r="EB102" i="18"/>
  <c r="EC159" i="18"/>
  <c r="EG358" i="18"/>
  <c r="EH355" i="18"/>
  <c r="EI183" i="18" s="1"/>
  <c r="EA202" i="18"/>
  <c r="EA58" i="18" s="1"/>
  <c r="EB203" i="18"/>
  <c r="EC149" i="18"/>
  <c r="EC144" i="18"/>
  <c r="EB182" i="18"/>
  <c r="EI273" i="18"/>
  <c r="EI272" i="18"/>
  <c r="F269" i="18"/>
  <c r="J273" i="18"/>
  <c r="L273" i="18"/>
  <c r="G273" i="18"/>
  <c r="H273" i="18"/>
  <c r="K273" i="18"/>
  <c r="I273" i="18"/>
  <c r="M273" i="18"/>
  <c r="N273" i="18"/>
  <c r="P273" i="18"/>
  <c r="O273" i="18"/>
  <c r="Q273" i="18"/>
  <c r="R273" i="18"/>
  <c r="T273" i="18"/>
  <c r="S273" i="18"/>
  <c r="U273" i="18"/>
  <c r="X273" i="18"/>
  <c r="W273" i="18"/>
  <c r="V273" i="18"/>
  <c r="Y273" i="18"/>
  <c r="AE273" i="18"/>
  <c r="Z273" i="18"/>
  <c r="AA273" i="18"/>
  <c r="AB273" i="18"/>
  <c r="AC273" i="18"/>
  <c r="AD273" i="18"/>
  <c r="AF273" i="18"/>
  <c r="AJ273" i="18"/>
  <c r="AH273" i="18"/>
  <c r="AG273" i="18"/>
  <c r="AI273" i="18"/>
  <c r="AO273" i="18"/>
  <c r="AO272" i="18" s="1"/>
  <c r="AK273" i="18"/>
  <c r="AK272" i="18" s="1"/>
  <c r="AM273" i="18"/>
  <c r="AL273" i="18"/>
  <c r="AN273" i="18"/>
  <c r="AN272" i="18" s="1"/>
  <c r="AR273" i="18"/>
  <c r="AP273" i="18"/>
  <c r="AQ273" i="18"/>
  <c r="AS273" i="18"/>
  <c r="AT273" i="18"/>
  <c r="AV273" i="18"/>
  <c r="AV272" i="18" s="1"/>
  <c r="AU273" i="18"/>
  <c r="AU272" i="18" s="1"/>
  <c r="BA273" i="18"/>
  <c r="BA272" i="18" s="1"/>
  <c r="AY273" i="18"/>
  <c r="AW273" i="18"/>
  <c r="AX273" i="18"/>
  <c r="AX272" i="18" s="1"/>
  <c r="AZ273" i="18"/>
  <c r="BB273" i="18"/>
  <c r="BC273" i="18"/>
  <c r="BD273" i="18"/>
  <c r="BF273" i="18"/>
  <c r="BE273" i="18"/>
  <c r="BI273" i="18"/>
  <c r="BJ273" i="18"/>
  <c r="BG273" i="18"/>
  <c r="BH273" i="18"/>
  <c r="BK273" i="18"/>
  <c r="BL273" i="18"/>
  <c r="BO273" i="18"/>
  <c r="BM273" i="18"/>
  <c r="BN273" i="18"/>
  <c r="BP273" i="18"/>
  <c r="BQ273" i="18"/>
  <c r="BR273" i="18"/>
  <c r="BT273" i="18"/>
  <c r="BS273" i="18"/>
  <c r="BV273" i="18"/>
  <c r="BW273" i="18"/>
  <c r="BU273" i="18"/>
  <c r="BX273" i="18"/>
  <c r="BY273" i="18"/>
  <c r="BZ273" i="18"/>
  <c r="CA273" i="18"/>
  <c r="CB273" i="18"/>
  <c r="CC273" i="18"/>
  <c r="CD273" i="18"/>
  <c r="CF273" i="18"/>
  <c r="CE273" i="18"/>
  <c r="CH273" i="18"/>
  <c r="CG273" i="18"/>
  <c r="CJ273" i="18"/>
  <c r="CK273" i="18"/>
  <c r="CI273" i="18"/>
  <c r="CQ273" i="18"/>
  <c r="CM273" i="18"/>
  <c r="CL273" i="18"/>
  <c r="CO273" i="18"/>
  <c r="CN273" i="18"/>
  <c r="CP273" i="18"/>
  <c r="CS273" i="18"/>
  <c r="CR273" i="18"/>
  <c r="CW273" i="18"/>
  <c r="CT273" i="18"/>
  <c r="CV273" i="18"/>
  <c r="CU273" i="18"/>
  <c r="CZ273" i="18"/>
  <c r="CY273" i="18"/>
  <c r="DB273" i="18"/>
  <c r="CX273" i="18"/>
  <c r="DA273" i="18"/>
  <c r="DD273" i="18"/>
  <c r="DE273" i="18"/>
  <c r="DC273" i="18"/>
  <c r="DH273" i="18"/>
  <c r="DI273" i="18"/>
  <c r="DG273" i="18"/>
  <c r="DF273" i="18"/>
  <c r="DK273" i="18"/>
  <c r="DJ273" i="18"/>
  <c r="DL273" i="18"/>
  <c r="DM273" i="18"/>
  <c r="DP273" i="18"/>
  <c r="DN273" i="18"/>
  <c r="DO273" i="18"/>
  <c r="DQ273" i="18"/>
  <c r="DS273" i="18"/>
  <c r="DR273" i="18"/>
  <c r="DT273" i="18"/>
  <c r="DV273" i="18"/>
  <c r="DU273" i="18"/>
  <c r="DX273" i="18"/>
  <c r="DW273" i="18"/>
  <c r="DY273" i="18"/>
  <c r="EA273" i="18"/>
  <c r="DZ273" i="18"/>
  <c r="EE273" i="18"/>
  <c r="EC273" i="18"/>
  <c r="E398" i="18"/>
  <c r="EA196" i="18"/>
  <c r="EA52" i="18" s="1"/>
  <c r="EB197" i="18"/>
  <c r="EA122" i="18"/>
  <c r="EE97" i="18"/>
  <c r="ED378" i="18"/>
  <c r="EE375" i="18"/>
  <c r="EE377" i="18" s="1"/>
  <c r="EG403" i="18"/>
  <c r="EH400" i="18"/>
  <c r="EH402" i="18" s="1"/>
  <c r="EB217" i="18"/>
  <c r="EC218" i="18"/>
  <c r="EE348" i="18"/>
  <c r="EF345" i="18"/>
  <c r="EG175" i="18" s="1"/>
  <c r="EC214" i="18"/>
  <c r="EC60" i="18" s="1"/>
  <c r="ED215" i="18"/>
  <c r="EH353" i="18"/>
  <c r="EI350" i="18"/>
  <c r="EE354" i="18" s="1"/>
  <c r="EE322" i="18"/>
  <c r="EF319" i="18"/>
  <c r="EF321" i="18" s="1"/>
  <c r="EC132" i="18"/>
  <c r="DY173" i="18"/>
  <c r="DY64" i="18" s="1"/>
  <c r="DV33" i="14" s="1"/>
  <c r="DV31" i="14" s="1"/>
  <c r="DZ174" i="18"/>
  <c r="EG408" i="18"/>
  <c r="EH405" i="18"/>
  <c r="EI219" i="18" s="1"/>
  <c r="F219" i="18" s="1"/>
  <c r="E219" i="18" s="1"/>
  <c r="EG317" i="18"/>
  <c r="EH314" i="18"/>
  <c r="EE332" i="18"/>
  <c r="EF329" i="18"/>
  <c r="EF331" i="18" s="1"/>
  <c r="EF327" i="18"/>
  <c r="EG324" i="18"/>
  <c r="EA47" i="18"/>
  <c r="EA41" i="18"/>
  <c r="EB107" i="18"/>
  <c r="EB164" i="18"/>
  <c r="EB211" i="18"/>
  <c r="EB59" i="18" s="1"/>
  <c r="EC212" i="18"/>
  <c r="EE342" i="18"/>
  <c r="EF339" i="18"/>
  <c r="EG170" i="18" s="1"/>
  <c r="ED277" i="18"/>
  <c r="EE274" i="18"/>
  <c r="EE276" i="18" s="1"/>
  <c r="ED227" i="18"/>
  <c r="EF337" i="18"/>
  <c r="EG334" i="18"/>
  <c r="EB127" i="18"/>
  <c r="ED154" i="18"/>
  <c r="ED302" i="18"/>
  <c r="EE299" i="18"/>
  <c r="EF128" i="18" s="1"/>
  <c r="EA138" i="18"/>
  <c r="EE307" i="18"/>
  <c r="EF304" i="18"/>
  <c r="EF306" i="18" s="1"/>
  <c r="EE297" i="18"/>
  <c r="EF294" i="18"/>
  <c r="EG123" i="18" s="1"/>
  <c r="EE282" i="18"/>
  <c r="EF279" i="18"/>
  <c r="EF281" i="18" s="1"/>
  <c r="EF383" i="18"/>
  <c r="EG380" i="18"/>
  <c r="EG382" i="18" s="1"/>
  <c r="EG312" i="18"/>
  <c r="EH309" i="18"/>
  <c r="EI139" i="18" s="1"/>
  <c r="EH388" i="18"/>
  <c r="EI385" i="18"/>
  <c r="EB273" i="18"/>
  <c r="EH273" i="18"/>
  <c r="EC169" i="18"/>
  <c r="EB177" i="18"/>
  <c r="E399" i="18"/>
  <c r="EC199" i="18" l="1"/>
  <c r="EC57" i="18" s="1"/>
  <c r="ED200" i="18"/>
  <c r="EF373" i="18"/>
  <c r="EG370" i="18"/>
  <c r="F139" i="18"/>
  <c r="E139" i="18" s="1"/>
  <c r="H140" i="18"/>
  <c r="F183" i="18"/>
  <c r="E183" i="18" s="1"/>
  <c r="H184" i="18"/>
  <c r="E271" i="18"/>
  <c r="F271" i="18"/>
  <c r="EH316" i="18"/>
  <c r="EG133" i="18"/>
  <c r="EH357" i="18"/>
  <c r="K99" i="18"/>
  <c r="L99" i="18" s="1"/>
  <c r="L96" i="18" s="1"/>
  <c r="I96" i="18"/>
  <c r="EE301" i="18"/>
  <c r="EG160" i="18"/>
  <c r="EG326" i="18"/>
  <c r="EH204" i="18"/>
  <c r="EF347" i="18"/>
  <c r="EH165" i="18"/>
  <c r="J23" i="18"/>
  <c r="J15" i="18"/>
  <c r="J24" i="18"/>
  <c r="G17" i="14" s="1"/>
  <c r="EF341" i="18"/>
  <c r="EI145" i="18"/>
  <c r="I179" i="18"/>
  <c r="J179" i="18" s="1"/>
  <c r="J176" i="18" s="1"/>
  <c r="J49" i="18" s="1"/>
  <c r="G26" i="14" s="1"/>
  <c r="H176" i="18"/>
  <c r="H49" i="18" s="1"/>
  <c r="E26" i="14" s="1"/>
  <c r="AE180" i="18"/>
  <c r="EG336" i="18"/>
  <c r="EG150" i="18"/>
  <c r="EF103" i="18"/>
  <c r="EI216" i="18"/>
  <c r="F216" i="18" s="1"/>
  <c r="E216" i="18" s="1"/>
  <c r="EH155" i="18"/>
  <c r="H24" i="18"/>
  <c r="E17" i="14" s="1"/>
  <c r="H23" i="18"/>
  <c r="H15" i="18"/>
  <c r="EI352" i="18"/>
  <c r="EF198" i="18"/>
  <c r="EH311" i="18"/>
  <c r="EI387" i="18"/>
  <c r="EH407" i="18"/>
  <c r="EF296" i="18"/>
  <c r="AF100" i="18"/>
  <c r="AG100" i="18" s="1"/>
  <c r="EG108" i="18"/>
  <c r="ED354" i="18"/>
  <c r="DX29" i="14"/>
  <c r="EG354" i="18"/>
  <c r="EB205" i="18"/>
  <c r="EB55" i="18" s="1"/>
  <c r="EC206" i="18"/>
  <c r="EF307" i="18"/>
  <c r="EG304" i="18"/>
  <c r="EG306" i="18" s="1"/>
  <c r="EF342" i="18"/>
  <c r="EG339" i="18"/>
  <c r="EH170" i="18" s="1"/>
  <c r="EC211" i="18"/>
  <c r="EC59" i="18" s="1"/>
  <c r="ED212" i="18"/>
  <c r="EC107" i="18"/>
  <c r="EG327" i="18"/>
  <c r="EH324" i="18"/>
  <c r="DZ173" i="18"/>
  <c r="DZ64" i="18" s="1"/>
  <c r="DW33" i="14" s="1"/>
  <c r="DW31" i="14" s="1"/>
  <c r="EA174" i="18"/>
  <c r="EF322" i="18"/>
  <c r="EG319" i="18"/>
  <c r="EG321" i="18" s="1"/>
  <c r="ED214" i="18"/>
  <c r="ED60" i="18" s="1"/>
  <c r="EE215" i="18"/>
  <c r="EF97" i="18"/>
  <c r="EH358" i="18"/>
  <c r="EI355" i="18"/>
  <c r="EG359" i="18" s="1"/>
  <c r="EF297" i="18"/>
  <c r="EG294" i="18"/>
  <c r="EH123" i="18" s="1"/>
  <c r="EG337" i="18"/>
  <c r="EH334" i="18"/>
  <c r="EH408" i="18"/>
  <c r="EI405" i="18"/>
  <c r="EF409" i="18" s="1"/>
  <c r="EI354" i="18"/>
  <c r="EI353" i="18"/>
  <c r="G354" i="18"/>
  <c r="F350" i="18"/>
  <c r="J354" i="18"/>
  <c r="H354" i="18"/>
  <c r="I354" i="18"/>
  <c r="K354" i="18"/>
  <c r="M354" i="18"/>
  <c r="T354" i="18"/>
  <c r="L354" i="18"/>
  <c r="P354" i="18"/>
  <c r="N354" i="18"/>
  <c r="O354" i="18"/>
  <c r="W354" i="18"/>
  <c r="R354" i="18"/>
  <c r="Q354" i="18"/>
  <c r="U354" i="18"/>
  <c r="S354" i="18"/>
  <c r="V354" i="18"/>
  <c r="X354" i="18"/>
  <c r="Y354" i="18"/>
  <c r="Z354" i="18"/>
  <c r="AD354" i="18"/>
  <c r="AA354" i="18"/>
  <c r="AB354" i="18"/>
  <c r="AC354" i="18"/>
  <c r="AE354" i="18"/>
  <c r="AI354" i="18"/>
  <c r="AF354" i="18"/>
  <c r="AH354" i="18"/>
  <c r="AG354" i="18"/>
  <c r="AJ354" i="18"/>
  <c r="AK354" i="18"/>
  <c r="AL354" i="18"/>
  <c r="AN354" i="18"/>
  <c r="AM354" i="18"/>
  <c r="AP354" i="18"/>
  <c r="AO354" i="18"/>
  <c r="AQ354" i="18"/>
  <c r="AS354" i="18"/>
  <c r="AR354" i="18"/>
  <c r="AT354" i="18"/>
  <c r="AU354" i="18"/>
  <c r="AW354" i="18"/>
  <c r="AV354" i="18"/>
  <c r="AV353" i="18" s="1"/>
  <c r="AZ354" i="18"/>
  <c r="AY354" i="18"/>
  <c r="AX354" i="18"/>
  <c r="BA354" i="18"/>
  <c r="BB354" i="18"/>
  <c r="BC354" i="18"/>
  <c r="BD354" i="18"/>
  <c r="BF354" i="18"/>
  <c r="BF353" i="18" s="1"/>
  <c r="BE354" i="18"/>
  <c r="BG354" i="18"/>
  <c r="BH354" i="18"/>
  <c r="BI354" i="18"/>
  <c r="BK354" i="18"/>
  <c r="BJ354" i="18"/>
  <c r="BM354" i="18"/>
  <c r="BO354" i="18"/>
  <c r="BL354" i="18"/>
  <c r="BN354" i="18"/>
  <c r="BP354" i="18"/>
  <c r="BQ354" i="18"/>
  <c r="BT354" i="18"/>
  <c r="BR354" i="18"/>
  <c r="BS354" i="18"/>
  <c r="BU354" i="18"/>
  <c r="BV354" i="18"/>
  <c r="BY354" i="18"/>
  <c r="BW354" i="18"/>
  <c r="BZ354" i="18"/>
  <c r="BX354" i="18"/>
  <c r="CA354" i="18"/>
  <c r="CB354" i="18"/>
  <c r="CC354" i="18"/>
  <c r="CD354" i="18"/>
  <c r="CG354" i="18"/>
  <c r="CE354" i="18"/>
  <c r="CI354" i="18"/>
  <c r="CF354" i="18"/>
  <c r="CH354" i="18"/>
  <c r="CJ354" i="18"/>
  <c r="CM354" i="18"/>
  <c r="CN354" i="18"/>
  <c r="CK354" i="18"/>
  <c r="CL354" i="18"/>
  <c r="CO354" i="18"/>
  <c r="CP354" i="18"/>
  <c r="CR354" i="18"/>
  <c r="CQ354" i="18"/>
  <c r="CS354" i="18"/>
  <c r="CT354" i="18"/>
  <c r="CU354" i="18"/>
  <c r="CV354" i="18"/>
  <c r="CW354" i="18"/>
  <c r="CY354" i="18"/>
  <c r="CX354" i="18"/>
  <c r="CZ354" i="18"/>
  <c r="DA354" i="18"/>
  <c r="DC354" i="18"/>
  <c r="DB354" i="18"/>
  <c r="DF354" i="18"/>
  <c r="DE354" i="18"/>
  <c r="DG354" i="18"/>
  <c r="DD354" i="18"/>
  <c r="DH354" i="18"/>
  <c r="DJ354" i="18"/>
  <c r="DK354" i="18"/>
  <c r="DI354" i="18"/>
  <c r="DL354" i="18"/>
  <c r="DM354" i="18"/>
  <c r="DO354" i="18"/>
  <c r="DN354" i="18"/>
  <c r="DP354" i="18"/>
  <c r="DS354" i="18"/>
  <c r="DQ354" i="18"/>
  <c r="DT354" i="18"/>
  <c r="DR354" i="18"/>
  <c r="DU354" i="18"/>
  <c r="DX354" i="18"/>
  <c r="DV354" i="18"/>
  <c r="DW354" i="18"/>
  <c r="DY354" i="18"/>
  <c r="EA354" i="18"/>
  <c r="DZ354" i="18"/>
  <c r="EF354" i="18"/>
  <c r="EB354" i="18"/>
  <c r="EF348" i="18"/>
  <c r="EG345" i="18"/>
  <c r="EH175" i="18" s="1"/>
  <c r="EC217" i="18"/>
  <c r="ED218" i="18"/>
  <c r="EH403" i="18"/>
  <c r="EI400" i="18"/>
  <c r="EI402" i="18" s="1"/>
  <c r="EE378" i="18"/>
  <c r="EF375" i="18"/>
  <c r="EF377" i="18" s="1"/>
  <c r="ED144" i="18"/>
  <c r="EB202" i="18"/>
  <c r="EB58" i="18" s="1"/>
  <c r="DY29" i="14" s="1"/>
  <c r="EC203" i="18"/>
  <c r="ED159" i="18"/>
  <c r="EI389" i="18"/>
  <c r="EI388" i="18"/>
  <c r="G389" i="18"/>
  <c r="H389" i="18"/>
  <c r="J389" i="18"/>
  <c r="F385" i="18"/>
  <c r="I389" i="18"/>
  <c r="O389" i="18"/>
  <c r="N389" i="18"/>
  <c r="K389" i="18"/>
  <c r="P389" i="18"/>
  <c r="L389" i="18"/>
  <c r="M389" i="18"/>
  <c r="Q389" i="18"/>
  <c r="S389" i="18"/>
  <c r="T389" i="18"/>
  <c r="V389" i="18"/>
  <c r="R389" i="18"/>
  <c r="U389" i="18"/>
  <c r="W389" i="18"/>
  <c r="X389" i="18"/>
  <c r="Y389" i="18"/>
  <c r="AA389" i="18"/>
  <c r="Z389" i="18"/>
  <c r="AC389" i="18"/>
  <c r="AC388" i="18" s="1"/>
  <c r="AB389" i="18"/>
  <c r="AD389" i="18"/>
  <c r="AE389" i="18"/>
  <c r="AE388" i="18" s="1"/>
  <c r="AF389" i="18"/>
  <c r="AH389" i="18"/>
  <c r="AG389" i="18"/>
  <c r="AI389" i="18"/>
  <c r="AL389" i="18"/>
  <c r="AJ389" i="18"/>
  <c r="AK389" i="18"/>
  <c r="AP389" i="18"/>
  <c r="AN389" i="18"/>
  <c r="AM389" i="18"/>
  <c r="AO389" i="18"/>
  <c r="AT389" i="18"/>
  <c r="AR389" i="18"/>
  <c r="AQ389" i="18"/>
  <c r="AS389" i="18"/>
  <c r="AU389" i="18"/>
  <c r="AU388" i="18" s="1"/>
  <c r="AX389" i="18"/>
  <c r="AX388" i="18" s="1"/>
  <c r="AV389" i="18"/>
  <c r="AV388" i="18" s="1"/>
  <c r="AW389" i="18"/>
  <c r="AY389" i="18"/>
  <c r="BA389" i="18"/>
  <c r="BA388" i="18" s="1"/>
  <c r="AZ389" i="18"/>
  <c r="BB389" i="18"/>
  <c r="BC389" i="18"/>
  <c r="BD389" i="18"/>
  <c r="BH389" i="18"/>
  <c r="BE389" i="18"/>
  <c r="BF389" i="18"/>
  <c r="BG389" i="18"/>
  <c r="BI389" i="18"/>
  <c r="BJ389" i="18"/>
  <c r="BK389" i="18"/>
  <c r="BL389" i="18"/>
  <c r="BM389" i="18"/>
  <c r="BQ389" i="18"/>
  <c r="BN389" i="18"/>
  <c r="BO389" i="18"/>
  <c r="BT389" i="18"/>
  <c r="BT388" i="18" s="1"/>
  <c r="BP389" i="18"/>
  <c r="BR389" i="18"/>
  <c r="BS389" i="18"/>
  <c r="BU389" i="18"/>
  <c r="BX389" i="18"/>
  <c r="BV389" i="18"/>
  <c r="BV388" i="18" s="1"/>
  <c r="BY389" i="18"/>
  <c r="BY388" i="18" s="1"/>
  <c r="BW389" i="18"/>
  <c r="CD389" i="18"/>
  <c r="BZ389" i="18"/>
  <c r="CC389" i="18"/>
  <c r="CB389" i="18"/>
  <c r="CE389" i="18"/>
  <c r="CA389" i="18"/>
  <c r="CI389" i="18"/>
  <c r="CG389" i="18"/>
  <c r="CF389" i="18"/>
  <c r="CH389" i="18"/>
  <c r="CL389" i="18"/>
  <c r="CJ389" i="18"/>
  <c r="CK389" i="18"/>
  <c r="CN389" i="18"/>
  <c r="CM389" i="18"/>
  <c r="CQ389" i="18"/>
  <c r="CO389" i="18"/>
  <c r="CS389" i="18"/>
  <c r="CP389" i="18"/>
  <c r="CR389" i="18"/>
  <c r="CU389" i="18"/>
  <c r="CT389" i="18"/>
  <c r="CW389" i="18"/>
  <c r="CV389" i="18"/>
  <c r="CY389" i="18"/>
  <c r="CX389" i="18"/>
  <c r="CZ389" i="18"/>
  <c r="DA389" i="18"/>
  <c r="DD389" i="18"/>
  <c r="DF389" i="18"/>
  <c r="DB389" i="18"/>
  <c r="DE389" i="18"/>
  <c r="DC389" i="18"/>
  <c r="DG389" i="18"/>
  <c r="DH389" i="18"/>
  <c r="DI389" i="18"/>
  <c r="DJ389" i="18"/>
  <c r="DK389" i="18"/>
  <c r="DL389" i="18"/>
  <c r="DP389" i="18"/>
  <c r="DM389" i="18"/>
  <c r="DO389" i="18"/>
  <c r="DN389" i="18"/>
  <c r="DQ389" i="18"/>
  <c r="DR389" i="18"/>
  <c r="DS389" i="18"/>
  <c r="DT389" i="18"/>
  <c r="DU389" i="18"/>
  <c r="DY389" i="18"/>
  <c r="DV389" i="18"/>
  <c r="DW389" i="18"/>
  <c r="DX389" i="18"/>
  <c r="EE389" i="18"/>
  <c r="EG389" i="18"/>
  <c r="DZ389" i="18"/>
  <c r="EF389" i="18"/>
  <c r="EB389" i="18"/>
  <c r="EC389" i="18"/>
  <c r="EH312" i="18"/>
  <c r="EI309" i="18"/>
  <c r="EC313" i="18" s="1"/>
  <c r="EG383" i="18"/>
  <c r="EH380" i="18"/>
  <c r="EH382" i="18" s="1"/>
  <c r="EE154" i="18"/>
  <c r="EC127" i="18"/>
  <c r="EE277" i="18"/>
  <c r="EF274" i="18"/>
  <c r="EF276" i="18" s="1"/>
  <c r="EE227" i="18"/>
  <c r="EC164" i="18"/>
  <c r="ED132" i="18"/>
  <c r="EH354" i="18"/>
  <c r="EB47" i="18"/>
  <c r="EB41" i="18"/>
  <c r="EB122" i="18"/>
  <c r="EB196" i="18"/>
  <c r="EB52" i="18" s="1"/>
  <c r="EC197" i="18"/>
  <c r="E273" i="18"/>
  <c r="D15" i="15" s="1"/>
  <c r="EC177" i="18"/>
  <c r="EH389" i="18"/>
  <c r="EF282" i="18"/>
  <c r="EG279" i="18"/>
  <c r="EG281" i="18" s="1"/>
  <c r="ED169" i="18"/>
  <c r="EA389" i="18"/>
  <c r="ED389" i="18"/>
  <c r="EB138" i="18"/>
  <c r="EE302" i="18"/>
  <c r="EF299" i="18"/>
  <c r="EG128" i="18" s="1"/>
  <c r="EF332" i="18"/>
  <c r="EG329" i="18"/>
  <c r="EG331" i="18" s="1"/>
  <c r="EH317" i="18"/>
  <c r="EI314" i="18"/>
  <c r="EF318" i="18" s="1"/>
  <c r="EC354" i="18"/>
  <c r="E272" i="18"/>
  <c r="C15" i="15" s="1"/>
  <c r="EC182" i="18"/>
  <c r="ED149" i="18"/>
  <c r="EC102" i="18"/>
  <c r="EE359" i="18" l="1"/>
  <c r="EA359" i="18"/>
  <c r="EG373" i="18"/>
  <c r="EH370" i="18"/>
  <c r="ED199" i="18"/>
  <c r="ED57" i="18" s="1"/>
  <c r="EE200" i="18"/>
  <c r="EC409" i="18"/>
  <c r="EG404" i="18"/>
  <c r="ED404" i="18"/>
  <c r="EE409" i="18"/>
  <c r="EG409" i="18"/>
  <c r="M99" i="18"/>
  <c r="M96" i="18" s="1"/>
  <c r="M15" i="18" s="1"/>
  <c r="E402" i="18"/>
  <c r="F402" i="18"/>
  <c r="E387" i="18"/>
  <c r="F387" i="18"/>
  <c r="E11" i="14"/>
  <c r="EG103" i="18"/>
  <c r="AF180" i="18"/>
  <c r="AG180" i="18" s="1"/>
  <c r="EG341" i="18"/>
  <c r="EI165" i="18"/>
  <c r="EH160" i="18"/>
  <c r="K96" i="18"/>
  <c r="EI316" i="18"/>
  <c r="AE185" i="18"/>
  <c r="H181" i="18"/>
  <c r="H50" i="18" s="1"/>
  <c r="I184" i="18"/>
  <c r="J184" i="18" s="1"/>
  <c r="I140" i="18"/>
  <c r="J140" i="18" s="1"/>
  <c r="J137" i="18" s="1"/>
  <c r="J36" i="18" s="1"/>
  <c r="G22" i="14" s="1"/>
  <c r="AE142" i="18"/>
  <c r="H137" i="18"/>
  <c r="H36" i="18" s="1"/>
  <c r="E22" i="14" s="1"/>
  <c r="EH108" i="18"/>
  <c r="L24" i="18"/>
  <c r="I17" i="14" s="1"/>
  <c r="L15" i="18"/>
  <c r="L23" i="18"/>
  <c r="EI311" i="18"/>
  <c r="EH150" i="18"/>
  <c r="EG347" i="18"/>
  <c r="EF301" i="18"/>
  <c r="AH100" i="18"/>
  <c r="EG296" i="18"/>
  <c r="EG198" i="18"/>
  <c r="EI155" i="18"/>
  <c r="EH336" i="18"/>
  <c r="K179" i="18"/>
  <c r="I176" i="18"/>
  <c r="I49" i="18" s="1"/>
  <c r="F26" i="14" s="1"/>
  <c r="G11" i="14"/>
  <c r="EI204" i="18"/>
  <c r="F204" i="18" s="1"/>
  <c r="E204" i="18" s="1"/>
  <c r="EI357" i="18"/>
  <c r="EI407" i="18"/>
  <c r="E352" i="18"/>
  <c r="F352" i="18"/>
  <c r="F145" i="18"/>
  <c r="E145" i="18" s="1"/>
  <c r="H146" i="18"/>
  <c r="EH326" i="18"/>
  <c r="I24" i="18"/>
  <c r="F17" i="14" s="1"/>
  <c r="I15" i="18"/>
  <c r="I23" i="18"/>
  <c r="EH133" i="18"/>
  <c r="EH135" i="18"/>
  <c r="ED313" i="18"/>
  <c r="EA318" i="18"/>
  <c r="EC205" i="18"/>
  <c r="EC55" i="18" s="1"/>
  <c r="ED206" i="18"/>
  <c r="EF313" i="18"/>
  <c r="EG313" i="18"/>
  <c r="EB313" i="18"/>
  <c r="EE313" i="18"/>
  <c r="EH313" i="18"/>
  <c r="EH409" i="18"/>
  <c r="ED318" i="18"/>
  <c r="EE132" i="18"/>
  <c r="E388" i="18"/>
  <c r="EC202" i="18"/>
  <c r="EC58" i="18" s="1"/>
  <c r="ED203" i="18"/>
  <c r="EI404" i="18"/>
  <c r="EI403" i="18"/>
  <c r="H404" i="18"/>
  <c r="F400" i="18"/>
  <c r="G404" i="18"/>
  <c r="J404" i="18"/>
  <c r="K404" i="18"/>
  <c r="M404" i="18"/>
  <c r="I404" i="18"/>
  <c r="P404" i="18"/>
  <c r="L404" i="18"/>
  <c r="N404" i="18"/>
  <c r="Q404" i="18"/>
  <c r="O404" i="18"/>
  <c r="T404" i="18"/>
  <c r="R404" i="18"/>
  <c r="S404" i="18"/>
  <c r="U404" i="18"/>
  <c r="V404" i="18"/>
  <c r="X404" i="18"/>
  <c r="W404" i="18"/>
  <c r="Y404" i="18"/>
  <c r="Z404" i="18"/>
  <c r="AB404" i="18"/>
  <c r="AA404" i="18"/>
  <c r="AC404" i="18"/>
  <c r="AE404" i="18"/>
  <c r="AD404" i="18"/>
  <c r="AF404" i="18"/>
  <c r="AG404" i="18"/>
  <c r="AK404" i="18"/>
  <c r="AH404" i="18"/>
  <c r="AI404" i="18"/>
  <c r="AL404" i="18"/>
  <c r="AJ404" i="18"/>
  <c r="AM404" i="18"/>
  <c r="AN404" i="18"/>
  <c r="AO404" i="18"/>
  <c r="AP404" i="18"/>
  <c r="AQ404" i="18"/>
  <c r="AR404" i="18"/>
  <c r="AS404" i="18"/>
  <c r="AT404" i="18"/>
  <c r="AU404" i="18"/>
  <c r="AW404" i="18"/>
  <c r="AV404" i="18"/>
  <c r="AX404" i="18"/>
  <c r="AX403" i="18" s="1"/>
  <c r="AY404" i="18"/>
  <c r="AZ404" i="18"/>
  <c r="BA404" i="18"/>
  <c r="BB404" i="18"/>
  <c r="BC404" i="18"/>
  <c r="BF404" i="18"/>
  <c r="BF403" i="18" s="1"/>
  <c r="BD404" i="18"/>
  <c r="BG404" i="18"/>
  <c r="BE404" i="18"/>
  <c r="BH404" i="18"/>
  <c r="BJ404" i="18"/>
  <c r="BI404" i="18"/>
  <c r="BK404" i="18"/>
  <c r="BN404" i="18"/>
  <c r="BL404" i="18"/>
  <c r="BP404" i="18"/>
  <c r="BM404" i="18"/>
  <c r="BO404" i="18"/>
  <c r="BQ404" i="18"/>
  <c r="BR404" i="18"/>
  <c r="BU404" i="18"/>
  <c r="BS404" i="18"/>
  <c r="BV404" i="18"/>
  <c r="BT404" i="18"/>
  <c r="BX404" i="18"/>
  <c r="BW404" i="18"/>
  <c r="BY404" i="18"/>
  <c r="BZ404" i="18"/>
  <c r="CA404" i="18"/>
  <c r="CC404" i="18"/>
  <c r="CB404" i="18"/>
  <c r="CD404" i="18"/>
  <c r="CG404" i="18"/>
  <c r="CE404" i="18"/>
  <c r="CF404" i="18"/>
  <c r="CI404" i="18"/>
  <c r="CH404" i="18"/>
  <c r="CJ404" i="18"/>
  <c r="CK404" i="18"/>
  <c r="CL404" i="18"/>
  <c r="CM404" i="18"/>
  <c r="CO404" i="18"/>
  <c r="CN404" i="18"/>
  <c r="CQ404" i="18"/>
  <c r="CP404" i="18"/>
  <c r="CT404" i="18"/>
  <c r="CR404" i="18"/>
  <c r="CU404" i="18"/>
  <c r="CS404" i="18"/>
  <c r="CX404" i="18"/>
  <c r="CW404" i="18"/>
  <c r="CZ404" i="18"/>
  <c r="CV404" i="18"/>
  <c r="CY404" i="18"/>
  <c r="DC404" i="18"/>
  <c r="DD404" i="18"/>
  <c r="DB404" i="18"/>
  <c r="DE404" i="18"/>
  <c r="DA404" i="18"/>
  <c r="DF404" i="18"/>
  <c r="DG404" i="18"/>
  <c r="DH404" i="18"/>
  <c r="DI404" i="18"/>
  <c r="DM404" i="18"/>
  <c r="DK404" i="18"/>
  <c r="DN404" i="18"/>
  <c r="DL404" i="18"/>
  <c r="DJ404" i="18"/>
  <c r="DP404" i="18"/>
  <c r="DO404" i="18"/>
  <c r="DQ404" i="18"/>
  <c r="DR404" i="18"/>
  <c r="DW404" i="18"/>
  <c r="DS404" i="18"/>
  <c r="DT404" i="18"/>
  <c r="DU404" i="18"/>
  <c r="DX404" i="18"/>
  <c r="DZ404" i="18"/>
  <c r="DV404" i="18"/>
  <c r="DY404" i="18"/>
  <c r="EC404" i="18"/>
  <c r="EF404" i="18"/>
  <c r="EC41" i="18"/>
  <c r="EC47" i="18"/>
  <c r="EG348" i="18"/>
  <c r="EH345" i="18"/>
  <c r="EI175" i="18" s="1"/>
  <c r="F175" i="18" s="1"/>
  <c r="E175" i="18" s="1"/>
  <c r="E353" i="18"/>
  <c r="C33" i="15" s="1"/>
  <c r="EG297" i="18"/>
  <c r="EH294" i="18"/>
  <c r="EI123" i="18" s="1"/>
  <c r="EI359" i="18"/>
  <c r="EI358" i="18"/>
  <c r="F355" i="18"/>
  <c r="H359" i="18"/>
  <c r="J359" i="18"/>
  <c r="G359" i="18"/>
  <c r="N359" i="18"/>
  <c r="I359" i="18"/>
  <c r="O359" i="18"/>
  <c r="M359" i="18"/>
  <c r="K359" i="18"/>
  <c r="L359" i="18"/>
  <c r="P359" i="18"/>
  <c r="Q359" i="18"/>
  <c r="R359" i="18"/>
  <c r="T359" i="18"/>
  <c r="U359" i="18"/>
  <c r="S359" i="18"/>
  <c r="X359" i="18"/>
  <c r="V359" i="18"/>
  <c r="W359" i="18"/>
  <c r="Y359" i="18"/>
  <c r="Z359" i="18"/>
  <c r="AA359" i="18"/>
  <c r="AB359" i="18"/>
  <c r="AE359" i="18"/>
  <c r="AE358" i="18" s="1"/>
  <c r="AC359" i="18"/>
  <c r="AC358" i="18" s="1"/>
  <c r="AF359" i="18"/>
  <c r="AD359" i="18"/>
  <c r="AH359" i="18"/>
  <c r="AI359" i="18"/>
  <c r="AG359" i="18"/>
  <c r="AJ359" i="18"/>
  <c r="AL359" i="18"/>
  <c r="AK359" i="18"/>
  <c r="AM359" i="18"/>
  <c r="AN359" i="18"/>
  <c r="AP359" i="18"/>
  <c r="AO359" i="18"/>
  <c r="AR359" i="18"/>
  <c r="AR358" i="18" s="1"/>
  <c r="AQ359" i="18"/>
  <c r="AQ358" i="18" s="1"/>
  <c r="AW359" i="18"/>
  <c r="AT359" i="18"/>
  <c r="AT358" i="18" s="1"/>
  <c r="AU359" i="18"/>
  <c r="AS359" i="18"/>
  <c r="AS358" i="18" s="1"/>
  <c r="AY359" i="18"/>
  <c r="AV359" i="18"/>
  <c r="AX359" i="18"/>
  <c r="AZ359" i="18"/>
  <c r="BC359" i="18"/>
  <c r="BA359" i="18"/>
  <c r="BA358" i="18" s="1"/>
  <c r="BD359" i="18"/>
  <c r="BB359" i="18"/>
  <c r="BE359" i="18"/>
  <c r="BG359" i="18"/>
  <c r="BG358" i="18" s="1"/>
  <c r="BF359" i="18"/>
  <c r="BH359" i="18"/>
  <c r="BL359" i="18"/>
  <c r="BI359" i="18"/>
  <c r="BK359" i="18"/>
  <c r="BN359" i="18"/>
  <c r="BJ359" i="18"/>
  <c r="BP359" i="18"/>
  <c r="BS359" i="18"/>
  <c r="BM359" i="18"/>
  <c r="BO359" i="18"/>
  <c r="BQ359" i="18"/>
  <c r="BR359" i="18"/>
  <c r="BU359" i="18"/>
  <c r="BT359" i="18"/>
  <c r="BX359" i="18"/>
  <c r="BV359" i="18"/>
  <c r="BW359" i="18"/>
  <c r="BZ359" i="18"/>
  <c r="BY359" i="18"/>
  <c r="CC359" i="18"/>
  <c r="CA359" i="18"/>
  <c r="CD359" i="18"/>
  <c r="CB359" i="18"/>
  <c r="CE359" i="18"/>
  <c r="CI359" i="18"/>
  <c r="CH359" i="18"/>
  <c r="CF359" i="18"/>
  <c r="CG359" i="18"/>
  <c r="CJ359" i="18"/>
  <c r="CK359" i="18"/>
  <c r="CL359" i="18"/>
  <c r="CN359" i="18"/>
  <c r="CM359" i="18"/>
  <c r="CO359" i="18"/>
  <c r="CP359" i="18"/>
  <c r="CQ359" i="18"/>
  <c r="CS359" i="18"/>
  <c r="CR359" i="18"/>
  <c r="CV359" i="18"/>
  <c r="CT359" i="18"/>
  <c r="CU359" i="18"/>
  <c r="CY359" i="18"/>
  <c r="CW359" i="18"/>
  <c r="CX359" i="18"/>
  <c r="DA359" i="18"/>
  <c r="CZ359" i="18"/>
  <c r="DB359" i="18"/>
  <c r="DD359" i="18"/>
  <c r="DC359" i="18"/>
  <c r="DE359" i="18"/>
  <c r="DG359" i="18"/>
  <c r="DF359" i="18"/>
  <c r="DH359" i="18"/>
  <c r="DJ359" i="18"/>
  <c r="DI359" i="18"/>
  <c r="DL359" i="18"/>
  <c r="DK359" i="18"/>
  <c r="DN359" i="18"/>
  <c r="DM359" i="18"/>
  <c r="DQ359" i="18"/>
  <c r="DO359" i="18"/>
  <c r="DP359" i="18"/>
  <c r="DR359" i="18"/>
  <c r="DV359" i="18"/>
  <c r="DS359" i="18"/>
  <c r="DT359" i="18"/>
  <c r="DU359" i="18"/>
  <c r="DW359" i="18"/>
  <c r="DX359" i="18"/>
  <c r="DZ359" i="18"/>
  <c r="EC359" i="18"/>
  <c r="EB359" i="18"/>
  <c r="DY359" i="18"/>
  <c r="EF359" i="18"/>
  <c r="EG97" i="18"/>
  <c r="ED107" i="18"/>
  <c r="EG307" i="18"/>
  <c r="EH304" i="18"/>
  <c r="EH306" i="18" s="1"/>
  <c r="EG332" i="18"/>
  <c r="EH329" i="18"/>
  <c r="EH331" i="18" s="1"/>
  <c r="EC138" i="18"/>
  <c r="EE169" i="18"/>
  <c r="EG282" i="18"/>
  <c r="EH279" i="18"/>
  <c r="EH281" i="18" s="1"/>
  <c r="ED177" i="18"/>
  <c r="EC122" i="18"/>
  <c r="EF277" i="18"/>
  <c r="EG274" i="18"/>
  <c r="EG276" i="18" s="1"/>
  <c r="EF227" i="18"/>
  <c r="ED127" i="18"/>
  <c r="EE159" i="18"/>
  <c r="EH404" i="18"/>
  <c r="EH337" i="18"/>
  <c r="EI334" i="18"/>
  <c r="EH338" i="18" s="1"/>
  <c r="EH327" i="18"/>
  <c r="EI324" i="18"/>
  <c r="EF328" i="18" s="1"/>
  <c r="EE149" i="18"/>
  <c r="EF302" i="18"/>
  <c r="EG299" i="18"/>
  <c r="EH128" i="18" s="1"/>
  <c r="ED164" i="18"/>
  <c r="EE144" i="18"/>
  <c r="EA404" i="18"/>
  <c r="EH359" i="18"/>
  <c r="EE214" i="18"/>
  <c r="EE60" i="18" s="1"/>
  <c r="EF215" i="18"/>
  <c r="EG322" i="18"/>
  <c r="EH319" i="18"/>
  <c r="EH321" i="18" s="1"/>
  <c r="ED211" i="18"/>
  <c r="ED59" i="18" s="1"/>
  <c r="EE212" i="18"/>
  <c r="EB404" i="18"/>
  <c r="ED102" i="18"/>
  <c r="EI318" i="18"/>
  <c r="EI317" i="18"/>
  <c r="G318" i="18"/>
  <c r="H318" i="18"/>
  <c r="F314" i="18"/>
  <c r="J318" i="18"/>
  <c r="K318" i="18"/>
  <c r="I318" i="18"/>
  <c r="Q318" i="18"/>
  <c r="P318" i="18"/>
  <c r="O318" i="18"/>
  <c r="L318" i="18"/>
  <c r="M318" i="18"/>
  <c r="N318" i="18"/>
  <c r="S318" i="18"/>
  <c r="R318" i="18"/>
  <c r="T318" i="18"/>
  <c r="U318" i="18"/>
  <c r="V318" i="18"/>
  <c r="W318" i="18"/>
  <c r="X318" i="18"/>
  <c r="Y318" i="18"/>
  <c r="Z318" i="18"/>
  <c r="AA318" i="18"/>
  <c r="AB318" i="18"/>
  <c r="AC318" i="18"/>
  <c r="AD318" i="18"/>
  <c r="AG318" i="18"/>
  <c r="AE318" i="18"/>
  <c r="AF318" i="18"/>
  <c r="AJ318" i="18"/>
  <c r="AI318" i="18"/>
  <c r="AH318" i="18"/>
  <c r="AK318" i="18"/>
  <c r="AM318" i="18"/>
  <c r="AL318" i="18"/>
  <c r="AN318" i="18"/>
  <c r="AO318" i="18"/>
  <c r="AP318" i="18"/>
  <c r="AQ318" i="18"/>
  <c r="AR318" i="18"/>
  <c r="AT318" i="18"/>
  <c r="AS318" i="18"/>
  <c r="AU318" i="18"/>
  <c r="AV318" i="18"/>
  <c r="AW318" i="18"/>
  <c r="AW317" i="18" s="1"/>
  <c r="AX318" i="18"/>
  <c r="AZ318" i="18"/>
  <c r="AY318" i="18"/>
  <c r="AY317" i="18" s="1"/>
  <c r="BA318" i="18"/>
  <c r="BC318" i="18"/>
  <c r="BB318" i="18"/>
  <c r="BD318" i="18"/>
  <c r="BF318" i="18"/>
  <c r="BE318" i="18"/>
  <c r="BG318" i="18"/>
  <c r="BJ318" i="18"/>
  <c r="BH318" i="18"/>
  <c r="BH317" i="18" s="1"/>
  <c r="BI318" i="18"/>
  <c r="BK318" i="18"/>
  <c r="BM318" i="18"/>
  <c r="BL318" i="18"/>
  <c r="BN318" i="18"/>
  <c r="BO318" i="18"/>
  <c r="BP318" i="18"/>
  <c r="BQ318" i="18"/>
  <c r="BR318" i="18"/>
  <c r="BT318" i="18"/>
  <c r="BS318" i="18"/>
  <c r="BV318" i="18"/>
  <c r="BU318" i="18"/>
  <c r="BW318" i="18"/>
  <c r="BX318" i="18"/>
  <c r="BZ318" i="18"/>
  <c r="BY318" i="18"/>
  <c r="CA318" i="18"/>
  <c r="CD318" i="18"/>
  <c r="CB318" i="18"/>
  <c r="CF318" i="18"/>
  <c r="CC318" i="18"/>
  <c r="CE318" i="18"/>
  <c r="CH318" i="18"/>
  <c r="CG318" i="18"/>
  <c r="CI318" i="18"/>
  <c r="CO318" i="18"/>
  <c r="CK318" i="18"/>
  <c r="CL318" i="18"/>
  <c r="CM318" i="18"/>
  <c r="CJ318" i="18"/>
  <c r="CN318" i="18"/>
  <c r="CP318" i="18"/>
  <c r="CQ318" i="18"/>
  <c r="CR318" i="18"/>
  <c r="CU318" i="18"/>
  <c r="CT318" i="18"/>
  <c r="CV318" i="18"/>
  <c r="CS318" i="18"/>
  <c r="CW318" i="18"/>
  <c r="CY318" i="18"/>
  <c r="CX318" i="18"/>
  <c r="CZ318" i="18"/>
  <c r="DA318" i="18"/>
  <c r="DE318" i="18"/>
  <c r="DC318" i="18"/>
  <c r="DB318" i="18"/>
  <c r="DH318" i="18"/>
  <c r="DD318" i="18"/>
  <c r="DF318" i="18"/>
  <c r="DI318" i="18"/>
  <c r="DG318" i="18"/>
  <c r="DJ318" i="18"/>
  <c r="DM318" i="18"/>
  <c r="DK318" i="18"/>
  <c r="DL318" i="18"/>
  <c r="DO318" i="18"/>
  <c r="DN318" i="18"/>
  <c r="DP318" i="18"/>
  <c r="DS318" i="18"/>
  <c r="DQ318" i="18"/>
  <c r="DR318" i="18"/>
  <c r="DT318" i="18"/>
  <c r="DV318" i="18"/>
  <c r="DU318" i="18"/>
  <c r="DW318" i="18"/>
  <c r="DX318" i="18"/>
  <c r="DZ318" i="18"/>
  <c r="DY318" i="18"/>
  <c r="EC318" i="18"/>
  <c r="EB318" i="18"/>
  <c r="EG318" i="18"/>
  <c r="EE318" i="18"/>
  <c r="ED182" i="18"/>
  <c r="EH318" i="18"/>
  <c r="EC196" i="18"/>
  <c r="EC52" i="18" s="1"/>
  <c r="ED197" i="18"/>
  <c r="EF154" i="18"/>
  <c r="EH383" i="18"/>
  <c r="EI380" i="18"/>
  <c r="EI313" i="18"/>
  <c r="EI312" i="18"/>
  <c r="H313" i="18"/>
  <c r="G313" i="18"/>
  <c r="F309" i="18"/>
  <c r="I313" i="18"/>
  <c r="K313" i="18"/>
  <c r="J313" i="18"/>
  <c r="L313" i="18"/>
  <c r="P313" i="18"/>
  <c r="Q313" i="18"/>
  <c r="M313" i="18"/>
  <c r="N313" i="18"/>
  <c r="O313" i="18"/>
  <c r="R313" i="18"/>
  <c r="S313" i="18"/>
  <c r="T313" i="18"/>
  <c r="U313" i="18"/>
  <c r="V313" i="18"/>
  <c r="W313" i="18"/>
  <c r="X313" i="18"/>
  <c r="Y313" i="18"/>
  <c r="Z313" i="18"/>
  <c r="AA313" i="18"/>
  <c r="AB313" i="18"/>
  <c r="AC313" i="18"/>
  <c r="AF313" i="18"/>
  <c r="AD313" i="18"/>
  <c r="AE313" i="18"/>
  <c r="AG313" i="18"/>
  <c r="AH313" i="18"/>
  <c r="AI313" i="18"/>
  <c r="AJ313" i="18"/>
  <c r="AK313" i="18"/>
  <c r="AL313" i="18"/>
  <c r="AN313" i="18"/>
  <c r="AM313" i="18"/>
  <c r="AO313" i="18"/>
  <c r="AP313" i="18"/>
  <c r="AQ313" i="18"/>
  <c r="AT313" i="18"/>
  <c r="AR313" i="18"/>
  <c r="AS313" i="18"/>
  <c r="AW313" i="18"/>
  <c r="AU313" i="18"/>
  <c r="AX313" i="18"/>
  <c r="AX312" i="18" s="1"/>
  <c r="AV313" i="18"/>
  <c r="BA313" i="18"/>
  <c r="BA312" i="18" s="1"/>
  <c r="AY313" i="18"/>
  <c r="AZ313" i="18"/>
  <c r="BC313" i="18"/>
  <c r="BB313" i="18"/>
  <c r="BD313" i="18"/>
  <c r="BD312" i="18" s="1"/>
  <c r="BE313" i="18"/>
  <c r="BE312" i="18" s="1"/>
  <c r="BF313" i="18"/>
  <c r="BI313" i="18"/>
  <c r="BG313" i="18"/>
  <c r="BK313" i="18"/>
  <c r="BH313" i="18"/>
  <c r="BM313" i="18"/>
  <c r="BJ313" i="18"/>
  <c r="BL313" i="18"/>
  <c r="BN313" i="18"/>
  <c r="BO313" i="18"/>
  <c r="BS313" i="18"/>
  <c r="BP313" i="18"/>
  <c r="BQ313" i="18"/>
  <c r="BR313" i="18"/>
  <c r="BU313" i="18"/>
  <c r="BW313" i="18"/>
  <c r="BT313" i="18"/>
  <c r="BV313" i="18"/>
  <c r="BX313" i="18"/>
  <c r="BY313" i="18"/>
  <c r="CA313" i="18"/>
  <c r="BZ313" i="18"/>
  <c r="CC313" i="18"/>
  <c r="CB313" i="18"/>
  <c r="CF313" i="18"/>
  <c r="CG313" i="18"/>
  <c r="CD313" i="18"/>
  <c r="CE313" i="18"/>
  <c r="CH313" i="18"/>
  <c r="CI313" i="18"/>
  <c r="CL313" i="18"/>
  <c r="CJ313" i="18"/>
  <c r="CM313" i="18"/>
  <c r="CK313" i="18"/>
  <c r="CP313" i="18"/>
  <c r="CN313" i="18"/>
  <c r="CO313" i="18"/>
  <c r="CQ313" i="18"/>
  <c r="CR313" i="18"/>
  <c r="CS313" i="18"/>
  <c r="CU313" i="18"/>
  <c r="CT313" i="18"/>
  <c r="DA313" i="18"/>
  <c r="CV313" i="18"/>
  <c r="CW313" i="18"/>
  <c r="CY313" i="18"/>
  <c r="DB313" i="18"/>
  <c r="CX313" i="18"/>
  <c r="DE313" i="18"/>
  <c r="CZ313" i="18"/>
  <c r="DC313" i="18"/>
  <c r="DD313" i="18"/>
  <c r="DF313" i="18"/>
  <c r="DH313" i="18"/>
  <c r="DG313" i="18"/>
  <c r="DI313" i="18"/>
  <c r="DJ313" i="18"/>
  <c r="DK313" i="18"/>
  <c r="DO313" i="18"/>
  <c r="DL313" i="18"/>
  <c r="DM313" i="18"/>
  <c r="DN313" i="18"/>
  <c r="DP313" i="18"/>
  <c r="DR313" i="18"/>
  <c r="DQ313" i="18"/>
  <c r="DS313" i="18"/>
  <c r="DT313" i="18"/>
  <c r="DU313" i="18"/>
  <c r="DV313" i="18"/>
  <c r="DW313" i="18"/>
  <c r="DX313" i="18"/>
  <c r="DY313" i="18"/>
  <c r="EA313" i="18"/>
  <c r="DZ313" i="18"/>
  <c r="E389" i="18"/>
  <c r="EF378" i="18"/>
  <c r="EG375" i="18"/>
  <c r="EG377" i="18" s="1"/>
  <c r="EE404" i="18"/>
  <c r="ED217" i="18"/>
  <c r="EE218" i="18"/>
  <c r="E354" i="18"/>
  <c r="D33" i="15" s="1"/>
  <c r="EI409" i="18"/>
  <c r="EI408" i="18"/>
  <c r="I409" i="18"/>
  <c r="H409" i="18"/>
  <c r="G409" i="18"/>
  <c r="F405" i="18"/>
  <c r="K409" i="18"/>
  <c r="J409" i="18"/>
  <c r="L409" i="18"/>
  <c r="M409" i="18"/>
  <c r="R409" i="18"/>
  <c r="N409" i="18"/>
  <c r="Q409" i="18"/>
  <c r="O409" i="18"/>
  <c r="S409" i="18"/>
  <c r="P409" i="18"/>
  <c r="V409" i="18"/>
  <c r="U409" i="18"/>
  <c r="T409" i="18"/>
  <c r="W409" i="18"/>
  <c r="X409" i="18"/>
  <c r="AA409" i="18"/>
  <c r="Y409" i="18"/>
  <c r="Z409" i="18"/>
  <c r="AB409" i="18"/>
  <c r="AC409" i="18"/>
  <c r="AD409" i="18"/>
  <c r="AF409" i="18"/>
  <c r="AE409" i="18"/>
  <c r="AG409" i="18"/>
  <c r="AJ409" i="18"/>
  <c r="AI409" i="18"/>
  <c r="AH409" i="18"/>
  <c r="AK409" i="18"/>
  <c r="AM409" i="18"/>
  <c r="AL409" i="18"/>
  <c r="AN409" i="18"/>
  <c r="AO409" i="18"/>
  <c r="AQ409" i="18"/>
  <c r="AR409" i="18"/>
  <c r="AP409" i="18"/>
  <c r="AV409" i="18"/>
  <c r="AS409" i="18"/>
  <c r="AU409" i="18"/>
  <c r="AT409" i="18"/>
  <c r="AX409" i="18"/>
  <c r="AW409" i="18"/>
  <c r="AZ409" i="18"/>
  <c r="BA409" i="18"/>
  <c r="BD409" i="18"/>
  <c r="AY409" i="18"/>
  <c r="BC409" i="18"/>
  <c r="BB409" i="18"/>
  <c r="BE409" i="18"/>
  <c r="BF409" i="18"/>
  <c r="BF408" i="18" s="1"/>
  <c r="BG409" i="18"/>
  <c r="BG408" i="18" s="1"/>
  <c r="BI409" i="18"/>
  <c r="BH409" i="18"/>
  <c r="BJ409" i="18"/>
  <c r="BL409" i="18"/>
  <c r="BK409" i="18"/>
  <c r="BM409" i="18"/>
  <c r="BP409" i="18"/>
  <c r="BN409" i="18"/>
  <c r="BR409" i="18"/>
  <c r="BS409" i="18"/>
  <c r="BO409" i="18"/>
  <c r="BQ409" i="18"/>
  <c r="BW409" i="18"/>
  <c r="BT409" i="18"/>
  <c r="BU409" i="18"/>
  <c r="BV409" i="18"/>
  <c r="BX409" i="18"/>
  <c r="BZ409" i="18"/>
  <c r="CB409" i="18"/>
  <c r="CA409" i="18"/>
  <c r="BY409" i="18"/>
  <c r="CC409" i="18"/>
  <c r="CD409" i="18"/>
  <c r="CF409" i="18"/>
  <c r="CI409" i="18"/>
  <c r="CE409" i="18"/>
  <c r="CG409" i="18"/>
  <c r="CJ409" i="18"/>
  <c r="CH409" i="18"/>
  <c r="CL409" i="18"/>
  <c r="CK409" i="18"/>
  <c r="CO409" i="18"/>
  <c r="CM409" i="18"/>
  <c r="CN409" i="18"/>
  <c r="CT409" i="18"/>
  <c r="CP409" i="18"/>
  <c r="CS409" i="18"/>
  <c r="CQ409" i="18"/>
  <c r="CR409" i="18"/>
  <c r="CV409" i="18"/>
  <c r="CU409" i="18"/>
  <c r="CW409" i="18"/>
  <c r="CX409" i="18"/>
  <c r="CZ409" i="18"/>
  <c r="CY409" i="18"/>
  <c r="DA409" i="18"/>
  <c r="DC409" i="18"/>
  <c r="DB409" i="18"/>
  <c r="DD409" i="18"/>
  <c r="DE409" i="18"/>
  <c r="DF409" i="18"/>
  <c r="DI409" i="18"/>
  <c r="DG409" i="18"/>
  <c r="DH409" i="18"/>
  <c r="DJ409" i="18"/>
  <c r="DL409" i="18"/>
  <c r="DK409" i="18"/>
  <c r="DM409" i="18"/>
  <c r="DN409" i="18"/>
  <c r="DO409" i="18"/>
  <c r="DQ409" i="18"/>
  <c r="DR409" i="18"/>
  <c r="DP409" i="18"/>
  <c r="DS409" i="18"/>
  <c r="DW409" i="18"/>
  <c r="DU409" i="18"/>
  <c r="DT409" i="18"/>
  <c r="DV409" i="18"/>
  <c r="DY409" i="18"/>
  <c r="DX409" i="18"/>
  <c r="EB409" i="18"/>
  <c r="DZ409" i="18"/>
  <c r="EA409" i="18"/>
  <c r="EG338" i="18"/>
  <c r="ED359" i="18"/>
  <c r="EA173" i="18"/>
  <c r="EA64" i="18" s="1"/>
  <c r="DX33" i="14" s="1"/>
  <c r="DX31" i="14" s="1"/>
  <c r="EB174" i="18"/>
  <c r="EG342" i="18"/>
  <c r="EH339" i="18"/>
  <c r="EI170" i="18" s="1"/>
  <c r="ED409" i="18"/>
  <c r="N99" i="18" l="1"/>
  <c r="O99" i="18" s="1"/>
  <c r="O96" i="18" s="1"/>
  <c r="AH180" i="18"/>
  <c r="EE199" i="18"/>
  <c r="EE57" i="18" s="1"/>
  <c r="EF200" i="18"/>
  <c r="EH373" i="18"/>
  <c r="EI370" i="18"/>
  <c r="EG374" i="18" s="1"/>
  <c r="EG328" i="18"/>
  <c r="EE328" i="18"/>
  <c r="M23" i="18"/>
  <c r="M24" i="18"/>
  <c r="J17" i="14" s="1"/>
  <c r="DZ29" i="14"/>
  <c r="EI133" i="18"/>
  <c r="EH198" i="18"/>
  <c r="EI150" i="18"/>
  <c r="F170" i="18"/>
  <c r="E170" i="18" s="1"/>
  <c r="H171" i="18"/>
  <c r="EI326" i="18"/>
  <c r="J11" i="14"/>
  <c r="F357" i="18"/>
  <c r="E357" i="18"/>
  <c r="K176" i="18"/>
  <c r="K49" i="18" s="1"/>
  <c r="H26" i="14" s="1"/>
  <c r="L179" i="18"/>
  <c r="AI180" i="18" s="1"/>
  <c r="EH296" i="18"/>
  <c r="I11" i="14"/>
  <c r="I146" i="18"/>
  <c r="J146" i="18" s="1"/>
  <c r="J143" i="18" s="1"/>
  <c r="J46" i="18" s="1"/>
  <c r="AE147" i="18"/>
  <c r="H143" i="18"/>
  <c r="H46" i="18" s="1"/>
  <c r="E407" i="18"/>
  <c r="F407" i="18"/>
  <c r="EI336" i="18"/>
  <c r="AI100" i="18"/>
  <c r="EG301" i="18"/>
  <c r="EA384" i="18"/>
  <c r="EI382" i="18"/>
  <c r="F123" i="18"/>
  <c r="E123" i="18" s="1"/>
  <c r="H124" i="18"/>
  <c r="EI135" i="18"/>
  <c r="F135" i="18" s="1"/>
  <c r="E135" i="18" s="1"/>
  <c r="F11" i="14"/>
  <c r="H156" i="18"/>
  <c r="F155" i="18"/>
  <c r="E155" i="18" s="1"/>
  <c r="EH347" i="18"/>
  <c r="I181" i="18"/>
  <c r="I50" i="18" s="1"/>
  <c r="EH341" i="18"/>
  <c r="EI108" i="18"/>
  <c r="AF142" i="18"/>
  <c r="AG142" i="18" s="1"/>
  <c r="K15" i="18"/>
  <c r="K23" i="18"/>
  <c r="K24" i="18"/>
  <c r="H17" i="14" s="1"/>
  <c r="EH103" i="18"/>
  <c r="E311" i="18"/>
  <c r="F311" i="18"/>
  <c r="K140" i="18"/>
  <c r="I137" i="18"/>
  <c r="I36" i="18" s="1"/>
  <c r="F22" i="14" s="1"/>
  <c r="AF185" i="18"/>
  <c r="N96" i="18"/>
  <c r="EI160" i="18"/>
  <c r="K184" i="18"/>
  <c r="J181" i="18"/>
  <c r="J50" i="18" s="1"/>
  <c r="E316" i="18"/>
  <c r="F316" i="18"/>
  <c r="F165" i="18"/>
  <c r="E165" i="18" s="1"/>
  <c r="H166" i="18"/>
  <c r="EB338" i="18"/>
  <c r="EE206" i="18"/>
  <c r="ED205" i="18"/>
  <c r="ED55" i="18" s="1"/>
  <c r="EC384" i="18"/>
  <c r="EH328" i="18"/>
  <c r="EB173" i="18"/>
  <c r="EB64" i="18" s="1"/>
  <c r="DY33" i="14" s="1"/>
  <c r="DY31" i="14" s="1"/>
  <c r="EC174" i="18"/>
  <c r="E409" i="18"/>
  <c r="EG378" i="18"/>
  <c r="EH375" i="18"/>
  <c r="EH377" i="18" s="1"/>
  <c r="EG154" i="18"/>
  <c r="ED196" i="18"/>
  <c r="ED52" i="18" s="1"/>
  <c r="EE197" i="18"/>
  <c r="E318" i="18"/>
  <c r="EH322" i="18"/>
  <c r="EI319" i="18"/>
  <c r="EF144" i="18"/>
  <c r="EG302" i="18"/>
  <c r="EH299" i="18"/>
  <c r="EI128" i="18" s="1"/>
  <c r="EG277" i="18"/>
  <c r="EH274" i="18"/>
  <c r="EH276" i="18" s="1"/>
  <c r="EG227" i="18"/>
  <c r="ED122" i="18"/>
  <c r="EH282" i="18"/>
  <c r="EI279" i="18"/>
  <c r="EH348" i="18"/>
  <c r="EI345" i="18"/>
  <c r="EB349" i="18" s="1"/>
  <c r="E403" i="18"/>
  <c r="EF132" i="18"/>
  <c r="E313" i="18"/>
  <c r="D24" i="15" s="1"/>
  <c r="EI384" i="18"/>
  <c r="EI383" i="18"/>
  <c r="I384" i="18"/>
  <c r="G384" i="18"/>
  <c r="F380" i="18"/>
  <c r="H384" i="18"/>
  <c r="J384" i="18"/>
  <c r="N384" i="18"/>
  <c r="K384" i="18"/>
  <c r="L384" i="18"/>
  <c r="M384" i="18"/>
  <c r="O384" i="18"/>
  <c r="P384" i="18"/>
  <c r="R384" i="18"/>
  <c r="Q384" i="18"/>
  <c r="S384" i="18"/>
  <c r="T384" i="18"/>
  <c r="Y384" i="18"/>
  <c r="V384" i="18"/>
  <c r="U384" i="18"/>
  <c r="W384" i="18"/>
  <c r="X384" i="18"/>
  <c r="Z384" i="18"/>
  <c r="AA384" i="18"/>
  <c r="AB384" i="18"/>
  <c r="AC384" i="18"/>
  <c r="AD384" i="18"/>
  <c r="AE384" i="18"/>
  <c r="AI384" i="18"/>
  <c r="AH384" i="18"/>
  <c r="AG384" i="18"/>
  <c r="AF384" i="18"/>
  <c r="AJ384" i="18"/>
  <c r="AK384" i="18"/>
  <c r="AM384" i="18"/>
  <c r="AO384" i="18"/>
  <c r="AL384" i="18"/>
  <c r="AN384" i="18"/>
  <c r="AP384" i="18"/>
  <c r="AS384" i="18"/>
  <c r="AR384" i="18"/>
  <c r="AQ384" i="18"/>
  <c r="AT384" i="18"/>
  <c r="AU384" i="18"/>
  <c r="AW384" i="18"/>
  <c r="AV384" i="18"/>
  <c r="AZ384" i="18"/>
  <c r="AX384" i="18"/>
  <c r="AX383" i="18" s="1"/>
  <c r="AY384" i="18"/>
  <c r="BB384" i="18"/>
  <c r="BA384" i="18"/>
  <c r="BC384" i="18"/>
  <c r="BE384" i="18"/>
  <c r="BG384" i="18"/>
  <c r="BF384" i="18"/>
  <c r="BD384" i="18"/>
  <c r="BH384" i="18"/>
  <c r="BI384" i="18"/>
  <c r="BK384" i="18"/>
  <c r="BJ384" i="18"/>
  <c r="BQ384" i="18"/>
  <c r="BN384" i="18"/>
  <c r="BL384" i="18"/>
  <c r="BO384" i="18"/>
  <c r="BM384" i="18"/>
  <c r="BP384" i="18"/>
  <c r="BR384" i="18"/>
  <c r="BT384" i="18"/>
  <c r="BS384" i="18"/>
  <c r="BU384" i="18"/>
  <c r="BX384" i="18"/>
  <c r="BV384" i="18"/>
  <c r="BW384" i="18"/>
  <c r="BY384" i="18"/>
  <c r="CB384" i="18"/>
  <c r="BZ384" i="18"/>
  <c r="BZ383" i="18" s="1"/>
  <c r="CA384" i="18"/>
  <c r="CC384" i="18"/>
  <c r="CD384" i="18"/>
  <c r="CE384" i="18"/>
  <c r="CH384" i="18"/>
  <c r="CF384" i="18"/>
  <c r="CG384" i="18"/>
  <c r="CI384" i="18"/>
  <c r="CJ384" i="18"/>
  <c r="CL384" i="18"/>
  <c r="CK384" i="18"/>
  <c r="CM384" i="18"/>
  <c r="CO384" i="18"/>
  <c r="CP384" i="18"/>
  <c r="CN384" i="18"/>
  <c r="CR384" i="18"/>
  <c r="CQ384" i="18"/>
  <c r="CS384" i="18"/>
  <c r="CX384" i="18"/>
  <c r="CT384" i="18"/>
  <c r="CU384" i="18"/>
  <c r="CV384" i="18"/>
  <c r="CW384" i="18"/>
  <c r="CY384" i="18"/>
  <c r="DD384" i="18"/>
  <c r="DB384" i="18"/>
  <c r="DA384" i="18"/>
  <c r="CZ384" i="18"/>
  <c r="DC384" i="18"/>
  <c r="DE384" i="18"/>
  <c r="DI384" i="18"/>
  <c r="DG384" i="18"/>
  <c r="DF384" i="18"/>
  <c r="DH384" i="18"/>
  <c r="DK384" i="18"/>
  <c r="DM384" i="18"/>
  <c r="DJ384" i="18"/>
  <c r="DL384" i="18"/>
  <c r="DP384" i="18"/>
  <c r="DO384" i="18"/>
  <c r="DN384" i="18"/>
  <c r="DT384" i="18"/>
  <c r="DQ384" i="18"/>
  <c r="DS384" i="18"/>
  <c r="DR384" i="18"/>
  <c r="DU384" i="18"/>
  <c r="DV384" i="18"/>
  <c r="DW384" i="18"/>
  <c r="DX384" i="18"/>
  <c r="DY384" i="18"/>
  <c r="ED384" i="18"/>
  <c r="DZ384" i="18"/>
  <c r="EF384" i="18"/>
  <c r="EE384" i="18"/>
  <c r="EG384" i="18"/>
  <c r="EB384" i="18"/>
  <c r="EE182" i="18"/>
  <c r="E317" i="18"/>
  <c r="EE164" i="18"/>
  <c r="EF149" i="18"/>
  <c r="EI338" i="18"/>
  <c r="EI337" i="18"/>
  <c r="G338" i="18"/>
  <c r="F334" i="18"/>
  <c r="H338" i="18"/>
  <c r="I338" i="18"/>
  <c r="J338" i="18"/>
  <c r="O338" i="18"/>
  <c r="L338" i="18"/>
  <c r="K338" i="18"/>
  <c r="M338" i="18"/>
  <c r="N338" i="18"/>
  <c r="P338" i="18"/>
  <c r="R338" i="18"/>
  <c r="Q338" i="18"/>
  <c r="T338" i="18"/>
  <c r="S338" i="18"/>
  <c r="U338" i="18"/>
  <c r="X338" i="18"/>
  <c r="V338" i="18"/>
  <c r="W338" i="18"/>
  <c r="Y338" i="18"/>
  <c r="AB338" i="18"/>
  <c r="Z338" i="18"/>
  <c r="AA338" i="18"/>
  <c r="AC338" i="18"/>
  <c r="AC337" i="18" s="1"/>
  <c r="AE338" i="18"/>
  <c r="AD338" i="18"/>
  <c r="AF338" i="18"/>
  <c r="AG338" i="18"/>
  <c r="AH338" i="18"/>
  <c r="AK338" i="18"/>
  <c r="AK337" i="18" s="1"/>
  <c r="AJ338" i="18"/>
  <c r="AI338" i="18"/>
  <c r="AL338" i="18"/>
  <c r="AM338" i="18"/>
  <c r="AO338" i="18"/>
  <c r="AP338" i="18"/>
  <c r="AN338" i="18"/>
  <c r="AQ338" i="18"/>
  <c r="AQ337" i="18" s="1"/>
  <c r="AR338" i="18"/>
  <c r="AR337" i="18" s="1"/>
  <c r="AS338" i="18"/>
  <c r="AT338" i="18"/>
  <c r="AT337" i="18" s="1"/>
  <c r="AU338" i="18"/>
  <c r="AW338" i="18"/>
  <c r="AW337" i="18" s="1"/>
  <c r="AY338" i="18"/>
  <c r="AY337" i="18" s="1"/>
  <c r="AV338" i="18"/>
  <c r="AZ338" i="18"/>
  <c r="AX338" i="18"/>
  <c r="BB338" i="18"/>
  <c r="BB337" i="18" s="1"/>
  <c r="BA338" i="18"/>
  <c r="BC338" i="18"/>
  <c r="BC337" i="18" s="1"/>
  <c r="BD338" i="18"/>
  <c r="BE338" i="18"/>
  <c r="BE337" i="18" s="1"/>
  <c r="BI338" i="18"/>
  <c r="BG338" i="18"/>
  <c r="BH338" i="18"/>
  <c r="BH337" i="18" s="1"/>
  <c r="BF338" i="18"/>
  <c r="BJ338" i="18"/>
  <c r="BJ337" i="18" s="1"/>
  <c r="BL338" i="18"/>
  <c r="BK338" i="18"/>
  <c r="BM338" i="18"/>
  <c r="BO338" i="18"/>
  <c r="BN338" i="18"/>
  <c r="BP338" i="18"/>
  <c r="BR338" i="18"/>
  <c r="BQ338" i="18"/>
  <c r="BS338" i="18"/>
  <c r="BT338" i="18"/>
  <c r="BU338" i="18"/>
  <c r="BV338" i="18"/>
  <c r="BW338" i="18"/>
  <c r="BY338" i="18"/>
  <c r="BX338" i="18"/>
  <c r="CB338" i="18"/>
  <c r="BZ338" i="18"/>
  <c r="CC338" i="18"/>
  <c r="CA338" i="18"/>
  <c r="CE338" i="18"/>
  <c r="CD338" i="18"/>
  <c r="CF338" i="18"/>
  <c r="CG338" i="18"/>
  <c r="CH338" i="18"/>
  <c r="CK338" i="18"/>
  <c r="CI338" i="18"/>
  <c r="CJ338" i="18"/>
  <c r="CN338" i="18"/>
  <c r="CL338" i="18"/>
  <c r="CM338" i="18"/>
  <c r="CP338" i="18"/>
  <c r="CO338" i="18"/>
  <c r="CQ338" i="18"/>
  <c r="CS338" i="18"/>
  <c r="CR338" i="18"/>
  <c r="CT338" i="18"/>
  <c r="CV338" i="18"/>
  <c r="CU338" i="18"/>
  <c r="CW338" i="18"/>
  <c r="CX338" i="18"/>
  <c r="CY338" i="18"/>
  <c r="CZ338" i="18"/>
  <c r="DA338" i="18"/>
  <c r="DB338" i="18"/>
  <c r="DC338" i="18"/>
  <c r="DD338" i="18"/>
  <c r="DE338" i="18"/>
  <c r="DF338" i="18"/>
  <c r="DG338" i="18"/>
  <c r="DI338" i="18"/>
  <c r="DH338" i="18"/>
  <c r="DK338" i="18"/>
  <c r="DJ338" i="18"/>
  <c r="DL338" i="18"/>
  <c r="DM338" i="18"/>
  <c r="DN338" i="18"/>
  <c r="DO338" i="18"/>
  <c r="DP338" i="18"/>
  <c r="DQ338" i="18"/>
  <c r="DT338" i="18"/>
  <c r="DR338" i="18"/>
  <c r="DU338" i="18"/>
  <c r="DS338" i="18"/>
  <c r="DV338" i="18"/>
  <c r="DW338" i="18"/>
  <c r="DY338" i="18"/>
  <c r="DX338" i="18"/>
  <c r="DZ338" i="18"/>
  <c r="EE338" i="18"/>
  <c r="EA338" i="18"/>
  <c r="EC338" i="18"/>
  <c r="ED338" i="18"/>
  <c r="EF338" i="18"/>
  <c r="EE127" i="18"/>
  <c r="EH332" i="18"/>
  <c r="EI329" i="18"/>
  <c r="E404" i="18"/>
  <c r="EE217" i="18"/>
  <c r="EF218" i="18"/>
  <c r="EE211" i="18"/>
  <c r="EE59" i="18" s="1"/>
  <c r="EF212" i="18"/>
  <c r="EE177" i="18"/>
  <c r="ED138" i="18"/>
  <c r="EH307" i="18"/>
  <c r="EI304" i="18"/>
  <c r="EE107" i="18"/>
  <c r="EH97" i="18"/>
  <c r="ED202" i="18"/>
  <c r="ED58" i="18" s="1"/>
  <c r="EE203" i="18"/>
  <c r="EH342" i="18"/>
  <c r="EI339" i="18"/>
  <c r="EC343" i="18" s="1"/>
  <c r="E408" i="18"/>
  <c r="ED41" i="18"/>
  <c r="ED47" i="18"/>
  <c r="E312" i="18"/>
  <c r="C24" i="15" s="1"/>
  <c r="EH384" i="18"/>
  <c r="EE102" i="18"/>
  <c r="EF214" i="18"/>
  <c r="EF60" i="18" s="1"/>
  <c r="EG215" i="18"/>
  <c r="EI327" i="18"/>
  <c r="EI328" i="18"/>
  <c r="H328" i="18"/>
  <c r="F324" i="18"/>
  <c r="G328" i="18"/>
  <c r="I328" i="18"/>
  <c r="L328" i="18"/>
  <c r="K328" i="18"/>
  <c r="J328" i="18"/>
  <c r="N328" i="18"/>
  <c r="M328" i="18"/>
  <c r="Q328" i="18"/>
  <c r="O328" i="18"/>
  <c r="S328" i="18"/>
  <c r="U328" i="18"/>
  <c r="R328" i="18"/>
  <c r="P328" i="18"/>
  <c r="T328" i="18"/>
  <c r="W328" i="18"/>
  <c r="V328" i="18"/>
  <c r="X328" i="18"/>
  <c r="AB328" i="18"/>
  <c r="Y328" i="18"/>
  <c r="AA328" i="18"/>
  <c r="Z328" i="18"/>
  <c r="AC328" i="18"/>
  <c r="AD328" i="18"/>
  <c r="AJ328" i="18"/>
  <c r="AE328" i="18"/>
  <c r="AF328" i="18"/>
  <c r="AG328" i="18"/>
  <c r="AH328" i="18"/>
  <c r="AL328" i="18"/>
  <c r="AI328" i="18"/>
  <c r="AK328" i="18"/>
  <c r="AN328" i="18"/>
  <c r="AM328" i="18"/>
  <c r="AO328" i="18"/>
  <c r="AQ328" i="18"/>
  <c r="AP328" i="18"/>
  <c r="AR328" i="18"/>
  <c r="AS328" i="18"/>
  <c r="AU328" i="18"/>
  <c r="AV328" i="18"/>
  <c r="AV327" i="18" s="1"/>
  <c r="AT328" i="18"/>
  <c r="AT327" i="18" s="1"/>
  <c r="AW328" i="18"/>
  <c r="AW327" i="18" s="1"/>
  <c r="AX328" i="18"/>
  <c r="AZ328" i="18"/>
  <c r="AZ327" i="18" s="1"/>
  <c r="BB328" i="18"/>
  <c r="AY328" i="18"/>
  <c r="AY327" i="18" s="1"/>
  <c r="BA328" i="18"/>
  <c r="BA327" i="18" s="1"/>
  <c r="BC328" i="18"/>
  <c r="BD328" i="18"/>
  <c r="BG328" i="18"/>
  <c r="BE328" i="18"/>
  <c r="BH328" i="18"/>
  <c r="BF328" i="18"/>
  <c r="BK328" i="18"/>
  <c r="BI328" i="18"/>
  <c r="BL328" i="18"/>
  <c r="BJ328" i="18"/>
  <c r="BM328" i="18"/>
  <c r="BO328" i="18"/>
  <c r="BQ328" i="18"/>
  <c r="BN328" i="18"/>
  <c r="BP328" i="18"/>
  <c r="BR328" i="18"/>
  <c r="BV328" i="18"/>
  <c r="BT328" i="18"/>
  <c r="BS328" i="18"/>
  <c r="BU328" i="18"/>
  <c r="BX328" i="18"/>
  <c r="BW328" i="18"/>
  <c r="BY328" i="18"/>
  <c r="BZ328" i="18"/>
  <c r="CB328" i="18"/>
  <c r="CA328" i="18"/>
  <c r="CD328" i="18"/>
  <c r="CC328" i="18"/>
  <c r="CF328" i="18"/>
  <c r="CE328" i="18"/>
  <c r="CG328" i="18"/>
  <c r="CH328" i="18"/>
  <c r="CI328" i="18"/>
  <c r="CJ328" i="18"/>
  <c r="CK328" i="18"/>
  <c r="CL328" i="18"/>
  <c r="CP328" i="18"/>
  <c r="CO328" i="18"/>
  <c r="CM328" i="18"/>
  <c r="CN328" i="18"/>
  <c r="CQ328" i="18"/>
  <c r="CS328" i="18"/>
  <c r="CR328" i="18"/>
  <c r="CT328" i="18"/>
  <c r="CU328" i="18"/>
  <c r="CV328" i="18"/>
  <c r="CX328" i="18"/>
  <c r="CW328" i="18"/>
  <c r="DC328" i="18"/>
  <c r="CY328" i="18"/>
  <c r="CZ328" i="18"/>
  <c r="DA328" i="18"/>
  <c r="DB328" i="18"/>
  <c r="DD328" i="18"/>
  <c r="DE328" i="18"/>
  <c r="DF328" i="18"/>
  <c r="DJ328" i="18"/>
  <c r="DH328" i="18"/>
  <c r="DG328" i="18"/>
  <c r="DI328" i="18"/>
  <c r="DK328" i="18"/>
  <c r="DM328" i="18"/>
  <c r="DL328" i="18"/>
  <c r="DN328" i="18"/>
  <c r="DO328" i="18"/>
  <c r="DP328" i="18"/>
  <c r="DQ328" i="18"/>
  <c r="DR328" i="18"/>
  <c r="DS328" i="18"/>
  <c r="DU328" i="18"/>
  <c r="DT328" i="18"/>
  <c r="DX328" i="18"/>
  <c r="DW328" i="18"/>
  <c r="DV328" i="18"/>
  <c r="DY328" i="18"/>
  <c r="DZ328" i="18"/>
  <c r="EA328" i="18"/>
  <c r="EB328" i="18"/>
  <c r="ED328" i="18"/>
  <c r="EF159" i="18"/>
  <c r="EF169" i="18"/>
  <c r="E359" i="18"/>
  <c r="D34" i="15" s="1"/>
  <c r="E358" i="18"/>
  <c r="C34" i="15" s="1"/>
  <c r="EH297" i="18"/>
  <c r="EI294" i="18"/>
  <c r="EE298" i="18" s="1"/>
  <c r="EC328" i="18"/>
  <c r="P99" i="18" l="1"/>
  <c r="EC374" i="18"/>
  <c r="EH374" i="18"/>
  <c r="EF199" i="18"/>
  <c r="EF57" i="18" s="1"/>
  <c r="EG200" i="18"/>
  <c r="EF374" i="18"/>
  <c r="EI374" i="18"/>
  <c r="EI373" i="18"/>
  <c r="G374" i="18"/>
  <c r="F370" i="18"/>
  <c r="H374" i="18"/>
  <c r="J374" i="18"/>
  <c r="K374" i="18"/>
  <c r="I374" i="18"/>
  <c r="L374" i="18"/>
  <c r="N374" i="18"/>
  <c r="M374" i="18"/>
  <c r="P374" i="18"/>
  <c r="O374" i="18"/>
  <c r="R374" i="18"/>
  <c r="Q374" i="18"/>
  <c r="T374" i="18"/>
  <c r="S374" i="18"/>
  <c r="V374" i="18"/>
  <c r="U374" i="18"/>
  <c r="X374" i="18"/>
  <c r="Y374" i="18"/>
  <c r="W374" i="18"/>
  <c r="AA374" i="18"/>
  <c r="Z374" i="18"/>
  <c r="AD374" i="18"/>
  <c r="AB374" i="18"/>
  <c r="AF374" i="18"/>
  <c r="AC374" i="18"/>
  <c r="AC373" i="18" s="1"/>
  <c r="AE374" i="18"/>
  <c r="AE373" i="18" s="1"/>
  <c r="AG374" i="18"/>
  <c r="AH374" i="18"/>
  <c r="AI374" i="18"/>
  <c r="AJ374" i="18"/>
  <c r="AK374" i="18"/>
  <c r="AL374" i="18"/>
  <c r="AM374" i="18"/>
  <c r="AM373" i="18" s="1"/>
  <c r="AN374" i="18"/>
  <c r="AN373" i="18" s="1"/>
  <c r="AP374" i="18"/>
  <c r="AO374" i="18"/>
  <c r="AR374" i="18"/>
  <c r="AQ374" i="18"/>
  <c r="AS374" i="18"/>
  <c r="AS373" i="18" s="1"/>
  <c r="AU374" i="18"/>
  <c r="AU373" i="18" s="1"/>
  <c r="AT374" i="18"/>
  <c r="AT373" i="18" s="1"/>
  <c r="AV374" i="18"/>
  <c r="AV373" i="18" s="1"/>
  <c r="AW374" i="18"/>
  <c r="AY374" i="18"/>
  <c r="AY373" i="18" s="1"/>
  <c r="AX374" i="18"/>
  <c r="AX373" i="18" s="1"/>
  <c r="AZ374" i="18"/>
  <c r="BB374" i="18"/>
  <c r="BB373" i="18" s="1"/>
  <c r="BA374" i="18"/>
  <c r="BA373" i="18" s="1"/>
  <c r="BE374" i="18"/>
  <c r="BC374" i="18"/>
  <c r="BC373" i="18" s="1"/>
  <c r="BD374" i="18"/>
  <c r="BF374" i="18"/>
  <c r="BG374" i="18"/>
  <c r="BI374" i="18"/>
  <c r="BH374" i="18"/>
  <c r="BJ374" i="18"/>
  <c r="BK374" i="18"/>
  <c r="BK373" i="18" s="1"/>
  <c r="BL374" i="18"/>
  <c r="BL373" i="18" s="1"/>
  <c r="BM374" i="18"/>
  <c r="BN374" i="18"/>
  <c r="BO374" i="18"/>
  <c r="BQ374" i="18"/>
  <c r="BQ373" i="18" s="1"/>
  <c r="BR374" i="18"/>
  <c r="BR373" i="18" s="1"/>
  <c r="BP374" i="18"/>
  <c r="BT374" i="18"/>
  <c r="BT373" i="18" s="1"/>
  <c r="BS374" i="18"/>
  <c r="BS373" i="18" s="1"/>
  <c r="BV374" i="18"/>
  <c r="BV373" i="18" s="1"/>
  <c r="BU374" i="18"/>
  <c r="BW374" i="18"/>
  <c r="BW373" i="18" s="1"/>
  <c r="BX374" i="18"/>
  <c r="BY374" i="18"/>
  <c r="BY373" i="18" s="1"/>
  <c r="BZ374" i="18"/>
  <c r="BZ373" i="18" s="1"/>
  <c r="CB374" i="18"/>
  <c r="CA374" i="18"/>
  <c r="CA373" i="18" s="1"/>
  <c r="CC374" i="18"/>
  <c r="CE374" i="18"/>
  <c r="CD374" i="18"/>
  <c r="CF374" i="18"/>
  <c r="CG374" i="18"/>
  <c r="CH374" i="18"/>
  <c r="CJ374" i="18"/>
  <c r="CK374" i="18"/>
  <c r="CI374" i="18"/>
  <c r="CM374" i="18"/>
  <c r="CL374" i="18"/>
  <c r="CN374" i="18"/>
  <c r="CO374" i="18"/>
  <c r="CP374" i="18"/>
  <c r="CQ374" i="18"/>
  <c r="CT374" i="18"/>
  <c r="CU374" i="18"/>
  <c r="CS374" i="18"/>
  <c r="CR374" i="18"/>
  <c r="CV374" i="18"/>
  <c r="CW374" i="18"/>
  <c r="CZ374" i="18"/>
  <c r="CX374" i="18"/>
  <c r="CY374" i="18"/>
  <c r="DE374" i="18"/>
  <c r="DB374" i="18"/>
  <c r="DC374" i="18"/>
  <c r="DA374" i="18"/>
  <c r="DD374" i="18"/>
  <c r="DF374" i="18"/>
  <c r="DG374" i="18"/>
  <c r="DH374" i="18"/>
  <c r="DI374" i="18"/>
  <c r="DJ374" i="18"/>
  <c r="DK374" i="18"/>
  <c r="DL374" i="18"/>
  <c r="DM374" i="18"/>
  <c r="DN374" i="18"/>
  <c r="DO374" i="18"/>
  <c r="DP374" i="18"/>
  <c r="DQ374" i="18"/>
  <c r="DR374" i="18"/>
  <c r="DT374" i="18"/>
  <c r="DS374" i="18"/>
  <c r="DU374" i="18"/>
  <c r="DV374" i="18"/>
  <c r="DW374" i="18"/>
  <c r="DX374" i="18"/>
  <c r="DY374" i="18"/>
  <c r="DZ374" i="18"/>
  <c r="EA374" i="18"/>
  <c r="EB374" i="18"/>
  <c r="EE374" i="18"/>
  <c r="ED374" i="18"/>
  <c r="ED349" i="18"/>
  <c r="EG349" i="18"/>
  <c r="ED333" i="18"/>
  <c r="EI331" i="18"/>
  <c r="F128" i="18"/>
  <c r="E128" i="18" s="1"/>
  <c r="H129" i="18"/>
  <c r="Q99" i="18"/>
  <c r="AH142" i="18"/>
  <c r="K137" i="18"/>
  <c r="K36" i="18" s="1"/>
  <c r="H22" i="14" s="1"/>
  <c r="L140" i="18"/>
  <c r="EI347" i="18"/>
  <c r="ED308" i="18"/>
  <c r="EI306" i="18"/>
  <c r="N23" i="18"/>
  <c r="N24" i="18"/>
  <c r="K17" i="14" s="1"/>
  <c r="N15" i="18"/>
  <c r="AG185" i="18"/>
  <c r="H11" i="14"/>
  <c r="F108" i="18"/>
  <c r="E108" i="18" s="1"/>
  <c r="H109" i="18"/>
  <c r="EA283" i="18"/>
  <c r="EI281" i="18"/>
  <c r="P96" i="18"/>
  <c r="EI103" i="18"/>
  <c r="H153" i="18"/>
  <c r="H45" i="18" s="1"/>
  <c r="I156" i="18"/>
  <c r="AE157" i="18"/>
  <c r="EH323" i="18"/>
  <c r="EI321" i="18"/>
  <c r="H163" i="18"/>
  <c r="H37" i="18" s="1"/>
  <c r="I166" i="18"/>
  <c r="AE167" i="18"/>
  <c r="K181" i="18"/>
  <c r="K50" i="18" s="1"/>
  <c r="L184" i="18"/>
  <c r="F160" i="18"/>
  <c r="E160" i="18" s="1"/>
  <c r="H161" i="18"/>
  <c r="EI341" i="18"/>
  <c r="F326" i="18"/>
  <c r="E326" i="18"/>
  <c r="EI198" i="18"/>
  <c r="F198" i="18" s="1"/>
  <c r="E198" i="18" s="1"/>
  <c r="H121" i="18"/>
  <c r="H30" i="18" s="1"/>
  <c r="AE125" i="18"/>
  <c r="I124" i="18"/>
  <c r="J124" i="18"/>
  <c r="K124" i="18" s="1"/>
  <c r="EH301" i="18"/>
  <c r="AJ100" i="18"/>
  <c r="AF147" i="18"/>
  <c r="AG147" i="18" s="1"/>
  <c r="O23" i="18"/>
  <c r="O24" i="18"/>
  <c r="L17" i="14" s="1"/>
  <c r="O15" i="18"/>
  <c r="F150" i="18"/>
  <c r="E150" i="18" s="1"/>
  <c r="H151" i="18"/>
  <c r="F133" i="18"/>
  <c r="E133" i="18" s="1"/>
  <c r="H134" i="18"/>
  <c r="EI296" i="18"/>
  <c r="L176" i="18"/>
  <c r="L49" i="18" s="1"/>
  <c r="I26" i="14" s="1"/>
  <c r="M179" i="18"/>
  <c r="N179" i="18" s="1"/>
  <c r="N176" i="18" s="1"/>
  <c r="N49" i="18" s="1"/>
  <c r="K26" i="14" s="1"/>
  <c r="E382" i="18"/>
  <c r="F382" i="18"/>
  <c r="F336" i="18"/>
  <c r="E336" i="18"/>
  <c r="K146" i="18"/>
  <c r="I143" i="18"/>
  <c r="I46" i="18" s="1"/>
  <c r="AE172" i="18"/>
  <c r="I171" i="18"/>
  <c r="H168" i="18"/>
  <c r="EG283" i="18"/>
  <c r="EA29" i="14"/>
  <c r="EC333" i="18"/>
  <c r="EG323" i="18"/>
  <c r="ED323" i="18"/>
  <c r="EE323" i="18"/>
  <c r="EE205" i="18"/>
  <c r="EE55" i="18" s="1"/>
  <c r="EF206" i="18"/>
  <c r="EF323" i="18"/>
  <c r="EA343" i="18"/>
  <c r="ED343" i="18"/>
  <c r="EI97" i="18"/>
  <c r="EE138" i="18"/>
  <c r="E338" i="18"/>
  <c r="EF164" i="18"/>
  <c r="EF182" i="18"/>
  <c r="E383" i="18"/>
  <c r="EG132" i="18"/>
  <c r="EG144" i="18"/>
  <c r="EH378" i="18"/>
  <c r="EI375" i="18"/>
  <c r="EC173" i="18"/>
  <c r="EC64" i="18" s="1"/>
  <c r="DZ33" i="14" s="1"/>
  <c r="DZ31" i="14" s="1"/>
  <c r="ED174" i="18"/>
  <c r="EG169" i="18"/>
  <c r="EI342" i="18"/>
  <c r="EI343" i="18"/>
  <c r="G343" i="18"/>
  <c r="K343" i="18"/>
  <c r="H343" i="18"/>
  <c r="F339" i="18"/>
  <c r="I343" i="18"/>
  <c r="L343" i="18"/>
  <c r="J343" i="18"/>
  <c r="N343" i="18"/>
  <c r="M343" i="18"/>
  <c r="O343" i="18"/>
  <c r="Q343" i="18"/>
  <c r="P343" i="18"/>
  <c r="S343" i="18"/>
  <c r="R343" i="18"/>
  <c r="T343" i="18"/>
  <c r="U343" i="18"/>
  <c r="V343" i="18"/>
  <c r="X343" i="18"/>
  <c r="W343" i="18"/>
  <c r="Y343" i="18"/>
  <c r="Z343" i="18"/>
  <c r="AA343" i="18"/>
  <c r="AB343" i="18"/>
  <c r="AC343" i="18"/>
  <c r="AC342" i="18" s="1"/>
  <c r="AF343" i="18"/>
  <c r="AD343" i="18"/>
  <c r="AE343" i="18"/>
  <c r="AG343" i="18"/>
  <c r="AH343" i="18"/>
  <c r="AH342" i="18" s="1"/>
  <c r="AI343" i="18"/>
  <c r="AK343" i="18"/>
  <c r="AJ343" i="18"/>
  <c r="AL343" i="18"/>
  <c r="AN343" i="18"/>
  <c r="AM343" i="18"/>
  <c r="AO343" i="18"/>
  <c r="AP343" i="18"/>
  <c r="AQ343" i="18"/>
  <c r="AQ342" i="18" s="1"/>
  <c r="AR343" i="18"/>
  <c r="AR342" i="18" s="1"/>
  <c r="AT343" i="18"/>
  <c r="AT342" i="18" s="1"/>
  <c r="AS343" i="18"/>
  <c r="AV343" i="18"/>
  <c r="AY343" i="18"/>
  <c r="AY342" i="18" s="1"/>
  <c r="AU343" i="18"/>
  <c r="AW343" i="18"/>
  <c r="AW342" i="18" s="1"/>
  <c r="AX343" i="18"/>
  <c r="AX342" i="18" s="1"/>
  <c r="AZ343" i="18"/>
  <c r="AZ342" i="18" s="1"/>
  <c r="BC343" i="18"/>
  <c r="BC342" i="18" s="1"/>
  <c r="BB343" i="18"/>
  <c r="BA343" i="18"/>
  <c r="BD343" i="18"/>
  <c r="BE343" i="18"/>
  <c r="BE342" i="18" s="1"/>
  <c r="BF343" i="18"/>
  <c r="BG343" i="18"/>
  <c r="BI343" i="18"/>
  <c r="BH343" i="18"/>
  <c r="BJ343" i="18"/>
  <c r="BL343" i="18"/>
  <c r="BK343" i="18"/>
  <c r="BO343" i="18"/>
  <c r="BN343" i="18"/>
  <c r="BM343" i="18"/>
  <c r="BP343" i="18"/>
  <c r="BQ343" i="18"/>
  <c r="BR343" i="18"/>
  <c r="BV343" i="18"/>
  <c r="BS343" i="18"/>
  <c r="BT343" i="18"/>
  <c r="BU343" i="18"/>
  <c r="BW343" i="18"/>
  <c r="BX343" i="18"/>
  <c r="BZ343" i="18"/>
  <c r="BY343" i="18"/>
  <c r="CB343" i="18"/>
  <c r="CA343" i="18"/>
  <c r="CC343" i="18"/>
  <c r="CF343" i="18"/>
  <c r="CD343" i="18"/>
  <c r="CE343" i="18"/>
  <c r="CH343" i="18"/>
  <c r="CG343" i="18"/>
  <c r="CI343" i="18"/>
  <c r="CJ343" i="18"/>
  <c r="CK343" i="18"/>
  <c r="CN343" i="18"/>
  <c r="CO343" i="18"/>
  <c r="CL343" i="18"/>
  <c r="CM343" i="18"/>
  <c r="CS343" i="18"/>
  <c r="CQ343" i="18"/>
  <c r="CP343" i="18"/>
  <c r="CR343" i="18"/>
  <c r="CT343" i="18"/>
  <c r="CW343" i="18"/>
  <c r="CU343" i="18"/>
  <c r="CV343" i="18"/>
  <c r="CX343" i="18"/>
  <c r="CY343" i="18"/>
  <c r="DA343" i="18"/>
  <c r="CZ343" i="18"/>
  <c r="DB343" i="18"/>
  <c r="DC343" i="18"/>
  <c r="DD343" i="18"/>
  <c r="DH343" i="18"/>
  <c r="DE343" i="18"/>
  <c r="DF343" i="18"/>
  <c r="DG343" i="18"/>
  <c r="DI343" i="18"/>
  <c r="DK343" i="18"/>
  <c r="DJ343" i="18"/>
  <c r="DM343" i="18"/>
  <c r="DN343" i="18"/>
  <c r="DL343" i="18"/>
  <c r="DQ343" i="18"/>
  <c r="DO343" i="18"/>
  <c r="DP343" i="18"/>
  <c r="DR343" i="18"/>
  <c r="DS343" i="18"/>
  <c r="DV343" i="18"/>
  <c r="DT343" i="18"/>
  <c r="DX343" i="18"/>
  <c r="DU343" i="18"/>
  <c r="DW343" i="18"/>
  <c r="DY343" i="18"/>
  <c r="EB343" i="18"/>
  <c r="DZ343" i="18"/>
  <c r="EI307" i="18"/>
  <c r="EI308" i="18"/>
  <c r="G308" i="18"/>
  <c r="F304" i="18"/>
  <c r="H308" i="18"/>
  <c r="I308" i="18"/>
  <c r="J308" i="18"/>
  <c r="O308" i="18"/>
  <c r="L308" i="18"/>
  <c r="N308" i="18"/>
  <c r="K308" i="18"/>
  <c r="M308" i="18"/>
  <c r="P308" i="18"/>
  <c r="Q308" i="18"/>
  <c r="T308" i="18"/>
  <c r="R308" i="18"/>
  <c r="S308" i="18"/>
  <c r="U308" i="18"/>
  <c r="X308" i="18"/>
  <c r="V308" i="18"/>
  <c r="W308" i="18"/>
  <c r="Y308" i="18"/>
  <c r="AA308" i="18"/>
  <c r="Z308" i="18"/>
  <c r="AD308" i="18"/>
  <c r="AC308" i="18"/>
  <c r="AC307" i="18" s="1"/>
  <c r="AB308" i="18"/>
  <c r="AE308" i="18"/>
  <c r="AG308" i="18"/>
  <c r="AF308" i="18"/>
  <c r="AH308" i="18"/>
  <c r="AI308" i="18"/>
  <c r="AI307" i="18" s="1"/>
  <c r="AJ308" i="18"/>
  <c r="AL308" i="18"/>
  <c r="AM308" i="18"/>
  <c r="AM307" i="18" s="1"/>
  <c r="AK308" i="18"/>
  <c r="AN308" i="18"/>
  <c r="AN307" i="18" s="1"/>
  <c r="AP308" i="18"/>
  <c r="AR308" i="18"/>
  <c r="AO308" i="18"/>
  <c r="AO307" i="18" s="1"/>
  <c r="AU308" i="18"/>
  <c r="AQ308" i="18"/>
  <c r="AS308" i="18"/>
  <c r="AS307" i="18" s="1"/>
  <c r="AT308" i="18"/>
  <c r="AT307" i="18" s="1"/>
  <c r="AV308" i="18"/>
  <c r="AX308" i="18"/>
  <c r="AW308" i="18"/>
  <c r="AY308" i="18"/>
  <c r="AZ308" i="18"/>
  <c r="BA308" i="18"/>
  <c r="BA307" i="18" s="1"/>
  <c r="BB308" i="18"/>
  <c r="BC308" i="18"/>
  <c r="BE308" i="18"/>
  <c r="BD308" i="18"/>
  <c r="BD307" i="18" s="1"/>
  <c r="BF308" i="18"/>
  <c r="BG308" i="18"/>
  <c r="BJ308" i="18"/>
  <c r="BH308" i="18"/>
  <c r="BH307" i="18" s="1"/>
  <c r="BK308" i="18"/>
  <c r="BI308" i="18"/>
  <c r="BN308" i="18"/>
  <c r="BL308" i="18"/>
  <c r="BM308" i="18"/>
  <c r="BO308" i="18"/>
  <c r="BP308" i="18"/>
  <c r="BR308" i="18"/>
  <c r="BQ308" i="18"/>
  <c r="BS308" i="18"/>
  <c r="BT308" i="18"/>
  <c r="BU308" i="18"/>
  <c r="BW308" i="18"/>
  <c r="BV308" i="18"/>
  <c r="BY308" i="18"/>
  <c r="BX308" i="18"/>
  <c r="CB308" i="18"/>
  <c r="CA308" i="18"/>
  <c r="BZ308" i="18"/>
  <c r="CC308" i="18"/>
  <c r="CE308" i="18"/>
  <c r="CD308" i="18"/>
  <c r="CF308" i="18"/>
  <c r="CG308" i="18"/>
  <c r="CH308" i="18"/>
  <c r="CI308" i="18"/>
  <c r="CM308" i="18"/>
  <c r="CJ308" i="18"/>
  <c r="CK308" i="18"/>
  <c r="CL308" i="18"/>
  <c r="CN308" i="18"/>
  <c r="CQ308" i="18"/>
  <c r="CO308" i="18"/>
  <c r="CP308" i="18"/>
  <c r="CT308" i="18"/>
  <c r="CR308" i="18"/>
  <c r="CS308" i="18"/>
  <c r="CU308" i="18"/>
  <c r="CV308" i="18"/>
  <c r="CX308" i="18"/>
  <c r="CW308" i="18"/>
  <c r="CZ308" i="18"/>
  <c r="CY308" i="18"/>
  <c r="DB308" i="18"/>
  <c r="DA308" i="18"/>
  <c r="DC308" i="18"/>
  <c r="DD308" i="18"/>
  <c r="DE308" i="18"/>
  <c r="DG308" i="18"/>
  <c r="DJ308" i="18"/>
  <c r="DH308" i="18"/>
  <c r="DF308" i="18"/>
  <c r="DI308" i="18"/>
  <c r="DK308" i="18"/>
  <c r="DM308" i="18"/>
  <c r="DL308" i="18"/>
  <c r="DQ308" i="18"/>
  <c r="DO308" i="18"/>
  <c r="DN308" i="18"/>
  <c r="DP308" i="18"/>
  <c r="DR308" i="18"/>
  <c r="DT308" i="18"/>
  <c r="DS308" i="18"/>
  <c r="DU308" i="18"/>
  <c r="DV308" i="18"/>
  <c r="DX308" i="18"/>
  <c r="DW308" i="18"/>
  <c r="DZ308" i="18"/>
  <c r="DY308" i="18"/>
  <c r="EA308" i="18"/>
  <c r="EF308" i="18"/>
  <c r="EB308" i="18"/>
  <c r="EC308" i="18"/>
  <c r="EI332" i="18"/>
  <c r="EI333" i="18"/>
  <c r="G333" i="18"/>
  <c r="H333" i="18"/>
  <c r="F329" i="18"/>
  <c r="K333" i="18"/>
  <c r="I333" i="18"/>
  <c r="L333" i="18"/>
  <c r="M333" i="18"/>
  <c r="J333" i="18"/>
  <c r="N333" i="18"/>
  <c r="P333" i="18"/>
  <c r="Q333" i="18"/>
  <c r="O333" i="18"/>
  <c r="R333" i="18"/>
  <c r="V333" i="18"/>
  <c r="T333" i="18"/>
  <c r="S333" i="18"/>
  <c r="X333" i="18"/>
  <c r="U333" i="18"/>
  <c r="W333" i="18"/>
  <c r="Y333" i="18"/>
  <c r="Z333" i="18"/>
  <c r="AA333" i="18"/>
  <c r="AB333" i="18"/>
  <c r="AC333" i="18"/>
  <c r="AC332" i="18" s="1"/>
  <c r="AE333" i="18"/>
  <c r="AD333" i="18"/>
  <c r="AF333" i="18"/>
  <c r="AG333" i="18"/>
  <c r="AK333" i="18"/>
  <c r="AI333" i="18"/>
  <c r="AH333" i="18"/>
  <c r="AH332" i="18" s="1"/>
  <c r="AJ333" i="18"/>
  <c r="AL333" i="18"/>
  <c r="AN333" i="18"/>
  <c r="AM333" i="18"/>
  <c r="AP333" i="18"/>
  <c r="AO333" i="18"/>
  <c r="AQ333" i="18"/>
  <c r="AQ332" i="18" s="1"/>
  <c r="AT333" i="18"/>
  <c r="AT332" i="18" s="1"/>
  <c r="AS333" i="18"/>
  <c r="AR333" i="18"/>
  <c r="AR332" i="18" s="1"/>
  <c r="AU333" i="18"/>
  <c r="AX333" i="18"/>
  <c r="AV333" i="18"/>
  <c r="AZ333" i="18"/>
  <c r="AZ332" i="18" s="1"/>
  <c r="AW333" i="18"/>
  <c r="AW332" i="18" s="1"/>
  <c r="AY333" i="18"/>
  <c r="AY332" i="18" s="1"/>
  <c r="BC333" i="18"/>
  <c r="BC332" i="18" s="1"/>
  <c r="BA333" i="18"/>
  <c r="BA332" i="18" s="1"/>
  <c r="BB333" i="18"/>
  <c r="BD333" i="18"/>
  <c r="BF333" i="18"/>
  <c r="BH333" i="18"/>
  <c r="BH332" i="18" s="1"/>
  <c r="BE333" i="18"/>
  <c r="BG333" i="18"/>
  <c r="BG332" i="18" s="1"/>
  <c r="BI333" i="18"/>
  <c r="BJ333" i="18"/>
  <c r="BK333" i="18"/>
  <c r="BL333" i="18"/>
  <c r="BM333" i="18"/>
  <c r="BN333" i="18"/>
  <c r="BO333" i="18"/>
  <c r="BP333" i="18"/>
  <c r="BR333" i="18"/>
  <c r="BQ333" i="18"/>
  <c r="BS333" i="18"/>
  <c r="BT333" i="18"/>
  <c r="BU333" i="18"/>
  <c r="BV333" i="18"/>
  <c r="BW333" i="18"/>
  <c r="BX333" i="18"/>
  <c r="CB333" i="18"/>
  <c r="BZ333" i="18"/>
  <c r="BY333" i="18"/>
  <c r="CA333" i="18"/>
  <c r="CD333" i="18"/>
  <c r="CC333" i="18"/>
  <c r="CG333" i="18"/>
  <c r="CH333" i="18"/>
  <c r="CE333" i="18"/>
  <c r="CF333" i="18"/>
  <c r="CI333" i="18"/>
  <c r="CK333" i="18"/>
  <c r="CJ333" i="18"/>
  <c r="CL333" i="18"/>
  <c r="CM333" i="18"/>
  <c r="CN333" i="18"/>
  <c r="CO333" i="18"/>
  <c r="CR333" i="18"/>
  <c r="CP333" i="18"/>
  <c r="CQ333" i="18"/>
  <c r="CS333" i="18"/>
  <c r="CT333" i="18"/>
  <c r="CU333" i="18"/>
  <c r="CW333" i="18"/>
  <c r="CV333" i="18"/>
  <c r="CX333" i="18"/>
  <c r="CY333" i="18"/>
  <c r="DA333" i="18"/>
  <c r="CZ333" i="18"/>
  <c r="DB333" i="18"/>
  <c r="DD333" i="18"/>
  <c r="DC333" i="18"/>
  <c r="DF333" i="18"/>
  <c r="DE333" i="18"/>
  <c r="DI333" i="18"/>
  <c r="DG333" i="18"/>
  <c r="DH333" i="18"/>
  <c r="DJ333" i="18"/>
  <c r="DK333" i="18"/>
  <c r="DM333" i="18"/>
  <c r="DL333" i="18"/>
  <c r="DN333" i="18"/>
  <c r="DO333" i="18"/>
  <c r="DQ333" i="18"/>
  <c r="DP333" i="18"/>
  <c r="DS333" i="18"/>
  <c r="DR333" i="18"/>
  <c r="DU333" i="18"/>
  <c r="DT333" i="18"/>
  <c r="DV333" i="18"/>
  <c r="DX333" i="18"/>
  <c r="DW333" i="18"/>
  <c r="DY333" i="18"/>
  <c r="EA333" i="18"/>
  <c r="DZ333" i="18"/>
  <c r="EF333" i="18"/>
  <c r="EG333" i="18"/>
  <c r="EE333" i="18"/>
  <c r="EB333" i="18"/>
  <c r="EF127" i="18"/>
  <c r="E337" i="18"/>
  <c r="EI348" i="18"/>
  <c r="EI349" i="18"/>
  <c r="G349" i="18"/>
  <c r="H349" i="18"/>
  <c r="F345" i="18"/>
  <c r="I349" i="18"/>
  <c r="K349" i="18"/>
  <c r="J349" i="18"/>
  <c r="R349" i="18"/>
  <c r="N349" i="18"/>
  <c r="L349" i="18"/>
  <c r="M349" i="18"/>
  <c r="O349" i="18"/>
  <c r="Q349" i="18"/>
  <c r="P349" i="18"/>
  <c r="S349" i="18"/>
  <c r="U349" i="18"/>
  <c r="T349" i="18"/>
  <c r="V349" i="18"/>
  <c r="W349" i="18"/>
  <c r="Y349" i="18"/>
  <c r="AA349" i="18"/>
  <c r="X349" i="18"/>
  <c r="Z349" i="18"/>
  <c r="AC349" i="18"/>
  <c r="AD349" i="18"/>
  <c r="AB349" i="18"/>
  <c r="AE349" i="18"/>
  <c r="AF349" i="18"/>
  <c r="AG349" i="18"/>
  <c r="AJ349" i="18"/>
  <c r="AH349" i="18"/>
  <c r="AI349" i="18"/>
  <c r="AK349" i="18"/>
  <c r="AL349" i="18"/>
  <c r="AO349" i="18"/>
  <c r="AM349" i="18"/>
  <c r="AP349" i="18"/>
  <c r="AN349" i="18"/>
  <c r="AQ349" i="18"/>
  <c r="AR349" i="18"/>
  <c r="AS349" i="18"/>
  <c r="AV349" i="18"/>
  <c r="AT349" i="18"/>
  <c r="AU349" i="18"/>
  <c r="AX349" i="18"/>
  <c r="AX348" i="18" s="1"/>
  <c r="AW349" i="18"/>
  <c r="BB349" i="18"/>
  <c r="AZ349" i="18"/>
  <c r="AZ348" i="18" s="1"/>
  <c r="AY349" i="18"/>
  <c r="AY348" i="18" s="1"/>
  <c r="BC349" i="18"/>
  <c r="BC348" i="18" s="1"/>
  <c r="BA349" i="18"/>
  <c r="BA348" i="18" s="1"/>
  <c r="BD349" i="18"/>
  <c r="BE349" i="18"/>
  <c r="BE348" i="18" s="1"/>
  <c r="BF349" i="18"/>
  <c r="BF348" i="18" s="1"/>
  <c r="BG349" i="18"/>
  <c r="BG348" i="18" s="1"/>
  <c r="BH349" i="18"/>
  <c r="BH348" i="18" s="1"/>
  <c r="BJ349" i="18"/>
  <c r="BN349" i="18"/>
  <c r="BI349" i="18"/>
  <c r="BK349" i="18"/>
  <c r="BM349" i="18"/>
  <c r="BL349" i="18"/>
  <c r="BO349" i="18"/>
  <c r="BP349" i="18"/>
  <c r="BQ349" i="18"/>
  <c r="BR349" i="18"/>
  <c r="BT349" i="18"/>
  <c r="BS349" i="18"/>
  <c r="BV349" i="18"/>
  <c r="BY349" i="18"/>
  <c r="BU349" i="18"/>
  <c r="BX349" i="18"/>
  <c r="BW349" i="18"/>
  <c r="BZ349" i="18"/>
  <c r="CA349" i="18"/>
  <c r="CB349" i="18"/>
  <c r="CC349" i="18"/>
  <c r="CD349" i="18"/>
  <c r="CH349" i="18"/>
  <c r="CE349" i="18"/>
  <c r="CF349" i="18"/>
  <c r="CG349" i="18"/>
  <c r="CI349" i="18"/>
  <c r="CK349" i="18"/>
  <c r="CM349" i="18"/>
  <c r="CJ349" i="18"/>
  <c r="CN349" i="18"/>
  <c r="CL349" i="18"/>
  <c r="CP349" i="18"/>
  <c r="CO349" i="18"/>
  <c r="CS349" i="18"/>
  <c r="CR349" i="18"/>
  <c r="CQ349" i="18"/>
  <c r="CU349" i="18"/>
  <c r="CW349" i="18"/>
  <c r="CT349" i="18"/>
  <c r="CX349" i="18"/>
  <c r="CV349" i="18"/>
  <c r="CY349" i="18"/>
  <c r="DA349" i="18"/>
  <c r="CZ349" i="18"/>
  <c r="DB349" i="18"/>
  <c r="DF349" i="18"/>
  <c r="DC349" i="18"/>
  <c r="DD349" i="18"/>
  <c r="DE349" i="18"/>
  <c r="DG349" i="18"/>
  <c r="DH349" i="18"/>
  <c r="DL349" i="18"/>
  <c r="DK349" i="18"/>
  <c r="DJ349" i="18"/>
  <c r="DI349" i="18"/>
  <c r="DM349" i="18"/>
  <c r="DN349" i="18"/>
  <c r="DU349" i="18"/>
  <c r="DO349" i="18"/>
  <c r="DP349" i="18"/>
  <c r="DQ349" i="18"/>
  <c r="DR349" i="18"/>
  <c r="DS349" i="18"/>
  <c r="DT349" i="18"/>
  <c r="DV349" i="18"/>
  <c r="EA349" i="18"/>
  <c r="DX349" i="18"/>
  <c r="DW349" i="18"/>
  <c r="DZ349" i="18"/>
  <c r="DY349" i="18"/>
  <c r="EF349" i="18"/>
  <c r="EC349" i="18"/>
  <c r="EG308" i="18"/>
  <c r="EE122" i="18"/>
  <c r="EH302" i="18"/>
  <c r="EI299" i="18"/>
  <c r="ED303" i="18" s="1"/>
  <c r="EE196" i="18"/>
  <c r="EE52" i="18" s="1"/>
  <c r="EF197" i="18"/>
  <c r="EI297" i="18"/>
  <c r="EI298" i="18"/>
  <c r="I298" i="18"/>
  <c r="H298" i="18"/>
  <c r="F294" i="18"/>
  <c r="G298" i="18"/>
  <c r="K298" i="18"/>
  <c r="J298" i="18"/>
  <c r="L298" i="18"/>
  <c r="M298" i="18"/>
  <c r="N298" i="18"/>
  <c r="O298" i="18"/>
  <c r="Q298" i="18"/>
  <c r="P298" i="18"/>
  <c r="U298" i="18"/>
  <c r="R298" i="18"/>
  <c r="S298" i="18"/>
  <c r="T298" i="18"/>
  <c r="X298" i="18"/>
  <c r="V298" i="18"/>
  <c r="W298" i="18"/>
  <c r="Y298" i="18"/>
  <c r="Z298" i="18"/>
  <c r="AA298" i="18"/>
  <c r="AC298" i="18"/>
  <c r="AB298" i="18"/>
  <c r="AD298" i="18"/>
  <c r="AE298" i="18"/>
  <c r="AF298" i="18"/>
  <c r="AG298" i="18"/>
  <c r="AH298" i="18"/>
  <c r="AI298" i="18"/>
  <c r="AJ298" i="18"/>
  <c r="AN298" i="18"/>
  <c r="AK298" i="18"/>
  <c r="AM298" i="18"/>
  <c r="AL298" i="18"/>
  <c r="AP298" i="18"/>
  <c r="AO298" i="18"/>
  <c r="AR298" i="18"/>
  <c r="AQ298" i="18"/>
  <c r="AT298" i="18"/>
  <c r="AS298" i="18"/>
  <c r="AV298" i="18"/>
  <c r="AU298" i="18"/>
  <c r="AW298" i="18"/>
  <c r="AX298" i="18"/>
  <c r="AY298" i="18"/>
  <c r="BA298" i="18"/>
  <c r="BD298" i="18"/>
  <c r="BD297" i="18" s="1"/>
  <c r="BB298" i="18"/>
  <c r="BB297" i="18" s="1"/>
  <c r="AZ298" i="18"/>
  <c r="BC298" i="18"/>
  <c r="BG298" i="18"/>
  <c r="BE298" i="18"/>
  <c r="BF298" i="18"/>
  <c r="BJ298" i="18"/>
  <c r="BK298" i="18"/>
  <c r="BH298" i="18"/>
  <c r="BI298" i="18"/>
  <c r="BN298" i="18"/>
  <c r="BM298" i="18"/>
  <c r="BL298" i="18"/>
  <c r="BO298" i="18"/>
  <c r="BQ298" i="18"/>
  <c r="BR298" i="18"/>
  <c r="BP298" i="18"/>
  <c r="BT298" i="18"/>
  <c r="BS298" i="18"/>
  <c r="BU298" i="18"/>
  <c r="BX298" i="18"/>
  <c r="BV298" i="18"/>
  <c r="BW298" i="18"/>
  <c r="BY298" i="18"/>
  <c r="BZ298" i="18"/>
  <c r="CB298" i="18"/>
  <c r="CA298" i="18"/>
  <c r="CG298" i="18"/>
  <c r="CC298" i="18"/>
  <c r="CD298" i="18"/>
  <c r="CE298" i="18"/>
  <c r="CF298" i="18"/>
  <c r="CH298" i="18"/>
  <c r="CI298" i="18"/>
  <c r="CJ298" i="18"/>
  <c r="CK298" i="18"/>
  <c r="CL298" i="18"/>
  <c r="CO298" i="18"/>
  <c r="CM298" i="18"/>
  <c r="CQ298" i="18"/>
  <c r="CN298" i="18"/>
  <c r="CP298" i="18"/>
  <c r="CS298" i="18"/>
  <c r="CR298" i="18"/>
  <c r="CU298" i="18"/>
  <c r="CV298" i="18"/>
  <c r="CW298" i="18"/>
  <c r="CT298" i="18"/>
  <c r="CX298" i="18"/>
  <c r="DB298" i="18"/>
  <c r="CY298" i="18"/>
  <c r="CZ298" i="18"/>
  <c r="DA298" i="18"/>
  <c r="DC298" i="18"/>
  <c r="DF298" i="18"/>
  <c r="DD298" i="18"/>
  <c r="DG298" i="18"/>
  <c r="DE298" i="18"/>
  <c r="DH298" i="18"/>
  <c r="DI298" i="18"/>
  <c r="DM298" i="18"/>
  <c r="DJ298" i="18"/>
  <c r="DL298" i="18"/>
  <c r="DK298" i="18"/>
  <c r="DN298" i="18"/>
  <c r="DO298" i="18"/>
  <c r="DP298" i="18"/>
  <c r="DQ298" i="18"/>
  <c r="DR298" i="18"/>
  <c r="DU298" i="18"/>
  <c r="DS298" i="18"/>
  <c r="DV298" i="18"/>
  <c r="DT298" i="18"/>
  <c r="DZ298" i="18"/>
  <c r="DW298" i="18"/>
  <c r="DX298" i="18"/>
  <c r="DY298" i="18"/>
  <c r="EA298" i="18"/>
  <c r="EF298" i="18"/>
  <c r="EC298" i="18"/>
  <c r="EG298" i="18"/>
  <c r="ED298" i="18"/>
  <c r="E328" i="18"/>
  <c r="E327" i="18"/>
  <c r="EF102" i="18"/>
  <c r="EF343" i="18"/>
  <c r="EE202" i="18"/>
  <c r="EE58" i="18" s="1"/>
  <c r="EF203" i="18"/>
  <c r="EF107" i="18"/>
  <c r="EH308" i="18"/>
  <c r="EF177" i="18"/>
  <c r="EF211" i="18"/>
  <c r="EF59" i="18" s="1"/>
  <c r="EG212" i="18"/>
  <c r="EF217" i="18"/>
  <c r="EG218" i="18"/>
  <c r="E384" i="18"/>
  <c r="EH349" i="18"/>
  <c r="EI282" i="18"/>
  <c r="EI283" i="18"/>
  <c r="F279" i="18"/>
  <c r="H283" i="18"/>
  <c r="G283" i="18"/>
  <c r="J283" i="18"/>
  <c r="I283" i="18"/>
  <c r="L283" i="18"/>
  <c r="K283" i="18"/>
  <c r="M283" i="18"/>
  <c r="N283" i="18"/>
  <c r="P283" i="18"/>
  <c r="Q283" i="18"/>
  <c r="O283" i="18"/>
  <c r="R283" i="18"/>
  <c r="S283" i="18"/>
  <c r="T283" i="18"/>
  <c r="U283" i="18"/>
  <c r="V283" i="18"/>
  <c r="W283" i="18"/>
  <c r="X283" i="18"/>
  <c r="AA283" i="18"/>
  <c r="AD283" i="18"/>
  <c r="Y283" i="18"/>
  <c r="Z283" i="18"/>
  <c r="AC283" i="18"/>
  <c r="AB283" i="18"/>
  <c r="AF283" i="18"/>
  <c r="AE283" i="18"/>
  <c r="AG283" i="18"/>
  <c r="AH283" i="18"/>
  <c r="AJ283" i="18"/>
  <c r="AI283" i="18"/>
  <c r="AL283" i="18"/>
  <c r="AK283" i="18"/>
  <c r="AN283" i="18"/>
  <c r="AM283" i="18"/>
  <c r="AR283" i="18"/>
  <c r="AO283" i="18"/>
  <c r="AP283" i="18"/>
  <c r="AQ283" i="18"/>
  <c r="AT283" i="18"/>
  <c r="AS283" i="18"/>
  <c r="AU283" i="18"/>
  <c r="AV283" i="18"/>
  <c r="AX283" i="18"/>
  <c r="AX282" i="18" s="1"/>
  <c r="AW283" i="18"/>
  <c r="AY283" i="18"/>
  <c r="AZ283" i="18"/>
  <c r="AZ282" i="18" s="1"/>
  <c r="BB283" i="18"/>
  <c r="BB282" i="18" s="1"/>
  <c r="BA283" i="18"/>
  <c r="BA282" i="18" s="1"/>
  <c r="BF283" i="18"/>
  <c r="BC283" i="18"/>
  <c r="BD283" i="18"/>
  <c r="BD282" i="18" s="1"/>
  <c r="BE283" i="18"/>
  <c r="BE282" i="18" s="1"/>
  <c r="BG283" i="18"/>
  <c r="BH283" i="18"/>
  <c r="BJ283" i="18"/>
  <c r="BI283" i="18"/>
  <c r="BK283" i="18"/>
  <c r="BN283" i="18"/>
  <c r="BL283" i="18"/>
  <c r="BM283" i="18"/>
  <c r="BO283" i="18"/>
  <c r="BQ283" i="18"/>
  <c r="BR283" i="18"/>
  <c r="BP283" i="18"/>
  <c r="BS283" i="18"/>
  <c r="BT283" i="18"/>
  <c r="BW283" i="18"/>
  <c r="BV283" i="18"/>
  <c r="BU283" i="18"/>
  <c r="BY283" i="18"/>
  <c r="BX283" i="18"/>
  <c r="CB283" i="18"/>
  <c r="CA283" i="18"/>
  <c r="CD283" i="18"/>
  <c r="BZ283" i="18"/>
  <c r="CE283" i="18"/>
  <c r="CC283" i="18"/>
  <c r="CG283" i="18"/>
  <c r="CF283" i="18"/>
  <c r="CI283" i="18"/>
  <c r="CH283" i="18"/>
  <c r="CK283" i="18"/>
  <c r="CJ283" i="18"/>
  <c r="CM283" i="18"/>
  <c r="CL283" i="18"/>
  <c r="CN283" i="18"/>
  <c r="CP283" i="18"/>
  <c r="CO283" i="18"/>
  <c r="CQ283" i="18"/>
  <c r="CS283" i="18"/>
  <c r="CR283" i="18"/>
  <c r="CV283" i="18"/>
  <c r="CT283" i="18"/>
  <c r="CU283" i="18"/>
  <c r="CW283" i="18"/>
  <c r="CX283" i="18"/>
  <c r="CY283" i="18"/>
  <c r="DA283" i="18"/>
  <c r="CZ283" i="18"/>
  <c r="DC283" i="18"/>
  <c r="DB283" i="18"/>
  <c r="DF283" i="18"/>
  <c r="DD283" i="18"/>
  <c r="DG283" i="18"/>
  <c r="DE283" i="18"/>
  <c r="DI283" i="18"/>
  <c r="DH283" i="18"/>
  <c r="DJ283" i="18"/>
  <c r="DK283" i="18"/>
  <c r="DL283" i="18"/>
  <c r="DQ283" i="18"/>
  <c r="DM283" i="18"/>
  <c r="DN283" i="18"/>
  <c r="DO283" i="18"/>
  <c r="DU283" i="18"/>
  <c r="DP283" i="18"/>
  <c r="DS283" i="18"/>
  <c r="DR283" i="18"/>
  <c r="DT283" i="18"/>
  <c r="DV283" i="18"/>
  <c r="DW283" i="18"/>
  <c r="DZ283" i="18"/>
  <c r="DX283" i="18"/>
  <c r="DY283" i="18"/>
  <c r="ED283" i="18"/>
  <c r="EC283" i="18"/>
  <c r="EF283" i="18"/>
  <c r="EE283" i="18"/>
  <c r="EB283" i="18"/>
  <c r="EH277" i="18"/>
  <c r="EI274" i="18"/>
  <c r="EH227" i="18"/>
  <c r="EE308" i="18"/>
  <c r="EB298" i="18"/>
  <c r="EH298" i="18"/>
  <c r="EG159" i="18"/>
  <c r="EG214" i="18"/>
  <c r="EG60" i="18" s="1"/>
  <c r="EH215" i="18"/>
  <c r="EG343" i="18"/>
  <c r="EE343" i="18"/>
  <c r="EH343" i="18"/>
  <c r="EE47" i="18"/>
  <c r="EE41" i="18"/>
  <c r="EH333" i="18"/>
  <c r="EG149" i="18"/>
  <c r="EE349" i="18"/>
  <c r="EH283" i="18"/>
  <c r="EI323" i="18"/>
  <c r="EI322" i="18"/>
  <c r="F319" i="18"/>
  <c r="H323" i="18"/>
  <c r="I323" i="18"/>
  <c r="G323" i="18"/>
  <c r="M323" i="18"/>
  <c r="L323" i="18"/>
  <c r="K323" i="18"/>
  <c r="J323" i="18"/>
  <c r="Q323" i="18"/>
  <c r="O323" i="18"/>
  <c r="N323" i="18"/>
  <c r="P323" i="18"/>
  <c r="R323" i="18"/>
  <c r="S323" i="18"/>
  <c r="U323" i="18"/>
  <c r="T323" i="18"/>
  <c r="X323" i="18"/>
  <c r="V323" i="18"/>
  <c r="W323" i="18"/>
  <c r="AA323" i="18"/>
  <c r="Y323" i="18"/>
  <c r="Z323" i="18"/>
  <c r="AD323" i="18"/>
  <c r="AC323" i="18"/>
  <c r="AC322" i="18" s="1"/>
  <c r="AE323" i="18"/>
  <c r="AB323" i="18"/>
  <c r="AF323" i="18"/>
  <c r="AI323" i="18"/>
  <c r="AH323" i="18"/>
  <c r="AG323" i="18"/>
  <c r="AJ323" i="18"/>
  <c r="AM323" i="18"/>
  <c r="AK323" i="18"/>
  <c r="AL323" i="18"/>
  <c r="AO323" i="18"/>
  <c r="AN323" i="18"/>
  <c r="AP323" i="18"/>
  <c r="AQ323" i="18"/>
  <c r="AQ322" i="18" s="1"/>
  <c r="AS323" i="18"/>
  <c r="AR323" i="18"/>
  <c r="AR322" i="18" s="1"/>
  <c r="AT323" i="18"/>
  <c r="AT322" i="18" s="1"/>
  <c r="AU323" i="18"/>
  <c r="AV323" i="18"/>
  <c r="AW323" i="18"/>
  <c r="AW322" i="18" s="1"/>
  <c r="BA323" i="18"/>
  <c r="BA322" i="18" s="1"/>
  <c r="AY323" i="18"/>
  <c r="AY322" i="18" s="1"/>
  <c r="AX323" i="18"/>
  <c r="AX322" i="18" s="1"/>
  <c r="AZ323" i="18"/>
  <c r="AZ322" i="18" s="1"/>
  <c r="BC323" i="18"/>
  <c r="BB323" i="18"/>
  <c r="BE323" i="18"/>
  <c r="BE322" i="18" s="1"/>
  <c r="BG323" i="18"/>
  <c r="BG322" i="18" s="1"/>
  <c r="BD323" i="18"/>
  <c r="BF323" i="18"/>
  <c r="BI323" i="18"/>
  <c r="BH323" i="18"/>
  <c r="BK323" i="18"/>
  <c r="BJ323" i="18"/>
  <c r="BN323" i="18"/>
  <c r="BL323" i="18"/>
  <c r="BO323" i="18"/>
  <c r="BM323" i="18"/>
  <c r="BQ323" i="18"/>
  <c r="BP323" i="18"/>
  <c r="BV323" i="18"/>
  <c r="BR323" i="18"/>
  <c r="BS323" i="18"/>
  <c r="BT323" i="18"/>
  <c r="BW323" i="18"/>
  <c r="BU323" i="18"/>
  <c r="CA323" i="18"/>
  <c r="BY323" i="18"/>
  <c r="BX323" i="18"/>
  <c r="CB323" i="18"/>
  <c r="BZ323" i="18"/>
  <c r="CD323" i="18"/>
  <c r="CC323" i="18"/>
  <c r="CG323" i="18"/>
  <c r="CE323" i="18"/>
  <c r="CF323" i="18"/>
  <c r="CH323" i="18"/>
  <c r="CI323" i="18"/>
  <c r="CK323" i="18"/>
  <c r="CJ323" i="18"/>
  <c r="CL323" i="18"/>
  <c r="CM323" i="18"/>
  <c r="CN323" i="18"/>
  <c r="CP323" i="18"/>
  <c r="CO323" i="18"/>
  <c r="CS323" i="18"/>
  <c r="CQ323" i="18"/>
  <c r="CR323" i="18"/>
  <c r="CU323" i="18"/>
  <c r="CT323" i="18"/>
  <c r="CV323" i="18"/>
  <c r="CW323" i="18"/>
  <c r="CX323" i="18"/>
  <c r="CZ323" i="18"/>
  <c r="DA323" i="18"/>
  <c r="CY323" i="18"/>
  <c r="DB323" i="18"/>
  <c r="DE323" i="18"/>
  <c r="DF323" i="18"/>
  <c r="DC323" i="18"/>
  <c r="DD323" i="18"/>
  <c r="DG323" i="18"/>
  <c r="DI323" i="18"/>
  <c r="DL323" i="18"/>
  <c r="DH323" i="18"/>
  <c r="DJ323" i="18"/>
  <c r="DK323" i="18"/>
  <c r="DN323" i="18"/>
  <c r="DM323" i="18"/>
  <c r="DO323" i="18"/>
  <c r="DP323" i="18"/>
  <c r="DQ323" i="18"/>
  <c r="DR323" i="18"/>
  <c r="DS323" i="18"/>
  <c r="DV323" i="18"/>
  <c r="DU323" i="18"/>
  <c r="DT323" i="18"/>
  <c r="DW323" i="18"/>
  <c r="DX323" i="18"/>
  <c r="EA323" i="18"/>
  <c r="DY323" i="18"/>
  <c r="DZ323" i="18"/>
  <c r="EC323" i="18"/>
  <c r="EB323" i="18"/>
  <c r="EH154" i="18"/>
  <c r="AH147" i="18" l="1"/>
  <c r="AJ180" i="18"/>
  <c r="AK180" i="18" s="1"/>
  <c r="E374" i="18"/>
  <c r="EG199" i="18"/>
  <c r="EG57" i="18" s="1"/>
  <c r="EH200" i="18"/>
  <c r="E373" i="18"/>
  <c r="EB29" i="14"/>
  <c r="EE278" i="18"/>
  <c r="EI276" i="18"/>
  <c r="H25" i="18"/>
  <c r="H26" i="18"/>
  <c r="E16" i="14" s="1"/>
  <c r="I168" i="18"/>
  <c r="K121" i="18"/>
  <c r="K30" i="18" s="1"/>
  <c r="K143" i="18"/>
  <c r="K46" i="18" s="1"/>
  <c r="L146" i="18"/>
  <c r="AI147" i="18" s="1"/>
  <c r="EH379" i="18"/>
  <c r="EI377" i="18"/>
  <c r="J171" i="18"/>
  <c r="EI301" i="18"/>
  <c r="I121" i="18"/>
  <c r="I30" i="18" s="1"/>
  <c r="AF172" i="18"/>
  <c r="I151" i="18"/>
  <c r="J151" i="18" s="1"/>
  <c r="J148" i="18" s="1"/>
  <c r="AE152" i="18"/>
  <c r="H148" i="18"/>
  <c r="L124" i="18"/>
  <c r="AF125" i="18"/>
  <c r="AG125" i="18" s="1"/>
  <c r="M184" i="18"/>
  <c r="L181" i="18"/>
  <c r="L50" i="18" s="1"/>
  <c r="AF167" i="18"/>
  <c r="F296" i="18"/>
  <c r="E296" i="18"/>
  <c r="AK100" i="18"/>
  <c r="E341" i="18"/>
  <c r="F341" i="18"/>
  <c r="M176" i="18"/>
  <c r="M49" i="18" s="1"/>
  <c r="J26" i="14" s="1"/>
  <c r="O179" i="18"/>
  <c r="P179" i="18" s="1"/>
  <c r="AE136" i="18"/>
  <c r="I134" i="18"/>
  <c r="H131" i="18"/>
  <c r="H35" i="18" s="1"/>
  <c r="E21" i="14" s="1"/>
  <c r="L11" i="14"/>
  <c r="J121" i="18"/>
  <c r="J30" i="18" s="1"/>
  <c r="H158" i="18"/>
  <c r="I161" i="18"/>
  <c r="AE162" i="18"/>
  <c r="E321" i="18"/>
  <c r="F321" i="18"/>
  <c r="AF157" i="18"/>
  <c r="P24" i="18"/>
  <c r="M17" i="14" s="1"/>
  <c r="P15" i="18"/>
  <c r="P23" i="18"/>
  <c r="E347" i="18"/>
  <c r="F347" i="18"/>
  <c r="AI142" i="18"/>
  <c r="I129" i="18"/>
  <c r="J129" i="18" s="1"/>
  <c r="J126" i="18" s="1"/>
  <c r="AE130" i="18"/>
  <c r="H126" i="18"/>
  <c r="I163" i="18"/>
  <c r="I37" i="18" s="1"/>
  <c r="I153" i="18"/>
  <c r="I45" i="18" s="1"/>
  <c r="AE110" i="18"/>
  <c r="H106" i="18"/>
  <c r="I109" i="18"/>
  <c r="J109" i="18" s="1"/>
  <c r="AH185" i="18"/>
  <c r="AI185" i="18" s="1"/>
  <c r="K11" i="14"/>
  <c r="F306" i="18"/>
  <c r="E306" i="18"/>
  <c r="L137" i="18"/>
  <c r="L36" i="18" s="1"/>
  <c r="I22" i="14" s="1"/>
  <c r="J166" i="18"/>
  <c r="K166" i="18" s="1"/>
  <c r="K163" i="18" s="1"/>
  <c r="K37" i="18" s="1"/>
  <c r="R99" i="18"/>
  <c r="Q96" i="18"/>
  <c r="F331" i="18"/>
  <c r="E331" i="18"/>
  <c r="J156" i="18"/>
  <c r="H104" i="18"/>
  <c r="F103" i="18"/>
  <c r="E103" i="18" s="1"/>
  <c r="E281" i="18"/>
  <c r="F281" i="18"/>
  <c r="M140" i="18"/>
  <c r="ED379" i="18"/>
  <c r="EG379" i="18"/>
  <c r="EB379" i="18"/>
  <c r="EE379" i="18"/>
  <c r="EG303" i="18"/>
  <c r="EF205" i="18"/>
  <c r="EF55" i="18" s="1"/>
  <c r="EG206" i="18"/>
  <c r="EI277" i="18"/>
  <c r="EI278" i="18"/>
  <c r="G278" i="18"/>
  <c r="F274" i="18"/>
  <c r="H278" i="18"/>
  <c r="I278" i="18"/>
  <c r="K278" i="18"/>
  <c r="L278" i="18"/>
  <c r="J278" i="18"/>
  <c r="O278" i="18"/>
  <c r="N278" i="18"/>
  <c r="M278" i="18"/>
  <c r="P278" i="18"/>
  <c r="Q278" i="18"/>
  <c r="S278" i="18"/>
  <c r="R278" i="18"/>
  <c r="T278" i="18"/>
  <c r="U278" i="18"/>
  <c r="V278" i="18"/>
  <c r="W278" i="18"/>
  <c r="X278" i="18"/>
  <c r="Y278" i="18"/>
  <c r="Z278" i="18"/>
  <c r="AA278" i="18"/>
  <c r="AD278" i="18"/>
  <c r="AB278" i="18"/>
  <c r="AC278" i="18"/>
  <c r="AF278" i="18"/>
  <c r="AG278" i="18"/>
  <c r="AE278" i="18"/>
  <c r="AI278" i="18"/>
  <c r="AH278" i="18"/>
  <c r="AJ278" i="18"/>
  <c r="AK278" i="18"/>
  <c r="AL278" i="18"/>
  <c r="AM278" i="18"/>
  <c r="AO278" i="18"/>
  <c r="AN278" i="18"/>
  <c r="AP278" i="18"/>
  <c r="AR278" i="18"/>
  <c r="AQ278" i="18"/>
  <c r="AT278" i="18"/>
  <c r="AS278" i="18"/>
  <c r="AU278" i="18"/>
  <c r="AV278" i="18"/>
  <c r="AW278" i="18"/>
  <c r="AX278" i="18"/>
  <c r="AX277" i="18" s="1"/>
  <c r="AY278" i="18"/>
  <c r="AZ278" i="18"/>
  <c r="AZ277" i="18" s="1"/>
  <c r="BB278" i="18"/>
  <c r="BB277" i="18" s="1"/>
  <c r="BC278" i="18"/>
  <c r="BA278" i="18"/>
  <c r="BA277" i="18" s="1"/>
  <c r="BE278" i="18"/>
  <c r="BD278" i="18"/>
  <c r="BD277" i="18" s="1"/>
  <c r="BF278" i="18"/>
  <c r="BG278" i="18"/>
  <c r="BH278" i="18"/>
  <c r="BI278" i="18"/>
  <c r="BJ278" i="18"/>
  <c r="BM278" i="18"/>
  <c r="BK278" i="18"/>
  <c r="BL278" i="18"/>
  <c r="BN278" i="18"/>
  <c r="BO278" i="18"/>
  <c r="BQ278" i="18"/>
  <c r="BP278" i="18"/>
  <c r="BR278" i="18"/>
  <c r="BS278" i="18"/>
  <c r="BT278" i="18"/>
  <c r="BV278" i="18"/>
  <c r="BU278" i="18"/>
  <c r="BW278" i="18"/>
  <c r="BZ278" i="18"/>
  <c r="BY278" i="18"/>
  <c r="BX278" i="18"/>
  <c r="CA278" i="18"/>
  <c r="CC278" i="18"/>
  <c r="CB278" i="18"/>
  <c r="CD278" i="18"/>
  <c r="CE278" i="18"/>
  <c r="CF278" i="18"/>
  <c r="CG278" i="18"/>
  <c r="CL278" i="18"/>
  <c r="CI278" i="18"/>
  <c r="CH278" i="18"/>
  <c r="CJ278" i="18"/>
  <c r="CK278" i="18"/>
  <c r="CP278" i="18"/>
  <c r="CM278" i="18"/>
  <c r="CN278" i="18"/>
  <c r="CO278" i="18"/>
  <c r="CS278" i="18"/>
  <c r="CR278" i="18"/>
  <c r="CQ278" i="18"/>
  <c r="CT278" i="18"/>
  <c r="CV278" i="18"/>
  <c r="CU278" i="18"/>
  <c r="CW278" i="18"/>
  <c r="CX278" i="18"/>
  <c r="CZ278" i="18"/>
  <c r="CY278" i="18"/>
  <c r="DA278" i="18"/>
  <c r="DC278" i="18"/>
  <c r="DB278" i="18"/>
  <c r="DE278" i="18"/>
  <c r="DD278" i="18"/>
  <c r="DF278" i="18"/>
  <c r="DG278" i="18"/>
  <c r="DH278" i="18"/>
  <c r="DI278" i="18"/>
  <c r="DJ278" i="18"/>
  <c r="DK278" i="18"/>
  <c r="DL278" i="18"/>
  <c r="DM278" i="18"/>
  <c r="DO278" i="18"/>
  <c r="DN278" i="18"/>
  <c r="DP278" i="18"/>
  <c r="DQ278" i="18"/>
  <c r="DR278" i="18"/>
  <c r="DS278" i="18"/>
  <c r="DT278" i="18"/>
  <c r="DU278" i="18"/>
  <c r="DV278" i="18"/>
  <c r="EI227" i="18"/>
  <c r="D7" i="18" s="1"/>
  <c r="C1" i="14" s="1"/>
  <c r="DW278" i="18"/>
  <c r="DX278" i="18"/>
  <c r="EC278" i="18"/>
  <c r="DY278" i="18"/>
  <c r="EF278" i="18"/>
  <c r="DZ278" i="18"/>
  <c r="EG278" i="18"/>
  <c r="ED278" i="18"/>
  <c r="EA278" i="18"/>
  <c r="EG217" i="18"/>
  <c r="EH218" i="18"/>
  <c r="EG177" i="18"/>
  <c r="EG102" i="18"/>
  <c r="EF122" i="18"/>
  <c r="E348" i="18"/>
  <c r="C32" i="15" s="1"/>
  <c r="E332" i="18"/>
  <c r="E308" i="18"/>
  <c r="D23" i="15" s="1"/>
  <c r="E342" i="18"/>
  <c r="EH144" i="18"/>
  <c r="F97" i="18"/>
  <c r="E97" i="18" s="1"/>
  <c r="E323" i="18"/>
  <c r="E322" i="18"/>
  <c r="EH149" i="18"/>
  <c r="EH159" i="18"/>
  <c r="EH278" i="18"/>
  <c r="EF47" i="18"/>
  <c r="EF41" i="18"/>
  <c r="EF202" i="18"/>
  <c r="EF58" i="18" s="1"/>
  <c r="EG203" i="18"/>
  <c r="EF196" i="18"/>
  <c r="EF52" i="18" s="1"/>
  <c r="EG197" i="18"/>
  <c r="EI303" i="18"/>
  <c r="EI302" i="18"/>
  <c r="F299" i="18"/>
  <c r="G303" i="18"/>
  <c r="H303" i="18"/>
  <c r="I303" i="18"/>
  <c r="J303" i="18"/>
  <c r="K303" i="18"/>
  <c r="L303" i="18"/>
  <c r="M303" i="18"/>
  <c r="N303" i="18"/>
  <c r="O303" i="18"/>
  <c r="P303" i="18"/>
  <c r="Q303" i="18"/>
  <c r="R303" i="18"/>
  <c r="S303" i="18"/>
  <c r="X303" i="18"/>
  <c r="T303" i="18"/>
  <c r="U303" i="18"/>
  <c r="V303" i="18"/>
  <c r="W303" i="18"/>
  <c r="AA303" i="18"/>
  <c r="Y303" i="18"/>
  <c r="Z303" i="18"/>
  <c r="AD303" i="18"/>
  <c r="AB303" i="18"/>
  <c r="AF303" i="18"/>
  <c r="AC303" i="18"/>
  <c r="AE303" i="18"/>
  <c r="AJ303" i="18"/>
  <c r="AH303" i="18"/>
  <c r="AG303" i="18"/>
  <c r="AI303" i="18"/>
  <c r="AK303" i="18"/>
  <c r="AL303" i="18"/>
  <c r="AM303" i="18"/>
  <c r="AQ303" i="18"/>
  <c r="AN303" i="18"/>
  <c r="AN302" i="18" s="1"/>
  <c r="AO303" i="18"/>
  <c r="AO302" i="18" s="1"/>
  <c r="AP303" i="18"/>
  <c r="AS303" i="18"/>
  <c r="AS302" i="18" s="1"/>
  <c r="AT303" i="18"/>
  <c r="AT302" i="18" s="1"/>
  <c r="AR303" i="18"/>
  <c r="AV303" i="18"/>
  <c r="AX303" i="18"/>
  <c r="AU303" i="18"/>
  <c r="AW303" i="18"/>
  <c r="AY303" i="18"/>
  <c r="BB303" i="18"/>
  <c r="AZ303" i="18"/>
  <c r="BA303" i="18"/>
  <c r="BA302" i="18" s="1"/>
  <c r="BE303" i="18"/>
  <c r="BC303" i="18"/>
  <c r="BC302" i="18" s="1"/>
  <c r="BG303" i="18"/>
  <c r="BD303" i="18"/>
  <c r="BF303" i="18"/>
  <c r="BF302" i="18" s="1"/>
  <c r="BI303" i="18"/>
  <c r="BH303" i="18"/>
  <c r="BH302" i="18" s="1"/>
  <c r="BJ303" i="18"/>
  <c r="BK303" i="18"/>
  <c r="BK302" i="18" s="1"/>
  <c r="BL303" i="18"/>
  <c r="BN303" i="18"/>
  <c r="BM303" i="18"/>
  <c r="BO303" i="18"/>
  <c r="BP303" i="18"/>
  <c r="BS303" i="18"/>
  <c r="BQ303" i="18"/>
  <c r="BR303" i="18"/>
  <c r="BT303" i="18"/>
  <c r="BV303" i="18"/>
  <c r="BU303" i="18"/>
  <c r="BX303" i="18"/>
  <c r="BY303" i="18"/>
  <c r="BW303" i="18"/>
  <c r="CB303" i="18"/>
  <c r="BZ303" i="18"/>
  <c r="CA303" i="18"/>
  <c r="CC303" i="18"/>
  <c r="CE303" i="18"/>
  <c r="CD303" i="18"/>
  <c r="CF303" i="18"/>
  <c r="CI303" i="18"/>
  <c r="CG303" i="18"/>
  <c r="CH303" i="18"/>
  <c r="CK303" i="18"/>
  <c r="CJ303" i="18"/>
  <c r="CN303" i="18"/>
  <c r="CL303" i="18"/>
  <c r="CM303" i="18"/>
  <c r="CO303" i="18"/>
  <c r="CP303" i="18"/>
  <c r="CR303" i="18"/>
  <c r="CQ303" i="18"/>
  <c r="CU303" i="18"/>
  <c r="CS303" i="18"/>
  <c r="CT303" i="18"/>
  <c r="CV303" i="18"/>
  <c r="CW303" i="18"/>
  <c r="CX303" i="18"/>
  <c r="CY303" i="18"/>
  <c r="DA303" i="18"/>
  <c r="CZ303" i="18"/>
  <c r="DC303" i="18"/>
  <c r="DB303" i="18"/>
  <c r="DD303" i="18"/>
  <c r="DE303" i="18"/>
  <c r="DF303" i="18"/>
  <c r="DG303" i="18"/>
  <c r="DL303" i="18"/>
  <c r="DI303" i="18"/>
  <c r="DH303" i="18"/>
  <c r="DJ303" i="18"/>
  <c r="DP303" i="18"/>
  <c r="DK303" i="18"/>
  <c r="DN303" i="18"/>
  <c r="DM303" i="18"/>
  <c r="DO303" i="18"/>
  <c r="DQ303" i="18"/>
  <c r="DR303" i="18"/>
  <c r="DS303" i="18"/>
  <c r="DT303" i="18"/>
  <c r="DU303" i="18"/>
  <c r="DZ303" i="18"/>
  <c r="DW303" i="18"/>
  <c r="DV303" i="18"/>
  <c r="DY303" i="18"/>
  <c r="DX303" i="18"/>
  <c r="EC303" i="18"/>
  <c r="EF303" i="18"/>
  <c r="EB303" i="18"/>
  <c r="EA303" i="18"/>
  <c r="ED173" i="18"/>
  <c r="ED64" i="18" s="1"/>
  <c r="EA33" i="14" s="1"/>
  <c r="EA31" i="14" s="1"/>
  <c r="EE174" i="18"/>
  <c r="EG164" i="18"/>
  <c r="EI154" i="18"/>
  <c r="EH214" i="18"/>
  <c r="EH60" i="18" s="1"/>
  <c r="EI215" i="18"/>
  <c r="EB278" i="18"/>
  <c r="E283" i="18"/>
  <c r="E282" i="18"/>
  <c r="EG211" i="18"/>
  <c r="EG59" i="18" s="1"/>
  <c r="EH212" i="18"/>
  <c r="E298" i="18"/>
  <c r="EH303" i="18"/>
  <c r="E349" i="18"/>
  <c r="D32" i="15" s="1"/>
  <c r="EG127" i="18"/>
  <c r="E333" i="18"/>
  <c r="E307" i="18"/>
  <c r="C23" i="15" s="1"/>
  <c r="E343" i="18"/>
  <c r="EH132" i="18"/>
  <c r="EF138" i="18"/>
  <c r="EG107" i="18"/>
  <c r="E297" i="18"/>
  <c r="EE303" i="18"/>
  <c r="EH169" i="18"/>
  <c r="EI379" i="18"/>
  <c r="EI378" i="18"/>
  <c r="G379" i="18"/>
  <c r="F375" i="18"/>
  <c r="H379" i="18"/>
  <c r="I379" i="18"/>
  <c r="K379" i="18"/>
  <c r="J379" i="18"/>
  <c r="L379" i="18"/>
  <c r="P379" i="18"/>
  <c r="M379" i="18"/>
  <c r="N379" i="18"/>
  <c r="O379" i="18"/>
  <c r="Q379" i="18"/>
  <c r="R379" i="18"/>
  <c r="T379" i="18"/>
  <c r="S379" i="18"/>
  <c r="U379" i="18"/>
  <c r="V379" i="18"/>
  <c r="W379" i="18"/>
  <c r="X379" i="18"/>
  <c r="Y379" i="18"/>
  <c r="Z379" i="18"/>
  <c r="AA379" i="18"/>
  <c r="AB379" i="18"/>
  <c r="AC379" i="18"/>
  <c r="AD379" i="18"/>
  <c r="AF379" i="18"/>
  <c r="AE379" i="18"/>
  <c r="AG379" i="18"/>
  <c r="AH379" i="18"/>
  <c r="AJ379" i="18"/>
  <c r="AK379" i="18"/>
  <c r="AI379" i="18"/>
  <c r="AL379" i="18"/>
  <c r="AN379" i="18"/>
  <c r="AM379" i="18"/>
  <c r="AO379" i="18"/>
  <c r="AR379" i="18"/>
  <c r="AP379" i="18"/>
  <c r="AQ379" i="18"/>
  <c r="AU379" i="18"/>
  <c r="AS379" i="18"/>
  <c r="AT379" i="18"/>
  <c r="AV379" i="18"/>
  <c r="AZ379" i="18"/>
  <c r="AZ378" i="18" s="1"/>
  <c r="AW379" i="18"/>
  <c r="AX379" i="18"/>
  <c r="AX378" i="18" s="1"/>
  <c r="BA379" i="18"/>
  <c r="AY379" i="18"/>
  <c r="BC379" i="18"/>
  <c r="BB379" i="18"/>
  <c r="BE379" i="18"/>
  <c r="BD379" i="18"/>
  <c r="BF379" i="18"/>
  <c r="BI379" i="18"/>
  <c r="BG379" i="18"/>
  <c r="BH379" i="18"/>
  <c r="BJ379" i="18"/>
  <c r="BK379" i="18"/>
  <c r="BL379" i="18"/>
  <c r="BP379" i="18"/>
  <c r="BM379" i="18"/>
  <c r="BN379" i="18"/>
  <c r="BO379" i="18"/>
  <c r="BT379" i="18"/>
  <c r="BQ379" i="18"/>
  <c r="BR379" i="18"/>
  <c r="BS379" i="18"/>
  <c r="BU379" i="18"/>
  <c r="BV379" i="18"/>
  <c r="BW379" i="18"/>
  <c r="BY379" i="18"/>
  <c r="BX379" i="18"/>
  <c r="BZ379" i="18"/>
  <c r="CC379" i="18"/>
  <c r="CD379" i="18"/>
  <c r="CA379" i="18"/>
  <c r="CB379" i="18"/>
  <c r="CF379" i="18"/>
  <c r="CG379" i="18"/>
  <c r="CE379" i="18"/>
  <c r="CH379" i="18"/>
  <c r="CI379" i="18"/>
  <c r="CJ379" i="18"/>
  <c r="CL379" i="18"/>
  <c r="CK379" i="18"/>
  <c r="CM379" i="18"/>
  <c r="CN379" i="18"/>
  <c r="CO379" i="18"/>
  <c r="CR379" i="18"/>
  <c r="CP379" i="18"/>
  <c r="CS379" i="18"/>
  <c r="CT379" i="18"/>
  <c r="CQ379" i="18"/>
  <c r="CV379" i="18"/>
  <c r="CX379" i="18"/>
  <c r="CU379" i="18"/>
  <c r="CW379" i="18"/>
  <c r="CZ379" i="18"/>
  <c r="CY379" i="18"/>
  <c r="DA379" i="18"/>
  <c r="DC379" i="18"/>
  <c r="DB379" i="18"/>
  <c r="DD379" i="18"/>
  <c r="DH379" i="18"/>
  <c r="DE379" i="18"/>
  <c r="DF379" i="18"/>
  <c r="DG379" i="18"/>
  <c r="DI379" i="18"/>
  <c r="DJ379" i="18"/>
  <c r="DK379" i="18"/>
  <c r="DL379" i="18"/>
  <c r="DM379" i="18"/>
  <c r="DO379" i="18"/>
  <c r="DN379" i="18"/>
  <c r="DQ379" i="18"/>
  <c r="DT379" i="18"/>
  <c r="DR379" i="18"/>
  <c r="DP379" i="18"/>
  <c r="DS379" i="18"/>
  <c r="DU379" i="18"/>
  <c r="DW379" i="18"/>
  <c r="DV379" i="18"/>
  <c r="DY379" i="18"/>
  <c r="DX379" i="18"/>
  <c r="EC379" i="18"/>
  <c r="EA379" i="18"/>
  <c r="DZ379" i="18"/>
  <c r="EF379" i="18"/>
  <c r="EG182" i="18"/>
  <c r="M146" i="18" l="1"/>
  <c r="AJ147" i="18" s="1"/>
  <c r="AL180" i="18"/>
  <c r="AM180" i="18" s="1"/>
  <c r="AG157" i="18"/>
  <c r="EH199" i="18"/>
  <c r="EH57" i="18" s="1"/>
  <c r="EI200" i="18"/>
  <c r="EC29" i="14"/>
  <c r="AJ142" i="18"/>
  <c r="N184" i="18"/>
  <c r="N181" i="18" s="1"/>
  <c r="N50" i="18" s="1"/>
  <c r="J106" i="18"/>
  <c r="K109" i="18"/>
  <c r="K106" i="18" s="1"/>
  <c r="M137" i="18"/>
  <c r="M36" i="18" s="1"/>
  <c r="J22" i="14" s="1"/>
  <c r="J34" i="18"/>
  <c r="G20" i="14" s="1"/>
  <c r="J33" i="18"/>
  <c r="G19" i="14" s="1"/>
  <c r="J48" i="18"/>
  <c r="G25" i="14" s="1"/>
  <c r="J61" i="18"/>
  <c r="G30" i="14" s="1"/>
  <c r="AF162" i="18"/>
  <c r="N140" i="18"/>
  <c r="AJ185" i="18"/>
  <c r="I106" i="18"/>
  <c r="H61" i="18"/>
  <c r="E30" i="14" s="1"/>
  <c r="H48" i="18"/>
  <c r="E25" i="14" s="1"/>
  <c r="H33" i="18"/>
  <c r="E19" i="14" s="1"/>
  <c r="H34" i="18"/>
  <c r="E20" i="14" s="1"/>
  <c r="I158" i="18"/>
  <c r="AH125" i="18"/>
  <c r="AI125" i="18" s="1"/>
  <c r="AJ125" i="18" s="1"/>
  <c r="I131" i="18"/>
  <c r="I35" i="18" s="1"/>
  <c r="F21" i="14" s="1"/>
  <c r="J134" i="18"/>
  <c r="K134" i="18" s="1"/>
  <c r="I104" i="18"/>
  <c r="AE105" i="18"/>
  <c r="H101" i="18"/>
  <c r="H29" i="18" s="1"/>
  <c r="Q24" i="18"/>
  <c r="N17" i="14" s="1"/>
  <c r="Q15" i="18"/>
  <c r="Q23" i="18"/>
  <c r="H28" i="18"/>
  <c r="H31" i="18"/>
  <c r="H51" i="18"/>
  <c r="E27" i="14" s="1"/>
  <c r="H27" i="18"/>
  <c r="AF130" i="18"/>
  <c r="AG130" i="18" s="1"/>
  <c r="H42" i="18"/>
  <c r="H39" i="18"/>
  <c r="AF136" i="18"/>
  <c r="J153" i="18"/>
  <c r="J45" i="18" s="1"/>
  <c r="R96" i="18"/>
  <c r="S99" i="18"/>
  <c r="T99" i="18" s="1"/>
  <c r="U99" i="18" s="1"/>
  <c r="K156" i="18"/>
  <c r="J163" i="18"/>
  <c r="J37" i="18" s="1"/>
  <c r="L166" i="18"/>
  <c r="M166" i="18" s="1"/>
  <c r="M163" i="18" s="1"/>
  <c r="M37" i="18" s="1"/>
  <c r="AF110" i="18"/>
  <c r="AG110" i="18" s="1"/>
  <c r="K129" i="18"/>
  <c r="I126" i="18"/>
  <c r="M11" i="14"/>
  <c r="J161" i="18"/>
  <c r="P176" i="18"/>
  <c r="P49" i="18" s="1"/>
  <c r="M26" i="14" s="1"/>
  <c r="Q179" i="18"/>
  <c r="AG167" i="18"/>
  <c r="M181" i="18"/>
  <c r="M50" i="18" s="1"/>
  <c r="M124" i="18"/>
  <c r="N124" i="18" s="1"/>
  <c r="L121" i="18"/>
  <c r="L30" i="18" s="1"/>
  <c r="K151" i="18"/>
  <c r="I148" i="18"/>
  <c r="AG172" i="18"/>
  <c r="J168" i="18"/>
  <c r="N146" i="18"/>
  <c r="M143" i="18"/>
  <c r="M46" i="18" s="1"/>
  <c r="I26" i="18"/>
  <c r="F16" i="14" s="1"/>
  <c r="I25" i="18"/>
  <c r="AL100" i="18"/>
  <c r="J40" i="18"/>
  <c r="J44" i="18"/>
  <c r="J38" i="18"/>
  <c r="J43" i="18"/>
  <c r="E301" i="18"/>
  <c r="F301" i="18"/>
  <c r="F377" i="18"/>
  <c r="E377" i="18"/>
  <c r="K171" i="18"/>
  <c r="E15" i="14"/>
  <c r="F276" i="18"/>
  <c r="E276" i="18"/>
  <c r="O176" i="18"/>
  <c r="O49" i="18" s="1"/>
  <c r="L26" i="14" s="1"/>
  <c r="H40" i="18"/>
  <c r="H38" i="18"/>
  <c r="H44" i="18"/>
  <c r="H43" i="18"/>
  <c r="R179" i="18"/>
  <c r="R176" i="18" s="1"/>
  <c r="R49" i="18" s="1"/>
  <c r="O26" i="14" s="1"/>
  <c r="AF152" i="18"/>
  <c r="L143" i="18"/>
  <c r="L46" i="18" s="1"/>
  <c r="EH206" i="18"/>
  <c r="EG205" i="18"/>
  <c r="EG55" i="18" s="1"/>
  <c r="C25" i="15"/>
  <c r="E378" i="18"/>
  <c r="C37" i="15" s="1"/>
  <c r="EI214" i="18"/>
  <c r="F215" i="18"/>
  <c r="E215" i="18" s="1"/>
  <c r="F154" i="18"/>
  <c r="E154" i="18" s="1"/>
  <c r="EH164" i="18"/>
  <c r="E303" i="18"/>
  <c r="D22" i="15" s="1"/>
  <c r="EG196" i="18"/>
  <c r="EG52" i="18" s="1"/>
  <c r="EH197" i="18"/>
  <c r="EG202" i="18"/>
  <c r="EG58" i="18" s="1"/>
  <c r="EH203" i="18"/>
  <c r="EI144" i="18"/>
  <c r="EH102" i="18"/>
  <c r="EH217" i="18"/>
  <c r="EI218" i="18"/>
  <c r="E278" i="18"/>
  <c r="D17" i="15" s="1"/>
  <c r="EG138" i="18"/>
  <c r="EE173" i="18"/>
  <c r="EE64" i="18" s="1"/>
  <c r="EB33" i="14" s="1"/>
  <c r="EB31" i="14" s="1"/>
  <c r="EF174" i="18"/>
  <c r="EI149" i="18"/>
  <c r="D25" i="15"/>
  <c r="EG47" i="18"/>
  <c r="EG41" i="18"/>
  <c r="EI169" i="18"/>
  <c r="EH107" i="18"/>
  <c r="EH127" i="18"/>
  <c r="AD115" i="18"/>
  <c r="E302" i="18"/>
  <c r="C22" i="15" s="1"/>
  <c r="EG122" i="18"/>
  <c r="EH177" i="18"/>
  <c r="E277" i="18"/>
  <c r="C17" i="15" s="1"/>
  <c r="EH182" i="18"/>
  <c r="E379" i="18"/>
  <c r="D37" i="15" s="1"/>
  <c r="EI132" i="18"/>
  <c r="EH211" i="18"/>
  <c r="EH59" i="18" s="1"/>
  <c r="EI212" i="18"/>
  <c r="EI159" i="18"/>
  <c r="AH157" i="18" l="1"/>
  <c r="AK147" i="18"/>
  <c r="AG162" i="18"/>
  <c r="EI199" i="18"/>
  <c r="F200" i="18"/>
  <c r="E200" i="18" s="1"/>
  <c r="AK142" i="18"/>
  <c r="AG136" i="18"/>
  <c r="AH136" i="18" s="1"/>
  <c r="ED29" i="14"/>
  <c r="L109" i="18"/>
  <c r="L106" i="18" s="1"/>
  <c r="L28" i="18" s="1"/>
  <c r="AH110" i="18"/>
  <c r="AH130" i="18"/>
  <c r="O184" i="18"/>
  <c r="N143" i="18"/>
  <c r="N46" i="18" s="1"/>
  <c r="O146" i="18"/>
  <c r="AL147" i="18" s="1"/>
  <c r="J26" i="18"/>
  <c r="G16" i="14" s="1"/>
  <c r="J25" i="18"/>
  <c r="I40" i="18"/>
  <c r="I44" i="18"/>
  <c r="I43" i="18"/>
  <c r="I38" i="18"/>
  <c r="AH167" i="18"/>
  <c r="L129" i="18"/>
  <c r="M129" i="18" s="1"/>
  <c r="M126" i="18" s="1"/>
  <c r="K126" i="18"/>
  <c r="U96" i="18"/>
  <c r="V99" i="18"/>
  <c r="AG152" i="18"/>
  <c r="K168" i="18"/>
  <c r="AM100" i="18"/>
  <c r="AN100" i="18" s="1"/>
  <c r="AO100" i="18" s="1"/>
  <c r="AP100" i="18" s="1"/>
  <c r="AQ100" i="18" s="1"/>
  <c r="AR100" i="18" s="1"/>
  <c r="L151" i="18"/>
  <c r="K148" i="18"/>
  <c r="Q176" i="18"/>
  <c r="Q49" i="18" s="1"/>
  <c r="N26" i="14" s="1"/>
  <c r="S179" i="18"/>
  <c r="K161" i="18"/>
  <c r="J158" i="18"/>
  <c r="L163" i="18"/>
  <c r="L37" i="18" s="1"/>
  <c r="N166" i="18"/>
  <c r="K153" i="18"/>
  <c r="K45" i="18" s="1"/>
  <c r="L156" i="18"/>
  <c r="AI157" i="18" s="1"/>
  <c r="E23" i="14"/>
  <c r="H8" i="18"/>
  <c r="F15" i="14"/>
  <c r="L171" i="18"/>
  <c r="O124" i="18"/>
  <c r="N121" i="18"/>
  <c r="N30" i="18" s="1"/>
  <c r="AH172" i="18"/>
  <c r="M121" i="18"/>
  <c r="M30" i="18" s="1"/>
  <c r="K131" i="18"/>
  <c r="K35" i="18" s="1"/>
  <c r="H21" i="14" s="1"/>
  <c r="L134" i="18"/>
  <c r="I33" i="18"/>
  <c r="F19" i="14" s="1"/>
  <c r="I48" i="18"/>
  <c r="F25" i="14" s="1"/>
  <c r="I34" i="18"/>
  <c r="F20" i="14" s="1"/>
  <c r="I61" i="18"/>
  <c r="F30" i="14" s="1"/>
  <c r="T96" i="18"/>
  <c r="I101" i="18"/>
  <c r="I29" i="18" s="1"/>
  <c r="I39" i="18"/>
  <c r="I42" i="18"/>
  <c r="S96" i="18"/>
  <c r="E24" i="14"/>
  <c r="E18" i="14"/>
  <c r="J104" i="18"/>
  <c r="AK125" i="18"/>
  <c r="K27" i="18"/>
  <c r="K51" i="18"/>
  <c r="H27" i="14" s="1"/>
  <c r="K31" i="18"/>
  <c r="K28" i="18"/>
  <c r="R23" i="18"/>
  <c r="R15" i="18"/>
  <c r="R24" i="18"/>
  <c r="O17" i="14" s="1"/>
  <c r="AK185" i="18"/>
  <c r="O140" i="18"/>
  <c r="P140" i="18" s="1"/>
  <c r="P137" i="18" s="1"/>
  <c r="P36" i="18" s="1"/>
  <c r="M22" i="14" s="1"/>
  <c r="N137" i="18"/>
  <c r="N36" i="18" s="1"/>
  <c r="K22" i="14" s="1"/>
  <c r="J28" i="18"/>
  <c r="J31" i="18"/>
  <c r="J27" i="18"/>
  <c r="J51" i="18"/>
  <c r="G27" i="14" s="1"/>
  <c r="N11" i="14"/>
  <c r="AF105" i="18"/>
  <c r="J131" i="18"/>
  <c r="J35" i="18" s="1"/>
  <c r="G21" i="14" s="1"/>
  <c r="I27" i="18"/>
  <c r="I31" i="18"/>
  <c r="I51" i="18"/>
  <c r="F27" i="14" s="1"/>
  <c r="I28" i="18"/>
  <c r="AN180" i="18"/>
  <c r="EH205" i="18"/>
  <c r="EH55" i="18" s="1"/>
  <c r="EI206" i="18"/>
  <c r="EI182" i="18"/>
  <c r="EI217" i="18"/>
  <c r="F218" i="18"/>
  <c r="E218" i="18" s="1"/>
  <c r="EH202" i="18"/>
  <c r="EH58" i="18" s="1"/>
  <c r="EI203" i="18"/>
  <c r="EH122" i="18"/>
  <c r="AD111" i="18"/>
  <c r="EI107" i="18"/>
  <c r="F149" i="18"/>
  <c r="E149" i="18" s="1"/>
  <c r="EH138" i="18"/>
  <c r="EH47" i="18"/>
  <c r="EH41" i="18"/>
  <c r="F132" i="18"/>
  <c r="E132" i="18" s="1"/>
  <c r="EI127" i="18"/>
  <c r="EI102" i="18"/>
  <c r="F144" i="18"/>
  <c r="E144" i="18" s="1"/>
  <c r="EH196" i="18"/>
  <c r="EH52" i="18" s="1"/>
  <c r="EI197" i="18"/>
  <c r="EI60" i="18"/>
  <c r="F214" i="18"/>
  <c r="E214" i="18" s="1"/>
  <c r="EI211" i="18"/>
  <c r="F212" i="18"/>
  <c r="E212" i="18" s="1"/>
  <c r="F159" i="18"/>
  <c r="E159" i="18" s="1"/>
  <c r="EI177" i="18"/>
  <c r="AE115" i="18"/>
  <c r="F169" i="18"/>
  <c r="E169" i="18" s="1"/>
  <c r="EF173" i="18"/>
  <c r="EF64" i="18" s="1"/>
  <c r="EC33" i="14" s="1"/>
  <c r="EC31" i="14" s="1"/>
  <c r="EG174" i="18"/>
  <c r="C46" i="15"/>
  <c r="D46" i="15" s="1"/>
  <c r="C3" i="14" s="1"/>
  <c r="EI164" i="18"/>
  <c r="AL142" i="18" l="1"/>
  <c r="AM142" i="18" s="1"/>
  <c r="M109" i="18"/>
  <c r="N109" i="18" s="1"/>
  <c r="O109" i="18" s="1"/>
  <c r="AG105" i="18"/>
  <c r="AS100" i="18"/>
  <c r="AI130" i="18"/>
  <c r="AJ130" i="18" s="1"/>
  <c r="AH162" i="18"/>
  <c r="EI57" i="18"/>
  <c r="E57" i="18" s="1"/>
  <c r="F199" i="18"/>
  <c r="E199" i="18" s="1"/>
  <c r="L27" i="18"/>
  <c r="L51" i="18"/>
  <c r="I27" i="14" s="1"/>
  <c r="L31" i="18"/>
  <c r="F24" i="14"/>
  <c r="E12" i="14"/>
  <c r="E10" i="14" s="1"/>
  <c r="AI110" i="18"/>
  <c r="O181" i="18"/>
  <c r="O50" i="18" s="1"/>
  <c r="P184" i="18"/>
  <c r="AI167" i="18"/>
  <c r="AJ167" i="18" s="1"/>
  <c r="AK167" i="18" s="1"/>
  <c r="O11" i="14"/>
  <c r="F18" i="14"/>
  <c r="I8" i="18"/>
  <c r="AO180" i="18"/>
  <c r="O137" i="18"/>
  <c r="O36" i="18" s="1"/>
  <c r="L22" i="14" s="1"/>
  <c r="AI136" i="18"/>
  <c r="Q140" i="18"/>
  <c r="AL185" i="18"/>
  <c r="EE29" i="14"/>
  <c r="M171" i="18"/>
  <c r="N171" i="18" s="1"/>
  <c r="L168" i="18"/>
  <c r="N163" i="18"/>
  <c r="N37" i="18" s="1"/>
  <c r="K158" i="18"/>
  <c r="K25" i="18"/>
  <c r="K26" i="18"/>
  <c r="H16" i="14" s="1"/>
  <c r="V96" i="18"/>
  <c r="W99" i="18"/>
  <c r="O143" i="18"/>
  <c r="O46" i="18" s="1"/>
  <c r="AL125" i="18"/>
  <c r="S24" i="18"/>
  <c r="P17" i="14" s="1"/>
  <c r="S15" i="18"/>
  <c r="S23" i="18"/>
  <c r="M134" i="18"/>
  <c r="L131" i="18"/>
  <c r="L35" i="18" s="1"/>
  <c r="I21" i="14" s="1"/>
  <c r="L153" i="18"/>
  <c r="L45" i="18" s="1"/>
  <c r="U15" i="18"/>
  <c r="U23" i="18"/>
  <c r="U24" i="18"/>
  <c r="R17" i="14" s="1"/>
  <c r="N129" i="18"/>
  <c r="K48" i="18"/>
  <c r="H25" i="14" s="1"/>
  <c r="K61" i="18"/>
  <c r="H30" i="14" s="1"/>
  <c r="K34" i="18"/>
  <c r="H20" i="14" s="1"/>
  <c r="K33" i="18"/>
  <c r="H19" i="14" s="1"/>
  <c r="AI172" i="18"/>
  <c r="M156" i="18"/>
  <c r="AJ157" i="18" s="1"/>
  <c r="K43" i="18"/>
  <c r="K44" i="18"/>
  <c r="K38" i="18"/>
  <c r="K40" i="18"/>
  <c r="L126" i="18"/>
  <c r="P146" i="18"/>
  <c r="AM147" i="18" s="1"/>
  <c r="K104" i="18"/>
  <c r="J101" i="18"/>
  <c r="J29" i="18" s="1"/>
  <c r="G18" i="14" s="1"/>
  <c r="T24" i="18"/>
  <c r="Q17" i="14" s="1"/>
  <c r="T23" i="18"/>
  <c r="T15" i="18"/>
  <c r="O121" i="18"/>
  <c r="O30" i="18" s="1"/>
  <c r="P124" i="18"/>
  <c r="O166" i="18"/>
  <c r="L161" i="18"/>
  <c r="J39" i="18"/>
  <c r="G23" i="14" s="1"/>
  <c r="J42" i="18"/>
  <c r="G24" i="14" s="1"/>
  <c r="S176" i="18"/>
  <c r="S49" i="18" s="1"/>
  <c r="P26" i="14" s="1"/>
  <c r="T179" i="18"/>
  <c r="M151" i="18"/>
  <c r="N151" i="18" s="1"/>
  <c r="L148" i="18"/>
  <c r="AH152" i="18"/>
  <c r="M61" i="18"/>
  <c r="J30" i="14" s="1"/>
  <c r="M48" i="18"/>
  <c r="J25" i="14" s="1"/>
  <c r="M34" i="18"/>
  <c r="J20" i="14" s="1"/>
  <c r="M33" i="18"/>
  <c r="J19" i="14" s="1"/>
  <c r="F23" i="14"/>
  <c r="G15" i="14"/>
  <c r="F206" i="18"/>
  <c r="E206" i="18" s="1"/>
  <c r="EI205" i="18"/>
  <c r="F177" i="18"/>
  <c r="E177" i="18" s="1"/>
  <c r="EI138" i="18"/>
  <c r="F107" i="18"/>
  <c r="E107" i="18" s="1"/>
  <c r="EI122" i="18"/>
  <c r="C6" i="14"/>
  <c r="C5" i="14"/>
  <c r="EI41" i="18"/>
  <c r="E41" i="18" s="1"/>
  <c r="EI47" i="18"/>
  <c r="E47" i="18" s="1"/>
  <c r="F217" i="18"/>
  <c r="E217" i="18" s="1"/>
  <c r="F164" i="18"/>
  <c r="E164" i="18" s="1"/>
  <c r="EI59" i="18"/>
  <c r="E59" i="18" s="1"/>
  <c r="F211" i="18"/>
  <c r="E211" i="18" s="1"/>
  <c r="F102" i="18"/>
  <c r="E102" i="18" s="1"/>
  <c r="AE111" i="18"/>
  <c r="AF115" i="18"/>
  <c r="EI196" i="18"/>
  <c r="F197" i="18"/>
  <c r="E197" i="18" s="1"/>
  <c r="F127" i="18"/>
  <c r="E127" i="18" s="1"/>
  <c r="EI202" i="18"/>
  <c r="F203" i="18"/>
  <c r="E203" i="18" s="1"/>
  <c r="EG173" i="18"/>
  <c r="EG64" i="18" s="1"/>
  <c r="ED33" i="14" s="1"/>
  <c r="ED31" i="14" s="1"/>
  <c r="EH174" i="18"/>
  <c r="E60" i="18"/>
  <c r="F182" i="18"/>
  <c r="E182" i="18" s="1"/>
  <c r="M106" i="18" l="1"/>
  <c r="M27" i="18" s="1"/>
  <c r="AH105" i="18"/>
  <c r="AK130" i="18"/>
  <c r="AT100" i="18"/>
  <c r="AM185" i="18"/>
  <c r="AI162" i="18"/>
  <c r="F12" i="14"/>
  <c r="F10" i="14" s="1"/>
  <c r="J8" i="18"/>
  <c r="N168" i="18"/>
  <c r="N25" i="18" s="1"/>
  <c r="O171" i="18"/>
  <c r="O168" i="18" s="1"/>
  <c r="O25" i="18" s="1"/>
  <c r="N148" i="18"/>
  <c r="N40" i="18" s="1"/>
  <c r="O151" i="18"/>
  <c r="O148" i="18" s="1"/>
  <c r="AJ110" i="18"/>
  <c r="P181" i="18"/>
  <c r="P50" i="18" s="1"/>
  <c r="Q184" i="18"/>
  <c r="G12" i="14"/>
  <c r="G10" i="14" s="1"/>
  <c r="T176" i="18"/>
  <c r="T49" i="18" s="1"/>
  <c r="Q26" i="14" s="1"/>
  <c r="U179" i="18"/>
  <c r="O163" i="18"/>
  <c r="O37" i="18" s="1"/>
  <c r="Q11" i="14"/>
  <c r="K101" i="18"/>
  <c r="K29" i="18" s="1"/>
  <c r="H18" i="14" s="1"/>
  <c r="M153" i="18"/>
  <c r="M45" i="18" s="1"/>
  <c r="N156" i="18"/>
  <c r="AK157" i="18" s="1"/>
  <c r="AJ172" i="18"/>
  <c r="AK172" i="18" s="1"/>
  <c r="M131" i="18"/>
  <c r="M35" i="18" s="1"/>
  <c r="J21" i="14" s="1"/>
  <c r="N134" i="18"/>
  <c r="P11" i="14"/>
  <c r="Q146" i="18"/>
  <c r="R146" i="18" s="1"/>
  <c r="Q137" i="18"/>
  <c r="Q36" i="18" s="1"/>
  <c r="N22" i="14" s="1"/>
  <c r="R140" i="18"/>
  <c r="AJ136" i="18"/>
  <c r="L38" i="18"/>
  <c r="L44" i="18"/>
  <c r="L43" i="18"/>
  <c r="L40" i="18"/>
  <c r="AN142" i="18"/>
  <c r="P143" i="18"/>
  <c r="P46" i="18" s="1"/>
  <c r="L61" i="18"/>
  <c r="I30" i="14" s="1"/>
  <c r="L34" i="18"/>
  <c r="I20" i="14" s="1"/>
  <c r="L33" i="18"/>
  <c r="I19" i="14" s="1"/>
  <c r="L48" i="18"/>
  <c r="I25" i="14" s="1"/>
  <c r="R11" i="14"/>
  <c r="W96" i="18"/>
  <c r="X99" i="18"/>
  <c r="H15" i="14"/>
  <c r="P109" i="18"/>
  <c r="Q109" i="18" s="1"/>
  <c r="Q106" i="18" s="1"/>
  <c r="O106" i="18"/>
  <c r="AI152" i="18"/>
  <c r="M148" i="18"/>
  <c r="P121" i="18"/>
  <c r="P30" i="18" s="1"/>
  <c r="Q124" i="18"/>
  <c r="O129" i="18"/>
  <c r="N126" i="18"/>
  <c r="V15" i="18"/>
  <c r="V23" i="18"/>
  <c r="V24" i="18"/>
  <c r="S17" i="14" s="1"/>
  <c r="K42" i="18"/>
  <c r="H24" i="14" s="1"/>
  <c r="K39" i="18"/>
  <c r="L26" i="18"/>
  <c r="I16" i="14" s="1"/>
  <c r="L25" i="18"/>
  <c r="AP180" i="18"/>
  <c r="AQ180" i="18" s="1"/>
  <c r="M28" i="18"/>
  <c r="L158" i="18"/>
  <c r="M161" i="18"/>
  <c r="L104" i="18"/>
  <c r="AL167" i="18"/>
  <c r="AM125" i="18"/>
  <c r="AN125" i="18" s="1"/>
  <c r="AO125" i="18" s="1"/>
  <c r="P166" i="18"/>
  <c r="M168" i="18"/>
  <c r="N106" i="18"/>
  <c r="EI55" i="18"/>
  <c r="E55" i="18" s="1"/>
  <c r="F205" i="18"/>
  <c r="E205" i="18" s="1"/>
  <c r="AF111" i="18"/>
  <c r="EH173" i="18"/>
  <c r="EH64" i="18" s="1"/>
  <c r="EE33" i="14" s="1"/>
  <c r="EE31" i="14" s="1"/>
  <c r="EI174" i="18"/>
  <c r="EI52" i="18"/>
  <c r="E52" i="18" s="1"/>
  <c r="F196" i="18"/>
  <c r="E196" i="18" s="1"/>
  <c r="EI58" i="18"/>
  <c r="F202" i="18"/>
  <c r="E202" i="18" s="1"/>
  <c r="AG115" i="18"/>
  <c r="F122" i="18"/>
  <c r="E122" i="18" s="1"/>
  <c r="F138" i="18"/>
  <c r="E138" i="18" s="1"/>
  <c r="AN147" i="18" l="1"/>
  <c r="M31" i="18"/>
  <c r="M51" i="18"/>
  <c r="J27" i="14" s="1"/>
  <c r="AR180" i="18"/>
  <c r="AI105" i="18"/>
  <c r="AL130" i="18"/>
  <c r="AU100" i="18"/>
  <c r="P171" i="18"/>
  <c r="Q171" i="18" s="1"/>
  <c r="Q168" i="18" s="1"/>
  <c r="AL172" i="18"/>
  <c r="P151" i="18"/>
  <c r="Q151" i="18" s="1"/>
  <c r="Q148" i="18" s="1"/>
  <c r="Q40" i="18" s="1"/>
  <c r="AN185" i="18"/>
  <c r="AJ162" i="18"/>
  <c r="N26" i="18"/>
  <c r="K16" i="14" s="1"/>
  <c r="N44" i="18"/>
  <c r="O26" i="18"/>
  <c r="L16" i="14" s="1"/>
  <c r="N43" i="18"/>
  <c r="N38" i="18"/>
  <c r="AK136" i="18"/>
  <c r="K8" i="18"/>
  <c r="Q181" i="18"/>
  <c r="Q50" i="18" s="1"/>
  <c r="R184" i="18"/>
  <c r="AK110" i="18"/>
  <c r="K15" i="14"/>
  <c r="M158" i="18"/>
  <c r="N161" i="18"/>
  <c r="L15" i="14"/>
  <c r="I15" i="14"/>
  <c r="Q121" i="18"/>
  <c r="Q30" i="18" s="1"/>
  <c r="R124" i="18"/>
  <c r="O38" i="18"/>
  <c r="O44" i="18"/>
  <c r="O43" i="18"/>
  <c r="O40" i="18"/>
  <c r="O51" i="18"/>
  <c r="L27" i="14" s="1"/>
  <c r="O28" i="18"/>
  <c r="O31" i="18"/>
  <c r="O27" i="18"/>
  <c r="Q166" i="18"/>
  <c r="R137" i="18"/>
  <c r="R36" i="18" s="1"/>
  <c r="O22" i="14" s="1"/>
  <c r="S140" i="18"/>
  <c r="AM167" i="18"/>
  <c r="P106" i="18"/>
  <c r="R109" i="18"/>
  <c r="H23" i="14"/>
  <c r="H12" i="14" s="1"/>
  <c r="H10" i="14" s="1"/>
  <c r="S146" i="18"/>
  <c r="R143" i="18"/>
  <c r="R46" i="18" s="1"/>
  <c r="N131" i="18"/>
  <c r="N35" i="18" s="1"/>
  <c r="K21" i="14" s="1"/>
  <c r="O134" i="18"/>
  <c r="N153" i="18"/>
  <c r="N45" i="18" s="1"/>
  <c r="Q51" i="18"/>
  <c r="Q28" i="18"/>
  <c r="Q31" i="18"/>
  <c r="Q27" i="18"/>
  <c r="P163" i="18"/>
  <c r="P37" i="18" s="1"/>
  <c r="L39" i="18"/>
  <c r="I23" i="14" s="1"/>
  <c r="L42" i="18"/>
  <c r="I24" i="14" s="1"/>
  <c r="N34" i="18"/>
  <c r="K20" i="14" s="1"/>
  <c r="N48" i="18"/>
  <c r="K25" i="14" s="1"/>
  <c r="N61" i="18"/>
  <c r="K30" i="14" s="1"/>
  <c r="N33" i="18"/>
  <c r="K19" i="14" s="1"/>
  <c r="M43" i="18"/>
  <c r="M44" i="18"/>
  <c r="M40" i="18"/>
  <c r="M38" i="18"/>
  <c r="AJ152" i="18"/>
  <c r="X96" i="18"/>
  <c r="Y99" i="18"/>
  <c r="O156" i="18"/>
  <c r="P156" i="18" s="1"/>
  <c r="M104" i="18"/>
  <c r="N104" i="18" s="1"/>
  <c r="N101" i="18" s="1"/>
  <c r="N29" i="18" s="1"/>
  <c r="N27" i="18"/>
  <c r="N51" i="18"/>
  <c r="K27" i="14" s="1"/>
  <c r="N28" i="18"/>
  <c r="N31" i="18"/>
  <c r="M25" i="18"/>
  <c r="M26" i="18"/>
  <c r="J16" i="14" s="1"/>
  <c r="AP125" i="18"/>
  <c r="AQ125" i="18" s="1"/>
  <c r="AR125" i="18" s="1"/>
  <c r="AS125" i="18" s="1"/>
  <c r="AT125" i="18" s="1"/>
  <c r="AU125" i="18" s="1"/>
  <c r="AV125" i="18" s="1"/>
  <c r="AW125" i="18" s="1"/>
  <c r="AX125" i="18" s="1"/>
  <c r="AY125" i="18" s="1"/>
  <c r="AZ125" i="18" s="1"/>
  <c r="L101" i="18"/>
  <c r="L29" i="18" s="1"/>
  <c r="I18" i="14" s="1"/>
  <c r="S11" i="14"/>
  <c r="O126" i="18"/>
  <c r="P129" i="18"/>
  <c r="W24" i="18"/>
  <c r="T17" i="14" s="1"/>
  <c r="W23" i="18"/>
  <c r="W15" i="18"/>
  <c r="AO142" i="18"/>
  <c r="Q143" i="18"/>
  <c r="Q46" i="18" s="1"/>
  <c r="U176" i="18"/>
  <c r="U49" i="18" s="1"/>
  <c r="R26" i="14" s="1"/>
  <c r="V179" i="18"/>
  <c r="EI173" i="18"/>
  <c r="F174" i="18"/>
  <c r="E174" i="18" s="1"/>
  <c r="AG111" i="18"/>
  <c r="AH115" i="18"/>
  <c r="E58" i="18"/>
  <c r="EF29" i="14"/>
  <c r="C29" i="14" s="1"/>
  <c r="AS180" i="18" l="1"/>
  <c r="AO147" i="18"/>
  <c r="AJ105" i="18"/>
  <c r="AL157" i="18"/>
  <c r="P168" i="18"/>
  <c r="P25" i="18" s="1"/>
  <c r="AM172" i="18"/>
  <c r="AN172" i="18" s="1"/>
  <c r="R171" i="18"/>
  <c r="R168" i="18" s="1"/>
  <c r="Q38" i="18"/>
  <c r="R151" i="18"/>
  <c r="S151" i="18" s="1"/>
  <c r="S148" i="18" s="1"/>
  <c r="S44" i="18" s="1"/>
  <c r="Q44" i="18"/>
  <c r="P148" i="18"/>
  <c r="P43" i="18" s="1"/>
  <c r="Q43" i="18"/>
  <c r="AV100" i="18"/>
  <c r="AO185" i="18"/>
  <c r="AN167" i="18"/>
  <c r="AK162" i="18"/>
  <c r="AL136" i="18"/>
  <c r="N27" i="14"/>
  <c r="O104" i="18"/>
  <c r="O101" i="18" s="1"/>
  <c r="O29" i="18" s="1"/>
  <c r="L18" i="14" s="1"/>
  <c r="R181" i="18"/>
  <c r="R50" i="18" s="1"/>
  <c r="S184" i="18"/>
  <c r="S181" i="18" s="1"/>
  <c r="S50" i="18" s="1"/>
  <c r="AL110" i="18"/>
  <c r="BA125" i="18"/>
  <c r="BB125" i="18" s="1"/>
  <c r="BC125" i="18" s="1"/>
  <c r="BD125" i="18" s="1"/>
  <c r="BE125" i="18" s="1"/>
  <c r="BF125" i="18" s="1"/>
  <c r="BG125" i="18" s="1"/>
  <c r="V176" i="18"/>
  <c r="V49" i="18" s="1"/>
  <c r="S26" i="14" s="1"/>
  <c r="W179" i="18"/>
  <c r="AT180" i="18" s="1"/>
  <c r="BH125" i="18"/>
  <c r="BI125" i="18" s="1"/>
  <c r="BJ125" i="18" s="1"/>
  <c r="BK125" i="18" s="1"/>
  <c r="BL125" i="18" s="1"/>
  <c r="BM125" i="18" s="1"/>
  <c r="BN125" i="18" s="1"/>
  <c r="BO125" i="18" s="1"/>
  <c r="BP125" i="18" s="1"/>
  <c r="BQ125" i="18" s="1"/>
  <c r="BR125" i="18" s="1"/>
  <c r="BS125" i="18" s="1"/>
  <c r="BT125" i="18" s="1"/>
  <c r="BU125" i="18" s="1"/>
  <c r="BV125" i="18" s="1"/>
  <c r="BW125" i="18" s="1"/>
  <c r="BX125" i="18" s="1"/>
  <c r="BY125" i="18" s="1"/>
  <c r="BZ125" i="18" s="1"/>
  <c r="CA125" i="18" s="1"/>
  <c r="CB125" i="18" s="1"/>
  <c r="CC125" i="18" s="1"/>
  <c r="CD125" i="18" s="1"/>
  <c r="CE125" i="18" s="1"/>
  <c r="CF125" i="18" s="1"/>
  <c r="CG125" i="18" s="1"/>
  <c r="CH125" i="18" s="1"/>
  <c r="CI125" i="18" s="1"/>
  <c r="CJ125" i="18" s="1"/>
  <c r="CK125" i="18" s="1"/>
  <c r="CL125" i="18" s="1"/>
  <c r="CM125" i="18" s="1"/>
  <c r="CN125" i="18" s="1"/>
  <c r="CO125" i="18" s="1"/>
  <c r="CP125" i="18" s="1"/>
  <c r="CQ125" i="18" s="1"/>
  <c r="CR125" i="18" s="1"/>
  <c r="CS125" i="18" s="1"/>
  <c r="CT125" i="18" s="1"/>
  <c r="CU125" i="18" s="1"/>
  <c r="CV125" i="18" s="1"/>
  <c r="CW125" i="18" s="1"/>
  <c r="CX125" i="18" s="1"/>
  <c r="CY125" i="18" s="1"/>
  <c r="CZ125" i="18" s="1"/>
  <c r="DA125" i="18" s="1"/>
  <c r="DB125" i="18" s="1"/>
  <c r="DC125" i="18" s="1"/>
  <c r="DD125" i="18" s="1"/>
  <c r="DE125" i="18" s="1"/>
  <c r="DF125" i="18" s="1"/>
  <c r="DG125" i="18" s="1"/>
  <c r="DH125" i="18" s="1"/>
  <c r="DI125" i="18" s="1"/>
  <c r="DJ125" i="18" s="1"/>
  <c r="DK125" i="18" s="1"/>
  <c r="DL125" i="18" s="1"/>
  <c r="DM125" i="18" s="1"/>
  <c r="DN125" i="18" s="1"/>
  <c r="DO125" i="18" s="1"/>
  <c r="DP125" i="18" s="1"/>
  <c r="DQ125" i="18" s="1"/>
  <c r="DR125" i="18" s="1"/>
  <c r="DS125" i="18" s="1"/>
  <c r="DT125" i="18" s="1"/>
  <c r="DU125" i="18" s="1"/>
  <c r="DV125" i="18" s="1"/>
  <c r="DW125" i="18" s="1"/>
  <c r="DX125" i="18" s="1"/>
  <c r="DY125" i="18" s="1"/>
  <c r="DZ125" i="18" s="1"/>
  <c r="EA125" i="18" s="1"/>
  <c r="EB125" i="18" s="1"/>
  <c r="EC125" i="18" s="1"/>
  <c r="ED125" i="18" s="1"/>
  <c r="EE125" i="18" s="1"/>
  <c r="EF125" i="18" s="1"/>
  <c r="EG125" i="18" s="1"/>
  <c r="EH125" i="18" s="1"/>
  <c r="EI125" i="18" s="1"/>
  <c r="M101" i="18"/>
  <c r="M29" i="18" s="1"/>
  <c r="J18" i="14" s="1"/>
  <c r="Q156" i="18"/>
  <c r="P153" i="18"/>
  <c r="P45" i="18" s="1"/>
  <c r="O153" i="18"/>
  <c r="O45" i="18" s="1"/>
  <c r="X15" i="18"/>
  <c r="X23" i="18"/>
  <c r="X24" i="18"/>
  <c r="U17" i="14" s="1"/>
  <c r="L8" i="18"/>
  <c r="AM130" i="18"/>
  <c r="P126" i="18"/>
  <c r="Q163" i="18"/>
  <c r="Q37" i="18" s="1"/>
  <c r="R166" i="18"/>
  <c r="I12" i="14"/>
  <c r="I10" i="14" s="1"/>
  <c r="T11" i="14"/>
  <c r="J15" i="14"/>
  <c r="K18" i="14"/>
  <c r="O131" i="18"/>
  <c r="O35" i="18" s="1"/>
  <c r="L21" i="14" s="1"/>
  <c r="P134" i="18"/>
  <c r="R106" i="18"/>
  <c r="S109" i="18"/>
  <c r="P28" i="18"/>
  <c r="P51" i="18"/>
  <c r="M27" i="14" s="1"/>
  <c r="P31" i="18"/>
  <c r="P27" i="18"/>
  <c r="Q129" i="18"/>
  <c r="M42" i="18"/>
  <c r="J24" i="14" s="1"/>
  <c r="M39" i="18"/>
  <c r="J23" i="14" s="1"/>
  <c r="AP142" i="18"/>
  <c r="O61" i="18"/>
  <c r="L30" i="14" s="1"/>
  <c r="O48" i="18"/>
  <c r="L25" i="14" s="1"/>
  <c r="O34" i="18"/>
  <c r="L20" i="14" s="1"/>
  <c r="O33" i="18"/>
  <c r="L19" i="14" s="1"/>
  <c r="Y96" i="18"/>
  <c r="Z99" i="18"/>
  <c r="AK152" i="18"/>
  <c r="S143" i="18"/>
  <c r="S46" i="18" s="1"/>
  <c r="T146" i="18"/>
  <c r="S137" i="18"/>
  <c r="S36" i="18" s="1"/>
  <c r="P22" i="14" s="1"/>
  <c r="T140" i="18"/>
  <c r="R121" i="18"/>
  <c r="R30" i="18" s="1"/>
  <c r="S124" i="18"/>
  <c r="O161" i="18"/>
  <c r="N158" i="18"/>
  <c r="Q26" i="18"/>
  <c r="N16" i="14" s="1"/>
  <c r="Q25" i="18"/>
  <c r="AH111" i="18"/>
  <c r="AI115" i="18"/>
  <c r="EI64" i="18"/>
  <c r="F173" i="18"/>
  <c r="E173" i="18" s="1"/>
  <c r="AP147" i="18" l="1"/>
  <c r="P44" i="18"/>
  <c r="S171" i="18"/>
  <c r="T171" i="18" s="1"/>
  <c r="F125" i="18"/>
  <c r="E125" i="18" s="1"/>
  <c r="P104" i="18"/>
  <c r="Q104" i="18" s="1"/>
  <c r="Q101" i="18" s="1"/>
  <c r="Q29" i="18" s="1"/>
  <c r="N18" i="14" s="1"/>
  <c r="AO172" i="18"/>
  <c r="S43" i="18"/>
  <c r="P26" i="18"/>
  <c r="M16" i="14" s="1"/>
  <c r="AK105" i="18"/>
  <c r="AM157" i="18"/>
  <c r="AN157" i="18" s="1"/>
  <c r="S40" i="18"/>
  <c r="S38" i="18"/>
  <c r="T151" i="18"/>
  <c r="U151" i="18" s="1"/>
  <c r="U148" i="18" s="1"/>
  <c r="R148" i="18"/>
  <c r="R38" i="18" s="1"/>
  <c r="AO167" i="18"/>
  <c r="P38" i="18"/>
  <c r="P40" i="18"/>
  <c r="AW100" i="18"/>
  <c r="AP185" i="18"/>
  <c r="AM136" i="18"/>
  <c r="AL162" i="18"/>
  <c r="AQ142" i="18"/>
  <c r="AM110" i="18"/>
  <c r="AN110" i="18" s="1"/>
  <c r="AO110" i="18" s="1"/>
  <c r="T184" i="18"/>
  <c r="O158" i="18"/>
  <c r="P161" i="18"/>
  <c r="S121" i="18"/>
  <c r="S30" i="18" s="1"/>
  <c r="T124" i="18"/>
  <c r="T137" i="18"/>
  <c r="T36" i="18" s="1"/>
  <c r="Q22" i="14" s="1"/>
  <c r="U140" i="18"/>
  <c r="AL152" i="18"/>
  <c r="Y15" i="18"/>
  <c r="Y24" i="18"/>
  <c r="V17" i="14" s="1"/>
  <c r="Y23" i="18"/>
  <c r="Q126" i="18"/>
  <c r="R51" i="18"/>
  <c r="O27" i="14" s="1"/>
  <c r="R27" i="18"/>
  <c r="R31" i="18"/>
  <c r="R28" i="18"/>
  <c r="M8" i="18"/>
  <c r="P48" i="18"/>
  <c r="M25" i="14" s="1"/>
  <c r="P33" i="18"/>
  <c r="M19" i="14" s="1"/>
  <c r="P61" i="18"/>
  <c r="M30" i="14" s="1"/>
  <c r="P34" i="18"/>
  <c r="M20" i="14" s="1"/>
  <c r="U11" i="14"/>
  <c r="N39" i="18"/>
  <c r="N42" i="18"/>
  <c r="K24" i="14" s="1"/>
  <c r="J12" i="14"/>
  <c r="J10" i="14" s="1"/>
  <c r="R129" i="18"/>
  <c r="S129" i="18" s="1"/>
  <c r="AN130" i="18"/>
  <c r="N15" i="14"/>
  <c r="T143" i="18"/>
  <c r="T46" i="18" s="1"/>
  <c r="U146" i="18"/>
  <c r="M15" i="14"/>
  <c r="T109" i="18"/>
  <c r="S106" i="18"/>
  <c r="R163" i="18"/>
  <c r="R37" i="18" s="1"/>
  <c r="S166" i="18"/>
  <c r="Q153" i="18"/>
  <c r="Q45" i="18" s="1"/>
  <c r="R156" i="18"/>
  <c r="Z96" i="18"/>
  <c r="AA99" i="18"/>
  <c r="P131" i="18"/>
  <c r="P35" i="18" s="1"/>
  <c r="M21" i="14" s="1"/>
  <c r="Q134" i="18"/>
  <c r="R26" i="18"/>
  <c r="O16" i="14" s="1"/>
  <c r="R25" i="18"/>
  <c r="X179" i="18"/>
  <c r="AU180" i="18" s="1"/>
  <c r="W176" i="18"/>
  <c r="W49" i="18" s="1"/>
  <c r="T26" i="14" s="1"/>
  <c r="EF33" i="14"/>
  <c r="E64" i="18"/>
  <c r="AI111" i="18"/>
  <c r="AJ115" i="18"/>
  <c r="AQ147" i="18" l="1"/>
  <c r="S168" i="18"/>
  <c r="S26" i="18" s="1"/>
  <c r="P16" i="14" s="1"/>
  <c r="AP172" i="18"/>
  <c r="P101" i="18"/>
  <c r="P29" i="18" s="1"/>
  <c r="M18" i="14" s="1"/>
  <c r="AM162" i="18"/>
  <c r="R104" i="18"/>
  <c r="R101" i="18" s="1"/>
  <c r="R29" i="18" s="1"/>
  <c r="O18" i="14" s="1"/>
  <c r="V151" i="18"/>
  <c r="V148" i="18" s="1"/>
  <c r="T148" i="18"/>
  <c r="T40" i="18" s="1"/>
  <c r="AL105" i="18"/>
  <c r="AM105" i="18" s="1"/>
  <c r="AO157" i="18"/>
  <c r="R43" i="18"/>
  <c r="R44" i="18"/>
  <c r="R40" i="18"/>
  <c r="AP167" i="18"/>
  <c r="AO130" i="18"/>
  <c r="AP130" i="18" s="1"/>
  <c r="AX100" i="18"/>
  <c r="AN136" i="18"/>
  <c r="AQ185" i="18"/>
  <c r="AQ172" i="18"/>
  <c r="AR142" i="18"/>
  <c r="AP110" i="18"/>
  <c r="T181" i="18"/>
  <c r="T50" i="18" s="1"/>
  <c r="U184" i="18"/>
  <c r="T168" i="18"/>
  <c r="U171" i="18"/>
  <c r="U143" i="18"/>
  <c r="U46" i="18" s="1"/>
  <c r="V146" i="18"/>
  <c r="U38" i="18"/>
  <c r="U43" i="18"/>
  <c r="U40" i="18"/>
  <c r="U44" i="18"/>
  <c r="U137" i="18"/>
  <c r="U36" i="18" s="1"/>
  <c r="R22" i="14" s="1"/>
  <c r="V140" i="18"/>
  <c r="X176" i="18"/>
  <c r="X49" i="18" s="1"/>
  <c r="U26" i="14" s="1"/>
  <c r="Y179" i="18"/>
  <c r="AV180" i="18" s="1"/>
  <c r="AA96" i="18"/>
  <c r="AB99" i="18"/>
  <c r="R153" i="18"/>
  <c r="R45" i="18" s="1"/>
  <c r="S156" i="18"/>
  <c r="AM152" i="18"/>
  <c r="AN152" i="18" s="1"/>
  <c r="AO152" i="18" s="1"/>
  <c r="AP152" i="18" s="1"/>
  <c r="AQ152" i="18" s="1"/>
  <c r="T121" i="18"/>
  <c r="T30" i="18" s="1"/>
  <c r="U124" i="18"/>
  <c r="S126" i="18"/>
  <c r="Q131" i="18"/>
  <c r="Q35" i="18" s="1"/>
  <c r="N21" i="14" s="1"/>
  <c r="R134" i="18"/>
  <c r="Z24" i="18"/>
  <c r="W17" i="14" s="1"/>
  <c r="Z15" i="18"/>
  <c r="Z23" i="18"/>
  <c r="S28" i="18"/>
  <c r="S51" i="18"/>
  <c r="P27" i="14" s="1"/>
  <c r="S31" i="18"/>
  <c r="S27" i="18"/>
  <c r="K23" i="14"/>
  <c r="K12" i="14" s="1"/>
  <c r="K10" i="14" s="1"/>
  <c r="N8" i="18"/>
  <c r="O42" i="18"/>
  <c r="L24" i="14" s="1"/>
  <c r="O39" i="18"/>
  <c r="O15" i="14"/>
  <c r="S163" i="18"/>
  <c r="S37" i="18" s="1"/>
  <c r="T166" i="18"/>
  <c r="T106" i="18"/>
  <c r="U109" i="18"/>
  <c r="R126" i="18"/>
  <c r="T129" i="18"/>
  <c r="Q61" i="18"/>
  <c r="N30" i="14" s="1"/>
  <c r="Q48" i="18"/>
  <c r="N25" i="14" s="1"/>
  <c r="Q33" i="18"/>
  <c r="Q34" i="18"/>
  <c r="N20" i="14" s="1"/>
  <c r="V11" i="14"/>
  <c r="Q161" i="18"/>
  <c r="P158" i="18"/>
  <c r="AJ111" i="18"/>
  <c r="AK115" i="18"/>
  <c r="EF31" i="14"/>
  <c r="C31" i="14" s="1"/>
  <c r="C33" i="14"/>
  <c r="AR147" i="18" l="1"/>
  <c r="T44" i="18"/>
  <c r="AN162" i="18"/>
  <c r="S25" i="18"/>
  <c r="W151" i="18"/>
  <c r="X151" i="18" s="1"/>
  <c r="T43" i="18"/>
  <c r="T38" i="18"/>
  <c r="S104" i="18"/>
  <c r="AN105" i="18"/>
  <c r="AP157" i="18"/>
  <c r="AQ167" i="18"/>
  <c r="AQ130" i="18"/>
  <c r="AO136" i="18"/>
  <c r="AY100" i="18"/>
  <c r="AR185" i="18"/>
  <c r="AR172" i="18"/>
  <c r="AS142" i="18"/>
  <c r="AQ110" i="18"/>
  <c r="AR110" i="18" s="1"/>
  <c r="V184" i="18"/>
  <c r="U181" i="18"/>
  <c r="U50" i="18" s="1"/>
  <c r="P42" i="18"/>
  <c r="M24" i="14" s="1"/>
  <c r="P39" i="18"/>
  <c r="W11" i="14"/>
  <c r="P15" i="14"/>
  <c r="S153" i="18"/>
  <c r="S45" i="18" s="1"/>
  <c r="T156" i="18"/>
  <c r="Y176" i="18"/>
  <c r="Y49" i="18" s="1"/>
  <c r="V26" i="14" s="1"/>
  <c r="Z179" i="18"/>
  <c r="AW180" i="18" s="1"/>
  <c r="T26" i="18"/>
  <c r="Q16" i="14" s="1"/>
  <c r="T25" i="18"/>
  <c r="Q158" i="18"/>
  <c r="R161" i="18"/>
  <c r="R34" i="18"/>
  <c r="O20" i="14" s="1"/>
  <c r="R61" i="18"/>
  <c r="O30" i="14" s="1"/>
  <c r="R33" i="18"/>
  <c r="R48" i="18"/>
  <c r="O25" i="14" s="1"/>
  <c r="U106" i="18"/>
  <c r="V109" i="18"/>
  <c r="T163" i="18"/>
  <c r="T37" i="18" s="1"/>
  <c r="U166" i="18"/>
  <c r="AR152" i="18"/>
  <c r="AS152" i="18" s="1"/>
  <c r="AT152" i="18" s="1"/>
  <c r="N19" i="14"/>
  <c r="T126" i="18"/>
  <c r="U129" i="18"/>
  <c r="AR130" i="18" s="1"/>
  <c r="W148" i="18"/>
  <c r="T51" i="18"/>
  <c r="Q27" i="14" s="1"/>
  <c r="T31" i="18"/>
  <c r="T28" i="18"/>
  <c r="T27" i="18"/>
  <c r="S48" i="18"/>
  <c r="P25" i="14" s="1"/>
  <c r="S61" i="18"/>
  <c r="P30" i="14" s="1"/>
  <c r="S34" i="18"/>
  <c r="P20" i="14" s="1"/>
  <c r="S33" i="18"/>
  <c r="P19" i="14" s="1"/>
  <c r="AB96" i="18"/>
  <c r="AC99" i="18"/>
  <c r="V43" i="18"/>
  <c r="V44" i="18"/>
  <c r="V38" i="18"/>
  <c r="V40" i="18"/>
  <c r="L23" i="14"/>
  <c r="L12" i="14" s="1"/>
  <c r="L10" i="14" s="1"/>
  <c r="O8" i="18"/>
  <c r="R131" i="18"/>
  <c r="R35" i="18" s="1"/>
  <c r="O21" i="14" s="1"/>
  <c r="S134" i="18"/>
  <c r="U121" i="18"/>
  <c r="U30" i="18" s="1"/>
  <c r="V124" i="18"/>
  <c r="AA23" i="18"/>
  <c r="AA24" i="18"/>
  <c r="X17" i="14" s="1"/>
  <c r="AA15" i="18"/>
  <c r="V137" i="18"/>
  <c r="V36" i="18" s="1"/>
  <c r="S22" i="14" s="1"/>
  <c r="W140" i="18"/>
  <c r="V143" i="18"/>
  <c r="V46" i="18" s="1"/>
  <c r="W146" i="18"/>
  <c r="U168" i="18"/>
  <c r="V171" i="18"/>
  <c r="AK111" i="18"/>
  <c r="AL115" i="18"/>
  <c r="AS147" i="18" l="1"/>
  <c r="AT147" i="18" s="1"/>
  <c r="AO162" i="18"/>
  <c r="AR167" i="18"/>
  <c r="S101" i="18"/>
  <c r="S29" i="18" s="1"/>
  <c r="P18" i="14" s="1"/>
  <c r="T104" i="18"/>
  <c r="AO105" i="18"/>
  <c r="AQ157" i="18"/>
  <c r="AS172" i="18"/>
  <c r="AZ100" i="18"/>
  <c r="AS185" i="18"/>
  <c r="AU152" i="18"/>
  <c r="AT142" i="18"/>
  <c r="W184" i="18"/>
  <c r="V181" i="18"/>
  <c r="V50" i="18" s="1"/>
  <c r="AS110" i="18"/>
  <c r="W44" i="18"/>
  <c r="W43" i="18"/>
  <c r="W40" i="18"/>
  <c r="W38" i="18"/>
  <c r="R158" i="18"/>
  <c r="S161" i="18"/>
  <c r="Q42" i="18"/>
  <c r="N24" i="14" s="1"/>
  <c r="Q39" i="18"/>
  <c r="T153" i="18"/>
  <c r="T45" i="18" s="1"/>
  <c r="U156" i="18"/>
  <c r="AC96" i="18"/>
  <c r="AD99" i="18"/>
  <c r="U126" i="18"/>
  <c r="V129" i="18"/>
  <c r="AS130" i="18" s="1"/>
  <c r="U163" i="18"/>
  <c r="U37" i="18" s="1"/>
  <c r="V166" i="18"/>
  <c r="AS167" i="18" s="1"/>
  <c r="O19" i="14"/>
  <c r="V168" i="18"/>
  <c r="W171" i="18"/>
  <c r="V121" i="18"/>
  <c r="V30" i="18" s="1"/>
  <c r="W124" i="18"/>
  <c r="AB15" i="18"/>
  <c r="AB24" i="18"/>
  <c r="Y17" i="14" s="1"/>
  <c r="AB23" i="18"/>
  <c r="T48" i="18"/>
  <c r="Q25" i="14" s="1"/>
  <c r="T34" i="18"/>
  <c r="Q20" i="14" s="1"/>
  <c r="T33" i="18"/>
  <c r="Q19" i="14" s="1"/>
  <c r="T61" i="18"/>
  <c r="Q30" i="14" s="1"/>
  <c r="V106" i="18"/>
  <c r="W109" i="18"/>
  <c r="Q15" i="14"/>
  <c r="AA179" i="18"/>
  <c r="AX180" i="18" s="1"/>
  <c r="Z176" i="18"/>
  <c r="Z49" i="18" s="1"/>
  <c r="W26" i="14" s="1"/>
  <c r="M23" i="14"/>
  <c r="M12" i="14" s="1"/>
  <c r="M10" i="14" s="1"/>
  <c r="P8" i="18"/>
  <c r="U26" i="18"/>
  <c r="R16" i="14" s="1"/>
  <c r="U25" i="18"/>
  <c r="W143" i="18"/>
  <c r="W46" i="18" s="1"/>
  <c r="X146" i="18"/>
  <c r="W137" i="18"/>
  <c r="W36" i="18" s="1"/>
  <c r="T22" i="14" s="1"/>
  <c r="X140" i="18"/>
  <c r="X11" i="14"/>
  <c r="AP136" i="18"/>
  <c r="S131" i="18"/>
  <c r="S35" i="18" s="1"/>
  <c r="P21" i="14" s="1"/>
  <c r="T134" i="18"/>
  <c r="X148" i="18"/>
  <c r="Y151" i="18"/>
  <c r="U31" i="18"/>
  <c r="U27" i="18"/>
  <c r="U51" i="18"/>
  <c r="R27" i="14" s="1"/>
  <c r="U28" i="18"/>
  <c r="AL111" i="18"/>
  <c r="AM115" i="18"/>
  <c r="AU147" i="18" l="1"/>
  <c r="AP162" i="18"/>
  <c r="T101" i="18"/>
  <c r="T29" i="18" s="1"/>
  <c r="Q18" i="14" s="1"/>
  <c r="U104" i="18"/>
  <c r="V104" i="18" s="1"/>
  <c r="V101" i="18" s="1"/>
  <c r="V29" i="18" s="1"/>
  <c r="AP105" i="18"/>
  <c r="AQ105" i="18" s="1"/>
  <c r="AR157" i="18"/>
  <c r="AT172" i="18"/>
  <c r="AV152" i="18"/>
  <c r="BA100" i="18"/>
  <c r="AT185" i="18"/>
  <c r="AU142" i="18"/>
  <c r="AQ136" i="18"/>
  <c r="AT110" i="18"/>
  <c r="W181" i="18"/>
  <c r="W50" i="18" s="1"/>
  <c r="X184" i="18"/>
  <c r="X143" i="18"/>
  <c r="X46" i="18" s="1"/>
  <c r="Y146" i="18"/>
  <c r="AV147" i="18" s="1"/>
  <c r="AA176" i="18"/>
  <c r="AA49" i="18" s="1"/>
  <c r="X26" i="14" s="1"/>
  <c r="AB179" i="18"/>
  <c r="AY180" i="18" s="1"/>
  <c r="W106" i="18"/>
  <c r="X109" i="18"/>
  <c r="V25" i="18"/>
  <c r="V26" i="18"/>
  <c r="S16" i="14" s="1"/>
  <c r="AD96" i="18"/>
  <c r="AE99" i="18"/>
  <c r="U153" i="18"/>
  <c r="U45" i="18" s="1"/>
  <c r="V156" i="18"/>
  <c r="X137" i="18"/>
  <c r="X36" i="18" s="1"/>
  <c r="U22" i="14" s="1"/>
  <c r="Y140" i="18"/>
  <c r="V31" i="18"/>
  <c r="V28" i="18"/>
  <c r="V27" i="18"/>
  <c r="V51" i="18"/>
  <c r="S27" i="14" s="1"/>
  <c r="X124" i="18"/>
  <c r="W121" i="18"/>
  <c r="W30" i="18" s="1"/>
  <c r="V163" i="18"/>
  <c r="V37" i="18" s="1"/>
  <c r="W166" i="18"/>
  <c r="AT167" i="18" s="1"/>
  <c r="V126" i="18"/>
  <c r="W129" i="18"/>
  <c r="AT130" i="18" s="1"/>
  <c r="AC23" i="18"/>
  <c r="AC15" i="18"/>
  <c r="AC24" i="18"/>
  <c r="Z17" i="14" s="1"/>
  <c r="S158" i="18"/>
  <c r="T161" i="18"/>
  <c r="Y148" i="18"/>
  <c r="Z151" i="18"/>
  <c r="X43" i="18"/>
  <c r="X44" i="18"/>
  <c r="X38" i="18"/>
  <c r="X40" i="18"/>
  <c r="R15" i="14"/>
  <c r="U61" i="18"/>
  <c r="R30" i="14" s="1"/>
  <c r="U34" i="18"/>
  <c r="R20" i="14" s="1"/>
  <c r="U48" i="18"/>
  <c r="R25" i="14" s="1"/>
  <c r="U33" i="18"/>
  <c r="R19" i="14" s="1"/>
  <c r="N23" i="14"/>
  <c r="N12" i="14" s="1"/>
  <c r="N10" i="14" s="1"/>
  <c r="Q8" i="18"/>
  <c r="R42" i="18"/>
  <c r="O24" i="14" s="1"/>
  <c r="R39" i="18"/>
  <c r="T131" i="18"/>
  <c r="T35" i="18" s="1"/>
  <c r="U134" i="18"/>
  <c r="Y11" i="14"/>
  <c r="W168" i="18"/>
  <c r="X171" i="18"/>
  <c r="AM111" i="18"/>
  <c r="AN115" i="18"/>
  <c r="AQ162" i="18" l="1"/>
  <c r="U101" i="18"/>
  <c r="U29" i="18" s="1"/>
  <c r="R18" i="14" s="1"/>
  <c r="W104" i="18"/>
  <c r="AU172" i="18"/>
  <c r="AR105" i="18"/>
  <c r="AS105" i="18" s="1"/>
  <c r="AS157" i="18"/>
  <c r="AW152" i="18"/>
  <c r="BB100" i="18"/>
  <c r="AU185" i="18"/>
  <c r="AR136" i="18"/>
  <c r="AV142" i="18"/>
  <c r="X181" i="18"/>
  <c r="X50" i="18" s="1"/>
  <c r="Y184" i="18"/>
  <c r="S18" i="14"/>
  <c r="AU110" i="18"/>
  <c r="W26" i="18"/>
  <c r="T16" i="14" s="1"/>
  <c r="W25" i="18"/>
  <c r="U131" i="18"/>
  <c r="U35" i="18" s="1"/>
  <c r="R21" i="14" s="1"/>
  <c r="V134" i="18"/>
  <c r="T158" i="18"/>
  <c r="U161" i="18"/>
  <c r="AR162" i="18" s="1"/>
  <c r="V33" i="18"/>
  <c r="S19" i="14" s="1"/>
  <c r="V61" i="18"/>
  <c r="S30" i="14" s="1"/>
  <c r="V34" i="18"/>
  <c r="S20" i="14" s="1"/>
  <c r="V48" i="18"/>
  <c r="S25" i="14" s="1"/>
  <c r="X121" i="18"/>
  <c r="X30" i="18" s="1"/>
  <c r="Y124" i="18"/>
  <c r="W27" i="18"/>
  <c r="W51" i="18"/>
  <c r="T27" i="14" s="1"/>
  <c r="W31" i="18"/>
  <c r="W28" i="18"/>
  <c r="Q21" i="14"/>
  <c r="Z148" i="18"/>
  <c r="AA151" i="18"/>
  <c r="S39" i="18"/>
  <c r="S42" i="18"/>
  <c r="P24" i="14" s="1"/>
  <c r="W163" i="18"/>
  <c r="W37" i="18" s="1"/>
  <c r="X166" i="18"/>
  <c r="AU167" i="18" s="1"/>
  <c r="Y137" i="18"/>
  <c r="Y36" i="18" s="1"/>
  <c r="V22" i="14" s="1"/>
  <c r="Z140" i="18"/>
  <c r="S15" i="14"/>
  <c r="Y44" i="18"/>
  <c r="Y40" i="18"/>
  <c r="Y38" i="18"/>
  <c r="Y43" i="18"/>
  <c r="AE96" i="18"/>
  <c r="AF99" i="18"/>
  <c r="AB176" i="18"/>
  <c r="AB49" i="18" s="1"/>
  <c r="Y26" i="14" s="1"/>
  <c r="AC179" i="18"/>
  <c r="AZ180" i="18" s="1"/>
  <c r="Y143" i="18"/>
  <c r="Y46" i="18" s="1"/>
  <c r="Z146" i="18"/>
  <c r="AW147" i="18" s="1"/>
  <c r="X168" i="18"/>
  <c r="Y171" i="18"/>
  <c r="O23" i="14"/>
  <c r="O12" i="14" s="1"/>
  <c r="O10" i="14" s="1"/>
  <c r="R8" i="18"/>
  <c r="Z11" i="14"/>
  <c r="W126" i="18"/>
  <c r="X129" i="18"/>
  <c r="AU130" i="18" s="1"/>
  <c r="V153" i="18"/>
  <c r="V45" i="18" s="1"/>
  <c r="W156" i="18"/>
  <c r="AD24" i="18"/>
  <c r="AA17" i="14" s="1"/>
  <c r="AD23" i="18"/>
  <c r="AD15" i="18"/>
  <c r="X106" i="18"/>
  <c r="Y109" i="18"/>
  <c r="AN111" i="18"/>
  <c r="AO115" i="18"/>
  <c r="AT157" i="18" l="1"/>
  <c r="AV172" i="18"/>
  <c r="AT105" i="18"/>
  <c r="W101" i="18"/>
  <c r="W29" i="18" s="1"/>
  <c r="T18" i="14" s="1"/>
  <c r="X104" i="18"/>
  <c r="AX152" i="18"/>
  <c r="BC100" i="18"/>
  <c r="AV185" i="18"/>
  <c r="AS136" i="18"/>
  <c r="AW142" i="18"/>
  <c r="Z184" i="18"/>
  <c r="Y181" i="18"/>
  <c r="Y50" i="18" s="1"/>
  <c r="AV110" i="18"/>
  <c r="W61" i="18"/>
  <c r="T30" i="14" s="1"/>
  <c r="W48" i="18"/>
  <c r="T25" i="14" s="1"/>
  <c r="W34" i="18"/>
  <c r="T20" i="14" s="1"/>
  <c r="W33" i="18"/>
  <c r="T19" i="14" s="1"/>
  <c r="X26" i="18"/>
  <c r="U16" i="14" s="1"/>
  <c r="X25" i="18"/>
  <c r="AF96" i="18"/>
  <c r="AG99" i="18"/>
  <c r="P23" i="14"/>
  <c r="P12" i="14" s="1"/>
  <c r="P10" i="14" s="1"/>
  <c r="S8" i="18"/>
  <c r="Y121" i="18"/>
  <c r="Y30" i="18" s="1"/>
  <c r="Z124" i="18"/>
  <c r="Y106" i="18"/>
  <c r="Z109" i="18"/>
  <c r="Z143" i="18"/>
  <c r="Z46" i="18" s="1"/>
  <c r="AA146" i="18"/>
  <c r="AX147" i="18" s="1"/>
  <c r="AE24" i="18"/>
  <c r="AB17" i="14" s="1"/>
  <c r="AE23" i="18"/>
  <c r="AE15" i="18"/>
  <c r="Z137" i="18"/>
  <c r="Z36" i="18" s="1"/>
  <c r="W22" i="14" s="1"/>
  <c r="AA140" i="18"/>
  <c r="X163" i="18"/>
  <c r="X37" i="18" s="1"/>
  <c r="Y166" i="18"/>
  <c r="AV167" i="18" s="1"/>
  <c r="T15" i="14"/>
  <c r="X31" i="18"/>
  <c r="X27" i="18"/>
  <c r="X51" i="18"/>
  <c r="U27" i="14" s="1"/>
  <c r="X28" i="18"/>
  <c r="W153" i="18"/>
  <c r="W45" i="18" s="1"/>
  <c r="X156" i="18"/>
  <c r="AC176" i="18"/>
  <c r="AC49" i="18" s="1"/>
  <c r="Z26" i="14" s="1"/>
  <c r="AD179" i="18"/>
  <c r="BA180" i="18" s="1"/>
  <c r="AA148" i="18"/>
  <c r="AB151" i="18"/>
  <c r="U158" i="18"/>
  <c r="V161" i="18"/>
  <c r="AS162" i="18" s="1"/>
  <c r="AA11" i="14"/>
  <c r="X126" i="18"/>
  <c r="Y129" i="18"/>
  <c r="AV130" i="18" s="1"/>
  <c r="Y168" i="18"/>
  <c r="Z171" i="18"/>
  <c r="AW172" i="18" s="1"/>
  <c r="Z44" i="18"/>
  <c r="Z38" i="18"/>
  <c r="Z43" i="18"/>
  <c r="Z40" i="18"/>
  <c r="T39" i="18"/>
  <c r="T42" i="18"/>
  <c r="Q24" i="14" s="1"/>
  <c r="V131" i="18"/>
  <c r="V35" i="18" s="1"/>
  <c r="W134" i="18"/>
  <c r="AO111" i="18"/>
  <c r="AP115" i="18"/>
  <c r="AY152" i="18" l="1"/>
  <c r="AU157" i="18"/>
  <c r="AT136" i="18"/>
  <c r="X101" i="18"/>
  <c r="X29" i="18" s="1"/>
  <c r="U18" i="14" s="1"/>
  <c r="Y104" i="18"/>
  <c r="AU105" i="18"/>
  <c r="AW110" i="18"/>
  <c r="BD100" i="18"/>
  <c r="AW185" i="18"/>
  <c r="AX142" i="18"/>
  <c r="AA184" i="18"/>
  <c r="Z181" i="18"/>
  <c r="Z50" i="18" s="1"/>
  <c r="S21" i="14"/>
  <c r="Y26" i="18"/>
  <c r="V16" i="14" s="1"/>
  <c r="Y25" i="18"/>
  <c r="Y126" i="18"/>
  <c r="Z129" i="18"/>
  <c r="AW130" i="18" s="1"/>
  <c r="AA40" i="18"/>
  <c r="AA43" i="18"/>
  <c r="AA44" i="18"/>
  <c r="AA38" i="18"/>
  <c r="X153" i="18"/>
  <c r="X45" i="18" s="1"/>
  <c r="Y156" i="18"/>
  <c r="AA137" i="18"/>
  <c r="AA36" i="18" s="1"/>
  <c r="X22" i="14" s="1"/>
  <c r="AB140" i="18"/>
  <c r="Y31" i="18"/>
  <c r="Y27" i="18"/>
  <c r="Y28" i="18"/>
  <c r="Y51" i="18"/>
  <c r="V27" i="14" s="1"/>
  <c r="AF23" i="18"/>
  <c r="AF15" i="18"/>
  <c r="AF24" i="18"/>
  <c r="AC17" i="14" s="1"/>
  <c r="X61" i="18"/>
  <c r="U30" i="14" s="1"/>
  <c r="X48" i="18"/>
  <c r="U25" i="14" s="1"/>
  <c r="X34" i="18"/>
  <c r="U20" i="14" s="1"/>
  <c r="X33" i="18"/>
  <c r="U19" i="14" s="1"/>
  <c r="AD176" i="18"/>
  <c r="AD49" i="18" s="1"/>
  <c r="AA26" i="14" s="1"/>
  <c r="AE179" i="18"/>
  <c r="BB180" i="18" s="1"/>
  <c r="AB11" i="14"/>
  <c r="U15" i="14"/>
  <c r="Q23" i="14"/>
  <c r="Q12" i="14" s="1"/>
  <c r="Q10" i="14" s="1"/>
  <c r="T8" i="18"/>
  <c r="V158" i="18"/>
  <c r="W161" i="18"/>
  <c r="AT162" i="18" s="1"/>
  <c r="Y163" i="18"/>
  <c r="Y37" i="18" s="1"/>
  <c r="Z166" i="18"/>
  <c r="AW167" i="18" s="1"/>
  <c r="Z121" i="18"/>
  <c r="Z30" i="18" s="1"/>
  <c r="AA124" i="18"/>
  <c r="W131" i="18"/>
  <c r="W35" i="18" s="1"/>
  <c r="X134" i="18"/>
  <c r="Z168" i="18"/>
  <c r="AA171" i="18"/>
  <c r="AX172" i="18" s="1"/>
  <c r="U42" i="18"/>
  <c r="R24" i="14" s="1"/>
  <c r="U39" i="18"/>
  <c r="AB148" i="18"/>
  <c r="AC151" i="18"/>
  <c r="AA143" i="18"/>
  <c r="AA46" i="18" s="1"/>
  <c r="AB146" i="18"/>
  <c r="AY147" i="18" s="1"/>
  <c r="Z106" i="18"/>
  <c r="AA109" i="18"/>
  <c r="AG96" i="18"/>
  <c r="AH99" i="18"/>
  <c r="AP111" i="18"/>
  <c r="AQ115" i="18"/>
  <c r="AZ152" i="18" l="1"/>
  <c r="AV157" i="18"/>
  <c r="AU136" i="18"/>
  <c r="AV105" i="18"/>
  <c r="Z104" i="18"/>
  <c r="Z101" i="18" s="1"/>
  <c r="Z29" i="18" s="1"/>
  <c r="Y101" i="18"/>
  <c r="Y29" i="18" s="1"/>
  <c r="V18" i="14" s="1"/>
  <c r="AX110" i="18"/>
  <c r="BE100" i="18"/>
  <c r="AX185" i="18"/>
  <c r="AY142" i="18"/>
  <c r="AA181" i="18"/>
  <c r="AA50" i="18" s="1"/>
  <c r="AB184" i="18"/>
  <c r="AG23" i="18"/>
  <c r="AG15" i="18"/>
  <c r="AG24" i="18"/>
  <c r="AD17" i="14" s="1"/>
  <c r="R23" i="14"/>
  <c r="R12" i="14" s="1"/>
  <c r="R10" i="14" s="1"/>
  <c r="U8" i="18"/>
  <c r="X131" i="18"/>
  <c r="X35" i="18" s="1"/>
  <c r="Y134" i="18"/>
  <c r="AV136" i="18" s="1"/>
  <c r="V39" i="18"/>
  <c r="V42" i="18"/>
  <c r="S24" i="14" s="1"/>
  <c r="AE176" i="18"/>
  <c r="AE49" i="18" s="1"/>
  <c r="AB26" i="14" s="1"/>
  <c r="AF179" i="18"/>
  <c r="BC180" i="18" s="1"/>
  <c r="AC11" i="14"/>
  <c r="V15" i="14"/>
  <c r="AA168" i="18"/>
  <c r="AB171" i="18"/>
  <c r="AY172" i="18" s="1"/>
  <c r="T21" i="14"/>
  <c r="AA121" i="18"/>
  <c r="AA30" i="18" s="1"/>
  <c r="AB124" i="18"/>
  <c r="AB137" i="18"/>
  <c r="AB36" i="18" s="1"/>
  <c r="Y22" i="14" s="1"/>
  <c r="AC140" i="18"/>
  <c r="AA106" i="18"/>
  <c r="AB109" i="18"/>
  <c r="AC148" i="18"/>
  <c r="AD151" i="18"/>
  <c r="Z25" i="18"/>
  <c r="Z26" i="18"/>
  <c r="W16" i="14" s="1"/>
  <c r="Y153" i="18"/>
  <c r="Y45" i="18" s="1"/>
  <c r="Z156" i="18"/>
  <c r="Z126" i="18"/>
  <c r="AA129" i="18"/>
  <c r="AX130" i="18" s="1"/>
  <c r="AH96" i="18"/>
  <c r="AI99" i="18"/>
  <c r="Z31" i="18"/>
  <c r="Z51" i="18"/>
  <c r="W27" i="14" s="1"/>
  <c r="Z27" i="18"/>
  <c r="Z28" i="18"/>
  <c r="AB143" i="18"/>
  <c r="AB46" i="18" s="1"/>
  <c r="AC146" i="18"/>
  <c r="AZ147" i="18" s="1"/>
  <c r="AB43" i="18"/>
  <c r="AB44" i="18"/>
  <c r="AB38" i="18"/>
  <c r="AB40" i="18"/>
  <c r="Z163" i="18"/>
  <c r="Z37" i="18" s="1"/>
  <c r="AA166" i="18"/>
  <c r="AX167" i="18" s="1"/>
  <c r="W158" i="18"/>
  <c r="X161" i="18"/>
  <c r="AU162" i="18" s="1"/>
  <c r="Y33" i="18"/>
  <c r="V19" i="14" s="1"/>
  <c r="Y61" i="18"/>
  <c r="V30" i="14" s="1"/>
  <c r="Y48" i="18"/>
  <c r="V25" i="14" s="1"/>
  <c r="Y34" i="18"/>
  <c r="V20" i="14" s="1"/>
  <c r="AQ111" i="18"/>
  <c r="AR115" i="18"/>
  <c r="AW157" i="18" l="1"/>
  <c r="BA152" i="18"/>
  <c r="AW105" i="18"/>
  <c r="AA104" i="18"/>
  <c r="AY110" i="18"/>
  <c r="BF100" i="18"/>
  <c r="AY185" i="18"/>
  <c r="AZ142" i="18"/>
  <c r="AC184" i="18"/>
  <c r="AB181" i="18"/>
  <c r="AB50" i="18" s="1"/>
  <c r="W39" i="18"/>
  <c r="W42" i="18"/>
  <c r="T24" i="14" s="1"/>
  <c r="AH23" i="18"/>
  <c r="AH15" i="18"/>
  <c r="AH24" i="18"/>
  <c r="AE17" i="14" s="1"/>
  <c r="AA31" i="18"/>
  <c r="AA27" i="18"/>
  <c r="AA28" i="18"/>
  <c r="AA51" i="18"/>
  <c r="X27" i="14" s="1"/>
  <c r="AA25" i="18"/>
  <c r="AA26" i="18"/>
  <c r="X16" i="14" s="1"/>
  <c r="AF176" i="18"/>
  <c r="AF49" i="18" s="1"/>
  <c r="AC26" i="14" s="1"/>
  <c r="AG179" i="18"/>
  <c r="BD180" i="18" s="1"/>
  <c r="Y131" i="18"/>
  <c r="Y35" i="18" s="1"/>
  <c r="V21" i="14" s="1"/>
  <c r="Z134" i="18"/>
  <c r="AW136" i="18" s="1"/>
  <c r="AA163" i="18"/>
  <c r="AA37" i="18" s="1"/>
  <c r="AB166" i="18"/>
  <c r="AY167" i="18" s="1"/>
  <c r="W15" i="14"/>
  <c r="AD148" i="18"/>
  <c r="AE151" i="18"/>
  <c r="BB152" i="18" s="1"/>
  <c r="AC137" i="18"/>
  <c r="AC36" i="18" s="1"/>
  <c r="Z22" i="14" s="1"/>
  <c r="AD140" i="18"/>
  <c r="U21" i="14"/>
  <c r="AD11" i="14"/>
  <c r="AC143" i="18"/>
  <c r="AC46" i="18" s="1"/>
  <c r="AD146" i="18"/>
  <c r="BA147" i="18" s="1"/>
  <c r="AA126" i="18"/>
  <c r="AB129" i="18"/>
  <c r="AY130" i="18" s="1"/>
  <c r="AC40" i="18"/>
  <c r="AC38" i="18"/>
  <c r="AC43" i="18"/>
  <c r="AC44" i="18"/>
  <c r="X158" i="18"/>
  <c r="Y161" i="18"/>
  <c r="AV162" i="18" s="1"/>
  <c r="W18" i="14"/>
  <c r="AI96" i="18"/>
  <c r="AJ99" i="18"/>
  <c r="Z34" i="18"/>
  <c r="W20" i="14" s="1"/>
  <c r="Z61" i="18"/>
  <c r="W30" i="14" s="1"/>
  <c r="Z48" i="18"/>
  <c r="W25" i="14" s="1"/>
  <c r="Z33" i="18"/>
  <c r="W19" i="14" s="1"/>
  <c r="Z153" i="18"/>
  <c r="Z45" i="18" s="1"/>
  <c r="AA156" i="18"/>
  <c r="AB106" i="18"/>
  <c r="AC109" i="18"/>
  <c r="AB121" i="18"/>
  <c r="AB30" i="18" s="1"/>
  <c r="AC124" i="18"/>
  <c r="AB168" i="18"/>
  <c r="AC171" i="18"/>
  <c r="AZ172" i="18" s="1"/>
  <c r="S23" i="14"/>
  <c r="S12" i="14" s="1"/>
  <c r="S10" i="14" s="1"/>
  <c r="V8" i="18"/>
  <c r="AR111" i="18"/>
  <c r="AS115" i="18"/>
  <c r="AA101" i="18" l="1"/>
  <c r="AA29" i="18" s="1"/>
  <c r="AB104" i="18"/>
  <c r="AX105" i="18"/>
  <c r="AZ110" i="18"/>
  <c r="BG100" i="18"/>
  <c r="AZ185" i="18"/>
  <c r="BA142" i="18"/>
  <c r="AD184" i="18"/>
  <c r="AC181" i="18"/>
  <c r="AC50" i="18" s="1"/>
  <c r="AB28" i="18"/>
  <c r="AB31" i="18"/>
  <c r="AB27" i="18"/>
  <c r="AB51" i="18"/>
  <c r="Y27" i="14" s="1"/>
  <c r="AI23" i="18"/>
  <c r="AI15" i="18"/>
  <c r="AI24" i="18"/>
  <c r="AF17" i="14" s="1"/>
  <c r="AD43" i="18"/>
  <c r="AD44" i="18"/>
  <c r="AD38" i="18"/>
  <c r="AD40" i="18"/>
  <c r="AG176" i="18"/>
  <c r="AG49" i="18" s="1"/>
  <c r="AD26" i="14" s="1"/>
  <c r="AH179" i="18"/>
  <c r="BE180" i="18" s="1"/>
  <c r="AC168" i="18"/>
  <c r="AD171" i="18"/>
  <c r="BA172" i="18" s="1"/>
  <c r="Y158" i="18"/>
  <c r="Z161" i="18"/>
  <c r="AW162" i="18" s="1"/>
  <c r="AB126" i="18"/>
  <c r="AC129" i="18"/>
  <c r="AZ130" i="18" s="1"/>
  <c r="AE11" i="14"/>
  <c r="AB25" i="18"/>
  <c r="AB26" i="18"/>
  <c r="Y16" i="14" s="1"/>
  <c r="AC121" i="18"/>
  <c r="AC30" i="18" s="1"/>
  <c r="AD124" i="18"/>
  <c r="AX157" i="18"/>
  <c r="AA153" i="18"/>
  <c r="AA45" i="18" s="1"/>
  <c r="AB156" i="18"/>
  <c r="X39" i="18"/>
  <c r="X42" i="18"/>
  <c r="U24" i="14" s="1"/>
  <c r="AA61" i="18"/>
  <c r="X30" i="14" s="1"/>
  <c r="AA48" i="18"/>
  <c r="X25" i="14" s="1"/>
  <c r="AA34" i="18"/>
  <c r="X20" i="14" s="1"/>
  <c r="AA33" i="18"/>
  <c r="X19" i="14" s="1"/>
  <c r="AD137" i="18"/>
  <c r="AD36" i="18" s="1"/>
  <c r="AA22" i="14" s="1"/>
  <c r="AE140" i="18"/>
  <c r="X18" i="14"/>
  <c r="T23" i="14"/>
  <c r="T12" i="14" s="1"/>
  <c r="T10" i="14" s="1"/>
  <c r="W8" i="18"/>
  <c r="AC106" i="18"/>
  <c r="AD109" i="18"/>
  <c r="AJ96" i="18"/>
  <c r="AK99" i="18"/>
  <c r="AD143" i="18"/>
  <c r="AD46" i="18" s="1"/>
  <c r="AE146" i="18"/>
  <c r="BB147" i="18" s="1"/>
  <c r="AE148" i="18"/>
  <c r="AF151" i="18"/>
  <c r="AB163" i="18"/>
  <c r="AB37" i="18" s="1"/>
  <c r="AC166" i="18"/>
  <c r="AZ167" i="18" s="1"/>
  <c r="Z131" i="18"/>
  <c r="Z35" i="18" s="1"/>
  <c r="W21" i="14" s="1"/>
  <c r="AA134" i="18"/>
  <c r="X15" i="14"/>
  <c r="AS111" i="18"/>
  <c r="AT115" i="18"/>
  <c r="BA110" i="18" l="1"/>
  <c r="AY105" i="18"/>
  <c r="AB101" i="18"/>
  <c r="AB29" i="18" s="1"/>
  <c r="Y18" i="14" s="1"/>
  <c r="AC104" i="18"/>
  <c r="AY157" i="18"/>
  <c r="BH100" i="18"/>
  <c r="BA185" i="18"/>
  <c r="BB142" i="18"/>
  <c r="AD181" i="18"/>
  <c r="AD50" i="18" s="1"/>
  <c r="AE184" i="18"/>
  <c r="BC152" i="18"/>
  <c r="AF148" i="18"/>
  <c r="AG151" i="18"/>
  <c r="AE143" i="18"/>
  <c r="AE46" i="18" s="1"/>
  <c r="AF146" i="18"/>
  <c r="BC147" i="18" s="1"/>
  <c r="AE137" i="18"/>
  <c r="AE36" i="18" s="1"/>
  <c r="AB22" i="14" s="1"/>
  <c r="AF140" i="18"/>
  <c r="AC126" i="18"/>
  <c r="AD129" i="18"/>
  <c r="BA130" i="18" s="1"/>
  <c r="AX136" i="18"/>
  <c r="AA131" i="18"/>
  <c r="AA35" i="18" s="1"/>
  <c r="AB134" i="18"/>
  <c r="AE40" i="18"/>
  <c r="AE43" i="18"/>
  <c r="AE44" i="18"/>
  <c r="AE38" i="18"/>
  <c r="AK96" i="18"/>
  <c r="AL99" i="18"/>
  <c r="Y15" i="14"/>
  <c r="AB34" i="18"/>
  <c r="Y20" i="14" s="1"/>
  <c r="AB33" i="18"/>
  <c r="Y19" i="14" s="1"/>
  <c r="AB61" i="18"/>
  <c r="Y30" i="14" s="1"/>
  <c r="AB48" i="18"/>
  <c r="Y25" i="14" s="1"/>
  <c r="AD168" i="18"/>
  <c r="AE171" i="18"/>
  <c r="BB172" i="18" s="1"/>
  <c r="AJ15" i="18"/>
  <c r="AJ24" i="18"/>
  <c r="AG17" i="14" s="1"/>
  <c r="AJ23" i="18"/>
  <c r="AD106" i="18"/>
  <c r="AE109" i="18"/>
  <c r="U23" i="14"/>
  <c r="U12" i="14" s="1"/>
  <c r="U10" i="14" s="1"/>
  <c r="X8" i="18"/>
  <c r="AB153" i="18"/>
  <c r="AB45" i="18" s="1"/>
  <c r="AC156" i="18"/>
  <c r="AE124" i="18"/>
  <c r="AD121" i="18"/>
  <c r="AD30" i="18" s="1"/>
  <c r="Z158" i="18"/>
  <c r="AA161" i="18"/>
  <c r="AX162" i="18" s="1"/>
  <c r="AC25" i="18"/>
  <c r="AC26" i="18"/>
  <c r="Z16" i="14" s="1"/>
  <c r="AF11" i="14"/>
  <c r="AC163" i="18"/>
  <c r="AC37" i="18" s="1"/>
  <c r="AD166" i="18"/>
  <c r="BA167" i="18" s="1"/>
  <c r="AC28" i="18"/>
  <c r="AC51" i="18"/>
  <c r="Z27" i="14" s="1"/>
  <c r="AC27" i="18"/>
  <c r="AC31" i="18"/>
  <c r="Y42" i="18"/>
  <c r="V24" i="14" s="1"/>
  <c r="Y39" i="18"/>
  <c r="AH176" i="18"/>
  <c r="AH49" i="18" s="1"/>
  <c r="AE26" i="14" s="1"/>
  <c r="AI179" i="18"/>
  <c r="BF180" i="18" s="1"/>
  <c r="AT111" i="18"/>
  <c r="AU115" i="18"/>
  <c r="BB110" i="18" l="1"/>
  <c r="AZ105" i="18"/>
  <c r="AC101" i="18"/>
  <c r="AC29" i="18" s="1"/>
  <c r="AD104" i="18"/>
  <c r="AZ157" i="18"/>
  <c r="BI100" i="18"/>
  <c r="BB185" i="18"/>
  <c r="AY136" i="18"/>
  <c r="BC142" i="18"/>
  <c r="AE181" i="18"/>
  <c r="AE50" i="18" s="1"/>
  <c r="AF184" i="18"/>
  <c r="AI176" i="18"/>
  <c r="AI49" i="18" s="1"/>
  <c r="AF26" i="14" s="1"/>
  <c r="AJ179" i="18"/>
  <c r="BG180" i="18" s="1"/>
  <c r="AB131" i="18"/>
  <c r="AB35" i="18" s="1"/>
  <c r="Y21" i="14" s="1"/>
  <c r="AC134" i="18"/>
  <c r="AC34" i="18"/>
  <c r="Z20" i="14" s="1"/>
  <c r="AC33" i="18"/>
  <c r="Z19" i="14" s="1"/>
  <c r="AC48" i="18"/>
  <c r="Z25" i="14" s="1"/>
  <c r="AC61" i="18"/>
  <c r="Z30" i="14" s="1"/>
  <c r="BD152" i="18"/>
  <c r="AG148" i="18"/>
  <c r="AH151" i="18"/>
  <c r="AE121" i="18"/>
  <c r="AE30" i="18" s="1"/>
  <c r="AF124" i="18"/>
  <c r="AE106" i="18"/>
  <c r="AF109" i="18"/>
  <c r="BC110" i="18" s="1"/>
  <c r="AG11" i="14"/>
  <c r="AE168" i="18"/>
  <c r="AF171" i="18"/>
  <c r="BC172" i="18" s="1"/>
  <c r="X21" i="14"/>
  <c r="AF143" i="18"/>
  <c r="AF46" i="18" s="1"/>
  <c r="AG146" i="18"/>
  <c r="BD147" i="18" s="1"/>
  <c r="AF44" i="18"/>
  <c r="AF38" i="18"/>
  <c r="AF40" i="18"/>
  <c r="AF43" i="18"/>
  <c r="V23" i="14"/>
  <c r="V12" i="14" s="1"/>
  <c r="V10" i="14" s="1"/>
  <c r="Y8" i="18"/>
  <c r="Z18" i="14"/>
  <c r="AD163" i="18"/>
  <c r="AD37" i="18" s="1"/>
  <c r="AE166" i="18"/>
  <c r="BB167" i="18" s="1"/>
  <c r="Z15" i="14"/>
  <c r="AA158" i="18"/>
  <c r="AB161" i="18"/>
  <c r="AY162" i="18" s="1"/>
  <c r="AD27" i="18"/>
  <c r="AD31" i="18"/>
  <c r="AD28" i="18"/>
  <c r="AD51" i="18"/>
  <c r="AA27" i="14" s="1"/>
  <c r="AD25" i="18"/>
  <c r="AD26" i="18"/>
  <c r="AA16" i="14" s="1"/>
  <c r="AL96" i="18"/>
  <c r="AM99" i="18"/>
  <c r="AF137" i="18"/>
  <c r="AF36" i="18" s="1"/>
  <c r="AC22" i="14" s="1"/>
  <c r="AG140" i="18"/>
  <c r="Z39" i="18"/>
  <c r="Z42" i="18"/>
  <c r="W24" i="14" s="1"/>
  <c r="AC153" i="18"/>
  <c r="AC45" i="18" s="1"/>
  <c r="AD156" i="18"/>
  <c r="AK15" i="18"/>
  <c r="AK24" i="18"/>
  <c r="AH17" i="14" s="1"/>
  <c r="AK23" i="18"/>
  <c r="AD126" i="18"/>
  <c r="AE129" i="18"/>
  <c r="AU111" i="18"/>
  <c r="AV115" i="18"/>
  <c r="BA105" i="18" l="1"/>
  <c r="AE104" i="18"/>
  <c r="AD101" i="18"/>
  <c r="AD29" i="18" s="1"/>
  <c r="BA157" i="18"/>
  <c r="BJ100" i="18"/>
  <c r="BC185" i="18"/>
  <c r="AZ136" i="18"/>
  <c r="BD142" i="18"/>
  <c r="AF181" i="18"/>
  <c r="AF50" i="18" s="1"/>
  <c r="AG184" i="18"/>
  <c r="AG137" i="18"/>
  <c r="AG36" i="18" s="1"/>
  <c r="AD22" i="14" s="1"/>
  <c r="AH140" i="18"/>
  <c r="AL15" i="18"/>
  <c r="AL24" i="18"/>
  <c r="AI17" i="14" s="1"/>
  <c r="AL23" i="18"/>
  <c r="AB158" i="18"/>
  <c r="AC161" i="18"/>
  <c r="AZ162" i="18" s="1"/>
  <c r="AF168" i="18"/>
  <c r="AG171" i="18"/>
  <c r="BD172" i="18" s="1"/>
  <c r="AF106" i="18"/>
  <c r="AG109" i="18"/>
  <c r="BD110" i="18" s="1"/>
  <c r="AJ176" i="18"/>
  <c r="AJ49" i="18" s="1"/>
  <c r="AG26" i="14" s="1"/>
  <c r="AK179" i="18"/>
  <c r="BH180" i="18" s="1"/>
  <c r="AA39" i="18"/>
  <c r="AA42" i="18"/>
  <c r="X24" i="14" s="1"/>
  <c r="AE163" i="18"/>
  <c r="AE37" i="18" s="1"/>
  <c r="AF166" i="18"/>
  <c r="BC167" i="18" s="1"/>
  <c r="AE26" i="18"/>
  <c r="AB16" i="14" s="1"/>
  <c r="AE25" i="18"/>
  <c r="AE28" i="18"/>
  <c r="AE27" i="18"/>
  <c r="AE51" i="18"/>
  <c r="AB27" i="14" s="1"/>
  <c r="AE31" i="18"/>
  <c r="AA15" i="14"/>
  <c r="AA18" i="14"/>
  <c r="BE152" i="18"/>
  <c r="AH148" i="18"/>
  <c r="AI151" i="18"/>
  <c r="AD34" i="18"/>
  <c r="AA20" i="14" s="1"/>
  <c r="AD48" i="18"/>
  <c r="AA25" i="14" s="1"/>
  <c r="AD33" i="18"/>
  <c r="AA19" i="14" s="1"/>
  <c r="AD61" i="18"/>
  <c r="AA30" i="14" s="1"/>
  <c r="BB130" i="18"/>
  <c r="AE126" i="18"/>
  <c r="AF129" i="18"/>
  <c r="AH11" i="14"/>
  <c r="AD153" i="18"/>
  <c r="AD45" i="18" s="1"/>
  <c r="AE156" i="18"/>
  <c r="W23" i="14"/>
  <c r="W12" i="14" s="1"/>
  <c r="W10" i="14" s="1"/>
  <c r="Z8" i="18"/>
  <c r="AM96" i="18"/>
  <c r="AN99" i="18"/>
  <c r="AG143" i="18"/>
  <c r="AG46" i="18" s="1"/>
  <c r="AH146" i="18"/>
  <c r="BE147" i="18" s="1"/>
  <c r="AF121" i="18"/>
  <c r="AF30" i="18" s="1"/>
  <c r="AG124" i="18"/>
  <c r="AG40" i="18"/>
  <c r="AG38" i="18"/>
  <c r="AG43" i="18"/>
  <c r="AG44" i="18"/>
  <c r="AC131" i="18"/>
  <c r="AC35" i="18" s="1"/>
  <c r="AD134" i="18"/>
  <c r="AV111" i="18"/>
  <c r="AW115" i="18"/>
  <c r="BB105" i="18" l="1"/>
  <c r="AE101" i="18"/>
  <c r="AE29" i="18" s="1"/>
  <c r="AF104" i="18"/>
  <c r="BK100" i="18"/>
  <c r="BD185" i="18"/>
  <c r="AB18" i="14"/>
  <c r="BE142" i="18"/>
  <c r="AG181" i="18"/>
  <c r="AG50" i="18" s="1"/>
  <c r="AH184" i="18"/>
  <c r="Z21" i="14"/>
  <c r="AH124" i="18"/>
  <c r="AG121" i="18"/>
  <c r="AG30" i="18" s="1"/>
  <c r="AN96" i="18"/>
  <c r="AO99" i="18"/>
  <c r="X23" i="14"/>
  <c r="X12" i="14" s="1"/>
  <c r="X10" i="14" s="1"/>
  <c r="AA8" i="18"/>
  <c r="AK176" i="18"/>
  <c r="AK49" i="18" s="1"/>
  <c r="AH26" i="14" s="1"/>
  <c r="AL179" i="18"/>
  <c r="BI180" i="18" s="1"/>
  <c r="AF31" i="18"/>
  <c r="AF27" i="18"/>
  <c r="AF28" i="18"/>
  <c r="AF51" i="18"/>
  <c r="AC27" i="14" s="1"/>
  <c r="AG168" i="18"/>
  <c r="AH171" i="18"/>
  <c r="BE172" i="18" s="1"/>
  <c r="AC158" i="18"/>
  <c r="AD161" i="18"/>
  <c r="AI11" i="14"/>
  <c r="AM15" i="18"/>
  <c r="AM24" i="18"/>
  <c r="AJ17" i="14" s="1"/>
  <c r="AM23" i="18"/>
  <c r="BC130" i="18"/>
  <c r="AF126" i="18"/>
  <c r="AG129" i="18"/>
  <c r="BF152" i="18"/>
  <c r="AI148" i="18"/>
  <c r="AJ151" i="18"/>
  <c r="AF163" i="18"/>
  <c r="AF37" i="18" s="1"/>
  <c r="AG166" i="18"/>
  <c r="BD167" i="18" s="1"/>
  <c r="AF26" i="18"/>
  <c r="AC16" i="14" s="1"/>
  <c r="AF25" i="18"/>
  <c r="AB39" i="18"/>
  <c r="AB42" i="18"/>
  <c r="Y24" i="14" s="1"/>
  <c r="AH143" i="18"/>
  <c r="AH46" i="18" s="1"/>
  <c r="AI146" i="18"/>
  <c r="BF147" i="18" s="1"/>
  <c r="AE48" i="18"/>
  <c r="AB25" i="14" s="1"/>
  <c r="AE34" i="18"/>
  <c r="AB20" i="14" s="1"/>
  <c r="AE61" i="18"/>
  <c r="AB30" i="14" s="1"/>
  <c r="AE33" i="18"/>
  <c r="AB19" i="14" s="1"/>
  <c r="AH40" i="18"/>
  <c r="AH43" i="18"/>
  <c r="AH38" i="18"/>
  <c r="AH44" i="18"/>
  <c r="AB15" i="14"/>
  <c r="AH137" i="18"/>
  <c r="AH36" i="18" s="1"/>
  <c r="AE22" i="14" s="1"/>
  <c r="AI140" i="18"/>
  <c r="BA136" i="18"/>
  <c r="AD131" i="18"/>
  <c r="AD35" i="18" s="1"/>
  <c r="AA21" i="14" s="1"/>
  <c r="AE134" i="18"/>
  <c r="BB157" i="18"/>
  <c r="AE153" i="18"/>
  <c r="AE45" i="18" s="1"/>
  <c r="AF156" i="18"/>
  <c r="AG106" i="18"/>
  <c r="AH109" i="18"/>
  <c r="BE110" i="18" s="1"/>
  <c r="AW111" i="18"/>
  <c r="AX115" i="18"/>
  <c r="BC105" i="18" l="1"/>
  <c r="AG104" i="18"/>
  <c r="AF101" i="18"/>
  <c r="AF29" i="18" s="1"/>
  <c r="AC18" i="14" s="1"/>
  <c r="BG152" i="18"/>
  <c r="BD130" i="18"/>
  <c r="BE185" i="18"/>
  <c r="BL100" i="18"/>
  <c r="BF142" i="18"/>
  <c r="BB136" i="18"/>
  <c r="AI184" i="18"/>
  <c r="AH181" i="18"/>
  <c r="AH50" i="18" s="1"/>
  <c r="AG51" i="18"/>
  <c r="AD27" i="14" s="1"/>
  <c r="AG27" i="18"/>
  <c r="AG31" i="18"/>
  <c r="AG28" i="18"/>
  <c r="AJ148" i="18"/>
  <c r="AK151" i="18"/>
  <c r="AO96" i="18"/>
  <c r="AP99" i="18"/>
  <c r="BC157" i="18"/>
  <c r="AF153" i="18"/>
  <c r="AF45" i="18" s="1"/>
  <c r="AG156" i="18"/>
  <c r="AI44" i="18"/>
  <c r="AI38" i="18"/>
  <c r="AI40" i="18"/>
  <c r="AI43" i="18"/>
  <c r="AG126" i="18"/>
  <c r="AH129" i="18"/>
  <c r="BA162" i="18"/>
  <c r="AD158" i="18"/>
  <c r="AE161" i="18"/>
  <c r="AN24" i="18"/>
  <c r="AK17" i="14" s="1"/>
  <c r="AN15" i="18"/>
  <c r="AN23" i="18"/>
  <c r="AH121" i="18"/>
  <c r="AH30" i="18" s="1"/>
  <c r="AI124" i="18"/>
  <c r="AI143" i="18"/>
  <c r="AI46" i="18" s="1"/>
  <c r="AJ146" i="18"/>
  <c r="BG147" i="18" s="1"/>
  <c r="Y23" i="14"/>
  <c r="Y12" i="14" s="1"/>
  <c r="Y10" i="14" s="1"/>
  <c r="AB8" i="18"/>
  <c r="AG163" i="18"/>
  <c r="AG37" i="18" s="1"/>
  <c r="AH166" i="18"/>
  <c r="BE167" i="18" s="1"/>
  <c r="AF33" i="18"/>
  <c r="AC19" i="14" s="1"/>
  <c r="AF48" i="18"/>
  <c r="AC25" i="14" s="1"/>
  <c r="AF61" i="18"/>
  <c r="AC30" i="14" s="1"/>
  <c r="AF34" i="18"/>
  <c r="AC20" i="14" s="1"/>
  <c r="AJ11" i="14"/>
  <c r="AC42" i="18"/>
  <c r="Z24" i="14" s="1"/>
  <c r="AC39" i="18"/>
  <c r="AH168" i="18"/>
  <c r="AI171" i="18"/>
  <c r="BF172" i="18" s="1"/>
  <c r="AH106" i="18"/>
  <c r="AI109" i="18"/>
  <c r="BF110" i="18" s="1"/>
  <c r="AE131" i="18"/>
  <c r="AE35" i="18" s="1"/>
  <c r="AF134" i="18"/>
  <c r="AI137" i="18"/>
  <c r="AI36" i="18" s="1"/>
  <c r="AF22" i="14" s="1"/>
  <c r="AJ140" i="18"/>
  <c r="AC15" i="14"/>
  <c r="AG26" i="18"/>
  <c r="AD16" i="14" s="1"/>
  <c r="AG25" i="18"/>
  <c r="AL176" i="18"/>
  <c r="AL49" i="18" s="1"/>
  <c r="AI26" i="14" s="1"/>
  <c r="AM179" i="18"/>
  <c r="BJ180" i="18" s="1"/>
  <c r="AX111" i="18"/>
  <c r="AY115" i="18"/>
  <c r="BD105" i="18" l="1"/>
  <c r="AG101" i="18"/>
  <c r="AG29" i="18" s="1"/>
  <c r="AD18" i="14" s="1"/>
  <c r="AH104" i="18"/>
  <c r="BD157" i="18"/>
  <c r="BH152" i="18"/>
  <c r="BM100" i="18"/>
  <c r="BF185" i="18"/>
  <c r="BE130" i="18"/>
  <c r="BB162" i="18"/>
  <c r="BG142" i="18"/>
  <c r="BC136" i="18"/>
  <c r="AI181" i="18"/>
  <c r="AI50" i="18" s="1"/>
  <c r="AJ184" i="18"/>
  <c r="AD15" i="14"/>
  <c r="AJ137" i="18"/>
  <c r="AJ36" i="18" s="1"/>
  <c r="AG22" i="14" s="1"/>
  <c r="AK140" i="18"/>
  <c r="AH51" i="18"/>
  <c r="AE27" i="14" s="1"/>
  <c r="AH31" i="18"/>
  <c r="AH28" i="18"/>
  <c r="AH27" i="18"/>
  <c r="Z23" i="14"/>
  <c r="Z12" i="14" s="1"/>
  <c r="Z10" i="14" s="1"/>
  <c r="AC8" i="18"/>
  <c r="AI121" i="18"/>
  <c r="AI30" i="18" s="1"/>
  <c r="AJ124" i="18"/>
  <c r="AG34" i="18"/>
  <c r="AD20" i="14" s="1"/>
  <c r="AG33" i="18"/>
  <c r="AD19" i="14" s="1"/>
  <c r="AG48" i="18"/>
  <c r="AD25" i="14" s="1"/>
  <c r="AG61" i="18"/>
  <c r="AD30" i="14" s="1"/>
  <c r="AF131" i="18"/>
  <c r="AF35" i="18" s="1"/>
  <c r="AG134" i="18"/>
  <c r="AE158" i="18"/>
  <c r="AF161" i="18"/>
  <c r="AP96" i="18"/>
  <c r="AQ99" i="18"/>
  <c r="AK148" i="18"/>
  <c r="AL151" i="18"/>
  <c r="AM176" i="18"/>
  <c r="AM49" i="18" s="1"/>
  <c r="AJ26" i="14" s="1"/>
  <c r="AN179" i="18"/>
  <c r="AB21" i="14"/>
  <c r="AI168" i="18"/>
  <c r="AJ171" i="18"/>
  <c r="BG172" i="18" s="1"/>
  <c r="AH163" i="18"/>
  <c r="AH37" i="18" s="1"/>
  <c r="AI166" i="18"/>
  <c r="AD42" i="18"/>
  <c r="AA24" i="14" s="1"/>
  <c r="AD39" i="18"/>
  <c r="AO23" i="18"/>
  <c r="AO15" i="18"/>
  <c r="AO24" i="18"/>
  <c r="AL17" i="14" s="1"/>
  <c r="AJ44" i="18"/>
  <c r="AJ38" i="18"/>
  <c r="AJ40" i="18"/>
  <c r="AJ43" i="18"/>
  <c r="AI106" i="18"/>
  <c r="AJ109" i="18"/>
  <c r="BG110" i="18" s="1"/>
  <c r="AH25" i="18"/>
  <c r="AH26" i="18"/>
  <c r="AE16" i="14" s="1"/>
  <c r="AJ143" i="18"/>
  <c r="AJ46" i="18" s="1"/>
  <c r="AK146" i="18"/>
  <c r="BH147" i="18" s="1"/>
  <c r="AK11" i="14"/>
  <c r="AH126" i="18"/>
  <c r="AI129" i="18"/>
  <c r="AG153" i="18"/>
  <c r="AG45" i="18" s="1"/>
  <c r="AH156" i="18"/>
  <c r="AY111" i="18"/>
  <c r="AZ115" i="18"/>
  <c r="BI152" i="18" l="1"/>
  <c r="BE157" i="18"/>
  <c r="BE105" i="18"/>
  <c r="AI104" i="18"/>
  <c r="AH101" i="18"/>
  <c r="AH29" i="18" s="1"/>
  <c r="AE18" i="14" s="1"/>
  <c r="BG185" i="18"/>
  <c r="BN100" i="18"/>
  <c r="BC162" i="18"/>
  <c r="BH142" i="18"/>
  <c r="AJ181" i="18"/>
  <c r="AJ50" i="18" s="1"/>
  <c r="AK184" i="18"/>
  <c r="AH34" i="18"/>
  <c r="AE20" i="14" s="1"/>
  <c r="AH61" i="18"/>
  <c r="AE30" i="14" s="1"/>
  <c r="AH48" i="18"/>
  <c r="AE25" i="14" s="1"/>
  <c r="AH33" i="18"/>
  <c r="AE19" i="14" s="1"/>
  <c r="AI51" i="18"/>
  <c r="AF27" i="14" s="1"/>
  <c r="AI31" i="18"/>
  <c r="AI28" i="18"/>
  <c r="AI27" i="18"/>
  <c r="AL11" i="14"/>
  <c r="BF167" i="18"/>
  <c r="AI163" i="18"/>
  <c r="AI37" i="18" s="1"/>
  <c r="AJ166" i="18"/>
  <c r="AQ96" i="18"/>
  <c r="AR99" i="18"/>
  <c r="AL148" i="18"/>
  <c r="AM151" i="18"/>
  <c r="AP15" i="18"/>
  <c r="AP24" i="18"/>
  <c r="AM17" i="14" s="1"/>
  <c r="AP23" i="18"/>
  <c r="AF158" i="18"/>
  <c r="AG161" i="18"/>
  <c r="AJ121" i="18"/>
  <c r="AJ30" i="18" s="1"/>
  <c r="AK124" i="18"/>
  <c r="AK137" i="18"/>
  <c r="AK36" i="18" s="1"/>
  <c r="AH22" i="14" s="1"/>
  <c r="AL140" i="18"/>
  <c r="AH153" i="18"/>
  <c r="AH45" i="18" s="1"/>
  <c r="AI156" i="18"/>
  <c r="BF157" i="18" s="1"/>
  <c r="AJ168" i="18"/>
  <c r="AK171" i="18"/>
  <c r="BH172" i="18" s="1"/>
  <c r="BK180" i="18"/>
  <c r="AN176" i="18"/>
  <c r="AN49" i="18" s="1"/>
  <c r="AK26" i="14" s="1"/>
  <c r="AO179" i="18"/>
  <c r="AK38" i="18"/>
  <c r="AK43" i="18"/>
  <c r="AK44" i="18"/>
  <c r="AK40" i="18"/>
  <c r="AE39" i="18"/>
  <c r="AE42" i="18"/>
  <c r="AB24" i="14" s="1"/>
  <c r="BD136" i="18"/>
  <c r="AG131" i="18"/>
  <c r="AG35" i="18" s="1"/>
  <c r="AD21" i="14" s="1"/>
  <c r="AH134" i="18"/>
  <c r="BF130" i="18"/>
  <c r="AI126" i="18"/>
  <c r="AJ129" i="18"/>
  <c r="AK143" i="18"/>
  <c r="AK46" i="18" s="1"/>
  <c r="AL146" i="18"/>
  <c r="BI147" i="18" s="1"/>
  <c r="AE15" i="14"/>
  <c r="AJ106" i="18"/>
  <c r="AK109" i="18"/>
  <c r="BH110" i="18" s="1"/>
  <c r="AA23" i="14"/>
  <c r="AA12" i="14" s="1"/>
  <c r="AA10" i="14" s="1"/>
  <c r="AD8" i="18"/>
  <c r="AI26" i="18"/>
  <c r="AF16" i="14" s="1"/>
  <c r="AI25" i="18"/>
  <c r="AC21" i="14"/>
  <c r="AZ111" i="18"/>
  <c r="BA115" i="18"/>
  <c r="BJ152" i="18" l="1"/>
  <c r="BL180" i="18"/>
  <c r="BF105" i="18"/>
  <c r="AI101" i="18"/>
  <c r="AI29" i="18" s="1"/>
  <c r="AF18" i="14" s="1"/>
  <c r="AJ104" i="18"/>
  <c r="BG130" i="18"/>
  <c r="BO100" i="18"/>
  <c r="BH185" i="18"/>
  <c r="BG167" i="18"/>
  <c r="BD162" i="18"/>
  <c r="BE136" i="18"/>
  <c r="BI142" i="18"/>
  <c r="AL184" i="18"/>
  <c r="AK181" i="18"/>
  <c r="AK50" i="18" s="1"/>
  <c r="AK106" i="18"/>
  <c r="AL109" i="18"/>
  <c r="BI110" i="18" s="1"/>
  <c r="AL143" i="18"/>
  <c r="AL46" i="18" s="1"/>
  <c r="AM146" i="18"/>
  <c r="BJ147" i="18" s="1"/>
  <c r="AI48" i="18"/>
  <c r="AF25" i="14" s="1"/>
  <c r="AI61" i="18"/>
  <c r="AF30" i="14" s="1"/>
  <c r="AI34" i="18"/>
  <c r="AF20" i="14" s="1"/>
  <c r="AI33" i="18"/>
  <c r="AF19" i="14" s="1"/>
  <c r="AH131" i="18"/>
  <c r="AH35" i="18" s="1"/>
  <c r="AI134" i="18"/>
  <c r="AB23" i="14"/>
  <c r="AB12" i="14" s="1"/>
  <c r="AB10" i="14" s="1"/>
  <c r="AE8" i="18"/>
  <c r="AO176" i="18"/>
  <c r="AO49" i="18" s="1"/>
  <c r="AL26" i="14" s="1"/>
  <c r="AP179" i="18"/>
  <c r="AL137" i="18"/>
  <c r="AL36" i="18" s="1"/>
  <c r="AI22" i="14" s="1"/>
  <c r="AM140" i="18"/>
  <c r="AG158" i="18"/>
  <c r="AH161" i="18"/>
  <c r="AM11" i="14"/>
  <c r="AM148" i="18"/>
  <c r="AN151" i="18"/>
  <c r="AQ15" i="18"/>
  <c r="AQ24" i="18"/>
  <c r="AN17" i="14" s="1"/>
  <c r="AQ23" i="18"/>
  <c r="AJ51" i="18"/>
  <c r="AG27" i="14" s="1"/>
  <c r="AJ31" i="18"/>
  <c r="AJ28" i="18"/>
  <c r="AJ27" i="18"/>
  <c r="AK168" i="18"/>
  <c r="AL171" i="18"/>
  <c r="BI172" i="18" s="1"/>
  <c r="AK121" i="18"/>
  <c r="AK30" i="18" s="1"/>
  <c r="AL124" i="18"/>
  <c r="AF42" i="18"/>
  <c r="AC24" i="14" s="1"/>
  <c r="AF39" i="18"/>
  <c r="AL38" i="18"/>
  <c r="AL40" i="18"/>
  <c r="AL43" i="18"/>
  <c r="AL44" i="18"/>
  <c r="AJ163" i="18"/>
  <c r="AJ37" i="18" s="1"/>
  <c r="AK166" i="18"/>
  <c r="AJ26" i="18"/>
  <c r="AG16" i="14" s="1"/>
  <c r="AJ25" i="18"/>
  <c r="AI153" i="18"/>
  <c r="AI45" i="18" s="1"/>
  <c r="AJ156" i="18"/>
  <c r="AF15" i="14"/>
  <c r="AJ126" i="18"/>
  <c r="AK129" i="18"/>
  <c r="BH130" i="18" s="1"/>
  <c r="AR96" i="18"/>
  <c r="AS99" i="18"/>
  <c r="BA111" i="18"/>
  <c r="BB115" i="18"/>
  <c r="BK152" i="18" l="1"/>
  <c r="BM180" i="18"/>
  <c r="BG105" i="18"/>
  <c r="AJ101" i="18"/>
  <c r="AJ29" i="18" s="1"/>
  <c r="AG18" i="14" s="1"/>
  <c r="AK104" i="18"/>
  <c r="BP100" i="18"/>
  <c r="BI185" i="18"/>
  <c r="BH167" i="18"/>
  <c r="BF136" i="18"/>
  <c r="BJ142" i="18"/>
  <c r="AM184" i="18"/>
  <c r="AL181" i="18"/>
  <c r="AL50" i="18" s="1"/>
  <c r="AS96" i="18"/>
  <c r="AT99" i="18"/>
  <c r="AJ61" i="18"/>
  <c r="AG30" i="14" s="1"/>
  <c r="AJ48" i="18"/>
  <c r="AG25" i="14" s="1"/>
  <c r="AJ34" i="18"/>
  <c r="AG20" i="14" s="1"/>
  <c r="AJ33" i="18"/>
  <c r="AG19" i="14" s="1"/>
  <c r="AG15" i="14"/>
  <c r="AC23" i="14"/>
  <c r="AC12" i="14" s="1"/>
  <c r="AC10" i="14" s="1"/>
  <c r="AF8" i="18"/>
  <c r="AN148" i="18"/>
  <c r="AO151" i="18"/>
  <c r="AG42" i="18"/>
  <c r="AD24" i="14" s="1"/>
  <c r="AG39" i="18"/>
  <c r="AL106" i="18"/>
  <c r="AM109" i="18"/>
  <c r="AR15" i="18"/>
  <c r="AR23" i="18"/>
  <c r="AR24" i="18"/>
  <c r="AO17" i="14" s="1"/>
  <c r="AL121" i="18"/>
  <c r="AL30" i="18" s="1"/>
  <c r="AM124" i="18"/>
  <c r="AM44" i="18"/>
  <c r="AM38" i="18"/>
  <c r="AM40" i="18"/>
  <c r="AM43" i="18"/>
  <c r="AP176" i="18"/>
  <c r="AP49" i="18" s="1"/>
  <c r="AM26" i="14" s="1"/>
  <c r="AQ179" i="18"/>
  <c r="AI131" i="18"/>
  <c r="AI35" i="18" s="1"/>
  <c r="AJ134" i="18"/>
  <c r="AK27" i="18"/>
  <c r="AK28" i="18"/>
  <c r="AK51" i="18"/>
  <c r="AH27" i="14" s="1"/>
  <c r="AK31" i="18"/>
  <c r="BG157" i="18"/>
  <c r="AJ153" i="18"/>
  <c r="AJ45" i="18" s="1"/>
  <c r="AK156" i="18"/>
  <c r="AK163" i="18"/>
  <c r="AK37" i="18" s="1"/>
  <c r="AL166" i="18"/>
  <c r="AL168" i="18"/>
  <c r="AM171" i="18"/>
  <c r="BJ172" i="18" s="1"/>
  <c r="AE21" i="14"/>
  <c r="AM143" i="18"/>
  <c r="AM46" i="18" s="1"/>
  <c r="AN146" i="18"/>
  <c r="BK147" i="18" s="1"/>
  <c r="AK126" i="18"/>
  <c r="AL129" i="18"/>
  <c r="BI130" i="18" s="1"/>
  <c r="AK26" i="18"/>
  <c r="AH16" i="14" s="1"/>
  <c r="AK25" i="18"/>
  <c r="AN11" i="14"/>
  <c r="BE162" i="18"/>
  <c r="AH158" i="18"/>
  <c r="AI161" i="18"/>
  <c r="AM137" i="18"/>
  <c r="AM36" i="18" s="1"/>
  <c r="AJ22" i="14" s="1"/>
  <c r="AN140" i="18"/>
  <c r="BB111" i="18"/>
  <c r="BC115" i="18"/>
  <c r="BL152" i="18" l="1"/>
  <c r="BG136" i="18"/>
  <c r="BN180" i="18"/>
  <c r="BH105" i="18"/>
  <c r="AK101" i="18"/>
  <c r="AK29" i="18" s="1"/>
  <c r="AH18" i="14" s="1"/>
  <c r="AL104" i="18"/>
  <c r="BQ100" i="18"/>
  <c r="BJ185" i="18"/>
  <c r="BK142" i="18"/>
  <c r="AM181" i="18"/>
  <c r="AM50" i="18" s="1"/>
  <c r="AN184" i="18"/>
  <c r="AH39" i="18"/>
  <c r="AH42" i="18"/>
  <c r="AE24" i="14" s="1"/>
  <c r="AK33" i="18"/>
  <c r="AH19" i="14" s="1"/>
  <c r="AK48" i="18"/>
  <c r="AH25" i="14" s="1"/>
  <c r="AK34" i="18"/>
  <c r="AH20" i="14" s="1"/>
  <c r="AK61" i="18"/>
  <c r="AH30" i="14" s="1"/>
  <c r="AJ131" i="18"/>
  <c r="AJ35" i="18" s="1"/>
  <c r="AK134" i="18"/>
  <c r="AD23" i="14"/>
  <c r="AD12" i="14" s="1"/>
  <c r="AD10" i="14" s="1"/>
  <c r="AG8" i="18"/>
  <c r="AN137" i="18"/>
  <c r="AN36" i="18" s="1"/>
  <c r="AK22" i="14" s="1"/>
  <c r="AO140" i="18"/>
  <c r="AH15" i="14"/>
  <c r="AN143" i="18"/>
  <c r="AN46" i="18" s="1"/>
  <c r="AO146" i="18"/>
  <c r="BL147" i="18" s="1"/>
  <c r="AF21" i="14"/>
  <c r="AQ176" i="18"/>
  <c r="AQ49" i="18" s="1"/>
  <c r="AN26" i="14" s="1"/>
  <c r="AR179" i="18"/>
  <c r="AO11" i="14"/>
  <c r="AO148" i="18"/>
  <c r="AP151" i="18"/>
  <c r="BM152" i="18" s="1"/>
  <c r="AT96" i="18"/>
  <c r="AU99" i="18"/>
  <c r="AM168" i="18"/>
  <c r="AN171" i="18"/>
  <c r="BK172" i="18" s="1"/>
  <c r="BJ110" i="18"/>
  <c r="AM106" i="18"/>
  <c r="AN109" i="18"/>
  <c r="AN43" i="18"/>
  <c r="AN44" i="18"/>
  <c r="AN38" i="18"/>
  <c r="AN40" i="18"/>
  <c r="AS23" i="18"/>
  <c r="AS15" i="18"/>
  <c r="AS24" i="18"/>
  <c r="AP17" i="14" s="1"/>
  <c r="BF162" i="18"/>
  <c r="AI158" i="18"/>
  <c r="AJ161" i="18"/>
  <c r="AL126" i="18"/>
  <c r="AM129" i="18"/>
  <c r="BJ130" i="18" s="1"/>
  <c r="AL25" i="18"/>
  <c r="AL26" i="18"/>
  <c r="AI16" i="14" s="1"/>
  <c r="BI167" i="18"/>
  <c r="AL163" i="18"/>
  <c r="AL37" i="18" s="1"/>
  <c r="AM166" i="18"/>
  <c r="BH157" i="18"/>
  <c r="AK153" i="18"/>
  <c r="AK45" i="18" s="1"/>
  <c r="AL156" i="18"/>
  <c r="AM121" i="18"/>
  <c r="AM30" i="18" s="1"/>
  <c r="AN124" i="18"/>
  <c r="AL51" i="18"/>
  <c r="AI27" i="14" s="1"/>
  <c r="AL31" i="18"/>
  <c r="AL27" i="18"/>
  <c r="AL28" i="18"/>
  <c r="BC111" i="18"/>
  <c r="BD115" i="18"/>
  <c r="BH136" i="18" l="1"/>
  <c r="BO180" i="18"/>
  <c r="AL101" i="18"/>
  <c r="AL29" i="18" s="1"/>
  <c r="AI18" i="14" s="1"/>
  <c r="AM104" i="18"/>
  <c r="BI105" i="18"/>
  <c r="BK110" i="18"/>
  <c r="BI157" i="18"/>
  <c r="BR100" i="18"/>
  <c r="BK185" i="18"/>
  <c r="BJ167" i="18"/>
  <c r="BG162" i="18"/>
  <c r="BL142" i="18"/>
  <c r="AN181" i="18"/>
  <c r="AN50" i="18" s="1"/>
  <c r="AO184" i="18"/>
  <c r="AM163" i="18"/>
  <c r="AM37" i="18" s="1"/>
  <c r="AN166" i="18"/>
  <c r="AI15" i="14"/>
  <c r="AL34" i="18"/>
  <c r="AI20" i="14" s="1"/>
  <c r="AL33" i="18"/>
  <c r="AI19" i="14" s="1"/>
  <c r="AL61" i="18"/>
  <c r="AI30" i="14" s="1"/>
  <c r="AL48" i="18"/>
  <c r="AI25" i="14" s="1"/>
  <c r="AJ158" i="18"/>
  <c r="AK161" i="18"/>
  <c r="AM51" i="18"/>
  <c r="AJ27" i="14" s="1"/>
  <c r="AM31" i="18"/>
  <c r="AM28" i="18"/>
  <c r="AM27" i="18"/>
  <c r="AK131" i="18"/>
  <c r="AK35" i="18" s="1"/>
  <c r="AL134" i="18"/>
  <c r="BI136" i="18" s="1"/>
  <c r="AN121" i="18"/>
  <c r="AN30" i="18" s="1"/>
  <c r="AO124" i="18"/>
  <c r="AI39" i="18"/>
  <c r="AI42" i="18"/>
  <c r="AF24" i="14" s="1"/>
  <c r="AP11" i="14"/>
  <c r="AO143" i="18"/>
  <c r="AO46" i="18" s="1"/>
  <c r="AP146" i="18"/>
  <c r="BM147" i="18" s="1"/>
  <c r="AO137" i="18"/>
  <c r="AO36" i="18" s="1"/>
  <c r="AL22" i="14" s="1"/>
  <c r="AP140" i="18"/>
  <c r="AG21" i="14"/>
  <c r="AE23" i="14"/>
  <c r="AE12" i="14" s="1"/>
  <c r="AE10" i="14" s="1"/>
  <c r="AH8" i="18"/>
  <c r="AN168" i="18"/>
  <c r="AO171" i="18"/>
  <c r="BL172" i="18" s="1"/>
  <c r="AU96" i="18"/>
  <c r="AV99" i="18"/>
  <c r="AP148" i="18"/>
  <c r="AQ151" i="18"/>
  <c r="BN152" i="18" s="1"/>
  <c r="AL153" i="18"/>
  <c r="AL45" i="18" s="1"/>
  <c r="AM156" i="18"/>
  <c r="AM126" i="18"/>
  <c r="AN129" i="18"/>
  <c r="BK130" i="18" s="1"/>
  <c r="AN106" i="18"/>
  <c r="AO109" i="18"/>
  <c r="BL110" i="18" s="1"/>
  <c r="AM25" i="18"/>
  <c r="AM26" i="18"/>
  <c r="AJ16" i="14" s="1"/>
  <c r="AT15" i="18"/>
  <c r="AT24" i="18"/>
  <c r="AQ17" i="14" s="1"/>
  <c r="AT23" i="18"/>
  <c r="AO44" i="18"/>
  <c r="AO40" i="18"/>
  <c r="AO38" i="18"/>
  <c r="AO43" i="18"/>
  <c r="AR176" i="18"/>
  <c r="AR49" i="18" s="1"/>
  <c r="AO26" i="14" s="1"/>
  <c r="AS179" i="18"/>
  <c r="BD111" i="18"/>
  <c r="BE115" i="18"/>
  <c r="BP180" i="18" l="1"/>
  <c r="BJ105" i="18"/>
  <c r="AN104" i="18"/>
  <c r="AM101" i="18"/>
  <c r="AM29" i="18" s="1"/>
  <c r="AJ18" i="14" s="1"/>
  <c r="BJ157" i="18"/>
  <c r="BS100" i="18"/>
  <c r="BH162" i="18"/>
  <c r="BK167" i="18"/>
  <c r="BL185" i="18"/>
  <c r="BM142" i="18"/>
  <c r="AO181" i="18"/>
  <c r="AO50" i="18" s="1"/>
  <c r="AP184" i="18"/>
  <c r="AN126" i="18"/>
  <c r="AO129" i="18"/>
  <c r="BL130" i="18" s="1"/>
  <c r="AQ148" i="18"/>
  <c r="AR151" i="18"/>
  <c r="BO152" i="18" s="1"/>
  <c r="AP137" i="18"/>
  <c r="AP36" i="18" s="1"/>
  <c r="AM22" i="14" s="1"/>
  <c r="AQ140" i="18"/>
  <c r="AS176" i="18"/>
  <c r="AS49" i="18" s="1"/>
  <c r="AP26" i="14" s="1"/>
  <c r="AT179" i="18"/>
  <c r="AJ15" i="14"/>
  <c r="AO106" i="18"/>
  <c r="AP109" i="18"/>
  <c r="BM110" i="18" s="1"/>
  <c r="AM48" i="18"/>
  <c r="AJ25" i="14" s="1"/>
  <c r="AM61" i="18"/>
  <c r="AJ30" i="14" s="1"/>
  <c r="AM33" i="18"/>
  <c r="AJ19" i="14" s="1"/>
  <c r="AM34" i="18"/>
  <c r="AJ20" i="14" s="1"/>
  <c r="AP40" i="18"/>
  <c r="AP43" i="18"/>
  <c r="AP38" i="18"/>
  <c r="AP44" i="18"/>
  <c r="AV96" i="18"/>
  <c r="AW99" i="18"/>
  <c r="AP143" i="18"/>
  <c r="AP46" i="18" s="1"/>
  <c r="AQ146" i="18"/>
  <c r="BN147" i="18" s="1"/>
  <c r="AO121" i="18"/>
  <c r="AO30" i="18" s="1"/>
  <c r="AP124" i="18"/>
  <c r="AK158" i="18"/>
  <c r="AL161" i="18"/>
  <c r="AN163" i="18"/>
  <c r="AN37" i="18" s="1"/>
  <c r="AO166" i="18"/>
  <c r="AQ11" i="14"/>
  <c r="AN28" i="18"/>
  <c r="AN31" i="18"/>
  <c r="AN51" i="18"/>
  <c r="AK27" i="14" s="1"/>
  <c r="AN27" i="18"/>
  <c r="AM153" i="18"/>
  <c r="AM45" i="18" s="1"/>
  <c r="AN156" i="18"/>
  <c r="AU15" i="18"/>
  <c r="AU24" i="18"/>
  <c r="AR17" i="14" s="1"/>
  <c r="AU23" i="18"/>
  <c r="AO168" i="18"/>
  <c r="AP171" i="18"/>
  <c r="BM172" i="18" s="1"/>
  <c r="AF23" i="14"/>
  <c r="AF12" i="14" s="1"/>
  <c r="AF10" i="14" s="1"/>
  <c r="AI8" i="18"/>
  <c r="AL131" i="18"/>
  <c r="AL35" i="18" s="1"/>
  <c r="AI21" i="14" s="1"/>
  <c r="AM134" i="18"/>
  <c r="BJ136" i="18" s="1"/>
  <c r="AJ42" i="18"/>
  <c r="AG24" i="14" s="1"/>
  <c r="AJ39" i="18"/>
  <c r="AN25" i="18"/>
  <c r="AN26" i="18"/>
  <c r="AK16" i="14" s="1"/>
  <c r="AH21" i="14"/>
  <c r="BE111" i="18"/>
  <c r="BF115" i="18"/>
  <c r="BQ180" i="18" l="1"/>
  <c r="BK157" i="18"/>
  <c r="BK105" i="18"/>
  <c r="AN101" i="18"/>
  <c r="AN29" i="18" s="1"/>
  <c r="AK18" i="14" s="1"/>
  <c r="AO104" i="18"/>
  <c r="BM185" i="18"/>
  <c r="BT100" i="18"/>
  <c r="BI162" i="18"/>
  <c r="BN142" i="18"/>
  <c r="AQ184" i="18"/>
  <c r="AP181" i="18"/>
  <c r="AP50" i="18" s="1"/>
  <c r="AG23" i="14"/>
  <c r="AG12" i="14" s="1"/>
  <c r="AG10" i="14" s="1"/>
  <c r="AJ8" i="18"/>
  <c r="AO25" i="18"/>
  <c r="AO26" i="18"/>
  <c r="AL16" i="14" s="1"/>
  <c r="AL158" i="18"/>
  <c r="AM161" i="18"/>
  <c r="AV24" i="18"/>
  <c r="AS17" i="14" s="1"/>
  <c r="AV23" i="18"/>
  <c r="AV15" i="18"/>
  <c r="AT176" i="18"/>
  <c r="AT49" i="18" s="1"/>
  <c r="AQ26" i="14" s="1"/>
  <c r="AU179" i="18"/>
  <c r="AR148" i="18"/>
  <c r="AS151" i="18"/>
  <c r="BP152" i="18" s="1"/>
  <c r="AK15" i="14"/>
  <c r="AN153" i="18"/>
  <c r="AN45" i="18" s="1"/>
  <c r="AO156" i="18"/>
  <c r="BL157" i="18" s="1"/>
  <c r="AK39" i="18"/>
  <c r="AK42" i="18"/>
  <c r="AH24" i="14" s="1"/>
  <c r="AP121" i="18"/>
  <c r="AP30" i="18" s="1"/>
  <c r="AQ124" i="18"/>
  <c r="AQ143" i="18"/>
  <c r="AQ46" i="18" s="1"/>
  <c r="AR146" i="18"/>
  <c r="BO147" i="18" s="1"/>
  <c r="AP106" i="18"/>
  <c r="AQ109" i="18"/>
  <c r="BN110" i="18" s="1"/>
  <c r="AQ40" i="18"/>
  <c r="AQ38" i="18"/>
  <c r="AQ44" i="18"/>
  <c r="AQ43" i="18"/>
  <c r="AO28" i="18"/>
  <c r="AO31" i="18"/>
  <c r="AO27" i="18"/>
  <c r="AO51" i="18"/>
  <c r="AL27" i="14" s="1"/>
  <c r="AQ137" i="18"/>
  <c r="AQ36" i="18" s="1"/>
  <c r="AN22" i="14" s="1"/>
  <c r="AR140" i="18"/>
  <c r="AO126" i="18"/>
  <c r="AP129" i="18"/>
  <c r="BM130" i="18" s="1"/>
  <c r="AM131" i="18"/>
  <c r="AM35" i="18" s="1"/>
  <c r="AJ21" i="14" s="1"/>
  <c r="AN134" i="18"/>
  <c r="BK136" i="18" s="1"/>
  <c r="AP168" i="18"/>
  <c r="AQ171" i="18"/>
  <c r="BN172" i="18" s="1"/>
  <c r="AR11" i="14"/>
  <c r="BL167" i="18"/>
  <c r="AO163" i="18"/>
  <c r="AO37" i="18" s="1"/>
  <c r="AP166" i="18"/>
  <c r="AW96" i="18"/>
  <c r="AX99" i="18"/>
  <c r="AN61" i="18"/>
  <c r="AK30" i="14" s="1"/>
  <c r="AN33" i="18"/>
  <c r="AK19" i="14" s="1"/>
  <c r="AN48" i="18"/>
  <c r="AK25" i="14" s="1"/>
  <c r="AN34" i="18"/>
  <c r="AK20" i="14" s="1"/>
  <c r="BF111" i="18"/>
  <c r="BG115" i="18"/>
  <c r="BR180" i="18" l="1"/>
  <c r="BL105" i="18"/>
  <c r="AO101" i="18"/>
  <c r="AO29" i="18" s="1"/>
  <c r="AL18" i="14" s="1"/>
  <c r="AP104" i="18"/>
  <c r="BM167" i="18"/>
  <c r="BN185" i="18"/>
  <c r="BU100" i="18"/>
  <c r="BJ162" i="18"/>
  <c r="BO142" i="18"/>
  <c r="AQ181" i="18"/>
  <c r="AQ50" i="18" s="1"/>
  <c r="AR184" i="18"/>
  <c r="AP26" i="18"/>
  <c r="AM16" i="14" s="1"/>
  <c r="AP25" i="18"/>
  <c r="AO48" i="18"/>
  <c r="AL25" i="14" s="1"/>
  <c r="AO34" i="18"/>
  <c r="AL20" i="14" s="1"/>
  <c r="AO61" i="18"/>
  <c r="AL30" i="14" s="1"/>
  <c r="AO33" i="18"/>
  <c r="AL19" i="14" s="1"/>
  <c r="AP27" i="18"/>
  <c r="AP28" i="18"/>
  <c r="AP31" i="18"/>
  <c r="AP51" i="18"/>
  <c r="AM27" i="14" s="1"/>
  <c r="AQ121" i="18"/>
  <c r="AQ30" i="18" s="1"/>
  <c r="AR124" i="18"/>
  <c r="AO153" i="18"/>
  <c r="AO45" i="18" s="1"/>
  <c r="AP156" i="18"/>
  <c r="BM157" i="18" s="1"/>
  <c r="AR38" i="18"/>
  <c r="AR40" i="18"/>
  <c r="AR43" i="18"/>
  <c r="AR44" i="18"/>
  <c r="AS11" i="14"/>
  <c r="AL15" i="14"/>
  <c r="AX96" i="18"/>
  <c r="AY99" i="18"/>
  <c r="AP163" i="18"/>
  <c r="AP37" i="18" s="1"/>
  <c r="AQ166" i="18"/>
  <c r="AM158" i="18"/>
  <c r="AN161" i="18"/>
  <c r="AW15" i="18"/>
  <c r="AW24" i="18"/>
  <c r="AT17" i="14" s="1"/>
  <c r="AW23" i="18"/>
  <c r="AN131" i="18"/>
  <c r="AN35" i="18" s="1"/>
  <c r="AK21" i="14" s="1"/>
  <c r="AO134" i="18"/>
  <c r="AR137" i="18"/>
  <c r="AR36" i="18" s="1"/>
  <c r="AO22" i="14" s="1"/>
  <c r="AS140" i="18"/>
  <c r="AU176" i="18"/>
  <c r="AU49" i="18" s="1"/>
  <c r="AR26" i="14" s="1"/>
  <c r="AV179" i="18"/>
  <c r="AL42" i="18"/>
  <c r="AI24" i="14" s="1"/>
  <c r="AL39" i="18"/>
  <c r="AQ168" i="18"/>
  <c r="AR171" i="18"/>
  <c r="BO172" i="18" s="1"/>
  <c r="AP126" i="18"/>
  <c r="AQ129" i="18"/>
  <c r="BN130" i="18" s="1"/>
  <c r="AQ106" i="18"/>
  <c r="AR109" i="18"/>
  <c r="BO110" i="18" s="1"/>
  <c r="AR143" i="18"/>
  <c r="AR46" i="18" s="1"/>
  <c r="AS146" i="18"/>
  <c r="BP147" i="18" s="1"/>
  <c r="AH23" i="14"/>
  <c r="AH12" i="14" s="1"/>
  <c r="AH10" i="14" s="1"/>
  <c r="AK8" i="18"/>
  <c r="AS148" i="18"/>
  <c r="AT151" i="18"/>
  <c r="BQ152" i="18" s="1"/>
  <c r="BG111" i="18"/>
  <c r="BH115" i="18"/>
  <c r="BS180" i="18" l="1"/>
  <c r="BM105" i="18"/>
  <c r="AP101" i="18"/>
  <c r="AP29" i="18" s="1"/>
  <c r="AQ104" i="18"/>
  <c r="BN167" i="18"/>
  <c r="BO185" i="18"/>
  <c r="BV100" i="18"/>
  <c r="BK162" i="18"/>
  <c r="BP142" i="18"/>
  <c r="AR181" i="18"/>
  <c r="AR50" i="18" s="1"/>
  <c r="AS184" i="18"/>
  <c r="AM18" i="14"/>
  <c r="AR106" i="18"/>
  <c r="AS109" i="18"/>
  <c r="BP110" i="18" s="1"/>
  <c r="AI23" i="14"/>
  <c r="AI12" i="14" s="1"/>
  <c r="AI10" i="14" s="1"/>
  <c r="AL8" i="18"/>
  <c r="AS137" i="18"/>
  <c r="AS36" i="18" s="1"/>
  <c r="AP22" i="14" s="1"/>
  <c r="AT140" i="18"/>
  <c r="AX23" i="18"/>
  <c r="AX24" i="18"/>
  <c r="AU17" i="14" s="1"/>
  <c r="AX15" i="18"/>
  <c r="AQ51" i="18"/>
  <c r="AN27" i="14" s="1"/>
  <c r="AQ28" i="18"/>
  <c r="AQ27" i="18"/>
  <c r="AQ31" i="18"/>
  <c r="AQ126" i="18"/>
  <c r="AR129" i="18"/>
  <c r="BO130" i="18" s="1"/>
  <c r="AM15" i="14"/>
  <c r="AT148" i="18"/>
  <c r="AU151" i="18"/>
  <c r="BR152" i="18" s="1"/>
  <c r="AS143" i="18"/>
  <c r="AS46" i="18" s="1"/>
  <c r="AT146" i="18"/>
  <c r="BQ147" i="18" s="1"/>
  <c r="AP33" i="18"/>
  <c r="AM19" i="14" s="1"/>
  <c r="AP48" i="18"/>
  <c r="AM25" i="14" s="1"/>
  <c r="AP34" i="18"/>
  <c r="AM20" i="14" s="1"/>
  <c r="AP61" i="18"/>
  <c r="AM30" i="14" s="1"/>
  <c r="AR168" i="18"/>
  <c r="AS171" i="18"/>
  <c r="BP172" i="18" s="1"/>
  <c r="BL136" i="18"/>
  <c r="AO131" i="18"/>
  <c r="AO35" i="18" s="1"/>
  <c r="AP134" i="18"/>
  <c r="AN158" i="18"/>
  <c r="AO161" i="18"/>
  <c r="AS40" i="18"/>
  <c r="AS38" i="18"/>
  <c r="AS44" i="18"/>
  <c r="AS43" i="18"/>
  <c r="AQ26" i="18"/>
  <c r="AN16" i="14" s="1"/>
  <c r="AQ25" i="18"/>
  <c r="AV176" i="18"/>
  <c r="AV49" i="18" s="1"/>
  <c r="AS26" i="14" s="1"/>
  <c r="AW179" i="18"/>
  <c r="AT11" i="14"/>
  <c r="AM39" i="18"/>
  <c r="AM42" i="18"/>
  <c r="AJ24" i="14" s="1"/>
  <c r="AQ163" i="18"/>
  <c r="AQ37" i="18" s="1"/>
  <c r="AR166" i="18"/>
  <c r="BO167" i="18" s="1"/>
  <c r="AY96" i="18"/>
  <c r="AZ99" i="18"/>
  <c r="AP153" i="18"/>
  <c r="AP45" i="18" s="1"/>
  <c r="AQ156" i="18"/>
  <c r="BN157" i="18" s="1"/>
  <c r="AR121" i="18"/>
  <c r="AR30" i="18" s="1"/>
  <c r="AS124" i="18"/>
  <c r="BH111" i="18"/>
  <c r="BI115" i="18"/>
  <c r="BT180" i="18" l="1"/>
  <c r="BN105" i="18"/>
  <c r="AQ101" i="18"/>
  <c r="AQ29" i="18" s="1"/>
  <c r="AR104" i="18"/>
  <c r="BP185" i="18"/>
  <c r="BW100" i="18"/>
  <c r="BL162" i="18"/>
  <c r="BQ142" i="18"/>
  <c r="AS181" i="18"/>
  <c r="AS50" i="18" s="1"/>
  <c r="AT184" i="18"/>
  <c r="AW176" i="18"/>
  <c r="AW49" i="18" s="1"/>
  <c r="AT26" i="14" s="1"/>
  <c r="AX179" i="18"/>
  <c r="AO158" i="18"/>
  <c r="AP161" i="18"/>
  <c r="AU148" i="18"/>
  <c r="AV151" i="18"/>
  <c r="BS152" i="18" s="1"/>
  <c r="AR126" i="18"/>
  <c r="AS129" i="18"/>
  <c r="AR27" i="18"/>
  <c r="AR28" i="18"/>
  <c r="AR31" i="18"/>
  <c r="AR51" i="18"/>
  <c r="AO27" i="14" s="1"/>
  <c r="AQ153" i="18"/>
  <c r="AQ45" i="18" s="1"/>
  <c r="AR156" i="18"/>
  <c r="BO157" i="18" s="1"/>
  <c r="AZ96" i="18"/>
  <c r="BA99" i="18"/>
  <c r="AN42" i="18"/>
  <c r="AK24" i="14" s="1"/>
  <c r="AN39" i="18"/>
  <c r="BM136" i="18"/>
  <c r="AP131" i="18"/>
  <c r="AP35" i="18" s="1"/>
  <c r="AM21" i="14" s="1"/>
  <c r="AQ134" i="18"/>
  <c r="AS168" i="18"/>
  <c r="AT171" i="18"/>
  <c r="BQ172" i="18" s="1"/>
  <c r="AT40" i="18"/>
  <c r="AT38" i="18"/>
  <c r="AT44" i="18"/>
  <c r="AT43" i="18"/>
  <c r="AQ33" i="18"/>
  <c r="AN19" i="14" s="1"/>
  <c r="AQ61" i="18"/>
  <c r="AN30" i="14" s="1"/>
  <c r="AQ48" i="18"/>
  <c r="AN25" i="14" s="1"/>
  <c r="AQ34" i="18"/>
  <c r="AN20" i="14" s="1"/>
  <c r="AS121" i="18"/>
  <c r="AS30" i="18" s="1"/>
  <c r="AT124" i="18"/>
  <c r="AY24" i="18"/>
  <c r="AV17" i="14" s="1"/>
  <c r="AY15" i="18"/>
  <c r="AY23" i="18"/>
  <c r="AR163" i="18"/>
  <c r="AR37" i="18" s="1"/>
  <c r="AS166" i="18"/>
  <c r="BP167" i="18" s="1"/>
  <c r="AJ23" i="14"/>
  <c r="AJ12" i="14" s="1"/>
  <c r="AJ10" i="14" s="1"/>
  <c r="AM8" i="18"/>
  <c r="AN15" i="14"/>
  <c r="AL21" i="14"/>
  <c r="AR25" i="18"/>
  <c r="AR26" i="18"/>
  <c r="AO16" i="14" s="1"/>
  <c r="AT143" i="18"/>
  <c r="AT46" i="18" s="1"/>
  <c r="AU146" i="18"/>
  <c r="BR147" i="18" s="1"/>
  <c r="AT137" i="18"/>
  <c r="AT36" i="18" s="1"/>
  <c r="AQ22" i="14" s="1"/>
  <c r="AU140" i="18"/>
  <c r="AN18" i="14"/>
  <c r="AU11" i="14"/>
  <c r="AS106" i="18"/>
  <c r="AT109" i="18"/>
  <c r="BQ110" i="18" s="1"/>
  <c r="BI111" i="18"/>
  <c r="BJ115" i="18"/>
  <c r="BQ185" i="18" l="1"/>
  <c r="BX100" i="18"/>
  <c r="BU180" i="18"/>
  <c r="BO105" i="18"/>
  <c r="AS104" i="18"/>
  <c r="AR101" i="18"/>
  <c r="AR29" i="18" s="1"/>
  <c r="AO18" i="14" s="1"/>
  <c r="BM162" i="18"/>
  <c r="BR142" i="18"/>
  <c r="AT181" i="18"/>
  <c r="AT50" i="18" s="1"/>
  <c r="AU184" i="18"/>
  <c r="AS31" i="18"/>
  <c r="AS51" i="18"/>
  <c r="AP27" i="14" s="1"/>
  <c r="AS27" i="18"/>
  <c r="AS28" i="18"/>
  <c r="AU137" i="18"/>
  <c r="AU36" i="18" s="1"/>
  <c r="AR22" i="14" s="1"/>
  <c r="AV140" i="18"/>
  <c r="AU143" i="18"/>
  <c r="AU46" i="18" s="1"/>
  <c r="AV146" i="18"/>
  <c r="BS147" i="18" s="1"/>
  <c r="AS163" i="18"/>
  <c r="AS37" i="18" s="1"/>
  <c r="AT166" i="18"/>
  <c r="BQ167" i="18" s="1"/>
  <c r="AK23" i="14"/>
  <c r="AK12" i="14" s="1"/>
  <c r="AK10" i="14" s="1"/>
  <c r="AN8" i="18"/>
  <c r="AZ24" i="18"/>
  <c r="AW17" i="14" s="1"/>
  <c r="AZ23" i="18"/>
  <c r="AZ15" i="18"/>
  <c r="AR153" i="18"/>
  <c r="AR45" i="18" s="1"/>
  <c r="AS156" i="18"/>
  <c r="BP157" i="18" s="1"/>
  <c r="BP130" i="18"/>
  <c r="AS126" i="18"/>
  <c r="AT129" i="18"/>
  <c r="AO39" i="18"/>
  <c r="AO42" i="18"/>
  <c r="AL24" i="14" s="1"/>
  <c r="BN136" i="18"/>
  <c r="AQ131" i="18"/>
  <c r="AQ35" i="18" s="1"/>
  <c r="AR134" i="18"/>
  <c r="AR61" i="18"/>
  <c r="AO30" i="14" s="1"/>
  <c r="AR33" i="18"/>
  <c r="AO19" i="14" s="1"/>
  <c r="AR48" i="18"/>
  <c r="AO25" i="14" s="1"/>
  <c r="AR34" i="18"/>
  <c r="AO20" i="14" s="1"/>
  <c r="AV148" i="18"/>
  <c r="AW151" i="18"/>
  <c r="BT152" i="18" s="1"/>
  <c r="AX176" i="18"/>
  <c r="AX49" i="18" s="1"/>
  <c r="AU26" i="14" s="1"/>
  <c r="AY179" i="18"/>
  <c r="AT121" i="18"/>
  <c r="AT30" i="18" s="1"/>
  <c r="AU124" i="18"/>
  <c r="AT168" i="18"/>
  <c r="AU171" i="18"/>
  <c r="BR172" i="18" s="1"/>
  <c r="AU44" i="18"/>
  <c r="AU43" i="18"/>
  <c r="AU40" i="18"/>
  <c r="AU38" i="18"/>
  <c r="AT106" i="18"/>
  <c r="AU109" i="18"/>
  <c r="BR110" i="18" s="1"/>
  <c r="AO15" i="14"/>
  <c r="AV11" i="14"/>
  <c r="AS26" i="18"/>
  <c r="AP16" i="14" s="1"/>
  <c r="AS25" i="18"/>
  <c r="BA96" i="18"/>
  <c r="BB99" i="18"/>
  <c r="AP158" i="18"/>
  <c r="AQ161" i="18"/>
  <c r="BJ111" i="18"/>
  <c r="BK115" i="18"/>
  <c r="BR185" i="18" l="1"/>
  <c r="BV180" i="18"/>
  <c r="BY100" i="18"/>
  <c r="BP105" i="18"/>
  <c r="AS101" i="18"/>
  <c r="AS29" i="18" s="1"/>
  <c r="AP18" i="14" s="1"/>
  <c r="AT104" i="18"/>
  <c r="BN162" i="18"/>
  <c r="BS142" i="18"/>
  <c r="BO136" i="18"/>
  <c r="AU181" i="18"/>
  <c r="AU50" i="18" s="1"/>
  <c r="AV184" i="18"/>
  <c r="AV143" i="18"/>
  <c r="AV46" i="18" s="1"/>
  <c r="AW146" i="18"/>
  <c r="BT147" i="18" s="1"/>
  <c r="AU106" i="18"/>
  <c r="AV109" i="18"/>
  <c r="BS110" i="18" s="1"/>
  <c r="AU168" i="18"/>
  <c r="AV171" i="18"/>
  <c r="BS172" i="18" s="1"/>
  <c r="AW148" i="18"/>
  <c r="AX151" i="18"/>
  <c r="BU152" i="18" s="1"/>
  <c r="AL23" i="14"/>
  <c r="AL12" i="14" s="1"/>
  <c r="AL10" i="14" s="1"/>
  <c r="AO8" i="18"/>
  <c r="AS153" i="18"/>
  <c r="AS45" i="18" s="1"/>
  <c r="AT156" i="18"/>
  <c r="BQ157" i="18" s="1"/>
  <c r="AY176" i="18"/>
  <c r="AY49" i="18" s="1"/>
  <c r="AV26" i="14" s="1"/>
  <c r="AZ179" i="18"/>
  <c r="AQ158" i="18"/>
  <c r="AR161" i="18"/>
  <c r="AP15" i="14"/>
  <c r="AT27" i="18"/>
  <c r="AT31" i="18"/>
  <c r="AT51" i="18"/>
  <c r="AQ27" i="14" s="1"/>
  <c r="AT28" i="18"/>
  <c r="AT25" i="18"/>
  <c r="AT26" i="18"/>
  <c r="AQ16" i="14" s="1"/>
  <c r="AU121" i="18"/>
  <c r="AU30" i="18" s="1"/>
  <c r="AV124" i="18"/>
  <c r="AV38" i="18"/>
  <c r="AV40" i="18"/>
  <c r="AV43" i="18"/>
  <c r="AV44" i="18"/>
  <c r="AR131" i="18"/>
  <c r="AR35" i="18" s="1"/>
  <c r="AS134" i="18"/>
  <c r="BQ130" i="18"/>
  <c r="AT126" i="18"/>
  <c r="AU129" i="18"/>
  <c r="AT163" i="18"/>
  <c r="AT37" i="18" s="1"/>
  <c r="AU166" i="18"/>
  <c r="BR167" i="18" s="1"/>
  <c r="AV137" i="18"/>
  <c r="AV36" i="18" s="1"/>
  <c r="AS22" i="14" s="1"/>
  <c r="AW140" i="18"/>
  <c r="BA24" i="18"/>
  <c r="AX17" i="14" s="1"/>
  <c r="BA23" i="18"/>
  <c r="BA15" i="18"/>
  <c r="AP42" i="18"/>
  <c r="AM24" i="14" s="1"/>
  <c r="AP39" i="18"/>
  <c r="BB96" i="18"/>
  <c r="BC99" i="18"/>
  <c r="AN21" i="14"/>
  <c r="AS48" i="18"/>
  <c r="AP25" i="14" s="1"/>
  <c r="AS34" i="18"/>
  <c r="AP20" i="14" s="1"/>
  <c r="AS61" i="18"/>
  <c r="AP30" i="14" s="1"/>
  <c r="AS33" i="18"/>
  <c r="AP19" i="14" s="1"/>
  <c r="AW11" i="14"/>
  <c r="BK111" i="18"/>
  <c r="BL115" i="18"/>
  <c r="BS185" i="18" l="1"/>
  <c r="BZ100" i="18"/>
  <c r="CA100" i="18" s="1"/>
  <c r="CB100" i="18" s="1"/>
  <c r="CC100" i="18" s="1"/>
  <c r="CD100" i="18" s="1"/>
  <c r="CE100" i="18" s="1"/>
  <c r="CF100" i="18" s="1"/>
  <c r="CG100" i="18" s="1"/>
  <c r="CH100" i="18" s="1"/>
  <c r="CI100" i="18" s="1"/>
  <c r="CJ100" i="18" s="1"/>
  <c r="CK100" i="18" s="1"/>
  <c r="CL100" i="18" s="1"/>
  <c r="CM100" i="18" s="1"/>
  <c r="CN100" i="18" s="1"/>
  <c r="CO100" i="18" s="1"/>
  <c r="CP100" i="18" s="1"/>
  <c r="CQ100" i="18" s="1"/>
  <c r="CR100" i="18" s="1"/>
  <c r="CS100" i="18" s="1"/>
  <c r="CT100" i="18" s="1"/>
  <c r="CU100" i="18" s="1"/>
  <c r="CV100" i="18" s="1"/>
  <c r="CW100" i="18" s="1"/>
  <c r="CX100" i="18" s="1"/>
  <c r="CY100" i="18" s="1"/>
  <c r="CZ100" i="18" s="1"/>
  <c r="DA100" i="18" s="1"/>
  <c r="DB100" i="18" s="1"/>
  <c r="DC100" i="18" s="1"/>
  <c r="DD100" i="18" s="1"/>
  <c r="DE100" i="18" s="1"/>
  <c r="DF100" i="18" s="1"/>
  <c r="DG100" i="18" s="1"/>
  <c r="DH100" i="18" s="1"/>
  <c r="DI100" i="18" s="1"/>
  <c r="DJ100" i="18" s="1"/>
  <c r="DK100" i="18" s="1"/>
  <c r="DL100" i="18" s="1"/>
  <c r="DM100" i="18" s="1"/>
  <c r="DN100" i="18" s="1"/>
  <c r="DO100" i="18" s="1"/>
  <c r="DP100" i="18" s="1"/>
  <c r="DQ100" i="18" s="1"/>
  <c r="DR100" i="18" s="1"/>
  <c r="DS100" i="18" s="1"/>
  <c r="DT100" i="18" s="1"/>
  <c r="DU100" i="18" s="1"/>
  <c r="DV100" i="18" s="1"/>
  <c r="DW100" i="18" s="1"/>
  <c r="DX100" i="18" s="1"/>
  <c r="DY100" i="18" s="1"/>
  <c r="DZ100" i="18" s="1"/>
  <c r="EA100" i="18" s="1"/>
  <c r="EB100" i="18" s="1"/>
  <c r="EC100" i="18" s="1"/>
  <c r="ED100" i="18" s="1"/>
  <c r="EE100" i="18" s="1"/>
  <c r="EF100" i="18" s="1"/>
  <c r="EG100" i="18" s="1"/>
  <c r="EH100" i="18" s="1"/>
  <c r="EI100" i="18" s="1"/>
  <c r="F100" i="18" s="1"/>
  <c r="E100" i="18" s="1"/>
  <c r="BW180" i="18"/>
  <c r="AT101" i="18"/>
  <c r="AT29" i="18" s="1"/>
  <c r="AQ18" i="14" s="1"/>
  <c r="AU104" i="18"/>
  <c r="BQ105" i="18"/>
  <c r="BO162" i="18"/>
  <c r="BR130" i="18"/>
  <c r="BP136" i="18"/>
  <c r="BT142" i="18"/>
  <c r="AW184" i="18"/>
  <c r="AV181" i="18"/>
  <c r="AV50" i="18" s="1"/>
  <c r="BC96" i="18"/>
  <c r="BD99" i="18"/>
  <c r="AU126" i="18"/>
  <c r="AV129" i="18"/>
  <c r="AU26" i="18"/>
  <c r="AR16" i="14" s="1"/>
  <c r="AU25" i="18"/>
  <c r="AU28" i="18"/>
  <c r="AU31" i="18"/>
  <c r="AU27" i="18"/>
  <c r="AU51" i="18"/>
  <c r="AR27" i="14" s="1"/>
  <c r="BB24" i="18"/>
  <c r="AY17" i="14" s="1"/>
  <c r="BB23" i="18"/>
  <c r="BB15" i="18"/>
  <c r="AX11" i="14"/>
  <c r="AT61" i="18"/>
  <c r="AQ30" i="14" s="1"/>
  <c r="AT34" i="18"/>
  <c r="AQ20" i="14" s="1"/>
  <c r="AT33" i="18"/>
  <c r="AQ19" i="14" s="1"/>
  <c r="AT48" i="18"/>
  <c r="AQ25" i="14" s="1"/>
  <c r="AS131" i="18"/>
  <c r="AS35" i="18" s="1"/>
  <c r="AP21" i="14" s="1"/>
  <c r="AT134" i="18"/>
  <c r="AZ176" i="18"/>
  <c r="AZ49" i="18" s="1"/>
  <c r="AW26" i="14" s="1"/>
  <c r="BA179" i="18"/>
  <c r="AW143" i="18"/>
  <c r="AW46" i="18" s="1"/>
  <c r="AX146" i="18"/>
  <c r="BU147" i="18" s="1"/>
  <c r="AM23" i="14"/>
  <c r="AM12" i="14" s="1"/>
  <c r="AM10" i="14" s="1"/>
  <c r="AP8" i="18"/>
  <c r="AU163" i="18"/>
  <c r="AU37" i="18" s="1"/>
  <c r="AV166" i="18"/>
  <c r="BS167" i="18" s="1"/>
  <c r="AO21" i="14"/>
  <c r="AQ15" i="14"/>
  <c r="AR158" i="18"/>
  <c r="AS161" i="18"/>
  <c r="AT153" i="18"/>
  <c r="AT45" i="18" s="1"/>
  <c r="AU156" i="18"/>
  <c r="BR157" i="18" s="1"/>
  <c r="AX148" i="18"/>
  <c r="AY151" i="18"/>
  <c r="BV152" i="18" s="1"/>
  <c r="AW137" i="18"/>
  <c r="AW36" i="18" s="1"/>
  <c r="AT22" i="14" s="1"/>
  <c r="AX140" i="18"/>
  <c r="AV121" i="18"/>
  <c r="AV30" i="18" s="1"/>
  <c r="AW124" i="18"/>
  <c r="AQ39" i="18"/>
  <c r="AQ42" i="18"/>
  <c r="AN24" i="14" s="1"/>
  <c r="AW40" i="18"/>
  <c r="AW38" i="18"/>
  <c r="AW43" i="18"/>
  <c r="AW44" i="18"/>
  <c r="AV168" i="18"/>
  <c r="AW171" i="18"/>
  <c r="BT172" i="18" s="1"/>
  <c r="AV106" i="18"/>
  <c r="AW109" i="18"/>
  <c r="BT110" i="18" s="1"/>
  <c r="BL111" i="18"/>
  <c r="BM115" i="18"/>
  <c r="BT185" i="18" l="1"/>
  <c r="BX180" i="18"/>
  <c r="BR105" i="18"/>
  <c r="AU101" i="18"/>
  <c r="AU29" i="18" s="1"/>
  <c r="AR18" i="14" s="1"/>
  <c r="AV104" i="18"/>
  <c r="BP162" i="18"/>
  <c r="BS130" i="18"/>
  <c r="BQ136" i="18"/>
  <c r="BU142" i="18"/>
  <c r="AW181" i="18"/>
  <c r="AW50" i="18" s="1"/>
  <c r="AX184" i="18"/>
  <c r="AW106" i="18"/>
  <c r="AX109" i="18"/>
  <c r="BU110" i="18" s="1"/>
  <c r="AY148" i="18"/>
  <c r="AZ151" i="18"/>
  <c r="BW152" i="18" s="1"/>
  <c r="AR42" i="18"/>
  <c r="AO24" i="14" s="1"/>
  <c r="AR39" i="18"/>
  <c r="AR15" i="14"/>
  <c r="AV51" i="18"/>
  <c r="AS27" i="14" s="1"/>
  <c r="AV31" i="18"/>
  <c r="AV28" i="18"/>
  <c r="AV27" i="18"/>
  <c r="AX137" i="18"/>
  <c r="AX36" i="18" s="1"/>
  <c r="AU22" i="14" s="1"/>
  <c r="AY140" i="18"/>
  <c r="AX40" i="18"/>
  <c r="AX43" i="18"/>
  <c r="AX38" i="18"/>
  <c r="AX44" i="18"/>
  <c r="AV163" i="18"/>
  <c r="AV37" i="18" s="1"/>
  <c r="AW166" i="18"/>
  <c r="BT167" i="18" s="1"/>
  <c r="BD96" i="18"/>
  <c r="BE99" i="18"/>
  <c r="AW168" i="18"/>
  <c r="AX171" i="18"/>
  <c r="BU172" i="18" s="1"/>
  <c r="AW121" i="18"/>
  <c r="AW30" i="18" s="1"/>
  <c r="AX124" i="18"/>
  <c r="AU153" i="18"/>
  <c r="AU45" i="18" s="1"/>
  <c r="AV156" i="18"/>
  <c r="BS157" i="18" s="1"/>
  <c r="AT131" i="18"/>
  <c r="AT35" i="18" s="1"/>
  <c r="AU134" i="18"/>
  <c r="AY11" i="14"/>
  <c r="AV126" i="18"/>
  <c r="AW129" i="18"/>
  <c r="BC24" i="18"/>
  <c r="AZ17" i="14" s="1"/>
  <c r="BC23" i="18"/>
  <c r="BC15" i="18"/>
  <c r="AV26" i="18"/>
  <c r="AS16" i="14" s="1"/>
  <c r="AV25" i="18"/>
  <c r="AN23" i="14"/>
  <c r="AN12" i="14" s="1"/>
  <c r="AN10" i="14" s="1"/>
  <c r="AQ8" i="18"/>
  <c r="AS158" i="18"/>
  <c r="AT161" i="18"/>
  <c r="AX143" i="18"/>
  <c r="AX46" i="18" s="1"/>
  <c r="AY146" i="18"/>
  <c r="BV147" i="18" s="1"/>
  <c r="BA176" i="18"/>
  <c r="BA49" i="18" s="1"/>
  <c r="AX26" i="14" s="1"/>
  <c r="BB179" i="18"/>
  <c r="AU34" i="18"/>
  <c r="AR20" i="14" s="1"/>
  <c r="AU61" i="18"/>
  <c r="AR30" i="14" s="1"/>
  <c r="AU33" i="18"/>
  <c r="AR19" i="14" s="1"/>
  <c r="AU48" i="18"/>
  <c r="AR25" i="14" s="1"/>
  <c r="BM111" i="18"/>
  <c r="BN115" i="18"/>
  <c r="BU185" i="18" l="1"/>
  <c r="BY180" i="18"/>
  <c r="BS105" i="18"/>
  <c r="AV101" i="18"/>
  <c r="AV29" i="18" s="1"/>
  <c r="AW104" i="18"/>
  <c r="BQ162" i="18"/>
  <c r="BT130" i="18"/>
  <c r="BR136" i="18"/>
  <c r="BV142" i="18"/>
  <c r="AX181" i="18"/>
  <c r="AX50" i="18" s="1"/>
  <c r="AY184" i="18"/>
  <c r="AT158" i="18"/>
  <c r="AU161" i="18"/>
  <c r="AV48" i="18"/>
  <c r="AS25" i="14" s="1"/>
  <c r="AV33" i="18"/>
  <c r="AS19" i="14" s="1"/>
  <c r="AV61" i="18"/>
  <c r="AS30" i="14" s="1"/>
  <c r="AV34" i="18"/>
  <c r="AS20" i="14" s="1"/>
  <c r="AV153" i="18"/>
  <c r="AV45" i="18" s="1"/>
  <c r="AW156" i="18"/>
  <c r="BT157" i="18" s="1"/>
  <c r="AX121" i="18"/>
  <c r="AX30" i="18" s="1"/>
  <c r="AY124" i="18"/>
  <c r="AW26" i="18"/>
  <c r="AT16" i="14" s="1"/>
  <c r="AW25" i="18"/>
  <c r="BD24" i="18"/>
  <c r="BA17" i="14" s="1"/>
  <c r="BD23" i="18"/>
  <c r="BD15" i="18"/>
  <c r="AY137" i="18"/>
  <c r="AY36" i="18" s="1"/>
  <c r="AV22" i="14" s="1"/>
  <c r="AZ140" i="18"/>
  <c r="AZ148" i="18"/>
  <c r="BA151" i="18"/>
  <c r="BB176" i="18"/>
  <c r="BB49" i="18" s="1"/>
  <c r="AY26" i="14" s="1"/>
  <c r="BC179" i="18"/>
  <c r="AY143" i="18"/>
  <c r="AY46" i="18" s="1"/>
  <c r="AZ146" i="18"/>
  <c r="BW147" i="18" s="1"/>
  <c r="AS39" i="18"/>
  <c r="AS42" i="18"/>
  <c r="AP24" i="14" s="1"/>
  <c r="AU131" i="18"/>
  <c r="AU35" i="18" s="1"/>
  <c r="AR21" i="14" s="1"/>
  <c r="AV134" i="18"/>
  <c r="AW163" i="18"/>
  <c r="AW37" i="18" s="1"/>
  <c r="AX166" i="18"/>
  <c r="BU167" i="18" s="1"/>
  <c r="AY40" i="18"/>
  <c r="AY38" i="18"/>
  <c r="AY44" i="18"/>
  <c r="AY43" i="18"/>
  <c r="AS15" i="14"/>
  <c r="AZ11" i="14"/>
  <c r="AQ21" i="14"/>
  <c r="AS18" i="14"/>
  <c r="AO23" i="14"/>
  <c r="AO12" i="14" s="1"/>
  <c r="AO10" i="14" s="1"/>
  <c r="AR8" i="18"/>
  <c r="AX106" i="18"/>
  <c r="AY109" i="18"/>
  <c r="BV110" i="18" s="1"/>
  <c r="AW126" i="18"/>
  <c r="AX129" i="18"/>
  <c r="AX168" i="18"/>
  <c r="AY171" i="18"/>
  <c r="BV172" i="18" s="1"/>
  <c r="BE96" i="18"/>
  <c r="BF99" i="18"/>
  <c r="AW28" i="18"/>
  <c r="AW51" i="18"/>
  <c r="AT27" i="14" s="1"/>
  <c r="AW27" i="18"/>
  <c r="AW31" i="18"/>
  <c r="BN111" i="18"/>
  <c r="BO115" i="18"/>
  <c r="BV185" i="18" l="1"/>
  <c r="BZ180" i="18"/>
  <c r="BT105" i="18"/>
  <c r="AX104" i="18"/>
  <c r="AW101" i="18"/>
  <c r="AW29" i="18" s="1"/>
  <c r="BS136" i="18"/>
  <c r="BR162" i="18"/>
  <c r="BW142" i="18"/>
  <c r="AY181" i="18"/>
  <c r="AY50" i="18" s="1"/>
  <c r="AZ184" i="18"/>
  <c r="BE15" i="18"/>
  <c r="BE23" i="18"/>
  <c r="BE24" i="18"/>
  <c r="BB17" i="14" s="1"/>
  <c r="BX152" i="18"/>
  <c r="BA148" i="18"/>
  <c r="BB151" i="18"/>
  <c r="AY121" i="18"/>
  <c r="AY30" i="18" s="1"/>
  <c r="AZ124" i="18"/>
  <c r="AY168" i="18"/>
  <c r="AZ171" i="18"/>
  <c r="BW172" i="18" s="1"/>
  <c r="AX163" i="18"/>
  <c r="AX37" i="18" s="1"/>
  <c r="AY166" i="18"/>
  <c r="BV167" i="18" s="1"/>
  <c r="AP23" i="14"/>
  <c r="AP12" i="14" s="1"/>
  <c r="AP10" i="14" s="1"/>
  <c r="AS8" i="18"/>
  <c r="AZ143" i="18"/>
  <c r="AZ46" i="18" s="1"/>
  <c r="BA146" i="18"/>
  <c r="BX147" i="18" s="1"/>
  <c r="BY147" i="18" s="1"/>
  <c r="BZ147" i="18" s="1"/>
  <c r="CA147" i="18" s="1"/>
  <c r="CB147" i="18" s="1"/>
  <c r="CC147" i="18" s="1"/>
  <c r="CD147" i="18" s="1"/>
  <c r="CE147" i="18" s="1"/>
  <c r="CF147" i="18" s="1"/>
  <c r="CG147" i="18" s="1"/>
  <c r="CH147" i="18" s="1"/>
  <c r="CI147" i="18" s="1"/>
  <c r="CJ147" i="18" s="1"/>
  <c r="CK147" i="18" s="1"/>
  <c r="CL147" i="18" s="1"/>
  <c r="CM147" i="18" s="1"/>
  <c r="CN147" i="18" s="1"/>
  <c r="CO147" i="18" s="1"/>
  <c r="CP147" i="18" s="1"/>
  <c r="CQ147" i="18" s="1"/>
  <c r="CR147" i="18" s="1"/>
  <c r="CS147" i="18" s="1"/>
  <c r="CT147" i="18" s="1"/>
  <c r="CU147" i="18" s="1"/>
  <c r="CV147" i="18" s="1"/>
  <c r="CW147" i="18" s="1"/>
  <c r="CX147" i="18" s="1"/>
  <c r="CY147" i="18" s="1"/>
  <c r="CZ147" i="18" s="1"/>
  <c r="DA147" i="18" s="1"/>
  <c r="DB147" i="18" s="1"/>
  <c r="DC147" i="18" s="1"/>
  <c r="DD147" i="18" s="1"/>
  <c r="DE147" i="18" s="1"/>
  <c r="DF147" i="18" s="1"/>
  <c r="DG147" i="18" s="1"/>
  <c r="DH147" i="18" s="1"/>
  <c r="DI147" i="18" s="1"/>
  <c r="DJ147" i="18" s="1"/>
  <c r="DK147" i="18" s="1"/>
  <c r="DL147" i="18" s="1"/>
  <c r="DM147" i="18" s="1"/>
  <c r="DN147" i="18" s="1"/>
  <c r="DO147" i="18" s="1"/>
  <c r="DP147" i="18" s="1"/>
  <c r="DQ147" i="18" s="1"/>
  <c r="DR147" i="18" s="1"/>
  <c r="DS147" i="18" s="1"/>
  <c r="DT147" i="18" s="1"/>
  <c r="DU147" i="18" s="1"/>
  <c r="DV147" i="18" s="1"/>
  <c r="DW147" i="18" s="1"/>
  <c r="DX147" i="18" s="1"/>
  <c r="DY147" i="18" s="1"/>
  <c r="DZ147" i="18" s="1"/>
  <c r="EA147" i="18" s="1"/>
  <c r="EB147" i="18" s="1"/>
  <c r="EC147" i="18" s="1"/>
  <c r="ED147" i="18" s="1"/>
  <c r="EE147" i="18" s="1"/>
  <c r="EF147" i="18" s="1"/>
  <c r="EG147" i="18" s="1"/>
  <c r="EH147" i="18" s="1"/>
  <c r="EI147" i="18" s="1"/>
  <c r="F147" i="18" s="1"/>
  <c r="E147" i="18" s="1"/>
  <c r="AZ38" i="18"/>
  <c r="AZ44" i="18"/>
  <c r="AZ43" i="18"/>
  <c r="AZ40" i="18"/>
  <c r="AZ137" i="18"/>
  <c r="AZ36" i="18" s="1"/>
  <c r="AW22" i="14" s="1"/>
  <c r="BA140" i="18"/>
  <c r="AT18" i="14"/>
  <c r="AX26" i="18"/>
  <c r="AU16" i="14" s="1"/>
  <c r="AX25" i="18"/>
  <c r="BU130" i="18"/>
  <c r="AX126" i="18"/>
  <c r="AY129" i="18"/>
  <c r="AY106" i="18"/>
  <c r="AZ109" i="18"/>
  <c r="BW110" i="18" s="1"/>
  <c r="AV131" i="18"/>
  <c r="AV35" i="18" s="1"/>
  <c r="AW134" i="18"/>
  <c r="AT15" i="14"/>
  <c r="AU158" i="18"/>
  <c r="AV161" i="18"/>
  <c r="BF96" i="18"/>
  <c r="BG99" i="18"/>
  <c r="AW61" i="18"/>
  <c r="AT30" i="14" s="1"/>
  <c r="AW48" i="18"/>
  <c r="AT25" i="14" s="1"/>
  <c r="AW34" i="18"/>
  <c r="AT20" i="14" s="1"/>
  <c r="AW33" i="18"/>
  <c r="AT19" i="14" s="1"/>
  <c r="AX51" i="18"/>
  <c r="AU27" i="14" s="1"/>
  <c r="AX31" i="18"/>
  <c r="AX28" i="18"/>
  <c r="AX27" i="18"/>
  <c r="BC176" i="18"/>
  <c r="BC49" i="18" s="1"/>
  <c r="AZ26" i="14" s="1"/>
  <c r="BD179" i="18"/>
  <c r="BA11" i="14"/>
  <c r="AW153" i="18"/>
  <c r="AW45" i="18" s="1"/>
  <c r="AX156" i="18"/>
  <c r="BU157" i="18" s="1"/>
  <c r="AT39" i="18"/>
  <c r="AT42" i="18"/>
  <c r="AQ24" i="14" s="1"/>
  <c r="BO111" i="18"/>
  <c r="BP115" i="18"/>
  <c r="BW185" i="18" l="1"/>
  <c r="CA180" i="18"/>
  <c r="BU105" i="18"/>
  <c r="AX101" i="18"/>
  <c r="AX29" i="18" s="1"/>
  <c r="AU18" i="14" s="1"/>
  <c r="AY104" i="18"/>
  <c r="BT136" i="18"/>
  <c r="BS162" i="18"/>
  <c r="BV130" i="18"/>
  <c r="BX142" i="18"/>
  <c r="AZ181" i="18"/>
  <c r="AZ50" i="18" s="1"/>
  <c r="BA184" i="18"/>
  <c r="BA181" i="18" s="1"/>
  <c r="BA50" i="18" s="1"/>
  <c r="BD176" i="18"/>
  <c r="BD49" i="18" s="1"/>
  <c r="BA26" i="14" s="1"/>
  <c r="BE179" i="18"/>
  <c r="BG96" i="18"/>
  <c r="BH99" i="18"/>
  <c r="AZ106" i="18"/>
  <c r="BA109" i="18"/>
  <c r="BA137" i="18"/>
  <c r="BA36" i="18" s="1"/>
  <c r="AX22" i="14" s="1"/>
  <c r="BB140" i="18"/>
  <c r="AQ23" i="14"/>
  <c r="AQ12" i="14" s="1"/>
  <c r="AQ10" i="14" s="1"/>
  <c r="AT8" i="18"/>
  <c r="BF24" i="18"/>
  <c r="BF23" i="18"/>
  <c r="BF15" i="18"/>
  <c r="AW131" i="18"/>
  <c r="AW35" i="18" s="1"/>
  <c r="AT21" i="14" s="1"/>
  <c r="AX134" i="18"/>
  <c r="AY27" i="18"/>
  <c r="AY28" i="18"/>
  <c r="AY51" i="18"/>
  <c r="AV27" i="14" s="1"/>
  <c r="AY31" i="18"/>
  <c r="AY126" i="18"/>
  <c r="AZ129" i="18"/>
  <c r="AY163" i="18"/>
  <c r="AY37" i="18" s="1"/>
  <c r="AZ166" i="18"/>
  <c r="BW167" i="18" s="1"/>
  <c r="AZ168" i="18"/>
  <c r="BA171" i="18"/>
  <c r="BX172" i="18" s="1"/>
  <c r="AZ121" i="18"/>
  <c r="AZ30" i="18" s="1"/>
  <c r="BA124" i="18"/>
  <c r="AX153" i="18"/>
  <c r="AX45" i="18" s="1"/>
  <c r="AY156" i="18"/>
  <c r="BV157" i="18" s="1"/>
  <c r="AU39" i="18"/>
  <c r="AU42" i="18"/>
  <c r="AR24" i="14" s="1"/>
  <c r="AU15" i="14"/>
  <c r="BA143" i="18"/>
  <c r="BA46" i="18" s="1"/>
  <c r="BB146" i="18"/>
  <c r="AS21" i="14"/>
  <c r="AX48" i="18"/>
  <c r="AU25" i="14" s="1"/>
  <c r="AX34" i="18"/>
  <c r="AU20" i="14" s="1"/>
  <c r="AX33" i="18"/>
  <c r="AU19" i="14" s="1"/>
  <c r="AX61" i="18"/>
  <c r="AU30" i="14" s="1"/>
  <c r="AY26" i="18"/>
  <c r="AV16" i="14" s="1"/>
  <c r="AY25" i="18"/>
  <c r="BY152" i="18"/>
  <c r="BB148" i="18"/>
  <c r="BC151" i="18"/>
  <c r="AV158" i="18"/>
  <c r="AW161" i="18"/>
  <c r="BA38" i="18"/>
  <c r="BA40" i="18"/>
  <c r="BA43" i="18"/>
  <c r="BA44" i="18"/>
  <c r="BB11" i="14"/>
  <c r="BP111" i="18"/>
  <c r="BQ115" i="18"/>
  <c r="CB180" i="18" l="1"/>
  <c r="BX185" i="18"/>
  <c r="BV105" i="18"/>
  <c r="AZ104" i="18"/>
  <c r="AY101" i="18"/>
  <c r="AY29" i="18" s="1"/>
  <c r="AV18" i="14" s="1"/>
  <c r="BU136" i="18"/>
  <c r="BT162" i="18"/>
  <c r="BZ152" i="18"/>
  <c r="BW130" i="18"/>
  <c r="BY142" i="18"/>
  <c r="BB184" i="18"/>
  <c r="AZ163" i="18"/>
  <c r="AZ37" i="18" s="1"/>
  <c r="BA166" i="18"/>
  <c r="AZ126" i="18"/>
  <c r="BA129" i="18"/>
  <c r="BC17" i="14"/>
  <c r="AZ27" i="18"/>
  <c r="AZ31" i="18"/>
  <c r="AZ51" i="18"/>
  <c r="AW27" i="14" s="1"/>
  <c r="AZ28" i="18"/>
  <c r="AW158" i="18"/>
  <c r="AX161" i="18"/>
  <c r="AV15" i="14"/>
  <c r="AY61" i="18"/>
  <c r="AV30" i="14" s="1"/>
  <c r="AY34" i="18"/>
  <c r="AV20" i="14" s="1"/>
  <c r="AY33" i="18"/>
  <c r="AV19" i="14" s="1"/>
  <c r="AY48" i="18"/>
  <c r="AV25" i="14" s="1"/>
  <c r="BH96" i="18"/>
  <c r="BI99" i="18"/>
  <c r="BE176" i="18"/>
  <c r="BE49" i="18" s="1"/>
  <c r="BB26" i="14" s="1"/>
  <c r="BF179" i="18"/>
  <c r="AV42" i="18"/>
  <c r="AS24" i="14" s="1"/>
  <c r="AV39" i="18"/>
  <c r="BC148" i="18"/>
  <c r="BD151" i="18"/>
  <c r="BB143" i="18"/>
  <c r="BB46" i="18" s="1"/>
  <c r="BC146" i="18"/>
  <c r="AY153" i="18"/>
  <c r="AY45" i="18" s="1"/>
  <c r="AZ156" i="18"/>
  <c r="BW157" i="18" s="1"/>
  <c r="BA121" i="18"/>
  <c r="BA30" i="18" s="1"/>
  <c r="BB124" i="18"/>
  <c r="BA168" i="18"/>
  <c r="BB171" i="18"/>
  <c r="BY172" i="18" s="1"/>
  <c r="BC11" i="14"/>
  <c r="BB137" i="18"/>
  <c r="BB36" i="18" s="1"/>
  <c r="AY22" i="14" s="1"/>
  <c r="BC140" i="18"/>
  <c r="BG24" i="18"/>
  <c r="BD17" i="14" s="1"/>
  <c r="BG23" i="18"/>
  <c r="BG15" i="18"/>
  <c r="BB38" i="18"/>
  <c r="BB40" i="18"/>
  <c r="BB43" i="18"/>
  <c r="BB44" i="18"/>
  <c r="AR23" i="14"/>
  <c r="AR12" i="14" s="1"/>
  <c r="AR10" i="14" s="1"/>
  <c r="AU8" i="18"/>
  <c r="AZ26" i="18"/>
  <c r="AW16" i="14" s="1"/>
  <c r="AZ25" i="18"/>
  <c r="AX131" i="18"/>
  <c r="AX35" i="18" s="1"/>
  <c r="AU21" i="14" s="1"/>
  <c r="AY134" i="18"/>
  <c r="BX110" i="18"/>
  <c r="BA106" i="18"/>
  <c r="BB109" i="18"/>
  <c r="BQ111" i="18"/>
  <c r="BR115" i="18"/>
  <c r="CC180" i="18" l="1"/>
  <c r="BY185" i="18"/>
  <c r="CA152" i="18"/>
  <c r="BV136" i="18"/>
  <c r="BW105" i="18"/>
  <c r="AZ101" i="18"/>
  <c r="AZ29" i="18" s="1"/>
  <c r="AW18" i="14" s="1"/>
  <c r="BA104" i="18"/>
  <c r="BY110" i="18"/>
  <c r="BU162" i="18"/>
  <c r="BX130" i="18"/>
  <c r="BZ142" i="18"/>
  <c r="BB181" i="18"/>
  <c r="BB50" i="18" s="1"/>
  <c r="BC184" i="18"/>
  <c r="BA25" i="18"/>
  <c r="BA26" i="18"/>
  <c r="AX16" i="14" s="1"/>
  <c r="BB121" i="18"/>
  <c r="BB30" i="18" s="1"/>
  <c r="BC124" i="18"/>
  <c r="BC44" i="18"/>
  <c r="BC40" i="18"/>
  <c r="BC38" i="18"/>
  <c r="BC43" i="18"/>
  <c r="BH15" i="18"/>
  <c r="BH23" i="18"/>
  <c r="BH24" i="18"/>
  <c r="BE17" i="14" s="1"/>
  <c r="AX158" i="18"/>
  <c r="AY161" i="18"/>
  <c r="AZ33" i="18"/>
  <c r="AW19" i="14" s="1"/>
  <c r="AZ48" i="18"/>
  <c r="AW25" i="14" s="1"/>
  <c r="AZ61" i="18"/>
  <c r="AW30" i="14" s="1"/>
  <c r="AZ34" i="18"/>
  <c r="AW20" i="14" s="1"/>
  <c r="BX167" i="18"/>
  <c r="BA163" i="18"/>
  <c r="BA37" i="18" s="1"/>
  <c r="BB166" i="18"/>
  <c r="BB106" i="18"/>
  <c r="BC109" i="18"/>
  <c r="AY131" i="18"/>
  <c r="AY35" i="18" s="1"/>
  <c r="AZ134" i="18"/>
  <c r="BD11" i="14"/>
  <c r="AS23" i="14"/>
  <c r="AS12" i="14" s="1"/>
  <c r="AS10" i="14" s="1"/>
  <c r="AV8" i="18"/>
  <c r="BF176" i="18"/>
  <c r="BF49" i="18" s="1"/>
  <c r="BC26" i="14" s="1"/>
  <c r="BG179" i="18"/>
  <c r="AW42" i="18"/>
  <c r="AT24" i="14" s="1"/>
  <c r="AW39" i="18"/>
  <c r="BA51" i="18"/>
  <c r="AX27" i="14" s="1"/>
  <c r="BA31" i="18"/>
  <c r="BA28" i="18"/>
  <c r="BA27" i="18"/>
  <c r="AW15" i="14"/>
  <c r="BC137" i="18"/>
  <c r="BC36" i="18" s="1"/>
  <c r="AZ22" i="14" s="1"/>
  <c r="BD140" i="18"/>
  <c r="AZ153" i="18"/>
  <c r="AZ45" i="18" s="1"/>
  <c r="BA156" i="18"/>
  <c r="BC143" i="18"/>
  <c r="BC46" i="18" s="1"/>
  <c r="BD146" i="18"/>
  <c r="BB168" i="18"/>
  <c r="BC171" i="18"/>
  <c r="BZ172" i="18" s="1"/>
  <c r="BD148" i="18"/>
  <c r="BE151" i="18"/>
  <c r="BI96" i="18"/>
  <c r="BJ99" i="18"/>
  <c r="BA126" i="18"/>
  <c r="BB129" i="18"/>
  <c r="BR111" i="18"/>
  <c r="BS115" i="18"/>
  <c r="CD180" i="18" l="1"/>
  <c r="BW136" i="18"/>
  <c r="BZ185" i="18"/>
  <c r="CB152" i="18"/>
  <c r="BX105" i="18"/>
  <c r="BA101" i="18"/>
  <c r="BA29" i="18" s="1"/>
  <c r="AX18" i="14" s="1"/>
  <c r="BB104" i="18"/>
  <c r="BZ110" i="18"/>
  <c r="BV162" i="18"/>
  <c r="BY167" i="18"/>
  <c r="BY130" i="18"/>
  <c r="CA142" i="18"/>
  <c r="BD184" i="18"/>
  <c r="BC181" i="18"/>
  <c r="BC50" i="18" s="1"/>
  <c r="BE148" i="18"/>
  <c r="BF151" i="18"/>
  <c r="BJ96" i="18"/>
  <c r="BK99" i="18"/>
  <c r="BD43" i="18"/>
  <c r="BD44" i="18"/>
  <c r="BD38" i="18"/>
  <c r="BD40" i="18"/>
  <c r="BX157" i="18"/>
  <c r="BA153" i="18"/>
  <c r="BB156" i="18"/>
  <c r="BD137" i="18"/>
  <c r="BD36" i="18" s="1"/>
  <c r="BA22" i="14" s="1"/>
  <c r="BE140" i="18"/>
  <c r="AT23" i="14"/>
  <c r="AT12" i="14" s="1"/>
  <c r="AT10" i="14" s="1"/>
  <c r="AW8" i="18"/>
  <c r="BC106" i="18"/>
  <c r="BD109" i="18"/>
  <c r="AX42" i="18"/>
  <c r="AU24" i="14" s="1"/>
  <c r="AX39" i="18"/>
  <c r="BE11" i="14"/>
  <c r="BB126" i="18"/>
  <c r="BC129" i="18"/>
  <c r="BI15" i="18"/>
  <c r="BI23" i="18"/>
  <c r="BI24" i="18"/>
  <c r="BG176" i="18"/>
  <c r="BG49" i="18" s="1"/>
  <c r="BD26" i="14" s="1"/>
  <c r="BH179" i="18"/>
  <c r="CE180" i="18" s="1"/>
  <c r="CF180" i="18" s="1"/>
  <c r="CG180" i="18" s="1"/>
  <c r="CH180" i="18" s="1"/>
  <c r="CI180" i="18" s="1"/>
  <c r="CJ180" i="18" s="1"/>
  <c r="CK180" i="18" s="1"/>
  <c r="CL180" i="18" s="1"/>
  <c r="CM180" i="18" s="1"/>
  <c r="CN180" i="18" s="1"/>
  <c r="CO180" i="18" s="1"/>
  <c r="CP180" i="18" s="1"/>
  <c r="CQ180" i="18" s="1"/>
  <c r="CR180" i="18" s="1"/>
  <c r="CS180" i="18" s="1"/>
  <c r="CT180" i="18" s="1"/>
  <c r="CU180" i="18" s="1"/>
  <c r="CV180" i="18" s="1"/>
  <c r="CW180" i="18" s="1"/>
  <c r="CX180" i="18" s="1"/>
  <c r="CY180" i="18" s="1"/>
  <c r="CZ180" i="18" s="1"/>
  <c r="DA180" i="18" s="1"/>
  <c r="DB180" i="18" s="1"/>
  <c r="DC180" i="18" s="1"/>
  <c r="DD180" i="18" s="1"/>
  <c r="DE180" i="18" s="1"/>
  <c r="DF180" i="18" s="1"/>
  <c r="DG180" i="18" s="1"/>
  <c r="DH180" i="18" s="1"/>
  <c r="DI180" i="18" s="1"/>
  <c r="DJ180" i="18" s="1"/>
  <c r="DK180" i="18" s="1"/>
  <c r="DL180" i="18" s="1"/>
  <c r="DM180" i="18" s="1"/>
  <c r="DN180" i="18" s="1"/>
  <c r="DO180" i="18" s="1"/>
  <c r="DP180" i="18" s="1"/>
  <c r="DQ180" i="18" s="1"/>
  <c r="DR180" i="18" s="1"/>
  <c r="DS180" i="18" s="1"/>
  <c r="DT180" i="18" s="1"/>
  <c r="DU180" i="18" s="1"/>
  <c r="DV180" i="18" s="1"/>
  <c r="DW180" i="18" s="1"/>
  <c r="DX180" i="18" s="1"/>
  <c r="DY180" i="18" s="1"/>
  <c r="DZ180" i="18" s="1"/>
  <c r="EA180" i="18" s="1"/>
  <c r="EB180" i="18" s="1"/>
  <c r="EC180" i="18" s="1"/>
  <c r="ED180" i="18" s="1"/>
  <c r="EE180" i="18" s="1"/>
  <c r="EF180" i="18" s="1"/>
  <c r="EG180" i="18" s="1"/>
  <c r="EH180" i="18" s="1"/>
  <c r="EI180" i="18" s="1"/>
  <c r="F180" i="18" s="1"/>
  <c r="E180" i="18" s="1"/>
  <c r="AZ131" i="18"/>
  <c r="AZ35" i="18" s="1"/>
  <c r="BA134" i="18"/>
  <c r="BX136" i="18" s="1"/>
  <c r="BB51" i="18"/>
  <c r="AY27" i="14" s="1"/>
  <c r="BB27" i="18"/>
  <c r="BB28" i="18"/>
  <c r="BB31" i="18"/>
  <c r="BB163" i="18"/>
  <c r="BB37" i="18" s="1"/>
  <c r="BC166" i="18"/>
  <c r="AX15" i="14"/>
  <c r="BB26" i="18"/>
  <c r="AY16" i="14" s="1"/>
  <c r="BB25" i="18"/>
  <c r="BA61" i="18"/>
  <c r="AX30" i="14" s="1"/>
  <c r="BA34" i="18"/>
  <c r="AX20" i="14" s="1"/>
  <c r="BA33" i="18"/>
  <c r="AX19" i="14" s="1"/>
  <c r="BA48" i="18"/>
  <c r="AX25" i="14" s="1"/>
  <c r="BC168" i="18"/>
  <c r="BD171" i="18"/>
  <c r="CA172" i="18" s="1"/>
  <c r="BD143" i="18"/>
  <c r="BD46" i="18" s="1"/>
  <c r="BE146" i="18"/>
  <c r="AV21" i="14"/>
  <c r="BC121" i="18"/>
  <c r="BC30" i="18" s="1"/>
  <c r="BD124" i="18"/>
  <c r="AY158" i="18"/>
  <c r="AZ161" i="18"/>
  <c r="BW162" i="18" s="1"/>
  <c r="BS111" i="18"/>
  <c r="BT115" i="18"/>
  <c r="BY157" i="18" l="1"/>
  <c r="BZ157" i="18" s="1"/>
  <c r="CA157" i="18" s="1"/>
  <c r="CB157" i="18" s="1"/>
  <c r="CC157" i="18" s="1"/>
  <c r="CD157" i="18" s="1"/>
  <c r="CE157" i="18" s="1"/>
  <c r="CF157" i="18" s="1"/>
  <c r="CG157" i="18" s="1"/>
  <c r="CH157" i="18" s="1"/>
  <c r="CI157" i="18" s="1"/>
  <c r="CJ157" i="18" s="1"/>
  <c r="CK157" i="18" s="1"/>
  <c r="CL157" i="18" s="1"/>
  <c r="CM157" i="18" s="1"/>
  <c r="CN157" i="18" s="1"/>
  <c r="CO157" i="18" s="1"/>
  <c r="CP157" i="18" s="1"/>
  <c r="CQ157" i="18" s="1"/>
  <c r="CR157" i="18" s="1"/>
  <c r="CS157" i="18" s="1"/>
  <c r="CT157" i="18" s="1"/>
  <c r="CU157" i="18" s="1"/>
  <c r="CV157" i="18" s="1"/>
  <c r="CW157" i="18" s="1"/>
  <c r="CX157" i="18" s="1"/>
  <c r="CY157" i="18" s="1"/>
  <c r="CZ157" i="18" s="1"/>
  <c r="DA157" i="18" s="1"/>
  <c r="DB157" i="18" s="1"/>
  <c r="DC157" i="18" s="1"/>
  <c r="DD157" i="18" s="1"/>
  <c r="DE157" i="18" s="1"/>
  <c r="DF157" i="18" s="1"/>
  <c r="DG157" i="18" s="1"/>
  <c r="DH157" i="18" s="1"/>
  <c r="DI157" i="18" s="1"/>
  <c r="DJ157" i="18" s="1"/>
  <c r="DK157" i="18" s="1"/>
  <c r="DL157" i="18" s="1"/>
  <c r="DM157" i="18" s="1"/>
  <c r="DN157" i="18" s="1"/>
  <c r="DO157" i="18" s="1"/>
  <c r="DP157" i="18" s="1"/>
  <c r="DQ157" i="18" s="1"/>
  <c r="DR157" i="18" s="1"/>
  <c r="DS157" i="18" s="1"/>
  <c r="DT157" i="18" s="1"/>
  <c r="DU157" i="18" s="1"/>
  <c r="DV157" i="18" s="1"/>
  <c r="DW157" i="18" s="1"/>
  <c r="DX157" i="18" s="1"/>
  <c r="DY157" i="18" s="1"/>
  <c r="DZ157" i="18" s="1"/>
  <c r="EA157" i="18" s="1"/>
  <c r="EB157" i="18" s="1"/>
  <c r="EC157" i="18" s="1"/>
  <c r="ED157" i="18" s="1"/>
  <c r="EE157" i="18" s="1"/>
  <c r="EF157" i="18" s="1"/>
  <c r="EG157" i="18" s="1"/>
  <c r="EH157" i="18" s="1"/>
  <c r="EI157" i="18" s="1"/>
  <c r="F157" i="18" s="1"/>
  <c r="E157" i="18" s="1"/>
  <c r="CA185" i="18"/>
  <c r="CC152" i="18"/>
  <c r="BC104" i="18"/>
  <c r="BB101" i="18"/>
  <c r="BB29" i="18" s="1"/>
  <c r="BY105" i="18"/>
  <c r="CA110" i="18"/>
  <c r="BZ130" i="18"/>
  <c r="BZ167" i="18"/>
  <c r="CB142" i="18"/>
  <c r="BD181" i="18"/>
  <c r="BD50" i="18" s="1"/>
  <c r="BE184" i="18"/>
  <c r="AY18" i="14"/>
  <c r="BD121" i="18"/>
  <c r="BD30" i="18" s="1"/>
  <c r="BE124" i="18"/>
  <c r="BC26" i="18"/>
  <c r="AZ16" i="14" s="1"/>
  <c r="BC25" i="18"/>
  <c r="BC163" i="18"/>
  <c r="BC37" i="18" s="1"/>
  <c r="BD166" i="18"/>
  <c r="BA131" i="18"/>
  <c r="BA35" i="18" s="1"/>
  <c r="BB134" i="18"/>
  <c r="BY136" i="18" s="1"/>
  <c r="BH176" i="18"/>
  <c r="BH49" i="18" s="1"/>
  <c r="BE26" i="14" s="1"/>
  <c r="BI179" i="18"/>
  <c r="BC126" i="18"/>
  <c r="BD129" i="18"/>
  <c r="BE137" i="18"/>
  <c r="BE36" i="18" s="1"/>
  <c r="BB22" i="14" s="1"/>
  <c r="BF140" i="18"/>
  <c r="BA45" i="18"/>
  <c r="BJ15" i="18"/>
  <c r="BJ24" i="18"/>
  <c r="BG17" i="14" s="1"/>
  <c r="BJ23" i="18"/>
  <c r="AW21" i="14"/>
  <c r="BF17" i="14"/>
  <c r="BB34" i="18"/>
  <c r="AY20" i="14" s="1"/>
  <c r="BB48" i="18"/>
  <c r="AY25" i="14" s="1"/>
  <c r="BB61" i="18"/>
  <c r="AY30" i="14" s="1"/>
  <c r="BB33" i="18"/>
  <c r="AY19" i="14" s="1"/>
  <c r="AU23" i="14"/>
  <c r="AU12" i="14" s="1"/>
  <c r="AU10" i="14" s="1"/>
  <c r="AX8" i="18"/>
  <c r="BD106" i="18"/>
  <c r="BE109" i="18"/>
  <c r="AZ158" i="18"/>
  <c r="BA161" i="18"/>
  <c r="BX162" i="18" s="1"/>
  <c r="AY15" i="14"/>
  <c r="BC31" i="18"/>
  <c r="BC51" i="18"/>
  <c r="AZ27" i="14" s="1"/>
  <c r="BC27" i="18"/>
  <c r="BC28" i="18"/>
  <c r="BF148" i="18"/>
  <c r="BG151" i="18"/>
  <c r="AY39" i="18"/>
  <c r="AY42" i="18"/>
  <c r="AV24" i="14" s="1"/>
  <c r="BE143" i="18"/>
  <c r="BE46" i="18" s="1"/>
  <c r="BF146" i="18"/>
  <c r="BD168" i="18"/>
  <c r="BE171" i="18"/>
  <c r="CB172" i="18" s="1"/>
  <c r="CC172" i="18" s="1"/>
  <c r="CD172" i="18" s="1"/>
  <c r="CE172" i="18" s="1"/>
  <c r="CF172" i="18" s="1"/>
  <c r="CG172" i="18" s="1"/>
  <c r="CH172" i="18" s="1"/>
  <c r="CI172" i="18" s="1"/>
  <c r="CJ172" i="18" s="1"/>
  <c r="CK172" i="18" s="1"/>
  <c r="CL172" i="18" s="1"/>
  <c r="CM172" i="18" s="1"/>
  <c r="CN172" i="18" s="1"/>
  <c r="CO172" i="18" s="1"/>
  <c r="CP172" i="18" s="1"/>
  <c r="CQ172" i="18" s="1"/>
  <c r="CR172" i="18" s="1"/>
  <c r="CS172" i="18" s="1"/>
  <c r="CT172" i="18" s="1"/>
  <c r="CU172" i="18" s="1"/>
  <c r="CV172" i="18" s="1"/>
  <c r="CW172" i="18" s="1"/>
  <c r="CX172" i="18" s="1"/>
  <c r="CY172" i="18" s="1"/>
  <c r="CZ172" i="18" s="1"/>
  <c r="DA172" i="18" s="1"/>
  <c r="DB172" i="18" s="1"/>
  <c r="DC172" i="18" s="1"/>
  <c r="DD172" i="18" s="1"/>
  <c r="DE172" i="18" s="1"/>
  <c r="DF172" i="18" s="1"/>
  <c r="DG172" i="18" s="1"/>
  <c r="DH172" i="18" s="1"/>
  <c r="DI172" i="18" s="1"/>
  <c r="DJ172" i="18" s="1"/>
  <c r="DK172" i="18" s="1"/>
  <c r="DL172" i="18" s="1"/>
  <c r="DM172" i="18" s="1"/>
  <c r="DN172" i="18" s="1"/>
  <c r="DO172" i="18" s="1"/>
  <c r="DP172" i="18" s="1"/>
  <c r="DQ172" i="18" s="1"/>
  <c r="DR172" i="18" s="1"/>
  <c r="DS172" i="18" s="1"/>
  <c r="DT172" i="18" s="1"/>
  <c r="DU172" i="18" s="1"/>
  <c r="DV172" i="18" s="1"/>
  <c r="DW172" i="18" s="1"/>
  <c r="DX172" i="18" s="1"/>
  <c r="DY172" i="18" s="1"/>
  <c r="DZ172" i="18" s="1"/>
  <c r="EA172" i="18" s="1"/>
  <c r="EB172" i="18" s="1"/>
  <c r="EC172" i="18" s="1"/>
  <c r="ED172" i="18" s="1"/>
  <c r="EE172" i="18" s="1"/>
  <c r="EF172" i="18" s="1"/>
  <c r="EG172" i="18" s="1"/>
  <c r="EH172" i="18" s="1"/>
  <c r="EI172" i="18" s="1"/>
  <c r="F172" i="18" s="1"/>
  <c r="E172" i="18" s="1"/>
  <c r="BF11" i="14"/>
  <c r="BB153" i="18"/>
  <c r="BB45" i="18" s="1"/>
  <c r="BC156" i="18"/>
  <c r="BK96" i="18"/>
  <c r="BL99" i="18"/>
  <c r="BE38" i="18"/>
  <c r="BE43" i="18"/>
  <c r="BE44" i="18"/>
  <c r="BE40" i="18"/>
  <c r="BT111" i="18"/>
  <c r="BU115" i="18"/>
  <c r="CB110" i="18" l="1"/>
  <c r="CD152" i="18"/>
  <c r="CE152" i="18" s="1"/>
  <c r="CF152" i="18" s="1"/>
  <c r="CG152" i="18" s="1"/>
  <c r="CH152" i="18" s="1"/>
  <c r="CI152" i="18" s="1"/>
  <c r="CJ152" i="18" s="1"/>
  <c r="CK152" i="18" s="1"/>
  <c r="CL152" i="18" s="1"/>
  <c r="CM152" i="18" s="1"/>
  <c r="CN152" i="18" s="1"/>
  <c r="CO152" i="18" s="1"/>
  <c r="CP152" i="18" s="1"/>
  <c r="CQ152" i="18" s="1"/>
  <c r="CR152" i="18" s="1"/>
  <c r="CS152" i="18" s="1"/>
  <c r="CT152" i="18" s="1"/>
  <c r="CU152" i="18" s="1"/>
  <c r="CV152" i="18" s="1"/>
  <c r="CW152" i="18" s="1"/>
  <c r="CX152" i="18" s="1"/>
  <c r="CY152" i="18" s="1"/>
  <c r="CZ152" i="18" s="1"/>
  <c r="DA152" i="18" s="1"/>
  <c r="DB152" i="18" s="1"/>
  <c r="DC152" i="18" s="1"/>
  <c r="DD152" i="18" s="1"/>
  <c r="DE152" i="18" s="1"/>
  <c r="DF152" i="18" s="1"/>
  <c r="DG152" i="18" s="1"/>
  <c r="DH152" i="18" s="1"/>
  <c r="DI152" i="18" s="1"/>
  <c r="DJ152" i="18" s="1"/>
  <c r="DK152" i="18" s="1"/>
  <c r="DL152" i="18" s="1"/>
  <c r="DM152" i="18" s="1"/>
  <c r="DN152" i="18" s="1"/>
  <c r="DO152" i="18" s="1"/>
  <c r="DP152" i="18" s="1"/>
  <c r="DQ152" i="18" s="1"/>
  <c r="DR152" i="18" s="1"/>
  <c r="DS152" i="18" s="1"/>
  <c r="DT152" i="18" s="1"/>
  <c r="DU152" i="18" s="1"/>
  <c r="DV152" i="18" s="1"/>
  <c r="DW152" i="18" s="1"/>
  <c r="DX152" i="18" s="1"/>
  <c r="DY152" i="18" s="1"/>
  <c r="DZ152" i="18" s="1"/>
  <c r="EA152" i="18" s="1"/>
  <c r="EB152" i="18" s="1"/>
  <c r="EC152" i="18" s="1"/>
  <c r="ED152" i="18" s="1"/>
  <c r="EE152" i="18" s="1"/>
  <c r="EF152" i="18" s="1"/>
  <c r="EG152" i="18" s="1"/>
  <c r="EH152" i="18" s="1"/>
  <c r="EI152" i="18" s="1"/>
  <c r="F152" i="18" s="1"/>
  <c r="E152" i="18" s="1"/>
  <c r="BZ105" i="18"/>
  <c r="CB185" i="18"/>
  <c r="BC101" i="18"/>
  <c r="BC29" i="18" s="1"/>
  <c r="AZ18" i="14" s="1"/>
  <c r="BD104" i="18"/>
  <c r="CA167" i="18"/>
  <c r="CA130" i="18"/>
  <c r="CC142" i="18"/>
  <c r="BE181" i="18"/>
  <c r="BE50" i="18" s="1"/>
  <c r="BF184" i="18"/>
  <c r="BB131" i="18"/>
  <c r="BB35" i="18" s="1"/>
  <c r="AY21" i="14" s="1"/>
  <c r="BC134" i="18"/>
  <c r="BZ136" i="18" s="1"/>
  <c r="BE121" i="18"/>
  <c r="BF124" i="18"/>
  <c r="BK15" i="18"/>
  <c r="BK24" i="18"/>
  <c r="BH17" i="14" s="1"/>
  <c r="BK23" i="18"/>
  <c r="BE168" i="18"/>
  <c r="BF171" i="18"/>
  <c r="BF137" i="18"/>
  <c r="BG140" i="18"/>
  <c r="BC153" i="18"/>
  <c r="BC45" i="18" s="1"/>
  <c r="BD156" i="18"/>
  <c r="BD26" i="18"/>
  <c r="BA16" i="14" s="1"/>
  <c r="BD25" i="18"/>
  <c r="BG148" i="18"/>
  <c r="BH151" i="18"/>
  <c r="BE106" i="18"/>
  <c r="BF109" i="18"/>
  <c r="BG11" i="14"/>
  <c r="AX21" i="14"/>
  <c r="BD163" i="18"/>
  <c r="BD37" i="18" s="1"/>
  <c r="BE166" i="18"/>
  <c r="BF143" i="18"/>
  <c r="BF46" i="18" s="1"/>
  <c r="BG146" i="18"/>
  <c r="BF44" i="18"/>
  <c r="BF40" i="18"/>
  <c r="BF38" i="18"/>
  <c r="BF43" i="18"/>
  <c r="BA158" i="18"/>
  <c r="BB161" i="18"/>
  <c r="BY162" i="18" s="1"/>
  <c r="BD27" i="18"/>
  <c r="BD31" i="18"/>
  <c r="BD28" i="18"/>
  <c r="BD51" i="18"/>
  <c r="BA27" i="14" s="1"/>
  <c r="BD126" i="18"/>
  <c r="BE129" i="18"/>
  <c r="BL96" i="18"/>
  <c r="BM99" i="18"/>
  <c r="AV23" i="14"/>
  <c r="AV12" i="14" s="1"/>
  <c r="AV10" i="14" s="1"/>
  <c r="AY8" i="18"/>
  <c r="AZ39" i="18"/>
  <c r="AZ42" i="18"/>
  <c r="AW24" i="14" s="1"/>
  <c r="BC61" i="18"/>
  <c r="AZ30" i="14" s="1"/>
  <c r="BC33" i="18"/>
  <c r="AZ19" i="14" s="1"/>
  <c r="BC34" i="18"/>
  <c r="AZ20" i="14" s="1"/>
  <c r="BC48" i="18"/>
  <c r="AZ25" i="14" s="1"/>
  <c r="BI176" i="18"/>
  <c r="BI49" i="18" s="1"/>
  <c r="BF26" i="14" s="1"/>
  <c r="BJ179" i="18"/>
  <c r="AZ15" i="14"/>
  <c r="BU111" i="18"/>
  <c r="BV115" i="18"/>
  <c r="CC185" i="18" l="1"/>
  <c r="CA105" i="18"/>
  <c r="CC110" i="18"/>
  <c r="BD101" i="18"/>
  <c r="BD29" i="18" s="1"/>
  <c r="BA18" i="14" s="1"/>
  <c r="BE104" i="18"/>
  <c r="CB167" i="18"/>
  <c r="CD142" i="18"/>
  <c r="BF181" i="18"/>
  <c r="BF50" i="18" s="1"/>
  <c r="BG184" i="18"/>
  <c r="CD185" i="18" s="1"/>
  <c r="CB130" i="18"/>
  <c r="BE126" i="18"/>
  <c r="BF129" i="18"/>
  <c r="BA39" i="18"/>
  <c r="BA42" i="18"/>
  <c r="AX24" i="14" s="1"/>
  <c r="BG143" i="18"/>
  <c r="BG46" i="18" s="1"/>
  <c r="BH146" i="18"/>
  <c r="BG40" i="18"/>
  <c r="BG43" i="18"/>
  <c r="BG44" i="18"/>
  <c r="BG38" i="18"/>
  <c r="BG137" i="18"/>
  <c r="BG36" i="18" s="1"/>
  <c r="BD22" i="14" s="1"/>
  <c r="BH140" i="18"/>
  <c r="BE25" i="18"/>
  <c r="BE26" i="18"/>
  <c r="BB16" i="14" s="1"/>
  <c r="BH11" i="14"/>
  <c r="BD33" i="18"/>
  <c r="BA19" i="14" s="1"/>
  <c r="BD34" i="18"/>
  <c r="BA20" i="14" s="1"/>
  <c r="BD61" i="18"/>
  <c r="BA30" i="14" s="1"/>
  <c r="BD48" i="18"/>
  <c r="BA25" i="14" s="1"/>
  <c r="BE163" i="18"/>
  <c r="BE37" i="18" s="1"/>
  <c r="BF166" i="18"/>
  <c r="BA15" i="14"/>
  <c r="BF36" i="18"/>
  <c r="BC131" i="18"/>
  <c r="BC35" i="18" s="1"/>
  <c r="BD134" i="18"/>
  <c r="CA136" i="18" s="1"/>
  <c r="BM96" i="18"/>
  <c r="BN99" i="18"/>
  <c r="BF106" i="18"/>
  <c r="BG109" i="18"/>
  <c r="BF121" i="18"/>
  <c r="BF30" i="18" s="1"/>
  <c r="BG124" i="18"/>
  <c r="BJ176" i="18"/>
  <c r="BJ49" i="18" s="1"/>
  <c r="BG26" i="14" s="1"/>
  <c r="BK179" i="18"/>
  <c r="AW23" i="14"/>
  <c r="AW12" i="14" s="1"/>
  <c r="AW10" i="14" s="1"/>
  <c r="AZ8" i="18"/>
  <c r="BL24" i="18"/>
  <c r="BL15" i="18"/>
  <c r="BL23" i="18"/>
  <c r="BB158" i="18"/>
  <c r="BC161" i="18"/>
  <c r="BZ162" i="18" s="1"/>
  <c r="BE28" i="18"/>
  <c r="BE27" i="18"/>
  <c r="BE51" i="18"/>
  <c r="BB27" i="14" s="1"/>
  <c r="BE31" i="18"/>
  <c r="BH148" i="18"/>
  <c r="BI151" i="18"/>
  <c r="BD153" i="18"/>
  <c r="BE156" i="18"/>
  <c r="BF168" i="18"/>
  <c r="BG171" i="18"/>
  <c r="BE30" i="18"/>
  <c r="BV111" i="18"/>
  <c r="BW115" i="18"/>
  <c r="CB105" i="18" l="1"/>
  <c r="CD110" i="18"/>
  <c r="CE110" i="18" s="1"/>
  <c r="CF110" i="18" s="1"/>
  <c r="CG110" i="18" s="1"/>
  <c r="CH110" i="18" s="1"/>
  <c r="CI110" i="18" s="1"/>
  <c r="CJ110" i="18" s="1"/>
  <c r="CK110" i="18" s="1"/>
  <c r="CL110" i="18" s="1"/>
  <c r="CM110" i="18" s="1"/>
  <c r="CN110" i="18" s="1"/>
  <c r="CO110" i="18" s="1"/>
  <c r="CP110" i="18" s="1"/>
  <c r="CQ110" i="18" s="1"/>
  <c r="CR110" i="18" s="1"/>
  <c r="CS110" i="18" s="1"/>
  <c r="CT110" i="18" s="1"/>
  <c r="CU110" i="18" s="1"/>
  <c r="CV110" i="18" s="1"/>
  <c r="CW110" i="18" s="1"/>
  <c r="CX110" i="18" s="1"/>
  <c r="CY110" i="18" s="1"/>
  <c r="CZ110" i="18" s="1"/>
  <c r="DA110" i="18" s="1"/>
  <c r="DB110" i="18" s="1"/>
  <c r="DC110" i="18" s="1"/>
  <c r="DD110" i="18" s="1"/>
  <c r="DE110" i="18" s="1"/>
  <c r="DF110" i="18" s="1"/>
  <c r="DG110" i="18" s="1"/>
  <c r="DH110" i="18" s="1"/>
  <c r="DI110" i="18" s="1"/>
  <c r="DJ110" i="18" s="1"/>
  <c r="DK110" i="18" s="1"/>
  <c r="DL110" i="18" s="1"/>
  <c r="DM110" i="18" s="1"/>
  <c r="DN110" i="18" s="1"/>
  <c r="DO110" i="18" s="1"/>
  <c r="DP110" i="18" s="1"/>
  <c r="DQ110" i="18" s="1"/>
  <c r="DR110" i="18" s="1"/>
  <c r="DS110" i="18" s="1"/>
  <c r="DT110" i="18" s="1"/>
  <c r="DU110" i="18" s="1"/>
  <c r="DV110" i="18" s="1"/>
  <c r="DW110" i="18" s="1"/>
  <c r="DX110" i="18" s="1"/>
  <c r="DY110" i="18" s="1"/>
  <c r="DZ110" i="18" s="1"/>
  <c r="EA110" i="18" s="1"/>
  <c r="EB110" i="18" s="1"/>
  <c r="EC110" i="18" s="1"/>
  <c r="ED110" i="18" s="1"/>
  <c r="EE110" i="18" s="1"/>
  <c r="EF110" i="18" s="1"/>
  <c r="EG110" i="18" s="1"/>
  <c r="EH110" i="18" s="1"/>
  <c r="EI110" i="18" s="1"/>
  <c r="F110" i="18" s="1"/>
  <c r="E110" i="18" s="1"/>
  <c r="BF104" i="18"/>
  <c r="BE101" i="18"/>
  <c r="BE29" i="18" s="1"/>
  <c r="BB18" i="14" s="1"/>
  <c r="CC167" i="18"/>
  <c r="CE142" i="18"/>
  <c r="BH184" i="18"/>
  <c r="CE185" i="18" s="1"/>
  <c r="BG181" i="18"/>
  <c r="BG50" i="18" s="1"/>
  <c r="BG168" i="18"/>
  <c r="BH171" i="18"/>
  <c r="BC158" i="18"/>
  <c r="BD161" i="18"/>
  <c r="CA162" i="18" s="1"/>
  <c r="BC22" i="14"/>
  <c r="BF163" i="18"/>
  <c r="BF37" i="18" s="1"/>
  <c r="BG166" i="18"/>
  <c r="BE33" i="18"/>
  <c r="BB19" i="14" s="1"/>
  <c r="BE48" i="18"/>
  <c r="BB25" i="14" s="1"/>
  <c r="BE34" i="18"/>
  <c r="BB20" i="14" s="1"/>
  <c r="BE61" i="18"/>
  <c r="BB30" i="14" s="1"/>
  <c r="BF26" i="18"/>
  <c r="BC16" i="14" s="1"/>
  <c r="BF25" i="18"/>
  <c r="BE153" i="18"/>
  <c r="BE45" i="18" s="1"/>
  <c r="BF156" i="18"/>
  <c r="BI148" i="18"/>
  <c r="BJ151" i="18"/>
  <c r="BB39" i="18"/>
  <c r="BB42" i="18"/>
  <c r="AY24" i="14" s="1"/>
  <c r="BI11" i="14"/>
  <c r="BG121" i="18"/>
  <c r="BH124" i="18"/>
  <c r="BG106" i="18"/>
  <c r="BH109" i="18"/>
  <c r="BD131" i="18"/>
  <c r="BD35" i="18" s="1"/>
  <c r="BE134" i="18"/>
  <c r="CB136" i="18" s="1"/>
  <c r="BB15" i="14"/>
  <c r="AX23" i="14"/>
  <c r="AX12" i="14" s="1"/>
  <c r="AX10" i="14" s="1"/>
  <c r="BA8" i="18"/>
  <c r="BD45" i="18"/>
  <c r="BH43" i="18"/>
  <c r="BH44" i="18"/>
  <c r="BH38" i="18"/>
  <c r="BH40" i="18"/>
  <c r="BI17" i="14"/>
  <c r="BK176" i="18"/>
  <c r="BK49" i="18" s="1"/>
  <c r="BH26" i="14" s="1"/>
  <c r="BL179" i="18"/>
  <c r="BF27" i="18"/>
  <c r="BF31" i="18"/>
  <c r="BF51" i="18"/>
  <c r="BC27" i="14" s="1"/>
  <c r="BF28" i="18"/>
  <c r="BN96" i="18"/>
  <c r="BO99" i="18"/>
  <c r="AZ21" i="14"/>
  <c r="BH137" i="18"/>
  <c r="BI140" i="18"/>
  <c r="BH143" i="18"/>
  <c r="BH46" i="18" s="1"/>
  <c r="BI146" i="18"/>
  <c r="BM23" i="18"/>
  <c r="BM24" i="18"/>
  <c r="BJ17" i="14" s="1"/>
  <c r="BM15" i="18"/>
  <c r="CC130" i="18"/>
  <c r="BF126" i="18"/>
  <c r="BG129" i="18"/>
  <c r="BW111" i="18"/>
  <c r="BX115" i="18"/>
  <c r="CC105" i="18" l="1"/>
  <c r="CD105" i="18" s="1"/>
  <c r="CE105" i="18" s="1"/>
  <c r="CF105" i="18" s="1"/>
  <c r="CG105" i="18" s="1"/>
  <c r="CH105" i="18" s="1"/>
  <c r="CI105" i="18" s="1"/>
  <c r="CJ105" i="18" s="1"/>
  <c r="CK105" i="18" s="1"/>
  <c r="CL105" i="18" s="1"/>
  <c r="CM105" i="18" s="1"/>
  <c r="CN105" i="18" s="1"/>
  <c r="CO105" i="18" s="1"/>
  <c r="CP105" i="18" s="1"/>
  <c r="CQ105" i="18" s="1"/>
  <c r="CR105" i="18" s="1"/>
  <c r="CS105" i="18" s="1"/>
  <c r="CT105" i="18" s="1"/>
  <c r="CU105" i="18" s="1"/>
  <c r="CV105" i="18" s="1"/>
  <c r="CW105" i="18" s="1"/>
  <c r="CX105" i="18" s="1"/>
  <c r="CY105" i="18" s="1"/>
  <c r="CZ105" i="18" s="1"/>
  <c r="DA105" i="18" s="1"/>
  <c r="DB105" i="18" s="1"/>
  <c r="DC105" i="18" s="1"/>
  <c r="DD105" i="18" s="1"/>
  <c r="DE105" i="18" s="1"/>
  <c r="DF105" i="18" s="1"/>
  <c r="DG105" i="18" s="1"/>
  <c r="DH105" i="18" s="1"/>
  <c r="DI105" i="18" s="1"/>
  <c r="DJ105" i="18" s="1"/>
  <c r="DK105" i="18" s="1"/>
  <c r="DL105" i="18" s="1"/>
  <c r="DM105" i="18" s="1"/>
  <c r="DN105" i="18" s="1"/>
  <c r="DO105" i="18" s="1"/>
  <c r="DP105" i="18" s="1"/>
  <c r="DQ105" i="18" s="1"/>
  <c r="DR105" i="18" s="1"/>
  <c r="DS105" i="18" s="1"/>
  <c r="DT105" i="18" s="1"/>
  <c r="DU105" i="18" s="1"/>
  <c r="DV105" i="18" s="1"/>
  <c r="DW105" i="18" s="1"/>
  <c r="DX105" i="18" s="1"/>
  <c r="DY105" i="18" s="1"/>
  <c r="DZ105" i="18" s="1"/>
  <c r="EA105" i="18" s="1"/>
  <c r="EB105" i="18" s="1"/>
  <c r="EC105" i="18" s="1"/>
  <c r="ED105" i="18" s="1"/>
  <c r="EE105" i="18" s="1"/>
  <c r="EF105" i="18" s="1"/>
  <c r="EG105" i="18" s="1"/>
  <c r="EH105" i="18" s="1"/>
  <c r="EI105" i="18" s="1"/>
  <c r="F105" i="18" s="1"/>
  <c r="E105" i="18" s="1"/>
  <c r="BF101" i="18"/>
  <c r="BF29" i="18" s="1"/>
  <c r="BC18" i="14" s="1"/>
  <c r="BG104" i="18"/>
  <c r="CD167" i="18"/>
  <c r="CF142" i="18"/>
  <c r="BH181" i="18"/>
  <c r="BH50" i="18" s="1"/>
  <c r="BI184" i="18"/>
  <c r="CF185" i="18" s="1"/>
  <c r="CG185" i="18" s="1"/>
  <c r="CH185" i="18" s="1"/>
  <c r="CI185" i="18" s="1"/>
  <c r="CJ185" i="18" s="1"/>
  <c r="CK185" i="18" s="1"/>
  <c r="CL185" i="18" s="1"/>
  <c r="CM185" i="18" s="1"/>
  <c r="CN185" i="18" s="1"/>
  <c r="CO185" i="18" s="1"/>
  <c r="CP185" i="18" s="1"/>
  <c r="CQ185" i="18" s="1"/>
  <c r="CR185" i="18" s="1"/>
  <c r="CS185" i="18" s="1"/>
  <c r="CT185" i="18" s="1"/>
  <c r="CU185" i="18" s="1"/>
  <c r="CV185" i="18" s="1"/>
  <c r="CW185" i="18" s="1"/>
  <c r="CX185" i="18" s="1"/>
  <c r="CY185" i="18" s="1"/>
  <c r="CZ185" i="18" s="1"/>
  <c r="DA185" i="18" s="1"/>
  <c r="DB185" i="18" s="1"/>
  <c r="DC185" i="18" s="1"/>
  <c r="DD185" i="18" s="1"/>
  <c r="DE185" i="18" s="1"/>
  <c r="DF185" i="18" s="1"/>
  <c r="DG185" i="18" s="1"/>
  <c r="DH185" i="18" s="1"/>
  <c r="DI185" i="18" s="1"/>
  <c r="DJ185" i="18" s="1"/>
  <c r="DK185" i="18" s="1"/>
  <c r="DL185" i="18" s="1"/>
  <c r="DM185" i="18" s="1"/>
  <c r="DN185" i="18" s="1"/>
  <c r="DO185" i="18" s="1"/>
  <c r="DP185" i="18" s="1"/>
  <c r="DQ185" i="18" s="1"/>
  <c r="DR185" i="18" s="1"/>
  <c r="DS185" i="18" s="1"/>
  <c r="DT185" i="18" s="1"/>
  <c r="DU185" i="18" s="1"/>
  <c r="DV185" i="18" s="1"/>
  <c r="DW185" i="18" s="1"/>
  <c r="DX185" i="18" s="1"/>
  <c r="DY185" i="18" s="1"/>
  <c r="DZ185" i="18" s="1"/>
  <c r="EA185" i="18" s="1"/>
  <c r="EB185" i="18" s="1"/>
  <c r="EC185" i="18" s="1"/>
  <c r="ED185" i="18" s="1"/>
  <c r="EE185" i="18" s="1"/>
  <c r="EF185" i="18" s="1"/>
  <c r="EG185" i="18" s="1"/>
  <c r="EH185" i="18" s="1"/>
  <c r="EI185" i="18" s="1"/>
  <c r="F185" i="18" s="1"/>
  <c r="E185" i="18" s="1"/>
  <c r="BF48" i="18"/>
  <c r="BC25" i="14" s="1"/>
  <c r="BF34" i="18"/>
  <c r="BC20" i="14" s="1"/>
  <c r="BF33" i="18"/>
  <c r="BC19" i="14" s="1"/>
  <c r="BF61" i="18"/>
  <c r="BC30" i="14" s="1"/>
  <c r="BN15" i="18"/>
  <c r="BN24" i="18"/>
  <c r="BK17" i="14" s="1"/>
  <c r="BN23" i="18"/>
  <c r="BL176" i="18"/>
  <c r="BM179" i="18"/>
  <c r="BE131" i="18"/>
  <c r="BE35" i="18" s="1"/>
  <c r="BF134" i="18"/>
  <c r="CC136" i="18" s="1"/>
  <c r="BC15" i="14"/>
  <c r="BJ11" i="14"/>
  <c r="BA21" i="14"/>
  <c r="BH106" i="18"/>
  <c r="BI109" i="18"/>
  <c r="BH121" i="18"/>
  <c r="BH30" i="18" s="1"/>
  <c r="BI124" i="18"/>
  <c r="BD158" i="18"/>
  <c r="BE161" i="18"/>
  <c r="CB162" i="18" s="1"/>
  <c r="BI137" i="18"/>
  <c r="BI36" i="18" s="1"/>
  <c r="BF22" i="14" s="1"/>
  <c r="BJ140" i="18"/>
  <c r="BG51" i="18"/>
  <c r="BD27" i="14" s="1"/>
  <c r="BG28" i="18"/>
  <c r="BG31" i="18"/>
  <c r="BG27" i="18"/>
  <c r="BG30" i="18"/>
  <c r="AY23" i="14"/>
  <c r="AY12" i="14" s="1"/>
  <c r="AY10" i="14" s="1"/>
  <c r="BB8" i="18"/>
  <c r="BJ148" i="18"/>
  <c r="BK151" i="18"/>
  <c r="BF153" i="18"/>
  <c r="BG156" i="18"/>
  <c r="BC39" i="18"/>
  <c r="BC42" i="18"/>
  <c r="AZ24" i="14" s="1"/>
  <c r="BH168" i="18"/>
  <c r="BI171" i="18"/>
  <c r="CD130" i="18"/>
  <c r="BG126" i="18"/>
  <c r="BH129" i="18"/>
  <c r="BI143" i="18"/>
  <c r="BJ146" i="18"/>
  <c r="BH36" i="18"/>
  <c r="BO96" i="18"/>
  <c r="BP99" i="18"/>
  <c r="BI44" i="18"/>
  <c r="BI40" i="18"/>
  <c r="BI38" i="18"/>
  <c r="BI43" i="18"/>
  <c r="BG163" i="18"/>
  <c r="BG37" i="18" s="1"/>
  <c r="BH166" i="18"/>
  <c r="BG26" i="18"/>
  <c r="BD16" i="14" s="1"/>
  <c r="BG25" i="18"/>
  <c r="BX111" i="18"/>
  <c r="BY115" i="18"/>
  <c r="CE167" i="18" l="1"/>
  <c r="BG101" i="18"/>
  <c r="BG29" i="18" s="1"/>
  <c r="BH104" i="18"/>
  <c r="CE130" i="18"/>
  <c r="CG142" i="18"/>
  <c r="BJ184" i="18"/>
  <c r="BI181" i="18"/>
  <c r="BI50" i="18" s="1"/>
  <c r="BO15" i="18"/>
  <c r="BO23" i="18"/>
  <c r="BO24" i="18"/>
  <c r="BL17" i="14" s="1"/>
  <c r="BI46" i="18"/>
  <c r="BH126" i="18"/>
  <c r="BI129" i="18"/>
  <c r="BI168" i="18"/>
  <c r="BJ171" i="18"/>
  <c r="BK148" i="18"/>
  <c r="BL151" i="18"/>
  <c r="BI106" i="18"/>
  <c r="BJ109" i="18"/>
  <c r="BM176" i="18"/>
  <c r="BM49" i="18" s="1"/>
  <c r="BJ26" i="14" s="1"/>
  <c r="BN179" i="18"/>
  <c r="BK11" i="14"/>
  <c r="BD15" i="14"/>
  <c r="BG34" i="18"/>
  <c r="BD20" i="14" s="1"/>
  <c r="BG33" i="18"/>
  <c r="BD19" i="14" s="1"/>
  <c r="BG61" i="18"/>
  <c r="BD30" i="14" s="1"/>
  <c r="BG48" i="18"/>
  <c r="BD25" i="14" s="1"/>
  <c r="BH26" i="18"/>
  <c r="BE16" i="14" s="1"/>
  <c r="BH25" i="18"/>
  <c r="BG153" i="18"/>
  <c r="BG45" i="18" s="1"/>
  <c r="BH156" i="18"/>
  <c r="BJ44" i="18"/>
  <c r="BJ38" i="18"/>
  <c r="BJ40" i="18"/>
  <c r="BJ43" i="18"/>
  <c r="BI121" i="18"/>
  <c r="BJ124" i="18"/>
  <c r="BH28" i="18"/>
  <c r="BH27" i="18"/>
  <c r="BH31" i="18"/>
  <c r="BH51" i="18"/>
  <c r="BE27" i="14" s="1"/>
  <c r="BF131" i="18"/>
  <c r="BF35" i="18" s="1"/>
  <c r="BG134" i="18"/>
  <c r="CD136" i="18" s="1"/>
  <c r="BL49" i="18"/>
  <c r="BF45" i="18"/>
  <c r="BD18" i="14"/>
  <c r="BJ137" i="18"/>
  <c r="BK140" i="18"/>
  <c r="BE158" i="18"/>
  <c r="BF161" i="18"/>
  <c r="CC162" i="18" s="1"/>
  <c r="BB21" i="14"/>
  <c r="BE22" i="14"/>
  <c r="BH163" i="18"/>
  <c r="BH37" i="18" s="1"/>
  <c r="BI166" i="18"/>
  <c r="BP96" i="18"/>
  <c r="BQ99" i="18"/>
  <c r="BJ143" i="18"/>
  <c r="BJ46" i="18" s="1"/>
  <c r="BK146" i="18"/>
  <c r="AZ23" i="14"/>
  <c r="AZ12" i="14" s="1"/>
  <c r="AZ10" i="14" s="1"/>
  <c r="BC8" i="18"/>
  <c r="BD42" i="18"/>
  <c r="BA24" i="14" s="1"/>
  <c r="BD39" i="18"/>
  <c r="BY111" i="18"/>
  <c r="BZ115" i="18"/>
  <c r="CF167" i="18" l="1"/>
  <c r="BH101" i="18"/>
  <c r="BH29" i="18" s="1"/>
  <c r="BE18" i="14" s="1"/>
  <c r="BI104" i="18"/>
  <c r="CF130" i="18"/>
  <c r="CH142" i="18"/>
  <c r="BJ181" i="18"/>
  <c r="BJ50" i="18" s="1"/>
  <c r="BK184" i="18"/>
  <c r="BA23" i="14"/>
  <c r="BA12" i="14" s="1"/>
  <c r="BA10" i="14" s="1"/>
  <c r="BD8" i="18"/>
  <c r="BQ96" i="18"/>
  <c r="BR99" i="18"/>
  <c r="BK137" i="18"/>
  <c r="BK36" i="18" s="1"/>
  <c r="BH22" i="14" s="1"/>
  <c r="BL140" i="18"/>
  <c r="BC21" i="14"/>
  <c r="BJ121" i="18"/>
  <c r="BJ30" i="18" s="1"/>
  <c r="BK124" i="18"/>
  <c r="BL148" i="18"/>
  <c r="BM151" i="18"/>
  <c r="BI26" i="18"/>
  <c r="BF16" i="14" s="1"/>
  <c r="BI25" i="18"/>
  <c r="BL11" i="14"/>
  <c r="BP23" i="18"/>
  <c r="BP24" i="18"/>
  <c r="BM17" i="14" s="1"/>
  <c r="BP15" i="18"/>
  <c r="BJ36" i="18"/>
  <c r="BI30" i="18"/>
  <c r="BE15" i="14"/>
  <c r="BJ106" i="18"/>
  <c r="BK109" i="18"/>
  <c r="BK38" i="18"/>
  <c r="BK43" i="18"/>
  <c r="BK44" i="18"/>
  <c r="BK40" i="18"/>
  <c r="BK143" i="18"/>
  <c r="BK46" i="18" s="1"/>
  <c r="BL146" i="18"/>
  <c r="BF158" i="18"/>
  <c r="BG161" i="18"/>
  <c r="BN176" i="18"/>
  <c r="BO179" i="18"/>
  <c r="BI28" i="18"/>
  <c r="BI31" i="18"/>
  <c r="BI27" i="18"/>
  <c r="BI51" i="18"/>
  <c r="BF27" i="14" s="1"/>
  <c r="BI126" i="18"/>
  <c r="BJ129" i="18"/>
  <c r="BI163" i="18"/>
  <c r="BI37" i="18" s="1"/>
  <c r="BJ166" i="18"/>
  <c r="BE39" i="18"/>
  <c r="BE42" i="18"/>
  <c r="BB24" i="14" s="1"/>
  <c r="BI26" i="14"/>
  <c r="BG131" i="18"/>
  <c r="BG35" i="18" s="1"/>
  <c r="BD21" i="14" s="1"/>
  <c r="BH134" i="18"/>
  <c r="CE136" i="18" s="1"/>
  <c r="BH153" i="18"/>
  <c r="BI156" i="18"/>
  <c r="BJ168" i="18"/>
  <c r="BK171" i="18"/>
  <c r="BH48" i="18"/>
  <c r="BE25" i="14" s="1"/>
  <c r="BH61" i="18"/>
  <c r="BE30" i="14" s="1"/>
  <c r="BH34" i="18"/>
  <c r="BE20" i="14" s="1"/>
  <c r="BH33" i="18"/>
  <c r="BE19" i="14" s="1"/>
  <c r="BZ111" i="18"/>
  <c r="CA115" i="18"/>
  <c r="CG167" i="18" l="1"/>
  <c r="CH167" i="18" s="1"/>
  <c r="CI167" i="18" s="1"/>
  <c r="CJ167" i="18" s="1"/>
  <c r="CK167" i="18" s="1"/>
  <c r="CL167" i="18" s="1"/>
  <c r="CM167" i="18" s="1"/>
  <c r="CN167" i="18" s="1"/>
  <c r="CO167" i="18" s="1"/>
  <c r="CP167" i="18" s="1"/>
  <c r="CQ167" i="18" s="1"/>
  <c r="CR167" i="18" s="1"/>
  <c r="CS167" i="18" s="1"/>
  <c r="CT167" i="18" s="1"/>
  <c r="CU167" i="18" s="1"/>
  <c r="CV167" i="18" s="1"/>
  <c r="CW167" i="18" s="1"/>
  <c r="CX167" i="18" s="1"/>
  <c r="CY167" i="18" s="1"/>
  <c r="CZ167" i="18" s="1"/>
  <c r="DA167" i="18" s="1"/>
  <c r="DB167" i="18" s="1"/>
  <c r="DC167" i="18" s="1"/>
  <c r="DD167" i="18" s="1"/>
  <c r="DE167" i="18" s="1"/>
  <c r="DF167" i="18" s="1"/>
  <c r="DG167" i="18" s="1"/>
  <c r="DH167" i="18" s="1"/>
  <c r="DI167" i="18" s="1"/>
  <c r="DJ167" i="18" s="1"/>
  <c r="DK167" i="18" s="1"/>
  <c r="DL167" i="18" s="1"/>
  <c r="DM167" i="18" s="1"/>
  <c r="DN167" i="18" s="1"/>
  <c r="DO167" i="18" s="1"/>
  <c r="DP167" i="18" s="1"/>
  <c r="DQ167" i="18" s="1"/>
  <c r="DR167" i="18" s="1"/>
  <c r="DS167" i="18" s="1"/>
  <c r="DT167" i="18" s="1"/>
  <c r="DU167" i="18" s="1"/>
  <c r="DV167" i="18" s="1"/>
  <c r="DW167" i="18" s="1"/>
  <c r="DX167" i="18" s="1"/>
  <c r="DY167" i="18" s="1"/>
  <c r="DZ167" i="18" s="1"/>
  <c r="EA167" i="18" s="1"/>
  <c r="EB167" i="18" s="1"/>
  <c r="EC167" i="18" s="1"/>
  <c r="ED167" i="18" s="1"/>
  <c r="EE167" i="18" s="1"/>
  <c r="EF167" i="18" s="1"/>
  <c r="EG167" i="18" s="1"/>
  <c r="EH167" i="18" s="1"/>
  <c r="EI167" i="18" s="1"/>
  <c r="F167" i="18" s="1"/>
  <c r="E167" i="18" s="1"/>
  <c r="CG130" i="18"/>
  <c r="BI101" i="18"/>
  <c r="BI29" i="18" s="1"/>
  <c r="BF18" i="14" s="1"/>
  <c r="BJ104" i="18"/>
  <c r="CI142" i="18"/>
  <c r="BK181" i="18"/>
  <c r="BK50" i="18" s="1"/>
  <c r="BL184" i="18"/>
  <c r="BB23" i="14"/>
  <c r="BB12" i="14" s="1"/>
  <c r="BB10" i="14" s="1"/>
  <c r="BE8" i="18"/>
  <c r="BJ163" i="18"/>
  <c r="BJ37" i="18" s="1"/>
  <c r="BK166" i="18"/>
  <c r="BN49" i="18"/>
  <c r="CD162" i="18"/>
  <c r="BG158" i="18"/>
  <c r="BH161" i="18"/>
  <c r="BF15" i="14"/>
  <c r="BL40" i="18"/>
  <c r="BL43" i="18"/>
  <c r="BL44" i="18"/>
  <c r="BL38" i="18"/>
  <c r="BQ23" i="18"/>
  <c r="BQ15" i="18"/>
  <c r="BQ24" i="18"/>
  <c r="BN17" i="14" s="1"/>
  <c r="BK168" i="18"/>
  <c r="BL171" i="18"/>
  <c r="BF39" i="18"/>
  <c r="BF42" i="18"/>
  <c r="BC24" i="14" s="1"/>
  <c r="BL143" i="18"/>
  <c r="BL46" i="18" s="1"/>
  <c r="BM146" i="18"/>
  <c r="BK106" i="18"/>
  <c r="BL109" i="18"/>
  <c r="BG22" i="14"/>
  <c r="BL124" i="18"/>
  <c r="BK121" i="18"/>
  <c r="BJ25" i="18"/>
  <c r="BJ26" i="18"/>
  <c r="BG16" i="14" s="1"/>
  <c r="BI153" i="18"/>
  <c r="BI45" i="18" s="1"/>
  <c r="BJ156" i="18"/>
  <c r="BH131" i="18"/>
  <c r="BH35" i="18" s="1"/>
  <c r="BE21" i="14" s="1"/>
  <c r="BI134" i="18"/>
  <c r="CF136" i="18" s="1"/>
  <c r="BJ126" i="18"/>
  <c r="BK129" i="18"/>
  <c r="BJ31" i="18"/>
  <c r="BJ27" i="18"/>
  <c r="BJ51" i="18"/>
  <c r="BG27" i="14" s="1"/>
  <c r="BJ28" i="18"/>
  <c r="BM11" i="14"/>
  <c r="BH45" i="18"/>
  <c r="BI34" i="18"/>
  <c r="BF20" i="14" s="1"/>
  <c r="BI48" i="18"/>
  <c r="BF25" i="14" s="1"/>
  <c r="BI33" i="18"/>
  <c r="BF19" i="14" s="1"/>
  <c r="BI61" i="18"/>
  <c r="BF30" i="14" s="1"/>
  <c r="BO176" i="18"/>
  <c r="BO49" i="18" s="1"/>
  <c r="BL26" i="14" s="1"/>
  <c r="BP179" i="18"/>
  <c r="BM148" i="18"/>
  <c r="BN151" i="18"/>
  <c r="BL137" i="18"/>
  <c r="BM140" i="18"/>
  <c r="BR96" i="18"/>
  <c r="BS99" i="18"/>
  <c r="CA111" i="18"/>
  <c r="CB115" i="18"/>
  <c r="CE162" i="18" l="1"/>
  <c r="CH130" i="18"/>
  <c r="BK104" i="18"/>
  <c r="BJ101" i="18"/>
  <c r="BJ29" i="18" s="1"/>
  <c r="BG18" i="14" s="1"/>
  <c r="CJ142" i="18"/>
  <c r="BM184" i="18"/>
  <c r="BL181" i="18"/>
  <c r="BL50" i="18" s="1"/>
  <c r="BJ153" i="18"/>
  <c r="BJ45" i="18" s="1"/>
  <c r="BK156" i="18"/>
  <c r="BR23" i="18"/>
  <c r="BR24" i="18"/>
  <c r="BO17" i="14" s="1"/>
  <c r="BR15" i="18"/>
  <c r="BP176" i="18"/>
  <c r="BP49" i="18" s="1"/>
  <c r="BM26" i="14" s="1"/>
  <c r="BQ179" i="18"/>
  <c r="BL121" i="18"/>
  <c r="BL30" i="18" s="1"/>
  <c r="BM124" i="18"/>
  <c r="BK51" i="18"/>
  <c r="BH27" i="14" s="1"/>
  <c r="BK31" i="18"/>
  <c r="BK27" i="18"/>
  <c r="BK28" i="18"/>
  <c r="BN11" i="14"/>
  <c r="BH158" i="18"/>
  <c r="BI161" i="18"/>
  <c r="BK26" i="14"/>
  <c r="BL36" i="18"/>
  <c r="BM40" i="18"/>
  <c r="BM43" i="18"/>
  <c r="BM44" i="18"/>
  <c r="BM38" i="18"/>
  <c r="BK126" i="18"/>
  <c r="BL129" i="18"/>
  <c r="BM143" i="18"/>
  <c r="BN146" i="18"/>
  <c r="BM137" i="18"/>
  <c r="BM36" i="18" s="1"/>
  <c r="BJ22" i="14" s="1"/>
  <c r="BN140" i="18"/>
  <c r="BN148" i="18"/>
  <c r="BO151" i="18"/>
  <c r="BG15" i="14"/>
  <c r="BC23" i="14"/>
  <c r="BC12" i="14" s="1"/>
  <c r="BC10" i="14" s="1"/>
  <c r="BF8" i="18"/>
  <c r="BL168" i="18"/>
  <c r="BM171" i="18"/>
  <c r="BG42" i="18"/>
  <c r="BG39" i="18"/>
  <c r="BK163" i="18"/>
  <c r="BK37" i="18" s="1"/>
  <c r="BL166" i="18"/>
  <c r="BK25" i="18"/>
  <c r="BK26" i="18"/>
  <c r="BS96" i="18"/>
  <c r="BT99" i="18"/>
  <c r="BJ34" i="18"/>
  <c r="BG20" i="14" s="1"/>
  <c r="BJ48" i="18"/>
  <c r="BG25" i="14" s="1"/>
  <c r="BJ61" i="18"/>
  <c r="BG30" i="14" s="1"/>
  <c r="BJ33" i="18"/>
  <c r="BG19" i="14" s="1"/>
  <c r="BI131" i="18"/>
  <c r="BI35" i="18" s="1"/>
  <c r="BJ134" i="18"/>
  <c r="CG136" i="18" s="1"/>
  <c r="BK30" i="18"/>
  <c r="BL106" i="18"/>
  <c r="BM109" i="18"/>
  <c r="CB111" i="18"/>
  <c r="CC115" i="18"/>
  <c r="CF162" i="18" l="1"/>
  <c r="CG162" i="18" s="1"/>
  <c r="CH162" i="18" s="1"/>
  <c r="CI162" i="18" s="1"/>
  <c r="CJ162" i="18" s="1"/>
  <c r="CK162" i="18" s="1"/>
  <c r="CL162" i="18" s="1"/>
  <c r="CM162" i="18" s="1"/>
  <c r="CN162" i="18" s="1"/>
  <c r="CO162" i="18" s="1"/>
  <c r="CP162" i="18" s="1"/>
  <c r="CQ162" i="18" s="1"/>
  <c r="CR162" i="18" s="1"/>
  <c r="CS162" i="18" s="1"/>
  <c r="CT162" i="18" s="1"/>
  <c r="CU162" i="18" s="1"/>
  <c r="CV162" i="18" s="1"/>
  <c r="CW162" i="18" s="1"/>
  <c r="CX162" i="18" s="1"/>
  <c r="CY162" i="18" s="1"/>
  <c r="CZ162" i="18" s="1"/>
  <c r="DA162" i="18" s="1"/>
  <c r="DB162" i="18" s="1"/>
  <c r="DC162" i="18" s="1"/>
  <c r="DD162" i="18" s="1"/>
  <c r="DE162" i="18" s="1"/>
  <c r="DF162" i="18" s="1"/>
  <c r="DG162" i="18" s="1"/>
  <c r="DH162" i="18" s="1"/>
  <c r="DI162" i="18" s="1"/>
  <c r="DJ162" i="18" s="1"/>
  <c r="DK162" i="18" s="1"/>
  <c r="DL162" i="18" s="1"/>
  <c r="DM162" i="18" s="1"/>
  <c r="DN162" i="18" s="1"/>
  <c r="DO162" i="18" s="1"/>
  <c r="DP162" i="18" s="1"/>
  <c r="DQ162" i="18" s="1"/>
  <c r="DR162" i="18" s="1"/>
  <c r="DS162" i="18" s="1"/>
  <c r="DT162" i="18" s="1"/>
  <c r="DU162" i="18" s="1"/>
  <c r="DV162" i="18" s="1"/>
  <c r="DW162" i="18" s="1"/>
  <c r="DX162" i="18" s="1"/>
  <c r="DY162" i="18" s="1"/>
  <c r="DZ162" i="18" s="1"/>
  <c r="EA162" i="18" s="1"/>
  <c r="EB162" i="18" s="1"/>
  <c r="EC162" i="18" s="1"/>
  <c r="ED162" i="18" s="1"/>
  <c r="EE162" i="18" s="1"/>
  <c r="EF162" i="18" s="1"/>
  <c r="EG162" i="18" s="1"/>
  <c r="EH162" i="18" s="1"/>
  <c r="EI162" i="18" s="1"/>
  <c r="F162" i="18" s="1"/>
  <c r="E162" i="18" s="1"/>
  <c r="CI130" i="18"/>
  <c r="BL104" i="18"/>
  <c r="BK101" i="18"/>
  <c r="BK29" i="18" s="1"/>
  <c r="BH18" i="14" s="1"/>
  <c r="CK142" i="18"/>
  <c r="BM181" i="18"/>
  <c r="BM50" i="18" s="1"/>
  <c r="BN184" i="18"/>
  <c r="BL163" i="18"/>
  <c r="BM166" i="18"/>
  <c r="BD23" i="14"/>
  <c r="BG8" i="18"/>
  <c r="BL26" i="18"/>
  <c r="BI16" i="14" s="1"/>
  <c r="BL25" i="18"/>
  <c r="BN143" i="18"/>
  <c r="BN46" i="18" s="1"/>
  <c r="BO146" i="18"/>
  <c r="BL126" i="18"/>
  <c r="BM129" i="18"/>
  <c r="BI22" i="14"/>
  <c r="BQ176" i="18"/>
  <c r="BR179" i="18"/>
  <c r="BK153" i="18"/>
  <c r="BK45" i="18" s="1"/>
  <c r="BL156" i="18"/>
  <c r="BH16" i="14"/>
  <c r="BD24" i="14"/>
  <c r="BN137" i="18"/>
  <c r="BN36" i="18" s="1"/>
  <c r="BK22" i="14" s="1"/>
  <c r="BO140" i="18"/>
  <c r="BM46" i="18"/>
  <c r="BK61" i="18"/>
  <c r="BK34" i="18"/>
  <c r="BK48" i="18"/>
  <c r="BK33" i="18"/>
  <c r="BI158" i="18"/>
  <c r="BJ161" i="18"/>
  <c r="BM106" i="18"/>
  <c r="BN109" i="18"/>
  <c r="BJ131" i="18"/>
  <c r="BJ35" i="18" s="1"/>
  <c r="BG21" i="14" s="1"/>
  <c r="BK134" i="18"/>
  <c r="CH136" i="18" s="1"/>
  <c r="BT96" i="18"/>
  <c r="BU99" i="18"/>
  <c r="BH15" i="14"/>
  <c r="BO148" i="18"/>
  <c r="BP151" i="18"/>
  <c r="BH42" i="18"/>
  <c r="BE24" i="14" s="1"/>
  <c r="BH39" i="18"/>
  <c r="BN124" i="18"/>
  <c r="BM121" i="18"/>
  <c r="BM30" i="18" s="1"/>
  <c r="BO11" i="14"/>
  <c r="BL27" i="18"/>
  <c r="BL51" i="18"/>
  <c r="BI27" i="14" s="1"/>
  <c r="BL31" i="18"/>
  <c r="BL28" i="18"/>
  <c r="BF21" i="14"/>
  <c r="BS24" i="18"/>
  <c r="BP17" i="14" s="1"/>
  <c r="BS15" i="18"/>
  <c r="BS23" i="18"/>
  <c r="BM168" i="18"/>
  <c r="BN171" i="18"/>
  <c r="BN43" i="18"/>
  <c r="BN38" i="18"/>
  <c r="BN44" i="18"/>
  <c r="BN40" i="18"/>
  <c r="CC111" i="18"/>
  <c r="CD115" i="18"/>
  <c r="CJ130" i="18" l="1"/>
  <c r="CK130" i="18" s="1"/>
  <c r="CL130" i="18" s="1"/>
  <c r="CM130" i="18" s="1"/>
  <c r="CN130" i="18" s="1"/>
  <c r="CO130" i="18" s="1"/>
  <c r="CP130" i="18" s="1"/>
  <c r="CQ130" i="18" s="1"/>
  <c r="CR130" i="18" s="1"/>
  <c r="CS130" i="18" s="1"/>
  <c r="CT130" i="18" s="1"/>
  <c r="CU130" i="18" s="1"/>
  <c r="CV130" i="18" s="1"/>
  <c r="CW130" i="18" s="1"/>
  <c r="CX130" i="18" s="1"/>
  <c r="CY130" i="18" s="1"/>
  <c r="CZ130" i="18" s="1"/>
  <c r="DA130" i="18" s="1"/>
  <c r="DB130" i="18" s="1"/>
  <c r="DC130" i="18" s="1"/>
  <c r="DD130" i="18" s="1"/>
  <c r="DE130" i="18" s="1"/>
  <c r="DF130" i="18" s="1"/>
  <c r="DG130" i="18" s="1"/>
  <c r="DH130" i="18" s="1"/>
  <c r="DI130" i="18" s="1"/>
  <c r="DJ130" i="18" s="1"/>
  <c r="DK130" i="18" s="1"/>
  <c r="DL130" i="18" s="1"/>
  <c r="DM130" i="18" s="1"/>
  <c r="DN130" i="18" s="1"/>
  <c r="DO130" i="18" s="1"/>
  <c r="DP130" i="18" s="1"/>
  <c r="DQ130" i="18" s="1"/>
  <c r="DR130" i="18" s="1"/>
  <c r="DS130" i="18" s="1"/>
  <c r="DT130" i="18" s="1"/>
  <c r="DU130" i="18" s="1"/>
  <c r="DV130" i="18" s="1"/>
  <c r="DW130" i="18" s="1"/>
  <c r="DX130" i="18" s="1"/>
  <c r="DY130" i="18" s="1"/>
  <c r="DZ130" i="18" s="1"/>
  <c r="EA130" i="18" s="1"/>
  <c r="EB130" i="18" s="1"/>
  <c r="EC130" i="18" s="1"/>
  <c r="ED130" i="18" s="1"/>
  <c r="EE130" i="18" s="1"/>
  <c r="EF130" i="18" s="1"/>
  <c r="EG130" i="18" s="1"/>
  <c r="EH130" i="18" s="1"/>
  <c r="EI130" i="18" s="1"/>
  <c r="F130" i="18" s="1"/>
  <c r="E130" i="18" s="1"/>
  <c r="BL101" i="18"/>
  <c r="BL29" i="18" s="1"/>
  <c r="BI18" i="14" s="1"/>
  <c r="BM104" i="18"/>
  <c r="CL142" i="18"/>
  <c r="BN181" i="18"/>
  <c r="BN50" i="18" s="1"/>
  <c r="BO184" i="18"/>
  <c r="BN168" i="18"/>
  <c r="BO171" i="18"/>
  <c r="BP11" i="14"/>
  <c r="BN121" i="18"/>
  <c r="BN30" i="18" s="1"/>
  <c r="BO124" i="18"/>
  <c r="BU96" i="18"/>
  <c r="BV99" i="18"/>
  <c r="BM27" i="18"/>
  <c r="BM28" i="18"/>
  <c r="BM51" i="18"/>
  <c r="BJ27" i="14" s="1"/>
  <c r="BM31" i="18"/>
  <c r="BI42" i="18"/>
  <c r="BF24" i="14" s="1"/>
  <c r="BI39" i="18"/>
  <c r="BH20" i="14"/>
  <c r="BO137" i="18"/>
  <c r="BO36" i="18" s="1"/>
  <c r="BL22" i="14" s="1"/>
  <c r="BP140" i="18"/>
  <c r="BL153" i="18"/>
  <c r="BL45" i="18" s="1"/>
  <c r="BM156" i="18"/>
  <c r="BQ49" i="18"/>
  <c r="BM126" i="18"/>
  <c r="BN129" i="18"/>
  <c r="BD12" i="14"/>
  <c r="BD10" i="14" s="1"/>
  <c r="BM26" i="18"/>
  <c r="BM25" i="18"/>
  <c r="BE23" i="14"/>
  <c r="BE12" i="14" s="1"/>
  <c r="BE10" i="14" s="1"/>
  <c r="BH8" i="18"/>
  <c r="BT23" i="18"/>
  <c r="BT15" i="18"/>
  <c r="BT24" i="18"/>
  <c r="BQ17" i="14" s="1"/>
  <c r="BK131" i="18"/>
  <c r="BK35" i="18" s="1"/>
  <c r="BL134" i="18"/>
  <c r="CI136" i="18" s="1"/>
  <c r="BH30" i="14"/>
  <c r="BL34" i="18"/>
  <c r="BI20" i="14" s="1"/>
  <c r="BL33" i="18"/>
  <c r="BI19" i="14" s="1"/>
  <c r="BL61" i="18"/>
  <c r="BI30" i="14" s="1"/>
  <c r="BL48" i="18"/>
  <c r="BI25" i="14" s="1"/>
  <c r="BI15" i="14"/>
  <c r="BP148" i="18"/>
  <c r="BQ151" i="18"/>
  <c r="BH19" i="14"/>
  <c r="BM163" i="18"/>
  <c r="BM37" i="18" s="1"/>
  <c r="BN166" i="18"/>
  <c r="BO43" i="18"/>
  <c r="BO38" i="18"/>
  <c r="BO44" i="18"/>
  <c r="BO40" i="18"/>
  <c r="BN106" i="18"/>
  <c r="BO109" i="18"/>
  <c r="BJ158" i="18"/>
  <c r="BK161" i="18"/>
  <c r="BH25" i="14"/>
  <c r="BR176" i="18"/>
  <c r="BR49" i="18" s="1"/>
  <c r="BO26" i="14" s="1"/>
  <c r="BS179" i="18"/>
  <c r="BO143" i="18"/>
  <c r="BP146" i="18"/>
  <c r="BL37" i="18"/>
  <c r="CD111" i="18"/>
  <c r="CE115" i="18"/>
  <c r="BM101" i="18" l="1"/>
  <c r="BM29" i="18" s="1"/>
  <c r="BJ18" i="14" s="1"/>
  <c r="BN104" i="18"/>
  <c r="CM142" i="18"/>
  <c r="BO181" i="18"/>
  <c r="BO50" i="18" s="1"/>
  <c r="BP184" i="18"/>
  <c r="BP143" i="18"/>
  <c r="BP46" i="18" s="1"/>
  <c r="BQ146" i="18"/>
  <c r="BK158" i="18"/>
  <c r="BL161" i="18"/>
  <c r="BN163" i="18"/>
  <c r="BO166" i="18"/>
  <c r="BQ11" i="14"/>
  <c r="BJ16" i="14"/>
  <c r="BM61" i="18"/>
  <c r="BJ30" i="14" s="1"/>
  <c r="BM34" i="18"/>
  <c r="BJ20" i="14" s="1"/>
  <c r="BM48" i="18"/>
  <c r="BM33" i="18"/>
  <c r="BV96" i="18"/>
  <c r="BW99" i="18"/>
  <c r="BO168" i="18"/>
  <c r="BP171" i="18"/>
  <c r="BO46" i="18"/>
  <c r="BS176" i="18"/>
  <c r="BS49" i="18" s="1"/>
  <c r="BP26" i="14" s="1"/>
  <c r="BT179" i="18"/>
  <c r="BJ39" i="18"/>
  <c r="BJ42" i="18"/>
  <c r="BL131" i="18"/>
  <c r="BM134" i="18"/>
  <c r="CJ136" i="18" s="1"/>
  <c r="BP137" i="18"/>
  <c r="BP36" i="18" s="1"/>
  <c r="BM22" i="14" s="1"/>
  <c r="BQ140" i="18"/>
  <c r="BU24" i="18"/>
  <c r="BR17" i="14" s="1"/>
  <c r="BU15" i="18"/>
  <c r="BU23" i="18"/>
  <c r="BN25" i="18"/>
  <c r="BN26" i="18"/>
  <c r="BK16" i="14" s="1"/>
  <c r="BO106" i="18"/>
  <c r="BP109" i="18"/>
  <c r="BQ148" i="18"/>
  <c r="BR151" i="18"/>
  <c r="BH21" i="14"/>
  <c r="BN26" i="14"/>
  <c r="BF23" i="14"/>
  <c r="BF12" i="14" s="1"/>
  <c r="BF10" i="14" s="1"/>
  <c r="BI8" i="18"/>
  <c r="BO121" i="18"/>
  <c r="BO30" i="18" s="1"/>
  <c r="BP124" i="18"/>
  <c r="BN51" i="18"/>
  <c r="BK27" i="14" s="1"/>
  <c r="BN28" i="18"/>
  <c r="BN31" i="18"/>
  <c r="BN27" i="18"/>
  <c r="BP40" i="18"/>
  <c r="BP43" i="18"/>
  <c r="BP44" i="18"/>
  <c r="BP38" i="18"/>
  <c r="BJ15" i="14"/>
  <c r="BN126" i="18"/>
  <c r="BO129" i="18"/>
  <c r="BM153" i="18"/>
  <c r="BM45" i="18" s="1"/>
  <c r="BN156" i="18"/>
  <c r="CE111" i="18"/>
  <c r="CF115" i="18"/>
  <c r="BN101" i="18" l="1"/>
  <c r="BN29" i="18" s="1"/>
  <c r="BK18" i="14" s="1"/>
  <c r="BO104" i="18"/>
  <c r="CN142" i="18"/>
  <c r="BQ184" i="18"/>
  <c r="BP181" i="18"/>
  <c r="BP50" i="18" s="1"/>
  <c r="BO126" i="18"/>
  <c r="BP129" i="18"/>
  <c r="BQ44" i="18"/>
  <c r="BQ40" i="18"/>
  <c r="BQ38" i="18"/>
  <c r="BQ43" i="18"/>
  <c r="BK15" i="14"/>
  <c r="BM131" i="18"/>
  <c r="BM35" i="18" s="1"/>
  <c r="BN134" i="18"/>
  <c r="CK136" i="18" s="1"/>
  <c r="BG23" i="14"/>
  <c r="BJ8" i="18"/>
  <c r="BV15" i="18"/>
  <c r="BV24" i="18"/>
  <c r="BS17" i="14" s="1"/>
  <c r="BV23" i="18"/>
  <c r="BN37" i="18"/>
  <c r="BL158" i="18"/>
  <c r="BM161" i="18"/>
  <c r="BP106" i="18"/>
  <c r="BQ109" i="18"/>
  <c r="BQ137" i="18"/>
  <c r="BQ36" i="18" s="1"/>
  <c r="BN22" i="14" s="1"/>
  <c r="BR140" i="18"/>
  <c r="BL35" i="18"/>
  <c r="BT176" i="18"/>
  <c r="BT49" i="18" s="1"/>
  <c r="BU179" i="18"/>
  <c r="BP168" i="18"/>
  <c r="BQ171" i="18"/>
  <c r="BK42" i="18"/>
  <c r="BH24" i="14" s="1"/>
  <c r="BK39" i="18"/>
  <c r="BN153" i="18"/>
  <c r="BN45" i="18" s="1"/>
  <c r="BO156" i="18"/>
  <c r="BP121" i="18"/>
  <c r="BP30" i="18" s="1"/>
  <c r="BQ124" i="18"/>
  <c r="BO27" i="18"/>
  <c r="BO51" i="18"/>
  <c r="BL27" i="14" s="1"/>
  <c r="BO31" i="18"/>
  <c r="BO28" i="18"/>
  <c r="BR11" i="14"/>
  <c r="BO26" i="18"/>
  <c r="BL16" i="14" s="1"/>
  <c r="BO25" i="18"/>
  <c r="BJ19" i="14"/>
  <c r="BQ143" i="18"/>
  <c r="BQ46" i="18" s="1"/>
  <c r="BR146" i="18"/>
  <c r="BN33" i="18"/>
  <c r="BK19" i="14" s="1"/>
  <c r="BN48" i="18"/>
  <c r="BK25" i="14" s="1"/>
  <c r="BN34" i="18"/>
  <c r="BN61" i="18"/>
  <c r="BK30" i="14" s="1"/>
  <c r="BR148" i="18"/>
  <c r="BS151" i="18"/>
  <c r="BG24" i="14"/>
  <c r="BW96" i="18"/>
  <c r="BX99" i="18"/>
  <c r="BJ25" i="14"/>
  <c r="BO163" i="18"/>
  <c r="BO37" i="18" s="1"/>
  <c r="BP166" i="18"/>
  <c r="CF111" i="18"/>
  <c r="CG115" i="18"/>
  <c r="BO101" i="18" l="1"/>
  <c r="BO29" i="18" s="1"/>
  <c r="BL18" i="14" s="1"/>
  <c r="BP104" i="18"/>
  <c r="CO142" i="18"/>
  <c r="BQ181" i="18"/>
  <c r="BQ50" i="18" s="1"/>
  <c r="BR184" i="18"/>
  <c r="BL15" i="14"/>
  <c r="BU176" i="18"/>
  <c r="BU49" i="18" s="1"/>
  <c r="BR26" i="14" s="1"/>
  <c r="BV179" i="18"/>
  <c r="BR137" i="18"/>
  <c r="BR36" i="18" s="1"/>
  <c r="BO22" i="14" s="1"/>
  <c r="BS140" i="18"/>
  <c r="BS11" i="14"/>
  <c r="BO61" i="18"/>
  <c r="BL30" i="14" s="1"/>
  <c r="BO34" i="18"/>
  <c r="BL20" i="14" s="1"/>
  <c r="BO33" i="18"/>
  <c r="BO48" i="18"/>
  <c r="BS148" i="18"/>
  <c r="BT151" i="18"/>
  <c r="BR143" i="18"/>
  <c r="BR46" i="18" s="1"/>
  <c r="BS146" i="18"/>
  <c r="BO153" i="18"/>
  <c r="BO45" i="18" s="1"/>
  <c r="BP156" i="18"/>
  <c r="BQ26" i="14"/>
  <c r="BN131" i="18"/>
  <c r="BO134" i="18"/>
  <c r="CL136" i="18" s="1"/>
  <c r="BP163" i="18"/>
  <c r="BP37" i="18" s="1"/>
  <c r="BQ166" i="18"/>
  <c r="BX96" i="18"/>
  <c r="BY99" i="18"/>
  <c r="BR38" i="18"/>
  <c r="BR40" i="18"/>
  <c r="BR43" i="18"/>
  <c r="BR44" i="18"/>
  <c r="BK20" i="14"/>
  <c r="BQ168" i="18"/>
  <c r="BR171" i="18"/>
  <c r="BQ106" i="18"/>
  <c r="BR109" i="18"/>
  <c r="BM158" i="18"/>
  <c r="BN161" i="18"/>
  <c r="BG12" i="14"/>
  <c r="BG10" i="14" s="1"/>
  <c r="BJ21" i="14"/>
  <c r="BW15" i="18"/>
  <c r="BW24" i="18"/>
  <c r="BT17" i="14" s="1"/>
  <c r="BW23" i="18"/>
  <c r="BQ121" i="18"/>
  <c r="BQ30" i="18" s="1"/>
  <c r="BR124" i="18"/>
  <c r="BH23" i="14"/>
  <c r="BH12" i="14" s="1"/>
  <c r="BH10" i="14" s="1"/>
  <c r="BK8" i="18"/>
  <c r="BP26" i="18"/>
  <c r="BM16" i="14" s="1"/>
  <c r="BP25" i="18"/>
  <c r="BI21" i="14"/>
  <c r="BP27" i="18"/>
  <c r="BP28" i="18"/>
  <c r="BP51" i="18"/>
  <c r="BM27" i="14" s="1"/>
  <c r="BP31" i="18"/>
  <c r="BL42" i="18"/>
  <c r="BL39" i="18"/>
  <c r="BI23" i="14" s="1"/>
  <c r="BP126" i="18"/>
  <c r="BQ129" i="18"/>
  <c r="CG111" i="18"/>
  <c r="CH115" i="18"/>
  <c r="BP101" i="18" l="1"/>
  <c r="BP29" i="18" s="1"/>
  <c r="BM18" i="14" s="1"/>
  <c r="BQ104" i="18"/>
  <c r="CP142" i="18"/>
  <c r="BL8" i="18"/>
  <c r="BR181" i="18"/>
  <c r="BR50" i="18" s="1"/>
  <c r="BS184" i="18"/>
  <c r="BT11" i="14"/>
  <c r="BR106" i="18"/>
  <c r="BS109" i="18"/>
  <c r="BQ25" i="18"/>
  <c r="BQ26" i="18"/>
  <c r="BN16" i="14" s="1"/>
  <c r="BY96" i="18"/>
  <c r="BZ99" i="18"/>
  <c r="BL19" i="14"/>
  <c r="BV176" i="18"/>
  <c r="BV49" i="18" s="1"/>
  <c r="BW179" i="18"/>
  <c r="BQ126" i="18"/>
  <c r="BR129" i="18"/>
  <c r="BQ51" i="18"/>
  <c r="BN27" i="14" s="1"/>
  <c r="BQ27" i="18"/>
  <c r="BQ31" i="18"/>
  <c r="BQ28" i="18"/>
  <c r="BX15" i="18"/>
  <c r="BX24" i="18"/>
  <c r="BU17" i="14" s="1"/>
  <c r="BX23" i="18"/>
  <c r="BO131" i="18"/>
  <c r="BO35" i="18" s="1"/>
  <c r="BL21" i="14" s="1"/>
  <c r="BP134" i="18"/>
  <c r="CM136" i="18" s="1"/>
  <c r="BT148" i="18"/>
  <c r="BU151" i="18"/>
  <c r="BP61" i="18"/>
  <c r="BP34" i="18"/>
  <c r="BP33" i="18"/>
  <c r="BM19" i="14" s="1"/>
  <c r="BP48" i="18"/>
  <c r="BM25" i="14" s="1"/>
  <c r="BI24" i="14"/>
  <c r="BI12" i="14" s="1"/>
  <c r="BM15" i="14"/>
  <c r="BR121" i="18"/>
  <c r="BR30" i="18" s="1"/>
  <c r="BS124" i="18"/>
  <c r="BN158" i="18"/>
  <c r="BO161" i="18"/>
  <c r="BQ163" i="18"/>
  <c r="BQ37" i="18" s="1"/>
  <c r="BR166" i="18"/>
  <c r="BN35" i="18"/>
  <c r="BS44" i="18"/>
  <c r="BS38" i="18"/>
  <c r="BS40" i="18"/>
  <c r="BS43" i="18"/>
  <c r="BS137" i="18"/>
  <c r="BS36" i="18" s="1"/>
  <c r="BP22" i="14" s="1"/>
  <c r="BT140" i="18"/>
  <c r="BM39" i="18"/>
  <c r="BM42" i="18"/>
  <c r="BJ24" i="14" s="1"/>
  <c r="BR168" i="18"/>
  <c r="BS171" i="18"/>
  <c r="BP153" i="18"/>
  <c r="BP45" i="18" s="1"/>
  <c r="BQ156" i="18"/>
  <c r="BS143" i="18"/>
  <c r="BS46" i="18" s="1"/>
  <c r="BT146" i="18"/>
  <c r="BL25" i="14"/>
  <c r="CH111" i="18"/>
  <c r="CI115" i="18"/>
  <c r="BQ101" i="18" l="1"/>
  <c r="BQ29" i="18" s="1"/>
  <c r="BN18" i="14" s="1"/>
  <c r="BR104" i="18"/>
  <c r="CQ142" i="18"/>
  <c r="BS181" i="18"/>
  <c r="BS50" i="18" s="1"/>
  <c r="BT184" i="18"/>
  <c r="BI10" i="14"/>
  <c r="BT143" i="18"/>
  <c r="BT46" i="18" s="1"/>
  <c r="BU146" i="18"/>
  <c r="BR25" i="18"/>
  <c r="BR26" i="18"/>
  <c r="BO16" i="14" s="1"/>
  <c r="BK21" i="14"/>
  <c r="BO158" i="18"/>
  <c r="BP161" i="18"/>
  <c r="BM30" i="14"/>
  <c r="BU148" i="18"/>
  <c r="BV151" i="18"/>
  <c r="BY23" i="18"/>
  <c r="BY15" i="18"/>
  <c r="BY24" i="18"/>
  <c r="BV17" i="14" s="1"/>
  <c r="BS106" i="18"/>
  <c r="BT109" i="18"/>
  <c r="BT137" i="18"/>
  <c r="BT36" i="18" s="1"/>
  <c r="BQ22" i="14" s="1"/>
  <c r="BU140" i="18"/>
  <c r="BN42" i="18"/>
  <c r="BK24" i="14" s="1"/>
  <c r="BN39" i="18"/>
  <c r="BK23" i="14" s="1"/>
  <c r="BT40" i="18"/>
  <c r="BT43" i="18"/>
  <c r="BT44" i="18"/>
  <c r="BT38" i="18"/>
  <c r="BW176" i="18"/>
  <c r="BW49" i="18" s="1"/>
  <c r="BT26" i="14" s="1"/>
  <c r="BX179" i="18"/>
  <c r="BR27" i="18"/>
  <c r="BR51" i="18"/>
  <c r="BO27" i="14" s="1"/>
  <c r="BR31" i="18"/>
  <c r="BR28" i="18"/>
  <c r="BQ153" i="18"/>
  <c r="BQ45" i="18" s="1"/>
  <c r="BR156" i="18"/>
  <c r="BJ23" i="14"/>
  <c r="BJ12" i="14" s="1"/>
  <c r="BJ10" i="14" s="1"/>
  <c r="BM8" i="18"/>
  <c r="BR163" i="18"/>
  <c r="BR37" i="18" s="1"/>
  <c r="BS166" i="18"/>
  <c r="BS121" i="18"/>
  <c r="BS30" i="18" s="1"/>
  <c r="BT124" i="18"/>
  <c r="BP131" i="18"/>
  <c r="BQ134" i="18"/>
  <c r="CN136" i="18" s="1"/>
  <c r="BU11" i="14"/>
  <c r="BR126" i="18"/>
  <c r="BS129" i="18"/>
  <c r="BS26" i="14"/>
  <c r="BS168" i="18"/>
  <c r="BT171" i="18"/>
  <c r="BM20" i="14"/>
  <c r="BQ61" i="18"/>
  <c r="BN30" i="14" s="1"/>
  <c r="BQ48" i="18"/>
  <c r="BQ33" i="18"/>
  <c r="BN19" i="14" s="1"/>
  <c r="BQ34" i="18"/>
  <c r="BN20" i="14" s="1"/>
  <c r="BZ96" i="18"/>
  <c r="CA99" i="18"/>
  <c r="BN15" i="14"/>
  <c r="CI111" i="18"/>
  <c r="CJ115" i="18"/>
  <c r="BS104" i="18" l="1"/>
  <c r="BR101" i="18"/>
  <c r="BR29" i="18" s="1"/>
  <c r="BO18" i="14" s="1"/>
  <c r="CR142" i="18"/>
  <c r="BT181" i="18"/>
  <c r="BT50" i="18" s="1"/>
  <c r="BU184" i="18"/>
  <c r="BS28" i="18"/>
  <c r="BS31" i="18"/>
  <c r="BS51" i="18"/>
  <c r="BP27" i="14" s="1"/>
  <c r="BS27" i="18"/>
  <c r="BU143" i="18"/>
  <c r="BU46" i="18" s="1"/>
  <c r="BV146" i="18"/>
  <c r="CA96" i="18"/>
  <c r="CB99" i="18"/>
  <c r="BU137" i="18"/>
  <c r="BU36" i="18" s="1"/>
  <c r="BR22" i="14" s="1"/>
  <c r="BV140" i="18"/>
  <c r="BV148" i="18"/>
  <c r="BW151" i="18"/>
  <c r="BP158" i="18"/>
  <c r="BQ161" i="18"/>
  <c r="BK12" i="14"/>
  <c r="BK10" i="14" s="1"/>
  <c r="BN25" i="14"/>
  <c r="BT168" i="18"/>
  <c r="BU171" i="18"/>
  <c r="BS126" i="18"/>
  <c r="BT129" i="18"/>
  <c r="BQ131" i="18"/>
  <c r="BQ35" i="18" s="1"/>
  <c r="BN21" i="14" s="1"/>
  <c r="BR134" i="18"/>
  <c r="CO136" i="18" s="1"/>
  <c r="BT121" i="18"/>
  <c r="BT30" i="18" s="1"/>
  <c r="BU124" i="18"/>
  <c r="BS163" i="18"/>
  <c r="BS37" i="18" s="1"/>
  <c r="BT166" i="18"/>
  <c r="BR153" i="18"/>
  <c r="BR45" i="18" s="1"/>
  <c r="BS156" i="18"/>
  <c r="BV11" i="14"/>
  <c r="BU38" i="18"/>
  <c r="BU44" i="18"/>
  <c r="BU40" i="18"/>
  <c r="BU43" i="18"/>
  <c r="BO39" i="18"/>
  <c r="BO42" i="18"/>
  <c r="BL24" i="14" s="1"/>
  <c r="BZ23" i="18"/>
  <c r="BZ15" i="18"/>
  <c r="BZ24" i="18"/>
  <c r="BW17" i="14" s="1"/>
  <c r="BS25" i="18"/>
  <c r="BS26" i="18"/>
  <c r="BP16" i="14" s="1"/>
  <c r="BR61" i="18"/>
  <c r="BO30" i="14" s="1"/>
  <c r="BR48" i="18"/>
  <c r="BO25" i="14" s="1"/>
  <c r="BR34" i="18"/>
  <c r="BO20" i="14" s="1"/>
  <c r="BR33" i="18"/>
  <c r="BO19" i="14" s="1"/>
  <c r="BP35" i="18"/>
  <c r="BX176" i="18"/>
  <c r="BX49" i="18" s="1"/>
  <c r="BU26" i="14" s="1"/>
  <c r="BY179" i="18"/>
  <c r="BT106" i="18"/>
  <c r="BU109" i="18"/>
  <c r="BN8" i="18"/>
  <c r="BO15" i="14"/>
  <c r="CJ111" i="18"/>
  <c r="CK115" i="18"/>
  <c r="BS101" i="18" l="1"/>
  <c r="BS29" i="18" s="1"/>
  <c r="BP18" i="14" s="1"/>
  <c r="BT104" i="18"/>
  <c r="CS142" i="18"/>
  <c r="BU181" i="18"/>
  <c r="BU50" i="18" s="1"/>
  <c r="BV184" i="18"/>
  <c r="BW11" i="14"/>
  <c r="BL23" i="14"/>
  <c r="BL12" i="14" s="1"/>
  <c r="BO8" i="18"/>
  <c r="BS153" i="18"/>
  <c r="BS45" i="18" s="1"/>
  <c r="BT156" i="18"/>
  <c r="BU121" i="18"/>
  <c r="BU30" i="18" s="1"/>
  <c r="BV124" i="18"/>
  <c r="BS48" i="18"/>
  <c r="BP25" i="14" s="1"/>
  <c r="BS61" i="18"/>
  <c r="BP30" i="14" s="1"/>
  <c r="BS34" i="18"/>
  <c r="BP20" i="14" s="1"/>
  <c r="BS33" i="18"/>
  <c r="BP19" i="14" s="1"/>
  <c r="BP39" i="18"/>
  <c r="BM23" i="14" s="1"/>
  <c r="BP42" i="18"/>
  <c r="BM24" i="14" s="1"/>
  <c r="CA23" i="18"/>
  <c r="CA15" i="18"/>
  <c r="CA24" i="18"/>
  <c r="BX17" i="14" s="1"/>
  <c r="BU106" i="18"/>
  <c r="BV109" i="18"/>
  <c r="BM21" i="14"/>
  <c r="BR131" i="18"/>
  <c r="BS134" i="18"/>
  <c r="CP136" i="18" s="1"/>
  <c r="BU168" i="18"/>
  <c r="BV171" i="18"/>
  <c r="BW148" i="18"/>
  <c r="BX151" i="18"/>
  <c r="BV143" i="18"/>
  <c r="BV46" i="18" s="1"/>
  <c r="BW146" i="18"/>
  <c r="BT31" i="18"/>
  <c r="BT27" i="18"/>
  <c r="BT51" i="18"/>
  <c r="BQ27" i="14" s="1"/>
  <c r="BT28" i="18"/>
  <c r="BT163" i="18"/>
  <c r="BT37" i="18" s="1"/>
  <c r="BU166" i="18"/>
  <c r="BT25" i="18"/>
  <c r="BT26" i="18"/>
  <c r="BQ16" i="14" s="1"/>
  <c r="BV43" i="18"/>
  <c r="BV38" i="18"/>
  <c r="BV44" i="18"/>
  <c r="BV40" i="18"/>
  <c r="BY176" i="18"/>
  <c r="BY49" i="18" s="1"/>
  <c r="BV26" i="14" s="1"/>
  <c r="BZ179" i="18"/>
  <c r="BP15" i="14"/>
  <c r="BT126" i="18"/>
  <c r="BU129" i="18"/>
  <c r="BQ158" i="18"/>
  <c r="BR161" i="18"/>
  <c r="BV137" i="18"/>
  <c r="BV36" i="18" s="1"/>
  <c r="BS22" i="14" s="1"/>
  <c r="BW140" i="18"/>
  <c r="CB96" i="18"/>
  <c r="CC99" i="18"/>
  <c r="CK111" i="18"/>
  <c r="CL115" i="18"/>
  <c r="BT101" i="18" l="1"/>
  <c r="BT29" i="18" s="1"/>
  <c r="BQ18" i="14" s="1"/>
  <c r="BU104" i="18"/>
  <c r="CT142" i="18"/>
  <c r="BP8" i="18"/>
  <c r="BV181" i="18"/>
  <c r="BV50" i="18" s="1"/>
  <c r="BW184" i="18"/>
  <c r="BU126" i="18"/>
  <c r="BV129" i="18"/>
  <c r="BU26" i="18"/>
  <c r="BR16" i="14" s="1"/>
  <c r="BU25" i="18"/>
  <c r="BT153" i="18"/>
  <c r="BT45" i="18" s="1"/>
  <c r="BU156" i="18"/>
  <c r="BZ176" i="18"/>
  <c r="BZ49" i="18" s="1"/>
  <c r="BW26" i="14" s="1"/>
  <c r="CA179" i="18"/>
  <c r="BW143" i="18"/>
  <c r="BW46" i="18" s="1"/>
  <c r="BX146" i="18"/>
  <c r="BX148" i="18"/>
  <c r="BY151" i="18"/>
  <c r="BS131" i="18"/>
  <c r="BS35" i="18" s="1"/>
  <c r="BT134" i="18"/>
  <c r="CQ136" i="18" s="1"/>
  <c r="BM12" i="14"/>
  <c r="BM10" i="14" s="1"/>
  <c r="CC96" i="18"/>
  <c r="CD99" i="18"/>
  <c r="BT48" i="18"/>
  <c r="BQ25" i="14" s="1"/>
  <c r="BT61" i="18"/>
  <c r="BQ30" i="14" s="1"/>
  <c r="BT34" i="18"/>
  <c r="BQ20" i="14" s="1"/>
  <c r="BT33" i="18"/>
  <c r="BQ19" i="14" s="1"/>
  <c r="CB23" i="18"/>
  <c r="CB24" i="18"/>
  <c r="BY17" i="14" s="1"/>
  <c r="CB15" i="18"/>
  <c r="BQ39" i="18"/>
  <c r="BQ42" i="18"/>
  <c r="BN24" i="14" s="1"/>
  <c r="BU163" i="18"/>
  <c r="BU37" i="18" s="1"/>
  <c r="BV166" i="18"/>
  <c r="BW43" i="18"/>
  <c r="BW44" i="18"/>
  <c r="BW38" i="18"/>
  <c r="BW40" i="18"/>
  <c r="BR35" i="18"/>
  <c r="BV106" i="18"/>
  <c r="BW109" i="18"/>
  <c r="BX11" i="14"/>
  <c r="BV121" i="18"/>
  <c r="BV30" i="18" s="1"/>
  <c r="BW124" i="18"/>
  <c r="BR158" i="18"/>
  <c r="BS161" i="18"/>
  <c r="BW137" i="18"/>
  <c r="BW36" i="18" s="1"/>
  <c r="BT22" i="14" s="1"/>
  <c r="BX140" i="18"/>
  <c r="BQ15" i="14"/>
  <c r="BV168" i="18"/>
  <c r="BW171" i="18"/>
  <c r="BU28" i="18"/>
  <c r="BU27" i="18"/>
  <c r="BU51" i="18"/>
  <c r="BR27" i="14" s="1"/>
  <c r="BU31" i="18"/>
  <c r="BL10" i="14"/>
  <c r="CL111" i="18"/>
  <c r="CM115" i="18"/>
  <c r="BU101" i="18" l="1"/>
  <c r="BU29" i="18" s="1"/>
  <c r="BR18" i="14" s="1"/>
  <c r="BV104" i="18"/>
  <c r="CU142" i="18"/>
  <c r="BW181" i="18"/>
  <c r="BW50" i="18" s="1"/>
  <c r="BX184" i="18"/>
  <c r="BX137" i="18"/>
  <c r="BX36" i="18" s="1"/>
  <c r="BU22" i="14" s="1"/>
  <c r="BY140" i="18"/>
  <c r="BW106" i="18"/>
  <c r="BX109" i="18"/>
  <c r="BN23" i="14"/>
  <c r="BN12" i="14" s="1"/>
  <c r="BQ8" i="18"/>
  <c r="CD96" i="18"/>
  <c r="CE99" i="18"/>
  <c r="BT131" i="18"/>
  <c r="BU134" i="18"/>
  <c r="CR136" i="18" s="1"/>
  <c r="BX143" i="18"/>
  <c r="BX46" i="18" s="1"/>
  <c r="BY146" i="18"/>
  <c r="BU153" i="18"/>
  <c r="BU45" i="18" s="1"/>
  <c r="BV156" i="18"/>
  <c r="BV126" i="18"/>
  <c r="BW129" i="18"/>
  <c r="BW121" i="18"/>
  <c r="BW30" i="18" s="1"/>
  <c r="BX124" i="18"/>
  <c r="BV51" i="18"/>
  <c r="BS27" i="14" s="1"/>
  <c r="BV31" i="18"/>
  <c r="BV28" i="18"/>
  <c r="BV27" i="18"/>
  <c r="BV163" i="18"/>
  <c r="BV37" i="18" s="1"/>
  <c r="BW166" i="18"/>
  <c r="BY11" i="14"/>
  <c r="CC24" i="18"/>
  <c r="BZ17" i="14" s="1"/>
  <c r="CC23" i="18"/>
  <c r="CC15" i="18"/>
  <c r="BP21" i="14"/>
  <c r="BU33" i="18"/>
  <c r="BR19" i="14" s="1"/>
  <c r="BU34" i="18"/>
  <c r="BR20" i="14" s="1"/>
  <c r="BU61" i="18"/>
  <c r="BR30" i="14" s="1"/>
  <c r="BU48" i="18"/>
  <c r="BR25" i="14" s="1"/>
  <c r="BS158" i="18"/>
  <c r="BT161" i="18"/>
  <c r="BY148" i="18"/>
  <c r="BZ151" i="18"/>
  <c r="CA176" i="18"/>
  <c r="CA49" i="18" s="1"/>
  <c r="BX26" i="14" s="1"/>
  <c r="CB179" i="18"/>
  <c r="BR15" i="14"/>
  <c r="BW168" i="18"/>
  <c r="BX171" i="18"/>
  <c r="BV25" i="18"/>
  <c r="BV26" i="18"/>
  <c r="BS16" i="14" s="1"/>
  <c r="BR39" i="18"/>
  <c r="BO23" i="14" s="1"/>
  <c r="BR42" i="18"/>
  <c r="BO24" i="14" s="1"/>
  <c r="BO21" i="14"/>
  <c r="BX40" i="18"/>
  <c r="BX43" i="18"/>
  <c r="BX44" i="18"/>
  <c r="BX38" i="18"/>
  <c r="CM111" i="18"/>
  <c r="CN115" i="18"/>
  <c r="BV101" i="18" l="1"/>
  <c r="BV29" i="18" s="1"/>
  <c r="BS18" i="14" s="1"/>
  <c r="BW104" i="18"/>
  <c r="CV142" i="18"/>
  <c r="BX181" i="18"/>
  <c r="BX50" i="18" s="1"/>
  <c r="BY184" i="18"/>
  <c r="BS15" i="14"/>
  <c r="BT158" i="18"/>
  <c r="BU161" i="18"/>
  <c r="BZ11" i="14"/>
  <c r="BX121" i="18"/>
  <c r="BX30" i="18" s="1"/>
  <c r="BY124" i="18"/>
  <c r="BW126" i="18"/>
  <c r="BX129" i="18"/>
  <c r="BY143" i="18"/>
  <c r="BY46" i="18" s="1"/>
  <c r="BZ146" i="18"/>
  <c r="CE96" i="18"/>
  <c r="CF99" i="18"/>
  <c r="BX106" i="18"/>
  <c r="BY109" i="18"/>
  <c r="BO12" i="14"/>
  <c r="BO10" i="14" s="1"/>
  <c r="BW25" i="18"/>
  <c r="BW26" i="18"/>
  <c r="BT16" i="14" s="1"/>
  <c r="BZ148" i="18"/>
  <c r="CA151" i="18"/>
  <c r="BS39" i="18"/>
  <c r="BS42" i="18"/>
  <c r="BP24" i="14" s="1"/>
  <c r="BW163" i="18"/>
  <c r="BW37" i="18" s="1"/>
  <c r="BX166" i="18"/>
  <c r="BV34" i="18"/>
  <c r="BS20" i="14" s="1"/>
  <c r="BV33" i="18"/>
  <c r="BS19" i="14" s="1"/>
  <c r="BV48" i="18"/>
  <c r="BS25" i="14" s="1"/>
  <c r="BV61" i="18"/>
  <c r="BS30" i="14" s="1"/>
  <c r="CD23" i="18"/>
  <c r="CD15" i="18"/>
  <c r="CD24" i="18"/>
  <c r="CA17" i="14" s="1"/>
  <c r="BW28" i="18"/>
  <c r="BW27" i="18"/>
  <c r="BW51" i="18"/>
  <c r="BT27" i="14" s="1"/>
  <c r="BW31" i="18"/>
  <c r="BY44" i="18"/>
  <c r="BY40" i="18"/>
  <c r="BY38" i="18"/>
  <c r="BY43" i="18"/>
  <c r="BV153" i="18"/>
  <c r="BV45" i="18" s="1"/>
  <c r="BW156" i="18"/>
  <c r="BU131" i="18"/>
  <c r="BU35" i="18" s="1"/>
  <c r="BR21" i="14" s="1"/>
  <c r="BV134" i="18"/>
  <c r="CS136" i="18" s="1"/>
  <c r="BY137" i="18"/>
  <c r="BY36" i="18" s="1"/>
  <c r="BV22" i="14" s="1"/>
  <c r="BZ140" i="18"/>
  <c r="BR8" i="18"/>
  <c r="BX168" i="18"/>
  <c r="BY171" i="18"/>
  <c r="CB176" i="18"/>
  <c r="CB49" i="18" s="1"/>
  <c r="BY26" i="14" s="1"/>
  <c r="CC179" i="18"/>
  <c r="BT35" i="18"/>
  <c r="BN10" i="14"/>
  <c r="CN111" i="18"/>
  <c r="CO115" i="18"/>
  <c r="CW142" i="18" l="1"/>
  <c r="BW101" i="18"/>
  <c r="BW29" i="18" s="1"/>
  <c r="BX104" i="18"/>
  <c r="BX101" i="18" s="1"/>
  <c r="BX29" i="18" s="1"/>
  <c r="BY181" i="18"/>
  <c r="BY50" i="18" s="1"/>
  <c r="BZ184" i="18"/>
  <c r="BZ38" i="18"/>
  <c r="BZ40" i="18"/>
  <c r="BZ43" i="18"/>
  <c r="BZ44" i="18"/>
  <c r="BY106" i="18"/>
  <c r="BZ109" i="18"/>
  <c r="BZ143" i="18"/>
  <c r="BZ46" i="18" s="1"/>
  <c r="CA146" i="18"/>
  <c r="BY121" i="18"/>
  <c r="BY30" i="18" s="1"/>
  <c r="BZ124" i="18"/>
  <c r="BU158" i="18"/>
  <c r="BV161" i="18"/>
  <c r="CC176" i="18"/>
  <c r="CC49" i="18" s="1"/>
  <c r="BZ26" i="14" s="1"/>
  <c r="CD179" i="18"/>
  <c r="BV131" i="18"/>
  <c r="BV35" i="18" s="1"/>
  <c r="BS21" i="14" s="1"/>
  <c r="BW134" i="18"/>
  <c r="CT136" i="18" s="1"/>
  <c r="CA11" i="14"/>
  <c r="BT15" i="14"/>
  <c r="BX27" i="18"/>
  <c r="BX28" i="18"/>
  <c r="BX51" i="18"/>
  <c r="BU27" i="14" s="1"/>
  <c r="BX31" i="18"/>
  <c r="BT39" i="18"/>
  <c r="BQ23" i="14" s="1"/>
  <c r="BT42" i="18"/>
  <c r="BQ24" i="14" s="1"/>
  <c r="BX25" i="18"/>
  <c r="BX26" i="18"/>
  <c r="BU16" i="14" s="1"/>
  <c r="BZ137" i="18"/>
  <c r="BZ36" i="18" s="1"/>
  <c r="BW22" i="14" s="1"/>
  <c r="CA140" i="18"/>
  <c r="CX142" i="18" s="1"/>
  <c r="BT18" i="14"/>
  <c r="BP23" i="14"/>
  <c r="BP12" i="14" s="1"/>
  <c r="BS8" i="18"/>
  <c r="CF96" i="18"/>
  <c r="CG99" i="18"/>
  <c r="BX126" i="18"/>
  <c r="BY129" i="18"/>
  <c r="BQ21" i="14"/>
  <c r="BY168" i="18"/>
  <c r="BZ171" i="18"/>
  <c r="BW153" i="18"/>
  <c r="BW45" i="18" s="1"/>
  <c r="BX156" i="18"/>
  <c r="BX163" i="18"/>
  <c r="BX37" i="18" s="1"/>
  <c r="BY166" i="18"/>
  <c r="CA148" i="18"/>
  <c r="CB151" i="18"/>
  <c r="CE24" i="18"/>
  <c r="CB17" i="14" s="1"/>
  <c r="CE23" i="18"/>
  <c r="CE15" i="18"/>
  <c r="BW61" i="18"/>
  <c r="BT30" i="14" s="1"/>
  <c r="BW48" i="18"/>
  <c r="BT25" i="14" s="1"/>
  <c r="BW33" i="18"/>
  <c r="BT19" i="14" s="1"/>
  <c r="BW34" i="18"/>
  <c r="BT20" i="14" s="1"/>
  <c r="CO111" i="18"/>
  <c r="CP115" i="18"/>
  <c r="BY104" i="18" l="1"/>
  <c r="BT8" i="18"/>
  <c r="BZ181" i="18"/>
  <c r="BZ50" i="18" s="1"/>
  <c r="CA184" i="18"/>
  <c r="CB148" i="18"/>
  <c r="CC151" i="18"/>
  <c r="BX153" i="18"/>
  <c r="BX45" i="18" s="1"/>
  <c r="BY156" i="18"/>
  <c r="CF15" i="18"/>
  <c r="CF24" i="18"/>
  <c r="CC17" i="14" s="1"/>
  <c r="CF23" i="18"/>
  <c r="BP10" i="14"/>
  <c r="BU18" i="14"/>
  <c r="BW131" i="18"/>
  <c r="BW35" i="18" s="1"/>
  <c r="BT21" i="14" s="1"/>
  <c r="BX134" i="18"/>
  <c r="CU136" i="18" s="1"/>
  <c r="BU42" i="18"/>
  <c r="BR24" i="14" s="1"/>
  <c r="BU39" i="18"/>
  <c r="CB11" i="14"/>
  <c r="CA38" i="18"/>
  <c r="CA44" i="18"/>
  <c r="CA40" i="18"/>
  <c r="CA43" i="18"/>
  <c r="BY126" i="18"/>
  <c r="BZ129" i="18"/>
  <c r="BZ121" i="18"/>
  <c r="BZ30" i="18" s="1"/>
  <c r="CA124" i="18"/>
  <c r="BZ106" i="18"/>
  <c r="CA109" i="18"/>
  <c r="BY163" i="18"/>
  <c r="BY37" i="18" s="1"/>
  <c r="BZ166" i="18"/>
  <c r="BZ168" i="18"/>
  <c r="CA171" i="18"/>
  <c r="BX48" i="18"/>
  <c r="BU25" i="14" s="1"/>
  <c r="BX34" i="18"/>
  <c r="BU20" i="14" s="1"/>
  <c r="BX33" i="18"/>
  <c r="BU19" i="14" s="1"/>
  <c r="BX61" i="18"/>
  <c r="BU30" i="14" s="1"/>
  <c r="BU15" i="14"/>
  <c r="CD176" i="18"/>
  <c r="CD49" i="18" s="1"/>
  <c r="CA26" i="14" s="1"/>
  <c r="CE179" i="18"/>
  <c r="BY31" i="18"/>
  <c r="BY27" i="18"/>
  <c r="BY28" i="18"/>
  <c r="BY51" i="18"/>
  <c r="BV27" i="14" s="1"/>
  <c r="BY25" i="18"/>
  <c r="BY26" i="18"/>
  <c r="BV16" i="14" s="1"/>
  <c r="BQ12" i="14"/>
  <c r="BQ10" i="14" s="1"/>
  <c r="CG96" i="18"/>
  <c r="CH99" i="18"/>
  <c r="CA137" i="18"/>
  <c r="CA36" i="18" s="1"/>
  <c r="BX22" i="14" s="1"/>
  <c r="CB140" i="18"/>
  <c r="CY142" i="18" s="1"/>
  <c r="BV158" i="18"/>
  <c r="BW161" i="18"/>
  <c r="CA143" i="18"/>
  <c r="CA46" i="18" s="1"/>
  <c r="CB146" i="18"/>
  <c r="CP111" i="18"/>
  <c r="CQ115" i="18"/>
  <c r="BY101" i="18" l="1"/>
  <c r="BY29" i="18" s="1"/>
  <c r="BV18" i="14" s="1"/>
  <c r="BZ104" i="18"/>
  <c r="CA181" i="18"/>
  <c r="CA50" i="18" s="1"/>
  <c r="CB184" i="18"/>
  <c r="BZ163" i="18"/>
  <c r="BZ37" i="18" s="1"/>
  <c r="CA166" i="18"/>
  <c r="CA121" i="18"/>
  <c r="CA30" i="18" s="1"/>
  <c r="CB124" i="18"/>
  <c r="BX131" i="18"/>
  <c r="BX35" i="18" s="1"/>
  <c r="BY134" i="18"/>
  <c r="CV136" i="18" s="1"/>
  <c r="BY153" i="18"/>
  <c r="BY45" i="18" s="1"/>
  <c r="BZ156" i="18"/>
  <c r="CH96" i="18"/>
  <c r="CI99" i="18"/>
  <c r="CE176" i="18"/>
  <c r="CE49" i="18" s="1"/>
  <c r="CB26" i="14" s="1"/>
  <c r="CF179" i="18"/>
  <c r="CG15" i="18"/>
  <c r="CG23" i="18"/>
  <c r="CG24" i="18"/>
  <c r="CD17" i="14" s="1"/>
  <c r="BV15" i="14"/>
  <c r="CA168" i="18"/>
  <c r="CB171" i="18"/>
  <c r="CA106" i="18"/>
  <c r="CB109" i="18"/>
  <c r="BZ126" i="18"/>
  <c r="CA129" i="18"/>
  <c r="BR23" i="14"/>
  <c r="BR12" i="14" s="1"/>
  <c r="BR10" i="14" s="1"/>
  <c r="BU8" i="18"/>
  <c r="CC148" i="18"/>
  <c r="CD151" i="18"/>
  <c r="BW158" i="18"/>
  <c r="BX161" i="18"/>
  <c r="BV42" i="18"/>
  <c r="BS24" i="14" s="1"/>
  <c r="BV39" i="18"/>
  <c r="CB143" i="18"/>
  <c r="CB46" i="18" s="1"/>
  <c r="CC146" i="18"/>
  <c r="CB137" i="18"/>
  <c r="CB36" i="18" s="1"/>
  <c r="BY22" i="14" s="1"/>
  <c r="CC140" i="18"/>
  <c r="CZ142" i="18" s="1"/>
  <c r="BZ26" i="18"/>
  <c r="BW16" i="14" s="1"/>
  <c r="BZ25" i="18"/>
  <c r="BZ51" i="18"/>
  <c r="BW27" i="14" s="1"/>
  <c r="BZ31" i="18"/>
  <c r="BZ28" i="18"/>
  <c r="BZ27" i="18"/>
  <c r="BY61" i="18"/>
  <c r="BV30" i="14" s="1"/>
  <c r="BY34" i="18"/>
  <c r="BV20" i="14" s="1"/>
  <c r="BY48" i="18"/>
  <c r="BV25" i="14" s="1"/>
  <c r="BY33" i="18"/>
  <c r="BV19" i="14" s="1"/>
  <c r="CC11" i="14"/>
  <c r="CB44" i="18"/>
  <c r="CB38" i="18"/>
  <c r="CB43" i="18"/>
  <c r="CB40" i="18"/>
  <c r="CQ111" i="18"/>
  <c r="CR115" i="18"/>
  <c r="BZ101" i="18" l="1"/>
  <c r="BZ29" i="18" s="1"/>
  <c r="CA104" i="18"/>
  <c r="CB181" i="18"/>
  <c r="CB50" i="18" s="1"/>
  <c r="CC184" i="18"/>
  <c r="BW42" i="18"/>
  <c r="BT24" i="14" s="1"/>
  <c r="BW39" i="18"/>
  <c r="CA27" i="18"/>
  <c r="CA51" i="18"/>
  <c r="BX27" i="14" s="1"/>
  <c r="CA28" i="18"/>
  <c r="CA31" i="18"/>
  <c r="BZ153" i="18"/>
  <c r="BZ45" i="18" s="1"/>
  <c r="CA156" i="18"/>
  <c r="BU21" i="14"/>
  <c r="CC137" i="18"/>
  <c r="CC36" i="18" s="1"/>
  <c r="BZ22" i="14" s="1"/>
  <c r="CD140" i="18"/>
  <c r="DA142" i="18" s="1"/>
  <c r="BS23" i="14"/>
  <c r="BS12" i="14" s="1"/>
  <c r="BS10" i="14" s="1"/>
  <c r="BV8" i="18"/>
  <c r="CD148" i="18"/>
  <c r="CE151" i="18"/>
  <c r="CA126" i="18"/>
  <c r="CB129" i="18"/>
  <c r="CB168" i="18"/>
  <c r="CC171" i="18"/>
  <c r="CD11" i="14"/>
  <c r="CA163" i="18"/>
  <c r="CA37" i="18" s="1"/>
  <c r="CB166" i="18"/>
  <c r="CC38" i="18"/>
  <c r="CC40" i="18"/>
  <c r="CC43" i="18"/>
  <c r="CC44" i="18"/>
  <c r="BZ61" i="18"/>
  <c r="BW30" i="14" s="1"/>
  <c r="BZ34" i="18"/>
  <c r="BW20" i="14" s="1"/>
  <c r="BZ33" i="18"/>
  <c r="BW19" i="14" s="1"/>
  <c r="BZ48" i="18"/>
  <c r="BW25" i="14" s="1"/>
  <c r="CA25" i="18"/>
  <c r="CA26" i="18"/>
  <c r="BX16" i="14" s="1"/>
  <c r="CF176" i="18"/>
  <c r="CF49" i="18" s="1"/>
  <c r="CC26" i="14" s="1"/>
  <c r="CG179" i="18"/>
  <c r="CI96" i="18"/>
  <c r="CJ99" i="18"/>
  <c r="BW18" i="14"/>
  <c r="BW15" i="14"/>
  <c r="CC143" i="18"/>
  <c r="CC46" i="18" s="1"/>
  <c r="CD146" i="18"/>
  <c r="BX158" i="18"/>
  <c r="BY161" i="18"/>
  <c r="CB106" i="18"/>
  <c r="CC109" i="18"/>
  <c r="CH23" i="18"/>
  <c r="CH15" i="18"/>
  <c r="CH24" i="18"/>
  <c r="CE17" i="14" s="1"/>
  <c r="BY131" i="18"/>
  <c r="BY35" i="18" s="1"/>
  <c r="BV21" i="14" s="1"/>
  <c r="BZ134" i="18"/>
  <c r="CW136" i="18" s="1"/>
  <c r="CB121" i="18"/>
  <c r="CB30" i="18" s="1"/>
  <c r="CC124" i="18"/>
  <c r="CR111" i="18"/>
  <c r="CS115" i="18"/>
  <c r="CA101" i="18" l="1"/>
  <c r="CA29" i="18" s="1"/>
  <c r="CB104" i="18"/>
  <c r="CC181" i="18"/>
  <c r="CC50" i="18" s="1"/>
  <c r="CD184" i="18"/>
  <c r="BX18" i="14"/>
  <c r="BX42" i="18"/>
  <c r="BU24" i="14" s="1"/>
  <c r="BX39" i="18"/>
  <c r="CG176" i="18"/>
  <c r="CG49" i="18" s="1"/>
  <c r="CD26" i="14" s="1"/>
  <c r="CH179" i="18"/>
  <c r="CB163" i="18"/>
  <c r="CB37" i="18" s="1"/>
  <c r="CC166" i="18"/>
  <c r="CA34" i="18"/>
  <c r="BX20" i="14" s="1"/>
  <c r="CA61" i="18"/>
  <c r="BX30" i="14" s="1"/>
  <c r="CA48" i="18"/>
  <c r="BX25" i="14" s="1"/>
  <c r="CA33" i="18"/>
  <c r="BX19" i="14" s="1"/>
  <c r="CC106" i="18"/>
  <c r="CD109" i="18"/>
  <c r="CC168" i="18"/>
  <c r="CD171" i="18"/>
  <c r="CE148" i="18"/>
  <c r="CF151" i="18"/>
  <c r="CD137" i="18"/>
  <c r="CD36" i="18" s="1"/>
  <c r="CA22" i="14" s="1"/>
  <c r="CE140" i="18"/>
  <c r="DB142" i="18" s="1"/>
  <c r="BT23" i="14"/>
  <c r="BT12" i="14" s="1"/>
  <c r="BT10" i="14" s="1"/>
  <c r="BW8" i="18"/>
  <c r="CD143" i="18"/>
  <c r="CD46" i="18" s="1"/>
  <c r="CE146" i="18"/>
  <c r="CB51" i="18"/>
  <c r="BY27" i="14" s="1"/>
  <c r="CB31" i="18"/>
  <c r="CB28" i="18"/>
  <c r="CB27" i="18"/>
  <c r="CJ96" i="18"/>
  <c r="CK99" i="18"/>
  <c r="CB26" i="18"/>
  <c r="BY16" i="14" s="1"/>
  <c r="CB25" i="18"/>
  <c r="CD43" i="18"/>
  <c r="CD44" i="18"/>
  <c r="CD38" i="18"/>
  <c r="CD40" i="18"/>
  <c r="BZ131" i="18"/>
  <c r="BZ35" i="18" s="1"/>
  <c r="BW21" i="14" s="1"/>
  <c r="CA134" i="18"/>
  <c r="CX136" i="18" s="1"/>
  <c r="CE11" i="14"/>
  <c r="CC121" i="18"/>
  <c r="CC30" i="18" s="1"/>
  <c r="CD124" i="18"/>
  <c r="BY158" i="18"/>
  <c r="BZ161" i="18"/>
  <c r="CI24" i="18"/>
  <c r="CF17" i="14" s="1"/>
  <c r="CI23" i="18"/>
  <c r="CI15" i="18"/>
  <c r="BX15" i="14"/>
  <c r="CB126" i="18"/>
  <c r="CC129" i="18"/>
  <c r="CA153" i="18"/>
  <c r="CA45" i="18" s="1"/>
  <c r="CB156" i="18"/>
  <c r="CS111" i="18"/>
  <c r="CT115" i="18"/>
  <c r="CB101" i="18" l="1"/>
  <c r="CB29" i="18" s="1"/>
  <c r="CC104" i="18"/>
  <c r="CD181" i="18"/>
  <c r="CD50" i="18" s="1"/>
  <c r="CE184" i="18"/>
  <c r="BY18" i="14"/>
  <c r="CB34" i="18"/>
  <c r="BY20" i="14" s="1"/>
  <c r="CB33" i="18"/>
  <c r="BY19" i="14" s="1"/>
  <c r="CB48" i="18"/>
  <c r="BY25" i="14" s="1"/>
  <c r="CB61" i="18"/>
  <c r="BY30" i="14" s="1"/>
  <c r="CF148" i="18"/>
  <c r="CG151" i="18"/>
  <c r="CH176" i="18"/>
  <c r="CH49" i="18" s="1"/>
  <c r="CE26" i="14" s="1"/>
  <c r="CI179" i="18"/>
  <c r="CB153" i="18"/>
  <c r="CB45" i="18" s="1"/>
  <c r="CC156" i="18"/>
  <c r="CE143" i="18"/>
  <c r="CE46" i="18" s="1"/>
  <c r="CF146" i="18"/>
  <c r="CE44" i="18"/>
  <c r="CE38" i="18"/>
  <c r="CE43" i="18"/>
  <c r="CE40" i="18"/>
  <c r="CD106" i="18"/>
  <c r="CE109" i="18"/>
  <c r="BY15" i="14"/>
  <c r="CK96" i="18"/>
  <c r="CL99" i="18"/>
  <c r="CE137" i="18"/>
  <c r="CE36" i="18" s="1"/>
  <c r="CB22" i="14" s="1"/>
  <c r="CF140" i="18"/>
  <c r="DC142" i="18" s="1"/>
  <c r="CD168" i="18"/>
  <c r="CE171" i="18"/>
  <c r="CC51" i="18"/>
  <c r="BZ27" i="14" s="1"/>
  <c r="CC31" i="18"/>
  <c r="CC28" i="18"/>
  <c r="CC27" i="18"/>
  <c r="CC163" i="18"/>
  <c r="CC37" i="18" s="1"/>
  <c r="CD166" i="18"/>
  <c r="BU23" i="14"/>
  <c r="BU12" i="14" s="1"/>
  <c r="BU10" i="14" s="1"/>
  <c r="BX8" i="18"/>
  <c r="BY42" i="18"/>
  <c r="BV24" i="14" s="1"/>
  <c r="BY39" i="18"/>
  <c r="CC126" i="18"/>
  <c r="CD129" i="18"/>
  <c r="CF11" i="14"/>
  <c r="BZ158" i="18"/>
  <c r="CA161" i="18"/>
  <c r="CD121" i="18"/>
  <c r="CD30" i="18" s="1"/>
  <c r="CE124" i="18"/>
  <c r="CA131" i="18"/>
  <c r="CA35" i="18" s="1"/>
  <c r="CB134" i="18"/>
  <c r="CY136" i="18" s="1"/>
  <c r="CJ23" i="18"/>
  <c r="CJ24" i="18"/>
  <c r="CG17" i="14" s="1"/>
  <c r="CJ15" i="18"/>
  <c r="CC25" i="18"/>
  <c r="CC26" i="18"/>
  <c r="BZ16" i="14" s="1"/>
  <c r="CT111" i="18"/>
  <c r="CU115" i="18"/>
  <c r="CC101" i="18" l="1"/>
  <c r="CC29" i="18" s="1"/>
  <c r="BZ18" i="14" s="1"/>
  <c r="CD104" i="18"/>
  <c r="CD101" i="18" s="1"/>
  <c r="CD29" i="18" s="1"/>
  <c r="CE181" i="18"/>
  <c r="CE50" i="18" s="1"/>
  <c r="CF184" i="18"/>
  <c r="CE106" i="18"/>
  <c r="CF109" i="18"/>
  <c r="CB131" i="18"/>
  <c r="CB35" i="18" s="1"/>
  <c r="CC134" i="18"/>
  <c r="CZ136" i="18" s="1"/>
  <c r="CE168" i="18"/>
  <c r="CF171" i="18"/>
  <c r="CL96" i="18"/>
  <c r="CM99" i="18"/>
  <c r="CD31" i="18"/>
  <c r="CD28" i="18"/>
  <c r="CD27" i="18"/>
  <c r="CD51" i="18"/>
  <c r="CA27" i="14" s="1"/>
  <c r="CC153" i="18"/>
  <c r="CC45" i="18" s="1"/>
  <c r="CD156" i="18"/>
  <c r="CD126" i="18"/>
  <c r="CE129" i="18"/>
  <c r="BX21" i="14"/>
  <c r="BZ42" i="18"/>
  <c r="BW24" i="14" s="1"/>
  <c r="BZ39" i="18"/>
  <c r="CC48" i="18"/>
  <c r="BZ25" i="14" s="1"/>
  <c r="CC61" i="18"/>
  <c r="BZ30" i="14" s="1"/>
  <c r="CC33" i="18"/>
  <c r="BZ19" i="14" s="1"/>
  <c r="CC34" i="18"/>
  <c r="BZ20" i="14" s="1"/>
  <c r="CD26" i="18"/>
  <c r="CA16" i="14" s="1"/>
  <c r="CD25" i="18"/>
  <c r="CK15" i="18"/>
  <c r="CK24" i="18"/>
  <c r="CH17" i="14" s="1"/>
  <c r="CK23" i="18"/>
  <c r="CG148" i="18"/>
  <c r="CH151" i="18"/>
  <c r="BZ15" i="14"/>
  <c r="CA158" i="18"/>
  <c r="CB161" i="18"/>
  <c r="CG11" i="14"/>
  <c r="CE121" i="18"/>
  <c r="CE30" i="18" s="1"/>
  <c r="CF124" i="18"/>
  <c r="BV23" i="14"/>
  <c r="BV12" i="14" s="1"/>
  <c r="BV10" i="14" s="1"/>
  <c r="BY8" i="18"/>
  <c r="CD163" i="18"/>
  <c r="CD37" i="18" s="1"/>
  <c r="CE166" i="18"/>
  <c r="CF137" i="18"/>
  <c r="CF36" i="18" s="1"/>
  <c r="CC22" i="14" s="1"/>
  <c r="CG140" i="18"/>
  <c r="DD142" i="18" s="1"/>
  <c r="CF143" i="18"/>
  <c r="CF46" i="18" s="1"/>
  <c r="CG146" i="18"/>
  <c r="CI176" i="18"/>
  <c r="CI49" i="18" s="1"/>
  <c r="CF26" i="14" s="1"/>
  <c r="CJ179" i="18"/>
  <c r="CF38" i="18"/>
  <c r="CF43" i="18"/>
  <c r="CF44" i="18"/>
  <c r="CF40" i="18"/>
  <c r="CU111" i="18"/>
  <c r="CV115" i="18"/>
  <c r="CE104" i="18" l="1"/>
  <c r="CG184" i="18"/>
  <c r="CF181" i="18"/>
  <c r="CF50" i="18" s="1"/>
  <c r="CA42" i="18"/>
  <c r="BX24" i="14" s="1"/>
  <c r="CA39" i="18"/>
  <c r="CH148" i="18"/>
  <c r="CI151" i="18"/>
  <c r="CE25" i="18"/>
  <c r="CE26" i="18"/>
  <c r="CB16" i="14" s="1"/>
  <c r="CF106" i="18"/>
  <c r="CG109" i="18"/>
  <c r="CG137" i="18"/>
  <c r="CG36" i="18" s="1"/>
  <c r="CD22" i="14" s="1"/>
  <c r="CH140" i="18"/>
  <c r="DE142" i="18" s="1"/>
  <c r="CG38" i="18"/>
  <c r="CG43" i="18"/>
  <c r="CG44" i="18"/>
  <c r="CG40" i="18"/>
  <c r="CM96" i="18"/>
  <c r="CN99" i="18"/>
  <c r="CC131" i="18"/>
  <c r="CC35" i="18" s="1"/>
  <c r="CD134" i="18"/>
  <c r="DA136" i="18" s="1"/>
  <c r="CE27" i="18"/>
  <c r="CE51" i="18"/>
  <c r="CB27" i="14" s="1"/>
  <c r="CE31" i="18"/>
  <c r="CE28" i="18"/>
  <c r="CJ176" i="18"/>
  <c r="CJ49" i="18" s="1"/>
  <c r="CG26" i="14" s="1"/>
  <c r="CK179" i="18"/>
  <c r="CH11" i="14"/>
  <c r="BW23" i="14"/>
  <c r="BW12" i="14" s="1"/>
  <c r="BW10" i="14" s="1"/>
  <c r="BZ8" i="18"/>
  <c r="CE126" i="18"/>
  <c r="CF129" i="18"/>
  <c r="CA18" i="14"/>
  <c r="CL15" i="18"/>
  <c r="CL24" i="18"/>
  <c r="CI17" i="14" s="1"/>
  <c r="CL23" i="18"/>
  <c r="BY21" i="14"/>
  <c r="CG143" i="18"/>
  <c r="CG46" i="18" s="1"/>
  <c r="CH146" i="18"/>
  <c r="CE163" i="18"/>
  <c r="CE37" i="18" s="1"/>
  <c r="CF166" i="18"/>
  <c r="CF121" i="18"/>
  <c r="CF30" i="18" s="1"/>
  <c r="CG124" i="18"/>
  <c r="CB158" i="18"/>
  <c r="CC161" i="18"/>
  <c r="CA15" i="14"/>
  <c r="CD61" i="18"/>
  <c r="CA30" i="14" s="1"/>
  <c r="CD48" i="18"/>
  <c r="CA25" i="14" s="1"/>
  <c r="CD34" i="18"/>
  <c r="CA20" i="14" s="1"/>
  <c r="CD33" i="18"/>
  <c r="CA19" i="14" s="1"/>
  <c r="CD153" i="18"/>
  <c r="CD45" i="18" s="1"/>
  <c r="CE156" i="18"/>
  <c r="CF168" i="18"/>
  <c r="CG171" i="18"/>
  <c r="CV111" i="18"/>
  <c r="CW115" i="18"/>
  <c r="CE101" i="18" l="1"/>
  <c r="CE29" i="18" s="1"/>
  <c r="CB18" i="14" s="1"/>
  <c r="CF104" i="18"/>
  <c r="CG181" i="18"/>
  <c r="CG50" i="18" s="1"/>
  <c r="CH184" i="18"/>
  <c r="CB42" i="18"/>
  <c r="BY24" i="14" s="1"/>
  <c r="CB39" i="18"/>
  <c r="CM15" i="18"/>
  <c r="CM24" i="18"/>
  <c r="CJ17" i="14" s="1"/>
  <c r="CM23" i="18"/>
  <c r="CG106" i="18"/>
  <c r="CH109" i="18"/>
  <c r="BX23" i="14"/>
  <c r="BX12" i="14" s="1"/>
  <c r="BX10" i="14" s="1"/>
  <c r="CA8" i="18"/>
  <c r="CF25" i="18"/>
  <c r="CF26" i="18"/>
  <c r="CC16" i="14" s="1"/>
  <c r="CG121" i="18"/>
  <c r="CG30" i="18" s="1"/>
  <c r="CH124" i="18"/>
  <c r="CH143" i="18"/>
  <c r="CH46" i="18" s="1"/>
  <c r="CI146" i="18"/>
  <c r="CD131" i="18"/>
  <c r="CD35" i="18" s="1"/>
  <c r="CA21" i="14" s="1"/>
  <c r="CE134" i="18"/>
  <c r="DB136" i="18" s="1"/>
  <c r="CF31" i="18"/>
  <c r="CF27" i="18"/>
  <c r="CF28" i="18"/>
  <c r="CF51" i="18"/>
  <c r="CC27" i="14" s="1"/>
  <c r="CE153" i="18"/>
  <c r="CE45" i="18" s="1"/>
  <c r="CF156" i="18"/>
  <c r="CF126" i="18"/>
  <c r="CG129" i="18"/>
  <c r="BZ21" i="14"/>
  <c r="CH137" i="18"/>
  <c r="CH36" i="18" s="1"/>
  <c r="CE22" i="14" s="1"/>
  <c r="CI140" i="18"/>
  <c r="DF142" i="18" s="1"/>
  <c r="CI148" i="18"/>
  <c r="CJ151" i="18"/>
  <c r="CG168" i="18"/>
  <c r="CH171" i="18"/>
  <c r="CC158" i="18"/>
  <c r="CD161" i="18"/>
  <c r="CF163" i="18"/>
  <c r="CF37" i="18" s="1"/>
  <c r="CG166" i="18"/>
  <c r="CI11" i="14"/>
  <c r="CE48" i="18"/>
  <c r="CB25" i="14" s="1"/>
  <c r="CE34" i="18"/>
  <c r="CB20" i="14" s="1"/>
  <c r="CE33" i="18"/>
  <c r="CB19" i="14" s="1"/>
  <c r="CE61" i="18"/>
  <c r="CB30" i="14" s="1"/>
  <c r="CK176" i="18"/>
  <c r="CK49" i="18" s="1"/>
  <c r="CH26" i="14" s="1"/>
  <c r="CL179" i="18"/>
  <c r="CN96" i="18"/>
  <c r="CO99" i="18"/>
  <c r="CB15" i="14"/>
  <c r="CH44" i="18"/>
  <c r="CH38" i="18"/>
  <c r="CH40" i="18"/>
  <c r="CH43" i="18"/>
  <c r="CW111" i="18"/>
  <c r="CX115" i="18"/>
  <c r="CG104" i="18" l="1"/>
  <c r="CF101" i="18"/>
  <c r="CF29" i="18" s="1"/>
  <c r="CC18" i="14" s="1"/>
  <c r="CH181" i="18"/>
  <c r="CH50" i="18" s="1"/>
  <c r="CI184" i="18"/>
  <c r="CN24" i="18"/>
  <c r="CK17" i="14" s="1"/>
  <c r="CN15" i="18"/>
  <c r="CN23" i="18"/>
  <c r="CC42" i="18"/>
  <c r="BZ24" i="14" s="1"/>
  <c r="CC39" i="18"/>
  <c r="CI43" i="18"/>
  <c r="CI40" i="18"/>
  <c r="CI44" i="18"/>
  <c r="CI38" i="18"/>
  <c r="CF153" i="18"/>
  <c r="CF45" i="18" s="1"/>
  <c r="CG156" i="18"/>
  <c r="CG51" i="18"/>
  <c r="CD27" i="14" s="1"/>
  <c r="CG31" i="18"/>
  <c r="CG27" i="18"/>
  <c r="CG28" i="18"/>
  <c r="CL176" i="18"/>
  <c r="CL49" i="18" s="1"/>
  <c r="CI26" i="14" s="1"/>
  <c r="CM179" i="18"/>
  <c r="CH168" i="18"/>
  <c r="CI171" i="18"/>
  <c r="CI137" i="18"/>
  <c r="CI36" i="18" s="1"/>
  <c r="CF22" i="14" s="1"/>
  <c r="CJ140" i="18"/>
  <c r="DG142" i="18" s="1"/>
  <c r="CI143" i="18"/>
  <c r="CI46" i="18" s="1"/>
  <c r="CJ146" i="18"/>
  <c r="BY23" i="14"/>
  <c r="BY12" i="14" s="1"/>
  <c r="BY10" i="14" s="1"/>
  <c r="CB8" i="18"/>
  <c r="CG163" i="18"/>
  <c r="CG37" i="18" s="1"/>
  <c r="CH166" i="18"/>
  <c r="CG26" i="18"/>
  <c r="CD16" i="14" s="1"/>
  <c r="CG25" i="18"/>
  <c r="CG126" i="18"/>
  <c r="CH129" i="18"/>
  <c r="CE131" i="18"/>
  <c r="CE35" i="18" s="1"/>
  <c r="CF134" i="18"/>
  <c r="DC136" i="18" s="1"/>
  <c r="CC15" i="14"/>
  <c r="CO96" i="18"/>
  <c r="CP99" i="18"/>
  <c r="CD158" i="18"/>
  <c r="CE161" i="18"/>
  <c r="CJ148" i="18"/>
  <c r="CK151" i="18"/>
  <c r="CF48" i="18"/>
  <c r="CC25" i="14" s="1"/>
  <c r="CF33" i="18"/>
  <c r="CC19" i="14" s="1"/>
  <c r="CF61" i="18"/>
  <c r="CC30" i="14" s="1"/>
  <c r="CF34" i="18"/>
  <c r="CC20" i="14" s="1"/>
  <c r="CH121" i="18"/>
  <c r="CH30" i="18" s="1"/>
  <c r="CI124" i="18"/>
  <c r="CH106" i="18"/>
  <c r="CI109" i="18"/>
  <c r="CJ11" i="14"/>
  <c r="CX111" i="18"/>
  <c r="CY115" i="18"/>
  <c r="CG101" i="18" l="1"/>
  <c r="CG29" i="18" s="1"/>
  <c r="CH104" i="18"/>
  <c r="CI181" i="18"/>
  <c r="CI50" i="18" s="1"/>
  <c r="CJ184" i="18"/>
  <c r="CD39" i="18"/>
  <c r="CD42" i="18"/>
  <c r="CA24" i="14" s="1"/>
  <c r="CH126" i="18"/>
  <c r="CI129" i="18"/>
  <c r="CG153" i="18"/>
  <c r="CG45" i="18" s="1"/>
  <c r="CH156" i="18"/>
  <c r="CK148" i="18"/>
  <c r="CL151" i="18"/>
  <c r="CG48" i="18"/>
  <c r="CD25" i="14" s="1"/>
  <c r="CG33" i="18"/>
  <c r="CD19" i="14" s="1"/>
  <c r="CG34" i="18"/>
  <c r="CD20" i="14" s="1"/>
  <c r="CG61" i="18"/>
  <c r="CD30" i="14" s="1"/>
  <c r="CH163" i="18"/>
  <c r="CH37" i="18" s="1"/>
  <c r="CI166" i="18"/>
  <c r="CJ143" i="18"/>
  <c r="CJ46" i="18" s="1"/>
  <c r="CK146" i="18"/>
  <c r="CI168" i="18"/>
  <c r="CJ171" i="18"/>
  <c r="CI106" i="18"/>
  <c r="CJ109" i="18"/>
  <c r="CP96" i="18"/>
  <c r="CQ99" i="18"/>
  <c r="CI121" i="18"/>
  <c r="CI30" i="18" s="1"/>
  <c r="CJ124" i="18"/>
  <c r="CJ43" i="18"/>
  <c r="CJ44" i="18"/>
  <c r="CJ40" i="18"/>
  <c r="CJ38" i="18"/>
  <c r="CO24" i="18"/>
  <c r="CL17" i="14" s="1"/>
  <c r="CO23" i="18"/>
  <c r="CO15" i="18"/>
  <c r="CF131" i="18"/>
  <c r="CF35" i="18" s="1"/>
  <c r="CG134" i="18"/>
  <c r="DD136" i="18" s="1"/>
  <c r="CD15" i="14"/>
  <c r="CH26" i="18"/>
  <c r="CE16" i="14" s="1"/>
  <c r="CH25" i="18"/>
  <c r="CD18" i="14"/>
  <c r="CK11" i="14"/>
  <c r="CH27" i="18"/>
  <c r="CH31" i="18"/>
  <c r="CH51" i="18"/>
  <c r="CE27" i="14" s="1"/>
  <c r="CH28" i="18"/>
  <c r="CE158" i="18"/>
  <c r="CF161" i="18"/>
  <c r="CB21" i="14"/>
  <c r="CJ137" i="18"/>
  <c r="CJ36" i="18" s="1"/>
  <c r="CG22" i="14" s="1"/>
  <c r="CK140" i="18"/>
  <c r="DH142" i="18" s="1"/>
  <c r="CM176" i="18"/>
  <c r="CM49" i="18" s="1"/>
  <c r="CJ26" i="14" s="1"/>
  <c r="CN179" i="18"/>
  <c r="BZ23" i="14"/>
  <c r="BZ12" i="14" s="1"/>
  <c r="BZ10" i="14" s="1"/>
  <c r="CC8" i="18"/>
  <c r="CY111" i="18"/>
  <c r="CZ115" i="18"/>
  <c r="CH101" i="18" l="1"/>
  <c r="CH29" i="18" s="1"/>
  <c r="CI104" i="18"/>
  <c r="CJ181" i="18"/>
  <c r="CJ50" i="18" s="1"/>
  <c r="CK184" i="18"/>
  <c r="CQ96" i="18"/>
  <c r="CR99" i="18"/>
  <c r="CI126" i="18"/>
  <c r="CJ129" i="18"/>
  <c r="CN176" i="18"/>
  <c r="CN49" i="18" s="1"/>
  <c r="CK26" i="14" s="1"/>
  <c r="CO179" i="18"/>
  <c r="CG131" i="18"/>
  <c r="CG35" i="18" s="1"/>
  <c r="CH134" i="18"/>
  <c r="DE136" i="18" s="1"/>
  <c r="CP23" i="18"/>
  <c r="CP24" i="18"/>
  <c r="CM17" i="14" s="1"/>
  <c r="CP15" i="18"/>
  <c r="CJ168" i="18"/>
  <c r="CK171" i="18"/>
  <c r="CL148" i="18"/>
  <c r="CM151" i="18"/>
  <c r="CH33" i="18"/>
  <c r="CE19" i="14" s="1"/>
  <c r="CH48" i="18"/>
  <c r="CE25" i="14" s="1"/>
  <c r="CH61" i="18"/>
  <c r="CE30" i="14" s="1"/>
  <c r="CH34" i="18"/>
  <c r="CE20" i="14" s="1"/>
  <c r="CE39" i="18"/>
  <c r="CE42" i="18"/>
  <c r="CB24" i="14" s="1"/>
  <c r="CE18" i="14"/>
  <c r="CC21" i="14"/>
  <c r="CJ121" i="18"/>
  <c r="CJ30" i="18" s="1"/>
  <c r="CK124" i="18"/>
  <c r="CJ106" i="18"/>
  <c r="CK109" i="18"/>
  <c r="CI25" i="18"/>
  <c r="CI26" i="18"/>
  <c r="CF16" i="14" s="1"/>
  <c r="CK44" i="18"/>
  <c r="CK40" i="18"/>
  <c r="CK38" i="18"/>
  <c r="CK43" i="18"/>
  <c r="CF158" i="18"/>
  <c r="CG161" i="18"/>
  <c r="CK137" i="18"/>
  <c r="CK36" i="18" s="1"/>
  <c r="CH22" i="14" s="1"/>
  <c r="CL140" i="18"/>
  <c r="DI142" i="18" s="1"/>
  <c r="CE15" i="14"/>
  <c r="CL11" i="14"/>
  <c r="CI27" i="18"/>
  <c r="CI51" i="18"/>
  <c r="CF27" i="14" s="1"/>
  <c r="CI31" i="18"/>
  <c r="CI28" i="18"/>
  <c r="CK143" i="18"/>
  <c r="CK46" i="18" s="1"/>
  <c r="CL146" i="18"/>
  <c r="CI163" i="18"/>
  <c r="CI37" i="18" s="1"/>
  <c r="CJ166" i="18"/>
  <c r="CH153" i="18"/>
  <c r="CH45" i="18" s="1"/>
  <c r="CI156" i="18"/>
  <c r="CA23" i="14"/>
  <c r="CA12" i="14" s="1"/>
  <c r="CA10" i="14" s="1"/>
  <c r="CD8" i="18"/>
  <c r="CZ111" i="18"/>
  <c r="DA115" i="18"/>
  <c r="CI101" i="18" l="1"/>
  <c r="CI29" i="18" s="1"/>
  <c r="CF18" i="14" s="1"/>
  <c r="CJ104" i="18"/>
  <c r="CK181" i="18"/>
  <c r="CK50" i="18" s="1"/>
  <c r="CL184" i="18"/>
  <c r="CJ31" i="18"/>
  <c r="CJ28" i="18"/>
  <c r="CJ27" i="18"/>
  <c r="CJ51" i="18"/>
  <c r="CG27" i="14" s="1"/>
  <c r="CM148" i="18"/>
  <c r="CN151" i="18"/>
  <c r="CK168" i="18"/>
  <c r="CL171" i="18"/>
  <c r="CO176" i="18"/>
  <c r="CO49" i="18" s="1"/>
  <c r="CL26" i="14" s="1"/>
  <c r="CP179" i="18"/>
  <c r="CI34" i="18"/>
  <c r="CF20" i="14" s="1"/>
  <c r="CI33" i="18"/>
  <c r="CF19" i="14" s="1"/>
  <c r="CI61" i="18"/>
  <c r="CF30" i="14" s="1"/>
  <c r="CI48" i="18"/>
  <c r="CF25" i="14" s="1"/>
  <c r="CI153" i="18"/>
  <c r="CI45" i="18" s="1"/>
  <c r="CJ156" i="18"/>
  <c r="CL143" i="18"/>
  <c r="CL46" i="18" s="1"/>
  <c r="CM146" i="18"/>
  <c r="CG158" i="18"/>
  <c r="CH161" i="18"/>
  <c r="CK121" i="18"/>
  <c r="CK30" i="18" s="1"/>
  <c r="CL124" i="18"/>
  <c r="CL40" i="18"/>
  <c r="CL43" i="18"/>
  <c r="CL44" i="18"/>
  <c r="CL38" i="18"/>
  <c r="CJ26" i="18"/>
  <c r="CG16" i="14" s="1"/>
  <c r="CJ25" i="18"/>
  <c r="CH131" i="18"/>
  <c r="CH35" i="18" s="1"/>
  <c r="CI134" i="18"/>
  <c r="DF136" i="18" s="1"/>
  <c r="CF42" i="18"/>
  <c r="CC24" i="14" s="1"/>
  <c r="CF39" i="18"/>
  <c r="CF15" i="14"/>
  <c r="CM11" i="14"/>
  <c r="CD21" i="14"/>
  <c r="CR96" i="18"/>
  <c r="CS99" i="18"/>
  <c r="CJ163" i="18"/>
  <c r="CJ37" i="18" s="1"/>
  <c r="CK166" i="18"/>
  <c r="CL137" i="18"/>
  <c r="CL36" i="18" s="1"/>
  <c r="CI22" i="14" s="1"/>
  <c r="CM140" i="18"/>
  <c r="DJ142" i="18" s="1"/>
  <c r="CK106" i="18"/>
  <c r="CL109" i="18"/>
  <c r="CB23" i="14"/>
  <c r="CB12" i="14" s="1"/>
  <c r="CB10" i="14" s="1"/>
  <c r="CE8" i="18"/>
  <c r="CJ126" i="18"/>
  <c r="CK129" i="18"/>
  <c r="CQ24" i="18"/>
  <c r="CN17" i="14" s="1"/>
  <c r="CQ15" i="18"/>
  <c r="CQ23" i="18"/>
  <c r="DA111" i="18"/>
  <c r="DB115" i="18"/>
  <c r="CK104" i="18" l="1"/>
  <c r="CJ101" i="18"/>
  <c r="CJ29" i="18" s="1"/>
  <c r="CG18" i="14" s="1"/>
  <c r="CM184" i="18"/>
  <c r="CL181" i="18"/>
  <c r="CL50" i="18" s="1"/>
  <c r="CL106" i="18"/>
  <c r="CM109" i="18"/>
  <c r="CR15" i="18"/>
  <c r="CR24" i="18"/>
  <c r="CO17" i="14" s="1"/>
  <c r="CR23" i="18"/>
  <c r="CG15" i="14"/>
  <c r="CH158" i="18"/>
  <c r="CI161" i="18"/>
  <c r="CJ153" i="18"/>
  <c r="CJ45" i="18" s="1"/>
  <c r="CK156" i="18"/>
  <c r="CL168" i="18"/>
  <c r="CM171" i="18"/>
  <c r="CJ61" i="18"/>
  <c r="CG30" i="14" s="1"/>
  <c r="CJ48" i="18"/>
  <c r="CG25" i="14" s="1"/>
  <c r="CJ34" i="18"/>
  <c r="CG20" i="14" s="1"/>
  <c r="CJ33" i="18"/>
  <c r="CG19" i="14" s="1"/>
  <c r="CN11" i="14"/>
  <c r="CK27" i="18"/>
  <c r="CK28" i="18"/>
  <c r="CK51" i="18"/>
  <c r="CH27" i="14" s="1"/>
  <c r="CK31" i="18"/>
  <c r="CK163" i="18"/>
  <c r="CK37" i="18" s="1"/>
  <c r="CL166" i="18"/>
  <c r="CG39" i="18"/>
  <c r="CG42" i="18"/>
  <c r="CD24" i="14" s="1"/>
  <c r="CK25" i="18"/>
  <c r="CK26" i="18"/>
  <c r="CH16" i="14" s="1"/>
  <c r="CC23" i="14"/>
  <c r="CC12" i="14" s="1"/>
  <c r="CC10" i="14" s="1"/>
  <c r="CF8" i="18"/>
  <c r="CI131" i="18"/>
  <c r="CI35" i="18" s="1"/>
  <c r="CJ134" i="18"/>
  <c r="DG136" i="18" s="1"/>
  <c r="CL121" i="18"/>
  <c r="CL30" i="18" s="1"/>
  <c r="CM124" i="18"/>
  <c r="CM143" i="18"/>
  <c r="CM46" i="18" s="1"/>
  <c r="CN146" i="18"/>
  <c r="CP176" i="18"/>
  <c r="CP49" i="18" s="1"/>
  <c r="CM26" i="14" s="1"/>
  <c r="CQ179" i="18"/>
  <c r="CN148" i="18"/>
  <c r="CO151" i="18"/>
  <c r="CK126" i="18"/>
  <c r="CL129" i="18"/>
  <c r="CM137" i="18"/>
  <c r="CM36" i="18" s="1"/>
  <c r="CJ22" i="14" s="1"/>
  <c r="CN140" i="18"/>
  <c r="DK142" i="18" s="1"/>
  <c r="CS96" i="18"/>
  <c r="CT99" i="18"/>
  <c r="CE21" i="14"/>
  <c r="CM38" i="18"/>
  <c r="CM40" i="18"/>
  <c r="CM43" i="18"/>
  <c r="CM44" i="18"/>
  <c r="DB111" i="18"/>
  <c r="DC115" i="18"/>
  <c r="CK101" i="18" l="1"/>
  <c r="CK29" i="18" s="1"/>
  <c r="CH18" i="14" s="1"/>
  <c r="CL104" i="18"/>
  <c r="CM181" i="18"/>
  <c r="CM50" i="18" s="1"/>
  <c r="CN184" i="18"/>
  <c r="CK33" i="18"/>
  <c r="CH19" i="14" s="1"/>
  <c r="CK34" i="18"/>
  <c r="CH20" i="14" s="1"/>
  <c r="CK61" i="18"/>
  <c r="CH30" i="14" s="1"/>
  <c r="CK48" i="18"/>
  <c r="CH25" i="14" s="1"/>
  <c r="CL163" i="18"/>
  <c r="CL37" i="18" s="1"/>
  <c r="CM166" i="18"/>
  <c r="CK153" i="18"/>
  <c r="CK45" i="18" s="1"/>
  <c r="CL156" i="18"/>
  <c r="CO11" i="14"/>
  <c r="CT96" i="18"/>
  <c r="CU99" i="18"/>
  <c r="CO148" i="18"/>
  <c r="CP151" i="18"/>
  <c r="CN143" i="18"/>
  <c r="CN46" i="18" s="1"/>
  <c r="CO146" i="18"/>
  <c r="CJ131" i="18"/>
  <c r="CJ35" i="18" s="1"/>
  <c r="CG21" i="14" s="1"/>
  <c r="CK134" i="18"/>
  <c r="DH136" i="18" s="1"/>
  <c r="CH15" i="14"/>
  <c r="CM106" i="18"/>
  <c r="CN109" i="18"/>
  <c r="CS15" i="18"/>
  <c r="CS24" i="18"/>
  <c r="CP17" i="14" s="1"/>
  <c r="CS23" i="18"/>
  <c r="CN43" i="18"/>
  <c r="CN44" i="18"/>
  <c r="CN38" i="18"/>
  <c r="CN40" i="18"/>
  <c r="CF21" i="14"/>
  <c r="CM168" i="18"/>
  <c r="CN171" i="18"/>
  <c r="CI158" i="18"/>
  <c r="CJ161" i="18"/>
  <c r="CL27" i="18"/>
  <c r="CL51" i="18"/>
  <c r="CI27" i="14" s="1"/>
  <c r="CL31" i="18"/>
  <c r="CL28" i="18"/>
  <c r="CN137" i="18"/>
  <c r="CN36" i="18" s="1"/>
  <c r="CK22" i="14" s="1"/>
  <c r="CO140" i="18"/>
  <c r="DL142" i="18" s="1"/>
  <c r="CL126" i="18"/>
  <c r="CM129" i="18"/>
  <c r="CQ176" i="18"/>
  <c r="CQ49" i="18" s="1"/>
  <c r="CN26" i="14" s="1"/>
  <c r="CR179" i="18"/>
  <c r="CM121" i="18"/>
  <c r="CM30" i="18" s="1"/>
  <c r="CN124" i="18"/>
  <c r="CD23" i="14"/>
  <c r="CD12" i="14" s="1"/>
  <c r="CD10" i="14" s="1"/>
  <c r="CG8" i="18"/>
  <c r="CL26" i="18"/>
  <c r="CI16" i="14" s="1"/>
  <c r="CL25" i="18"/>
  <c r="CH39" i="18"/>
  <c r="CH42" i="18"/>
  <c r="CE24" i="14" s="1"/>
  <c r="DC111" i="18"/>
  <c r="DD115" i="18"/>
  <c r="CL101" i="18" l="1"/>
  <c r="CL29" i="18" s="1"/>
  <c r="CM104" i="18"/>
  <c r="CN181" i="18"/>
  <c r="CN50" i="18" s="1"/>
  <c r="CO184" i="18"/>
  <c r="CR176" i="18"/>
  <c r="CR49" i="18" s="1"/>
  <c r="CO26" i="14" s="1"/>
  <c r="CS179" i="18"/>
  <c r="CO137" i="18"/>
  <c r="CO36" i="18" s="1"/>
  <c r="CL22" i="14" s="1"/>
  <c r="CP140" i="18"/>
  <c r="DM142" i="18" s="1"/>
  <c r="CI42" i="18"/>
  <c r="CF24" i="14" s="1"/>
  <c r="CI39" i="18"/>
  <c r="CP11" i="14"/>
  <c r="CT23" i="18"/>
  <c r="CT15" i="18"/>
  <c r="CT24" i="18"/>
  <c r="CQ17" i="14" s="1"/>
  <c r="CL153" i="18"/>
  <c r="CL45" i="18" s="1"/>
  <c r="CM156" i="18"/>
  <c r="CM163" i="18"/>
  <c r="CM37" i="18" s="1"/>
  <c r="CN166" i="18"/>
  <c r="CE23" i="14"/>
  <c r="CE12" i="14" s="1"/>
  <c r="CE10" i="14" s="1"/>
  <c r="CH8" i="18"/>
  <c r="CN168" i="18"/>
  <c r="CO171" i="18"/>
  <c r="CN106" i="18"/>
  <c r="CO109" i="18"/>
  <c r="CK131" i="18"/>
  <c r="CK35" i="18" s="1"/>
  <c r="CL134" i="18"/>
  <c r="DI136" i="18" s="1"/>
  <c r="CP148" i="18"/>
  <c r="CQ151" i="18"/>
  <c r="CN121" i="18"/>
  <c r="CN30" i="18" s="1"/>
  <c r="CO124" i="18"/>
  <c r="CM126" i="18"/>
  <c r="CN129" i="18"/>
  <c r="CI18" i="14"/>
  <c r="CM26" i="18"/>
  <c r="CJ16" i="14" s="1"/>
  <c r="CM25" i="18"/>
  <c r="CM28" i="18"/>
  <c r="CM27" i="18"/>
  <c r="CM51" i="18"/>
  <c r="CJ27" i="14" s="1"/>
  <c r="CM31" i="18"/>
  <c r="CO43" i="18"/>
  <c r="CO44" i="18"/>
  <c r="CO40" i="18"/>
  <c r="CO38" i="18"/>
  <c r="CI15" i="14"/>
  <c r="CL33" i="18"/>
  <c r="CI19" i="14" s="1"/>
  <c r="CL61" i="18"/>
  <c r="CI30" i="14" s="1"/>
  <c r="CL48" i="18"/>
  <c r="CI25" i="14" s="1"/>
  <c r="CL34" i="18"/>
  <c r="CI20" i="14" s="1"/>
  <c r="CJ158" i="18"/>
  <c r="CK161" i="18"/>
  <c r="CO143" i="18"/>
  <c r="CO46" i="18" s="1"/>
  <c r="CP146" i="18"/>
  <c r="CU96" i="18"/>
  <c r="CV99" i="18"/>
  <c r="DD111" i="18"/>
  <c r="DE115" i="18"/>
  <c r="CM101" i="18" l="1"/>
  <c r="CM29" i="18" s="1"/>
  <c r="CJ18" i="14" s="1"/>
  <c r="CN104" i="18"/>
  <c r="CO181" i="18"/>
  <c r="CO50" i="18" s="1"/>
  <c r="CP184" i="18"/>
  <c r="CV96" i="18"/>
  <c r="CW99" i="18"/>
  <c r="CH21" i="14"/>
  <c r="CN26" i="18"/>
  <c r="CK16" i="14" s="1"/>
  <c r="CN25" i="18"/>
  <c r="CQ11" i="14"/>
  <c r="CU15" i="18"/>
  <c r="CU23" i="18"/>
  <c r="CU24" i="18"/>
  <c r="CR17" i="14" s="1"/>
  <c r="CN126" i="18"/>
  <c r="CO129" i="18"/>
  <c r="CQ148" i="18"/>
  <c r="CR151" i="18"/>
  <c r="CO106" i="18"/>
  <c r="CP109" i="18"/>
  <c r="CM153" i="18"/>
  <c r="CM45" i="18" s="1"/>
  <c r="CN156" i="18"/>
  <c r="CF23" i="14"/>
  <c r="CF12" i="14" s="1"/>
  <c r="CF10" i="14" s="1"/>
  <c r="CI8" i="18"/>
  <c r="CS176" i="18"/>
  <c r="CS49" i="18" s="1"/>
  <c r="CP26" i="14" s="1"/>
  <c r="CT179" i="18"/>
  <c r="CP143" i="18"/>
  <c r="CP46" i="18" s="1"/>
  <c r="CQ146" i="18"/>
  <c r="CK158" i="18"/>
  <c r="CL161" i="18"/>
  <c r="CJ15" i="14"/>
  <c r="CM61" i="18"/>
  <c r="CJ30" i="14" s="1"/>
  <c r="CM48" i="18"/>
  <c r="CJ25" i="14" s="1"/>
  <c r="CM34" i="18"/>
  <c r="CJ20" i="14" s="1"/>
  <c r="CM33" i="18"/>
  <c r="CJ19" i="14" s="1"/>
  <c r="CP38" i="18"/>
  <c r="CP40" i="18"/>
  <c r="CP43" i="18"/>
  <c r="CP44" i="18"/>
  <c r="CN28" i="18"/>
  <c r="CN27" i="18"/>
  <c r="CN51" i="18"/>
  <c r="CK27" i="14" s="1"/>
  <c r="CN31" i="18"/>
  <c r="CJ39" i="18"/>
  <c r="CJ42" i="18"/>
  <c r="CG24" i="14" s="1"/>
  <c r="CO121" i="18"/>
  <c r="CO30" i="18" s="1"/>
  <c r="CP124" i="18"/>
  <c r="CL131" i="18"/>
  <c r="CL35" i="18" s="1"/>
  <c r="CI21" i="14" s="1"/>
  <c r="CM134" i="18"/>
  <c r="DJ136" i="18" s="1"/>
  <c r="CO168" i="18"/>
  <c r="CP171" i="18"/>
  <c r="CN163" i="18"/>
  <c r="CN37" i="18" s="1"/>
  <c r="CO166" i="18"/>
  <c r="CP137" i="18"/>
  <c r="CP36" i="18" s="1"/>
  <c r="CM22" i="14" s="1"/>
  <c r="CQ140" i="18"/>
  <c r="DN142" i="18" s="1"/>
  <c r="DE111" i="18"/>
  <c r="DF115" i="18"/>
  <c r="CO104" i="18" l="1"/>
  <c r="CN101" i="18"/>
  <c r="CN29" i="18" s="1"/>
  <c r="CQ184" i="18"/>
  <c r="CP181" i="18"/>
  <c r="CP50" i="18" s="1"/>
  <c r="CP121" i="18"/>
  <c r="CP30" i="18" s="1"/>
  <c r="CQ124" i="18"/>
  <c r="CO26" i="18"/>
  <c r="CL16" i="14" s="1"/>
  <c r="CO25" i="18"/>
  <c r="CG23" i="14"/>
  <c r="CG12" i="14" s="1"/>
  <c r="CG10" i="14" s="1"/>
  <c r="CJ8" i="18"/>
  <c r="CK39" i="18"/>
  <c r="CK42" i="18"/>
  <c r="CH24" i="14" s="1"/>
  <c r="CQ40" i="18"/>
  <c r="CQ43" i="18"/>
  <c r="CQ44" i="18"/>
  <c r="CQ38" i="18"/>
  <c r="CO163" i="18"/>
  <c r="CO37" i="18" s="1"/>
  <c r="CP166" i="18"/>
  <c r="CQ143" i="18"/>
  <c r="CQ46" i="18" s="1"/>
  <c r="CR146" i="18"/>
  <c r="CP106" i="18"/>
  <c r="CQ109" i="18"/>
  <c r="CO126" i="18"/>
  <c r="CP129" i="18"/>
  <c r="CR11" i="14"/>
  <c r="CK15" i="14"/>
  <c r="CW96" i="18"/>
  <c r="CX99" i="18"/>
  <c r="CM131" i="18"/>
  <c r="CM35" i="18" s="1"/>
  <c r="CJ21" i="14" s="1"/>
  <c r="CN134" i="18"/>
  <c r="DK136" i="18" s="1"/>
  <c r="CO31" i="18"/>
  <c r="CO27" i="18"/>
  <c r="CO28" i="18"/>
  <c r="CO51" i="18"/>
  <c r="CL27" i="14" s="1"/>
  <c r="CN48" i="18"/>
  <c r="CK25" i="14" s="1"/>
  <c r="CN61" i="18"/>
  <c r="CK30" i="14" s="1"/>
  <c r="CN33" i="18"/>
  <c r="CK19" i="14" s="1"/>
  <c r="CN34" i="18"/>
  <c r="CK20" i="14" s="1"/>
  <c r="CV24" i="18"/>
  <c r="CS17" i="14" s="1"/>
  <c r="CV15" i="18"/>
  <c r="CV23" i="18"/>
  <c r="CQ137" i="18"/>
  <c r="CQ36" i="18" s="1"/>
  <c r="CN22" i="14" s="1"/>
  <c r="CR140" i="18"/>
  <c r="DO142" i="18" s="1"/>
  <c r="CP168" i="18"/>
  <c r="CQ171" i="18"/>
  <c r="CK18" i="14"/>
  <c r="CL158" i="18"/>
  <c r="CM161" i="18"/>
  <c r="CT176" i="18"/>
  <c r="CT49" i="18" s="1"/>
  <c r="CQ26" i="14" s="1"/>
  <c r="CU179" i="18"/>
  <c r="CN153" i="18"/>
  <c r="CN45" i="18" s="1"/>
  <c r="CO156" i="18"/>
  <c r="CR148" i="18"/>
  <c r="CS151" i="18"/>
  <c r="DF111" i="18"/>
  <c r="DG115" i="18"/>
  <c r="CO101" i="18" l="1"/>
  <c r="CO29" i="18" s="1"/>
  <c r="CL18" i="14" s="1"/>
  <c r="CP104" i="18"/>
  <c r="CQ181" i="18"/>
  <c r="CQ50" i="18" s="1"/>
  <c r="CR184" i="18"/>
  <c r="CO153" i="18"/>
  <c r="CO45" i="18" s="1"/>
  <c r="CP156" i="18"/>
  <c r="CR43" i="18"/>
  <c r="CR44" i="18"/>
  <c r="CR38" i="18"/>
  <c r="CR40" i="18"/>
  <c r="CQ168" i="18"/>
  <c r="CR171" i="18"/>
  <c r="CW24" i="18"/>
  <c r="CT17" i="14" s="1"/>
  <c r="CW23" i="18"/>
  <c r="CW15" i="18"/>
  <c r="CP51" i="18"/>
  <c r="CM27" i="14" s="1"/>
  <c r="CP31" i="18"/>
  <c r="CP27" i="18"/>
  <c r="CP28" i="18"/>
  <c r="CL15" i="14"/>
  <c r="CM158" i="18"/>
  <c r="CN161" i="18"/>
  <c r="CP25" i="18"/>
  <c r="CP26" i="18"/>
  <c r="CM16" i="14" s="1"/>
  <c r="CS11" i="14"/>
  <c r="CN131" i="18"/>
  <c r="CN35" i="18" s="1"/>
  <c r="CK21" i="14" s="1"/>
  <c r="CO134" i="18"/>
  <c r="DL136" i="18" s="1"/>
  <c r="CP126" i="18"/>
  <c r="CQ129" i="18"/>
  <c r="CR143" i="18"/>
  <c r="CR46" i="18" s="1"/>
  <c r="CS146" i="18"/>
  <c r="CP163" i="18"/>
  <c r="CP37" i="18" s="1"/>
  <c r="CQ166" i="18"/>
  <c r="CH23" i="14"/>
  <c r="CH12" i="14" s="1"/>
  <c r="CH10" i="14" s="1"/>
  <c r="CK8" i="18"/>
  <c r="CL42" i="18"/>
  <c r="CI24" i="14" s="1"/>
  <c r="CL39" i="18"/>
  <c r="CR137" i="18"/>
  <c r="CR36" i="18" s="1"/>
  <c r="CO22" i="14" s="1"/>
  <c r="CS140" i="18"/>
  <c r="DP142" i="18" s="1"/>
  <c r="CO33" i="18"/>
  <c r="CL19" i="14" s="1"/>
  <c r="CO48" i="18"/>
  <c r="CL25" i="14" s="1"/>
  <c r="CO61" i="18"/>
  <c r="CL30" i="14" s="1"/>
  <c r="CO34" i="18"/>
  <c r="CL20" i="14" s="1"/>
  <c r="CQ121" i="18"/>
  <c r="CQ30" i="18" s="1"/>
  <c r="CR124" i="18"/>
  <c r="CS148" i="18"/>
  <c r="CT151" i="18"/>
  <c r="CU176" i="18"/>
  <c r="CU49" i="18" s="1"/>
  <c r="CR26" i="14" s="1"/>
  <c r="CV179" i="18"/>
  <c r="CX96" i="18"/>
  <c r="CY99" i="18"/>
  <c r="CQ106" i="18"/>
  <c r="CR109" i="18"/>
  <c r="DG111" i="18"/>
  <c r="DH115" i="18"/>
  <c r="CP101" i="18" l="1"/>
  <c r="CP29" i="18" s="1"/>
  <c r="CM18" i="14" s="1"/>
  <c r="CQ104" i="18"/>
  <c r="CS184" i="18"/>
  <c r="CR181" i="18"/>
  <c r="CR50" i="18" s="1"/>
  <c r="CX24" i="18"/>
  <c r="CU17" i="14" s="1"/>
  <c r="CX15" i="18"/>
  <c r="CX23" i="18"/>
  <c r="CS38" i="18"/>
  <c r="CS43" i="18"/>
  <c r="CS40" i="18"/>
  <c r="CS44" i="18"/>
  <c r="CO131" i="18"/>
  <c r="CO35" i="18" s="1"/>
  <c r="CL21" i="14" s="1"/>
  <c r="CP134" i="18"/>
  <c r="DM136" i="18" s="1"/>
  <c r="CT11" i="14"/>
  <c r="CR168" i="18"/>
  <c r="CS171" i="18"/>
  <c r="CV176" i="18"/>
  <c r="CV49" i="18" s="1"/>
  <c r="CS26" i="14" s="1"/>
  <c r="CW179" i="18"/>
  <c r="CR121" i="18"/>
  <c r="CR30" i="18" s="1"/>
  <c r="CS124" i="18"/>
  <c r="CI23" i="14"/>
  <c r="CI12" i="14" s="1"/>
  <c r="CI10" i="14" s="1"/>
  <c r="CL8" i="18"/>
  <c r="CQ163" i="18"/>
  <c r="CQ37" i="18" s="1"/>
  <c r="CR166" i="18"/>
  <c r="CQ126" i="18"/>
  <c r="CR129" i="18"/>
  <c r="CM15" i="14"/>
  <c r="CQ26" i="18"/>
  <c r="CN16" i="14" s="1"/>
  <c r="CQ25" i="18"/>
  <c r="CR106" i="18"/>
  <c r="CS109" i="18"/>
  <c r="CQ31" i="18"/>
  <c r="CQ27" i="18"/>
  <c r="CQ28" i="18"/>
  <c r="CQ51" i="18"/>
  <c r="CN27" i="14" s="1"/>
  <c r="CP48" i="18"/>
  <c r="CM25" i="14" s="1"/>
  <c r="CP61" i="18"/>
  <c r="CM30" i="14" s="1"/>
  <c r="CP34" i="18"/>
  <c r="CM20" i="14" s="1"/>
  <c r="CP33" i="18"/>
  <c r="CM19" i="14" s="1"/>
  <c r="CN158" i="18"/>
  <c r="CO161" i="18"/>
  <c r="CP153" i="18"/>
  <c r="CP45" i="18" s="1"/>
  <c r="CQ156" i="18"/>
  <c r="CY96" i="18"/>
  <c r="CZ99" i="18"/>
  <c r="CT148" i="18"/>
  <c r="CU151" i="18"/>
  <c r="CS137" i="18"/>
  <c r="CS36" i="18" s="1"/>
  <c r="CP22" i="14" s="1"/>
  <c r="CT140" i="18"/>
  <c r="DQ142" i="18" s="1"/>
  <c r="CS143" i="18"/>
  <c r="CS46" i="18" s="1"/>
  <c r="CT146" i="18"/>
  <c r="CM39" i="18"/>
  <c r="CM42" i="18"/>
  <c r="CJ24" i="14" s="1"/>
  <c r="DH111" i="18"/>
  <c r="DI115" i="18"/>
  <c r="CQ101" i="18" l="1"/>
  <c r="CQ29" i="18" s="1"/>
  <c r="CN18" i="14" s="1"/>
  <c r="CR104" i="18"/>
  <c r="CS181" i="18"/>
  <c r="CS50" i="18" s="1"/>
  <c r="CT184" i="18"/>
  <c r="CT137" i="18"/>
  <c r="CT36" i="18" s="1"/>
  <c r="CQ22" i="14" s="1"/>
  <c r="CU140" i="18"/>
  <c r="DR142" i="18" s="1"/>
  <c r="CT143" i="18"/>
  <c r="CT46" i="18" s="1"/>
  <c r="CU146" i="18"/>
  <c r="CY15" i="18"/>
  <c r="CY23" i="18"/>
  <c r="CY24" i="18"/>
  <c r="CV17" i="14" s="1"/>
  <c r="CR25" i="18"/>
  <c r="CR26" i="18"/>
  <c r="CO16" i="14" s="1"/>
  <c r="CS106" i="18"/>
  <c r="CT109" i="18"/>
  <c r="CR126" i="18"/>
  <c r="CS129" i="18"/>
  <c r="CW176" i="18"/>
  <c r="CW49" i="18" s="1"/>
  <c r="CT26" i="14" s="1"/>
  <c r="CX179" i="18"/>
  <c r="CP131" i="18"/>
  <c r="CP35" i="18" s="1"/>
  <c r="CM21" i="14" s="1"/>
  <c r="CQ134" i="18"/>
  <c r="DN136" i="18" s="1"/>
  <c r="CU148" i="18"/>
  <c r="CV151" i="18"/>
  <c r="CJ23" i="14"/>
  <c r="CJ12" i="14" s="1"/>
  <c r="CJ10" i="14" s="1"/>
  <c r="CM8" i="18"/>
  <c r="CT44" i="18"/>
  <c r="CT38" i="18"/>
  <c r="CT40" i="18"/>
  <c r="CT43" i="18"/>
  <c r="CO158" i="18"/>
  <c r="CP161" i="18"/>
  <c r="CR28" i="18"/>
  <c r="CR51" i="18"/>
  <c r="CO27" i="14" s="1"/>
  <c r="CR27" i="18"/>
  <c r="CR31" i="18"/>
  <c r="CQ61" i="18"/>
  <c r="CN30" i="14" s="1"/>
  <c r="CQ34" i="18"/>
  <c r="CN20" i="14" s="1"/>
  <c r="CQ33" i="18"/>
  <c r="CN19" i="14" s="1"/>
  <c r="CQ48" i="18"/>
  <c r="CN25" i="14" s="1"/>
  <c r="CU11" i="14"/>
  <c r="CZ96" i="18"/>
  <c r="DA99" i="18"/>
  <c r="CQ153" i="18"/>
  <c r="CQ45" i="18" s="1"/>
  <c r="CR156" i="18"/>
  <c r="CN39" i="18"/>
  <c r="CN42" i="18"/>
  <c r="CK24" i="14" s="1"/>
  <c r="CN15" i="14"/>
  <c r="CR163" i="18"/>
  <c r="CR37" i="18" s="1"/>
  <c r="CS166" i="18"/>
  <c r="CS121" i="18"/>
  <c r="CS30" i="18" s="1"/>
  <c r="CT124" i="18"/>
  <c r="CS168" i="18"/>
  <c r="CT171" i="18"/>
  <c r="DI111" i="18"/>
  <c r="DJ115" i="18"/>
  <c r="CR101" i="18" l="1"/>
  <c r="CR29" i="18" s="1"/>
  <c r="CS104" i="18"/>
  <c r="CS101" i="18" s="1"/>
  <c r="CS29" i="18" s="1"/>
  <c r="CU184" i="18"/>
  <c r="CT181" i="18"/>
  <c r="CT50" i="18" s="1"/>
  <c r="CT121" i="18"/>
  <c r="CT30" i="18" s="1"/>
  <c r="CU124" i="18"/>
  <c r="CR153" i="18"/>
  <c r="CR45" i="18" s="1"/>
  <c r="CS156" i="18"/>
  <c r="CS27" i="18"/>
  <c r="CS31" i="18"/>
  <c r="CS51" i="18"/>
  <c r="CP27" i="14" s="1"/>
  <c r="CS28" i="18"/>
  <c r="CP158" i="18"/>
  <c r="CQ161" i="18"/>
  <c r="CV148" i="18"/>
  <c r="CW151" i="18"/>
  <c r="CX176" i="18"/>
  <c r="CX49" i="18" s="1"/>
  <c r="CU26" i="14" s="1"/>
  <c r="CY179" i="18"/>
  <c r="CS126" i="18"/>
  <c r="CT129" i="18"/>
  <c r="CU137" i="18"/>
  <c r="CU36" i="18" s="1"/>
  <c r="CR22" i="14" s="1"/>
  <c r="CV140" i="18"/>
  <c r="DS142" i="18" s="1"/>
  <c r="CT168" i="18"/>
  <c r="CU171" i="18"/>
  <c r="CS163" i="18"/>
  <c r="CS37" i="18" s="1"/>
  <c r="CT166" i="18"/>
  <c r="DA96" i="18"/>
  <c r="DB99" i="18"/>
  <c r="CO18" i="14"/>
  <c r="CO39" i="18"/>
  <c r="CO42" i="18"/>
  <c r="CL24" i="14" s="1"/>
  <c r="CU44" i="18"/>
  <c r="CU40" i="18"/>
  <c r="CU38" i="18"/>
  <c r="CU43" i="18"/>
  <c r="CR61" i="18"/>
  <c r="CO30" i="14" s="1"/>
  <c r="CR34" i="18"/>
  <c r="CO20" i="14" s="1"/>
  <c r="CR48" i="18"/>
  <c r="CO25" i="14" s="1"/>
  <c r="CR33" i="18"/>
  <c r="CO19" i="14" s="1"/>
  <c r="CO15" i="14"/>
  <c r="CV11" i="14"/>
  <c r="CS25" i="18"/>
  <c r="CS26" i="18"/>
  <c r="CP16" i="14" s="1"/>
  <c r="CK23" i="14"/>
  <c r="CK12" i="14" s="1"/>
  <c r="CK10" i="14" s="1"/>
  <c r="CN8" i="18"/>
  <c r="CZ15" i="18"/>
  <c r="CZ24" i="18"/>
  <c r="CW17" i="14" s="1"/>
  <c r="CZ23" i="18"/>
  <c r="CQ131" i="18"/>
  <c r="CQ35" i="18" s="1"/>
  <c r="CR134" i="18"/>
  <c r="DO136" i="18" s="1"/>
  <c r="CT106" i="18"/>
  <c r="CU109" i="18"/>
  <c r="CU143" i="18"/>
  <c r="CU46" i="18" s="1"/>
  <c r="CV146" i="18"/>
  <c r="DJ111" i="18"/>
  <c r="DK115" i="18"/>
  <c r="CT104" i="18" l="1"/>
  <c r="CU181" i="18"/>
  <c r="CU50" i="18" s="1"/>
  <c r="CV184" i="18"/>
  <c r="CN21" i="14"/>
  <c r="CV143" i="18"/>
  <c r="CV46" i="18" s="1"/>
  <c r="CW146" i="18"/>
  <c r="CT31" i="18"/>
  <c r="CT28" i="18"/>
  <c r="CT51" i="18"/>
  <c r="CQ27" i="14" s="1"/>
  <c r="CT27" i="18"/>
  <c r="CW11" i="14"/>
  <c r="DA24" i="18"/>
  <c r="CX17" i="14" s="1"/>
  <c r="DA23" i="18"/>
  <c r="DA15" i="18"/>
  <c r="CT25" i="18"/>
  <c r="CT26" i="18"/>
  <c r="CQ16" i="14" s="1"/>
  <c r="CS48" i="18"/>
  <c r="CP25" i="14" s="1"/>
  <c r="CS34" i="18"/>
  <c r="CP20" i="14" s="1"/>
  <c r="CS33" i="18"/>
  <c r="CP19" i="14" s="1"/>
  <c r="CS61" i="18"/>
  <c r="CP30" i="14" s="1"/>
  <c r="CV38" i="18"/>
  <c r="CV40" i="18"/>
  <c r="CV43" i="18"/>
  <c r="CV44" i="18"/>
  <c r="CP15" i="14"/>
  <c r="CT163" i="18"/>
  <c r="CT37" i="18" s="1"/>
  <c r="CU166" i="18"/>
  <c r="CY176" i="18"/>
  <c r="CY49" i="18" s="1"/>
  <c r="CV26" i="14" s="1"/>
  <c r="CZ179" i="18"/>
  <c r="CQ158" i="18"/>
  <c r="CR161" i="18"/>
  <c r="CU121" i="18"/>
  <c r="CU30" i="18" s="1"/>
  <c r="CV124" i="18"/>
  <c r="CR131" i="18"/>
  <c r="CR35" i="18" s="1"/>
  <c r="CS134" i="18"/>
  <c r="DP136" i="18" s="1"/>
  <c r="CP42" i="18"/>
  <c r="CM24" i="14" s="1"/>
  <c r="CP39" i="18"/>
  <c r="CU106" i="18"/>
  <c r="CV109" i="18"/>
  <c r="CL23" i="14"/>
  <c r="CL12" i="14" s="1"/>
  <c r="CL10" i="14" s="1"/>
  <c r="CO8" i="18"/>
  <c r="DB96" i="18"/>
  <c r="DC99" i="18"/>
  <c r="CU168" i="18"/>
  <c r="CV171" i="18"/>
  <c r="CV137" i="18"/>
  <c r="CV36" i="18" s="1"/>
  <c r="CS22" i="14" s="1"/>
  <c r="CW140" i="18"/>
  <c r="DT142" i="18" s="1"/>
  <c r="CT126" i="18"/>
  <c r="CU129" i="18"/>
  <c r="CW148" i="18"/>
  <c r="CX151" i="18"/>
  <c r="CP18" i="14"/>
  <c r="CS153" i="18"/>
  <c r="CS45" i="18" s="1"/>
  <c r="CT156" i="18"/>
  <c r="DK111" i="18"/>
  <c r="DL115" i="18"/>
  <c r="CT101" i="18" l="1"/>
  <c r="CT29" i="18" s="1"/>
  <c r="CQ18" i="14" s="1"/>
  <c r="CU104" i="18"/>
  <c r="CV181" i="18"/>
  <c r="CV50" i="18" s="1"/>
  <c r="CW184" i="18"/>
  <c r="CT153" i="18"/>
  <c r="CT45" i="18" s="1"/>
  <c r="CU156" i="18"/>
  <c r="CW38" i="18"/>
  <c r="CW43" i="18"/>
  <c r="CW44" i="18"/>
  <c r="CW40" i="18"/>
  <c r="DB15" i="18"/>
  <c r="DB24" i="18"/>
  <c r="CY17" i="14" s="1"/>
  <c r="DB23" i="18"/>
  <c r="CU51" i="18"/>
  <c r="CR27" i="14" s="1"/>
  <c r="CU31" i="18"/>
  <c r="CU27" i="18"/>
  <c r="CU28" i="18"/>
  <c r="CS131" i="18"/>
  <c r="CS35" i="18" s="1"/>
  <c r="CT134" i="18"/>
  <c r="DQ136" i="18" s="1"/>
  <c r="CR158" i="18"/>
  <c r="CS161" i="18"/>
  <c r="CU163" i="18"/>
  <c r="CU37" i="18" s="1"/>
  <c r="CV166" i="18"/>
  <c r="CW143" i="18"/>
  <c r="CW46" i="18" s="1"/>
  <c r="CX146" i="18"/>
  <c r="CU126" i="18"/>
  <c r="CV129" i="18"/>
  <c r="CV168" i="18"/>
  <c r="CW171" i="18"/>
  <c r="CO21" i="14"/>
  <c r="CT61" i="18"/>
  <c r="CQ30" i="14" s="1"/>
  <c r="CT34" i="18"/>
  <c r="CQ20" i="14" s="1"/>
  <c r="CT33" i="18"/>
  <c r="CQ19" i="14" s="1"/>
  <c r="CT48" i="18"/>
  <c r="CQ25" i="14" s="1"/>
  <c r="CU26" i="18"/>
  <c r="CR16" i="14" s="1"/>
  <c r="CU25" i="18"/>
  <c r="CM23" i="14"/>
  <c r="CM12" i="14" s="1"/>
  <c r="CM10" i="14" s="1"/>
  <c r="CP8" i="18"/>
  <c r="CQ39" i="18"/>
  <c r="CQ42" i="18"/>
  <c r="CN24" i="14" s="1"/>
  <c r="CQ15" i="14"/>
  <c r="CX148" i="18"/>
  <c r="CY151" i="18"/>
  <c r="CW137" i="18"/>
  <c r="CW36" i="18" s="1"/>
  <c r="CT22" i="14" s="1"/>
  <c r="CX140" i="18"/>
  <c r="DU142" i="18" s="1"/>
  <c r="DC96" i="18"/>
  <c r="DD99" i="18"/>
  <c r="CV106" i="18"/>
  <c r="CW109" i="18"/>
  <c r="CV121" i="18"/>
  <c r="CV30" i="18" s="1"/>
  <c r="CW124" i="18"/>
  <c r="CZ176" i="18"/>
  <c r="CZ49" i="18" s="1"/>
  <c r="CW26" i="14" s="1"/>
  <c r="DA179" i="18"/>
  <c r="CX11" i="14"/>
  <c r="DL111" i="18"/>
  <c r="DM115" i="18"/>
  <c r="CV104" i="18" l="1"/>
  <c r="CU101" i="18"/>
  <c r="CU29" i="18" s="1"/>
  <c r="CW181" i="18"/>
  <c r="CW50" i="18" s="1"/>
  <c r="CX184" i="18"/>
  <c r="CY148" i="18"/>
  <c r="CZ151" i="18"/>
  <c r="CV126" i="18"/>
  <c r="CW129" i="18"/>
  <c r="CV163" i="18"/>
  <c r="CV37" i="18" s="1"/>
  <c r="CW166" i="18"/>
  <c r="CS158" i="18"/>
  <c r="CT161" i="18"/>
  <c r="CT131" i="18"/>
  <c r="CT35" i="18" s="1"/>
  <c r="CQ21" i="14" s="1"/>
  <c r="CU134" i="18"/>
  <c r="DR136" i="18" s="1"/>
  <c r="CY11" i="14"/>
  <c r="CW121" i="18"/>
  <c r="CW30" i="18" s="1"/>
  <c r="CX124" i="18"/>
  <c r="DC15" i="18"/>
  <c r="DC24" i="18"/>
  <c r="CZ17" i="14" s="1"/>
  <c r="DC23" i="18"/>
  <c r="CX43" i="18"/>
  <c r="CX44" i="18"/>
  <c r="CX38" i="18"/>
  <c r="CX40" i="18"/>
  <c r="CR15" i="14"/>
  <c r="CU34" i="18"/>
  <c r="CR20" i="14" s="1"/>
  <c r="CU33" i="18"/>
  <c r="CR19" i="14" s="1"/>
  <c r="CU61" i="18"/>
  <c r="CR30" i="14" s="1"/>
  <c r="CU48" i="18"/>
  <c r="CR25" i="14" s="1"/>
  <c r="CR39" i="18"/>
  <c r="CR42" i="18"/>
  <c r="CO24" i="14" s="1"/>
  <c r="CP21" i="14"/>
  <c r="CU153" i="18"/>
  <c r="CU45" i="18" s="1"/>
  <c r="CV156" i="18"/>
  <c r="DA176" i="18"/>
  <c r="DA49" i="18" s="1"/>
  <c r="CX26" i="14" s="1"/>
  <c r="DB179" i="18"/>
  <c r="CX137" i="18"/>
  <c r="CX36" i="18" s="1"/>
  <c r="CU22" i="14" s="1"/>
  <c r="CY140" i="18"/>
  <c r="DV142" i="18" s="1"/>
  <c r="CW168" i="18"/>
  <c r="CX171" i="18"/>
  <c r="CX143" i="18"/>
  <c r="CX46" i="18" s="1"/>
  <c r="CY146" i="18"/>
  <c r="DD96" i="18"/>
  <c r="DE99" i="18"/>
  <c r="CW106" i="18"/>
  <c r="CX109" i="18"/>
  <c r="CV51" i="18"/>
  <c r="CS27" i="14" s="1"/>
  <c r="CV31" i="18"/>
  <c r="CV27" i="18"/>
  <c r="CV28" i="18"/>
  <c r="CN23" i="14"/>
  <c r="CN12" i="14" s="1"/>
  <c r="CN10" i="14" s="1"/>
  <c r="CQ8" i="18"/>
  <c r="CV26" i="18"/>
  <c r="CS16" i="14" s="1"/>
  <c r="CV25" i="18"/>
  <c r="CR18" i="14"/>
  <c r="DM111" i="18"/>
  <c r="DN115" i="18"/>
  <c r="CV101" i="18" l="1"/>
  <c r="CV29" i="18" s="1"/>
  <c r="CS18" i="14" s="1"/>
  <c r="CW104" i="18"/>
  <c r="CX181" i="18"/>
  <c r="CX50" i="18" s="1"/>
  <c r="CY184" i="18"/>
  <c r="CS15" i="14"/>
  <c r="CW28" i="18"/>
  <c r="CW27" i="18"/>
  <c r="CW31" i="18"/>
  <c r="CW51" i="18"/>
  <c r="CT27" i="14" s="1"/>
  <c r="CW26" i="18"/>
  <c r="CT16" i="14" s="1"/>
  <c r="CW25" i="18"/>
  <c r="CS39" i="18"/>
  <c r="CS42" i="18"/>
  <c r="CP24" i="14" s="1"/>
  <c r="CV33" i="18"/>
  <c r="CS19" i="14" s="1"/>
  <c r="CV61" i="18"/>
  <c r="CS30" i="14" s="1"/>
  <c r="CV34" i="18"/>
  <c r="CS20" i="14" s="1"/>
  <c r="CV48" i="18"/>
  <c r="CS25" i="14" s="1"/>
  <c r="DE96" i="18"/>
  <c r="DF99" i="18"/>
  <c r="DB176" i="18"/>
  <c r="DB49" i="18" s="1"/>
  <c r="CY26" i="14" s="1"/>
  <c r="DC179" i="18"/>
  <c r="CX121" i="18"/>
  <c r="CX30" i="18" s="1"/>
  <c r="CY124" i="18"/>
  <c r="CU131" i="18"/>
  <c r="CU35" i="18" s="1"/>
  <c r="CV134" i="18"/>
  <c r="DS136" i="18" s="1"/>
  <c r="CW163" i="18"/>
  <c r="CW37" i="18" s="1"/>
  <c r="CX166" i="18"/>
  <c r="CZ148" i="18"/>
  <c r="DA151" i="18"/>
  <c r="CY143" i="18"/>
  <c r="CY46" i="18" s="1"/>
  <c r="CZ146" i="18"/>
  <c r="CV153" i="18"/>
  <c r="CV45" i="18" s="1"/>
  <c r="CW156" i="18"/>
  <c r="DD23" i="18"/>
  <c r="DD24" i="18"/>
  <c r="DA17" i="14" s="1"/>
  <c r="DD15" i="18"/>
  <c r="CO23" i="14"/>
  <c r="CO12" i="14" s="1"/>
  <c r="CO10" i="14" s="1"/>
  <c r="CR8" i="18"/>
  <c r="CY38" i="18"/>
  <c r="CY40" i="18"/>
  <c r="CY43" i="18"/>
  <c r="CY44" i="18"/>
  <c r="CX106" i="18"/>
  <c r="CY109" i="18"/>
  <c r="CX168" i="18"/>
  <c r="CY171" i="18"/>
  <c r="CY137" i="18"/>
  <c r="CY36" i="18" s="1"/>
  <c r="CV22" i="14" s="1"/>
  <c r="CZ140" i="18"/>
  <c r="DW142" i="18" s="1"/>
  <c r="CZ11" i="14"/>
  <c r="CT158" i="18"/>
  <c r="CU161" i="18"/>
  <c r="CW126" i="18"/>
  <c r="CX129" i="18"/>
  <c r="DN111" i="18"/>
  <c r="DO115" i="18"/>
  <c r="CW101" i="18" l="1"/>
  <c r="CW29" i="18" s="1"/>
  <c r="CX104" i="18"/>
  <c r="CY181" i="18"/>
  <c r="CY50" i="18" s="1"/>
  <c r="CZ184" i="18"/>
  <c r="CZ137" i="18"/>
  <c r="CZ36" i="18" s="1"/>
  <c r="CW22" i="14" s="1"/>
  <c r="DA140" i="18"/>
  <c r="DX142" i="18" s="1"/>
  <c r="CZ43" i="18"/>
  <c r="CZ44" i="18"/>
  <c r="CZ38" i="18"/>
  <c r="CZ40" i="18"/>
  <c r="CV131" i="18"/>
  <c r="CV35" i="18" s="1"/>
  <c r="CS21" i="14" s="1"/>
  <c r="CW134" i="18"/>
  <c r="DT136" i="18" s="1"/>
  <c r="DC176" i="18"/>
  <c r="DC49" i="18" s="1"/>
  <c r="CZ26" i="14" s="1"/>
  <c r="DD179" i="18"/>
  <c r="DE23" i="18"/>
  <c r="DE24" i="18"/>
  <c r="DB17" i="14" s="1"/>
  <c r="DE15" i="18"/>
  <c r="CU158" i="18"/>
  <c r="CV161" i="18"/>
  <c r="CW153" i="18"/>
  <c r="CW45" i="18" s="1"/>
  <c r="CX156" i="18"/>
  <c r="CR21" i="14"/>
  <c r="CW61" i="18"/>
  <c r="CT30" i="14" s="1"/>
  <c r="CW33" i="18"/>
  <c r="CT19" i="14" s="1"/>
  <c r="CW48" i="18"/>
  <c r="CT25" i="14" s="1"/>
  <c r="CW34" i="18"/>
  <c r="CT20" i="14" s="1"/>
  <c r="CY106" i="18"/>
  <c r="CZ109" i="18"/>
  <c r="DA11" i="14"/>
  <c r="CX163" i="18"/>
  <c r="CX37" i="18" s="1"/>
  <c r="CY166" i="18"/>
  <c r="CY121" i="18"/>
  <c r="CY30" i="18" s="1"/>
  <c r="CZ124" i="18"/>
  <c r="CT39" i="18"/>
  <c r="CT42" i="18"/>
  <c r="CQ24" i="14" s="1"/>
  <c r="CY168" i="18"/>
  <c r="CZ171" i="18"/>
  <c r="CX126" i="18"/>
  <c r="CY129" i="18"/>
  <c r="CX25" i="18"/>
  <c r="CX26" i="18"/>
  <c r="CU16" i="14" s="1"/>
  <c r="CX31" i="18"/>
  <c r="CX28" i="18"/>
  <c r="CX51" i="18"/>
  <c r="CU27" i="14" s="1"/>
  <c r="CX27" i="18"/>
  <c r="CZ143" i="18"/>
  <c r="CZ46" i="18" s="1"/>
  <c r="DA146" i="18"/>
  <c r="DA148" i="18"/>
  <c r="DB151" i="18"/>
  <c r="DF96" i="18"/>
  <c r="DG99" i="18"/>
  <c r="CP23" i="14"/>
  <c r="CP12" i="14" s="1"/>
  <c r="CP10" i="14" s="1"/>
  <c r="CS8" i="18"/>
  <c r="CT15" i="14"/>
  <c r="CT18" i="14"/>
  <c r="DO111" i="18"/>
  <c r="DP115" i="18"/>
  <c r="CY104" i="18" l="1"/>
  <c r="CX101" i="18"/>
  <c r="CX29" i="18" s="1"/>
  <c r="CU18" i="14" s="1"/>
  <c r="CZ181" i="18"/>
  <c r="CZ50" i="18" s="1"/>
  <c r="DA184" i="18"/>
  <c r="DF15" i="18"/>
  <c r="DF24" i="18"/>
  <c r="DC17" i="14" s="1"/>
  <c r="DF23" i="18"/>
  <c r="CX153" i="18"/>
  <c r="CX45" i="18" s="1"/>
  <c r="CY156" i="18"/>
  <c r="CV158" i="18"/>
  <c r="CW161" i="18"/>
  <c r="CW131" i="18"/>
  <c r="CW35" i="18" s="1"/>
  <c r="CT21" i="14" s="1"/>
  <c r="CX134" i="18"/>
  <c r="DU136" i="18" s="1"/>
  <c r="CY126" i="18"/>
  <c r="CZ129" i="18"/>
  <c r="CX34" i="18"/>
  <c r="CU20" i="14" s="1"/>
  <c r="CX33" i="18"/>
  <c r="CU19" i="14" s="1"/>
  <c r="CX48" i="18"/>
  <c r="CU25" i="14" s="1"/>
  <c r="CX61" i="18"/>
  <c r="CU30" i="14" s="1"/>
  <c r="CQ23" i="14"/>
  <c r="CQ12" i="14" s="1"/>
  <c r="CQ10" i="14" s="1"/>
  <c r="CT8" i="18"/>
  <c r="CY163" i="18"/>
  <c r="CY37" i="18" s="1"/>
  <c r="CZ166" i="18"/>
  <c r="CU39" i="18"/>
  <c r="CU42" i="18"/>
  <c r="CR24" i="14" s="1"/>
  <c r="DA143" i="18"/>
  <c r="DA46" i="18" s="1"/>
  <c r="DB146" i="18"/>
  <c r="CZ168" i="18"/>
  <c r="DA171" i="18"/>
  <c r="CZ106" i="18"/>
  <c r="DA109" i="18"/>
  <c r="DD176" i="18"/>
  <c r="DD49" i="18" s="1"/>
  <c r="DA26" i="14" s="1"/>
  <c r="DE179" i="18"/>
  <c r="DA137" i="18"/>
  <c r="DA36" i="18" s="1"/>
  <c r="CX22" i="14" s="1"/>
  <c r="DB140" i="18"/>
  <c r="DY142" i="18" s="1"/>
  <c r="DB148" i="18"/>
  <c r="DC151" i="18"/>
  <c r="DG96" i="18"/>
  <c r="DH99" i="18"/>
  <c r="DA43" i="18"/>
  <c r="DA44" i="18"/>
  <c r="DA40" i="18"/>
  <c r="DA38" i="18"/>
  <c r="CU15" i="14"/>
  <c r="CY25" i="18"/>
  <c r="CY26" i="18"/>
  <c r="CV16" i="14" s="1"/>
  <c r="CZ121" i="18"/>
  <c r="CZ30" i="18" s="1"/>
  <c r="DA124" i="18"/>
  <c r="CY28" i="18"/>
  <c r="CY27" i="18"/>
  <c r="CY51" i="18"/>
  <c r="CV27" i="14" s="1"/>
  <c r="CY31" i="18"/>
  <c r="DB11" i="14"/>
  <c r="DP111" i="18"/>
  <c r="DQ115" i="18"/>
  <c r="CY101" i="18" l="1"/>
  <c r="CY29" i="18" s="1"/>
  <c r="CZ104" i="18"/>
  <c r="DA181" i="18"/>
  <c r="DA50" i="18" s="1"/>
  <c r="DB184" i="18"/>
  <c r="CV18" i="14"/>
  <c r="DC148" i="18"/>
  <c r="DD151" i="18"/>
  <c r="CZ163" i="18"/>
  <c r="CZ37" i="18" s="1"/>
  <c r="DA166" i="18"/>
  <c r="CV42" i="18"/>
  <c r="CS24" i="14" s="1"/>
  <c r="CV39" i="18"/>
  <c r="DE176" i="18"/>
  <c r="DE49" i="18" s="1"/>
  <c r="DB26" i="14" s="1"/>
  <c r="DF179" i="18"/>
  <c r="DA168" i="18"/>
  <c r="DB171" i="18"/>
  <c r="CZ126" i="18"/>
  <c r="DA129" i="18"/>
  <c r="CX131" i="18"/>
  <c r="CX35" i="18" s="1"/>
  <c r="CY134" i="18"/>
  <c r="DV136" i="18" s="1"/>
  <c r="CY153" i="18"/>
  <c r="CY45" i="18" s="1"/>
  <c r="CZ156" i="18"/>
  <c r="DB38" i="18"/>
  <c r="DB40" i="18"/>
  <c r="DB44" i="18"/>
  <c r="DB43" i="18"/>
  <c r="CV15" i="14"/>
  <c r="DG15" i="18"/>
  <c r="DG24" i="18"/>
  <c r="DD17" i="14" s="1"/>
  <c r="DG23" i="18"/>
  <c r="DB137" i="18"/>
  <c r="DB36" i="18" s="1"/>
  <c r="CY22" i="14" s="1"/>
  <c r="DC140" i="18"/>
  <c r="DZ142" i="18" s="1"/>
  <c r="DA106" i="18"/>
  <c r="DB109" i="18"/>
  <c r="CZ25" i="18"/>
  <c r="CZ26" i="18"/>
  <c r="CW16" i="14" s="1"/>
  <c r="DB143" i="18"/>
  <c r="DB46" i="18" s="1"/>
  <c r="DC146" i="18"/>
  <c r="CR23" i="14"/>
  <c r="CR12" i="14" s="1"/>
  <c r="CR10" i="14" s="1"/>
  <c r="CU8" i="18"/>
  <c r="CY48" i="18"/>
  <c r="CV25" i="14" s="1"/>
  <c r="CY34" i="18"/>
  <c r="CV20" i="14" s="1"/>
  <c r="CY61" i="18"/>
  <c r="CV30" i="14" s="1"/>
  <c r="CY33" i="18"/>
  <c r="CV19" i="14" s="1"/>
  <c r="DH96" i="18"/>
  <c r="DI99" i="18"/>
  <c r="DA121" i="18"/>
  <c r="DA30" i="18" s="1"/>
  <c r="DB124" i="18"/>
  <c r="CZ28" i="18"/>
  <c r="CZ51" i="18"/>
  <c r="CW27" i="14" s="1"/>
  <c r="CZ31" i="18"/>
  <c r="CZ27" i="18"/>
  <c r="CW158" i="18"/>
  <c r="CX161" i="18"/>
  <c r="DC11" i="14"/>
  <c r="DQ111" i="18"/>
  <c r="DR115" i="18"/>
  <c r="CZ101" i="18" l="1"/>
  <c r="CZ29" i="18" s="1"/>
  <c r="CW18" i="14" s="1"/>
  <c r="DA104" i="18"/>
  <c r="DB181" i="18"/>
  <c r="DB50" i="18" s="1"/>
  <c r="DC184" i="18"/>
  <c r="DC143" i="18"/>
  <c r="DC46" i="18" s="1"/>
  <c r="DD146" i="18"/>
  <c r="DB106" i="18"/>
  <c r="DC109" i="18"/>
  <c r="CU21" i="14"/>
  <c r="DB168" i="18"/>
  <c r="DC171" i="18"/>
  <c r="CS23" i="14"/>
  <c r="CS12" i="14" s="1"/>
  <c r="CS10" i="14" s="1"/>
  <c r="CV8" i="18"/>
  <c r="DD148" i="18"/>
  <c r="DE151" i="18"/>
  <c r="DB121" i="18"/>
  <c r="DB30" i="18" s="1"/>
  <c r="DC124" i="18"/>
  <c r="DA51" i="18"/>
  <c r="CX27" i="14" s="1"/>
  <c r="DA31" i="18"/>
  <c r="DA28" i="18"/>
  <c r="DA27" i="18"/>
  <c r="CZ153" i="18"/>
  <c r="CZ45" i="18" s="1"/>
  <c r="DA156" i="18"/>
  <c r="DA126" i="18"/>
  <c r="DB129" i="18"/>
  <c r="DA26" i="18"/>
  <c r="CX16" i="14" s="1"/>
  <c r="DA25" i="18"/>
  <c r="DC40" i="18"/>
  <c r="DC43" i="18"/>
  <c r="DC38" i="18"/>
  <c r="DC44" i="18"/>
  <c r="CX158" i="18"/>
  <c r="CY161" i="18"/>
  <c r="DI96" i="18"/>
  <c r="DJ99" i="18"/>
  <c r="DC137" i="18"/>
  <c r="DC36" i="18" s="1"/>
  <c r="CZ22" i="14" s="1"/>
  <c r="DD140" i="18"/>
  <c r="EA142" i="18" s="1"/>
  <c r="DD11" i="14"/>
  <c r="CZ61" i="18"/>
  <c r="CW30" i="14" s="1"/>
  <c r="CZ34" i="18"/>
  <c r="CW20" i="14" s="1"/>
  <c r="CZ48" i="18"/>
  <c r="CW25" i="14" s="1"/>
  <c r="CZ33" i="18"/>
  <c r="CW19" i="14" s="1"/>
  <c r="DF176" i="18"/>
  <c r="DF49" i="18" s="1"/>
  <c r="DC26" i="14" s="1"/>
  <c r="DG179" i="18"/>
  <c r="DA163" i="18"/>
  <c r="DA37" i="18" s="1"/>
  <c r="DB166" i="18"/>
  <c r="CW39" i="18"/>
  <c r="CW42" i="18"/>
  <c r="CT24" i="14" s="1"/>
  <c r="DH15" i="18"/>
  <c r="DH24" i="18"/>
  <c r="DE17" i="14" s="1"/>
  <c r="DH23" i="18"/>
  <c r="CW15" i="14"/>
  <c r="CY131" i="18"/>
  <c r="CY35" i="18" s="1"/>
  <c r="CV21" i="14" s="1"/>
  <c r="CZ134" i="18"/>
  <c r="DW136" i="18" s="1"/>
  <c r="DR111" i="18"/>
  <c r="DS115" i="18"/>
  <c r="DB104" i="18" l="1"/>
  <c r="DA101" i="18"/>
  <c r="DA29" i="18" s="1"/>
  <c r="DC181" i="18"/>
  <c r="DC50" i="18" s="1"/>
  <c r="DD184" i="18"/>
  <c r="CZ131" i="18"/>
  <c r="CZ35" i="18" s="1"/>
  <c r="DA134" i="18"/>
  <c r="DX136" i="18" s="1"/>
  <c r="DE11" i="14"/>
  <c r="CX42" i="18"/>
  <c r="CU24" i="14" s="1"/>
  <c r="CX39" i="18"/>
  <c r="DA48" i="18"/>
  <c r="CX25" i="14" s="1"/>
  <c r="DA61" i="18"/>
  <c r="CX30" i="14" s="1"/>
  <c r="DA34" i="18"/>
  <c r="CX20" i="14" s="1"/>
  <c r="DA33" i="18"/>
  <c r="CX19" i="14" s="1"/>
  <c r="DB163" i="18"/>
  <c r="DB37" i="18" s="1"/>
  <c r="DC166" i="18"/>
  <c r="DJ96" i="18"/>
  <c r="DK99" i="18"/>
  <c r="CX15" i="14"/>
  <c r="DA153" i="18"/>
  <c r="DA45" i="18" s="1"/>
  <c r="DB156" i="18"/>
  <c r="DE148" i="18"/>
  <c r="DF151" i="18"/>
  <c r="DC168" i="18"/>
  <c r="DD171" i="18"/>
  <c r="DC106" i="18"/>
  <c r="DD109" i="18"/>
  <c r="CT23" i="14"/>
  <c r="CT12" i="14" s="1"/>
  <c r="CT10" i="14" s="1"/>
  <c r="CW8" i="18"/>
  <c r="DI24" i="18"/>
  <c r="DF17" i="14" s="1"/>
  <c r="DI15" i="18"/>
  <c r="DI23" i="18"/>
  <c r="DD38" i="18"/>
  <c r="DD43" i="18"/>
  <c r="DD40" i="18"/>
  <c r="DD44" i="18"/>
  <c r="DB26" i="18"/>
  <c r="CY16" i="14" s="1"/>
  <c r="DB25" i="18"/>
  <c r="DB27" i="18"/>
  <c r="DB51" i="18"/>
  <c r="CY27" i="14" s="1"/>
  <c r="DB28" i="18"/>
  <c r="DB31" i="18"/>
  <c r="DG176" i="18"/>
  <c r="DG49" i="18" s="1"/>
  <c r="DD26" i="14" s="1"/>
  <c r="DH179" i="18"/>
  <c r="DD137" i="18"/>
  <c r="DD36" i="18" s="1"/>
  <c r="DA22" i="14" s="1"/>
  <c r="DE140" i="18"/>
  <c r="EB142" i="18" s="1"/>
  <c r="CY158" i="18"/>
  <c r="CZ161" i="18"/>
  <c r="DB126" i="18"/>
  <c r="DC129" i="18"/>
  <c r="CX18" i="14"/>
  <c r="DC121" i="18"/>
  <c r="DC30" i="18" s="1"/>
  <c r="DD124" i="18"/>
  <c r="DD143" i="18"/>
  <c r="DD46" i="18" s="1"/>
  <c r="DE146" i="18"/>
  <c r="DS111" i="18"/>
  <c r="DT115" i="18"/>
  <c r="DB101" i="18" l="1"/>
  <c r="DB29" i="18" s="1"/>
  <c r="DC104" i="18"/>
  <c r="DD181" i="18"/>
  <c r="DD50" i="18" s="1"/>
  <c r="DE184" i="18"/>
  <c r="DC126" i="18"/>
  <c r="DD129" i="18"/>
  <c r="DE143" i="18"/>
  <c r="DE46" i="18" s="1"/>
  <c r="DF146" i="18"/>
  <c r="CY42" i="18"/>
  <c r="CV24" i="14" s="1"/>
  <c r="CY39" i="18"/>
  <c r="DC31" i="18"/>
  <c r="DC28" i="18"/>
  <c r="DC27" i="18"/>
  <c r="DC51" i="18"/>
  <c r="CZ27" i="14" s="1"/>
  <c r="DE38" i="18"/>
  <c r="DE43" i="18"/>
  <c r="DE44" i="18"/>
  <c r="DE40" i="18"/>
  <c r="DD168" i="18"/>
  <c r="DE171" i="18"/>
  <c r="DB153" i="18"/>
  <c r="DB45" i="18" s="1"/>
  <c r="DC156" i="18"/>
  <c r="DK96" i="18"/>
  <c r="DL99" i="18"/>
  <c r="DE137" i="18"/>
  <c r="DE36" i="18" s="1"/>
  <c r="DB22" i="14" s="1"/>
  <c r="DF140" i="18"/>
  <c r="EC142" i="18" s="1"/>
  <c r="DD121" i="18"/>
  <c r="DD30" i="18" s="1"/>
  <c r="DE124" i="18"/>
  <c r="DB61" i="18"/>
  <c r="CY30" i="14" s="1"/>
  <c r="DB34" i="18"/>
  <c r="CY20" i="14" s="1"/>
  <c r="DB33" i="18"/>
  <c r="CY19" i="14" s="1"/>
  <c r="DB48" i="18"/>
  <c r="CY25" i="14" s="1"/>
  <c r="CY18" i="14"/>
  <c r="DF11" i="14"/>
  <c r="DC25" i="18"/>
  <c r="DC26" i="18"/>
  <c r="CZ16" i="14" s="1"/>
  <c r="DJ15" i="18"/>
  <c r="DJ24" i="18"/>
  <c r="DG17" i="14" s="1"/>
  <c r="DJ23" i="18"/>
  <c r="CU23" i="14"/>
  <c r="CU12" i="14" s="1"/>
  <c r="CU10" i="14" s="1"/>
  <c r="CX8" i="18"/>
  <c r="DA131" i="18"/>
  <c r="DA35" i="18" s="1"/>
  <c r="DB134" i="18"/>
  <c r="DY136" i="18" s="1"/>
  <c r="CZ158" i="18"/>
  <c r="DA161" i="18"/>
  <c r="DH176" i="18"/>
  <c r="DH49" i="18" s="1"/>
  <c r="DE26" i="14" s="1"/>
  <c r="DI179" i="18"/>
  <c r="CY15" i="14"/>
  <c r="DD106" i="18"/>
  <c r="DE109" i="18"/>
  <c r="DF148" i="18"/>
  <c r="DG151" i="18"/>
  <c r="DC163" i="18"/>
  <c r="DC37" i="18" s="1"/>
  <c r="DD166" i="18"/>
  <c r="CW21" i="14"/>
  <c r="DT111" i="18"/>
  <c r="DU115" i="18"/>
  <c r="DC101" i="18" l="1"/>
  <c r="DC29" i="18" s="1"/>
  <c r="DD104" i="18"/>
  <c r="DE181" i="18"/>
  <c r="DE50" i="18" s="1"/>
  <c r="DF184" i="18"/>
  <c r="DD163" i="18"/>
  <c r="DD37" i="18" s="1"/>
  <c r="DE166" i="18"/>
  <c r="DE106" i="18"/>
  <c r="DF109" i="18"/>
  <c r="DI176" i="18"/>
  <c r="DI49" i="18" s="1"/>
  <c r="DF26" i="14" s="1"/>
  <c r="DJ179" i="18"/>
  <c r="DB131" i="18"/>
  <c r="DB35" i="18" s="1"/>
  <c r="DC134" i="18"/>
  <c r="DZ136" i="18" s="1"/>
  <c r="DE121" i="18"/>
  <c r="DE30" i="18" s="1"/>
  <c r="DF124" i="18"/>
  <c r="DL96" i="18"/>
  <c r="DM99" i="18"/>
  <c r="DE168" i="18"/>
  <c r="DF171" i="18"/>
  <c r="CV23" i="14"/>
  <c r="CV12" i="14" s="1"/>
  <c r="CV10" i="14" s="1"/>
  <c r="CY8" i="18"/>
  <c r="DD126" i="18"/>
  <c r="DE129" i="18"/>
  <c r="CX21" i="14"/>
  <c r="DG148" i="18"/>
  <c r="DH151" i="18"/>
  <c r="DA158" i="18"/>
  <c r="DB161" i="18"/>
  <c r="DK23" i="18"/>
  <c r="DK15" i="18"/>
  <c r="DK24" i="18"/>
  <c r="DH17" i="14" s="1"/>
  <c r="DD25" i="18"/>
  <c r="DD26" i="18"/>
  <c r="DA16" i="14" s="1"/>
  <c r="CZ18" i="14"/>
  <c r="DC33" i="18"/>
  <c r="CZ19" i="14" s="1"/>
  <c r="DC61" i="18"/>
  <c r="CZ30" i="14" s="1"/>
  <c r="DC34" i="18"/>
  <c r="CZ20" i="14" s="1"/>
  <c r="DC48" i="18"/>
  <c r="CZ25" i="14" s="1"/>
  <c r="DD51" i="18"/>
  <c r="DA27" i="14" s="1"/>
  <c r="DD31" i="18"/>
  <c r="DD28" i="18"/>
  <c r="DD27" i="18"/>
  <c r="CZ15" i="14"/>
  <c r="DF38" i="18"/>
  <c r="DF43" i="18"/>
  <c r="DF40" i="18"/>
  <c r="DF44" i="18"/>
  <c r="CZ42" i="18"/>
  <c r="CW24" i="14" s="1"/>
  <c r="CZ39" i="18"/>
  <c r="DG11" i="14"/>
  <c r="DF137" i="18"/>
  <c r="DF36" i="18" s="1"/>
  <c r="DC22" i="14" s="1"/>
  <c r="DG140" i="18"/>
  <c r="ED142" i="18" s="1"/>
  <c r="DC153" i="18"/>
  <c r="DC45" i="18" s="1"/>
  <c r="DD156" i="18"/>
  <c r="DF143" i="18"/>
  <c r="DF46" i="18" s="1"/>
  <c r="DG146" i="18"/>
  <c r="DU111" i="18"/>
  <c r="DV115" i="18"/>
  <c r="DD101" i="18" l="1"/>
  <c r="DD29" i="18" s="1"/>
  <c r="DA18" i="14" s="1"/>
  <c r="DE104" i="18"/>
  <c r="DF181" i="18"/>
  <c r="DF50" i="18" s="1"/>
  <c r="DG184" i="18"/>
  <c r="CW23" i="14"/>
  <c r="CW12" i="14" s="1"/>
  <c r="CW10" i="14" s="1"/>
  <c r="CZ8" i="18"/>
  <c r="DA15" i="14"/>
  <c r="DH148" i="18"/>
  <c r="DI151" i="18"/>
  <c r="DE26" i="18"/>
  <c r="DB16" i="14" s="1"/>
  <c r="DE25" i="18"/>
  <c r="DJ176" i="18"/>
  <c r="DJ49" i="18" s="1"/>
  <c r="DG26" i="14" s="1"/>
  <c r="DK179" i="18"/>
  <c r="DE163" i="18"/>
  <c r="DE37" i="18" s="1"/>
  <c r="DF166" i="18"/>
  <c r="DG43" i="18"/>
  <c r="DG40" i="18"/>
  <c r="DG38" i="18"/>
  <c r="DG44" i="18"/>
  <c r="DE126" i="18"/>
  <c r="DF129" i="18"/>
  <c r="DM96" i="18"/>
  <c r="DN99" i="18"/>
  <c r="DH11" i="14"/>
  <c r="DB158" i="18"/>
  <c r="DC161" i="18"/>
  <c r="DD34" i="18"/>
  <c r="DA20" i="14" s="1"/>
  <c r="DD48" i="18"/>
  <c r="DA25" i="14" s="1"/>
  <c r="DD61" i="18"/>
  <c r="DA30" i="14" s="1"/>
  <c r="DD33" i="18"/>
  <c r="DA19" i="14" s="1"/>
  <c r="DL15" i="18"/>
  <c r="DL24" i="18"/>
  <c r="DI17" i="14" s="1"/>
  <c r="DL23" i="18"/>
  <c r="DC131" i="18"/>
  <c r="DC35" i="18" s="1"/>
  <c r="CZ21" i="14" s="1"/>
  <c r="DD134" i="18"/>
  <c r="EA136" i="18" s="1"/>
  <c r="DF106" i="18"/>
  <c r="DG109" i="18"/>
  <c r="DG143" i="18"/>
  <c r="DG46" i="18" s="1"/>
  <c r="DH146" i="18"/>
  <c r="DD153" i="18"/>
  <c r="DD45" i="18" s="1"/>
  <c r="DE156" i="18"/>
  <c r="DG137" i="18"/>
  <c r="DG36" i="18" s="1"/>
  <c r="DD22" i="14" s="1"/>
  <c r="DH140" i="18"/>
  <c r="EE142" i="18" s="1"/>
  <c r="DA39" i="18"/>
  <c r="DA42" i="18"/>
  <c r="CX24" i="14" s="1"/>
  <c r="DF168" i="18"/>
  <c r="DG171" i="18"/>
  <c r="DF121" i="18"/>
  <c r="DF30" i="18" s="1"/>
  <c r="DG124" i="18"/>
  <c r="CY21" i="14"/>
  <c r="DE28" i="18"/>
  <c r="DE31" i="18"/>
  <c r="DE51" i="18"/>
  <c r="DB27" i="14" s="1"/>
  <c r="DE27" i="18"/>
  <c r="DV111" i="18"/>
  <c r="DW115" i="18"/>
  <c r="DE101" i="18" l="1"/>
  <c r="DE29" i="18" s="1"/>
  <c r="DF104" i="18"/>
  <c r="DG181" i="18"/>
  <c r="DG50" i="18" s="1"/>
  <c r="DH184" i="18"/>
  <c r="DB18" i="14"/>
  <c r="DH137" i="18"/>
  <c r="DH36" i="18" s="1"/>
  <c r="DE22" i="14" s="1"/>
  <c r="DI140" i="18"/>
  <c r="EF142" i="18" s="1"/>
  <c r="DG121" i="18"/>
  <c r="DG30" i="18" s="1"/>
  <c r="DH124" i="18"/>
  <c r="DF28" i="18"/>
  <c r="DF51" i="18"/>
  <c r="DC27" i="14" s="1"/>
  <c r="DF27" i="18"/>
  <c r="DF31" i="18"/>
  <c r="DB39" i="18"/>
  <c r="DB42" i="18"/>
  <c r="CY24" i="14" s="1"/>
  <c r="DM15" i="18"/>
  <c r="DM23" i="18"/>
  <c r="DM24" i="18"/>
  <c r="DJ17" i="14" s="1"/>
  <c r="DE48" i="18"/>
  <c r="DB25" i="14" s="1"/>
  <c r="DE33" i="18"/>
  <c r="DB19" i="14" s="1"/>
  <c r="DE34" i="18"/>
  <c r="DB20" i="14" s="1"/>
  <c r="DE61" i="18"/>
  <c r="DB30" i="14" s="1"/>
  <c r="DH143" i="18"/>
  <c r="DH46" i="18" s="1"/>
  <c r="DI146" i="18"/>
  <c r="DF163" i="18"/>
  <c r="DF37" i="18" s="1"/>
  <c r="DG166" i="18"/>
  <c r="DI148" i="18"/>
  <c r="DJ151" i="18"/>
  <c r="DD131" i="18"/>
  <c r="DD35" i="18" s="1"/>
  <c r="DA21" i="14" s="1"/>
  <c r="DE134" i="18"/>
  <c r="EB136" i="18" s="1"/>
  <c r="DG168" i="18"/>
  <c r="DH171" i="18"/>
  <c r="CX23" i="14"/>
  <c r="CX12" i="14" s="1"/>
  <c r="CX10" i="14" s="1"/>
  <c r="DA8" i="18"/>
  <c r="DI11" i="14"/>
  <c r="DB15" i="14"/>
  <c r="DH43" i="18"/>
  <c r="DH40" i="18"/>
  <c r="DH38" i="18"/>
  <c r="DH44" i="18"/>
  <c r="DF26" i="18"/>
  <c r="DC16" i="14" s="1"/>
  <c r="DF25" i="18"/>
  <c r="DE153" i="18"/>
  <c r="DE45" i="18" s="1"/>
  <c r="DF156" i="18"/>
  <c r="DG106" i="18"/>
  <c r="DH109" i="18"/>
  <c r="DC158" i="18"/>
  <c r="DD161" i="18"/>
  <c r="DN96" i="18"/>
  <c r="DO99" i="18"/>
  <c r="DF126" i="18"/>
  <c r="DG129" i="18"/>
  <c r="DK176" i="18"/>
  <c r="DK49" i="18" s="1"/>
  <c r="DH26" i="14" s="1"/>
  <c r="DL179" i="18"/>
  <c r="DW111" i="18"/>
  <c r="DX115" i="18"/>
  <c r="DF101" i="18" l="1"/>
  <c r="DF29" i="18" s="1"/>
  <c r="DG104" i="18"/>
  <c r="DH181" i="18"/>
  <c r="DH50" i="18" s="1"/>
  <c r="DI184" i="18"/>
  <c r="DH106" i="18"/>
  <c r="DI109" i="18"/>
  <c r="DC15" i="14"/>
  <c r="DE131" i="18"/>
  <c r="DE35" i="18" s="1"/>
  <c r="DF134" i="18"/>
  <c r="EC136" i="18" s="1"/>
  <c r="DI137" i="18"/>
  <c r="DI36" i="18" s="1"/>
  <c r="DF22" i="14" s="1"/>
  <c r="DJ140" i="18"/>
  <c r="EG142" i="18" s="1"/>
  <c r="DL176" i="18"/>
  <c r="DL49" i="18" s="1"/>
  <c r="DI26" i="14" s="1"/>
  <c r="DM179" i="18"/>
  <c r="DN24" i="18"/>
  <c r="DK17" i="14" s="1"/>
  <c r="DN23" i="18"/>
  <c r="DN15" i="18"/>
  <c r="DH168" i="18"/>
  <c r="DI171" i="18"/>
  <c r="DJ148" i="18"/>
  <c r="DK151" i="18"/>
  <c r="CY23" i="14"/>
  <c r="CY12" i="14" s="1"/>
  <c r="CY10" i="14" s="1"/>
  <c r="DB8" i="18"/>
  <c r="DG126" i="18"/>
  <c r="DH129" i="18"/>
  <c r="DF153" i="18"/>
  <c r="DF45" i="18" s="1"/>
  <c r="DG156" i="18"/>
  <c r="DG25" i="18"/>
  <c r="DG26" i="18"/>
  <c r="DD16" i="14" s="1"/>
  <c r="DI38" i="18"/>
  <c r="DI40" i="18"/>
  <c r="DI43" i="18"/>
  <c r="DI44" i="18"/>
  <c r="DH121" i="18"/>
  <c r="DH30" i="18" s="1"/>
  <c r="DI124" i="18"/>
  <c r="DO96" i="18"/>
  <c r="DP99" i="18"/>
  <c r="DG28" i="18"/>
  <c r="DG31" i="18"/>
  <c r="DG27" i="18"/>
  <c r="DG51" i="18"/>
  <c r="DD27" i="14" s="1"/>
  <c r="DD158" i="18"/>
  <c r="DE161" i="18"/>
  <c r="DF33" i="18"/>
  <c r="DC19" i="14" s="1"/>
  <c r="DF48" i="18"/>
  <c r="DC25" i="14" s="1"/>
  <c r="DF61" i="18"/>
  <c r="DC30" i="14" s="1"/>
  <c r="DF34" i="18"/>
  <c r="DC20" i="14" s="1"/>
  <c r="DC42" i="18"/>
  <c r="CZ24" i="14" s="1"/>
  <c r="DC39" i="18"/>
  <c r="DG163" i="18"/>
  <c r="DG37" i="18" s="1"/>
  <c r="DH166" i="18"/>
  <c r="DI143" i="18"/>
  <c r="DI46" i="18" s="1"/>
  <c r="DJ146" i="18"/>
  <c r="DJ11" i="14"/>
  <c r="DC18" i="14"/>
  <c r="DX111" i="18"/>
  <c r="DY115" i="18"/>
  <c r="DG101" i="18" l="1"/>
  <c r="DG29" i="18" s="1"/>
  <c r="DH104" i="18"/>
  <c r="DI181" i="18"/>
  <c r="DI50" i="18" s="1"/>
  <c r="DJ184" i="18"/>
  <c r="DD18" i="14"/>
  <c r="DO15" i="18"/>
  <c r="DO24" i="18"/>
  <c r="DL17" i="14" s="1"/>
  <c r="DO23" i="18"/>
  <c r="DG153" i="18"/>
  <c r="DG45" i="18" s="1"/>
  <c r="DH156" i="18"/>
  <c r="DK148" i="18"/>
  <c r="DL151" i="18"/>
  <c r="DH25" i="18"/>
  <c r="DH26" i="18"/>
  <c r="DE16" i="14" s="1"/>
  <c r="DM176" i="18"/>
  <c r="DM49" i="18" s="1"/>
  <c r="DJ26" i="14" s="1"/>
  <c r="DN179" i="18"/>
  <c r="DJ143" i="18"/>
  <c r="DJ46" i="18" s="1"/>
  <c r="DK146" i="18"/>
  <c r="DJ43" i="18"/>
  <c r="DJ40" i="18"/>
  <c r="DJ38" i="18"/>
  <c r="DJ44" i="18"/>
  <c r="DK11" i="14"/>
  <c r="DF131" i="18"/>
  <c r="DF35" i="18" s="1"/>
  <c r="DC21" i="14" s="1"/>
  <c r="DG134" i="18"/>
  <c r="ED136" i="18" s="1"/>
  <c r="DI106" i="18"/>
  <c r="DJ109" i="18"/>
  <c r="DE158" i="18"/>
  <c r="DF161" i="18"/>
  <c r="CZ23" i="14"/>
  <c r="CZ12" i="14" s="1"/>
  <c r="CZ10" i="14" s="1"/>
  <c r="DC8" i="18"/>
  <c r="DD42" i="18"/>
  <c r="DA24" i="14" s="1"/>
  <c r="DD39" i="18"/>
  <c r="DD15" i="14"/>
  <c r="DH126" i="18"/>
  <c r="DI129" i="18"/>
  <c r="DJ137" i="18"/>
  <c r="DJ36" i="18" s="1"/>
  <c r="DG22" i="14" s="1"/>
  <c r="DK140" i="18"/>
  <c r="EH142" i="18" s="1"/>
  <c r="DB21" i="14"/>
  <c r="DH51" i="18"/>
  <c r="DE27" i="14" s="1"/>
  <c r="DH28" i="18"/>
  <c r="DH27" i="18"/>
  <c r="DH31" i="18"/>
  <c r="DH163" i="18"/>
  <c r="DH37" i="18" s="1"/>
  <c r="DI166" i="18"/>
  <c r="DP96" i="18"/>
  <c r="DQ99" i="18"/>
  <c r="DI121" i="18"/>
  <c r="DI30" i="18" s="1"/>
  <c r="DJ124" i="18"/>
  <c r="DG48" i="18"/>
  <c r="DD25" i="14" s="1"/>
  <c r="DG61" i="18"/>
  <c r="DD30" i="14" s="1"/>
  <c r="DG34" i="18"/>
  <c r="DD20" i="14" s="1"/>
  <c r="DG33" i="18"/>
  <c r="DD19" i="14" s="1"/>
  <c r="DI168" i="18"/>
  <c r="DJ171" i="18"/>
  <c r="DY111" i="18"/>
  <c r="DZ115" i="18"/>
  <c r="DH101" i="18" l="1"/>
  <c r="DH29" i="18" s="1"/>
  <c r="DE18" i="14" s="1"/>
  <c r="DI104" i="18"/>
  <c r="DJ181" i="18"/>
  <c r="DJ50" i="18" s="1"/>
  <c r="DK184" i="18"/>
  <c r="DK143" i="18"/>
  <c r="DK46" i="18" s="1"/>
  <c r="DL146" i="18"/>
  <c r="DI26" i="18"/>
  <c r="DF16" i="14" s="1"/>
  <c r="DI25" i="18"/>
  <c r="DQ96" i="18"/>
  <c r="DR99" i="18"/>
  <c r="DK137" i="18"/>
  <c r="DK36" i="18" s="1"/>
  <c r="DH22" i="14" s="1"/>
  <c r="DL140" i="18"/>
  <c r="EI142" i="18" s="1"/>
  <c r="F142" i="18" s="1"/>
  <c r="E142" i="18" s="1"/>
  <c r="DI126" i="18"/>
  <c r="DJ129" i="18"/>
  <c r="DA23" i="14"/>
  <c r="DA12" i="14" s="1"/>
  <c r="DA10" i="14" s="1"/>
  <c r="DD8" i="18"/>
  <c r="DJ106" i="18"/>
  <c r="DK109" i="18"/>
  <c r="DG131" i="18"/>
  <c r="DG35" i="18" s="1"/>
  <c r="DD21" i="14" s="1"/>
  <c r="DH134" i="18"/>
  <c r="EE136" i="18" s="1"/>
  <c r="DE15" i="14"/>
  <c r="DP15" i="18"/>
  <c r="DP23" i="18"/>
  <c r="DP24" i="18"/>
  <c r="DM17" i="14" s="1"/>
  <c r="DH61" i="18"/>
  <c r="DE30" i="14" s="1"/>
  <c r="DH33" i="18"/>
  <c r="DE19" i="14" s="1"/>
  <c r="DH34" i="18"/>
  <c r="DE20" i="14" s="1"/>
  <c r="DH48" i="18"/>
  <c r="DE25" i="14" s="1"/>
  <c r="DF158" i="18"/>
  <c r="DG161" i="18"/>
  <c r="DI28" i="18"/>
  <c r="DI27" i="18"/>
  <c r="DI51" i="18"/>
  <c r="DF27" i="14" s="1"/>
  <c r="DI31" i="18"/>
  <c r="DN176" i="18"/>
  <c r="DN49" i="18" s="1"/>
  <c r="DK26" i="14" s="1"/>
  <c r="DO179" i="18"/>
  <c r="DL148" i="18"/>
  <c r="DM151" i="18"/>
  <c r="DH153" i="18"/>
  <c r="DH45" i="18" s="1"/>
  <c r="DI156" i="18"/>
  <c r="DL11" i="14"/>
  <c r="DJ168" i="18"/>
  <c r="DK171" i="18"/>
  <c r="DJ121" i="18"/>
  <c r="DJ30" i="18" s="1"/>
  <c r="DK124" i="18"/>
  <c r="DI163" i="18"/>
  <c r="DI37" i="18" s="1"/>
  <c r="DJ166" i="18"/>
  <c r="DE39" i="18"/>
  <c r="DE42" i="18"/>
  <c r="DB24" i="14" s="1"/>
  <c r="DK44" i="18"/>
  <c r="DK38" i="18"/>
  <c r="DK40" i="18"/>
  <c r="DK43" i="18"/>
  <c r="DZ111" i="18"/>
  <c r="EA115" i="18"/>
  <c r="DI101" i="18" l="1"/>
  <c r="DI29" i="18" s="1"/>
  <c r="DF18" i="14" s="1"/>
  <c r="DJ104" i="18"/>
  <c r="DK181" i="18"/>
  <c r="DK50" i="18" s="1"/>
  <c r="DL184" i="18"/>
  <c r="DL44" i="18"/>
  <c r="DL43" i="18"/>
  <c r="DL38" i="18"/>
  <c r="DL40" i="18"/>
  <c r="DF42" i="18"/>
  <c r="DC24" i="14" s="1"/>
  <c r="DF39" i="18"/>
  <c r="DJ163" i="18"/>
  <c r="DJ37" i="18" s="1"/>
  <c r="DK166" i="18"/>
  <c r="DO176" i="18"/>
  <c r="DO49" i="18" s="1"/>
  <c r="DL26" i="14" s="1"/>
  <c r="DP179" i="18"/>
  <c r="DK106" i="18"/>
  <c r="DL109" i="18"/>
  <c r="DJ126" i="18"/>
  <c r="DK129" i="18"/>
  <c r="DR96" i="18"/>
  <c r="DS99" i="18"/>
  <c r="DB23" i="14"/>
  <c r="DB12" i="14" s="1"/>
  <c r="DB10" i="14" s="1"/>
  <c r="DE8" i="18"/>
  <c r="DK168" i="18"/>
  <c r="DL171" i="18"/>
  <c r="DI153" i="18"/>
  <c r="DI45" i="18" s="1"/>
  <c r="DJ156" i="18"/>
  <c r="DJ25" i="18"/>
  <c r="DJ26" i="18"/>
  <c r="DG16" i="14" s="1"/>
  <c r="DJ51" i="18"/>
  <c r="DG27" i="14" s="1"/>
  <c r="DJ27" i="18"/>
  <c r="DJ31" i="18"/>
  <c r="DJ28" i="18"/>
  <c r="DI34" i="18"/>
  <c r="DF20" i="14" s="1"/>
  <c r="DI48" i="18"/>
  <c r="DF25" i="14" s="1"/>
  <c r="DI33" i="18"/>
  <c r="DF19" i="14" s="1"/>
  <c r="DI61" i="18"/>
  <c r="DF30" i="14" s="1"/>
  <c r="DQ15" i="18"/>
  <c r="DQ24" i="18"/>
  <c r="DN17" i="14" s="1"/>
  <c r="DQ23" i="18"/>
  <c r="DL143" i="18"/>
  <c r="DL46" i="18" s="1"/>
  <c r="DM146" i="18"/>
  <c r="DK121" i="18"/>
  <c r="DK30" i="18" s="1"/>
  <c r="DL124" i="18"/>
  <c r="DM148" i="18"/>
  <c r="DN151" i="18"/>
  <c r="DG158" i="18"/>
  <c r="DH161" i="18"/>
  <c r="DM11" i="14"/>
  <c r="DH131" i="18"/>
  <c r="DH35" i="18" s="1"/>
  <c r="DI134" i="18"/>
  <c r="EF136" i="18" s="1"/>
  <c r="DL137" i="18"/>
  <c r="DL36" i="18" s="1"/>
  <c r="DI22" i="14" s="1"/>
  <c r="DM140" i="18"/>
  <c r="DF15" i="14"/>
  <c r="EA111" i="18"/>
  <c r="EB115" i="18"/>
  <c r="DK104" i="18" l="1"/>
  <c r="DJ101" i="18"/>
  <c r="DJ29" i="18" s="1"/>
  <c r="DM184" i="18"/>
  <c r="DL181" i="18"/>
  <c r="DL50" i="18" s="1"/>
  <c r="DE21" i="14"/>
  <c r="DG39" i="18"/>
  <c r="DG42" i="18"/>
  <c r="DD24" i="14" s="1"/>
  <c r="DM40" i="18"/>
  <c r="DM43" i="18"/>
  <c r="DM38" i="18"/>
  <c r="DM44" i="18"/>
  <c r="DK126" i="18"/>
  <c r="DL129" i="18"/>
  <c r="DP176" i="18"/>
  <c r="DP49" i="18" s="1"/>
  <c r="DM26" i="14" s="1"/>
  <c r="DQ179" i="18"/>
  <c r="DL121" i="18"/>
  <c r="DL30" i="18" s="1"/>
  <c r="DM124" i="18"/>
  <c r="DG18" i="14"/>
  <c r="DG15" i="14"/>
  <c r="DL168" i="18"/>
  <c r="DM171" i="18"/>
  <c r="DJ34" i="18"/>
  <c r="DG20" i="14" s="1"/>
  <c r="DJ48" i="18"/>
  <c r="DG25" i="14" s="1"/>
  <c r="DJ33" i="18"/>
  <c r="DG19" i="14" s="1"/>
  <c r="DJ61" i="18"/>
  <c r="DG30" i="14" s="1"/>
  <c r="DC23" i="14"/>
  <c r="DC12" i="14" s="1"/>
  <c r="DC10" i="14" s="1"/>
  <c r="DF8" i="18"/>
  <c r="DM143" i="18"/>
  <c r="DM46" i="18" s="1"/>
  <c r="DN146" i="18"/>
  <c r="DN11" i="14"/>
  <c r="DK26" i="18"/>
  <c r="DH16" i="14" s="1"/>
  <c r="DK25" i="18"/>
  <c r="DS96" i="18"/>
  <c r="DT99" i="18"/>
  <c r="DL106" i="18"/>
  <c r="DM109" i="18"/>
  <c r="DK163" i="18"/>
  <c r="DK37" i="18" s="1"/>
  <c r="DL166" i="18"/>
  <c r="DM137" i="18"/>
  <c r="DM36" i="18" s="1"/>
  <c r="DJ22" i="14" s="1"/>
  <c r="DN140" i="18"/>
  <c r="DI131" i="18"/>
  <c r="DI35" i="18" s="1"/>
  <c r="DJ134" i="18"/>
  <c r="EG136" i="18" s="1"/>
  <c r="DH158" i="18"/>
  <c r="DI161" i="18"/>
  <c r="DN148" i="18"/>
  <c r="DO151" i="18"/>
  <c r="DJ153" i="18"/>
  <c r="DJ45" i="18" s="1"/>
  <c r="DK156" i="18"/>
  <c r="DR23" i="18"/>
  <c r="DR15" i="18"/>
  <c r="DR24" i="18"/>
  <c r="DO17" i="14" s="1"/>
  <c r="DK31" i="18"/>
  <c r="DK28" i="18"/>
  <c r="DK51" i="18"/>
  <c r="DH27" i="14" s="1"/>
  <c r="DK27" i="18"/>
  <c r="EB111" i="18"/>
  <c r="EC115" i="18"/>
  <c r="DK101" i="18" l="1"/>
  <c r="DK29" i="18" s="1"/>
  <c r="DL104" i="18"/>
  <c r="DM181" i="18"/>
  <c r="DM50" i="18" s="1"/>
  <c r="DN184" i="18"/>
  <c r="DO11" i="14"/>
  <c r="DN44" i="18"/>
  <c r="DN38" i="18"/>
  <c r="DN43" i="18"/>
  <c r="DN40" i="18"/>
  <c r="DF21" i="14"/>
  <c r="DL31" i="18"/>
  <c r="DL27" i="18"/>
  <c r="DL51" i="18"/>
  <c r="DI27" i="14" s="1"/>
  <c r="DL28" i="18"/>
  <c r="DQ176" i="18"/>
  <c r="DQ49" i="18" s="1"/>
  <c r="DN26" i="14" s="1"/>
  <c r="DR179" i="18"/>
  <c r="DI158" i="18"/>
  <c r="DJ161" i="18"/>
  <c r="DN137" i="18"/>
  <c r="DN36" i="18" s="1"/>
  <c r="DK22" i="14" s="1"/>
  <c r="DO140" i="18"/>
  <c r="DL163" i="18"/>
  <c r="DL37" i="18" s="1"/>
  <c r="DM166" i="18"/>
  <c r="DT96" i="18"/>
  <c r="DU99" i="18"/>
  <c r="DM168" i="18"/>
  <c r="DN171" i="18"/>
  <c r="DD23" i="14"/>
  <c r="DD12" i="14" s="1"/>
  <c r="DD10" i="14" s="1"/>
  <c r="DG8" i="18"/>
  <c r="DK153" i="18"/>
  <c r="DK45" i="18" s="1"/>
  <c r="DL156" i="18"/>
  <c r="DH42" i="18"/>
  <c r="DE24" i="14" s="1"/>
  <c r="DH39" i="18"/>
  <c r="DS15" i="18"/>
  <c r="DS23" i="18"/>
  <c r="DS24" i="18"/>
  <c r="DP17" i="14" s="1"/>
  <c r="DL26" i="18"/>
  <c r="DI16" i="14" s="1"/>
  <c r="DL25" i="18"/>
  <c r="DM121" i="18"/>
  <c r="DM30" i="18" s="1"/>
  <c r="DN124" i="18"/>
  <c r="DL126" i="18"/>
  <c r="DM129" i="18"/>
  <c r="DH18" i="14"/>
  <c r="DO148" i="18"/>
  <c r="DP151" i="18"/>
  <c r="DJ131" i="18"/>
  <c r="DJ35" i="18" s="1"/>
  <c r="DG21" i="14" s="1"/>
  <c r="DK134" i="18"/>
  <c r="EH136" i="18" s="1"/>
  <c r="DM106" i="18"/>
  <c r="DN109" i="18"/>
  <c r="DH15" i="14"/>
  <c r="DN143" i="18"/>
  <c r="DN46" i="18" s="1"/>
  <c r="DO146" i="18"/>
  <c r="DK33" i="18"/>
  <c r="DH19" i="14" s="1"/>
  <c r="DK61" i="18"/>
  <c r="DH30" i="14" s="1"/>
  <c r="DK34" i="18"/>
  <c r="DH20" i="14" s="1"/>
  <c r="DK48" i="18"/>
  <c r="DH25" i="14" s="1"/>
  <c r="EC111" i="18"/>
  <c r="ED115" i="18"/>
  <c r="DM104" i="18" l="1"/>
  <c r="DL101" i="18"/>
  <c r="DL29" i="18" s="1"/>
  <c r="DI18" i="14" s="1"/>
  <c r="DN181" i="18"/>
  <c r="DN50" i="18" s="1"/>
  <c r="DO184" i="18"/>
  <c r="DP148" i="18"/>
  <c r="DQ151" i="18"/>
  <c r="DM126" i="18"/>
  <c r="DN129" i="18"/>
  <c r="DP11" i="14"/>
  <c r="DL153" i="18"/>
  <c r="DL45" i="18" s="1"/>
  <c r="DM156" i="18"/>
  <c r="DT15" i="18"/>
  <c r="DT23" i="18"/>
  <c r="DT24" i="18"/>
  <c r="DQ17" i="14" s="1"/>
  <c r="DO143" i="18"/>
  <c r="DO46" i="18" s="1"/>
  <c r="DP146" i="18"/>
  <c r="DM31" i="18"/>
  <c r="DM28" i="18"/>
  <c r="DM27" i="18"/>
  <c r="DM51" i="18"/>
  <c r="DJ27" i="14" s="1"/>
  <c r="DO44" i="18"/>
  <c r="DO43" i="18"/>
  <c r="DO40" i="18"/>
  <c r="DO38" i="18"/>
  <c r="DL33" i="18"/>
  <c r="DI19" i="14" s="1"/>
  <c r="DL34" i="18"/>
  <c r="DI20" i="14" s="1"/>
  <c r="DL61" i="18"/>
  <c r="DI30" i="14" s="1"/>
  <c r="DL48" i="18"/>
  <c r="DI25" i="14" s="1"/>
  <c r="DI15" i="14"/>
  <c r="DM163" i="18"/>
  <c r="DM37" i="18" s="1"/>
  <c r="DN166" i="18"/>
  <c r="DJ158" i="18"/>
  <c r="DK161" i="18"/>
  <c r="DN106" i="18"/>
  <c r="DO109" i="18"/>
  <c r="DK131" i="18"/>
  <c r="DK35" i="18" s="1"/>
  <c r="DH21" i="14" s="1"/>
  <c r="DL134" i="18"/>
  <c r="EI136" i="18" s="1"/>
  <c r="F136" i="18" s="1"/>
  <c r="E136" i="18" s="1"/>
  <c r="DE23" i="14"/>
  <c r="DE12" i="14" s="1"/>
  <c r="DE10" i="14" s="1"/>
  <c r="DH8" i="18"/>
  <c r="DN168" i="18"/>
  <c r="DO171" i="18"/>
  <c r="DI42" i="18"/>
  <c r="DF24" i="14" s="1"/>
  <c r="DI39" i="18"/>
  <c r="DN121" i="18"/>
  <c r="DN30" i="18" s="1"/>
  <c r="DO124" i="18"/>
  <c r="DM26" i="18"/>
  <c r="DJ16" i="14" s="1"/>
  <c r="DM25" i="18"/>
  <c r="DU96" i="18"/>
  <c r="DV99" i="18"/>
  <c r="DO137" i="18"/>
  <c r="DO36" i="18" s="1"/>
  <c r="DL22" i="14" s="1"/>
  <c r="DP140" i="18"/>
  <c r="DR176" i="18"/>
  <c r="DR49" i="18" s="1"/>
  <c r="DO26" i="14" s="1"/>
  <c r="DS179" i="18"/>
  <c r="ED111" i="18"/>
  <c r="EE115" i="18"/>
  <c r="DM101" i="18" l="1"/>
  <c r="DM29" i="18" s="1"/>
  <c r="DN104" i="18"/>
  <c r="DO181" i="18"/>
  <c r="DO50" i="18" s="1"/>
  <c r="DP184" i="18"/>
  <c r="DJ18" i="14"/>
  <c r="DP137" i="18"/>
  <c r="DP36" i="18" s="1"/>
  <c r="DM22" i="14" s="1"/>
  <c r="DQ140" i="18"/>
  <c r="DJ15" i="14"/>
  <c r="DL131" i="18"/>
  <c r="DL35" i="18" s="1"/>
  <c r="DI21" i="14" s="1"/>
  <c r="DM134" i="18"/>
  <c r="DN51" i="18"/>
  <c r="DK27" i="14" s="1"/>
  <c r="DN31" i="18"/>
  <c r="DN28" i="18"/>
  <c r="DN27" i="18"/>
  <c r="DJ39" i="18"/>
  <c r="DJ42" i="18"/>
  <c r="DG24" i="14" s="1"/>
  <c r="DP143" i="18"/>
  <c r="DP46" i="18" s="1"/>
  <c r="DQ146" i="18"/>
  <c r="DM34" i="18"/>
  <c r="DJ20" i="14" s="1"/>
  <c r="DM33" i="18"/>
  <c r="DJ19" i="14" s="1"/>
  <c r="DM61" i="18"/>
  <c r="DJ30" i="14" s="1"/>
  <c r="DM48" i="18"/>
  <c r="DJ25" i="14" s="1"/>
  <c r="DN163" i="18"/>
  <c r="DN37" i="18" s="1"/>
  <c r="DO166" i="18"/>
  <c r="DQ11" i="14"/>
  <c r="DQ148" i="18"/>
  <c r="DR151" i="18"/>
  <c r="DS176" i="18"/>
  <c r="DS49" i="18" s="1"/>
  <c r="DP26" i="14" s="1"/>
  <c r="DT179" i="18"/>
  <c r="DV96" i="18"/>
  <c r="DW99" i="18"/>
  <c r="DF23" i="14"/>
  <c r="DF12" i="14" s="1"/>
  <c r="DF10" i="14" s="1"/>
  <c r="DI8" i="18"/>
  <c r="DO168" i="18"/>
  <c r="DP171" i="18"/>
  <c r="DP44" i="18"/>
  <c r="DP43" i="18"/>
  <c r="DP40" i="18"/>
  <c r="DP38" i="18"/>
  <c r="DU24" i="18"/>
  <c r="DR17" i="14" s="1"/>
  <c r="DU23" i="18"/>
  <c r="DU15" i="18"/>
  <c r="DO121" i="18"/>
  <c r="DO30" i="18" s="1"/>
  <c r="DP124" i="18"/>
  <c r="DN25" i="18"/>
  <c r="DN26" i="18"/>
  <c r="DK16" i="14" s="1"/>
  <c r="DO106" i="18"/>
  <c r="DP109" i="18"/>
  <c r="DK158" i="18"/>
  <c r="DL161" i="18"/>
  <c r="DM153" i="18"/>
  <c r="DM45" i="18" s="1"/>
  <c r="DN156" i="18"/>
  <c r="DN126" i="18"/>
  <c r="DO129" i="18"/>
  <c r="EE111" i="18"/>
  <c r="EF115" i="18"/>
  <c r="DN101" i="18" l="1"/>
  <c r="DN29" i="18" s="1"/>
  <c r="DO104" i="18"/>
  <c r="DQ184" i="18"/>
  <c r="DP181" i="18"/>
  <c r="DP50" i="18" s="1"/>
  <c r="DK39" i="18"/>
  <c r="DK42" i="18"/>
  <c r="DH24" i="14" s="1"/>
  <c r="DR11" i="14"/>
  <c r="DT176" i="18"/>
  <c r="DT49" i="18" s="1"/>
  <c r="DQ26" i="14" s="1"/>
  <c r="DU179" i="18"/>
  <c r="DQ137" i="18"/>
  <c r="DQ36" i="18" s="1"/>
  <c r="DN22" i="14" s="1"/>
  <c r="DR140" i="18"/>
  <c r="DP106" i="18"/>
  <c r="DQ109" i="18"/>
  <c r="DK15" i="14"/>
  <c r="DP168" i="18"/>
  <c r="DQ171" i="18"/>
  <c r="DQ143" i="18"/>
  <c r="DQ46" i="18" s="1"/>
  <c r="DR146" i="18"/>
  <c r="DG23" i="14"/>
  <c r="DG12" i="14" s="1"/>
  <c r="DG10" i="14" s="1"/>
  <c r="DJ8" i="18"/>
  <c r="DO126" i="18"/>
  <c r="DP129" i="18"/>
  <c r="DP121" i="18"/>
  <c r="DP30" i="18" s="1"/>
  <c r="DQ124" i="18"/>
  <c r="DO25" i="18"/>
  <c r="DO26" i="18"/>
  <c r="DL16" i="14" s="1"/>
  <c r="DW96" i="18"/>
  <c r="DX99" i="18"/>
  <c r="DR148" i="18"/>
  <c r="DS151" i="18"/>
  <c r="DK18" i="14"/>
  <c r="DM131" i="18"/>
  <c r="DM35" i="18" s="1"/>
  <c r="DJ21" i="14" s="1"/>
  <c r="DN134" i="18"/>
  <c r="DN34" i="18"/>
  <c r="DK20" i="14" s="1"/>
  <c r="DN48" i="18"/>
  <c r="DK25" i="14" s="1"/>
  <c r="DN33" i="18"/>
  <c r="DK19" i="14" s="1"/>
  <c r="DN61" i="18"/>
  <c r="DK30" i="14" s="1"/>
  <c r="DO31" i="18"/>
  <c r="DO28" i="18"/>
  <c r="DO51" i="18"/>
  <c r="DL27" i="14" s="1"/>
  <c r="DO27" i="18"/>
  <c r="DN153" i="18"/>
  <c r="DN45" i="18" s="1"/>
  <c r="DO156" i="18"/>
  <c r="DL158" i="18"/>
  <c r="DM161" i="18"/>
  <c r="DV23" i="18"/>
  <c r="DV15" i="18"/>
  <c r="DV24" i="18"/>
  <c r="DS17" i="14" s="1"/>
  <c r="DQ44" i="18"/>
  <c r="DQ43" i="18"/>
  <c r="DQ38" i="18"/>
  <c r="DQ40" i="18"/>
  <c r="DO163" i="18"/>
  <c r="DO37" i="18" s="1"/>
  <c r="DP166" i="18"/>
  <c r="EF111" i="18"/>
  <c r="EG115" i="18"/>
  <c r="DO101" i="18" l="1"/>
  <c r="DO29" i="18" s="1"/>
  <c r="DP104" i="18"/>
  <c r="DQ181" i="18"/>
  <c r="DQ50" i="18" s="1"/>
  <c r="DR184" i="18"/>
  <c r="DS11" i="14"/>
  <c r="DO153" i="18"/>
  <c r="DO45" i="18" s="1"/>
  <c r="DP156" i="18"/>
  <c r="DR44" i="18"/>
  <c r="DR43" i="18"/>
  <c r="DR38" i="18"/>
  <c r="DR40" i="18"/>
  <c r="DL15" i="14"/>
  <c r="DO48" i="18"/>
  <c r="DL25" i="14" s="1"/>
  <c r="DO61" i="18"/>
  <c r="DL30" i="14" s="1"/>
  <c r="DO34" i="18"/>
  <c r="DL20" i="14" s="1"/>
  <c r="DO33" i="18"/>
  <c r="DL19" i="14" s="1"/>
  <c r="DP25" i="18"/>
  <c r="DP26" i="18"/>
  <c r="DM16" i="14" s="1"/>
  <c r="DP51" i="18"/>
  <c r="DM27" i="14" s="1"/>
  <c r="DP31" i="18"/>
  <c r="DP28" i="18"/>
  <c r="DP27" i="18"/>
  <c r="DP163" i="18"/>
  <c r="DP37" i="18" s="1"/>
  <c r="DQ166" i="18"/>
  <c r="DQ121" i="18"/>
  <c r="DQ30" i="18" s="1"/>
  <c r="DR124" i="18"/>
  <c r="DR137" i="18"/>
  <c r="DR36" i="18" s="1"/>
  <c r="DO22" i="14" s="1"/>
  <c r="DS140" i="18"/>
  <c r="DX96" i="18"/>
  <c r="DY99" i="18"/>
  <c r="DM158" i="18"/>
  <c r="DN161" i="18"/>
  <c r="DL18" i="14"/>
  <c r="DW23" i="18"/>
  <c r="DW15" i="18"/>
  <c r="DW24" i="18"/>
  <c r="DT17" i="14" s="1"/>
  <c r="DU176" i="18"/>
  <c r="DU49" i="18" s="1"/>
  <c r="DR26" i="14" s="1"/>
  <c r="DV179" i="18"/>
  <c r="DH23" i="14"/>
  <c r="DH12" i="14" s="1"/>
  <c r="DH10" i="14" s="1"/>
  <c r="DK8" i="18"/>
  <c r="DL42" i="18"/>
  <c r="DI24" i="14" s="1"/>
  <c r="DL39" i="18"/>
  <c r="DN131" i="18"/>
  <c r="DN35" i="18" s="1"/>
  <c r="DK21" i="14" s="1"/>
  <c r="DO134" i="18"/>
  <c r="DS148" i="18"/>
  <c r="DT151" i="18"/>
  <c r="DP126" i="18"/>
  <c r="DQ129" i="18"/>
  <c r="DR143" i="18"/>
  <c r="DR46" i="18" s="1"/>
  <c r="DS146" i="18"/>
  <c r="DQ168" i="18"/>
  <c r="DR171" i="18"/>
  <c r="DQ106" i="18"/>
  <c r="DR109" i="18"/>
  <c r="EG111" i="18"/>
  <c r="EH115" i="18"/>
  <c r="DP101" i="18" l="1"/>
  <c r="DP29" i="18" s="1"/>
  <c r="DM18" i="14" s="1"/>
  <c r="DQ104" i="18"/>
  <c r="DS184" i="18"/>
  <c r="DR181" i="18"/>
  <c r="DR50" i="18" s="1"/>
  <c r="DR168" i="18"/>
  <c r="DS171" i="18"/>
  <c r="DS143" i="18"/>
  <c r="DS46" i="18" s="1"/>
  <c r="DT146" i="18"/>
  <c r="DT148" i="18"/>
  <c r="DU151" i="18"/>
  <c r="DI23" i="14"/>
  <c r="DI12" i="14" s="1"/>
  <c r="DI10" i="14" s="1"/>
  <c r="DL8" i="18"/>
  <c r="DS137" i="18"/>
  <c r="DS36" i="18" s="1"/>
  <c r="DP22" i="14" s="1"/>
  <c r="DT140" i="18"/>
  <c r="DQ163" i="18"/>
  <c r="DQ37" i="18" s="1"/>
  <c r="DR166" i="18"/>
  <c r="DR106" i="18"/>
  <c r="DS109" i="18"/>
  <c r="DQ27" i="18"/>
  <c r="DQ28" i="18"/>
  <c r="DQ51" i="18"/>
  <c r="DN27" i="14" s="1"/>
  <c r="DQ31" i="18"/>
  <c r="DS40" i="18"/>
  <c r="DS43" i="18"/>
  <c r="DS44" i="18"/>
  <c r="DS38" i="18"/>
  <c r="DV176" i="18"/>
  <c r="DV49" i="18" s="1"/>
  <c r="DS26" i="14" s="1"/>
  <c r="DW179" i="18"/>
  <c r="DQ126" i="18"/>
  <c r="DR129" i="18"/>
  <c r="DT11" i="14"/>
  <c r="DN158" i="18"/>
  <c r="DO161" i="18"/>
  <c r="DY96" i="18"/>
  <c r="DZ99" i="18"/>
  <c r="DR121" i="18"/>
  <c r="DR30" i="18" s="1"/>
  <c r="DS124" i="18"/>
  <c r="DO131" i="18"/>
  <c r="DO35" i="18" s="1"/>
  <c r="DL21" i="14" s="1"/>
  <c r="DP134" i="18"/>
  <c r="DQ26" i="18"/>
  <c r="DN16" i="14" s="1"/>
  <c r="DQ25" i="18"/>
  <c r="DP48" i="18"/>
  <c r="DM25" i="14" s="1"/>
  <c r="DP61" i="18"/>
  <c r="DM30" i="14" s="1"/>
  <c r="DP34" i="18"/>
  <c r="DM20" i="14" s="1"/>
  <c r="DP33" i="18"/>
  <c r="DM19" i="14" s="1"/>
  <c r="DM39" i="18"/>
  <c r="DM42" i="18"/>
  <c r="DJ24" i="14" s="1"/>
  <c r="DX23" i="18"/>
  <c r="DX24" i="18"/>
  <c r="DU17" i="14" s="1"/>
  <c r="DX15" i="18"/>
  <c r="DM15" i="14"/>
  <c r="DP153" i="18"/>
  <c r="DP45" i="18" s="1"/>
  <c r="DQ156" i="18"/>
  <c r="EH111" i="18"/>
  <c r="EI115" i="18"/>
  <c r="DQ101" i="18" l="1"/>
  <c r="DQ29" i="18" s="1"/>
  <c r="DN18" i="14" s="1"/>
  <c r="DR104" i="18"/>
  <c r="DR101" i="18" s="1"/>
  <c r="DR29" i="18" s="1"/>
  <c r="DT184" i="18"/>
  <c r="DS181" i="18"/>
  <c r="DS50" i="18" s="1"/>
  <c r="DO158" i="18"/>
  <c r="DP161" i="18"/>
  <c r="DR28" i="18"/>
  <c r="DR31" i="18"/>
  <c r="DR27" i="18"/>
  <c r="DR51" i="18"/>
  <c r="DO27" i="14" s="1"/>
  <c r="DU148" i="18"/>
  <c r="DV151" i="18"/>
  <c r="DS168" i="18"/>
  <c r="DT171" i="18"/>
  <c r="DQ153" i="18"/>
  <c r="DQ45" i="18" s="1"/>
  <c r="DR156" i="18"/>
  <c r="DP131" i="18"/>
  <c r="DP35" i="18" s="1"/>
  <c r="DM21" i="14" s="1"/>
  <c r="DQ134" i="18"/>
  <c r="DN39" i="18"/>
  <c r="DN42" i="18"/>
  <c r="DK24" i="14" s="1"/>
  <c r="DW176" i="18"/>
  <c r="DW49" i="18" s="1"/>
  <c r="DT26" i="14" s="1"/>
  <c r="DX179" i="18"/>
  <c r="DT137" i="18"/>
  <c r="DT36" i="18" s="1"/>
  <c r="DQ22" i="14" s="1"/>
  <c r="DU140" i="18"/>
  <c r="DT44" i="18"/>
  <c r="DT43" i="18"/>
  <c r="DT38" i="18"/>
  <c r="DT40" i="18"/>
  <c r="DR26" i="18"/>
  <c r="DO16" i="14" s="1"/>
  <c r="DR25" i="18"/>
  <c r="DZ96" i="18"/>
  <c r="EA99" i="18"/>
  <c r="DR126" i="18"/>
  <c r="DS129" i="18"/>
  <c r="DR163" i="18"/>
  <c r="DR37" i="18" s="1"/>
  <c r="DS166" i="18"/>
  <c r="DT143" i="18"/>
  <c r="DT46" i="18" s="1"/>
  <c r="DU146" i="18"/>
  <c r="DS121" i="18"/>
  <c r="DS30" i="18" s="1"/>
  <c r="DT124" i="18"/>
  <c r="DU11" i="14"/>
  <c r="DJ23" i="14"/>
  <c r="DJ12" i="14" s="1"/>
  <c r="DJ10" i="14" s="1"/>
  <c r="DM8" i="18"/>
  <c r="DN15" i="14"/>
  <c r="DY15" i="18"/>
  <c r="DY23" i="18"/>
  <c r="DY24" i="18"/>
  <c r="DV17" i="14" s="1"/>
  <c r="DQ33" i="18"/>
  <c r="DN19" i="14" s="1"/>
  <c r="DQ61" i="18"/>
  <c r="DN30" i="14" s="1"/>
  <c r="DQ48" i="18"/>
  <c r="DN25" i="14" s="1"/>
  <c r="DQ34" i="18"/>
  <c r="DN20" i="14" s="1"/>
  <c r="DS106" i="18"/>
  <c r="DT109" i="18"/>
  <c r="EI111" i="18"/>
  <c r="F111" i="18" s="1"/>
  <c r="E111" i="18" s="1"/>
  <c r="F115" i="18"/>
  <c r="E115" i="18" s="1"/>
  <c r="DS104" i="18" l="1"/>
  <c r="DO18" i="14"/>
  <c r="DT181" i="18"/>
  <c r="DT50" i="18" s="1"/>
  <c r="DU184" i="18"/>
  <c r="DS126" i="18"/>
  <c r="DT129" i="18"/>
  <c r="DT168" i="18"/>
  <c r="DU171" i="18"/>
  <c r="DP158" i="18"/>
  <c r="DQ161" i="18"/>
  <c r="DS31" i="18"/>
  <c r="DS28" i="18"/>
  <c r="DS27" i="18"/>
  <c r="DS51" i="18"/>
  <c r="DP27" i="14" s="1"/>
  <c r="DT121" i="18"/>
  <c r="DT30" i="18" s="1"/>
  <c r="DU124" i="18"/>
  <c r="DR33" i="18"/>
  <c r="DO19" i="14" s="1"/>
  <c r="DR61" i="18"/>
  <c r="DO30" i="14" s="1"/>
  <c r="DR48" i="18"/>
  <c r="DO25" i="14" s="1"/>
  <c r="DR34" i="18"/>
  <c r="DO20" i="14" s="1"/>
  <c r="DO15" i="14"/>
  <c r="DK23" i="14"/>
  <c r="DK12" i="14" s="1"/>
  <c r="DK10" i="14" s="1"/>
  <c r="DN8" i="18"/>
  <c r="DS25" i="18"/>
  <c r="DS26" i="18"/>
  <c r="DP16" i="14" s="1"/>
  <c r="DO42" i="18"/>
  <c r="DL24" i="14" s="1"/>
  <c r="DO39" i="18"/>
  <c r="DS163" i="18"/>
  <c r="DS37" i="18" s="1"/>
  <c r="DT166" i="18"/>
  <c r="EA96" i="18"/>
  <c r="EB99" i="18"/>
  <c r="DX176" i="18"/>
  <c r="DX49" i="18" s="1"/>
  <c r="DU26" i="14" s="1"/>
  <c r="DY179" i="18"/>
  <c r="DQ131" i="18"/>
  <c r="DQ35" i="18" s="1"/>
  <c r="DN21" i="14" s="1"/>
  <c r="DR134" i="18"/>
  <c r="DR153" i="18"/>
  <c r="DR45" i="18" s="1"/>
  <c r="DS156" i="18"/>
  <c r="DV148" i="18"/>
  <c r="DW151" i="18"/>
  <c r="DT106" i="18"/>
  <c r="DU109" i="18"/>
  <c r="DV11" i="14"/>
  <c r="DU143" i="18"/>
  <c r="DU46" i="18" s="1"/>
  <c r="DV146" i="18"/>
  <c r="DZ23" i="18"/>
  <c r="DZ15" i="18"/>
  <c r="DZ24" i="18"/>
  <c r="DW17" i="14" s="1"/>
  <c r="DU137" i="18"/>
  <c r="DU36" i="18" s="1"/>
  <c r="DR22" i="14" s="1"/>
  <c r="DV140" i="18"/>
  <c r="DU44" i="18"/>
  <c r="DU43" i="18"/>
  <c r="DU40" i="18"/>
  <c r="DU38" i="18"/>
  <c r="DS101" i="18" l="1"/>
  <c r="DS29" i="18" s="1"/>
  <c r="DP18" i="14" s="1"/>
  <c r="DT104" i="18"/>
  <c r="DU181" i="18"/>
  <c r="DU50" i="18" s="1"/>
  <c r="DV184" i="18"/>
  <c r="DY176" i="18"/>
  <c r="DY49" i="18" s="1"/>
  <c r="DV26" i="14" s="1"/>
  <c r="DZ179" i="18"/>
  <c r="DT163" i="18"/>
  <c r="DT37" i="18" s="1"/>
  <c r="DU166" i="18"/>
  <c r="DU168" i="18"/>
  <c r="DV171" i="18"/>
  <c r="DT126" i="18"/>
  <c r="DU129" i="18"/>
  <c r="DS153" i="18"/>
  <c r="DS45" i="18" s="1"/>
  <c r="DT156" i="18"/>
  <c r="DP15" i="14"/>
  <c r="DT26" i="18"/>
  <c r="DQ16" i="14" s="1"/>
  <c r="DT25" i="18"/>
  <c r="DS48" i="18"/>
  <c r="DP25" i="14" s="1"/>
  <c r="DS34" i="18"/>
  <c r="DP20" i="14" s="1"/>
  <c r="DS33" i="18"/>
  <c r="DP19" i="14" s="1"/>
  <c r="DS61" i="18"/>
  <c r="DP30" i="14" s="1"/>
  <c r="DV143" i="18"/>
  <c r="DV46" i="18" s="1"/>
  <c r="DW146" i="18"/>
  <c r="DW148" i="18"/>
  <c r="DX151" i="18"/>
  <c r="EB96" i="18"/>
  <c r="EC99" i="18"/>
  <c r="DL23" i="14"/>
  <c r="DL12" i="14" s="1"/>
  <c r="DL10" i="14" s="1"/>
  <c r="DO8" i="18"/>
  <c r="DQ158" i="18"/>
  <c r="DR161" i="18"/>
  <c r="DV137" i="18"/>
  <c r="DV36" i="18" s="1"/>
  <c r="DS22" i="14" s="1"/>
  <c r="DW140" i="18"/>
  <c r="DU106" i="18"/>
  <c r="DV109" i="18"/>
  <c r="DR131" i="18"/>
  <c r="DR35" i="18" s="1"/>
  <c r="DS134" i="18"/>
  <c r="DW11" i="14"/>
  <c r="DT27" i="18"/>
  <c r="DT28" i="18"/>
  <c r="DT51" i="18"/>
  <c r="DQ27" i="14" s="1"/>
  <c r="DT31" i="18"/>
  <c r="DV38" i="18"/>
  <c r="DV43" i="18"/>
  <c r="DV40" i="18"/>
  <c r="DV44" i="18"/>
  <c r="EA24" i="18"/>
  <c r="DX17" i="14" s="1"/>
  <c r="EA15" i="18"/>
  <c r="EA23" i="18"/>
  <c r="DU121" i="18"/>
  <c r="DU30" i="18" s="1"/>
  <c r="DV124" i="18"/>
  <c r="DP39" i="18"/>
  <c r="DP42" i="18"/>
  <c r="DM24" i="14" s="1"/>
  <c r="DT101" i="18" l="1"/>
  <c r="DT29" i="18" s="1"/>
  <c r="DU104" i="18"/>
  <c r="DU101" i="18" s="1"/>
  <c r="DU29" i="18" s="1"/>
  <c r="DV181" i="18"/>
  <c r="DV50" i="18" s="1"/>
  <c r="DW184" i="18"/>
  <c r="DX11" i="14"/>
  <c r="DU27" i="18"/>
  <c r="DU31" i="18"/>
  <c r="DU28" i="18"/>
  <c r="DU51" i="18"/>
  <c r="DR27" i="14" s="1"/>
  <c r="DQ42" i="18"/>
  <c r="DN24" i="14" s="1"/>
  <c r="DQ39" i="18"/>
  <c r="DX148" i="18"/>
  <c r="DY151" i="18"/>
  <c r="DQ15" i="14"/>
  <c r="DU26" i="18"/>
  <c r="DR16" i="14" s="1"/>
  <c r="DU25" i="18"/>
  <c r="DZ176" i="18"/>
  <c r="DZ49" i="18" s="1"/>
  <c r="DW26" i="14" s="1"/>
  <c r="EA179" i="18"/>
  <c r="DS131" i="18"/>
  <c r="DS35" i="18" s="1"/>
  <c r="DP21" i="14" s="1"/>
  <c r="DT134" i="18"/>
  <c r="DW137" i="18"/>
  <c r="DW36" i="18" s="1"/>
  <c r="DT22" i="14" s="1"/>
  <c r="DX140" i="18"/>
  <c r="DW43" i="18"/>
  <c r="DW44" i="18"/>
  <c r="DW38" i="18"/>
  <c r="DW40" i="18"/>
  <c r="DU126" i="18"/>
  <c r="DV129" i="18"/>
  <c r="DQ18" i="14"/>
  <c r="DO21" i="14"/>
  <c r="EC96" i="18"/>
  <c r="ED99" i="18"/>
  <c r="DW143" i="18"/>
  <c r="DW46" i="18" s="1"/>
  <c r="DX146" i="18"/>
  <c r="DT33" i="18"/>
  <c r="DQ19" i="14" s="1"/>
  <c r="DT48" i="18"/>
  <c r="DQ25" i="14" s="1"/>
  <c r="DT34" i="18"/>
  <c r="DQ20" i="14" s="1"/>
  <c r="DT61" i="18"/>
  <c r="DQ30" i="14" s="1"/>
  <c r="DU163" i="18"/>
  <c r="DU37" i="18" s="1"/>
  <c r="DV166" i="18"/>
  <c r="DM23" i="14"/>
  <c r="DM12" i="14" s="1"/>
  <c r="DM10" i="14" s="1"/>
  <c r="DP8" i="18"/>
  <c r="DV121" i="18"/>
  <c r="DV30" i="18" s="1"/>
  <c r="DW124" i="18"/>
  <c r="DV106" i="18"/>
  <c r="DW109" i="18"/>
  <c r="DR158" i="18"/>
  <c r="DS161" i="18"/>
  <c r="EB23" i="18"/>
  <c r="EB24" i="18"/>
  <c r="DY17" i="14" s="1"/>
  <c r="EB15" i="18"/>
  <c r="DT153" i="18"/>
  <c r="DT45" i="18" s="1"/>
  <c r="DU156" i="18"/>
  <c r="DV168" i="18"/>
  <c r="DW171" i="18"/>
  <c r="DV104" i="18" l="1"/>
  <c r="DR18" i="14"/>
  <c r="DX184" i="18"/>
  <c r="DW181" i="18"/>
  <c r="DW50" i="18" s="1"/>
  <c r="DS158" i="18"/>
  <c r="DT161" i="18"/>
  <c r="DW106" i="18"/>
  <c r="DX109" i="18"/>
  <c r="EC23" i="18"/>
  <c r="EC15" i="18"/>
  <c r="EC24" i="18"/>
  <c r="DZ17" i="14" s="1"/>
  <c r="DY148" i="18"/>
  <c r="DZ151" i="18"/>
  <c r="DV25" i="18"/>
  <c r="DV26" i="18"/>
  <c r="DS16" i="14" s="1"/>
  <c r="DR42" i="18"/>
  <c r="DO24" i="14" s="1"/>
  <c r="DR39" i="18"/>
  <c r="DX143" i="18"/>
  <c r="DX46" i="18" s="1"/>
  <c r="DY146" i="18"/>
  <c r="DX137" i="18"/>
  <c r="DX36" i="18" s="1"/>
  <c r="DU22" i="14" s="1"/>
  <c r="DY140" i="18"/>
  <c r="EA176" i="18"/>
  <c r="EA49" i="18" s="1"/>
  <c r="DX26" i="14" s="1"/>
  <c r="EB179" i="18"/>
  <c r="DX40" i="18"/>
  <c r="DX38" i="18"/>
  <c r="DX44" i="18"/>
  <c r="DX43" i="18"/>
  <c r="DY11" i="14"/>
  <c r="DV31" i="18"/>
  <c r="DV28" i="18"/>
  <c r="DV51" i="18"/>
  <c r="DS27" i="14" s="1"/>
  <c r="DV27" i="18"/>
  <c r="DW121" i="18"/>
  <c r="DW30" i="18" s="1"/>
  <c r="DX124" i="18"/>
  <c r="DV126" i="18"/>
  <c r="DW129" i="18"/>
  <c r="DU153" i="18"/>
  <c r="DU45" i="18" s="1"/>
  <c r="DV156" i="18"/>
  <c r="DW168" i="18"/>
  <c r="DX171" i="18"/>
  <c r="DV163" i="18"/>
  <c r="DV37" i="18" s="1"/>
  <c r="DW166" i="18"/>
  <c r="ED96" i="18"/>
  <c r="EE99" i="18"/>
  <c r="DU33" i="18"/>
  <c r="DR19" i="14" s="1"/>
  <c r="DU48" i="18"/>
  <c r="DR25" i="14" s="1"/>
  <c r="DU34" i="18"/>
  <c r="DR20" i="14" s="1"/>
  <c r="DU61" i="18"/>
  <c r="DR30" i="14" s="1"/>
  <c r="DT131" i="18"/>
  <c r="DT35" i="18" s="1"/>
  <c r="DQ21" i="14" s="1"/>
  <c r="DU134" i="18"/>
  <c r="DR15" i="14"/>
  <c r="DN23" i="14"/>
  <c r="DN12" i="14" s="1"/>
  <c r="DN10" i="14" s="1"/>
  <c r="DQ8" i="18"/>
  <c r="DW104" i="18" l="1"/>
  <c r="DV101" i="18"/>
  <c r="DV29" i="18" s="1"/>
  <c r="DS18" i="14" s="1"/>
  <c r="DY184" i="18"/>
  <c r="DX181" i="18"/>
  <c r="DX50" i="18" s="1"/>
  <c r="ED24" i="18"/>
  <c r="EA17" i="14" s="1"/>
  <c r="ED15" i="18"/>
  <c r="ED23" i="18"/>
  <c r="DW126" i="18"/>
  <c r="DX129" i="18"/>
  <c r="DY137" i="18"/>
  <c r="DY36" i="18" s="1"/>
  <c r="DV22" i="14" s="1"/>
  <c r="DZ140" i="18"/>
  <c r="DW31" i="18"/>
  <c r="DW51" i="18"/>
  <c r="DT27" i="14" s="1"/>
  <c r="DW28" i="18"/>
  <c r="DW27" i="18"/>
  <c r="DU131" i="18"/>
  <c r="DU35" i="18" s="1"/>
  <c r="DV134" i="18"/>
  <c r="DW163" i="18"/>
  <c r="DW37" i="18" s="1"/>
  <c r="DX166" i="18"/>
  <c r="DX168" i="18"/>
  <c r="DY171" i="18"/>
  <c r="DV33" i="18"/>
  <c r="DS19" i="14" s="1"/>
  <c r="DV61" i="18"/>
  <c r="DS30" i="14" s="1"/>
  <c r="DV48" i="18"/>
  <c r="DS25" i="14" s="1"/>
  <c r="DV34" i="18"/>
  <c r="DS20" i="14" s="1"/>
  <c r="DY143" i="18"/>
  <c r="DY46" i="18" s="1"/>
  <c r="DZ146" i="18"/>
  <c r="DS15" i="14"/>
  <c r="DT158" i="18"/>
  <c r="DU161" i="18"/>
  <c r="DW26" i="18"/>
  <c r="DT16" i="14" s="1"/>
  <c r="DW25" i="18"/>
  <c r="EB176" i="18"/>
  <c r="EB49" i="18" s="1"/>
  <c r="DY26" i="14" s="1"/>
  <c r="EC179" i="18"/>
  <c r="DO23" i="14"/>
  <c r="DO12" i="14" s="1"/>
  <c r="DO10" i="14" s="1"/>
  <c r="DR8" i="18"/>
  <c r="DZ148" i="18"/>
  <c r="EA151" i="18"/>
  <c r="DS39" i="18"/>
  <c r="DS42" i="18"/>
  <c r="DP24" i="14" s="1"/>
  <c r="EE96" i="18"/>
  <c r="EF99" i="18"/>
  <c r="DV153" i="18"/>
  <c r="DV45" i="18" s="1"/>
  <c r="DW156" i="18"/>
  <c r="DX121" i="18"/>
  <c r="DX30" i="18" s="1"/>
  <c r="DY124" i="18"/>
  <c r="DY38" i="18"/>
  <c r="DY44" i="18"/>
  <c r="DY43" i="18"/>
  <c r="DY40" i="18"/>
  <c r="DZ11" i="14"/>
  <c r="DY109" i="18"/>
  <c r="DX106" i="18"/>
  <c r="DW101" i="18" l="1"/>
  <c r="DW29" i="18" s="1"/>
  <c r="DT18" i="14" s="1"/>
  <c r="DX104" i="18"/>
  <c r="DY181" i="18"/>
  <c r="DY50" i="18" s="1"/>
  <c r="DZ184" i="18"/>
  <c r="DY106" i="18"/>
  <c r="DZ109" i="18"/>
  <c r="DZ38" i="18"/>
  <c r="DZ40" i="18"/>
  <c r="DZ44" i="18"/>
  <c r="DZ43" i="18"/>
  <c r="DU158" i="18"/>
  <c r="DV161" i="18"/>
  <c r="DX26" i="18"/>
  <c r="DU16" i="14" s="1"/>
  <c r="DX25" i="18"/>
  <c r="EF96" i="18"/>
  <c r="EG99" i="18"/>
  <c r="DP23" i="14"/>
  <c r="DP12" i="14" s="1"/>
  <c r="DP10" i="14" s="1"/>
  <c r="DS8" i="18"/>
  <c r="DT42" i="18"/>
  <c r="DQ24" i="14" s="1"/>
  <c r="DT39" i="18"/>
  <c r="DX163" i="18"/>
  <c r="DX37" i="18" s="1"/>
  <c r="DY166" i="18"/>
  <c r="DW61" i="18"/>
  <c r="DT30" i="14" s="1"/>
  <c r="DW34" i="18"/>
  <c r="DT20" i="14" s="1"/>
  <c r="DW33" i="18"/>
  <c r="DT19" i="14" s="1"/>
  <c r="DW48" i="18"/>
  <c r="DT25" i="14" s="1"/>
  <c r="EC176" i="18"/>
  <c r="EC49" i="18" s="1"/>
  <c r="DZ26" i="14" s="1"/>
  <c r="ED179" i="18"/>
  <c r="DT15" i="14"/>
  <c r="DX126" i="18"/>
  <c r="DY129" i="18"/>
  <c r="DW153" i="18"/>
  <c r="DW45" i="18" s="1"/>
  <c r="DX156" i="18"/>
  <c r="EE24" i="18"/>
  <c r="EB17" i="14" s="1"/>
  <c r="EE23" i="18"/>
  <c r="EE15" i="18"/>
  <c r="DZ143" i="18"/>
  <c r="DZ46" i="18" s="1"/>
  <c r="EA146" i="18"/>
  <c r="DZ137" i="18"/>
  <c r="DZ36" i="18" s="1"/>
  <c r="DW22" i="14" s="1"/>
  <c r="EA140" i="18"/>
  <c r="DR21" i="14"/>
  <c r="DX27" i="18"/>
  <c r="DX51" i="18"/>
  <c r="DU27" i="14" s="1"/>
  <c r="DX31" i="18"/>
  <c r="DX28" i="18"/>
  <c r="DY121" i="18"/>
  <c r="DY30" i="18" s="1"/>
  <c r="DZ124" i="18"/>
  <c r="EA148" i="18"/>
  <c r="EB151" i="18"/>
  <c r="DY168" i="18"/>
  <c r="DZ171" i="18"/>
  <c r="DV131" i="18"/>
  <c r="DV35" i="18" s="1"/>
  <c r="DW134" i="18"/>
  <c r="EA11" i="14"/>
  <c r="DX101" i="18" l="1"/>
  <c r="DX29" i="18" s="1"/>
  <c r="DU18" i="14" s="1"/>
  <c r="DY104" i="18"/>
  <c r="EA184" i="18"/>
  <c r="DZ181" i="18"/>
  <c r="DZ50" i="18" s="1"/>
  <c r="DX153" i="18"/>
  <c r="DX45" i="18" s="1"/>
  <c r="DY156" i="18"/>
  <c r="EB148" i="18"/>
  <c r="EC151" i="18"/>
  <c r="EA137" i="18"/>
  <c r="EA36" i="18" s="1"/>
  <c r="DX22" i="14" s="1"/>
  <c r="EB140" i="18"/>
  <c r="EA143" i="18"/>
  <c r="EA46" i="18" s="1"/>
  <c r="EB146" i="18"/>
  <c r="EB11" i="14"/>
  <c r="DU15" i="14"/>
  <c r="DZ106" i="18"/>
  <c r="EA109" i="18"/>
  <c r="DW131" i="18"/>
  <c r="DW35" i="18" s="1"/>
  <c r="DX134" i="18"/>
  <c r="DU39" i="18"/>
  <c r="DU42" i="18"/>
  <c r="DR24" i="14" s="1"/>
  <c r="DZ168" i="18"/>
  <c r="EA171" i="18"/>
  <c r="DZ121" i="18"/>
  <c r="DZ30" i="18" s="1"/>
  <c r="EA124" i="18"/>
  <c r="DY126" i="18"/>
  <c r="DZ129" i="18"/>
  <c r="ED176" i="18"/>
  <c r="ED49" i="18" s="1"/>
  <c r="EA26" i="14" s="1"/>
  <c r="EE179" i="18"/>
  <c r="DY163" i="18"/>
  <c r="DY37" i="18" s="1"/>
  <c r="DZ166" i="18"/>
  <c r="DQ23" i="14"/>
  <c r="DQ12" i="14" s="1"/>
  <c r="DQ10" i="14" s="1"/>
  <c r="DT8" i="18"/>
  <c r="DY27" i="18"/>
  <c r="DY51" i="18"/>
  <c r="DV27" i="14" s="1"/>
  <c r="DY31" i="18"/>
  <c r="DY28" i="18"/>
  <c r="EF23" i="18"/>
  <c r="EF15" i="18"/>
  <c r="EF24" i="18"/>
  <c r="EC17" i="14" s="1"/>
  <c r="DS21" i="14"/>
  <c r="EA38" i="18"/>
  <c r="EA40" i="18"/>
  <c r="EA44" i="18"/>
  <c r="EA43" i="18"/>
  <c r="DY25" i="18"/>
  <c r="DY26" i="18"/>
  <c r="DV16" i="14" s="1"/>
  <c r="DX61" i="18"/>
  <c r="DU30" i="14" s="1"/>
  <c r="DX33" i="18"/>
  <c r="DU19" i="14" s="1"/>
  <c r="DX34" i="18"/>
  <c r="DU20" i="14" s="1"/>
  <c r="DX48" i="18"/>
  <c r="DU25" i="14" s="1"/>
  <c r="EG96" i="18"/>
  <c r="EH99" i="18"/>
  <c r="DV158" i="18"/>
  <c r="DW161" i="18"/>
  <c r="DY101" i="18" l="1"/>
  <c r="DY29" i="18" s="1"/>
  <c r="DV18" i="14" s="1"/>
  <c r="DZ104" i="18"/>
  <c r="EB184" i="18"/>
  <c r="EA181" i="18"/>
  <c r="EA50" i="18" s="1"/>
  <c r="EA168" i="18"/>
  <c r="EB171" i="18"/>
  <c r="EG23" i="18"/>
  <c r="EG24" i="18"/>
  <c r="ED17" i="14" s="1"/>
  <c r="EG15" i="18"/>
  <c r="DZ25" i="18"/>
  <c r="DZ26" i="18"/>
  <c r="DW16" i="14" s="1"/>
  <c r="DT21" i="14"/>
  <c r="EB143" i="18"/>
  <c r="EB46" i="18" s="1"/>
  <c r="EC146" i="18"/>
  <c r="EH96" i="18"/>
  <c r="EI99" i="18"/>
  <c r="EE176" i="18"/>
  <c r="EE49" i="18" s="1"/>
  <c r="EB26" i="14" s="1"/>
  <c r="EF179" i="18"/>
  <c r="DX131" i="18"/>
  <c r="DX35" i="18" s="1"/>
  <c r="DU21" i="14" s="1"/>
  <c r="DY134" i="18"/>
  <c r="EC11" i="14"/>
  <c r="DZ126" i="18"/>
  <c r="EA129" i="18"/>
  <c r="EA121" i="18"/>
  <c r="EA30" i="18" s="1"/>
  <c r="EB124" i="18"/>
  <c r="EA106" i="18"/>
  <c r="EB109" i="18"/>
  <c r="EC148" i="18"/>
  <c r="ED151" i="18"/>
  <c r="DY153" i="18"/>
  <c r="DY45" i="18" s="1"/>
  <c r="DZ156" i="18"/>
  <c r="DW158" i="18"/>
  <c r="DX161" i="18"/>
  <c r="DV15" i="14"/>
  <c r="DZ163" i="18"/>
  <c r="DZ37" i="18" s="1"/>
  <c r="EA166" i="18"/>
  <c r="DV42" i="18"/>
  <c r="DS24" i="14" s="1"/>
  <c r="DV39" i="18"/>
  <c r="DY48" i="18"/>
  <c r="DV25" i="14" s="1"/>
  <c r="DY61" i="18"/>
  <c r="DV30" i="14" s="1"/>
  <c r="DY33" i="18"/>
  <c r="DV19" i="14" s="1"/>
  <c r="DY34" i="18"/>
  <c r="DV20" i="14" s="1"/>
  <c r="DR23" i="14"/>
  <c r="DR12" i="14" s="1"/>
  <c r="DR10" i="14" s="1"/>
  <c r="DU8" i="18"/>
  <c r="DZ27" i="18"/>
  <c r="DZ51" i="18"/>
  <c r="DW27" i="14" s="1"/>
  <c r="DZ28" i="18"/>
  <c r="DZ31" i="18"/>
  <c r="EB137" i="18"/>
  <c r="EB36" i="18" s="1"/>
  <c r="DY22" i="14" s="1"/>
  <c r="EC140" i="18"/>
  <c r="EB43" i="18"/>
  <c r="EB44" i="18"/>
  <c r="EB40" i="18"/>
  <c r="EB38" i="18"/>
  <c r="DZ101" i="18" l="1"/>
  <c r="DZ29" i="18" s="1"/>
  <c r="EA104" i="18"/>
  <c r="EB181" i="18"/>
  <c r="EB50" i="18" s="1"/>
  <c r="EC184" i="18"/>
  <c r="ED148" i="18"/>
  <c r="EE151" i="18"/>
  <c r="EC143" i="18"/>
  <c r="EC46" i="18" s="1"/>
  <c r="ED146" i="18"/>
  <c r="DW18" i="14"/>
  <c r="DZ153" i="18"/>
  <c r="DZ45" i="18" s="1"/>
  <c r="EA156" i="18"/>
  <c r="EC43" i="18"/>
  <c r="EC38" i="18"/>
  <c r="EC40" i="18"/>
  <c r="EC44" i="18"/>
  <c r="DW15" i="14"/>
  <c r="ED11" i="14"/>
  <c r="EB168" i="18"/>
  <c r="EC171" i="18"/>
  <c r="EC137" i="18"/>
  <c r="EC36" i="18" s="1"/>
  <c r="DZ22" i="14" s="1"/>
  <c r="ED140" i="18"/>
  <c r="DS23" i="14"/>
  <c r="DS12" i="14" s="1"/>
  <c r="DS10" i="14" s="1"/>
  <c r="DV8" i="18"/>
  <c r="DW39" i="18"/>
  <c r="DW42" i="18"/>
  <c r="DT24" i="14" s="1"/>
  <c r="EB121" i="18"/>
  <c r="EB30" i="18" s="1"/>
  <c r="EC124" i="18"/>
  <c r="EB106" i="18"/>
  <c r="EC109" i="18"/>
  <c r="EA126" i="18"/>
  <c r="EB129" i="18"/>
  <c r="DY131" i="18"/>
  <c r="DY35" i="18" s="1"/>
  <c r="DV21" i="14" s="1"/>
  <c r="DZ134" i="18"/>
  <c r="EI96" i="18"/>
  <c r="F99" i="18"/>
  <c r="E99" i="18" s="1"/>
  <c r="EA25" i="18"/>
  <c r="EA26" i="18"/>
  <c r="DX16" i="14" s="1"/>
  <c r="EF176" i="18"/>
  <c r="EF49" i="18" s="1"/>
  <c r="EC26" i="14" s="1"/>
  <c r="EG179" i="18"/>
  <c r="EA163" i="18"/>
  <c r="EA37" i="18" s="1"/>
  <c r="EB166" i="18"/>
  <c r="DX158" i="18"/>
  <c r="DY161" i="18"/>
  <c r="EA27" i="18"/>
  <c r="EA51" i="18"/>
  <c r="DX27" i="14" s="1"/>
  <c r="EA31" i="18"/>
  <c r="EA28" i="18"/>
  <c r="DZ61" i="18"/>
  <c r="DW30" i="14" s="1"/>
  <c r="DZ48" i="18"/>
  <c r="DW25" i="14" s="1"/>
  <c r="DZ33" i="18"/>
  <c r="DW19" i="14" s="1"/>
  <c r="DZ34" i="18"/>
  <c r="DW20" i="14" s="1"/>
  <c r="EH23" i="18"/>
  <c r="EH15" i="18"/>
  <c r="EH24" i="18"/>
  <c r="EE17" i="14" s="1"/>
  <c r="EA101" i="18" l="1"/>
  <c r="EA29" i="18" s="1"/>
  <c r="EB104" i="18"/>
  <c r="EC181" i="18"/>
  <c r="EC50" i="18" s="1"/>
  <c r="ED184" i="18"/>
  <c r="DX42" i="18"/>
  <c r="DU24" i="14" s="1"/>
  <c r="DX39" i="18"/>
  <c r="DX15" i="14"/>
  <c r="EB51" i="18"/>
  <c r="DY27" i="14" s="1"/>
  <c r="EB28" i="18"/>
  <c r="EB31" i="18"/>
  <c r="EB27" i="18"/>
  <c r="EB25" i="18"/>
  <c r="EB26" i="18"/>
  <c r="DY16" i="14" s="1"/>
  <c r="EB126" i="18"/>
  <c r="EC129" i="18"/>
  <c r="ED137" i="18"/>
  <c r="ED36" i="18" s="1"/>
  <c r="EA22" i="14" s="1"/>
  <c r="EE140" i="18"/>
  <c r="ED43" i="18"/>
  <c r="ED38" i="18"/>
  <c r="ED44" i="18"/>
  <c r="ED40" i="18"/>
  <c r="EE148" i="18"/>
  <c r="EF151" i="18"/>
  <c r="EE11" i="14"/>
  <c r="EB163" i="18"/>
  <c r="EB37" i="18" s="1"/>
  <c r="EC166" i="18"/>
  <c r="EI24" i="18"/>
  <c r="EI15" i="18"/>
  <c r="EI23" i="18"/>
  <c r="F96" i="18"/>
  <c r="E96" i="18" s="1"/>
  <c r="EA33" i="18"/>
  <c r="DX19" i="14" s="1"/>
  <c r="EA61" i="18"/>
  <c r="DX30" i="14" s="1"/>
  <c r="EA48" i="18"/>
  <c r="DX25" i="14" s="1"/>
  <c r="EA34" i="18"/>
  <c r="DX20" i="14" s="1"/>
  <c r="DT23" i="14"/>
  <c r="DT12" i="14" s="1"/>
  <c r="DT10" i="14" s="1"/>
  <c r="DW8" i="18"/>
  <c r="EA153" i="18"/>
  <c r="EA45" i="18" s="1"/>
  <c r="EB156" i="18"/>
  <c r="ED143" i="18"/>
  <c r="ED46" i="18" s="1"/>
  <c r="EE146" i="18"/>
  <c r="DX18" i="14"/>
  <c r="DY158" i="18"/>
  <c r="DZ161" i="18"/>
  <c r="EG176" i="18"/>
  <c r="EG49" i="18" s="1"/>
  <c r="ED26" i="14" s="1"/>
  <c r="EH179" i="18"/>
  <c r="DZ131" i="18"/>
  <c r="DZ35" i="18" s="1"/>
  <c r="DW21" i="14" s="1"/>
  <c r="EA134" i="18"/>
  <c r="EC106" i="18"/>
  <c r="ED109" i="18"/>
  <c r="EC121" i="18"/>
  <c r="EC30" i="18" s="1"/>
  <c r="ED124" i="18"/>
  <c r="EC168" i="18"/>
  <c r="ED171" i="18"/>
  <c r="EC104" i="18" l="1"/>
  <c r="EC101" i="18" s="1"/>
  <c r="EC29" i="18" s="1"/>
  <c r="EB101" i="18"/>
  <c r="EB29" i="18" s="1"/>
  <c r="DY18" i="14" s="1"/>
  <c r="ED181" i="18"/>
  <c r="ED50" i="18" s="1"/>
  <c r="EE184" i="18"/>
  <c r="EE181" i="18" s="1"/>
  <c r="EE50" i="18" s="1"/>
  <c r="ED168" i="18"/>
  <c r="EE171" i="18"/>
  <c r="EF17" i="14"/>
  <c r="C17" i="14" s="1"/>
  <c r="E24" i="18"/>
  <c r="EE137" i="18"/>
  <c r="EE36" i="18" s="1"/>
  <c r="EB22" i="14" s="1"/>
  <c r="EF140" i="18"/>
  <c r="EB153" i="18"/>
  <c r="EB45" i="18" s="1"/>
  <c r="EC156" i="18"/>
  <c r="EE38" i="18"/>
  <c r="EE43" i="18"/>
  <c r="EE40" i="18"/>
  <c r="EE44" i="18"/>
  <c r="EB48" i="18"/>
  <c r="DY25" i="14" s="1"/>
  <c r="EB61" i="18"/>
  <c r="DY30" i="14" s="1"/>
  <c r="EB33" i="18"/>
  <c r="DY19" i="14" s="1"/>
  <c r="EB34" i="18"/>
  <c r="DY20" i="14" s="1"/>
  <c r="DU23" i="14"/>
  <c r="DU12" i="14" s="1"/>
  <c r="DU10" i="14" s="1"/>
  <c r="DX8" i="18"/>
  <c r="EA131" i="18"/>
  <c r="EA35" i="18" s="1"/>
  <c r="DX21" i="14" s="1"/>
  <c r="EB134" i="18"/>
  <c r="EF148" i="18"/>
  <c r="EG151" i="18"/>
  <c r="EC126" i="18"/>
  <c r="ED129" i="18"/>
  <c r="DZ158" i="18"/>
  <c r="EA161" i="18"/>
  <c r="ED106" i="18"/>
  <c r="EE109" i="18"/>
  <c r="EH176" i="18"/>
  <c r="EH49" i="18" s="1"/>
  <c r="EE26" i="14" s="1"/>
  <c r="EI179" i="18"/>
  <c r="DY39" i="18"/>
  <c r="DY42" i="18"/>
  <c r="DV24" i="14" s="1"/>
  <c r="E23" i="18"/>
  <c r="DY15" i="14"/>
  <c r="ED121" i="18"/>
  <c r="ED30" i="18" s="1"/>
  <c r="EE124" i="18"/>
  <c r="EC163" i="18"/>
  <c r="EC37" i="18" s="1"/>
  <c r="ED166" i="18"/>
  <c r="EC25" i="18"/>
  <c r="EC26" i="18"/>
  <c r="DZ16" i="14" s="1"/>
  <c r="EC51" i="18"/>
  <c r="DZ27" i="14" s="1"/>
  <c r="EC27" i="18"/>
  <c r="EC31" i="18"/>
  <c r="EC28" i="18"/>
  <c r="EE143" i="18"/>
  <c r="EE46" i="18" s="1"/>
  <c r="EF146" i="18"/>
  <c r="EF11" i="14"/>
  <c r="E15" i="18"/>
  <c r="ED104" i="18" l="1"/>
  <c r="EF184" i="18"/>
  <c r="DZ18" i="14"/>
  <c r="EF143" i="18"/>
  <c r="EF46" i="18" s="1"/>
  <c r="EG146" i="18"/>
  <c r="EI176" i="18"/>
  <c r="F179" i="18"/>
  <c r="E179" i="18" s="1"/>
  <c r="EF137" i="18"/>
  <c r="EF36" i="18" s="1"/>
  <c r="EC22" i="14" s="1"/>
  <c r="EG140" i="18"/>
  <c r="DZ15" i="14"/>
  <c r="DZ42" i="18"/>
  <c r="DW24" i="14" s="1"/>
  <c r="DZ39" i="18"/>
  <c r="EF43" i="18"/>
  <c r="EF44" i="18"/>
  <c r="EF38" i="18"/>
  <c r="EF40" i="18"/>
  <c r="EC153" i="18"/>
  <c r="EC45" i="18" s="1"/>
  <c r="ED156" i="18"/>
  <c r="C11" i="14"/>
  <c r="ED163" i="18"/>
  <c r="ED37" i="18" s="1"/>
  <c r="EE166" i="18"/>
  <c r="EA158" i="18"/>
  <c r="EB161" i="18"/>
  <c r="EE121" i="18"/>
  <c r="EE30" i="18" s="1"/>
  <c r="EF124" i="18"/>
  <c r="EE106" i="18"/>
  <c r="EF109" i="18"/>
  <c r="ED126" i="18"/>
  <c r="EE129" i="18"/>
  <c r="EB131" i="18"/>
  <c r="EB35" i="18" s="1"/>
  <c r="EC134" i="18"/>
  <c r="EE168" i="18"/>
  <c r="EF171" i="18"/>
  <c r="EG148" i="18"/>
  <c r="EH151" i="18"/>
  <c r="DV23" i="14"/>
  <c r="DV12" i="14" s="1"/>
  <c r="DV10" i="14" s="1"/>
  <c r="DY8" i="18"/>
  <c r="ED31" i="18"/>
  <c r="ED27" i="18"/>
  <c r="ED28" i="18"/>
  <c r="ED51" i="18"/>
  <c r="EA27" i="14" s="1"/>
  <c r="EC34" i="18"/>
  <c r="DZ20" i="14" s="1"/>
  <c r="EC48" i="18"/>
  <c r="DZ25" i="14" s="1"/>
  <c r="EC33" i="18"/>
  <c r="DZ19" i="14" s="1"/>
  <c r="EC61" i="18"/>
  <c r="DZ30" i="14" s="1"/>
  <c r="ED25" i="18"/>
  <c r="ED26" i="18"/>
  <c r="EA16" i="14" s="1"/>
  <c r="ED101" i="18" l="1"/>
  <c r="ED29" i="18" s="1"/>
  <c r="EA18" i="14" s="1"/>
  <c r="EE104" i="18"/>
  <c r="EG184" i="18"/>
  <c r="EF181" i="18"/>
  <c r="EF50" i="18" s="1"/>
  <c r="EG38" i="18"/>
  <c r="EG44" i="18"/>
  <c r="EG43" i="18"/>
  <c r="EG40" i="18"/>
  <c r="ED48" i="18"/>
  <c r="EA25" i="14" s="1"/>
  <c r="ED34" i="18"/>
  <c r="EA20" i="14" s="1"/>
  <c r="ED61" i="18"/>
  <c r="EA30" i="14" s="1"/>
  <c r="ED33" i="18"/>
  <c r="EA19" i="14" s="1"/>
  <c r="EC131" i="18"/>
  <c r="EC35" i="18" s="1"/>
  <c r="ED134" i="18"/>
  <c r="EF106" i="18"/>
  <c r="EG109" i="18"/>
  <c r="EB158" i="18"/>
  <c r="EC161" i="18"/>
  <c r="DW23" i="14"/>
  <c r="DW12" i="14" s="1"/>
  <c r="DW10" i="14" s="1"/>
  <c r="DZ8" i="18"/>
  <c r="EI49" i="18"/>
  <c r="F176" i="18"/>
  <c r="E176" i="18" s="1"/>
  <c r="EE25" i="18"/>
  <c r="EE26" i="18"/>
  <c r="EB16" i="14" s="1"/>
  <c r="EA15" i="14"/>
  <c r="DY21" i="14"/>
  <c r="EE51" i="18"/>
  <c r="EB27" i="14" s="1"/>
  <c r="EE31" i="18"/>
  <c r="EE27" i="18"/>
  <c r="EE28" i="18"/>
  <c r="EA39" i="18"/>
  <c r="EA42" i="18"/>
  <c r="DX24" i="14" s="1"/>
  <c r="EG143" i="18"/>
  <c r="EG46" i="18" s="1"/>
  <c r="EH146" i="18"/>
  <c r="ED153" i="18"/>
  <c r="ED45" i="18" s="1"/>
  <c r="EE156" i="18"/>
  <c r="EH148" i="18"/>
  <c r="EI151" i="18"/>
  <c r="EF168" i="18"/>
  <c r="EG171" i="18"/>
  <c r="EE126" i="18"/>
  <c r="EF129" i="18"/>
  <c r="EF121" i="18"/>
  <c r="EF30" i="18" s="1"/>
  <c r="EG124" i="18"/>
  <c r="EE163" i="18"/>
  <c r="EE37" i="18" s="1"/>
  <c r="EF166" i="18"/>
  <c r="EG137" i="18"/>
  <c r="EG36" i="18" s="1"/>
  <c r="ED22" i="14" s="1"/>
  <c r="EH140" i="18"/>
  <c r="EE101" i="18" l="1"/>
  <c r="EE29" i="18" s="1"/>
  <c r="EB18" i="14" s="1"/>
  <c r="EF104" i="18"/>
  <c r="EG181" i="18"/>
  <c r="EG50" i="18" s="1"/>
  <c r="EH184" i="18"/>
  <c r="EE153" i="18"/>
  <c r="EE45" i="18" s="1"/>
  <c r="EF156" i="18"/>
  <c r="DX23" i="14"/>
  <c r="DX12" i="14" s="1"/>
  <c r="DX10" i="14" s="1"/>
  <c r="EA8" i="18"/>
  <c r="EF26" i="18"/>
  <c r="EC16" i="14" s="1"/>
  <c r="EF25" i="18"/>
  <c r="EF26" i="14"/>
  <c r="C26" i="14" s="1"/>
  <c r="E49" i="18"/>
  <c r="EC158" i="18"/>
  <c r="ED161" i="18"/>
  <c r="ED131" i="18"/>
  <c r="ED35" i="18" s="1"/>
  <c r="EE134" i="18"/>
  <c r="EG121" i="18"/>
  <c r="EG30" i="18" s="1"/>
  <c r="EH124" i="18"/>
  <c r="EF31" i="18"/>
  <c r="EF51" i="18"/>
  <c r="EC27" i="14" s="1"/>
  <c r="EF27" i="18"/>
  <c r="EF28" i="18"/>
  <c r="EH137" i="18"/>
  <c r="EH36" i="18" s="1"/>
  <c r="EE22" i="14" s="1"/>
  <c r="EI140" i="18"/>
  <c r="EF126" i="18"/>
  <c r="EG129" i="18"/>
  <c r="EI148" i="18"/>
  <c r="F151" i="18"/>
  <c r="E151" i="18" s="1"/>
  <c r="EH143" i="18"/>
  <c r="EH46" i="18" s="1"/>
  <c r="EI146" i="18"/>
  <c r="EB15" i="14"/>
  <c r="EB39" i="18"/>
  <c r="EB42" i="18"/>
  <c r="DY24" i="14" s="1"/>
  <c r="DZ21" i="14"/>
  <c r="EG168" i="18"/>
  <c r="EH171" i="18"/>
  <c r="EF163" i="18"/>
  <c r="EF37" i="18" s="1"/>
  <c r="EG166" i="18"/>
  <c r="EE48" i="18"/>
  <c r="EB25" i="14" s="1"/>
  <c r="EE33" i="18"/>
  <c r="EB19" i="14" s="1"/>
  <c r="EE61" i="18"/>
  <c r="EB30" i="14" s="1"/>
  <c r="EE34" i="18"/>
  <c r="EB20" i="14" s="1"/>
  <c r="EH44" i="18"/>
  <c r="EH38" i="18"/>
  <c r="EH43" i="18"/>
  <c r="EH40" i="18"/>
  <c r="EG106" i="18"/>
  <c r="EH109" i="18"/>
  <c r="EF101" i="18" l="1"/>
  <c r="EF29" i="18" s="1"/>
  <c r="EG104" i="18"/>
  <c r="EH181" i="18"/>
  <c r="EH50" i="18" s="1"/>
  <c r="EI184" i="18"/>
  <c r="ED158" i="18"/>
  <c r="EE161" i="18"/>
  <c r="EG27" i="18"/>
  <c r="EG28" i="18"/>
  <c r="EG51" i="18"/>
  <c r="ED27" i="14" s="1"/>
  <c r="EG31" i="18"/>
  <c r="EI143" i="18"/>
  <c r="F146" i="18"/>
  <c r="E146" i="18" s="1"/>
  <c r="EG126" i="18"/>
  <c r="EH129" i="18"/>
  <c r="EH121" i="18"/>
  <c r="EH30" i="18" s="1"/>
  <c r="EI124" i="18"/>
  <c r="EC42" i="18"/>
  <c r="DZ24" i="14" s="1"/>
  <c r="EC39" i="18"/>
  <c r="EF153" i="18"/>
  <c r="EF45" i="18" s="1"/>
  <c r="EG156" i="18"/>
  <c r="EH106" i="18"/>
  <c r="EI109" i="18"/>
  <c r="EI44" i="18"/>
  <c r="E44" i="18" s="1"/>
  <c r="EI40" i="18"/>
  <c r="E40" i="18" s="1"/>
  <c r="EI43" i="18"/>
  <c r="E43" i="18" s="1"/>
  <c r="EI38" i="18"/>
  <c r="E38" i="18" s="1"/>
  <c r="F148" i="18"/>
  <c r="E148" i="18" s="1"/>
  <c r="EC15" i="14"/>
  <c r="EH168" i="18"/>
  <c r="EI171" i="18"/>
  <c r="EF33" i="18"/>
  <c r="EC19" i="14" s="1"/>
  <c r="EF48" i="18"/>
  <c r="EC25" i="14" s="1"/>
  <c r="EF34" i="18"/>
  <c r="EC20" i="14" s="1"/>
  <c r="EF61" i="18"/>
  <c r="EC30" i="14" s="1"/>
  <c r="EC18" i="14"/>
  <c r="EE131" i="18"/>
  <c r="EE35" i="18" s="1"/>
  <c r="EB21" i="14" s="1"/>
  <c r="EF134" i="18"/>
  <c r="DY23" i="14"/>
  <c r="DY12" i="14" s="1"/>
  <c r="DY10" i="14" s="1"/>
  <c r="EB8" i="18"/>
  <c r="EG163" i="18"/>
  <c r="EG37" i="18" s="1"/>
  <c r="EH166" i="18"/>
  <c r="EG26" i="18"/>
  <c r="ED16" i="14" s="1"/>
  <c r="EG25" i="18"/>
  <c r="EI137" i="18"/>
  <c r="F140" i="18"/>
  <c r="E140" i="18" s="1"/>
  <c r="EA21" i="14"/>
  <c r="EG101" i="18" l="1"/>
  <c r="EG29" i="18" s="1"/>
  <c r="EH104" i="18"/>
  <c r="EI181" i="18"/>
  <c r="F184" i="18"/>
  <c r="E184" i="18" s="1"/>
  <c r="EI36" i="18"/>
  <c r="F137" i="18"/>
  <c r="E137" i="18" s="1"/>
  <c r="EF131" i="18"/>
  <c r="EF35" i="18" s="1"/>
  <c r="EC21" i="14" s="1"/>
  <c r="EG134" i="18"/>
  <c r="EI121" i="18"/>
  <c r="F124" i="18"/>
  <c r="E124" i="18" s="1"/>
  <c r="EH25" i="18"/>
  <c r="EH26" i="18"/>
  <c r="EE16" i="14" s="1"/>
  <c r="EI106" i="18"/>
  <c r="F109" i="18"/>
  <c r="E109" i="18" s="1"/>
  <c r="EI46" i="18"/>
  <c r="E46" i="18" s="1"/>
  <c r="F143" i="18"/>
  <c r="E143" i="18" s="1"/>
  <c r="EE158" i="18"/>
  <c r="EF161" i="18"/>
  <c r="EI168" i="18"/>
  <c r="F171" i="18"/>
  <c r="E171" i="18" s="1"/>
  <c r="ED15" i="14"/>
  <c r="EH51" i="18"/>
  <c r="EE27" i="14" s="1"/>
  <c r="EH28" i="18"/>
  <c r="EH31" i="18"/>
  <c r="EH27" i="18"/>
  <c r="DZ23" i="14"/>
  <c r="DZ12" i="14" s="1"/>
  <c r="DZ10" i="14" s="1"/>
  <c r="EC8" i="18"/>
  <c r="EH126" i="18"/>
  <c r="EI129" i="18"/>
  <c r="ED18" i="14"/>
  <c r="ED42" i="18"/>
  <c r="EA24" i="14" s="1"/>
  <c r="ED39" i="18"/>
  <c r="EH163" i="18"/>
  <c r="EH37" i="18" s="1"/>
  <c r="EI166" i="18"/>
  <c r="EG153" i="18"/>
  <c r="EG45" i="18" s="1"/>
  <c r="EH156" i="18"/>
  <c r="EG33" i="18"/>
  <c r="ED19" i="14" s="1"/>
  <c r="EG48" i="18"/>
  <c r="ED25" i="14" s="1"/>
  <c r="EG61" i="18"/>
  <c r="ED30" i="14" s="1"/>
  <c r="EG34" i="18"/>
  <c r="ED20" i="14" s="1"/>
  <c r="EH101" i="18" l="1"/>
  <c r="EH29" i="18" s="1"/>
  <c r="EI104" i="18"/>
  <c r="EI50" i="18"/>
  <c r="E50" i="18" s="1"/>
  <c r="F181" i="18"/>
  <c r="E181" i="18" s="1"/>
  <c r="EE18" i="14"/>
  <c r="EA23" i="14"/>
  <c r="EA12" i="14" s="1"/>
  <c r="EA10" i="14" s="1"/>
  <c r="ED8" i="18"/>
  <c r="EI25" i="18"/>
  <c r="EI26" i="18"/>
  <c r="F168" i="18"/>
  <c r="E168" i="18" s="1"/>
  <c r="EH34" i="18"/>
  <c r="EE20" i="14" s="1"/>
  <c r="EH48" i="18"/>
  <c r="EE25" i="14" s="1"/>
  <c r="EH61" i="18"/>
  <c r="EE30" i="14" s="1"/>
  <c r="EH33" i="18"/>
  <c r="EE19" i="14" s="1"/>
  <c r="EI30" i="18"/>
  <c r="E30" i="18" s="1"/>
  <c r="F121" i="18"/>
  <c r="E121" i="18" s="1"/>
  <c r="EF22" i="14"/>
  <c r="C22" i="14" s="1"/>
  <c r="E36" i="18"/>
  <c r="EI126" i="18"/>
  <c r="F129" i="18"/>
  <c r="E129" i="18" s="1"/>
  <c r="EI27" i="18"/>
  <c r="EI51" i="18"/>
  <c r="EI28" i="18"/>
  <c r="E28" i="18" s="1"/>
  <c r="EI31" i="18"/>
  <c r="E31" i="18" s="1"/>
  <c r="F106" i="18"/>
  <c r="E106" i="18" s="1"/>
  <c r="EI163" i="18"/>
  <c r="F166" i="18"/>
  <c r="E166" i="18" s="1"/>
  <c r="EF158" i="18"/>
  <c r="EG161" i="18"/>
  <c r="EG131" i="18"/>
  <c r="EG35" i="18" s="1"/>
  <c r="ED21" i="14" s="1"/>
  <c r="EH134" i="18"/>
  <c r="EH153" i="18"/>
  <c r="EH45" i="18" s="1"/>
  <c r="EI156" i="18"/>
  <c r="EE42" i="18"/>
  <c r="EB24" i="14" s="1"/>
  <c r="EE39" i="18"/>
  <c r="EE15" i="14"/>
  <c r="EI101" i="18" l="1"/>
  <c r="F104" i="18"/>
  <c r="E104" i="18" s="1"/>
  <c r="EI48" i="18"/>
  <c r="EI34" i="18"/>
  <c r="EI33" i="18"/>
  <c r="EI61" i="18"/>
  <c r="F126" i="18"/>
  <c r="E126" i="18" s="1"/>
  <c r="EF15" i="14"/>
  <c r="E25" i="18"/>
  <c r="EI153" i="18"/>
  <c r="F156" i="18"/>
  <c r="E156" i="18" s="1"/>
  <c r="EH131" i="18"/>
  <c r="EH35" i="18" s="1"/>
  <c r="EI134" i="18"/>
  <c r="EF39" i="18"/>
  <c r="EF42" i="18"/>
  <c r="EC24" i="14" s="1"/>
  <c r="EI37" i="18"/>
  <c r="F163" i="18"/>
  <c r="E163" i="18" s="1"/>
  <c r="E51" i="18"/>
  <c r="EF27" i="14"/>
  <c r="C27" i="14" s="1"/>
  <c r="EG158" i="18"/>
  <c r="EH161" i="18"/>
  <c r="E27" i="18"/>
  <c r="EB23" i="14"/>
  <c r="EB12" i="14" s="1"/>
  <c r="EB10" i="14" s="1"/>
  <c r="EE8" i="18"/>
  <c r="E26" i="18"/>
  <c r="EF16" i="14"/>
  <c r="C16" i="14" s="1"/>
  <c r="F101" i="18" l="1"/>
  <c r="E101" i="18" s="1"/>
  <c r="EI29" i="18"/>
  <c r="EF30" i="14"/>
  <c r="C30" i="14" s="1"/>
  <c r="E61" i="18"/>
  <c r="EH158" i="18"/>
  <c r="EI161" i="18"/>
  <c r="E37" i="18"/>
  <c r="EE21" i="14"/>
  <c r="EF19" i="14"/>
  <c r="C19" i="14" s="1"/>
  <c r="E33" i="18"/>
  <c r="EI131" i="18"/>
  <c r="F134" i="18"/>
  <c r="E134" i="18" s="1"/>
  <c r="EG42" i="18"/>
  <c r="ED24" i="14" s="1"/>
  <c r="EG39" i="18"/>
  <c r="C15" i="14"/>
  <c r="EF20" i="14"/>
  <c r="C20" i="14" s="1"/>
  <c r="E34" i="18"/>
  <c r="EC23" i="14"/>
  <c r="EC12" i="14" s="1"/>
  <c r="EC10" i="14" s="1"/>
  <c r="EF8" i="18"/>
  <c r="EI45" i="18"/>
  <c r="E45" i="18" s="1"/>
  <c r="F153" i="18"/>
  <c r="E153" i="18" s="1"/>
  <c r="EF25" i="14"/>
  <c r="C25" i="14" s="1"/>
  <c r="E48" i="18"/>
  <c r="E29" i="18" l="1"/>
  <c r="EF18" i="14"/>
  <c r="C18" i="14" s="1"/>
  <c r="ED23" i="14"/>
  <c r="ED12" i="14" s="1"/>
  <c r="ED10" i="14" s="1"/>
  <c r="EG8" i="18"/>
  <c r="EH42" i="18"/>
  <c r="EE24" i="14" s="1"/>
  <c r="EH39" i="18"/>
  <c r="EI158" i="18"/>
  <c r="F161" i="18"/>
  <c r="E161" i="18" s="1"/>
  <c r="EI35" i="18"/>
  <c r="F131" i="18"/>
  <c r="E131" i="18" s="1"/>
  <c r="EE23" i="14" l="1"/>
  <c r="EE12" i="14" s="1"/>
  <c r="EE10" i="14" s="1"/>
  <c r="EH8" i="18"/>
  <c r="EF21" i="14"/>
  <c r="E35" i="18"/>
  <c r="EI39" i="18"/>
  <c r="EI42" i="18"/>
  <c r="F158" i="18"/>
  <c r="E158" i="18" s="1"/>
  <c r="E69" i="18" s="1"/>
  <c r="EI8" i="18" l="1"/>
  <c r="EC6" i="18" s="1"/>
  <c r="EF24" i="14"/>
  <c r="C24" i="14" s="1"/>
  <c r="E42" i="18"/>
  <c r="E39" i="18"/>
  <c r="EF23" i="14"/>
  <c r="C23" i="14" s="1"/>
  <c r="C21" i="14"/>
  <c r="DK6" i="18" l="1"/>
  <c r="DJ6" i="18"/>
  <c r="DQ6" i="18"/>
  <c r="DX6" i="18"/>
  <c r="DT6" i="18"/>
  <c r="DD6" i="18"/>
  <c r="DB6" i="18"/>
  <c r="CW6" i="18"/>
  <c r="CQ6" i="18"/>
  <c r="CN6" i="18"/>
  <c r="CK6" i="18"/>
  <c r="EI6" i="18"/>
  <c r="DY6" i="18"/>
  <c r="DU6" i="18"/>
  <c r="DP6" i="18"/>
  <c r="DM6" i="18"/>
  <c r="DH6" i="18"/>
  <c r="DC6" i="18"/>
  <c r="CX6" i="18"/>
  <c r="CV6" i="18"/>
  <c r="CT6" i="18"/>
  <c r="CO6" i="18"/>
  <c r="EH6" i="18"/>
  <c r="EA6" i="18"/>
  <c r="DR6" i="18"/>
  <c r="DO6" i="18"/>
  <c r="DL6" i="18"/>
  <c r="DG6" i="18"/>
  <c r="DE6" i="18"/>
  <c r="CY6" i="18"/>
  <c r="CU6" i="18"/>
  <c r="CS6" i="18"/>
  <c r="CM6" i="18"/>
  <c r="H6" i="18"/>
  <c r="I6" i="18" s="1"/>
  <c r="J6" i="18" s="1"/>
  <c r="K6" i="18" s="1"/>
  <c r="L6" i="18" s="1"/>
  <c r="M6" i="18" s="1"/>
  <c r="N6" i="18" s="1"/>
  <c r="O6" i="18" s="1"/>
  <c r="P6" i="18" s="1"/>
  <c r="Q6" i="18" s="1"/>
  <c r="R6" i="18" s="1"/>
  <c r="S6" i="18" s="1"/>
  <c r="T6" i="18" s="1"/>
  <c r="U6" i="18" s="1"/>
  <c r="V6" i="18" s="1"/>
  <c r="W6" i="18" s="1"/>
  <c r="X6" i="18" s="1"/>
  <c r="Y6" i="18" s="1"/>
  <c r="Z6" i="18" s="1"/>
  <c r="AA6" i="18" s="1"/>
  <c r="AB6" i="18" s="1"/>
  <c r="AC6" i="18" s="1"/>
  <c r="AD6" i="18" s="1"/>
  <c r="AE6" i="18" s="1"/>
  <c r="AF6" i="18" s="1"/>
  <c r="AG6" i="18" s="1"/>
  <c r="AH6" i="18" s="1"/>
  <c r="AI6" i="18" s="1"/>
  <c r="AJ6" i="18" s="1"/>
  <c r="AK6" i="18" s="1"/>
  <c r="AL6" i="18" s="1"/>
  <c r="AM6" i="18" s="1"/>
  <c r="AN6" i="18" s="1"/>
  <c r="AO6" i="18" s="1"/>
  <c r="AP6" i="18" s="1"/>
  <c r="AQ6" i="18" s="1"/>
  <c r="AR6" i="18" s="1"/>
  <c r="AS6" i="18" s="1"/>
  <c r="AT6" i="18" s="1"/>
  <c r="AU6" i="18" s="1"/>
  <c r="AV6" i="18" s="1"/>
  <c r="AW6" i="18" s="1"/>
  <c r="AX6" i="18" s="1"/>
  <c r="AY6" i="18" s="1"/>
  <c r="AZ6" i="18" s="1"/>
  <c r="BA6" i="18" s="1"/>
  <c r="BB6" i="18" s="1"/>
  <c r="BC6" i="18" s="1"/>
  <c r="BD6" i="18" s="1"/>
  <c r="BE6" i="18" s="1"/>
  <c r="BF6" i="18" s="1"/>
  <c r="BG6" i="18" s="1"/>
  <c r="BH6" i="18" s="1"/>
  <c r="BI6" i="18" s="1"/>
  <c r="BJ6" i="18" s="1"/>
  <c r="BK6" i="18" s="1"/>
  <c r="BL6" i="18" s="1"/>
  <c r="BM6" i="18" s="1"/>
  <c r="BN6" i="18" s="1"/>
  <c r="BO6" i="18" s="1"/>
  <c r="BP6" i="18" s="1"/>
  <c r="BQ6" i="18" s="1"/>
  <c r="BR6" i="18" s="1"/>
  <c r="BS6" i="18" s="1"/>
  <c r="BT6" i="18" s="1"/>
  <c r="BU6" i="18" s="1"/>
  <c r="BV6" i="18" s="1"/>
  <c r="BW6" i="18" s="1"/>
  <c r="BX6" i="18" s="1"/>
  <c r="BY6" i="18" s="1"/>
  <c r="BZ6" i="18" s="1"/>
  <c r="CA6" i="18" s="1"/>
  <c r="CB6" i="18" s="1"/>
  <c r="CC6" i="18" s="1"/>
  <c r="CD6" i="18" s="1"/>
  <c r="CE6" i="18" s="1"/>
  <c r="CF6" i="18" s="1"/>
  <c r="CG6" i="18" s="1"/>
  <c r="CH6" i="18" s="1"/>
  <c r="CI6" i="18" s="1"/>
  <c r="CJ6" i="18" s="1"/>
  <c r="EF6" i="18"/>
  <c r="DV6" i="18"/>
  <c r="EG6" i="18"/>
  <c r="EB6" i="18"/>
  <c r="DZ6" i="18"/>
  <c r="DW6" i="18"/>
  <c r="DS6" i="18"/>
  <c r="DN6" i="18"/>
  <c r="DI6" i="18"/>
  <c r="DF6" i="18"/>
  <c r="DA6" i="18"/>
  <c r="CZ6" i="18"/>
  <c r="CR6" i="18"/>
  <c r="CP6" i="18"/>
  <c r="CL6" i="18"/>
  <c r="E8" i="18"/>
  <c r="E67" i="18" s="1"/>
  <c r="EE6" i="18"/>
  <c r="ED6" i="18"/>
  <c r="EF12" i="14"/>
  <c r="EF10" i="14" s="1"/>
  <c r="C12" i="14" l="1"/>
  <c r="F6" i="18"/>
  <c r="EF9" i="14"/>
  <c r="EG2" i="15" s="1"/>
  <c r="E9" i="14"/>
  <c r="F2" i="15" s="1"/>
  <c r="C10" i="14"/>
  <c r="C7" i="14" s="1"/>
  <c r="CH9" i="14"/>
  <c r="CI2" i="15" s="1"/>
  <c r="CJ9" i="14"/>
  <c r="CK2" i="15" s="1"/>
  <c r="CI9" i="14"/>
  <c r="CJ2" i="15" s="1"/>
  <c r="CL9" i="14"/>
  <c r="CM2" i="15" s="1"/>
  <c r="CK9" i="14"/>
  <c r="CL2" i="15" s="1"/>
  <c r="CM9" i="14"/>
  <c r="CN2" i="15" s="1"/>
  <c r="CN9" i="14"/>
  <c r="CO2" i="15" s="1"/>
  <c r="CP9" i="14"/>
  <c r="CQ2" i="15" s="1"/>
  <c r="CO9" i="14"/>
  <c r="CP2" i="15" s="1"/>
  <c r="CQ9" i="14"/>
  <c r="CR2" i="15" s="1"/>
  <c r="CS9" i="14"/>
  <c r="CT2" i="15" s="1"/>
  <c r="CT9" i="14"/>
  <c r="CU2" i="15" s="1"/>
  <c r="CR9" i="14"/>
  <c r="CS2" i="15" s="1"/>
  <c r="CV9" i="14"/>
  <c r="CW2" i="15" s="1"/>
  <c r="CU9" i="14"/>
  <c r="CV2" i="15" s="1"/>
  <c r="CW9" i="14"/>
  <c r="CX2" i="15" s="1"/>
  <c r="CY9" i="14"/>
  <c r="CZ2" i="15" s="1"/>
  <c r="CX9" i="14"/>
  <c r="CY2" i="15" s="1"/>
  <c r="CZ9" i="14"/>
  <c r="DA2" i="15" s="1"/>
  <c r="DA9" i="14"/>
  <c r="DB2" i="15" s="1"/>
  <c r="DB9" i="14"/>
  <c r="DC2" i="15" s="1"/>
  <c r="DC9" i="14"/>
  <c r="DD2" i="15" s="1"/>
  <c r="DD9" i="14"/>
  <c r="DE2" i="15" s="1"/>
  <c r="DE9" i="14"/>
  <c r="DF2" i="15" s="1"/>
  <c r="DH9" i="14"/>
  <c r="DI2" i="15" s="1"/>
  <c r="DG9" i="14"/>
  <c r="DH2" i="15" s="1"/>
  <c r="DF9" i="14"/>
  <c r="DG2" i="15" s="1"/>
  <c r="DJ9" i="14"/>
  <c r="DK2" i="15" s="1"/>
  <c r="DI9" i="14"/>
  <c r="DJ2" i="15" s="1"/>
  <c r="DL9" i="14"/>
  <c r="DM2" i="15" s="1"/>
  <c r="DN9" i="14"/>
  <c r="DO2" i="15" s="1"/>
  <c r="DK9" i="14"/>
  <c r="DL2" i="15" s="1"/>
  <c r="DO9" i="14"/>
  <c r="DP2" i="15" s="1"/>
  <c r="DM9" i="14"/>
  <c r="DN2" i="15" s="1"/>
  <c r="DP9" i="14"/>
  <c r="DQ2" i="15" s="1"/>
  <c r="DR9" i="14"/>
  <c r="DS2" i="15" s="1"/>
  <c r="DQ9" i="14"/>
  <c r="DR2" i="15" s="1"/>
  <c r="DT9" i="14"/>
  <c r="DU2" i="15" s="1"/>
  <c r="DS9" i="14"/>
  <c r="DT2" i="15" s="1"/>
  <c r="DU9" i="14"/>
  <c r="DV2" i="15" s="1"/>
  <c r="DV9" i="14"/>
  <c r="DW2" i="15" s="1"/>
  <c r="DW9" i="14"/>
  <c r="DX2" i="15" s="1"/>
  <c r="DZ9" i="14"/>
  <c r="EA2" i="15" s="1"/>
  <c r="DX9" i="14"/>
  <c r="DY2" i="15" s="1"/>
  <c r="DY9" i="14"/>
  <c r="DZ2" i="15" s="1"/>
  <c r="EB9" i="14"/>
  <c r="EC2" i="15" s="1"/>
  <c r="ED9" i="14"/>
  <c r="EE2" i="15" s="1"/>
  <c r="EA9" i="14"/>
  <c r="EB2" i="15" s="1"/>
  <c r="EE9" i="14"/>
  <c r="EF2" i="15" s="1"/>
  <c r="EC9" i="14"/>
  <c r="ED2" i="15" s="1"/>
  <c r="F9" i="14" l="1"/>
  <c r="G2" i="15" l="1"/>
  <c r="G9" i="14"/>
  <c r="H2" i="15" l="1"/>
  <c r="H9" i="14"/>
  <c r="I2" i="15" l="1"/>
  <c r="I9" i="14"/>
  <c r="J2" i="15" l="1"/>
  <c r="J9" i="14"/>
  <c r="K2" i="15" l="1"/>
  <c r="K9" i="14"/>
  <c r="L2" i="15" l="1"/>
  <c r="L9" i="14"/>
  <c r="M2" i="15" l="1"/>
  <c r="M9" i="14"/>
  <c r="N2" i="15" l="1"/>
  <c r="N9" i="14"/>
  <c r="O2" i="15" l="1"/>
  <c r="O9" i="14"/>
  <c r="P2" i="15" l="1"/>
  <c r="P9" i="14"/>
  <c r="Q2" i="15" l="1"/>
  <c r="Q9" i="14"/>
  <c r="R2" i="15" l="1"/>
  <c r="R9" i="14"/>
  <c r="S2" i="15" l="1"/>
  <c r="S9" i="14"/>
  <c r="T2" i="15" l="1"/>
  <c r="T9" i="14"/>
  <c r="U2" i="15" l="1"/>
  <c r="U9" i="14"/>
  <c r="V2" i="15" l="1"/>
  <c r="V9" i="14"/>
  <c r="W2" i="15" l="1"/>
  <c r="W9" i="14"/>
  <c r="X2" i="15" l="1"/>
  <c r="X9" i="14"/>
  <c r="Y2" i="15" l="1"/>
  <c r="Y9" i="14"/>
  <c r="Z2" i="15" l="1"/>
  <c r="Z9" i="14"/>
  <c r="AA2" i="15" l="1"/>
  <c r="AA9" i="14"/>
  <c r="AB2" i="15" l="1"/>
  <c r="AB9" i="14"/>
  <c r="AC2" i="15" l="1"/>
  <c r="AC9" i="14"/>
  <c r="AD2" i="15" l="1"/>
  <c r="AD9" i="14"/>
  <c r="AE2" i="15" l="1"/>
  <c r="AE9" i="14"/>
  <c r="AF2" i="15" l="1"/>
  <c r="AF9" i="14"/>
  <c r="AG2" i="15" l="1"/>
  <c r="AG9" i="14"/>
  <c r="AH2" i="15" l="1"/>
  <c r="AH9" i="14"/>
  <c r="AI2" i="15" l="1"/>
  <c r="AI9" i="14"/>
  <c r="AJ2" i="15" l="1"/>
  <c r="AJ9" i="14"/>
  <c r="AK2" i="15" l="1"/>
  <c r="AK9" i="14"/>
  <c r="AL2" i="15" l="1"/>
  <c r="AL9" i="14"/>
  <c r="AM2" i="15" l="1"/>
  <c r="AM9" i="14"/>
  <c r="AN2" i="15" l="1"/>
  <c r="AN9" i="14"/>
  <c r="AO2" i="15" l="1"/>
  <c r="AO9" i="14"/>
  <c r="AP2" i="15" l="1"/>
  <c r="AP9" i="14"/>
  <c r="AQ9" i="14" s="1"/>
  <c r="AR2" i="15" l="1"/>
  <c r="AR9" i="14"/>
  <c r="AQ2" i="15"/>
  <c r="AS2" i="15" l="1"/>
  <c r="AS9" i="14"/>
  <c r="AT2" i="15" l="1"/>
  <c r="AT9" i="14"/>
  <c r="AU2" i="15" l="1"/>
  <c r="AU9" i="14"/>
  <c r="AV2" i="15" l="1"/>
  <c r="AV9" i="14"/>
  <c r="AW2" i="15" l="1"/>
  <c r="AW9" i="14"/>
  <c r="AX2" i="15" l="1"/>
  <c r="AX9" i="14"/>
  <c r="AY2" i="15" l="1"/>
  <c r="AY9" i="14"/>
  <c r="AZ2" i="15" l="1"/>
  <c r="AZ9" i="14"/>
  <c r="BA2" i="15" l="1"/>
  <c r="BA9" i="14"/>
  <c r="BB2" i="15" l="1"/>
  <c r="BB9" i="14"/>
  <c r="BC2" i="15" l="1"/>
  <c r="BC9" i="14"/>
  <c r="BD2" i="15" l="1"/>
  <c r="BD9" i="14"/>
  <c r="BE2" i="15" l="1"/>
  <c r="BE9" i="14"/>
  <c r="BF9" i="14" s="1"/>
  <c r="BG2" i="15" l="1"/>
  <c r="BG9" i="14"/>
  <c r="BF2" i="15"/>
  <c r="BH2" i="15" l="1"/>
  <c r="BH9" i="14"/>
  <c r="BI2" i="15" l="1"/>
  <c r="BI9" i="14"/>
  <c r="BJ2" i="15" l="1"/>
  <c r="BJ9" i="14"/>
  <c r="BK2" i="15" l="1"/>
  <c r="BK9" i="14"/>
  <c r="BL2" i="15" l="1"/>
  <c r="BL9" i="14"/>
  <c r="BM2" i="15" l="1"/>
  <c r="BM9" i="14"/>
  <c r="BN2" i="15" l="1"/>
  <c r="BN9" i="14"/>
  <c r="BO2" i="15" l="1"/>
  <c r="BO9" i="14"/>
  <c r="BP2" i="15" l="1"/>
  <c r="BP9" i="14"/>
  <c r="BQ2" i="15" l="1"/>
  <c r="BQ9" i="14"/>
  <c r="BR2" i="15" l="1"/>
  <c r="BR9" i="14"/>
  <c r="BS2" i="15" l="1"/>
  <c r="BS9" i="14"/>
  <c r="BT2" i="15" l="1"/>
  <c r="BT9" i="14"/>
  <c r="BU2" i="15" l="1"/>
  <c r="BU9" i="14"/>
  <c r="BV2" i="15" l="1"/>
  <c r="BV9" i="14"/>
  <c r="BW2" i="15" l="1"/>
  <c r="BW9" i="14"/>
  <c r="BX9" i="14" s="1"/>
  <c r="BY2" i="15" l="1"/>
  <c r="BY9" i="14"/>
  <c r="BX2" i="15"/>
  <c r="BZ2" i="15" l="1"/>
  <c r="BZ9" i="14"/>
  <c r="CA9" i="14" s="1"/>
  <c r="CB2" i="15" l="1"/>
  <c r="CB9" i="14"/>
  <c r="CA2" i="15"/>
  <c r="CC2" i="15" l="1"/>
  <c r="CC9" i="14"/>
  <c r="CD9" i="14" l="1"/>
  <c r="CD2" i="15"/>
  <c r="CE2" i="15" l="1"/>
  <c r="CE9" i="14"/>
  <c r="CF9" i="14" l="1"/>
  <c r="CF2" i="15"/>
  <c r="CG9" i="14" l="1"/>
  <c r="CH2" i="15" s="1"/>
  <c r="CG2" i="15"/>
  <c r="C9" i="14" l="1"/>
</calcChain>
</file>

<file path=xl/comments1.xml><?xml version="1.0" encoding="utf-8"?>
<comments xmlns="http://schemas.openxmlformats.org/spreadsheetml/2006/main">
  <authors>
    <author>Author</author>
  </authors>
  <commentList>
    <comment ref="E92" authorId="0" shapeId="0">
      <text>
        <r>
          <rPr>
            <b/>
            <sz val="11"/>
            <color indexed="81"/>
            <rFont val="Tahoma"/>
            <family val="2"/>
            <charset val="204"/>
          </rPr>
          <t>Author:</t>
        </r>
        <r>
          <rPr>
            <sz val="11"/>
            <color indexed="81"/>
            <rFont val="Tahoma"/>
            <family val="2"/>
            <charset val="204"/>
          </rPr>
          <t xml:space="preserve">
по сущ. нашим проектам 3,7% от общей площади</t>
        </r>
      </text>
    </comment>
    <comment ref="F113" authorId="0" shapeId="0">
      <text>
        <r>
          <rPr>
            <sz val="12"/>
            <color indexed="81"/>
            <rFont val="Tahoma"/>
            <family val="2"/>
            <charset val="204"/>
          </rPr>
          <t>по сущ. нашим проектам среднее 36,96%</t>
        </r>
      </text>
    </comment>
    <comment ref="E128" authorId="0" shapeId="0">
      <text>
        <r>
          <rPr>
            <sz val="14"/>
            <color indexed="81"/>
            <rFont val="Tahoma"/>
            <family val="2"/>
            <charset val="204"/>
          </rPr>
          <t xml:space="preserve"> 3 - 4 эт. 1 пас. + 1 груз.
 5 - 12 эт. 2 пас. + 1 груз. 
13 - 20/25 эт. 3 пас. + 1 груз. 
20/25 - 40/45 эт. 3 пас. + 2 груз.
50 эт. - 2 группы по 3 пас. + 2 груз.</t>
        </r>
      </text>
    </comment>
    <comment ref="E133" authorId="0" shapeId="0">
      <text>
        <r>
          <rPr>
            <sz val="14"/>
            <color indexed="81"/>
            <rFont val="Tahoma"/>
            <family val="2"/>
            <charset val="204"/>
          </rPr>
          <t xml:space="preserve"> 3 - 4 эт. 1 пас. + 1 груз.
 5 - 12 эт. 2 пас. + 1 груз. 
13 - 20/25 эт. 3 пас. + 1 груз. 
20/25 - 40/45 эт. 3 пас. + 2 груз.
50 эт. - 2 группы по 3 пас. + 2 груз.</t>
        </r>
      </text>
    </comment>
    <comment ref="E226" authorId="0" shapeId="0">
      <text>
        <r>
          <rPr>
            <b/>
            <sz val="11"/>
            <color indexed="81"/>
            <rFont val="Tahoma"/>
            <family val="2"/>
            <charset val="204"/>
          </rPr>
          <t>Состав пирога:</t>
        </r>
        <r>
          <rPr>
            <sz val="11"/>
            <color indexed="81"/>
            <rFont val="Tahoma"/>
            <family val="2"/>
            <charset val="204"/>
          </rPr>
          <t xml:space="preserve"> подшивка из досоктолщ.25мм; пароизоляция Tyvek DuPont AirGuard SD5; Минераловатный утеплитель -200мм между стропилами (2 слоя по 100мм с перекрывом стыков); Паропроницаемая гидроизоляционная мембрана Tyvek Soft; Контробрешетка (продух)-брусок 50х50мм с разрывами 100мм через 1200мм в шахматном порядке; Сплошной настил из OSB-15мм; Объемная диффузионная мембрана Delta TRELA-10мм; Фальцевая кровля; </t>
        </r>
        <r>
          <rPr>
            <b/>
            <sz val="11"/>
            <color indexed="81"/>
            <rFont val="Tahoma"/>
            <family val="2"/>
            <charset val="204"/>
          </rPr>
          <t xml:space="preserve">Дополнительно: </t>
        </r>
        <r>
          <rPr>
            <sz val="11"/>
            <color indexed="81"/>
            <rFont val="Tahoma"/>
            <family val="2"/>
            <charset val="204"/>
          </rPr>
          <t xml:space="preserve">Отливы; Водосточный желоб
</t>
        </r>
        <r>
          <rPr>
            <b/>
            <sz val="11"/>
            <color indexed="81"/>
            <rFont val="Tahoma"/>
            <family val="2"/>
            <charset val="204"/>
          </rPr>
          <t>Мансардные окна</t>
        </r>
      </text>
    </comment>
    <comment ref="E228" authorId="0" shapeId="0">
      <text>
        <r>
          <rPr>
            <b/>
            <sz val="9"/>
            <color indexed="81"/>
            <rFont val="Tahoma"/>
            <family val="2"/>
            <charset val="204"/>
          </rPr>
          <t>Состав пирога:</t>
        </r>
        <r>
          <rPr>
            <sz val="9"/>
            <color indexed="81"/>
            <rFont val="Tahoma"/>
            <family val="2"/>
            <charset val="204"/>
          </rPr>
          <t xml:space="preserve"> Техноэласт ЭПП 1 слой - 4 мм; Уклонообразующий слой из керамзита плотностью 600 кг/м3 по уклону 1,5 %, пролитый цем.песч.раствором М100 - от 100мм; Выравнивающая - цем.песчаная стяжка М100, армированная сеткой 4ВрI с ячейками 100х100мм - 50мм; Праймер битумный ТехноНИКОЛЬ №01; Битумно-полимерная мембрана Техноэласт ЭПП 2 слоя - 8мм; Иглопробивной термообработанный геотекстиль ТехноНИКОЛЬ 300 г/м2; XPS ТехноНИКОЛЬ CARBON PROF - 150мм; Дренажная мембрана PLANTER geo - 8мм; Промытый гравий 30-100мм;  </t>
        </r>
        <r>
          <rPr>
            <b/>
            <sz val="9"/>
            <color indexed="81"/>
            <rFont val="Tahoma"/>
            <family val="2"/>
            <charset val="204"/>
          </rPr>
          <t xml:space="preserve">Дополнительно: </t>
        </r>
        <r>
          <rPr>
            <sz val="9"/>
            <color indexed="81"/>
            <rFont val="Tahoma"/>
            <family val="2"/>
            <charset val="204"/>
          </rPr>
          <t>Разуклонка и у</t>
        </r>
        <r>
          <rPr>
            <sz val="9"/>
            <color indexed="81"/>
            <rFont val="Tahoma"/>
            <family val="2"/>
            <charset val="204"/>
          </rPr>
          <t>стройство водоприемного лотка с решеткой; Устройство молниезащиты</t>
        </r>
      </text>
    </comment>
    <comment ref="E291" authorId="0" shapeId="0">
      <text>
        <r>
          <rPr>
            <sz val="12"/>
            <color indexed="81"/>
            <rFont val="Tahoma"/>
            <family val="2"/>
            <charset val="204"/>
          </rPr>
          <t>Полы: звукоизоляция, устройство ЦПС, наливной самовыравнивающий пол, гидроизоляция
Стены: перегородки из пазогребневых блоков, зашивка ГКЛВ, оштукатуривание стен и откосов, шпаклевание стен и откосов, монтаж подоконников и сантех.люка под плитку.
Потолки: Обеспыливание зачищенного монолитного потолка бетоноконтактом 
Электрооборудование: Щит силовой, терморегулятор ,провода, кабели, кабель с медными жилами с ПВХ изоляцией сеч., Коробка ответвительная,Коробка для встраивания розеток и выключателей одноместная (подрозетник)
Водопровод холодной и горячей воды и Бытовая канализация: Водопровод холодной и горячей воды,Бытовая канализация 
Отопление
Вентиляция и кондиционирование:Воздуховод из тонколистовой оцинкованной стали,Воздушный клапан общего назначения круглый,Сотовая решетка,Щелевой диффузор L-1000 мм 2 щели с камерой статического давления,Решетка 950x150,Тепловая изоляция воздуховодов с материалами для монтажа 6 мм,Труба медная,Дренажный трубопровод Ф20 мм
СКС:Кабели и провода
Пожарная сигнализация: Блок разветвительно-изолирующий,Извещатель дымовой адресно-аналоговый,Извещатель пожарный ручной адресный,Кабели и провода,Коробка коммутационная огнестойкая
Оповещение о пожаре:Звуковой оповещатель 24В,Кабель не поддерживающий горение с низким дымо и газовыделением,Коробка коммутационная огнестойкая
Проводное радиовещание:Розетка радиотрансляционной сети,Коробка для встраивания розеток и выключателей одноместная (подрозетник),Кабель радиотрансляционный распределительный
Система безопасности Видедомофон:Вилка RJ-45 8Р8С FTP для кабельной сети LAN,Кабель сигнальный
Противопожарная автоматика:Устройство коммутационное, Кабель сигнальный,Коробка коммутационная огнестойкая</t>
        </r>
      </text>
    </comment>
    <comment ref="E295" authorId="0" shapeId="0">
      <text>
        <r>
          <rPr>
            <sz val="12"/>
            <color indexed="81"/>
            <rFont val="Tahoma"/>
            <family val="2"/>
            <charset val="204"/>
          </rPr>
          <t xml:space="preserve">Полы: керамогранит Россия, ламинат Kaindl  Хикори Джоржия (Австрия)
Стены: Обшивка ГКЛ, керамическая плитка Керама Марацци (Россия), окраска Dulux (Великобритания), декоративный кирпич Ижора, фактурная штукатурка
Потолки: Обшивка ГКЛ, окраска Dulux (Великобритания), натяжные потолки 
</t>
        </r>
      </text>
    </comment>
    <comment ref="E296" authorId="0" shapeId="0">
      <text>
        <r>
          <rPr>
            <sz val="12"/>
            <color indexed="81"/>
            <rFont val="Tahoma"/>
            <family val="2"/>
            <charset val="204"/>
          </rPr>
          <t>стиль классика - Проект Парк Мира
ПОЛ: керамогранит Виченце, штучный паркет Майкоп дуб с  финишным покрытием, тип "французская елка", керамогранит Керамомараци, наливной пол из материала "Ветонит 3000", плитка EQUIPE OCTAGON Blanco Mate со вставками Taco Negro Mate, Монтаж теплового пола Леви (маты)
СТЕНЫ: Покраска стен краской Dulux Vinyl matt, OONN 
ПОТОЛОК: Покраска потолка краской Dulux.
СУ1: плитка KERAMA MARAZZI 20003N, Покраска краской Dulux Ultra Resist-90YR33/163
СУ2: плитка на стену Cifre Opal Ivory, Cifre Opal Comp. Rodia Grey + декор Opal ivori, Покраска краской Dulux Ultra Resist-20YY83/063
ДВЕРИ: Profil Doors 1U 
САНТЕХНИЧЕСКИЕ ПРИБОРЫ: унитаз подвесной Simas Lante с инсаляцией, биде подвесное Simas Lante LA19 с инсоляцией, акриловая ванна Aquanet Nord 170, душевая стойка Bravat Opal F9125183CP-A1-RUS, тумба-умывальника акватон Леон 80 Дуб бежевый, тумба Aquanet Homa 90 белый гляней с раковиной, полотенцесушитель Terminus Классик 400х630
СЕТИ: Блок кондиционирования LG настенный внутренний</t>
        </r>
      </text>
    </comment>
    <comment ref="E297" authorId="0" shapeId="0">
      <text>
        <r>
          <rPr>
            <sz val="11"/>
            <color indexed="81"/>
            <rFont val="Tahoma"/>
            <family val="2"/>
            <charset val="204"/>
          </rPr>
          <t>среднее по стиль "Классика", "Современный"
проект Джаз
Полы: керамогранит под натуральный камень, паркетная доска английская елка;
Стены - обшивка ГКЛ, обои флизелиновые, покраска Dulux, декоратив. стена Wall-panels, керамогранит Atlas Concorde;
Потолки: ГКЛВ, окраска Dulux</t>
        </r>
      </text>
    </comment>
    <comment ref="E298" authorId="0" shapeId="0">
      <text>
        <r>
          <rPr>
            <sz val="11"/>
            <color indexed="81"/>
            <rFont val="Tahoma"/>
            <family val="2"/>
            <charset val="204"/>
          </rPr>
          <t>среднее по стилю "Классика", " Современный", "Ар-декао"
проект Реномэ
Полы: керамогранит под натуральный камень, паркетная доска английская елка;
Стены - обшивка ГКЛ, обои флизелиновые, покраска Dulux, декоратив. стена Wall-panels, керамогранит Atlas Concorde;
Потолки: ГКЛВ, окраска Dulux</t>
        </r>
      </text>
    </comment>
    <comment ref="E299" authorId="0" shapeId="0">
      <text>
        <r>
          <rPr>
            <sz val="11"/>
            <color indexed="81"/>
            <rFont val="Tahoma"/>
            <family val="2"/>
            <charset val="204"/>
          </rPr>
          <t>среднее по стилю "Классика", " Современный", "Ар-декао"
проект М. Ордынка
Полы: керамогранит под натуральный камень, паркетная доска английская елка;
Стены - обшивка ГКЛ, обои флизелиновые, покраска Dulux, декоратив. стена Wall-panels, керамогранит Atlas Concorde;
Потолки: ГКЛВ, окраска Dulux</t>
        </r>
      </text>
    </comment>
    <comment ref="E300" authorId="0" shapeId="0">
      <text>
        <r>
          <rPr>
            <sz val="12"/>
            <color indexed="81"/>
            <rFont val="Tahoma"/>
            <family val="2"/>
            <charset val="204"/>
          </rPr>
          <t>Полы: звукоизоляция, устройство ЦПС, наливной самовыравнивающий пол, гидроизоляция
Стены: перегородки из пазогребневых блоков, зашивка ГКЛВ, оштукатуривание стен и откосов, шпаклевание стен и откосов, монтаж подоконников и сантех.люка под плитку.
Потолки: Обеспыливание зачищенного монолитного потолка бетоноконтактом 
Электрооборудование: Щит силовой, терморегулятор ,провода, кабели, кабель с медными жилами с ПВХ изоляцией сеч., Коробка ответвительная,Коробка для встраивания розеток и выключателей одноместная (подрозетник)
Водопровод холодной и горячей воды и Бытовая канализация: Водопровод холодной и горячей воды,Бытовая канализация 
Отопление
Вентиляция и кондиционирование:Воздуховод из тонколистовой оцинкованной стали,Воздушный клапан общего назначения круглый,Сотовая решетка,Щелевой диффузор L-1000 мм 2 щели с камерой статического давления,Решетка 950x150,Тепловая изоляция воздуховодов с материалами для монтажа 6 мм,Труба медная,Дренажный трубопровод Ф20 мм
СКС:Кабели и провода
Пожарная сигнализация: Блок разветвительно-изолирующий,Извещатель дымовой адресно-аналоговый,Извещатель пожарный ручной адресный,Кабели и провода,Коробка коммутационная огнестойкая
Оповещение о пожаре:Звуковой оповещатель 24В,Кабель не поддерживающий горение с низким дымо и газовыделением,Коробка коммутационная огнестойкая
Проводное радиовещание:Розетка радиотрансляционной сети,Коробка для встраивания розеток и выключателей одноместная (подрозетник),Кабель радиотрансляционный распределительный
Система безопасности Видедомофон:Вилка RJ-45 8Р8С FTP для кабельной сети LAN,Кабель сигнальный
Противопожарная автоматика:Устройство коммутационное, Кабель сигнальный,Коробка коммутационная огнестойкая</t>
        </r>
      </text>
    </comment>
    <comment ref="E505" authorId="0" shapeId="0">
      <text>
        <r>
          <rPr>
            <sz val="11"/>
            <color indexed="81"/>
            <rFont val="Tahoma"/>
            <family val="2"/>
            <charset val="204"/>
          </rPr>
          <t xml:space="preserve">индивидуального производства (пример М.Ордынка,19)
</t>
        </r>
        <r>
          <rPr>
            <b/>
            <sz val="11"/>
            <color indexed="81"/>
            <rFont val="Tahoma"/>
            <family val="2"/>
            <charset val="204"/>
          </rPr>
          <t>Оборудование</t>
        </r>
        <r>
          <rPr>
            <sz val="11"/>
            <color indexed="81"/>
            <rFont val="Tahoma"/>
            <family val="2"/>
            <charset val="204"/>
          </rPr>
          <t xml:space="preserve"> - / - 
</t>
        </r>
        <r>
          <rPr>
            <b/>
            <sz val="11"/>
            <color indexed="81"/>
            <rFont val="Tahoma"/>
            <family val="2"/>
            <charset val="204"/>
          </rPr>
          <t xml:space="preserve">Материалы оборудования: </t>
        </r>
        <r>
          <rPr>
            <sz val="11"/>
            <color indexed="81"/>
            <rFont val="Tahoma"/>
            <family val="2"/>
            <charset val="204"/>
          </rPr>
          <t>основание грунт / стилобат / монолитная чаша; при условии основания тип стилобат - очистка мембраны перед укладкой геотекстиля; геофильтр VTEH NW 9-13 коэф. Расхода 1,2 - 1 слой; дренажный слой: iDrain 10 ГЕО с геотекстилем Typar (1000 кн/м2) - 10 мм; гранитный щебень фр. 20-40мм ГОСТ 8267-93 перем.от 100 мм; гравийный отсев фр.2-5 мм ГОСТ 8267-93 - 50 мм; *Финишное покрытие: Мощение крупными гранитными плитами с готовыми отверстиями для дюз фонтана; подсветка дюз фонтана;</t>
        </r>
      </text>
    </comment>
    <comment ref="E560" authorId="0" shapeId="0">
      <text/>
    </comment>
    <comment ref="E573" authorId="0" shapeId="0">
      <text>
        <r>
          <rPr>
            <b/>
            <sz val="12"/>
            <color indexed="81"/>
            <rFont val="Tahoma"/>
            <family val="2"/>
            <charset val="204"/>
          </rPr>
          <t xml:space="preserve">Фундамент </t>
        </r>
        <r>
          <rPr>
            <sz val="12"/>
            <color indexed="81"/>
            <rFont val="Tahoma"/>
            <family val="2"/>
            <charset val="204"/>
          </rPr>
          <t xml:space="preserve">- железобетонный сборный ленточный
</t>
        </r>
        <r>
          <rPr>
            <b/>
            <sz val="12"/>
            <color indexed="81"/>
            <rFont val="Tahoma"/>
            <family val="2"/>
            <charset val="204"/>
          </rPr>
          <t xml:space="preserve">Стены: наружные, внутренние, перегородки </t>
        </r>
        <r>
          <rPr>
            <sz val="12"/>
            <color indexed="81"/>
            <rFont val="Tahoma"/>
            <family val="2"/>
            <charset val="204"/>
          </rPr>
          <t xml:space="preserve">- кирпичные
</t>
        </r>
        <r>
          <rPr>
            <b/>
            <sz val="12"/>
            <color indexed="81"/>
            <rFont val="Tahoma"/>
            <family val="2"/>
            <charset val="204"/>
          </rPr>
          <t xml:space="preserve">Перекрытие, покрытие </t>
        </r>
        <r>
          <rPr>
            <sz val="12"/>
            <color indexed="81"/>
            <rFont val="Tahoma"/>
            <family val="2"/>
            <charset val="204"/>
          </rPr>
          <t xml:space="preserve">- железобетонные сборные плиты
</t>
        </r>
        <r>
          <rPr>
            <b/>
            <sz val="12"/>
            <color indexed="81"/>
            <rFont val="Tahoma"/>
            <family val="2"/>
            <charset val="204"/>
          </rPr>
          <t>Балконы, лоджии</t>
        </r>
        <r>
          <rPr>
            <sz val="12"/>
            <color indexed="81"/>
            <rFont val="Tahoma"/>
            <family val="2"/>
            <charset val="204"/>
          </rPr>
          <t xml:space="preserve"> - не предусмотрены
</t>
        </r>
        <r>
          <rPr>
            <b/>
            <sz val="12"/>
            <color indexed="81"/>
            <rFont val="Tahoma"/>
            <family val="2"/>
            <charset val="204"/>
          </rPr>
          <t xml:space="preserve">Лестницы </t>
        </r>
        <r>
          <rPr>
            <sz val="12"/>
            <color indexed="81"/>
            <rFont val="Tahoma"/>
            <family val="2"/>
            <charset val="204"/>
          </rPr>
          <t xml:space="preserve">- железобетонные сборные
</t>
        </r>
        <r>
          <rPr>
            <b/>
            <sz val="12"/>
            <color indexed="81"/>
            <rFont val="Tahoma"/>
            <family val="2"/>
            <charset val="204"/>
          </rPr>
          <t xml:space="preserve">Крыша (кровля) </t>
        </r>
        <r>
          <rPr>
            <sz val="12"/>
            <color indexed="81"/>
            <rFont val="Tahoma"/>
            <family val="2"/>
            <charset val="204"/>
          </rPr>
          <t xml:space="preserve">- рулонная, из наплавляемых материалов
</t>
        </r>
        <r>
          <rPr>
            <b/>
            <sz val="12"/>
            <color indexed="81"/>
            <rFont val="Tahoma"/>
            <family val="2"/>
            <charset val="204"/>
          </rPr>
          <t>Полы</t>
        </r>
        <r>
          <rPr>
            <sz val="12"/>
            <color indexed="81"/>
            <rFont val="Tahoma"/>
            <family val="2"/>
            <charset val="204"/>
          </rPr>
          <t xml:space="preserve"> - керамические, линолеумные, синтетические рулонные
</t>
        </r>
        <r>
          <rPr>
            <b/>
            <sz val="12"/>
            <color indexed="81"/>
            <rFont val="Tahoma"/>
            <family val="2"/>
            <charset val="204"/>
          </rPr>
          <t>Проемы: оконные блоки</t>
        </r>
        <r>
          <rPr>
            <sz val="12"/>
            <color indexed="81"/>
            <rFont val="Tahoma"/>
            <family val="2"/>
            <charset val="204"/>
          </rPr>
          <t xml:space="preserve"> - поливинилхлоридные, стеклопакет
</t>
        </r>
        <r>
          <rPr>
            <b/>
            <sz val="12"/>
            <color indexed="81"/>
            <rFont val="Tahoma"/>
            <family val="2"/>
            <charset val="204"/>
          </rPr>
          <t>Проемы: дверные блоки</t>
        </r>
        <r>
          <rPr>
            <sz val="12"/>
            <color indexed="81"/>
            <rFont val="Tahoma"/>
            <family val="2"/>
            <charset val="204"/>
          </rPr>
          <t xml:space="preserve"> - деревянные
</t>
        </r>
        <r>
          <rPr>
            <b/>
            <sz val="12"/>
            <color indexed="81"/>
            <rFont val="Tahoma"/>
            <family val="2"/>
            <charset val="204"/>
          </rPr>
          <t xml:space="preserve">Внутренняя отделка </t>
        </r>
        <r>
          <rPr>
            <sz val="12"/>
            <color indexed="81"/>
            <rFont val="Tahoma"/>
            <family val="2"/>
            <charset val="204"/>
          </rPr>
          <t xml:space="preserve">- улучшенная
</t>
        </r>
        <r>
          <rPr>
            <b/>
            <sz val="12"/>
            <color indexed="81"/>
            <rFont val="Tahoma"/>
            <family val="2"/>
            <charset val="204"/>
          </rPr>
          <t xml:space="preserve">Архитектурное оформление фасада </t>
        </r>
        <r>
          <rPr>
            <sz val="12"/>
            <color indexed="81"/>
            <rFont val="Tahoma"/>
            <family val="2"/>
            <charset val="204"/>
          </rPr>
          <t xml:space="preserve">- простое
</t>
        </r>
        <r>
          <rPr>
            <b/>
            <u/>
            <sz val="12"/>
            <color indexed="81"/>
            <rFont val="Tahoma"/>
            <family val="2"/>
            <charset val="204"/>
          </rPr>
          <t xml:space="preserve">Инженерные системы и элементы благоустройства </t>
        </r>
        <r>
          <rPr>
            <sz val="12"/>
            <color indexed="81"/>
            <rFont val="Tahoma"/>
            <family val="2"/>
            <charset val="204"/>
          </rPr>
          <t xml:space="preserve">
</t>
        </r>
        <r>
          <rPr>
            <b/>
            <sz val="12"/>
            <color indexed="81"/>
            <rFont val="Tahoma"/>
            <family val="2"/>
            <charset val="204"/>
          </rPr>
          <t xml:space="preserve">Отопление </t>
        </r>
        <r>
          <rPr>
            <sz val="12"/>
            <color indexed="81"/>
            <rFont val="Tahoma"/>
            <family val="2"/>
            <charset val="204"/>
          </rPr>
          <t xml:space="preserve">- центральное водяное, трубы стальные
</t>
        </r>
        <r>
          <rPr>
            <b/>
            <sz val="12"/>
            <color indexed="81"/>
            <rFont val="Tahoma"/>
            <family val="2"/>
            <charset val="204"/>
          </rPr>
          <t xml:space="preserve">Водопровод </t>
        </r>
        <r>
          <rPr>
            <sz val="12"/>
            <color indexed="81"/>
            <rFont val="Tahoma"/>
            <family val="2"/>
            <charset val="204"/>
          </rPr>
          <t xml:space="preserve">- от центральной сети, трубы стальные оцинкованные
</t>
        </r>
        <r>
          <rPr>
            <b/>
            <sz val="12"/>
            <color indexed="81"/>
            <rFont val="Tahoma"/>
            <family val="2"/>
            <charset val="204"/>
          </rPr>
          <t xml:space="preserve">Канализация </t>
        </r>
        <r>
          <rPr>
            <sz val="12"/>
            <color indexed="81"/>
            <rFont val="Tahoma"/>
            <family val="2"/>
            <charset val="204"/>
          </rPr>
          <t xml:space="preserve">- центральная, трубы чугунные, полиэтиленовые
</t>
        </r>
        <r>
          <rPr>
            <b/>
            <sz val="12"/>
            <color indexed="81"/>
            <rFont val="Tahoma"/>
            <family val="2"/>
            <charset val="204"/>
          </rPr>
          <t xml:space="preserve">Горячее водоснабжение </t>
        </r>
        <r>
          <rPr>
            <sz val="12"/>
            <color indexed="81"/>
            <rFont val="Tahoma"/>
            <family val="2"/>
            <charset val="204"/>
          </rPr>
          <t xml:space="preserve">- центральное, трубы стальные оцинкованные
</t>
        </r>
        <r>
          <rPr>
            <b/>
            <sz val="12"/>
            <color indexed="81"/>
            <rFont val="Tahoma"/>
            <family val="2"/>
            <charset val="204"/>
          </rPr>
          <t>Пароснабжение -</t>
        </r>
        <r>
          <rPr>
            <sz val="12"/>
            <color indexed="81"/>
            <rFont val="Tahoma"/>
            <family val="2"/>
            <charset val="204"/>
          </rPr>
          <t xml:space="preserve"> не предусмотрено
</t>
        </r>
        <r>
          <rPr>
            <b/>
            <sz val="12"/>
            <color indexed="81"/>
            <rFont val="Tahoma"/>
            <family val="2"/>
            <charset val="204"/>
          </rPr>
          <t xml:space="preserve">Газоснабжение </t>
        </r>
        <r>
          <rPr>
            <sz val="12"/>
            <color indexed="81"/>
            <rFont val="Tahoma"/>
            <family val="2"/>
            <charset val="204"/>
          </rPr>
          <t xml:space="preserve">- не предусмотрено
</t>
        </r>
        <r>
          <rPr>
            <b/>
            <sz val="12"/>
            <color indexed="81"/>
            <rFont val="Tahoma"/>
            <family val="2"/>
            <charset val="204"/>
          </rPr>
          <t xml:space="preserve">Электроснабжение </t>
        </r>
        <r>
          <rPr>
            <sz val="12"/>
            <color indexed="81"/>
            <rFont val="Tahoma"/>
            <family val="2"/>
            <charset val="204"/>
          </rPr>
          <t xml:space="preserve">- центральное, автономное
</t>
        </r>
        <r>
          <rPr>
            <b/>
            <sz val="12"/>
            <color indexed="81"/>
            <rFont val="Tahoma"/>
            <family val="2"/>
            <charset val="204"/>
          </rPr>
          <t xml:space="preserve">Напольные электроплиты </t>
        </r>
        <r>
          <rPr>
            <sz val="12"/>
            <color indexed="81"/>
            <rFont val="Tahoma"/>
            <family val="2"/>
            <charset val="204"/>
          </rPr>
          <t xml:space="preserve">- многофункциональные электрические плиты
</t>
        </r>
        <r>
          <rPr>
            <b/>
            <sz val="12"/>
            <color indexed="81"/>
            <rFont val="Tahoma"/>
            <family val="2"/>
            <charset val="204"/>
          </rPr>
          <t>Телевидение, радио, телефон, слаботочные устройства</t>
        </r>
        <r>
          <rPr>
            <sz val="12"/>
            <color indexed="81"/>
            <rFont val="Tahoma"/>
            <family val="2"/>
            <charset val="204"/>
          </rPr>
          <t xml:space="preserve"> - учтены
</t>
        </r>
        <r>
          <rPr>
            <b/>
            <sz val="12"/>
            <color indexed="81"/>
            <rFont val="Tahoma"/>
            <family val="2"/>
            <charset val="204"/>
          </rPr>
          <t>Лифт</t>
        </r>
        <r>
          <rPr>
            <sz val="12"/>
            <color indexed="81"/>
            <rFont val="Tahoma"/>
            <family val="2"/>
            <charset val="204"/>
          </rPr>
          <t xml:space="preserve"> - не предусмотрен 
</t>
        </r>
        <r>
          <rPr>
            <b/>
            <sz val="12"/>
            <color indexed="81"/>
            <rFont val="Tahoma"/>
            <family val="2"/>
            <charset val="204"/>
          </rPr>
          <t xml:space="preserve">Мусоропровод </t>
        </r>
        <r>
          <rPr>
            <sz val="12"/>
            <color indexed="81"/>
            <rFont val="Tahoma"/>
            <family val="2"/>
            <charset val="204"/>
          </rPr>
          <t xml:space="preserve">- не предусмотрен
</t>
        </r>
        <r>
          <rPr>
            <b/>
            <sz val="12"/>
            <color indexed="81"/>
            <rFont val="Tahoma"/>
            <family val="2"/>
            <charset val="204"/>
          </rPr>
          <t>Вентиляция</t>
        </r>
        <r>
          <rPr>
            <sz val="12"/>
            <color indexed="81"/>
            <rFont val="Tahoma"/>
            <family val="2"/>
            <charset val="204"/>
          </rPr>
          <t xml:space="preserve"> - приточно-вытяжная
</t>
        </r>
        <r>
          <rPr>
            <b/>
            <sz val="12"/>
            <color indexed="81"/>
            <rFont val="Tahoma"/>
            <family val="2"/>
            <charset val="204"/>
          </rPr>
          <t>Кондиционирование, газодымоудал., пылеудаление, технологич. трубопроводы</t>
        </r>
        <r>
          <rPr>
            <sz val="12"/>
            <color indexed="81"/>
            <rFont val="Tahoma"/>
            <family val="2"/>
            <charset val="204"/>
          </rPr>
          <t xml:space="preserve"> - не предусмотрены
</t>
        </r>
        <r>
          <rPr>
            <b/>
            <sz val="12"/>
            <color indexed="81"/>
            <rFont val="Tahoma"/>
            <family val="2"/>
            <charset val="204"/>
          </rPr>
          <t xml:space="preserve">Молниезащита </t>
        </r>
        <r>
          <rPr>
            <sz val="12"/>
            <color indexed="81"/>
            <rFont val="Tahoma"/>
            <family val="2"/>
            <charset val="204"/>
          </rPr>
          <t xml:space="preserve">- учтена
</t>
        </r>
        <r>
          <rPr>
            <b/>
            <sz val="12"/>
            <color indexed="81"/>
            <rFont val="Tahoma"/>
            <family val="2"/>
            <charset val="204"/>
          </rPr>
          <t>Система пожаротушения</t>
        </r>
        <r>
          <rPr>
            <sz val="12"/>
            <color indexed="81"/>
            <rFont val="Tahoma"/>
            <family val="2"/>
            <charset val="204"/>
          </rPr>
          <t xml:space="preserve"> - учтена
</t>
        </r>
        <r>
          <rPr>
            <b/>
            <sz val="12"/>
            <color indexed="81"/>
            <rFont val="Tahoma"/>
            <family val="2"/>
            <charset val="204"/>
          </rPr>
          <t xml:space="preserve">Пожарная сигнализация </t>
        </r>
        <r>
          <rPr>
            <sz val="12"/>
            <color indexed="81"/>
            <rFont val="Tahoma"/>
            <family val="2"/>
            <charset val="204"/>
          </rPr>
          <t xml:space="preserve">- учтена
</t>
        </r>
        <r>
          <rPr>
            <b/>
            <sz val="12"/>
            <color indexed="81"/>
            <rFont val="Tahoma"/>
            <family val="2"/>
            <charset val="204"/>
          </rPr>
          <t>Охранная сигнализация</t>
        </r>
        <r>
          <rPr>
            <sz val="12"/>
            <color indexed="81"/>
            <rFont val="Tahoma"/>
            <family val="2"/>
            <charset val="204"/>
          </rPr>
          <t xml:space="preserve"> -учтена
</t>
        </r>
        <r>
          <rPr>
            <b/>
            <sz val="12"/>
            <color indexed="81"/>
            <rFont val="Tahoma"/>
            <family val="2"/>
            <charset val="204"/>
          </rPr>
          <t>Охранно-пожарная сигнализация</t>
        </r>
        <r>
          <rPr>
            <sz val="12"/>
            <color indexed="81"/>
            <rFont val="Tahoma"/>
            <family val="2"/>
            <charset val="204"/>
          </rPr>
          <t xml:space="preserve"> - не предусмотрена
</t>
        </r>
        <r>
          <rPr>
            <b/>
            <sz val="12"/>
            <color indexed="81"/>
            <rFont val="Tahoma"/>
            <family val="2"/>
            <charset val="204"/>
          </rPr>
          <t>Тревожная сигнализация (тревожная кнопка)</t>
        </r>
        <r>
          <rPr>
            <sz val="12"/>
            <color indexed="81"/>
            <rFont val="Tahoma"/>
            <family val="2"/>
            <charset val="204"/>
          </rPr>
          <t xml:space="preserve"> - не предусмотрена
</t>
        </r>
        <r>
          <rPr>
            <b/>
            <sz val="12"/>
            <color indexed="81"/>
            <rFont val="Tahoma"/>
            <family val="2"/>
            <charset val="204"/>
          </rPr>
          <t>Технологическое оборудование</t>
        </r>
        <r>
          <rPr>
            <sz val="12"/>
            <color indexed="81"/>
            <rFont val="Tahoma"/>
            <family val="2"/>
            <charset val="204"/>
          </rPr>
          <t xml:space="preserve"> - учтено
</t>
        </r>
        <r>
          <rPr>
            <b/>
            <sz val="12"/>
            <color indexed="81"/>
            <rFont val="Tahoma"/>
            <family val="2"/>
            <charset val="204"/>
          </rPr>
          <t xml:space="preserve">Пусконаладочные работы </t>
        </r>
        <r>
          <rPr>
            <sz val="12"/>
            <color indexed="81"/>
            <rFont val="Tahoma"/>
            <family val="2"/>
            <charset val="204"/>
          </rPr>
          <t xml:space="preserve">- учтены
</t>
        </r>
      </text>
    </comment>
    <comment ref="E575" authorId="0" shapeId="0">
      <text>
        <r>
          <rPr>
            <b/>
            <sz val="12"/>
            <color indexed="81"/>
            <rFont val="Tahoma"/>
            <family val="2"/>
            <charset val="204"/>
          </rPr>
          <t>Фундамент</t>
        </r>
        <r>
          <rPr>
            <sz val="12"/>
            <color indexed="81"/>
            <rFont val="Tahoma"/>
            <family val="2"/>
            <charset val="204"/>
          </rPr>
          <t xml:space="preserve"> - железобетонный сборный ленточный
</t>
        </r>
        <r>
          <rPr>
            <b/>
            <sz val="12"/>
            <color indexed="81"/>
            <rFont val="Tahoma"/>
            <family val="2"/>
            <charset val="204"/>
          </rPr>
          <t xml:space="preserve">Стены: наружные </t>
        </r>
        <r>
          <rPr>
            <sz val="12"/>
            <color indexed="81"/>
            <rFont val="Tahoma"/>
            <family val="2"/>
            <charset val="204"/>
          </rPr>
          <t xml:space="preserve">- кирпичные, вентилируемый фасад
</t>
        </r>
        <r>
          <rPr>
            <b/>
            <sz val="12"/>
            <color indexed="81"/>
            <rFont val="Tahoma"/>
            <family val="2"/>
            <charset val="204"/>
          </rPr>
          <t xml:space="preserve">Стены: внутренние, перегородки </t>
        </r>
        <r>
          <rPr>
            <sz val="12"/>
            <color indexed="81"/>
            <rFont val="Tahoma"/>
            <family val="2"/>
            <charset val="204"/>
          </rPr>
          <t xml:space="preserve">- кирпичные
</t>
        </r>
        <r>
          <rPr>
            <b/>
            <sz val="12"/>
            <color indexed="81"/>
            <rFont val="Tahoma"/>
            <family val="2"/>
            <charset val="204"/>
          </rPr>
          <t xml:space="preserve">Перекрытие, покрытие </t>
        </r>
        <r>
          <rPr>
            <sz val="12"/>
            <color indexed="81"/>
            <rFont val="Tahoma"/>
            <family val="2"/>
            <charset val="204"/>
          </rPr>
          <t xml:space="preserve">- железобетонные сборные плиты
</t>
        </r>
        <r>
          <rPr>
            <b/>
            <sz val="12"/>
            <color indexed="81"/>
            <rFont val="Tahoma"/>
            <family val="2"/>
            <charset val="204"/>
          </rPr>
          <t xml:space="preserve">Балконы, лоджии </t>
        </r>
        <r>
          <rPr>
            <sz val="12"/>
            <color indexed="81"/>
            <rFont val="Tahoma"/>
            <family val="2"/>
            <charset val="204"/>
          </rPr>
          <t xml:space="preserve">- не предусмотрены
</t>
        </r>
        <r>
          <rPr>
            <b/>
            <sz val="12"/>
            <color indexed="81"/>
            <rFont val="Tahoma"/>
            <family val="2"/>
            <charset val="204"/>
          </rPr>
          <t xml:space="preserve">Лестницы </t>
        </r>
        <r>
          <rPr>
            <sz val="12"/>
            <color indexed="81"/>
            <rFont val="Tahoma"/>
            <family val="2"/>
            <charset val="204"/>
          </rPr>
          <t xml:space="preserve">- железобетонные сборные
</t>
        </r>
        <r>
          <rPr>
            <b/>
            <sz val="12"/>
            <color indexed="81"/>
            <rFont val="Tahoma"/>
            <family val="2"/>
            <charset val="204"/>
          </rPr>
          <t xml:space="preserve">Крыша (кровля) </t>
        </r>
        <r>
          <rPr>
            <sz val="12"/>
            <color indexed="81"/>
            <rFont val="Tahoma"/>
            <family val="2"/>
            <charset val="204"/>
          </rPr>
          <t xml:space="preserve">- стропильная система, сталь листовая оцинкованная
</t>
        </r>
        <r>
          <rPr>
            <b/>
            <sz val="12"/>
            <color indexed="81"/>
            <rFont val="Tahoma"/>
            <family val="2"/>
            <charset val="204"/>
          </rPr>
          <t xml:space="preserve">Полы </t>
        </r>
        <r>
          <rPr>
            <sz val="12"/>
            <color indexed="81"/>
            <rFont val="Tahoma"/>
            <family val="2"/>
            <charset val="204"/>
          </rPr>
          <t xml:space="preserve">- наливные, ламинированные, керамические, линолеумные
</t>
        </r>
        <r>
          <rPr>
            <b/>
            <sz val="12"/>
            <color indexed="81"/>
            <rFont val="Tahoma"/>
            <family val="2"/>
            <charset val="204"/>
          </rPr>
          <t xml:space="preserve">Проемы: оконные блоки </t>
        </r>
        <r>
          <rPr>
            <sz val="12"/>
            <color indexed="81"/>
            <rFont val="Tahoma"/>
            <family val="2"/>
            <charset val="204"/>
          </rPr>
          <t xml:space="preserve">- поливинилхлоридные, стеклопакет, витражи поливинилхлоридные
</t>
        </r>
        <r>
          <rPr>
            <b/>
            <sz val="12"/>
            <color indexed="81"/>
            <rFont val="Tahoma"/>
            <family val="2"/>
            <charset val="204"/>
          </rPr>
          <t xml:space="preserve">Проемы: дверные блоки </t>
        </r>
        <r>
          <rPr>
            <sz val="12"/>
            <color indexed="81"/>
            <rFont val="Tahoma"/>
            <family val="2"/>
            <charset val="204"/>
          </rPr>
          <t xml:space="preserve">- деревянные, поливинилхлоридные
</t>
        </r>
        <r>
          <rPr>
            <b/>
            <sz val="12"/>
            <color indexed="81"/>
            <rFont val="Tahoma"/>
            <family val="2"/>
            <charset val="204"/>
          </rPr>
          <t>Внутренняя отделка</t>
        </r>
        <r>
          <rPr>
            <sz val="12"/>
            <color indexed="81"/>
            <rFont val="Tahoma"/>
            <family val="2"/>
            <charset val="204"/>
          </rPr>
          <t xml:space="preserve"> - улучшенная
</t>
        </r>
        <r>
          <rPr>
            <b/>
            <sz val="12"/>
            <color indexed="81"/>
            <rFont val="Tahoma"/>
            <family val="2"/>
            <charset val="204"/>
          </rPr>
          <t xml:space="preserve">Архитектурное оформление фасада </t>
        </r>
        <r>
          <rPr>
            <sz val="12"/>
            <color indexed="81"/>
            <rFont val="Tahoma"/>
            <family val="2"/>
            <charset val="204"/>
          </rPr>
          <t xml:space="preserve">- простое
</t>
        </r>
        <r>
          <rPr>
            <b/>
            <u/>
            <sz val="12"/>
            <color indexed="81"/>
            <rFont val="Tahoma"/>
            <family val="2"/>
            <charset val="204"/>
          </rPr>
          <t xml:space="preserve">Инженерные системы и элементы благоустройства </t>
        </r>
        <r>
          <rPr>
            <sz val="12"/>
            <color indexed="81"/>
            <rFont val="Tahoma"/>
            <family val="2"/>
            <charset val="204"/>
          </rPr>
          <t xml:space="preserve">
</t>
        </r>
        <r>
          <rPr>
            <b/>
            <sz val="12"/>
            <color indexed="81"/>
            <rFont val="Tahoma"/>
            <family val="2"/>
            <charset val="204"/>
          </rPr>
          <t>Отопление</t>
        </r>
        <r>
          <rPr>
            <sz val="12"/>
            <color indexed="81"/>
            <rFont val="Tahoma"/>
            <family val="2"/>
            <charset val="204"/>
          </rPr>
          <t xml:space="preserve"> - центральное водяное, трубы стальные
</t>
        </r>
        <r>
          <rPr>
            <b/>
            <sz val="12"/>
            <color indexed="81"/>
            <rFont val="Tahoma"/>
            <family val="2"/>
            <charset val="204"/>
          </rPr>
          <t>Водопровод</t>
        </r>
        <r>
          <rPr>
            <sz val="12"/>
            <color indexed="81"/>
            <rFont val="Tahoma"/>
            <family val="2"/>
            <charset val="204"/>
          </rPr>
          <t xml:space="preserve"> - от центральной сети, трубы стальные оцинкованные
</t>
        </r>
        <r>
          <rPr>
            <b/>
            <sz val="12"/>
            <color indexed="81"/>
            <rFont val="Tahoma"/>
            <family val="2"/>
            <charset val="204"/>
          </rPr>
          <t xml:space="preserve">Канализация </t>
        </r>
        <r>
          <rPr>
            <sz val="12"/>
            <color indexed="81"/>
            <rFont val="Tahoma"/>
            <family val="2"/>
            <charset val="204"/>
          </rPr>
          <t xml:space="preserve">- центральная, трубы чугунные, полиэтиленовые
</t>
        </r>
        <r>
          <rPr>
            <b/>
            <sz val="12"/>
            <color indexed="81"/>
            <rFont val="Tahoma"/>
            <family val="2"/>
            <charset val="204"/>
          </rPr>
          <t>Горячее водоснабжение</t>
        </r>
        <r>
          <rPr>
            <sz val="12"/>
            <color indexed="81"/>
            <rFont val="Tahoma"/>
            <family val="2"/>
            <charset val="204"/>
          </rPr>
          <t xml:space="preserve"> - центральное, трубы стальные оцинкованные
</t>
        </r>
        <r>
          <rPr>
            <b/>
            <sz val="12"/>
            <color indexed="81"/>
            <rFont val="Tahoma"/>
            <family val="2"/>
            <charset val="204"/>
          </rPr>
          <t xml:space="preserve">Пароснабжение </t>
        </r>
        <r>
          <rPr>
            <sz val="12"/>
            <color indexed="81"/>
            <rFont val="Tahoma"/>
            <family val="2"/>
            <charset val="204"/>
          </rPr>
          <t xml:space="preserve">- не предусмотрено
</t>
        </r>
        <r>
          <rPr>
            <b/>
            <sz val="12"/>
            <color indexed="81"/>
            <rFont val="Tahoma"/>
            <family val="2"/>
            <charset val="204"/>
          </rPr>
          <t>Газоснабжение</t>
        </r>
        <r>
          <rPr>
            <sz val="12"/>
            <color indexed="81"/>
            <rFont val="Tahoma"/>
            <family val="2"/>
            <charset val="204"/>
          </rPr>
          <t xml:space="preserve"> - не предусмотрено
</t>
        </r>
        <r>
          <rPr>
            <b/>
            <sz val="12"/>
            <color indexed="81"/>
            <rFont val="Tahoma"/>
            <family val="2"/>
            <charset val="204"/>
          </rPr>
          <t>Электроснабжение</t>
        </r>
        <r>
          <rPr>
            <sz val="12"/>
            <color indexed="81"/>
            <rFont val="Tahoma"/>
            <family val="2"/>
            <charset val="204"/>
          </rPr>
          <t xml:space="preserve"> - центральное, автономное
</t>
        </r>
        <r>
          <rPr>
            <b/>
            <sz val="12"/>
            <color indexed="81"/>
            <rFont val="Tahoma"/>
            <family val="2"/>
            <charset val="204"/>
          </rPr>
          <t xml:space="preserve">Напольные электроплиты </t>
        </r>
        <r>
          <rPr>
            <sz val="12"/>
            <color indexed="81"/>
            <rFont val="Tahoma"/>
            <family val="2"/>
            <charset val="204"/>
          </rPr>
          <t xml:space="preserve">- многофункциональные электрические плиты
</t>
        </r>
        <r>
          <rPr>
            <b/>
            <sz val="12"/>
            <color indexed="81"/>
            <rFont val="Tahoma"/>
            <family val="2"/>
            <charset val="204"/>
          </rPr>
          <t>Телевидение, радио, телефон, слаботочные устройства</t>
        </r>
        <r>
          <rPr>
            <sz val="12"/>
            <color indexed="81"/>
            <rFont val="Tahoma"/>
            <family val="2"/>
            <charset val="204"/>
          </rPr>
          <t xml:space="preserve"> - учтены
</t>
        </r>
        <r>
          <rPr>
            <b/>
            <sz val="12"/>
            <color indexed="81"/>
            <rFont val="Tahoma"/>
            <family val="2"/>
            <charset val="204"/>
          </rPr>
          <t>Лифт</t>
        </r>
        <r>
          <rPr>
            <sz val="12"/>
            <color indexed="81"/>
            <rFont val="Tahoma"/>
            <family val="2"/>
            <charset val="204"/>
          </rPr>
          <t xml:space="preserve"> - не предусмотрен 
</t>
        </r>
        <r>
          <rPr>
            <b/>
            <sz val="12"/>
            <color indexed="81"/>
            <rFont val="Tahoma"/>
            <family val="2"/>
            <charset val="204"/>
          </rPr>
          <t>Мусоропровод</t>
        </r>
        <r>
          <rPr>
            <sz val="12"/>
            <color indexed="81"/>
            <rFont val="Tahoma"/>
            <family val="2"/>
            <charset val="204"/>
          </rPr>
          <t xml:space="preserve"> - не предусмотрен
</t>
        </r>
        <r>
          <rPr>
            <b/>
            <sz val="12"/>
            <color indexed="81"/>
            <rFont val="Tahoma"/>
            <family val="2"/>
            <charset val="204"/>
          </rPr>
          <t xml:space="preserve">Вентиляция </t>
        </r>
        <r>
          <rPr>
            <sz val="12"/>
            <color indexed="81"/>
            <rFont val="Tahoma"/>
            <family val="2"/>
            <charset val="204"/>
          </rPr>
          <t xml:space="preserve">- приточно-вытяжная
</t>
        </r>
        <r>
          <rPr>
            <b/>
            <sz val="12"/>
            <color indexed="81"/>
            <rFont val="Tahoma"/>
            <family val="2"/>
            <charset val="204"/>
          </rPr>
          <t>Кондиционирование</t>
        </r>
        <r>
          <rPr>
            <sz val="12"/>
            <color indexed="81"/>
            <rFont val="Tahoma"/>
            <family val="2"/>
            <charset val="204"/>
          </rPr>
          <t xml:space="preserve"> - автономное 
</t>
        </r>
        <r>
          <rPr>
            <b/>
            <sz val="12"/>
            <color indexed="81"/>
            <rFont val="Tahoma"/>
            <family val="2"/>
            <charset val="204"/>
          </rPr>
          <t xml:space="preserve">Газодымоудаление, пылеудаление, технологические трубопроводы </t>
        </r>
        <r>
          <rPr>
            <sz val="12"/>
            <color indexed="81"/>
            <rFont val="Tahoma"/>
            <family val="2"/>
            <charset val="204"/>
          </rPr>
          <t xml:space="preserve">- не предусмотрены
</t>
        </r>
        <r>
          <rPr>
            <b/>
            <sz val="12"/>
            <color indexed="81"/>
            <rFont val="Tahoma"/>
            <family val="2"/>
            <charset val="204"/>
          </rPr>
          <t>Молниезащита</t>
        </r>
        <r>
          <rPr>
            <sz val="12"/>
            <color indexed="81"/>
            <rFont val="Tahoma"/>
            <family val="2"/>
            <charset val="204"/>
          </rPr>
          <t xml:space="preserve"> - учтена
</t>
        </r>
        <r>
          <rPr>
            <b/>
            <sz val="12"/>
            <color indexed="81"/>
            <rFont val="Tahoma"/>
            <family val="2"/>
            <charset val="204"/>
          </rPr>
          <t xml:space="preserve">Система пожаротушения </t>
        </r>
        <r>
          <rPr>
            <sz val="12"/>
            <color indexed="81"/>
            <rFont val="Tahoma"/>
            <family val="2"/>
            <charset val="204"/>
          </rPr>
          <t xml:space="preserve">- учтена
</t>
        </r>
        <r>
          <rPr>
            <b/>
            <sz val="12"/>
            <color indexed="81"/>
            <rFont val="Tahoma"/>
            <family val="2"/>
            <charset val="204"/>
          </rPr>
          <t>Пожарная сигнализация</t>
        </r>
        <r>
          <rPr>
            <sz val="12"/>
            <color indexed="81"/>
            <rFont val="Tahoma"/>
            <family val="2"/>
            <charset val="204"/>
          </rPr>
          <t xml:space="preserve"> - учтена
</t>
        </r>
        <r>
          <rPr>
            <b/>
            <sz val="12"/>
            <color indexed="81"/>
            <rFont val="Tahoma"/>
            <family val="2"/>
            <charset val="204"/>
          </rPr>
          <t>Охранная сигнализация</t>
        </r>
        <r>
          <rPr>
            <sz val="12"/>
            <color indexed="81"/>
            <rFont val="Tahoma"/>
            <family val="2"/>
            <charset val="204"/>
          </rPr>
          <t xml:space="preserve"> -учтена
</t>
        </r>
        <r>
          <rPr>
            <b/>
            <sz val="12"/>
            <color indexed="81"/>
            <rFont val="Tahoma"/>
            <family val="2"/>
            <charset val="204"/>
          </rPr>
          <t xml:space="preserve">Охранно-пожарная сигнализация </t>
        </r>
        <r>
          <rPr>
            <sz val="12"/>
            <color indexed="81"/>
            <rFont val="Tahoma"/>
            <family val="2"/>
            <charset val="204"/>
          </rPr>
          <t xml:space="preserve">- не предусмотрена
</t>
        </r>
        <r>
          <rPr>
            <b/>
            <sz val="12"/>
            <color indexed="81"/>
            <rFont val="Tahoma"/>
            <family val="2"/>
            <charset val="204"/>
          </rPr>
          <t>Тревожная сигнализация (тревожная кнопка)</t>
        </r>
        <r>
          <rPr>
            <sz val="12"/>
            <color indexed="81"/>
            <rFont val="Tahoma"/>
            <family val="2"/>
            <charset val="204"/>
          </rPr>
          <t xml:space="preserve"> - не предусмотрена
</t>
        </r>
        <r>
          <rPr>
            <b/>
            <sz val="12"/>
            <color indexed="81"/>
            <rFont val="Tahoma"/>
            <family val="2"/>
            <charset val="204"/>
          </rPr>
          <t xml:space="preserve">Технологическое оборудование </t>
        </r>
        <r>
          <rPr>
            <sz val="12"/>
            <color indexed="81"/>
            <rFont val="Tahoma"/>
            <family val="2"/>
            <charset val="204"/>
          </rPr>
          <t xml:space="preserve">- учтено
</t>
        </r>
        <r>
          <rPr>
            <b/>
            <sz val="12"/>
            <color indexed="81"/>
            <rFont val="Tahoma"/>
            <family val="2"/>
            <charset val="204"/>
          </rPr>
          <t>Пусконаладочные работы</t>
        </r>
        <r>
          <rPr>
            <sz val="12"/>
            <color indexed="81"/>
            <rFont val="Tahoma"/>
            <family val="2"/>
            <charset val="204"/>
          </rPr>
          <t xml:space="preserve"> - учтены</t>
        </r>
      </text>
    </comment>
    <comment ref="E577" authorId="0" shapeId="0">
      <text>
        <r>
          <rPr>
            <b/>
            <sz val="14"/>
            <color indexed="81"/>
            <rFont val="Tahoma"/>
            <family val="2"/>
            <charset val="204"/>
          </rPr>
          <t xml:space="preserve">Фундамент </t>
        </r>
        <r>
          <rPr>
            <sz val="14"/>
            <color indexed="81"/>
            <rFont val="Tahoma"/>
            <family val="2"/>
            <charset val="204"/>
          </rPr>
          <t xml:space="preserve">- железобетонный сборный ленточный
</t>
        </r>
        <r>
          <rPr>
            <b/>
            <sz val="14"/>
            <color indexed="81"/>
            <rFont val="Tahoma"/>
            <family val="2"/>
            <charset val="204"/>
          </rPr>
          <t>Стены: наружные, внутренние, перегородки</t>
        </r>
        <r>
          <rPr>
            <sz val="14"/>
            <color indexed="81"/>
            <rFont val="Tahoma"/>
            <family val="2"/>
            <charset val="204"/>
          </rPr>
          <t xml:space="preserve"> - кирпичные
</t>
        </r>
        <r>
          <rPr>
            <b/>
            <sz val="14"/>
            <color indexed="81"/>
            <rFont val="Tahoma"/>
            <family val="2"/>
            <charset val="204"/>
          </rPr>
          <t>Перекрытие, покрытие</t>
        </r>
        <r>
          <rPr>
            <sz val="14"/>
            <color indexed="81"/>
            <rFont val="Tahoma"/>
            <family val="2"/>
            <charset val="204"/>
          </rPr>
          <t xml:space="preserve"> - железобетонные сборные плиты
</t>
        </r>
        <r>
          <rPr>
            <b/>
            <sz val="14"/>
            <color indexed="81"/>
            <rFont val="Tahoma"/>
            <family val="2"/>
            <charset val="204"/>
          </rPr>
          <t xml:space="preserve">Балконы, лоджии </t>
        </r>
        <r>
          <rPr>
            <sz val="14"/>
            <color indexed="81"/>
            <rFont val="Tahoma"/>
            <family val="2"/>
            <charset val="204"/>
          </rPr>
          <t xml:space="preserve">- не предусмотрены
</t>
        </r>
        <r>
          <rPr>
            <b/>
            <sz val="14"/>
            <color indexed="81"/>
            <rFont val="Tahoma"/>
            <family val="2"/>
            <charset val="204"/>
          </rPr>
          <t xml:space="preserve">Лестницы </t>
        </r>
        <r>
          <rPr>
            <sz val="14"/>
            <color indexed="81"/>
            <rFont val="Tahoma"/>
            <family val="2"/>
            <charset val="204"/>
          </rPr>
          <t xml:space="preserve">- железобетонные сборные
</t>
        </r>
        <r>
          <rPr>
            <b/>
            <sz val="14"/>
            <color indexed="81"/>
            <rFont val="Tahoma"/>
            <family val="2"/>
            <charset val="204"/>
          </rPr>
          <t xml:space="preserve">Крыша (кровля) </t>
        </r>
        <r>
          <rPr>
            <sz val="14"/>
            <color indexed="81"/>
            <rFont val="Tahoma"/>
            <family val="2"/>
            <charset val="204"/>
          </rPr>
          <t xml:space="preserve">- рулонная, из наплавляемых материалов
</t>
        </r>
        <r>
          <rPr>
            <b/>
            <sz val="14"/>
            <color indexed="81"/>
            <rFont val="Tahoma"/>
            <family val="2"/>
            <charset val="204"/>
          </rPr>
          <t>Полы</t>
        </r>
        <r>
          <rPr>
            <sz val="14"/>
            <color indexed="81"/>
            <rFont val="Tahoma"/>
            <family val="2"/>
            <charset val="204"/>
          </rPr>
          <t xml:space="preserve"> - керамические, линолеумные
</t>
        </r>
        <r>
          <rPr>
            <b/>
            <sz val="14"/>
            <color indexed="81"/>
            <rFont val="Tahoma"/>
            <family val="2"/>
            <charset val="204"/>
          </rPr>
          <t xml:space="preserve">Проемы: оконные блоки </t>
        </r>
        <r>
          <rPr>
            <sz val="14"/>
            <color indexed="81"/>
            <rFont val="Tahoma"/>
            <family val="2"/>
            <charset val="204"/>
          </rPr>
          <t xml:space="preserve">- поливинилхлоридные, стеклопакет
</t>
        </r>
        <r>
          <rPr>
            <b/>
            <sz val="14"/>
            <color indexed="81"/>
            <rFont val="Tahoma"/>
            <family val="2"/>
            <charset val="204"/>
          </rPr>
          <t>Проемы: дверные блоки</t>
        </r>
        <r>
          <rPr>
            <sz val="14"/>
            <color indexed="81"/>
            <rFont val="Tahoma"/>
            <family val="2"/>
            <charset val="204"/>
          </rPr>
          <t xml:space="preserve"> - деревянные
</t>
        </r>
        <r>
          <rPr>
            <b/>
            <sz val="14"/>
            <color indexed="81"/>
            <rFont val="Tahoma"/>
            <family val="2"/>
            <charset val="204"/>
          </rPr>
          <t>Внутренняя отделка</t>
        </r>
        <r>
          <rPr>
            <sz val="14"/>
            <color indexed="81"/>
            <rFont val="Tahoma"/>
            <family val="2"/>
            <charset val="204"/>
          </rPr>
          <t xml:space="preserve"> - улучшенная
</t>
        </r>
        <r>
          <rPr>
            <b/>
            <sz val="14"/>
            <color indexed="81"/>
            <rFont val="Tahoma"/>
            <family val="2"/>
            <charset val="204"/>
          </rPr>
          <t>Архитектурное оформление фасада</t>
        </r>
        <r>
          <rPr>
            <sz val="14"/>
            <color indexed="81"/>
            <rFont val="Tahoma"/>
            <family val="2"/>
            <charset val="204"/>
          </rPr>
          <t xml:space="preserve"> - простое
</t>
        </r>
        <r>
          <rPr>
            <b/>
            <u/>
            <sz val="14"/>
            <color indexed="81"/>
            <rFont val="Tahoma"/>
            <family val="2"/>
            <charset val="204"/>
          </rPr>
          <t xml:space="preserve">Инженерные системы и элементы благоустройства </t>
        </r>
        <r>
          <rPr>
            <sz val="14"/>
            <color indexed="81"/>
            <rFont val="Tahoma"/>
            <family val="2"/>
            <charset val="204"/>
          </rPr>
          <t xml:space="preserve">
</t>
        </r>
        <r>
          <rPr>
            <b/>
            <sz val="14"/>
            <color indexed="81"/>
            <rFont val="Tahoma"/>
            <family val="2"/>
            <charset val="204"/>
          </rPr>
          <t>Отопление</t>
        </r>
        <r>
          <rPr>
            <sz val="14"/>
            <color indexed="81"/>
            <rFont val="Tahoma"/>
            <family val="2"/>
            <charset val="204"/>
          </rPr>
          <t xml:space="preserve"> - центральное водяное, трубы стальные
</t>
        </r>
        <r>
          <rPr>
            <b/>
            <sz val="14"/>
            <color indexed="81"/>
            <rFont val="Tahoma"/>
            <family val="2"/>
            <charset val="204"/>
          </rPr>
          <t>Водопровод</t>
        </r>
        <r>
          <rPr>
            <sz val="14"/>
            <color indexed="81"/>
            <rFont val="Tahoma"/>
            <family val="2"/>
            <charset val="204"/>
          </rPr>
          <t xml:space="preserve"> - от центральной сети, трубы стальные оцинкованные
</t>
        </r>
        <r>
          <rPr>
            <b/>
            <sz val="14"/>
            <color indexed="81"/>
            <rFont val="Tahoma"/>
            <family val="2"/>
            <charset val="204"/>
          </rPr>
          <t xml:space="preserve">Канализация </t>
        </r>
        <r>
          <rPr>
            <sz val="14"/>
            <color indexed="81"/>
            <rFont val="Tahoma"/>
            <family val="2"/>
            <charset val="204"/>
          </rPr>
          <t xml:space="preserve">- центральная, трубы чугунные, полиэтиленовые
</t>
        </r>
        <r>
          <rPr>
            <b/>
            <sz val="14"/>
            <color indexed="81"/>
            <rFont val="Tahoma"/>
            <family val="2"/>
            <charset val="204"/>
          </rPr>
          <t>Горячее водоснабжение</t>
        </r>
        <r>
          <rPr>
            <sz val="14"/>
            <color indexed="81"/>
            <rFont val="Tahoma"/>
            <family val="2"/>
            <charset val="204"/>
          </rPr>
          <t xml:space="preserve"> - центральное, трубы стальные оцинкованные
</t>
        </r>
        <r>
          <rPr>
            <b/>
            <sz val="14"/>
            <color indexed="81"/>
            <rFont val="Tahoma"/>
            <family val="2"/>
            <charset val="204"/>
          </rPr>
          <t>Пароснабжение</t>
        </r>
        <r>
          <rPr>
            <sz val="14"/>
            <color indexed="81"/>
            <rFont val="Tahoma"/>
            <family val="2"/>
            <charset val="204"/>
          </rPr>
          <t xml:space="preserve"> - не предусмотрено
</t>
        </r>
        <r>
          <rPr>
            <b/>
            <sz val="14"/>
            <color indexed="81"/>
            <rFont val="Tahoma"/>
            <family val="2"/>
            <charset val="204"/>
          </rPr>
          <t>Газоснабжение</t>
        </r>
        <r>
          <rPr>
            <sz val="14"/>
            <color indexed="81"/>
            <rFont val="Tahoma"/>
            <family val="2"/>
            <charset val="204"/>
          </rPr>
          <t xml:space="preserve"> - не предусмотрено
</t>
        </r>
        <r>
          <rPr>
            <b/>
            <sz val="14"/>
            <color indexed="81"/>
            <rFont val="Tahoma"/>
            <family val="2"/>
            <charset val="204"/>
          </rPr>
          <t>Электроснабжение</t>
        </r>
        <r>
          <rPr>
            <sz val="14"/>
            <color indexed="81"/>
            <rFont val="Tahoma"/>
            <family val="2"/>
            <charset val="204"/>
          </rPr>
          <t xml:space="preserve"> - центральное, автономное
</t>
        </r>
        <r>
          <rPr>
            <b/>
            <sz val="14"/>
            <color indexed="81"/>
            <rFont val="Tahoma"/>
            <family val="2"/>
            <charset val="204"/>
          </rPr>
          <t>Телевидение, радио, телефон, слаботочные устройства</t>
        </r>
        <r>
          <rPr>
            <sz val="14"/>
            <color indexed="81"/>
            <rFont val="Tahoma"/>
            <family val="2"/>
            <charset val="204"/>
          </rPr>
          <t xml:space="preserve"> - учтены
</t>
        </r>
        <r>
          <rPr>
            <b/>
            <sz val="14"/>
            <color indexed="81"/>
            <rFont val="Tahoma"/>
            <family val="2"/>
            <charset val="204"/>
          </rPr>
          <t xml:space="preserve">Лифт </t>
        </r>
        <r>
          <rPr>
            <sz val="14"/>
            <color indexed="81"/>
            <rFont val="Tahoma"/>
            <family val="2"/>
            <charset val="204"/>
          </rPr>
          <t xml:space="preserve">- предусмотрен только от 125 посещений в смену
</t>
        </r>
        <r>
          <rPr>
            <b/>
            <sz val="14"/>
            <color indexed="81"/>
            <rFont val="Tahoma"/>
            <family val="2"/>
            <charset val="204"/>
          </rPr>
          <t xml:space="preserve">Мусоропровод </t>
        </r>
        <r>
          <rPr>
            <sz val="14"/>
            <color indexed="81"/>
            <rFont val="Tahoma"/>
            <family val="2"/>
            <charset val="204"/>
          </rPr>
          <t xml:space="preserve">- не предусмотрен
</t>
        </r>
        <r>
          <rPr>
            <b/>
            <sz val="14"/>
            <color indexed="81"/>
            <rFont val="Tahoma"/>
            <family val="2"/>
            <charset val="204"/>
          </rPr>
          <t xml:space="preserve">Вентиляция </t>
        </r>
        <r>
          <rPr>
            <sz val="14"/>
            <color indexed="81"/>
            <rFont val="Tahoma"/>
            <family val="2"/>
            <charset val="204"/>
          </rPr>
          <t xml:space="preserve">- приточно-вытяжная
</t>
        </r>
        <r>
          <rPr>
            <b/>
            <sz val="14"/>
            <color indexed="81"/>
            <rFont val="Tahoma"/>
            <family val="2"/>
            <charset val="204"/>
          </rPr>
          <t>Кондиционирование, газодымоудаление, пылеудаление, технологические трубопроводы</t>
        </r>
        <r>
          <rPr>
            <sz val="14"/>
            <color indexed="81"/>
            <rFont val="Tahoma"/>
            <family val="2"/>
            <charset val="204"/>
          </rPr>
          <t xml:space="preserve"> - не предусмотрены
</t>
        </r>
        <r>
          <rPr>
            <b/>
            <sz val="14"/>
            <color indexed="81"/>
            <rFont val="Tahoma"/>
            <family val="2"/>
            <charset val="204"/>
          </rPr>
          <t>Молниезащита</t>
        </r>
        <r>
          <rPr>
            <sz val="14"/>
            <color indexed="81"/>
            <rFont val="Tahoma"/>
            <family val="2"/>
            <charset val="204"/>
          </rPr>
          <t xml:space="preserve"> - учтена
</t>
        </r>
        <r>
          <rPr>
            <b/>
            <sz val="14"/>
            <color indexed="81"/>
            <rFont val="Tahoma"/>
            <family val="2"/>
            <charset val="204"/>
          </rPr>
          <t>Система пожаротушения</t>
        </r>
        <r>
          <rPr>
            <sz val="14"/>
            <color indexed="81"/>
            <rFont val="Tahoma"/>
            <family val="2"/>
            <charset val="204"/>
          </rPr>
          <t xml:space="preserve"> - учтена
</t>
        </r>
        <r>
          <rPr>
            <b/>
            <sz val="14"/>
            <color indexed="81"/>
            <rFont val="Tahoma"/>
            <family val="2"/>
            <charset val="204"/>
          </rPr>
          <t xml:space="preserve">Пожарная сигнализация </t>
        </r>
        <r>
          <rPr>
            <sz val="14"/>
            <color indexed="81"/>
            <rFont val="Tahoma"/>
            <family val="2"/>
            <charset val="204"/>
          </rPr>
          <t xml:space="preserve">- учтена
</t>
        </r>
        <r>
          <rPr>
            <b/>
            <sz val="14"/>
            <color indexed="81"/>
            <rFont val="Tahoma"/>
            <family val="2"/>
            <charset val="204"/>
          </rPr>
          <t>Охранная сигнализация</t>
        </r>
        <r>
          <rPr>
            <sz val="14"/>
            <color indexed="81"/>
            <rFont val="Tahoma"/>
            <family val="2"/>
            <charset val="204"/>
          </rPr>
          <t xml:space="preserve"> -учтена
</t>
        </r>
        <r>
          <rPr>
            <b/>
            <sz val="14"/>
            <color indexed="81"/>
            <rFont val="Tahoma"/>
            <family val="2"/>
            <charset val="204"/>
          </rPr>
          <t>Охранно-пожарная сигнализация</t>
        </r>
        <r>
          <rPr>
            <sz val="14"/>
            <color indexed="81"/>
            <rFont val="Tahoma"/>
            <family val="2"/>
            <charset val="204"/>
          </rPr>
          <t xml:space="preserve"> - не предусмотрена
</t>
        </r>
        <r>
          <rPr>
            <b/>
            <sz val="14"/>
            <color indexed="81"/>
            <rFont val="Tahoma"/>
            <family val="2"/>
            <charset val="204"/>
          </rPr>
          <t>Тревожная сигнализация (тревожная кнопка)</t>
        </r>
        <r>
          <rPr>
            <sz val="14"/>
            <color indexed="81"/>
            <rFont val="Tahoma"/>
            <family val="2"/>
            <charset val="204"/>
          </rPr>
          <t xml:space="preserve"> - не предусмотрена
</t>
        </r>
        <r>
          <rPr>
            <b/>
            <sz val="14"/>
            <color indexed="81"/>
            <rFont val="Tahoma"/>
            <family val="2"/>
            <charset val="204"/>
          </rPr>
          <t>Технологическое оборудование</t>
        </r>
        <r>
          <rPr>
            <sz val="14"/>
            <color indexed="81"/>
            <rFont val="Tahoma"/>
            <family val="2"/>
            <charset val="204"/>
          </rPr>
          <t xml:space="preserve"> - учтено
</t>
        </r>
        <r>
          <rPr>
            <b/>
            <sz val="14"/>
            <color indexed="81"/>
            <rFont val="Tahoma"/>
            <family val="2"/>
            <charset val="204"/>
          </rPr>
          <t>Пусконаладочные работы</t>
        </r>
        <r>
          <rPr>
            <sz val="14"/>
            <color indexed="81"/>
            <rFont val="Tahoma"/>
            <family val="2"/>
            <charset val="204"/>
          </rPr>
          <t xml:space="preserve"> - учтены</t>
        </r>
      </text>
    </comment>
    <comment ref="E598" authorId="0" shapeId="0">
      <text>
        <r>
          <rPr>
            <b/>
            <sz val="14"/>
            <color indexed="81"/>
            <rFont val="Tahoma"/>
            <family val="2"/>
            <charset val="204"/>
          </rPr>
          <t xml:space="preserve">1. Устройство групповой площадки для детей в возрасте: </t>
        </r>
        <r>
          <rPr>
            <sz val="14"/>
            <color indexed="81"/>
            <rFont val="Tahoma"/>
            <family val="2"/>
            <charset val="204"/>
          </rPr>
          <t xml:space="preserve">
     от 1 до 2 лет - 1 шт (от 180 мест и выше - 2 шт)
     от 2 до 3 лет - 1 шт (от 180 мест и выше - 2 шт)
     от 3 до 4 лет - 1 шт (от 160 - 259 мест - 2 шт, свыше 260 мест - 3 шт)
     от 4 до 5 лет - 1 шт (от 120 - 219 мест - 2 шт, свыше 220 мест - 3 шт)
     от 5 до 6 лет - 1 шт (от 140 - 239 мест - 2 шт, свыше 240 мест - 3 шт)
     от 6 до 7 лет - 1 шт (от 200 - 279 мест - 2 шт, свыше 280 мест - 3 шт)
</t>
        </r>
        <r>
          <rPr>
            <b/>
            <sz val="14"/>
            <color indexed="81"/>
            <rFont val="Tahoma"/>
            <family val="2"/>
            <charset val="204"/>
          </rPr>
          <t xml:space="preserve">2. Устройство площадки для содержания животных и птиц </t>
        </r>
        <r>
          <rPr>
            <sz val="14"/>
            <color indexed="81"/>
            <rFont val="Tahoma"/>
            <family val="2"/>
            <charset val="204"/>
          </rPr>
          <t xml:space="preserve">- от 180 мест - 1 шт
</t>
        </r>
        <r>
          <rPr>
            <b/>
            <sz val="14"/>
            <color indexed="81"/>
            <rFont val="Tahoma"/>
            <family val="2"/>
            <charset val="204"/>
          </rPr>
          <t xml:space="preserve">3. Устройство физкультурной площадки </t>
        </r>
        <r>
          <rPr>
            <sz val="14"/>
            <color indexed="81"/>
            <rFont val="Tahoma"/>
            <family val="2"/>
            <charset val="204"/>
          </rPr>
          <t xml:space="preserve">
     для дошкольных групп - 1 шт (от 220 мест и выше - 2 шт)
     для ясельных групп -  от 160 - 1 шт (от 260 мест и выше - 2 шт)
</t>
        </r>
        <r>
          <rPr>
            <b/>
            <sz val="14"/>
            <color indexed="81"/>
            <rFont val="Tahoma"/>
            <family val="2"/>
            <charset val="204"/>
          </rPr>
          <t xml:space="preserve">4. Устройство общей физкультурной площадки для дошкольных и ясельных групп </t>
        </r>
        <r>
          <rPr>
            <sz val="14"/>
            <color indexed="81"/>
            <rFont val="Tahoma"/>
            <family val="2"/>
            <charset val="204"/>
          </rPr>
          <t>- 1 шт (от 140 мест и выше - 2 шт)</t>
        </r>
      </text>
    </comment>
    <comment ref="E599" authorId="0" shapeId="0">
      <text>
        <r>
          <rPr>
            <b/>
            <sz val="14"/>
            <color indexed="81"/>
            <rFont val="Tahoma"/>
            <family val="2"/>
            <charset val="204"/>
          </rPr>
          <t>1. Устройство:</t>
        </r>
        <r>
          <rPr>
            <sz val="14"/>
            <color indexed="81"/>
            <rFont val="Tahoma"/>
            <family val="2"/>
            <charset val="204"/>
          </rPr>
          <t xml:space="preserve">
     метеорологической площадки 
     комплексной площадки 
     географической площадки - от 775 мест
     зоологической площадки - от 500 мест
</t>
        </r>
        <r>
          <rPr>
            <b/>
            <sz val="14"/>
            <color indexed="81"/>
            <rFont val="Tahoma"/>
            <family val="2"/>
            <charset val="204"/>
          </rPr>
          <t>2. Устройство площадки для подвижных игр</t>
        </r>
        <r>
          <rPr>
            <sz val="14"/>
            <color indexed="81"/>
            <rFont val="Tahoma"/>
            <family val="2"/>
            <charset val="204"/>
          </rPr>
          <t xml:space="preserve"> 1-9 классов
</t>
        </r>
        <r>
          <rPr>
            <b/>
            <sz val="14"/>
            <color indexed="81"/>
            <rFont val="Tahoma"/>
            <family val="2"/>
            <charset val="204"/>
          </rPr>
          <t xml:space="preserve">3. Устройство площадки для тихого отдыха </t>
        </r>
        <r>
          <rPr>
            <sz val="14"/>
            <color indexed="81"/>
            <rFont val="Tahoma"/>
            <family val="2"/>
            <charset val="204"/>
          </rPr>
          <t xml:space="preserve">5-11 классов
</t>
        </r>
        <r>
          <rPr>
            <b/>
            <sz val="14"/>
            <color indexed="81"/>
            <rFont val="Tahoma"/>
            <family val="2"/>
            <charset val="204"/>
          </rPr>
          <t>4. Устройство площадки для гимнастики</t>
        </r>
        <r>
          <rPr>
            <sz val="14"/>
            <color indexed="81"/>
            <rFont val="Tahoma"/>
            <family val="2"/>
            <charset val="204"/>
          </rPr>
          <t xml:space="preserve"> (от 275 мест) 1-11 классов
</t>
        </r>
        <r>
          <rPr>
            <b/>
            <sz val="14"/>
            <color indexed="81"/>
            <rFont val="Tahoma"/>
            <family val="2"/>
            <charset val="204"/>
          </rPr>
          <t>5. Устройство площадки для спортивных игр (метания меча, прыжков в высоту и длину)</t>
        </r>
        <r>
          <rPr>
            <sz val="14"/>
            <color indexed="81"/>
            <rFont val="Tahoma"/>
            <family val="2"/>
            <charset val="204"/>
          </rPr>
          <t xml:space="preserve"> - 1 шт. от 500 мест
</t>
        </r>
        <r>
          <rPr>
            <b/>
            <sz val="14"/>
            <color indexed="81"/>
            <rFont val="Tahoma"/>
            <family val="2"/>
            <charset val="204"/>
          </rPr>
          <t>6. Устройство футбольного поля</t>
        </r>
        <r>
          <rPr>
            <sz val="14"/>
            <color indexed="81"/>
            <rFont val="Tahoma"/>
            <family val="2"/>
            <charset val="204"/>
          </rPr>
          <t xml:space="preserve"> - 1 шт. от 275 мест
</t>
        </r>
        <r>
          <rPr>
            <b/>
            <sz val="14"/>
            <color indexed="81"/>
            <rFont val="Tahoma"/>
            <family val="2"/>
            <charset val="204"/>
          </rPr>
          <t>7. Устройство площадки для ручного мяча</t>
        </r>
        <r>
          <rPr>
            <sz val="14"/>
            <color indexed="81"/>
            <rFont val="Tahoma"/>
            <family val="2"/>
            <charset val="204"/>
          </rPr>
          <t xml:space="preserve"> - 1 шт. от 700 мест
</t>
        </r>
        <r>
          <rPr>
            <b/>
            <sz val="14"/>
            <color indexed="81"/>
            <rFont val="Tahoma"/>
            <family val="2"/>
            <charset val="204"/>
          </rPr>
          <t>8. Устройство площадки для игры хоккей с шайбой</t>
        </r>
        <r>
          <rPr>
            <sz val="14"/>
            <color indexed="81"/>
            <rFont val="Tahoma"/>
            <family val="2"/>
            <charset val="204"/>
          </rPr>
          <t xml:space="preserve"> - 1 шт. от 900 мест
</t>
        </r>
        <r>
          <rPr>
            <b/>
            <sz val="14"/>
            <color indexed="81"/>
            <rFont val="Tahoma"/>
            <family val="2"/>
            <charset val="204"/>
          </rPr>
          <t xml:space="preserve">9. Устройство учебного городка по тактической подготовке и ГО </t>
        </r>
        <r>
          <rPr>
            <sz val="14"/>
            <color indexed="81"/>
            <rFont val="Tahoma"/>
            <family val="2"/>
            <charset val="204"/>
          </rPr>
          <t xml:space="preserve">- 1 шт. от 500 мест
</t>
        </r>
        <r>
          <rPr>
            <b/>
            <sz val="14"/>
            <color indexed="81"/>
            <rFont val="Tahoma"/>
            <family val="2"/>
            <charset val="204"/>
          </rPr>
          <t>10. Устройство баскетбольной площадки</t>
        </r>
        <r>
          <rPr>
            <sz val="14"/>
            <color indexed="81"/>
            <rFont val="Tahoma"/>
            <family val="2"/>
            <charset val="204"/>
          </rPr>
          <t xml:space="preserve"> - 1 шт.
</t>
        </r>
        <r>
          <rPr>
            <b/>
            <sz val="14"/>
            <color indexed="81"/>
            <rFont val="Tahoma"/>
            <family val="2"/>
            <charset val="204"/>
          </rPr>
          <t>11. Устройство волейбольной площадки</t>
        </r>
        <r>
          <rPr>
            <sz val="14"/>
            <color indexed="81"/>
            <rFont val="Tahoma"/>
            <family val="2"/>
            <charset val="204"/>
          </rPr>
          <t xml:space="preserve"> - 1 шт.
</t>
        </r>
        <r>
          <rPr>
            <b/>
            <sz val="14"/>
            <color indexed="81"/>
            <rFont val="Tahoma"/>
            <family val="2"/>
            <charset val="204"/>
          </rPr>
          <t>12. МАФы:</t>
        </r>
        <r>
          <rPr>
            <sz val="14"/>
            <color indexed="81"/>
            <rFont val="Tahoma"/>
            <family val="2"/>
            <charset val="204"/>
          </rPr>
          <t xml:space="preserve">
     Ваза шестигранная
     Скамья деревометаллическая без спинки
     Скамья бульварная со спинкой без подлокотников (от 300 мест)
     Стол для настольного тенниса (от 400 мест)
     Урна металлическая опрокидывающаяся (от 300 мест)
     Урна квадратная железобетонная</t>
        </r>
      </text>
    </comment>
    <comment ref="E666" authorId="0" shapeId="0">
      <text>
        <r>
          <rPr>
            <b/>
            <u/>
            <sz val="11"/>
            <color indexed="81"/>
            <rFont val="Tahoma"/>
            <family val="2"/>
            <charset val="204"/>
          </rPr>
          <t xml:space="preserve">Сухие зоны </t>
        </r>
        <r>
          <rPr>
            <sz val="11"/>
            <color indexed="81"/>
            <rFont val="Tahoma"/>
            <family val="2"/>
            <charset val="204"/>
          </rPr>
          <t xml:space="preserve">
</t>
        </r>
        <r>
          <rPr>
            <b/>
            <sz val="11"/>
            <color indexed="81"/>
            <rFont val="Tahoma"/>
            <family val="2"/>
            <charset val="204"/>
          </rPr>
          <t xml:space="preserve">пол </t>
        </r>
        <r>
          <rPr>
            <sz val="11"/>
            <color indexed="81"/>
            <rFont val="Tahoma"/>
            <family val="2"/>
            <charset val="204"/>
          </rPr>
          <t xml:space="preserve"> Высококачественный керамогранит российский или импортный (Китай, Турция)  с незначительным кол-вом декоративных элементов
</t>
        </r>
        <r>
          <rPr>
            <b/>
            <sz val="11"/>
            <color indexed="81"/>
            <rFont val="Tahoma"/>
            <family val="2"/>
            <charset val="204"/>
          </rPr>
          <t>стены</t>
        </r>
        <r>
          <rPr>
            <sz val="11"/>
            <color indexed="81"/>
            <rFont val="Tahoma"/>
            <family val="2"/>
            <charset val="204"/>
          </rPr>
          <t xml:space="preserve">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t>
        </r>
        <r>
          <rPr>
            <b/>
            <sz val="11"/>
            <color indexed="81"/>
            <rFont val="Tahoma"/>
            <family val="2"/>
            <charset val="204"/>
          </rPr>
          <t xml:space="preserve">потолок </t>
        </r>
        <r>
          <rPr>
            <sz val="11"/>
            <color indexed="81"/>
            <rFont val="Tahoma"/>
            <family val="2"/>
            <charset val="204"/>
          </rPr>
          <t xml:space="preserve">покраска или  навесные потолки средней ценовой группы,  или 2-3 уровневые потолки 
</t>
        </r>
        <r>
          <rPr>
            <b/>
            <sz val="11"/>
            <color indexed="81"/>
            <rFont val="Tahoma"/>
            <family val="2"/>
            <charset val="204"/>
          </rPr>
          <t>освещение</t>
        </r>
        <r>
          <rPr>
            <sz val="11"/>
            <color indexed="81"/>
            <rFont val="Tahoma"/>
            <family val="2"/>
            <charset val="204"/>
          </rPr>
          <t xml:space="preserve"> не более 2 видов освещения (Китай, Россия)
</t>
        </r>
        <r>
          <rPr>
            <b/>
            <sz val="11"/>
            <color indexed="81"/>
            <rFont val="Tahoma"/>
            <family val="2"/>
            <charset val="204"/>
          </rPr>
          <t>двери</t>
        </r>
        <r>
          <rPr>
            <sz val="11"/>
            <color indexed="81"/>
            <rFont val="Tahoma"/>
            <family val="2"/>
            <charset val="204"/>
          </rPr>
          <t xml:space="preserve"> качественные двери лучших отечественных производителей или недорогих импортных производителей (Финляндия, Испания) 
</t>
        </r>
        <r>
          <rPr>
            <b/>
            <u/>
            <sz val="11"/>
            <color indexed="81"/>
            <rFont val="Tahoma"/>
            <family val="2"/>
            <charset val="204"/>
          </rPr>
          <t xml:space="preserve">Мебель и оборудование </t>
        </r>
        <r>
          <rPr>
            <sz val="11"/>
            <color indexed="81"/>
            <rFont val="Tahoma"/>
            <family val="2"/>
            <charset val="204"/>
          </rPr>
          <t xml:space="preserve">
</t>
        </r>
        <r>
          <rPr>
            <b/>
            <sz val="11"/>
            <color indexed="81"/>
            <rFont val="Tahoma"/>
            <family val="2"/>
            <charset val="204"/>
          </rPr>
          <t xml:space="preserve">Стойка ресепшн </t>
        </r>
        <r>
          <rPr>
            <sz val="11"/>
            <color indexed="81"/>
            <rFont val="Tahoma"/>
            <family val="2"/>
            <charset val="204"/>
          </rPr>
          <t xml:space="preserve">Стойка ресепшн на 1 рабочее место до 300 000 руб./шт.
</t>
        </r>
        <r>
          <rPr>
            <b/>
            <sz val="11"/>
            <color indexed="81"/>
            <rFont val="Tahoma"/>
            <family val="2"/>
            <charset val="204"/>
          </rPr>
          <t>Мебель зоны ожидания</t>
        </r>
        <r>
          <rPr>
            <sz val="11"/>
            <color indexed="81"/>
            <rFont val="Tahoma"/>
            <family val="2"/>
            <charset val="204"/>
          </rPr>
          <t xml:space="preserve"> нет
</t>
        </r>
        <r>
          <rPr>
            <b/>
            <sz val="11"/>
            <color indexed="81"/>
            <rFont val="Tahoma"/>
            <family val="2"/>
            <charset val="204"/>
          </rPr>
          <t>Мебель для обслуживающиего персонала</t>
        </r>
        <r>
          <rPr>
            <sz val="11"/>
            <color indexed="81"/>
            <rFont val="Tahoma"/>
            <family val="2"/>
            <charset val="204"/>
          </rPr>
          <t xml:space="preserve"> офисные кресла, тумбочки, шкаф-бюро до 100 000 руб./комплект
Почтовые ящики типовые из нержавейки до 100 000 руб/подъезд
</t>
        </r>
        <r>
          <rPr>
            <b/>
            <sz val="11"/>
            <color indexed="81"/>
            <rFont val="Tahoma"/>
            <family val="2"/>
            <charset val="204"/>
          </rPr>
          <t>Шкафы для корреспонденции</t>
        </r>
        <r>
          <rPr>
            <sz val="11"/>
            <color indexed="81"/>
            <rFont val="Tahoma"/>
            <family val="2"/>
            <charset val="204"/>
          </rPr>
          <t xml:space="preserve"> нет
занавески, жалюзи согласно дизайн-проекта
</t>
        </r>
        <r>
          <rPr>
            <b/>
            <sz val="11"/>
            <color indexed="81"/>
            <rFont val="Tahoma"/>
            <family val="2"/>
            <charset val="204"/>
          </rPr>
          <t>торшеры</t>
        </r>
        <r>
          <rPr>
            <sz val="11"/>
            <color indexed="81"/>
            <rFont val="Tahoma"/>
            <family val="2"/>
            <charset val="204"/>
          </rPr>
          <t xml:space="preserve"> нет
</t>
        </r>
        <r>
          <rPr>
            <b/>
            <sz val="11"/>
            <color indexed="81"/>
            <rFont val="Tahoma"/>
            <family val="2"/>
            <charset val="204"/>
          </rPr>
          <t xml:space="preserve">фонтаны </t>
        </r>
        <r>
          <rPr>
            <sz val="11"/>
            <color indexed="81"/>
            <rFont val="Tahoma"/>
            <family val="2"/>
            <charset val="204"/>
          </rPr>
          <t xml:space="preserve">нет
</t>
        </r>
        <r>
          <rPr>
            <b/>
            <sz val="11"/>
            <color indexed="81"/>
            <rFont val="Tahoma"/>
            <family val="2"/>
            <charset val="204"/>
          </rPr>
          <t>камины</t>
        </r>
        <r>
          <rPr>
            <sz val="11"/>
            <color indexed="81"/>
            <rFont val="Tahoma"/>
            <family val="2"/>
            <charset val="204"/>
          </rPr>
          <t xml:space="preserve"> нет
</t>
        </r>
        <r>
          <rPr>
            <b/>
            <sz val="11"/>
            <color indexed="81"/>
            <rFont val="Tahoma"/>
            <family val="2"/>
            <charset val="204"/>
          </rPr>
          <t>картины, скульптуры</t>
        </r>
        <r>
          <rPr>
            <sz val="11"/>
            <color indexed="81"/>
            <rFont val="Tahoma"/>
            <family val="2"/>
            <charset val="204"/>
          </rPr>
          <t xml:space="preserve"> нет
</t>
        </r>
        <r>
          <rPr>
            <b/>
            <sz val="11"/>
            <color indexed="81"/>
            <rFont val="Tahoma"/>
            <family val="2"/>
            <charset val="204"/>
          </rPr>
          <t>зеркала</t>
        </r>
        <r>
          <rPr>
            <sz val="11"/>
            <color indexed="81"/>
            <rFont val="Tahoma"/>
            <family val="2"/>
            <charset val="204"/>
          </rPr>
          <t xml:space="preserve"> согласно дизайн-проекта
</t>
        </r>
        <r>
          <rPr>
            <b/>
            <sz val="11"/>
            <color indexed="81"/>
            <rFont val="Tahoma"/>
            <family val="2"/>
            <charset val="204"/>
          </rPr>
          <t xml:space="preserve">цветы живые и искусственные </t>
        </r>
        <r>
          <rPr>
            <sz val="11"/>
            <color indexed="81"/>
            <rFont val="Tahoma"/>
            <family val="2"/>
            <charset val="204"/>
          </rPr>
          <t xml:space="preserve">согласно дизайн-проекта
</t>
        </r>
        <r>
          <rPr>
            <b/>
            <sz val="11"/>
            <color indexed="81"/>
            <rFont val="Tahoma"/>
            <family val="2"/>
            <charset val="204"/>
          </rPr>
          <t>вазы</t>
        </r>
        <r>
          <rPr>
            <sz val="11"/>
            <color indexed="81"/>
            <rFont val="Tahoma"/>
            <family val="2"/>
            <charset val="204"/>
          </rPr>
          <t xml:space="preserve"> нет
</t>
        </r>
        <r>
          <rPr>
            <b/>
            <u/>
            <sz val="11"/>
            <color indexed="81"/>
            <rFont val="Tahoma"/>
            <family val="2"/>
            <charset val="204"/>
          </rPr>
          <t xml:space="preserve">Номера </t>
        </r>
        <r>
          <rPr>
            <sz val="11"/>
            <color indexed="81"/>
            <rFont val="Tahoma"/>
            <family val="2"/>
            <charset val="204"/>
          </rPr>
          <t xml:space="preserve">
</t>
        </r>
        <r>
          <rPr>
            <b/>
            <sz val="11"/>
            <color indexed="81"/>
            <rFont val="Tahoma"/>
            <family val="2"/>
            <charset val="204"/>
          </rPr>
          <t>этажей</t>
        </r>
        <r>
          <rPr>
            <sz val="11"/>
            <color indexed="81"/>
            <rFont val="Tahoma"/>
            <family val="2"/>
            <charset val="204"/>
          </rPr>
          <t xml:space="preserve"> согласно дизайн-проекта
</t>
        </r>
        <r>
          <rPr>
            <b/>
            <sz val="11"/>
            <color indexed="81"/>
            <rFont val="Tahoma"/>
            <family val="2"/>
            <charset val="204"/>
          </rPr>
          <t>квартир</t>
        </r>
        <r>
          <rPr>
            <sz val="11"/>
            <color indexed="81"/>
            <rFont val="Tahoma"/>
            <family val="2"/>
            <charset val="204"/>
          </rPr>
          <t xml:space="preserve"> согласно дизайн-проекта
</t>
        </r>
        <r>
          <rPr>
            <b/>
            <sz val="11"/>
            <color indexed="81"/>
            <rFont val="Tahoma"/>
            <family val="2"/>
            <charset val="204"/>
          </rPr>
          <t xml:space="preserve">Информационный стенд / стенд внутренней навигации </t>
        </r>
        <r>
          <rPr>
            <sz val="11"/>
            <color indexed="81"/>
            <rFont val="Tahoma"/>
            <family val="2"/>
            <charset val="204"/>
          </rPr>
          <t xml:space="preserve">согласно дизайн-проекта
</t>
        </r>
        <r>
          <rPr>
            <b/>
            <sz val="11"/>
            <color indexed="81"/>
            <rFont val="Tahoma"/>
            <family val="2"/>
            <charset val="204"/>
          </rPr>
          <t xml:space="preserve">Логотип компании / здания </t>
        </r>
        <r>
          <rPr>
            <sz val="11"/>
            <color indexed="81"/>
            <rFont val="Tahoma"/>
            <family val="2"/>
            <charset val="204"/>
          </rPr>
          <t xml:space="preserve">за или рядом со стойкой ресепшн
Санузлы 1 ЭТАЖА, м2 нет
</t>
        </r>
      </text>
    </comment>
    <comment ref="E667" authorId="0" shapeId="0">
      <text>
        <r>
          <rPr>
            <b/>
            <u/>
            <sz val="11"/>
            <color indexed="81"/>
            <rFont val="Tahoma"/>
            <family val="2"/>
            <charset val="204"/>
          </rPr>
          <t>Сухие зоны</t>
        </r>
        <r>
          <rPr>
            <sz val="11"/>
            <color indexed="81"/>
            <rFont val="Tahoma"/>
            <family val="2"/>
            <charset val="204"/>
          </rPr>
          <t xml:space="preserve"> 
</t>
        </r>
        <r>
          <rPr>
            <b/>
            <sz val="11"/>
            <color indexed="81"/>
            <rFont val="Tahoma"/>
            <family val="2"/>
            <charset val="204"/>
          </rPr>
          <t>пол</t>
        </r>
        <r>
          <rPr>
            <sz val="11"/>
            <color indexed="81"/>
            <rFont val="Tahoma"/>
            <family val="2"/>
            <charset val="204"/>
          </rPr>
          <t xml:space="preserve">  Высококачественный керамогранит российский или импортный (Китай, Турция) с незначительным кол-вом декоративных элементов
</t>
        </r>
        <r>
          <rPr>
            <b/>
            <sz val="11"/>
            <color indexed="81"/>
            <rFont val="Tahoma"/>
            <family val="2"/>
            <charset val="204"/>
          </rPr>
          <t>стены</t>
        </r>
        <r>
          <rPr>
            <sz val="11"/>
            <color indexed="81"/>
            <rFont val="Tahoma"/>
            <family val="2"/>
            <charset val="204"/>
          </rPr>
          <t xml:space="preserve">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t>
        </r>
        <r>
          <rPr>
            <b/>
            <sz val="11"/>
            <color indexed="81"/>
            <rFont val="Tahoma"/>
            <family val="2"/>
            <charset val="204"/>
          </rPr>
          <t xml:space="preserve">потолок </t>
        </r>
        <r>
          <rPr>
            <sz val="11"/>
            <color indexed="81"/>
            <rFont val="Tahoma"/>
            <family val="2"/>
            <charset val="204"/>
          </rPr>
          <t xml:space="preserve">покраска или  навесные потолки средней ценовой группы,  или 2-3 уровневые потолки 
</t>
        </r>
        <r>
          <rPr>
            <b/>
            <sz val="11"/>
            <color indexed="81"/>
            <rFont val="Tahoma"/>
            <family val="2"/>
            <charset val="204"/>
          </rPr>
          <t xml:space="preserve">освещение </t>
        </r>
        <r>
          <rPr>
            <sz val="11"/>
            <color indexed="81"/>
            <rFont val="Tahoma"/>
            <family val="2"/>
            <charset val="204"/>
          </rPr>
          <t xml:space="preserve">не более 2 видов освещения (Китай, Россия)
двери качественные двери лучших отечественных производителей или недорогих импортных производителей (Финляндия, Испания) 
</t>
        </r>
        <r>
          <rPr>
            <b/>
            <u/>
            <sz val="11"/>
            <color indexed="81"/>
            <rFont val="Tahoma"/>
            <family val="2"/>
            <charset val="204"/>
          </rPr>
          <t xml:space="preserve">Мебель и оборудование </t>
        </r>
        <r>
          <rPr>
            <sz val="11"/>
            <color indexed="81"/>
            <rFont val="Tahoma"/>
            <family val="2"/>
            <charset val="204"/>
          </rPr>
          <t xml:space="preserve">
</t>
        </r>
        <r>
          <rPr>
            <b/>
            <sz val="11"/>
            <color indexed="81"/>
            <rFont val="Tahoma"/>
            <family val="2"/>
            <charset val="204"/>
          </rPr>
          <t xml:space="preserve">Стойка ресепшн </t>
        </r>
        <r>
          <rPr>
            <sz val="11"/>
            <color indexed="81"/>
            <rFont val="Tahoma"/>
            <family val="2"/>
            <charset val="204"/>
          </rPr>
          <t xml:space="preserve">Стойка ресепшн на 1 рабочее место до 300 000 руб./шт.
</t>
        </r>
        <r>
          <rPr>
            <b/>
            <sz val="11"/>
            <color indexed="81"/>
            <rFont val="Tahoma"/>
            <family val="2"/>
            <charset val="204"/>
          </rPr>
          <t xml:space="preserve">Мебель зоны ожидания </t>
        </r>
        <r>
          <rPr>
            <sz val="11"/>
            <color indexed="81"/>
            <rFont val="Tahoma"/>
            <family val="2"/>
            <charset val="204"/>
          </rPr>
          <t xml:space="preserve">два кресла и журнальный столик до 150 000 руб./комплект
</t>
        </r>
        <r>
          <rPr>
            <b/>
            <sz val="11"/>
            <color indexed="81"/>
            <rFont val="Tahoma"/>
            <family val="2"/>
            <charset val="204"/>
          </rPr>
          <t xml:space="preserve">Мебель для обслуживающего персонала </t>
        </r>
        <r>
          <rPr>
            <sz val="11"/>
            <color indexed="81"/>
            <rFont val="Tahoma"/>
            <family val="2"/>
            <charset val="204"/>
          </rPr>
          <t xml:space="preserve">офисные кресла, тумбочки, шкаф-бюро до 100 000 руб./комплект
</t>
        </r>
        <r>
          <rPr>
            <b/>
            <sz val="11"/>
            <color indexed="81"/>
            <rFont val="Tahoma"/>
            <family val="2"/>
            <charset val="204"/>
          </rPr>
          <t xml:space="preserve">Почтовые ящики </t>
        </r>
        <r>
          <rPr>
            <sz val="11"/>
            <color indexed="81"/>
            <rFont val="Tahoma"/>
            <family val="2"/>
            <charset val="204"/>
          </rPr>
          <t xml:space="preserve">типовые из нержавейки до 100 000 руб/подъезд
</t>
        </r>
        <r>
          <rPr>
            <b/>
            <sz val="11"/>
            <color indexed="81"/>
            <rFont val="Tahoma"/>
            <family val="2"/>
            <charset val="204"/>
          </rPr>
          <t xml:space="preserve">Шкафы для корреспонденции </t>
        </r>
        <r>
          <rPr>
            <sz val="11"/>
            <color indexed="81"/>
            <rFont val="Tahoma"/>
            <family val="2"/>
            <charset val="204"/>
          </rPr>
          <t xml:space="preserve">нет
</t>
        </r>
        <r>
          <rPr>
            <b/>
            <sz val="11"/>
            <color indexed="81"/>
            <rFont val="Tahoma"/>
            <family val="2"/>
            <charset val="204"/>
          </rPr>
          <t>занавески, жалюзи</t>
        </r>
        <r>
          <rPr>
            <sz val="11"/>
            <color indexed="81"/>
            <rFont val="Tahoma"/>
            <family val="2"/>
            <charset val="204"/>
          </rPr>
          <t xml:space="preserve"> согласно дизайн-проекта
</t>
        </r>
        <r>
          <rPr>
            <b/>
            <sz val="11"/>
            <color indexed="81"/>
            <rFont val="Tahoma"/>
            <family val="2"/>
            <charset val="204"/>
          </rPr>
          <t>торшеры</t>
        </r>
        <r>
          <rPr>
            <sz val="11"/>
            <color indexed="81"/>
            <rFont val="Tahoma"/>
            <family val="2"/>
            <charset val="204"/>
          </rPr>
          <t xml:space="preserve"> нет
</t>
        </r>
        <r>
          <rPr>
            <b/>
            <sz val="11"/>
            <color indexed="81"/>
            <rFont val="Tahoma"/>
            <family val="2"/>
            <charset val="204"/>
          </rPr>
          <t>фонтаны</t>
        </r>
        <r>
          <rPr>
            <sz val="11"/>
            <color indexed="81"/>
            <rFont val="Tahoma"/>
            <family val="2"/>
            <charset val="204"/>
          </rPr>
          <t xml:space="preserve"> нет
</t>
        </r>
        <r>
          <rPr>
            <b/>
            <sz val="11"/>
            <color indexed="81"/>
            <rFont val="Tahoma"/>
            <family val="2"/>
            <charset val="204"/>
          </rPr>
          <t>камины</t>
        </r>
        <r>
          <rPr>
            <sz val="11"/>
            <color indexed="81"/>
            <rFont val="Tahoma"/>
            <family val="2"/>
            <charset val="204"/>
          </rPr>
          <t xml:space="preserve"> нет
</t>
        </r>
        <r>
          <rPr>
            <b/>
            <sz val="11"/>
            <color indexed="81"/>
            <rFont val="Tahoma"/>
            <family val="2"/>
            <charset val="204"/>
          </rPr>
          <t xml:space="preserve">картины, скульптуры </t>
        </r>
        <r>
          <rPr>
            <sz val="11"/>
            <color indexed="81"/>
            <rFont val="Tahoma"/>
            <family val="2"/>
            <charset val="204"/>
          </rPr>
          <t xml:space="preserve">нет
</t>
        </r>
        <r>
          <rPr>
            <b/>
            <sz val="11"/>
            <color indexed="81"/>
            <rFont val="Tahoma"/>
            <family val="2"/>
            <charset val="204"/>
          </rPr>
          <t xml:space="preserve">зеркала </t>
        </r>
        <r>
          <rPr>
            <sz val="11"/>
            <color indexed="81"/>
            <rFont val="Tahoma"/>
            <family val="2"/>
            <charset val="204"/>
          </rPr>
          <t xml:space="preserve">согласно дизайн-проекта
</t>
        </r>
        <r>
          <rPr>
            <b/>
            <sz val="11"/>
            <color indexed="81"/>
            <rFont val="Tahoma"/>
            <family val="2"/>
            <charset val="204"/>
          </rPr>
          <t xml:space="preserve">цветы живые и искусственные </t>
        </r>
        <r>
          <rPr>
            <sz val="11"/>
            <color indexed="81"/>
            <rFont val="Tahoma"/>
            <family val="2"/>
            <charset val="204"/>
          </rPr>
          <t xml:space="preserve">согласно дизайн-проекта
</t>
        </r>
        <r>
          <rPr>
            <b/>
            <sz val="11"/>
            <color indexed="81"/>
            <rFont val="Tahoma"/>
            <family val="2"/>
            <charset val="204"/>
          </rPr>
          <t xml:space="preserve">вазы </t>
        </r>
        <r>
          <rPr>
            <sz val="11"/>
            <color indexed="81"/>
            <rFont val="Tahoma"/>
            <family val="2"/>
            <charset val="204"/>
          </rPr>
          <t xml:space="preserve">нет
</t>
        </r>
        <r>
          <rPr>
            <b/>
            <u/>
            <sz val="11"/>
            <color indexed="81"/>
            <rFont val="Tahoma"/>
            <family val="2"/>
            <charset val="204"/>
          </rPr>
          <t xml:space="preserve">Номера </t>
        </r>
        <r>
          <rPr>
            <sz val="11"/>
            <color indexed="81"/>
            <rFont val="Tahoma"/>
            <family val="2"/>
            <charset val="204"/>
          </rPr>
          <t xml:space="preserve">
</t>
        </r>
        <r>
          <rPr>
            <b/>
            <sz val="11"/>
            <color indexed="81"/>
            <rFont val="Tahoma"/>
            <family val="2"/>
            <charset val="204"/>
          </rPr>
          <t xml:space="preserve">этажей </t>
        </r>
        <r>
          <rPr>
            <sz val="11"/>
            <color indexed="81"/>
            <rFont val="Tahoma"/>
            <family val="2"/>
            <charset val="204"/>
          </rPr>
          <t xml:space="preserve">согласно дизайн-проекта
</t>
        </r>
        <r>
          <rPr>
            <b/>
            <sz val="11"/>
            <color indexed="81"/>
            <rFont val="Tahoma"/>
            <family val="2"/>
            <charset val="204"/>
          </rPr>
          <t xml:space="preserve">квартир </t>
        </r>
        <r>
          <rPr>
            <sz val="11"/>
            <color indexed="81"/>
            <rFont val="Tahoma"/>
            <family val="2"/>
            <charset val="204"/>
          </rPr>
          <t xml:space="preserve">согласно дизайн-проекта
</t>
        </r>
        <r>
          <rPr>
            <b/>
            <sz val="11"/>
            <color indexed="81"/>
            <rFont val="Tahoma"/>
            <family val="2"/>
            <charset val="204"/>
          </rPr>
          <t>Информационный стенд / стенд внутренней навигации</t>
        </r>
        <r>
          <rPr>
            <sz val="11"/>
            <color indexed="81"/>
            <rFont val="Tahoma"/>
            <family val="2"/>
            <charset val="204"/>
          </rPr>
          <t xml:space="preserve"> согласно дизайн-проекта
</t>
        </r>
        <r>
          <rPr>
            <b/>
            <sz val="11"/>
            <color indexed="81"/>
            <rFont val="Tahoma"/>
            <family val="2"/>
            <charset val="204"/>
          </rPr>
          <t xml:space="preserve">Логотип компании / здания </t>
        </r>
        <r>
          <rPr>
            <sz val="11"/>
            <color indexed="81"/>
            <rFont val="Tahoma"/>
            <family val="2"/>
            <charset val="204"/>
          </rPr>
          <t xml:space="preserve">за или рядом со стойкой ресепшн
</t>
        </r>
        <r>
          <rPr>
            <b/>
            <u/>
            <sz val="11"/>
            <color indexed="81"/>
            <rFont val="Tahoma"/>
            <family val="2"/>
            <charset val="204"/>
          </rPr>
          <t>Санузлы 1 ЭТАЖА, м2 2,5-3,0</t>
        </r>
        <r>
          <rPr>
            <sz val="11"/>
            <color indexed="81"/>
            <rFont val="Tahoma"/>
            <family val="2"/>
            <charset val="204"/>
          </rPr>
          <t xml:space="preserve">
</t>
        </r>
        <r>
          <rPr>
            <b/>
            <sz val="11"/>
            <color indexed="81"/>
            <rFont val="Tahoma"/>
            <family val="2"/>
            <charset val="204"/>
          </rPr>
          <t>зонирование</t>
        </r>
        <r>
          <rPr>
            <sz val="11"/>
            <color indexed="81"/>
            <rFont val="Tahoma"/>
            <family val="2"/>
            <charset val="204"/>
          </rPr>
          <t xml:space="preserve"> кабинка универсальная М/Ж в строительном исполнении в комплекте с унитазом, умывальником и диспенсерами (внутренние разделительные двери отсутствуют) 1 шт на ресепшн
</t>
        </r>
        <r>
          <rPr>
            <b/>
            <sz val="11"/>
            <color indexed="81"/>
            <rFont val="Tahoma"/>
            <family val="2"/>
            <charset val="204"/>
          </rPr>
          <t>пол</t>
        </r>
        <r>
          <rPr>
            <sz val="11"/>
            <color indexed="81"/>
            <rFont val="Tahoma"/>
            <family val="2"/>
            <charset val="204"/>
          </rPr>
          <t xml:space="preserve">  Высококачественный керамогранит российский или импортный (Китай, Турция) с незначительным кол-вом декоративных элементов
</t>
        </r>
        <r>
          <rPr>
            <b/>
            <sz val="11"/>
            <color indexed="81"/>
            <rFont val="Tahoma"/>
            <family val="2"/>
            <charset val="204"/>
          </rPr>
          <t xml:space="preserve">стены </t>
        </r>
        <r>
          <rPr>
            <sz val="11"/>
            <color indexed="81"/>
            <rFont val="Tahoma"/>
            <family val="2"/>
            <charset val="204"/>
          </rPr>
          <t xml:space="preserve">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t>
        </r>
        <r>
          <rPr>
            <b/>
            <sz val="11"/>
            <color indexed="81"/>
            <rFont val="Tahoma"/>
            <family val="2"/>
            <charset val="204"/>
          </rPr>
          <t xml:space="preserve">потолок </t>
        </r>
        <r>
          <rPr>
            <sz val="11"/>
            <color indexed="81"/>
            <rFont val="Tahoma"/>
            <family val="2"/>
            <charset val="204"/>
          </rPr>
          <t xml:space="preserve">покраска или  навесные потолки средней ценовой группы,  или 2-3 уровневые потолки 
</t>
        </r>
        <r>
          <rPr>
            <b/>
            <sz val="11"/>
            <color indexed="81"/>
            <rFont val="Tahoma"/>
            <family val="2"/>
            <charset val="204"/>
          </rPr>
          <t xml:space="preserve">освещение </t>
        </r>
        <r>
          <rPr>
            <sz val="11"/>
            <color indexed="81"/>
            <rFont val="Tahoma"/>
            <family val="2"/>
            <charset val="204"/>
          </rPr>
          <t xml:space="preserve">не более 2 видов освещения (Китай, Россия)
</t>
        </r>
        <r>
          <rPr>
            <b/>
            <sz val="11"/>
            <color indexed="81"/>
            <rFont val="Tahoma"/>
            <family val="2"/>
            <charset val="204"/>
          </rPr>
          <t>двери</t>
        </r>
        <r>
          <rPr>
            <sz val="11"/>
            <color indexed="81"/>
            <rFont val="Tahoma"/>
            <family val="2"/>
            <charset val="204"/>
          </rPr>
          <t xml:space="preserve"> качественные двери лучших отечественных производителей или недорогих импортных производителей (Финляндия, Испания) 
</t>
        </r>
        <r>
          <rPr>
            <b/>
            <sz val="11"/>
            <color indexed="81"/>
            <rFont val="Tahoma"/>
            <family val="2"/>
            <charset val="204"/>
          </rPr>
          <t xml:space="preserve">сантехприборы </t>
        </r>
        <r>
          <rPr>
            <sz val="11"/>
            <color indexed="81"/>
            <rFont val="Tahoma"/>
            <family val="2"/>
            <charset val="204"/>
          </rPr>
          <t xml:space="preserve">унитаз подвесной, раковина без столешницы на пьедестале, кран с рычажком, производители - Германия, Финляндия для общественных помещений
</t>
        </r>
      </text>
    </comment>
    <comment ref="E668" authorId="0" shapeId="0">
      <text>
        <r>
          <rPr>
            <b/>
            <u/>
            <sz val="11"/>
            <color indexed="81"/>
            <rFont val="Tahoma"/>
            <family val="2"/>
            <charset val="204"/>
          </rPr>
          <t xml:space="preserve">Сухие зоны </t>
        </r>
        <r>
          <rPr>
            <sz val="11"/>
            <color indexed="81"/>
            <rFont val="Tahoma"/>
            <family val="2"/>
            <charset val="204"/>
          </rPr>
          <t xml:space="preserve">
</t>
        </r>
        <r>
          <rPr>
            <b/>
            <sz val="11"/>
            <color indexed="81"/>
            <rFont val="Tahoma"/>
            <family val="2"/>
            <charset val="204"/>
          </rPr>
          <t>пол</t>
        </r>
        <r>
          <rPr>
            <sz val="11"/>
            <color indexed="81"/>
            <rFont val="Tahoma"/>
            <family val="2"/>
            <charset val="204"/>
          </rPr>
          <t xml:space="preserve">  натуральный камень (Турция, Китай и тд), крупноразмерный с незначительным кол-вом декоративных элементов 
</t>
        </r>
        <r>
          <rPr>
            <b/>
            <sz val="11"/>
            <color indexed="81"/>
            <rFont val="Tahoma"/>
            <family val="2"/>
            <charset val="204"/>
          </rPr>
          <t>стены</t>
        </r>
        <r>
          <rPr>
            <sz val="11"/>
            <color indexed="81"/>
            <rFont val="Tahoma"/>
            <family val="2"/>
            <charset val="204"/>
          </rPr>
          <t xml:space="preserve">  сочетание покраски \ декоративной штукатурки \  высококачественного керамогранита  с декоративной отделкой средней ценовой категории (не более 30%) - дерево, камень 
</t>
        </r>
        <r>
          <rPr>
            <b/>
            <sz val="11"/>
            <color indexed="81"/>
            <rFont val="Tahoma"/>
            <family val="2"/>
            <charset val="204"/>
          </rPr>
          <t xml:space="preserve">потолок </t>
        </r>
        <r>
          <rPr>
            <sz val="11"/>
            <color indexed="81"/>
            <rFont val="Tahoma"/>
            <family val="2"/>
            <charset val="204"/>
          </rPr>
          <t xml:space="preserve"> многоуровневые потолки из гипсокартона или различных систем среднего ценового уровня в стилистике общего дизайна помещения
</t>
        </r>
        <r>
          <rPr>
            <b/>
            <sz val="11"/>
            <color indexed="81"/>
            <rFont val="Tahoma"/>
            <family val="2"/>
            <charset val="204"/>
          </rPr>
          <t xml:space="preserve">освещение </t>
        </r>
        <r>
          <rPr>
            <sz val="11"/>
            <color indexed="81"/>
            <rFont val="Tahoma"/>
            <family val="2"/>
            <charset val="204"/>
          </rPr>
          <t xml:space="preserve"> светильники ведущих европейских производителей /  несколько видов  декоративной  и архитектурной подсветки с различными режимами освещения
</t>
        </r>
        <r>
          <rPr>
            <b/>
            <sz val="11"/>
            <color indexed="81"/>
            <rFont val="Tahoma"/>
            <family val="2"/>
            <charset val="204"/>
          </rPr>
          <t>двери</t>
        </r>
        <r>
          <rPr>
            <sz val="11"/>
            <color indexed="81"/>
            <rFont val="Tahoma"/>
            <family val="2"/>
            <charset val="204"/>
          </rPr>
          <t xml:space="preserve"> высококачественные  европейских производителей средней ценовой категории
</t>
        </r>
        <r>
          <rPr>
            <b/>
            <u/>
            <sz val="11"/>
            <color indexed="81"/>
            <rFont val="Tahoma"/>
            <family val="2"/>
            <charset val="204"/>
          </rPr>
          <t>Мебель и оборудование</t>
        </r>
        <r>
          <rPr>
            <sz val="11"/>
            <color indexed="81"/>
            <rFont val="Tahoma"/>
            <family val="2"/>
            <charset val="204"/>
          </rPr>
          <t xml:space="preserve"> 
</t>
        </r>
        <r>
          <rPr>
            <b/>
            <sz val="11"/>
            <color indexed="81"/>
            <rFont val="Tahoma"/>
            <family val="2"/>
            <charset val="204"/>
          </rPr>
          <t>Стойка ресепшн</t>
        </r>
        <r>
          <rPr>
            <sz val="11"/>
            <color indexed="81"/>
            <rFont val="Tahoma"/>
            <family val="2"/>
            <charset val="204"/>
          </rPr>
          <t xml:space="preserve"> Стойка ресепшн на 1 рабочее место до 500 000 руб./шт.
</t>
        </r>
        <r>
          <rPr>
            <b/>
            <sz val="11"/>
            <color indexed="81"/>
            <rFont val="Tahoma"/>
            <family val="2"/>
            <charset val="204"/>
          </rPr>
          <t>Мебель зоны ожидания</t>
        </r>
        <r>
          <rPr>
            <sz val="11"/>
            <color indexed="81"/>
            <rFont val="Tahoma"/>
            <family val="2"/>
            <charset val="204"/>
          </rPr>
          <t xml:space="preserve"> кресло, диван и журнальный столик до 200 000 руб./комплект
</t>
        </r>
        <r>
          <rPr>
            <b/>
            <sz val="11"/>
            <color indexed="81"/>
            <rFont val="Tahoma"/>
            <family val="2"/>
            <charset val="204"/>
          </rPr>
          <t xml:space="preserve">Мебель для обслуживающего персонала </t>
        </r>
        <r>
          <rPr>
            <sz val="11"/>
            <color indexed="81"/>
            <rFont val="Tahoma"/>
            <family val="2"/>
            <charset val="204"/>
          </rPr>
          <t xml:space="preserve">офисные кресла, тумбочки, шкаф-бюро до 100 000 руб./комплект
</t>
        </r>
        <r>
          <rPr>
            <b/>
            <sz val="11"/>
            <color indexed="81"/>
            <rFont val="Tahoma"/>
            <family val="2"/>
            <charset val="204"/>
          </rPr>
          <t>Почтовые ящики</t>
        </r>
        <r>
          <rPr>
            <sz val="11"/>
            <color indexed="81"/>
            <rFont val="Tahoma"/>
            <family val="2"/>
            <charset val="204"/>
          </rPr>
          <t xml:space="preserve"> индивидуальные по дизайн-проекту до 200 000 руб/подъезд
</t>
        </r>
        <r>
          <rPr>
            <b/>
            <sz val="11"/>
            <color indexed="81"/>
            <rFont val="Tahoma"/>
            <family val="2"/>
            <charset val="204"/>
          </rPr>
          <t xml:space="preserve">Шкафы для корреспонденции </t>
        </r>
        <r>
          <rPr>
            <sz val="11"/>
            <color indexed="81"/>
            <rFont val="Tahoma"/>
            <family val="2"/>
            <charset val="204"/>
          </rPr>
          <t xml:space="preserve">нет
</t>
        </r>
        <r>
          <rPr>
            <b/>
            <sz val="11"/>
            <color indexed="81"/>
            <rFont val="Tahoma"/>
            <family val="2"/>
            <charset val="204"/>
          </rPr>
          <t>занавески, жалюзи</t>
        </r>
        <r>
          <rPr>
            <sz val="11"/>
            <color indexed="81"/>
            <rFont val="Tahoma"/>
            <family val="2"/>
            <charset val="204"/>
          </rPr>
          <t xml:space="preserve"> согласно дизайн-проекта
</t>
        </r>
        <r>
          <rPr>
            <b/>
            <sz val="11"/>
            <color indexed="81"/>
            <rFont val="Tahoma"/>
            <family val="2"/>
            <charset val="204"/>
          </rPr>
          <t xml:space="preserve">торшеры </t>
        </r>
        <r>
          <rPr>
            <sz val="11"/>
            <color indexed="81"/>
            <rFont val="Tahoma"/>
            <family val="2"/>
            <charset val="204"/>
          </rPr>
          <t xml:space="preserve">согласно дизайн-проекта
</t>
        </r>
        <r>
          <rPr>
            <b/>
            <sz val="11"/>
            <color indexed="81"/>
            <rFont val="Tahoma"/>
            <family val="2"/>
            <charset val="204"/>
          </rPr>
          <t>фонтаны</t>
        </r>
        <r>
          <rPr>
            <sz val="11"/>
            <color indexed="81"/>
            <rFont val="Tahoma"/>
            <family val="2"/>
            <charset val="204"/>
          </rPr>
          <t xml:space="preserve"> нет
</t>
        </r>
        <r>
          <rPr>
            <b/>
            <sz val="11"/>
            <color indexed="81"/>
            <rFont val="Tahoma"/>
            <family val="2"/>
            <charset val="204"/>
          </rPr>
          <t>камины</t>
        </r>
        <r>
          <rPr>
            <sz val="11"/>
            <color indexed="81"/>
            <rFont val="Tahoma"/>
            <family val="2"/>
            <charset val="204"/>
          </rPr>
          <t xml:space="preserve"> согласно дизайн-проекта
</t>
        </r>
        <r>
          <rPr>
            <b/>
            <sz val="11"/>
            <color indexed="81"/>
            <rFont val="Tahoma"/>
            <family val="2"/>
            <charset val="204"/>
          </rPr>
          <t>картины, скульптуры</t>
        </r>
        <r>
          <rPr>
            <sz val="11"/>
            <color indexed="81"/>
            <rFont val="Tahoma"/>
            <family val="2"/>
            <charset val="204"/>
          </rPr>
          <t xml:space="preserve"> согласно дизайн-проекта
</t>
        </r>
        <r>
          <rPr>
            <b/>
            <sz val="11"/>
            <color indexed="81"/>
            <rFont val="Tahoma"/>
            <family val="2"/>
            <charset val="204"/>
          </rPr>
          <t>зеркала</t>
        </r>
        <r>
          <rPr>
            <sz val="11"/>
            <color indexed="81"/>
            <rFont val="Tahoma"/>
            <family val="2"/>
            <charset val="204"/>
          </rPr>
          <t xml:space="preserve"> согласно дизайн-проекта
</t>
        </r>
        <r>
          <rPr>
            <b/>
            <sz val="11"/>
            <color indexed="81"/>
            <rFont val="Tahoma"/>
            <family val="2"/>
            <charset val="204"/>
          </rPr>
          <t xml:space="preserve">цветы живые и искусственные </t>
        </r>
        <r>
          <rPr>
            <sz val="11"/>
            <color indexed="81"/>
            <rFont val="Tahoma"/>
            <family val="2"/>
            <charset val="204"/>
          </rPr>
          <t xml:space="preserve">согласно дизайн-проекта
</t>
        </r>
        <r>
          <rPr>
            <b/>
            <sz val="11"/>
            <color indexed="81"/>
            <rFont val="Tahoma"/>
            <family val="2"/>
            <charset val="204"/>
          </rPr>
          <t>вазы</t>
        </r>
        <r>
          <rPr>
            <sz val="11"/>
            <color indexed="81"/>
            <rFont val="Tahoma"/>
            <family val="2"/>
            <charset val="204"/>
          </rPr>
          <t xml:space="preserve"> согласно дизайн-проекта
</t>
        </r>
        <r>
          <rPr>
            <b/>
            <u/>
            <sz val="11"/>
            <color indexed="81"/>
            <rFont val="Tahoma"/>
            <family val="2"/>
            <charset val="204"/>
          </rPr>
          <t xml:space="preserve">Номера </t>
        </r>
        <r>
          <rPr>
            <sz val="11"/>
            <color indexed="81"/>
            <rFont val="Tahoma"/>
            <family val="2"/>
            <charset val="204"/>
          </rPr>
          <t xml:space="preserve">
</t>
        </r>
        <r>
          <rPr>
            <b/>
            <sz val="11"/>
            <color indexed="81"/>
            <rFont val="Tahoma"/>
            <family val="2"/>
            <charset val="204"/>
          </rPr>
          <t xml:space="preserve">этажей </t>
        </r>
        <r>
          <rPr>
            <sz val="11"/>
            <color indexed="81"/>
            <rFont val="Tahoma"/>
            <family val="2"/>
            <charset val="204"/>
          </rPr>
          <t xml:space="preserve">согласно дизайн-проекта
</t>
        </r>
        <r>
          <rPr>
            <b/>
            <sz val="11"/>
            <color indexed="81"/>
            <rFont val="Tahoma"/>
            <family val="2"/>
            <charset val="204"/>
          </rPr>
          <t xml:space="preserve">квартир </t>
        </r>
        <r>
          <rPr>
            <sz val="11"/>
            <color indexed="81"/>
            <rFont val="Tahoma"/>
            <family val="2"/>
            <charset val="204"/>
          </rPr>
          <t xml:space="preserve">согласно дизайн-проекта
</t>
        </r>
        <r>
          <rPr>
            <b/>
            <sz val="11"/>
            <color indexed="81"/>
            <rFont val="Tahoma"/>
            <family val="2"/>
            <charset val="204"/>
          </rPr>
          <t>Информационный стенд / стенд внутренней навигации</t>
        </r>
        <r>
          <rPr>
            <sz val="11"/>
            <color indexed="81"/>
            <rFont val="Tahoma"/>
            <family val="2"/>
            <charset val="204"/>
          </rPr>
          <t xml:space="preserve"> согласно дизайн-проекта
</t>
        </r>
        <r>
          <rPr>
            <b/>
            <sz val="11"/>
            <color indexed="81"/>
            <rFont val="Tahoma"/>
            <family val="2"/>
            <charset val="204"/>
          </rPr>
          <t>Логотип компании / здания</t>
        </r>
        <r>
          <rPr>
            <sz val="11"/>
            <color indexed="81"/>
            <rFont val="Tahoma"/>
            <family val="2"/>
            <charset val="204"/>
          </rPr>
          <t xml:space="preserve"> за или рядом со стойкой ресепшн
</t>
        </r>
        <r>
          <rPr>
            <b/>
            <u/>
            <sz val="11"/>
            <color indexed="81"/>
            <rFont val="Tahoma"/>
            <family val="2"/>
            <charset val="204"/>
          </rPr>
          <t>Санузлы 1 ЭТАЖА, м2 2,5-3,0</t>
        </r>
        <r>
          <rPr>
            <sz val="11"/>
            <color indexed="81"/>
            <rFont val="Tahoma"/>
            <family val="2"/>
            <charset val="204"/>
          </rPr>
          <t xml:space="preserve">
</t>
        </r>
        <r>
          <rPr>
            <b/>
            <sz val="11"/>
            <color indexed="81"/>
            <rFont val="Tahoma"/>
            <family val="2"/>
            <charset val="204"/>
          </rPr>
          <t xml:space="preserve">зонирование </t>
        </r>
        <r>
          <rPr>
            <sz val="11"/>
            <color indexed="81"/>
            <rFont val="Tahoma"/>
            <family val="2"/>
            <charset val="204"/>
          </rPr>
          <t xml:space="preserve">кабинка универсальная М/Ж в строительном исполнении в комплекте с унитазом, умывальником и диспенсерами (внутренние разделительные двери отсутствуют) 1 шт на ресепшн
пол  натуральный камень (Турция, Китай и тд), крупноразмерный с незначительным кол-вом декоративных элементов 
</t>
        </r>
        <r>
          <rPr>
            <b/>
            <sz val="11"/>
            <color indexed="81"/>
            <rFont val="Tahoma"/>
            <family val="2"/>
            <charset val="204"/>
          </rPr>
          <t>стены</t>
        </r>
        <r>
          <rPr>
            <sz val="11"/>
            <color indexed="81"/>
            <rFont val="Tahoma"/>
            <family val="2"/>
            <charset val="204"/>
          </rPr>
          <t xml:space="preserve">  сочетание покраски \ декоративной штукатурки \  высококачественного керамогранита  с декоративной отделкой средней ценовой категории (не более 30%) - дерево, камень 
</t>
        </r>
        <r>
          <rPr>
            <b/>
            <sz val="11"/>
            <color indexed="81"/>
            <rFont val="Tahoma"/>
            <family val="2"/>
            <charset val="204"/>
          </rPr>
          <t>потолок</t>
        </r>
        <r>
          <rPr>
            <sz val="11"/>
            <color indexed="81"/>
            <rFont val="Tahoma"/>
            <family val="2"/>
            <charset val="204"/>
          </rPr>
          <t xml:space="preserve">  многоуровневые потолки из гипсокартона или различных систем среднего ценового уровня в стилистике общего дизайна помещения
</t>
        </r>
        <r>
          <rPr>
            <b/>
            <sz val="11"/>
            <color indexed="81"/>
            <rFont val="Tahoma"/>
            <family val="2"/>
            <charset val="204"/>
          </rPr>
          <t>освещение</t>
        </r>
        <r>
          <rPr>
            <sz val="11"/>
            <color indexed="81"/>
            <rFont val="Tahoma"/>
            <family val="2"/>
            <charset val="204"/>
          </rPr>
          <t xml:space="preserve">  светильники ведущих европейских производителей /  несколько видов  декоративной  и архитектурной подсветки с различными режимами освещения
</t>
        </r>
        <r>
          <rPr>
            <b/>
            <sz val="11"/>
            <color indexed="81"/>
            <rFont val="Tahoma"/>
            <family val="2"/>
            <charset val="204"/>
          </rPr>
          <t xml:space="preserve">двери </t>
        </r>
        <r>
          <rPr>
            <sz val="11"/>
            <color indexed="81"/>
            <rFont val="Tahoma"/>
            <family val="2"/>
            <charset val="204"/>
          </rPr>
          <t xml:space="preserve">высококачественные  европейских производителей средней ценовой категории
</t>
        </r>
        <r>
          <rPr>
            <b/>
            <sz val="11"/>
            <color indexed="81"/>
            <rFont val="Tahoma"/>
            <family val="2"/>
            <charset val="204"/>
          </rPr>
          <t xml:space="preserve">сантехприборы </t>
        </r>
        <r>
          <rPr>
            <sz val="11"/>
            <color indexed="81"/>
            <rFont val="Tahoma"/>
            <family val="2"/>
            <charset val="204"/>
          </rPr>
          <t xml:space="preserve">унитаз подвесной, раковина встроенная в столешницу из кореана, кран с рычажком, производители - Германия, Финляндия для общественных помещений
</t>
        </r>
      </text>
    </comment>
    <comment ref="E669" authorId="0" shapeId="0">
      <text>
        <r>
          <rPr>
            <b/>
            <u/>
            <sz val="11"/>
            <color indexed="81"/>
            <rFont val="Tahoma"/>
            <family val="2"/>
            <charset val="204"/>
          </rPr>
          <t xml:space="preserve">Сухие зоны </t>
        </r>
        <r>
          <rPr>
            <sz val="11"/>
            <color indexed="81"/>
            <rFont val="Tahoma"/>
            <family val="2"/>
            <charset val="204"/>
          </rPr>
          <t xml:space="preserve">
</t>
        </r>
        <r>
          <rPr>
            <b/>
            <sz val="11"/>
            <color indexed="81"/>
            <rFont val="Tahoma"/>
            <family val="2"/>
            <charset val="204"/>
          </rPr>
          <t xml:space="preserve">пол  </t>
        </r>
        <r>
          <rPr>
            <sz val="11"/>
            <color indexed="81"/>
            <rFont val="Tahoma"/>
            <family val="2"/>
            <charset val="204"/>
          </rPr>
          <t xml:space="preserve">"натуральный камень (Европейские карьеры), крупноразмерный с укладкой в 2-3 цвета  
с декоративными элементами /  мозаикой или  орнаментами (до 50%)"
</t>
        </r>
        <r>
          <rPr>
            <b/>
            <sz val="11"/>
            <color indexed="81"/>
            <rFont val="Tahoma"/>
            <family val="2"/>
            <charset val="204"/>
          </rPr>
          <t>стены</t>
        </r>
        <r>
          <rPr>
            <sz val="11"/>
            <color indexed="81"/>
            <rFont val="Tahoma"/>
            <family val="2"/>
            <charset val="204"/>
          </rPr>
          <t xml:space="preserve">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t>
        </r>
        <r>
          <rPr>
            <b/>
            <sz val="11"/>
            <color indexed="81"/>
            <rFont val="Tahoma"/>
            <family val="2"/>
            <charset val="204"/>
          </rPr>
          <t xml:space="preserve">потолок </t>
        </r>
        <r>
          <rPr>
            <sz val="11"/>
            <color indexed="81"/>
            <rFont val="Tahoma"/>
            <family val="2"/>
            <charset val="204"/>
          </rPr>
          <t xml:space="preserve">сложные многоуровневые потолки, отвечающие общему дизайну помещения
</t>
        </r>
        <r>
          <rPr>
            <b/>
            <sz val="11"/>
            <color indexed="81"/>
            <rFont val="Tahoma"/>
            <family val="2"/>
            <charset val="204"/>
          </rPr>
          <t>освещение</t>
        </r>
        <r>
          <rPr>
            <sz val="11"/>
            <color indexed="81"/>
            <rFont val="Tahoma"/>
            <family val="2"/>
            <charset val="204"/>
          </rPr>
          <t xml:space="preserve">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t>
        </r>
        <r>
          <rPr>
            <b/>
            <sz val="11"/>
            <color indexed="81"/>
            <rFont val="Tahoma"/>
            <family val="2"/>
            <charset val="204"/>
          </rPr>
          <t>двери</t>
        </r>
        <r>
          <rPr>
            <sz val="11"/>
            <color indexed="81"/>
            <rFont val="Tahoma"/>
            <family val="2"/>
            <charset val="204"/>
          </rPr>
          <t xml:space="preserve">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t>
        </r>
        <r>
          <rPr>
            <b/>
            <u/>
            <sz val="11"/>
            <color indexed="81"/>
            <rFont val="Tahoma"/>
            <family val="2"/>
            <charset val="204"/>
          </rPr>
          <t xml:space="preserve">
Мебель и оборудование </t>
        </r>
        <r>
          <rPr>
            <sz val="11"/>
            <color indexed="81"/>
            <rFont val="Tahoma"/>
            <family val="2"/>
            <charset val="204"/>
          </rPr>
          <t xml:space="preserve">
</t>
        </r>
        <r>
          <rPr>
            <b/>
            <sz val="11"/>
            <color indexed="81"/>
            <rFont val="Tahoma"/>
            <family val="2"/>
            <charset val="204"/>
          </rPr>
          <t xml:space="preserve">Стойка ресепшн </t>
        </r>
        <r>
          <rPr>
            <sz val="11"/>
            <color indexed="81"/>
            <rFont val="Tahoma"/>
            <family val="2"/>
            <charset val="204"/>
          </rPr>
          <t xml:space="preserve">Стойка ресепшн на 1 рабочее место до 1 000 000 руб./шт.
</t>
        </r>
        <r>
          <rPr>
            <b/>
            <sz val="11"/>
            <color indexed="81"/>
            <rFont val="Tahoma"/>
            <family val="2"/>
            <charset val="204"/>
          </rPr>
          <t>Мебель зоны ожидания</t>
        </r>
        <r>
          <rPr>
            <sz val="11"/>
            <color indexed="81"/>
            <rFont val="Tahoma"/>
            <family val="2"/>
            <charset val="204"/>
          </rPr>
          <t xml:space="preserve"> кресла, диваны, столики до 1 000 000 руб./комплект
</t>
        </r>
        <r>
          <rPr>
            <b/>
            <sz val="11"/>
            <color indexed="81"/>
            <rFont val="Tahoma"/>
            <family val="2"/>
            <charset val="204"/>
          </rPr>
          <t>Мебель для обслуживающего персонала</t>
        </r>
        <r>
          <rPr>
            <sz val="11"/>
            <color indexed="81"/>
            <rFont val="Tahoma"/>
            <family val="2"/>
            <charset val="204"/>
          </rPr>
          <t xml:space="preserve"> офисные кресла, тумбочки, шкаф-бюро до 200 000 руб./комплект
</t>
        </r>
        <r>
          <rPr>
            <b/>
            <sz val="11"/>
            <color indexed="81"/>
            <rFont val="Tahoma"/>
            <family val="2"/>
            <charset val="204"/>
          </rPr>
          <t>Почтовые ящики</t>
        </r>
        <r>
          <rPr>
            <sz val="11"/>
            <color indexed="81"/>
            <rFont val="Tahoma"/>
            <family val="2"/>
            <charset val="204"/>
          </rPr>
          <t xml:space="preserve"> индивидуальные по дизайн-проекту до 500 000 руб/подъезд
</t>
        </r>
        <r>
          <rPr>
            <b/>
            <sz val="11"/>
            <color indexed="81"/>
            <rFont val="Tahoma"/>
            <family val="2"/>
            <charset val="204"/>
          </rPr>
          <t xml:space="preserve">Шкафы для корреспонденции </t>
        </r>
        <r>
          <rPr>
            <sz val="11"/>
            <color indexed="81"/>
            <rFont val="Tahoma"/>
            <family val="2"/>
            <charset val="204"/>
          </rPr>
          <t xml:space="preserve">деревянные по дизайн-проекту до 50 000 руб./шт.
</t>
        </r>
        <r>
          <rPr>
            <b/>
            <sz val="11"/>
            <color indexed="81"/>
            <rFont val="Tahoma"/>
            <family val="2"/>
            <charset val="204"/>
          </rPr>
          <t>занавески, жалюзи</t>
        </r>
        <r>
          <rPr>
            <sz val="11"/>
            <color indexed="81"/>
            <rFont val="Tahoma"/>
            <family val="2"/>
            <charset val="204"/>
          </rPr>
          <t xml:space="preserve"> согласно дизайн-проекта
</t>
        </r>
        <r>
          <rPr>
            <b/>
            <sz val="11"/>
            <color indexed="81"/>
            <rFont val="Tahoma"/>
            <family val="2"/>
            <charset val="204"/>
          </rPr>
          <t xml:space="preserve">торшеры </t>
        </r>
        <r>
          <rPr>
            <sz val="11"/>
            <color indexed="81"/>
            <rFont val="Tahoma"/>
            <family val="2"/>
            <charset val="204"/>
          </rPr>
          <t xml:space="preserve">согласно дизайн-проекта
</t>
        </r>
        <r>
          <rPr>
            <b/>
            <sz val="11"/>
            <color indexed="81"/>
            <rFont val="Tahoma"/>
            <family val="2"/>
            <charset val="204"/>
          </rPr>
          <t xml:space="preserve">фонтаны </t>
        </r>
        <r>
          <rPr>
            <sz val="11"/>
            <color indexed="81"/>
            <rFont val="Tahoma"/>
            <family val="2"/>
            <charset val="204"/>
          </rPr>
          <t xml:space="preserve">нет
</t>
        </r>
        <r>
          <rPr>
            <b/>
            <sz val="11"/>
            <color indexed="81"/>
            <rFont val="Tahoma"/>
            <family val="2"/>
            <charset val="204"/>
          </rPr>
          <t xml:space="preserve">камины </t>
        </r>
        <r>
          <rPr>
            <sz val="11"/>
            <color indexed="81"/>
            <rFont val="Tahoma"/>
            <family val="2"/>
            <charset val="204"/>
          </rPr>
          <t xml:space="preserve">согласно дизайн-проекта
</t>
        </r>
        <r>
          <rPr>
            <b/>
            <sz val="11"/>
            <color indexed="81"/>
            <rFont val="Tahoma"/>
            <family val="2"/>
            <charset val="204"/>
          </rPr>
          <t xml:space="preserve">картины, скульптуры </t>
        </r>
        <r>
          <rPr>
            <sz val="11"/>
            <color indexed="81"/>
            <rFont val="Tahoma"/>
            <family val="2"/>
            <charset val="204"/>
          </rPr>
          <t xml:space="preserve">согласно дизайн-проекта
</t>
        </r>
        <r>
          <rPr>
            <b/>
            <sz val="11"/>
            <color indexed="81"/>
            <rFont val="Tahoma"/>
            <family val="2"/>
            <charset val="204"/>
          </rPr>
          <t>зеркала</t>
        </r>
        <r>
          <rPr>
            <sz val="11"/>
            <color indexed="81"/>
            <rFont val="Tahoma"/>
            <family val="2"/>
            <charset val="204"/>
          </rPr>
          <t xml:space="preserve"> согласно дизайн-проекта
</t>
        </r>
        <r>
          <rPr>
            <b/>
            <sz val="11"/>
            <color indexed="81"/>
            <rFont val="Tahoma"/>
            <family val="2"/>
            <charset val="204"/>
          </rPr>
          <t>цветы живые и искусственные</t>
        </r>
        <r>
          <rPr>
            <sz val="11"/>
            <color indexed="81"/>
            <rFont val="Tahoma"/>
            <family val="2"/>
            <charset val="204"/>
          </rPr>
          <t xml:space="preserve"> согласно дизайн-проекта
</t>
        </r>
        <r>
          <rPr>
            <b/>
            <sz val="11"/>
            <color indexed="81"/>
            <rFont val="Tahoma"/>
            <family val="2"/>
            <charset val="204"/>
          </rPr>
          <t>вазы</t>
        </r>
        <r>
          <rPr>
            <sz val="11"/>
            <color indexed="81"/>
            <rFont val="Tahoma"/>
            <family val="2"/>
            <charset val="204"/>
          </rPr>
          <t xml:space="preserve"> согласно дизайн-проекта
</t>
        </r>
        <r>
          <rPr>
            <b/>
            <u/>
            <sz val="11"/>
            <color indexed="81"/>
            <rFont val="Tahoma"/>
            <family val="2"/>
            <charset val="204"/>
          </rPr>
          <t xml:space="preserve">Номера </t>
        </r>
        <r>
          <rPr>
            <sz val="11"/>
            <color indexed="81"/>
            <rFont val="Tahoma"/>
            <family val="2"/>
            <charset val="204"/>
          </rPr>
          <t xml:space="preserve">
</t>
        </r>
        <r>
          <rPr>
            <b/>
            <sz val="11"/>
            <color indexed="81"/>
            <rFont val="Tahoma"/>
            <family val="2"/>
            <charset val="204"/>
          </rPr>
          <t xml:space="preserve">этажей </t>
        </r>
        <r>
          <rPr>
            <sz val="11"/>
            <color indexed="81"/>
            <rFont val="Tahoma"/>
            <family val="2"/>
            <charset val="204"/>
          </rPr>
          <t xml:space="preserve">согласно дизайн-проекта
</t>
        </r>
        <r>
          <rPr>
            <b/>
            <sz val="11"/>
            <color indexed="81"/>
            <rFont val="Tahoma"/>
            <family val="2"/>
            <charset val="204"/>
          </rPr>
          <t>квартир</t>
        </r>
        <r>
          <rPr>
            <sz val="11"/>
            <color indexed="81"/>
            <rFont val="Tahoma"/>
            <family val="2"/>
            <charset val="204"/>
          </rPr>
          <t xml:space="preserve"> согласно дизайн-проекта
</t>
        </r>
        <r>
          <rPr>
            <b/>
            <sz val="11"/>
            <color indexed="81"/>
            <rFont val="Tahoma"/>
            <family val="2"/>
            <charset val="204"/>
          </rPr>
          <t xml:space="preserve">Информационный стенд / стенд внутренней навигации </t>
        </r>
        <r>
          <rPr>
            <sz val="11"/>
            <color indexed="81"/>
            <rFont val="Tahoma"/>
            <family val="2"/>
            <charset val="204"/>
          </rPr>
          <t xml:space="preserve">согласно дизайн-проекта
</t>
        </r>
        <r>
          <rPr>
            <b/>
            <sz val="11"/>
            <color indexed="81"/>
            <rFont val="Tahoma"/>
            <family val="2"/>
            <charset val="204"/>
          </rPr>
          <t xml:space="preserve">Логотип компании / здания </t>
        </r>
        <r>
          <rPr>
            <sz val="11"/>
            <color indexed="81"/>
            <rFont val="Tahoma"/>
            <family val="2"/>
            <charset val="204"/>
          </rPr>
          <t xml:space="preserve">за или рядом со стойкой ресепшн
</t>
        </r>
        <r>
          <rPr>
            <b/>
            <u/>
            <sz val="11"/>
            <color indexed="81"/>
            <rFont val="Tahoma"/>
            <family val="2"/>
            <charset val="204"/>
          </rPr>
          <t>Санузлы 1 ЭТАЖА, м2 2,5-3,0</t>
        </r>
        <r>
          <rPr>
            <sz val="11"/>
            <color indexed="81"/>
            <rFont val="Tahoma"/>
            <family val="2"/>
            <charset val="204"/>
          </rPr>
          <t xml:space="preserve">
</t>
        </r>
        <r>
          <rPr>
            <b/>
            <sz val="11"/>
            <color indexed="81"/>
            <rFont val="Tahoma"/>
            <family val="2"/>
            <charset val="204"/>
          </rPr>
          <t>зонирование</t>
        </r>
        <r>
          <rPr>
            <sz val="11"/>
            <color indexed="81"/>
            <rFont val="Tahoma"/>
            <family val="2"/>
            <charset val="204"/>
          </rPr>
          <t xml:space="preserve"> кабинка универсальная М/Ж в строительном исполнении в комплекте с унитазом, умывальником и диспенсерами (внутренние разделительные двери отсутствуют) 1 шт на ресепшн
</t>
        </r>
        <r>
          <rPr>
            <b/>
            <sz val="11"/>
            <color indexed="81"/>
            <rFont val="Tahoma"/>
            <family val="2"/>
            <charset val="204"/>
          </rPr>
          <t xml:space="preserve">пол </t>
        </r>
        <r>
          <rPr>
            <sz val="11"/>
            <color indexed="81"/>
            <rFont val="Tahoma"/>
            <family val="2"/>
            <charset val="204"/>
          </rPr>
          <t xml:space="preserve"> "натуральный камень (Европейские карьеры), крупноразмерный с укладкой в 2-3 цвета  
с декоративными элементами /  мозаикой или  орнаментами (до 50%)"
</t>
        </r>
        <r>
          <rPr>
            <b/>
            <sz val="11"/>
            <color indexed="81"/>
            <rFont val="Tahoma"/>
            <family val="2"/>
            <charset val="204"/>
          </rPr>
          <t xml:space="preserve">стены </t>
        </r>
        <r>
          <rPr>
            <sz val="11"/>
            <color indexed="81"/>
            <rFont val="Tahoma"/>
            <family val="2"/>
            <charset val="204"/>
          </rPr>
          <t xml:space="preserve">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t>
        </r>
        <r>
          <rPr>
            <b/>
            <sz val="11"/>
            <color indexed="81"/>
            <rFont val="Tahoma"/>
            <family val="2"/>
            <charset val="204"/>
          </rPr>
          <t>потолок</t>
        </r>
        <r>
          <rPr>
            <sz val="11"/>
            <color indexed="81"/>
            <rFont val="Tahoma"/>
            <family val="2"/>
            <charset val="204"/>
          </rPr>
          <t xml:space="preserve"> сложные многоуровневые потолки, отвечающие общему дизайну помещения
</t>
        </r>
        <r>
          <rPr>
            <b/>
            <sz val="11"/>
            <color indexed="81"/>
            <rFont val="Tahoma"/>
            <family val="2"/>
            <charset val="204"/>
          </rPr>
          <t>освещение</t>
        </r>
        <r>
          <rPr>
            <sz val="11"/>
            <color indexed="81"/>
            <rFont val="Tahoma"/>
            <family val="2"/>
            <charset val="204"/>
          </rPr>
          <t xml:space="preserve">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t>
        </r>
        <r>
          <rPr>
            <b/>
            <sz val="11"/>
            <color indexed="81"/>
            <rFont val="Tahoma"/>
            <family val="2"/>
            <charset val="204"/>
          </rPr>
          <t xml:space="preserve">двери </t>
        </r>
        <r>
          <rPr>
            <sz val="11"/>
            <color indexed="81"/>
            <rFont val="Tahoma"/>
            <family val="2"/>
            <charset val="204"/>
          </rPr>
          <t xml:space="preserve">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t>
        </r>
        <r>
          <rPr>
            <b/>
            <sz val="11"/>
            <color indexed="81"/>
            <rFont val="Tahoma"/>
            <family val="2"/>
            <charset val="204"/>
          </rPr>
          <t>сантехприборы</t>
        </r>
        <r>
          <rPr>
            <sz val="11"/>
            <color indexed="81"/>
            <rFont val="Tahoma"/>
            <family val="2"/>
            <charset val="204"/>
          </rPr>
          <t xml:space="preserve"> унитаз подвесной, раковина встроенная в столешницу из кореана/натурального камня, кран с рычажком, производители - Германия, Финляндия для общественных помещений
</t>
        </r>
      </text>
    </comment>
    <comment ref="E670" authorId="0" shapeId="0">
      <text>
        <r>
          <rPr>
            <b/>
            <u/>
            <sz val="11"/>
            <color indexed="81"/>
            <rFont val="Tahoma"/>
            <family val="2"/>
            <charset val="204"/>
          </rPr>
          <t xml:space="preserve">Сухие зоны </t>
        </r>
        <r>
          <rPr>
            <sz val="11"/>
            <color indexed="81"/>
            <rFont val="Tahoma"/>
            <family val="2"/>
            <charset val="204"/>
          </rPr>
          <t xml:space="preserve">
</t>
        </r>
        <r>
          <rPr>
            <b/>
            <sz val="11"/>
            <color indexed="81"/>
            <rFont val="Tahoma"/>
            <family val="2"/>
            <charset val="204"/>
          </rPr>
          <t xml:space="preserve">пол </t>
        </r>
        <r>
          <rPr>
            <sz val="11"/>
            <color indexed="81"/>
            <rFont val="Tahoma"/>
            <family val="2"/>
            <charset val="204"/>
          </rPr>
          <t xml:space="preserve"> "натуральный камень (Европейские карьеры), крупноразмерный с укладкой в 2-3 цвета  
с декоративными элементами /  мозаикой или  орнаментами (до 50%)"
</t>
        </r>
        <r>
          <rPr>
            <b/>
            <sz val="11"/>
            <color indexed="81"/>
            <rFont val="Tahoma"/>
            <family val="2"/>
            <charset val="204"/>
          </rPr>
          <t xml:space="preserve">стены  </t>
        </r>
        <r>
          <rPr>
            <sz val="11"/>
            <color indexed="81"/>
            <rFont val="Tahoma"/>
            <family val="2"/>
            <charset val="204"/>
          </rPr>
          <t xml:space="preserve">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t>
        </r>
        <r>
          <rPr>
            <b/>
            <sz val="11"/>
            <color indexed="81"/>
            <rFont val="Tahoma"/>
            <family val="2"/>
            <charset val="204"/>
          </rPr>
          <t>потолок</t>
        </r>
        <r>
          <rPr>
            <sz val="11"/>
            <color indexed="81"/>
            <rFont val="Tahoma"/>
            <family val="2"/>
            <charset val="204"/>
          </rPr>
          <t xml:space="preserve"> сложные многоуровневые потолки, отвечающие общему дизайну помещения
</t>
        </r>
        <r>
          <rPr>
            <b/>
            <sz val="11"/>
            <color indexed="81"/>
            <rFont val="Tahoma"/>
            <family val="2"/>
            <charset val="204"/>
          </rPr>
          <t>освещение</t>
        </r>
        <r>
          <rPr>
            <sz val="11"/>
            <color indexed="81"/>
            <rFont val="Tahoma"/>
            <family val="2"/>
            <charset val="204"/>
          </rPr>
          <t xml:space="preserve">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t>
        </r>
        <r>
          <rPr>
            <b/>
            <sz val="11"/>
            <color indexed="81"/>
            <rFont val="Tahoma"/>
            <family val="2"/>
            <charset val="204"/>
          </rPr>
          <t>двери</t>
        </r>
        <r>
          <rPr>
            <sz val="11"/>
            <color indexed="81"/>
            <rFont val="Tahoma"/>
            <family val="2"/>
            <charset val="204"/>
          </rPr>
          <t xml:space="preserve">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t>
        </r>
        <r>
          <rPr>
            <b/>
            <u/>
            <sz val="11"/>
            <color indexed="81"/>
            <rFont val="Tahoma"/>
            <family val="2"/>
            <charset val="204"/>
          </rPr>
          <t xml:space="preserve">Мебель и оборудование </t>
        </r>
        <r>
          <rPr>
            <sz val="11"/>
            <color indexed="81"/>
            <rFont val="Tahoma"/>
            <family val="2"/>
            <charset val="204"/>
          </rPr>
          <t xml:space="preserve">
</t>
        </r>
        <r>
          <rPr>
            <b/>
            <sz val="11"/>
            <color indexed="81"/>
            <rFont val="Tahoma"/>
            <family val="2"/>
            <charset val="204"/>
          </rPr>
          <t>Стойка ресепшн</t>
        </r>
        <r>
          <rPr>
            <b/>
            <u/>
            <sz val="11"/>
            <color indexed="81"/>
            <rFont val="Tahoma"/>
            <family val="2"/>
            <charset val="204"/>
          </rPr>
          <t xml:space="preserve"> </t>
        </r>
        <r>
          <rPr>
            <sz val="11"/>
            <color indexed="81"/>
            <rFont val="Tahoma"/>
            <family val="2"/>
            <charset val="204"/>
          </rPr>
          <t>Стойка ресепшн</t>
        </r>
        <r>
          <rPr>
            <b/>
            <sz val="11"/>
            <color indexed="81"/>
            <rFont val="Tahoma"/>
            <family val="2"/>
            <charset val="204"/>
          </rPr>
          <t xml:space="preserve"> </t>
        </r>
        <r>
          <rPr>
            <sz val="11"/>
            <color indexed="81"/>
            <rFont val="Tahoma"/>
            <family val="2"/>
            <charset val="204"/>
          </rPr>
          <t xml:space="preserve">на 1 рабочее место д
</t>
        </r>
        <r>
          <rPr>
            <b/>
            <sz val="11"/>
            <color indexed="81"/>
            <rFont val="Tahoma"/>
            <family val="2"/>
            <charset val="204"/>
          </rPr>
          <t>Мебель зоны ожидания</t>
        </r>
        <r>
          <rPr>
            <sz val="11"/>
            <color indexed="81"/>
            <rFont val="Tahoma"/>
            <family val="2"/>
            <charset val="204"/>
          </rPr>
          <t xml:space="preserve"> кресла, диваны, столики 
</t>
        </r>
        <r>
          <rPr>
            <b/>
            <sz val="11"/>
            <color indexed="81"/>
            <rFont val="Tahoma"/>
            <family val="2"/>
            <charset val="204"/>
          </rPr>
          <t xml:space="preserve">Мебель для обслуживающего персонала </t>
        </r>
        <r>
          <rPr>
            <sz val="11"/>
            <color indexed="81"/>
            <rFont val="Tahoma"/>
            <family val="2"/>
            <charset val="204"/>
          </rPr>
          <t xml:space="preserve">офисные кресла, тумбочки, шкаф-бюро 
</t>
        </r>
        <r>
          <rPr>
            <b/>
            <sz val="11"/>
            <color indexed="81"/>
            <rFont val="Tahoma"/>
            <family val="2"/>
            <charset val="204"/>
          </rPr>
          <t>Почтовые ящики</t>
        </r>
        <r>
          <rPr>
            <sz val="11"/>
            <color indexed="81"/>
            <rFont val="Tahoma"/>
            <family val="2"/>
            <charset val="204"/>
          </rPr>
          <t xml:space="preserve"> индивидуальные по дизайн-проекту 
</t>
        </r>
        <r>
          <rPr>
            <b/>
            <sz val="11"/>
            <color indexed="81"/>
            <rFont val="Tahoma"/>
            <family val="2"/>
            <charset val="204"/>
          </rPr>
          <t xml:space="preserve">Шкафы для корреспонденции </t>
        </r>
        <r>
          <rPr>
            <sz val="11"/>
            <color indexed="81"/>
            <rFont val="Tahoma"/>
            <family val="2"/>
            <charset val="204"/>
          </rPr>
          <t xml:space="preserve">деревянные по дизайн-проекту
</t>
        </r>
        <r>
          <rPr>
            <b/>
            <sz val="11"/>
            <color indexed="81"/>
            <rFont val="Tahoma"/>
            <family val="2"/>
            <charset val="204"/>
          </rPr>
          <t>занавески, жалюзи</t>
        </r>
        <r>
          <rPr>
            <sz val="11"/>
            <color indexed="81"/>
            <rFont val="Tahoma"/>
            <family val="2"/>
            <charset val="204"/>
          </rPr>
          <t xml:space="preserve"> согласно дизайн-проекта
</t>
        </r>
        <r>
          <rPr>
            <b/>
            <sz val="11"/>
            <color indexed="81"/>
            <rFont val="Tahoma"/>
            <family val="2"/>
            <charset val="204"/>
          </rPr>
          <t xml:space="preserve">торшеры </t>
        </r>
        <r>
          <rPr>
            <sz val="11"/>
            <color indexed="81"/>
            <rFont val="Tahoma"/>
            <family val="2"/>
            <charset val="204"/>
          </rPr>
          <t xml:space="preserve">согласно дизайн-проекта
</t>
        </r>
        <r>
          <rPr>
            <b/>
            <sz val="11"/>
            <color indexed="81"/>
            <rFont val="Tahoma"/>
            <family val="2"/>
            <charset val="204"/>
          </rPr>
          <t>фонтаны</t>
        </r>
        <r>
          <rPr>
            <sz val="11"/>
            <color indexed="81"/>
            <rFont val="Tahoma"/>
            <family val="2"/>
            <charset val="204"/>
          </rPr>
          <t xml:space="preserve"> нет
</t>
        </r>
        <r>
          <rPr>
            <b/>
            <sz val="11"/>
            <color indexed="81"/>
            <rFont val="Tahoma"/>
            <family val="2"/>
            <charset val="204"/>
          </rPr>
          <t xml:space="preserve">камины </t>
        </r>
        <r>
          <rPr>
            <sz val="11"/>
            <color indexed="81"/>
            <rFont val="Tahoma"/>
            <family val="2"/>
            <charset val="204"/>
          </rPr>
          <t xml:space="preserve">согласно дизайн-проекта
</t>
        </r>
        <r>
          <rPr>
            <b/>
            <sz val="11"/>
            <color indexed="81"/>
            <rFont val="Tahoma"/>
            <family val="2"/>
            <charset val="204"/>
          </rPr>
          <t>картины, скульптуры</t>
        </r>
        <r>
          <rPr>
            <sz val="11"/>
            <color indexed="81"/>
            <rFont val="Tahoma"/>
            <family val="2"/>
            <charset val="204"/>
          </rPr>
          <t xml:space="preserve"> согласно дизайн-проекта
</t>
        </r>
        <r>
          <rPr>
            <b/>
            <sz val="11"/>
            <color indexed="81"/>
            <rFont val="Tahoma"/>
            <family val="2"/>
            <charset val="204"/>
          </rPr>
          <t>зеркала</t>
        </r>
        <r>
          <rPr>
            <sz val="11"/>
            <color indexed="81"/>
            <rFont val="Tahoma"/>
            <family val="2"/>
            <charset val="204"/>
          </rPr>
          <t xml:space="preserve"> согласно дизайн-проекта
</t>
        </r>
        <r>
          <rPr>
            <b/>
            <sz val="11"/>
            <color indexed="81"/>
            <rFont val="Tahoma"/>
            <family val="2"/>
            <charset val="204"/>
          </rPr>
          <t xml:space="preserve">цветы живые и искусственные </t>
        </r>
        <r>
          <rPr>
            <sz val="11"/>
            <color indexed="81"/>
            <rFont val="Tahoma"/>
            <family val="2"/>
            <charset val="204"/>
          </rPr>
          <t xml:space="preserve">согласно дизайн-проекта
</t>
        </r>
        <r>
          <rPr>
            <b/>
            <sz val="11"/>
            <color indexed="81"/>
            <rFont val="Tahoma"/>
            <family val="2"/>
            <charset val="204"/>
          </rPr>
          <t xml:space="preserve">вазы </t>
        </r>
        <r>
          <rPr>
            <sz val="11"/>
            <color indexed="81"/>
            <rFont val="Tahoma"/>
            <family val="2"/>
            <charset val="204"/>
          </rPr>
          <t xml:space="preserve">согласно дизайн-проекта
</t>
        </r>
        <r>
          <rPr>
            <b/>
            <u/>
            <sz val="11"/>
            <color indexed="81"/>
            <rFont val="Tahoma"/>
            <family val="2"/>
            <charset val="204"/>
          </rPr>
          <t xml:space="preserve">Номера </t>
        </r>
        <r>
          <rPr>
            <sz val="11"/>
            <color indexed="81"/>
            <rFont val="Tahoma"/>
            <family val="2"/>
            <charset val="204"/>
          </rPr>
          <t xml:space="preserve">
</t>
        </r>
        <r>
          <rPr>
            <b/>
            <sz val="11"/>
            <color indexed="81"/>
            <rFont val="Tahoma"/>
            <family val="2"/>
            <charset val="204"/>
          </rPr>
          <t>этажей</t>
        </r>
        <r>
          <rPr>
            <sz val="11"/>
            <color indexed="81"/>
            <rFont val="Tahoma"/>
            <family val="2"/>
            <charset val="204"/>
          </rPr>
          <t xml:space="preserve"> согласно дизайн-проекта
</t>
        </r>
        <r>
          <rPr>
            <b/>
            <sz val="11"/>
            <color indexed="81"/>
            <rFont val="Tahoma"/>
            <family val="2"/>
            <charset val="204"/>
          </rPr>
          <t xml:space="preserve">квартир </t>
        </r>
        <r>
          <rPr>
            <sz val="11"/>
            <color indexed="81"/>
            <rFont val="Tahoma"/>
            <family val="2"/>
            <charset val="204"/>
          </rPr>
          <t xml:space="preserve">согласно дизайн-проекта
</t>
        </r>
        <r>
          <rPr>
            <b/>
            <sz val="11"/>
            <color indexed="81"/>
            <rFont val="Tahoma"/>
            <family val="2"/>
            <charset val="204"/>
          </rPr>
          <t xml:space="preserve">Информационный стенд / стенд внутренней навигации </t>
        </r>
        <r>
          <rPr>
            <sz val="11"/>
            <color indexed="81"/>
            <rFont val="Tahoma"/>
            <family val="2"/>
            <charset val="204"/>
          </rPr>
          <t xml:space="preserve">согласно дизайн-проекта
</t>
        </r>
        <r>
          <rPr>
            <b/>
            <sz val="11"/>
            <color indexed="81"/>
            <rFont val="Tahoma"/>
            <family val="2"/>
            <charset val="204"/>
          </rPr>
          <t>Логотип компании / здания</t>
        </r>
        <r>
          <rPr>
            <sz val="11"/>
            <color indexed="81"/>
            <rFont val="Tahoma"/>
            <family val="2"/>
            <charset val="204"/>
          </rPr>
          <t xml:space="preserve"> за или рядом со стойкой ресепшн
</t>
        </r>
        <r>
          <rPr>
            <b/>
            <u/>
            <sz val="11"/>
            <color indexed="81"/>
            <rFont val="Tahoma"/>
            <family val="2"/>
            <charset val="204"/>
          </rPr>
          <t>Санузлы 1 ЭТАЖА, м2 4,0-5,5</t>
        </r>
        <r>
          <rPr>
            <sz val="11"/>
            <color indexed="81"/>
            <rFont val="Tahoma"/>
            <family val="2"/>
            <charset val="204"/>
          </rPr>
          <t xml:space="preserve">
</t>
        </r>
        <r>
          <rPr>
            <b/>
            <sz val="11"/>
            <color indexed="81"/>
            <rFont val="Tahoma"/>
            <family val="2"/>
            <charset val="204"/>
          </rPr>
          <t xml:space="preserve">зонирование </t>
        </r>
        <r>
          <rPr>
            <sz val="11"/>
            <color indexed="81"/>
            <rFont val="Tahoma"/>
            <family val="2"/>
            <charset val="204"/>
          </rPr>
          <t xml:space="preserve">кабинка универсальная М/Ж в строительном исполнении в комплекте с унитазом, умывальником и диспенсерами (внутренние разделительные двери отсутствуют) 1 шт на ресепшн
</t>
        </r>
        <r>
          <rPr>
            <b/>
            <sz val="11"/>
            <color indexed="81"/>
            <rFont val="Tahoma"/>
            <family val="2"/>
            <charset val="204"/>
          </rPr>
          <t xml:space="preserve">пол  </t>
        </r>
        <r>
          <rPr>
            <sz val="11"/>
            <color indexed="81"/>
            <rFont val="Tahoma"/>
            <family val="2"/>
            <charset val="204"/>
          </rPr>
          <t xml:space="preserve">"натуральный камень (Европейские карьеры), крупноразмерный с укладкой в 2-3 цвета  
с декоративными элементами /  мозаикой или  орнаментами (до 50%)"
</t>
        </r>
        <r>
          <rPr>
            <b/>
            <sz val="11"/>
            <color indexed="81"/>
            <rFont val="Tahoma"/>
            <family val="2"/>
            <charset val="204"/>
          </rPr>
          <t xml:space="preserve">стены </t>
        </r>
        <r>
          <rPr>
            <sz val="11"/>
            <color indexed="81"/>
            <rFont val="Tahoma"/>
            <family val="2"/>
            <charset val="204"/>
          </rPr>
          <t xml:space="preserve">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t>
        </r>
        <r>
          <rPr>
            <b/>
            <sz val="11"/>
            <color indexed="81"/>
            <rFont val="Tahoma"/>
            <family val="2"/>
            <charset val="204"/>
          </rPr>
          <t xml:space="preserve">потолок </t>
        </r>
        <r>
          <rPr>
            <sz val="11"/>
            <color indexed="81"/>
            <rFont val="Tahoma"/>
            <family val="2"/>
            <charset val="204"/>
          </rPr>
          <t xml:space="preserve">сложные многоуровневые потолки, отвечающие общему дизайну помещения
</t>
        </r>
        <r>
          <rPr>
            <b/>
            <sz val="11"/>
            <color indexed="81"/>
            <rFont val="Tahoma"/>
            <family val="2"/>
            <charset val="204"/>
          </rPr>
          <t>освещение</t>
        </r>
        <r>
          <rPr>
            <sz val="11"/>
            <color indexed="81"/>
            <rFont val="Tahoma"/>
            <family val="2"/>
            <charset val="204"/>
          </rPr>
          <t xml:space="preserve">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t>
        </r>
        <r>
          <rPr>
            <b/>
            <sz val="11"/>
            <color indexed="81"/>
            <rFont val="Tahoma"/>
            <family val="2"/>
            <charset val="204"/>
          </rPr>
          <t xml:space="preserve">двери </t>
        </r>
        <r>
          <rPr>
            <sz val="11"/>
            <color indexed="81"/>
            <rFont val="Tahoma"/>
            <family val="2"/>
            <charset val="204"/>
          </rPr>
          <t xml:space="preserve">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t>
        </r>
        <r>
          <rPr>
            <b/>
            <sz val="11"/>
            <color indexed="81"/>
            <rFont val="Tahoma"/>
            <family val="2"/>
            <charset val="204"/>
          </rPr>
          <t>сантехприборы</t>
        </r>
        <r>
          <rPr>
            <sz val="11"/>
            <color indexed="81"/>
            <rFont val="Tahoma"/>
            <family val="2"/>
            <charset val="204"/>
          </rPr>
          <t xml:space="preserve"> унитаз подвесной, раковина встроенная в столешницу из кореана/натурального камня, кран с рычажком, производители - Германия, Финляндия для общественных помещений
</t>
        </r>
      </text>
    </comment>
    <comment ref="E671" authorId="0" shapeId="0">
      <text>
        <r>
          <rPr>
            <b/>
            <u/>
            <sz val="11"/>
            <color indexed="81"/>
            <rFont val="Tahoma"/>
            <family val="2"/>
            <charset val="204"/>
          </rPr>
          <t xml:space="preserve">МОП выше 0 </t>
        </r>
        <r>
          <rPr>
            <sz val="11"/>
            <color indexed="81"/>
            <rFont val="Tahoma"/>
            <family val="2"/>
            <charset val="204"/>
          </rPr>
          <t xml:space="preserve">
</t>
        </r>
        <r>
          <rPr>
            <b/>
            <sz val="11"/>
            <color indexed="81"/>
            <rFont val="Tahoma"/>
            <family val="2"/>
            <charset val="204"/>
          </rPr>
          <t>пол  лифтовых холлов -</t>
        </r>
        <r>
          <rPr>
            <sz val="11"/>
            <color indexed="81"/>
            <rFont val="Tahoma"/>
            <family val="2"/>
            <charset val="204"/>
          </rPr>
          <t xml:space="preserve">  Высококачественный керамогранит российский или импортный (Китай, Турция)  с незначительным кол-вом декоративных элементов
</t>
        </r>
        <r>
          <rPr>
            <b/>
            <sz val="11"/>
            <color indexed="81"/>
            <rFont val="Tahoma"/>
            <family val="2"/>
            <charset val="204"/>
          </rPr>
          <t>пол коридоров</t>
        </r>
        <r>
          <rPr>
            <sz val="11"/>
            <color indexed="81"/>
            <rFont val="Tahoma"/>
            <family val="2"/>
            <charset val="204"/>
          </rPr>
          <t xml:space="preserve"> -  Высококачественный керамогранит российский или импортный (Китай, Турция)  с незначительным кол-вом или без декоративных элементов
</t>
        </r>
        <r>
          <rPr>
            <b/>
            <sz val="11"/>
            <color indexed="81"/>
            <rFont val="Tahoma"/>
            <family val="2"/>
            <charset val="204"/>
          </rPr>
          <t>стены</t>
        </r>
        <r>
          <rPr>
            <sz val="11"/>
            <color indexed="81"/>
            <rFont val="Tahoma"/>
            <family val="2"/>
            <charset val="204"/>
          </rPr>
          <t xml:space="preserve"> -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t>
        </r>
        <r>
          <rPr>
            <b/>
            <sz val="11"/>
            <color indexed="81"/>
            <rFont val="Tahoma"/>
            <family val="2"/>
            <charset val="204"/>
          </rPr>
          <t>потолок</t>
        </r>
        <r>
          <rPr>
            <sz val="11"/>
            <color indexed="81"/>
            <rFont val="Tahoma"/>
            <family val="2"/>
            <charset val="204"/>
          </rPr>
          <t xml:space="preserve"> -  покраска или  навесные потолки средней ценовой группы,  или 2-3 уровневые потолки 
</t>
        </r>
        <r>
          <rPr>
            <b/>
            <sz val="11"/>
            <color indexed="81"/>
            <rFont val="Tahoma"/>
            <family val="2"/>
            <charset val="204"/>
          </rPr>
          <t>освещение</t>
        </r>
        <r>
          <rPr>
            <sz val="11"/>
            <color indexed="81"/>
            <rFont val="Tahoma"/>
            <family val="2"/>
            <charset val="204"/>
          </rPr>
          <t xml:space="preserve"> -  не более 2 видов освещения (Китай, Россия)
</t>
        </r>
        <r>
          <rPr>
            <b/>
            <sz val="11"/>
            <color indexed="81"/>
            <rFont val="Tahoma"/>
            <family val="2"/>
            <charset val="204"/>
          </rPr>
          <t>двери</t>
        </r>
        <r>
          <rPr>
            <sz val="11"/>
            <color indexed="81"/>
            <rFont val="Tahoma"/>
            <family val="2"/>
            <charset val="204"/>
          </rPr>
          <t xml:space="preserve"> - качественные двери лучших отечественных производителей или недорогих импортных производителей (Финляндия, Испания) 
</t>
        </r>
        <r>
          <rPr>
            <b/>
            <u/>
            <sz val="11"/>
            <color indexed="81"/>
            <rFont val="Tahoma"/>
            <family val="2"/>
            <charset val="204"/>
          </rPr>
          <t xml:space="preserve">МОП ниже 0 </t>
        </r>
        <r>
          <rPr>
            <sz val="11"/>
            <color indexed="81"/>
            <rFont val="Tahoma"/>
            <family val="2"/>
            <charset val="204"/>
          </rPr>
          <t xml:space="preserve">
</t>
        </r>
        <r>
          <rPr>
            <b/>
            <sz val="11"/>
            <color indexed="81"/>
            <rFont val="Tahoma"/>
            <family val="2"/>
            <charset val="204"/>
          </rPr>
          <t xml:space="preserve">Отделка ступеней и подступенков </t>
        </r>
        <r>
          <rPr>
            <sz val="11"/>
            <color indexed="81"/>
            <rFont val="Tahoma"/>
            <family val="2"/>
            <charset val="204"/>
          </rPr>
          <t xml:space="preserve">из керамогранита отечественных производителей (типа соль-перец), стандартная плитка
</t>
        </r>
        <r>
          <rPr>
            <b/>
            <sz val="11"/>
            <color indexed="81"/>
            <rFont val="Tahoma"/>
            <family val="2"/>
            <charset val="204"/>
          </rPr>
          <t>отделка пола</t>
        </r>
        <r>
          <rPr>
            <sz val="11"/>
            <color indexed="81"/>
            <rFont val="Tahoma"/>
            <family val="2"/>
            <charset val="204"/>
          </rPr>
          <t xml:space="preserve">  площадок из керамогранита отечественных производителей (типа соль-перец)
</t>
        </r>
        <r>
          <rPr>
            <b/>
            <sz val="11"/>
            <color indexed="81"/>
            <rFont val="Tahoma"/>
            <family val="2"/>
            <charset val="204"/>
          </rPr>
          <t>потолок</t>
        </r>
        <r>
          <rPr>
            <sz val="11"/>
            <color indexed="81"/>
            <rFont val="Tahoma"/>
            <family val="2"/>
            <charset val="204"/>
          </rPr>
          <t xml:space="preserve"> шубка
</t>
        </r>
        <r>
          <rPr>
            <b/>
            <sz val="11"/>
            <color indexed="81"/>
            <rFont val="Tahoma"/>
            <family val="2"/>
            <charset val="204"/>
          </rPr>
          <t>стены</t>
        </r>
        <r>
          <rPr>
            <sz val="11"/>
            <color indexed="81"/>
            <rFont val="Tahoma"/>
            <family val="2"/>
            <charset val="204"/>
          </rPr>
          <t xml:space="preserve"> шубка
</t>
        </r>
        <r>
          <rPr>
            <b/>
            <sz val="11"/>
            <color indexed="81"/>
            <rFont val="Tahoma"/>
            <family val="2"/>
            <charset val="204"/>
          </rPr>
          <t>Двери</t>
        </r>
        <r>
          <rPr>
            <sz val="11"/>
            <color indexed="81"/>
            <rFont val="Tahoma"/>
            <family val="2"/>
            <charset val="204"/>
          </rPr>
          <t xml:space="preserve"> качественные двери лучших отечественных производителей или недорогих импортных производителей (Финляндия, Испания) 
</t>
        </r>
        <r>
          <rPr>
            <b/>
            <sz val="11"/>
            <color indexed="81"/>
            <rFont val="Tahoma"/>
            <family val="2"/>
            <charset val="204"/>
          </rPr>
          <t>перила</t>
        </r>
        <r>
          <rPr>
            <sz val="11"/>
            <color indexed="81"/>
            <rFont val="Tahoma"/>
            <family val="2"/>
            <charset val="204"/>
          </rPr>
          <t xml:space="preserve"> нержавейка
</t>
        </r>
      </text>
    </comment>
    <comment ref="E672" authorId="0" shapeId="0">
      <text>
        <r>
          <rPr>
            <b/>
            <u/>
            <sz val="11"/>
            <color indexed="81"/>
            <rFont val="Tahoma"/>
            <family val="2"/>
            <charset val="204"/>
          </rPr>
          <t xml:space="preserve">МОП выше 0 </t>
        </r>
        <r>
          <rPr>
            <sz val="11"/>
            <color indexed="81"/>
            <rFont val="Tahoma"/>
            <family val="2"/>
            <charset val="204"/>
          </rPr>
          <t xml:space="preserve">
</t>
        </r>
        <r>
          <rPr>
            <b/>
            <sz val="11"/>
            <color indexed="81"/>
            <rFont val="Tahoma"/>
            <family val="2"/>
            <charset val="204"/>
          </rPr>
          <t xml:space="preserve">пол  лифтовых холлов </t>
        </r>
        <r>
          <rPr>
            <sz val="11"/>
            <color indexed="81"/>
            <rFont val="Tahoma"/>
            <family val="2"/>
            <charset val="204"/>
          </rPr>
          <t xml:space="preserve">-  Высококачественный керамогранит российский или импортный (Китай, Турция) с незначительным кол-вом декоративных элементов
</t>
        </r>
        <r>
          <rPr>
            <b/>
            <sz val="11"/>
            <color indexed="81"/>
            <rFont val="Tahoma"/>
            <family val="2"/>
            <charset val="204"/>
          </rPr>
          <t>пол коридоров</t>
        </r>
        <r>
          <rPr>
            <sz val="11"/>
            <color indexed="81"/>
            <rFont val="Tahoma"/>
            <family val="2"/>
            <charset val="204"/>
          </rPr>
          <t xml:space="preserve"> -  Высококачественный керамогранит российский или импортный (Китай, Турция) с незначительным кол-вом или без декоративных элементов
</t>
        </r>
        <r>
          <rPr>
            <b/>
            <sz val="11"/>
            <color indexed="81"/>
            <rFont val="Tahoma"/>
            <family val="2"/>
            <charset val="204"/>
          </rPr>
          <t>стены</t>
        </r>
        <r>
          <rPr>
            <sz val="11"/>
            <color indexed="81"/>
            <rFont val="Tahoma"/>
            <family val="2"/>
            <charset val="204"/>
          </rPr>
          <t xml:space="preserve"> -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t>
        </r>
        <r>
          <rPr>
            <b/>
            <sz val="11"/>
            <color indexed="81"/>
            <rFont val="Tahoma"/>
            <family val="2"/>
            <charset val="204"/>
          </rPr>
          <t>потолок</t>
        </r>
        <r>
          <rPr>
            <sz val="11"/>
            <color indexed="81"/>
            <rFont val="Tahoma"/>
            <family val="2"/>
            <charset val="204"/>
          </rPr>
          <t xml:space="preserve"> -  покраска или  навесные потолки средней ценовой группы,  или 2-3 уровневые потолки 
</t>
        </r>
        <r>
          <rPr>
            <b/>
            <sz val="11"/>
            <color indexed="81"/>
            <rFont val="Tahoma"/>
            <family val="2"/>
            <charset val="204"/>
          </rPr>
          <t xml:space="preserve">освещение </t>
        </r>
        <r>
          <rPr>
            <sz val="11"/>
            <color indexed="81"/>
            <rFont val="Tahoma"/>
            <family val="2"/>
            <charset val="204"/>
          </rPr>
          <t xml:space="preserve">-  не более 2 видов освещения (Китай, Россия)
</t>
        </r>
        <r>
          <rPr>
            <b/>
            <sz val="11"/>
            <color indexed="81"/>
            <rFont val="Tahoma"/>
            <family val="2"/>
            <charset val="204"/>
          </rPr>
          <t>двери</t>
        </r>
        <r>
          <rPr>
            <sz val="11"/>
            <color indexed="81"/>
            <rFont val="Tahoma"/>
            <family val="2"/>
            <charset val="204"/>
          </rPr>
          <t xml:space="preserve"> - качественные двери лучших отечественных производителей или недорогих импортных производителей (Финляндия, Испания) 
</t>
        </r>
        <r>
          <rPr>
            <b/>
            <u/>
            <sz val="11"/>
            <color indexed="81"/>
            <rFont val="Tahoma"/>
            <family val="2"/>
            <charset val="204"/>
          </rPr>
          <t xml:space="preserve">МОП ниже 0 </t>
        </r>
        <r>
          <rPr>
            <sz val="11"/>
            <color indexed="81"/>
            <rFont val="Tahoma"/>
            <family val="2"/>
            <charset val="204"/>
          </rPr>
          <t xml:space="preserve">
</t>
        </r>
        <r>
          <rPr>
            <b/>
            <sz val="11"/>
            <color indexed="81"/>
            <rFont val="Tahoma"/>
            <family val="2"/>
            <charset val="204"/>
          </rPr>
          <t xml:space="preserve">Отделка ступеней и подступенков </t>
        </r>
        <r>
          <rPr>
            <sz val="11"/>
            <color indexed="81"/>
            <rFont val="Tahoma"/>
            <family val="2"/>
            <charset val="204"/>
          </rPr>
          <t xml:space="preserve">из керамогранита отечественных производителей (типа соль-перец), ступени с обработанным краем
</t>
        </r>
        <r>
          <rPr>
            <b/>
            <sz val="11"/>
            <color indexed="81"/>
            <rFont val="Tahoma"/>
            <family val="2"/>
            <charset val="204"/>
          </rPr>
          <t xml:space="preserve">отделка пола </t>
        </r>
        <r>
          <rPr>
            <sz val="11"/>
            <color indexed="81"/>
            <rFont val="Tahoma"/>
            <family val="2"/>
            <charset val="204"/>
          </rPr>
          <t xml:space="preserve"> площадок из керамогранита отечественных производителей (типа соль-перец)
</t>
        </r>
        <r>
          <rPr>
            <b/>
            <sz val="11"/>
            <color indexed="81"/>
            <rFont val="Tahoma"/>
            <family val="2"/>
            <charset val="204"/>
          </rPr>
          <t>потолок</t>
        </r>
        <r>
          <rPr>
            <sz val="11"/>
            <color indexed="81"/>
            <rFont val="Tahoma"/>
            <family val="2"/>
            <charset val="204"/>
          </rPr>
          <t xml:space="preserve"> шубка
</t>
        </r>
        <r>
          <rPr>
            <b/>
            <sz val="11"/>
            <color indexed="81"/>
            <rFont val="Tahoma"/>
            <family val="2"/>
            <charset val="204"/>
          </rPr>
          <t xml:space="preserve">стены </t>
        </r>
        <r>
          <rPr>
            <sz val="11"/>
            <color indexed="81"/>
            <rFont val="Tahoma"/>
            <family val="2"/>
            <charset val="204"/>
          </rPr>
          <t xml:space="preserve">шубка
</t>
        </r>
        <r>
          <rPr>
            <b/>
            <sz val="11"/>
            <color indexed="81"/>
            <rFont val="Tahoma"/>
            <family val="2"/>
            <charset val="204"/>
          </rPr>
          <t xml:space="preserve">Двери </t>
        </r>
        <r>
          <rPr>
            <sz val="11"/>
            <color indexed="81"/>
            <rFont val="Tahoma"/>
            <family val="2"/>
            <charset val="204"/>
          </rPr>
          <t xml:space="preserve">качественные двери лучших отечественных производителей или недорогих импортных производителей (Финляндия, Испания) 
</t>
        </r>
        <r>
          <rPr>
            <b/>
            <sz val="11"/>
            <color indexed="81"/>
            <rFont val="Tahoma"/>
            <family val="2"/>
            <charset val="204"/>
          </rPr>
          <t>перила</t>
        </r>
        <r>
          <rPr>
            <sz val="11"/>
            <color indexed="81"/>
            <rFont val="Tahoma"/>
            <family val="2"/>
            <charset val="204"/>
          </rPr>
          <t xml:space="preserve"> нержавейка
</t>
        </r>
      </text>
    </comment>
    <comment ref="E673" authorId="0" shapeId="0">
      <text>
        <r>
          <rPr>
            <b/>
            <u/>
            <sz val="11"/>
            <color indexed="81"/>
            <rFont val="Tahoma"/>
            <family val="2"/>
            <charset val="204"/>
          </rPr>
          <t xml:space="preserve">МОП выше 0 </t>
        </r>
        <r>
          <rPr>
            <sz val="11"/>
            <color indexed="81"/>
            <rFont val="Tahoma"/>
            <family val="2"/>
            <charset val="204"/>
          </rPr>
          <t xml:space="preserve">
</t>
        </r>
        <r>
          <rPr>
            <b/>
            <sz val="11"/>
            <color indexed="81"/>
            <rFont val="Tahoma"/>
            <family val="2"/>
            <charset val="204"/>
          </rPr>
          <t>пол  лифтовых холлов</t>
        </r>
        <r>
          <rPr>
            <sz val="11"/>
            <color indexed="81"/>
            <rFont val="Tahoma"/>
            <family val="2"/>
            <charset val="204"/>
          </rPr>
          <t xml:space="preserve"> -  натуральный камень (Турция, Китай и тд), крупноразмерный с незначительным кол-вом декоративных элементов 
</t>
        </r>
        <r>
          <rPr>
            <b/>
            <sz val="11"/>
            <color indexed="81"/>
            <rFont val="Tahoma"/>
            <family val="2"/>
            <charset val="204"/>
          </rPr>
          <t xml:space="preserve">пол коридоров </t>
        </r>
        <r>
          <rPr>
            <sz val="11"/>
            <color indexed="81"/>
            <rFont val="Tahoma"/>
            <family val="2"/>
            <charset val="204"/>
          </rPr>
          <t xml:space="preserve">-  натуральный камень (Турция, Китай и тд), крупноразмерный с минимальным кол-вом или без декоративных элементов
</t>
        </r>
        <r>
          <rPr>
            <b/>
            <sz val="11"/>
            <color indexed="81"/>
            <rFont val="Tahoma"/>
            <family val="2"/>
            <charset val="204"/>
          </rPr>
          <t>стены</t>
        </r>
        <r>
          <rPr>
            <sz val="11"/>
            <color indexed="81"/>
            <rFont val="Tahoma"/>
            <family val="2"/>
            <charset val="204"/>
          </rPr>
          <t xml:space="preserve"> -  сочетание покраски \ декоративной штукатурки \  высококачественного керамогранита  с декоративной отделкой средней ценовой категории (не более 30%) - дерево, камень 
</t>
        </r>
        <r>
          <rPr>
            <b/>
            <sz val="11"/>
            <color indexed="81"/>
            <rFont val="Tahoma"/>
            <family val="2"/>
            <charset val="204"/>
          </rPr>
          <t xml:space="preserve">потолок </t>
        </r>
        <r>
          <rPr>
            <sz val="11"/>
            <color indexed="81"/>
            <rFont val="Tahoma"/>
            <family val="2"/>
            <charset val="204"/>
          </rPr>
          <t xml:space="preserve">-   многоуровневые потолки из гипсокартона или различных систем среднего ценового уровня в стилистике общего дизайна помещения
</t>
        </r>
        <r>
          <rPr>
            <b/>
            <sz val="11"/>
            <color indexed="81"/>
            <rFont val="Tahoma"/>
            <family val="2"/>
            <charset val="204"/>
          </rPr>
          <t>освещение</t>
        </r>
        <r>
          <rPr>
            <sz val="11"/>
            <color indexed="81"/>
            <rFont val="Tahoma"/>
            <family val="2"/>
            <charset val="204"/>
          </rPr>
          <t xml:space="preserve"> -   светильники ведущих европейских производителей /  несколько видов  декоративной  и архитектурной подсветки с различными режимами освещения
</t>
        </r>
        <r>
          <rPr>
            <b/>
            <sz val="11"/>
            <color indexed="81"/>
            <rFont val="Tahoma"/>
            <family val="2"/>
            <charset val="204"/>
          </rPr>
          <t>двери</t>
        </r>
        <r>
          <rPr>
            <sz val="11"/>
            <color indexed="81"/>
            <rFont val="Tahoma"/>
            <family val="2"/>
            <charset val="204"/>
          </rPr>
          <t xml:space="preserve"> - высококачественные  европейских производителей средней ценовой категории
</t>
        </r>
        <r>
          <rPr>
            <b/>
            <u/>
            <sz val="11"/>
            <color indexed="81"/>
            <rFont val="Tahoma"/>
            <family val="2"/>
            <charset val="204"/>
          </rPr>
          <t xml:space="preserve">МОП ниже 0 </t>
        </r>
        <r>
          <rPr>
            <sz val="11"/>
            <color indexed="81"/>
            <rFont val="Tahoma"/>
            <family val="2"/>
            <charset val="204"/>
          </rPr>
          <t xml:space="preserve">
</t>
        </r>
        <r>
          <rPr>
            <b/>
            <sz val="11"/>
            <color indexed="81"/>
            <rFont val="Tahoma"/>
            <family val="2"/>
            <charset val="204"/>
          </rPr>
          <t>Отделка ступеней и подступенков</t>
        </r>
        <r>
          <rPr>
            <sz val="11"/>
            <color indexed="81"/>
            <rFont val="Tahoma"/>
            <family val="2"/>
            <charset val="204"/>
          </rPr>
          <t xml:space="preserve"> из керамогранита (Испания, Россия) стандартных типоразмеров, ступени с обработанным краем
</t>
        </r>
        <r>
          <rPr>
            <b/>
            <sz val="11"/>
            <color indexed="81"/>
            <rFont val="Tahoma"/>
            <family val="2"/>
            <charset val="204"/>
          </rPr>
          <t xml:space="preserve">отделка пола </t>
        </r>
        <r>
          <rPr>
            <sz val="11"/>
            <color indexed="81"/>
            <rFont val="Tahoma"/>
            <family val="2"/>
            <charset val="204"/>
          </rPr>
          <t xml:space="preserve"> площадок из керамогранита (Испания, Россия) стандартных типоразмеров
</t>
        </r>
        <r>
          <rPr>
            <b/>
            <sz val="11"/>
            <color indexed="81"/>
            <rFont val="Tahoma"/>
            <family val="2"/>
            <charset val="204"/>
          </rPr>
          <t>потолок</t>
        </r>
        <r>
          <rPr>
            <sz val="11"/>
            <color indexed="81"/>
            <rFont val="Tahoma"/>
            <family val="2"/>
            <charset val="204"/>
          </rPr>
          <t xml:space="preserve"> шпатлевка и окраска (двухслойная с набрызгом)
</t>
        </r>
        <r>
          <rPr>
            <b/>
            <sz val="11"/>
            <color indexed="81"/>
            <rFont val="Tahoma"/>
            <family val="2"/>
            <charset val="204"/>
          </rPr>
          <t xml:space="preserve">стены </t>
        </r>
        <r>
          <rPr>
            <sz val="11"/>
            <color indexed="81"/>
            <rFont val="Tahoma"/>
            <family val="2"/>
            <charset val="204"/>
          </rPr>
          <t xml:space="preserve">шпатлевка и окраска (двухслойная с набрызгом)
</t>
        </r>
        <r>
          <rPr>
            <b/>
            <sz val="11"/>
            <color indexed="81"/>
            <rFont val="Tahoma"/>
            <family val="2"/>
            <charset val="204"/>
          </rPr>
          <t>Двери</t>
        </r>
        <r>
          <rPr>
            <sz val="11"/>
            <color indexed="81"/>
            <rFont val="Tahoma"/>
            <family val="2"/>
            <charset val="204"/>
          </rPr>
          <t xml:space="preserve"> высококачественные  европейских производителей средней ценовой категории
</t>
        </r>
        <r>
          <rPr>
            <b/>
            <sz val="11"/>
            <color indexed="81"/>
            <rFont val="Tahoma"/>
            <family val="2"/>
            <charset val="204"/>
          </rPr>
          <t>перила</t>
        </r>
        <r>
          <rPr>
            <sz val="11"/>
            <color indexed="81"/>
            <rFont val="Tahoma"/>
            <family val="2"/>
            <charset val="204"/>
          </rPr>
          <t xml:space="preserve"> нержавейка
</t>
        </r>
      </text>
    </comment>
    <comment ref="E674" authorId="0" shapeId="0">
      <text>
        <r>
          <rPr>
            <b/>
            <u/>
            <sz val="11"/>
            <color indexed="81"/>
            <rFont val="Tahoma"/>
            <family val="2"/>
            <charset val="204"/>
          </rPr>
          <t xml:space="preserve">МОП выше 0 </t>
        </r>
        <r>
          <rPr>
            <sz val="11"/>
            <color indexed="81"/>
            <rFont val="Tahoma"/>
            <family val="2"/>
            <charset val="204"/>
          </rPr>
          <t xml:space="preserve">
</t>
        </r>
        <r>
          <rPr>
            <b/>
            <sz val="11"/>
            <color indexed="81"/>
            <rFont val="Tahoma"/>
            <family val="2"/>
            <charset val="204"/>
          </rPr>
          <t xml:space="preserve">пол  лифтовых холлов </t>
        </r>
        <r>
          <rPr>
            <sz val="11"/>
            <color indexed="81"/>
            <rFont val="Tahoma"/>
            <family val="2"/>
            <charset val="204"/>
          </rPr>
          <t xml:space="preserve">- натуральный камень (Европейские карьеры), крупноразмерный с укладкой в 2-3 цвета  
с декоративными элементами /  мозаикой или  орнаментами ( упрощённые мотивы, использованные в лобби) 
</t>
        </r>
        <r>
          <rPr>
            <b/>
            <sz val="11"/>
            <color indexed="81"/>
            <rFont val="Tahoma"/>
            <family val="2"/>
            <charset val="204"/>
          </rPr>
          <t>пол коридоров</t>
        </r>
        <r>
          <rPr>
            <sz val="11"/>
            <color indexed="81"/>
            <rFont val="Tahoma"/>
            <family val="2"/>
            <charset val="204"/>
          </rPr>
          <t xml:space="preserve"> -  натуральный камень (Европейские карьеры), крупноразмерный с укладкой в 2-3 цвета  
(минимум или полное отсутствие  декоративных элементов)/  
</t>
        </r>
        <r>
          <rPr>
            <b/>
            <sz val="11"/>
            <color indexed="81"/>
            <rFont val="Tahoma"/>
            <family val="2"/>
            <charset val="204"/>
          </rPr>
          <t>стены</t>
        </r>
        <r>
          <rPr>
            <sz val="11"/>
            <color indexed="81"/>
            <rFont val="Tahoma"/>
            <family val="2"/>
            <charset val="204"/>
          </rPr>
          <t xml:space="preserve"> -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t>
        </r>
        <r>
          <rPr>
            <b/>
            <sz val="11"/>
            <color indexed="81"/>
            <rFont val="Tahoma"/>
            <family val="2"/>
            <charset val="204"/>
          </rPr>
          <t xml:space="preserve">потолок </t>
        </r>
        <r>
          <rPr>
            <sz val="11"/>
            <color indexed="81"/>
            <rFont val="Tahoma"/>
            <family val="2"/>
            <charset val="204"/>
          </rPr>
          <t xml:space="preserve">-  сложные многоуровневые потолки, отвечающие общему дизайну помещения
</t>
        </r>
        <r>
          <rPr>
            <b/>
            <sz val="11"/>
            <color indexed="81"/>
            <rFont val="Tahoma"/>
            <family val="2"/>
            <charset val="204"/>
          </rPr>
          <t>освещение</t>
        </r>
        <r>
          <rPr>
            <sz val="11"/>
            <color indexed="81"/>
            <rFont val="Tahoma"/>
            <family val="2"/>
            <charset val="204"/>
          </rPr>
          <t xml:space="preserve"> -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t>
        </r>
        <r>
          <rPr>
            <b/>
            <sz val="11"/>
            <color indexed="81"/>
            <rFont val="Tahoma"/>
            <family val="2"/>
            <charset val="204"/>
          </rPr>
          <t>двери</t>
        </r>
        <r>
          <rPr>
            <sz val="11"/>
            <color indexed="81"/>
            <rFont val="Tahoma"/>
            <family val="2"/>
            <charset val="204"/>
          </rPr>
          <t xml:space="preserve"> -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t>
        </r>
        <r>
          <rPr>
            <b/>
            <sz val="11"/>
            <color indexed="81"/>
            <rFont val="Tahoma"/>
            <family val="2"/>
            <charset val="204"/>
          </rPr>
          <t>фурнитура</t>
        </r>
        <r>
          <rPr>
            <sz val="11"/>
            <color indexed="81"/>
            <rFont val="Tahoma"/>
            <family val="2"/>
            <charset val="204"/>
          </rPr>
          <t xml:space="preserve"> высоко класса
</t>
        </r>
        <r>
          <rPr>
            <b/>
            <u/>
            <sz val="11"/>
            <color indexed="81"/>
            <rFont val="Tahoma"/>
            <family val="2"/>
            <charset val="204"/>
          </rPr>
          <t xml:space="preserve">МОП ниже 0 </t>
        </r>
        <r>
          <rPr>
            <sz val="11"/>
            <color indexed="81"/>
            <rFont val="Tahoma"/>
            <family val="2"/>
            <charset val="204"/>
          </rPr>
          <t xml:space="preserve">
</t>
        </r>
        <r>
          <rPr>
            <b/>
            <sz val="11"/>
            <color indexed="81"/>
            <rFont val="Tahoma"/>
            <family val="2"/>
            <charset val="204"/>
          </rPr>
          <t xml:space="preserve">Отделка ступеней и подступенков </t>
        </r>
        <r>
          <rPr>
            <sz val="11"/>
            <color indexed="81"/>
            <rFont val="Tahoma"/>
            <family val="2"/>
            <charset val="204"/>
          </rPr>
          <t xml:space="preserve">из натурального камня/керамогранита европейских производителей стандартных типоразмеров, ступени с обработанным краем
</t>
        </r>
        <r>
          <rPr>
            <b/>
            <sz val="11"/>
            <color indexed="81"/>
            <rFont val="Tahoma"/>
            <family val="2"/>
            <charset val="204"/>
          </rPr>
          <t xml:space="preserve">отделка пола </t>
        </r>
        <r>
          <rPr>
            <sz val="11"/>
            <color indexed="81"/>
            <rFont val="Tahoma"/>
            <family val="2"/>
            <charset val="204"/>
          </rPr>
          <t xml:space="preserve"> площадок из натурального камня/керамогранита европейских производителей стандартных типоразмеров
</t>
        </r>
        <r>
          <rPr>
            <b/>
            <sz val="11"/>
            <color indexed="81"/>
            <rFont val="Tahoma"/>
            <family val="2"/>
            <charset val="204"/>
          </rPr>
          <t>потолок</t>
        </r>
        <r>
          <rPr>
            <sz val="11"/>
            <color indexed="81"/>
            <rFont val="Tahoma"/>
            <family val="2"/>
            <charset val="204"/>
          </rPr>
          <t xml:space="preserve"> шпатлевка и окраска (двухслойная с набрызгом)
</t>
        </r>
        <r>
          <rPr>
            <b/>
            <sz val="11"/>
            <color indexed="81"/>
            <rFont val="Tahoma"/>
            <family val="2"/>
            <charset val="204"/>
          </rPr>
          <t>стены</t>
        </r>
        <r>
          <rPr>
            <sz val="11"/>
            <color indexed="81"/>
            <rFont val="Tahoma"/>
            <family val="2"/>
            <charset val="204"/>
          </rPr>
          <t xml:space="preserve"> шпатлевка и окраска (двухслойная с набрызгом)/декоративная штукатурка
</t>
        </r>
        <r>
          <rPr>
            <b/>
            <sz val="11"/>
            <color indexed="81"/>
            <rFont val="Tahoma"/>
            <family val="2"/>
            <charset val="204"/>
          </rPr>
          <t xml:space="preserve">Двери </t>
        </r>
        <r>
          <rPr>
            <sz val="11"/>
            <color indexed="81"/>
            <rFont val="Tahoma"/>
            <family val="2"/>
            <charset val="204"/>
          </rPr>
          <t xml:space="preserve">высококачественные  европейских производителей средней ценовой категории
</t>
        </r>
        <r>
          <rPr>
            <b/>
            <sz val="11"/>
            <color indexed="81"/>
            <rFont val="Tahoma"/>
            <family val="2"/>
            <charset val="204"/>
          </rPr>
          <t xml:space="preserve">перила </t>
        </r>
        <r>
          <rPr>
            <sz val="11"/>
            <color indexed="81"/>
            <rFont val="Tahoma"/>
            <family val="2"/>
            <charset val="204"/>
          </rPr>
          <t xml:space="preserve">нержавейка
</t>
        </r>
      </text>
    </comment>
    <comment ref="E675" authorId="0" shapeId="0">
      <text>
        <r>
          <rPr>
            <b/>
            <u/>
            <sz val="11"/>
            <color indexed="81"/>
            <rFont val="Tahoma"/>
            <family val="2"/>
            <charset val="204"/>
          </rPr>
          <t xml:space="preserve">МОП выше 0 </t>
        </r>
        <r>
          <rPr>
            <sz val="11"/>
            <color indexed="81"/>
            <rFont val="Tahoma"/>
            <family val="2"/>
            <charset val="204"/>
          </rPr>
          <t xml:space="preserve">
</t>
        </r>
        <r>
          <rPr>
            <b/>
            <sz val="11"/>
            <color indexed="81"/>
            <rFont val="Tahoma"/>
            <family val="2"/>
            <charset val="204"/>
          </rPr>
          <t>пол  лифтовых холлов</t>
        </r>
        <r>
          <rPr>
            <sz val="11"/>
            <color indexed="81"/>
            <rFont val="Tahoma"/>
            <family val="2"/>
            <charset val="204"/>
          </rPr>
          <t xml:space="preserve"> - натуральный камень (Европейские карьеры), крупноразмерный с укладкой в 2-3 цвета  
с декоративными элементами /  мозаикой или  орнаментами ( упрощённые мотивы, использованные в лобби)"
</t>
        </r>
        <r>
          <rPr>
            <b/>
            <sz val="11"/>
            <color indexed="81"/>
            <rFont val="Tahoma"/>
            <family val="2"/>
            <charset val="204"/>
          </rPr>
          <t>пол коридоров</t>
        </r>
        <r>
          <rPr>
            <sz val="11"/>
            <color indexed="81"/>
            <rFont val="Tahoma"/>
            <family val="2"/>
            <charset val="204"/>
          </rPr>
          <t xml:space="preserve"> - натуральный камень (Европейские карьеры), крупноразмерный с укладкой в 2-3 цвета  
(минимум или полное отсутствие  декоративных элементов)"
</t>
        </r>
        <r>
          <rPr>
            <b/>
            <sz val="11"/>
            <color indexed="81"/>
            <rFont val="Tahoma"/>
            <family val="2"/>
            <charset val="204"/>
          </rPr>
          <t>стены</t>
        </r>
        <r>
          <rPr>
            <sz val="11"/>
            <color indexed="81"/>
            <rFont val="Tahoma"/>
            <family val="2"/>
            <charset val="204"/>
          </rPr>
          <t xml:space="preserve"> -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t>
        </r>
        <r>
          <rPr>
            <b/>
            <sz val="11"/>
            <color indexed="81"/>
            <rFont val="Tahoma"/>
            <family val="2"/>
            <charset val="204"/>
          </rPr>
          <t>потолок</t>
        </r>
        <r>
          <rPr>
            <sz val="11"/>
            <color indexed="81"/>
            <rFont val="Tahoma"/>
            <family val="2"/>
            <charset val="204"/>
          </rPr>
          <t xml:space="preserve"> - сложные многоуровневые потолки, отвечающие общему дизайну помещения
</t>
        </r>
        <r>
          <rPr>
            <b/>
            <sz val="11"/>
            <color indexed="81"/>
            <rFont val="Tahoma"/>
            <family val="2"/>
            <charset val="204"/>
          </rPr>
          <t xml:space="preserve">освещение </t>
        </r>
        <r>
          <rPr>
            <sz val="11"/>
            <color indexed="81"/>
            <rFont val="Tahoma"/>
            <family val="2"/>
            <charset val="204"/>
          </rPr>
          <t xml:space="preserve">-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t>
        </r>
        <r>
          <rPr>
            <b/>
            <sz val="11"/>
            <color indexed="81"/>
            <rFont val="Tahoma"/>
            <family val="2"/>
            <charset val="204"/>
          </rPr>
          <t>двери</t>
        </r>
        <r>
          <rPr>
            <sz val="11"/>
            <color indexed="81"/>
            <rFont val="Tahoma"/>
            <family val="2"/>
            <charset val="204"/>
          </rPr>
          <t xml:space="preserve"> -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t>
        </r>
        <r>
          <rPr>
            <b/>
            <sz val="11"/>
            <color indexed="81"/>
            <rFont val="Tahoma"/>
            <family val="2"/>
            <charset val="204"/>
          </rPr>
          <t>фурнитура</t>
        </r>
        <r>
          <rPr>
            <sz val="11"/>
            <color indexed="81"/>
            <rFont val="Tahoma"/>
            <family val="2"/>
            <charset val="204"/>
          </rPr>
          <t xml:space="preserve"> высоко класса
</t>
        </r>
        <r>
          <rPr>
            <b/>
            <u/>
            <sz val="11"/>
            <color indexed="81"/>
            <rFont val="Tahoma"/>
            <family val="2"/>
            <charset val="204"/>
          </rPr>
          <t xml:space="preserve">МОП ниже 0 </t>
        </r>
        <r>
          <rPr>
            <sz val="11"/>
            <color indexed="81"/>
            <rFont val="Tahoma"/>
            <family val="2"/>
            <charset val="204"/>
          </rPr>
          <t xml:space="preserve">
</t>
        </r>
        <r>
          <rPr>
            <b/>
            <sz val="11"/>
            <color indexed="81"/>
            <rFont val="Tahoma"/>
            <family val="2"/>
            <charset val="204"/>
          </rPr>
          <t xml:space="preserve">Отделка ступеней и подступенков </t>
        </r>
        <r>
          <rPr>
            <sz val="11"/>
            <color indexed="81"/>
            <rFont val="Tahoma"/>
            <family val="2"/>
            <charset val="204"/>
          </rPr>
          <t xml:space="preserve">цельные ступени с обработанным краем и наборные подступенки из натурального камня по дизайн-проекту с обработкой от намокания и пятен
</t>
        </r>
        <r>
          <rPr>
            <b/>
            <sz val="11"/>
            <color indexed="81"/>
            <rFont val="Tahoma"/>
            <family val="2"/>
            <charset val="204"/>
          </rPr>
          <t xml:space="preserve">отделка пола </t>
        </r>
        <r>
          <rPr>
            <sz val="11"/>
            <color indexed="81"/>
            <rFont val="Tahoma"/>
            <family val="2"/>
            <charset val="204"/>
          </rPr>
          <t xml:space="preserve"> площадок из натурального камня с рисунком из несложных геометрических форм по дизайн-проекту с обработкой от намокания и пятен
</t>
        </r>
        <r>
          <rPr>
            <b/>
            <sz val="11"/>
            <color indexed="81"/>
            <rFont val="Tahoma"/>
            <family val="2"/>
            <charset val="204"/>
          </rPr>
          <t>потолок</t>
        </r>
        <r>
          <rPr>
            <sz val="11"/>
            <color indexed="81"/>
            <rFont val="Tahoma"/>
            <family val="2"/>
            <charset val="204"/>
          </rPr>
          <t xml:space="preserve"> шпатлевка и окраска (двухслойная с набрызгом)
</t>
        </r>
        <r>
          <rPr>
            <b/>
            <sz val="11"/>
            <color indexed="81"/>
            <rFont val="Tahoma"/>
            <family val="2"/>
            <charset val="204"/>
          </rPr>
          <t xml:space="preserve">стены </t>
        </r>
        <r>
          <rPr>
            <sz val="11"/>
            <color indexed="81"/>
            <rFont val="Tahoma"/>
            <family val="2"/>
            <charset val="204"/>
          </rPr>
          <t xml:space="preserve">шпатлевка и окраска (двухслойная с набрызгом)/декоративная штукатурка
</t>
        </r>
        <r>
          <rPr>
            <b/>
            <sz val="11"/>
            <color indexed="81"/>
            <rFont val="Tahoma"/>
            <family val="2"/>
            <charset val="204"/>
          </rPr>
          <t>Двери</t>
        </r>
        <r>
          <rPr>
            <sz val="11"/>
            <color indexed="81"/>
            <rFont val="Tahoma"/>
            <family val="2"/>
            <charset val="204"/>
          </rPr>
          <t xml:space="preserve">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t>
        </r>
        <r>
          <rPr>
            <b/>
            <sz val="11"/>
            <color indexed="81"/>
            <rFont val="Tahoma"/>
            <family val="2"/>
            <charset val="204"/>
          </rPr>
          <t>фурнитура</t>
        </r>
        <r>
          <rPr>
            <sz val="11"/>
            <color indexed="81"/>
            <rFont val="Tahoma"/>
            <family val="2"/>
            <charset val="204"/>
          </rPr>
          <t xml:space="preserve"> высоко класса
</t>
        </r>
        <r>
          <rPr>
            <b/>
            <sz val="11"/>
            <color indexed="81"/>
            <rFont val="Tahoma"/>
            <family val="2"/>
            <charset val="204"/>
          </rPr>
          <t>перила</t>
        </r>
        <r>
          <rPr>
            <sz val="11"/>
            <color indexed="81"/>
            <rFont val="Tahoma"/>
            <family val="2"/>
            <charset val="204"/>
          </rPr>
          <t xml:space="preserve"> кованные с деревянными поручнями/нержавейка со стеклом
</t>
        </r>
      </text>
    </comment>
    <comment ref="E676" authorId="0" shapeId="0">
      <text>
        <r>
          <rPr>
            <b/>
            <sz val="11"/>
            <color indexed="81"/>
            <rFont val="Tahoma"/>
            <family val="2"/>
            <charset val="204"/>
          </rPr>
          <t xml:space="preserve">Полы: </t>
        </r>
        <r>
          <rPr>
            <sz val="11"/>
            <color indexed="81"/>
            <rFont val="Tahoma"/>
            <family val="2"/>
            <charset val="204"/>
          </rPr>
          <t xml:space="preserve">керамогранит соль-перец (Россия), </t>
        </r>
        <r>
          <rPr>
            <b/>
            <sz val="11"/>
            <color indexed="81"/>
            <rFont val="Tahoma"/>
            <family val="2"/>
            <charset val="204"/>
          </rPr>
          <t>плинтус</t>
        </r>
        <r>
          <rPr>
            <sz val="11"/>
            <color indexed="81"/>
            <rFont val="Tahoma"/>
            <family val="2"/>
            <charset val="204"/>
          </rPr>
          <t xml:space="preserve"> -  керамогранит (Россия) высотой 100 мм.,  
</t>
        </r>
        <r>
          <rPr>
            <b/>
            <sz val="11"/>
            <color indexed="81"/>
            <rFont val="Tahoma"/>
            <family val="2"/>
            <charset val="204"/>
          </rPr>
          <t>Стены и потолок:</t>
        </r>
        <r>
          <rPr>
            <sz val="11"/>
            <color indexed="81"/>
            <rFont val="Tahoma"/>
            <family val="2"/>
            <charset val="204"/>
          </rPr>
          <t xml:space="preserve"> покраска "шуба" (Россия);   </t>
        </r>
        <r>
          <rPr>
            <b/>
            <sz val="11"/>
            <color indexed="81"/>
            <rFont val="Tahoma"/>
            <family val="2"/>
            <charset val="204"/>
          </rPr>
          <t xml:space="preserve">Ограждение: </t>
        </r>
        <r>
          <rPr>
            <sz val="11"/>
            <color indexed="81"/>
            <rFont val="Tahoma"/>
            <family val="2"/>
            <charset val="204"/>
          </rPr>
          <t xml:space="preserve">нержавейка/черный металл с порошковой окраской 
</t>
        </r>
        <r>
          <rPr>
            <b/>
            <sz val="11"/>
            <color indexed="81"/>
            <rFont val="Tahoma"/>
            <family val="2"/>
            <charset val="204"/>
          </rPr>
          <t xml:space="preserve">Заполнение проемов: </t>
        </r>
        <r>
          <rPr>
            <sz val="11"/>
            <color indexed="81"/>
            <rFont val="Tahoma"/>
            <family val="2"/>
            <charset val="204"/>
          </rPr>
          <t xml:space="preserve">двери металлические 
</t>
        </r>
      </text>
    </comment>
    <comment ref="E677" authorId="0" shapeId="0">
      <text>
        <r>
          <rPr>
            <b/>
            <sz val="11"/>
            <color indexed="81"/>
            <rFont val="Tahoma"/>
            <family val="2"/>
            <charset val="204"/>
          </rPr>
          <t xml:space="preserve">Полы: </t>
        </r>
        <r>
          <rPr>
            <sz val="11"/>
            <color indexed="81"/>
            <rFont val="Tahoma"/>
            <family val="2"/>
            <charset val="204"/>
          </rPr>
          <t xml:space="preserve">керамогранит (Россия), 
</t>
        </r>
        <r>
          <rPr>
            <b/>
            <sz val="11"/>
            <color indexed="81"/>
            <rFont val="Tahoma"/>
            <family val="2"/>
            <charset val="204"/>
          </rPr>
          <t>плинту</t>
        </r>
        <r>
          <rPr>
            <sz val="11"/>
            <color indexed="81"/>
            <rFont val="Tahoma"/>
            <family val="2"/>
            <charset val="204"/>
          </rPr>
          <t xml:space="preserve">с -  керамогранит (Россия) высотой 100 мм.,  
</t>
        </r>
        <r>
          <rPr>
            <b/>
            <sz val="11"/>
            <color indexed="81"/>
            <rFont val="Tahoma"/>
            <family val="2"/>
            <charset val="204"/>
          </rPr>
          <t>Стены и потолок:</t>
        </r>
        <r>
          <rPr>
            <sz val="11"/>
            <color indexed="81"/>
            <rFont val="Tahoma"/>
            <family val="2"/>
            <charset val="204"/>
          </rPr>
          <t xml:space="preserve"> покраска "шуба" (Россия);   </t>
        </r>
        <r>
          <rPr>
            <b/>
            <sz val="11"/>
            <color indexed="81"/>
            <rFont val="Tahoma"/>
            <family val="2"/>
            <charset val="204"/>
          </rPr>
          <t xml:space="preserve">Ограждение: </t>
        </r>
        <r>
          <rPr>
            <sz val="11"/>
            <color indexed="81"/>
            <rFont val="Tahoma"/>
            <family val="2"/>
            <charset val="204"/>
          </rPr>
          <t xml:space="preserve">нержавейка/черный металл с порошковой окраской 
</t>
        </r>
        <r>
          <rPr>
            <b/>
            <sz val="11"/>
            <color indexed="81"/>
            <rFont val="Tahoma"/>
            <family val="2"/>
            <charset val="204"/>
          </rPr>
          <t xml:space="preserve">Заполнение проемов: </t>
        </r>
        <r>
          <rPr>
            <sz val="11"/>
            <color indexed="81"/>
            <rFont val="Tahoma"/>
            <family val="2"/>
            <charset val="204"/>
          </rPr>
          <t xml:space="preserve">двери металлические 
</t>
        </r>
      </text>
    </comment>
  </commentList>
</comments>
</file>

<file path=xl/comments2.xml><?xml version="1.0" encoding="utf-8"?>
<comments xmlns="http://schemas.openxmlformats.org/spreadsheetml/2006/main">
  <authors>
    <author>Author</author>
  </authors>
  <commentList>
    <comment ref="B11" authorId="0" shapeId="0">
      <text>
        <r>
          <rPr>
            <sz val="9"/>
            <color indexed="81"/>
            <rFont val="Tahoma"/>
            <family val="2"/>
            <charset val="204"/>
          </rPr>
          <t>ввод даты</t>
        </r>
      </text>
    </comment>
    <comment ref="B46" authorId="0" shapeId="0">
      <text>
        <r>
          <rPr>
            <sz val="9"/>
            <color indexed="81"/>
            <rFont val="Tahoma"/>
            <family val="2"/>
            <charset val="204"/>
          </rPr>
          <t>ввод даты</t>
        </r>
      </text>
    </comment>
  </commentList>
</comments>
</file>

<file path=xl/sharedStrings.xml><?xml version="1.0" encoding="utf-8"?>
<sst xmlns="http://schemas.openxmlformats.org/spreadsheetml/2006/main" count="4026" uniqueCount="1882">
  <si>
    <t>Норматив, который утверждается Группой Бюджетирования</t>
  </si>
  <si>
    <t>Ячейки, которые заполняются оценщиком</t>
  </si>
  <si>
    <t>ОБЩИЕ ДАННЫЕ</t>
  </si>
  <si>
    <t>Наземная площадь зданий на выходе , кв.м.</t>
  </si>
  <si>
    <t>Подземная площадь зданий на выходе , кв.м.</t>
  </si>
  <si>
    <t>Наличие ритейла на 1-м этаже</t>
  </si>
  <si>
    <t>Ед. изм.</t>
  </si>
  <si>
    <t>Учет в объекте</t>
  </si>
  <si>
    <t>Итого</t>
  </si>
  <si>
    <t>ОСНОВНЫЕ ЗАТРАТЫ</t>
  </si>
  <si>
    <t>Земляные работы</t>
  </si>
  <si>
    <t>Производство земляных работ</t>
  </si>
  <si>
    <t>Конструктив (выше 0)</t>
  </si>
  <si>
    <t>к наземной площади, кв.м.</t>
  </si>
  <si>
    <t>ФУНКЦИОНАЛЬНЫЕ ЗАТРАТЫ</t>
  </si>
  <si>
    <t>Кровля</t>
  </si>
  <si>
    <t>Плоская кровля с благоустройством</t>
  </si>
  <si>
    <t>к площади МОП, кв.м.</t>
  </si>
  <si>
    <t>Отделка паркинга</t>
  </si>
  <si>
    <t>Благоустройство</t>
  </si>
  <si>
    <t>УНИКАЛЬНЫЕ ЗАТРАТЫ</t>
  </si>
  <si>
    <t>Снос</t>
  </si>
  <si>
    <t>Некапитальные постройки, кв.м.</t>
  </si>
  <si>
    <t>Внешние сети</t>
  </si>
  <si>
    <t>Затраты на внешние сети + подключение и согласование</t>
  </si>
  <si>
    <t>ВСЕГО</t>
  </si>
  <si>
    <t>Проектирование</t>
  </si>
  <si>
    <t>Стройплощадка</t>
  </si>
  <si>
    <t>Фасад</t>
  </si>
  <si>
    <t>2-ой ценовой категории (OTIS российск.пр-во, Doppler, KLEEMANN, ORONA) - стандартная отделка кабин</t>
  </si>
  <si>
    <t>Большая четверка (OTIS франц.пр-во, KONE, ThyssenKrupp, Schindler) - стандартная отделка кабин</t>
  </si>
  <si>
    <t>Устройство покрытия территории</t>
  </si>
  <si>
    <t>Комфорт</t>
  </si>
  <si>
    <t>Мансарда</t>
  </si>
  <si>
    <t>Детская площадка</t>
  </si>
  <si>
    <t>к кол-ву мест ,шт.</t>
  </si>
  <si>
    <t>Школа</t>
  </si>
  <si>
    <t>Отдельно стоящая школа (под ключ) на 1 место</t>
  </si>
  <si>
    <t>Отдельно стоящая школа с бассейном (под ключ) на 1 место</t>
  </si>
  <si>
    <t>Парковка</t>
  </si>
  <si>
    <t>к кол-ву м/м</t>
  </si>
  <si>
    <t>Поликлиника</t>
  </si>
  <si>
    <t>Бизнес</t>
  </si>
  <si>
    <t>Бизнес +</t>
  </si>
  <si>
    <t>Премиум</t>
  </si>
  <si>
    <t>Элит</t>
  </si>
  <si>
    <t>Большая четверка (OTIS франц.пр-во, KONE, ThyssenKrupp, Schindler) - индивидуальная отделка кабин</t>
  </si>
  <si>
    <t>2.02.04.01.01</t>
  </si>
  <si>
    <t>2.02.04.01.01.02</t>
  </si>
  <si>
    <t>АФК (Архитектурно-функциональная концепция)</t>
  </si>
  <si>
    <t>2.02.04.01.01.03</t>
  </si>
  <si>
    <t>2.02.04.01.01.04</t>
  </si>
  <si>
    <t>2.02.04.01.02</t>
  </si>
  <si>
    <t>Демонтажные работы</t>
  </si>
  <si>
    <t>2.02.04.01.03</t>
  </si>
  <si>
    <t>Вырубка деревьев, компен. озеленение</t>
  </si>
  <si>
    <t>2.02.04.01.04</t>
  </si>
  <si>
    <t>2.02.04.01.05</t>
  </si>
  <si>
    <t>Конструктив ниже 0</t>
  </si>
  <si>
    <t>Стена в грунте</t>
  </si>
  <si>
    <t>Существующие фундаменты ниже 0</t>
  </si>
  <si>
    <t>Новые фундаменты</t>
  </si>
  <si>
    <t>Существующие перекрытия ниже 0</t>
  </si>
  <si>
    <t>Новые перекрытия ниже 0</t>
  </si>
  <si>
    <t>2.02.04.01.06</t>
  </si>
  <si>
    <t>Конструктив выше 0</t>
  </si>
  <si>
    <t>Существующие стены и колонны</t>
  </si>
  <si>
    <t>Существующие перекрытия</t>
  </si>
  <si>
    <t>Новые перекрытия</t>
  </si>
  <si>
    <t>Лестницы</t>
  </si>
  <si>
    <t>Приямки и крыльца</t>
  </si>
  <si>
    <t>Лифтовая шахта</t>
  </si>
  <si>
    <t>Балконы</t>
  </si>
  <si>
    <t>Система мусороудаления</t>
  </si>
  <si>
    <t>2.02.04.01.07</t>
  </si>
  <si>
    <t>Скатная кровля</t>
  </si>
  <si>
    <t>Плоская кровля без благоустройства</t>
  </si>
  <si>
    <t>Изоляция стилобата</t>
  </si>
  <si>
    <t>2.02.04.01.08</t>
  </si>
  <si>
    <t>2.02.04.01.09</t>
  </si>
  <si>
    <t>Внутренние инженерные сети</t>
  </si>
  <si>
    <t>Водопровод и канализация внутренние</t>
  </si>
  <si>
    <t>Система вентиляции, дымоудаления и кондиционирования</t>
  </si>
  <si>
    <t>Отопление</t>
  </si>
  <si>
    <t>Электрические системы внутренние</t>
  </si>
  <si>
    <t>Автоматическая пожарная сигнализация</t>
  </si>
  <si>
    <t>Система контроля доступа</t>
  </si>
  <si>
    <t>Подъёмное оборудование</t>
  </si>
  <si>
    <t>Видеонаблюдение</t>
  </si>
  <si>
    <t>Автоматизация и диспетчеризация инженерных систем</t>
  </si>
  <si>
    <t>Системы пожаротушения</t>
  </si>
  <si>
    <t>2.02.04.01.10</t>
  </si>
  <si>
    <t>Внутренняя отделка</t>
  </si>
  <si>
    <t>Отделка МОП</t>
  </si>
  <si>
    <t>Отделка техпомещений</t>
  </si>
  <si>
    <t>Отделка блоков (включая с/у)</t>
  </si>
  <si>
    <t>Отделка квартир</t>
  </si>
  <si>
    <t>2.02.04.01.11</t>
  </si>
  <si>
    <t>Мебель и оборудование</t>
  </si>
  <si>
    <t>2.02.04.01.12</t>
  </si>
  <si>
    <t>Внешние инженерные сети</t>
  </si>
  <si>
    <t>Водопровод, канализация внешние</t>
  </si>
  <si>
    <t>Теплоснабжение</t>
  </si>
  <si>
    <t>Электрические системы</t>
  </si>
  <si>
    <t>Газопровод</t>
  </si>
  <si>
    <t>Слаботочная канализация</t>
  </si>
  <si>
    <t>Ливнёвая канализация</t>
  </si>
  <si>
    <t>ИТП и ЦТП</t>
  </si>
  <si>
    <t>Трансформаторная подстанция</t>
  </si>
  <si>
    <t>2.02.04.01.13</t>
  </si>
  <si>
    <t>Озеленение</t>
  </si>
  <si>
    <t>Навигация</t>
  </si>
  <si>
    <t>Освещение территории</t>
  </si>
  <si>
    <t>2.02.04.01.14</t>
  </si>
  <si>
    <t>СМР соседних участков</t>
  </si>
  <si>
    <t>Усиление соседних зданий и сооружений</t>
  </si>
  <si>
    <t>Обустройство соседних зданий и участков</t>
  </si>
  <si>
    <t>Прочие обременения</t>
  </si>
  <si>
    <t>2.02.04.01.15</t>
  </si>
  <si>
    <t>Реализация дизайн-проектов</t>
  </si>
  <si>
    <t>места</t>
  </si>
  <si>
    <t>стоимость</t>
  </si>
  <si>
    <t xml:space="preserve">стоимость в тыс. </t>
  </si>
  <si>
    <t>с бассейном</t>
  </si>
  <si>
    <t>Школы на 100 мест</t>
  </si>
  <si>
    <t>Школы на 350 мест с бассейном</t>
  </si>
  <si>
    <t>Школы на 150 мест</t>
  </si>
  <si>
    <t>Школы на 400 мест</t>
  </si>
  <si>
    <t>Школы на 200 мест</t>
  </si>
  <si>
    <t>Школы на 450 мест</t>
  </si>
  <si>
    <t>Школы на 250 мест</t>
  </si>
  <si>
    <t>Школы на 500 мест</t>
  </si>
  <si>
    <t>Школы на 275 мест</t>
  </si>
  <si>
    <t>Школы на 550 мест</t>
  </si>
  <si>
    <t>Школы на 300 мест</t>
  </si>
  <si>
    <t>Школы на 600 мест с бассейном</t>
  </si>
  <si>
    <t>Школы на 350 мест</t>
  </si>
  <si>
    <t>Школы на 625 мест</t>
  </si>
  <si>
    <t>Школы на 700 мест</t>
  </si>
  <si>
    <t>Школы на 800 мест</t>
  </si>
  <si>
    <t>Школы на 825 мест</t>
  </si>
  <si>
    <t>Школы на 900 мест с бассейном</t>
  </si>
  <si>
    <t>Школы на 600 мест</t>
  </si>
  <si>
    <t>Школы свыше 900 мест с бассейном</t>
  </si>
  <si>
    <t>Школы на 775-800 мест</t>
  </si>
  <si>
    <t>Школы на 900 мест</t>
  </si>
  <si>
    <t>Школы на 1000 мест</t>
  </si>
  <si>
    <t>Школы свыше 1000 мест</t>
  </si>
  <si>
    <t>Детские сады на 140 мест с бассейном</t>
  </si>
  <si>
    <t>Детские сады на 150 мест</t>
  </si>
  <si>
    <t>Детские сады на 160 мест</t>
  </si>
  <si>
    <t>Детские сады на 50 мест</t>
  </si>
  <si>
    <t>Детские сады на 175 мест с бассейном</t>
  </si>
  <si>
    <t>Детские сады на 100-110 мест</t>
  </si>
  <si>
    <t>Детские сады на 180</t>
  </si>
  <si>
    <t>Детские сады на 120 мест</t>
  </si>
  <si>
    <t>Детские сады на 200 мест</t>
  </si>
  <si>
    <t>Детские сады на 140 мест</t>
  </si>
  <si>
    <t>Детские сады на 220 мест</t>
  </si>
  <si>
    <t>Детские сады на 240 мест с бассейном</t>
  </si>
  <si>
    <t>Детские сады на 180-190 мест</t>
  </si>
  <si>
    <t>Детские сады на 240 мест</t>
  </si>
  <si>
    <t>Детские сады на 260 мест</t>
  </si>
  <si>
    <t>Детские сады на 280 мест</t>
  </si>
  <si>
    <t>Детские сады на 300 мест</t>
  </si>
  <si>
    <t>Поликлиники на 50 посещений в смену</t>
  </si>
  <si>
    <t>Поликлиники на 75 посещений в смену</t>
  </si>
  <si>
    <t>Поликлиники на 125 посещений в смену</t>
  </si>
  <si>
    <t>Поликлиники на 150 посещений в смену</t>
  </si>
  <si>
    <t>Поликлиники на 200 посещений в смену</t>
  </si>
  <si>
    <t>Поликлиники на 300 посещений в смену</t>
  </si>
  <si>
    <t>Поликлиники на 400 посещений в смену</t>
  </si>
  <si>
    <t>Поликлиники на 500 посещений в смену</t>
  </si>
  <si>
    <t>Поликлиники на 750 посещений в смену</t>
  </si>
  <si>
    <t>Посадка деревьев-саженцев, кустарников, устройство газонов, разбивка цветников, устройство садово-парковых дорожек</t>
  </si>
  <si>
    <t xml:space="preserve">Озеленение </t>
  </si>
  <si>
    <t>детских садов</t>
  </si>
  <si>
    <t>школ</t>
  </si>
  <si>
    <r>
      <t xml:space="preserve">Измеритель: </t>
    </r>
    <r>
      <rPr>
        <b/>
        <sz val="10"/>
        <color theme="1"/>
        <rFont val="Times New Roman"/>
        <family val="1"/>
        <charset val="204"/>
      </rPr>
      <t>стоимость озеленения на одно место</t>
    </r>
  </si>
  <si>
    <r>
      <t xml:space="preserve">Измеритель: </t>
    </r>
    <r>
      <rPr>
        <b/>
        <sz val="10"/>
        <color theme="1"/>
        <rFont val="Times New Roman"/>
        <family val="1"/>
        <charset val="204"/>
      </rPr>
      <t>стоимость озеленения на одно посещение в смену</t>
    </r>
  </si>
  <si>
    <t>учреждений амбулаторного лечения</t>
  </si>
  <si>
    <t>Под ключ, включая проект, прокладку внут. инж. сетей, монтаж и стоимость инж. и технологич. оборуд., мебели и инвентаря. Предусмотрены конструктивные решения, обеспечивающие использование объектов маломобильными группами населения.</t>
  </si>
  <si>
    <t>Отдельно стоящее ДОУ с бассейном на 1 место</t>
  </si>
  <si>
    <t>Отдельно стоящее ДОУ на 1 место</t>
  </si>
  <si>
    <t>Текущий коэффициент</t>
  </si>
  <si>
    <t>Под ключ, включая проект, прокладку внут. инж. сетей, монтаж и стоимость инж. и технологич. оборуд., мебели и инвентаря + Бассейн</t>
  </si>
  <si>
    <t>Под ключ, включая проект, прокладку внут. инж. сетей, монтаж и стоимость инж. и технологич. оборуд., мебели и инвентаря</t>
  </si>
  <si>
    <t>Есть ли стесненные условия для строительства Поликлиники</t>
  </si>
  <si>
    <t>Код</t>
  </si>
  <si>
    <t>Вид работ</t>
  </si>
  <si>
    <t>Итого, руб.</t>
  </si>
  <si>
    <t>руб. за 1м2</t>
  </si>
  <si>
    <t>Общая площадь (наземная и подземная площадь) , м2</t>
  </si>
  <si>
    <t>02.02.04.01</t>
  </si>
  <si>
    <t>Ливнёвая канализация внутренняя</t>
  </si>
  <si>
    <t>Согласования по сетям и тех.условиям</t>
  </si>
  <si>
    <t>Согласование проектов и разработка проектной документации</t>
  </si>
  <si>
    <t>Платежи за присоединение</t>
  </si>
  <si>
    <t>Малые архитектурные формы для объектов здравоохранения:</t>
  </si>
  <si>
    <t>для учреждений амбулаторного лечения</t>
  </si>
  <si>
    <t>Площадь ЗУ (без пятна застройки) Поликлиника, кв.м.</t>
  </si>
  <si>
    <t>Диваны, скамьи, цветочницы, урны</t>
  </si>
  <si>
    <t>к площади ЗУ (без пятна застройки) Поликлиники, кв.м.</t>
  </si>
  <si>
    <t>Таблица 16-02-001 Специальные малые архитектурные формы для объектов народного образования</t>
  </si>
  <si>
    <r>
      <t xml:space="preserve">Измеритель: </t>
    </r>
    <r>
      <rPr>
        <b/>
        <sz val="10"/>
        <color theme="1"/>
        <rFont val="Times New Roman"/>
        <family val="1"/>
        <charset val="204"/>
      </rPr>
      <t>стадион</t>
    </r>
  </si>
  <si>
    <r>
      <t>стадион, площадью 4200 м</t>
    </r>
    <r>
      <rPr>
        <sz val="6.5"/>
        <color theme="1"/>
        <rFont val="Times New Roman"/>
        <family val="1"/>
        <charset val="204"/>
      </rPr>
      <t>2</t>
    </r>
  </si>
  <si>
    <r>
      <t>стадион, площадью 5260 м</t>
    </r>
    <r>
      <rPr>
        <sz val="6.5"/>
        <color theme="1"/>
        <rFont val="Times New Roman"/>
        <family val="1"/>
        <charset val="204"/>
      </rPr>
      <t>2</t>
    </r>
  </si>
  <si>
    <r>
      <t>стадион, площадью 10200 м</t>
    </r>
    <r>
      <rPr>
        <sz val="6.5"/>
        <color theme="1"/>
        <rFont val="Times New Roman"/>
        <family val="1"/>
        <charset val="204"/>
      </rPr>
      <t>2</t>
    </r>
  </si>
  <si>
    <t>Стадион</t>
  </si>
  <si>
    <t>Устройство стадиона под ключ</t>
  </si>
  <si>
    <t>Таблица 16-01-001 Малые архитектурные формы для детских садов</t>
  </si>
  <si>
    <t>Таблица 16-01-002 Малые архитектурные формы для общеобразовательных школ</t>
  </si>
  <si>
    <r>
      <t xml:space="preserve">СОЦИАЛЬНЫЕ ЗАТРАТЫ
</t>
    </r>
    <r>
      <rPr>
        <i/>
        <sz val="12"/>
        <rFont val="Calibri"/>
        <family val="2"/>
        <charset val="204"/>
        <scheme val="minor"/>
      </rPr>
      <t>(нормативы рассчитаны для отдельно стоящего здания, без учета стоимости прочих объектов, расположенных в пределах земельного участка, отведенного под застройку (трансформаторные подстанции, котельные, насосные станции и т.п.)</t>
    </r>
  </si>
  <si>
    <t>ДОУ</t>
  </si>
  <si>
    <t>Площадь ЗУ (без пятна застройки) ДОУ, кв.м.</t>
  </si>
  <si>
    <t>Площадь ЗУ (без пятна застройки) Школа, кв.м.</t>
  </si>
  <si>
    <t>площадь стадиона, кв.м.</t>
  </si>
  <si>
    <t>Раздел 2. Площадки, дорожки, тротуары</t>
  </si>
  <si>
    <t>Таблица 16-07-001 Площадки, дорожки и тротуары из песчаной асфальтобетонной смеси</t>
  </si>
  <si>
    <t>Площадки, дорожки и тротуары из песчаной асфальтобетонной смеси однослойные:</t>
  </si>
  <si>
    <t>по щебеночному основанию толщиной 12 см</t>
  </si>
  <si>
    <t>по бетонному основанию толщиной 8 см</t>
  </si>
  <si>
    <t>Таблица 16-07-002 Площадки, дорожки и тротуары из плиток тротуарных</t>
  </si>
  <si>
    <r>
      <t xml:space="preserve">Измеритель: </t>
    </r>
    <r>
      <rPr>
        <b/>
        <sz val="10"/>
        <color theme="1"/>
        <rFont val="Times New Roman"/>
        <family val="1"/>
        <charset val="204"/>
      </rPr>
      <t>100 м</t>
    </r>
    <r>
      <rPr>
        <b/>
        <sz val="6.5"/>
        <color theme="1"/>
        <rFont val="Times New Roman"/>
        <family val="1"/>
        <charset val="204"/>
      </rPr>
      <t xml:space="preserve">2 </t>
    </r>
    <r>
      <rPr>
        <b/>
        <sz val="10"/>
        <color theme="1"/>
        <rFont val="Times New Roman"/>
        <family val="1"/>
        <charset val="204"/>
      </rPr>
      <t>покрытия</t>
    </r>
  </si>
  <si>
    <t>Площадки, дорожки и тротуары из плиток тротуарных по песчаному основанию толщиной 10 см</t>
  </si>
  <si>
    <t>Площадь МАФ, кв.м.</t>
  </si>
  <si>
    <t>к площади ЗУ (без пятна застройки), кв.м. - минус МАФы</t>
  </si>
  <si>
    <t>20% асфальт (однослойный) / тротуарная плитка (остальная часть территории озеленение)</t>
  </si>
  <si>
    <t>40% асфальт (однослойный) / тротуарная плитка (остальная часть территории озеленение)</t>
  </si>
  <si>
    <t>70% территории асфальт (однослойный) / тротуарная плитка (остальная часть территории озеленение)</t>
  </si>
  <si>
    <t>Таблица 16-06-001 Ограждения металлические по металлическим стойкам</t>
  </si>
  <si>
    <r>
      <t>1.</t>
    </r>
    <r>
      <rPr>
        <sz val="7"/>
        <color theme="1"/>
        <rFont val="Times New Roman"/>
        <family val="1"/>
        <charset val="204"/>
      </rPr>
      <t xml:space="preserve">       </t>
    </r>
    <r>
      <rPr>
        <sz val="10"/>
        <color theme="1"/>
        <rFont val="Times New Roman"/>
        <family val="1"/>
        <charset val="204"/>
      </rPr>
      <t>Сборником НЦС часть 2 «Элементы благоустройства территории», раздел 1 «Ограждения», предусмотрена установка ограждений с учетом устройства фундамента.</t>
    </r>
  </si>
  <si>
    <r>
      <t xml:space="preserve">Измеритель: </t>
    </r>
    <r>
      <rPr>
        <b/>
        <sz val="10"/>
        <color theme="1"/>
        <rFont val="Times New Roman"/>
        <family val="1"/>
        <charset val="204"/>
      </rPr>
      <t>100 м ограждения</t>
    </r>
  </si>
  <si>
    <t>Ограждения металлические по металлическим стойкам:</t>
  </si>
  <si>
    <t>из решетки ограждения металлической с художественной ковкой ОСА-Т15-02.3 высотой до 0,5 м</t>
  </si>
  <si>
    <t>из решетки ограждения металлической с художественной ковкой ОСА-Т15-02.3 высотой 0,5-1 м</t>
  </si>
  <si>
    <t>из решетки ограждения металлической с художественной ковкой ОСА-Т15-02.3 высотой 1-1,6 м</t>
  </si>
  <si>
    <t>из решетки ограждения металлической с художественной ковкой ОСА-Т15-02.3 высотой более 1,6 м</t>
  </si>
  <si>
    <t>из решетки ограждения металлической ОС-Т15-00 высотой до 0,5 м</t>
  </si>
  <si>
    <t>из решетки ограждения металлической ОС-Т15-00 высотой 0,5-1 м</t>
  </si>
  <si>
    <t>из решетки ограждения металлической ОС-Т15-00 высотой 1-1,6 м</t>
  </si>
  <si>
    <t>из решетки ограждения металлической ОС-Т15-00 высотой более 1,6м</t>
  </si>
  <si>
    <t>Таблица 16-06-002 Ограждения металлические по железобетонным столбам</t>
  </si>
  <si>
    <t>Ограждения металлические по железобетонным столбам:</t>
  </si>
  <si>
    <t>из сетки высотой 1,7 м (без цоколя)</t>
  </si>
  <si>
    <t>из сетки высотой 1,5 м (с цоколем)</t>
  </si>
  <si>
    <t>Таблица 16-06-003 Ограждения железобетонные по железобетонным столбам</t>
  </si>
  <si>
    <t>Ограждения железобетонные по железобетонным столбам:</t>
  </si>
  <si>
    <t>из плоских глухих панелей оград высотой 1,8 м</t>
  </si>
  <si>
    <t>из рельефных глухих панелей оград высотой 1,8 м</t>
  </si>
  <si>
    <t>из решетчатых панелей оград высотой 1,8 м</t>
  </si>
  <si>
    <t>Ограждения железобетонные по железобетонным столбам с устройством фундамента. Высота 1,8 м</t>
  </si>
  <si>
    <t>Ограждение территории</t>
  </si>
  <si>
    <t>Ограждения металлические по железобетонным столбам с устройством фундамента. Высота 1,7 м</t>
  </si>
  <si>
    <t xml:space="preserve"> до 1 м</t>
  </si>
  <si>
    <t>свыше 1</t>
  </si>
  <si>
    <t>Ограждения металлические по металлическим стойкам с устройством фундамента. Высота до 1 м</t>
  </si>
  <si>
    <t>Ограждения металлические по металлическим стойкам с устройством фундамента. Высота свыше 1 м</t>
  </si>
  <si>
    <t>руб./кв.м. общей площади 
(наземная + подземная) 
без учета соц. объектов</t>
  </si>
  <si>
    <t>Отдельно стоящая поликлиника
 на кол-во посещений в смену</t>
  </si>
  <si>
    <t>Детский клуб</t>
  </si>
  <si>
    <t>Демонтаж: напольные покрытия, стены и перегородки, потолочные системы, дверные и оконные заполнения, инж.системы (кроме лифта), разбор покрытия кровли, мебель и оборудования, мусора.
Погрузка и вывоз мусора от внутреннего демонтажа.</t>
  </si>
  <si>
    <t xml:space="preserve">Демонтаж лифтов </t>
  </si>
  <si>
    <t>Демонтаж лифтовых шахт, включая машинные отделения, разбор лифтов и лифтового оборудования</t>
  </si>
  <si>
    <t>шт.</t>
  </si>
  <si>
    <t>Отделка жилых помещений/шоу-рум</t>
  </si>
  <si>
    <t>Парковка (Этажерка)</t>
  </si>
  <si>
    <t>ДОУ (отдельно стоящее)</t>
  </si>
  <si>
    <t>ДОУ (Встроенное)</t>
  </si>
  <si>
    <t>Социальная инфраструктура</t>
  </si>
  <si>
    <t>Офис продаж</t>
  </si>
  <si>
    <t>Отдельно стоящий</t>
  </si>
  <si>
    <t>Фонтан</t>
  </si>
  <si>
    <t>МАФ</t>
  </si>
  <si>
    <t xml:space="preserve">Площадки, дорожки, тротуары </t>
  </si>
  <si>
    <t>Капитальные постройки</t>
  </si>
  <si>
    <t>Комфорт, Бизнес</t>
  </si>
  <si>
    <t>Премиум, Элит</t>
  </si>
  <si>
    <t>Механизированная разборка (без внут. демонтажа), включая погрузку и вывоз с площадки строительного мусора, установку необходимых опалубок, строительных лесов, инвентаря.</t>
  </si>
  <si>
    <t>Комфорт, Бизнес, Бизнес +</t>
  </si>
  <si>
    <t xml:space="preserve">Отделка </t>
  </si>
  <si>
    <t>2.02.04.01.16</t>
  </si>
  <si>
    <t>Благоустройство - МАФ</t>
  </si>
  <si>
    <t xml:space="preserve">Благоустройство - Площадки, дорожки, тротуары </t>
  </si>
  <si>
    <t>Благоустройство - Озеленение</t>
  </si>
  <si>
    <t>Бизнес +, Премиум, Элит</t>
  </si>
  <si>
    <t>КАПИТАЛЬНЫЕ ПОСТРОЙКИ</t>
  </si>
  <si>
    <t>Общая наземная площадь, кв.м.</t>
  </si>
  <si>
    <t>Наличие лифтового оборудования, указать кол-во лифтов, шт.</t>
  </si>
  <si>
    <r>
      <t>СНОС</t>
    </r>
    <r>
      <rPr>
        <sz val="12"/>
        <rFont val="Calibri"/>
        <family val="2"/>
        <charset val="204"/>
        <scheme val="minor"/>
      </rPr>
      <t xml:space="preserve"> </t>
    </r>
    <r>
      <rPr>
        <i/>
        <sz val="12"/>
        <rFont val="Calibri"/>
        <family val="2"/>
        <charset val="204"/>
        <scheme val="minor"/>
      </rPr>
      <t>(данные сносимых зданий)</t>
    </r>
  </si>
  <si>
    <t>НЕКАПИТАЛЬНЫЕ ПОСТРОЙКИ</t>
  </si>
  <si>
    <t>СОЦИАЛЬНЫЕ ОБЪЕКТЫ</t>
  </si>
  <si>
    <t>Кол-во мест, мест</t>
  </si>
  <si>
    <r>
      <t>ДОУ</t>
    </r>
    <r>
      <rPr>
        <i/>
        <sz val="12"/>
        <rFont val="Calibri"/>
        <family val="2"/>
        <charset val="204"/>
        <scheme val="minor"/>
      </rPr>
      <t xml:space="preserve"> (отдельно стоящее)</t>
    </r>
  </si>
  <si>
    <t>Кол-во мест с бассейном, мест</t>
  </si>
  <si>
    <t>Есть ли стесненные условия для строительства ДОУ</t>
  </si>
  <si>
    <t>Ограждение территории ДОУ, п.м.</t>
  </si>
  <si>
    <r>
      <t>Школа</t>
    </r>
    <r>
      <rPr>
        <i/>
        <sz val="12"/>
        <rFont val="Calibri"/>
        <family val="2"/>
        <charset val="204"/>
        <scheme val="minor"/>
      </rPr>
      <t xml:space="preserve"> (отдельно стоящая)</t>
    </r>
  </si>
  <si>
    <t>Ограждение территории Школы, п.м.</t>
  </si>
  <si>
    <t>Есть ли стесненные условия для строительства Школы</t>
  </si>
  <si>
    <r>
      <t xml:space="preserve">Поликлиника </t>
    </r>
    <r>
      <rPr>
        <i/>
        <sz val="12"/>
        <rFont val="Calibri"/>
        <family val="2"/>
        <charset val="204"/>
        <scheme val="minor"/>
      </rPr>
      <t>(отдельно стоящая)</t>
    </r>
  </si>
  <si>
    <t>Ограждение территории Поликлиники, п.м.</t>
  </si>
  <si>
    <t>Кол-во посещений в смену, посещений</t>
  </si>
  <si>
    <t>Размер стадиона, кв..м.</t>
  </si>
  <si>
    <t>Ограждение территории ДОУ</t>
  </si>
  <si>
    <t>Ограждение территории Школа</t>
  </si>
  <si>
    <t>Ограждение территории Поликлиника</t>
  </si>
  <si>
    <t>Устройство МАФ для ДОУ</t>
  </si>
  <si>
    <t>Устройство МАФ для Школы</t>
  </si>
  <si>
    <t>Механизированная разборка, включая погрузку и вывоз с площадки строительного мусора, установку необходимых опалубок, строительных лесов, инвентаря.</t>
  </si>
  <si>
    <t>ПАРКОВКА "этажерка"</t>
  </si>
  <si>
    <t>Кол-во требуемых м/м, м/м</t>
  </si>
  <si>
    <t>Тип офиса продаж</t>
  </si>
  <si>
    <t>к площади ограждения территории ДОУ п.м.</t>
  </si>
  <si>
    <t>к площади ограждения территории Школы п.м.</t>
  </si>
  <si>
    <t>к площади ограждения территории Поликлиники п.м.</t>
  </si>
  <si>
    <t>к кол-ву демонтируемых лифтов, шт.</t>
  </si>
  <si>
    <t>к площади офиса продаж, кв.м.</t>
  </si>
  <si>
    <t>ОСНОВНЫЕ ДАННЫЕ</t>
  </si>
  <si>
    <t>УНИКАЛЬНЫЕ ДАННЫЕ</t>
  </si>
  <si>
    <t>ФУНКЦИОНАЛЬНЫЕ ДАННЫЕ</t>
  </si>
  <si>
    <t>Площадь ЗУ (без пятна застройки и участка застройки под соц.объекты (школа, поликлиника, ДОУ), кв.м.</t>
  </si>
  <si>
    <t>Устройство фонтана на территории (только для класса Премиум и Элит)</t>
  </si>
  <si>
    <t>Тип ограждения</t>
  </si>
  <si>
    <t>Общая площадь зданий на выходе (наземная и подземная), кв.м. - без учета соц. объектов</t>
  </si>
  <si>
    <t>Высотная отметка выше 0, м</t>
  </si>
  <si>
    <t>Кол-во подземных уровней паркинга</t>
  </si>
  <si>
    <t>Описание в примечании</t>
  </si>
  <si>
    <t>к площади кровли, кв.м.</t>
  </si>
  <si>
    <t>Тип кровли</t>
  </si>
  <si>
    <t>Общая площадь квартир (с отделкой), кв.м.</t>
  </si>
  <si>
    <t>к площади квартир с отделкой, кв.м.</t>
  </si>
  <si>
    <t>МОП (лестницы, лестничные и лифтовые холлы и коридоры)</t>
  </si>
  <si>
    <t>Отделка входных групп:
 вестибюль, лобби, ресепшн, общественные санузлы 1 эт.</t>
  </si>
  <si>
    <t>Описание</t>
  </si>
  <si>
    <t>Монолит: Перекрытия, Приямки и крыльца, Балконы
Работы по устройству гидроизоляции, теплоизоляции,  плит перекрытия,  балконов
Мониторинг конструкций и образцов в период строительного процесса
Башенный кран</t>
  </si>
  <si>
    <t>Паркинг 1 уровень (-4,5 м)</t>
  </si>
  <si>
    <t xml:space="preserve">Исходные данные для проектирования </t>
  </si>
  <si>
    <t>Проектирование стадии «РД»</t>
  </si>
  <si>
    <t xml:space="preserve">Снос строений </t>
  </si>
  <si>
    <t>Существующие стены и колонны ниже 0</t>
  </si>
  <si>
    <t>Новые стены и колонны ниже 0</t>
  </si>
  <si>
    <t>Пандус (парковка)</t>
  </si>
  <si>
    <t>Новые стены   и колонны</t>
  </si>
  <si>
    <t xml:space="preserve">Кровля </t>
  </si>
  <si>
    <t xml:space="preserve">Облицовка фасада </t>
  </si>
  <si>
    <t>Интернет, телевидение, телефония, радиофикация, часофикация</t>
  </si>
  <si>
    <t xml:space="preserve">Отделка техпомещений </t>
  </si>
  <si>
    <t xml:space="preserve">Отделка квартир </t>
  </si>
  <si>
    <t xml:space="preserve">Возведение перегородок </t>
  </si>
  <si>
    <t xml:space="preserve">Устройство  покрытия территории </t>
  </si>
  <si>
    <t>Монолит, Работы по устройству гидроизоляции, теплоизоляции, звукоизоляции фундамента, плит перекрытия.
Расходы на разработку котлованов (Земляные работы,Стена в грунте,Шпунтовое ограждение (трубы б/у)). Свайные работы - расходы по возведению свайных фундаментов, изготовлению опор, бурению скважин для устройства свай,  устройству  свай
Мониторинг конструкций и образцов в период строительного процесса + геодезические работы</t>
  </si>
  <si>
    <t>Монолит: Стены и колонны, Лестницы, Лифтовая шахта
Мониторинг конструкций и образцов в период строительного процесса
Башенный кран + наценка за высотность + геодезические работы</t>
  </si>
  <si>
    <t>Надземная часть, кв.м. + Фундаменты, кв.м.</t>
  </si>
  <si>
    <t>Надземная часть, кв.м. + подземный эт, кв.м.</t>
  </si>
  <si>
    <t>Пример в примечании</t>
  </si>
  <si>
    <t>Подземная площадь (парковка)</t>
  </si>
  <si>
    <t>к подземной площади (парковка)</t>
  </si>
  <si>
    <t>свыше 75 м применять 3 уровня</t>
  </si>
  <si>
    <t>Площадь стилобата, кв.м.</t>
  </si>
  <si>
    <t>к площади стилобата, кв.м.</t>
  </si>
  <si>
    <t>Скоростной лифт-шатл</t>
  </si>
  <si>
    <t>Покрытие пола, подсистема - Плитка; Выходы на террасу/кровлю; Освещение на террасе/кровле</t>
  </si>
  <si>
    <t>Изоляция плиты перекрытия Стилобат</t>
  </si>
  <si>
    <t>Требуется ли внутренний демонтаж (отделка, ИС)</t>
  </si>
  <si>
    <t>КРОВЛЯ</t>
  </si>
  <si>
    <t>КОНСТРУКТИВ (ниже 0)</t>
  </si>
  <si>
    <t>КОНСТРУКТИВ (выше 0)</t>
  </si>
  <si>
    <t>БЛАГОУСТРОЙСТВО</t>
  </si>
  <si>
    <t>ЛИФТЫ</t>
  </si>
  <si>
    <t>к общей площади
 (наземная и подземная), кв.м.</t>
  </si>
  <si>
    <t>Бизнес, Бизнес +</t>
  </si>
  <si>
    <t>мансардные окна</t>
  </si>
  <si>
    <t>проверка</t>
  </si>
  <si>
    <t>Усиление сосед. зданий и сооруж., Обустройство сосед. зданий и участков, Проч. обременения</t>
  </si>
  <si>
    <t>компл.</t>
  </si>
  <si>
    <t xml:space="preserve">указать итоговую стоимость </t>
  </si>
  <si>
    <t>Выбрать тип детской площадки</t>
  </si>
  <si>
    <t>серийное про-во (Kompan ,Hugs, Lappset)</t>
  </si>
  <si>
    <t>ОТДЕЛКА</t>
  </si>
  <si>
    <t>к общей надз. площади, кв.м.</t>
  </si>
  <si>
    <t>к подземной площади (паркинг), кв.м.</t>
  </si>
  <si>
    <t>Описание отделки МОП</t>
  </si>
  <si>
    <t>Отделка эвакуц. коридоров, лестниц, пожарные балконы, лоджий эвакуац. Лестниц</t>
  </si>
  <si>
    <t>Этажность (надзм.)</t>
  </si>
  <si>
    <t>к площади детского клуба ,кв.м.</t>
  </si>
  <si>
    <t>Встроенный</t>
  </si>
  <si>
    <t>Площадь детского клуба, кв.м.</t>
  </si>
  <si>
    <t>100 м</t>
  </si>
  <si>
    <t>150 м</t>
  </si>
  <si>
    <t>ФАСАД</t>
  </si>
  <si>
    <t>Сумма всех сторон здания,м</t>
  </si>
  <si>
    <t>ориентировочно 6 шт. на 1 подъезд</t>
  </si>
  <si>
    <t>коэф. Цен на 2 кв. 18 кв.</t>
  </si>
  <si>
    <t>% озеленения (благоустройство) свободной территории</t>
  </si>
  <si>
    <t>% покрытия (благоустройство)  свободной территории</t>
  </si>
  <si>
    <t>СМР соседних участков - рассчитываются отдельно по запросу у сметчика</t>
  </si>
  <si>
    <t>Возведение перегородок</t>
  </si>
  <si>
    <t>Подземная площадь (цоколь/подвал)</t>
  </si>
  <si>
    <t>коэф. Перевода с 2 кв. 18 на 4 кв</t>
  </si>
  <si>
    <t>Общие расходы</t>
  </si>
  <si>
    <t>Площадь ЗУ, кв.м.</t>
  </si>
  <si>
    <t>до</t>
  </si>
  <si>
    <t>свыше</t>
  </si>
  <si>
    <t>площадь ЗУ, кв.м.</t>
  </si>
  <si>
    <t>Исходные данные для проектирования</t>
  </si>
  <si>
    <t>Исходные данные для проектирования для 150 м</t>
  </si>
  <si>
    <t>75 м</t>
  </si>
  <si>
    <t>Проектирование стадии "П"</t>
  </si>
  <si>
    <t>Проектирование стадии "РД"</t>
  </si>
  <si>
    <t>Документация ЗОС</t>
  </si>
  <si>
    <t>Общая строительная площадь (с балконами), кв.м.</t>
  </si>
  <si>
    <t>ПРОЕКТИРОВАНИЕ</t>
  </si>
  <si>
    <t>к площади ЗУ</t>
  </si>
  <si>
    <t>ндс</t>
  </si>
  <si>
    <t>Итого на проект</t>
  </si>
  <si>
    <t>Норматив в руб.</t>
  </si>
  <si>
    <t>Норматив в евро</t>
  </si>
  <si>
    <t>Курс евро</t>
  </si>
  <si>
    <t>в руб.</t>
  </si>
  <si>
    <t>в евро</t>
  </si>
  <si>
    <t>СТРОЙПЛОЩАДКА</t>
  </si>
  <si>
    <t>к площади свободного ЗУ, кв.м.</t>
  </si>
  <si>
    <t>свободный участок до 1 999 кв.м.</t>
  </si>
  <si>
    <t>свободный участок от 2 000 до 4 999 кв.м.</t>
  </si>
  <si>
    <t>свободный участок от 5 000 до 9 999 кв.м.</t>
  </si>
  <si>
    <t>свободный участок свыше 10 000 кв.м.</t>
  </si>
  <si>
    <t xml:space="preserve">Курс евро </t>
  </si>
  <si>
    <t>Внешние сети - согласования</t>
  </si>
  <si>
    <t>к общей надземной площади, кв.м.</t>
  </si>
  <si>
    <t>до 20 000  кв.м.</t>
  </si>
  <si>
    <t>свыше 20 000 кв.м.</t>
  </si>
  <si>
    <t>от 20 000 до 50 000 кв.м.</t>
  </si>
  <si>
    <t>свыше 50 000 кв.м.</t>
  </si>
  <si>
    <t>до 50 000  кв.м.</t>
  </si>
  <si>
    <t>от 20 000 до 50 000  кв.м.</t>
  </si>
  <si>
    <t>Устройство уличного кинотеатра (как на Парк Мира)</t>
  </si>
  <si>
    <t>Уличный кинотеатр</t>
  </si>
  <si>
    <t>паркинг</t>
  </si>
  <si>
    <t>Паркинг 2 уровня (-9,5 м)</t>
  </si>
  <si>
    <t>Паркинг 3 уровня (-10,45 м)</t>
  </si>
  <si>
    <t>Паркинг 3 уровня + тех. этаж (-12,9 м)</t>
  </si>
  <si>
    <t>Цоколь/ подвал (- 4,2 м)</t>
  </si>
  <si>
    <t>Фундамент</t>
  </si>
  <si>
    <t>к подземной площади (цоколь/подвал)</t>
  </si>
  <si>
    <t>к надземной площади</t>
  </si>
  <si>
    <t>Пятно застройки</t>
  </si>
  <si>
    <t>Тип строительства</t>
  </si>
  <si>
    <t>Конструктив (выше 0) реконструкция</t>
  </si>
  <si>
    <t>к надземному объему, м3</t>
  </si>
  <si>
    <t>до 40 м</t>
  </si>
  <si>
    <t>от 41 до 50 м</t>
  </si>
  <si>
    <t>от 51 до 70 м</t>
  </si>
  <si>
    <t>свыше 131 м</t>
  </si>
  <si>
    <t>Выбери класс проекта</t>
  </si>
  <si>
    <t>Выбери класс строения</t>
  </si>
  <si>
    <t>Конструктив</t>
  </si>
  <si>
    <t>реконструкция</t>
  </si>
  <si>
    <t>% перек</t>
  </si>
  <si>
    <t>% стен</t>
  </si>
  <si>
    <t>реномэ</t>
  </si>
  <si>
    <t>джаз</t>
  </si>
  <si>
    <t>1 уровень</t>
  </si>
  <si>
    <t>2 уровень</t>
  </si>
  <si>
    <t>3 уровень</t>
  </si>
  <si>
    <t>ПАРКИНГ</t>
  </si>
  <si>
    <t>стр.3</t>
  </si>
  <si>
    <t>стр.4</t>
  </si>
  <si>
    <t>% зем раб</t>
  </si>
  <si>
    <t>% фунда</t>
  </si>
  <si>
    <t>% лестниц</t>
  </si>
  <si>
    <t>Устройство вертолетной площадки на кровле</t>
  </si>
  <si>
    <t>Плоская кровля + благоустройство кровли</t>
  </si>
  <si>
    <t>до 75 м</t>
  </si>
  <si>
    <t>от 76 до 130 м</t>
  </si>
  <si>
    <t>устройство кровли</t>
  </si>
  <si>
    <t>устройство вертолетной площадки</t>
  </si>
  <si>
    <t>Мебель</t>
  </si>
  <si>
    <t>Почтовые ящики</t>
  </si>
  <si>
    <t>Кол-во квартир, шт.</t>
  </si>
  <si>
    <t>стоимость, руб.</t>
  </si>
  <si>
    <t>Интернет, телевидение, телефония, ридиофикация, часофикация</t>
  </si>
  <si>
    <t>Соц. объекты</t>
  </si>
  <si>
    <t>Лифт для высоты 150 м (верхние этажи)</t>
  </si>
  <si>
    <t>от 15 до 30 м</t>
  </si>
  <si>
    <t>от 30 до 50 м</t>
  </si>
  <si>
    <t>от 50 до 75 м</t>
  </si>
  <si>
    <t>к кол-ву ,шт. на высотность подъема</t>
  </si>
  <si>
    <t>Лифты грузовые 
(г/п 1000-1125 кг)</t>
  </si>
  <si>
    <t>Лифты пассажирские
(г/п 630 кг)</t>
  </si>
  <si>
    <t>высота подъема, м</t>
  </si>
  <si>
    <t>пассажирские (г/п 630 кг)</t>
  </si>
  <si>
    <t>грузовые  (г/п 1000-1125 кг)</t>
  </si>
  <si>
    <r>
      <t xml:space="preserve">Кол-во </t>
    </r>
    <r>
      <rPr>
        <b/>
        <sz val="12"/>
        <color rgb="FFFF0000"/>
        <rFont val="Calibri"/>
        <family val="2"/>
        <charset val="204"/>
        <scheme val="minor"/>
      </rPr>
      <t>до 150 м</t>
    </r>
    <r>
      <rPr>
        <sz val="12"/>
        <rFont val="Calibri"/>
        <family val="2"/>
        <charset val="204"/>
        <scheme val="minor"/>
      </rPr>
      <t>, шт.</t>
    </r>
  </si>
  <si>
    <r>
      <t xml:space="preserve">Кол-во при </t>
    </r>
    <r>
      <rPr>
        <b/>
        <sz val="12"/>
        <color rgb="FFFF0000"/>
        <rFont val="Calibri"/>
        <family val="2"/>
        <charset val="204"/>
        <scheme val="minor"/>
      </rPr>
      <t>высоте 150 м</t>
    </r>
    <r>
      <rPr>
        <sz val="12"/>
        <rFont val="Calibri"/>
        <family val="2"/>
        <charset val="204"/>
        <scheme val="minor"/>
      </rPr>
      <t>, шт.</t>
    </r>
  </si>
  <si>
    <t>обязательно в пакинг предусмотреть отедльный лифт при высоте свыше 150 м</t>
  </si>
  <si>
    <t>пассажирские лифты</t>
  </si>
  <si>
    <t>грузовые лифты</t>
  </si>
  <si>
    <t>к кол-ву, шт.</t>
  </si>
  <si>
    <t>от 75 до 140 м</t>
  </si>
  <si>
    <t>к площади тех.помещений, кв.м.</t>
  </si>
  <si>
    <t>к площади блоков, кв.м.</t>
  </si>
  <si>
    <t>Shell &amp; core, включ .с/у</t>
  </si>
  <si>
    <t>Площадь блоков (под отделку), кв.м.</t>
  </si>
  <si>
    <t xml:space="preserve">надземные </t>
  </si>
  <si>
    <t>надземные 2-х светные квартиры</t>
  </si>
  <si>
    <t>подземные</t>
  </si>
  <si>
    <t>к общей подзем. площади, кв.м.</t>
  </si>
  <si>
    <t>от 75 до 120 м</t>
  </si>
  <si>
    <t>свыше 120 м</t>
  </si>
  <si>
    <t>Наземная площадь 2-х светных квартир на выходе , кв.м.</t>
  </si>
  <si>
    <t xml:space="preserve">Отделка 
2-х светных квартир </t>
  </si>
  <si>
    <t>Покрытие балконов</t>
  </si>
  <si>
    <t>к площади балконов</t>
  </si>
  <si>
    <t>к площади 2-х светных квартир с отделкой, кв.м.</t>
  </si>
  <si>
    <t>к общей надз. Площади 2-х светных квартир, кв.м.</t>
  </si>
  <si>
    <t>Площадь внешних балконов (открытых, под отделку), кв.м.</t>
  </si>
  <si>
    <t>Кол-во квартир, имеющих выход на кровлю, шт.</t>
  </si>
  <si>
    <t>Площадь поверхности фасада 1- го этажа, кв.м.</t>
  </si>
  <si>
    <t>Фасад - входные группы</t>
  </si>
  <si>
    <t>Фасад - остекление</t>
  </si>
  <si>
    <t>Фасад - облицовка</t>
  </si>
  <si>
    <t>Фасад - ритейл/1-й этаж</t>
  </si>
  <si>
    <t>Площадь поверхности фасада (выше 1-го этажа), кв.м.</t>
  </si>
  <si>
    <t>Площадь поверхности фасада 2-х светных квартир (выше 1-го этажа), кв.м.</t>
  </si>
  <si>
    <t>Высота фасада 2-х светных квартир ,м</t>
  </si>
  <si>
    <t>Внутрений демонтаж (для реконструкции)</t>
  </si>
  <si>
    <t>Демонтаж конструктива</t>
  </si>
  <si>
    <t>к общей площади сноса/демонтажа, кв.м.</t>
  </si>
  <si>
    <t>Общая площадь некапитальных построек (по БТИ), кв.м.</t>
  </si>
  <si>
    <t>Общая наземная площадь (если нет подземных этажей)(по БТИ), кв.м.</t>
  </si>
  <si>
    <t>Общая надземная и подземная площадь (если есть подземные этажи)(по БТИ), кв.м.</t>
  </si>
  <si>
    <t>ДЛЯ РЕКОНСТРУКЦИИ</t>
  </si>
  <si>
    <t>Общая площадь (по БТИ), кв.м.</t>
  </si>
  <si>
    <t>от 71 до 100 м</t>
  </si>
  <si>
    <t>от 101 до 130 м</t>
  </si>
  <si>
    <t xml:space="preserve">к общей площади, кв.м. </t>
  </si>
  <si>
    <t>РнС</t>
  </si>
  <si>
    <t>СМР</t>
  </si>
  <si>
    <t>Получение ЗОС и Разрешения на ввод объекта в эксплуатацию</t>
  </si>
  <si>
    <t>срок окончания смр</t>
  </si>
  <si>
    <t>РНС</t>
  </si>
  <si>
    <t>Ввод объекта</t>
  </si>
  <si>
    <t>срок начала СМР/проектирования (первые расходы по стройке) до Ввода</t>
  </si>
  <si>
    <t>срок от РНС до Ввода</t>
  </si>
  <si>
    <t>Кодификатор</t>
  </si>
  <si>
    <t>Наименование статей</t>
  </si>
  <si>
    <t>Итого (план+факт)</t>
  </si>
  <si>
    <t>2.02.04.01</t>
  </si>
  <si>
    <t xml:space="preserve">Расходы на строительство и проектирование </t>
  </si>
  <si>
    <t>2.02.05</t>
  </si>
  <si>
    <t>Согласования и операторы</t>
  </si>
  <si>
    <t>2.02.05.03</t>
  </si>
  <si>
    <t>Согласования по сетям и техусловиям</t>
  </si>
  <si>
    <t>2.02.05.03.01</t>
  </si>
  <si>
    <t>2.02.05.03.02</t>
  </si>
  <si>
    <t>ОКК</t>
  </si>
  <si>
    <t xml:space="preserve">Начало </t>
  </si>
  <si>
    <t>Окончание</t>
  </si>
  <si>
    <t>АФК</t>
  </si>
  <si>
    <t>Проектирование стадия "П"</t>
  </si>
  <si>
    <t>Проектирование стадия "РД"</t>
  </si>
  <si>
    <t>* Сроки указаны в календарных днях</t>
  </si>
  <si>
    <r>
      <t>Общая надземная и подземная площадь (снос)</t>
    </r>
    <r>
      <rPr>
        <sz val="12"/>
        <color theme="1"/>
        <rFont val="Calibri"/>
        <family val="2"/>
        <charset val="204"/>
        <scheme val="minor"/>
      </rPr>
      <t>, м3</t>
    </r>
    <r>
      <rPr>
        <b/>
        <sz val="12"/>
        <color rgb="FFFF0000"/>
        <rFont val="Calibri"/>
        <family val="2"/>
        <charset val="204"/>
        <scheme val="minor"/>
      </rPr>
      <t xml:space="preserve">
</t>
    </r>
    <r>
      <rPr>
        <sz val="12"/>
        <color rgb="FFFF0000"/>
        <rFont val="Calibri"/>
        <family val="2"/>
        <charset val="204"/>
        <scheme val="minor"/>
      </rPr>
      <t>S с учетом работ в чистом поле</t>
    </r>
  </si>
  <si>
    <t>Площадь ЗУ под благоустройство (без пятна застройки и участка застройки под соц.объекты (школа, поликлиника, ДОУ), кв.м.</t>
  </si>
  <si>
    <t xml:space="preserve">Подземная площадь </t>
  </si>
  <si>
    <r>
      <t xml:space="preserve">Этажность (надзм.) </t>
    </r>
    <r>
      <rPr>
        <sz val="12"/>
        <color rgb="FFFF0000"/>
        <rFont val="Calibri"/>
        <family val="2"/>
        <charset val="204"/>
        <scheme val="minor"/>
      </rPr>
      <t>h этажа 3-3,5м</t>
    </r>
  </si>
  <si>
    <t>Наземная площадь зданий на выходе (по максимальнйо высоте) , кв.м.</t>
  </si>
  <si>
    <t>Площадь кровли, кв.м.</t>
  </si>
  <si>
    <t>Лифты, шт.</t>
  </si>
  <si>
    <t>Кровля-изоляция стилобата</t>
  </si>
  <si>
    <t>Нулевой цикл (земляные работы+ конструктив ниже 0)</t>
  </si>
  <si>
    <t>Плоская кровля</t>
  </si>
  <si>
    <t>Плоская кровля + благоустройство/мансарда</t>
  </si>
  <si>
    <t>уровень</t>
  </si>
  <si>
    <t>зем.</t>
  </si>
  <si>
    <t>конст</t>
  </si>
  <si>
    <t>сносимая площадь м3</t>
  </si>
  <si>
    <t>срок</t>
  </si>
  <si>
    <t>площадь ЗУ</t>
  </si>
  <si>
    <t xml:space="preserve">общая  площадь паркинга, м2 </t>
  </si>
  <si>
    <t>общая площадь кровли, м2</t>
  </si>
  <si>
    <t>общая площадь этажа паркинга, м2</t>
  </si>
  <si>
    <t>S с учетом работ в чистом поле</t>
  </si>
  <si>
    <t>от</t>
  </si>
  <si>
    <t>паркинг 1 уровень</t>
  </si>
  <si>
    <t>паркинг 2 уровень</t>
  </si>
  <si>
    <t>-</t>
  </si>
  <si>
    <t>паркинг 3 уровень</t>
  </si>
  <si>
    <t>паркинг 3 уровень + тех.этаж</t>
  </si>
  <si>
    <t>Конструктив выше 0 (h этажа 3-3,5м)</t>
  </si>
  <si>
    <t>тип</t>
  </si>
  <si>
    <t>этаж</t>
  </si>
  <si>
    <t>общая  площадь квартир, м2</t>
  </si>
  <si>
    <t xml:space="preserve">общая наземная площадь , м2 </t>
  </si>
  <si>
    <t>этажность</t>
  </si>
  <si>
    <t>Мебель  и оборудование</t>
  </si>
  <si>
    <t xml:space="preserve">Поликлиника </t>
  </si>
  <si>
    <t>высотность</t>
  </si>
  <si>
    <t>кол-во  посещений в смену</t>
  </si>
  <si>
    <t>СНиП 1.04.03-85</t>
  </si>
  <si>
    <t>Школа + благоустройство</t>
  </si>
  <si>
    <t>Школа с бассейном + благоустройство</t>
  </si>
  <si>
    <t>ДОУ (отдельностоящее) + благоустройство</t>
  </si>
  <si>
    <t>ДОУ (отдельностоящее) с бассейном + благоустройство</t>
  </si>
  <si>
    <t>кол-во мест</t>
  </si>
  <si>
    <t xml:space="preserve">на основании сайта Госзакупок </t>
  </si>
  <si>
    <t>Внутренние инженерные сети (без лифтов)</t>
  </si>
  <si>
    <t xml:space="preserve">общая площадь здания , м2 </t>
  </si>
  <si>
    <t>офис продаж отдельно стоящий</t>
  </si>
  <si>
    <t>кол-во м/мест</t>
  </si>
  <si>
    <t xml:space="preserve">  площадь офиса продаж, м2 </t>
  </si>
  <si>
    <t>Лифты</t>
  </si>
  <si>
    <t>кол-во</t>
  </si>
  <si>
    <t>высота подъема</t>
  </si>
  <si>
    <t>Отделка дет.клуба</t>
  </si>
  <si>
    <t>Кол-во лифтов, шт.</t>
  </si>
  <si>
    <t>до 10 шт</t>
  </si>
  <si>
    <t>общая  площадь дет.клуба, м2</t>
  </si>
  <si>
    <t>более 10 шт</t>
  </si>
  <si>
    <t>свыше 10 шт</t>
  </si>
  <si>
    <t>площадь благоустройства, м2</t>
  </si>
  <si>
    <t xml:space="preserve">Исходные данные </t>
  </si>
  <si>
    <t>Проектирование П</t>
  </si>
  <si>
    <t>Проектирование РД</t>
  </si>
  <si>
    <t xml:space="preserve">общая площадь здания, м2 </t>
  </si>
  <si>
    <t>Не включает согласование госэкспертизы</t>
  </si>
  <si>
    <t>Не включает доработку продукта</t>
  </si>
  <si>
    <t>надземная</t>
  </si>
  <si>
    <t>общая надземная площадь</t>
  </si>
  <si>
    <t>Небольшие объекты 5-30 тыс. кв.м – 75 - 90 дней (2,5 – 3 мес)</t>
  </si>
  <si>
    <t>Средние объекты 30-70 тыс. кв.м – 90 - 120 дней (3 – 4 мес)</t>
  </si>
  <si>
    <t>Основные данные, заложенные в принципах разбивки СМР (автоматическое построение БДДС):</t>
  </si>
  <si>
    <t>Крупные объекты 70-100 тыс. кв.м - 120 - 150 дней (4 – 5 мес)</t>
  </si>
  <si>
    <t>РУ 2  если позже окончания продаж – дисконтируется под 20% на дату окончания продаж (получения 100% ДС)</t>
  </si>
  <si>
    <t>Расходы на строительство и проектирование</t>
  </si>
  <si>
    <t xml:space="preserve">Аванс </t>
  </si>
  <si>
    <t xml:space="preserve">Оплаты </t>
  </si>
  <si>
    <t>РУ 1</t>
  </si>
  <si>
    <t>ПНР</t>
  </si>
  <si>
    <t>РУ 2</t>
  </si>
  <si>
    <t>(до начала работ)</t>
  </si>
  <si>
    <t>(на 2 месяц после оплаты аванса)</t>
  </si>
  <si>
    <t>(на след. месяц после послед. оплаты)</t>
  </si>
  <si>
    <t>(через 24 мес. после оплаты РУ2)</t>
  </si>
  <si>
    <t>Точка начала работ</t>
  </si>
  <si>
    <t>Через 30% от начала работ по получению исходных данных</t>
  </si>
  <si>
    <t>После окончания работ по АФК</t>
  </si>
  <si>
    <t>Через 30% от начала работ по земляным работам</t>
  </si>
  <si>
    <t>После окончания работ по конструктиву ниже (0)</t>
  </si>
  <si>
    <t>После окончания работ по конструктиву выше (0)</t>
  </si>
  <si>
    <t>Подъемное оборудование</t>
  </si>
  <si>
    <t xml:space="preserve">После окончания работ по конструктиву выше (0). Аванс за 6 мес до окончания конструктива выше (0). </t>
  </si>
  <si>
    <t>Через 80% от начала работ по внутренней отделке (отделка МОП)</t>
  </si>
  <si>
    <t>Через 50% от начала работ по внешним сетям</t>
  </si>
  <si>
    <t>Равными платежами</t>
  </si>
  <si>
    <t>После окончания работ по проектированию стадии РД</t>
  </si>
  <si>
    <t>вводим самую максимальную высоту</t>
  </si>
  <si>
    <t>вводим самый максимальный эт.</t>
  </si>
  <si>
    <t>вводим общее кол-во лифтов</t>
  </si>
  <si>
    <t>общее кол-во дн в году</t>
  </si>
  <si>
    <t>год</t>
  </si>
  <si>
    <t>дни</t>
  </si>
  <si>
    <t>Оплаты</t>
  </si>
  <si>
    <t>Аванс</t>
  </si>
  <si>
    <t>Внутренние инженерные сети - лифты</t>
  </si>
  <si>
    <t>Кровля - скатная</t>
  </si>
  <si>
    <t>Кровля - плоская</t>
  </si>
  <si>
    <t>Кровля - изоляция</t>
  </si>
  <si>
    <t>сроки</t>
  </si>
  <si>
    <t>самый миниумм</t>
  </si>
  <si>
    <t>начало</t>
  </si>
  <si>
    <t>окончание</t>
  </si>
  <si>
    <t>Для стройплощадки (стадия П и демонтаж)</t>
  </si>
  <si>
    <t>Кровля - Плоская кровля + благоустройство/мансарда</t>
  </si>
  <si>
    <t>Кровля - вертолетная площадка</t>
  </si>
  <si>
    <t>Внутренние инженерные сети - подъемное оборудование</t>
  </si>
  <si>
    <t>Внутренняя отделка - отделка квартир</t>
  </si>
  <si>
    <t>Внутренняя отделка - отделка тех. помещений</t>
  </si>
  <si>
    <t>Внутренняя отделка - отделка блоков</t>
  </si>
  <si>
    <t>Внутренняя отделка - отделка моп</t>
  </si>
  <si>
    <t>Внутренняя отделка - паркинга</t>
  </si>
  <si>
    <t>Внутренняя отделка - возвр. Перегородок</t>
  </si>
  <si>
    <t>Для мебели (отделка)</t>
  </si>
  <si>
    <t>Социальная инфраструктура - школа</t>
  </si>
  <si>
    <t>Социальная инфраструктура - школа с басс</t>
  </si>
  <si>
    <t>Социальная инфраструктура - доу</t>
  </si>
  <si>
    <t>Социальная инфраструктура - доу с басс</t>
  </si>
  <si>
    <t>Социальная инфраструктура - поликлиника</t>
  </si>
  <si>
    <t>Социальная инфраструктура - этажерка</t>
  </si>
  <si>
    <t>Социальная инфраструктура - дет.клуб.</t>
  </si>
  <si>
    <t>Дата начала СМР/проектирования (первые расходы по стройке) - дата получения ГПЗУ</t>
  </si>
  <si>
    <t>дев</t>
  </si>
  <si>
    <t>редев</t>
  </si>
  <si>
    <t>Общая надземная и подземная площадь (снос), м3 (для БДДС)</t>
  </si>
  <si>
    <t>Площадь неэксплуатируемой кровли, кв.м.</t>
  </si>
  <si>
    <t>Общая площадь квартир (с чистовой отделкой), кв.м.</t>
  </si>
  <si>
    <t>Общая площадь 2-х светных квартир (с чистовой отделкой), кв.м.</t>
  </si>
  <si>
    <r>
      <t xml:space="preserve">Общая площадь МОП, кв.м.
</t>
    </r>
    <r>
      <rPr>
        <i/>
        <sz val="12"/>
        <rFont val="Calibri"/>
        <family val="2"/>
        <charset val="204"/>
        <scheme val="minor"/>
      </rPr>
      <t xml:space="preserve">(вестибюль, лобби, ресепшн, общественные санузлы 1 этажа, лестницы, коридоры, лифтовые холлы)
</t>
    </r>
    <r>
      <rPr>
        <i/>
        <sz val="12"/>
        <color rgb="FFFF0000"/>
        <rFont val="Calibri"/>
        <family val="2"/>
        <charset val="204"/>
        <scheme val="minor"/>
      </rPr>
      <t>необходимо вычитать отсюда площадь тех.помещений</t>
    </r>
  </si>
  <si>
    <t>Чистовая отделка квартир</t>
  </si>
  <si>
    <t xml:space="preserve">Чистовая отделка 2-х светных квартир </t>
  </si>
  <si>
    <t xml:space="preserve">ОТДЕЛКА white box </t>
  </si>
  <si>
    <t>Общая площадь 1с квартир (с отделкой white box), кв.м.</t>
  </si>
  <si>
    <t>Общая площадь 2с квартир (с отделкой white box), кв.м.</t>
  </si>
  <si>
    <t>Общая площадь 3с квартир (с отделкой white box), кв.м.</t>
  </si>
  <si>
    <r>
      <t xml:space="preserve">Общая площадь квартир (с отделкой white box), кв.м.
</t>
    </r>
    <r>
      <rPr>
        <sz val="12"/>
        <color rgb="FFFF0000"/>
        <rFont val="Calibri"/>
        <family val="2"/>
        <charset val="204"/>
        <scheme val="minor"/>
      </rPr>
      <t>среднее (1с-3с)</t>
    </r>
  </si>
  <si>
    <t>Общая площадь 2-х светных 1с квартир (с отделкой white box), кв.м.</t>
  </si>
  <si>
    <r>
      <t xml:space="preserve">Общая площадь 2-х светных квартир (с отделкой white box), кв.м.
</t>
    </r>
    <r>
      <rPr>
        <sz val="12"/>
        <color rgb="FFFF0000"/>
        <rFont val="Calibri"/>
        <family val="2"/>
        <charset val="204"/>
        <scheme val="minor"/>
      </rPr>
      <t>среднее (1с-3с)</t>
    </r>
  </si>
  <si>
    <t>Общая площадь 2-х светных 2с квартир (с отделкой white box), кв.м.</t>
  </si>
  <si>
    <t>Общая площадь 2-х светных 3с квартир (с отделкой white box), кв.м.</t>
  </si>
  <si>
    <t>white box 1 с</t>
  </si>
  <si>
    <t>white box 2 с</t>
  </si>
  <si>
    <t>white box 3 с</t>
  </si>
  <si>
    <t>white box среднее</t>
  </si>
  <si>
    <t>1с в руб.</t>
  </si>
  <si>
    <t>2с в руб.</t>
  </si>
  <si>
    <t>3с в руб.</t>
  </si>
  <si>
    <t>среднее (1с-3с) в руб.</t>
  </si>
  <si>
    <t>Отделка квартир white box</t>
  </si>
  <si>
    <t>1с в евро</t>
  </si>
  <si>
    <t>2с в евро</t>
  </si>
  <si>
    <t>3с в евро</t>
  </si>
  <si>
    <t>среднее (1с-3с) в евро</t>
  </si>
  <si>
    <t>Отделка 2-х светных квартир white box</t>
  </si>
  <si>
    <r>
      <t xml:space="preserve">Через 62% от начала работ по конструктиву выше (0)
</t>
    </r>
    <r>
      <rPr>
        <b/>
        <sz val="12"/>
        <color rgb="FF000000"/>
        <rFont val="Calibri"/>
        <family val="2"/>
        <charset val="204"/>
        <scheme val="minor"/>
      </rPr>
      <t xml:space="preserve">При высотности свыше 70 м:
</t>
    </r>
    <r>
      <rPr>
        <sz val="12"/>
        <color rgb="FF000000"/>
        <rFont val="Calibri"/>
        <family val="2"/>
        <charset val="204"/>
        <scheme val="minor"/>
      </rPr>
      <t>Через 30% от начала работ по конструктиву выше (0)</t>
    </r>
  </si>
  <si>
    <r>
      <t xml:space="preserve">Через 62% от начала работ по конструктиву выше (0)
</t>
    </r>
    <r>
      <rPr>
        <b/>
        <sz val="12"/>
        <color rgb="FF000000"/>
        <rFont val="Calibri"/>
        <family val="2"/>
        <charset val="204"/>
        <scheme val="minor"/>
      </rPr>
      <t>При высотности свыше 70 м:</t>
    </r>
    <r>
      <rPr>
        <sz val="12"/>
        <color rgb="FF000000"/>
        <rFont val="Calibri"/>
        <family val="2"/>
        <charset val="204"/>
        <scheme val="minor"/>
      </rPr>
      <t xml:space="preserve">
Через 30% от начала работ по конструктиву выше (0)</t>
    </r>
  </si>
  <si>
    <r>
      <t xml:space="preserve">Через 80% от начала работ по конструктиву выше (0)
</t>
    </r>
    <r>
      <rPr>
        <b/>
        <sz val="12"/>
        <color rgb="FF000000"/>
        <rFont val="Calibri"/>
        <family val="2"/>
        <charset val="204"/>
        <scheme val="minor"/>
      </rPr>
      <t>При высотности свыше 70 м:</t>
    </r>
    <r>
      <rPr>
        <sz val="12"/>
        <color rgb="FF000000"/>
        <rFont val="Calibri"/>
        <family val="2"/>
        <charset val="204"/>
        <scheme val="minor"/>
      </rPr>
      <t xml:space="preserve">
Через 60% от начала работ по конструктиву выше (0)</t>
    </r>
  </si>
  <si>
    <r>
      <t xml:space="preserve">Через 40% от начала работ по фасадам(закрытый теплый контур)
</t>
    </r>
    <r>
      <rPr>
        <b/>
        <sz val="12"/>
        <color theme="1"/>
        <rFont val="Calibri"/>
        <family val="2"/>
        <charset val="204"/>
        <scheme val="minor"/>
      </rPr>
      <t>При высотности свыше 70 м:</t>
    </r>
    <r>
      <rPr>
        <sz val="12"/>
        <color theme="1"/>
        <rFont val="Calibri"/>
        <family val="2"/>
        <charset val="204"/>
        <scheme val="minor"/>
      </rPr>
      <t xml:space="preserve">
Через 25% от начала работ по фасадам(закрытый теплый контур)</t>
    </r>
  </si>
  <si>
    <t>Площадь эксплуатируемой кровли, кв.м.</t>
  </si>
  <si>
    <t>Площадь эксплуатируемой кровли плоская</t>
  </si>
  <si>
    <t>Площадь неэксплуатируемой кровли мансарда</t>
  </si>
  <si>
    <t>Площадь неэксплуатируемой кровли скатная</t>
  </si>
  <si>
    <t>Площадь неэксплуатируемой кровли плоская</t>
  </si>
  <si>
    <t>коэф. Перевода с 4 кв. 18 на 2 кв 19</t>
  </si>
  <si>
    <t>Благоустройство детского клуба</t>
  </si>
  <si>
    <t>Уличная площадка (покрытие + мафы + ограждение)</t>
  </si>
  <si>
    <t>Благоустройстуво - детская площадка</t>
  </si>
  <si>
    <t>руб.</t>
  </si>
  <si>
    <t>благоустройство детского клуба (детская площадка)</t>
  </si>
  <si>
    <t>up-down</t>
  </si>
  <si>
    <t>Выбор технологии</t>
  </si>
  <si>
    <t>Длительность, дн</t>
  </si>
  <si>
    <t>скатная</t>
  </si>
  <si>
    <t>вертолетная площадка</t>
  </si>
  <si>
    <t xml:space="preserve"> отделка квартир</t>
  </si>
  <si>
    <t>отделка тех. помещений</t>
  </si>
  <si>
    <t>отделка блоков</t>
  </si>
  <si>
    <t>отделка моп</t>
  </si>
  <si>
    <t>паркинга</t>
  </si>
  <si>
    <t>возвр. перегородок</t>
  </si>
  <si>
    <t>школа</t>
  </si>
  <si>
    <t>школа с басс</t>
  </si>
  <si>
    <t>доу</t>
  </si>
  <si>
    <t>доу с басс</t>
  </si>
  <si>
    <t>поликлиника</t>
  </si>
  <si>
    <t>этажерка</t>
  </si>
  <si>
    <t>"Этажерка" до 300 м/м</t>
  </si>
  <si>
    <t>"Этажерка" от 301 до 999 м/м</t>
  </si>
  <si>
    <t>"Этажерка" свыше 1 000 м/м</t>
  </si>
  <si>
    <t>Аренда</t>
  </si>
  <si>
    <t>Демонстрационный стенд с материалами</t>
  </si>
  <si>
    <t>руб./здание</t>
  </si>
  <si>
    <t>Mockup</t>
  </si>
  <si>
    <t>Площадь фитнеса без бассейна, кв.м.</t>
  </si>
  <si>
    <r>
      <t xml:space="preserve">Фитнес-зал </t>
    </r>
    <r>
      <rPr>
        <i/>
        <sz val="12"/>
        <rFont val="Calibri"/>
        <family val="2"/>
        <charset val="204"/>
        <scheme val="minor"/>
      </rPr>
      <t>для внутреннего пользования жильцами дома (без бассейна)</t>
    </r>
  </si>
  <si>
    <t>РД, отделка + дверь, ИС ( осветительное и сантехническое оборудование, отопление, вентиляция и кондиционирование). Оборудование не входит.
Доступ в фитнес зал осуществляется из основного лобби. Высота помещения 5,7 м.
Состав: Раздевалки со шкафчиками + Душевые и с/у
Зоны для тренировок: Силовых, Кардио, Функциональных, Со свободными весами, Занятий йогой и/или пилатесом, Места для хранения оборудования для занятий</t>
  </si>
  <si>
    <t>к площади фитнеса, кв.м.</t>
  </si>
  <si>
    <t>Фитнес-зал</t>
  </si>
  <si>
    <t>Фитнес зал</t>
  </si>
  <si>
    <r>
      <t xml:space="preserve">Детский клуб </t>
    </r>
    <r>
      <rPr>
        <i/>
        <sz val="12"/>
        <rFont val="Calibri"/>
        <family val="2"/>
        <charset val="204"/>
        <scheme val="minor"/>
      </rPr>
      <t>для внутреннего пользования жильцами дома</t>
    </r>
  </si>
  <si>
    <t>Игровое оборудование
(качели, занавес, столик, игровой элемент) - 105 шт.</t>
  </si>
  <si>
    <t>Изделия индивидуального изготовления
 (лестница, стеллаж, антрессоль, шкаф, магнитные панели, латунная колонна) - 7 шт.</t>
  </si>
  <si>
    <t>Интерактивное оборудование - 13 шт.</t>
  </si>
  <si>
    <t>РД, отделка, ИС ( осветительное и сантехническое оборудование, отопление, вентиляция и кондиционирование). Оборудование не входит.
 Высота помещения 5,7 м.</t>
  </si>
  <si>
    <t>Игровое оборудование</t>
  </si>
  <si>
    <t>Изделия индивидуального изготовления</t>
  </si>
  <si>
    <t xml:space="preserve">Интерактивное оборудование </t>
  </si>
  <si>
    <t xml:space="preserve">РД, отделка, ИС </t>
  </si>
  <si>
    <t>Вырубка деревьев</t>
  </si>
  <si>
    <t>предписание + вырубка, уборка мусора</t>
  </si>
  <si>
    <t>компенсационное озеленение</t>
  </si>
  <si>
    <t>• денежная или натуральная компенсация городу
• разработка проектной документации компенсационного озеленения: 
• инвентаризация зеленых насаждений
• все сопутствующие работы для данной статьи</t>
  </si>
  <si>
    <t>Вырубка деревьев, компен. Озеленение</t>
  </si>
  <si>
    <t>руб./ 1 дерево</t>
  </si>
  <si>
    <t>Устройство стройгородка (бытовки, таблички)</t>
  </si>
  <si>
    <t>свободный участок до 4 999 кв.м.</t>
  </si>
  <si>
    <t>Банеры, маршруты показов  КД</t>
  </si>
  <si>
    <t>Материалы для подготовки и содержания строительной площадки</t>
  </si>
  <si>
    <t>Услуги по уборке территории</t>
  </si>
  <si>
    <t>свободный участок до 3 999 кв.м.</t>
  </si>
  <si>
    <t>свободный участок от 4 000 до 9999 кв.м.</t>
  </si>
  <si>
    <t>Услуги по обслуживанию сантехкабин</t>
  </si>
  <si>
    <t>свободный участок от 5 000 до 14 999 кв.м.</t>
  </si>
  <si>
    <t>свободный участок свыше 15 000 кв.м.</t>
  </si>
  <si>
    <t>Охрана</t>
  </si>
  <si>
    <t>Услуги связи и интернет на объекте</t>
  </si>
  <si>
    <t>Электроснабжение строительства</t>
  </si>
  <si>
    <t>Временный водопровод и канализация, АПС</t>
  </si>
  <si>
    <t>Временное отопление/кондиционирование</t>
  </si>
  <si>
    <t>Прочие услуги по содержанию стройплощадки</t>
  </si>
  <si>
    <t>указать кол-во вырубаемых деревьев/кустарников, шт.</t>
  </si>
  <si>
    <t>Разработка РД + ИС сети
Установка насосного оборудования + системы фильтрации + чаши; нанесение авторского рисунка на гранитную плиту, мощение фонтана
Монтаж светодинамического фонтана с программированием сценария подсветки и замкнутым циклом водоподачи</t>
  </si>
  <si>
    <t>руб./шт.</t>
  </si>
  <si>
    <t xml:space="preserve">Видеоэкран + портал под киноэкран </t>
  </si>
  <si>
    <t>как на территории Парк Мира</t>
  </si>
  <si>
    <t>озеленение - планировка территории</t>
  </si>
  <si>
    <t>подсыпка земли; планировоные работы; устройство скрытой отмостки с покрытием из газона; устройство откоса</t>
  </si>
  <si>
    <t>до 500 кв.м.</t>
  </si>
  <si>
    <t>от 501 до 1 500 кв.м.</t>
  </si>
  <si>
    <t>свыше 1 501 кв.м.</t>
  </si>
  <si>
    <t>к площади озеленения, руб./кв.м.</t>
  </si>
  <si>
    <t>озеленение - газон</t>
  </si>
  <si>
    <t>устройство газонов + укрепленного газонной решеткой, устройство автоматической системы орошения; покрытие (газон) стилобата</t>
  </si>
  <si>
    <t>озеленение - посадка деревьев и растений</t>
  </si>
  <si>
    <t xml:space="preserve">устройство клумб, озеленение территории деревьями, кустарниками, в т.ч. кадки; покрытие (кусты) стилобата </t>
  </si>
  <si>
    <t>освещение на опорах (освещение детской площадки д.б. учтено в детской площадке); ландшафтная нижняя подсветка;тротуарные светильники, перетяжки; освещение заборов</t>
  </si>
  <si>
    <t>площадь свободного ЗУ свыше 13 001 кв.м.</t>
  </si>
  <si>
    <t>площадь свободного ЗУ  от 4 001 до 13 000 кв.м.</t>
  </si>
  <si>
    <t>площадь свободного ЗУ  от 2 001 до 4 000 кв.м.</t>
  </si>
  <si>
    <t>площадь свободного ЗУ  до 2 000 кв.м.</t>
  </si>
  <si>
    <t>к площади свободного ЗУ  руб./кв.м.</t>
  </si>
  <si>
    <t>к площади покрытия, руб./кв.м.</t>
  </si>
  <si>
    <t>до 2 500 кв.м.</t>
  </si>
  <si>
    <t>от 2 501 до 8 500 кв.м.</t>
  </si>
  <si>
    <t>свыше 8 501 кв.м.</t>
  </si>
  <si>
    <t>устройство покрытия территории, тротуаров, проездов; покрытие (не озеленение) стилобата/ под мусоросборные площадки; устройство бордюрного камня; водоотводные лотки; нанесение дорожной разметки; лежачий полицейский (искусственная неровность); устройство отмостки здания/входных групп;  устройство входных площадок; устройство пандуса (для колясок) на территории;
надземный паркинг/гостевой паркинг: устройство паркинга с разметкой; устройство колесоотбоя из асфальтобетона; экопарковка</t>
  </si>
  <si>
    <t>нумерация домов; дорожные знаки</t>
  </si>
  <si>
    <t>устройство навигационных пилонов, информационных табло, стелл</t>
  </si>
  <si>
    <t>к площади своодного ЗУ, кв.м.</t>
  </si>
  <si>
    <t>площадь свободного ЗУ  от 2 001 до 8 000 кв.м.</t>
  </si>
  <si>
    <t>кв.м./квартиру</t>
  </si>
  <si>
    <t>детские/игровые/спортивные площадки: вкл. покрытие, фундаменты под них; оборудование; ограждение; освещение детской площадки; включ. Проектирование</t>
  </si>
  <si>
    <t>площадь детской площадки</t>
  </si>
  <si>
    <t>стоимость ,руб./кв.м.</t>
  </si>
  <si>
    <t xml:space="preserve">площадь свободного ЗУ  свыше 4 001 </t>
  </si>
  <si>
    <t>Лифты прочее</t>
  </si>
  <si>
    <t>стоиомсть, руб./шт.</t>
  </si>
  <si>
    <t>Работы по отделке лифта и лифтовых порталов  (Элит)</t>
  </si>
  <si>
    <t>прочее (монтаж ключа приоритета, испытание петель и пр.)</t>
  </si>
  <si>
    <t>полное техническое освидетельствование лифтов</t>
  </si>
  <si>
    <t>техническое обслуживание лифтов</t>
  </si>
  <si>
    <t>Комфорт, Бизнес, Бизнем +</t>
  </si>
  <si>
    <t>склад</t>
  </si>
  <si>
    <t>до 10 м</t>
  </si>
  <si>
    <t>от 10 до 15 м</t>
  </si>
  <si>
    <t>Работы по отделке лифта и лифтовых порталов  (Премиум, Элит)</t>
  </si>
  <si>
    <t>устройство перегородок (ограждение помещений) и внутри помещений (ориентир перегородок согласно планировке) (гипсокартонные, пеноблоки, кирпичные и т.д.);
внутренние перегородки тамбура (светопрозрачные конструкции); кладка лифтовых шахт в шахте;
кладка наружних откосов учтена в фасадах; перегородки на кровле учтены в кровле, кроме мансарды</t>
  </si>
  <si>
    <t>Паркинг 1/2 уровеня</t>
  </si>
  <si>
    <t>Паркинг 3 уровня/ 3 + тех. Этаж / 4 уровня</t>
  </si>
  <si>
    <t>мобилизация; разработка ППР</t>
  </si>
  <si>
    <t>прочее</t>
  </si>
  <si>
    <t>устройство перегородок (ограждение помещений) и внутри помещений (ориентир перегородок согласно планировке) (гипсокартонные, пеноблоки, кирпичные и т.д.)</t>
  </si>
  <si>
    <r>
      <t xml:space="preserve">Площадь тех.помещений (под отделку), кв.м.
</t>
    </r>
    <r>
      <rPr>
        <b/>
        <sz val="12"/>
        <color rgb="FFFF0000"/>
        <rFont val="Calibri"/>
        <family val="2"/>
        <charset val="204"/>
        <scheme val="minor"/>
      </rPr>
      <t>по сущ. нашим проектам 3,7% от общей площади</t>
    </r>
  </si>
  <si>
    <t>отделка (полы, стены, потолки); зеркала;
колесоотбойники; средства регулирования (расположенные внутри паркинга);
защита кромок колонн (ударопрочная резина по всем кромкам колонн);
дренажные лотки - в инжсистемах;
мелкий демонтаж, необходимый для проведения отделки (отверстия)</t>
  </si>
  <si>
    <t>прочее (оборудование)</t>
  </si>
  <si>
    <t>зеркала; колесоотбойники; средства регулирования (расположенные внутри паркинга);
защита кромок колонн (ударопрочная резина по всем кромкам колонн);
дренажные лотки - в инжсистемах;</t>
  </si>
  <si>
    <t>прочее (отделка)</t>
  </si>
  <si>
    <t>черновая отделка (полы, стены, потолки); 
мелкий демонтаж, необходимый для проведения отделки (отверстия)</t>
  </si>
  <si>
    <t>материал отделка</t>
  </si>
  <si>
    <t>чистовая отделка (полы, стены, потолки)</t>
  </si>
  <si>
    <t>Отделка МОП:  вход. групп, лестницы, лестнич. и лифт. холлы и коридоры, эвакуц. выходы</t>
  </si>
  <si>
    <t>Винтовая лестница (выход на кровлю) до  h=4800 мм</t>
  </si>
  <si>
    <t>стоимость, руб./шт.</t>
  </si>
  <si>
    <t>Винтовая лестница (выход на кровлю) до  h=3200 мм</t>
  </si>
  <si>
    <t>отделка квартир (ИС) - черновые работы</t>
  </si>
  <si>
    <t>Электротехнические работы; Телефонизация; Пожарная сигнализация; Локальная сеть;
Радиофикация; Видеодомофон; Скрытая npoвoдка; Водоснабжение и водоотведение;
Отопление, вентиляция и кондиционирование</t>
  </si>
  <si>
    <t xml:space="preserve">отделка квартир (ИС (оборудование) +двери) </t>
  </si>
  <si>
    <t>Двери, люки, упоры и фурнитура; Электротехнические работы; Телефонизация;
Пожарная сигнализация; Локальная сеть; Радиофикация; Видеодомофон;
Скрытая npoвoдка; Водоснабжение и водоотведение; Отопление, вентиляция и кондиционирование</t>
  </si>
  <si>
    <t xml:space="preserve">черновая отделка пол, потолок </t>
  </si>
  <si>
    <t xml:space="preserve">чистовая  отделка пол, потолок </t>
  </si>
  <si>
    <t>черновая отделка (стены)</t>
  </si>
  <si>
    <t>чистовая отделка (стены)</t>
  </si>
  <si>
    <t>мобилизация</t>
  </si>
  <si>
    <t>стоимость, руб./площади отделки квартир, кв.м.</t>
  </si>
  <si>
    <t>рд</t>
  </si>
  <si>
    <t>Возмещение затрат по охране имущества</t>
  </si>
  <si>
    <t>Монтаж электроосвещения</t>
  </si>
  <si>
    <t>Проведение строительного контроля и надзора за соответствием выполняемых работ</t>
  </si>
  <si>
    <r>
      <t xml:space="preserve">Высота этажа квартир, имеющих выход на кровлю </t>
    </r>
    <r>
      <rPr>
        <i/>
        <sz val="12"/>
        <rFont val="Calibri"/>
        <family val="2"/>
        <charset val="204"/>
        <scheme val="minor"/>
      </rPr>
      <t>(для лестниц)</t>
    </r>
  </si>
  <si>
    <t>отделка квартир</t>
  </si>
  <si>
    <t>светильники, розетки, выключатели, диффузоры;
сантехприборы (унитазы, раковины, душевые кабины, смесители);
внутренняя навигация; ограждение внутренних балконов;
поручни и перилла лестниц; внутренние двери (в т.ч. противопожарные), двери тех помещений учтены в тех помещениях;
входные двери квартир/офисов/келлеров; тепловой контур</t>
  </si>
  <si>
    <t>черновая: отделка пола, потолка, стен; отделка санузлов;
отделка зон ресепшн, лобби, колясочная; мелкий демонтаж, необходимый для проведения отделки (отверстия);
устройство покрытий общих балконов, гидроизоляция пола</t>
  </si>
  <si>
    <t>чистовая: отделка пола, потолка, стен; отделка санузлов;
отделка зон ресепшн, лобби, колясочная; устройство покрытий общих балконов</t>
  </si>
  <si>
    <r>
      <t>Общая площадь лобби, кв.м.</t>
    </r>
    <r>
      <rPr>
        <i/>
        <sz val="12"/>
        <rFont val="Calibri"/>
        <family val="2"/>
        <charset val="204"/>
        <scheme val="minor"/>
      </rPr>
      <t xml:space="preserve"> (для расчета мебели)</t>
    </r>
  </si>
  <si>
    <t>камин</t>
  </si>
  <si>
    <t>общее</t>
  </si>
  <si>
    <t>таблички квартир</t>
  </si>
  <si>
    <t>поставку придверных ковриков</t>
  </si>
  <si>
    <t>стоиомость к кол-ву квартир, шт.</t>
  </si>
  <si>
    <t>стоимость, руб./кв.м. лобби</t>
  </si>
  <si>
    <t>ресепшен</t>
  </si>
  <si>
    <t xml:space="preserve">ресепшен мал. для лобби </t>
  </si>
  <si>
    <t>декор</t>
  </si>
  <si>
    <t>растение</t>
  </si>
  <si>
    <t>освещение</t>
  </si>
  <si>
    <t>навигационное панно</t>
  </si>
  <si>
    <t>мебель и техника</t>
  </si>
  <si>
    <t>комфорт, Бизнес, Бизнес +</t>
  </si>
  <si>
    <t>Система противодымной вентиляции</t>
  </si>
  <si>
    <t>Система кондиционирования жилье</t>
  </si>
  <si>
    <t>вентиляция приточно-вытяжная (надземная площадь)</t>
  </si>
  <si>
    <t>Прочее (наземная площадь)</t>
  </si>
  <si>
    <t xml:space="preserve">Проведение испытаний систем вентиляции заданий; ПНР;   
Получение и оформление от имени Заказчика всех необходимых для строительства и ввода в эксплуатацию документов;   
Прочее </t>
  </si>
  <si>
    <t>Прочее (подземная площадь)</t>
  </si>
  <si>
    <t>Система противодымной вентиляции (паркинг)</t>
  </si>
  <si>
    <t>кондиционирование сплит-система</t>
  </si>
  <si>
    <t>Увлажнители</t>
  </si>
  <si>
    <t>монтаж дымоходов</t>
  </si>
  <si>
    <t>к общей подземной площади, кв.м.</t>
  </si>
  <si>
    <t>стоиомсть ,руб. / к кол-ву помещений ритейла, шт.</t>
  </si>
  <si>
    <t>стоиомсть, руб./к кол-ву квартир, шт.</t>
  </si>
  <si>
    <t>вентиляция приточно-вытяжная (подземная площадь)</t>
  </si>
  <si>
    <t>1-2 уровеня</t>
  </si>
  <si>
    <t>3-4 уровня</t>
  </si>
  <si>
    <t>кол-во помещений ритейла (для сплит-системы), шт.</t>
  </si>
  <si>
    <t>Небходимое кол-во увлажнителей в квартирах, шт.</t>
  </si>
  <si>
    <t>Небходимое кол-во дымохов в квартирах, шт.</t>
  </si>
  <si>
    <t>пандус</t>
  </si>
  <si>
    <t>руб./ шт.</t>
  </si>
  <si>
    <t xml:space="preserve">ворота из паркинга, 2 шт. на </t>
  </si>
  <si>
    <t>руб./ 2 шт.</t>
  </si>
  <si>
    <t>ворота в паркинге - ворота, калитка и выходы, если они ниже 0</t>
  </si>
  <si>
    <t>руб./подземную площадь, кв.м.</t>
  </si>
  <si>
    <t>устройство входной зоны (все двери выходы из здания на улицу (металлические, противопожарные); 
загрузочные люки, технические и прочие наружные двери; комплекс работ по отделке крыльца с облицовкой и системой "теплый пол"; 
монтаж входной двери, козырьков, навесов; устройство декоративных элементов на входной группе; обустройство входных лестниц (облицовка, поручни и перилла)
Балконные двери учтены в остеклении.</t>
  </si>
  <si>
    <t>руб/ к поверхности фасада входных групп, кв.м.</t>
  </si>
  <si>
    <t>Фасад - входные группы ритейл</t>
  </si>
  <si>
    <t>остекление оконных переплетов и витрин;
установка светопрозрачных витражных конструкций</t>
  </si>
  <si>
    <t>руб/ к поверхности фасада остекления 1 эт., кв.м.</t>
  </si>
  <si>
    <t>установка светопрозрачных витражных конструкций
остекление балконов, в т.ч. балконные двери
остекление мансарды - учтено в кровле (мансарда)</t>
  </si>
  <si>
    <t>руб/ к поверхности фасада остекления выше 1  эт., кв.м.</t>
  </si>
  <si>
    <t>оконные отливы, откосы внутренние; временные окна; фиксаторы на окна;  
доп. запирающе. механизм (пружинный блок) Schueco
декоративный экран-ограждение (в т.ч. балкона); подоконные вставки</t>
  </si>
  <si>
    <t>руб/ к поверхности фасада остекления, кв.м.</t>
  </si>
  <si>
    <t xml:space="preserve">Бизнес ,Бизнес + </t>
  </si>
  <si>
    <t xml:space="preserve">облицовка - материал  + подсистема </t>
  </si>
  <si>
    <t>руб/ к поверхности фасада облицовки, кв.м.</t>
  </si>
  <si>
    <t>руб/ к поверхности фасада облицовки 1 эт., кв.м.</t>
  </si>
  <si>
    <t>входные группы</t>
  </si>
  <si>
    <t>облицовка прочее</t>
  </si>
  <si>
    <t>разработка ППР; мобилизация/демобилизация;
теплоэнергетический паспорт здания; тепловизиционное обследование;
облицовка выходов из паркинга; откосы наружные (кладка), отливы, отсечка, узлы примыкания окна;
установка/разборка лесов и др. подмостей (на всю площадь фасадов и остекления);
освещение фасадов; карнизы; площадки (корзины) под кондиционеры;
экраны балконов, ограждение (не конструктив) и отделка балконов (внешние);
конструкции для размещения инф. рекламных элементов, в т.ч. медиафасад;
декоративные экраны; вентрешетка; облицовка лифтовых шахт на кровле;
Кладка лифтовых шахт в шахтах.
Образцы фасада в отделке офиса продаж.</t>
  </si>
  <si>
    <t>облицовка (материал + подсистема)</t>
  </si>
  <si>
    <t>остекление прочее</t>
  </si>
  <si>
    <t>остекление (стеклопакет + профиль)</t>
  </si>
  <si>
    <t>остекление  ритейл/ 1 эт</t>
  </si>
  <si>
    <t>облицовка прочее ритейл/ 1 эт</t>
  </si>
  <si>
    <t>облицовка (материал + подсистема) ритейл/ 1 эт</t>
  </si>
  <si>
    <t>кол-во пандусов, шт.</t>
  </si>
  <si>
    <t>входные группы ритейл</t>
  </si>
  <si>
    <t>биокамин</t>
  </si>
  <si>
    <t>стена в грунте</t>
  </si>
  <si>
    <t>Форма участка</t>
  </si>
  <si>
    <t>многоугольная форма</t>
  </si>
  <si>
    <t>Начало работ стена в грунте</t>
  </si>
  <si>
    <t>Начало работ стена шпунт</t>
  </si>
  <si>
    <t>Через 20% от начала работ по земляным работам</t>
  </si>
  <si>
    <t>Начало работ up-down</t>
  </si>
  <si>
    <t>дет.клуб./фитнес</t>
  </si>
  <si>
    <t>Через 50%-70% от начала работ по проектированию стадии П. принимаем среднее 60%</t>
  </si>
  <si>
    <t>После окончания демонтажных работ и после Стадии П (ПОС) ~ 10-20% от стадии "П",которая включает экспертизу. Принимаем среднее 15%</t>
  </si>
  <si>
    <t>После окончания мобилизации (стройплощадки), получения ордера на зр либо рнс, после стадии "П" не &lt; 50%</t>
  </si>
  <si>
    <t>после ордера на снос и разработки проекта на снос - Через 70% от начала работ по проектированию стадии П</t>
  </si>
  <si>
    <t>Офис продаж 100% готов к РНС. Через 55% от начала работ по стадии П</t>
  </si>
  <si>
    <t>НН констуктив ниже 0</t>
  </si>
  <si>
    <t>через 30-50% от начала конструктива ниже 0.000. среднее 40%</t>
  </si>
  <si>
    <t>Через 5-10% от начала работ по земляным работам .среднее 8%</t>
  </si>
  <si>
    <t>Устройство ограждения котлована методом "стена в грунте", включая следующие работы: экскавцию траншеи под защитой бентонитового раствора, изготовление каркасов, армирование траншеи арматурными каркасами, бетонирование свай бетоном . Все материалы включены.</t>
  </si>
  <si>
    <t>к площади стена в грунте, кв.м.</t>
  </si>
  <si>
    <t>Протяженность стены в грунте, п.м.</t>
  </si>
  <si>
    <t>Высота стены в грунте, м</t>
  </si>
  <si>
    <t>шпунтовое ограждение</t>
  </si>
  <si>
    <t>Сроки разработки АФК</t>
  </si>
  <si>
    <t>Всего СМР, вкл. проектирование и соц. объекты</t>
  </si>
  <si>
    <t>Всего СМР, вкл. проектирование за вычетом соц. Объектов</t>
  </si>
  <si>
    <t xml:space="preserve">Калькулятор СМР Девелопмент (жильё) </t>
  </si>
  <si>
    <t>Лот по тендеру</t>
  </si>
  <si>
    <t>Аванс 1</t>
  </si>
  <si>
    <t>Аванс 2</t>
  </si>
  <si>
    <t>Оплата</t>
  </si>
  <si>
    <t>РУ 1/2( на след.месяц после послед.оплаты)</t>
  </si>
  <si>
    <t>РУ 1/2</t>
  </si>
  <si>
    <t>ЗАТРАТЫ ГП СМР объекта</t>
  </si>
  <si>
    <r>
      <t>Демонтажные работы</t>
    </r>
    <r>
      <rPr>
        <b/>
        <sz val="12"/>
        <color rgb="FFFF0000"/>
        <rFont val="Times New Roman"/>
        <family val="1"/>
        <charset val="204"/>
      </rPr>
      <t> </t>
    </r>
  </si>
  <si>
    <t>лот №1</t>
  </si>
  <si>
    <t>со 2 мес работы</t>
  </si>
  <si>
    <t>услуги по выполнению функции ГП</t>
  </si>
  <si>
    <t>ГП услуги</t>
  </si>
  <si>
    <t>Башенные краны</t>
  </si>
  <si>
    <t>лот №5</t>
  </si>
  <si>
    <t>Подъемники</t>
  </si>
  <si>
    <t>лот №5.1</t>
  </si>
  <si>
    <t>Временные дороги/проезды</t>
  </si>
  <si>
    <t>лот №4</t>
  </si>
  <si>
    <t>Склад ТМЦ</t>
  </si>
  <si>
    <t>Обслуживание биотуалетов</t>
  </si>
  <si>
    <t>лот №4.1</t>
  </si>
  <si>
    <t>Услуги механизации</t>
  </si>
  <si>
    <t>Уборка помещений</t>
  </si>
  <si>
    <t>Вывоз снега</t>
  </si>
  <si>
    <t>Ограждения по требованиям ТБ</t>
  </si>
  <si>
    <t>Вывоз мусора + контейнера</t>
  </si>
  <si>
    <t>Содержание строительной площадки</t>
  </si>
  <si>
    <t>Коммунальные платежи невозвращемые</t>
  </si>
  <si>
    <t>Коммунальные платежи возвращемые</t>
  </si>
  <si>
    <t>Устройство стройгородка</t>
  </si>
  <si>
    <t>лот№4</t>
  </si>
  <si>
    <t>Пункт мойки колес</t>
  </si>
  <si>
    <t>Информационный щит</t>
  </si>
  <si>
    <t>Отделка существующих помещениц для временного размещения персонала</t>
  </si>
  <si>
    <t>Аренда/покупка бытового городка (бытовки)</t>
  </si>
  <si>
    <t>Временные ограждения территории</t>
  </si>
  <si>
    <t xml:space="preserve">Охрана </t>
  </si>
  <si>
    <t>Временые ИС</t>
  </si>
  <si>
    <t>Устройство водоснабжения</t>
  </si>
  <si>
    <t xml:space="preserve"> Устройство электричества</t>
  </si>
  <si>
    <t>Освещение на строительной площадке, кроме мест производства работ</t>
  </si>
  <si>
    <t>Проектные работы ГП</t>
  </si>
  <si>
    <t>лот №6</t>
  </si>
  <si>
    <t xml:space="preserve">Прочие услуги </t>
  </si>
  <si>
    <t>равномерными платежами</t>
  </si>
  <si>
    <t>Спецодежда</t>
  </si>
  <si>
    <t>Журналы, канцелярия</t>
  </si>
  <si>
    <t>Питание</t>
  </si>
  <si>
    <t>Обучение сотрудников</t>
  </si>
  <si>
    <t>СРО</t>
  </si>
  <si>
    <t>Печать проектов</t>
  </si>
  <si>
    <t>Программные обеспечения</t>
  </si>
  <si>
    <t>Нулевой цикл</t>
  </si>
  <si>
    <t>лот№7</t>
  </si>
  <si>
    <t>Разработка грунта</t>
  </si>
  <si>
    <t>Обратная засыпка грунта</t>
  </si>
  <si>
    <t>лот №8</t>
  </si>
  <si>
    <t>Усиление грунта</t>
  </si>
  <si>
    <t>лот №8.1</t>
  </si>
  <si>
    <t>Замещение грунта</t>
  </si>
  <si>
    <t>Ограждение котлована</t>
  </si>
  <si>
    <t>Шпунт</t>
  </si>
  <si>
    <t>Сваи (все виды)</t>
  </si>
  <si>
    <t>лот№7.1</t>
  </si>
  <si>
    <t>Водопонижение</t>
  </si>
  <si>
    <t>лот№7.2</t>
  </si>
  <si>
    <t>Пластовые дренажи</t>
  </si>
  <si>
    <t>Водопонижение (иглофильтры и т.д.)</t>
  </si>
  <si>
    <t>Бетонная подготовка</t>
  </si>
  <si>
    <t>Свайный фундамент</t>
  </si>
  <si>
    <t>лот №8.2</t>
  </si>
  <si>
    <t>Монолитные конструкции</t>
  </si>
  <si>
    <t>Фундаментаная плита</t>
  </si>
  <si>
    <t>Стены</t>
  </si>
  <si>
    <t>прижимная стена</t>
  </si>
  <si>
    <t>Колонны</t>
  </si>
  <si>
    <t>Перекрытия</t>
  </si>
  <si>
    <t>Горизонтальная гидроизоляция</t>
  </si>
  <si>
    <t>лот №8.3</t>
  </si>
  <si>
    <t>Вертикальная гидроизоляция</t>
  </si>
  <si>
    <t>лестницы</t>
  </si>
  <si>
    <t>Каменная кладка</t>
  </si>
  <si>
    <t xml:space="preserve"> Стены внутренние</t>
  </si>
  <si>
    <t xml:space="preserve"> Перегородки </t>
  </si>
  <si>
    <t>Конструктив выше 0 </t>
  </si>
  <si>
    <t>лот№8</t>
  </si>
  <si>
    <t>Монолитные работы</t>
  </si>
  <si>
    <t xml:space="preserve"> Перекрытия</t>
  </si>
  <si>
    <t xml:space="preserve"> крыльца</t>
  </si>
  <si>
    <t xml:space="preserve"> Сборные ж/б конструкции</t>
  </si>
  <si>
    <t xml:space="preserve"> Стены наружные</t>
  </si>
  <si>
    <t>Стены внутренние</t>
  </si>
  <si>
    <t>Металлические конструкции</t>
  </si>
  <si>
    <t>лот№9</t>
  </si>
  <si>
    <t>Лифтовые шахты</t>
  </si>
  <si>
    <t>лот №9</t>
  </si>
  <si>
    <t xml:space="preserve">Лестницы,лестничные ограждения </t>
  </si>
  <si>
    <t>Декоративные элементы</t>
  </si>
  <si>
    <t>Пандус (крыльцо)</t>
  </si>
  <si>
    <r>
      <t xml:space="preserve">Кровля </t>
    </r>
    <r>
      <rPr>
        <b/>
        <sz val="12"/>
        <color rgb="FFFF0000"/>
        <rFont val="Times New Roman"/>
        <family val="1"/>
        <charset val="204"/>
      </rPr>
      <t> </t>
    </r>
  </si>
  <si>
    <t>лот№10</t>
  </si>
  <si>
    <t>Неэксплуатируемая кровля</t>
  </si>
  <si>
    <t>лот №10</t>
  </si>
  <si>
    <t xml:space="preserve">  Мансарда</t>
  </si>
  <si>
    <t>Скатная</t>
  </si>
  <si>
    <t xml:space="preserve"> Плоская</t>
  </si>
  <si>
    <t xml:space="preserve">Эксплуатируемая кровля </t>
  </si>
  <si>
    <t>Плоская кровля -строений</t>
  </si>
  <si>
    <t>Плоская кровля -паркинга</t>
  </si>
  <si>
    <t>Ограждение кровли</t>
  </si>
  <si>
    <t>лот№11</t>
  </si>
  <si>
    <t>Вентилируемые фасады</t>
  </si>
  <si>
    <t>лот №11</t>
  </si>
  <si>
    <t>5% через 120 дн</t>
  </si>
  <si>
    <t>со 2 мес работы после 2 аванса</t>
  </si>
  <si>
    <t>Керамогранит</t>
  </si>
  <si>
    <t>Объемная керамика</t>
  </si>
  <si>
    <t>Стеклофибробетон</t>
  </si>
  <si>
    <t>Фиброцементные</t>
  </si>
  <si>
    <t>Др. облицовка</t>
  </si>
  <si>
    <t>Мокрые фасады</t>
  </si>
  <si>
    <t>Облицовка натуральным камнем</t>
  </si>
  <si>
    <t>Облицовка кирпичом</t>
  </si>
  <si>
    <t>Декоративные элементы.</t>
  </si>
  <si>
    <t>Арх.освещение</t>
  </si>
  <si>
    <t xml:space="preserve">Вентрешетка </t>
  </si>
  <si>
    <t>Ограждения</t>
  </si>
  <si>
    <t>Козырьки. Наверсы</t>
  </si>
  <si>
    <t xml:space="preserve">Прочее </t>
  </si>
  <si>
    <t>Светопрозрачные конструкции</t>
  </si>
  <si>
    <t>лот№12</t>
  </si>
  <si>
    <t>Алюминиевые конструкции</t>
  </si>
  <si>
    <t>лот №12</t>
  </si>
  <si>
    <t>Теплые</t>
  </si>
  <si>
    <t>Холодные</t>
  </si>
  <si>
    <t xml:space="preserve"> Противопожарные</t>
  </si>
  <si>
    <t>ПВХ</t>
  </si>
  <si>
    <t>Дерево</t>
  </si>
  <si>
    <t>Ограждения,декоративные элементы</t>
  </si>
  <si>
    <t>кровля  </t>
  </si>
  <si>
    <t>Витражи и входные группы 1 этажа</t>
  </si>
  <si>
    <t>лот№13</t>
  </si>
  <si>
    <t>ГВС,ХВС</t>
  </si>
  <si>
    <t>5% через 90дн</t>
  </si>
  <si>
    <t>Хоз.-бытовая канализация</t>
  </si>
  <si>
    <t xml:space="preserve">Ливнёвая канализация </t>
  </si>
  <si>
    <t>Вентиляционные работы</t>
  </si>
  <si>
    <t>Приточная</t>
  </si>
  <si>
    <t>Вытяжная (+естественная)</t>
  </si>
  <si>
    <t>Дымоудаление (+подпор)</t>
  </si>
  <si>
    <t>Кондиционирование</t>
  </si>
  <si>
    <t>лот №13.1</t>
  </si>
  <si>
    <t>Центральное</t>
  </si>
  <si>
    <t>Индивидуальное оборудование</t>
  </si>
  <si>
    <t>Холодоснабжение</t>
  </si>
  <si>
    <t>лот №13</t>
  </si>
  <si>
    <t>лот №13.2</t>
  </si>
  <si>
    <t>Система оповещения и управление эвакуацией</t>
  </si>
  <si>
    <t>лот №14</t>
  </si>
  <si>
    <t>Автоматизация и учет</t>
  </si>
  <si>
    <t xml:space="preserve">Автоматизированная система коммерческого учета электроэнергии </t>
  </si>
  <si>
    <t>Автоматизация систем пожаротушения</t>
  </si>
  <si>
    <t>Автоматизация систем хладоснабжения</t>
  </si>
  <si>
    <t>Автоматизация комплексная</t>
  </si>
  <si>
    <t>автоматизация теплового пункта</t>
  </si>
  <si>
    <t>Узел учета тепловой энергии</t>
  </si>
  <si>
    <t>АПС</t>
  </si>
  <si>
    <t>Спринклерная система</t>
  </si>
  <si>
    <t>лот №15</t>
  </si>
  <si>
    <r>
      <t xml:space="preserve">Лифты </t>
    </r>
    <r>
      <rPr>
        <b/>
        <sz val="12"/>
        <rFont val="Arial"/>
        <family val="2"/>
        <charset val="204"/>
      </rPr>
      <t>пассажирские</t>
    </r>
  </si>
  <si>
    <t>30% через  180дн</t>
  </si>
  <si>
    <t>Лифты специальные</t>
  </si>
  <si>
    <t>отделка лифтов</t>
  </si>
  <si>
    <t>Внутренняя отделка ниже 0</t>
  </si>
  <si>
    <t>лот№16</t>
  </si>
  <si>
    <t>Отделка (стены, потолок, колонны)</t>
  </si>
  <si>
    <t>лот №16</t>
  </si>
  <si>
    <t xml:space="preserve">со 2 мес работы </t>
  </si>
  <si>
    <t>Полы паркинга</t>
  </si>
  <si>
    <t>лот №17</t>
  </si>
  <si>
    <t>Оборудование паркинга</t>
  </si>
  <si>
    <t>Отделка тех.помещений</t>
  </si>
  <si>
    <t>Отделка МОП (кладовые,лифтовые,лк,су экспл.)</t>
  </si>
  <si>
    <t>лот №18</t>
  </si>
  <si>
    <t xml:space="preserve">со 3 мес работы </t>
  </si>
  <si>
    <t>коридор</t>
  </si>
  <si>
    <t>лифтовый холл</t>
  </si>
  <si>
    <t>Отделка помещений эксплуатации</t>
  </si>
  <si>
    <t>Отделка коммерч. помещений (фитнес, бассейн,келеры)</t>
  </si>
  <si>
    <t>Внутренняя отделка выше 0</t>
  </si>
  <si>
    <t>Отделка МОП 1 этаж</t>
  </si>
  <si>
    <t>лобби</t>
  </si>
  <si>
    <t>санузел</t>
  </si>
  <si>
    <t>колясочная</t>
  </si>
  <si>
    <t>консьерж</t>
  </si>
  <si>
    <t>кухня</t>
  </si>
  <si>
    <t>подсобные помещения</t>
  </si>
  <si>
    <t>Отделка МОП типовой этаж</t>
  </si>
  <si>
    <t>Отделка ком помещений (доу,фитнес, бассейн)</t>
  </si>
  <si>
    <t>Заполнение проемов</t>
  </si>
  <si>
    <t>лот№19</t>
  </si>
  <si>
    <t>Квартирные двери</t>
  </si>
  <si>
    <t>Металические двери</t>
  </si>
  <si>
    <t>Противопожарыне</t>
  </si>
  <si>
    <t>Деревянные</t>
  </si>
  <si>
    <t>Пластиковые</t>
  </si>
  <si>
    <t>Ворота</t>
  </si>
  <si>
    <t>Внешние инженерные сети / вынос сетей</t>
  </si>
  <si>
    <t>Водопровод</t>
  </si>
  <si>
    <t>лот №20</t>
  </si>
  <si>
    <t>вынос сетей Вод</t>
  </si>
  <si>
    <t>лот №2</t>
  </si>
  <si>
    <t>Электроснабжение 0,4</t>
  </si>
  <si>
    <t>Вынос сетей электроснабжения 0,4</t>
  </si>
  <si>
    <t>Электроснабжение 10</t>
  </si>
  <si>
    <t>Вынос сетей электроснабжения 10</t>
  </si>
  <si>
    <t>Канализация</t>
  </si>
  <si>
    <t>вынос сетей Кан</t>
  </si>
  <si>
    <t>вынос сетей ТС</t>
  </si>
  <si>
    <t>вынос сетей газ</t>
  </si>
  <si>
    <t>вынос сетей СС</t>
  </si>
  <si>
    <t>вынос сетей Лив</t>
  </si>
  <si>
    <t>Пристенный дренаж</t>
  </si>
  <si>
    <t>вынос сетей ТП</t>
  </si>
  <si>
    <t>лот№21</t>
  </si>
  <si>
    <t xml:space="preserve">со 4 мес работы </t>
  </si>
  <si>
    <t>Благоустройство кровли</t>
  </si>
  <si>
    <t>Вертикальная планировка</t>
  </si>
  <si>
    <t>Дороги</t>
  </si>
  <si>
    <t>Тротуары</t>
  </si>
  <si>
    <t>Площадки</t>
  </si>
  <si>
    <t>Навигация территории</t>
  </si>
  <si>
    <t xml:space="preserve">Наружное освещение </t>
  </si>
  <si>
    <t>Устройство ограждений</t>
  </si>
  <si>
    <t>Охрана периметра</t>
  </si>
  <si>
    <t>5%через 5 мес после 1 аванса</t>
  </si>
  <si>
    <t xml:space="preserve">со 7 мес работы </t>
  </si>
  <si>
    <t>Спортивные площадки</t>
  </si>
  <si>
    <t>лот №22</t>
  </si>
  <si>
    <t>Детские площадки</t>
  </si>
  <si>
    <t>прочие</t>
  </si>
  <si>
    <t>лот №21</t>
  </si>
  <si>
    <t>с 4 мес работы после аванса</t>
  </si>
  <si>
    <t>Прочее</t>
  </si>
  <si>
    <t>лот №23</t>
  </si>
  <si>
    <t>со 2 мес работы после аванса</t>
  </si>
  <si>
    <t>СМР существующих строений (под снос)</t>
  </si>
  <si>
    <t>СМР офиса продаж</t>
  </si>
  <si>
    <t>лот №3</t>
  </si>
  <si>
    <t>руб./кв.м. демо-зоны</t>
  </si>
  <si>
    <t>макет</t>
  </si>
  <si>
    <t>оборудование</t>
  </si>
  <si>
    <t>мебель</t>
  </si>
  <si>
    <t>демо-зоны</t>
  </si>
  <si>
    <t>отделка демонстрационных помещений; 2 гостиные, 2 ванные и 2 спальни</t>
  </si>
  <si>
    <t>МЕБЕЛЬ на 2 комплекта: 2 гостинные, 2 спальни и 2 ванные</t>
  </si>
  <si>
    <t xml:space="preserve">ОБОРУДОВАНИЕ: аптечка, кофемашина, бытовая техника, техника, зонт-трость, акустика для музыкального фона, очки 3д, диспенсеры для ароматов в моп, </t>
  </si>
  <si>
    <t>ДЕКОР, РАСТЕНИЯ И ПОСУДА: статуэтки, настенное пано, растения, шторы, бокалы, посуда, цветы, декор</t>
  </si>
  <si>
    <t>МЕБЕЛЬ: детский уголок с игрущками, мебель , торшеры, светильники, зеркала, ключницы, логотип на стенку</t>
  </si>
  <si>
    <t>до 100 кв.м.</t>
  </si>
  <si>
    <t>от 100 до 200 кв.м.</t>
  </si>
  <si>
    <t>свыше 200 кв.м.</t>
  </si>
  <si>
    <t>от 150 до 200 кв.м.</t>
  </si>
  <si>
    <t>от 100 до 150 кв.м.</t>
  </si>
  <si>
    <t>Кол-во демо-зон (1 комплект = 2 гостинные, 2 ванные и 2 спальни)</t>
  </si>
  <si>
    <t>Общая площадь демо-зоны (1 комплект), кв.м.</t>
  </si>
  <si>
    <t>декор, посуда и растения</t>
  </si>
  <si>
    <t>демо-зона отделка</t>
  </si>
  <si>
    <t>демо-зона мебель</t>
  </si>
  <si>
    <t>маленький объект до 10 000 кв.м.</t>
  </si>
  <si>
    <t>Уточнены размеры авансовых платежей (%). Пересмотрены расценки офиса-продаж. Скорректирована расценка на проектирование маленьких проектов.</t>
  </si>
  <si>
    <t>Индивид. Проект</t>
  </si>
  <si>
    <t>стадион</t>
  </si>
  <si>
    <t>Убрано суммирование хвоста РУ</t>
  </si>
  <si>
    <t>02.02.04.01.03.03.02</t>
  </si>
  <si>
    <t>Оснащение офиса продаж (мебель и оборудование)</t>
  </si>
  <si>
    <t>02.02.04.01.03.03.01</t>
  </si>
  <si>
    <t>02.02.04.01.03.03</t>
  </si>
  <si>
    <t>02.02.04.01.03.02.07</t>
  </si>
  <si>
    <t>02.02.04.01.03.02.06</t>
  </si>
  <si>
    <t>02.02.04.01.03.02.05</t>
  </si>
  <si>
    <t>02.02.04.01.03.02.04</t>
  </si>
  <si>
    <t>02.02.04.01.03.02.03</t>
  </si>
  <si>
    <t>этажи</t>
  </si>
  <si>
    <t>02.02.04.01.03.02.02</t>
  </si>
  <si>
    <t>02.02.04.01.03.02.01</t>
  </si>
  <si>
    <t>02.02.04.01.03.02</t>
  </si>
  <si>
    <t>02.02.04.01.03.01</t>
  </si>
  <si>
    <t>ЗАТРАТЫ на ПРОДУКТ</t>
  </si>
  <si>
    <t>02.02.04.01.03</t>
  </si>
  <si>
    <t>Резерв</t>
  </si>
  <si>
    <t>02.02.04.01.02.018</t>
  </si>
  <si>
    <t>02.02.04.01.02.017.05</t>
  </si>
  <si>
    <t>02.02.04.01.02.017.04</t>
  </si>
  <si>
    <t>02.02.04.01.02.017.03</t>
  </si>
  <si>
    <t>02.02.04.01.02.017.02</t>
  </si>
  <si>
    <t>02.02.04.01.02.017.01</t>
  </si>
  <si>
    <t>02.02.04.01.02.017</t>
  </si>
  <si>
    <t>02.02.04.01.02.016.05</t>
  </si>
  <si>
    <t>02.02.04.01.02.016.04</t>
  </si>
  <si>
    <t>02.02.04.01.02.016.03</t>
  </si>
  <si>
    <t>02.02.04.01.02.016.02</t>
  </si>
  <si>
    <t>02.02.04.01.02.016.01</t>
  </si>
  <si>
    <t>02.02.04.01.02.016</t>
  </si>
  <si>
    <t>02.02.04.01.02.015.010</t>
  </si>
  <si>
    <t>пр. площадки</t>
  </si>
  <si>
    <t>02.02.04.01.02.015.09.03</t>
  </si>
  <si>
    <t>02.02.04.01.02.015.09.02</t>
  </si>
  <si>
    <t>02.02.04.01.02.015.09.01</t>
  </si>
  <si>
    <t>02.02.04.01.02.015.09</t>
  </si>
  <si>
    <t>02.02.04.01.02.015.08</t>
  </si>
  <si>
    <t>02.02.04.01.02.015.07</t>
  </si>
  <si>
    <t>02.02.04.01.02.015.06</t>
  </si>
  <si>
    <t>02.02.04.01.02.015.05</t>
  </si>
  <si>
    <t>02.02.04.01.02.015.04.03</t>
  </si>
  <si>
    <t>02.02.04.01.02.015.04.02</t>
  </si>
  <si>
    <t>02.02.04.01.02.015.04.01</t>
  </si>
  <si>
    <t>02.02.04.01.02.015.04</t>
  </si>
  <si>
    <t>02.02.04.01.02.015.03</t>
  </si>
  <si>
    <t>02.02.04.01.02.015.02</t>
  </si>
  <si>
    <t>02.02.04.01.02.015.01</t>
  </si>
  <si>
    <t>02.02.04.01.02.015</t>
  </si>
  <si>
    <t>Вынос сетей ТП</t>
  </si>
  <si>
    <t>02.02.04.01.02.014.019</t>
  </si>
  <si>
    <t>02.02.04.01.02.014.018</t>
  </si>
  <si>
    <t>02.02.04.01.02.014.017</t>
  </si>
  <si>
    <t>Вынос сетей Лив.канализации</t>
  </si>
  <si>
    <t>02.02.04.01.02.014.016</t>
  </si>
  <si>
    <t>02.02.04.01.02.014.015</t>
  </si>
  <si>
    <t>Вынос сетей СС</t>
  </si>
  <si>
    <t>02.02.04.01.02.014.014</t>
  </si>
  <si>
    <t>02.02.04.01.02.014.013</t>
  </si>
  <si>
    <t>Вынос сетей газ</t>
  </si>
  <si>
    <t>02.02.04.01.02.014.012</t>
  </si>
  <si>
    <t>02.02.04.01.02.014.011</t>
  </si>
  <si>
    <t>02.02.04.01.02.014.010</t>
  </si>
  <si>
    <t>Электрические системы 10</t>
  </si>
  <si>
    <t>02.02.04.01.02.014.09</t>
  </si>
  <si>
    <t>02.02.04.01.02.014.08</t>
  </si>
  <si>
    <t>Электрические системы 0,4</t>
  </si>
  <si>
    <t>02.02.04.01.02.014.07</t>
  </si>
  <si>
    <t>Вынос сетей ТС</t>
  </si>
  <si>
    <t>02.02.04.01.02.014.06</t>
  </si>
  <si>
    <t>02.02.04.01.02.014.05</t>
  </si>
  <si>
    <t>Вынос сетей Канализация</t>
  </si>
  <si>
    <t>02.02.04.01.02.014.04</t>
  </si>
  <si>
    <t>02.02.04.01.02.014.03</t>
  </si>
  <si>
    <t>Вынос сетей Водопровод</t>
  </si>
  <si>
    <t>02.02.04.01.02.014.02</t>
  </si>
  <si>
    <t>02.02.04.01.02.014.01</t>
  </si>
  <si>
    <t>02.02.04.01.02.014</t>
  </si>
  <si>
    <t>Люки (загрузочные, технические)</t>
  </si>
  <si>
    <t>02.02.04.01.02.013.04</t>
  </si>
  <si>
    <t>Противопожарыне ворота</t>
  </si>
  <si>
    <t>02.02.04.01.02.013.03.02</t>
  </si>
  <si>
    <t>Пожарные ворота</t>
  </si>
  <si>
    <t>02.02.04.01.02.013.03.01</t>
  </si>
  <si>
    <t xml:space="preserve">Ворота </t>
  </si>
  <si>
    <t>02.02.04.01.02.013.03</t>
  </si>
  <si>
    <t>Пластиковые двери</t>
  </si>
  <si>
    <t>02.02.04.01.02.013.02.05</t>
  </si>
  <si>
    <t>Деревянные двери</t>
  </si>
  <si>
    <t>02.02.04.01.02.013.02.04</t>
  </si>
  <si>
    <t>Противопожарыне двери</t>
  </si>
  <si>
    <t>02.02.04.01.02.013.02.03</t>
  </si>
  <si>
    <t>Пожарыне двери</t>
  </si>
  <si>
    <t>02.02.04.01.02.013.02.02</t>
  </si>
  <si>
    <t>02.02.04.01.02.013.02.01</t>
  </si>
  <si>
    <t>Прочие двери</t>
  </si>
  <si>
    <t>02.02.04.01.02.013.02</t>
  </si>
  <si>
    <t>02.02.04.01.02.013.01</t>
  </si>
  <si>
    <t>02.02.04.01.02.013</t>
  </si>
  <si>
    <t>Навигация(Внутренняя отделка выше 0)</t>
  </si>
  <si>
    <t>02.02.04.01.02.012.09</t>
  </si>
  <si>
    <t>Отделка балконов</t>
  </si>
  <si>
    <t>02.02.04.01.02.012.08</t>
  </si>
  <si>
    <t>Отделка ком помещений (Внутренняя отделка выше 0)</t>
  </si>
  <si>
    <t>02.02.04.01.02.012.07</t>
  </si>
  <si>
    <t>02.02.04.01.02.012.06</t>
  </si>
  <si>
    <t>02.02.04.01.02.012.05</t>
  </si>
  <si>
    <t>Отделка техпомещений (Внутренняя отделка выше 0)</t>
  </si>
  <si>
    <t>02.02.04.01.02.012.04</t>
  </si>
  <si>
    <t>Отделка помещений эксплуатации (Внутренняя отделка выше 0)</t>
  </si>
  <si>
    <t>02.02.04.01.02.012.03</t>
  </si>
  <si>
    <t>подсобные помещения этажи</t>
  </si>
  <si>
    <t>02.02.04.01.02.012.02.04</t>
  </si>
  <si>
    <t>лестницы этажи</t>
  </si>
  <si>
    <t>02.02.04.01.02.012.02.03</t>
  </si>
  <si>
    <t>лифтовый холл этажи</t>
  </si>
  <si>
    <t>02.02.04.01.02.012.02.02</t>
  </si>
  <si>
    <t>коридор этажи</t>
  </si>
  <si>
    <t>02.02.04.01.02.012.02.01</t>
  </si>
  <si>
    <t>02.02.04.01.02.012.02</t>
  </si>
  <si>
    <t>прочее 1 эт.</t>
  </si>
  <si>
    <t>02.02.04.01.02.012.01.05</t>
  </si>
  <si>
    <t>лестницы 1 эт.</t>
  </si>
  <si>
    <t>02.02.04.01.02.012.01.04</t>
  </si>
  <si>
    <t>лифтовый холл 1 эт.</t>
  </si>
  <si>
    <t>02.02.04.01.02.012.01.03</t>
  </si>
  <si>
    <t>коридор 1 эт.</t>
  </si>
  <si>
    <t>02.02.04.01.02.012.01.02</t>
  </si>
  <si>
    <t>лобби 1 эт.</t>
  </si>
  <si>
    <t>02.02.04.01.02.012.01.01</t>
  </si>
  <si>
    <t>02.02.04.01.02.012.01</t>
  </si>
  <si>
    <t>02.02.04.01.02.012</t>
  </si>
  <si>
    <t>Навигация(Внутренняя отделка ниже 0)</t>
  </si>
  <si>
    <t>02.02.04.01.02.011.07</t>
  </si>
  <si>
    <t>02.02.04.01.02.011.06</t>
  </si>
  <si>
    <t>Отделка коммерч. помещений (Внутренняя отделка ниже 0)</t>
  </si>
  <si>
    <t>02.02.04.01.02.011.05</t>
  </si>
  <si>
    <t>Отделка помещений эксплуатации(Внутренняя отделка ниже 0)</t>
  </si>
  <si>
    <t>02.02.04.01.02.011.04</t>
  </si>
  <si>
    <t>лестницы ниже 0</t>
  </si>
  <si>
    <t>02.02.04.01.02.011.03.03</t>
  </si>
  <si>
    <t>лифтовый холл ниже 0</t>
  </si>
  <si>
    <t>02.02.04.01.02.011.03.02</t>
  </si>
  <si>
    <t>коридор ниже 0</t>
  </si>
  <si>
    <t>02.02.04.01.02.011.03.01</t>
  </si>
  <si>
    <t>Отделка МОП ниже 0</t>
  </si>
  <si>
    <t>02.02.04.01.02.011.03</t>
  </si>
  <si>
    <t>Отделка тех.помещений(Внутренняя отделка ниже 0)</t>
  </si>
  <si>
    <t>02.02.04.01.02.011.02</t>
  </si>
  <si>
    <t>02.02.04.01.02.011.01.03</t>
  </si>
  <si>
    <t>02.02.04.01.02.011.01.02</t>
  </si>
  <si>
    <t>02.02.04.01.02.011.01.01</t>
  </si>
  <si>
    <t>02.02.04.01.02.011.01</t>
  </si>
  <si>
    <t>02.02.04.01.02.011</t>
  </si>
  <si>
    <t>02.02.04.01.02.010.03</t>
  </si>
  <si>
    <t>02.02.04.01.02.010.02</t>
  </si>
  <si>
    <t>02.02.04.01.02.010.01</t>
  </si>
  <si>
    <t>02.02.04.01.02.010</t>
  </si>
  <si>
    <t>02.02.04.01.02.09.015</t>
  </si>
  <si>
    <t>02.02.04.01.02.09.014</t>
  </si>
  <si>
    <t>02.02.04.01.02.09.013.07</t>
  </si>
  <si>
    <t>02.02.04.01.02.09.013.06</t>
  </si>
  <si>
    <t>02.02.04.01.02.09.013.05</t>
  </si>
  <si>
    <t>02.02.04.01.02.09.013.04</t>
  </si>
  <si>
    <t>02.02.04.01.02.09.013.03</t>
  </si>
  <si>
    <t>02.02.04.01.02.09.013.02</t>
  </si>
  <si>
    <t>02.02.04.01.02.09.013.01</t>
  </si>
  <si>
    <t>02.02.04.01.02.09.013</t>
  </si>
  <si>
    <t>02.02.04.01.02.09.012</t>
  </si>
  <si>
    <t>02.02.04.01.02.09.011</t>
  </si>
  <si>
    <t>02.02.04.01.02.09.010</t>
  </si>
  <si>
    <t>02.02.04.01.02.09.09</t>
  </si>
  <si>
    <t>02.02.04.01.02.09.08</t>
  </si>
  <si>
    <t>02.02.04.01.02.09.07</t>
  </si>
  <si>
    <t>02.02.04.01.02.09.06</t>
  </si>
  <si>
    <t>02.02.04.01.02.09.05</t>
  </si>
  <si>
    <t>02.02.04.01.02.09.04.03</t>
  </si>
  <si>
    <t>02.02.04.01.02.09.04.02</t>
  </si>
  <si>
    <t>02.02.04.01.02.09.04.01</t>
  </si>
  <si>
    <t>02.02.04.01.02.09.04</t>
  </si>
  <si>
    <t>02.02.04.01.02.09.03.03</t>
  </si>
  <si>
    <t>02.02.04.01.02.09.03.02</t>
  </si>
  <si>
    <t>02.02.04.01.02.09.03.01</t>
  </si>
  <si>
    <t>02.02.04.01.02.09.03</t>
  </si>
  <si>
    <t>02.02.04.01.02.09.02</t>
  </si>
  <si>
    <t>02.02.04.01.02.09.01.02</t>
  </si>
  <si>
    <t>02.02.04.01.02.09.01.01</t>
  </si>
  <si>
    <t>02.02.04.01.02.09.01</t>
  </si>
  <si>
    <t>02.02.04.01.02.09</t>
  </si>
  <si>
    <t>02.02.04.01.02.08.09</t>
  </si>
  <si>
    <t>Ограждения,декоративные элементы - кровля</t>
  </si>
  <si>
    <t>02.02.04.01.02.08.08</t>
  </si>
  <si>
    <t>Деревяннные- кровля</t>
  </si>
  <si>
    <t>02.02.04.01.02.08.07</t>
  </si>
  <si>
    <t>ПВХ - кровля</t>
  </si>
  <si>
    <t>02.02.04.01.02.08.06</t>
  </si>
  <si>
    <t xml:space="preserve"> Противопожарные кровля</t>
  </si>
  <si>
    <t>02.02.04.01.02.08.05.03</t>
  </si>
  <si>
    <t>Холодные кровля</t>
  </si>
  <si>
    <t>02.02.04.01.02.08.05.02</t>
  </si>
  <si>
    <t>Теплые кровля</t>
  </si>
  <si>
    <t>02.02.04.01.02.08.05.01</t>
  </si>
  <si>
    <t>Алюминиевые конструкции - кровля</t>
  </si>
  <si>
    <t>02.02.04.01.02.08.05</t>
  </si>
  <si>
    <t>Ограждения,декоративные элементы - этажи (Светопрозрачные конструкции)</t>
  </si>
  <si>
    <t>02.02.04.01.02.08.04</t>
  </si>
  <si>
    <t>Деревянные - этажи</t>
  </si>
  <si>
    <t>02.02.04.01.02.08.03</t>
  </si>
  <si>
    <t>ПВХ - этажи</t>
  </si>
  <si>
    <t>02.02.04.01.02.08.02</t>
  </si>
  <si>
    <t xml:space="preserve"> Противопожарные эт.</t>
  </si>
  <si>
    <t>02.02.04.01.02.08.05.04</t>
  </si>
  <si>
    <t>Холодные эт.</t>
  </si>
  <si>
    <t>Теплые эт.</t>
  </si>
  <si>
    <t>Алюминиевые конструкции этажи</t>
  </si>
  <si>
    <t>02.02.04.01.02.08.01</t>
  </si>
  <si>
    <t>02.02.04.01.02.08</t>
  </si>
  <si>
    <t>Прочее фасады (Облицовка фасада )</t>
  </si>
  <si>
    <t>02.02.04.01.02.07.016</t>
  </si>
  <si>
    <t>Леса</t>
  </si>
  <si>
    <t>02.02.04.01.02.07.015</t>
  </si>
  <si>
    <t>02.02.04.01.02.07.014</t>
  </si>
  <si>
    <t>02.02.04.01.02.07.013</t>
  </si>
  <si>
    <t>02.02.04.01.02.07.012</t>
  </si>
  <si>
    <t>Архитектурное освещение</t>
  </si>
  <si>
    <t>02.02.04.01.02.07.011</t>
  </si>
  <si>
    <t>Декоративные элементы(Облицовка фасада )</t>
  </si>
  <si>
    <t>02.02.04.01.02.07.010</t>
  </si>
  <si>
    <t>02.02.04.01.02.07.09</t>
  </si>
  <si>
    <t>02.02.04.01.02.07.08</t>
  </si>
  <si>
    <t>02.02.04.01.02.07.07</t>
  </si>
  <si>
    <t>Другая облицовка</t>
  </si>
  <si>
    <t>02.02.04.01.02.07.06</t>
  </si>
  <si>
    <t>02.02.04.01.02.07.05</t>
  </si>
  <si>
    <t>02.02.04.01.02.07.04</t>
  </si>
  <si>
    <t>02.02.04.01.02.07.03</t>
  </si>
  <si>
    <t>02.02.04.01.02.07.02</t>
  </si>
  <si>
    <t>02.02.04.01.02.07.01</t>
  </si>
  <si>
    <t>02.02.04.01.02.07</t>
  </si>
  <si>
    <t>02.02.04.01.02.06.03</t>
  </si>
  <si>
    <t>02.02.04.01.02.06.02.02</t>
  </si>
  <si>
    <t>02.02.04.01.02.06.02.01</t>
  </si>
  <si>
    <t>02.02.04.01.02.06.02</t>
  </si>
  <si>
    <t>02.02.04.01.02.06.01.03</t>
  </si>
  <si>
    <t>02.02.04.01.02.06.01.02</t>
  </si>
  <si>
    <t>02.02.04.01.02.06.01.01</t>
  </si>
  <si>
    <t>02.02.04.01.02.06.01</t>
  </si>
  <si>
    <t>02.02.04.01.02.06</t>
  </si>
  <si>
    <t>прочее (Металлические конструкции)</t>
  </si>
  <si>
    <t>02.02.04.01.02.05.06</t>
  </si>
  <si>
    <t>02.02.04.01.02.05.05</t>
  </si>
  <si>
    <t>Декоративные эелементы (Металлические конструкции)</t>
  </si>
  <si>
    <t>02.02.04.01.02.05.04</t>
  </si>
  <si>
    <t>02.02.04.01.02.05.03</t>
  </si>
  <si>
    <t>02.02.04.01.02.05.02</t>
  </si>
  <si>
    <t>02.02.04.01.02.05.01</t>
  </si>
  <si>
    <t>02.02.04.01.02.05</t>
  </si>
  <si>
    <t xml:space="preserve"> Перегородки (конструктив выше 0)</t>
  </si>
  <si>
    <t>02.02.04.01.02.04.03.02</t>
  </si>
  <si>
    <t xml:space="preserve"> Стены наружные (конструктив выше 0)</t>
  </si>
  <si>
    <t>02.02.04.01.02.04.03.01</t>
  </si>
  <si>
    <t>02.02.04.01.02.04.03</t>
  </si>
  <si>
    <t>Лестницы сборные ж/б выше 0</t>
  </si>
  <si>
    <t>02.02.04.01.02.04.02.04</t>
  </si>
  <si>
    <t xml:space="preserve"> Перекрытия ж/б(конструктив выше 0)</t>
  </si>
  <si>
    <t>02.02.04.01.02.04.02.03</t>
  </si>
  <si>
    <t>Колонны ж/б(конструктив выше 0)</t>
  </si>
  <si>
    <t>02.02.04.01.02.04.02.02</t>
  </si>
  <si>
    <t>Стены ж/б (конструктив выше 0)</t>
  </si>
  <si>
    <t>02.02.04.01.02.04.02.01</t>
  </si>
  <si>
    <t>02.02.04.01.02.04.02</t>
  </si>
  <si>
    <t>Лестницы(конструктив выше 0)</t>
  </si>
  <si>
    <t>02.02.04.01.02.04.01.05</t>
  </si>
  <si>
    <t>02.02.04.01.02.04.01.04</t>
  </si>
  <si>
    <t xml:space="preserve"> Перекрытия(конструктив выше 0)</t>
  </si>
  <si>
    <t>02.02.04.01.02.04.01.03</t>
  </si>
  <si>
    <t>Колонны(конструктив выше 0)</t>
  </si>
  <si>
    <t>02.02.04.01.02.04.01.02</t>
  </si>
  <si>
    <t>Стены (конструктив выше 0)</t>
  </si>
  <si>
    <t>02.02.04.01.02.04.01.01</t>
  </si>
  <si>
    <t>02.02.04.01.02.04.01</t>
  </si>
  <si>
    <t>02.02.04.01.02.04</t>
  </si>
  <si>
    <t xml:space="preserve"> Перегородки ниже 0</t>
  </si>
  <si>
    <t>02.02.04.01.02.03.010.02</t>
  </si>
  <si>
    <t xml:space="preserve"> Стены внутренние ниже 0</t>
  </si>
  <si>
    <t>02.02.04.01.02.03.010.01</t>
  </si>
  <si>
    <t>Каменная кладка ниже 0</t>
  </si>
  <si>
    <t>02.02.04.01.02.03.010</t>
  </si>
  <si>
    <t>02.02.04.01.02.03.09</t>
  </si>
  <si>
    <t>02.02.04.01.02.03.08</t>
  </si>
  <si>
    <t>02.02.04.01.02.03.07</t>
  </si>
  <si>
    <t>02.02.04.01.02.03.06.06</t>
  </si>
  <si>
    <t>Перекрытия ниже 0</t>
  </si>
  <si>
    <t>02.02.04.01.02.03.06.05</t>
  </si>
  <si>
    <t>Колонны ниже 0</t>
  </si>
  <si>
    <t>02.02.04.01.02.03.06.04</t>
  </si>
  <si>
    <t>02.02.04.01.02.03.06.03</t>
  </si>
  <si>
    <t>Стены ниже 0</t>
  </si>
  <si>
    <t>02.02.04.01.02.03.06.02</t>
  </si>
  <si>
    <t>02.02.04.01.02.03.06.01</t>
  </si>
  <si>
    <t>02.02.04.01.02.03.06</t>
  </si>
  <si>
    <t>02.02.04.01.02.03.05</t>
  </si>
  <si>
    <t>02.02.04.01.02.03.04</t>
  </si>
  <si>
    <t>02.02.04.01.02.03.03.02</t>
  </si>
  <si>
    <t>02.02.04.01.02.03.03.01</t>
  </si>
  <si>
    <t>02.02.04.01.02.03.03</t>
  </si>
  <si>
    <t>02.02.04.01.02.03.02.03</t>
  </si>
  <si>
    <t>02.02.04.01.02.03.02.02</t>
  </si>
  <si>
    <t>02.02.04.01.02.03.02.01</t>
  </si>
  <si>
    <t>02.02.04.01.02.03.02</t>
  </si>
  <si>
    <t>02.02.04.01.02.03.01.04</t>
  </si>
  <si>
    <t>02.02.04.01.02.03.01.03</t>
  </si>
  <si>
    <t>02.02.04.01.02.03.01.02</t>
  </si>
  <si>
    <t>02.02.04.01.02.03.01.01</t>
  </si>
  <si>
    <t>02.02.04.01.02.03.01</t>
  </si>
  <si>
    <t>02.02.04.01.02.03</t>
  </si>
  <si>
    <t>Программные обеспечения ГП</t>
  </si>
  <si>
    <t>02.02.04.01.02.02.010.07</t>
  </si>
  <si>
    <t>Печать проектов ГП</t>
  </si>
  <si>
    <t>02.02.04.01.02.02.010.06</t>
  </si>
  <si>
    <t>СРО ГП</t>
  </si>
  <si>
    <t>02.02.04.01.02.02.010.05</t>
  </si>
  <si>
    <t>Обучение сотрудников ГП</t>
  </si>
  <si>
    <t>02.02.04.01.02.02.010.04</t>
  </si>
  <si>
    <t>Питание ГП</t>
  </si>
  <si>
    <t>02.02.04.01.02.02.010.03</t>
  </si>
  <si>
    <t>Журналы, канцелярия ГП</t>
  </si>
  <si>
    <t>02.02.04.01.02.02.010.02</t>
  </si>
  <si>
    <t>Спецодежда ГП</t>
  </si>
  <si>
    <t>02.02.04.01.02.02.010.01</t>
  </si>
  <si>
    <t>Прочие услуги ГП</t>
  </si>
  <si>
    <t>02.02.04.01.02.02.010</t>
  </si>
  <si>
    <t>02.02.04.01.02.02.09</t>
  </si>
  <si>
    <t>02.02.04.01.02.02.08.03</t>
  </si>
  <si>
    <t>02.02.04.01.02.02.08.02</t>
  </si>
  <si>
    <t>02.02.04.01.02.02.08.01</t>
  </si>
  <si>
    <t>02.02.04.01.02.02.08</t>
  </si>
  <si>
    <t>02.02.04.01.02.02.07</t>
  </si>
  <si>
    <t>02.02.04.01.02.02.06</t>
  </si>
  <si>
    <t>02.02.04.01.02.02.05.04</t>
  </si>
  <si>
    <t>02.02.04.01.02.02.05.03</t>
  </si>
  <si>
    <t>02.02.04.01.02.02.05.02</t>
  </si>
  <si>
    <t>02.02.04.01.02.02.05.01</t>
  </si>
  <si>
    <t>02.02.04.01.02.02.05</t>
  </si>
  <si>
    <t>02.02.04.01.02.02.04</t>
  </si>
  <si>
    <t>02.02.04.01.02.02.03</t>
  </si>
  <si>
    <t>02.02.04.01.02.02.02</t>
  </si>
  <si>
    <t>02.02.04.01.02.02.01.010</t>
  </si>
  <si>
    <t>02.02.04.01.02.02.01.09</t>
  </si>
  <si>
    <t>02.02.04.01.02.02.01.08</t>
  </si>
  <si>
    <t>02.02.04.01.02.02.01.07</t>
  </si>
  <si>
    <t>02.02.04.01.02.02.01.06</t>
  </si>
  <si>
    <t>02.02.04.01.02.02.01.05</t>
  </si>
  <si>
    <t>02.02.04.01.02.02.01.04</t>
  </si>
  <si>
    <t>02.02.04.01.02.02.01.03</t>
  </si>
  <si>
    <t>02.02.04.01.02.02.01.02</t>
  </si>
  <si>
    <t>02.02.04.01.02.02.01.01</t>
  </si>
  <si>
    <t>02.02.04.01.02.02.01</t>
  </si>
  <si>
    <t>02.02.04.01.02.02</t>
  </si>
  <si>
    <t>02.02.04.01.02.01.02</t>
  </si>
  <si>
    <t>02.02.04.01.02.01.01</t>
  </si>
  <si>
    <t>02.02.04.01.02.01</t>
  </si>
  <si>
    <t>02.02.04.01.02</t>
  </si>
  <si>
    <t>02.02.04.01.01.02</t>
  </si>
  <si>
    <t>02.02.04.01.01.01.03</t>
  </si>
  <si>
    <t>02.02.04.01.01.01.02</t>
  </si>
  <si>
    <t>02.02.04.01.01.01.01</t>
  </si>
  <si>
    <t>02.02.04.01.01.01</t>
  </si>
  <si>
    <t>ЗАТРАТЫ ТЕХ.ЗАКАЗЧИКА</t>
  </si>
  <si>
    <t>02.02.04.01.01</t>
  </si>
  <si>
    <t>Строительство и проектирование</t>
  </si>
  <si>
    <t>Итого (план)</t>
  </si>
  <si>
    <t>02.02.04.01.02.019</t>
  </si>
  <si>
    <t>02.02.04.01.01.018.02</t>
  </si>
  <si>
    <t>Компен. озеленение</t>
  </si>
  <si>
    <t>02.02.04.01.02.019.01</t>
  </si>
  <si>
    <t>02.02.04.01.01.018.01</t>
  </si>
  <si>
    <t>Архивная геология и геодезия</t>
  </si>
  <si>
    <t>Топографическая съемка, ситуационный план</t>
  </si>
  <si>
    <t>Инженерно-экологические изыскания</t>
  </si>
  <si>
    <t>Инженерно-геологические изыскания</t>
  </si>
  <si>
    <t>Инженерно-гидрологические изыскания</t>
  </si>
  <si>
    <t xml:space="preserve">Компенсационное озеленение, вертикальная планировка. Инвентаризация зеленых насаждений. </t>
  </si>
  <si>
    <t>Получение согласования  из Роспотребнадзора</t>
  </si>
  <si>
    <t>Обмеры, ТЗК здания (кроме зеленых насаждений)</t>
  </si>
  <si>
    <t>Оценка влияния (метрополитен и пр) и согласование метрополитена</t>
  </si>
  <si>
    <t>Обследование окружающей застройки</t>
  </si>
  <si>
    <t>Обследование и диагностика инженерных систем (внутридомовые и внутриплощадочные)</t>
  </si>
  <si>
    <t>Проект усиления окружающей застройки</t>
  </si>
  <si>
    <t>Расчет инсоляции, инсогорка (в том числе получение планов БТИ по окружающей застройке)</t>
  </si>
  <si>
    <t>Расчет фоновых концентраций загрязняющих веществ + климатическая справка, радиолокация</t>
  </si>
  <si>
    <t>Замеры шума/воздействия</t>
  </si>
  <si>
    <t>Технические условия вынос:</t>
  </si>
  <si>
    <t>ТУ на вынос сетей электроснабжения, электроосвещения</t>
  </si>
  <si>
    <t>ТУ на вынос сетей водоснабжения</t>
  </si>
  <si>
    <t>ТУ на вынос сетей водоотведения (бытовая канализация)</t>
  </si>
  <si>
    <t>ТУ на вынос сетей водоотведения (ливневая канализация)</t>
  </si>
  <si>
    <t>ТУ на вынос сетей теплоснабжения</t>
  </si>
  <si>
    <t>ТУ на вынос сетей по слабым токам</t>
  </si>
  <si>
    <t>ТУ на вынос сетей по газоснабжению</t>
  </si>
  <si>
    <t>Технические условия постоянные:</t>
  </si>
  <si>
    <t>ТУ на наружные сети электроснабжения, освещения</t>
  </si>
  <si>
    <t>ТУ на наружные сети водоснабжения</t>
  </si>
  <si>
    <t>ТУ на наружные сети водоотведения (бытовая канализация)</t>
  </si>
  <si>
    <t>ТУ на наружные сети водоотведения (ливневая канализация)</t>
  </si>
  <si>
    <t>ТУ на наружные сети теплоснабжения</t>
  </si>
  <si>
    <t>ТУ на наружные сети по слабым токам</t>
  </si>
  <si>
    <t>ТУ на наружные сети газоснабжения</t>
  </si>
  <si>
    <t>Технические условия на механизацию</t>
  </si>
  <si>
    <t>ТУ на сети электроснабжения, освещения</t>
  </si>
  <si>
    <t>ТУ на сети водоснабжения</t>
  </si>
  <si>
    <t>ТУ на сети водоотведения (бытовая канализация)</t>
  </si>
  <si>
    <t>ТУ на сети водоотведения (ливневая канализация)</t>
  </si>
  <si>
    <t>Договора технологического присоединения</t>
  </si>
  <si>
    <t>Договора СКП</t>
  </si>
  <si>
    <t>Прочие работы по ИРД</t>
  </si>
  <si>
    <t>Проектная документация стадии "П"</t>
  </si>
  <si>
    <t>Проектирование наружных инженерных сетей:</t>
  </si>
  <si>
    <t>Проект на вынос сетей электроснабжения, электроосвещения</t>
  </si>
  <si>
    <t>Проект на вынос сетей водоснабжения</t>
  </si>
  <si>
    <t>Проект на вынос сетей водоотведения (бытовая канализация)</t>
  </si>
  <si>
    <t>Проект на вынос сетей водоотведения (ливневая канализация)</t>
  </si>
  <si>
    <t>Проект на вынос сетей теплоснабжения</t>
  </si>
  <si>
    <t>Проект на вынос сетей по слабым токам</t>
  </si>
  <si>
    <t>Проект на вынос сетей газоснабжения</t>
  </si>
  <si>
    <t>Проект на наружные сети электроснабжения, освещения</t>
  </si>
  <si>
    <t>Проект на наружные сети водоснабжения</t>
  </si>
  <si>
    <t>Проект на наружные сети водоотведения (бытовая канализация)</t>
  </si>
  <si>
    <t>Проект на наружные сети водоотведения (ливневая канализация)</t>
  </si>
  <si>
    <t>Проект на наружные сети теплоснабжения</t>
  </si>
  <si>
    <t>Проект на наружные сети по слабым токам</t>
  </si>
  <si>
    <t>Проект на наружные сети газоснабжения</t>
  </si>
  <si>
    <t>Проект на ликвидацию сетей электроснабжения, электроосвещения</t>
  </si>
  <si>
    <t>Проект на ликвидацию сетей водоснабжения</t>
  </si>
  <si>
    <t>Проект на ликвидацию сетей водоотведения (бытовая канализация)</t>
  </si>
  <si>
    <t>Проект на ликвидацию сетей водоотведения (ливневая канализация)</t>
  </si>
  <si>
    <t>Проект на ликвидацию сетей теплоснабжения</t>
  </si>
  <si>
    <t>Проект на ликвидацию сетей по слабым токам</t>
  </si>
  <si>
    <t>Проект на ликвидацию сетей газоснабжения</t>
  </si>
  <si>
    <t>Тендерная документация (в составе стадии П)</t>
  </si>
  <si>
    <t>Научно-техническое сопровождение проекта</t>
  </si>
  <si>
    <t xml:space="preserve">Разработка и согласование общестроительных СТУ и СТУ ПБ </t>
  </si>
  <si>
    <t>Государственная/Не государственная экспертиза</t>
  </si>
  <si>
    <t>Испытания материалов, фасадных систем, подсистем, огневые испытания и пр.</t>
  </si>
  <si>
    <t>Вибросейсмозащита с согласованием в Роспотребнадзоре по стадии П</t>
  </si>
  <si>
    <t>Прочие работы по стадии П</t>
  </si>
  <si>
    <t>Проектная документация стадии "РД"</t>
  </si>
  <si>
    <t>Разработка  проекта офиса продаж</t>
  </si>
  <si>
    <t>Разработка РД по наружным инженерным сетям</t>
  </si>
  <si>
    <t>Разработка РД по механизации строительства</t>
  </si>
  <si>
    <t>Согласование Рабочей документации по НИС:</t>
  </si>
  <si>
    <t>   Согласование раздела «Внешние инженерные системы»</t>
  </si>
  <si>
    <t xml:space="preserve">   Согласование раздела "Водоснабжение"</t>
  </si>
  <si>
    <t xml:space="preserve">   Согласование раздела "Хозяйственно-бытовая канализация"</t>
  </si>
  <si>
    <t xml:space="preserve">   Согласование раздела "Дождевая канализация"</t>
  </si>
  <si>
    <t xml:space="preserve">   Согласование раздела  "Теплоснабжение"</t>
  </si>
  <si>
    <t xml:space="preserve">   Согласование раздела "Электроснабжение"</t>
  </si>
  <si>
    <t xml:space="preserve">   Согласование раздела  "Уличное освещение"</t>
  </si>
  <si>
    <t xml:space="preserve">   Согласование раздела "Сети связи"</t>
  </si>
  <si>
    <t>Согласование РД по механизации строительства</t>
  </si>
  <si>
    <t>Разработка Технологического регламента по обращению с отходами от строительства</t>
  </si>
  <si>
    <t>Вынос осей в натуре</t>
  </si>
  <si>
    <t>Разработка и согласование Строительного генерального плана (СГП)</t>
  </si>
  <si>
    <t>Контрольно-геодезическая съемка (КГС)</t>
  </si>
  <si>
    <t>Согласование акта посадки здания</t>
  </si>
  <si>
    <t>Авторский надзор</t>
  </si>
  <si>
    <t>Прочие работы по стадии РД</t>
  </si>
  <si>
    <t>Услуги Тех.Заказчика на СМР</t>
  </si>
  <si>
    <t>Лабораторные исследования/работы</t>
  </si>
  <si>
    <t>Прочие услуги на стадии СМР</t>
  </si>
  <si>
    <t>02.02.04.01.01.01.01.01</t>
  </si>
  <si>
    <t>02.02.04.01.01.01.01.02</t>
  </si>
  <si>
    <t>02.02.04.01.01.01.01.03</t>
  </si>
  <si>
    <t>02.02.04.01.01.01.01.04</t>
  </si>
  <si>
    <t>02.02.04.01.01.01.01.05</t>
  </si>
  <si>
    <t>02.02.04.01.01.01.01.06</t>
  </si>
  <si>
    <t>02.02.04.01.01.01.01.07</t>
  </si>
  <si>
    <t>02.02.04.01.01.01.01.08</t>
  </si>
  <si>
    <t>02.02.04.01.01.01.01.09</t>
  </si>
  <si>
    <t>02.02.04.01.01.01.01.010</t>
  </si>
  <si>
    <t>02.02.04.01.01.01.01.011</t>
  </si>
  <si>
    <t>02.02.04.01.01.01.01.012</t>
  </si>
  <si>
    <t>02.02.04.01.01.01.01.013</t>
  </si>
  <si>
    <t>02.02.04.01.01.01.01.014</t>
  </si>
  <si>
    <t>02.02.04.01.01.01.01.015</t>
  </si>
  <si>
    <t>02.02.04.01.01.01.01.016</t>
  </si>
  <si>
    <t>02.02.04.01.01.01.01.016.01</t>
  </si>
  <si>
    <t>02.02.04.01.01.01.01.016.02</t>
  </si>
  <si>
    <t>02.02.04.01.01.01.01.016.03</t>
  </si>
  <si>
    <t>02.02.04.01.01.01.01.016.04</t>
  </si>
  <si>
    <t>02.02.04.01.01.01.01.016.05</t>
  </si>
  <si>
    <t>02.02.04.01.01.01.01.016.06</t>
  </si>
  <si>
    <t>02.02.04.01.01.01.01.016.07</t>
  </si>
  <si>
    <t>02.02.04.01.01.01.01.017</t>
  </si>
  <si>
    <t>02.02.04.01.01.01.01.017.01</t>
  </si>
  <si>
    <t>02.02.04.01.01.01.01.017.02</t>
  </si>
  <si>
    <t>02.02.04.01.01.01.01.017.03</t>
  </si>
  <si>
    <t>02.02.04.01.01.01.01.017.04</t>
  </si>
  <si>
    <t>02.02.04.01.01.01.01.017.05</t>
  </si>
  <si>
    <t>02.02.04.01.01.01.01.017.06</t>
  </si>
  <si>
    <t>02.02.04.01.01.01.01.017.07</t>
  </si>
  <si>
    <t>02.02.04.01.01.01.01.018</t>
  </si>
  <si>
    <t>02.02.04.01.01.01.01.018.01</t>
  </si>
  <si>
    <t>02.02.04.01.01.01.01.018.02</t>
  </si>
  <si>
    <t>02.02.04.01.01.01.01.018.03</t>
  </si>
  <si>
    <t>02.02.04.01.01.01.01.018.04</t>
  </si>
  <si>
    <t>02.02.04.01.01.01.01.019</t>
  </si>
  <si>
    <t>02.02.04.01.01.01.01.020</t>
  </si>
  <si>
    <t>02.02.04.01.01.01.01.021</t>
  </si>
  <si>
    <t>02.02.04.01.01.01.02.01</t>
  </si>
  <si>
    <t>02.02.04.01.01.01.02.02</t>
  </si>
  <si>
    <t>02.02.04.01.01.01.02.02.01</t>
  </si>
  <si>
    <t>02.02.04.01.01.01.02.02.02</t>
  </si>
  <si>
    <t>02.02.04.01.01.01.02.02.03</t>
  </si>
  <si>
    <t>02.02.04.01.01.01.02.02.04</t>
  </si>
  <si>
    <t>02.02.04.01.01.01.02.02.05</t>
  </si>
  <si>
    <t>02.02.04.01.01.01.02.02.06</t>
  </si>
  <si>
    <t>02.02.04.01.01.01.02.02.07</t>
  </si>
  <si>
    <t>02.02.04.01.01.01.02.02.08</t>
  </si>
  <si>
    <t>02.02.04.01.01.01.02.02.09</t>
  </si>
  <si>
    <t>02.02.04.01.01.01.02.02.010</t>
  </si>
  <si>
    <t>02.02.04.01.01.01.02.02.011</t>
  </si>
  <si>
    <t>02.02.04.01.01.01.02.02.012</t>
  </si>
  <si>
    <t>02.02.04.01.01.01.02.02.013</t>
  </si>
  <si>
    <t>02.02.04.01.01.01.02.02.014</t>
  </si>
  <si>
    <t>02.02.04.01.01.01.02.02.015</t>
  </si>
  <si>
    <t>02.02.04.01.01.01.02.02.016</t>
  </si>
  <si>
    <t>02.02.04.01.01.01.02.02.017</t>
  </si>
  <si>
    <t>02.02.04.01.01.01.02.02.018</t>
  </si>
  <si>
    <t>02.02.04.01.01.01.02.02.019</t>
  </si>
  <si>
    <t>02.02.04.01.01.01.02.02.020</t>
  </si>
  <si>
    <t>02.02.04.01.01.01.02.02.021</t>
  </si>
  <si>
    <t>02.02.04.01.01.01.02.03</t>
  </si>
  <si>
    <t>02.02.04.01.01.01.02.04</t>
  </si>
  <si>
    <t>02.02.04.01.01.01.02.05</t>
  </si>
  <si>
    <t>02.02.04.01.01.01.02.06</t>
  </si>
  <si>
    <t>02.02.04.01.01.01.02.07</t>
  </si>
  <si>
    <t>02.02.04.01.01.01.02.08</t>
  </si>
  <si>
    <t>02.02.04.01.01.01.02.09</t>
  </si>
  <si>
    <t>02.02.04.01.01.01.03.01</t>
  </si>
  <si>
    <t>02.02.04.01.01.01.03.02</t>
  </si>
  <si>
    <t>02.02.04.01.01.01.03.03</t>
  </si>
  <si>
    <t>02.02.04.01.01.01.03.04</t>
  </si>
  <si>
    <t>02.02.04.01.01.01.03.05</t>
  </si>
  <si>
    <t>02.02.04.01.01.01.03.05.01</t>
  </si>
  <si>
    <t>02.02.04.01.01.01.03.05.02</t>
  </si>
  <si>
    <t>02.02.04.01.01.01.03.05.03</t>
  </si>
  <si>
    <t>02.02.04.01.01.01.03.05.04</t>
  </si>
  <si>
    <t>02.02.04.01.01.01.03.05.05</t>
  </si>
  <si>
    <t>02.02.04.01.01.01.03.05.06</t>
  </si>
  <si>
    <t>02.02.04.01.01.01.03.05.07</t>
  </si>
  <si>
    <t>02.02.04.01.01.01.03.05.08</t>
  </si>
  <si>
    <t>02.02.04.01.01.01.03.06</t>
  </si>
  <si>
    <t>02.02.04.01.01.01.03.07</t>
  </si>
  <si>
    <t>02.02.04.01.01.01.03.08</t>
  </si>
  <si>
    <t>02.02.04.01.01.01.03.09</t>
  </si>
  <si>
    <t>02.02.04.01.01.01.03.010</t>
  </si>
  <si>
    <t>02.02.04.01.01.01.03.011</t>
  </si>
  <si>
    <t>02.02.04.01.01.01.03.012</t>
  </si>
  <si>
    <t>02.02.04.01.01.01.03.013</t>
  </si>
  <si>
    <t>Демонтажные работы </t>
  </si>
  <si>
    <t>Нулевой цикл (без земли и кладки)</t>
  </si>
  <si>
    <t>Конструктив выше 0 (без кладки)</t>
  </si>
  <si>
    <t xml:space="preserve">ДОУ </t>
  </si>
  <si>
    <t>ДОУ бас</t>
  </si>
  <si>
    <t>школа бас</t>
  </si>
  <si>
    <t>Прочее без офиса продаж</t>
  </si>
  <si>
    <t>плоская неэксплуатируемая кровля</t>
  </si>
  <si>
    <t>Эксплуатируемая плоская кровля/мансарда</t>
  </si>
  <si>
    <t>Прочее - СМР соседних участков</t>
  </si>
  <si>
    <t>Отделкаи устр-во внутр. Инж. сетей, видеонаблюдение</t>
  </si>
  <si>
    <t>СМР,  отделка, устр-во внутр. инж. сетей, видеонаблюдение, подсветка фасада и благоуст-во прилегающей территории, ограждение, велопарковка</t>
  </si>
  <si>
    <t>Разработка РД на шоу-румы</t>
  </si>
  <si>
    <t>дизайн проект, визуализация и авторский надзор стенда</t>
  </si>
  <si>
    <t>Дизайн проект офиса продаж</t>
  </si>
  <si>
    <t>Проетирование офиса продаж</t>
  </si>
  <si>
    <t>охрана</t>
  </si>
  <si>
    <t>устройство КПП</t>
  </si>
  <si>
    <t>площадь свободного ЗУ свыше 10 001 кв.м.</t>
  </si>
  <si>
    <t>площадь свободного ЗУ  до 10 000 кв.м.</t>
  </si>
  <si>
    <t>комфорт, бизнес, бизнес +</t>
  </si>
  <si>
    <t>премиум, элит</t>
  </si>
  <si>
    <t>малые архитектурные формы: скамейки;  урны; топиарии (фигуры из растений); декоративные элементы; контейнеры для мусоросборных площадок; парковка для самокатов/велосипедов</t>
  </si>
  <si>
    <t xml:space="preserve">Устройство ограждений </t>
  </si>
  <si>
    <t>устройство заборов, ограждений: устройство ворот, калиток, шлагбаумы при въезде на территорию, въезды; светофор; ограждения мусоросборных площадок;</t>
  </si>
  <si>
    <t>площадь свободного ЗУ свыше 8 001 кв.м.</t>
  </si>
  <si>
    <t>маф</t>
  </si>
  <si>
    <t>02.02.04.01.01.01.04</t>
  </si>
  <si>
    <t>02.02.04.01.01.01.04.01</t>
  </si>
  <si>
    <t>02.02.04.01.01.01.04.02</t>
  </si>
  <si>
    <t>02.02.04.01.01.01.04.03</t>
  </si>
  <si>
    <t xml:space="preserve">АФК </t>
  </si>
  <si>
    <r>
      <t xml:space="preserve">Лифты </t>
    </r>
    <r>
      <rPr>
        <b/>
        <sz val="12"/>
        <rFont val="Times New Roman"/>
        <family val="1"/>
        <charset val="204"/>
      </rPr>
      <t>пассажирские</t>
    </r>
  </si>
  <si>
    <t>коэф. Перевода с 2 кв. 19 на 1 кв 20</t>
  </si>
  <si>
    <t>мебель кухня, лобби до 100 м2</t>
  </si>
  <si>
    <t>мебель кухня, лобби от 100 до 200 м2</t>
  </si>
  <si>
    <t>мебель кухня, лобби свыше 200 м2</t>
  </si>
  <si>
    <t>мебель консъерж</t>
  </si>
  <si>
    <t>техника</t>
  </si>
  <si>
    <t>техника санузел</t>
  </si>
  <si>
    <t>шпунт</t>
  </si>
  <si>
    <t>полная простая отделка; светильники, розетки, выключатели, диффузоры и т.д. 
 мелкий демонтаж, необходимый для проведения отделки (отверстия)</t>
  </si>
  <si>
    <t>пол</t>
  </si>
  <si>
    <t>Фитнес зал оборудование</t>
  </si>
  <si>
    <t>руб. к этажности надзем.</t>
  </si>
  <si>
    <t>Пересмотрено валютная составляющая по фасаду, отделке и ИС по сегменту Премиум. Пересмотрены расценки мебель, благоустройство,отделка, сети, фитнесс, остальные - корректировка инфляции. Разбивка на новый классификатор. Обновлен калькулятор скоров - построение бддс.</t>
  </si>
  <si>
    <t>до 10 000  кв.м.</t>
  </si>
  <si>
    <t>от 10 000 до 20 000  кв.м.</t>
  </si>
  <si>
    <t>№ версии</t>
  </si>
  <si>
    <t>Дата</t>
  </si>
  <si>
    <t>Изменения</t>
  </si>
  <si>
    <t>Пересмотрены расценки на: стену в грунте, остекление, отделку паркинга, внутренние инженерные сети; остальные расценки (кроме фасадов) увеличены на коэффициент инфляции =1,01 ( от цен 10.2020г. к ценам 03.2021)</t>
  </si>
  <si>
    <t>Пересмотрены расценки на: фасады класс элит (облицовка, облицовка прочее). Применен коэффициент 1,2942446 (цена приведена к цене облицовки фасада проекта Лаврушинский)</t>
  </si>
  <si>
    <t>да</t>
  </si>
  <si>
    <t>достижение</t>
  </si>
  <si>
    <t>многоугольная</t>
  </si>
  <si>
    <t>пнт</t>
  </si>
  <si>
    <t>до 4,8</t>
  </si>
  <si>
    <t>паркинг = сумма моп 2 этажа по всем строениям</t>
  </si>
  <si>
    <t>плоская</t>
  </si>
  <si>
    <r>
      <rPr>
        <sz val="12"/>
        <color rgb="FFFF0000"/>
        <rFont val="Calibri"/>
        <family val="2"/>
        <charset val="204"/>
        <scheme val="minor"/>
      </rPr>
      <t>30%</t>
    </r>
    <r>
      <rPr>
        <sz val="12"/>
        <rFont val="Calibri"/>
        <family val="2"/>
        <charset val="204"/>
        <scheme val="minor"/>
      </rPr>
      <t xml:space="preserve"> от незастроенной свободной</t>
    </r>
  </si>
  <si>
    <t>нет</t>
  </si>
  <si>
    <t>в высоте + назменой части</t>
  </si>
  <si>
    <t>Площадь ЗУ ДОО</t>
  </si>
  <si>
    <t>Площадь ГНС ДОО</t>
  </si>
  <si>
    <t>Площадь ЗУ Школы</t>
  </si>
  <si>
    <t>Площадь ГНС Школы</t>
  </si>
  <si>
    <t>длина ограждений</t>
  </si>
  <si>
    <r>
      <t>ДОУ</t>
    </r>
    <r>
      <rPr>
        <i/>
        <sz val="12"/>
        <rFont val="Calibri"/>
        <family val="2"/>
        <charset val="204"/>
        <scheme val="minor"/>
      </rPr>
      <t xml:space="preserve"> (встроенно-пристроенное))</t>
    </r>
  </si>
  <si>
    <t>Секция 1</t>
  </si>
  <si>
    <t>Секция 2</t>
  </si>
  <si>
    <t>Секция 3</t>
  </si>
  <si>
    <t>Таунхаусы</t>
  </si>
  <si>
    <t>Индивид. проект</t>
  </si>
  <si>
    <t>оптимальные нормы посадки деревьев на 1 га составляют 90 - 150 шт. для Нечерноземной зоны,</t>
  </si>
  <si>
    <t>Бизнес+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</si>
</sst>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7">
    <numFmt numFmtId="44" formatCode="_-* #,##0.00\ &quot;₽&quot;_-;\-* #,##0.00\ &quot;₽&quot;_-;_-* &quot;-&quot;??\ &quot;₽&quot;_-;_-@_-"/>
    <numFmt numFmtId="43" formatCode="_-* #,##0.00\ _₽_-;\-* #,##0.00\ _₽_-;_-* &quot;-&quot;??\ _₽_-;_-@_-"/>
    <numFmt numFmtId="164" formatCode="_-* #,##0.00_р_._-;\-* #,##0.00_р_._-;_-* &quot;-&quot;??_р_._-;_-@_-"/>
    <numFmt numFmtId="165" formatCode="_-* #,##0_р_._-;\-* #,##0_р_._-;_-* &quot;-&quot;??_р_._-;_-@_-"/>
    <numFmt numFmtId="166" formatCode="0.0"/>
    <numFmt numFmtId="167" formatCode="#,##0;&quot;(&quot;&quot;-&quot;&quot;)&quot;#,##0"/>
    <numFmt numFmtId="168" formatCode="_-* #,##0\ _р_._-;\-* #,##0\ _р_._-;_-* &quot;-&quot;\ _р_._-;_-@_-"/>
    <numFmt numFmtId="169" formatCode="[$-419]mmmm\ yyyy;@"/>
    <numFmt numFmtId="170" formatCode="_-* #,##0\ _₽_-;\-* #,##0\ _₽_-;_-* &quot;-&quot;??\ _₽_-;_-@_-"/>
    <numFmt numFmtId="171" formatCode="0.0%"/>
    <numFmt numFmtId="172" formatCode="_-* #,##0.0\ _₽_-;\-* #,##0.0\ _₽_-;_-* &quot;-&quot;??\ _₽_-;_-@_-"/>
    <numFmt numFmtId="173" formatCode="_-* #,##0.0_р_._-;\-* #,##0.0_р_._-;_-* &quot;-&quot;??_р_._-;_-@_-"/>
    <numFmt numFmtId="174" formatCode="_-* #,##0.0000\ _₽_-;\-* #,##0.0000\ _₽_-;_-* &quot;-&quot;??\ _₽_-;_-@_-"/>
    <numFmt numFmtId="175" formatCode="_-* #,##0.0000\ _₽_-;\-* #,##0.0000\ _₽_-;_-* &quot;-&quot;????\ _₽_-;_-@_-"/>
    <numFmt numFmtId="176" formatCode="[$-419]\ mmm\ yy;@"/>
    <numFmt numFmtId="177" formatCode="_-* #,##0.00000000\ _₽_-;\-* #,##0.00000000\ _₽_-;_-* &quot;-&quot;??\ _₽_-;_-@_-"/>
    <numFmt numFmtId="178" formatCode="#.00"/>
    <numFmt numFmtId="179" formatCode="&quot;$&quot;#.00"/>
    <numFmt numFmtId="180" formatCode="#."/>
    <numFmt numFmtId="181" formatCode="0%;\(0%\)"/>
    <numFmt numFmtId="182" formatCode="&quot;$&quot;#,##0"/>
    <numFmt numFmtId="183" formatCode="_(* #,##0.0000_);_(* \(#,##0.0000\);_(* &quot;-&quot;??_);_(@_)"/>
    <numFmt numFmtId="184" formatCode="0.0%;[Red]\(0.0%\)"/>
    <numFmt numFmtId="185" formatCode="0%;[Red]\(0%\)"/>
    <numFmt numFmtId="186" formatCode="0.0%;\(0.0%\)"/>
    <numFmt numFmtId="187" formatCode="_(&quot;$&quot;* #,##0.00_);_(&quot;$&quot;* \(#,##0.00\);_(&quot;$&quot;* &quot;-&quot;??_);_(@_)"/>
    <numFmt numFmtId="188" formatCode="&quot;   &quot;@"/>
    <numFmt numFmtId="189" formatCode="_-* #,##0.00_-;\-* #,##0.00_-;_-* &quot;-&quot;??_-;_-@_-"/>
    <numFmt numFmtId="190" formatCode="#,##0.0_);\(#,##0.0\)"/>
    <numFmt numFmtId="191" formatCode="&quot;$&quot;#,##0&quot; &quot;;&quot;($&quot;#,##0&quot;)&quot;"/>
    <numFmt numFmtId="192" formatCode="* \(#,##0\);* #,##0_);&quot;-&quot;??_);@"/>
    <numFmt numFmtId="193" formatCode="&quot;$&quot;#,##0.00;[Red]\-&quot;$&quot;#,##0.00"/>
    <numFmt numFmtId="194" formatCode="\$#,##0.00;[Red]&quot;-$&quot;#,##0.00"/>
    <numFmt numFmtId="195" formatCode="_-* #,##0.00&quot;р.&quot;_-;\-* #,##0.00&quot;р.&quot;_-;_-* &quot;-&quot;??&quot;р.&quot;_-;_-@_-"/>
    <numFmt numFmtId="196" formatCode="_-* #,##0.00\ &quot;руб.&quot;_-;\-* #,##0.00\ &quot;руб.&quot;_-;_-* &quot;-&quot;??\ &quot;руб.&quot;_-;_-@_-"/>
    <numFmt numFmtId="197" formatCode="mm/dd/yyyy"/>
    <numFmt numFmtId="198" formatCode="* #,##0_);* \(#,##0\);&quot;-&quot;??_);@"/>
    <numFmt numFmtId="199" formatCode="&quot; &quot;#,##0&quot; &quot;;&quot;-&quot;#,##0&quot; &quot;;&quot; - &quot;;@&quot; &quot;"/>
    <numFmt numFmtId="200" formatCode="_(* #,##0.00_);_(* \(#,##0.00\);_(* &quot;-&quot;??_);_(@_)"/>
    <numFmt numFmtId="201" formatCode="_-* #,##0.00[$€-1]_-;\-* #,##0.00[$€-1]_-;_-* &quot;-&quot;??[$€-1]_-"/>
    <numFmt numFmtId="202" formatCode="_-* #,##0.00_р_._-;\-* #,##0.00_р_._-;_-* \-??_р_._-;_-@_-"/>
    <numFmt numFmtId="203" formatCode="[$-419]General"/>
    <numFmt numFmtId="204" formatCode="#,##0\ &quot;impressions&quot;"/>
    <numFmt numFmtId="205" formatCode="#,##0&quot; impressions&quot;"/>
    <numFmt numFmtId="206" formatCode="_-* #,##0_-;\-* #,##0_-;_-* &quot;-&quot;_-;_-@_-"/>
    <numFmt numFmtId="207" formatCode="_ * #,##0_ ;_ * \-#,##0_ ;_ * &quot;-&quot;_ ;_ @_ "/>
    <numFmt numFmtId="208" formatCode="_ * #,##0.00_ ;_ * \-#,##0.00_ ;_ * &quot;-&quot;??_ ;_ @_ "/>
    <numFmt numFmtId="209" formatCode="_(* #,##0_);_(* \(#,##0\);_(* &quot;-&quot;_);_(@_)"/>
    <numFmt numFmtId="210" formatCode="#,##0__\ \ \ \ "/>
    <numFmt numFmtId="211" formatCode="_ &quot;R&quot;\ * #,##0_ ;_ &quot;R&quot;\ * \-#,##0_ ;_ &quot;R&quot;\ * &quot;-&quot;_ ;_ @_ "/>
    <numFmt numFmtId="212" formatCode="_ &quot;R&quot;\ * #,##0.00_ ;_ &quot;R&quot;\ * \-#,##0.00_ ;_ &quot;R&quot;\ * &quot;-&quot;??_ ;_ @_ "/>
    <numFmt numFmtId="213" formatCode="_(&quot;$&quot;* #,##0_);_(&quot;$&quot;* \(#,##0\);_(&quot;$&quot;* &quot;-&quot;_);_(@_)"/>
    <numFmt numFmtId="214" formatCode="_(* #,##0,,_);_(* \(#,##0,,\);_(* &quot;-&quot;_)"/>
    <numFmt numFmtId="215" formatCode="#,##0&quot;$&quot;;[Red]\-#,##0&quot;$&quot;"/>
    <numFmt numFmtId="216" formatCode="#,##0_);[Red]\(#,##0\);&quot;-----&quot;"/>
    <numFmt numFmtId="217" formatCode="#,##0.00_);[Red]\(#,##0.00\);&quot;-----&quot;"/>
    <numFmt numFmtId="218" formatCode="&quot;See Note  &quot;#"/>
    <numFmt numFmtId="219" formatCode="_(* #,##0_);_(* \(#,##0\);_(* &quot;-&quot;_)"/>
    <numFmt numFmtId="220" formatCode="#,##0______;;&quot;------------      &quot;"/>
    <numFmt numFmtId="221" formatCode="#,##0.00&quot; &quot;[$руб.-419];[Red]&quot;-&quot;#,##0.00&quot; &quot;[$руб.-419]"/>
    <numFmt numFmtId="222" formatCode="&quot; &quot;General"/>
    <numFmt numFmtId="223" formatCode="General_)"/>
    <numFmt numFmtId="224" formatCode="hh&quot;:&quot;mm&quot;:&quot;ss"/>
    <numFmt numFmtId="225" formatCode="&quot; &quot;#,##0&quot;    &quot;;&quot;-&quot;#,##0&quot;    &quot;;&quot; -    &quot;;@&quot; &quot;"/>
    <numFmt numFmtId="226" formatCode="&quot; &quot;#,##0.00&quot;    &quot;;&quot;-&quot;#,##0.00&quot;    &quot;;&quot; -&quot;#&quot;    &quot;;@&quot; &quot;"/>
    <numFmt numFmtId="227" formatCode="&quot; &quot;#,##0&quot; F &quot;;&quot;-&quot;#,##0&quot; F &quot;;&quot; - F &quot;;@&quot; &quot;"/>
    <numFmt numFmtId="228" formatCode="#,##0.00&quot; kr&quot;;[Red]&quot;-&quot;#,##0.00&quot; kr&quot;"/>
    <numFmt numFmtId="229" formatCode="&quot; £&quot;#,##0&quot; &quot;;&quot;-£&quot;#,##0&quot; &quot;;&quot; £- &quot;;@&quot; &quot;"/>
    <numFmt numFmtId="230" formatCode="_-* #,##0_?_._-;\-* #,##0_?_._-;_-* &quot;-&quot;_?_._-;_-@_-"/>
    <numFmt numFmtId="231" formatCode="_-* #,##0&quot; DM&quot;_-;\-* #,##0&quot; DM&quot;_-;_-* &quot;-&quot;&quot; DM&quot;_-;_-@_-"/>
    <numFmt numFmtId="232" formatCode="&quot; £&quot;#,##0.00&quot; &quot;;&quot;-£&quot;#,##0.00&quot; &quot;;&quot; £-&quot;#&quot; &quot;;@&quot; &quot;"/>
    <numFmt numFmtId="233" formatCode="_-* #,##0.00&quot;?.&quot;_-;\-* #,##0.00&quot;?.&quot;_-;_-* &quot;-&quot;??&quot;?.&quot;_-;_-@_-"/>
    <numFmt numFmtId="234" formatCode="_-* #,##0.00&quot; DM&quot;_-;\-* #,##0.00&quot; DM&quot;_-;_-* &quot;-&quot;??&quot; DM&quot;_-;_-@_-"/>
    <numFmt numFmtId="235" formatCode="[$$-409]#,##0"/>
    <numFmt numFmtId="236" formatCode="_-* #,##0_р_._-;\-* #,##0_р_._-;_-* &quot;-&quot;_р_._-;_-@_-"/>
    <numFmt numFmtId="237" formatCode="_-* #,##0&quot;р.&quot;_-;\-* #,##0&quot;р.&quot;_-;_-* &quot;-&quot;&quot;р.&quot;_-;_-@_-"/>
    <numFmt numFmtId="238" formatCode="[$$-409]#,##0.00"/>
    <numFmt numFmtId="239" formatCode="&quot; &quot;#,##0.00&quot; &quot;;&quot;-&quot;#,##0.00&quot; &quot;;&quot; -&quot;#&quot; &quot;;@&quot; &quot;"/>
    <numFmt numFmtId="240" formatCode="&quot; \&quot;#,##0&quot; &quot;;&quot; \-&quot;#,##0&quot; &quot;;&quot; \- &quot;;@&quot; &quot;"/>
    <numFmt numFmtId="241" formatCode="mmm\ yy"/>
    <numFmt numFmtId="242" formatCode="0_)"/>
    <numFmt numFmtId="243" formatCode="#,##0.0"/>
    <numFmt numFmtId="244" formatCode="#&quot; &quot;###&quot; &quot;###&quot; &quot;###&quot; р.&quot;"/>
    <numFmt numFmtId="245" formatCode="#,##0.00;\ \(#,##0.00\);\ \-"/>
    <numFmt numFmtId="246" formatCode="mmm\ yyyy"/>
    <numFmt numFmtId="247" formatCode="_-&quot;Ј&quot;* #,##0_-;\-&quot;Ј&quot;* #,##0_-;_-&quot;Ј&quot;* &quot;-&quot;_-;_-@_-"/>
    <numFmt numFmtId="248" formatCode="_-* #,##0.0_р_._-;\-* #,##0.0_р_._-;_-* &quot;-&quot;?_р_._-;_-@_-"/>
    <numFmt numFmtId="249" formatCode="_-* #,##0.00\ _€_-;\-* #,##0.00\ _€_-;_-* &quot;-&quot;??\ _€_-;_-@_-"/>
    <numFmt numFmtId="250" formatCode="[$-419]mmmm;@"/>
    <numFmt numFmtId="251" formatCode="&quot; $&quot;#,##0.00&quot; &quot;;&quot; $(&quot;#,##0.00&quot;)&quot;;&quot; $-&quot;#&quot; &quot;;@&quot; &quot;"/>
    <numFmt numFmtId="252" formatCode="#,##0_ ;[Red]\-#,##0\ "/>
    <numFmt numFmtId="253" formatCode="* #,##0.00;* \-#,##0.00;* &quot;-&quot;??;@"/>
    <numFmt numFmtId="254" formatCode="_-* #,##0.00_ _-;\-* #,##0.00_ _-;_-* &quot;-&quot;??_ _-;_-@_-"/>
    <numFmt numFmtId="255" formatCode="&quot;р.&quot;#.00"/>
    <numFmt numFmtId="256" formatCode="%#.00"/>
    <numFmt numFmtId="257" formatCode="#,##0;\ \-#,##0;\ \-"/>
    <numFmt numFmtId="258" formatCode="#,##0.0;\ \-#,##0.0;\ \-"/>
  </numFmts>
  <fonts count="285">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scheme val="minor"/>
    </font>
    <font>
      <b/>
      <sz val="12"/>
      <name val="Calibri"/>
      <family val="2"/>
      <charset val="204"/>
      <scheme val="minor"/>
    </font>
    <font>
      <b/>
      <sz val="14"/>
      <name val="Calibri"/>
      <family val="2"/>
      <charset val="204"/>
      <scheme val="minor"/>
    </font>
    <font>
      <b/>
      <sz val="12"/>
      <color rgb="FFFF0000"/>
      <name val="Calibri"/>
      <family val="2"/>
      <charset val="204"/>
      <scheme val="minor"/>
    </font>
    <font>
      <sz val="14"/>
      <name val="Calibri"/>
      <family val="2"/>
      <charset val="204"/>
      <scheme val="minor"/>
    </font>
    <font>
      <sz val="12"/>
      <name val="Calibri"/>
      <family val="2"/>
      <charset val="204"/>
      <scheme val="minor"/>
    </font>
    <font>
      <i/>
      <sz val="12"/>
      <name val="Calibri"/>
      <family val="2"/>
      <charset val="204"/>
      <scheme val="minor"/>
    </font>
    <font>
      <b/>
      <sz val="14"/>
      <color rgb="FFFF0000"/>
      <name val="Calibri"/>
      <family val="2"/>
      <charset val="204"/>
      <scheme val="minor"/>
    </font>
    <font>
      <b/>
      <i/>
      <sz val="14"/>
      <color rgb="FFFF0000"/>
      <name val="Calibri"/>
      <family val="2"/>
      <charset val="204"/>
      <scheme val="minor"/>
    </font>
    <font>
      <b/>
      <i/>
      <sz val="11"/>
      <name val="Calibri"/>
      <family val="2"/>
      <charset val="204"/>
      <scheme val="minor"/>
    </font>
    <font>
      <sz val="12"/>
      <name val="Calibri"/>
      <family val="2"/>
      <charset val="204"/>
    </font>
    <font>
      <i/>
      <sz val="11"/>
      <color rgb="FFFF0000"/>
      <name val="Calibri"/>
      <family val="2"/>
      <charset val="204"/>
      <scheme val="minor"/>
    </font>
    <font>
      <b/>
      <sz val="12"/>
      <color theme="1"/>
      <name val="Calibri"/>
      <family val="2"/>
      <charset val="204"/>
      <scheme val="minor"/>
    </font>
    <font>
      <b/>
      <i/>
      <sz val="12"/>
      <name val="Calibri"/>
      <family val="2"/>
      <charset val="204"/>
      <scheme val="minor"/>
    </font>
    <font>
      <b/>
      <sz val="14"/>
      <name val="Calibri"/>
      <family val="2"/>
      <scheme val="minor"/>
    </font>
    <font>
      <b/>
      <i/>
      <sz val="14"/>
      <name val="Calibri"/>
      <family val="2"/>
      <scheme val="minor"/>
    </font>
    <font>
      <sz val="14"/>
      <name val="Calibri"/>
      <family val="2"/>
      <scheme val="minor"/>
    </font>
    <font>
      <sz val="14"/>
      <color theme="1"/>
      <name val="Calibri"/>
      <family val="2"/>
      <scheme val="minor"/>
    </font>
    <font>
      <b/>
      <sz val="14"/>
      <color indexed="81"/>
      <name val="Tahoma"/>
      <family val="2"/>
      <charset val="204"/>
    </font>
    <font>
      <sz val="11"/>
      <name val="Calibri"/>
      <family val="2"/>
      <charset val="204"/>
      <scheme val="minor"/>
    </font>
    <font>
      <b/>
      <sz val="11"/>
      <name val="Calibri"/>
      <family val="2"/>
      <charset val="204"/>
      <scheme val="minor"/>
    </font>
    <font>
      <i/>
      <sz val="11"/>
      <color theme="1"/>
      <name val="Calibri"/>
      <family val="2"/>
      <charset val="204"/>
      <scheme val="minor"/>
    </font>
    <font>
      <sz val="10"/>
      <name val="Helv"/>
      <charset val="204"/>
    </font>
    <font>
      <sz val="10"/>
      <name val="Arial"/>
      <family val="2"/>
      <charset val="204"/>
    </font>
    <font>
      <sz val="10"/>
      <name val="Helv"/>
    </font>
    <font>
      <sz val="11"/>
      <color indexed="8"/>
      <name val="Calibri"/>
      <family val="2"/>
      <charset val="204"/>
    </font>
    <font>
      <sz val="10"/>
      <name val="Arial CYR"/>
    </font>
    <font>
      <u/>
      <sz val="18"/>
      <name val="Times New Roman"/>
      <family val="1"/>
    </font>
    <font>
      <sz val="10"/>
      <name val="Times New Roman"/>
      <family val="1"/>
      <charset val="204"/>
    </font>
    <font>
      <u/>
      <sz val="11"/>
      <color theme="10"/>
      <name val="Calibri"/>
      <family val="2"/>
      <scheme val="minor"/>
    </font>
    <font>
      <sz val="11"/>
      <name val="Times New Roman"/>
      <family val="1"/>
      <charset val="204"/>
    </font>
    <font>
      <sz val="11"/>
      <name val="뼻뮝"/>
      <family val="3"/>
      <charset val="129"/>
    </font>
    <font>
      <sz val="12"/>
      <name val="바탕체"/>
      <family val="1"/>
      <charset val="129"/>
    </font>
    <font>
      <b/>
      <sz val="9"/>
      <color indexed="81"/>
      <name val="Tahoma"/>
      <family val="2"/>
      <charset val="204"/>
    </font>
    <font>
      <b/>
      <sz val="11"/>
      <color theme="1"/>
      <name val="Calibri"/>
      <family val="2"/>
      <scheme val="minor"/>
    </font>
    <font>
      <b/>
      <i/>
      <sz val="11"/>
      <color theme="1"/>
      <name val="Calibri"/>
      <family val="2"/>
      <charset val="204"/>
      <scheme val="minor"/>
    </font>
    <font>
      <b/>
      <sz val="11"/>
      <color theme="0"/>
      <name val="Calibri"/>
      <family val="2"/>
      <charset val="204"/>
      <scheme val="minor"/>
    </font>
    <font>
      <b/>
      <sz val="11"/>
      <color theme="1"/>
      <name val="Calibri"/>
      <family val="2"/>
      <charset val="204"/>
      <scheme val="minor"/>
    </font>
    <font>
      <sz val="10"/>
      <color theme="1"/>
      <name val="Times New Roman"/>
      <family val="1"/>
      <charset val="204"/>
    </font>
    <font>
      <b/>
      <sz val="11"/>
      <color theme="1"/>
      <name val="Times New Roman"/>
      <family val="1"/>
      <charset val="204"/>
    </font>
    <font>
      <b/>
      <sz val="10"/>
      <color theme="1"/>
      <name val="Times New Roman"/>
      <family val="1"/>
      <charset val="204"/>
    </font>
    <font>
      <b/>
      <sz val="12"/>
      <color rgb="FFFF0000"/>
      <name val="HelveticaNeueCyr-Roman"/>
      <charset val="204"/>
    </font>
    <font>
      <b/>
      <sz val="11"/>
      <color indexed="8"/>
      <name val="Calibri"/>
      <family val="2"/>
      <charset val="204"/>
      <scheme val="minor"/>
    </font>
    <font>
      <sz val="12"/>
      <color indexed="81"/>
      <name val="Tahoma"/>
      <family val="2"/>
      <charset val="204"/>
    </font>
    <font>
      <sz val="14"/>
      <color indexed="81"/>
      <name val="Tahoma"/>
      <family val="2"/>
      <charset val="204"/>
    </font>
    <font>
      <b/>
      <sz val="1"/>
      <color theme="1"/>
      <name val="Times New Roman"/>
      <family val="1"/>
      <charset val="204"/>
    </font>
    <font>
      <sz val="6.5"/>
      <color theme="1"/>
      <name val="Times New Roman"/>
      <family val="1"/>
      <charset val="204"/>
    </font>
    <font>
      <b/>
      <sz val="7"/>
      <color theme="1"/>
      <name val="Times New Roman"/>
      <family val="1"/>
      <charset val="204"/>
    </font>
    <font>
      <b/>
      <sz val="6.5"/>
      <color theme="1"/>
      <name val="Times New Roman"/>
      <family val="1"/>
      <charset val="204"/>
    </font>
    <font>
      <sz val="7"/>
      <color theme="1"/>
      <name val="Times New Roman"/>
      <family val="1"/>
      <charset val="204"/>
    </font>
    <font>
      <b/>
      <sz val="8.5"/>
      <color theme="1"/>
      <name val="Times New Roman"/>
      <family val="1"/>
      <charset val="204"/>
    </font>
    <font>
      <b/>
      <sz val="5"/>
      <color theme="1"/>
      <name val="Times New Roman"/>
      <family val="1"/>
      <charset val="204"/>
    </font>
    <font>
      <i/>
      <sz val="12"/>
      <name val="Calibri"/>
      <family val="2"/>
      <charset val="204"/>
    </font>
    <font>
      <b/>
      <sz val="12"/>
      <color indexed="81"/>
      <name val="Tahoma"/>
      <family val="2"/>
      <charset val="204"/>
    </font>
    <font>
      <b/>
      <u/>
      <sz val="12"/>
      <color indexed="81"/>
      <name val="Tahoma"/>
      <family val="2"/>
      <charset val="204"/>
    </font>
    <font>
      <b/>
      <u/>
      <sz val="14"/>
      <color indexed="81"/>
      <name val="Tahoma"/>
      <family val="2"/>
      <charset val="204"/>
    </font>
    <font>
      <b/>
      <sz val="11"/>
      <color indexed="81"/>
      <name val="Tahoma"/>
      <family val="2"/>
      <charset val="204"/>
    </font>
    <font>
      <sz val="11"/>
      <color indexed="81"/>
      <name val="Tahoma"/>
      <family val="2"/>
      <charset val="204"/>
    </font>
    <font>
      <b/>
      <sz val="12"/>
      <name val="Calibri"/>
      <family val="2"/>
      <charset val="204"/>
    </font>
    <font>
      <b/>
      <u/>
      <sz val="11"/>
      <color indexed="81"/>
      <name val="Tahoma"/>
      <family val="2"/>
      <charset val="204"/>
    </font>
    <font>
      <sz val="14"/>
      <color rgb="FFFF0000"/>
      <name val="Calibri"/>
      <family val="2"/>
      <scheme val="minor"/>
    </font>
    <font>
      <i/>
      <sz val="12"/>
      <color theme="1"/>
      <name val="Calibri"/>
      <family val="2"/>
      <charset val="204"/>
    </font>
    <font>
      <sz val="9"/>
      <color indexed="81"/>
      <name val="Tahoma"/>
      <family val="2"/>
      <charset val="204"/>
    </font>
    <font>
      <i/>
      <sz val="12"/>
      <color theme="1"/>
      <name val="Calibri"/>
      <family val="2"/>
      <charset val="204"/>
      <scheme val="minor"/>
    </font>
    <font>
      <b/>
      <sz val="11"/>
      <color rgb="FFFF0000"/>
      <name val="Calibri"/>
      <family val="2"/>
      <charset val="204"/>
      <scheme val="minor"/>
    </font>
    <font>
      <i/>
      <u/>
      <sz val="12"/>
      <color theme="10"/>
      <name val="Calibri"/>
      <family val="2"/>
      <charset val="204"/>
      <scheme val="minor"/>
    </font>
    <font>
      <sz val="12"/>
      <color theme="1"/>
      <name val="Calibri"/>
      <family val="2"/>
      <charset val="204"/>
      <scheme val="minor"/>
    </font>
    <font>
      <b/>
      <sz val="11"/>
      <color rgb="FFFFFFFF"/>
      <name val="Times New Roman"/>
      <family val="1"/>
      <charset val="204"/>
    </font>
    <font>
      <sz val="11"/>
      <color theme="1"/>
      <name val="Times New Roman"/>
      <family val="1"/>
      <charset val="204"/>
    </font>
    <font>
      <b/>
      <sz val="11"/>
      <color theme="1"/>
      <name val="Arial"/>
      <family val="2"/>
      <charset val="204"/>
    </font>
    <font>
      <b/>
      <sz val="16"/>
      <color theme="1"/>
      <name val="Calibri"/>
      <family val="2"/>
      <charset val="204"/>
      <scheme val="minor"/>
    </font>
    <font>
      <b/>
      <sz val="10"/>
      <color theme="1"/>
      <name val="Calibri"/>
      <family val="2"/>
      <charset val="204"/>
      <scheme val="minor"/>
    </font>
    <font>
      <b/>
      <sz val="10"/>
      <color theme="0"/>
      <name val="Calibri"/>
      <family val="2"/>
      <charset val="204"/>
      <scheme val="minor"/>
    </font>
    <font>
      <sz val="10"/>
      <color theme="1"/>
      <name val="Calibri"/>
      <family val="2"/>
      <charset val="204"/>
      <scheme val="minor"/>
    </font>
    <font>
      <sz val="10"/>
      <name val="Calibri"/>
      <family val="2"/>
      <charset val="204"/>
      <scheme val="minor"/>
    </font>
    <font>
      <b/>
      <sz val="12"/>
      <color theme="0"/>
      <name val="Calibri"/>
      <family val="2"/>
      <charset val="204"/>
      <scheme val="minor"/>
    </font>
    <font>
      <sz val="11"/>
      <color rgb="FFFF0000"/>
      <name val="Calibri"/>
      <family val="2"/>
      <scheme val="minor"/>
    </font>
    <font>
      <b/>
      <sz val="11"/>
      <name val="Calibri"/>
      <family val="2"/>
      <scheme val="minor"/>
    </font>
    <font>
      <sz val="11"/>
      <color theme="0" tint="-0.499984740745262"/>
      <name val="Calibri"/>
      <family val="2"/>
      <charset val="204"/>
      <scheme val="minor"/>
    </font>
    <font>
      <b/>
      <sz val="14"/>
      <color theme="1"/>
      <name val="Calibri"/>
      <family val="2"/>
      <charset val="204"/>
      <scheme val="minor"/>
    </font>
    <font>
      <b/>
      <sz val="8"/>
      <color indexed="8"/>
      <name val="Calibri"/>
      <family val="2"/>
      <charset val="204"/>
    </font>
    <font>
      <sz val="11"/>
      <color indexed="31"/>
      <name val="Calibri"/>
      <family val="2"/>
    </font>
    <font>
      <sz val="12"/>
      <color rgb="FFFF0000"/>
      <name val="Calibri"/>
      <family val="2"/>
      <charset val="204"/>
      <scheme val="minor"/>
    </font>
    <font>
      <b/>
      <sz val="11"/>
      <color rgb="FFFFFFFF"/>
      <name val="Calibri"/>
      <family val="2"/>
      <charset val="204"/>
    </font>
    <font>
      <b/>
      <sz val="12"/>
      <color rgb="FF000000"/>
      <name val="Calibri"/>
      <family val="2"/>
      <charset val="204"/>
      <scheme val="minor"/>
    </font>
    <font>
      <b/>
      <i/>
      <sz val="12"/>
      <color rgb="FF000000"/>
      <name val="Calibri"/>
      <family val="2"/>
      <charset val="204"/>
      <scheme val="minor"/>
    </font>
    <font>
      <sz val="12"/>
      <color rgb="FF000000"/>
      <name val="Calibri"/>
      <family val="2"/>
      <charset val="204"/>
      <scheme val="minor"/>
    </font>
    <font>
      <sz val="11"/>
      <color rgb="FF1F497D"/>
      <name val="Wingdings"/>
      <charset val="2"/>
    </font>
    <font>
      <i/>
      <sz val="12"/>
      <color rgb="FFFF0000"/>
      <name val="Calibri"/>
      <family val="2"/>
      <charset val="204"/>
      <scheme val="minor"/>
    </font>
    <font>
      <b/>
      <i/>
      <sz val="12"/>
      <name val="Calibri"/>
      <family val="2"/>
      <charset val="204"/>
    </font>
    <font>
      <b/>
      <i/>
      <sz val="12"/>
      <color theme="1"/>
      <name val="Calibri"/>
      <family val="2"/>
      <charset val="204"/>
      <scheme val="minor"/>
    </font>
    <font>
      <sz val="12"/>
      <color theme="1"/>
      <name val="Calibri"/>
      <family val="2"/>
      <scheme val="minor"/>
    </font>
    <font>
      <b/>
      <sz val="12"/>
      <color rgb="FFFFFFFF"/>
      <name val="Times New Roman"/>
      <family val="1"/>
      <charset val="204"/>
    </font>
    <font>
      <b/>
      <sz val="12"/>
      <color rgb="FF000000"/>
      <name val="Times New Roman"/>
      <family val="1"/>
      <charset val="204"/>
    </font>
    <font>
      <b/>
      <sz val="12"/>
      <color rgb="FFFF0000"/>
      <name val="Times New Roman"/>
      <family val="1"/>
      <charset val="204"/>
    </font>
    <font>
      <sz val="12"/>
      <color rgb="FF000000"/>
      <name val="Times New Roman"/>
      <family val="1"/>
      <charset val="204"/>
    </font>
    <font>
      <b/>
      <sz val="12"/>
      <name val="Arial"/>
      <family val="2"/>
      <charset val="204"/>
    </font>
    <font>
      <b/>
      <sz val="12"/>
      <name val="Times New Roman"/>
      <family val="1"/>
      <charset val="204"/>
    </font>
    <font>
      <sz val="16"/>
      <color rgb="FF1F497D"/>
      <name val="Calibri"/>
      <family val="2"/>
      <charset val="204"/>
      <scheme val="minor"/>
    </font>
    <font>
      <b/>
      <sz val="12"/>
      <color theme="1"/>
      <name val="Times New Roman"/>
      <family val="1"/>
      <charset val="204"/>
    </font>
    <font>
      <sz val="11"/>
      <color theme="0"/>
      <name val="Calibri"/>
      <family val="2"/>
      <charset val="204"/>
      <scheme val="minor"/>
    </font>
    <font>
      <sz val="10"/>
      <color indexed="8"/>
      <name val="MS Sans Serif"/>
      <family val="2"/>
      <charset val="204"/>
    </font>
    <font>
      <sz val="10"/>
      <name val="Arial Cyr"/>
      <charset val="204"/>
    </font>
    <font>
      <sz val="10"/>
      <color indexed="8"/>
      <name val="MS Sans Serif"/>
      <family val="2"/>
    </font>
    <font>
      <sz val="10"/>
      <color rgb="FF000000"/>
      <name val="Arial1"/>
    </font>
    <font>
      <sz val="10"/>
      <name val="Arial"/>
      <family val="2"/>
    </font>
    <font>
      <sz val="1"/>
      <color indexed="8"/>
      <name val="Courier"/>
      <family val="1"/>
      <charset val="204"/>
    </font>
    <font>
      <b/>
      <sz val="1"/>
      <color indexed="8"/>
      <name val="Courier"/>
      <family val="1"/>
      <charset val="204"/>
    </font>
    <font>
      <sz val="10"/>
      <name val="MS Sans Serif"/>
      <family val="2"/>
      <charset val="204"/>
    </font>
    <font>
      <b/>
      <sz val="10"/>
      <color rgb="FF000000"/>
      <name val="Pragmatica"/>
    </font>
    <font>
      <b/>
      <sz val="10"/>
      <name val="Pragmatica"/>
      <charset val="204"/>
    </font>
    <font>
      <sz val="11"/>
      <color indexed="8"/>
      <name val="Calibri"/>
      <family val="2"/>
    </font>
    <font>
      <sz val="11"/>
      <color indexed="9"/>
      <name val="Calibri"/>
      <family val="2"/>
      <charset val="204"/>
    </font>
    <font>
      <sz val="11"/>
      <color indexed="9"/>
      <name val="Calibri"/>
      <family val="2"/>
    </font>
    <font>
      <sz val="8"/>
      <name val="Helv"/>
      <charset val="204"/>
    </font>
    <font>
      <sz val="8"/>
      <name val="Tahoma"/>
      <family val="2"/>
    </font>
    <font>
      <sz val="11"/>
      <color indexed="20"/>
      <name val="Calibri"/>
      <family val="2"/>
      <charset val="204"/>
    </font>
    <font>
      <sz val="11"/>
      <color indexed="20"/>
      <name val="Calibri"/>
      <family val="2"/>
    </font>
    <font>
      <sz val="10"/>
      <name val="Courier"/>
      <family val="1"/>
      <charset val="204"/>
    </font>
    <font>
      <b/>
      <sz val="10"/>
      <color indexed="8"/>
      <name val="Arial"/>
      <family val="2"/>
    </font>
    <font>
      <sz val="8"/>
      <name val="Verdana"/>
      <family val="2"/>
      <charset val="204"/>
    </font>
    <font>
      <sz val="10"/>
      <color indexed="8"/>
      <name val="Arial"/>
      <family val="2"/>
    </font>
    <font>
      <b/>
      <sz val="11"/>
      <color indexed="52"/>
      <name val="Calibri"/>
      <family val="2"/>
      <charset val="204"/>
    </font>
    <font>
      <b/>
      <sz val="12"/>
      <color rgb="FF000000"/>
      <name val="FuturisCTT"/>
    </font>
    <font>
      <b/>
      <sz val="11"/>
      <color indexed="9"/>
      <name val="Calibri"/>
      <family val="2"/>
      <charset val="204"/>
    </font>
    <font>
      <b/>
      <sz val="11"/>
      <color indexed="9"/>
      <name val="Calibri"/>
      <family val="2"/>
    </font>
    <font>
      <u/>
      <sz val="8"/>
      <color indexed="20"/>
      <name val="MS Sans Serif"/>
      <family val="2"/>
      <charset val="204"/>
    </font>
    <font>
      <u/>
      <sz val="8"/>
      <color indexed="12"/>
      <name val="MS Sans Serif"/>
      <family val="2"/>
      <charset val="204"/>
    </font>
    <font>
      <b/>
      <u val="singleAccounting"/>
      <sz val="8"/>
      <color indexed="8"/>
      <name val="Arial"/>
      <family val="2"/>
    </font>
    <font>
      <b/>
      <sz val="8"/>
      <color rgb="FF000000"/>
      <name val="FuturisCTT"/>
    </font>
    <font>
      <sz val="10"/>
      <name val="Times New Roman"/>
      <family val="1"/>
    </font>
    <font>
      <sz val="12"/>
      <name val="Times"/>
      <family val="1"/>
    </font>
    <font>
      <sz val="12"/>
      <name val="Times New Roman"/>
      <family val="1"/>
    </font>
    <font>
      <sz val="10"/>
      <color indexed="8"/>
      <name val="Arial"/>
      <family val="2"/>
      <charset val="204"/>
    </font>
    <font>
      <sz val="7"/>
      <color rgb="FF000000"/>
      <name val="Arial1"/>
    </font>
    <font>
      <sz val="10"/>
      <color rgb="FF000000"/>
      <name val="Arial Cyr"/>
    </font>
    <font>
      <sz val="12"/>
      <name val="Tms Rmn"/>
    </font>
    <font>
      <sz val="11"/>
      <color indexed="8"/>
      <name val="Mangal"/>
      <family val="2"/>
      <charset val="204"/>
    </font>
    <font>
      <u/>
      <sz val="10"/>
      <color rgb="FF0000FF"/>
      <name val="Arial"/>
      <family val="2"/>
      <charset val="204"/>
    </font>
    <font>
      <sz val="10"/>
      <name val="Arial Cyr"/>
      <family val="2"/>
      <charset val="204"/>
    </font>
    <font>
      <sz val="10"/>
      <name val="Arial"/>
      <family val="2"/>
      <charset val="1"/>
    </font>
    <font>
      <i/>
      <sz val="11"/>
      <color indexed="23"/>
      <name val="Calibri"/>
      <family val="2"/>
      <charset val="204"/>
    </font>
    <font>
      <i/>
      <sz val="11"/>
      <color indexed="23"/>
      <name val="Calibri"/>
      <family val="2"/>
    </font>
    <font>
      <u/>
      <sz val="11"/>
      <color theme="11"/>
      <name val="Calibri"/>
      <family val="2"/>
      <charset val="204"/>
      <scheme val="minor"/>
    </font>
    <font>
      <sz val="11"/>
      <color indexed="17"/>
      <name val="Calibri"/>
      <family val="2"/>
      <charset val="204"/>
    </font>
    <font>
      <sz val="11"/>
      <color indexed="17"/>
      <name val="Calibri"/>
      <family val="2"/>
    </font>
    <font>
      <sz val="8"/>
      <color rgb="FF000000"/>
      <name val="Arial1"/>
    </font>
    <font>
      <sz val="8"/>
      <name val="Arial"/>
      <family val="2"/>
      <charset val="204"/>
    </font>
    <font>
      <b/>
      <sz val="8"/>
      <color indexed="9"/>
      <name val="Tahoma"/>
      <family val="2"/>
    </font>
    <font>
      <b/>
      <sz val="8"/>
      <color indexed="8"/>
      <name val="Tahoma"/>
      <family val="2"/>
    </font>
    <font>
      <b/>
      <sz val="12"/>
      <name val="Arial"/>
      <family val="2"/>
    </font>
    <font>
      <b/>
      <i/>
      <sz val="16"/>
      <color rgb="FF000000"/>
      <name val="Arial Cyr"/>
    </font>
    <font>
      <b/>
      <sz val="15"/>
      <color indexed="56"/>
      <name val="Calibri"/>
      <family val="2"/>
      <charset val="204"/>
    </font>
    <font>
      <b/>
      <sz val="15"/>
      <color indexed="56"/>
      <name val="Calibri"/>
      <family val="2"/>
    </font>
    <font>
      <b/>
      <sz val="13"/>
      <color indexed="56"/>
      <name val="Calibri"/>
      <family val="2"/>
      <charset val="204"/>
    </font>
    <font>
      <b/>
      <sz val="13"/>
      <color indexed="56"/>
      <name val="Calibri"/>
      <family val="2"/>
    </font>
    <font>
      <b/>
      <sz val="11"/>
      <color indexed="56"/>
      <name val="Calibri"/>
      <family val="2"/>
      <charset val="204"/>
    </font>
    <font>
      <b/>
      <sz val="11"/>
      <color indexed="56"/>
      <name val="Calibri"/>
      <family val="2"/>
    </font>
    <font>
      <u/>
      <sz val="7"/>
      <color indexed="12"/>
      <name val="Arial"/>
      <family val="2"/>
      <charset val="204"/>
    </font>
    <font>
      <u/>
      <sz val="10"/>
      <color theme="10"/>
      <name val="Arial"/>
      <family val="2"/>
      <charset val="204"/>
    </font>
    <font>
      <sz val="10"/>
      <name val="FranklinGothic"/>
    </font>
    <font>
      <sz val="11"/>
      <color indexed="62"/>
      <name val="Calibri"/>
      <family val="2"/>
      <charset val="204"/>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u/>
      <sz val="10"/>
      <color indexed="12"/>
      <name val="FranklinGothic"/>
    </font>
    <font>
      <sz val="11"/>
      <color indexed="52"/>
      <name val="Calibri"/>
      <family val="2"/>
      <charset val="204"/>
    </font>
    <font>
      <sz val="11"/>
      <color indexed="52"/>
      <name val="Calibri"/>
      <family val="2"/>
    </font>
    <font>
      <i/>
      <sz val="10"/>
      <name val="PragmaticaC"/>
    </font>
    <font>
      <sz val="11"/>
      <color indexed="60"/>
      <name val="Calibri"/>
      <family val="2"/>
      <charset val="204"/>
    </font>
    <font>
      <sz val="11"/>
      <color indexed="60"/>
      <name val="Calibri"/>
      <family val="2"/>
    </font>
    <font>
      <b/>
      <sz val="8"/>
      <color indexed="23"/>
      <name val="Verdana"/>
      <family val="2"/>
    </font>
    <font>
      <sz val="10"/>
      <color rgb="FF000000"/>
      <name val="Arial"/>
      <family val="2"/>
      <charset val="204"/>
    </font>
    <font>
      <sz val="10"/>
      <name val="Verdana"/>
      <family val="2"/>
    </font>
    <font>
      <sz val="8"/>
      <name val="Arial"/>
      <family val="2"/>
    </font>
    <font>
      <sz val="14"/>
      <name val="NewtonC"/>
      <charset val="204"/>
    </font>
    <font>
      <sz val="10"/>
      <name val="Geneva"/>
    </font>
    <font>
      <sz val="10"/>
      <color rgb="FF000000"/>
      <name val="NTHarmonica"/>
    </font>
    <font>
      <i/>
      <sz val="12"/>
      <name val="NewtonC"/>
    </font>
    <font>
      <sz val="12"/>
      <name val="NewtonC"/>
    </font>
    <font>
      <b/>
      <sz val="11"/>
      <color indexed="63"/>
      <name val="Calibri"/>
      <family val="2"/>
      <charset val="204"/>
    </font>
    <font>
      <b/>
      <sz val="11"/>
      <color indexed="63"/>
      <name val="Calibri"/>
      <family val="2"/>
    </font>
    <font>
      <i/>
      <sz val="12"/>
      <name val="Tms Rmn"/>
    </font>
    <font>
      <sz val="16"/>
      <color indexed="9"/>
      <name val="Tahoma"/>
      <family val="2"/>
    </font>
    <font>
      <b/>
      <i/>
      <u/>
      <sz val="11"/>
      <color rgb="FF000000"/>
      <name val="Arial Cyr"/>
    </font>
    <font>
      <b/>
      <sz val="24"/>
      <color rgb="FF000000"/>
      <name val="Arial1"/>
    </font>
    <font>
      <b/>
      <sz val="24"/>
      <name val="Helv"/>
    </font>
    <font>
      <sz val="16"/>
      <color rgb="FF000000"/>
      <name val="Arial"/>
      <family val="2"/>
      <charset val="204"/>
    </font>
    <font>
      <sz val="8"/>
      <color rgb="FF080000"/>
      <name val="Arial"/>
      <family val="2"/>
      <charset val="204"/>
    </font>
    <font>
      <sz val="8"/>
      <color rgb="FF000000"/>
      <name val="Arial"/>
      <family val="2"/>
      <charset val="204"/>
    </font>
    <font>
      <sz val="1"/>
      <color rgb="FF080000"/>
      <name val="Arial"/>
      <family val="2"/>
      <charset val="204"/>
    </font>
    <font>
      <b/>
      <sz val="10"/>
      <color rgb="FF000000"/>
      <name val="Arial"/>
      <family val="2"/>
      <charset val="204"/>
    </font>
    <font>
      <b/>
      <i/>
      <sz val="8"/>
      <name val="Arial"/>
      <family val="2"/>
      <charset val="204"/>
    </font>
    <font>
      <b/>
      <i/>
      <sz val="8"/>
      <name val="Arial"/>
      <family val="2"/>
    </font>
    <font>
      <b/>
      <sz val="10"/>
      <color rgb="FF000000"/>
      <name val="Arial1"/>
    </font>
    <font>
      <b/>
      <sz val="10"/>
      <name val="Helv"/>
    </font>
    <font>
      <sz val="10"/>
      <name val="MS Sans"/>
    </font>
    <font>
      <b/>
      <sz val="9"/>
      <name val="Arial"/>
      <family val="2"/>
      <charset val="204"/>
    </font>
    <font>
      <b/>
      <sz val="9"/>
      <name val="Arial"/>
      <family val="2"/>
    </font>
    <font>
      <sz val="8"/>
      <color rgb="FF000000"/>
      <name val="NTHelvetica/Cyrillic"/>
    </font>
    <font>
      <sz val="8"/>
      <name val="NTHelvetica/Cyrillic"/>
    </font>
    <font>
      <sz val="11"/>
      <color indexed="63"/>
      <name val="Calibri"/>
      <family val="2"/>
      <charset val="204"/>
    </font>
    <font>
      <b/>
      <sz val="8"/>
      <color indexed="63"/>
      <name val="Verdana"/>
      <family val="2"/>
    </font>
    <font>
      <sz val="8"/>
      <color indexed="8"/>
      <name val="Arial"/>
      <family val="2"/>
    </font>
    <font>
      <b/>
      <sz val="10"/>
      <color indexed="10"/>
      <name val="Arial"/>
      <family val="2"/>
    </font>
    <font>
      <b/>
      <sz val="18"/>
      <color indexed="56"/>
      <name val="Cambria"/>
      <family val="2"/>
      <charset val="204"/>
    </font>
    <font>
      <b/>
      <sz val="18"/>
      <color indexed="56"/>
      <name val="Cambria"/>
      <family val="2"/>
    </font>
    <font>
      <b/>
      <sz val="11"/>
      <color indexed="8"/>
      <name val="Calibri"/>
      <family val="2"/>
      <charset val="204"/>
    </font>
    <font>
      <b/>
      <sz val="11"/>
      <color indexed="8"/>
      <name val="Calibri"/>
      <family val="2"/>
    </font>
    <font>
      <b/>
      <sz val="14"/>
      <color rgb="FF000000"/>
      <name val="Arial1"/>
    </font>
    <font>
      <b/>
      <sz val="14"/>
      <name val="Helv"/>
    </font>
    <font>
      <sz val="11"/>
      <color indexed="10"/>
      <name val="Calibri"/>
      <family val="2"/>
      <charset val="204"/>
    </font>
    <font>
      <sz val="11"/>
      <color indexed="10"/>
      <name val="Calibri"/>
      <family val="2"/>
    </font>
    <font>
      <b/>
      <sz val="10"/>
      <name val="Arial"/>
      <family val="2"/>
      <charset val="204"/>
    </font>
    <font>
      <sz val="10"/>
      <color rgb="FFFFFFFF"/>
      <name val="Arial Cyr"/>
    </font>
    <font>
      <sz val="10"/>
      <color indexed="9"/>
      <name val="Arial CYR"/>
      <family val="2"/>
      <charset val="204"/>
    </font>
    <font>
      <b/>
      <sz val="11"/>
      <color indexed="52"/>
      <name val="Calibri"/>
      <family val="2"/>
    </font>
    <font>
      <u/>
      <sz val="7.5"/>
      <color indexed="12"/>
      <name val="Arial"/>
      <family val="2"/>
      <charset val="204"/>
    </font>
    <font>
      <u/>
      <sz val="11"/>
      <color theme="10"/>
      <name val="Calibri"/>
      <family val="2"/>
      <charset val="204"/>
      <scheme val="minor"/>
    </font>
    <font>
      <u/>
      <sz val="9.35"/>
      <color theme="10"/>
      <name val="Calibri"/>
      <family val="2"/>
      <charset val="204"/>
    </font>
    <font>
      <u/>
      <sz val="10"/>
      <color indexed="12"/>
      <name val="Arial Cyr"/>
    </font>
    <font>
      <u/>
      <sz val="10"/>
      <color indexed="12"/>
      <name val="Arial"/>
      <family val="2"/>
      <charset val="204"/>
    </font>
    <font>
      <u/>
      <sz val="5.5"/>
      <color theme="10"/>
      <name val="Arial Cyr"/>
      <charset val="204"/>
    </font>
    <font>
      <u/>
      <sz val="8.5"/>
      <color indexed="12"/>
      <name val="Arial Cyr"/>
      <charset val="204"/>
    </font>
    <font>
      <u/>
      <sz val="7"/>
      <color theme="10"/>
      <name val="Arial Cyr"/>
      <charset val="204"/>
    </font>
    <font>
      <u/>
      <sz val="10"/>
      <color theme="10"/>
      <name val="Arial Cyr"/>
      <charset val="204"/>
    </font>
    <font>
      <u/>
      <sz val="8.8000000000000007"/>
      <color theme="10"/>
      <name val="Calibri"/>
      <family val="2"/>
      <charset val="204"/>
    </font>
    <font>
      <u/>
      <sz val="10"/>
      <color indexed="12"/>
      <name val="Arial Cyr"/>
      <charset val="204"/>
    </font>
    <font>
      <u/>
      <sz val="8.5"/>
      <color theme="10"/>
      <name val="Arial"/>
      <family val="2"/>
      <charset val="204"/>
    </font>
    <font>
      <u/>
      <sz val="8.25"/>
      <color theme="10"/>
      <name val="Calibri"/>
      <family val="2"/>
      <charset val="204"/>
    </font>
    <font>
      <u/>
      <sz val="8.5"/>
      <color indexed="12"/>
      <name val="Verdana"/>
      <family val="2"/>
    </font>
    <font>
      <u/>
      <sz val="7.5"/>
      <color theme="10"/>
      <name val="Arial Cyr"/>
      <charset val="204"/>
    </font>
    <font>
      <u/>
      <sz val="11"/>
      <color theme="10"/>
      <name val="Calibri"/>
      <family val="2"/>
      <charset val="204"/>
    </font>
    <font>
      <u/>
      <sz val="10"/>
      <color indexed="12"/>
      <name val="Arial"/>
      <family val="2"/>
    </font>
    <font>
      <u/>
      <sz val="9.9"/>
      <color theme="10"/>
      <name val="Calibri"/>
      <family val="2"/>
      <charset val="204"/>
    </font>
    <font>
      <b/>
      <sz val="10"/>
      <name val="Times New Roman"/>
      <family val="1"/>
      <charset val="204"/>
    </font>
    <font>
      <b/>
      <sz val="9"/>
      <name val="Times New Roman"/>
      <family val="1"/>
      <charset val="204"/>
    </font>
    <font>
      <b/>
      <sz val="15"/>
      <color indexed="62"/>
      <name val="Calibri"/>
      <family val="2"/>
      <charset val="204"/>
    </font>
    <font>
      <b/>
      <sz val="15"/>
      <color theme="3"/>
      <name val="Calibri"/>
      <family val="2"/>
      <scheme val="minor"/>
    </font>
    <font>
      <b/>
      <sz val="13"/>
      <color indexed="62"/>
      <name val="Calibri"/>
      <family val="2"/>
      <charset val="204"/>
    </font>
    <font>
      <b/>
      <sz val="13"/>
      <color theme="3"/>
      <name val="Calibri"/>
      <family val="2"/>
      <scheme val="minor"/>
    </font>
    <font>
      <b/>
      <sz val="11"/>
      <color indexed="62"/>
      <name val="Calibri"/>
      <family val="2"/>
      <charset val="204"/>
    </font>
    <font>
      <b/>
      <sz val="11"/>
      <color indexed="62"/>
      <name val="Calibri"/>
      <family val="2"/>
    </font>
    <font>
      <b/>
      <sz val="11"/>
      <color theme="3"/>
      <name val="Calibri"/>
      <family val="2"/>
      <scheme val="minor"/>
    </font>
    <font>
      <b/>
      <sz val="8"/>
      <color rgb="FF000000"/>
      <name val="TypeTimes"/>
    </font>
    <font>
      <b/>
      <sz val="14"/>
      <name val="Academy"/>
    </font>
    <font>
      <b/>
      <sz val="12"/>
      <name val="Times New Roman Cyr"/>
      <family val="1"/>
      <charset val="204"/>
    </font>
    <font>
      <i/>
      <sz val="12"/>
      <name val="Times New Roman Cyr"/>
      <family val="1"/>
      <charset val="204"/>
    </font>
    <font>
      <sz val="12"/>
      <color rgb="FF000000"/>
      <name val="Times New Roman CYR"/>
    </font>
    <font>
      <b/>
      <sz val="18"/>
      <color indexed="62"/>
      <name val="Cambria"/>
      <family val="2"/>
      <charset val="204"/>
    </font>
    <font>
      <sz val="18"/>
      <color rgb="FFC00000"/>
      <name val="Segoe UI"/>
      <family val="2"/>
      <charset val="204"/>
    </font>
    <font>
      <b/>
      <sz val="18"/>
      <color theme="3"/>
      <name val="Cambria"/>
      <family val="2"/>
      <scheme val="major"/>
    </font>
    <font>
      <sz val="8"/>
      <color indexed="64"/>
      <name val="Courier New"/>
      <family val="3"/>
      <charset val="204"/>
    </font>
    <font>
      <sz val="10"/>
      <color theme="1"/>
      <name val="Arial Cyr"/>
      <family val="2"/>
      <charset val="204"/>
    </font>
    <font>
      <sz val="11"/>
      <color theme="1"/>
      <name val="Calibri"/>
      <family val="1"/>
      <charset val="204"/>
    </font>
    <font>
      <sz val="11"/>
      <name val="Baltica"/>
      <charset val="204"/>
    </font>
    <font>
      <sz val="12"/>
      <color theme="1"/>
      <name val="Times New Roman"/>
      <family val="2"/>
      <charset val="204"/>
    </font>
    <font>
      <sz val="11"/>
      <color theme="1"/>
      <name val="Calibri"/>
      <family val="2"/>
      <charset val="204"/>
    </font>
    <font>
      <sz val="12"/>
      <name val="Times New Roman Cyr"/>
      <family val="1"/>
      <charset val="204"/>
    </font>
    <font>
      <sz val="12"/>
      <name val="Times New Roman"/>
      <family val="1"/>
      <charset val="204"/>
    </font>
    <font>
      <sz val="10"/>
      <name val="Verdana"/>
      <family val="2"/>
      <charset val="204"/>
    </font>
    <font>
      <sz val="8"/>
      <name val="Courier New"/>
      <family val="3"/>
      <charset val="204"/>
    </font>
    <font>
      <b/>
      <u/>
      <sz val="10"/>
      <name val="Times New Roman Cyr"/>
      <family val="1"/>
      <charset val="204"/>
    </font>
    <font>
      <sz val="8"/>
      <name val="Arial Cyr"/>
      <family val="2"/>
      <charset val="204"/>
    </font>
    <font>
      <b/>
      <u/>
      <sz val="8"/>
      <color rgb="FF000000"/>
      <name val="Arial Cyr"/>
    </font>
    <font>
      <sz val="10"/>
      <name val="Arial"/>
      <family val="2"/>
      <charset val="177"/>
    </font>
    <font>
      <sz val="10"/>
      <name val="Helv"/>
      <family val="2"/>
    </font>
    <font>
      <sz val="11"/>
      <color theme="3" tint="0.39997558519241921"/>
      <name val="Times New Roman"/>
      <family val="1"/>
      <charset val="204"/>
    </font>
    <font>
      <sz val="10"/>
      <color theme="3" tint="0.39997558519241921"/>
      <name val="Arial"/>
      <family val="2"/>
      <charset val="204"/>
    </font>
    <font>
      <sz val="10"/>
      <name val="NewtonCTT"/>
    </font>
    <font>
      <sz val="8"/>
      <name val="Helv"/>
    </font>
    <font>
      <b/>
      <sz val="11"/>
      <name val="Arial"/>
      <family val="2"/>
      <charset val="204"/>
    </font>
    <font>
      <sz val="10"/>
      <color indexed="8"/>
      <name val="Arial Cyr"/>
      <family val="2"/>
      <charset val="204"/>
    </font>
    <font>
      <sz val="11"/>
      <color theme="1"/>
      <name val="Cambria"/>
      <family val="2"/>
      <charset val="204"/>
    </font>
    <font>
      <sz val="11"/>
      <name val="ＭＳ 明朝"/>
      <family val="1"/>
      <charset val="128"/>
    </font>
  </fonts>
  <fills count="110">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rgb="FF0070C0"/>
        <bgColor indexed="64"/>
      </patternFill>
    </fill>
    <fill>
      <patternFill patternType="solid">
        <fgColor theme="2" tint="-9.9948118533890809E-2"/>
        <bgColor indexed="64"/>
      </patternFill>
    </fill>
    <fill>
      <patternFill patternType="solid">
        <fgColor theme="0" tint="-0.499984740745262"/>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rgb="FFD9D9D9"/>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theme="3" tint="0.39997558519241921"/>
        <bgColor indexed="64"/>
      </patternFill>
    </fill>
    <fill>
      <patternFill patternType="solid">
        <fgColor rgb="FF948A54"/>
        <bgColor indexed="64"/>
      </patternFill>
    </fill>
    <fill>
      <patternFill patternType="solid">
        <fgColor rgb="FFC4BD97"/>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808080"/>
        <bgColor indexed="64"/>
      </patternFill>
    </fill>
    <fill>
      <patternFill patternType="solid">
        <fgColor theme="2" tint="-9.9978637043366805E-2"/>
        <bgColor indexed="64"/>
      </patternFill>
    </fill>
    <fill>
      <patternFill patternType="solid">
        <fgColor rgb="FFDDD9C4"/>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lightGray">
        <fgColor indexed="22"/>
      </patternFill>
    </fill>
    <fill>
      <patternFill patternType="solid">
        <fgColor indexed="31"/>
      </patternFill>
    </fill>
    <fill>
      <patternFill patternType="solid">
        <fgColor indexed="31"/>
        <bgColor indexed="22"/>
      </patternFill>
    </fill>
    <fill>
      <patternFill patternType="solid">
        <fgColor indexed="45"/>
      </patternFill>
    </fill>
    <fill>
      <patternFill patternType="solid">
        <fgColor indexed="45"/>
        <bgColor indexed="29"/>
      </patternFill>
    </fill>
    <fill>
      <patternFill patternType="solid">
        <fgColor indexed="42"/>
      </patternFill>
    </fill>
    <fill>
      <patternFill patternType="solid">
        <fgColor indexed="42"/>
        <bgColor indexed="27"/>
      </patternFill>
    </fill>
    <fill>
      <patternFill patternType="solid">
        <fgColor indexed="46"/>
      </patternFill>
    </fill>
    <fill>
      <patternFill patternType="solid">
        <fgColor indexed="46"/>
        <bgColor indexed="24"/>
      </patternFill>
    </fill>
    <fill>
      <patternFill patternType="solid">
        <fgColor indexed="27"/>
      </patternFill>
    </fill>
    <fill>
      <patternFill patternType="solid">
        <fgColor indexed="27"/>
        <bgColor indexed="41"/>
      </patternFill>
    </fill>
    <fill>
      <patternFill patternType="solid">
        <fgColor indexed="47"/>
      </patternFill>
    </fill>
    <fill>
      <patternFill patternType="solid">
        <fgColor indexed="47"/>
        <bgColor indexed="22"/>
      </patternFill>
    </fill>
    <fill>
      <patternFill patternType="solid">
        <fgColor indexed="29"/>
      </patternFill>
    </fill>
    <fill>
      <patternFill patternType="solid">
        <fgColor indexed="26"/>
      </patternFill>
    </fill>
    <fill>
      <patternFill patternType="solid">
        <fgColor indexed="44"/>
      </patternFill>
    </fill>
    <fill>
      <patternFill patternType="solid">
        <fgColor indexed="44"/>
        <bgColor indexed="31"/>
      </patternFill>
    </fill>
    <fill>
      <patternFill patternType="solid">
        <fgColor indexed="29"/>
        <bgColor indexed="45"/>
      </patternFill>
    </fill>
    <fill>
      <patternFill patternType="solid">
        <fgColor indexed="11"/>
      </patternFill>
    </fill>
    <fill>
      <patternFill patternType="solid">
        <fgColor indexed="11"/>
        <bgColor indexed="49"/>
      </patternFill>
    </fill>
    <fill>
      <patternFill patternType="solid">
        <fgColor indexed="51"/>
      </patternFill>
    </fill>
    <fill>
      <patternFill patternType="solid">
        <fgColor indexed="51"/>
        <bgColor indexed="13"/>
      </patternFill>
    </fill>
    <fill>
      <patternFill patternType="solid">
        <fgColor indexed="22"/>
      </patternFill>
    </fill>
    <fill>
      <patternFill patternType="solid">
        <fgColor indexed="43"/>
      </patternFill>
    </fill>
    <fill>
      <patternFill patternType="solid">
        <fgColor indexed="30"/>
      </patternFill>
    </fill>
    <fill>
      <patternFill patternType="solid">
        <fgColor indexed="30"/>
        <bgColor indexed="21"/>
      </patternFill>
    </fill>
    <fill>
      <patternFill patternType="solid">
        <fgColor indexed="36"/>
      </patternFill>
    </fill>
    <fill>
      <patternFill patternType="solid">
        <fgColor indexed="20"/>
        <bgColor indexed="36"/>
      </patternFill>
    </fill>
    <fill>
      <patternFill patternType="solid">
        <fgColor indexed="49"/>
      </patternFill>
    </fill>
    <fill>
      <patternFill patternType="solid">
        <fgColor indexed="49"/>
        <bgColor indexed="40"/>
      </patternFill>
    </fill>
    <fill>
      <patternFill patternType="solid">
        <fgColor indexed="52"/>
      </patternFill>
    </fill>
    <fill>
      <patternFill patternType="solid">
        <fgColor indexed="52"/>
        <bgColor indexed="51"/>
      </patternFill>
    </fill>
    <fill>
      <patternFill patternType="solid">
        <fgColor indexed="62"/>
      </patternFill>
    </fill>
    <fill>
      <patternFill patternType="solid">
        <fgColor indexed="62"/>
        <bgColor indexed="56"/>
      </patternFill>
    </fill>
    <fill>
      <patternFill patternType="solid">
        <fgColor indexed="10"/>
      </patternFill>
    </fill>
    <fill>
      <patternFill patternType="solid">
        <fgColor indexed="10"/>
        <bgColor indexed="60"/>
      </patternFill>
    </fill>
    <fill>
      <patternFill patternType="solid">
        <fgColor indexed="57"/>
      </patternFill>
    </fill>
    <fill>
      <patternFill patternType="solid">
        <fgColor indexed="57"/>
        <bgColor indexed="21"/>
      </patternFill>
    </fill>
    <fill>
      <patternFill patternType="solid">
        <fgColor indexed="53"/>
      </patternFill>
    </fill>
    <fill>
      <patternFill patternType="solid">
        <fgColor indexed="53"/>
        <bgColor indexed="52"/>
      </patternFill>
    </fill>
    <fill>
      <patternFill patternType="solid">
        <fgColor indexed="9"/>
        <bgColor indexed="64"/>
      </patternFill>
    </fill>
    <fill>
      <patternFill patternType="solid">
        <fgColor indexed="11"/>
        <bgColor indexed="11"/>
      </patternFill>
    </fill>
    <fill>
      <patternFill patternType="solid">
        <fgColor indexed="55"/>
        <bgColor indexed="64"/>
      </patternFill>
    </fill>
    <fill>
      <patternFill patternType="solid">
        <fgColor indexed="55"/>
      </patternFill>
    </fill>
    <fill>
      <patternFill patternType="solid">
        <fgColor indexed="55"/>
        <bgColor indexed="23"/>
      </patternFill>
    </fill>
    <fill>
      <patternFill patternType="solid">
        <fgColor indexed="60"/>
        <bgColor indexed="64"/>
      </patternFill>
    </fill>
    <fill>
      <patternFill patternType="solid">
        <fgColor rgb="FFC0C0C0"/>
        <bgColor rgb="FFC0C0C0"/>
      </patternFill>
    </fill>
    <fill>
      <patternFill patternType="solid">
        <fgColor indexed="26"/>
        <bgColor indexed="26"/>
      </patternFill>
    </fill>
    <fill>
      <patternFill patternType="solid">
        <fgColor indexed="33"/>
        <bgColor indexed="33"/>
      </patternFill>
    </fill>
    <fill>
      <patternFill patternType="solid">
        <fgColor indexed="22"/>
        <bgColor indexed="64"/>
      </patternFill>
    </fill>
    <fill>
      <patternFill patternType="solid">
        <fgColor rgb="FFFFFFFF"/>
        <bgColor rgb="FFFFFFFF"/>
      </patternFill>
    </fill>
    <fill>
      <patternFill patternType="solid">
        <fgColor indexed="8"/>
        <bgColor indexed="64"/>
      </patternFill>
    </fill>
    <fill>
      <patternFill patternType="solid">
        <fgColor indexed="43"/>
        <bgColor indexed="26"/>
      </patternFill>
    </fill>
    <fill>
      <patternFill patternType="solid">
        <fgColor rgb="FFEFEFEF"/>
        <bgColor rgb="FFEFEFEF"/>
      </patternFill>
    </fill>
    <fill>
      <patternFill patternType="solid">
        <fgColor indexed="22"/>
        <bgColor indexed="31"/>
      </patternFill>
    </fill>
    <fill>
      <patternFill patternType="solid">
        <fgColor rgb="FFFFFFFF"/>
        <bgColor indexed="64"/>
      </patternFill>
    </fill>
    <fill>
      <patternFill patternType="solid">
        <fgColor rgb="FFEBEBEB"/>
        <bgColor indexed="64"/>
      </patternFill>
    </fill>
    <fill>
      <patternFill patternType="solid">
        <fgColor rgb="FFCCCCCC"/>
        <bgColor indexed="64"/>
      </patternFill>
    </fill>
    <fill>
      <patternFill patternType="gray0625"/>
    </fill>
    <fill>
      <patternFill patternType="solid">
        <fgColor indexed="54"/>
      </patternFill>
    </fill>
    <fill>
      <patternFill patternType="solid">
        <fgColor indexed="41"/>
        <bgColor indexed="64"/>
      </patternFill>
    </fill>
    <fill>
      <patternFill patternType="solid">
        <fgColor indexed="9"/>
      </patternFill>
    </fill>
    <fill>
      <patternFill patternType="solid">
        <fgColor rgb="FF000000"/>
        <bgColor rgb="FF000000"/>
      </patternFill>
    </fill>
    <fill>
      <patternFill patternType="solid">
        <fgColor indexed="15"/>
        <bgColor indexed="64"/>
      </patternFill>
    </fill>
    <fill>
      <patternFill patternType="solid">
        <fgColor indexed="10"/>
        <bgColor indexed="64"/>
      </patternFill>
    </fill>
  </fills>
  <borders count="1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thin">
        <color indexed="64"/>
      </top>
      <bottom/>
      <diagonal/>
    </border>
    <border>
      <left style="thin">
        <color indexed="64"/>
      </left>
      <right style="hair">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style="hair">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bottom/>
      <diagonal/>
    </border>
    <border>
      <left/>
      <right/>
      <top style="thin">
        <color indexed="64"/>
      </top>
      <bottom/>
      <diagonal/>
    </border>
    <border>
      <left style="thin">
        <color indexed="64"/>
      </left>
      <right style="thin">
        <color indexed="64"/>
      </right>
      <top style="hair">
        <color indexed="64"/>
      </top>
      <bottom style="hair">
        <color indexed="64"/>
      </bottom>
      <diagonal/>
    </border>
    <border>
      <left style="hair">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thin">
        <color indexed="64"/>
      </top>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style="hair">
        <color indexed="64"/>
      </left>
      <right style="hair">
        <color indexed="64"/>
      </right>
      <top/>
      <bottom style="hair">
        <color indexed="64"/>
      </bottom>
      <diagonal/>
    </border>
    <border>
      <left style="thin">
        <color rgb="FF000000"/>
      </left>
      <right style="thin">
        <color rgb="FF000000"/>
      </right>
      <top/>
      <bottom style="thin">
        <color rgb="FF000000"/>
      </bottom>
      <diagonal/>
    </border>
    <border>
      <left style="medium">
        <color rgb="FF010000"/>
      </left>
      <right/>
      <top style="medium">
        <color rgb="FF000000"/>
      </top>
      <bottom style="medium">
        <color rgb="FF000000"/>
      </bottom>
      <diagonal/>
    </border>
    <border>
      <left/>
      <right/>
      <top style="medium">
        <color rgb="FF000000"/>
      </top>
      <bottom style="medium">
        <color rgb="FF000000"/>
      </bottom>
      <diagonal/>
    </border>
    <border>
      <left/>
      <right/>
      <top style="thin">
        <color auto="1"/>
      </top>
      <bottom/>
      <diagonal/>
    </border>
    <border>
      <left style="thin">
        <color indexed="64"/>
      </left>
      <right/>
      <top/>
      <bottom style="thin">
        <color indexed="64"/>
      </bottom>
      <diagonal/>
    </border>
    <border>
      <left/>
      <right style="thin">
        <color indexed="64"/>
      </right>
      <top style="thin">
        <color indexed="64"/>
      </top>
      <bottom/>
      <diagonal/>
    </border>
    <border>
      <left/>
      <right style="hair">
        <color indexed="64"/>
      </right>
      <top/>
      <bottom/>
      <diagonal/>
    </border>
    <border>
      <left/>
      <right style="hair">
        <color indexed="64"/>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bottom/>
      <diagonal/>
    </border>
    <border>
      <left style="hair">
        <color indexed="64"/>
      </left>
      <right/>
      <top/>
      <bottom style="thin">
        <color indexed="64"/>
      </bottom>
      <diagonal/>
    </border>
    <border>
      <left style="hair">
        <color indexed="64"/>
      </left>
      <right/>
      <top style="thin">
        <color indexed="64"/>
      </top>
      <bottom style="thin">
        <color indexed="64"/>
      </bottom>
      <diagonal/>
    </border>
    <border>
      <left style="hair">
        <color indexed="64"/>
      </left>
      <right style="thin">
        <color indexed="64"/>
      </right>
      <top/>
      <bottom style="hair">
        <color indexed="64"/>
      </bottom>
      <diagonal/>
    </border>
    <border>
      <left style="hair">
        <color indexed="64"/>
      </left>
      <right/>
      <top style="thin">
        <color indexed="64"/>
      </top>
      <bottom/>
      <diagonal/>
    </border>
    <border>
      <left style="thin">
        <color auto="1"/>
      </left>
      <right style="thin">
        <color auto="1"/>
      </right>
      <top style="medium">
        <color auto="1"/>
      </top>
      <bottom style="medium">
        <color auto="1"/>
      </bottom>
      <diagonal/>
    </border>
    <border>
      <left style="thin">
        <color indexed="64"/>
      </left>
      <right style="hair">
        <color indexed="64"/>
      </right>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diagonal/>
    </border>
    <border>
      <left style="hair">
        <color indexed="64"/>
      </left>
      <right/>
      <top style="hair">
        <color indexed="64"/>
      </top>
      <bottom style="hair">
        <color indexed="64"/>
      </bottom>
      <diagonal/>
    </border>
    <border>
      <left style="thin">
        <color indexed="64"/>
      </left>
      <right style="thin">
        <color indexed="64"/>
      </right>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style="thin">
        <color indexed="64"/>
      </right>
      <top style="hair">
        <color indexed="64"/>
      </top>
      <bottom/>
      <diagonal/>
    </border>
    <border>
      <left style="hair">
        <color indexed="64"/>
      </left>
      <right style="hair">
        <color indexed="64"/>
      </right>
      <top style="medium">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right style="hair">
        <color indexed="64"/>
      </right>
      <top style="medium">
        <color indexed="64"/>
      </top>
      <bottom style="hair">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thin">
        <color indexed="64"/>
      </left>
      <right style="hair">
        <color indexed="64"/>
      </right>
      <top/>
      <bottom/>
      <diagonal/>
    </border>
    <border>
      <left style="hair">
        <color indexed="64"/>
      </left>
      <right/>
      <top style="hair">
        <color indexed="64"/>
      </top>
      <bottom style="thin">
        <color indexed="64"/>
      </bottom>
      <diagonal/>
    </border>
    <border>
      <left style="hair">
        <color indexed="64"/>
      </left>
      <right/>
      <top style="thin">
        <color indexed="64"/>
      </top>
      <bottom style="hair">
        <color indexed="64"/>
      </bottom>
      <diagonal/>
    </border>
    <border>
      <left/>
      <right style="thin">
        <color indexed="64"/>
      </right>
      <top/>
      <bottom style="thin">
        <color indexed="64"/>
      </bottom>
      <diagonal/>
    </border>
    <border>
      <left style="hair">
        <color indexed="64"/>
      </left>
      <right/>
      <top style="hair">
        <color indexed="64"/>
      </top>
      <bottom/>
      <diagonal/>
    </border>
    <border>
      <left/>
      <right/>
      <top/>
      <bottom style="thick">
        <color theme="4"/>
      </bottom>
      <diagonal/>
    </border>
    <border>
      <left/>
      <right/>
      <top/>
      <bottom style="thick">
        <color theme="4" tint="0.499984740745262"/>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right/>
      <top/>
      <bottom style="thin">
        <color rgb="FF000000"/>
      </bottom>
      <diagonal/>
    </border>
    <border>
      <left style="double">
        <color indexed="63"/>
      </left>
      <right style="double">
        <color indexed="63"/>
      </right>
      <top style="double">
        <color indexed="63"/>
      </top>
      <bottom style="double">
        <color indexed="63"/>
      </bottom>
      <diagonal/>
    </border>
    <border>
      <left/>
      <right style="thin">
        <color rgb="FF000000"/>
      </right>
      <top/>
      <bottom style="thin">
        <color rgb="FF000000"/>
      </bottom>
      <diagonal/>
    </border>
    <border>
      <left/>
      <right/>
      <top style="thin">
        <color indexed="64"/>
      </top>
      <bottom/>
      <diagonal/>
    </border>
    <border>
      <left style="thin">
        <color indexed="8"/>
      </left>
      <right style="thin">
        <color indexed="8"/>
      </right>
      <top style="thin">
        <color indexed="8"/>
      </top>
      <bottom style="thin">
        <color indexed="8"/>
      </bottom>
      <diagonal/>
    </border>
    <border>
      <left/>
      <right/>
      <top/>
      <bottom style="medium">
        <color indexed="64"/>
      </bottom>
      <diagonal/>
    </border>
    <border>
      <left style="thin">
        <color rgb="FF000000"/>
      </left>
      <right style="thin">
        <color rgb="FF000000"/>
      </right>
      <top/>
      <bottom/>
      <diagonal/>
    </border>
    <border>
      <left/>
      <right/>
      <top style="thin">
        <color auto="1"/>
      </top>
      <bottom style="medium">
        <color auto="1"/>
      </bottom>
      <diagonal/>
    </border>
    <border>
      <left/>
      <right/>
      <top style="medium">
        <color indexed="64"/>
      </top>
      <bottom style="medium">
        <color indexed="64"/>
      </bottom>
      <diagonal/>
    </border>
    <border>
      <left/>
      <right/>
      <top style="medium">
        <color indexed="8"/>
      </top>
      <bottom style="medium">
        <color indexed="8"/>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auto="1"/>
      </left>
      <right style="thin">
        <color auto="1"/>
      </right>
      <top style="thin">
        <color auto="1"/>
      </top>
      <bottom style="thin">
        <color auto="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double">
        <color indexed="64"/>
      </right>
      <top style="thin">
        <color indexed="64"/>
      </top>
      <bottom style="thin">
        <color indexed="64"/>
      </bottom>
      <diagonal/>
    </border>
    <border>
      <left style="hair">
        <color indexed="8"/>
      </left>
      <right style="hair">
        <color indexed="8"/>
      </right>
      <top style="thin">
        <color indexed="8"/>
      </top>
      <bottom/>
      <diagonal/>
    </border>
    <border>
      <left style="hair">
        <color indexed="64"/>
      </left>
      <right style="hair">
        <color indexed="64"/>
      </right>
      <top style="double">
        <color indexed="64"/>
      </top>
      <bottom/>
      <diagonal/>
    </border>
    <border>
      <left style="thin">
        <color rgb="FF000000"/>
      </left>
      <right style="thin">
        <color rgb="FF000000"/>
      </right>
      <top style="thin">
        <color rgb="FF000000"/>
      </top>
      <bottom style="thin">
        <color rgb="FF000000"/>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64"/>
      </top>
      <bottom style="thin">
        <color indexed="64"/>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s>
  <cellStyleXfs count="54639">
    <xf numFmtId="0" fontId="0" fillId="0" borderId="0"/>
    <xf numFmtId="0" fontId="42" fillId="0" borderId="0" applyNumberFormat="0" applyFill="0" applyBorder="0" applyAlignment="0" applyProtection="0"/>
    <xf numFmtId="9" fontId="8" fillId="0" borderId="0" applyFont="0" applyFill="0" applyBorder="0" applyAlignment="0" applyProtection="0"/>
    <xf numFmtId="0" fontId="30" fillId="0" borderId="0"/>
    <xf numFmtId="167" fontId="35" fillId="0" borderId="0" applyFont="0" applyFill="0" applyBorder="0" applyAlignment="0" applyProtection="0">
      <alignment horizontal="centerContinuous"/>
    </xf>
    <xf numFmtId="0" fontId="33" fillId="0" borderId="0"/>
    <xf numFmtId="0" fontId="39" fillId="0" borderId="0"/>
    <xf numFmtId="0" fontId="40" fillId="0" borderId="0" applyFont="0" applyFill="0" applyBorder="0" applyAlignment="0" applyProtection="0"/>
    <xf numFmtId="0" fontId="40" fillId="0" borderId="0" applyFont="0" applyFill="0" applyBorder="0" applyAlignment="0" applyProtection="0"/>
    <xf numFmtId="43" fontId="8" fillId="0" borderId="0" applyFont="0" applyFill="0" applyBorder="0" applyAlignment="0" applyProtection="0"/>
    <xf numFmtId="0" fontId="31" fillId="0" borderId="0"/>
    <xf numFmtId="0" fontId="32" fillId="0" borderId="0"/>
    <xf numFmtId="0" fontId="32" fillId="0" borderId="0"/>
    <xf numFmtId="0" fontId="32" fillId="0" borderId="0"/>
    <xf numFmtId="0" fontId="37" fillId="0" borderId="0" applyNumberFormat="0" applyFill="0" applyBorder="0" applyAlignment="0" applyProtection="0"/>
    <xf numFmtId="0" fontId="4" fillId="0" borderId="0"/>
    <xf numFmtId="0" fontId="8" fillId="0" borderId="0"/>
    <xf numFmtId="0" fontId="3" fillId="0" borderId="0"/>
    <xf numFmtId="43" fontId="3"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31" fillId="0" borderId="0"/>
    <xf numFmtId="0" fontId="31" fillId="0" borderId="0"/>
    <xf numFmtId="0" fontId="109" fillId="0" borderId="0"/>
    <xf numFmtId="0" fontId="110" fillId="0" borderId="0"/>
    <xf numFmtId="0" fontId="109" fillId="0" borderId="0"/>
    <xf numFmtId="0" fontId="111" fillId="0" borderId="0"/>
    <xf numFmtId="0" fontId="11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12" fillId="0" borderId="0" applyNumberFormat="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12" fillId="0" borderId="0" applyNumberFormat="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32" fillId="0" borderId="0"/>
    <xf numFmtId="0" fontId="30" fillId="0" borderId="0"/>
    <xf numFmtId="0" fontId="31" fillId="0" borderId="0"/>
    <xf numFmtId="3" fontId="112" fillId="0" borderId="0" applyBorder="0" applyProtection="0">
      <alignment horizontal="center"/>
    </xf>
    <xf numFmtId="3" fontId="112" fillId="0" borderId="0" applyBorder="0" applyProtection="0">
      <alignment horizontal="center"/>
    </xf>
    <xf numFmtId="0" fontId="112" fillId="0" borderId="0" applyNumberFormat="0" applyBorder="0" applyProtection="0"/>
    <xf numFmtId="0" fontId="112" fillId="0" borderId="0" applyNumberFormat="0" applyBorder="0" applyProtection="0"/>
    <xf numFmtId="0" fontId="30" fillId="0" borderId="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3" fontId="112" fillId="0" borderId="0" applyBorder="0" applyProtection="0">
      <alignment horizontal="center"/>
    </xf>
    <xf numFmtId="0" fontId="32" fillId="0" borderId="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32" fillId="0" borderId="0"/>
    <xf numFmtId="0" fontId="32" fillId="0" borderId="0"/>
    <xf numFmtId="0" fontId="112" fillId="0" borderId="0" applyNumberFormat="0" applyBorder="0" applyProtection="0"/>
    <xf numFmtId="0" fontId="32" fillId="0" borderId="0"/>
    <xf numFmtId="3" fontId="112" fillId="0" borderId="0" applyBorder="0" applyProtection="0">
      <alignment horizontal="center"/>
    </xf>
    <xf numFmtId="0" fontId="112" fillId="0" borderId="0" applyNumberFormat="0" applyBorder="0" applyProtection="0"/>
    <xf numFmtId="0" fontId="112" fillId="0" borderId="0" applyNumberFormat="0" applyBorder="0" applyProtection="0"/>
    <xf numFmtId="3" fontId="112" fillId="0" borderId="0" applyBorder="0" applyProtection="0">
      <alignment horizontal="center"/>
    </xf>
    <xf numFmtId="3" fontId="112" fillId="0" borderId="0" applyBorder="0" applyProtection="0">
      <alignment horizontal="center"/>
    </xf>
    <xf numFmtId="0" fontId="112" fillId="0" borderId="0" applyNumberFormat="0" applyBorder="0" applyProtection="0"/>
    <xf numFmtId="0" fontId="112" fillId="0" borderId="0" applyNumberFormat="0" applyBorder="0" applyProtection="0">
      <alignment vertical="top"/>
    </xf>
    <xf numFmtId="3" fontId="112" fillId="0" borderId="0" applyBorder="0" applyProtection="0">
      <alignment horizontal="center"/>
    </xf>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3" fontId="112" fillId="0" borderId="0" applyBorder="0" applyProtection="0">
      <alignment horizontal="center"/>
    </xf>
    <xf numFmtId="3" fontId="112" fillId="0" borderId="0" applyBorder="0" applyProtection="0">
      <alignment horizontal="center"/>
    </xf>
    <xf numFmtId="3" fontId="112" fillId="0" borderId="0" applyBorder="0" applyProtection="0">
      <alignment horizontal="center"/>
    </xf>
    <xf numFmtId="3" fontId="112" fillId="0" borderId="0" applyBorder="0" applyProtection="0">
      <alignment horizontal="center"/>
    </xf>
    <xf numFmtId="0" fontId="32" fillId="0" borderId="0"/>
    <xf numFmtId="0" fontId="30" fillId="0" borderId="0"/>
    <xf numFmtId="3" fontId="112" fillId="0" borderId="0" applyBorder="0" applyProtection="0">
      <alignment horizontal="center"/>
    </xf>
    <xf numFmtId="0" fontId="30" fillId="0" borderId="0"/>
    <xf numFmtId="0" fontId="112" fillId="0" borderId="0" applyNumberFormat="0" applyBorder="0" applyProtection="0"/>
    <xf numFmtId="0" fontId="30" fillId="0" borderId="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3" fontId="112" fillId="0" borderId="0" applyBorder="0" applyProtection="0">
      <alignment horizontal="center"/>
    </xf>
    <xf numFmtId="3" fontId="112" fillId="0" borderId="0" applyBorder="0" applyProtection="0">
      <alignment horizontal="center"/>
    </xf>
    <xf numFmtId="3" fontId="112" fillId="0" borderId="0" applyBorder="0" applyProtection="0">
      <alignment horizontal="center"/>
    </xf>
    <xf numFmtId="3" fontId="112" fillId="0" borderId="0" applyBorder="0" applyProtection="0">
      <alignment horizontal="center"/>
    </xf>
    <xf numFmtId="3" fontId="112" fillId="0" borderId="0" applyBorder="0" applyProtection="0">
      <alignment horizontal="center"/>
    </xf>
    <xf numFmtId="0" fontId="113" fillId="0" borderId="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3" fontId="112" fillId="0" borderId="0" applyBorder="0" applyProtection="0">
      <alignment horizontal="center"/>
    </xf>
    <xf numFmtId="0" fontId="32" fillId="0" borderId="0"/>
    <xf numFmtId="0" fontId="32" fillId="0" borderId="0"/>
    <xf numFmtId="0" fontId="112" fillId="0" borderId="0" applyNumberFormat="0" applyBorder="0" applyProtection="0">
      <alignment vertical="top"/>
    </xf>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112" fillId="0" borderId="0" applyNumberFormat="0" applyBorder="0" applyProtection="0"/>
    <xf numFmtId="0" fontId="32" fillId="0" borderId="0"/>
    <xf numFmtId="0" fontId="112" fillId="0" borderId="0" applyNumberFormat="0" applyBorder="0" applyProtection="0"/>
    <xf numFmtId="0" fontId="30" fillId="0" borderId="0"/>
    <xf numFmtId="3" fontId="112" fillId="0" borderId="0" applyBorder="0" applyProtection="0">
      <alignment horizontal="center"/>
    </xf>
    <xf numFmtId="0" fontId="112" fillId="0" borderId="0" applyNumberFormat="0" applyBorder="0" applyProtection="0"/>
    <xf numFmtId="0" fontId="112" fillId="0" borderId="0" applyNumberFormat="0" applyBorder="0" applyProtection="0"/>
    <xf numFmtId="3" fontId="112" fillId="0" borderId="0" applyBorder="0" applyProtection="0">
      <alignment horizontal="center"/>
    </xf>
    <xf numFmtId="0" fontId="32" fillId="0" borderId="0"/>
    <xf numFmtId="0" fontId="32" fillId="0" borderId="0"/>
    <xf numFmtId="0" fontId="32" fillId="0" borderId="0"/>
    <xf numFmtId="0" fontId="112" fillId="0" borderId="0" applyNumberFormat="0" applyBorder="0" applyProtection="0"/>
    <xf numFmtId="0" fontId="32" fillId="0" borderId="0"/>
    <xf numFmtId="0" fontId="31" fillId="0" borderId="0"/>
    <xf numFmtId="0" fontId="113" fillId="0" borderId="0"/>
    <xf numFmtId="0" fontId="112" fillId="0" borderId="0" applyNumberFormat="0" applyBorder="0" applyProtection="0"/>
    <xf numFmtId="0" fontId="32" fillId="0" borderId="0"/>
    <xf numFmtId="3" fontId="112" fillId="0" borderId="0" applyBorder="0" applyProtection="0">
      <alignment horizontal="center"/>
    </xf>
    <xf numFmtId="3" fontId="112" fillId="0" borderId="0" applyBorder="0" applyProtection="0">
      <alignment horizontal="center"/>
    </xf>
    <xf numFmtId="3" fontId="112" fillId="0" borderId="0" applyBorder="0" applyProtection="0">
      <alignment horizontal="center"/>
    </xf>
    <xf numFmtId="0" fontId="112" fillId="0" borderId="0" applyNumberFormat="0" applyBorder="0" applyProtection="0"/>
    <xf numFmtId="0" fontId="112" fillId="0" borderId="0" applyNumberFormat="0" applyBorder="0" applyProtection="0"/>
    <xf numFmtId="0" fontId="32" fillId="0" borderId="0"/>
    <xf numFmtId="3" fontId="112" fillId="0" borderId="0" applyBorder="0" applyProtection="0">
      <alignment horizontal="center"/>
    </xf>
    <xf numFmtId="0" fontId="32" fillId="0" borderId="0"/>
    <xf numFmtId="0" fontId="32" fillId="0" borderId="0"/>
    <xf numFmtId="0" fontId="32" fillId="0" borderId="0"/>
    <xf numFmtId="0" fontId="32" fillId="0" borderId="0"/>
    <xf numFmtId="0" fontId="32" fillId="0" borderId="0"/>
    <xf numFmtId="0" fontId="112" fillId="0" borderId="0" applyNumberFormat="0" applyBorder="0" applyProtection="0"/>
    <xf numFmtId="0" fontId="32" fillId="0" borderId="0"/>
    <xf numFmtId="0" fontId="32" fillId="0" borderId="0"/>
    <xf numFmtId="4" fontId="114" fillId="0" borderId="0">
      <protection locked="0"/>
    </xf>
    <xf numFmtId="4" fontId="114" fillId="0" borderId="0">
      <protection locked="0"/>
    </xf>
    <xf numFmtId="178" fontId="114" fillId="0" borderId="0">
      <protection locked="0"/>
    </xf>
    <xf numFmtId="178" fontId="114" fillId="0" borderId="0">
      <protection locked="0"/>
    </xf>
    <xf numFmtId="4" fontId="114" fillId="0" borderId="0">
      <protection locked="0"/>
    </xf>
    <xf numFmtId="178" fontId="114" fillId="0" borderId="0">
      <protection locked="0"/>
    </xf>
    <xf numFmtId="179" fontId="114" fillId="0" borderId="0">
      <protection locked="0"/>
    </xf>
    <xf numFmtId="180" fontId="114" fillId="0" borderId="84">
      <protection locked="0"/>
    </xf>
    <xf numFmtId="180" fontId="114" fillId="0" borderId="84">
      <protection locked="0"/>
    </xf>
    <xf numFmtId="181" fontId="115" fillId="0" borderId="0">
      <protection locked="0"/>
    </xf>
    <xf numFmtId="181" fontId="115" fillId="0" borderId="0">
      <protection locked="0"/>
    </xf>
    <xf numFmtId="181" fontId="114" fillId="0" borderId="84">
      <protection locked="0"/>
    </xf>
    <xf numFmtId="0" fontId="116" fillId="45" borderId="0"/>
    <xf numFmtId="0" fontId="117" fillId="0" borderId="0" applyNumberFormat="0" applyBorder="0" applyProtection="0"/>
    <xf numFmtId="0" fontId="118" fillId="0" borderId="0"/>
    <xf numFmtId="0" fontId="33" fillId="46" borderId="0" applyNumberFormat="0" applyBorder="0" applyAlignment="0" applyProtection="0"/>
    <xf numFmtId="0" fontId="33" fillId="46" borderId="0" applyNumberFormat="0" applyBorder="0" applyAlignment="0" applyProtection="0"/>
    <xf numFmtId="0" fontId="119" fillId="47"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119" fillId="49"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19" fillId="51"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19" fillId="53"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19" fillId="55" borderId="0" applyNumberFormat="0" applyBorder="0" applyAlignment="0" applyProtection="0"/>
    <xf numFmtId="0" fontId="33" fillId="56" borderId="0" applyNumberFormat="0" applyBorder="0" applyAlignment="0" applyProtection="0"/>
    <xf numFmtId="0" fontId="33" fillId="56" borderId="0" applyNumberFormat="0" applyBorder="0" applyAlignment="0" applyProtection="0"/>
    <xf numFmtId="0" fontId="119" fillId="57" borderId="0" applyNumberFormat="0" applyBorder="0" applyAlignment="0" applyProtection="0"/>
    <xf numFmtId="0" fontId="33" fillId="46" borderId="0" applyNumberFormat="0" applyBorder="0" applyAlignment="0" applyProtection="0"/>
    <xf numFmtId="0" fontId="33" fillId="56" borderId="0" applyNumberFormat="0" applyBorder="0" applyAlignment="0" applyProtection="0"/>
    <xf numFmtId="0" fontId="33" fillId="46" borderId="0" applyNumberFormat="0" applyBorder="0" applyAlignment="0" applyProtection="0"/>
    <xf numFmtId="0" fontId="8"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33" fillId="46" borderId="0" applyNumberFormat="0" applyBorder="0" applyAlignment="0" applyProtection="0"/>
    <xf numFmtId="0" fontId="33" fillId="46" borderId="0" applyNumberFormat="0" applyBorder="0" applyAlignment="0" applyProtection="0"/>
    <xf numFmtId="0" fontId="33" fillId="46" borderId="0" applyNumberFormat="0" applyBorder="0" applyAlignment="0" applyProtection="0"/>
    <xf numFmtId="0" fontId="33" fillId="48" borderId="0" applyNumberFormat="0" applyBorder="0" applyAlignment="0" applyProtection="0"/>
    <xf numFmtId="0" fontId="33" fillId="58" borderId="0" applyNumberFormat="0" applyBorder="0" applyAlignment="0" applyProtection="0"/>
    <xf numFmtId="0" fontId="33" fillId="48" borderId="0" applyNumberFormat="0" applyBorder="0" applyAlignment="0" applyProtection="0"/>
    <xf numFmtId="0" fontId="8"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9" borderId="0" applyNumberFormat="0" applyBorder="0" applyAlignment="0" applyProtection="0"/>
    <xf numFmtId="0" fontId="33" fillId="50" borderId="0" applyNumberFormat="0" applyBorder="0" applyAlignment="0" applyProtection="0"/>
    <xf numFmtId="0" fontId="8"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2" borderId="0" applyNumberFormat="0" applyBorder="0" applyAlignment="0" applyProtection="0"/>
    <xf numFmtId="0" fontId="33" fillId="56" borderId="0" applyNumberFormat="0" applyBorder="0" applyAlignment="0" applyProtection="0"/>
    <xf numFmtId="0" fontId="33" fillId="52"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4" borderId="0" applyNumberFormat="0" applyBorder="0" applyAlignment="0" applyProtection="0"/>
    <xf numFmtId="0" fontId="8"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33" fillId="5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6" borderId="0" applyNumberFormat="0" applyBorder="0" applyAlignment="0" applyProtection="0"/>
    <xf numFmtId="0" fontId="33" fillId="5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33" fillId="56"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33" fillId="56" borderId="0" applyNumberFormat="0" applyBorder="0" applyAlignment="0" applyProtection="0"/>
    <xf numFmtId="0" fontId="33" fillId="56" borderId="0" applyNumberFormat="0" applyBorder="0" applyAlignment="0" applyProtection="0"/>
    <xf numFmtId="0" fontId="33" fillId="56" borderId="0" applyNumberFormat="0" applyBorder="0" applyAlignment="0" applyProtection="0"/>
    <xf numFmtId="0" fontId="33" fillId="56" borderId="0" applyNumberFormat="0" applyBorder="0" applyAlignment="0" applyProtection="0"/>
    <xf numFmtId="0" fontId="33" fillId="60" borderId="0" applyNumberFormat="0" applyBorder="0" applyAlignment="0" applyProtection="0"/>
    <xf numFmtId="0" fontId="33" fillId="60" borderId="0" applyNumberFormat="0" applyBorder="0" applyAlignment="0" applyProtection="0"/>
    <xf numFmtId="0" fontId="119" fillId="61"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19" fillId="62" borderId="0" applyNumberFormat="0" applyBorder="0" applyAlignment="0" applyProtection="0"/>
    <xf numFmtId="0" fontId="33" fillId="63" borderId="0" applyNumberFormat="0" applyBorder="0" applyAlignment="0" applyProtection="0"/>
    <xf numFmtId="0" fontId="33" fillId="63" borderId="0" applyNumberFormat="0" applyBorder="0" applyAlignment="0" applyProtection="0"/>
    <xf numFmtId="0" fontId="119" fillId="64"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19" fillId="53" borderId="0" applyNumberFormat="0" applyBorder="0" applyAlignment="0" applyProtection="0"/>
    <xf numFmtId="0" fontId="33" fillId="60" borderId="0" applyNumberFormat="0" applyBorder="0" applyAlignment="0" applyProtection="0"/>
    <xf numFmtId="0" fontId="33" fillId="60" borderId="0" applyNumberFormat="0" applyBorder="0" applyAlignment="0" applyProtection="0"/>
    <xf numFmtId="0" fontId="119" fillId="61" borderId="0" applyNumberFormat="0" applyBorder="0" applyAlignment="0" applyProtection="0"/>
    <xf numFmtId="0" fontId="33" fillId="65" borderId="0" applyNumberFormat="0" applyBorder="0" applyAlignment="0" applyProtection="0"/>
    <xf numFmtId="0" fontId="33" fillId="65" borderId="0" applyNumberFormat="0" applyBorder="0" applyAlignment="0" applyProtection="0"/>
    <xf numFmtId="0" fontId="119" fillId="66" borderId="0" applyNumberFormat="0" applyBorder="0" applyAlignment="0" applyProtection="0"/>
    <xf numFmtId="0" fontId="33" fillId="60" borderId="0" applyNumberFormat="0" applyBorder="0" applyAlignment="0" applyProtection="0"/>
    <xf numFmtId="0" fontId="33" fillId="67" borderId="0" applyNumberFormat="0" applyBorder="0" applyAlignment="0" applyProtection="0"/>
    <xf numFmtId="0" fontId="33" fillId="60" borderId="0" applyNumberFormat="0" applyBorder="0" applyAlignment="0" applyProtection="0"/>
    <xf numFmtId="0" fontId="8"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33" fillId="60" borderId="0" applyNumberFormat="0" applyBorder="0" applyAlignment="0" applyProtection="0"/>
    <xf numFmtId="0" fontId="33" fillId="60" borderId="0" applyNumberFormat="0" applyBorder="0" applyAlignment="0" applyProtection="0"/>
    <xf numFmtId="0" fontId="33" fillId="60" borderId="0" applyNumberFormat="0" applyBorder="0" applyAlignment="0" applyProtection="0"/>
    <xf numFmtId="0" fontId="33" fillId="58" borderId="0" applyNumberFormat="0" applyBorder="0" applyAlignment="0" applyProtection="0"/>
    <xf numFmtId="0" fontId="8"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3" fillId="58"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63" borderId="0" applyNumberFormat="0" applyBorder="0" applyAlignment="0" applyProtection="0"/>
    <xf numFmtId="0" fontId="33" fillId="68" borderId="0" applyNumberFormat="0" applyBorder="0" applyAlignment="0" applyProtection="0"/>
    <xf numFmtId="0" fontId="33" fillId="6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33" fillId="63" borderId="0" applyNumberFormat="0" applyBorder="0" applyAlignment="0" applyProtection="0"/>
    <xf numFmtId="0" fontId="33" fillId="63" borderId="0" applyNumberFormat="0" applyBorder="0" applyAlignment="0" applyProtection="0"/>
    <xf numFmtId="0" fontId="33" fillId="63" borderId="0" applyNumberFormat="0" applyBorder="0" applyAlignment="0" applyProtection="0"/>
    <xf numFmtId="0" fontId="33" fillId="52" borderId="0" applyNumberFormat="0" applyBorder="0" applyAlignment="0" applyProtection="0"/>
    <xf numFmtId="0" fontId="33" fillId="67" borderId="0" applyNumberFormat="0" applyBorder="0" applyAlignment="0" applyProtection="0"/>
    <xf numFmtId="0" fontId="33" fillId="52" borderId="0" applyNumberFormat="0" applyBorder="0" applyAlignment="0" applyProtection="0"/>
    <xf numFmtId="0" fontId="8"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60" borderId="0" applyNumberFormat="0" applyBorder="0" applyAlignment="0" applyProtection="0"/>
    <xf numFmtId="0" fontId="33" fillId="60" borderId="0" applyNumberFormat="0" applyBorder="0" applyAlignment="0" applyProtection="0"/>
    <xf numFmtId="0" fontId="33" fillId="60" borderId="0" applyNumberFormat="0" applyBorder="0" applyAlignment="0" applyProtection="0"/>
    <xf numFmtId="0" fontId="8"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33" fillId="60" borderId="0" applyNumberFormat="0" applyBorder="0" applyAlignment="0" applyProtection="0"/>
    <xf numFmtId="0" fontId="33" fillId="60" borderId="0" applyNumberFormat="0" applyBorder="0" applyAlignment="0" applyProtection="0"/>
    <xf numFmtId="0" fontId="33" fillId="60" borderId="0" applyNumberFormat="0" applyBorder="0" applyAlignment="0" applyProtection="0"/>
    <xf numFmtId="0" fontId="33" fillId="65" borderId="0" applyNumberFormat="0" applyBorder="0" applyAlignment="0" applyProtection="0"/>
    <xf numFmtId="0" fontId="33" fillId="68" borderId="0" applyNumberFormat="0" applyBorder="0" applyAlignment="0" applyProtection="0"/>
    <xf numFmtId="0" fontId="33" fillId="65" borderId="0" applyNumberFormat="0" applyBorder="0" applyAlignment="0" applyProtection="0"/>
    <xf numFmtId="0" fontId="8"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33" fillId="65" borderId="0" applyNumberFormat="0" applyBorder="0" applyAlignment="0" applyProtection="0"/>
    <xf numFmtId="0" fontId="33" fillId="65" borderId="0" applyNumberFormat="0" applyBorder="0" applyAlignment="0" applyProtection="0"/>
    <xf numFmtId="0" fontId="33" fillId="65" borderId="0" applyNumberFormat="0" applyBorder="0" applyAlignment="0" applyProtection="0"/>
    <xf numFmtId="0" fontId="120" fillId="69" borderId="0" applyNumberFormat="0" applyBorder="0" applyAlignment="0" applyProtection="0"/>
    <xf numFmtId="0" fontId="121" fillId="70" borderId="0" applyNumberFormat="0" applyBorder="0" applyAlignment="0" applyProtection="0"/>
    <xf numFmtId="0" fontId="121" fillId="70" borderId="0" applyNumberFormat="0" applyBorder="0" applyAlignment="0" applyProtection="0"/>
    <xf numFmtId="0" fontId="120" fillId="58" borderId="0" applyNumberFormat="0" applyBorder="0" applyAlignment="0" applyProtection="0"/>
    <xf numFmtId="0" fontId="121" fillId="62" borderId="0" applyNumberFormat="0" applyBorder="0" applyAlignment="0" applyProtection="0"/>
    <xf numFmtId="0" fontId="121" fillId="62" borderId="0" applyNumberFormat="0" applyBorder="0" applyAlignment="0" applyProtection="0"/>
    <xf numFmtId="0" fontId="120" fillId="63" borderId="0" applyNumberFormat="0" applyBorder="0" applyAlignment="0" applyProtection="0"/>
    <xf numFmtId="0" fontId="121" fillId="64" borderId="0" applyNumberFormat="0" applyBorder="0" applyAlignment="0" applyProtection="0"/>
    <xf numFmtId="0" fontId="121" fillId="64" borderId="0" applyNumberFormat="0" applyBorder="0" applyAlignment="0" applyProtection="0"/>
    <xf numFmtId="0" fontId="120" fillId="71" borderId="0" applyNumberFormat="0" applyBorder="0" applyAlignment="0" applyProtection="0"/>
    <xf numFmtId="0" fontId="121" fillId="72" borderId="0" applyNumberFormat="0" applyBorder="0" applyAlignment="0" applyProtection="0"/>
    <xf numFmtId="0" fontId="121" fillId="72" borderId="0" applyNumberFormat="0" applyBorder="0" applyAlignment="0" applyProtection="0"/>
    <xf numFmtId="0" fontId="120" fillId="73" borderId="0" applyNumberFormat="0" applyBorder="0" applyAlignment="0" applyProtection="0"/>
    <xf numFmtId="0" fontId="121" fillId="74" borderId="0" applyNumberFormat="0" applyBorder="0" applyAlignment="0" applyProtection="0"/>
    <xf numFmtId="0" fontId="121" fillId="74" borderId="0" applyNumberFormat="0" applyBorder="0" applyAlignment="0" applyProtection="0"/>
    <xf numFmtId="0" fontId="120" fillId="75" borderId="0" applyNumberFormat="0" applyBorder="0" applyAlignment="0" applyProtection="0"/>
    <xf numFmtId="0" fontId="121" fillId="76" borderId="0" applyNumberFormat="0" applyBorder="0" applyAlignment="0" applyProtection="0"/>
    <xf numFmtId="0" fontId="121" fillId="76" borderId="0" applyNumberFormat="0" applyBorder="0" applyAlignment="0" applyProtection="0"/>
    <xf numFmtId="0" fontId="120" fillId="69" borderId="0" applyNumberFormat="0" applyBorder="0" applyAlignment="0" applyProtection="0"/>
    <xf numFmtId="0" fontId="120" fillId="73" borderId="0" applyNumberFormat="0" applyBorder="0" applyAlignment="0" applyProtection="0"/>
    <xf numFmtId="0" fontId="120" fillId="69" borderId="0" applyNumberFormat="0" applyBorder="0" applyAlignment="0" applyProtection="0"/>
    <xf numFmtId="0" fontId="120" fillId="69" borderId="0" applyNumberFormat="0" applyBorder="0" applyAlignment="0" applyProtection="0"/>
    <xf numFmtId="0" fontId="120" fillId="69" borderId="0" applyNumberFormat="0" applyBorder="0" applyAlignment="0" applyProtection="0"/>
    <xf numFmtId="0" fontId="120" fillId="69" borderId="0" applyNumberFormat="0" applyBorder="0" applyAlignment="0" applyProtection="0"/>
    <xf numFmtId="0" fontId="120" fillId="58" borderId="0" applyNumberFormat="0" applyBorder="0" applyAlignment="0" applyProtection="0"/>
    <xf numFmtId="0" fontId="120" fillId="58" borderId="0" applyNumberFormat="0" applyBorder="0" applyAlignment="0" applyProtection="0"/>
    <xf numFmtId="0" fontId="120" fillId="58" borderId="0" applyNumberFormat="0" applyBorder="0" applyAlignment="0" applyProtection="0"/>
    <xf numFmtId="0" fontId="120" fillId="58" borderId="0" applyNumberFormat="0" applyBorder="0" applyAlignment="0" applyProtection="0"/>
    <xf numFmtId="0" fontId="120" fillId="58" borderId="0" applyNumberFormat="0" applyBorder="0" applyAlignment="0" applyProtection="0"/>
    <xf numFmtId="0" fontId="120" fillId="58" borderId="0" applyNumberFormat="0" applyBorder="0" applyAlignment="0" applyProtection="0"/>
    <xf numFmtId="0" fontId="120" fillId="63" borderId="0" applyNumberFormat="0" applyBorder="0" applyAlignment="0" applyProtection="0"/>
    <xf numFmtId="0" fontId="120" fillId="68" borderId="0" applyNumberFormat="0" applyBorder="0" applyAlignment="0" applyProtection="0"/>
    <xf numFmtId="0" fontId="120" fillId="63" borderId="0" applyNumberFormat="0" applyBorder="0" applyAlignment="0" applyProtection="0"/>
    <xf numFmtId="0" fontId="120" fillId="63" borderId="0" applyNumberFormat="0" applyBorder="0" applyAlignment="0" applyProtection="0"/>
    <xf numFmtId="0" fontId="120" fillId="63" borderId="0" applyNumberFormat="0" applyBorder="0" applyAlignment="0" applyProtection="0"/>
    <xf numFmtId="0" fontId="120" fillId="63" borderId="0" applyNumberFormat="0" applyBorder="0" applyAlignment="0" applyProtection="0"/>
    <xf numFmtId="0" fontId="120" fillId="71" borderId="0" applyNumberFormat="0" applyBorder="0" applyAlignment="0" applyProtection="0"/>
    <xf numFmtId="0" fontId="120" fillId="67" borderId="0" applyNumberFormat="0" applyBorder="0" applyAlignment="0" applyProtection="0"/>
    <xf numFmtId="0" fontId="120" fillId="71" borderId="0" applyNumberFormat="0" applyBorder="0" applyAlignment="0" applyProtection="0"/>
    <xf numFmtId="0" fontId="120" fillId="71" borderId="0" applyNumberFormat="0" applyBorder="0" applyAlignment="0" applyProtection="0"/>
    <xf numFmtId="0" fontId="120" fillId="71" borderId="0" applyNumberFormat="0" applyBorder="0" applyAlignment="0" applyProtection="0"/>
    <xf numFmtId="0" fontId="120" fillId="71"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5" borderId="0" applyNumberFormat="0" applyBorder="0" applyAlignment="0" applyProtection="0"/>
    <xf numFmtId="0" fontId="120" fillId="58" borderId="0" applyNumberFormat="0" applyBorder="0" applyAlignment="0" applyProtection="0"/>
    <xf numFmtId="0" fontId="120" fillId="75" borderId="0" applyNumberFormat="0" applyBorder="0" applyAlignment="0" applyProtection="0"/>
    <xf numFmtId="0" fontId="120" fillId="75" borderId="0" applyNumberFormat="0" applyBorder="0" applyAlignment="0" applyProtection="0"/>
    <xf numFmtId="0" fontId="120" fillId="75" borderId="0" applyNumberFormat="0" applyBorder="0" applyAlignment="0" applyProtection="0"/>
    <xf numFmtId="0" fontId="120" fillId="75" borderId="0" applyNumberFormat="0" applyBorder="0" applyAlignment="0" applyProtection="0"/>
    <xf numFmtId="0" fontId="122" fillId="0" borderId="0">
      <alignment horizontal="right"/>
    </xf>
    <xf numFmtId="0" fontId="120" fillId="77" borderId="0" applyNumberFormat="0" applyBorder="0" applyAlignment="0" applyProtection="0"/>
    <xf numFmtId="0" fontId="121" fillId="78" borderId="0" applyNumberFormat="0" applyBorder="0" applyAlignment="0" applyProtection="0"/>
    <xf numFmtId="0" fontId="120" fillId="79" borderId="0" applyNumberFormat="0" applyBorder="0" applyAlignment="0" applyProtection="0"/>
    <xf numFmtId="0" fontId="121" fillId="80" borderId="0" applyNumberFormat="0" applyBorder="0" applyAlignment="0" applyProtection="0"/>
    <xf numFmtId="0" fontId="120" fillId="81" borderId="0" applyNumberFormat="0" applyBorder="0" applyAlignment="0" applyProtection="0"/>
    <xf numFmtId="0" fontId="121" fillId="82" borderId="0" applyNumberFormat="0" applyBorder="0" applyAlignment="0" applyProtection="0"/>
    <xf numFmtId="0" fontId="120" fillId="71" borderId="0" applyNumberFormat="0" applyBorder="0" applyAlignment="0" applyProtection="0"/>
    <xf numFmtId="0" fontId="121" fillId="72" borderId="0" applyNumberFormat="0" applyBorder="0" applyAlignment="0" applyProtection="0"/>
    <xf numFmtId="0" fontId="120" fillId="73" borderId="0" applyNumberFormat="0" applyBorder="0" applyAlignment="0" applyProtection="0"/>
    <xf numFmtId="0" fontId="121" fillId="74" borderId="0" applyNumberFormat="0" applyBorder="0" applyAlignment="0" applyProtection="0"/>
    <xf numFmtId="0" fontId="120" fillId="83" borderId="0" applyNumberFormat="0" applyBorder="0" applyAlignment="0" applyProtection="0"/>
    <xf numFmtId="0" fontId="121" fillId="84" borderId="0" applyNumberFormat="0" applyBorder="0" applyAlignment="0" applyProtection="0"/>
    <xf numFmtId="182" fontId="123" fillId="85" borderId="3" applyFont="0" applyFill="0" applyBorder="0" applyProtection="0">
      <alignment vertical="center"/>
    </xf>
    <xf numFmtId="182" fontId="123" fillId="85" borderId="3" applyFont="0" applyFill="0" applyBorder="0" applyProtection="0">
      <alignment vertical="center"/>
    </xf>
    <xf numFmtId="182" fontId="123" fillId="85" borderId="3" applyFont="0" applyFill="0" applyBorder="0" applyProtection="0">
      <alignment vertical="center"/>
    </xf>
    <xf numFmtId="182" fontId="123" fillId="85" borderId="3" applyFont="0" applyFill="0" applyBorder="0" applyProtection="0">
      <alignment vertical="center"/>
    </xf>
    <xf numFmtId="182" fontId="123" fillId="85" borderId="3" applyFont="0" applyFill="0" applyBorder="0" applyProtection="0">
      <alignment vertical="center"/>
    </xf>
    <xf numFmtId="182" fontId="123" fillId="85" borderId="3" applyFont="0" applyFill="0" applyBorder="0" applyProtection="0">
      <alignment vertical="center"/>
    </xf>
    <xf numFmtId="0" fontId="124" fillId="48" borderId="0" applyNumberFormat="0" applyBorder="0" applyAlignment="0" applyProtection="0"/>
    <xf numFmtId="0" fontId="125" fillId="49" borderId="0" applyNumberFormat="0" applyBorder="0" applyAlignment="0" applyProtection="0"/>
    <xf numFmtId="0" fontId="126" fillId="86" borderId="0"/>
    <xf numFmtId="0" fontId="127" fillId="86" borderId="0"/>
    <xf numFmtId="0" fontId="128" fillId="87" borderId="0" applyBorder="0">
      <alignment horizontal="left" vertical="center" indent="1"/>
    </xf>
    <xf numFmtId="0" fontId="129" fillId="0" borderId="0" applyFill="0" applyBorder="0" applyAlignment="0"/>
    <xf numFmtId="183" fontId="32" fillId="0" borderId="0" applyFill="0" applyBorder="0" applyAlignment="0"/>
    <xf numFmtId="184" fontId="32" fillId="0" borderId="0" applyFill="0" applyBorder="0" applyAlignment="0"/>
    <xf numFmtId="185" fontId="32" fillId="0" borderId="0" applyFill="0" applyBorder="0" applyAlignment="0"/>
    <xf numFmtId="186" fontId="32" fillId="0" borderId="0" applyFill="0" applyBorder="0" applyAlignment="0"/>
    <xf numFmtId="187" fontId="32" fillId="0" borderId="0" applyFill="0" applyBorder="0" applyAlignment="0"/>
    <xf numFmtId="188" fontId="32" fillId="0" borderId="0" applyFill="0" applyBorder="0" applyAlignment="0"/>
    <xf numFmtId="183" fontId="32" fillId="0" borderId="0" applyFill="0" applyBorder="0" applyAlignment="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1" fillId="0" borderId="86" applyNumberFormat="0" applyProtection="0"/>
    <xf numFmtId="0" fontId="132" fillId="88" borderId="87" applyNumberFormat="0" applyAlignment="0" applyProtection="0"/>
    <xf numFmtId="0" fontId="133" fillId="89" borderId="87" applyNumberFormat="0" applyAlignment="0" applyProtection="0"/>
    <xf numFmtId="0" fontId="134" fillId="0" borderId="0" applyNumberFormat="0" applyFill="0" applyBorder="0" applyAlignment="0" applyProtection="0">
      <alignment vertical="top"/>
      <protection locked="0"/>
    </xf>
    <xf numFmtId="0" fontId="135" fillId="0" borderId="0" applyNumberFormat="0" applyFill="0" applyBorder="0" applyAlignment="0" applyProtection="0">
      <alignment vertical="top"/>
      <protection locked="0"/>
    </xf>
    <xf numFmtId="0" fontId="136" fillId="90" borderId="0" applyAlignment="0"/>
    <xf numFmtId="187" fontId="32" fillId="0" borderId="0" applyFont="0" applyFill="0" applyBorder="0" applyAlignment="0" applyProtection="0"/>
    <xf numFmtId="180" fontId="31" fillId="0" borderId="0" applyFont="0" applyFill="0" applyBorder="0" applyAlignment="0" applyProtection="0"/>
    <xf numFmtId="189" fontId="110"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9" fontId="110" fillId="0" borderId="0" applyFont="0" applyFill="0" applyBorder="0" applyAlignment="0" applyProtection="0"/>
    <xf numFmtId="189"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91" fontId="137" fillId="91" borderId="88" applyProtection="0">
      <alignment vertical="center"/>
    </xf>
    <xf numFmtId="192" fontId="138" fillId="0" borderId="0" applyFill="0" applyBorder="0" applyProtection="0"/>
    <xf numFmtId="192" fontId="138" fillId="0" borderId="89" applyFill="0" applyProtection="0"/>
    <xf numFmtId="192" fontId="138" fillId="0" borderId="89" applyFill="0" applyProtection="0"/>
    <xf numFmtId="192" fontId="138" fillId="0" borderId="89" applyFill="0" applyProtection="0"/>
    <xf numFmtId="192" fontId="138" fillId="0" borderId="84" applyFill="0" applyProtection="0"/>
    <xf numFmtId="192" fontId="36" fillId="0" borderId="0" applyFill="0" applyBorder="0" applyProtection="0"/>
    <xf numFmtId="193" fontId="139" fillId="0" borderId="1"/>
    <xf numFmtId="194" fontId="140" fillId="0" borderId="90"/>
    <xf numFmtId="194" fontId="140" fillId="0" borderId="90"/>
    <xf numFmtId="194" fontId="140" fillId="0" borderId="90"/>
    <xf numFmtId="183" fontId="32" fillId="0" borderId="0" applyFont="0" applyFill="0" applyBorder="0" applyAlignment="0" applyProtection="0"/>
    <xf numFmtId="195" fontId="110" fillId="0" borderId="0" applyFont="0" applyFill="0" applyBorder="0" applyAlignment="0" applyProtection="0"/>
    <xf numFmtId="196" fontId="31" fillId="0" borderId="0" applyFill="0" applyBorder="0" applyAlignment="0" applyProtection="0"/>
    <xf numFmtId="196" fontId="99"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0" fontId="126" fillId="92" borderId="0"/>
    <xf numFmtId="0" fontId="127" fillId="93" borderId="0"/>
    <xf numFmtId="14" fontId="129" fillId="0" borderId="0" applyFill="0" applyBorder="0" applyAlignment="0"/>
    <xf numFmtId="197" fontId="141" fillId="0" borderId="0" applyFill="0" applyBorder="0" applyAlignment="0"/>
    <xf numFmtId="17" fontId="31" fillId="94" borderId="91">
      <alignment horizontal="center"/>
    </xf>
    <xf numFmtId="1" fontId="142" fillId="0" borderId="92" applyProtection="0">
      <alignment horizontal="left"/>
    </xf>
    <xf numFmtId="14" fontId="32" fillId="0" borderId="0" applyFont="0" applyFill="0" applyBorder="0" applyProtection="0"/>
    <xf numFmtId="198" fontId="138" fillId="0" borderId="0" applyFill="0" applyBorder="0" applyProtection="0"/>
    <xf numFmtId="198" fontId="138" fillId="0" borderId="40" applyFill="0" applyProtection="0"/>
    <xf numFmtId="198" fontId="138" fillId="0" borderId="40" applyFill="0" applyProtection="0"/>
    <xf numFmtId="198" fontId="138" fillId="0" borderId="40" applyFill="0" applyProtection="0"/>
    <xf numFmtId="198" fontId="138" fillId="0" borderId="84" applyFill="0" applyProtection="0"/>
    <xf numFmtId="198" fontId="36" fillId="0" borderId="0" applyFill="0" applyBorder="0" applyProtection="0"/>
    <xf numFmtId="199" fontId="143" fillId="0" borderId="0" applyBorder="0" applyProtection="0"/>
    <xf numFmtId="200" fontId="31" fillId="0" borderId="0" applyFont="0" applyFill="0" applyBorder="0" applyAlignment="0" applyProtection="0"/>
    <xf numFmtId="10" fontId="137" fillId="0" borderId="86" applyProtection="0"/>
    <xf numFmtId="0" fontId="137" fillId="0" borderId="86" applyNumberFormat="0" applyProtection="0"/>
    <xf numFmtId="0" fontId="144" fillId="0" borderId="0" applyNumberFormat="0" applyFill="0" applyBorder="0" applyAlignment="0" applyProtection="0"/>
    <xf numFmtId="3" fontId="31" fillId="0" borderId="1"/>
    <xf numFmtId="3" fontId="31" fillId="0" borderId="1"/>
    <xf numFmtId="3" fontId="31" fillId="0" borderId="1"/>
    <xf numFmtId="187" fontId="32" fillId="0" borderId="0" applyFill="0" applyBorder="0" applyAlignment="0"/>
    <xf numFmtId="183" fontId="32" fillId="0" borderId="0" applyFill="0" applyBorder="0" applyAlignment="0"/>
    <xf numFmtId="187" fontId="32" fillId="0" borderId="0" applyFill="0" applyBorder="0" applyAlignment="0"/>
    <xf numFmtId="188" fontId="32" fillId="0" borderId="0" applyFill="0" applyBorder="0" applyAlignment="0"/>
    <xf numFmtId="183" fontId="32" fillId="0" borderId="0" applyFill="0" applyBorder="0" applyAlignment="0"/>
    <xf numFmtId="201" fontId="110" fillId="0" borderId="0" applyFont="0" applyFill="0" applyBorder="0" applyAlignment="0" applyProtection="0"/>
    <xf numFmtId="201" fontId="110" fillId="0" borderId="0" applyFont="0" applyFill="0" applyBorder="0" applyAlignment="0" applyProtection="0"/>
    <xf numFmtId="202" fontId="33" fillId="0" borderId="0"/>
    <xf numFmtId="0" fontId="33" fillId="0" borderId="0"/>
    <xf numFmtId="0" fontId="119" fillId="0" borderId="0"/>
    <xf numFmtId="0" fontId="145" fillId="0" borderId="0"/>
    <xf numFmtId="0" fontId="145" fillId="0" borderId="0"/>
    <xf numFmtId="0" fontId="33" fillId="0" borderId="0"/>
    <xf numFmtId="0" fontId="119" fillId="0" borderId="0"/>
    <xf numFmtId="203" fontId="146" fillId="0" borderId="0"/>
    <xf numFmtId="0" fontId="147" fillId="0" borderId="0"/>
    <xf numFmtId="0" fontId="33" fillId="0" borderId="0"/>
    <xf numFmtId="0" fontId="33" fillId="0" borderId="0"/>
    <xf numFmtId="0" fontId="33" fillId="0" borderId="0"/>
    <xf numFmtId="0" fontId="148" fillId="0" borderId="0"/>
    <xf numFmtId="0" fontId="148" fillId="0" borderId="0"/>
    <xf numFmtId="0" fontId="33" fillId="0" borderId="0"/>
    <xf numFmtId="0" fontId="148" fillId="0" borderId="0"/>
    <xf numFmtId="0" fontId="147" fillId="0" borderId="0"/>
    <xf numFmtId="0" fontId="147" fillId="0" borderId="0"/>
    <xf numFmtId="0" fontId="148" fillId="0" borderId="0"/>
    <xf numFmtId="0" fontId="148" fillId="0" borderId="0"/>
    <xf numFmtId="0" fontId="147" fillId="0" borderId="0"/>
    <xf numFmtId="0" fontId="148" fillId="0" borderId="0"/>
    <xf numFmtId="0" fontId="149" fillId="0" borderId="0" applyNumberFormat="0" applyFill="0" applyBorder="0" applyAlignment="0" applyProtection="0"/>
    <xf numFmtId="0" fontId="150"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2" fillId="50" borderId="0" applyNumberFormat="0" applyBorder="0" applyAlignment="0" applyProtection="0"/>
    <xf numFmtId="0" fontId="153" fillId="51" borderId="0" applyNumberFormat="0" applyBorder="0" applyAlignment="0" applyProtection="0"/>
    <xf numFmtId="0" fontId="154" fillId="95" borderId="0" applyNumberFormat="0" applyBorder="0" applyProtection="0"/>
    <xf numFmtId="38" fontId="155" fillId="85" borderId="0" applyNumberFormat="0" applyBorder="0" applyAlignment="0" applyProtection="0"/>
    <xf numFmtId="0" fontId="137" fillId="0" borderId="88" applyNumberFormat="0" applyProtection="0">
      <alignment horizontal="center" vertical="center" wrapText="1"/>
    </xf>
    <xf numFmtId="0" fontId="137" fillId="0" borderId="88" applyNumberFormat="0" applyProtection="0">
      <alignment horizontal="center" vertical="center" wrapText="1"/>
    </xf>
    <xf numFmtId="182" fontId="156" fillId="96" borderId="2" applyBorder="0" applyAlignment="0">
      <alignment horizontal="left" vertical="center" indent="1"/>
    </xf>
    <xf numFmtId="182" fontId="157" fillId="94" borderId="93" applyBorder="0">
      <alignment horizontal="left" vertical="center" indent="1"/>
    </xf>
    <xf numFmtId="182" fontId="157" fillId="94" borderId="93" applyBorder="0">
      <alignment horizontal="left" vertical="center" indent="1"/>
    </xf>
    <xf numFmtId="182" fontId="157" fillId="94" borderId="93" applyBorder="0">
      <alignment horizontal="left" vertical="center" indent="1"/>
    </xf>
    <xf numFmtId="182" fontId="157" fillId="94" borderId="93" applyBorder="0">
      <alignment horizontal="left" vertical="center" indent="1"/>
    </xf>
    <xf numFmtId="182" fontId="157" fillId="94" borderId="93" applyBorder="0">
      <alignment horizontal="left" vertical="center" indent="1"/>
    </xf>
    <xf numFmtId="182" fontId="157" fillId="94" borderId="93" applyBorder="0">
      <alignment horizontal="left" vertical="center" indent="1"/>
    </xf>
    <xf numFmtId="0" fontId="158" fillId="0" borderId="94" applyNumberFormat="0" applyAlignment="0" applyProtection="0">
      <alignment horizontal="left" vertical="center"/>
    </xf>
    <xf numFmtId="0" fontId="158" fillId="0" borderId="94" applyNumberFormat="0" applyAlignment="0" applyProtection="0">
      <alignment horizontal="left" vertical="center"/>
    </xf>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95" applyNumberFormat="0" applyAlignment="0" applyProtection="0"/>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8" fillId="0" borderId="4">
      <alignment horizontal="left" vertical="center"/>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7" fillId="0" borderId="91" applyNumberFormat="0" applyFill="0">
      <alignment horizontal="centerContinuous" vertical="top"/>
    </xf>
    <xf numFmtId="0" fontId="159" fillId="0" borderId="0" applyNumberFormat="0" applyBorder="0" applyProtection="0">
      <alignment horizontal="center"/>
    </xf>
    <xf numFmtId="0" fontId="160" fillId="0" borderId="96" applyNumberFormat="0" applyFill="0" applyAlignment="0" applyProtection="0"/>
    <xf numFmtId="0" fontId="161" fillId="0" borderId="96" applyNumberFormat="0" applyFill="0" applyAlignment="0" applyProtection="0"/>
    <xf numFmtId="0" fontId="162" fillId="0" borderId="97" applyNumberFormat="0" applyFill="0" applyAlignment="0" applyProtection="0"/>
    <xf numFmtId="0" fontId="163" fillId="0" borderId="97"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5" fillId="0" borderId="98" applyNumberFormat="0" applyFill="0" applyAlignment="0" applyProtection="0"/>
    <xf numFmtId="0" fontId="164" fillId="0" borderId="98" applyNumberFormat="0" applyFill="0" applyAlignment="0" applyProtection="0"/>
    <xf numFmtId="0" fontId="165"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5"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0" applyNumberFormat="0" applyFill="0" applyBorder="0" applyAlignment="0" applyProtection="0"/>
    <xf numFmtId="0" fontId="165" fillId="0" borderId="0" applyNumberFormat="0" applyFill="0" applyBorder="0" applyAlignment="0" applyProtection="0"/>
    <xf numFmtId="0" fontId="159" fillId="0" borderId="0" applyNumberFormat="0" applyBorder="0" applyProtection="0">
      <alignment horizontal="center" textRotation="90"/>
    </xf>
    <xf numFmtId="0" fontId="31" fillId="0" borderId="0"/>
    <xf numFmtId="0" fontId="31" fillId="0" borderId="0"/>
    <xf numFmtId="0" fontId="166" fillId="0" borderId="0" applyNumberFormat="0" applyFill="0" applyBorder="0" applyAlignment="0" applyProtection="0">
      <alignment vertical="top"/>
      <protection locked="0"/>
    </xf>
    <xf numFmtId="0" fontId="37" fillId="0" borderId="0" applyNumberFormat="0" applyFill="0" applyBorder="0" applyAlignment="0" applyProtection="0"/>
    <xf numFmtId="0" fontId="167" fillId="0" borderId="0" applyNumberFormat="0" applyFill="0" applyBorder="0" applyAlignment="0" applyProtection="0"/>
    <xf numFmtId="0" fontId="112" fillId="0" borderId="0" applyNumberFormat="0" applyBorder="0" applyProtection="0"/>
    <xf numFmtId="204" fontId="168" fillId="0" borderId="0" applyFill="0" applyBorder="0" applyProtection="0">
      <alignment horizontal="left"/>
    </xf>
    <xf numFmtId="205" fontId="168" fillId="0" borderId="0" applyFill="0" applyBorder="0" applyProtection="0">
      <alignment horizontal="left"/>
    </xf>
    <xf numFmtId="0" fontId="169" fillId="56" borderId="85" applyNumberFormat="0" applyAlignment="0" applyProtection="0"/>
    <xf numFmtId="0" fontId="154" fillId="95" borderId="0" applyNumberFormat="0" applyBorder="0" applyProtection="0"/>
    <xf numFmtId="10" fontId="155" fillId="85" borderId="99" applyNumberFormat="0" applyBorder="0" applyAlignment="0" applyProtection="0"/>
    <xf numFmtId="10" fontId="155" fillId="85" borderId="99" applyNumberFormat="0" applyBorder="0" applyAlignment="0" applyProtection="0"/>
    <xf numFmtId="10" fontId="155" fillId="85" borderId="99" applyNumberFormat="0" applyBorder="0" applyAlignment="0" applyProtection="0"/>
    <xf numFmtId="10" fontId="155" fillId="85" borderId="99" applyNumberFormat="0" applyBorder="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37" fillId="0" borderId="88" applyNumberFormat="0" applyProtection="0">
      <alignment horizontal="center" vertical="center" wrapText="1"/>
    </xf>
    <xf numFmtId="38" fontId="170" fillId="0" borderId="0"/>
    <xf numFmtId="38" fontId="171" fillId="0" borderId="0"/>
    <xf numFmtId="38" fontId="172" fillId="0" borderId="0"/>
    <xf numFmtId="38" fontId="173" fillId="0" borderId="0"/>
    <xf numFmtId="0" fontId="174" fillId="0" borderId="0"/>
    <xf numFmtId="0" fontId="174" fillId="0" borderId="0"/>
    <xf numFmtId="0" fontId="175" fillId="0" borderId="0" applyNumberFormat="0" applyFill="0" applyBorder="0" applyAlignment="0" applyProtection="0">
      <alignment vertical="top"/>
      <protection locked="0"/>
    </xf>
    <xf numFmtId="0" fontId="175" fillId="0" borderId="0" applyNumberFormat="0" applyFill="0" applyBorder="0" applyAlignment="0" applyProtection="0"/>
    <xf numFmtId="187" fontId="32" fillId="0" borderId="0" applyFill="0" applyBorder="0" applyAlignment="0"/>
    <xf numFmtId="183" fontId="32" fillId="0" borderId="0" applyFill="0" applyBorder="0" applyAlignment="0"/>
    <xf numFmtId="187" fontId="32" fillId="0" borderId="0" applyFill="0" applyBorder="0" applyAlignment="0"/>
    <xf numFmtId="188" fontId="32" fillId="0" borderId="0" applyFill="0" applyBorder="0" applyAlignment="0"/>
    <xf numFmtId="183" fontId="32" fillId="0" borderId="0" applyFill="0" applyBorder="0" applyAlignment="0"/>
    <xf numFmtId="0" fontId="176" fillId="0" borderId="100" applyNumberFormat="0" applyFill="0" applyAlignment="0" applyProtection="0"/>
    <xf numFmtId="0" fontId="177" fillId="0" borderId="100" applyNumberFormat="0" applyFill="0" applyAlignment="0" applyProtection="0"/>
    <xf numFmtId="206" fontId="113" fillId="0" borderId="0" applyFont="0" applyFill="0" applyBorder="0" applyAlignment="0" applyProtection="0"/>
    <xf numFmtId="189" fontId="113" fillId="0" borderId="0" applyFont="0" applyFill="0" applyBorder="0" applyAlignment="0" applyProtection="0"/>
    <xf numFmtId="207" fontId="113" fillId="0" borderId="0" applyFont="0" applyFill="0" applyBorder="0" applyAlignment="0" applyProtection="0"/>
    <xf numFmtId="208" fontId="113" fillId="0" borderId="0" applyFont="0" applyFill="0" applyBorder="0" applyAlignment="0" applyProtection="0"/>
    <xf numFmtId="209" fontId="34" fillId="0" borderId="0" applyFont="0" applyFill="0" applyBorder="0" applyAlignment="0" applyProtection="0"/>
    <xf numFmtId="200" fontId="34" fillId="0" borderId="0" applyFont="0" applyFill="0" applyBorder="0" applyAlignment="0" applyProtection="0"/>
    <xf numFmtId="210" fontId="178" fillId="0" borderId="99">
      <alignment horizontal="right"/>
      <protection locked="0"/>
    </xf>
    <xf numFmtId="210" fontId="178" fillId="0" borderId="99">
      <alignment horizontal="right"/>
      <protection locked="0"/>
    </xf>
    <xf numFmtId="210" fontId="178" fillId="0" borderId="99">
      <alignment horizontal="right"/>
      <protection locked="0"/>
    </xf>
    <xf numFmtId="211" fontId="113" fillId="0" borderId="0" applyFont="0" applyFill="0" applyBorder="0" applyAlignment="0" applyProtection="0"/>
    <xf numFmtId="212" fontId="113" fillId="0" borderId="0" applyFont="0" applyFill="0" applyBorder="0" applyAlignment="0" applyProtection="0"/>
    <xf numFmtId="213" fontId="34" fillId="0" borderId="0" applyFont="0" applyFill="0" applyBorder="0" applyAlignment="0" applyProtection="0"/>
    <xf numFmtId="187" fontId="34" fillId="0" borderId="0" applyFont="0" applyFill="0" applyBorder="0" applyAlignment="0" applyProtection="0"/>
    <xf numFmtId="0" fontId="179" fillId="68" borderId="0" applyNumberFormat="0" applyBorder="0" applyAlignment="0" applyProtection="0"/>
    <xf numFmtId="0" fontId="180" fillId="97" borderId="0" applyNumberFormat="0" applyBorder="0" applyAlignment="0" applyProtection="0"/>
    <xf numFmtId="0" fontId="181" fillId="94" borderId="0">
      <alignment horizontal="left" indent="1"/>
    </xf>
    <xf numFmtId="0" fontId="116" fillId="0" borderId="11"/>
    <xf numFmtId="214" fontId="113" fillId="0" borderId="0"/>
    <xf numFmtId="215" fontId="110" fillId="0" borderId="0"/>
    <xf numFmtId="0" fontId="32" fillId="0" borderId="0"/>
    <xf numFmtId="0" fontId="32" fillId="0" borderId="0"/>
    <xf numFmtId="0" fontId="32" fillId="0" borderId="0"/>
    <xf numFmtId="0" fontId="32" fillId="0" borderId="0"/>
    <xf numFmtId="0" fontId="32" fillId="0" borderId="0"/>
    <xf numFmtId="0" fontId="32" fillId="0" borderId="0"/>
    <xf numFmtId="0" fontId="113" fillId="0" borderId="0"/>
    <xf numFmtId="0" fontId="119"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82" fillId="0" borderId="0"/>
    <xf numFmtId="0" fontId="183" fillId="0" borderId="0"/>
    <xf numFmtId="0" fontId="182" fillId="0" borderId="0"/>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37" fontId="123" fillId="85" borderId="4" applyBorder="0">
      <alignment horizontal="left" vertical="center" indent="2"/>
    </xf>
    <xf numFmtId="0" fontId="110" fillId="0" borderId="0"/>
    <xf numFmtId="0" fontId="34" fillId="0" borderId="0"/>
    <xf numFmtId="0" fontId="31" fillId="0" borderId="0"/>
    <xf numFmtId="37" fontId="123" fillId="85" borderId="4" applyBorder="0">
      <alignment horizontal="left" vertical="center" indent="2"/>
    </xf>
    <xf numFmtId="37" fontId="123" fillId="85" borderId="4" applyBorder="0">
      <alignment horizontal="left" vertical="center" indent="2"/>
    </xf>
    <xf numFmtId="0" fontId="31" fillId="0" borderId="0"/>
    <xf numFmtId="0" fontId="182" fillId="0" borderId="0"/>
    <xf numFmtId="0" fontId="1" fillId="0" borderId="0"/>
    <xf numFmtId="0" fontId="182" fillId="0" borderId="0"/>
    <xf numFmtId="0" fontId="1" fillId="0" borderId="0"/>
    <xf numFmtId="0" fontId="31" fillId="0" borderId="0"/>
    <xf numFmtId="0" fontId="31" fillId="0" borderId="0"/>
    <xf numFmtId="0" fontId="184" fillId="0" borderId="0"/>
    <xf numFmtId="0" fontId="184" fillId="0" borderId="0"/>
    <xf numFmtId="0" fontId="31" fillId="0" borderId="0"/>
    <xf numFmtId="0" fontId="110"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12" fillId="0" borderId="0" applyNumberFormat="0" applyBorder="0" applyProtection="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3" fillId="0" borderId="0" applyNumberFormat="0" applyBorder="0" applyProtection="0"/>
    <xf numFmtId="0" fontId="34" fillId="0" borderId="0" applyBorder="0"/>
    <xf numFmtId="0" fontId="110" fillId="0" borderId="0" applyBorder="0"/>
    <xf numFmtId="0" fontId="113" fillId="0" borderId="0"/>
    <xf numFmtId="0" fontId="185" fillId="0" borderId="0">
      <alignment horizontal="right"/>
    </xf>
    <xf numFmtId="0" fontId="186" fillId="0" borderId="0"/>
    <xf numFmtId="0" fontId="32" fillId="0" borderId="0"/>
    <xf numFmtId="0" fontId="33"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1" fillId="59" borderId="101" applyNumberFormat="0" applyFont="0" applyAlignment="0" applyProtection="0"/>
    <xf numFmtId="0" fontId="33" fillId="59" borderId="101" applyNumberFormat="0" applyFont="0" applyAlignment="0" applyProtection="0"/>
    <xf numFmtId="0" fontId="33" fillId="59" borderId="101" applyNumberFormat="0" applyFont="0" applyAlignment="0" applyProtection="0"/>
    <xf numFmtId="0" fontId="187" fillId="98" borderId="0" applyNumberFormat="0" applyBorder="0" applyProtection="0"/>
    <xf numFmtId="216" fontId="188" fillId="0" borderId="99" applyBorder="0">
      <alignment horizontal="center"/>
    </xf>
    <xf numFmtId="216" fontId="188" fillId="0" borderId="99" applyBorder="0">
      <alignment horizontal="center"/>
    </xf>
    <xf numFmtId="216" fontId="188" fillId="0" borderId="99" applyBorder="0">
      <alignment horizontal="center"/>
    </xf>
    <xf numFmtId="217" fontId="189" fillId="0" borderId="99" applyBorder="0">
      <alignment horizontal="center"/>
    </xf>
    <xf numFmtId="217" fontId="189" fillId="0" borderId="99" applyBorder="0">
      <alignment horizontal="center"/>
    </xf>
    <xf numFmtId="217" fontId="189" fillId="0" borderId="99" applyBorder="0">
      <alignment horizontal="center"/>
    </xf>
    <xf numFmtId="9" fontId="143" fillId="0" borderId="0" applyBorder="0" applyProtection="0"/>
    <xf numFmtId="218" fontId="155" fillId="0" borderId="0">
      <alignment horizontal="left"/>
    </xf>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1" fillId="99"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186" fontId="32" fillId="0" borderId="0" applyFont="0" applyFill="0" applyBorder="0" applyAlignment="0" applyProtection="0"/>
    <xf numFmtId="190" fontId="113" fillId="0" borderId="0" applyFont="0" applyFill="0" applyBorder="0" applyAlignment="0" applyProtection="0"/>
    <xf numFmtId="181" fontId="113" fillId="0" borderId="0" applyFont="0" applyFill="0" applyBorder="0" applyAlignment="0" applyProtection="0"/>
    <xf numFmtId="181" fontId="113" fillId="0" borderId="0" applyFont="0" applyFill="0" applyBorder="0" applyAlignment="0" applyProtection="0"/>
    <xf numFmtId="181" fontId="113" fillId="0" borderId="0" applyFont="0" applyFill="0" applyBorder="0" applyAlignment="0" applyProtection="0"/>
    <xf numFmtId="181" fontId="113" fillId="0" borderId="0" applyFont="0" applyFill="0" applyBorder="0" applyAlignment="0" applyProtection="0"/>
    <xf numFmtId="10" fontId="143" fillId="0" borderId="0" applyBorder="0" applyProtection="0"/>
    <xf numFmtId="10" fontId="3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10"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10"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43" fillId="0" borderId="0" applyBorder="0" applyProtection="0"/>
    <xf numFmtId="9" fontId="34" fillId="0" borderId="0" applyFont="0" applyFill="0" applyBorder="0" applyAlignment="0" applyProtection="0"/>
    <xf numFmtId="9" fontId="110" fillId="0" borderId="0" applyFont="0" applyFill="0" applyBorder="0" applyAlignment="0" applyProtection="0"/>
    <xf numFmtId="9" fontId="110"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187" fontId="32" fillId="0" borderId="0" applyFill="0" applyBorder="0" applyAlignment="0"/>
    <xf numFmtId="183" fontId="32" fillId="0" borderId="0" applyFill="0" applyBorder="0" applyAlignment="0"/>
    <xf numFmtId="187" fontId="32" fillId="0" borderId="0" applyFill="0" applyBorder="0" applyAlignment="0"/>
    <xf numFmtId="188" fontId="32" fillId="0" borderId="0" applyFill="0" applyBorder="0" applyAlignment="0"/>
    <xf numFmtId="183" fontId="32" fillId="0" borderId="0" applyFill="0" applyBorder="0" applyAlignment="0"/>
    <xf numFmtId="220" fontId="192" fillId="0" borderId="103" applyBorder="0">
      <alignment horizontal="right"/>
      <protection locked="0"/>
    </xf>
    <xf numFmtId="220" fontId="192" fillId="0" borderId="103" applyBorder="0">
      <alignment horizontal="right"/>
      <protection locked="0"/>
    </xf>
    <xf numFmtId="0" fontId="193" fillId="87" borderId="0">
      <alignment horizontal="left" indent="1"/>
    </xf>
    <xf numFmtId="0" fontId="137" fillId="0" borderId="88" applyNumberFormat="0" applyProtection="0">
      <alignment vertical="center" wrapText="1"/>
    </xf>
    <xf numFmtId="0" fontId="194" fillId="0" borderId="0" applyNumberFormat="0" applyBorder="0" applyProtection="0"/>
    <xf numFmtId="221" fontId="194" fillId="0" borderId="0" applyBorder="0" applyProtection="0"/>
    <xf numFmtId="0" fontId="195" fillId="0" borderId="0" applyNumberFormat="0" applyBorder="0" applyProtection="0"/>
    <xf numFmtId="0" fontId="196" fillId="0" borderId="0" applyNumberFormat="0" applyFill="0" applyBorder="0" applyAlignment="0" applyProtection="0"/>
    <xf numFmtId="0" fontId="182" fillId="100" borderId="0">
      <alignment horizontal="left" vertical="top"/>
    </xf>
    <xf numFmtId="0" fontId="197" fillId="100" borderId="0">
      <alignment horizontal="center" vertical="top"/>
    </xf>
    <xf numFmtId="0" fontId="198" fillId="100" borderId="0">
      <alignment horizontal="left" vertical="top"/>
    </xf>
    <xf numFmtId="0" fontId="199" fillId="100" borderId="0">
      <alignment horizontal="left" vertical="top"/>
    </xf>
    <xf numFmtId="0" fontId="199" fillId="100" borderId="0">
      <alignment horizontal="left" vertical="top"/>
    </xf>
    <xf numFmtId="0" fontId="182" fillId="101" borderId="0">
      <alignment horizontal="left" vertical="top"/>
    </xf>
    <xf numFmtId="0" fontId="182" fillId="101" borderId="0">
      <alignment horizontal="left" vertical="top"/>
    </xf>
    <xf numFmtId="0" fontId="182" fillId="101" borderId="0">
      <alignment horizontal="left" vertical="top"/>
    </xf>
    <xf numFmtId="0" fontId="182" fillId="101" borderId="0">
      <alignment horizontal="left" vertical="top"/>
    </xf>
    <xf numFmtId="0" fontId="182" fillId="101" borderId="0">
      <alignment horizontal="left" vertical="top"/>
    </xf>
    <xf numFmtId="0" fontId="182" fillId="101" borderId="0">
      <alignment horizontal="left" vertical="top"/>
    </xf>
    <xf numFmtId="0" fontId="199" fillId="100" borderId="0">
      <alignment horizontal="left" vertical="top"/>
    </xf>
    <xf numFmtId="0" fontId="182" fillId="101" borderId="0">
      <alignment horizontal="left" vertical="top"/>
    </xf>
    <xf numFmtId="0" fontId="199" fillId="100" borderId="0">
      <alignment horizontal="right" vertical="top"/>
    </xf>
    <xf numFmtId="0" fontId="199" fillId="100" borderId="0">
      <alignment horizontal="right" vertical="top"/>
    </xf>
    <xf numFmtId="0" fontId="199" fillId="100" borderId="0">
      <alignment horizontal="left" vertical="top"/>
    </xf>
    <xf numFmtId="0" fontId="199" fillId="100" borderId="0">
      <alignment horizontal="left" vertical="top"/>
    </xf>
    <xf numFmtId="0" fontId="199" fillId="100" borderId="0">
      <alignment horizontal="left" vertical="top"/>
    </xf>
    <xf numFmtId="0" fontId="199" fillId="100" borderId="0">
      <alignment horizontal="left" vertical="top"/>
    </xf>
    <xf numFmtId="0" fontId="199" fillId="100" borderId="0">
      <alignment horizontal="left" vertical="top"/>
    </xf>
    <xf numFmtId="0" fontId="199" fillId="100" borderId="0">
      <alignment horizontal="left" vertical="top"/>
    </xf>
    <xf numFmtId="0" fontId="199" fillId="100" borderId="0">
      <alignment horizontal="right" vertical="top"/>
    </xf>
    <xf numFmtId="0" fontId="199" fillId="100" borderId="0">
      <alignment horizontal="left" vertical="top"/>
    </xf>
    <xf numFmtId="0" fontId="200" fillId="100" borderId="0">
      <alignment horizontal="left" vertical="top"/>
    </xf>
    <xf numFmtId="0" fontId="200" fillId="100" borderId="0">
      <alignment horizontal="left" vertical="top"/>
    </xf>
    <xf numFmtId="0" fontId="199" fillId="100" borderId="0">
      <alignment horizontal="right" vertical="top"/>
    </xf>
    <xf numFmtId="0" fontId="199" fillId="100" borderId="0">
      <alignment horizontal="right" vertical="top"/>
    </xf>
    <xf numFmtId="0" fontId="199" fillId="100" borderId="0">
      <alignment horizontal="right" vertical="top"/>
    </xf>
    <xf numFmtId="0" fontId="199" fillId="100" borderId="0">
      <alignment horizontal="right" vertical="top"/>
    </xf>
    <xf numFmtId="0" fontId="199" fillId="100" borderId="0">
      <alignment horizontal="right" vertical="top"/>
    </xf>
    <xf numFmtId="0" fontId="199" fillId="100" borderId="0">
      <alignment horizontal="right" vertical="top"/>
    </xf>
    <xf numFmtId="0" fontId="200" fillId="100" borderId="0">
      <alignment horizontal="left" vertical="top"/>
    </xf>
    <xf numFmtId="0" fontId="199" fillId="100" borderId="0">
      <alignment horizontal="right" vertical="top"/>
    </xf>
    <xf numFmtId="0" fontId="182" fillId="101" borderId="0">
      <alignment horizontal="left" vertical="top"/>
    </xf>
    <xf numFmtId="0" fontId="182" fillId="101" borderId="0">
      <alignment horizontal="left" vertical="top"/>
    </xf>
    <xf numFmtId="0" fontId="200" fillId="100" borderId="0">
      <alignment horizontal="left" vertical="top"/>
    </xf>
    <xf numFmtId="0" fontId="200" fillId="100" borderId="0">
      <alignment horizontal="left" vertical="top"/>
    </xf>
    <xf numFmtId="0" fontId="200" fillId="100" borderId="0">
      <alignment horizontal="left" vertical="top"/>
    </xf>
    <xf numFmtId="0" fontId="200" fillId="100" borderId="0">
      <alignment horizontal="left" vertical="top"/>
    </xf>
    <xf numFmtId="0" fontId="200" fillId="100" borderId="0">
      <alignment horizontal="left" vertical="top"/>
    </xf>
    <xf numFmtId="0" fontId="200" fillId="100" borderId="0">
      <alignment horizontal="left" vertical="top"/>
    </xf>
    <xf numFmtId="0" fontId="182" fillId="101" borderId="0">
      <alignment horizontal="left" vertical="top"/>
    </xf>
    <xf numFmtId="0" fontId="200" fillId="100" borderId="0">
      <alignment horizontal="left" vertical="top"/>
    </xf>
    <xf numFmtId="0" fontId="182" fillId="100" borderId="0">
      <alignment horizontal="right" vertical="top"/>
    </xf>
    <xf numFmtId="0" fontId="201" fillId="102" borderId="0">
      <alignment horizontal="left" vertical="top"/>
    </xf>
    <xf numFmtId="0" fontId="199" fillId="101" borderId="0">
      <alignment horizontal="left" vertical="top"/>
    </xf>
    <xf numFmtId="0" fontId="199" fillId="101" borderId="0">
      <alignment horizontal="left" vertical="top"/>
    </xf>
    <xf numFmtId="0" fontId="199" fillId="101" borderId="0">
      <alignment horizontal="right" vertical="top"/>
    </xf>
    <xf numFmtId="0" fontId="201" fillId="100" borderId="0">
      <alignment horizontal="left" vertical="top"/>
    </xf>
    <xf numFmtId="0" fontId="198" fillId="101" borderId="0">
      <alignment horizontal="left" vertical="top"/>
    </xf>
    <xf numFmtId="0" fontId="198" fillId="102" borderId="0">
      <alignment horizontal="right" vertical="top"/>
    </xf>
    <xf numFmtId="0" fontId="198" fillId="100" borderId="0">
      <alignment horizontal="center" vertical="center"/>
    </xf>
    <xf numFmtId="0" fontId="198" fillId="100" borderId="0">
      <alignment horizontal="center" vertical="top"/>
    </xf>
    <xf numFmtId="0" fontId="182" fillId="100" borderId="0">
      <alignment horizontal="left" vertical="top"/>
    </xf>
    <xf numFmtId="0" fontId="199" fillId="100" borderId="0">
      <alignment horizontal="left" vertical="top"/>
    </xf>
    <xf numFmtId="0" fontId="199" fillId="100" borderId="0">
      <alignment horizontal="left" vertical="top"/>
    </xf>
    <xf numFmtId="0" fontId="199" fillId="100" borderId="0">
      <alignment horizontal="right" vertical="top"/>
    </xf>
    <xf numFmtId="0" fontId="202" fillId="0" borderId="16"/>
    <xf numFmtId="0" fontId="203" fillId="0" borderId="16"/>
    <xf numFmtId="0" fontId="203" fillId="0" borderId="16"/>
    <xf numFmtId="0" fontId="203" fillId="0" borderId="16"/>
    <xf numFmtId="0" fontId="203" fillId="0" borderId="16"/>
    <xf numFmtId="0" fontId="203" fillId="0" borderId="16"/>
    <xf numFmtId="0" fontId="203" fillId="0" borderId="16"/>
    <xf numFmtId="0" fontId="203" fillId="0" borderId="16"/>
    <xf numFmtId="0" fontId="203" fillId="0" borderId="16"/>
    <xf numFmtId="0" fontId="203" fillId="0" borderId="16"/>
    <xf numFmtId="0" fontId="203" fillId="0" borderId="104"/>
    <xf numFmtId="0" fontId="203" fillId="0" borderId="16"/>
    <xf numFmtId="0" fontId="203" fillId="0" borderId="16"/>
    <xf numFmtId="0" fontId="203" fillId="0" borderId="16"/>
    <xf numFmtId="0" fontId="203" fillId="0" borderId="16"/>
    <xf numFmtId="0" fontId="203" fillId="0" borderId="16"/>
    <xf numFmtId="0" fontId="203" fillId="0" borderId="16"/>
    <xf numFmtId="0" fontId="203" fillId="0" borderId="16"/>
    <xf numFmtId="0" fontId="204" fillId="98" borderId="0" applyNumberFormat="0" applyBorder="0" applyProtection="0">
      <alignment horizontal="center"/>
    </xf>
    <xf numFmtId="0" fontId="205" fillId="103" borderId="0" applyNumberFormat="0" applyBorder="0" applyProtection="0">
      <alignment horizontal="center"/>
    </xf>
    <xf numFmtId="0" fontId="122" fillId="0" borderId="0" applyNumberFormat="0" applyFill="0" applyBorder="0" applyAlignment="0" applyProtection="0">
      <alignment horizontal="center"/>
    </xf>
    <xf numFmtId="0" fontId="206" fillId="0" borderId="0"/>
    <xf numFmtId="0" fontId="31" fillId="0" borderId="0"/>
    <xf numFmtId="0" fontId="32" fillId="0" borderId="0"/>
    <xf numFmtId="3" fontId="31" fillId="0" borderId="0">
      <alignment horizontal="center"/>
    </xf>
    <xf numFmtId="0" fontId="207"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208" fillId="0" borderId="105"/>
    <xf numFmtId="0" fontId="31" fillId="0" borderId="0"/>
    <xf numFmtId="0" fontId="142" fillId="0" borderId="0" applyNumberFormat="0" applyBorder="0" applyProtection="0">
      <alignment horizontal="left"/>
    </xf>
    <xf numFmtId="222" fontId="209" fillId="0" borderId="106" applyProtection="0"/>
    <xf numFmtId="223" fontId="210" fillId="0" borderId="1"/>
    <xf numFmtId="223" fontId="210" fillId="0" borderId="1"/>
    <xf numFmtId="223" fontId="210" fillId="0" borderId="1"/>
    <xf numFmtId="223" fontId="210" fillId="0" borderId="1"/>
    <xf numFmtId="223" fontId="210" fillId="0" borderId="1"/>
    <xf numFmtId="223" fontId="210" fillId="0" borderId="1"/>
    <xf numFmtId="164" fontId="31" fillId="0" borderId="0" applyBorder="0" applyAlignment="0" applyProtection="0"/>
    <xf numFmtId="0" fontId="211" fillId="0" borderId="0"/>
    <xf numFmtId="164" fontId="113" fillId="0" borderId="0" applyBorder="0" applyAlignment="0" applyProtection="0"/>
    <xf numFmtId="4" fontId="143" fillId="0" borderId="0" applyBorder="0" applyProtection="0"/>
    <xf numFmtId="4" fontId="32" fillId="0" borderId="0" applyFont="0" applyFill="0" applyBorder="0" applyAlignment="0" applyProtection="0"/>
    <xf numFmtId="3" fontId="143" fillId="0" borderId="0" applyBorder="0" applyProtection="0"/>
    <xf numFmtId="3" fontId="32" fillId="0" borderId="0" applyFont="0" applyFill="0" applyBorder="0" applyAlignment="0" applyProtection="0"/>
    <xf numFmtId="0" fontId="212" fillId="87" borderId="0" applyBorder="0">
      <alignment horizontal="left" vertical="center" indent="1"/>
    </xf>
    <xf numFmtId="49" fontId="129" fillId="0" borderId="0" applyFill="0" applyBorder="0" applyAlignment="0"/>
    <xf numFmtId="49" fontId="141" fillId="0" borderId="0" applyFill="0" applyBorder="0" applyAlignment="0"/>
    <xf numFmtId="219" fontId="32" fillId="0" borderId="0" applyFill="0" applyBorder="0" applyAlignment="0"/>
    <xf numFmtId="168" fontId="32" fillId="0" borderId="0" applyFill="0" applyBorder="0" applyAlignment="0"/>
    <xf numFmtId="0" fontId="213" fillId="0" borderId="0" applyAlignment="0"/>
    <xf numFmtId="0" fontId="214" fillId="0" borderId="0" applyFill="0" applyBorder="0" applyProtection="0">
      <alignment horizontal="left" vertical="top"/>
    </xf>
    <xf numFmtId="224" fontId="143" fillId="0" borderId="0" applyBorder="0" applyProtection="0"/>
    <xf numFmtId="21" fontId="32" fillId="0" borderId="0" applyFont="0" applyFill="0" applyBorder="0" applyAlignment="0" applyProtection="0"/>
    <xf numFmtId="1" fontId="137" fillId="91" borderId="88" applyProtection="0">
      <alignment horizontal="right" vertical="center"/>
    </xf>
    <xf numFmtId="0" fontId="215" fillId="0" borderId="0" applyNumberFormat="0" applyFill="0" applyBorder="0" applyAlignment="0" applyProtection="0"/>
    <xf numFmtId="0" fontId="216" fillId="0" borderId="0" applyNumberFormat="0" applyFill="0" applyBorder="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8"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8"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0" fontId="217" fillId="0" borderId="107" applyNumberFormat="0" applyFill="0" applyAlignment="0" applyProtection="0"/>
    <xf numFmtId="225" fontId="143" fillId="0" borderId="0" applyBorder="0" applyProtection="0"/>
    <xf numFmtId="226" fontId="143" fillId="0" borderId="0" applyBorder="0" applyProtection="0"/>
    <xf numFmtId="0" fontId="31" fillId="0" borderId="0"/>
    <xf numFmtId="0" fontId="219" fillId="0" borderId="0" applyNumberFormat="0" applyBorder="0" applyProtection="0"/>
    <xf numFmtId="0" fontId="220" fillId="0" borderId="0" applyNumberFormat="0" applyFill="0" applyBorder="0" applyAlignment="0" applyProtection="0"/>
    <xf numFmtId="218" fontId="184" fillId="0" borderId="0">
      <alignment horizontal="left"/>
    </xf>
    <xf numFmtId="227" fontId="143" fillId="0" borderId="0" applyBorder="0" applyProtection="0"/>
    <xf numFmtId="228" fontId="143" fillId="0" borderId="0" applyBorder="0" applyProtection="0"/>
    <xf numFmtId="229" fontId="143" fillId="0" borderId="0" applyBorder="0" applyProtection="0"/>
    <xf numFmtId="230" fontId="31" fillId="0" borderId="0" applyFont="0" applyFill="0" applyBorder="0" applyAlignment="0" applyProtection="0"/>
    <xf numFmtId="231" fontId="186" fillId="0" borderId="0" applyFont="0" applyFill="0" applyBorder="0" applyAlignment="0" applyProtection="0"/>
    <xf numFmtId="232" fontId="143" fillId="0" borderId="0" applyBorder="0" applyProtection="0"/>
    <xf numFmtId="233" fontId="31" fillId="0" borderId="0" applyFont="0" applyFill="0" applyBorder="0" applyAlignment="0" applyProtection="0"/>
    <xf numFmtId="234" fontId="186" fillId="0" borderId="0" applyFont="0" applyFill="0" applyBorder="0" applyAlignment="0" applyProtection="0"/>
    <xf numFmtId="0" fontId="221" fillId="0" borderId="0" applyNumberFormat="0" applyFill="0" applyBorder="0" applyAlignment="0" applyProtection="0"/>
    <xf numFmtId="0" fontId="222" fillId="0" borderId="0" applyNumberFormat="0" applyFill="0" applyBorder="0" applyAlignment="0" applyProtection="0"/>
    <xf numFmtId="0" fontId="120" fillId="77" borderId="0" applyNumberFormat="0" applyBorder="0" applyAlignment="0" applyProtection="0"/>
    <xf numFmtId="0" fontId="120" fillId="73" borderId="0" applyNumberFormat="0" applyBorder="0" applyAlignment="0" applyProtection="0"/>
    <xf numFmtId="0" fontId="120" fillId="77" borderId="0" applyNumberFormat="0" applyBorder="0" applyAlignment="0" applyProtection="0"/>
    <xf numFmtId="0" fontId="120" fillId="77" borderId="0" applyNumberFormat="0" applyBorder="0" applyAlignment="0" applyProtection="0"/>
    <xf numFmtId="0" fontId="120" fillId="77" borderId="0" applyNumberFormat="0" applyBorder="0" applyAlignment="0" applyProtection="0"/>
    <xf numFmtId="0" fontId="120" fillId="77" borderId="0" applyNumberFormat="0" applyBorder="0" applyAlignment="0" applyProtection="0"/>
    <xf numFmtId="0" fontId="120" fillId="79" borderId="0" applyNumberFormat="0" applyBorder="0" applyAlignment="0" applyProtection="0"/>
    <xf numFmtId="0" fontId="120" fillId="79" borderId="0" applyNumberFormat="0" applyBorder="0" applyAlignment="0" applyProtection="0"/>
    <xf numFmtId="0" fontId="120" fillId="79" borderId="0" applyNumberFormat="0" applyBorder="0" applyAlignment="0" applyProtection="0"/>
    <xf numFmtId="0" fontId="120" fillId="79" borderId="0" applyNumberFormat="0" applyBorder="0" applyAlignment="0" applyProtection="0"/>
    <xf numFmtId="0" fontId="120" fillId="79" borderId="0" applyNumberFormat="0" applyBorder="0" applyAlignment="0" applyProtection="0"/>
    <xf numFmtId="0" fontId="108" fillId="34" borderId="0" applyNumberFormat="0" applyBorder="0" applyAlignment="0" applyProtection="0"/>
    <xf numFmtId="0" fontId="120" fillId="79" borderId="0" applyNumberFormat="0" applyBorder="0" applyAlignment="0" applyProtection="0"/>
    <xf numFmtId="0" fontId="120" fillId="79" borderId="0" applyNumberFormat="0" applyBorder="0" applyAlignment="0" applyProtection="0"/>
    <xf numFmtId="0" fontId="120" fillId="81" borderId="0" applyNumberFormat="0" applyBorder="0" applyAlignment="0" applyProtection="0"/>
    <xf numFmtId="0" fontId="120" fillId="81" borderId="0" applyNumberFormat="0" applyBorder="0" applyAlignment="0" applyProtection="0"/>
    <xf numFmtId="0" fontId="120" fillId="81" borderId="0" applyNumberFormat="0" applyBorder="0" applyAlignment="0" applyProtection="0"/>
    <xf numFmtId="0" fontId="120" fillId="81" borderId="0" applyNumberFormat="0" applyBorder="0" applyAlignment="0" applyProtection="0"/>
    <xf numFmtId="0" fontId="120" fillId="81" borderId="0" applyNumberFormat="0" applyBorder="0" applyAlignment="0" applyProtection="0"/>
    <xf numFmtId="0" fontId="120" fillId="81" borderId="0" applyNumberFormat="0" applyBorder="0" applyAlignment="0" applyProtection="0"/>
    <xf numFmtId="0" fontId="120" fillId="71" borderId="0" applyNumberFormat="0" applyBorder="0" applyAlignment="0" applyProtection="0"/>
    <xf numFmtId="0" fontId="120" fillId="104" borderId="0" applyNumberFormat="0" applyBorder="0" applyAlignment="0" applyProtection="0"/>
    <xf numFmtId="0" fontId="120" fillId="71" borderId="0" applyNumberFormat="0" applyBorder="0" applyAlignment="0" applyProtection="0"/>
    <xf numFmtId="0" fontId="120" fillId="71" borderId="0" applyNumberFormat="0" applyBorder="0" applyAlignment="0" applyProtection="0"/>
    <xf numFmtId="0" fontId="120" fillId="71" borderId="0" applyNumberFormat="0" applyBorder="0" applyAlignment="0" applyProtection="0"/>
    <xf numFmtId="0" fontId="120" fillId="71"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0" fillId="83" borderId="0" applyNumberFormat="0" applyBorder="0" applyAlignment="0" applyProtection="0"/>
    <xf numFmtId="0" fontId="120" fillId="83" borderId="0" applyNumberFormat="0" applyBorder="0" applyAlignment="0" applyProtection="0"/>
    <xf numFmtId="0" fontId="120" fillId="83" borderId="0" applyNumberFormat="0" applyBorder="0" applyAlignment="0" applyProtection="0"/>
    <xf numFmtId="0" fontId="120" fillId="83" borderId="0" applyNumberFormat="0" applyBorder="0" applyAlignment="0" applyProtection="0"/>
    <xf numFmtId="0" fontId="120" fillId="83" borderId="0" applyNumberFormat="0" applyBorder="0" applyAlignment="0" applyProtection="0"/>
    <xf numFmtId="0" fontId="120" fillId="83" borderId="0" applyNumberFormat="0" applyBorder="0" applyAlignment="0" applyProtection="0"/>
    <xf numFmtId="235" fontId="223" fillId="105" borderId="99">
      <alignment horizontal="center" vertical="center"/>
    </xf>
    <xf numFmtId="235" fontId="223" fillId="105" borderId="99">
      <alignment horizontal="center" vertical="center"/>
    </xf>
    <xf numFmtId="235" fontId="223" fillId="105" borderId="99">
      <alignment horizontal="center" vertical="center"/>
    </xf>
    <xf numFmtId="235" fontId="223" fillId="105" borderId="99">
      <alignment horizontal="center" vertical="center"/>
    </xf>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68"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68"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68"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69" fillId="56" borderId="85"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106"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106"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106"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190" fillId="67" borderId="102" applyNumberFormat="0" applyAlignment="0" applyProtection="0"/>
    <xf numFmtId="0" fontId="224" fillId="107" borderId="0" applyNumberFormat="0" applyBorder="0" applyProtection="0"/>
    <xf numFmtId="0" fontId="225" fillId="96" borderId="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106"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106"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106"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226"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226"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130" fillId="67" borderId="85" applyNumberFormat="0" applyAlignment="0" applyProtection="0"/>
    <xf numFmtId="0" fontId="227" fillId="0" borderId="0" applyNumberFormat="0" applyFill="0" applyBorder="0" applyAlignment="0" applyProtection="0">
      <alignment vertical="top"/>
      <protection locked="0"/>
    </xf>
    <xf numFmtId="0" fontId="228" fillId="0" borderId="0" applyNumberFormat="0" applyFill="0" applyBorder="0" applyAlignment="0" applyProtection="0"/>
    <xf numFmtId="0" fontId="227" fillId="0" borderId="0" applyNumberFormat="0" applyFill="0" applyBorder="0" applyAlignment="0" applyProtection="0">
      <alignment vertical="top"/>
      <protection locked="0"/>
    </xf>
    <xf numFmtId="0" fontId="228" fillId="0" borderId="0" applyNumberFormat="0" applyFill="0" applyBorder="0" applyAlignment="0" applyProtection="0"/>
    <xf numFmtId="0" fontId="37" fillId="0" borderId="0" applyNumberFormat="0" applyFill="0" applyBorder="0" applyAlignment="0" applyProtection="0"/>
    <xf numFmtId="0" fontId="229" fillId="0" borderId="0" applyNumberFormat="0" applyFill="0" applyBorder="0" applyAlignment="0" applyProtection="0">
      <alignment vertical="top"/>
      <protection locked="0"/>
    </xf>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230" fillId="0" borderId="0" applyNumberFormat="0" applyFill="0" applyBorder="0" applyAlignment="0" applyProtection="0">
      <alignment vertical="top"/>
      <protection locked="0"/>
    </xf>
    <xf numFmtId="0" fontId="167" fillId="0" borderId="0" applyNumberFormat="0" applyFill="0" applyBorder="0" applyAlignment="0" applyProtection="0"/>
    <xf numFmtId="0" fontId="231" fillId="0" borderId="0" applyNumberFormat="0" applyFill="0" applyBorder="0" applyAlignment="0" applyProtection="0">
      <alignment vertical="top"/>
      <protection locked="0"/>
    </xf>
    <xf numFmtId="0" fontId="232"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2"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3" fillId="0" borderId="0" applyNumberFormat="0" applyFill="0" applyBorder="0" applyAlignment="0" applyProtection="0">
      <alignment vertical="top"/>
      <protection locked="0"/>
    </xf>
    <xf numFmtId="0" fontId="234" fillId="0" borderId="0" applyNumberFormat="0" applyFill="0" applyBorder="0" applyAlignment="0" applyProtection="0">
      <alignment vertical="top"/>
      <protection locked="0"/>
    </xf>
    <xf numFmtId="0" fontId="233" fillId="0" borderId="0" applyNumberFormat="0" applyFill="0" applyBorder="0" applyAlignment="0" applyProtection="0">
      <alignment vertical="top"/>
      <protection locked="0"/>
    </xf>
    <xf numFmtId="0" fontId="234" fillId="0" borderId="0" applyNumberFormat="0" applyFill="0" applyBorder="0" applyAlignment="0" applyProtection="0">
      <alignment vertical="top"/>
      <protection locked="0"/>
    </xf>
    <xf numFmtId="0" fontId="167" fillId="0" borderId="0" applyNumberFormat="0" applyFill="0" applyBorder="0" applyAlignment="0" applyProtection="0"/>
    <xf numFmtId="0" fontId="235" fillId="0" borderId="0" applyNumberFormat="0" applyFill="0" applyBorder="0" applyAlignment="0" applyProtection="0">
      <alignment vertical="top"/>
      <protection locked="0"/>
    </xf>
    <xf numFmtId="0" fontId="236" fillId="0" borderId="0" applyNumberFormat="0" applyFill="0" applyBorder="0" applyAlignment="0" applyProtection="0">
      <alignment vertical="top"/>
      <protection locked="0"/>
    </xf>
    <xf numFmtId="0" fontId="237" fillId="0" borderId="0" applyNumberFormat="0" applyFill="0" applyBorder="0" applyAlignment="0" applyProtection="0">
      <alignment vertical="top"/>
      <protection locked="0"/>
    </xf>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232" fillId="0" borderId="0" applyNumberFormat="0" applyFill="0" applyBorder="0" applyAlignment="0" applyProtection="0">
      <alignment vertical="top"/>
      <protection locked="0"/>
    </xf>
    <xf numFmtId="0" fontId="238" fillId="0" borderId="0" applyNumberFormat="0" applyFill="0" applyBorder="0" applyAlignment="0" applyProtection="0">
      <alignment vertical="top"/>
      <protection locked="0"/>
    </xf>
    <xf numFmtId="0" fontId="238" fillId="0" borderId="0" applyNumberFormat="0" applyFill="0" applyBorder="0" applyAlignment="0" applyProtection="0">
      <alignment vertical="top"/>
      <protection locked="0"/>
    </xf>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239" fillId="0" borderId="0" applyNumberFormat="0" applyFill="0" applyBorder="0" applyAlignment="0" applyProtection="0">
      <alignment vertical="top"/>
      <protection locked="0"/>
    </xf>
    <xf numFmtId="0" fontId="234" fillId="0" borderId="0" applyNumberFormat="0" applyFill="0" applyBorder="0" applyAlignment="0" applyProtection="0">
      <alignment vertical="top"/>
      <protection locked="0"/>
    </xf>
    <xf numFmtId="0" fontId="230" fillId="0" borderId="0" applyNumberFormat="0" applyFill="0" applyBorder="0" applyAlignment="0" applyProtection="0">
      <alignment vertical="top"/>
      <protection locked="0"/>
    </xf>
    <xf numFmtId="0" fontId="230" fillId="0" borderId="0" applyNumberFormat="0" applyFill="0" applyBorder="0" applyAlignment="0" applyProtection="0">
      <alignment vertical="top"/>
      <protection locked="0"/>
    </xf>
    <xf numFmtId="0" fontId="230" fillId="0" borderId="0" applyNumberFormat="0" applyFill="0" applyBorder="0" applyAlignment="0" applyProtection="0">
      <alignment vertical="top"/>
      <protection locked="0"/>
    </xf>
    <xf numFmtId="0" fontId="240" fillId="0" borderId="0" applyNumberFormat="0" applyFill="0" applyBorder="0" applyAlignment="0" applyProtection="0">
      <alignment vertical="top"/>
      <protection locked="0"/>
    </xf>
    <xf numFmtId="0" fontId="234" fillId="0" borderId="0" applyNumberFormat="0" applyFill="0" applyBorder="0" applyAlignment="0" applyProtection="0">
      <alignment vertical="top"/>
      <protection locked="0"/>
    </xf>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5" fillId="0" borderId="0" applyNumberFormat="0" applyFill="0" applyBorder="0" applyAlignment="0" applyProtection="0"/>
    <xf numFmtId="0" fontId="237" fillId="0" borderId="0" applyNumberFormat="0" applyFill="0" applyBorder="0" applyAlignment="0" applyProtection="0">
      <alignment vertical="top"/>
      <protection locked="0"/>
    </xf>
    <xf numFmtId="0" fontId="237" fillId="0" borderId="0" applyNumberFormat="0" applyFill="0" applyBorder="0" applyAlignment="0" applyProtection="0">
      <alignment vertical="top"/>
      <protection locked="0"/>
    </xf>
    <xf numFmtId="0" fontId="237" fillId="0" borderId="0" applyNumberFormat="0" applyFill="0" applyBorder="0" applyAlignment="0" applyProtection="0">
      <alignment vertical="top"/>
      <protection locked="0"/>
    </xf>
    <xf numFmtId="0" fontId="242" fillId="0" borderId="0" applyNumberFormat="0" applyFill="0" applyBorder="0" applyAlignment="0" applyProtection="0">
      <alignment vertical="top"/>
      <protection locked="0"/>
    </xf>
    <xf numFmtId="0" fontId="237" fillId="0" borderId="0" applyNumberFormat="0" applyFill="0" applyBorder="0" applyAlignment="0" applyProtection="0">
      <alignment vertical="top"/>
      <protection locked="0"/>
    </xf>
    <xf numFmtId="0" fontId="242" fillId="0" borderId="0" applyNumberFormat="0" applyFill="0" applyBorder="0" applyAlignment="0" applyProtection="0">
      <alignment vertical="top"/>
      <protection locked="0"/>
    </xf>
    <xf numFmtId="0" fontId="237" fillId="0" borderId="0" applyNumberFormat="0" applyFill="0" applyBorder="0" applyAlignment="0" applyProtection="0">
      <alignment vertical="top"/>
      <protection locked="0"/>
    </xf>
    <xf numFmtId="0" fontId="237" fillId="0" borderId="0" applyNumberFormat="0" applyFill="0" applyBorder="0" applyAlignment="0" applyProtection="0">
      <alignment vertical="top"/>
      <protection locked="0"/>
    </xf>
    <xf numFmtId="0" fontId="167"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35" fillId="0" borderId="0" applyNumberFormat="0" applyFill="0" applyBorder="0" applyAlignment="0" applyProtection="0"/>
    <xf numFmtId="0" fontId="228" fillId="0" borderId="0" applyNumberFormat="0" applyFill="0" applyBorder="0" applyAlignment="0" applyProtection="0"/>
    <xf numFmtId="0" fontId="244" fillId="0" borderId="0" applyNumberFormat="0" applyFill="0" applyBorder="0" applyAlignment="0" applyProtection="0">
      <alignment vertical="top"/>
      <protection locked="0"/>
    </xf>
    <xf numFmtId="0" fontId="236" fillId="0" borderId="0" applyNumberFormat="0" applyFill="0" applyBorder="0" applyAlignment="0" applyProtection="0">
      <alignment vertical="top"/>
      <protection locked="0"/>
    </xf>
    <xf numFmtId="0" fontId="167" fillId="0" borderId="0" applyNumberFormat="0" applyFill="0" applyBorder="0" applyAlignment="0" applyProtection="0"/>
    <xf numFmtId="0" fontId="245" fillId="0" borderId="0" applyBorder="0"/>
    <xf numFmtId="236" fontId="36" fillId="0" borderId="1" applyAlignment="0">
      <alignment horizontal="left" vertical="center"/>
    </xf>
    <xf numFmtId="236" fontId="36" fillId="0" borderId="1" applyAlignment="0">
      <alignment horizontal="left" vertical="center"/>
    </xf>
    <xf numFmtId="236" fontId="36" fillId="0" borderId="1" applyAlignment="0">
      <alignment horizontal="left" vertical="center"/>
    </xf>
    <xf numFmtId="237" fontId="110" fillId="0" borderId="0" applyFont="0" applyFill="0" applyBorder="0" applyAlignment="0" applyProtection="0"/>
    <xf numFmtId="237" fontId="110"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3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10" fillId="0" borderId="0" applyFont="0" applyFill="0" applyBorder="0" applyAlignment="0" applyProtection="0"/>
    <xf numFmtId="195" fontId="110" fillId="0" borderId="0" applyFont="0" applyFill="0" applyBorder="0" applyAlignment="0" applyProtection="0"/>
    <xf numFmtId="44" fontId="8" fillId="0" borderId="0" applyFont="0" applyFill="0" applyBorder="0" applyAlignment="0" applyProtection="0"/>
    <xf numFmtId="195" fontId="33" fillId="0" borderId="0" applyFont="0" applyFill="0" applyBorder="0" applyAlignment="0" applyProtection="0"/>
    <xf numFmtId="195" fontId="33" fillId="0" borderId="0" applyFont="0" applyFill="0" applyBorder="0" applyAlignment="0" applyProtection="0"/>
    <xf numFmtId="195" fontId="33" fillId="0" borderId="0" applyFont="0" applyFill="0" applyBorder="0" applyAlignment="0" applyProtection="0"/>
    <xf numFmtId="195" fontId="33" fillId="0" borderId="0" applyFont="0" applyFill="0" applyBorder="0" applyAlignment="0" applyProtection="0"/>
    <xf numFmtId="195" fontId="33" fillId="0" borderId="0" applyFont="0" applyFill="0" applyBorder="0" applyAlignment="0" applyProtection="0"/>
    <xf numFmtId="195" fontId="33" fillId="0" borderId="0" applyFont="0" applyFill="0" applyBorder="0" applyAlignment="0" applyProtection="0"/>
    <xf numFmtId="195" fontId="33" fillId="0" borderId="0" applyFont="0" applyFill="0" applyBorder="0" applyAlignment="0" applyProtection="0"/>
    <xf numFmtId="195" fontId="31" fillId="0" borderId="0" applyFont="0" applyFill="0" applyBorder="0" applyAlignment="0" applyProtection="0"/>
    <xf numFmtId="195" fontId="3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10" fillId="0" borderId="0" applyFont="0" applyFill="0" applyBorder="0" applyAlignment="0" applyProtection="0"/>
    <xf numFmtId="195" fontId="31" fillId="0" borderId="0" applyFont="0" applyFill="0" applyBorder="0" applyAlignment="0" applyProtection="0"/>
    <xf numFmtId="195" fontId="33" fillId="0" borderId="0" applyFont="0" applyFill="0" applyBorder="0" applyAlignment="0" applyProtection="0"/>
    <xf numFmtId="195" fontId="33" fillId="0" borderId="0" applyFont="0" applyFill="0" applyBorder="0" applyAlignment="0" applyProtection="0"/>
    <xf numFmtId="195" fontId="3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3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0" fontId="184" fillId="0" borderId="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195" fontId="1" fillId="0" borderId="0" applyFont="0" applyFill="0" applyBorder="0" applyAlignment="0" applyProtection="0"/>
    <xf numFmtId="238" fontId="31" fillId="0" borderId="1">
      <alignment vertical="center"/>
    </xf>
    <xf numFmtId="238" fontId="31" fillId="0" borderId="1">
      <alignment vertical="center"/>
    </xf>
    <xf numFmtId="238" fontId="31" fillId="0" borderId="1">
      <alignment vertical="center"/>
    </xf>
    <xf numFmtId="238" fontId="31" fillId="0" borderId="1">
      <alignment vertical="center"/>
    </xf>
    <xf numFmtId="239" fontId="143" fillId="0" borderId="0" applyBorder="0" applyProtection="0"/>
    <xf numFmtId="240" fontId="143" fillId="0" borderId="0" applyBorder="0" applyProtection="0"/>
    <xf numFmtId="0" fontId="246" fillId="0" borderId="0" applyBorder="0">
      <alignment horizontal="left"/>
    </xf>
    <xf numFmtId="0" fontId="160" fillId="0" borderId="96" applyNumberFormat="0" applyFill="0" applyAlignment="0" applyProtection="0"/>
    <xf numFmtId="0" fontId="247" fillId="0" borderId="108" applyNumberFormat="0" applyFill="0" applyAlignment="0" applyProtection="0"/>
    <xf numFmtId="0" fontId="160" fillId="0" borderId="96" applyNumberFormat="0" applyFill="0" applyAlignment="0" applyProtection="0"/>
    <xf numFmtId="0" fontId="248" fillId="0" borderId="82" applyNumberFormat="0" applyFill="0" applyAlignment="0" applyProtection="0"/>
    <xf numFmtId="0" fontId="160" fillId="0" borderId="96" applyNumberFormat="0" applyFill="0" applyAlignment="0" applyProtection="0"/>
    <xf numFmtId="0" fontId="160" fillId="0" borderId="96" applyNumberFormat="0" applyFill="0" applyAlignment="0" applyProtection="0"/>
    <xf numFmtId="0" fontId="160" fillId="0" borderId="96" applyNumberFormat="0" applyFill="0" applyAlignment="0" applyProtection="0"/>
    <xf numFmtId="0" fontId="162" fillId="0" borderId="97" applyNumberFormat="0" applyFill="0" applyAlignment="0" applyProtection="0"/>
    <xf numFmtId="0" fontId="249" fillId="0" borderId="97" applyNumberFormat="0" applyFill="0" applyAlignment="0" applyProtection="0"/>
    <xf numFmtId="0" fontId="162" fillId="0" borderId="97" applyNumberFormat="0" applyFill="0" applyAlignment="0" applyProtection="0"/>
    <xf numFmtId="0" fontId="250" fillId="0" borderId="83" applyNumberFormat="0" applyFill="0" applyAlignment="0" applyProtection="0"/>
    <xf numFmtId="0" fontId="162" fillId="0" borderId="97" applyNumberFormat="0" applyFill="0" applyAlignment="0" applyProtection="0"/>
    <xf numFmtId="0" fontId="162" fillId="0" borderId="97" applyNumberFormat="0" applyFill="0" applyAlignment="0" applyProtection="0"/>
    <xf numFmtId="0" fontId="162" fillId="0" borderId="97"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251" fillId="0" borderId="109"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252" fillId="0" borderId="109" applyNumberFormat="0" applyFill="0" applyAlignment="0" applyProtection="0"/>
    <xf numFmtId="0" fontId="252" fillId="0" borderId="109" applyNumberFormat="0" applyFill="0" applyAlignment="0" applyProtection="0"/>
    <xf numFmtId="0" fontId="252" fillId="0" borderId="109" applyNumberFormat="0" applyFill="0" applyAlignment="0" applyProtection="0"/>
    <xf numFmtId="0" fontId="252" fillId="0" borderId="109"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252" fillId="0" borderId="109"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251" fillId="0" borderId="109" applyNumberFormat="0" applyFill="0" applyAlignment="0" applyProtection="0"/>
    <xf numFmtId="0" fontId="164" fillId="0" borderId="98" applyNumberFormat="0" applyFill="0" applyAlignment="0" applyProtection="0"/>
    <xf numFmtId="0" fontId="252" fillId="0" borderId="109" applyNumberFormat="0" applyFill="0" applyAlignment="0" applyProtection="0"/>
    <xf numFmtId="0" fontId="252" fillId="0" borderId="109" applyNumberFormat="0" applyFill="0" applyAlignment="0" applyProtection="0"/>
    <xf numFmtId="0" fontId="252" fillId="0" borderId="109" applyNumberFormat="0" applyFill="0" applyAlignment="0" applyProtection="0"/>
    <xf numFmtId="0" fontId="252" fillId="0" borderId="109"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252" fillId="0" borderId="109" applyNumberFormat="0" applyFill="0" applyAlignment="0" applyProtection="0"/>
    <xf numFmtId="0" fontId="164" fillId="0" borderId="98" applyNumberFormat="0" applyFill="0" applyAlignment="0" applyProtection="0"/>
    <xf numFmtId="0" fontId="252" fillId="0" borderId="109" applyNumberFormat="0" applyFill="0" applyAlignment="0" applyProtection="0"/>
    <xf numFmtId="0" fontId="251" fillId="0" borderId="109"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4"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5"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98" applyNumberFormat="0" applyFill="0" applyAlignment="0" applyProtection="0"/>
    <xf numFmtId="0" fontId="164" fillId="0" borderId="0" applyNumberFormat="0" applyFill="0" applyBorder="0" applyAlignment="0" applyProtection="0"/>
    <xf numFmtId="0" fontId="251" fillId="0" borderId="0" applyNumberFormat="0" applyFill="0" applyBorder="0" applyAlignment="0" applyProtection="0"/>
    <xf numFmtId="0" fontId="164" fillId="0" borderId="0" applyNumberFormat="0" applyFill="0" applyBorder="0" applyAlignment="0" applyProtection="0"/>
    <xf numFmtId="0" fontId="253"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254" fillId="0" borderId="0" applyNumberFormat="0" applyBorder="0" applyProtection="0">
      <alignment horizontal="center" vertical="center"/>
    </xf>
    <xf numFmtId="0" fontId="105" fillId="0" borderId="0" applyBorder="0"/>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0" fontId="255" fillId="1" borderId="110">
      <alignment horizontal="left" vertical="center"/>
      <protection locked="0"/>
    </xf>
    <xf numFmtId="3" fontId="256" fillId="0" borderId="0">
      <alignment vertical="center"/>
    </xf>
    <xf numFmtId="0" fontId="36" fillId="0" borderId="26" applyBorder="0">
      <alignment horizontal="center" wrapText="1"/>
    </xf>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2"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2"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2"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8"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8"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217" fillId="0" borderId="111" applyNumberFormat="0" applyFill="0" applyAlignment="0" applyProtection="0"/>
    <xf numFmtId="0" fontId="132" fillId="88" borderId="87" applyNumberFormat="0" applyAlignment="0" applyProtection="0"/>
    <xf numFmtId="0" fontId="132" fillId="88" borderId="87" applyNumberFormat="0" applyAlignment="0" applyProtection="0"/>
    <xf numFmtId="0" fontId="132" fillId="88" borderId="87" applyNumberFormat="0" applyAlignment="0" applyProtection="0"/>
    <xf numFmtId="0" fontId="132" fillId="88" borderId="87" applyNumberFormat="0" applyAlignment="0" applyProtection="0"/>
    <xf numFmtId="0" fontId="132" fillId="88" borderId="87" applyNumberFormat="0" applyAlignment="0" applyProtection="0"/>
    <xf numFmtId="0" fontId="132" fillId="88" borderId="87" applyNumberFormat="0" applyAlignment="0" applyProtection="0"/>
    <xf numFmtId="0" fontId="257" fillId="0" borderId="0">
      <alignment vertical="center"/>
    </xf>
    <xf numFmtId="0" fontId="258" fillId="0" borderId="0" applyNumberFormat="0" applyBorder="0" applyProtection="0"/>
    <xf numFmtId="0" fontId="215" fillId="0" borderId="0" applyNumberFormat="0" applyFill="0" applyBorder="0" applyAlignment="0" applyProtection="0"/>
    <xf numFmtId="0" fontId="259" fillId="0" borderId="0" applyNumberFormat="0" applyFill="0" applyBorder="0" applyAlignment="0" applyProtection="0"/>
    <xf numFmtId="0" fontId="260" fillId="0" borderId="0" applyFill="0" applyBorder="0" applyProtection="0">
      <alignment horizontal="left" vertical="center"/>
    </xf>
    <xf numFmtId="0" fontId="260" fillId="0" borderId="0" applyFill="0" applyBorder="0" applyProtection="0">
      <alignment horizontal="left" vertical="center"/>
    </xf>
    <xf numFmtId="0" fontId="215" fillId="0" borderId="0" applyNumberFormat="0" applyFill="0" applyBorder="0" applyAlignment="0" applyProtection="0"/>
    <xf numFmtId="0" fontId="261" fillId="0" borderId="0" applyNumberFormat="0" applyFill="0" applyBorder="0" applyAlignment="0" applyProtection="0"/>
    <xf numFmtId="0" fontId="215" fillId="0" borderId="0" applyNumberFormat="0" applyFill="0" applyBorder="0" applyAlignment="0" applyProtection="0"/>
    <xf numFmtId="0" fontId="215" fillId="0" borderId="0" applyNumberFormat="0" applyFill="0" applyBorder="0" applyAlignment="0" applyProtection="0"/>
    <xf numFmtId="0" fontId="215" fillId="0" borderId="0" applyNumberFormat="0" applyFill="0" applyBorder="0" applyAlignment="0" applyProtection="0"/>
    <xf numFmtId="0" fontId="179" fillId="68" borderId="0" applyNumberFormat="0" applyBorder="0" applyAlignment="0" applyProtection="0"/>
    <xf numFmtId="0" fontId="179" fillId="68" borderId="0" applyNumberFormat="0" applyBorder="0" applyAlignment="0" applyProtection="0"/>
    <xf numFmtId="0" fontId="179" fillId="68" borderId="0" applyNumberFormat="0" applyBorder="0" applyAlignment="0" applyProtection="0"/>
    <xf numFmtId="0" fontId="179" fillId="68" borderId="0" applyNumberFormat="0" applyBorder="0" applyAlignment="0" applyProtection="0"/>
    <xf numFmtId="0" fontId="179" fillId="68" borderId="0" applyNumberFormat="0" applyBorder="0" applyAlignment="0" applyProtection="0"/>
    <xf numFmtId="0" fontId="179" fillId="68" borderId="0" applyNumberFormat="0" applyBorder="0" applyAlignment="0" applyProtection="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applyNumberFormat="0" applyFont="0" applyFill="0" applyBorder="0" applyAlignment="0" applyProtection="0">
      <alignment vertical="top"/>
    </xf>
    <xf numFmtId="0" fontId="1" fillId="0" borderId="0"/>
    <xf numFmtId="0" fontId="1" fillId="0" borderId="0"/>
    <xf numFmtId="0" fontId="31" fillId="0" borderId="0" applyNumberFormat="0" applyFont="0" applyFill="0" applyBorder="0" applyAlignment="0" applyProtection="0">
      <alignment vertical="top"/>
    </xf>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2" fillId="0" borderId="0" applyNumberFormat="0"/>
    <xf numFmtId="0" fontId="1" fillId="0" borderId="0"/>
    <xf numFmtId="0" fontId="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55"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8"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31" fillId="0" borderId="0"/>
    <xf numFmtId="3" fontId="31" fillId="0" borderId="0">
      <alignment horizontal="center"/>
    </xf>
    <xf numFmtId="0" fontId="31" fillId="0" borderId="0"/>
    <xf numFmtId="0" fontId="31" fillId="0" borderId="0"/>
    <xf numFmtId="0" fontId="31" fillId="0" borderId="0"/>
    <xf numFmtId="0" fontId="3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84"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34" fillId="0" borderId="0"/>
    <xf numFmtId="0" fontId="34" fillId="0" borderId="0"/>
    <xf numFmtId="0" fontId="34" fillId="0" borderId="0"/>
    <xf numFmtId="0" fontId="34" fillId="0" borderId="0"/>
    <xf numFmtId="0"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31" fillId="0" borderId="0"/>
    <xf numFmtId="0" fontId="155" fillId="0" borderId="0">
      <alignment horizontal="left"/>
    </xf>
    <xf numFmtId="0" fontId="110" fillId="0" borderId="0"/>
    <xf numFmtId="0" fontId="155" fillId="0" borderId="0">
      <alignment horizontal="left"/>
    </xf>
    <xf numFmtId="0" fontId="1" fillId="0" borderId="0"/>
    <xf numFmtId="0" fontId="155" fillId="0" borderId="0">
      <alignment horizontal="left"/>
    </xf>
    <xf numFmtId="0" fontId="155" fillId="0" borderId="0">
      <alignment horizontal="left"/>
    </xf>
    <xf numFmtId="0" fontId="155" fillId="0" borderId="0">
      <alignment horizontal="left"/>
    </xf>
    <xf numFmtId="0" fontId="155" fillId="0" borderId="0">
      <alignment horizontal="left"/>
    </xf>
    <xf numFmtId="0" fontId="155" fillId="0" borderId="0">
      <alignment horizontal="left"/>
    </xf>
    <xf numFmtId="0" fontId="155" fillId="0" borderId="0">
      <alignment horizontal="left"/>
    </xf>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241" fontId="155" fillId="0" borderId="0">
      <alignment horizontal="left"/>
    </xf>
    <xf numFmtId="0" fontId="31" fillId="0" borderId="0"/>
    <xf numFmtId="241"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41"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110" fillId="0" borderId="0"/>
    <xf numFmtId="0" fontId="110" fillId="0" borderId="0"/>
    <xf numFmtId="0" fontId="11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1" fillId="0" borderId="0"/>
    <xf numFmtId="0" fontId="11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11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110" fillId="0" borderId="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154" fillId="0" borderId="0" applyNumberFormat="0" applyBorder="0" applyProtection="0"/>
    <xf numFmtId="0" fontId="34" fillId="0" borderId="0"/>
    <xf numFmtId="0" fontId="34" fillId="0" borderId="0"/>
    <xf numFmtId="0" fontId="34" fillId="0" borderId="0"/>
    <xf numFmtId="0" fontId="34" fillId="0" borderId="0"/>
    <xf numFmtId="0" fontId="34" fillId="0" borderId="0"/>
    <xf numFmtId="0" fontId="147" fillId="0" borderId="0"/>
    <xf numFmtId="0" fontId="110" fillId="0" borderId="0"/>
    <xf numFmtId="0" fontId="110" fillId="0" borderId="0"/>
    <xf numFmtId="0" fontId="33" fillId="0" borderId="0"/>
    <xf numFmtId="0" fontId="184" fillId="0" borderId="0"/>
    <xf numFmtId="0" fontId="1" fillId="0" borderId="0"/>
    <xf numFmtId="0" fontId="1" fillId="0" borderId="0"/>
    <xf numFmtId="0" fontId="1" fillId="0" borderId="0"/>
    <xf numFmtId="0" fontId="1" fillId="0" borderId="0"/>
    <xf numFmtId="0" fontId="155" fillId="0" borderId="0"/>
    <xf numFmtId="0" fontId="18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31" fillId="0" borderId="0"/>
    <xf numFmtId="0" fontId="33" fillId="0" borderId="0"/>
    <xf numFmtId="0" fontId="155" fillId="0" borderId="0">
      <alignment horizontal="left"/>
    </xf>
    <xf numFmtId="0" fontId="33" fillId="0" borderId="0"/>
    <xf numFmtId="0" fontId="31" fillId="0" borderId="0"/>
    <xf numFmtId="0" fontId="31" fillId="0" borderId="0"/>
    <xf numFmtId="0" fontId="31" fillId="0" borderId="0"/>
    <xf numFmtId="0" fontId="1" fillId="0" borderId="0"/>
    <xf numFmtId="0" fontId="1" fillId="0" borderId="0"/>
    <xf numFmtId="0" fontId="31" fillId="0" borderId="0"/>
    <xf numFmtId="0" fontId="31" fillId="0" borderId="0"/>
    <xf numFmtId="0" fontId="31" fillId="0" borderId="0"/>
    <xf numFmtId="0" fontId="31" fillId="0" borderId="0"/>
    <xf numFmtId="0" fontId="33" fillId="0" borderId="0"/>
    <xf numFmtId="0" fontId="33"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10"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10" fillId="0" borderId="0"/>
    <xf numFmtId="0" fontId="266"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4" fillId="0" borderId="0"/>
    <xf numFmtId="0" fontId="3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264" fillId="0" borderId="0"/>
    <xf numFmtId="0" fontId="264" fillId="0" borderId="0"/>
    <xf numFmtId="0" fontId="264" fillId="0" borderId="0"/>
    <xf numFmtId="0" fontId="264" fillId="0" borderId="0"/>
    <xf numFmtId="0" fontId="110" fillId="0" borderId="0"/>
    <xf numFmtId="0" fontId="264" fillId="0" borderId="0"/>
    <xf numFmtId="0" fontId="264" fillId="0" borderId="0"/>
    <xf numFmtId="0" fontId="264" fillId="0" borderId="0"/>
    <xf numFmtId="0" fontId="2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2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4" fillId="0" borderId="0"/>
    <xf numFmtId="0" fontId="1" fillId="0" borderId="0"/>
    <xf numFmtId="0" fontId="1" fillId="0" borderId="0"/>
    <xf numFmtId="235" fontId="267"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82" fillId="0" borderId="0"/>
    <xf numFmtId="0" fontId="268" fillId="0" borderId="0"/>
    <xf numFmtId="0" fontId="268" fillId="0" borderId="0"/>
    <xf numFmtId="0" fontId="268" fillId="0" borderId="0"/>
    <xf numFmtId="0" fontId="26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35" fontId="31" fillId="0" borderId="0"/>
    <xf numFmtId="235" fontId="31" fillId="0" borderId="0"/>
    <xf numFmtId="235" fontId="31" fillId="0" borderId="0"/>
    <xf numFmtId="235" fontId="31" fillId="0" borderId="0"/>
    <xf numFmtId="0" fontId="1" fillId="0" borderId="0"/>
    <xf numFmtId="0" fontId="1" fillId="0" borderId="0"/>
    <xf numFmtId="0" fontId="1" fillId="0" borderId="0"/>
    <xf numFmtId="0" fontId="1" fillId="0" borderId="0"/>
    <xf numFmtId="235" fontId="1" fillId="0" borderId="0"/>
    <xf numFmtId="235" fontId="1" fillId="0" borderId="0"/>
    <xf numFmtId="235" fontId="1" fillId="0" borderId="0"/>
    <xf numFmtId="235" fontId="1" fillId="0" borderId="0"/>
    <xf numFmtId="235" fontId="1" fillId="0" borderId="0"/>
    <xf numFmtId="235" fontId="1" fillId="0" borderId="0"/>
    <xf numFmtId="235" fontId="1" fillId="0" borderId="0"/>
    <xf numFmtId="235" fontId="1" fillId="0" borderId="0"/>
    <xf numFmtId="235" fontId="1" fillId="0" borderId="0"/>
    <xf numFmtId="235" fontId="1" fillId="0" borderId="0"/>
    <xf numFmtId="0" fontId="1" fillId="0" borderId="0"/>
    <xf numFmtId="0" fontId="31" fillId="0" borderId="0"/>
    <xf numFmtId="235" fontId="31" fillId="0" borderId="0"/>
    <xf numFmtId="235" fontId="31" fillId="0" borderId="0"/>
    <xf numFmtId="235" fontId="31" fillId="0" borderId="0"/>
    <xf numFmtId="235" fontId="31" fillId="0" borderId="0"/>
    <xf numFmtId="235" fontId="31" fillId="0" borderId="0"/>
    <xf numFmtId="235"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42"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42"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35" fontId="31" fillId="0" borderId="0"/>
    <xf numFmtId="235" fontId="31" fillId="0" borderId="0"/>
    <xf numFmtId="235" fontId="31" fillId="0" borderId="0"/>
    <xf numFmtId="235" fontId="31" fillId="0" borderId="0"/>
    <xf numFmtId="235"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35" fontId="31" fillId="0" borderId="0"/>
    <xf numFmtId="235" fontId="31" fillId="0" borderId="0"/>
    <xf numFmtId="235" fontId="31" fillId="0" borderId="0"/>
    <xf numFmtId="235" fontId="31" fillId="0" borderId="0"/>
    <xf numFmtId="235" fontId="31" fillId="0" borderId="0"/>
    <xf numFmtId="235"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35"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10"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35" fontId="31" fillId="0" borderId="0"/>
    <xf numFmtId="235" fontId="31" fillId="0" borderId="0"/>
    <xf numFmtId="235" fontId="31" fillId="0" borderId="0"/>
    <xf numFmtId="235" fontId="31" fillId="0" borderId="0"/>
    <xf numFmtId="235" fontId="31" fillId="0" borderId="0"/>
    <xf numFmtId="235" fontId="31" fillId="0" borderId="0"/>
    <xf numFmtId="235" fontId="31" fillId="0" borderId="0"/>
    <xf numFmtId="235" fontId="31" fillId="0" borderId="0"/>
    <xf numFmtId="235" fontId="1" fillId="0" borderId="0"/>
    <xf numFmtId="235" fontId="1" fillId="0" borderId="0"/>
    <xf numFmtId="0" fontId="3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1" fillId="0" borderId="0"/>
    <xf numFmtId="0" fontId="3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26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1" fillId="0" borderId="0"/>
    <xf numFmtId="0" fontId="110"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31" fillId="0" borderId="0"/>
    <xf numFmtId="0" fontId="33"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55"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3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84" fillId="0" borderId="0"/>
    <xf numFmtId="0" fontId="8"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42"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35" fontId="1" fillId="0" borderId="0"/>
    <xf numFmtId="235"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31" fillId="0" borderId="0"/>
    <xf numFmtId="0" fontId="33"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8" fillId="0" borderId="0"/>
    <xf numFmtId="0" fontId="1" fillId="0" borderId="0"/>
    <xf numFmtId="0" fontId="3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alignment horizontal="left"/>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alignment horizontal="left"/>
    </xf>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263"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0" fillId="0" borderId="0"/>
    <xf numFmtId="0" fontId="270" fillId="0" borderId="0"/>
    <xf numFmtId="0" fontId="263"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270" fillId="0" borderId="0"/>
    <xf numFmtId="0" fontId="27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0" fillId="0" borderId="0"/>
    <xf numFmtId="0" fontId="2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0" fillId="0" borderId="0"/>
    <xf numFmtId="0" fontId="270" fillId="0" borderId="0"/>
    <xf numFmtId="0" fontId="270" fillId="0" borderId="0"/>
    <xf numFmtId="0" fontId="270" fillId="0" borderId="0"/>
    <xf numFmtId="0" fontId="270" fillId="0" borderId="0"/>
    <xf numFmtId="0" fontId="2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26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9" fillId="0" borderId="0"/>
    <xf numFmtId="0" fontId="27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84" fillId="0" borderId="0"/>
    <xf numFmtId="0" fontId="269" fillId="0" borderId="0"/>
    <xf numFmtId="0" fontId="18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269" fillId="0" borderId="0"/>
    <xf numFmtId="0" fontId="271" fillId="0" borderId="0"/>
    <xf numFmtId="0" fontId="271" fillId="0" borderId="0"/>
    <xf numFmtId="0" fontId="31" fillId="0" borderId="0"/>
    <xf numFmtId="0" fontId="31" fillId="0" borderId="0"/>
    <xf numFmtId="0" fontId="1" fillId="0" borderId="0"/>
    <xf numFmtId="0" fontId="269" fillId="0" borderId="0"/>
    <xf numFmtId="0" fontId="26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113" fillId="0" borderId="0"/>
    <xf numFmtId="0" fontId="113" fillId="0" borderId="0"/>
    <xf numFmtId="0" fontId="110" fillId="0" borderId="0"/>
    <xf numFmtId="0" fontId="271" fillId="0" borderId="0"/>
    <xf numFmtId="0" fontId="27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168" fontId="34" fillId="0" borderId="0" applyFont="0" applyFill="0" applyBorder="0" applyAlignment="0" applyProtection="0"/>
    <xf numFmtId="0" fontId="124" fillId="48" borderId="0" applyNumberFormat="0" applyBorder="0" applyAlignment="0" applyProtection="0"/>
    <xf numFmtId="0" fontId="124" fillId="48" borderId="0" applyNumberFormat="0" applyBorder="0" applyAlignment="0" applyProtection="0"/>
    <xf numFmtId="0" fontId="124" fillId="48" borderId="0" applyNumberFormat="0" applyBorder="0" applyAlignment="0" applyProtection="0"/>
    <xf numFmtId="0" fontId="124" fillId="48" borderId="0" applyNumberFormat="0" applyBorder="0" applyAlignment="0" applyProtection="0"/>
    <xf numFmtId="0" fontId="124" fillId="48" borderId="0" applyNumberFormat="0" applyBorder="0" applyAlignment="0" applyProtection="0"/>
    <xf numFmtId="0" fontId="124" fillId="48" borderId="0" applyNumberFormat="0" applyBorder="0" applyAlignment="0" applyProtection="0"/>
    <xf numFmtId="0" fontId="272" fillId="85" borderId="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3"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113"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110"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110"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110"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3"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3"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110"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34" fillId="59" borderId="113" applyNumberFormat="0" applyFont="0" applyAlignment="0" applyProtection="0"/>
    <xf numFmtId="0" fontId="34" fillId="59" borderId="113" applyNumberFormat="0" applyFont="0" applyAlignment="0" applyProtection="0"/>
    <xf numFmtId="0" fontId="31" fillId="59" borderId="113" applyNumberFormat="0" applyFont="0" applyAlignment="0" applyProtection="0"/>
    <xf numFmtId="0" fontId="110" fillId="108" borderId="0" applyProtection="0"/>
    <xf numFmtId="0" fontId="110" fillId="108" borderId="0" applyProtection="0"/>
    <xf numFmtId="9" fontId="273" fillId="0" borderId="19" applyFill="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0" fontId="18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110" fillId="0" borderId="0" applyFont="0" applyFill="0" applyBorder="0" applyAlignment="0" applyProtection="0"/>
    <xf numFmtId="9" fontId="1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10" fillId="0" borderId="0" applyFont="0" applyFill="0" applyBorder="0" applyAlignment="0" applyProtection="0"/>
    <xf numFmtId="9" fontId="110"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0" fillId="0" borderId="0" applyFont="0" applyFill="0" applyBorder="0" applyAlignment="0" applyProtection="0"/>
    <xf numFmtId="9" fontId="26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263" fillId="0" borderId="0" applyFont="0" applyFill="0" applyBorder="0" applyAlignment="0" applyProtection="0"/>
    <xf numFmtId="9" fontId="112" fillId="0" borderId="0" applyBorder="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1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10" fillId="0" borderId="0" applyFont="0" applyFill="0" applyBorder="0" applyAlignment="0" applyProtection="0"/>
    <xf numFmtId="9" fontId="11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0"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243" fontId="31" fillId="0" borderId="114">
      <alignment vertical="center"/>
    </xf>
    <xf numFmtId="243" fontId="31" fillId="0" borderId="114">
      <alignment vertical="center"/>
    </xf>
    <xf numFmtId="243" fontId="31" fillId="0" borderId="114">
      <alignment vertical="center"/>
    </xf>
    <xf numFmtId="243" fontId="31" fillId="0" borderId="114">
      <alignment vertical="center"/>
    </xf>
    <xf numFmtId="244" fontId="143" fillId="0" borderId="0" applyBorder="0" applyProtection="0"/>
    <xf numFmtId="0" fontId="176" fillId="0" borderId="100" applyNumberFormat="0" applyFill="0" applyAlignment="0" applyProtection="0"/>
    <xf numFmtId="0" fontId="176" fillId="0" borderId="100" applyNumberFormat="0" applyFill="0" applyAlignment="0" applyProtection="0"/>
    <xf numFmtId="0" fontId="176" fillId="0" borderId="100" applyNumberFormat="0" applyFill="0" applyAlignment="0" applyProtection="0"/>
    <xf numFmtId="0" fontId="176" fillId="0" borderId="100" applyNumberFormat="0" applyFill="0" applyAlignment="0" applyProtection="0"/>
    <xf numFmtId="0" fontId="176" fillId="0" borderId="100" applyNumberFormat="0" applyFill="0" applyAlignment="0" applyProtection="0"/>
    <xf numFmtId="0" fontId="176" fillId="0" borderId="100" applyNumberFormat="0" applyFill="0" applyAlignment="0" applyProtection="0"/>
    <xf numFmtId="3" fontId="112" fillId="0" borderId="106" applyProtection="0">
      <alignment vertical="center"/>
    </xf>
    <xf numFmtId="3" fontId="31" fillId="0" borderId="114">
      <alignment vertical="center"/>
    </xf>
    <xf numFmtId="3" fontId="31" fillId="0" borderId="114">
      <alignment vertical="center"/>
    </xf>
    <xf numFmtId="3" fontId="31" fillId="0" borderId="114">
      <alignment vertical="center"/>
    </xf>
    <xf numFmtId="3" fontId="31" fillId="0" borderId="114">
      <alignment vertical="center"/>
    </xf>
    <xf numFmtId="10" fontId="31" fillId="0" borderId="114">
      <alignment vertical="center"/>
    </xf>
    <xf numFmtId="10" fontId="31" fillId="0" borderId="114">
      <alignment vertical="center"/>
    </xf>
    <xf numFmtId="10" fontId="31" fillId="0" borderId="114">
      <alignment vertical="center"/>
    </xf>
    <xf numFmtId="10" fontId="31" fillId="0" borderId="114">
      <alignment vertical="center"/>
    </xf>
    <xf numFmtId="0" fontId="274" fillId="0" borderId="0" applyNumberFormat="0" applyBorder="0" applyProtection="0">
      <alignment horizontal="right"/>
    </xf>
    <xf numFmtId="0" fontId="36" fillId="0" borderId="0" applyBorder="0"/>
    <xf numFmtId="0" fontId="30" fillId="0" borderId="0"/>
    <xf numFmtId="0" fontId="30" fillId="0" borderId="0"/>
    <xf numFmtId="0" fontId="32" fillId="0" borderId="0"/>
    <xf numFmtId="0" fontId="32" fillId="0" borderId="0"/>
    <xf numFmtId="0" fontId="32" fillId="0" borderId="0"/>
    <xf numFmtId="3" fontId="31" fillId="0" borderId="0">
      <alignment horizontal="center"/>
    </xf>
    <xf numFmtId="0" fontId="32" fillId="0" borderId="0"/>
    <xf numFmtId="0" fontId="275" fillId="0" borderId="0"/>
    <xf numFmtId="0" fontId="32" fillId="0" borderId="0"/>
    <xf numFmtId="0" fontId="32" fillId="0" borderId="0"/>
    <xf numFmtId="0" fontId="113" fillId="0" borderId="0"/>
    <xf numFmtId="0" fontId="30" fillId="0" borderId="0"/>
    <xf numFmtId="0" fontId="32" fillId="0" borderId="0"/>
    <xf numFmtId="0" fontId="32" fillId="0" borderId="0"/>
    <xf numFmtId="0" fontId="32" fillId="0" borderId="0"/>
    <xf numFmtId="0" fontId="31" fillId="0" borderId="0"/>
    <xf numFmtId="0" fontId="32" fillId="0" borderId="0"/>
    <xf numFmtId="0" fontId="32" fillId="0" borderId="0"/>
    <xf numFmtId="0" fontId="32" fillId="0" borderId="0"/>
    <xf numFmtId="0" fontId="32" fillId="0" borderId="0"/>
    <xf numFmtId="0" fontId="276" fillId="0" borderId="0"/>
    <xf numFmtId="0" fontId="148" fillId="0" borderId="0"/>
    <xf numFmtId="0" fontId="32" fillId="0" borderId="0"/>
    <xf numFmtId="0" fontId="277" fillId="9" borderId="114">
      <alignment horizontal="center" vertical="center" wrapText="1"/>
    </xf>
    <xf numFmtId="245" fontId="278" fillId="9" borderId="0">
      <alignment horizontal="center"/>
    </xf>
    <xf numFmtId="0" fontId="221" fillId="0" borderId="0" applyNumberFormat="0" applyFill="0" applyBorder="0" applyAlignment="0" applyProtection="0"/>
    <xf numFmtId="0" fontId="221" fillId="0" borderId="0" applyNumberFormat="0" applyFill="0" applyBorder="0" applyAlignment="0" applyProtection="0"/>
    <xf numFmtId="0" fontId="221" fillId="0" borderId="0" applyNumberFormat="0" applyFill="0" applyBorder="0" applyAlignment="0" applyProtection="0"/>
    <xf numFmtId="0" fontId="221" fillId="0" borderId="0" applyNumberFormat="0" applyFill="0" applyBorder="0" applyAlignment="0" applyProtection="0"/>
    <xf numFmtId="0" fontId="221" fillId="0" borderId="0" applyNumberFormat="0" applyFill="0" applyBorder="0" applyAlignment="0" applyProtection="0"/>
    <xf numFmtId="0" fontId="221" fillId="0" borderId="0" applyNumberFormat="0" applyFill="0" applyBorder="0" applyAlignment="0" applyProtection="0"/>
    <xf numFmtId="225" fontId="143" fillId="0" borderId="0" applyBorder="0" applyProtection="0"/>
    <xf numFmtId="3" fontId="143" fillId="0" borderId="0" applyBorder="0" applyProtection="0"/>
    <xf numFmtId="3" fontId="279" fillId="0" borderId="114" applyFont="0" applyFill="0" applyBorder="0" applyAlignment="0" applyProtection="0">
      <alignment horizontal="center" vertical="center"/>
      <protection locked="0"/>
    </xf>
    <xf numFmtId="3" fontId="279" fillId="0" borderId="114" applyFont="0" applyFill="0" applyBorder="0" applyAlignment="0" applyProtection="0">
      <alignment horizontal="center" vertical="center"/>
      <protection locked="0"/>
    </xf>
    <xf numFmtId="3" fontId="279" fillId="0" borderId="114" applyFont="0" applyFill="0" applyBorder="0" applyAlignment="0" applyProtection="0">
      <alignment horizontal="center" vertical="center"/>
      <protection locked="0"/>
    </xf>
    <xf numFmtId="3" fontId="279" fillId="0" borderId="114" applyFont="0" applyFill="0" applyBorder="0" applyAlignment="0" applyProtection="0">
      <alignment horizontal="center" vertical="center"/>
      <protection locked="0"/>
    </xf>
    <xf numFmtId="226" fontId="143" fillId="0" borderId="0" applyBorder="0" applyProtection="0"/>
    <xf numFmtId="0" fontId="154" fillId="0" borderId="106" applyNumberFormat="0" applyProtection="0">
      <alignment horizontal="center" vertical="center" wrapText="1"/>
    </xf>
    <xf numFmtId="0" fontId="280" fillId="0" borderId="114">
      <alignment horizontal="centerContinuous" vertical="center" wrapText="1"/>
    </xf>
    <xf numFmtId="0" fontId="280" fillId="0" borderId="114">
      <alignment horizontal="centerContinuous" vertical="center" wrapText="1"/>
    </xf>
    <xf numFmtId="0" fontId="280" fillId="0" borderId="114">
      <alignment horizontal="centerContinuous" vertical="center" wrapText="1"/>
    </xf>
    <xf numFmtId="0" fontId="280" fillId="0" borderId="114">
      <alignment horizontal="centerContinuous" vertical="center" wrapText="1"/>
    </xf>
    <xf numFmtId="168" fontId="110"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9" fontId="26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4"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4" fontId="31" fillId="0" borderId="0" applyFont="0" applyFill="0" applyBorder="0" applyAlignment="0" applyProtection="0"/>
    <xf numFmtId="18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4" fontId="31" fillId="0" borderId="0" applyFont="0" applyFill="0" applyBorder="0" applyAlignment="0" applyProtection="0"/>
    <xf numFmtId="18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84" fontId="31" fillId="0" borderId="0" applyFont="0" applyFill="0" applyBorder="0" applyAlignment="0" applyProtection="0"/>
    <xf numFmtId="18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4" fontId="31" fillId="0" borderId="0" applyFont="0" applyFill="0" applyBorder="0" applyAlignment="0" applyProtection="0"/>
    <xf numFmtId="18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246" fontId="31" fillId="0" borderId="0" applyFont="0" applyFill="0" applyBorder="0" applyAlignment="0" applyProtection="0"/>
    <xf numFmtId="246"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47" fontId="31" fillId="0" borderId="0" applyFont="0" applyFill="0" applyBorder="0" applyAlignment="0" applyProtection="0"/>
    <xf numFmtId="247"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0" fontId="31" fillId="0" borderId="0" applyFont="0" applyFill="0" applyBorder="0" applyAlignment="0" applyProtection="0"/>
    <xf numFmtId="248"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164" fontId="263" fillId="0" borderId="0" applyFont="0" applyFill="0" applyBorder="0" applyAlignment="0" applyProtection="0"/>
    <xf numFmtId="164" fontId="263" fillId="0" borderId="0" applyFont="0" applyFill="0" applyBorder="0" applyAlignment="0" applyProtection="0"/>
    <xf numFmtId="164" fontId="33" fillId="0" borderId="0" applyFont="0" applyFill="0" applyBorder="0" applyAlignment="0" applyProtection="0"/>
    <xf numFmtId="249" fontId="31" fillId="0" borderId="0" applyFont="0" applyFill="0" applyBorder="0" applyAlignment="0" applyProtection="0"/>
    <xf numFmtId="164" fontId="8" fillId="0" borderId="0" applyFont="0" applyFill="0" applyBorder="0" applyAlignment="0" applyProtection="0"/>
    <xf numFmtId="249" fontId="31" fillId="0" borderId="0" applyFont="0" applyFill="0" applyBorder="0" applyAlignment="0" applyProtection="0"/>
    <xf numFmtId="202" fontId="31" fillId="0" borderId="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249"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63"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88" fontId="31" fillId="0" borderId="0" applyFont="0" applyFill="0" applyBorder="0" applyAlignment="0" applyProtection="0"/>
    <xf numFmtId="164" fontId="110" fillId="0" borderId="0" applyFont="0" applyFill="0" applyBorder="0" applyAlignment="0" applyProtection="0"/>
    <xf numFmtId="164" fontId="110" fillId="0" borderId="0" applyFont="0" applyFill="0" applyBorder="0" applyAlignment="0" applyProtection="0"/>
    <xf numFmtId="164" fontId="38" fillId="0" borderId="0" applyFont="0" applyFill="0" applyBorder="0" applyAlignment="0" applyProtection="0"/>
    <xf numFmtId="164" fontId="110" fillId="0" borderId="0" applyFont="0" applyFill="0" applyBorder="0" applyAlignment="0" applyProtection="0"/>
    <xf numFmtId="164" fontId="110" fillId="0" borderId="0" applyFont="0" applyFill="0" applyBorder="0" applyAlignment="0" applyProtection="0"/>
    <xf numFmtId="164" fontId="110" fillId="0" borderId="0" applyFont="0" applyFill="0" applyBorder="0" applyAlignment="0" applyProtection="0"/>
    <xf numFmtId="164" fontId="110" fillId="0" borderId="0" applyFont="0" applyFill="0" applyBorder="0" applyAlignment="0" applyProtection="0"/>
    <xf numFmtId="164" fontId="110" fillId="0" borderId="0" applyFont="0" applyFill="0" applyBorder="0" applyAlignment="0" applyProtection="0"/>
    <xf numFmtId="164" fontId="110"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43" fontId="8" fillId="0" borderId="0" applyFont="0" applyFill="0" applyBorder="0" applyAlignment="0" applyProtection="0"/>
    <xf numFmtId="164" fontId="263" fillId="0" borderId="0" applyFont="0" applyFill="0" applyBorder="0" applyAlignment="0" applyProtection="0"/>
    <xf numFmtId="164" fontId="263" fillId="0" borderId="0" applyFont="0" applyFill="0" applyBorder="0" applyAlignment="0" applyProtection="0"/>
    <xf numFmtId="164" fontId="263" fillId="0" borderId="0" applyFont="0" applyFill="0" applyBorder="0" applyAlignment="0" applyProtection="0"/>
    <xf numFmtId="164" fontId="263" fillId="0" borderId="0" applyFont="0" applyFill="0" applyBorder="0" applyAlignment="0" applyProtection="0"/>
    <xf numFmtId="164" fontId="263" fillId="0" borderId="0" applyFont="0" applyFill="0" applyBorder="0" applyAlignment="0" applyProtection="0"/>
    <xf numFmtId="164" fontId="263" fillId="0" borderId="0" applyFont="0" applyFill="0" applyBorder="0" applyAlignment="0" applyProtection="0"/>
    <xf numFmtId="164" fontId="110"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50" fontId="31" fillId="0" borderId="0" applyFont="0" applyFill="0" applyBorder="0" applyAlignment="0" applyProtection="0"/>
    <xf numFmtId="164" fontId="110" fillId="0" borderId="0" applyFont="0" applyFill="0" applyBorder="0" applyAlignment="0" applyProtection="0"/>
    <xf numFmtId="250" fontId="31" fillId="0" borderId="0" applyFont="0" applyFill="0" applyBorder="0" applyAlignment="0" applyProtection="0"/>
    <xf numFmtId="164" fontId="110" fillId="0" borderId="0" applyFont="0" applyFill="0" applyBorder="0" applyAlignment="0" applyProtection="0"/>
    <xf numFmtId="250" fontId="31" fillId="0" borderId="0" applyFont="0" applyFill="0" applyBorder="0" applyAlignment="0" applyProtection="0"/>
    <xf numFmtId="164" fontId="110" fillId="0" borderId="0" applyFont="0" applyFill="0" applyBorder="0" applyAlignment="0" applyProtection="0"/>
    <xf numFmtId="164" fontId="31" fillId="0" borderId="0" applyFont="0" applyFill="0" applyBorder="0" applyAlignment="0" applyProtection="0"/>
    <xf numFmtId="250" fontId="31" fillId="0" borderId="0" applyFont="0" applyFill="0" applyBorder="0" applyAlignment="0" applyProtection="0"/>
    <xf numFmtId="164" fontId="110" fillId="0" borderId="0" applyFont="0" applyFill="0" applyBorder="0" applyAlignment="0" applyProtection="0"/>
    <xf numFmtId="250" fontId="31" fillId="0" borderId="0" applyFont="0" applyFill="0" applyBorder="0" applyAlignment="0" applyProtection="0"/>
    <xf numFmtId="250" fontId="31"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84"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63" fillId="0" borderId="0" applyFont="0" applyFill="0" applyBorder="0" applyAlignment="0" applyProtection="0"/>
    <xf numFmtId="164" fontId="263" fillId="0" borderId="0" applyFont="0" applyFill="0" applyBorder="0" applyAlignment="0" applyProtection="0"/>
    <xf numFmtId="164" fontId="263" fillId="0" borderId="0" applyFont="0" applyFill="0" applyBorder="0" applyAlignment="0" applyProtection="0"/>
    <xf numFmtId="164" fontId="1" fillId="0" borderId="0" applyFont="0" applyFill="0" applyBorder="0" applyAlignment="0" applyProtection="0"/>
    <xf numFmtId="164" fontId="26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63" fillId="0" borderId="0" applyFont="0" applyFill="0" applyBorder="0" applyAlignment="0" applyProtection="0"/>
    <xf numFmtId="164" fontId="1" fillId="0" borderId="0" applyFont="0" applyFill="0" applyBorder="0" applyAlignment="0" applyProtection="0"/>
    <xf numFmtId="164" fontId="26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281" fillId="0" borderId="0" applyFill="0" applyBorder="0" applyProtection="0">
      <alignment horizontal="center"/>
    </xf>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88" fontId="31" fillId="0" borderId="0" applyFont="0" applyFill="0" applyBorder="0" applyAlignment="0" applyProtection="0"/>
    <xf numFmtId="164" fontId="33" fillId="0" borderId="0" applyFont="0" applyFill="0" applyBorder="0" applyAlignment="0" applyProtection="0"/>
    <xf numFmtId="164" fontId="31" fillId="0" borderId="0" applyFont="0" applyFill="0" applyBorder="0" applyAlignment="0" applyProtection="0"/>
    <xf numFmtId="165" fontId="31" fillId="0" borderId="0" applyFont="0" applyFill="0" applyBorder="0" applyAlignment="0" applyProtection="0"/>
    <xf numFmtId="164" fontId="110" fillId="0" borderId="0" applyFont="0" applyFill="0" applyBorder="0" applyAlignment="0" applyProtection="0"/>
    <xf numFmtId="251" fontId="112" fillId="0" borderId="0" applyBorder="0" applyProtection="0"/>
    <xf numFmtId="251" fontId="112" fillId="0" borderId="0" applyBorder="0" applyProtection="0"/>
    <xf numFmtId="164" fontId="33" fillId="0" borderId="0" applyFont="0" applyFill="0" applyBorder="0" applyAlignment="0" applyProtection="0"/>
    <xf numFmtId="165" fontId="31"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31"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31" fillId="0" borderId="0" applyFont="0" applyFill="0" applyBorder="0" applyAlignment="0" applyProtection="0"/>
    <xf numFmtId="164" fontId="110"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4" fontId="33" fillId="0" borderId="0" applyFont="0" applyFill="0" applyBorder="0" applyAlignment="0" applyProtection="0"/>
    <xf numFmtId="164" fontId="110" fillId="0" borderId="0" applyFont="0" applyFill="0" applyBorder="0" applyAlignment="0" applyProtection="0"/>
    <xf numFmtId="200" fontId="31" fillId="0" borderId="0" applyFont="0" applyFill="0" applyBorder="0" applyAlignment="0" applyProtection="0"/>
    <xf numFmtId="164" fontId="263" fillId="0" borderId="0" applyFont="0" applyFill="0" applyBorder="0" applyAlignment="0" applyProtection="0"/>
    <xf numFmtId="252" fontId="31" fillId="0" borderId="0" applyFont="0" applyFill="0" applyBorder="0" applyAlignment="0" applyProtection="0"/>
    <xf numFmtId="252" fontId="31" fillId="0" borderId="0" applyFont="0" applyFill="0" applyBorder="0" applyAlignment="0" applyProtection="0"/>
    <xf numFmtId="252"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200" fontId="31" fillId="0" borderId="0" applyFont="0" applyFill="0" applyBorder="0" applyAlignment="0" applyProtection="0"/>
    <xf numFmtId="188" fontId="31" fillId="0" borderId="0" applyFont="0" applyFill="0" applyBorder="0" applyAlignment="0" applyProtection="0"/>
    <xf numFmtId="253" fontId="223" fillId="0" borderId="0" applyFont="0" applyFill="0" applyBorder="0" applyAlignment="0" applyProtection="0"/>
    <xf numFmtId="188" fontId="31" fillId="0" borderId="0" applyFont="0" applyFill="0" applyBorder="0" applyAlignment="0" applyProtection="0"/>
    <xf numFmtId="200" fontId="31" fillId="0" borderId="0" applyFont="0" applyFill="0" applyBorder="0" applyAlignment="0" applyProtection="0"/>
    <xf numFmtId="252"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164" fontId="263" fillId="0" borderId="0" applyFont="0" applyFill="0" applyBorder="0" applyAlignment="0" applyProtection="0"/>
    <xf numFmtId="188" fontId="31" fillId="0" borderId="0" applyFont="0" applyFill="0" applyBorder="0" applyAlignment="0" applyProtection="0"/>
    <xf numFmtId="164" fontId="282" fillId="0" borderId="0" applyFont="0" applyFill="0" applyBorder="0" applyAlignment="0" applyProtection="0"/>
    <xf numFmtId="164" fontId="263" fillId="0" borderId="0" applyFont="0" applyFill="0" applyBorder="0" applyAlignment="0" applyProtection="0"/>
    <xf numFmtId="164" fontId="3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10" fillId="0" borderId="0" applyFont="0" applyFill="0" applyBorder="0" applyAlignment="0" applyProtection="0"/>
    <xf numFmtId="200" fontId="31" fillId="0" borderId="0" applyFont="0" applyFill="0" applyBorder="0" applyAlignment="0" applyProtection="0"/>
    <xf numFmtId="164" fontId="283" fillId="0" borderId="0" applyFont="0" applyFill="0" applyBorder="0" applyAlignment="0" applyProtection="0"/>
    <xf numFmtId="164" fontId="283" fillId="0" borderId="0" applyFont="0" applyFill="0" applyBorder="0" applyAlignment="0" applyProtection="0"/>
    <xf numFmtId="200" fontId="31" fillId="0" borderId="0" applyFont="0" applyFill="0" applyBorder="0" applyAlignment="0" applyProtection="0"/>
    <xf numFmtId="164" fontId="33"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33" fillId="0" borderId="0" applyFont="0" applyFill="0" applyBorder="0" applyAlignment="0" applyProtection="0"/>
    <xf numFmtId="188" fontId="3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88" fontId="31" fillId="0" borderId="0" applyFont="0" applyFill="0" applyBorder="0" applyAlignment="0" applyProtection="0"/>
    <xf numFmtId="164" fontId="33" fillId="0" borderId="0" applyFont="0" applyFill="0" applyBorder="0" applyAlignment="0" applyProtection="0"/>
    <xf numFmtId="25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84"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84" fontId="31" fillId="0" borderId="0" applyFont="0" applyFill="0" applyBorder="0" applyAlignment="0" applyProtection="0"/>
    <xf numFmtId="164" fontId="110" fillId="0" borderId="0" applyFont="0" applyFill="0" applyBorder="0" applyAlignment="0" applyProtection="0"/>
    <xf numFmtId="188" fontId="31" fillId="0" borderId="0" applyFont="0" applyFill="0" applyBorder="0" applyAlignment="0" applyProtection="0"/>
    <xf numFmtId="164" fontId="110" fillId="0" borderId="0" applyFont="0" applyFill="0" applyBorder="0" applyAlignment="0" applyProtection="0"/>
    <xf numFmtId="188" fontId="31" fillId="0" borderId="0" applyFont="0" applyFill="0" applyBorder="0" applyAlignment="0" applyProtection="0"/>
    <xf numFmtId="164" fontId="110" fillId="0" borderId="0" applyFont="0" applyFill="0" applyBorder="0" applyAlignment="0" applyProtection="0"/>
    <xf numFmtId="188" fontId="3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10" fillId="0" borderId="0" applyFont="0" applyFill="0" applyBorder="0" applyAlignment="0" applyProtection="0"/>
    <xf numFmtId="188" fontId="31" fillId="0" borderId="0" applyFont="0" applyFill="0" applyBorder="0" applyAlignment="0" applyProtection="0"/>
    <xf numFmtId="181" fontId="31" fillId="0" borderId="0" applyFont="0" applyFill="0" applyBorder="0" applyAlignment="0" applyProtection="0"/>
    <xf numFmtId="188" fontId="3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235" fontId="31" fillId="0" borderId="0" applyFont="0" applyFill="0" applyBorder="0" applyAlignment="0" applyProtection="0"/>
    <xf numFmtId="168" fontId="31" fillId="0" borderId="0" applyFont="0" applyFill="0" applyBorder="0" applyAlignment="0" applyProtection="0"/>
    <xf numFmtId="255" fontId="31" fillId="0" borderId="0" applyFont="0" applyFill="0" applyBorder="0" applyAlignment="0" applyProtection="0"/>
    <xf numFmtId="168"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168" fontId="31" fillId="0" borderId="0" applyFont="0" applyFill="0" applyBorder="0" applyAlignment="0" applyProtection="0"/>
    <xf numFmtId="255" fontId="31" fillId="0" borderId="0" applyFont="0" applyFill="0" applyBorder="0" applyAlignment="0" applyProtection="0"/>
    <xf numFmtId="188" fontId="31" fillId="0" borderId="0" applyFont="0" applyFill="0" applyBorder="0" applyAlignment="0" applyProtection="0"/>
    <xf numFmtId="188"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55"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1" fillId="0" borderId="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8"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55"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0" fillId="0" borderId="0" applyFont="0" applyFill="0" applyBorder="0" applyAlignment="0" applyProtection="0"/>
    <xf numFmtId="164" fontId="1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0" fontId="3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0" fillId="0" borderId="0" applyFont="0" applyFill="0" applyBorder="0" applyAlignment="0" applyProtection="0"/>
    <xf numFmtId="0" fontId="152" fillId="50" borderId="0" applyNumberFormat="0" applyBorder="0" applyAlignment="0" applyProtection="0"/>
    <xf numFmtId="0" fontId="152" fillId="50" borderId="0" applyNumberFormat="0" applyBorder="0" applyAlignment="0" applyProtection="0"/>
    <xf numFmtId="0" fontId="152" fillId="50" borderId="0" applyNumberFormat="0" applyBorder="0" applyAlignment="0" applyProtection="0"/>
    <xf numFmtId="0" fontId="152" fillId="50" borderId="0" applyNumberFormat="0" applyBorder="0" applyAlignment="0" applyProtection="0"/>
    <xf numFmtId="0" fontId="152" fillId="50" borderId="0" applyNumberFormat="0" applyBorder="0" applyAlignment="0" applyProtection="0"/>
    <xf numFmtId="0" fontId="152" fillId="50" borderId="0" applyNumberFormat="0" applyBorder="0" applyAlignment="0" applyProtection="0"/>
    <xf numFmtId="0" fontId="31" fillId="109" borderId="0" applyAlignment="0">
      <alignment vertical="center"/>
    </xf>
    <xf numFmtId="256" fontId="114" fillId="0" borderId="0">
      <protection locked="0"/>
    </xf>
    <xf numFmtId="3" fontId="223" fillId="105" borderId="114">
      <alignment horizontal="center" vertical="center"/>
    </xf>
    <xf numFmtId="3" fontId="223" fillId="105" borderId="114">
      <alignment horizontal="center" vertical="center"/>
    </xf>
    <xf numFmtId="3" fontId="223" fillId="105" borderId="114">
      <alignment horizontal="center" vertical="center"/>
    </xf>
    <xf numFmtId="3" fontId="223" fillId="105" borderId="114">
      <alignment horizontal="center" vertical="center"/>
    </xf>
    <xf numFmtId="0" fontId="284" fillId="0" borderId="0"/>
  </cellStyleXfs>
  <cellXfs count="1038">
    <xf numFmtId="0" fontId="0" fillId="0" borderId="0" xfId="0"/>
    <xf numFmtId="4" fontId="50" fillId="12" borderId="2" xfId="0" applyNumberFormat="1" applyFont="1" applyFill="1" applyBorder="1" applyAlignment="1">
      <alignment horizontal="left" vertical="center"/>
    </xf>
    <xf numFmtId="0" fontId="9" fillId="2" borderId="1" xfId="0" applyFont="1" applyFill="1" applyBorder="1" applyAlignment="1">
      <alignment vertical="center" wrapText="1"/>
    </xf>
    <xf numFmtId="0" fontId="10" fillId="0" borderId="2" xfId="0" applyFont="1" applyBorder="1" applyAlignment="1">
      <alignment vertical="center"/>
    </xf>
    <xf numFmtId="0" fontId="10" fillId="0" borderId="0" xfId="0" applyFont="1" applyAlignment="1">
      <alignment vertical="center"/>
    </xf>
    <xf numFmtId="0" fontId="12" fillId="0" borderId="0" xfId="0" applyFont="1" applyAlignment="1">
      <alignment vertical="center"/>
    </xf>
    <xf numFmtId="0" fontId="10" fillId="0" borderId="0" xfId="0" applyFont="1" applyAlignment="1">
      <alignment horizontal="left" vertical="center" wrapText="1"/>
    </xf>
    <xf numFmtId="0" fontId="13" fillId="0" borderId="0" xfId="0" applyFont="1" applyAlignment="1">
      <alignment vertical="center" wrapText="1"/>
    </xf>
    <xf numFmtId="0" fontId="9" fillId="4" borderId="1" xfId="0" applyFont="1" applyFill="1" applyBorder="1" applyAlignment="1">
      <alignment horizontal="center" vertical="center" wrapText="1"/>
    </xf>
    <xf numFmtId="165" fontId="9" fillId="0" borderId="1" xfId="0" applyNumberFormat="1" applyFont="1" applyFill="1" applyBorder="1" applyAlignment="1">
      <alignment horizontal="right" vertical="center" wrapText="1"/>
    </xf>
    <xf numFmtId="164" fontId="0" fillId="0" borderId="0" xfId="0" applyNumberFormat="1"/>
    <xf numFmtId="0" fontId="10" fillId="0" borderId="0" xfId="0" applyFont="1" applyBorder="1" applyAlignment="1">
      <alignment horizontal="right" vertical="center"/>
    </xf>
    <xf numFmtId="0" fontId="9" fillId="0" borderId="1" xfId="0" applyFont="1" applyBorder="1" applyAlignment="1">
      <alignment horizontal="center" vertical="center" wrapText="1"/>
    </xf>
    <xf numFmtId="0" fontId="9" fillId="6" borderId="4" xfId="0" applyFont="1" applyFill="1" applyBorder="1" applyAlignment="1">
      <alignment horizontal="left" vertical="center" wrapText="1"/>
    </xf>
    <xf numFmtId="165" fontId="10" fillId="0" borderId="0" xfId="0" applyNumberFormat="1" applyFont="1" applyAlignment="1">
      <alignment horizontal="left" vertical="center" wrapText="1"/>
    </xf>
    <xf numFmtId="0" fontId="0" fillId="0" borderId="0" xfId="0" applyFill="1"/>
    <xf numFmtId="3" fontId="17" fillId="0" borderId="8" xfId="0" applyNumberFormat="1" applyFont="1" applyFill="1" applyBorder="1" applyAlignment="1">
      <alignment horizontal="center" vertical="center" wrapText="1"/>
    </xf>
    <xf numFmtId="0" fontId="18" fillId="0" borderId="11" xfId="0" applyFont="1" applyBorder="1" applyAlignment="1">
      <alignment horizontal="left" vertical="center" wrapText="1"/>
    </xf>
    <xf numFmtId="165" fontId="0" fillId="0" borderId="0" xfId="0" applyNumberFormat="1"/>
    <xf numFmtId="0" fontId="18" fillId="0" borderId="12" xfId="0" applyFont="1" applyBorder="1" applyAlignment="1">
      <alignment horizontal="left" vertical="center" wrapText="1"/>
    </xf>
    <xf numFmtId="0" fontId="19" fillId="0" borderId="19" xfId="0" applyFont="1" applyFill="1" applyBorder="1" applyAlignment="1">
      <alignment horizontal="center" vertical="center" wrapText="1"/>
    </xf>
    <xf numFmtId="3" fontId="9" fillId="6" borderId="4" xfId="0" applyNumberFormat="1" applyFont="1" applyFill="1" applyBorder="1" applyAlignment="1">
      <alignment horizontal="center" vertical="center" wrapText="1"/>
    </xf>
    <xf numFmtId="1" fontId="9" fillId="6" borderId="5" xfId="0" applyNumberFormat="1" applyFont="1" applyFill="1" applyBorder="1" applyAlignment="1">
      <alignment horizontal="center" vertical="center" wrapText="1"/>
    </xf>
    <xf numFmtId="0" fontId="13" fillId="0" borderId="12" xfId="0" applyFont="1" applyBorder="1" applyAlignment="1">
      <alignment vertical="center" wrapText="1"/>
    </xf>
    <xf numFmtId="0" fontId="13" fillId="0" borderId="21" xfId="0" applyFont="1" applyBorder="1" applyAlignment="1">
      <alignment vertical="center" wrapText="1"/>
    </xf>
    <xf numFmtId="0" fontId="13" fillId="0" borderId="22" xfId="0" applyFont="1" applyBorder="1" applyAlignment="1">
      <alignment vertical="center" wrapText="1"/>
    </xf>
    <xf numFmtId="3" fontId="17" fillId="0" borderId="22" xfId="0" applyNumberFormat="1" applyFont="1" applyFill="1" applyBorder="1" applyAlignment="1">
      <alignment horizontal="center" vertical="center" wrapText="1"/>
    </xf>
    <xf numFmtId="0" fontId="13" fillId="0" borderId="0" xfId="0" applyFont="1" applyAlignment="1">
      <alignment horizontal="center" vertical="center" wrapText="1"/>
    </xf>
    <xf numFmtId="0" fontId="13" fillId="0" borderId="0" xfId="0" applyFont="1" applyFill="1" applyAlignment="1">
      <alignment horizontal="center" vertical="center" wrapText="1"/>
    </xf>
    <xf numFmtId="0" fontId="13" fillId="0" borderId="0" xfId="0" applyFont="1" applyFill="1" applyAlignment="1">
      <alignment vertical="center" wrapText="1"/>
    </xf>
    <xf numFmtId="0" fontId="22" fillId="0" borderId="0" xfId="0" applyFont="1" applyAlignment="1">
      <alignment horizontal="left" vertical="center"/>
    </xf>
    <xf numFmtId="0" fontId="23" fillId="0" borderId="0" xfId="0" applyFont="1" applyAlignment="1">
      <alignment horizontal="right" vertical="center" wrapText="1"/>
    </xf>
    <xf numFmtId="0" fontId="24" fillId="0" borderId="0" xfId="0" applyFont="1" applyAlignment="1">
      <alignment vertical="center" wrapText="1"/>
    </xf>
    <xf numFmtId="0" fontId="25" fillId="0" borderId="0" xfId="0" applyFont="1"/>
    <xf numFmtId="165" fontId="0" fillId="0" borderId="0" xfId="0" applyNumberFormat="1" applyFont="1"/>
    <xf numFmtId="0" fontId="13" fillId="0" borderId="21" xfId="0" applyFont="1" applyBorder="1" applyAlignment="1">
      <alignment horizontal="left" vertical="center" wrapText="1"/>
    </xf>
    <xf numFmtId="0" fontId="13" fillId="0" borderId="32" xfId="0" applyFont="1" applyBorder="1" applyAlignment="1">
      <alignment horizontal="left" vertical="center" wrapText="1"/>
    </xf>
    <xf numFmtId="0" fontId="18" fillId="0" borderId="21" xfId="0" applyFont="1" applyBorder="1" applyAlignment="1">
      <alignment horizontal="left" vertical="center" wrapText="1"/>
    </xf>
    <xf numFmtId="0" fontId="13" fillId="0" borderId="12" xfId="0" applyFont="1" applyBorder="1" applyAlignment="1">
      <alignment horizontal="left" vertical="center" wrapText="1"/>
    </xf>
    <xf numFmtId="0" fontId="18" fillId="0" borderId="21" xfId="0" applyFont="1" applyFill="1" applyBorder="1" applyAlignment="1">
      <alignment horizontal="left" vertical="center" wrapText="1"/>
    </xf>
    <xf numFmtId="0" fontId="13" fillId="0" borderId="11" xfId="0" applyFont="1" applyBorder="1" applyAlignment="1">
      <alignment vertical="center" wrapText="1"/>
    </xf>
    <xf numFmtId="0" fontId="19" fillId="0" borderId="0" xfId="0" applyFont="1" applyFill="1" applyBorder="1" applyAlignment="1">
      <alignment horizontal="center" vertical="center" wrapText="1"/>
    </xf>
    <xf numFmtId="0" fontId="19" fillId="0" borderId="0" xfId="0" applyFont="1" applyFill="1" applyAlignment="1">
      <alignment horizontal="center" vertical="center" wrapText="1"/>
    </xf>
    <xf numFmtId="165" fontId="20" fillId="8" borderId="1" xfId="0" applyNumberFormat="1" applyFont="1" applyFill="1" applyBorder="1" applyAlignment="1">
      <alignment horizontal="center" vertical="center" wrapText="1"/>
    </xf>
    <xf numFmtId="4" fontId="43" fillId="12" borderId="1" xfId="1" applyNumberFormat="1" applyFont="1" applyFill="1" applyBorder="1" applyAlignment="1">
      <alignment horizontal="left" vertical="center" wrapText="1"/>
    </xf>
    <xf numFmtId="165" fontId="0" fillId="2" borderId="0" xfId="0" applyNumberFormat="1" applyFont="1" applyFill="1"/>
    <xf numFmtId="165" fontId="0" fillId="0" borderId="0" xfId="0" applyNumberFormat="1" applyFont="1" applyFill="1"/>
    <xf numFmtId="0" fontId="46" fillId="0" borderId="34" xfId="0" applyFont="1" applyBorder="1" applyAlignment="1">
      <alignment vertical="center" wrapText="1"/>
    </xf>
    <xf numFmtId="0" fontId="46" fillId="0" borderId="35" xfId="0" applyFont="1" applyBorder="1" applyAlignment="1">
      <alignment vertical="center" wrapText="1"/>
    </xf>
    <xf numFmtId="0" fontId="46" fillId="0" borderId="34" xfId="0" applyFont="1" applyBorder="1" applyAlignment="1">
      <alignment horizontal="left" vertical="center" wrapText="1" indent="1"/>
    </xf>
    <xf numFmtId="4" fontId="46" fillId="2" borderId="1" xfId="0" applyNumberFormat="1" applyFont="1" applyFill="1" applyBorder="1" applyAlignment="1">
      <alignment horizontal="left" vertical="center" wrapText="1" indent="5"/>
    </xf>
    <xf numFmtId="0" fontId="46" fillId="0" borderId="35" xfId="0" applyFont="1" applyBorder="1" applyAlignment="1">
      <alignment horizontal="left" vertical="center" wrapText="1" indent="1"/>
    </xf>
    <xf numFmtId="0" fontId="0" fillId="2" borderId="0" xfId="0" applyFill="1"/>
    <xf numFmtId="0" fontId="10" fillId="0" borderId="0" xfId="0" applyFont="1" applyBorder="1" applyAlignment="1">
      <alignment vertical="center"/>
    </xf>
    <xf numFmtId="0" fontId="18" fillId="0" borderId="32" xfId="0" applyFont="1" applyBorder="1" applyAlignment="1">
      <alignment horizontal="left" vertical="center" wrapText="1"/>
    </xf>
    <xf numFmtId="170" fontId="11" fillId="0" borderId="33" xfId="9" applyNumberFormat="1" applyFont="1" applyFill="1" applyBorder="1" applyAlignment="1">
      <alignment horizontal="center" vertical="center" wrapText="1"/>
    </xf>
    <xf numFmtId="170" fontId="11" fillId="0" borderId="15" xfId="9" applyNumberFormat="1" applyFont="1" applyFill="1" applyBorder="1" applyAlignment="1">
      <alignment horizontal="center" vertical="center" wrapText="1"/>
    </xf>
    <xf numFmtId="170" fontId="11" fillId="0" borderId="31" xfId="9" applyNumberFormat="1" applyFont="1" applyFill="1" applyBorder="1" applyAlignment="1">
      <alignment horizontal="center" vertical="center" wrapText="1"/>
    </xf>
    <xf numFmtId="0" fontId="47" fillId="2" borderId="0" xfId="0" applyFont="1" applyFill="1" applyAlignment="1">
      <alignment horizontal="left" vertical="center" indent="1"/>
    </xf>
    <xf numFmtId="0" fontId="46" fillId="0" borderId="0" xfId="0" applyFont="1" applyAlignment="1">
      <alignment horizontal="center" vertical="center" wrapText="1"/>
    </xf>
    <xf numFmtId="0" fontId="49" fillId="14" borderId="37" xfId="0" applyFont="1" applyFill="1" applyBorder="1" applyAlignment="1">
      <alignment horizontal="center" vertical="center" wrapText="1"/>
    </xf>
    <xf numFmtId="0" fontId="45" fillId="0" borderId="0" xfId="0" applyFont="1"/>
    <xf numFmtId="0" fontId="14" fillId="0" borderId="22" xfId="0" applyFont="1" applyBorder="1" applyAlignment="1">
      <alignment horizontal="left" vertical="center" wrapText="1"/>
    </xf>
    <xf numFmtId="0" fontId="14" fillId="0" borderId="12" xfId="0" applyFont="1" applyBorder="1" applyAlignment="1">
      <alignment horizontal="left" vertical="center" wrapText="1"/>
    </xf>
    <xf numFmtId="0" fontId="14" fillId="0" borderId="32" xfId="0" applyFont="1" applyBorder="1" applyAlignment="1">
      <alignment horizontal="left" vertical="center" wrapText="1"/>
    </xf>
    <xf numFmtId="0" fontId="14" fillId="0" borderId="32" xfId="0" applyFont="1" applyBorder="1" applyAlignment="1">
      <alignment vertical="center" wrapText="1"/>
    </xf>
    <xf numFmtId="0" fontId="14" fillId="0" borderId="6" xfId="0" applyFont="1" applyBorder="1" applyAlignment="1">
      <alignment vertical="center" wrapText="1"/>
    </xf>
    <xf numFmtId="4" fontId="44" fillId="11" borderId="1" xfId="0" applyNumberFormat="1" applyFont="1" applyFill="1" applyBorder="1" applyAlignment="1" applyProtection="1">
      <alignment horizontal="left" vertical="center" wrapText="1"/>
    </xf>
    <xf numFmtId="4" fontId="27" fillId="0" borderId="0" xfId="0" applyNumberFormat="1" applyFont="1" applyFill="1" applyBorder="1" applyAlignment="1">
      <alignment vertical="center" wrapText="1"/>
    </xf>
    <xf numFmtId="0" fontId="46" fillId="0" borderId="35" xfId="0" applyFont="1" applyBorder="1" applyAlignment="1">
      <alignment horizontal="left" vertical="center" wrapText="1" indent="3"/>
    </xf>
    <xf numFmtId="0" fontId="46" fillId="0" borderId="0" xfId="0" applyFont="1" applyAlignment="1">
      <alignment horizontal="left" vertical="center" indent="5"/>
    </xf>
    <xf numFmtId="0" fontId="48" fillId="0" borderId="38" xfId="0" applyFont="1" applyBorder="1" applyAlignment="1">
      <alignment vertical="center" wrapText="1"/>
    </xf>
    <xf numFmtId="0" fontId="48" fillId="0" borderId="38" xfId="0" applyFont="1" applyBorder="1" applyAlignment="1">
      <alignment vertical="center"/>
    </xf>
    <xf numFmtId="0" fontId="48" fillId="0" borderId="39" xfId="0" applyFont="1" applyBorder="1" applyAlignment="1">
      <alignment vertical="center"/>
    </xf>
    <xf numFmtId="0" fontId="48" fillId="0" borderId="34" xfId="0" applyFont="1" applyBorder="1" applyAlignment="1">
      <alignment vertical="center"/>
    </xf>
    <xf numFmtId="0" fontId="47" fillId="0" borderId="0" xfId="0" applyFont="1" applyAlignment="1">
      <alignment horizontal="left" vertical="center" indent="15"/>
    </xf>
    <xf numFmtId="0" fontId="46" fillId="0" borderId="0" xfId="0" applyFont="1" applyAlignment="1">
      <alignment horizontal="left" vertical="center" indent="14"/>
    </xf>
    <xf numFmtId="0" fontId="53" fillId="0" borderId="0" xfId="0" applyFont="1" applyAlignment="1">
      <alignment vertical="center"/>
    </xf>
    <xf numFmtId="0" fontId="46" fillId="0" borderId="34" xfId="0" applyFont="1" applyBorder="1" applyAlignment="1">
      <alignment horizontal="left" vertical="center" wrapText="1" indent="3"/>
    </xf>
    <xf numFmtId="0" fontId="47" fillId="0" borderId="0" xfId="0" applyFont="1"/>
    <xf numFmtId="0" fontId="47" fillId="0" borderId="0" xfId="0" applyFont="1" applyAlignment="1">
      <alignment horizontal="left" vertical="center" indent="1"/>
    </xf>
    <xf numFmtId="0" fontId="55" fillId="0" borderId="0" xfId="0" applyFont="1" applyAlignment="1">
      <alignment vertical="center"/>
    </xf>
    <xf numFmtId="0" fontId="46" fillId="0" borderId="0" xfId="0" applyFont="1" applyAlignment="1">
      <alignment horizontal="left" vertical="center" indent="13"/>
    </xf>
    <xf numFmtId="165" fontId="0" fillId="0" borderId="0" xfId="0" applyNumberFormat="1" applyAlignment="1">
      <alignment horizontal="center" vertical="center" wrapText="1"/>
    </xf>
    <xf numFmtId="165" fontId="0" fillId="16" borderId="0" xfId="0" applyNumberFormat="1" applyFont="1" applyFill="1"/>
    <xf numFmtId="4" fontId="0" fillId="0" borderId="0" xfId="0" applyNumberFormat="1"/>
    <xf numFmtId="0" fontId="14" fillId="0" borderId="21" xfId="0" applyFont="1" applyBorder="1" applyAlignment="1">
      <alignment vertical="center" wrapText="1"/>
    </xf>
    <xf numFmtId="0" fontId="13" fillId="0" borderId="16" xfId="0" applyFont="1" applyBorder="1" applyAlignment="1">
      <alignment vertical="center" wrapText="1"/>
    </xf>
    <xf numFmtId="0" fontId="14" fillId="0" borderId="16" xfId="0" applyFont="1" applyBorder="1" applyAlignment="1">
      <alignment vertical="center" wrapText="1"/>
    </xf>
    <xf numFmtId="0" fontId="46" fillId="0" borderId="0" xfId="0" applyFont="1" applyAlignment="1">
      <alignment horizontal="left" vertical="center" indent="1"/>
    </xf>
    <xf numFmtId="0" fontId="58" fillId="0" borderId="0" xfId="0" applyFont="1" applyAlignment="1">
      <alignment vertical="center"/>
    </xf>
    <xf numFmtId="0" fontId="59" fillId="0" borderId="0" xfId="0" applyFont="1" applyAlignment="1">
      <alignment vertical="center"/>
    </xf>
    <xf numFmtId="170" fontId="9" fillId="2" borderId="11" xfId="9" applyNumberFormat="1" applyFont="1" applyFill="1" applyBorder="1" applyAlignment="1">
      <alignment vertical="center" wrapText="1"/>
    </xf>
    <xf numFmtId="170" fontId="9" fillId="2" borderId="6" xfId="9" applyNumberFormat="1" applyFont="1" applyFill="1" applyBorder="1" applyAlignment="1">
      <alignment vertical="center" wrapText="1"/>
    </xf>
    <xf numFmtId="170" fontId="9" fillId="2" borderId="12" xfId="9" applyNumberFormat="1" applyFont="1" applyFill="1" applyBorder="1" applyAlignment="1">
      <alignment vertical="center" wrapText="1"/>
    </xf>
    <xf numFmtId="170" fontId="9" fillId="2" borderId="22" xfId="9" applyNumberFormat="1" applyFont="1" applyFill="1" applyBorder="1" applyAlignment="1">
      <alignment vertical="center" wrapText="1"/>
    </xf>
    <xf numFmtId="170" fontId="11" fillId="0" borderId="13" xfId="9" applyNumberFormat="1" applyFont="1" applyFill="1" applyBorder="1" applyAlignment="1">
      <alignment horizontal="center" vertical="center" wrapText="1"/>
    </xf>
    <xf numFmtId="170" fontId="11" fillId="0" borderId="23" xfId="9" applyNumberFormat="1" applyFont="1" applyFill="1" applyBorder="1" applyAlignment="1">
      <alignment horizontal="center" vertical="center" wrapText="1"/>
    </xf>
    <xf numFmtId="170" fontId="9" fillId="2" borderId="21" xfId="9" applyNumberFormat="1" applyFont="1" applyFill="1" applyBorder="1" applyAlignment="1">
      <alignment vertical="center" wrapText="1"/>
    </xf>
    <xf numFmtId="170" fontId="9" fillId="2" borderId="32" xfId="9" applyNumberFormat="1" applyFont="1" applyFill="1" applyBorder="1" applyAlignment="1">
      <alignment horizontal="center" vertical="center" wrapText="1"/>
    </xf>
    <xf numFmtId="3" fontId="17" fillId="0" borderId="22" xfId="0" applyNumberFormat="1" applyFont="1" applyFill="1" applyBorder="1" applyAlignment="1">
      <alignment horizontal="center" vertical="center" wrapText="1"/>
    </xf>
    <xf numFmtId="3" fontId="17" fillId="0" borderId="6" xfId="0" applyNumberFormat="1" applyFont="1" applyFill="1" applyBorder="1" applyAlignment="1">
      <alignment horizontal="center" vertical="center" wrapText="1"/>
    </xf>
    <xf numFmtId="0" fontId="14" fillId="0" borderId="6" xfId="0" applyFont="1" applyBorder="1" applyAlignment="1">
      <alignment horizontal="left" vertical="center" wrapText="1"/>
    </xf>
    <xf numFmtId="0" fontId="19" fillId="0" borderId="28" xfId="0" applyFont="1" applyFill="1" applyBorder="1" applyAlignment="1">
      <alignment horizontal="center" vertical="center" wrapText="1"/>
    </xf>
    <xf numFmtId="49" fontId="44" fillId="13" borderId="1" xfId="0" applyNumberFormat="1" applyFont="1" applyFill="1" applyBorder="1" applyAlignment="1">
      <alignment horizontal="center" vertical="center" wrapText="1"/>
    </xf>
    <xf numFmtId="0" fontId="13" fillId="0" borderId="36" xfId="0" applyFont="1" applyBorder="1" applyAlignment="1">
      <alignment vertical="center" wrapText="1"/>
    </xf>
    <xf numFmtId="3" fontId="9" fillId="6" borderId="29" xfId="0" applyNumberFormat="1" applyFont="1" applyFill="1" applyBorder="1" applyAlignment="1">
      <alignment horizontal="center" vertical="center" wrapText="1"/>
    </xf>
    <xf numFmtId="1" fontId="9" fillId="6" borderId="42" xfId="0" applyNumberFormat="1" applyFont="1" applyFill="1" applyBorder="1" applyAlignment="1">
      <alignment horizontal="center" vertical="center" wrapText="1"/>
    </xf>
    <xf numFmtId="170" fontId="9" fillId="2" borderId="36" xfId="9" applyNumberFormat="1" applyFont="1" applyFill="1" applyBorder="1" applyAlignment="1">
      <alignment vertical="center" wrapText="1"/>
    </xf>
    <xf numFmtId="0" fontId="60" fillId="0" borderId="12" xfId="0" applyFont="1" applyBorder="1" applyAlignment="1">
      <alignment horizontal="left" vertical="center" wrapText="1"/>
    </xf>
    <xf numFmtId="0" fontId="60" fillId="0" borderId="21" xfId="0" applyFont="1" applyFill="1" applyBorder="1" applyAlignment="1">
      <alignment horizontal="left" vertical="center" wrapText="1"/>
    </xf>
    <xf numFmtId="0" fontId="60" fillId="0" borderId="11" xfId="0" applyFont="1" applyBorder="1" applyAlignment="1">
      <alignment horizontal="left" vertical="center" wrapText="1"/>
    </xf>
    <xf numFmtId="0" fontId="18" fillId="0" borderId="12" xfId="0" applyFont="1" applyFill="1" applyBorder="1" applyAlignment="1">
      <alignment horizontal="left" vertical="center" wrapText="1"/>
    </xf>
    <xf numFmtId="0" fontId="18" fillId="0" borderId="11" xfId="0" applyFont="1" applyFill="1" applyBorder="1" applyAlignment="1">
      <alignment horizontal="left" vertical="center" wrapText="1"/>
    </xf>
    <xf numFmtId="0" fontId="27" fillId="0" borderId="0" xfId="0" applyFont="1" applyAlignment="1">
      <alignment wrapText="1"/>
    </xf>
    <xf numFmtId="49" fontId="44" fillId="8" borderId="1" xfId="0" applyNumberFormat="1" applyFont="1" applyFill="1" applyBorder="1" applyAlignment="1">
      <alignment horizontal="left" vertical="center" wrapText="1"/>
    </xf>
    <xf numFmtId="3" fontId="27" fillId="0" borderId="0" xfId="0" applyNumberFormat="1" applyFont="1" applyFill="1" applyBorder="1" applyAlignment="1">
      <alignment horizontal="left" vertical="center" wrapText="1"/>
    </xf>
    <xf numFmtId="49" fontId="29" fillId="7" borderId="1" xfId="1" applyNumberFormat="1" applyFont="1" applyFill="1" applyBorder="1" applyAlignment="1">
      <alignment horizontal="left" vertical="center" wrapText="1"/>
    </xf>
    <xf numFmtId="4" fontId="29" fillId="7" borderId="1" xfId="1" applyNumberFormat="1" applyFont="1" applyFill="1" applyBorder="1" applyAlignment="1">
      <alignment horizontal="left" vertical="center" wrapText="1"/>
    </xf>
    <xf numFmtId="3" fontId="17" fillId="0" borderId="22" xfId="0" applyNumberFormat="1" applyFont="1" applyFill="1" applyBorder="1" applyAlignment="1">
      <alignment horizontal="center" vertical="center" wrapText="1"/>
    </xf>
    <xf numFmtId="0" fontId="14" fillId="0" borderId="22" xfId="0" applyFont="1" applyBorder="1" applyAlignment="1">
      <alignment horizontal="left" vertical="center" wrapText="1"/>
    </xf>
    <xf numFmtId="0" fontId="13" fillId="5" borderId="3" xfId="0" applyFont="1" applyFill="1" applyBorder="1" applyAlignment="1">
      <alignment horizontal="right" vertical="center" wrapText="1"/>
    </xf>
    <xf numFmtId="170" fontId="11" fillId="0" borderId="25" xfId="9" applyNumberFormat="1" applyFont="1" applyFill="1" applyBorder="1" applyAlignment="1">
      <alignment horizontal="center" vertical="center" wrapText="1"/>
    </xf>
    <xf numFmtId="170" fontId="11" fillId="0" borderId="7" xfId="9" applyNumberFormat="1" applyFont="1" applyFill="1" applyBorder="1" applyAlignment="1">
      <alignment horizontal="center" vertical="center" wrapText="1"/>
    </xf>
    <xf numFmtId="0" fontId="9" fillId="7" borderId="16" xfId="0" applyFont="1" applyFill="1" applyBorder="1" applyAlignment="1">
      <alignment horizontal="right" vertical="center" wrapText="1"/>
    </xf>
    <xf numFmtId="0" fontId="60" fillId="0" borderId="21" xfId="0" applyFont="1" applyBorder="1" applyAlignment="1">
      <alignment horizontal="left" vertical="center" wrapText="1"/>
    </xf>
    <xf numFmtId="0" fontId="14" fillId="0" borderId="21" xfId="0" applyFont="1" applyBorder="1" applyAlignment="1">
      <alignment horizontal="left" vertical="center" wrapText="1"/>
    </xf>
    <xf numFmtId="0" fontId="15" fillId="0" borderId="0" xfId="0" applyFont="1" applyAlignment="1">
      <alignment horizontal="left" vertical="center" wrapText="1"/>
    </xf>
    <xf numFmtId="0" fontId="14" fillId="5" borderId="3" xfId="0" applyFont="1" applyFill="1" applyBorder="1" applyAlignment="1">
      <alignment horizontal="right" vertical="center" wrapText="1"/>
    </xf>
    <xf numFmtId="0" fontId="13" fillId="0" borderId="32" xfId="0" applyFont="1" applyBorder="1" applyAlignment="1">
      <alignment vertical="center" wrapText="1"/>
    </xf>
    <xf numFmtId="0" fontId="14" fillId="0" borderId="8" xfId="0" applyFont="1" applyBorder="1" applyAlignment="1">
      <alignment horizontal="left" vertical="center" wrapText="1"/>
    </xf>
    <xf numFmtId="170" fontId="11" fillId="0" borderId="9" xfId="9" applyNumberFormat="1" applyFont="1" applyFill="1" applyBorder="1" applyAlignment="1">
      <alignment horizontal="center" vertical="center" wrapText="1"/>
    </xf>
    <xf numFmtId="0" fontId="13" fillId="0" borderId="22" xfId="0" applyFont="1" applyBorder="1" applyAlignment="1">
      <alignment horizontal="left" vertical="center" wrapText="1"/>
    </xf>
    <xf numFmtId="0" fontId="68" fillId="0" borderId="0" xfId="0" applyFont="1" applyAlignment="1">
      <alignment horizontal="left"/>
    </xf>
    <xf numFmtId="0" fontId="9" fillId="0" borderId="0" xfId="0" applyFont="1" applyBorder="1" applyAlignment="1">
      <alignment horizontal="right" vertical="center"/>
    </xf>
    <xf numFmtId="170" fontId="0" fillId="0" borderId="0" xfId="9" applyNumberFormat="1" applyFont="1"/>
    <xf numFmtId="170" fontId="10" fillId="0" borderId="0" xfId="9" applyNumberFormat="1" applyFont="1" applyAlignment="1">
      <alignment horizontal="left" vertical="center" wrapText="1"/>
    </xf>
    <xf numFmtId="0" fontId="13" fillId="0" borderId="0" xfId="0" applyFont="1" applyAlignment="1">
      <alignment wrapText="1"/>
    </xf>
    <xf numFmtId="4" fontId="13" fillId="0" borderId="0" xfId="0" applyNumberFormat="1" applyFont="1" applyFill="1" applyBorder="1" applyAlignment="1">
      <alignment vertical="center" wrapText="1"/>
    </xf>
    <xf numFmtId="3" fontId="13" fillId="0" borderId="0" xfId="0" applyNumberFormat="1" applyFont="1" applyFill="1" applyBorder="1" applyAlignment="1">
      <alignment horizontal="left" vertical="center" wrapText="1"/>
    </xf>
    <xf numFmtId="0" fontId="22" fillId="0" borderId="0" xfId="0" applyFont="1" applyFill="1" applyAlignment="1">
      <alignment horizontal="left" vertical="center"/>
    </xf>
    <xf numFmtId="0" fontId="69" fillId="0" borderId="12" xfId="0" applyFont="1" applyBorder="1" applyAlignment="1">
      <alignment horizontal="left" vertical="center" wrapText="1"/>
    </xf>
    <xf numFmtId="3" fontId="17" fillId="0" borderId="22" xfId="0" applyNumberFormat="1" applyFont="1" applyFill="1" applyBorder="1" applyAlignment="1">
      <alignment horizontal="center" vertical="center" wrapText="1"/>
    </xf>
    <xf numFmtId="0" fontId="16" fillId="0" borderId="0" xfId="0" applyFont="1" applyAlignment="1">
      <alignment horizontal="left" vertical="center"/>
    </xf>
    <xf numFmtId="0" fontId="27" fillId="0" borderId="0" xfId="0" applyFont="1" applyFill="1" applyAlignment="1">
      <alignment wrapText="1"/>
    </xf>
    <xf numFmtId="0" fontId="16" fillId="0" borderId="0" xfId="0" applyFont="1" applyBorder="1" applyAlignment="1">
      <alignment horizontal="left" vertical="center"/>
    </xf>
    <xf numFmtId="0" fontId="60" fillId="0" borderId="6" xfId="0" applyFont="1" applyBorder="1" applyAlignment="1">
      <alignment horizontal="left" vertical="center" wrapText="1"/>
    </xf>
    <xf numFmtId="9" fontId="9" fillId="0" borderId="1" xfId="2" applyFont="1" applyFill="1" applyBorder="1" applyAlignment="1">
      <alignment horizontal="right" vertical="center" wrapText="1"/>
    </xf>
    <xf numFmtId="0" fontId="69" fillId="0" borderId="16" xfId="0" applyFont="1" applyBorder="1" applyAlignment="1">
      <alignment horizontal="left" vertical="center" wrapText="1"/>
    </xf>
    <xf numFmtId="0" fontId="69" fillId="0" borderId="36" xfId="0" applyFont="1" applyBorder="1" applyAlignment="1">
      <alignment horizontal="left" vertical="center" wrapText="1"/>
    </xf>
    <xf numFmtId="0" fontId="69" fillId="0" borderId="11" xfId="0" applyFont="1" applyBorder="1" applyAlignment="1">
      <alignment horizontal="left" vertical="center" wrapText="1"/>
    </xf>
    <xf numFmtId="0" fontId="69" fillId="0" borderId="8" xfId="0" applyFont="1" applyBorder="1" applyAlignment="1">
      <alignment horizontal="left" vertical="center" wrapText="1"/>
    </xf>
    <xf numFmtId="170" fontId="17" fillId="0" borderId="18" xfId="9" applyNumberFormat="1" applyFont="1" applyFill="1" applyBorder="1" applyAlignment="1">
      <alignment vertical="center" wrapText="1"/>
    </xf>
    <xf numFmtId="170" fontId="9" fillId="2" borderId="16" xfId="9" applyNumberFormat="1" applyFont="1" applyFill="1" applyBorder="1" applyAlignment="1">
      <alignment vertical="center" wrapText="1"/>
    </xf>
    <xf numFmtId="0" fontId="18" fillId="0" borderId="6" xfId="0" applyFont="1" applyFill="1" applyBorder="1" applyAlignment="1">
      <alignment horizontal="left" vertical="center" wrapText="1"/>
    </xf>
    <xf numFmtId="170" fontId="17" fillId="0" borderId="18" xfId="9" applyNumberFormat="1" applyFont="1" applyFill="1" applyBorder="1" applyAlignment="1">
      <alignment horizontal="center" vertical="center" wrapText="1"/>
    </xf>
    <xf numFmtId="0" fontId="72" fillId="0" borderId="0" xfId="0" applyFont="1" applyAlignment="1">
      <alignment vertical="center" wrapText="1"/>
    </xf>
    <xf numFmtId="170" fontId="17" fillId="0" borderId="1" xfId="9" applyNumberFormat="1" applyFont="1" applyFill="1" applyBorder="1" applyAlignment="1">
      <alignment vertical="center" wrapText="1"/>
    </xf>
    <xf numFmtId="170" fontId="9" fillId="2" borderId="32" xfId="9" applyNumberFormat="1" applyFont="1" applyFill="1" applyBorder="1" applyAlignment="1">
      <alignment vertical="center" wrapText="1"/>
    </xf>
    <xf numFmtId="170" fontId="9" fillId="2" borderId="8" xfId="9" applyNumberFormat="1" applyFont="1" applyFill="1" applyBorder="1" applyAlignment="1">
      <alignment vertical="center" wrapText="1"/>
    </xf>
    <xf numFmtId="170" fontId="11" fillId="0" borderId="50" xfId="9" applyNumberFormat="1" applyFont="1" applyFill="1" applyBorder="1" applyAlignment="1">
      <alignment horizontal="center" vertical="center" wrapText="1"/>
    </xf>
    <xf numFmtId="170" fontId="0" fillId="0" borderId="0" xfId="9" applyNumberFormat="1" applyFont="1" applyFill="1"/>
    <xf numFmtId="170" fontId="19" fillId="0" borderId="28" xfId="9" applyNumberFormat="1" applyFont="1" applyFill="1" applyBorder="1" applyAlignment="1">
      <alignment horizontal="center" vertical="center" wrapText="1"/>
    </xf>
    <xf numFmtId="170" fontId="17" fillId="0" borderId="24" xfId="9" applyNumberFormat="1" applyFont="1" applyFill="1" applyBorder="1" applyAlignment="1">
      <alignment vertical="center" wrapText="1"/>
    </xf>
    <xf numFmtId="0" fontId="16" fillId="0" borderId="0" xfId="0" applyFont="1" applyAlignment="1">
      <alignment vertical="center"/>
    </xf>
    <xf numFmtId="0" fontId="71" fillId="0" borderId="12" xfId="0" applyFont="1" applyBorder="1" applyAlignment="1">
      <alignment horizontal="left" vertical="center" wrapText="1"/>
    </xf>
    <xf numFmtId="0" fontId="18" fillId="0" borderId="36" xfId="0" applyFont="1" applyFill="1" applyBorder="1" applyAlignment="1">
      <alignment horizontal="left" vertical="center" wrapText="1"/>
    </xf>
    <xf numFmtId="0" fontId="21" fillId="0" borderId="0" xfId="0" applyFont="1" applyAlignment="1">
      <alignment vertical="center" wrapText="1"/>
    </xf>
    <xf numFmtId="0" fontId="60" fillId="0" borderId="13" xfId="0" applyFont="1" applyBorder="1" applyAlignment="1">
      <alignment horizontal="left" vertical="center" wrapText="1"/>
    </xf>
    <xf numFmtId="0" fontId="60" fillId="0" borderId="15" xfId="0" applyFont="1" applyFill="1" applyBorder="1" applyAlignment="1">
      <alignment horizontal="left" vertical="center" wrapText="1"/>
    </xf>
    <xf numFmtId="0" fontId="60" fillId="0" borderId="31" xfId="0" applyFont="1" applyFill="1" applyBorder="1" applyAlignment="1">
      <alignment horizontal="left" vertical="center" wrapText="1"/>
    </xf>
    <xf numFmtId="0" fontId="60" fillId="0" borderId="15" xfId="0" applyFont="1" applyBorder="1" applyAlignment="1">
      <alignment horizontal="left" vertical="center" wrapText="1"/>
    </xf>
    <xf numFmtId="0" fontId="60" fillId="0" borderId="23" xfId="0" applyFont="1" applyBorder="1" applyAlignment="1">
      <alignment horizontal="left" vertical="center" wrapText="1"/>
    </xf>
    <xf numFmtId="0" fontId="71" fillId="0" borderId="8" xfId="0" applyFont="1" applyBorder="1" applyAlignment="1">
      <alignment horizontal="left" vertical="center" wrapText="1"/>
    </xf>
    <xf numFmtId="0" fontId="11" fillId="17" borderId="1" xfId="0" applyFont="1" applyFill="1" applyBorder="1" applyAlignment="1">
      <alignment vertical="center" wrapText="1"/>
    </xf>
    <xf numFmtId="170" fontId="9" fillId="17" borderId="1" xfId="9" applyNumberFormat="1" applyFont="1" applyFill="1" applyBorder="1" applyAlignment="1">
      <alignment horizontal="right" vertical="center" wrapText="1"/>
    </xf>
    <xf numFmtId="165" fontId="20" fillId="17" borderId="1" xfId="0" applyNumberFormat="1" applyFont="1" applyFill="1" applyBorder="1" applyAlignment="1">
      <alignment horizontal="center" vertical="center" wrapText="1"/>
    </xf>
    <xf numFmtId="165" fontId="9" fillId="17" borderId="1" xfId="0" applyNumberFormat="1" applyFont="1" applyFill="1" applyBorder="1" applyAlignment="1">
      <alignment horizontal="right" vertical="center" wrapText="1"/>
    </xf>
    <xf numFmtId="165" fontId="9" fillId="17" borderId="1" xfId="0" applyNumberFormat="1" applyFont="1" applyFill="1" applyBorder="1" applyAlignment="1">
      <alignment horizontal="center" vertical="center" wrapText="1"/>
    </xf>
    <xf numFmtId="170" fontId="28" fillId="17" borderId="1" xfId="9" applyNumberFormat="1" applyFont="1" applyFill="1" applyBorder="1" applyAlignment="1">
      <alignment horizontal="right" vertical="center" wrapText="1"/>
    </xf>
    <xf numFmtId="0" fontId="10" fillId="17" borderId="1" xfId="0" applyFont="1" applyFill="1" applyBorder="1" applyAlignment="1">
      <alignment horizontal="center" vertical="center"/>
    </xf>
    <xf numFmtId="165" fontId="9" fillId="17" borderId="1" xfId="0" applyNumberFormat="1" applyFont="1" applyFill="1" applyBorder="1" applyAlignment="1">
      <alignment horizontal="right" vertical="center" wrapText="1"/>
    </xf>
    <xf numFmtId="0" fontId="9" fillId="7" borderId="2" xfId="0" applyFont="1" applyFill="1" applyBorder="1" applyAlignment="1">
      <alignment horizontal="right" vertical="center" wrapText="1"/>
    </xf>
    <xf numFmtId="0" fontId="9" fillId="6" borderId="4" xfId="0" applyFont="1" applyFill="1" applyBorder="1" applyAlignment="1">
      <alignment horizontal="left" vertical="center" wrapText="1"/>
    </xf>
    <xf numFmtId="170" fontId="17" fillId="0" borderId="18" xfId="9" applyNumberFormat="1" applyFont="1" applyFill="1" applyBorder="1" applyAlignment="1">
      <alignment horizontal="center" vertical="center" wrapText="1"/>
    </xf>
    <xf numFmtId="3" fontId="17" fillId="0" borderId="22" xfId="0" applyNumberFormat="1" applyFont="1" applyFill="1" applyBorder="1" applyAlignment="1">
      <alignment horizontal="center" vertical="center" wrapText="1"/>
    </xf>
    <xf numFmtId="170" fontId="17" fillId="0" borderId="1" xfId="9" applyNumberFormat="1" applyFont="1" applyFill="1" applyBorder="1" applyAlignment="1">
      <alignment horizontal="center" vertical="center" wrapText="1"/>
    </xf>
    <xf numFmtId="3" fontId="17" fillId="0" borderId="12" xfId="0" applyNumberFormat="1" applyFont="1" applyFill="1" applyBorder="1" applyAlignment="1">
      <alignment horizontal="center" vertical="center" wrapText="1"/>
    </xf>
    <xf numFmtId="3" fontId="17" fillId="0" borderId="21" xfId="0" applyNumberFormat="1" applyFont="1" applyFill="1" applyBorder="1" applyAlignment="1">
      <alignment horizontal="center" vertical="center" wrapText="1"/>
    </xf>
    <xf numFmtId="170" fontId="19" fillId="0" borderId="28" xfId="9" applyNumberFormat="1" applyFont="1" applyFill="1" applyBorder="1" applyAlignment="1">
      <alignment horizontal="center" vertical="center" wrapText="1"/>
    </xf>
    <xf numFmtId="170" fontId="17" fillId="0" borderId="18" xfId="9" applyNumberFormat="1" applyFont="1" applyFill="1" applyBorder="1" applyAlignment="1">
      <alignment horizontal="center" vertical="center" wrapText="1"/>
    </xf>
    <xf numFmtId="0" fontId="9" fillId="7" borderId="3" xfId="0" applyFont="1" applyFill="1" applyBorder="1" applyAlignment="1">
      <alignment horizontal="left" vertical="center" wrapText="1"/>
    </xf>
    <xf numFmtId="170" fontId="17" fillId="0" borderId="1" xfId="9" applyNumberFormat="1" applyFont="1" applyFill="1" applyBorder="1" applyAlignment="1">
      <alignment horizontal="center" vertical="center" wrapText="1"/>
    </xf>
    <xf numFmtId="49" fontId="45" fillId="6" borderId="1" xfId="0" applyNumberFormat="1" applyFont="1" applyFill="1" applyBorder="1" applyAlignment="1">
      <alignment horizontal="center" vertical="center" wrapText="1"/>
    </xf>
    <xf numFmtId="49" fontId="45" fillId="10" borderId="1" xfId="0" applyNumberFormat="1" applyFont="1" applyFill="1" applyBorder="1" applyAlignment="1">
      <alignment horizontal="center" vertical="center" wrapText="1"/>
    </xf>
    <xf numFmtId="165" fontId="9" fillId="17" borderId="18" xfId="0" applyNumberFormat="1" applyFont="1" applyFill="1" applyBorder="1" applyAlignment="1">
      <alignment horizontal="center" vertical="center" wrapText="1"/>
    </xf>
    <xf numFmtId="165" fontId="9" fillId="17" borderId="24" xfId="0" applyNumberFormat="1" applyFont="1" applyFill="1" applyBorder="1" applyAlignment="1">
      <alignment horizontal="right" vertical="center" wrapText="1"/>
    </xf>
    <xf numFmtId="170" fontId="75" fillId="11" borderId="1" xfId="9" applyNumberFormat="1" applyFont="1" applyFill="1" applyBorder="1" applyAlignment="1">
      <alignment horizontal="center" vertical="center" wrapText="1"/>
    </xf>
    <xf numFmtId="170" fontId="75" fillId="11" borderId="3" xfId="9" applyNumberFormat="1" applyFont="1" applyFill="1" applyBorder="1" applyAlignment="1">
      <alignment horizontal="center" vertical="center" wrapText="1"/>
    </xf>
    <xf numFmtId="4" fontId="50" fillId="12" borderId="11" xfId="0" applyNumberFormat="1" applyFont="1" applyFill="1" applyBorder="1" applyAlignment="1">
      <alignment horizontal="left" vertical="center" wrapText="1"/>
    </xf>
    <xf numFmtId="172" fontId="76" fillId="2" borderId="1" xfId="9" applyNumberFormat="1" applyFont="1" applyFill="1" applyBorder="1"/>
    <xf numFmtId="0" fontId="77" fillId="0" borderId="52" xfId="0" applyFont="1" applyBorder="1" applyAlignment="1">
      <alignment horizontal="center" vertical="center" wrapText="1"/>
    </xf>
    <xf numFmtId="170" fontId="6" fillId="2" borderId="11" xfId="9" applyNumberFormat="1" applyFont="1" applyFill="1" applyBorder="1"/>
    <xf numFmtId="43" fontId="6" fillId="2" borderId="11" xfId="9" applyNumberFormat="1" applyFont="1" applyFill="1" applyBorder="1"/>
    <xf numFmtId="0" fontId="78" fillId="0" borderId="0" xfId="0" applyFont="1"/>
    <xf numFmtId="170" fontId="75" fillId="11" borderId="24" xfId="9" applyNumberFormat="1" applyFont="1" applyFill="1" applyBorder="1" applyAlignment="1">
      <alignment horizontal="center" vertical="center" wrapText="1"/>
    </xf>
    <xf numFmtId="43" fontId="0" fillId="19" borderId="1" xfId="9" applyFont="1" applyFill="1" applyBorder="1"/>
    <xf numFmtId="170" fontId="0" fillId="19" borderId="1" xfId="9" applyNumberFormat="1" applyFont="1" applyFill="1" applyBorder="1"/>
    <xf numFmtId="0" fontId="9" fillId="7" borderId="0" xfId="0" applyFont="1" applyFill="1" applyBorder="1" applyAlignment="1">
      <alignment horizontal="right" vertical="center" wrapText="1"/>
    </xf>
    <xf numFmtId="3" fontId="17" fillId="0" borderId="0" xfId="0" applyNumberFormat="1" applyFont="1" applyFill="1" applyBorder="1" applyAlignment="1">
      <alignment horizontal="center" vertical="center" wrapText="1"/>
    </xf>
    <xf numFmtId="170" fontId="17" fillId="0" borderId="19" xfId="9" applyNumberFormat="1" applyFont="1" applyFill="1" applyBorder="1" applyAlignment="1">
      <alignment vertical="center" wrapText="1"/>
    </xf>
    <xf numFmtId="170" fontId="17" fillId="0" borderId="30" xfId="9" applyNumberFormat="1" applyFont="1" applyFill="1" applyBorder="1" applyAlignment="1">
      <alignment vertical="center" wrapText="1"/>
    </xf>
    <xf numFmtId="3" fontId="9" fillId="6" borderId="40" xfId="0" applyNumberFormat="1" applyFont="1" applyFill="1" applyBorder="1" applyAlignment="1">
      <alignment horizontal="center" vertical="center" wrapText="1"/>
    </xf>
    <xf numFmtId="0" fontId="13" fillId="0" borderId="28" xfId="0" applyFont="1" applyBorder="1" applyAlignment="1">
      <alignment vertical="center" wrapText="1"/>
    </xf>
    <xf numFmtId="170" fontId="17" fillId="0" borderId="54" xfId="9" applyNumberFormat="1" applyFont="1" applyFill="1" applyBorder="1" applyAlignment="1">
      <alignment vertical="center" wrapText="1"/>
    </xf>
    <xf numFmtId="170" fontId="17" fillId="0" borderId="55" xfId="9" applyNumberFormat="1" applyFont="1" applyFill="1" applyBorder="1" applyAlignment="1">
      <alignment vertical="center" wrapText="1"/>
    </xf>
    <xf numFmtId="170" fontId="17" fillId="0" borderId="56" xfId="9" applyNumberFormat="1" applyFont="1" applyFill="1" applyBorder="1" applyAlignment="1">
      <alignment vertical="center" wrapText="1"/>
    </xf>
    <xf numFmtId="170" fontId="6" fillId="2" borderId="57" xfId="9" applyNumberFormat="1" applyFont="1" applyFill="1" applyBorder="1"/>
    <xf numFmtId="43" fontId="6" fillId="2" borderId="57" xfId="9" applyNumberFormat="1" applyFont="1" applyFill="1" applyBorder="1"/>
    <xf numFmtId="0" fontId="45" fillId="18" borderId="0" xfId="0" applyFont="1" applyFill="1" applyBorder="1" applyAlignment="1"/>
    <xf numFmtId="0" fontId="45" fillId="18" borderId="47" xfId="0" applyFont="1" applyFill="1" applyBorder="1" applyAlignment="1"/>
    <xf numFmtId="4" fontId="50" fillId="12" borderId="2" xfId="0" applyNumberFormat="1" applyFont="1" applyFill="1" applyBorder="1" applyAlignment="1">
      <alignment vertical="center"/>
    </xf>
    <xf numFmtId="164" fontId="9" fillId="17" borderId="1" xfId="0" applyNumberFormat="1" applyFont="1" applyFill="1" applyBorder="1" applyAlignment="1">
      <alignment horizontal="right" vertical="center" wrapText="1"/>
    </xf>
    <xf numFmtId="43" fontId="9" fillId="2" borderId="22" xfId="9" applyNumberFormat="1" applyFont="1" applyFill="1" applyBorder="1" applyAlignment="1">
      <alignment vertical="center" wrapText="1"/>
    </xf>
    <xf numFmtId="49" fontId="79" fillId="6" borderId="1" xfId="0" applyNumberFormat="1" applyFont="1" applyFill="1" applyBorder="1" applyAlignment="1">
      <alignment horizontal="center" vertical="center" wrapText="1"/>
    </xf>
    <xf numFmtId="0" fontId="82" fillId="0" borderId="0" xfId="0" applyFont="1" applyAlignment="1">
      <alignment wrapText="1"/>
    </xf>
    <xf numFmtId="49" fontId="79" fillId="10" borderId="1" xfId="0" applyNumberFormat="1" applyFont="1" applyFill="1" applyBorder="1" applyAlignment="1">
      <alignment horizontal="center" vertical="center" wrapText="1"/>
    </xf>
    <xf numFmtId="49" fontId="80" fillId="13" borderId="1" xfId="0" applyNumberFormat="1" applyFont="1" applyFill="1" applyBorder="1" applyAlignment="1">
      <alignment horizontal="center" vertical="center" wrapText="1"/>
    </xf>
    <xf numFmtId="170" fontId="17" fillId="0" borderId="58" xfId="9" applyNumberFormat="1" applyFont="1" applyFill="1" applyBorder="1" applyAlignment="1">
      <alignment vertical="center" wrapText="1"/>
    </xf>
    <xf numFmtId="0" fontId="19" fillId="0" borderId="2" xfId="0" applyFont="1" applyFill="1" applyBorder="1" applyAlignment="1">
      <alignment vertical="center" wrapText="1"/>
    </xf>
    <xf numFmtId="0" fontId="19" fillId="0" borderId="2" xfId="0" applyFont="1" applyFill="1" applyBorder="1" applyAlignment="1">
      <alignment horizontal="center" vertical="center" wrapText="1"/>
    </xf>
    <xf numFmtId="165" fontId="19" fillId="0" borderId="2" xfId="0" applyNumberFormat="1" applyFont="1" applyFill="1" applyBorder="1" applyAlignment="1">
      <alignment vertical="center" wrapText="1"/>
    </xf>
    <xf numFmtId="0" fontId="9" fillId="4" borderId="1" xfId="0" applyFont="1" applyFill="1" applyBorder="1" applyAlignment="1">
      <alignment horizontal="center" vertical="center"/>
    </xf>
    <xf numFmtId="0" fontId="13" fillId="0" borderId="6" xfId="0" applyFont="1" applyBorder="1" applyAlignment="1">
      <alignment vertical="center" wrapText="1"/>
    </xf>
    <xf numFmtId="170" fontId="9" fillId="6" borderId="11" xfId="9" applyNumberFormat="1" applyFont="1" applyFill="1" applyBorder="1" applyAlignment="1">
      <alignment vertical="center" wrapText="1"/>
    </xf>
    <xf numFmtId="170" fontId="9" fillId="6" borderId="12" xfId="9" applyNumberFormat="1" applyFont="1" applyFill="1" applyBorder="1" applyAlignment="1">
      <alignment vertical="center" wrapText="1"/>
    </xf>
    <xf numFmtId="170" fontId="9" fillId="8" borderId="8" xfId="9" applyNumberFormat="1" applyFont="1" applyFill="1" applyBorder="1" applyAlignment="1">
      <alignment vertical="center" wrapText="1"/>
    </xf>
    <xf numFmtId="170" fontId="9" fillId="8" borderId="36" xfId="9" applyNumberFormat="1" applyFont="1" applyFill="1" applyBorder="1" applyAlignment="1">
      <alignment vertical="center" wrapText="1"/>
    </xf>
    <xf numFmtId="170" fontId="9" fillId="8" borderId="11" xfId="9" applyNumberFormat="1" applyFont="1" applyFill="1" applyBorder="1" applyAlignment="1">
      <alignment vertical="center" wrapText="1"/>
    </xf>
    <xf numFmtId="170" fontId="9" fillId="8" borderId="22" xfId="9" applyNumberFormat="1" applyFont="1" applyFill="1" applyBorder="1" applyAlignment="1">
      <alignment vertical="center" wrapText="1"/>
    </xf>
    <xf numFmtId="170" fontId="9" fillId="8" borderId="12" xfId="9" applyNumberFormat="1" applyFont="1" applyFill="1" applyBorder="1" applyAlignment="1">
      <alignment vertical="center" wrapText="1"/>
    </xf>
    <xf numFmtId="43" fontId="9" fillId="8" borderId="22" xfId="9" applyNumberFormat="1" applyFont="1" applyFill="1" applyBorder="1" applyAlignment="1">
      <alignment vertical="center" wrapText="1"/>
    </xf>
    <xf numFmtId="170" fontId="9" fillId="8" borderId="6" xfId="9" applyNumberFormat="1" applyFont="1" applyFill="1" applyBorder="1" applyAlignment="1">
      <alignment vertical="center" wrapText="1"/>
    </xf>
    <xf numFmtId="170" fontId="9" fillId="8" borderId="32" xfId="9" applyNumberFormat="1" applyFont="1" applyFill="1" applyBorder="1" applyAlignment="1">
      <alignment horizontal="center" vertical="center" wrapText="1"/>
    </xf>
    <xf numFmtId="170" fontId="9" fillId="8" borderId="21" xfId="9" applyNumberFormat="1" applyFont="1" applyFill="1" applyBorder="1" applyAlignment="1">
      <alignment vertical="center" wrapText="1"/>
    </xf>
    <xf numFmtId="49" fontId="29" fillId="16" borderId="1" xfId="1" applyNumberFormat="1" applyFont="1" applyFill="1" applyBorder="1" applyAlignment="1">
      <alignment horizontal="left" vertical="center" wrapText="1"/>
    </xf>
    <xf numFmtId="4" fontId="29" fillId="16" borderId="1" xfId="1" applyNumberFormat="1" applyFont="1" applyFill="1" applyBorder="1" applyAlignment="1">
      <alignment horizontal="left" vertical="center" wrapText="1"/>
    </xf>
    <xf numFmtId="170" fontId="9" fillId="8" borderId="32" xfId="9" applyNumberFormat="1" applyFont="1" applyFill="1" applyBorder="1" applyAlignment="1">
      <alignment vertical="center" wrapText="1"/>
    </xf>
    <xf numFmtId="173" fontId="83" fillId="11" borderId="1" xfId="0" applyNumberFormat="1" applyFont="1" applyFill="1" applyBorder="1" applyAlignment="1" applyProtection="1">
      <alignment horizontal="center" vertical="center" wrapText="1"/>
      <protection locked="0"/>
    </xf>
    <xf numFmtId="4" fontId="9" fillId="0" borderId="0" xfId="0" applyNumberFormat="1" applyFont="1" applyFill="1" applyBorder="1" applyAlignment="1">
      <alignment horizontal="right" vertical="center" wrapText="1"/>
    </xf>
    <xf numFmtId="0" fontId="13" fillId="0" borderId="0" xfId="0" applyFont="1" applyAlignment="1">
      <alignment vertical="center" wrapText="1"/>
    </xf>
    <xf numFmtId="0" fontId="18" fillId="0" borderId="16" xfId="0" applyFont="1" applyBorder="1" applyAlignment="1">
      <alignment horizontal="left" vertical="center" wrapText="1"/>
    </xf>
    <xf numFmtId="0" fontId="18" fillId="0" borderId="6" xfId="0" applyFont="1" applyBorder="1" applyAlignment="1">
      <alignment horizontal="left" vertical="center" wrapText="1"/>
    </xf>
    <xf numFmtId="3" fontId="9" fillId="2" borderId="6" xfId="0" applyNumberFormat="1" applyFont="1" applyFill="1" applyBorder="1" applyAlignment="1">
      <alignment vertical="center" wrapText="1"/>
    </xf>
    <xf numFmtId="170" fontId="13" fillId="0" borderId="0" xfId="0" applyNumberFormat="1" applyFont="1" applyFill="1" applyAlignment="1">
      <alignment vertical="center" wrapText="1"/>
    </xf>
    <xf numFmtId="3" fontId="9" fillId="2" borderId="16" xfId="0" applyNumberFormat="1" applyFont="1" applyFill="1" applyBorder="1" applyAlignment="1">
      <alignment vertical="center" wrapText="1"/>
    </xf>
    <xf numFmtId="170" fontId="9" fillId="6" borderId="21" xfId="9" applyNumberFormat="1" applyFont="1" applyFill="1" applyBorder="1" applyAlignment="1">
      <alignment vertical="center" wrapText="1"/>
    </xf>
    <xf numFmtId="0" fontId="13" fillId="5" borderId="1" xfId="0" applyFont="1" applyFill="1" applyBorder="1" applyAlignment="1">
      <alignment horizontal="right" vertical="center" wrapText="1"/>
    </xf>
    <xf numFmtId="170" fontId="83" fillId="8" borderId="22" xfId="9" applyNumberFormat="1" applyFont="1" applyFill="1" applyBorder="1" applyAlignment="1">
      <alignment vertical="center" wrapText="1"/>
    </xf>
    <xf numFmtId="170" fontId="83" fillId="8" borderId="12" xfId="9" applyNumberFormat="1" applyFont="1" applyFill="1" applyBorder="1" applyAlignment="1">
      <alignment vertical="center" wrapText="1"/>
    </xf>
    <xf numFmtId="170" fontId="83" fillId="8" borderId="11" xfId="9" applyNumberFormat="1" applyFont="1" applyFill="1" applyBorder="1" applyAlignment="1">
      <alignment vertical="center" wrapText="1"/>
    </xf>
    <xf numFmtId="170" fontId="17" fillId="0" borderId="59" xfId="9" applyNumberFormat="1" applyFont="1" applyFill="1" applyBorder="1" applyAlignment="1">
      <alignment vertical="center" wrapText="1"/>
    </xf>
    <xf numFmtId="170" fontId="17" fillId="0" borderId="60" xfId="9" applyNumberFormat="1" applyFont="1" applyFill="1" applyBorder="1" applyAlignment="1">
      <alignment vertical="center" wrapText="1"/>
    </xf>
    <xf numFmtId="9" fontId="0" fillId="2" borderId="0" xfId="2" applyFont="1" applyFill="1" applyAlignment="1">
      <alignment horizontal="center" vertical="center"/>
    </xf>
    <xf numFmtId="171" fontId="0" fillId="2" borderId="0" xfId="2" applyNumberFormat="1" applyFont="1" applyFill="1" applyAlignment="1">
      <alignment horizontal="center" vertical="center"/>
    </xf>
    <xf numFmtId="174" fontId="84" fillId="0" borderId="0" xfId="9" applyNumberFormat="1" applyFont="1"/>
    <xf numFmtId="9" fontId="0" fillId="20" borderId="0" xfId="2" applyFont="1" applyFill="1" applyAlignment="1">
      <alignment horizontal="center" vertical="center"/>
    </xf>
    <xf numFmtId="171" fontId="0" fillId="20" borderId="0" xfId="2" applyNumberFormat="1" applyFont="1" applyFill="1" applyAlignment="1">
      <alignment horizontal="center" vertical="center"/>
    </xf>
    <xf numFmtId="175" fontId="0" fillId="0" borderId="0" xfId="0" applyNumberFormat="1"/>
    <xf numFmtId="170" fontId="9" fillId="8" borderId="16" xfId="9" applyNumberFormat="1" applyFont="1" applyFill="1" applyBorder="1" applyAlignment="1">
      <alignment vertical="center" wrapText="1"/>
    </xf>
    <xf numFmtId="0" fontId="69" fillId="0" borderId="46" xfId="0" applyFont="1" applyBorder="1" applyAlignment="1">
      <alignment horizontal="left" vertical="center" wrapText="1"/>
    </xf>
    <xf numFmtId="172" fontId="9" fillId="2" borderId="12" xfId="9" applyNumberFormat="1" applyFont="1" applyFill="1" applyBorder="1" applyAlignment="1">
      <alignment vertical="center" wrapText="1"/>
    </xf>
    <xf numFmtId="172" fontId="9" fillId="2" borderId="11" xfId="9" applyNumberFormat="1" applyFont="1" applyFill="1" applyBorder="1" applyAlignment="1">
      <alignment vertical="center" wrapText="1"/>
    </xf>
    <xf numFmtId="172" fontId="9" fillId="2" borderId="21" xfId="9" applyNumberFormat="1" applyFont="1" applyFill="1" applyBorder="1" applyAlignment="1">
      <alignment vertical="center" wrapText="1"/>
    </xf>
    <xf numFmtId="0" fontId="20" fillId="7" borderId="1" xfId="0" applyFont="1" applyFill="1" applyBorder="1" applyAlignment="1">
      <alignment horizontal="right" vertical="center"/>
    </xf>
    <xf numFmtId="0" fontId="0" fillId="0" borderId="41" xfId="0" applyFill="1" applyBorder="1"/>
    <xf numFmtId="170" fontId="17" fillId="0" borderId="0" xfId="9" applyNumberFormat="1" applyFont="1" applyFill="1" applyBorder="1" applyAlignment="1">
      <alignment horizontal="center" vertical="center" wrapText="1"/>
    </xf>
    <xf numFmtId="0" fontId="0" fillId="0" borderId="3" xfId="0" applyBorder="1"/>
    <xf numFmtId="165" fontId="10" fillId="0" borderId="41" xfId="0" applyNumberFormat="1" applyFont="1" applyBorder="1" applyAlignment="1">
      <alignment horizontal="left" vertical="center" wrapText="1"/>
    </xf>
    <xf numFmtId="170" fontId="17" fillId="0" borderId="18" xfId="9" applyNumberFormat="1" applyFont="1" applyFill="1" applyBorder="1" applyAlignment="1">
      <alignment horizontal="center" vertical="center" wrapText="1"/>
    </xf>
    <xf numFmtId="0" fontId="69" fillId="0" borderId="32" xfId="0" applyFont="1" applyBorder="1" applyAlignment="1">
      <alignment horizontal="left" vertical="center" wrapText="1"/>
    </xf>
    <xf numFmtId="170" fontId="17" fillId="0" borderId="0" xfId="9" applyNumberFormat="1" applyFont="1" applyFill="1" applyBorder="1" applyAlignment="1">
      <alignment vertical="center" wrapText="1"/>
    </xf>
    <xf numFmtId="170" fontId="17" fillId="0" borderId="27" xfId="9" applyNumberFormat="1" applyFont="1" applyFill="1" applyBorder="1" applyAlignment="1">
      <alignment vertical="center" wrapText="1"/>
    </xf>
    <xf numFmtId="0" fontId="60" fillId="0" borderId="8" xfId="0" applyFont="1" applyBorder="1" applyAlignment="1">
      <alignment horizontal="left" vertical="center" wrapText="1"/>
    </xf>
    <xf numFmtId="170" fontId="0" fillId="0" borderId="41" xfId="9" applyNumberFormat="1" applyFont="1" applyBorder="1"/>
    <xf numFmtId="170" fontId="0" fillId="0" borderId="0" xfId="0" applyNumberFormat="1"/>
    <xf numFmtId="170" fontId="17" fillId="0" borderId="42" xfId="9" applyNumberFormat="1" applyFont="1" applyFill="1" applyBorder="1" applyAlignment="1">
      <alignment horizontal="center" vertical="center" wrapText="1"/>
    </xf>
    <xf numFmtId="170" fontId="17" fillId="0" borderId="60" xfId="9" applyNumberFormat="1" applyFont="1" applyFill="1" applyBorder="1" applyAlignment="1">
      <alignment horizontal="center" vertical="center" wrapText="1"/>
    </xf>
    <xf numFmtId="170" fontId="17" fillId="0" borderId="61" xfId="9" applyNumberFormat="1" applyFont="1" applyFill="1" applyBorder="1" applyAlignment="1">
      <alignment horizontal="center" vertical="center" wrapText="1"/>
    </xf>
    <xf numFmtId="170" fontId="17" fillId="0" borderId="30" xfId="9" applyNumberFormat="1" applyFont="1" applyFill="1" applyBorder="1" applyAlignment="1">
      <alignment horizontal="center" vertical="center" wrapText="1"/>
    </xf>
    <xf numFmtId="170" fontId="17" fillId="0" borderId="54" xfId="9" applyNumberFormat="1" applyFont="1" applyFill="1" applyBorder="1" applyAlignment="1">
      <alignment horizontal="center" vertical="center" wrapText="1"/>
    </xf>
    <xf numFmtId="0" fontId="17" fillId="0" borderId="8" xfId="0" applyFont="1" applyBorder="1" applyAlignment="1">
      <alignment horizontal="center" vertical="center" wrapText="1"/>
    </xf>
    <xf numFmtId="0" fontId="14" fillId="0" borderId="8" xfId="0" applyFont="1" applyFill="1" applyBorder="1" applyAlignment="1">
      <alignment horizontal="left" vertical="center" wrapText="1"/>
    </xf>
    <xf numFmtId="0" fontId="13" fillId="0" borderId="1" xfId="0" applyFont="1" applyFill="1" applyBorder="1" applyAlignment="1">
      <alignment horizontal="right" vertical="center" wrapText="1"/>
    </xf>
    <xf numFmtId="0" fontId="0" fillId="0" borderId="27" xfId="0" applyBorder="1"/>
    <xf numFmtId="0" fontId="15" fillId="0" borderId="0" xfId="0" applyFont="1" applyAlignment="1">
      <alignment vertical="center"/>
    </xf>
    <xf numFmtId="170" fontId="11" fillId="0" borderId="7" xfId="9" applyNumberFormat="1" applyFont="1" applyFill="1" applyBorder="1" applyAlignment="1">
      <alignment horizontal="center" vertical="center" wrapText="1"/>
    </xf>
    <xf numFmtId="0" fontId="14" fillId="0" borderId="6" xfId="0" applyFont="1" applyBorder="1" applyAlignment="1">
      <alignment horizontal="left" vertical="center" wrapText="1"/>
    </xf>
    <xf numFmtId="0" fontId="18" fillId="0" borderId="32" xfId="0" applyFont="1" applyFill="1" applyBorder="1" applyAlignment="1">
      <alignment horizontal="left" vertical="center" wrapText="1"/>
    </xf>
    <xf numFmtId="9" fontId="20" fillId="2" borderId="13" xfId="2" applyFont="1" applyFill="1" applyBorder="1" applyAlignment="1">
      <alignment horizontal="center" vertical="center" wrapText="1"/>
    </xf>
    <xf numFmtId="9" fontId="20" fillId="2" borderId="15" xfId="2" applyFont="1" applyFill="1" applyBorder="1" applyAlignment="1">
      <alignment horizontal="center" vertical="center" wrapText="1"/>
    </xf>
    <xf numFmtId="9" fontId="20" fillId="2" borderId="23" xfId="2" applyFont="1" applyFill="1" applyBorder="1" applyAlignment="1">
      <alignment horizontal="center" vertical="center" wrapText="1"/>
    </xf>
    <xf numFmtId="43" fontId="15" fillId="0" borderId="0" xfId="9" applyFont="1" applyAlignment="1">
      <alignment vertical="center"/>
    </xf>
    <xf numFmtId="0" fontId="9" fillId="17" borderId="1" xfId="0" applyFont="1" applyFill="1" applyBorder="1" applyAlignment="1">
      <alignment horizontal="center" vertical="center" wrapText="1"/>
    </xf>
    <xf numFmtId="170" fontId="17" fillId="0" borderId="62" xfId="9" applyNumberFormat="1" applyFont="1" applyFill="1" applyBorder="1" applyAlignment="1">
      <alignment vertical="center" wrapText="1"/>
    </xf>
    <xf numFmtId="0" fontId="0" fillId="0" borderId="0" xfId="0" applyAlignment="1">
      <alignment horizontal="left" vertical="center" wrapText="1"/>
    </xf>
    <xf numFmtId="0" fontId="0" fillId="0" borderId="0" xfId="0" applyAlignment="1">
      <alignment horizontal="right" vertical="center" wrapText="1"/>
    </xf>
    <xf numFmtId="169" fontId="45" fillId="20" borderId="0" xfId="0" applyNumberFormat="1" applyFont="1" applyFill="1" applyAlignment="1">
      <alignment horizontal="center" vertical="center" wrapText="1"/>
    </xf>
    <xf numFmtId="0" fontId="0" fillId="0" borderId="0" xfId="0" applyAlignment="1">
      <alignment horizontal="center" vertical="center" wrapText="1"/>
    </xf>
    <xf numFmtId="170" fontId="72" fillId="0" borderId="0" xfId="0" applyNumberFormat="1" applyFont="1" applyAlignment="1">
      <alignment horizontal="center" vertical="center" wrapText="1"/>
    </xf>
    <xf numFmtId="172" fontId="45" fillId="20" borderId="0" xfId="9" applyNumberFormat="1" applyFont="1" applyFill="1" applyAlignment="1">
      <alignment horizontal="center" vertical="center" wrapText="1"/>
    </xf>
    <xf numFmtId="0" fontId="45" fillId="20" borderId="0" xfId="0" applyFont="1" applyFill="1" applyAlignment="1">
      <alignment horizontal="center" vertical="center" wrapText="1"/>
    </xf>
    <xf numFmtId="0" fontId="87" fillId="20" borderId="0" xfId="0" applyFont="1" applyFill="1" applyAlignment="1">
      <alignment horizontal="center" vertical="center" wrapText="1"/>
    </xf>
    <xf numFmtId="0" fontId="0" fillId="0" borderId="0" xfId="0" applyFill="1" applyAlignment="1">
      <alignment horizontal="center" vertical="center" wrapText="1"/>
    </xf>
    <xf numFmtId="1" fontId="0" fillId="0" borderId="0" xfId="0" applyNumberFormat="1" applyAlignment="1">
      <alignment horizontal="center" vertical="center" wrapText="1"/>
    </xf>
    <xf numFmtId="0" fontId="0" fillId="22" borderId="0" xfId="0" applyFill="1" applyAlignment="1">
      <alignment horizontal="left" vertical="center" wrapText="1"/>
    </xf>
    <xf numFmtId="170" fontId="0" fillId="22" borderId="0" xfId="9" applyNumberFormat="1" applyFont="1" applyFill="1" applyAlignment="1">
      <alignment horizontal="center" vertical="center" wrapText="1"/>
    </xf>
    <xf numFmtId="0" fontId="0" fillId="23" borderId="0" xfId="0" applyFill="1" applyAlignment="1">
      <alignment horizontal="left" vertical="center" wrapText="1"/>
    </xf>
    <xf numFmtId="170" fontId="0" fillId="23" borderId="0" xfId="9" applyNumberFormat="1" applyFont="1" applyFill="1" applyAlignment="1">
      <alignment horizontal="center" vertical="center" wrapText="1"/>
    </xf>
    <xf numFmtId="0" fontId="0" fillId="0" borderId="0" xfId="0" applyFill="1" applyAlignment="1">
      <alignment horizontal="left" vertical="center" wrapText="1"/>
    </xf>
    <xf numFmtId="170" fontId="0" fillId="0" borderId="0" xfId="9" applyNumberFormat="1" applyFont="1" applyAlignment="1">
      <alignment horizontal="center" vertical="center" wrapText="1"/>
    </xf>
    <xf numFmtId="0" fontId="0" fillId="0" borderId="0" xfId="0" applyAlignment="1">
      <alignment horizontal="center" vertical="center" wrapText="1"/>
    </xf>
    <xf numFmtId="176" fontId="88" fillId="7" borderId="63" xfId="0" applyNumberFormat="1" applyFont="1" applyFill="1" applyBorder="1" applyAlignment="1">
      <alignment horizontal="center" vertical="center" textRotation="90"/>
    </xf>
    <xf numFmtId="0" fontId="45" fillId="10" borderId="64" xfId="0" applyFont="1" applyFill="1" applyBorder="1" applyAlignment="1">
      <alignment horizontal="center" vertical="center" wrapText="1"/>
    </xf>
    <xf numFmtId="0" fontId="45" fillId="10" borderId="63" xfId="0" applyFont="1" applyFill="1" applyBorder="1" applyAlignment="1">
      <alignment horizontal="center" vertical="center" wrapText="1"/>
    </xf>
    <xf numFmtId="0" fontId="45" fillId="10" borderId="65" xfId="0" applyFont="1" applyFill="1" applyBorder="1" applyAlignment="1">
      <alignment horizontal="center" vertical="center" wrapText="1"/>
    </xf>
    <xf numFmtId="1" fontId="88" fillId="7" borderId="63" xfId="0" applyNumberFormat="1" applyFont="1" applyFill="1" applyBorder="1" applyAlignment="1">
      <alignment horizontal="center" vertical="center"/>
    </xf>
    <xf numFmtId="0" fontId="45" fillId="23" borderId="66" xfId="0" applyFont="1" applyFill="1" applyBorder="1" applyAlignment="1">
      <alignment horizontal="left" vertical="center" wrapText="1"/>
    </xf>
    <xf numFmtId="14" fontId="45" fillId="23" borderId="11" xfId="0" applyNumberFormat="1" applyFont="1" applyFill="1" applyBorder="1" applyAlignment="1">
      <alignment horizontal="center" vertical="center" wrapText="1"/>
    </xf>
    <xf numFmtId="14" fontId="45" fillId="23" borderId="67" xfId="0" applyNumberFormat="1" applyFont="1" applyFill="1" applyBorder="1" applyAlignment="1">
      <alignment horizontal="center" vertical="center" wrapText="1"/>
    </xf>
    <xf numFmtId="0" fontId="89" fillId="23" borderId="68" xfId="0" applyFont="1" applyFill="1" applyBorder="1" applyAlignment="1">
      <alignment horizontal="center" textRotation="90"/>
    </xf>
    <xf numFmtId="0" fontId="89" fillId="23" borderId="11" xfId="0" applyFont="1" applyFill="1" applyBorder="1" applyAlignment="1">
      <alignment horizontal="center" textRotation="90"/>
    </xf>
    <xf numFmtId="0" fontId="0" fillId="0" borderId="0" xfId="0" applyFill="1" applyAlignment="1">
      <alignment horizontal="center" vertical="center" wrapText="1"/>
    </xf>
    <xf numFmtId="0" fontId="0" fillId="7" borderId="66" xfId="0" applyFill="1" applyBorder="1" applyAlignment="1">
      <alignment horizontal="left" vertical="center" wrapText="1"/>
    </xf>
    <xf numFmtId="14" fontId="0" fillId="7" borderId="11" xfId="0" applyNumberFormat="1" applyFill="1" applyBorder="1" applyAlignment="1">
      <alignment horizontal="center" vertical="center" wrapText="1"/>
    </xf>
    <xf numFmtId="0" fontId="89" fillId="7" borderId="68" xfId="0" applyFont="1" applyFill="1" applyBorder="1" applyAlignment="1">
      <alignment horizontal="center" textRotation="90"/>
    </xf>
    <xf numFmtId="0" fontId="89" fillId="7" borderId="11" xfId="0" applyFont="1" applyFill="1" applyBorder="1" applyAlignment="1">
      <alignment horizontal="center" textRotation="90"/>
    </xf>
    <xf numFmtId="0" fontId="5" fillId="7" borderId="66" xfId="0" applyFont="1" applyFill="1" applyBorder="1" applyAlignment="1">
      <alignment vertical="center" wrapText="1"/>
    </xf>
    <xf numFmtId="0" fontId="5" fillId="0" borderId="0" xfId="0" applyFont="1" applyFill="1" applyAlignment="1">
      <alignment horizontal="center" vertical="center" wrapText="1"/>
    </xf>
    <xf numFmtId="0" fontId="45" fillId="7" borderId="66" xfId="0" applyFont="1" applyFill="1" applyBorder="1" applyAlignment="1">
      <alignment vertical="center" wrapText="1"/>
    </xf>
    <xf numFmtId="0" fontId="0" fillId="7" borderId="68" xfId="0" applyFill="1" applyBorder="1" applyAlignment="1">
      <alignment horizontal="left" vertical="center" wrapText="1"/>
    </xf>
    <xf numFmtId="0" fontId="5" fillId="7" borderId="68" xfId="0" applyFont="1" applyFill="1" applyBorder="1" applyAlignment="1">
      <alignment horizontal="left" vertical="center" wrapText="1"/>
    </xf>
    <xf numFmtId="14" fontId="5" fillId="7" borderId="11" xfId="0" applyNumberFormat="1" applyFont="1" applyFill="1" applyBorder="1" applyAlignment="1">
      <alignment horizontal="center" vertical="center" wrapText="1"/>
    </xf>
    <xf numFmtId="0" fontId="0" fillId="7" borderId="66" xfId="0" applyFill="1" applyBorder="1" applyAlignment="1">
      <alignment vertical="center" wrapText="1"/>
    </xf>
    <xf numFmtId="0" fontId="86" fillId="0" borderId="0" xfId="0" applyFont="1" applyFill="1" applyAlignment="1">
      <alignment horizontal="center" vertical="center" wrapText="1"/>
    </xf>
    <xf numFmtId="0" fontId="15" fillId="0" borderId="0" xfId="0" applyFont="1"/>
    <xf numFmtId="0" fontId="13" fillId="5" borderId="3" xfId="0" applyFont="1" applyFill="1" applyBorder="1" applyAlignment="1">
      <alignment horizontal="right" vertical="center" wrapText="1"/>
    </xf>
    <xf numFmtId="165" fontId="45" fillId="2" borderId="1" xfId="0" applyNumberFormat="1" applyFont="1" applyFill="1" applyBorder="1" applyAlignment="1" applyProtection="1">
      <alignment horizontal="right" vertical="center" wrapText="1"/>
      <protection locked="0"/>
    </xf>
    <xf numFmtId="4" fontId="13" fillId="0" borderId="0" xfId="0" applyNumberFormat="1" applyFont="1" applyFill="1" applyBorder="1" applyAlignment="1">
      <alignment horizontal="left" vertical="center"/>
    </xf>
    <xf numFmtId="0" fontId="9" fillId="7" borderId="3" xfId="0" applyFont="1" applyFill="1" applyBorder="1" applyAlignment="1">
      <alignment horizontal="right" vertical="center" wrapText="1"/>
    </xf>
    <xf numFmtId="0" fontId="14" fillId="5" borderId="3" xfId="0" applyFont="1" applyFill="1" applyBorder="1" applyAlignment="1">
      <alignment horizontal="right" vertical="center" wrapText="1"/>
    </xf>
    <xf numFmtId="0" fontId="13" fillId="5" borderId="1" xfId="0" applyFont="1" applyFill="1" applyBorder="1" applyAlignment="1">
      <alignment horizontal="right" vertical="center" wrapText="1"/>
    </xf>
    <xf numFmtId="0" fontId="9" fillId="7" borderId="3" xfId="0" applyFont="1" applyFill="1" applyBorder="1" applyAlignment="1">
      <alignment vertical="center" wrapText="1"/>
    </xf>
    <xf numFmtId="0" fontId="91" fillId="11" borderId="41" xfId="0" applyFont="1" applyFill="1" applyBorder="1" applyAlignment="1">
      <alignment horizontal="center" vertical="center" wrapText="1"/>
    </xf>
    <xf numFmtId="165" fontId="45" fillId="24" borderId="1" xfId="0" applyNumberFormat="1" applyFont="1" applyFill="1" applyBorder="1" applyAlignment="1" applyProtection="1">
      <alignment horizontal="right" vertical="center" wrapText="1"/>
      <protection locked="0"/>
    </xf>
    <xf numFmtId="0" fontId="0" fillId="0" borderId="0" xfId="0" applyAlignment="1">
      <alignment horizontal="left" wrapText="1"/>
    </xf>
    <xf numFmtId="170" fontId="76" fillId="17" borderId="1" xfId="9" applyNumberFormat="1" applyFont="1" applyFill="1" applyBorder="1"/>
    <xf numFmtId="172" fontId="76" fillId="17" borderId="1" xfId="9" applyNumberFormat="1" applyFont="1" applyFill="1" applyBorder="1" applyAlignment="1">
      <alignment horizontal="center" vertical="center"/>
    </xf>
    <xf numFmtId="164" fontId="45" fillId="24" borderId="1" xfId="0" applyNumberFormat="1" applyFont="1" applyFill="1" applyBorder="1" applyAlignment="1" applyProtection="1">
      <alignment horizontal="right" vertical="center" wrapText="1"/>
      <protection locked="0"/>
    </xf>
    <xf numFmtId="172" fontId="76" fillId="9" borderId="1" xfId="9" applyNumberFormat="1" applyFont="1" applyFill="1" applyBorder="1"/>
    <xf numFmtId="172" fontId="76" fillId="17" borderId="1" xfId="9" applyNumberFormat="1" applyFont="1" applyFill="1" applyBorder="1"/>
    <xf numFmtId="0" fontId="91" fillId="11" borderId="1" xfId="0" applyFont="1" applyFill="1" applyBorder="1" applyAlignment="1">
      <alignment vertical="center" wrapText="1"/>
    </xf>
    <xf numFmtId="0" fontId="91" fillId="11" borderId="1" xfId="0" applyFont="1" applyFill="1" applyBorder="1" applyAlignment="1">
      <alignment horizontal="center" vertical="center" wrapText="1"/>
    </xf>
    <xf numFmtId="170" fontId="0" fillId="0" borderId="1" xfId="9" applyNumberFormat="1" applyFont="1" applyBorder="1" applyAlignment="1" applyProtection="1">
      <alignment wrapText="1"/>
    </xf>
    <xf numFmtId="166" fontId="38" fillId="0" borderId="1" xfId="9" applyNumberFormat="1" applyFont="1" applyFill="1" applyBorder="1" applyAlignment="1">
      <alignment horizontal="center"/>
    </xf>
    <xf numFmtId="172" fontId="0" fillId="0" borderId="1" xfId="9" applyNumberFormat="1" applyFont="1" applyBorder="1" applyAlignment="1" applyProtection="1">
      <alignment wrapText="1"/>
    </xf>
    <xf numFmtId="43" fontId="76" fillId="0" borderId="1" xfId="9" applyFont="1" applyFill="1" applyBorder="1"/>
    <xf numFmtId="1" fontId="38" fillId="0" borderId="1" xfId="9" applyNumberFormat="1" applyFont="1" applyFill="1" applyBorder="1" applyAlignment="1">
      <alignment horizontal="center"/>
    </xf>
    <xf numFmtId="172" fontId="76" fillId="9" borderId="1" xfId="9" applyNumberFormat="1" applyFont="1" applyFill="1" applyBorder="1" applyAlignment="1">
      <alignment horizontal="center" vertical="center"/>
    </xf>
    <xf numFmtId="170" fontId="0" fillId="0" borderId="0" xfId="9" applyNumberFormat="1" applyFont="1" applyBorder="1" applyAlignment="1" applyProtection="1">
      <alignment wrapText="1"/>
    </xf>
    <xf numFmtId="166" fontId="38" fillId="0" borderId="0" xfId="9" applyNumberFormat="1" applyFont="1" applyFill="1" applyBorder="1" applyAlignment="1">
      <alignment horizontal="center"/>
    </xf>
    <xf numFmtId="0" fontId="91" fillId="11" borderId="41" xfId="0" applyFont="1" applyFill="1" applyBorder="1" applyAlignment="1">
      <alignment vertical="center" wrapText="1"/>
    </xf>
    <xf numFmtId="0" fontId="0" fillId="0" borderId="0" xfId="0" applyAlignment="1">
      <alignment horizontal="left"/>
    </xf>
    <xf numFmtId="0" fontId="91" fillId="11" borderId="18" xfId="0" applyFont="1" applyFill="1" applyBorder="1" applyAlignment="1">
      <alignment vertical="center" wrapText="1"/>
    </xf>
    <xf numFmtId="0" fontId="85" fillId="0" borderId="0" xfId="0" applyFont="1" applyAlignment="1">
      <alignment horizontal="center" vertical="center" wrapText="1"/>
    </xf>
    <xf numFmtId="1" fontId="38" fillId="0" borderId="1" xfId="9" applyNumberFormat="1" applyFont="1" applyFill="1" applyBorder="1" applyAlignment="1">
      <alignment horizontal="center" vertical="center"/>
    </xf>
    <xf numFmtId="0" fontId="20" fillId="0" borderId="0" xfId="0" applyFont="1" applyAlignment="1">
      <alignment vertical="center"/>
    </xf>
    <xf numFmtId="0" fontId="74" fillId="0" borderId="0" xfId="0" applyFont="1" applyAlignment="1">
      <alignment vertical="center"/>
    </xf>
    <xf numFmtId="0" fontId="92" fillId="21" borderId="1" xfId="0" applyFont="1" applyFill="1" applyBorder="1" applyAlignment="1">
      <alignment horizontal="center" vertical="center" wrapText="1"/>
    </xf>
    <xf numFmtId="0" fontId="93" fillId="21" borderId="1" xfId="0" applyFont="1" applyFill="1" applyBorder="1" applyAlignment="1">
      <alignment horizontal="center" vertical="center" wrapText="1"/>
    </xf>
    <xf numFmtId="0" fontId="94" fillId="25" borderId="1" xfId="0" applyFont="1" applyFill="1" applyBorder="1" applyAlignment="1">
      <alignment vertical="center" wrapText="1"/>
    </xf>
    <xf numFmtId="0" fontId="94" fillId="0" borderId="1" xfId="0" applyFont="1" applyBorder="1" applyAlignment="1">
      <alignment vertical="center" wrapText="1"/>
    </xf>
    <xf numFmtId="9" fontId="94" fillId="0" borderId="1" xfId="0" applyNumberFormat="1" applyFont="1" applyBorder="1" applyAlignment="1">
      <alignment horizontal="center" vertical="center" wrapText="1"/>
    </xf>
    <xf numFmtId="0" fontId="94" fillId="0" borderId="1" xfId="0" applyFont="1" applyBorder="1" applyAlignment="1">
      <alignment horizontal="center" vertical="center" wrapText="1"/>
    </xf>
    <xf numFmtId="0" fontId="95" fillId="0" borderId="0" xfId="0" applyFont="1" applyAlignment="1">
      <alignment horizontal="left" vertical="center" indent="5"/>
    </xf>
    <xf numFmtId="4" fontId="13" fillId="0" borderId="0" xfId="0" applyNumberFormat="1" applyFont="1" applyFill="1" applyBorder="1" applyAlignment="1">
      <alignment vertical="center"/>
    </xf>
    <xf numFmtId="0" fontId="36" fillId="0" borderId="0" xfId="0" applyFont="1" applyAlignment="1">
      <alignment horizontal="right" vertical="center"/>
    </xf>
    <xf numFmtId="165" fontId="36" fillId="10" borderId="0" xfId="0" applyNumberFormat="1" applyFont="1" applyFill="1" applyAlignment="1">
      <alignment horizontal="center" vertical="center" wrapText="1"/>
    </xf>
    <xf numFmtId="170" fontId="0" fillId="0" borderId="0" xfId="9" applyNumberFormat="1" applyFont="1" applyFill="1" applyAlignment="1">
      <alignment horizontal="center" vertical="center" wrapText="1"/>
    </xf>
    <xf numFmtId="170" fontId="72" fillId="0" borderId="0" xfId="0" applyNumberFormat="1" applyFont="1" applyAlignment="1">
      <alignment horizontal="right" vertical="center" wrapText="1"/>
    </xf>
    <xf numFmtId="0" fontId="45" fillId="0" borderId="0" xfId="0" applyFont="1" applyAlignment="1">
      <alignment horizontal="left" vertical="center" wrapText="1"/>
    </xf>
    <xf numFmtId="43" fontId="0" fillId="0" borderId="0" xfId="0" applyNumberFormat="1" applyAlignment="1">
      <alignment horizontal="center" vertical="center" wrapText="1"/>
    </xf>
    <xf numFmtId="0" fontId="0" fillId="24" borderId="0" xfId="0" applyFill="1" applyAlignment="1">
      <alignment horizontal="left" vertical="center" wrapText="1"/>
    </xf>
    <xf numFmtId="170" fontId="0" fillId="24" borderId="0" xfId="9" applyNumberFormat="1" applyFont="1" applyFill="1" applyAlignment="1">
      <alignment horizontal="center" vertical="center" wrapText="1"/>
    </xf>
    <xf numFmtId="9" fontId="0" fillId="24" borderId="0" xfId="2" applyFont="1" applyFill="1" applyAlignment="1">
      <alignment horizontal="center" vertical="center" wrapText="1"/>
    </xf>
    <xf numFmtId="172" fontId="0" fillId="2" borderId="1" xfId="9" applyNumberFormat="1" applyFont="1" applyFill="1" applyBorder="1" applyAlignment="1">
      <alignment horizontal="center" vertical="center" wrapText="1"/>
    </xf>
    <xf numFmtId="9" fontId="0" fillId="23" borderId="1" xfId="2" applyFont="1" applyFill="1" applyBorder="1" applyAlignment="1">
      <alignment horizontal="center" vertical="center" wrapText="1"/>
    </xf>
    <xf numFmtId="9" fontId="0" fillId="23" borderId="0" xfId="2" applyFont="1" applyFill="1" applyAlignment="1">
      <alignment horizontal="center" vertical="center" wrapText="1"/>
    </xf>
    <xf numFmtId="172" fontId="0" fillId="23" borderId="1" xfId="9" applyNumberFormat="1" applyFont="1" applyFill="1" applyBorder="1" applyAlignment="1">
      <alignment horizontal="center" vertical="center" wrapText="1"/>
    </xf>
    <xf numFmtId="9" fontId="0" fillId="0" borderId="0" xfId="2" applyFont="1" applyFill="1" applyAlignment="1">
      <alignment horizontal="center" vertical="center" wrapText="1"/>
    </xf>
    <xf numFmtId="43" fontId="0" fillId="23" borderId="0" xfId="0" applyNumberFormat="1" applyFill="1" applyAlignment="1">
      <alignment horizontal="left" vertical="center" wrapText="1"/>
    </xf>
    <xf numFmtId="165" fontId="36" fillId="10" borderId="1" xfId="0" applyNumberFormat="1" applyFont="1" applyFill="1" applyBorder="1" applyAlignment="1">
      <alignment horizontal="center" vertical="center" wrapText="1"/>
    </xf>
    <xf numFmtId="165" fontId="36" fillId="27" borderId="1" xfId="0" applyNumberFormat="1" applyFont="1" applyFill="1" applyBorder="1" applyAlignment="1">
      <alignment horizontal="center" vertical="center" wrapText="1"/>
    </xf>
    <xf numFmtId="14" fontId="81" fillId="7" borderId="11" xfId="0" applyNumberFormat="1" applyFont="1" applyFill="1" applyBorder="1" applyAlignment="1">
      <alignment horizontal="center" vertical="center" wrapText="1"/>
    </xf>
    <xf numFmtId="14" fontId="81" fillId="7" borderId="67" xfId="0" applyNumberFormat="1" applyFont="1" applyFill="1" applyBorder="1" applyAlignment="1">
      <alignment horizontal="center" vertical="center" wrapText="1"/>
    </xf>
    <xf numFmtId="165" fontId="36" fillId="27" borderId="0" xfId="0" applyNumberFormat="1" applyFont="1" applyFill="1" applyAlignment="1">
      <alignment horizontal="center" vertical="center" wrapText="1"/>
    </xf>
    <xf numFmtId="169" fontId="45" fillId="17" borderId="1" xfId="0" applyNumberFormat="1" applyFont="1" applyFill="1" applyBorder="1" applyAlignment="1">
      <alignment horizontal="center" vertical="center" wrapText="1"/>
    </xf>
    <xf numFmtId="49" fontId="20" fillId="8" borderId="3" xfId="0" applyNumberFormat="1" applyFont="1" applyFill="1" applyBorder="1" applyAlignment="1">
      <alignment horizontal="right" vertical="center" wrapText="1"/>
    </xf>
    <xf numFmtId="170" fontId="13" fillId="0" borderId="0" xfId="9" applyNumberFormat="1" applyFont="1" applyFill="1" applyBorder="1" applyAlignment="1">
      <alignment vertical="center" wrapText="1"/>
    </xf>
    <xf numFmtId="170" fontId="17" fillId="0" borderId="18" xfId="9" applyNumberFormat="1" applyFont="1" applyFill="1" applyBorder="1" applyAlignment="1">
      <alignment horizontal="center" vertical="center" wrapText="1"/>
    </xf>
    <xf numFmtId="170" fontId="91" fillId="11" borderId="1" xfId="0" applyNumberFormat="1" applyFont="1" applyFill="1" applyBorder="1" applyAlignment="1">
      <alignment vertical="center" wrapText="1"/>
    </xf>
    <xf numFmtId="43" fontId="38" fillId="0" borderId="1" xfId="9" applyFont="1" applyFill="1" applyBorder="1" applyAlignment="1">
      <alignment horizontal="center"/>
    </xf>
    <xf numFmtId="170" fontId="38" fillId="0" borderId="1" xfId="9" applyNumberFormat="1" applyFont="1" applyFill="1" applyBorder="1" applyAlignment="1">
      <alignment horizontal="center"/>
    </xf>
    <xf numFmtId="0" fontId="19" fillId="0" borderId="0" xfId="0" applyFont="1" applyFill="1" applyBorder="1" applyAlignment="1">
      <alignment horizontal="center" vertical="center" wrapText="1"/>
    </xf>
    <xf numFmtId="170" fontId="17" fillId="0" borderId="1" xfId="9" applyNumberFormat="1" applyFont="1" applyFill="1" applyBorder="1" applyAlignment="1">
      <alignment horizontal="center" vertical="center" wrapText="1"/>
    </xf>
    <xf numFmtId="165" fontId="0" fillId="0" borderId="0" xfId="0" applyNumberFormat="1" applyFill="1"/>
    <xf numFmtId="170" fontId="9" fillId="8" borderId="4" xfId="9" applyNumberFormat="1" applyFont="1" applyFill="1" applyBorder="1" applyAlignment="1">
      <alignment vertical="center" wrapText="1"/>
    </xf>
    <xf numFmtId="3" fontId="43" fillId="0" borderId="4" xfId="0" applyNumberFormat="1" applyFont="1" applyFill="1" applyBorder="1" applyAlignment="1">
      <alignment horizontal="center" vertical="center" wrapText="1"/>
    </xf>
    <xf numFmtId="171" fontId="10" fillId="0" borderId="0" xfId="2" applyNumberFormat="1" applyFont="1" applyAlignment="1">
      <alignment horizontal="left" vertical="center" wrapText="1"/>
    </xf>
    <xf numFmtId="170" fontId="83" fillId="8" borderId="12" xfId="9" applyNumberFormat="1" applyFont="1" applyFill="1" applyBorder="1" applyAlignment="1">
      <alignment horizontal="right" vertical="center" wrapText="1"/>
    </xf>
    <xf numFmtId="170" fontId="83" fillId="8" borderId="11" xfId="9" applyNumberFormat="1" applyFont="1" applyFill="1" applyBorder="1" applyAlignment="1">
      <alignment horizontal="right" vertical="center" wrapText="1"/>
    </xf>
    <xf numFmtId="0" fontId="74" fillId="0" borderId="4" xfId="0" applyFont="1" applyFill="1" applyBorder="1" applyAlignment="1">
      <alignment vertical="center" wrapText="1"/>
    </xf>
    <xf numFmtId="0" fontId="71" fillId="0" borderId="8" xfId="0" applyFont="1" applyFill="1" applyBorder="1" applyAlignment="1">
      <alignment horizontal="left" vertical="center" wrapText="1"/>
    </xf>
    <xf numFmtId="0" fontId="13" fillId="0" borderId="12" xfId="0" applyFont="1" applyFill="1" applyBorder="1" applyAlignment="1">
      <alignment horizontal="left" vertical="center" wrapText="1"/>
    </xf>
    <xf numFmtId="0" fontId="13" fillId="0" borderId="36" xfId="0" applyFont="1" applyFill="1" applyBorder="1" applyAlignment="1">
      <alignment vertical="center" wrapText="1"/>
    </xf>
    <xf numFmtId="0" fontId="13" fillId="0" borderId="21" xfId="0" applyFont="1" applyFill="1" applyBorder="1" applyAlignment="1">
      <alignment vertical="center" wrapText="1"/>
    </xf>
    <xf numFmtId="0" fontId="45" fillId="10" borderId="70" xfId="0" applyFont="1" applyFill="1" applyBorder="1" applyAlignment="1">
      <alignment horizontal="center" vertical="center" wrapText="1"/>
    </xf>
    <xf numFmtId="0" fontId="45" fillId="23" borderId="71" xfId="0" applyFont="1" applyFill="1" applyBorder="1" applyAlignment="1">
      <alignment horizontal="left" vertical="center" wrapText="1"/>
    </xf>
    <xf numFmtId="170" fontId="0" fillId="2" borderId="71" xfId="9" applyNumberFormat="1" applyFont="1" applyFill="1" applyBorder="1" applyAlignment="1">
      <alignment horizontal="left" vertical="center" wrapText="1"/>
    </xf>
    <xf numFmtId="170" fontId="5" fillId="2" borderId="71" xfId="9" applyNumberFormat="1" applyFont="1" applyFill="1" applyBorder="1" applyAlignment="1">
      <alignment vertical="center" wrapText="1"/>
    </xf>
    <xf numFmtId="170" fontId="0" fillId="2" borderId="72" xfId="9" applyNumberFormat="1" applyFont="1" applyFill="1" applyBorder="1" applyAlignment="1">
      <alignment horizontal="left" vertical="center" wrapText="1"/>
    </xf>
    <xf numFmtId="170" fontId="5" fillId="2" borderId="72" xfId="9" applyNumberFormat="1" applyFont="1" applyFill="1" applyBorder="1" applyAlignment="1">
      <alignment horizontal="left" vertical="center" wrapText="1"/>
    </xf>
    <xf numFmtId="170" fontId="0" fillId="2" borderId="71" xfId="9" applyNumberFormat="1" applyFont="1" applyFill="1" applyBorder="1" applyAlignment="1">
      <alignment vertical="center" wrapText="1"/>
    </xf>
    <xf numFmtId="170" fontId="0" fillId="7" borderId="72" xfId="9" applyNumberFormat="1" applyFont="1" applyFill="1" applyBorder="1" applyAlignment="1">
      <alignment horizontal="left" vertical="center" wrapText="1"/>
    </xf>
    <xf numFmtId="0" fontId="29" fillId="10" borderId="68" xfId="0" applyFont="1" applyFill="1" applyBorder="1" applyAlignment="1">
      <alignment horizontal="right" vertical="center" wrapText="1"/>
    </xf>
    <xf numFmtId="14" fontId="0" fillId="2" borderId="11" xfId="0" applyNumberFormat="1" applyFill="1" applyBorder="1" applyAlignment="1">
      <alignment horizontal="center" vertical="center" wrapText="1"/>
    </xf>
    <xf numFmtId="43" fontId="0" fillId="0" borderId="0" xfId="0" applyNumberFormat="1"/>
    <xf numFmtId="3" fontId="17" fillId="0" borderId="22" xfId="0" applyNumberFormat="1" applyFont="1" applyFill="1" applyBorder="1" applyAlignment="1">
      <alignment horizontal="center" vertical="center" wrapText="1"/>
    </xf>
    <xf numFmtId="170" fontId="17" fillId="0" borderId="18" xfId="9" applyNumberFormat="1" applyFont="1" applyFill="1" applyBorder="1" applyAlignment="1">
      <alignment horizontal="center" vertical="center" wrapText="1"/>
    </xf>
    <xf numFmtId="170" fontId="17" fillId="0" borderId="24" xfId="9" applyNumberFormat="1" applyFont="1" applyFill="1" applyBorder="1" applyAlignment="1">
      <alignment horizontal="center" vertical="center" wrapText="1"/>
    </xf>
    <xf numFmtId="170" fontId="17" fillId="0" borderId="1" xfId="9" applyNumberFormat="1" applyFont="1" applyFill="1" applyBorder="1" applyAlignment="1">
      <alignment horizontal="center" vertical="center" wrapText="1"/>
    </xf>
    <xf numFmtId="0" fontId="9" fillId="7" borderId="49" xfId="0" applyFont="1" applyFill="1" applyBorder="1" applyAlignment="1">
      <alignment horizontal="right" vertical="center" wrapText="1"/>
    </xf>
    <xf numFmtId="170" fontId="11" fillId="0" borderId="33" xfId="9" applyNumberFormat="1" applyFont="1" applyFill="1" applyBorder="1" applyAlignment="1">
      <alignment horizontal="center" vertical="center" wrapText="1"/>
    </xf>
    <xf numFmtId="3" fontId="17" fillId="0" borderId="12" xfId="0" applyNumberFormat="1" applyFont="1" applyFill="1" applyBorder="1" applyAlignment="1">
      <alignment horizontal="center" vertical="center" wrapText="1"/>
    </xf>
    <xf numFmtId="0" fontId="60" fillId="0" borderId="16" xfId="0" applyFont="1" applyBorder="1" applyAlignment="1">
      <alignment horizontal="left" vertical="center" wrapText="1"/>
    </xf>
    <xf numFmtId="0" fontId="60" fillId="0" borderId="6" xfId="0" applyFont="1" applyBorder="1" applyAlignment="1">
      <alignment horizontal="left" vertical="center" wrapText="1"/>
    </xf>
    <xf numFmtId="0" fontId="19" fillId="0" borderId="0" xfId="0" applyFont="1" applyFill="1" applyBorder="1" applyAlignment="1">
      <alignment horizontal="center" vertical="center" wrapText="1"/>
    </xf>
    <xf numFmtId="3" fontId="17" fillId="0" borderId="16" xfId="0" applyNumberFormat="1" applyFont="1" applyFill="1" applyBorder="1" applyAlignment="1">
      <alignment horizontal="center" vertical="center" wrapText="1"/>
    </xf>
    <xf numFmtId="3" fontId="17" fillId="0" borderId="22" xfId="0" applyNumberFormat="1" applyFont="1" applyFill="1" applyBorder="1" applyAlignment="1">
      <alignment horizontal="center" vertical="center" wrapText="1"/>
    </xf>
    <xf numFmtId="170" fontId="11" fillId="0" borderId="25" xfId="9" applyNumberFormat="1" applyFont="1" applyFill="1" applyBorder="1" applyAlignment="1">
      <alignment horizontal="center" vertical="center" wrapText="1"/>
    </xf>
    <xf numFmtId="0" fontId="69" fillId="0" borderId="22" xfId="0" applyFont="1" applyBorder="1" applyAlignment="1">
      <alignment horizontal="left" vertical="center" wrapText="1"/>
    </xf>
    <xf numFmtId="170" fontId="17" fillId="0" borderId="18" xfId="9" applyNumberFormat="1" applyFont="1" applyFill="1" applyBorder="1" applyAlignment="1">
      <alignment horizontal="center" vertical="center" wrapText="1"/>
    </xf>
    <xf numFmtId="170" fontId="17" fillId="0" borderId="1" xfId="9" applyNumberFormat="1" applyFont="1" applyFill="1" applyBorder="1" applyAlignment="1">
      <alignment horizontal="center" vertical="center" wrapText="1"/>
    </xf>
    <xf numFmtId="0" fontId="71" fillId="0" borderId="21" xfId="0" applyFont="1" applyBorder="1" applyAlignment="1">
      <alignment horizontal="left" vertical="center" wrapText="1"/>
    </xf>
    <xf numFmtId="170" fontId="9" fillId="2" borderId="0" xfId="9" applyNumberFormat="1" applyFont="1" applyFill="1" applyBorder="1" applyAlignment="1">
      <alignment vertical="center" wrapText="1"/>
    </xf>
    <xf numFmtId="170" fontId="11" fillId="0" borderId="0" xfId="9" applyNumberFormat="1" applyFont="1" applyFill="1" applyBorder="1" applyAlignment="1">
      <alignment horizontal="center" vertical="center" wrapText="1"/>
    </xf>
    <xf numFmtId="0" fontId="14" fillId="0" borderId="6" xfId="0" applyFont="1" applyBorder="1" applyAlignment="1">
      <alignment horizontal="right" vertical="center" wrapText="1"/>
    </xf>
    <xf numFmtId="0" fontId="14" fillId="0" borderId="32" xfId="0" applyFont="1" applyBorder="1" applyAlignment="1">
      <alignment horizontal="right" vertical="center" wrapText="1"/>
    </xf>
    <xf numFmtId="0" fontId="0" fillId="0" borderId="0" xfId="0" applyFill="1" applyBorder="1"/>
    <xf numFmtId="0" fontId="18" fillId="0" borderId="74" xfId="0" applyFont="1" applyFill="1" applyBorder="1" applyAlignment="1">
      <alignment horizontal="left" vertical="center" wrapText="1"/>
    </xf>
    <xf numFmtId="0" fontId="18" fillId="0" borderId="72" xfId="0" applyFont="1" applyFill="1" applyBorder="1" applyAlignment="1">
      <alignment horizontal="left" vertical="center" wrapText="1"/>
    </xf>
    <xf numFmtId="0" fontId="18" fillId="0" borderId="75" xfId="0" applyFont="1" applyFill="1" applyBorder="1" applyAlignment="1">
      <alignment horizontal="left" vertical="center" wrapText="1"/>
    </xf>
    <xf numFmtId="170" fontId="9" fillId="2" borderId="44" xfId="9" applyNumberFormat="1" applyFont="1" applyFill="1" applyBorder="1" applyAlignment="1">
      <alignment vertical="center" wrapText="1"/>
    </xf>
    <xf numFmtId="0" fontId="18" fillId="0" borderId="76" xfId="0" applyFont="1" applyFill="1" applyBorder="1" applyAlignment="1">
      <alignment horizontal="left" vertical="center" wrapText="1"/>
    </xf>
    <xf numFmtId="0" fontId="0" fillId="0" borderId="51" xfId="0" applyBorder="1"/>
    <xf numFmtId="3" fontId="17" fillId="0" borderId="4" xfId="0" applyNumberFormat="1" applyFont="1" applyFill="1" applyBorder="1" applyAlignment="1">
      <alignment horizontal="center" vertical="center" wrapText="1"/>
    </xf>
    <xf numFmtId="170" fontId="11" fillId="0" borderId="9" xfId="9" applyNumberFormat="1" applyFont="1" applyFill="1" applyBorder="1" applyAlignment="1">
      <alignment vertical="center" wrapText="1"/>
    </xf>
    <xf numFmtId="170" fontId="9" fillId="6" borderId="6" xfId="9" applyNumberFormat="1" applyFont="1" applyFill="1" applyBorder="1" applyAlignment="1">
      <alignment vertical="center" wrapText="1"/>
    </xf>
    <xf numFmtId="170" fontId="9" fillId="6" borderId="36" xfId="9" applyNumberFormat="1" applyFont="1" applyFill="1" applyBorder="1" applyAlignment="1">
      <alignment vertical="center" wrapText="1"/>
    </xf>
    <xf numFmtId="10" fontId="9" fillId="17" borderId="1" xfId="2" applyNumberFormat="1" applyFont="1" applyFill="1" applyBorder="1" applyAlignment="1">
      <alignment horizontal="right" vertical="center" wrapText="1"/>
    </xf>
    <xf numFmtId="170" fontId="9" fillId="6" borderId="22" xfId="9" applyNumberFormat="1" applyFont="1" applyFill="1" applyBorder="1" applyAlignment="1">
      <alignment vertical="center" wrapText="1"/>
    </xf>
    <xf numFmtId="170" fontId="19" fillId="0" borderId="0" xfId="9" applyNumberFormat="1" applyFont="1" applyFill="1" applyBorder="1" applyAlignment="1">
      <alignment horizontal="center" vertical="center" wrapText="1"/>
    </xf>
    <xf numFmtId="170" fontId="9" fillId="6" borderId="57" xfId="9" applyNumberFormat="1" applyFont="1" applyFill="1" applyBorder="1" applyAlignment="1">
      <alignment vertical="center" wrapText="1"/>
    </xf>
    <xf numFmtId="0" fontId="60" fillId="0" borderId="36" xfId="0" applyFont="1" applyBorder="1" applyAlignment="1">
      <alignment horizontal="left" vertical="center" wrapText="1"/>
    </xf>
    <xf numFmtId="170" fontId="9" fillId="6" borderId="8" xfId="9" applyNumberFormat="1" applyFont="1" applyFill="1" applyBorder="1" applyAlignment="1">
      <alignment vertical="center" wrapText="1"/>
    </xf>
    <xf numFmtId="172" fontId="9" fillId="2" borderId="16" xfId="9" applyNumberFormat="1" applyFont="1" applyFill="1" applyBorder="1" applyAlignment="1">
      <alignment vertical="center" wrapText="1"/>
    </xf>
    <xf numFmtId="170" fontId="9" fillId="6" borderId="51" xfId="9" applyNumberFormat="1" applyFont="1" applyFill="1" applyBorder="1" applyAlignment="1">
      <alignment vertical="center" wrapText="1"/>
    </xf>
    <xf numFmtId="0" fontId="13" fillId="0" borderId="78" xfId="0" applyFont="1" applyBorder="1" applyAlignment="1">
      <alignment vertical="center" wrapText="1"/>
    </xf>
    <xf numFmtId="170" fontId="9" fillId="6" borderId="78" xfId="9" applyNumberFormat="1" applyFont="1" applyFill="1" applyBorder="1" applyAlignment="1">
      <alignment vertical="center" wrapText="1"/>
    </xf>
    <xf numFmtId="170" fontId="11" fillId="0" borderId="18" xfId="9" applyNumberFormat="1" applyFont="1" applyFill="1" applyBorder="1" applyAlignment="1">
      <alignment horizontal="center" vertical="center" wrapText="1"/>
    </xf>
    <xf numFmtId="170" fontId="11" fillId="0" borderId="54" xfId="9" applyNumberFormat="1" applyFont="1" applyFill="1" applyBorder="1" applyAlignment="1">
      <alignment horizontal="center" vertical="center" wrapText="1"/>
    </xf>
    <xf numFmtId="170" fontId="11" fillId="0" borderId="55" xfId="9" applyNumberFormat="1" applyFont="1" applyFill="1" applyBorder="1" applyAlignment="1">
      <alignment horizontal="center" vertical="center" wrapText="1"/>
    </xf>
    <xf numFmtId="170" fontId="11" fillId="0" borderId="19" xfId="9" applyNumberFormat="1" applyFont="1" applyFill="1" applyBorder="1" applyAlignment="1">
      <alignment horizontal="center" vertical="center" wrapText="1"/>
    </xf>
    <xf numFmtId="170" fontId="20" fillId="28" borderId="9" xfId="9" applyNumberFormat="1" applyFont="1" applyFill="1" applyBorder="1" applyAlignment="1">
      <alignment vertical="center"/>
    </xf>
    <xf numFmtId="170" fontId="11" fillId="0" borderId="1" xfId="9" applyNumberFormat="1" applyFont="1" applyFill="1" applyBorder="1" applyAlignment="1">
      <alignment horizontal="center" vertical="center" wrapText="1"/>
    </xf>
    <xf numFmtId="170" fontId="9" fillId="2" borderId="45" xfId="9" applyNumberFormat="1" applyFont="1" applyFill="1" applyBorder="1" applyAlignment="1">
      <alignment vertical="center" wrapText="1"/>
    </xf>
    <xf numFmtId="170" fontId="9" fillId="2" borderId="79" xfId="9" applyNumberFormat="1" applyFont="1" applyFill="1" applyBorder="1" applyAlignment="1">
      <alignment vertical="center" wrapText="1"/>
    </xf>
    <xf numFmtId="170" fontId="17" fillId="0" borderId="58" xfId="9" applyNumberFormat="1" applyFont="1" applyFill="1" applyBorder="1" applyAlignment="1">
      <alignment horizontal="center" vertical="center" wrapText="1"/>
    </xf>
    <xf numFmtId="0" fontId="9" fillId="7" borderId="24" xfId="0" applyFont="1" applyFill="1" applyBorder="1" applyAlignment="1">
      <alignment horizontal="left" vertical="center" wrapText="1"/>
    </xf>
    <xf numFmtId="0" fontId="13" fillId="5" borderId="1" xfId="0" applyFont="1" applyFill="1" applyBorder="1" applyAlignment="1">
      <alignment horizontal="right" vertical="center" wrapText="1"/>
    </xf>
    <xf numFmtId="170" fontId="17" fillId="0" borderId="18" xfId="9" applyNumberFormat="1" applyFont="1" applyFill="1" applyBorder="1" applyAlignment="1">
      <alignment horizontal="center" vertical="center" wrapText="1"/>
    </xf>
    <xf numFmtId="0" fontId="13" fillId="5" borderId="1" xfId="0" applyFont="1" applyFill="1" applyBorder="1" applyAlignment="1">
      <alignment horizontal="right" vertical="center" wrapText="1"/>
    </xf>
    <xf numFmtId="0" fontId="9" fillId="7" borderId="27" xfId="0" applyFont="1" applyFill="1" applyBorder="1" applyAlignment="1">
      <alignment horizontal="right" vertical="center" wrapText="1"/>
    </xf>
    <xf numFmtId="170" fontId="17" fillId="0" borderId="1" xfId="9" applyNumberFormat="1" applyFont="1" applyFill="1" applyBorder="1" applyAlignment="1">
      <alignment horizontal="center" vertical="center" wrapText="1"/>
    </xf>
    <xf numFmtId="4" fontId="9" fillId="7" borderId="12" xfId="0" applyNumberFormat="1" applyFont="1" applyFill="1" applyBorder="1" applyAlignment="1">
      <alignment horizontal="right" vertical="center" wrapText="1"/>
    </xf>
    <xf numFmtId="4" fontId="9" fillId="7" borderId="21" xfId="0" applyNumberFormat="1" applyFont="1" applyFill="1" applyBorder="1" applyAlignment="1">
      <alignment horizontal="right" vertical="center" wrapText="1"/>
    </xf>
    <xf numFmtId="0" fontId="60" fillId="0" borderId="6" xfId="0" applyFont="1" applyFill="1" applyBorder="1" applyAlignment="1">
      <alignment vertical="center" wrapText="1"/>
    </xf>
    <xf numFmtId="0" fontId="60" fillId="0" borderId="22" xfId="0" applyFont="1" applyFill="1" applyBorder="1" applyAlignment="1">
      <alignment vertical="center" wrapText="1"/>
    </xf>
    <xf numFmtId="0" fontId="21" fillId="7" borderId="3" xfId="0" applyFont="1" applyFill="1" applyBorder="1" applyAlignment="1">
      <alignment horizontal="right" vertical="center" wrapText="1"/>
    </xf>
    <xf numFmtId="0" fontId="73" fillId="0" borderId="22" xfId="0" applyFont="1" applyBorder="1" applyAlignment="1">
      <alignment vertical="center" wrapText="1"/>
    </xf>
    <xf numFmtId="3" fontId="17" fillId="0" borderId="23" xfId="0" applyNumberFormat="1" applyFont="1" applyFill="1" applyBorder="1" applyAlignment="1">
      <alignment horizontal="center" vertical="center" wrapText="1"/>
    </xf>
    <xf numFmtId="3" fontId="17" fillId="0" borderId="9" xfId="0" applyNumberFormat="1" applyFont="1" applyFill="1" applyBorder="1" applyAlignment="1">
      <alignment horizontal="center" vertical="center" wrapText="1"/>
    </xf>
    <xf numFmtId="3" fontId="17" fillId="0" borderId="50" xfId="0" applyNumberFormat="1" applyFont="1" applyFill="1" applyBorder="1" applyAlignment="1">
      <alignment horizontal="center" vertical="center" wrapText="1"/>
    </xf>
    <xf numFmtId="170" fontId="17" fillId="0" borderId="56" xfId="9" applyNumberFormat="1" applyFont="1" applyFill="1" applyBorder="1" applyAlignment="1">
      <alignment horizontal="center" vertical="center" wrapText="1"/>
    </xf>
    <xf numFmtId="170" fontId="17" fillId="0" borderId="55" xfId="9" applyNumberFormat="1" applyFont="1" applyFill="1" applyBorder="1" applyAlignment="1">
      <alignment horizontal="center" vertical="center" wrapText="1"/>
    </xf>
    <xf numFmtId="170" fontId="9" fillId="8" borderId="13" xfId="9" applyNumberFormat="1" applyFont="1" applyFill="1" applyBorder="1" applyAlignment="1">
      <alignment vertical="center" wrapText="1"/>
    </xf>
    <xf numFmtId="170" fontId="9" fillId="8" borderId="50" xfId="9" applyNumberFormat="1" applyFont="1" applyFill="1" applyBorder="1" applyAlignment="1">
      <alignment vertical="center" wrapText="1"/>
    </xf>
    <xf numFmtId="170" fontId="9" fillId="8" borderId="25" xfId="9" applyNumberFormat="1" applyFont="1" applyFill="1" applyBorder="1" applyAlignment="1">
      <alignment vertical="center" wrapText="1"/>
    </xf>
    <xf numFmtId="170" fontId="9" fillId="2" borderId="13" xfId="9" applyNumberFormat="1" applyFont="1" applyFill="1" applyBorder="1" applyAlignment="1">
      <alignment vertical="center" wrapText="1"/>
    </xf>
    <xf numFmtId="170" fontId="9" fillId="2" borderId="25" xfId="9" applyNumberFormat="1" applyFont="1" applyFill="1" applyBorder="1" applyAlignment="1">
      <alignment vertical="center" wrapText="1"/>
    </xf>
    <xf numFmtId="172" fontId="9" fillId="2" borderId="32" xfId="9" applyNumberFormat="1" applyFont="1" applyFill="1" applyBorder="1" applyAlignment="1">
      <alignment vertical="center" wrapText="1"/>
    </xf>
    <xf numFmtId="170" fontId="17" fillId="0" borderId="2" xfId="9" applyNumberFormat="1" applyFont="1" applyFill="1" applyBorder="1" applyAlignment="1">
      <alignment vertical="center" wrapText="1"/>
    </xf>
    <xf numFmtId="0" fontId="0" fillId="0" borderId="2" xfId="0" applyBorder="1"/>
    <xf numFmtId="170" fontId="83" fillId="8" borderId="32" xfId="9" applyNumberFormat="1" applyFont="1" applyFill="1" applyBorder="1" applyAlignment="1">
      <alignment horizontal="right" vertical="center" wrapText="1"/>
    </xf>
    <xf numFmtId="172" fontId="9" fillId="2" borderId="36" xfId="9" applyNumberFormat="1" applyFont="1" applyFill="1" applyBorder="1" applyAlignment="1">
      <alignment vertical="center" wrapText="1"/>
    </xf>
    <xf numFmtId="170" fontId="83" fillId="8" borderId="36" xfId="9" applyNumberFormat="1" applyFont="1" applyFill="1" applyBorder="1" applyAlignment="1">
      <alignment horizontal="right" vertical="center" wrapText="1"/>
    </xf>
    <xf numFmtId="170" fontId="83" fillId="8" borderId="21" xfId="9" applyNumberFormat="1" applyFont="1" applyFill="1" applyBorder="1" applyAlignment="1">
      <alignment horizontal="right" vertical="center" wrapText="1"/>
    </xf>
    <xf numFmtId="3" fontId="17" fillId="0" borderId="15" xfId="0" applyNumberFormat="1" applyFont="1" applyFill="1" applyBorder="1" applyAlignment="1">
      <alignment horizontal="center" vertical="center" wrapText="1"/>
    </xf>
    <xf numFmtId="3" fontId="17" fillId="0" borderId="31" xfId="0" applyNumberFormat="1" applyFont="1" applyFill="1" applyBorder="1" applyAlignment="1">
      <alignment horizontal="center" vertical="center" wrapText="1"/>
    </xf>
    <xf numFmtId="3" fontId="17" fillId="0" borderId="13" xfId="0" applyNumberFormat="1" applyFont="1" applyFill="1" applyBorder="1" applyAlignment="1">
      <alignment horizontal="center" vertical="center" wrapText="1"/>
    </xf>
    <xf numFmtId="9" fontId="20" fillId="0" borderId="13" xfId="2" applyFont="1" applyFill="1" applyBorder="1" applyAlignment="1">
      <alignment horizontal="center" vertical="center" wrapText="1"/>
    </xf>
    <xf numFmtId="165" fontId="10" fillId="0" borderId="2" xfId="0" applyNumberFormat="1" applyFont="1" applyBorder="1" applyAlignment="1">
      <alignment horizontal="left" vertical="center" wrapText="1"/>
    </xf>
    <xf numFmtId="9" fontId="20" fillId="2" borderId="59" xfId="2" applyFont="1" applyFill="1" applyBorder="1" applyAlignment="1">
      <alignment horizontal="center" vertical="center" wrapText="1"/>
    </xf>
    <xf numFmtId="9" fontId="20" fillId="2" borderId="60" xfId="2" applyFont="1" applyFill="1" applyBorder="1" applyAlignment="1">
      <alignment horizontal="center" vertical="center" wrapText="1"/>
    </xf>
    <xf numFmtId="9" fontId="20" fillId="2" borderId="61" xfId="2" applyFont="1" applyFill="1" applyBorder="1" applyAlignment="1">
      <alignment horizontal="center" vertical="center" wrapText="1"/>
    </xf>
    <xf numFmtId="170" fontId="10" fillId="0" borderId="41" xfId="9" applyNumberFormat="1" applyFont="1" applyBorder="1" applyAlignment="1">
      <alignment horizontal="left" vertical="center" wrapText="1"/>
    </xf>
    <xf numFmtId="4" fontId="13" fillId="0" borderId="12" xfId="0" applyNumberFormat="1" applyFont="1" applyBorder="1" applyAlignment="1">
      <alignment horizontal="left" vertical="center" wrapText="1"/>
    </xf>
    <xf numFmtId="165" fontId="17" fillId="0" borderId="15" xfId="0" applyNumberFormat="1" applyFont="1" applyBorder="1" applyAlignment="1">
      <alignment horizontal="center" vertical="center" wrapText="1"/>
    </xf>
    <xf numFmtId="165" fontId="17" fillId="0" borderId="13" xfId="0" applyNumberFormat="1" applyFont="1" applyBorder="1" applyAlignment="1">
      <alignment horizontal="center" vertical="center" wrapText="1"/>
    </xf>
    <xf numFmtId="165" fontId="17" fillId="0" borderId="23" xfId="0" applyNumberFormat="1" applyFont="1" applyBorder="1" applyAlignment="1">
      <alignment horizontal="center" vertical="center" wrapText="1"/>
    </xf>
    <xf numFmtId="0" fontId="9" fillId="7" borderId="1" xfId="0" applyFont="1" applyFill="1" applyBorder="1" applyAlignment="1">
      <alignment horizontal="right" vertical="center" wrapText="1"/>
    </xf>
    <xf numFmtId="170" fontId="9" fillId="0" borderId="11" xfId="9" applyNumberFormat="1" applyFont="1" applyFill="1" applyBorder="1" applyAlignment="1">
      <alignment vertical="center" wrapText="1"/>
    </xf>
    <xf numFmtId="9" fontId="20" fillId="0" borderId="15" xfId="2" applyFont="1" applyFill="1" applyBorder="1" applyAlignment="1">
      <alignment horizontal="center" vertical="center" wrapText="1"/>
    </xf>
    <xf numFmtId="171" fontId="10" fillId="0" borderId="2" xfId="2" applyNumberFormat="1" applyFont="1" applyBorder="1" applyAlignment="1">
      <alignment horizontal="left" vertical="center" wrapText="1"/>
    </xf>
    <xf numFmtId="170" fontId="9" fillId="0" borderId="12" xfId="9" applyNumberFormat="1" applyFont="1" applyFill="1" applyBorder="1" applyAlignment="1">
      <alignment vertical="center" wrapText="1"/>
    </xf>
    <xf numFmtId="170" fontId="9" fillId="0" borderId="32" xfId="9" applyNumberFormat="1" applyFont="1" applyFill="1" applyBorder="1" applyAlignment="1">
      <alignment vertical="center" wrapText="1"/>
    </xf>
    <xf numFmtId="9" fontId="20" fillId="0" borderId="23" xfId="2" applyFont="1" applyFill="1" applyBorder="1" applyAlignment="1">
      <alignment horizontal="center" vertical="center" wrapText="1"/>
    </xf>
    <xf numFmtId="165" fontId="10" fillId="2" borderId="21" xfId="0" applyNumberFormat="1" applyFont="1" applyFill="1" applyBorder="1" applyAlignment="1">
      <alignment horizontal="left" vertical="center" wrapText="1"/>
    </xf>
    <xf numFmtId="165" fontId="10" fillId="8" borderId="12" xfId="0" applyNumberFormat="1" applyFont="1" applyFill="1" applyBorder="1" applyAlignment="1">
      <alignment horizontal="left" vertical="center" wrapText="1"/>
    </xf>
    <xf numFmtId="165" fontId="10" fillId="8" borderId="11" xfId="0" applyNumberFormat="1" applyFont="1" applyFill="1" applyBorder="1" applyAlignment="1">
      <alignment horizontal="left" vertical="center" wrapText="1"/>
    </xf>
    <xf numFmtId="165" fontId="10" fillId="8" borderId="21" xfId="0" applyNumberFormat="1" applyFont="1" applyFill="1" applyBorder="1" applyAlignment="1">
      <alignment horizontal="left" vertical="center" wrapText="1"/>
    </xf>
    <xf numFmtId="165" fontId="9" fillId="17" borderId="1" xfId="0" applyNumberFormat="1" applyFont="1" applyFill="1" applyBorder="1" applyAlignment="1">
      <alignment horizontal="left" vertical="center" wrapText="1"/>
    </xf>
    <xf numFmtId="0" fontId="13" fillId="5" borderId="1" xfId="0" applyFont="1" applyFill="1" applyBorder="1" applyAlignment="1">
      <alignment horizontal="right" vertical="center" wrapText="1"/>
    </xf>
    <xf numFmtId="0" fontId="91" fillId="11" borderId="41" xfId="0" applyFont="1" applyFill="1" applyBorder="1" applyAlignment="1">
      <alignment horizontal="center" vertical="center" wrapText="1"/>
    </xf>
    <xf numFmtId="0" fontId="45" fillId="0" borderId="2" xfId="0" applyFont="1" applyFill="1" applyBorder="1" applyAlignment="1">
      <alignment vertical="center" wrapText="1"/>
    </xf>
    <xf numFmtId="1" fontId="0" fillId="0" borderId="0" xfId="0" applyNumberFormat="1" applyFill="1"/>
    <xf numFmtId="0" fontId="0" fillId="0" borderId="0" xfId="0" applyFill="1" applyAlignment="1">
      <alignment horizontal="right"/>
    </xf>
    <xf numFmtId="0" fontId="91" fillId="11" borderId="2" xfId="0" applyFont="1" applyFill="1" applyBorder="1" applyAlignment="1">
      <alignment vertical="center" wrapText="1"/>
    </xf>
    <xf numFmtId="9" fontId="0" fillId="0" borderId="0" xfId="0" applyNumberFormat="1" applyFill="1" applyAlignment="1">
      <alignment horizontal="center" vertical="center" wrapText="1"/>
    </xf>
    <xf numFmtId="9" fontId="0" fillId="2" borderId="0" xfId="0" applyNumberFormat="1" applyFill="1" applyAlignment="1">
      <alignment horizontal="center" vertical="center" wrapText="1"/>
    </xf>
    <xf numFmtId="177" fontId="0" fillId="23" borderId="0" xfId="9" applyNumberFormat="1" applyFont="1" applyFill="1" applyAlignment="1">
      <alignment horizontal="center" vertical="center" wrapText="1"/>
    </xf>
    <xf numFmtId="49" fontId="20" fillId="8" borderId="3" xfId="0" applyNumberFormat="1" applyFont="1" applyFill="1" applyBorder="1" applyAlignment="1">
      <alignment horizontal="center" vertical="center" wrapText="1"/>
    </xf>
    <xf numFmtId="170" fontId="11" fillId="0" borderId="33" xfId="9" applyNumberFormat="1" applyFont="1" applyFill="1" applyBorder="1" applyAlignment="1">
      <alignment horizontal="center" vertical="center" wrapText="1"/>
    </xf>
    <xf numFmtId="170" fontId="11" fillId="0" borderId="7" xfId="9" applyNumberFormat="1" applyFont="1" applyFill="1" applyBorder="1" applyAlignment="1">
      <alignment horizontal="center" vertical="center" wrapText="1"/>
    </xf>
    <xf numFmtId="43" fontId="72" fillId="0" borderId="0" xfId="9" applyFont="1" applyAlignment="1">
      <alignment horizontal="right" vertical="center" wrapText="1"/>
    </xf>
    <xf numFmtId="0" fontId="100" fillId="29" borderId="1" xfId="0" applyFont="1" applyFill="1" applyBorder="1" applyAlignment="1">
      <alignment horizontal="center" vertical="center" wrapText="1"/>
    </xf>
    <xf numFmtId="0" fontId="99" fillId="0" borderId="0" xfId="0" applyFont="1"/>
    <xf numFmtId="0" fontId="101" fillId="27" borderId="3" xfId="0" applyFont="1" applyFill="1" applyBorder="1" applyAlignment="1">
      <alignment vertical="center" wrapText="1"/>
    </xf>
    <xf numFmtId="0" fontId="100" fillId="11" borderId="3" xfId="0" applyFont="1" applyFill="1" applyBorder="1" applyAlignment="1">
      <alignment vertical="center" wrapText="1"/>
    </xf>
    <xf numFmtId="0" fontId="101" fillId="23" borderId="3" xfId="0" applyFont="1" applyFill="1" applyBorder="1" applyAlignment="1">
      <alignment vertical="center" wrapText="1"/>
    </xf>
    <xf numFmtId="0" fontId="101" fillId="30" borderId="3" xfId="0" applyFont="1" applyFill="1" applyBorder="1" applyAlignment="1">
      <alignment vertical="center" wrapText="1"/>
    </xf>
    <xf numFmtId="9" fontId="103" fillId="30" borderId="3" xfId="0" applyNumberFormat="1" applyFont="1" applyFill="1" applyBorder="1" applyAlignment="1">
      <alignment vertical="center" wrapText="1"/>
    </xf>
    <xf numFmtId="9" fontId="103" fillId="30" borderId="3" xfId="0" applyNumberFormat="1" applyFont="1" applyFill="1" applyBorder="1" applyAlignment="1">
      <alignment horizontal="center" vertical="center" wrapText="1"/>
    </xf>
    <xf numFmtId="0" fontId="103" fillId="30" borderId="3" xfId="0" applyFont="1" applyFill="1" applyBorder="1" applyAlignment="1">
      <alignment vertical="center" wrapText="1"/>
    </xf>
    <xf numFmtId="171" fontId="103" fillId="30" borderId="3" xfId="0" applyNumberFormat="1" applyFont="1" applyFill="1" applyBorder="1" applyAlignment="1">
      <alignment horizontal="center" vertical="center" wrapText="1"/>
    </xf>
    <xf numFmtId="0" fontId="103" fillId="30" borderId="3" xfId="0" applyFont="1" applyFill="1" applyBorder="1" applyAlignment="1">
      <alignment horizontal="center" vertical="center" wrapText="1"/>
    </xf>
    <xf numFmtId="0" fontId="101" fillId="30" borderId="1" xfId="0" applyFont="1" applyFill="1" applyBorder="1" applyAlignment="1">
      <alignment vertical="center" wrapText="1"/>
    </xf>
    <xf numFmtId="0" fontId="101" fillId="30" borderId="3" xfId="0" applyFont="1" applyFill="1" applyBorder="1" applyAlignment="1">
      <alignment horizontal="left" vertical="center" wrapText="1"/>
    </xf>
    <xf numFmtId="171" fontId="101" fillId="30" borderId="3" xfId="0" applyNumberFormat="1" applyFont="1" applyFill="1" applyBorder="1" applyAlignment="1">
      <alignment vertical="center" wrapText="1"/>
    </xf>
    <xf numFmtId="0" fontId="103" fillId="23" borderId="3" xfId="0" applyFont="1" applyFill="1" applyBorder="1" applyAlignment="1">
      <alignment vertical="center" wrapText="1"/>
    </xf>
    <xf numFmtId="0" fontId="104" fillId="23" borderId="3" xfId="0" applyFont="1" applyFill="1" applyBorder="1" applyAlignment="1">
      <alignment vertical="center" wrapText="1"/>
    </xf>
    <xf numFmtId="0" fontId="101" fillId="31" borderId="3" xfId="0" applyFont="1" applyFill="1" applyBorder="1" applyAlignment="1">
      <alignment vertical="center" wrapText="1"/>
    </xf>
    <xf numFmtId="0" fontId="105" fillId="31" borderId="3" xfId="0" applyFont="1" applyFill="1" applyBorder="1" applyAlignment="1">
      <alignment vertical="center" wrapText="1"/>
    </xf>
    <xf numFmtId="171" fontId="94" fillId="0" borderId="1" xfId="0" applyNumberFormat="1" applyFont="1" applyBorder="1" applyAlignment="1">
      <alignment horizontal="center" vertical="center" wrapText="1"/>
    </xf>
    <xf numFmtId="0" fontId="14" fillId="0" borderId="16" xfId="0" applyFont="1" applyBorder="1" applyAlignment="1">
      <alignment horizontal="right" vertical="center" wrapText="1"/>
    </xf>
    <xf numFmtId="0" fontId="17" fillId="0" borderId="40" xfId="0" applyFont="1" applyBorder="1" applyAlignment="1">
      <alignment horizontal="center" vertical="center" wrapText="1"/>
    </xf>
    <xf numFmtId="0" fontId="14" fillId="0" borderId="21" xfId="0" applyFont="1" applyBorder="1" applyAlignment="1">
      <alignment horizontal="right" vertical="center" wrapText="1"/>
    </xf>
    <xf numFmtId="0" fontId="17" fillId="0" borderId="26" xfId="0" applyFont="1" applyBorder="1" applyAlignment="1">
      <alignment horizontal="center" vertical="center" wrapText="1"/>
    </xf>
    <xf numFmtId="0" fontId="0" fillId="0" borderId="51" xfId="0" applyFill="1" applyBorder="1"/>
    <xf numFmtId="0" fontId="13" fillId="0" borderId="36" xfId="0" applyFont="1" applyFill="1" applyBorder="1" applyAlignment="1">
      <alignment horizontal="right" vertical="center" wrapText="1"/>
    </xf>
    <xf numFmtId="0" fontId="13" fillId="0" borderId="11" xfId="0" applyFont="1" applyFill="1" applyBorder="1" applyAlignment="1">
      <alignment horizontal="right" vertical="center" wrapText="1"/>
    </xf>
    <xf numFmtId="0" fontId="13" fillId="0" borderId="22" xfId="0" applyFont="1" applyFill="1" applyBorder="1" applyAlignment="1">
      <alignment horizontal="right" vertical="center" wrapText="1"/>
    </xf>
    <xf numFmtId="0" fontId="13" fillId="0" borderId="16" xfId="0" applyFont="1" applyFill="1" applyBorder="1" applyAlignment="1">
      <alignment horizontal="right" vertical="center" wrapText="1"/>
    </xf>
    <xf numFmtId="0" fontId="13" fillId="0" borderId="6" xfId="0" applyFont="1" applyFill="1" applyBorder="1" applyAlignment="1">
      <alignment horizontal="right" vertical="center" wrapText="1"/>
    </xf>
    <xf numFmtId="0" fontId="91" fillId="11" borderId="41" xfId="0" applyFont="1" applyFill="1" applyBorder="1" applyAlignment="1">
      <alignment horizontal="center" vertical="center" wrapText="1"/>
    </xf>
    <xf numFmtId="0" fontId="106" fillId="0" borderId="0" xfId="0" applyFont="1" applyAlignment="1">
      <alignment vertical="center"/>
    </xf>
    <xf numFmtId="170" fontId="17" fillId="0" borderId="24" xfId="9" applyNumberFormat="1" applyFont="1" applyFill="1" applyBorder="1" applyAlignment="1">
      <alignment horizontal="center" vertical="center" wrapText="1"/>
    </xf>
    <xf numFmtId="3" fontId="17" fillId="0" borderId="0" xfId="0" applyNumberFormat="1" applyFont="1" applyFill="1" applyBorder="1" applyAlignment="1">
      <alignment horizontal="center" vertical="center" wrapText="1"/>
    </xf>
    <xf numFmtId="170" fontId="11" fillId="0" borderId="33" xfId="9" applyNumberFormat="1" applyFont="1" applyFill="1" applyBorder="1" applyAlignment="1">
      <alignment horizontal="center" vertical="center" wrapText="1"/>
    </xf>
    <xf numFmtId="170" fontId="11" fillId="0" borderId="7" xfId="9" applyNumberFormat="1" applyFont="1" applyFill="1" applyBorder="1" applyAlignment="1">
      <alignment horizontal="center" vertical="center" wrapText="1"/>
    </xf>
    <xf numFmtId="0" fontId="14" fillId="0" borderId="16" xfId="0" applyFont="1" applyBorder="1" applyAlignment="1">
      <alignment horizontal="right" vertical="center" wrapText="1"/>
    </xf>
    <xf numFmtId="0" fontId="0" fillId="0" borderId="0" xfId="0" applyAlignment="1">
      <alignment horizontal="right" vertical="center" wrapText="1"/>
    </xf>
    <xf numFmtId="3" fontId="13" fillId="0" borderId="0" xfId="0" applyNumberFormat="1" applyFont="1" applyAlignment="1">
      <alignment vertical="center" wrapText="1"/>
    </xf>
    <xf numFmtId="0" fontId="10" fillId="0" borderId="0" xfId="0" applyFont="1" applyAlignment="1">
      <alignment vertical="center"/>
    </xf>
    <xf numFmtId="0" fontId="13" fillId="0" borderId="0" xfId="0" applyFont="1" applyAlignment="1">
      <alignment vertical="center" wrapText="1"/>
    </xf>
    <xf numFmtId="0" fontId="16" fillId="0" borderId="0" xfId="0" applyFont="1" applyBorder="1" applyAlignment="1">
      <alignment horizontal="left" vertical="center"/>
    </xf>
    <xf numFmtId="170" fontId="9" fillId="17" borderId="1" xfId="9" applyNumberFormat="1" applyFont="1" applyFill="1" applyBorder="1" applyAlignment="1">
      <alignment horizontal="right" vertical="center" wrapText="1"/>
    </xf>
    <xf numFmtId="165" fontId="9" fillId="17" borderId="1" xfId="0" applyNumberFormat="1" applyFont="1" applyFill="1" applyBorder="1" applyAlignment="1">
      <alignment horizontal="right" vertical="center" wrapText="1"/>
    </xf>
    <xf numFmtId="0" fontId="10" fillId="0" borderId="0" xfId="0" applyFont="1" applyAlignment="1">
      <alignment vertical="center"/>
    </xf>
    <xf numFmtId="0" fontId="13" fillId="0" borderId="0" xfId="0" applyFont="1" applyAlignment="1">
      <alignment vertical="center" wrapText="1"/>
    </xf>
    <xf numFmtId="165" fontId="9" fillId="17" borderId="1" xfId="0" applyNumberFormat="1" applyFont="1" applyFill="1" applyBorder="1" applyAlignment="1">
      <alignment horizontal="right" vertical="center" wrapText="1"/>
    </xf>
    <xf numFmtId="165" fontId="9" fillId="17" borderId="1" xfId="0" applyNumberFormat="1" applyFont="1" applyFill="1" applyBorder="1" applyAlignment="1">
      <alignment horizontal="center" vertical="center" wrapText="1"/>
    </xf>
    <xf numFmtId="165" fontId="9" fillId="17" borderId="18" xfId="0" applyNumberFormat="1" applyFont="1" applyFill="1" applyBorder="1" applyAlignment="1">
      <alignment horizontal="center" vertical="center" wrapText="1"/>
    </xf>
    <xf numFmtId="43" fontId="9" fillId="17" borderId="1" xfId="9" applyFont="1" applyFill="1" applyBorder="1" applyAlignment="1">
      <alignment horizontal="right" vertical="center" wrapText="1"/>
    </xf>
    <xf numFmtId="43" fontId="15" fillId="0" borderId="0" xfId="9" applyFont="1" applyAlignment="1">
      <alignment vertical="center"/>
    </xf>
    <xf numFmtId="170" fontId="0" fillId="22" borderId="0" xfId="9" applyNumberFormat="1" applyFont="1" applyFill="1" applyAlignment="1">
      <alignment horizontal="center" vertical="center" wrapText="1"/>
    </xf>
    <xf numFmtId="170" fontId="0" fillId="23" borderId="0" xfId="9" applyNumberFormat="1" applyFont="1" applyFill="1" applyAlignment="1">
      <alignment horizontal="center" vertical="center" wrapText="1"/>
    </xf>
    <xf numFmtId="170" fontId="0" fillId="0" borderId="0" xfId="9" applyNumberFormat="1" applyFont="1" applyAlignment="1">
      <alignment horizontal="center" vertical="center" wrapText="1"/>
    </xf>
    <xf numFmtId="172" fontId="0" fillId="2" borderId="1" xfId="9" applyNumberFormat="1" applyFont="1" applyFill="1" applyBorder="1" applyAlignment="1">
      <alignment horizontal="center" vertical="center" wrapText="1"/>
    </xf>
    <xf numFmtId="0" fontId="101" fillId="23" borderId="1" xfId="0" applyFont="1" applyFill="1" applyBorder="1" applyAlignment="1">
      <alignment vertical="center"/>
    </xf>
    <xf numFmtId="0" fontId="100" fillId="11" borderId="1" xfId="0" applyFont="1" applyFill="1" applyBorder="1" applyAlignment="1">
      <alignment vertical="center"/>
    </xf>
    <xf numFmtId="0" fontId="107" fillId="27" borderId="1" xfId="0" applyFont="1" applyFill="1" applyBorder="1" applyAlignment="1">
      <alignment vertical="center"/>
    </xf>
    <xf numFmtId="0" fontId="101" fillId="30" borderId="1" xfId="0" applyFont="1" applyFill="1" applyBorder="1" applyAlignment="1">
      <alignment vertical="center"/>
    </xf>
    <xf numFmtId="0" fontId="101" fillId="15" borderId="1" xfId="0" applyFont="1" applyFill="1" applyBorder="1" applyAlignment="1">
      <alignment vertical="center" wrapText="1"/>
    </xf>
    <xf numFmtId="0" fontId="107" fillId="15" borderId="1" xfId="0" applyFont="1" applyFill="1" applyBorder="1" applyAlignment="1">
      <alignment vertical="center"/>
    </xf>
    <xf numFmtId="0" fontId="27" fillId="0" borderId="0" xfId="0" applyFont="1" applyAlignment="1"/>
    <xf numFmtId="170" fontId="45" fillId="22" borderId="0" xfId="9" applyNumberFormat="1" applyFont="1" applyFill="1" applyAlignment="1">
      <alignment horizontal="center" vertical="center" wrapText="1"/>
    </xf>
    <xf numFmtId="170" fontId="45" fillId="23" borderId="0" xfId="9" applyNumberFormat="1" applyFont="1" applyFill="1" applyAlignment="1">
      <alignment horizontal="center" vertical="center" wrapText="1"/>
    </xf>
    <xf numFmtId="170" fontId="45" fillId="0" borderId="0" xfId="9" applyNumberFormat="1" applyFont="1" applyAlignment="1">
      <alignment horizontal="center" vertical="center" wrapText="1"/>
    </xf>
    <xf numFmtId="0" fontId="45" fillId="0" borderId="0" xfId="0" applyFont="1" applyAlignment="1">
      <alignment horizontal="center" vertical="center" wrapText="1"/>
    </xf>
    <xf numFmtId="0" fontId="45" fillId="22" borderId="0" xfId="0" applyFont="1" applyFill="1" applyAlignment="1">
      <alignment horizontal="left" vertical="center" wrapText="1"/>
    </xf>
    <xf numFmtId="0" fontId="45" fillId="0" borderId="0" xfId="0" applyFont="1" applyFill="1" applyAlignment="1">
      <alignment horizontal="center" vertical="center" wrapText="1"/>
    </xf>
    <xf numFmtId="0" fontId="45" fillId="23" borderId="0" xfId="0" applyFont="1" applyFill="1" applyAlignment="1">
      <alignment horizontal="left" vertical="center" wrapText="1"/>
    </xf>
    <xf numFmtId="0" fontId="0" fillId="0" borderId="0" xfId="0" applyFill="1" applyAlignment="1">
      <alignment horizontal="right" vertical="center" wrapText="1"/>
    </xf>
    <xf numFmtId="1" fontId="0" fillId="0" borderId="0" xfId="0" applyNumberFormat="1" applyFill="1" applyAlignment="1">
      <alignment horizontal="center" vertical="center" wrapText="1"/>
    </xf>
    <xf numFmtId="165" fontId="10" fillId="0" borderId="0" xfId="0" applyNumberFormat="1" applyFont="1" applyFill="1" applyAlignment="1">
      <alignment horizontal="left" vertical="center" wrapText="1"/>
    </xf>
    <xf numFmtId="170" fontId="11" fillId="0" borderId="33" xfId="9" applyNumberFormat="1" applyFont="1" applyFill="1" applyBorder="1" applyAlignment="1">
      <alignment horizontal="center" vertical="center" wrapText="1"/>
    </xf>
    <xf numFmtId="170" fontId="17" fillId="0" borderId="18" xfId="9" applyNumberFormat="1" applyFont="1" applyFill="1" applyBorder="1" applyAlignment="1">
      <alignment horizontal="center" vertical="center" wrapText="1"/>
    </xf>
    <xf numFmtId="170" fontId="17" fillId="0" borderId="1" xfId="9" applyNumberFormat="1" applyFont="1" applyFill="1" applyBorder="1" applyAlignment="1">
      <alignment horizontal="center" vertical="center" wrapText="1"/>
    </xf>
    <xf numFmtId="0" fontId="14" fillId="0" borderId="21" xfId="0" applyFont="1" applyBorder="1" applyAlignment="1">
      <alignment horizontal="left" vertical="center" wrapText="1"/>
    </xf>
    <xf numFmtId="0" fontId="60" fillId="0" borderId="6" xfId="0" applyFont="1" applyBorder="1" applyAlignment="1">
      <alignment horizontal="left" vertical="center" wrapText="1"/>
    </xf>
    <xf numFmtId="0" fontId="14" fillId="0" borderId="12" xfId="0" applyFont="1" applyBorder="1" applyAlignment="1">
      <alignment horizontal="left" vertical="center" wrapText="1"/>
    </xf>
    <xf numFmtId="0" fontId="18" fillId="0" borderId="16" xfId="0" applyFont="1" applyFill="1" applyBorder="1" applyAlignment="1">
      <alignment horizontal="left" vertical="center" wrapText="1"/>
    </xf>
    <xf numFmtId="0" fontId="18" fillId="0" borderId="6" xfId="0" applyFont="1" applyFill="1" applyBorder="1" applyAlignment="1">
      <alignment horizontal="left" vertical="center" wrapText="1"/>
    </xf>
    <xf numFmtId="0" fontId="18" fillId="0" borderId="22" xfId="0" applyFont="1" applyFill="1" applyBorder="1" applyAlignment="1">
      <alignment horizontal="left" vertical="center" wrapText="1"/>
    </xf>
    <xf numFmtId="0" fontId="18" fillId="0" borderId="21" xfId="0" applyFont="1" applyFill="1" applyBorder="1" applyAlignment="1">
      <alignment horizontal="left" vertical="center" wrapText="1"/>
    </xf>
    <xf numFmtId="0" fontId="0" fillId="0" borderId="28" xfId="0" applyFill="1" applyBorder="1"/>
    <xf numFmtId="170" fontId="17" fillId="0" borderId="24" xfId="9" applyNumberFormat="1" applyFont="1" applyFill="1" applyBorder="1" applyAlignment="1">
      <alignment horizontal="center" vertical="center" wrapText="1"/>
    </xf>
    <xf numFmtId="170" fontId="11" fillId="0" borderId="7" xfId="9" applyNumberFormat="1" applyFont="1" applyFill="1" applyBorder="1" applyAlignment="1">
      <alignment horizontal="center" vertical="center" wrapText="1"/>
    </xf>
    <xf numFmtId="170" fontId="11" fillId="0" borderId="25" xfId="9" applyNumberFormat="1" applyFont="1" applyFill="1" applyBorder="1" applyAlignment="1">
      <alignment horizontal="center" vertical="center" wrapText="1"/>
    </xf>
    <xf numFmtId="0" fontId="18" fillId="0" borderId="12" xfId="0" applyFont="1" applyFill="1" applyBorder="1" applyAlignment="1">
      <alignment horizontal="left" vertical="center" wrapText="1"/>
    </xf>
    <xf numFmtId="0" fontId="18" fillId="0" borderId="21" xfId="0" applyFont="1" applyFill="1" applyBorder="1" applyAlignment="1">
      <alignment horizontal="left" vertical="center" wrapText="1"/>
    </xf>
    <xf numFmtId="0" fontId="19" fillId="0" borderId="0" xfId="0" applyFont="1" applyFill="1" applyBorder="1" applyAlignment="1">
      <alignment horizontal="center" vertical="center" wrapText="1"/>
    </xf>
    <xf numFmtId="170" fontId="17" fillId="0" borderId="1" xfId="9" applyNumberFormat="1" applyFont="1" applyFill="1" applyBorder="1" applyAlignment="1">
      <alignment horizontal="center" vertical="center" wrapText="1"/>
    </xf>
    <xf numFmtId="9" fontId="0" fillId="0" borderId="0" xfId="0" applyNumberFormat="1"/>
    <xf numFmtId="0" fontId="71" fillId="0" borderId="4" xfId="0" applyFont="1" applyBorder="1" applyAlignment="1">
      <alignment horizontal="left" vertical="center" wrapText="1"/>
    </xf>
    <xf numFmtId="170" fontId="11" fillId="0" borderId="5" xfId="9" applyNumberFormat="1" applyFont="1" applyFill="1" applyBorder="1" applyAlignment="1">
      <alignment horizontal="center" vertical="center" wrapText="1"/>
    </xf>
    <xf numFmtId="170" fontId="0" fillId="0" borderId="48" xfId="9" applyNumberFormat="1" applyFont="1" applyBorder="1"/>
    <xf numFmtId="170" fontId="13" fillId="0" borderId="0" xfId="9" applyNumberFormat="1" applyFont="1" applyAlignment="1">
      <alignment vertical="center" wrapText="1"/>
    </xf>
    <xf numFmtId="170" fontId="44" fillId="8" borderId="1" xfId="9" applyNumberFormat="1" applyFont="1" applyFill="1" applyBorder="1" applyAlignment="1">
      <alignment horizontal="center" vertical="center" wrapText="1"/>
    </xf>
    <xf numFmtId="170" fontId="80" fillId="8" borderId="1" xfId="9" applyNumberFormat="1" applyFont="1" applyFill="1" applyBorder="1" applyAlignment="1">
      <alignment horizontal="right" vertical="center" wrapText="1"/>
    </xf>
    <xf numFmtId="170" fontId="72" fillId="0" borderId="0" xfId="9" applyNumberFormat="1" applyFont="1" applyAlignment="1">
      <alignment wrapText="1"/>
    </xf>
    <xf numFmtId="170" fontId="45" fillId="15" borderId="1" xfId="9" applyNumberFormat="1" applyFont="1" applyFill="1" applyBorder="1" applyAlignment="1" applyProtection="1">
      <alignment horizontal="right" vertical="center" wrapText="1"/>
      <protection locked="0"/>
    </xf>
    <xf numFmtId="170" fontId="79" fillId="15" borderId="1" xfId="9" applyNumberFormat="1" applyFont="1" applyFill="1" applyBorder="1" applyAlignment="1" applyProtection="1">
      <alignment horizontal="right" vertical="center" wrapText="1"/>
      <protection locked="0"/>
    </xf>
    <xf numFmtId="170" fontId="99" fillId="0" borderId="0" xfId="9" applyNumberFormat="1" applyFont="1"/>
    <xf numFmtId="170" fontId="45" fillId="27" borderId="1" xfId="9" applyNumberFormat="1" applyFont="1" applyFill="1" applyBorder="1" applyAlignment="1" applyProtection="1">
      <alignment horizontal="right" vertical="center" wrapText="1"/>
      <protection locked="0"/>
    </xf>
    <xf numFmtId="170" fontId="79" fillId="27" borderId="1" xfId="9" applyNumberFormat="1" applyFont="1" applyFill="1" applyBorder="1" applyAlignment="1" applyProtection="1">
      <alignment horizontal="right" vertical="center" wrapText="1"/>
      <protection locked="0"/>
    </xf>
    <xf numFmtId="170" fontId="44" fillId="11" borderId="1" xfId="9" applyNumberFormat="1" applyFont="1" applyFill="1" applyBorder="1" applyAlignment="1" applyProtection="1">
      <alignment horizontal="right" vertical="center" wrapText="1"/>
      <protection locked="0"/>
    </xf>
    <xf numFmtId="170" fontId="80" fillId="11" borderId="1" xfId="9" applyNumberFormat="1" applyFont="1" applyFill="1" applyBorder="1" applyAlignment="1" applyProtection="1">
      <alignment horizontal="right" vertical="center" wrapText="1"/>
      <protection locked="0"/>
    </xf>
    <xf numFmtId="170" fontId="45" fillId="3" borderId="1" xfId="9" applyNumberFormat="1" applyFont="1" applyFill="1" applyBorder="1" applyAlignment="1" applyProtection="1">
      <alignment horizontal="right" vertical="center" wrapText="1"/>
      <protection locked="0"/>
    </xf>
    <xf numFmtId="170" fontId="79" fillId="3" borderId="1" xfId="9" applyNumberFormat="1" applyFont="1" applyFill="1" applyBorder="1" applyAlignment="1" applyProtection="1">
      <alignment horizontal="right" vertical="center" wrapText="1"/>
      <protection locked="0"/>
    </xf>
    <xf numFmtId="170" fontId="7" fillId="7" borderId="1" xfId="9" applyNumberFormat="1" applyFont="1" applyFill="1" applyBorder="1" applyAlignment="1" applyProtection="1">
      <alignment horizontal="right" vertical="center" wrapText="1"/>
      <protection locked="0"/>
    </xf>
    <xf numFmtId="170" fontId="81" fillId="7" borderId="1" xfId="9" applyNumberFormat="1" applyFont="1" applyFill="1" applyBorder="1" applyAlignment="1" applyProtection="1">
      <alignment horizontal="right" vertical="center" wrapText="1"/>
      <protection locked="0"/>
    </xf>
    <xf numFmtId="170" fontId="6" fillId="16" borderId="1" xfId="9" applyNumberFormat="1" applyFont="1" applyFill="1" applyBorder="1" applyAlignment="1" applyProtection="1">
      <alignment horizontal="right" vertical="center" wrapText="1"/>
      <protection locked="0"/>
    </xf>
    <xf numFmtId="170" fontId="81" fillId="16" borderId="1" xfId="9" applyNumberFormat="1" applyFont="1" applyFill="1" applyBorder="1" applyAlignment="1" applyProtection="1">
      <alignment horizontal="right" vertical="center" wrapText="1"/>
      <protection locked="0"/>
    </xf>
    <xf numFmtId="170" fontId="27" fillId="0" borderId="0" xfId="9" applyNumberFormat="1" applyFont="1" applyAlignment="1">
      <alignment wrapText="1"/>
    </xf>
    <xf numFmtId="170" fontId="27" fillId="0" borderId="0" xfId="9" applyNumberFormat="1" applyFont="1" applyFill="1" applyAlignment="1">
      <alignment wrapText="1"/>
    </xf>
    <xf numFmtId="170" fontId="29" fillId="16" borderId="1" xfId="9" applyNumberFormat="1" applyFont="1" applyFill="1" applyBorder="1" applyAlignment="1">
      <alignment horizontal="left" vertical="center" wrapText="1"/>
    </xf>
    <xf numFmtId="170" fontId="82" fillId="0" borderId="0" xfId="9" applyNumberFormat="1" applyFont="1" applyAlignment="1">
      <alignment wrapText="1"/>
    </xf>
    <xf numFmtId="0" fontId="18" fillId="0" borderId="6" xfId="0" applyFont="1" applyBorder="1" applyAlignment="1">
      <alignment horizontal="left" vertical="center" wrapText="1"/>
    </xf>
    <xf numFmtId="0" fontId="0" fillId="0" borderId="0" xfId="0" applyAlignment="1">
      <alignment vertical="center" wrapText="1"/>
    </xf>
    <xf numFmtId="0" fontId="0" fillId="0" borderId="1" xfId="0" applyBorder="1" applyAlignment="1">
      <alignment horizontal="center" vertical="center" wrapText="1"/>
    </xf>
    <xf numFmtId="14" fontId="0" fillId="0" borderId="1" xfId="0" applyNumberFormat="1" applyBorder="1" applyAlignment="1">
      <alignment horizontal="center" vertical="center" wrapText="1"/>
    </xf>
    <xf numFmtId="0" fontId="0" fillId="0" borderId="1" xfId="0" applyBorder="1" applyAlignment="1">
      <alignment vertical="center" wrapText="1"/>
    </xf>
    <xf numFmtId="3" fontId="17" fillId="0" borderId="16" xfId="0" applyNumberFormat="1" applyFont="1" applyFill="1" applyBorder="1" applyAlignment="1">
      <alignment horizontal="center" vertical="center" wrapText="1"/>
    </xf>
    <xf numFmtId="165" fontId="9" fillId="2" borderId="12" xfId="0" applyNumberFormat="1" applyFont="1" applyFill="1" applyBorder="1" applyAlignment="1">
      <alignment horizontal="left" vertical="center" wrapText="1"/>
    </xf>
    <xf numFmtId="165" fontId="9" fillId="2" borderId="11" xfId="0" applyNumberFormat="1" applyFont="1" applyFill="1" applyBorder="1" applyAlignment="1">
      <alignment horizontal="left" vertical="center" wrapText="1"/>
    </xf>
    <xf numFmtId="170" fontId="9" fillId="2" borderId="110" xfId="9" applyNumberFormat="1" applyFont="1" applyFill="1" applyBorder="1" applyAlignment="1">
      <alignment vertical="center" wrapText="1"/>
    </xf>
    <xf numFmtId="257" fontId="0" fillId="0" borderId="0" xfId="0" applyNumberFormat="1"/>
    <xf numFmtId="257" fontId="45" fillId="0" borderId="0" xfId="0" applyNumberFormat="1" applyFont="1"/>
    <xf numFmtId="173" fontId="9" fillId="17" borderId="1" xfId="0" applyNumberFormat="1" applyFont="1" applyFill="1" applyBorder="1" applyAlignment="1">
      <alignment horizontal="left" vertical="center" wrapText="1"/>
    </xf>
    <xf numFmtId="173" fontId="9" fillId="17" borderId="1" xfId="0" applyNumberFormat="1" applyFont="1" applyFill="1" applyBorder="1" applyAlignment="1">
      <alignment horizontal="right" vertical="center" wrapText="1"/>
    </xf>
    <xf numFmtId="258" fontId="9" fillId="17" borderId="1" xfId="0" applyNumberFormat="1" applyFont="1" applyFill="1" applyBorder="1" applyAlignment="1">
      <alignment horizontal="right" vertical="center" wrapText="1"/>
    </xf>
    <xf numFmtId="258" fontId="10" fillId="0" borderId="0" xfId="0" applyNumberFormat="1" applyFont="1" applyAlignment="1">
      <alignment vertical="center"/>
    </xf>
    <xf numFmtId="257" fontId="13" fillId="0" borderId="0" xfId="0" applyNumberFormat="1" applyFont="1" applyAlignment="1">
      <alignment vertical="center" wrapText="1"/>
    </xf>
    <xf numFmtId="4" fontId="50" fillId="12" borderId="0" xfId="0" applyNumberFormat="1" applyFont="1" applyFill="1" applyBorder="1" applyAlignment="1">
      <alignment horizontal="left" vertical="center"/>
    </xf>
    <xf numFmtId="170" fontId="17" fillId="0" borderId="1" xfId="9" applyNumberFormat="1" applyFont="1" applyFill="1" applyBorder="1" applyAlignment="1">
      <alignment horizontal="center" vertical="center" wrapText="1"/>
    </xf>
    <xf numFmtId="0" fontId="9" fillId="7" borderId="16" xfId="0" applyFont="1" applyFill="1" applyBorder="1" applyAlignment="1">
      <alignment horizontal="right" vertical="center" wrapText="1"/>
    </xf>
    <xf numFmtId="0" fontId="9" fillId="7" borderId="22" xfId="0" applyFont="1" applyFill="1" applyBorder="1" applyAlignment="1">
      <alignment horizontal="right" vertical="center" wrapText="1"/>
    </xf>
    <xf numFmtId="4" fontId="9" fillId="7" borderId="27" xfId="0" applyNumberFormat="1" applyFont="1" applyFill="1" applyBorder="1" applyAlignment="1">
      <alignment horizontal="right" vertical="center" wrapText="1"/>
    </xf>
    <xf numFmtId="4" fontId="9" fillId="7" borderId="77" xfId="0" applyNumberFormat="1" applyFont="1" applyFill="1" applyBorder="1" applyAlignment="1">
      <alignment horizontal="right" vertical="center" wrapText="1"/>
    </xf>
    <xf numFmtId="4" fontId="9" fillId="7" borderId="73" xfId="0" applyNumberFormat="1" applyFont="1" applyFill="1" applyBorder="1" applyAlignment="1">
      <alignment horizontal="right" vertical="center" wrapText="1"/>
    </xf>
    <xf numFmtId="170" fontId="11" fillId="0" borderId="33" xfId="9" applyNumberFormat="1" applyFont="1" applyFill="1" applyBorder="1" applyAlignment="1">
      <alignment horizontal="center" vertical="center" wrapText="1"/>
    </xf>
    <xf numFmtId="170" fontId="11" fillId="0" borderId="7" xfId="9" applyNumberFormat="1" applyFont="1" applyFill="1" applyBorder="1" applyAlignment="1">
      <alignment horizontal="center" vertical="center" wrapText="1"/>
    </xf>
    <xf numFmtId="170" fontId="11" fillId="0" borderId="25" xfId="9" applyNumberFormat="1" applyFont="1" applyFill="1" applyBorder="1" applyAlignment="1">
      <alignment horizontal="center" vertical="center" wrapText="1"/>
    </xf>
    <xf numFmtId="3" fontId="17" fillId="0" borderId="16" xfId="0" applyNumberFormat="1" applyFont="1" applyFill="1" applyBorder="1" applyAlignment="1">
      <alignment horizontal="center" vertical="center" wrapText="1"/>
    </xf>
    <xf numFmtId="3" fontId="17" fillId="0" borderId="6" xfId="0" applyNumberFormat="1" applyFont="1" applyFill="1" applyBorder="1" applyAlignment="1">
      <alignment horizontal="center" vertical="center" wrapText="1"/>
    </xf>
    <xf numFmtId="3" fontId="17" fillId="0" borderId="22" xfId="0" applyNumberFormat="1" applyFont="1" applyFill="1" applyBorder="1" applyAlignment="1">
      <alignment horizontal="center" vertical="center" wrapText="1"/>
    </xf>
    <xf numFmtId="4" fontId="9" fillId="7" borderId="17" xfId="0" applyNumberFormat="1" applyFont="1" applyFill="1" applyBorder="1" applyAlignment="1">
      <alignment horizontal="right" vertical="center" wrapText="1"/>
    </xf>
    <xf numFmtId="0" fontId="18" fillId="0" borderId="16" xfId="0" applyFont="1" applyFill="1" applyBorder="1" applyAlignment="1">
      <alignment horizontal="left" vertical="center" wrapText="1"/>
    </xf>
    <xf numFmtId="0" fontId="18" fillId="0" borderId="22" xfId="0" applyFont="1" applyFill="1" applyBorder="1" applyAlignment="1">
      <alignment horizontal="left" vertical="center" wrapText="1"/>
    </xf>
    <xf numFmtId="3" fontId="17" fillId="0" borderId="33" xfId="0" applyNumberFormat="1" applyFont="1" applyFill="1" applyBorder="1" applyAlignment="1">
      <alignment horizontal="center" vertical="center" wrapText="1"/>
    </xf>
    <xf numFmtId="3" fontId="17" fillId="0" borderId="7" xfId="0" applyNumberFormat="1" applyFont="1" applyFill="1" applyBorder="1" applyAlignment="1">
      <alignment horizontal="center" vertical="center" wrapText="1"/>
    </xf>
    <xf numFmtId="3" fontId="17" fillId="0" borderId="50" xfId="0" applyNumberFormat="1" applyFont="1" applyFill="1" applyBorder="1" applyAlignment="1">
      <alignment horizontal="center" vertical="center" wrapText="1"/>
    </xf>
    <xf numFmtId="3" fontId="17" fillId="0" borderId="18" xfId="0" applyNumberFormat="1" applyFont="1" applyFill="1" applyBorder="1" applyAlignment="1">
      <alignment horizontal="center" vertical="center" wrapText="1"/>
    </xf>
    <xf numFmtId="3" fontId="17" fillId="0" borderId="19" xfId="0" applyNumberFormat="1" applyFont="1" applyFill="1" applyBorder="1" applyAlignment="1">
      <alignment horizontal="center" vertical="center" wrapText="1"/>
    </xf>
    <xf numFmtId="3" fontId="17" fillId="0" borderId="24" xfId="0" applyNumberFormat="1" applyFont="1" applyFill="1" applyBorder="1" applyAlignment="1">
      <alignment horizontal="center" vertical="center" wrapText="1"/>
    </xf>
    <xf numFmtId="3" fontId="17" fillId="0" borderId="25" xfId="0" applyNumberFormat="1" applyFont="1" applyFill="1" applyBorder="1" applyAlignment="1">
      <alignment horizontal="center" vertical="center" wrapText="1"/>
    </xf>
    <xf numFmtId="0" fontId="60" fillId="0" borderId="16" xfId="0" applyFont="1" applyBorder="1" applyAlignment="1">
      <alignment horizontal="left" vertical="center" wrapText="1"/>
    </xf>
    <xf numFmtId="0" fontId="60" fillId="0" borderId="6" xfId="0" applyFont="1" applyBorder="1" applyAlignment="1">
      <alignment horizontal="left" vertical="center" wrapText="1"/>
    </xf>
    <xf numFmtId="0" fontId="60" fillId="0" borderId="22" xfId="0" applyFont="1" applyBorder="1" applyAlignment="1">
      <alignment horizontal="left" vertical="center" wrapText="1"/>
    </xf>
    <xf numFmtId="4" fontId="9" fillId="7" borderId="16" xfId="0" applyNumberFormat="1" applyFont="1" applyFill="1" applyBorder="1" applyAlignment="1">
      <alignment horizontal="right" vertical="center" wrapText="1"/>
    </xf>
    <xf numFmtId="4" fontId="9" fillId="7" borderId="22" xfId="0" applyNumberFormat="1" applyFont="1" applyFill="1" applyBorder="1" applyAlignment="1">
      <alignment horizontal="right" vertical="center" wrapText="1"/>
    </xf>
    <xf numFmtId="0" fontId="9" fillId="7" borderId="6" xfId="0" applyFont="1" applyFill="1" applyBorder="1" applyAlignment="1">
      <alignment horizontal="right" vertical="center" wrapText="1"/>
    </xf>
    <xf numFmtId="0" fontId="18" fillId="0" borderId="16" xfId="0" applyFont="1" applyBorder="1" applyAlignment="1">
      <alignment horizontal="left" vertical="center" wrapText="1"/>
    </xf>
    <xf numFmtId="0" fontId="18" fillId="0" borderId="6" xfId="0" applyFont="1" applyBorder="1" applyAlignment="1">
      <alignment horizontal="left" vertical="center" wrapText="1"/>
    </xf>
    <xf numFmtId="0" fontId="18" fillId="0" borderId="22" xfId="0" applyFont="1" applyBorder="1" applyAlignment="1">
      <alignment horizontal="left" vertical="center" wrapText="1"/>
    </xf>
    <xf numFmtId="0" fontId="9" fillId="7" borderId="27" xfId="0" applyFont="1" applyFill="1" applyBorder="1" applyAlignment="1">
      <alignment horizontal="right" vertical="center" wrapText="1"/>
    </xf>
    <xf numFmtId="0" fontId="9" fillId="7" borderId="2" xfId="0" applyFont="1" applyFill="1" applyBorder="1" applyAlignment="1">
      <alignment horizontal="right" vertical="center" wrapText="1"/>
    </xf>
    <xf numFmtId="0" fontId="9" fillId="7" borderId="41" xfId="0" applyFont="1" applyFill="1" applyBorder="1" applyAlignment="1">
      <alignment horizontal="right" vertical="center" wrapText="1"/>
    </xf>
    <xf numFmtId="0" fontId="18" fillId="0" borderId="36" xfId="0" applyFont="1" applyFill="1" applyBorder="1" applyAlignment="1">
      <alignment horizontal="left" vertical="center" wrapText="1"/>
    </xf>
    <xf numFmtId="0" fontId="21" fillId="7" borderId="27" xfId="0" applyFont="1" applyFill="1" applyBorder="1" applyAlignment="1">
      <alignment horizontal="right" vertical="center" wrapText="1"/>
    </xf>
    <xf numFmtId="0" fontId="21" fillId="7" borderId="2" xfId="0" applyFont="1" applyFill="1" applyBorder="1" applyAlignment="1">
      <alignment horizontal="right" vertical="center" wrapText="1"/>
    </xf>
    <xf numFmtId="0" fontId="21" fillId="7" borderId="41" xfId="0" applyFont="1" applyFill="1" applyBorder="1" applyAlignment="1">
      <alignment horizontal="right" vertical="center" wrapText="1"/>
    </xf>
    <xf numFmtId="0" fontId="13" fillId="0" borderId="16" xfId="0" applyFont="1" applyBorder="1" applyAlignment="1">
      <alignment horizontal="left" vertical="center" wrapText="1"/>
    </xf>
    <xf numFmtId="0" fontId="13" fillId="0" borderId="22" xfId="0" applyFont="1" applyBorder="1" applyAlignment="1">
      <alignment horizontal="left" vertical="center" wrapText="1"/>
    </xf>
    <xf numFmtId="0" fontId="69" fillId="0" borderId="16" xfId="0" applyFont="1" applyBorder="1" applyAlignment="1">
      <alignment horizontal="left" vertical="center" wrapText="1"/>
    </xf>
    <xf numFmtId="0" fontId="69" fillId="0" borderId="6" xfId="0" applyFont="1" applyBorder="1" applyAlignment="1">
      <alignment horizontal="left" vertical="center" wrapText="1"/>
    </xf>
    <xf numFmtId="170" fontId="17" fillId="0" borderId="18" xfId="9" applyNumberFormat="1" applyFont="1" applyFill="1" applyBorder="1" applyAlignment="1">
      <alignment horizontal="center" vertical="center" wrapText="1"/>
    </xf>
    <xf numFmtId="170" fontId="17" fillId="0" borderId="19" xfId="9" applyNumberFormat="1" applyFont="1" applyFill="1" applyBorder="1" applyAlignment="1">
      <alignment horizontal="center" vertical="center" wrapText="1"/>
    </xf>
    <xf numFmtId="170" fontId="17" fillId="0" borderId="24" xfId="9" applyNumberFormat="1" applyFont="1" applyFill="1" applyBorder="1" applyAlignment="1">
      <alignment horizontal="center" vertical="center" wrapText="1"/>
    </xf>
    <xf numFmtId="0" fontId="14" fillId="0" borderId="12" xfId="0" applyFont="1" applyBorder="1" applyAlignment="1">
      <alignment horizontal="left" vertical="center" wrapText="1"/>
    </xf>
    <xf numFmtId="0" fontId="14" fillId="0" borderId="11" xfId="0" applyFont="1" applyBorder="1" applyAlignment="1">
      <alignment horizontal="left" vertical="center" wrapText="1"/>
    </xf>
    <xf numFmtId="0" fontId="14" fillId="0" borderId="32" xfId="0" applyFont="1" applyBorder="1" applyAlignment="1">
      <alignment horizontal="left" vertical="center" wrapText="1"/>
    </xf>
    <xf numFmtId="0" fontId="9" fillId="7" borderId="49" xfId="0" applyFont="1" applyFill="1" applyBorder="1" applyAlignment="1">
      <alignment horizontal="right" vertical="center" wrapText="1"/>
    </xf>
    <xf numFmtId="0" fontId="9" fillId="7" borderId="44" xfId="0" applyFont="1" applyFill="1" applyBorder="1" applyAlignment="1">
      <alignment horizontal="right" vertical="center" wrapText="1"/>
    </xf>
    <xf numFmtId="0" fontId="13" fillId="0" borderId="49" xfId="0" applyFont="1" applyBorder="1" applyAlignment="1">
      <alignment horizontal="left" vertical="center" wrapText="1"/>
    </xf>
    <xf numFmtId="0" fontId="13" fillId="0" borderId="44" xfId="0" applyFont="1" applyBorder="1" applyAlignment="1">
      <alignment horizontal="left" vertical="center" wrapText="1"/>
    </xf>
    <xf numFmtId="0" fontId="18" fillId="0" borderId="6" xfId="0" applyFont="1" applyFill="1" applyBorder="1" applyAlignment="1">
      <alignment horizontal="left" vertical="center" wrapText="1"/>
    </xf>
    <xf numFmtId="0" fontId="13" fillId="5" borderId="1" xfId="0" applyFont="1" applyFill="1" applyBorder="1" applyAlignment="1">
      <alignment horizontal="right" vertical="center" wrapText="1"/>
    </xf>
    <xf numFmtId="4" fontId="9" fillId="7" borderId="51" xfId="0" applyNumberFormat="1" applyFont="1" applyFill="1" applyBorder="1" applyAlignment="1">
      <alignment horizontal="left" vertical="center" wrapText="1"/>
    </xf>
    <xf numFmtId="4" fontId="9" fillId="7" borderId="45" xfId="0" applyNumberFormat="1" applyFont="1" applyFill="1" applyBorder="1" applyAlignment="1">
      <alignment horizontal="left" vertical="center" wrapText="1"/>
    </xf>
    <xf numFmtId="4" fontId="9" fillId="7" borderId="47" xfId="0" applyNumberFormat="1" applyFont="1" applyFill="1" applyBorder="1" applyAlignment="1">
      <alignment horizontal="left" vertical="center" wrapText="1"/>
    </xf>
    <xf numFmtId="4" fontId="9" fillId="7" borderId="43" xfId="0" applyNumberFormat="1" applyFont="1" applyFill="1" applyBorder="1" applyAlignment="1">
      <alignment horizontal="left" vertical="center" wrapText="1"/>
    </xf>
    <xf numFmtId="4" fontId="9" fillId="7" borderId="48" xfId="0" applyNumberFormat="1" applyFont="1" applyFill="1" applyBorder="1" applyAlignment="1">
      <alignment horizontal="left" vertical="center" wrapText="1"/>
    </xf>
    <xf numFmtId="4" fontId="9" fillId="7" borderId="46" xfId="0" applyNumberFormat="1" applyFont="1" applyFill="1" applyBorder="1" applyAlignment="1">
      <alignment horizontal="left" vertical="center" wrapText="1"/>
    </xf>
    <xf numFmtId="0" fontId="21" fillId="7" borderId="16" xfId="0" applyFont="1" applyFill="1" applyBorder="1" applyAlignment="1">
      <alignment horizontal="right" vertical="center" wrapText="1"/>
    </xf>
    <xf numFmtId="0" fontId="21" fillId="7" borderId="6" xfId="0" applyFont="1" applyFill="1" applyBorder="1" applyAlignment="1">
      <alignment horizontal="right" vertical="center" wrapText="1"/>
    </xf>
    <xf numFmtId="0" fontId="21" fillId="7" borderId="22" xfId="0" applyFont="1" applyFill="1" applyBorder="1" applyAlignment="1">
      <alignment horizontal="right" vertical="center" wrapText="1"/>
    </xf>
    <xf numFmtId="3" fontId="17" fillId="0" borderId="1" xfId="0" applyNumberFormat="1" applyFont="1" applyFill="1" applyBorder="1" applyAlignment="1">
      <alignment horizontal="center" vertical="center" wrapText="1"/>
    </xf>
    <xf numFmtId="4" fontId="9" fillId="7" borderId="12" xfId="0" applyNumberFormat="1" applyFont="1" applyFill="1" applyBorder="1" applyAlignment="1">
      <alignment horizontal="right" vertical="center" wrapText="1"/>
    </xf>
    <xf numFmtId="0" fontId="9" fillId="7" borderId="11" xfId="0" applyFont="1" applyFill="1" applyBorder="1" applyAlignment="1">
      <alignment horizontal="right" vertical="center" wrapText="1"/>
    </xf>
    <xf numFmtId="0" fontId="9" fillId="7" borderId="21" xfId="0" applyFont="1" applyFill="1" applyBorder="1" applyAlignment="1">
      <alignment horizontal="right" vertical="center" wrapText="1"/>
    </xf>
    <xf numFmtId="0" fontId="66" fillId="7" borderId="49" xfId="0" applyFont="1" applyFill="1" applyBorder="1" applyAlignment="1">
      <alignment horizontal="right" vertical="center" wrapText="1"/>
    </xf>
    <xf numFmtId="0" fontId="66" fillId="7" borderId="4" xfId="0" applyFont="1" applyFill="1" applyBorder="1" applyAlignment="1">
      <alignment horizontal="right" vertical="center" wrapText="1"/>
    </xf>
    <xf numFmtId="0" fontId="66" fillId="7" borderId="44" xfId="0" applyFont="1" applyFill="1" applyBorder="1" applyAlignment="1">
      <alignment horizontal="right" vertical="center" wrapText="1"/>
    </xf>
    <xf numFmtId="0" fontId="97" fillId="0" borderId="45" xfId="0" applyFont="1" applyFill="1" applyBorder="1" applyAlignment="1">
      <alignment horizontal="right" vertical="center" wrapText="1"/>
    </xf>
    <xf numFmtId="0" fontId="97" fillId="0" borderId="43" xfId="0" applyFont="1" applyFill="1" applyBorder="1" applyAlignment="1">
      <alignment horizontal="right" vertical="center" wrapText="1"/>
    </xf>
    <xf numFmtId="0" fontId="97" fillId="0" borderId="46" xfId="0" applyFont="1" applyFill="1" applyBorder="1" applyAlignment="1">
      <alignment horizontal="right" vertical="center" wrapText="1"/>
    </xf>
    <xf numFmtId="0" fontId="21" fillId="7" borderId="51" xfId="0" applyFont="1" applyFill="1" applyBorder="1" applyAlignment="1">
      <alignment horizontal="center" vertical="center" wrapText="1"/>
    </xf>
    <xf numFmtId="0" fontId="21" fillId="7" borderId="45" xfId="0" applyFont="1" applyFill="1" applyBorder="1" applyAlignment="1">
      <alignment horizontal="center" vertical="center" wrapText="1"/>
    </xf>
    <xf numFmtId="0" fontId="21" fillId="7" borderId="48"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27" xfId="0" applyFont="1" applyFill="1" applyBorder="1" applyAlignment="1">
      <alignment horizontal="center" vertical="center" wrapText="1"/>
    </xf>
    <xf numFmtId="0" fontId="21" fillId="7" borderId="40"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26" xfId="0" applyFont="1" applyFill="1" applyBorder="1" applyAlignment="1">
      <alignment horizontal="center" vertical="center" wrapText="1"/>
    </xf>
    <xf numFmtId="0" fontId="21" fillId="7" borderId="3" xfId="0" applyFont="1" applyFill="1" applyBorder="1" applyAlignment="1">
      <alignment horizontal="right" vertical="center" wrapText="1"/>
    </xf>
    <xf numFmtId="0" fontId="21" fillId="7" borderId="4" xfId="0" applyFont="1" applyFill="1" applyBorder="1" applyAlignment="1">
      <alignment horizontal="right" vertical="center" wrapText="1"/>
    </xf>
    <xf numFmtId="0" fontId="21" fillId="7" borderId="44" xfId="0" applyFont="1" applyFill="1" applyBorder="1" applyAlignment="1">
      <alignment horizontal="right" vertical="center" wrapText="1"/>
    </xf>
    <xf numFmtId="0" fontId="9" fillId="7" borderId="12" xfId="0" applyFont="1" applyFill="1" applyBorder="1" applyAlignment="1">
      <alignment horizontal="right" vertical="center" wrapText="1"/>
    </xf>
    <xf numFmtId="0" fontId="60" fillId="0" borderId="16" xfId="0" applyFont="1" applyFill="1" applyBorder="1" applyAlignment="1">
      <alignment horizontal="left" vertical="center" wrapText="1"/>
    </xf>
    <xf numFmtId="0" fontId="60" fillId="0" borderId="6" xfId="0" applyFont="1" applyFill="1" applyBorder="1" applyAlignment="1">
      <alignment horizontal="left" vertical="center" wrapText="1"/>
    </xf>
    <xf numFmtId="0" fontId="60" fillId="0" borderId="22" xfId="0" applyFont="1" applyFill="1" applyBorder="1" applyAlignment="1">
      <alignment horizontal="left" vertical="center" wrapText="1"/>
    </xf>
    <xf numFmtId="0" fontId="9" fillId="7" borderId="32" xfId="0" applyFont="1" applyFill="1" applyBorder="1" applyAlignment="1">
      <alignment horizontal="right" vertical="center" wrapText="1"/>
    </xf>
    <xf numFmtId="0" fontId="60" fillId="0" borderId="51" xfId="0" applyFont="1" applyFill="1" applyBorder="1" applyAlignment="1">
      <alignment horizontal="left" vertical="center" wrapText="1"/>
    </xf>
    <xf numFmtId="0" fontId="60" fillId="0" borderId="45" xfId="0" applyFont="1" applyFill="1" applyBorder="1" applyAlignment="1">
      <alignment horizontal="left" vertical="center" wrapText="1"/>
    </xf>
    <xf numFmtId="0" fontId="60" fillId="0" borderId="47" xfId="0" applyFont="1" applyFill="1" applyBorder="1" applyAlignment="1">
      <alignment horizontal="left" vertical="center" wrapText="1"/>
    </xf>
    <xf numFmtId="0" fontId="60" fillId="0" borderId="43" xfId="0" applyFont="1" applyFill="1" applyBorder="1" applyAlignment="1">
      <alignment horizontal="left" vertical="center" wrapText="1"/>
    </xf>
    <xf numFmtId="0" fontId="60" fillId="0" borderId="48" xfId="0" applyFont="1" applyFill="1" applyBorder="1" applyAlignment="1">
      <alignment horizontal="left" vertical="center" wrapText="1"/>
    </xf>
    <xf numFmtId="0" fontId="60" fillId="0" borderId="46" xfId="0" applyFont="1" applyFill="1" applyBorder="1" applyAlignment="1">
      <alignment horizontal="left" vertical="center" wrapText="1"/>
    </xf>
    <xf numFmtId="0" fontId="21" fillId="7" borderId="11" xfId="0" applyFont="1" applyFill="1" applyBorder="1" applyAlignment="1">
      <alignment horizontal="right" vertical="center" wrapText="1"/>
    </xf>
    <xf numFmtId="0" fontId="21" fillId="7" borderId="21" xfId="0" applyFont="1" applyFill="1" applyBorder="1" applyAlignment="1">
      <alignment horizontal="right" vertical="center" wrapText="1"/>
    </xf>
    <xf numFmtId="0" fontId="21" fillId="7" borderId="12" xfId="0" applyFont="1" applyFill="1" applyBorder="1" applyAlignment="1">
      <alignment horizontal="right" vertical="center" wrapText="1"/>
    </xf>
    <xf numFmtId="3" fontId="17" fillId="0" borderId="40" xfId="0" applyNumberFormat="1" applyFont="1" applyFill="1" applyBorder="1" applyAlignment="1">
      <alignment horizontal="center" vertical="center" wrapText="1"/>
    </xf>
    <xf numFmtId="3" fontId="17" fillId="0" borderId="0" xfId="0" applyNumberFormat="1" applyFont="1" applyFill="1" applyBorder="1" applyAlignment="1">
      <alignment horizontal="center" vertical="center" wrapText="1"/>
    </xf>
    <xf numFmtId="3" fontId="17" fillId="0" borderId="26" xfId="0" applyNumberFormat="1" applyFont="1" applyFill="1" applyBorder="1" applyAlignment="1">
      <alignment horizontal="center" vertical="center" wrapText="1"/>
    </xf>
    <xf numFmtId="0" fontId="13" fillId="0" borderId="49" xfId="0" applyFont="1" applyBorder="1" applyAlignment="1">
      <alignment horizontal="right" vertical="center" wrapText="1"/>
    </xf>
    <xf numFmtId="0" fontId="13" fillId="0" borderId="4" xfId="0" applyFont="1" applyBorder="1" applyAlignment="1">
      <alignment horizontal="right" vertical="center" wrapText="1"/>
    </xf>
    <xf numFmtId="0" fontId="13" fillId="0" borderId="40" xfId="0" applyFont="1" applyBorder="1" applyAlignment="1">
      <alignment horizontal="right" vertical="center" wrapText="1"/>
    </xf>
    <xf numFmtId="0" fontId="13" fillId="0" borderId="51" xfId="0" applyFont="1" applyBorder="1" applyAlignment="1">
      <alignment horizontal="right" vertical="center" wrapText="1"/>
    </xf>
    <xf numFmtId="0" fontId="13" fillId="0" borderId="45" xfId="0" applyFont="1" applyBorder="1" applyAlignment="1">
      <alignment horizontal="right" vertical="center" wrapText="1"/>
    </xf>
    <xf numFmtId="0" fontId="13" fillId="0" borderId="48" xfId="0" applyFont="1" applyBorder="1" applyAlignment="1">
      <alignment horizontal="right" vertical="center" wrapText="1"/>
    </xf>
    <xf numFmtId="0" fontId="13" fillId="0" borderId="46" xfId="0" applyFont="1" applyBorder="1" applyAlignment="1">
      <alignment horizontal="right" vertical="center" wrapText="1"/>
    </xf>
    <xf numFmtId="4" fontId="9" fillId="7" borderId="51" xfId="0" applyNumberFormat="1" applyFont="1" applyFill="1" applyBorder="1" applyAlignment="1">
      <alignment horizontal="right" vertical="center" wrapText="1"/>
    </xf>
    <xf numFmtId="4" fontId="9" fillId="7" borderId="47" xfId="0" applyNumberFormat="1" applyFont="1" applyFill="1" applyBorder="1" applyAlignment="1">
      <alignment horizontal="right" vertical="center" wrapText="1"/>
    </xf>
    <xf numFmtId="4" fontId="9" fillId="7" borderId="48" xfId="0" applyNumberFormat="1" applyFont="1" applyFill="1" applyBorder="1" applyAlignment="1">
      <alignment horizontal="right" vertical="center" wrapText="1"/>
    </xf>
    <xf numFmtId="3" fontId="17" fillId="0" borderId="12" xfId="0" applyNumberFormat="1" applyFont="1" applyFill="1" applyBorder="1" applyAlignment="1">
      <alignment horizontal="center" vertical="center" wrapText="1"/>
    </xf>
    <xf numFmtId="3" fontId="17" fillId="0" borderId="11" xfId="0" applyNumberFormat="1" applyFont="1" applyFill="1" applyBorder="1" applyAlignment="1">
      <alignment horizontal="center" vertical="center" wrapText="1"/>
    </xf>
    <xf numFmtId="3" fontId="17" fillId="0" borderId="21" xfId="0" applyNumberFormat="1" applyFont="1" applyFill="1" applyBorder="1" applyAlignment="1">
      <alignment horizontal="center" vertical="center" wrapText="1"/>
    </xf>
    <xf numFmtId="9" fontId="20" fillId="0" borderId="33" xfId="2" applyFont="1" applyFill="1" applyBorder="1" applyAlignment="1">
      <alignment horizontal="center" vertical="center" wrapText="1"/>
    </xf>
    <xf numFmtId="9" fontId="20" fillId="0" borderId="7" xfId="2" applyFont="1" applyFill="1" applyBorder="1" applyAlignment="1">
      <alignment horizontal="center" vertical="center" wrapText="1"/>
    </xf>
    <xf numFmtId="9" fontId="20" fillId="0" borderId="25" xfId="2" applyFont="1" applyFill="1" applyBorder="1" applyAlignment="1">
      <alignment horizontal="center" vertical="center" wrapText="1"/>
    </xf>
    <xf numFmtId="9" fontId="20" fillId="2" borderId="12" xfId="2" applyFont="1" applyFill="1" applyBorder="1" applyAlignment="1">
      <alignment horizontal="center" vertical="center" wrapText="1"/>
    </xf>
    <xf numFmtId="9" fontId="20" fillId="2" borderId="11" xfId="2" applyFont="1" applyFill="1" applyBorder="1" applyAlignment="1">
      <alignment horizontal="center" vertical="center" wrapText="1"/>
    </xf>
    <xf numFmtId="9" fontId="20" fillId="2" borderId="21" xfId="2" applyFont="1" applyFill="1" applyBorder="1" applyAlignment="1">
      <alignment horizontal="center" vertical="center" wrapText="1"/>
    </xf>
    <xf numFmtId="0" fontId="21" fillId="7" borderId="40" xfId="0" applyFont="1" applyFill="1" applyBorder="1" applyAlignment="1">
      <alignment horizontal="right" vertical="center" wrapText="1"/>
    </xf>
    <xf numFmtId="0" fontId="21" fillId="7" borderId="0" xfId="0" applyFont="1" applyFill="1" applyBorder="1" applyAlignment="1">
      <alignment horizontal="right" vertical="center" wrapText="1"/>
    </xf>
    <xf numFmtId="0" fontId="21" fillId="7" borderId="26" xfId="0" applyFont="1" applyFill="1" applyBorder="1" applyAlignment="1">
      <alignment horizontal="right" vertical="center" wrapText="1"/>
    </xf>
    <xf numFmtId="0" fontId="18" fillId="0" borderId="12" xfId="0" applyFont="1" applyBorder="1" applyAlignment="1">
      <alignment horizontal="left" vertical="center" wrapText="1"/>
    </xf>
    <xf numFmtId="0" fontId="18" fillId="0" borderId="11" xfId="0" applyFont="1" applyBorder="1" applyAlignment="1">
      <alignment horizontal="left" vertical="center" wrapText="1"/>
    </xf>
    <xf numFmtId="0" fontId="18" fillId="0" borderId="32" xfId="0" applyFont="1" applyBorder="1" applyAlignment="1">
      <alignment horizontal="left" vertical="center" wrapText="1"/>
    </xf>
    <xf numFmtId="0" fontId="9" fillId="7" borderId="40" xfId="0" applyFont="1" applyFill="1" applyBorder="1" applyAlignment="1">
      <alignment horizontal="right" vertical="center" wrapText="1"/>
    </xf>
    <xf numFmtId="0" fontId="9" fillId="7" borderId="0" xfId="0" applyFont="1" applyFill="1" applyBorder="1" applyAlignment="1">
      <alignment horizontal="right" vertical="center" wrapText="1"/>
    </xf>
    <xf numFmtId="0" fontId="9" fillId="7" borderId="26" xfId="0" applyFont="1" applyFill="1" applyBorder="1" applyAlignment="1">
      <alignment horizontal="right" vertical="center" wrapText="1"/>
    </xf>
    <xf numFmtId="0" fontId="14" fillId="0" borderId="40"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26" xfId="0" applyFont="1" applyBorder="1" applyAlignment="1">
      <alignment horizontal="center" vertical="center" wrapText="1"/>
    </xf>
    <xf numFmtId="0" fontId="14" fillId="0" borderId="16" xfId="0" applyFont="1" applyBorder="1" applyAlignment="1">
      <alignment horizontal="right" vertical="center" wrapText="1"/>
    </xf>
    <xf numFmtId="0" fontId="14" fillId="0" borderId="6" xfId="0" applyFont="1" applyBorder="1" applyAlignment="1">
      <alignment horizontal="right" vertical="center" wrapText="1"/>
    </xf>
    <xf numFmtId="0" fontId="14" fillId="0" borderId="22" xfId="0" applyFont="1" applyBorder="1" applyAlignment="1">
      <alignment horizontal="right" vertical="center" wrapText="1"/>
    </xf>
    <xf numFmtId="9" fontId="20" fillId="0" borderId="18" xfId="2" applyFont="1" applyFill="1" applyBorder="1" applyAlignment="1">
      <alignment horizontal="center" vertical="center" wrapText="1"/>
    </xf>
    <xf numFmtId="9" fontId="20" fillId="0" borderId="19" xfId="2" applyFont="1" applyFill="1" applyBorder="1" applyAlignment="1">
      <alignment horizontal="center" vertical="center" wrapText="1"/>
    </xf>
    <xf numFmtId="9" fontId="20" fillId="0" borderId="24" xfId="2" applyFont="1" applyFill="1" applyBorder="1" applyAlignment="1">
      <alignment horizontal="center" vertical="center" wrapText="1"/>
    </xf>
    <xf numFmtId="0" fontId="18" fillId="0" borderId="21" xfId="0" applyFont="1" applyBorder="1" applyAlignment="1">
      <alignment horizontal="left" vertical="center" wrapText="1"/>
    </xf>
    <xf numFmtId="0" fontId="18" fillId="0" borderId="36" xfId="0" applyFont="1" applyBorder="1" applyAlignment="1">
      <alignment horizontal="left" vertical="center" wrapText="1"/>
    </xf>
    <xf numFmtId="3" fontId="17" fillId="0" borderId="57" xfId="0" applyNumberFormat="1" applyFont="1" applyFill="1" applyBorder="1" applyAlignment="1">
      <alignment horizontal="center" vertical="center" wrapText="1"/>
    </xf>
    <xf numFmtId="3" fontId="17" fillId="0" borderId="81" xfId="0" applyNumberFormat="1" applyFont="1" applyFill="1" applyBorder="1" applyAlignment="1">
      <alignment horizontal="center" vertical="center" wrapText="1"/>
    </xf>
    <xf numFmtId="3" fontId="17" fillId="0" borderId="13" xfId="0" applyNumberFormat="1" applyFont="1" applyFill="1" applyBorder="1" applyAlignment="1">
      <alignment horizontal="center" vertical="center" wrapText="1"/>
    </xf>
    <xf numFmtId="3" fontId="17" fillId="0" borderId="15" xfId="0" applyNumberFormat="1" applyFont="1" applyFill="1" applyBorder="1" applyAlignment="1">
      <alignment horizontal="center" vertical="center" wrapText="1"/>
    </xf>
    <xf numFmtId="3" fontId="17" fillId="0" borderId="23" xfId="0" applyNumberFormat="1" applyFont="1" applyFill="1" applyBorder="1" applyAlignment="1">
      <alignment horizontal="center" vertical="center" wrapText="1"/>
    </xf>
    <xf numFmtId="9" fontId="20" fillId="2" borderId="13" xfId="2" applyFont="1" applyFill="1" applyBorder="1" applyAlignment="1">
      <alignment horizontal="center" vertical="center" wrapText="1"/>
    </xf>
    <xf numFmtId="9" fontId="20" fillId="2" borderId="15" xfId="2" applyFont="1" applyFill="1" applyBorder="1" applyAlignment="1">
      <alignment horizontal="center" vertical="center" wrapText="1"/>
    </xf>
    <xf numFmtId="9" fontId="20" fillId="2" borderId="23" xfId="2" applyFont="1" applyFill="1" applyBorder="1" applyAlignment="1">
      <alignment horizontal="center" vertical="center" wrapText="1"/>
    </xf>
    <xf numFmtId="0" fontId="9" fillId="0" borderId="16" xfId="0" applyFont="1" applyBorder="1" applyAlignment="1">
      <alignment horizontal="right" vertical="center" wrapText="1"/>
    </xf>
    <xf numFmtId="0" fontId="9" fillId="0" borderId="6" xfId="0" applyFont="1" applyBorder="1" applyAlignment="1">
      <alignment horizontal="right" vertical="center" wrapText="1"/>
    </xf>
    <xf numFmtId="0" fontId="9" fillId="0" borderId="22" xfId="0" applyFont="1" applyBorder="1" applyAlignment="1">
      <alignment horizontal="right" vertical="center" wrapText="1"/>
    </xf>
    <xf numFmtId="4" fontId="9" fillId="7" borderId="45" xfId="0" applyNumberFormat="1" applyFont="1" applyFill="1" applyBorder="1" applyAlignment="1">
      <alignment horizontal="right" vertical="center" wrapText="1"/>
    </xf>
    <xf numFmtId="4" fontId="9" fillId="7" borderId="46" xfId="0" applyNumberFormat="1" applyFont="1" applyFill="1" applyBorder="1" applyAlignment="1">
      <alignment horizontal="right" vertical="center" wrapText="1"/>
    </xf>
    <xf numFmtId="0" fontId="18" fillId="0" borderId="45" xfId="0" applyFont="1" applyBorder="1" applyAlignment="1">
      <alignment horizontal="left" vertical="center" wrapText="1"/>
    </xf>
    <xf numFmtId="0" fontId="18" fillId="0" borderId="43" xfId="0" applyFont="1" applyBorder="1" applyAlignment="1">
      <alignment horizontal="left" vertical="center" wrapText="1"/>
    </xf>
    <xf numFmtId="0" fontId="18" fillId="0" borderId="46" xfId="0" applyFont="1" applyBorder="1" applyAlignment="1">
      <alignment horizontal="left" vertical="center" wrapText="1"/>
    </xf>
    <xf numFmtId="0" fontId="9" fillId="7" borderId="48" xfId="0" applyFont="1" applyFill="1" applyBorder="1" applyAlignment="1">
      <alignment horizontal="right" vertical="center" wrapText="1"/>
    </xf>
    <xf numFmtId="0" fontId="9" fillId="7" borderId="46" xfId="0" applyFont="1" applyFill="1" applyBorder="1" applyAlignment="1">
      <alignment horizontal="right" vertical="center" wrapText="1"/>
    </xf>
    <xf numFmtId="0" fontId="71" fillId="0" borderId="16" xfId="0" applyFont="1" applyBorder="1" applyAlignment="1">
      <alignment horizontal="left" vertical="center" wrapText="1"/>
    </xf>
    <xf numFmtId="0" fontId="71" fillId="0" borderId="6" xfId="0" applyFont="1" applyBorder="1" applyAlignment="1">
      <alignment horizontal="left" vertical="center" wrapText="1"/>
    </xf>
    <xf numFmtId="0" fontId="71" fillId="0" borderId="22" xfId="0" applyFont="1" applyBorder="1" applyAlignment="1">
      <alignment horizontal="left" vertical="center" wrapText="1"/>
    </xf>
    <xf numFmtId="0" fontId="74" fillId="0" borderId="16" xfId="0" applyFont="1" applyBorder="1" applyAlignment="1">
      <alignment horizontal="left" vertical="center" wrapText="1"/>
    </xf>
    <xf numFmtId="0" fontId="74" fillId="0" borderId="6" xfId="0" applyFont="1" applyBorder="1" applyAlignment="1">
      <alignment horizontal="left" vertical="center" wrapText="1"/>
    </xf>
    <xf numFmtId="0" fontId="74" fillId="0" borderId="22" xfId="0" applyFont="1" applyBorder="1" applyAlignment="1">
      <alignment horizontal="left" vertical="center" wrapText="1"/>
    </xf>
    <xf numFmtId="0" fontId="20" fillId="7" borderId="2" xfId="0" applyFont="1" applyFill="1" applyBorder="1" applyAlignment="1">
      <alignment horizontal="center" vertical="center" wrapText="1"/>
    </xf>
    <xf numFmtId="0" fontId="20" fillId="7" borderId="0"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26" xfId="0" applyFont="1" applyFill="1" applyBorder="1" applyAlignment="1">
      <alignment horizontal="center" vertical="center" wrapText="1"/>
    </xf>
    <xf numFmtId="0" fontId="14" fillId="0" borderId="16" xfId="0" applyFont="1" applyBorder="1" applyAlignment="1">
      <alignment horizontal="left" vertical="center" wrapText="1"/>
    </xf>
    <xf numFmtId="0" fontId="14" fillId="0" borderId="22" xfId="0" applyFont="1" applyBorder="1" applyAlignment="1">
      <alignment horizontal="left" vertical="center" wrapText="1"/>
    </xf>
    <xf numFmtId="0" fontId="19" fillId="0" borderId="2" xfId="0" applyFont="1" applyFill="1" applyBorder="1" applyAlignment="1">
      <alignment horizontal="center" vertical="center" wrapText="1"/>
    </xf>
    <xf numFmtId="0" fontId="9" fillId="7" borderId="51" xfId="0" applyFont="1" applyFill="1" applyBorder="1" applyAlignment="1">
      <alignment horizontal="right" vertical="center" wrapText="1"/>
    </xf>
    <xf numFmtId="0" fontId="9" fillId="7" borderId="45" xfId="0" applyFont="1" applyFill="1" applyBorder="1" applyAlignment="1">
      <alignment horizontal="right" vertical="center" wrapText="1"/>
    </xf>
    <xf numFmtId="0" fontId="9" fillId="7" borderId="47" xfId="0" applyFont="1" applyFill="1" applyBorder="1" applyAlignment="1">
      <alignment horizontal="right" vertical="center" wrapText="1"/>
    </xf>
    <xf numFmtId="0" fontId="9" fillId="7" borderId="43" xfId="0" applyFont="1" applyFill="1" applyBorder="1" applyAlignment="1">
      <alignment horizontal="right" vertical="center" wrapText="1"/>
    </xf>
    <xf numFmtId="0" fontId="9" fillId="7" borderId="10" xfId="0" applyFont="1" applyFill="1" applyBorder="1" applyAlignment="1">
      <alignment horizontal="right" vertical="center" wrapText="1"/>
    </xf>
    <xf numFmtId="0" fontId="9" fillId="7" borderId="20" xfId="0" applyFont="1" applyFill="1" applyBorder="1" applyAlignment="1">
      <alignment horizontal="right" vertical="center" wrapText="1"/>
    </xf>
    <xf numFmtId="0" fontId="9" fillId="6" borderId="3" xfId="0" applyFont="1" applyFill="1" applyBorder="1" applyAlignment="1">
      <alignment horizontal="left" vertical="center" wrapText="1"/>
    </xf>
    <xf numFmtId="0" fontId="9" fillId="6" borderId="4" xfId="0" applyFont="1" applyFill="1" applyBorder="1" applyAlignment="1">
      <alignment horizontal="left" vertical="center" wrapText="1"/>
    </xf>
    <xf numFmtId="0" fontId="9" fillId="6" borderId="5" xfId="0" applyFont="1" applyFill="1" applyBorder="1" applyAlignment="1">
      <alignment horizontal="left" vertical="center" wrapText="1"/>
    </xf>
    <xf numFmtId="4" fontId="9" fillId="7" borderId="27" xfId="0" applyNumberFormat="1" applyFont="1" applyFill="1" applyBorder="1" applyAlignment="1">
      <alignment horizontal="center" vertical="center" wrapText="1"/>
    </xf>
    <xf numFmtId="4" fontId="9" fillId="7" borderId="40" xfId="0" applyNumberFormat="1" applyFont="1" applyFill="1" applyBorder="1" applyAlignment="1">
      <alignment horizontal="center" vertical="center" wrapText="1"/>
    </xf>
    <xf numFmtId="4" fontId="9" fillId="7" borderId="41" xfId="0" applyNumberFormat="1" applyFont="1" applyFill="1" applyBorder="1" applyAlignment="1">
      <alignment horizontal="center" vertical="center" wrapText="1"/>
    </xf>
    <xf numFmtId="4" fontId="9" fillId="7" borderId="26" xfId="0" applyNumberFormat="1" applyFont="1" applyFill="1" applyBorder="1" applyAlignment="1">
      <alignment horizontal="center" vertical="center" wrapText="1"/>
    </xf>
    <xf numFmtId="4" fontId="21" fillId="7" borderId="16" xfId="0" applyNumberFormat="1" applyFont="1" applyFill="1" applyBorder="1" applyAlignment="1">
      <alignment horizontal="right" vertical="center" wrapText="1"/>
    </xf>
    <xf numFmtId="0" fontId="69" fillId="0" borderId="16" xfId="0" applyFont="1" applyFill="1" applyBorder="1" applyAlignment="1">
      <alignment horizontal="left" vertical="center" wrapText="1"/>
    </xf>
    <xf numFmtId="0" fontId="69" fillId="0" borderId="6" xfId="0" applyFont="1" applyFill="1" applyBorder="1" applyAlignment="1">
      <alignment horizontal="left" vertical="center" wrapText="1"/>
    </xf>
    <xf numFmtId="0" fontId="69" fillId="0" borderId="22" xfId="0" applyFont="1" applyFill="1" applyBorder="1" applyAlignment="1">
      <alignment horizontal="left" vertical="center" wrapText="1"/>
    </xf>
    <xf numFmtId="0" fontId="14" fillId="0" borderId="6" xfId="0" applyFont="1" applyBorder="1" applyAlignment="1">
      <alignment horizontal="left" vertical="center" wrapText="1"/>
    </xf>
    <xf numFmtId="0" fontId="18" fillId="0" borderId="12" xfId="0" applyFont="1" applyFill="1" applyBorder="1" applyAlignment="1">
      <alignment horizontal="left" vertical="center" wrapText="1"/>
    </xf>
    <xf numFmtId="0" fontId="18" fillId="0" borderId="21" xfId="0" applyFont="1" applyFill="1" applyBorder="1" applyAlignment="1">
      <alignment horizontal="left" vertical="center" wrapText="1"/>
    </xf>
    <xf numFmtId="4" fontId="9" fillId="7" borderId="36" xfId="0" applyNumberFormat="1" applyFont="1" applyFill="1" applyBorder="1" applyAlignment="1">
      <alignment horizontal="right" vertical="center" wrapText="1"/>
    </xf>
    <xf numFmtId="4" fontId="9" fillId="7" borderId="11" xfId="0" applyNumberFormat="1" applyFont="1" applyFill="1" applyBorder="1" applyAlignment="1">
      <alignment horizontal="right" vertical="center" wrapText="1"/>
    </xf>
    <xf numFmtId="0" fontId="69" fillId="0" borderId="51" xfId="0" applyFont="1" applyBorder="1" applyAlignment="1">
      <alignment horizontal="left" vertical="center" wrapText="1"/>
    </xf>
    <xf numFmtId="0" fontId="69" fillId="0" borderId="45" xfId="0" applyFont="1" applyBorder="1" applyAlignment="1">
      <alignment horizontal="left" vertical="center" wrapText="1"/>
    </xf>
    <xf numFmtId="0" fontId="69" fillId="0" borderId="47" xfId="0" applyFont="1" applyBorder="1" applyAlignment="1">
      <alignment horizontal="left" vertical="center" wrapText="1"/>
    </xf>
    <xf numFmtId="0" fontId="69" fillId="0" borderId="43" xfId="0" applyFont="1" applyBorder="1" applyAlignment="1">
      <alignment horizontal="left" vertical="center" wrapText="1"/>
    </xf>
    <xf numFmtId="0" fontId="69" fillId="0" borderId="48" xfId="0" applyFont="1" applyBorder="1" applyAlignment="1">
      <alignment horizontal="left" vertical="center" wrapText="1"/>
    </xf>
    <xf numFmtId="0" fontId="69" fillId="0" borderId="46" xfId="0" applyFont="1" applyBorder="1" applyAlignment="1">
      <alignment horizontal="left" vertical="center" wrapText="1"/>
    </xf>
    <xf numFmtId="0" fontId="21" fillId="7" borderId="49" xfId="0" applyFont="1" applyFill="1" applyBorder="1" applyAlignment="1">
      <alignment horizontal="right" vertical="center" wrapText="1"/>
    </xf>
    <xf numFmtId="0" fontId="18" fillId="0" borderId="51" xfId="0" applyFont="1" applyFill="1" applyBorder="1" applyAlignment="1">
      <alignment horizontal="left" vertical="center" wrapText="1"/>
    </xf>
    <xf numFmtId="0" fontId="18" fillId="0" borderId="48" xfId="0" applyFont="1" applyFill="1" applyBorder="1" applyAlignment="1">
      <alignment horizontal="left" vertical="center" wrapText="1"/>
    </xf>
    <xf numFmtId="0" fontId="13" fillId="0" borderId="45" xfId="0" applyFont="1" applyBorder="1" applyAlignment="1">
      <alignment horizontal="left" vertical="center" wrapText="1"/>
    </xf>
    <xf numFmtId="0" fontId="13" fillId="0" borderId="46" xfId="0" applyFont="1" applyBorder="1" applyAlignment="1">
      <alignment horizontal="left" vertical="center" wrapText="1"/>
    </xf>
    <xf numFmtId="9" fontId="20" fillId="2" borderId="36" xfId="2" applyFont="1" applyFill="1" applyBorder="1" applyAlignment="1">
      <alignment horizontal="center" vertical="center" wrapText="1"/>
    </xf>
    <xf numFmtId="0" fontId="13" fillId="0" borderId="6" xfId="0" applyFont="1" applyBorder="1" applyAlignment="1">
      <alignment horizontal="left" vertical="center" wrapText="1"/>
    </xf>
    <xf numFmtId="9" fontId="20" fillId="2" borderId="32" xfId="2" applyFont="1" applyFill="1" applyBorder="1" applyAlignment="1">
      <alignment horizontal="center" vertical="center" wrapText="1"/>
    </xf>
    <xf numFmtId="4" fontId="9" fillId="7" borderId="3" xfId="0" applyNumberFormat="1" applyFont="1" applyFill="1" applyBorder="1" applyAlignment="1">
      <alignment horizontal="left" vertical="center" wrapText="1"/>
    </xf>
    <xf numFmtId="0" fontId="9" fillId="7" borderId="5" xfId="0" applyFont="1" applyFill="1" applyBorder="1" applyAlignment="1">
      <alignment horizontal="left" vertical="center" wrapText="1"/>
    </xf>
    <xf numFmtId="0" fontId="9" fillId="7" borderId="3" xfId="0" applyFont="1" applyFill="1" applyBorder="1" applyAlignment="1">
      <alignment horizontal="left" vertical="center" wrapText="1"/>
    </xf>
    <xf numFmtId="0" fontId="97" fillId="7" borderId="17" xfId="0" applyFont="1" applyFill="1" applyBorder="1" applyAlignment="1">
      <alignment horizontal="right" vertical="center" wrapText="1"/>
    </xf>
    <xf numFmtId="0" fontId="97" fillId="7" borderId="77" xfId="0" applyFont="1" applyFill="1" applyBorder="1" applyAlignment="1">
      <alignment horizontal="right" vertical="center" wrapText="1"/>
    </xf>
    <xf numFmtId="0" fontId="97" fillId="7" borderId="73" xfId="0" applyFont="1" applyFill="1" applyBorder="1" applyAlignment="1">
      <alignment horizontal="right" vertical="center" wrapText="1"/>
    </xf>
    <xf numFmtId="0" fontId="66" fillId="7" borderId="16" xfId="0" applyFont="1" applyFill="1" applyBorder="1" applyAlignment="1">
      <alignment horizontal="right" vertical="center" wrapText="1"/>
    </xf>
    <xf numFmtId="0" fontId="66" fillId="7" borderId="8" xfId="0" applyFont="1" applyFill="1" applyBorder="1" applyAlignment="1">
      <alignment horizontal="right" vertical="center" wrapText="1"/>
    </xf>
    <xf numFmtId="0" fontId="13" fillId="0" borderId="12" xfId="0" applyFont="1" applyBorder="1" applyAlignment="1">
      <alignment horizontal="left" vertical="center" wrapText="1"/>
    </xf>
    <xf numFmtId="0" fontId="13" fillId="0" borderId="11" xfId="0" applyFont="1" applyBorder="1" applyAlignment="1">
      <alignment horizontal="left" vertical="center" wrapText="1"/>
    </xf>
    <xf numFmtId="0" fontId="13" fillId="0" borderId="21" xfId="0" applyFont="1" applyBorder="1" applyAlignment="1">
      <alignment horizontal="left"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9" fillId="7" borderId="27" xfId="0" applyFont="1" applyFill="1" applyBorder="1" applyAlignment="1">
      <alignment horizontal="left" vertical="center" wrapText="1"/>
    </xf>
    <xf numFmtId="0" fontId="9" fillId="4" borderId="3"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9" fillId="7" borderId="29" xfId="0" applyFont="1" applyFill="1" applyBorder="1" applyAlignment="1">
      <alignment horizontal="right" vertical="center" wrapText="1"/>
    </xf>
    <xf numFmtId="0" fontId="10" fillId="17" borderId="3" xfId="0" applyFont="1" applyFill="1" applyBorder="1" applyAlignment="1">
      <alignment horizontal="center" vertical="center" wrapText="1"/>
    </xf>
    <xf numFmtId="0" fontId="10" fillId="17" borderId="4" xfId="0" applyFont="1" applyFill="1" applyBorder="1" applyAlignment="1">
      <alignment horizontal="center" vertical="center" wrapText="1"/>
    </xf>
    <xf numFmtId="0" fontId="10" fillId="17" borderId="5" xfId="0" applyFont="1" applyFill="1" applyBorder="1" applyAlignment="1">
      <alignment horizontal="center" vertical="center" wrapText="1"/>
    </xf>
    <xf numFmtId="165" fontId="9" fillId="17" borderId="1" xfId="0" applyNumberFormat="1" applyFont="1" applyFill="1" applyBorder="1" applyAlignment="1">
      <alignment horizontal="left" vertical="center" wrapText="1"/>
    </xf>
    <xf numFmtId="0" fontId="9" fillId="0" borderId="1" xfId="0" applyFont="1" applyBorder="1" applyAlignment="1">
      <alignment horizontal="center" vertical="center" wrapText="1"/>
    </xf>
    <xf numFmtId="0" fontId="9" fillId="7" borderId="45" xfId="0" applyFont="1" applyFill="1" applyBorder="1" applyAlignment="1">
      <alignment horizontal="center" vertical="center" wrapText="1"/>
    </xf>
    <xf numFmtId="0" fontId="9" fillId="7" borderId="43" xfId="0" applyFont="1" applyFill="1" applyBorder="1" applyAlignment="1">
      <alignment horizontal="center" vertical="center" wrapText="1"/>
    </xf>
    <xf numFmtId="0" fontId="9" fillId="7" borderId="46" xfId="0" applyFont="1" applyFill="1" applyBorder="1" applyAlignment="1">
      <alignment horizontal="center" vertical="center" wrapText="1"/>
    </xf>
    <xf numFmtId="165" fontId="23" fillId="7" borderId="3" xfId="0" applyNumberFormat="1" applyFont="1" applyFill="1" applyBorder="1" applyAlignment="1">
      <alignment horizontal="center" vertical="center"/>
    </xf>
    <xf numFmtId="165" fontId="23" fillId="7" borderId="5" xfId="0" applyNumberFormat="1" applyFont="1" applyFill="1" applyBorder="1" applyAlignment="1">
      <alignment horizontal="center" vertical="center"/>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4" fontId="20" fillId="7" borderId="3" xfId="0" applyNumberFormat="1" applyFont="1" applyFill="1" applyBorder="1" applyAlignment="1">
      <alignment horizontal="right" vertical="center" wrapText="1"/>
    </xf>
    <xf numFmtId="4" fontId="20" fillId="7" borderId="4" xfId="0" applyNumberFormat="1" applyFont="1" applyFill="1" applyBorder="1" applyAlignment="1">
      <alignment horizontal="right" vertical="center" wrapText="1"/>
    </xf>
    <xf numFmtId="4" fontId="20" fillId="7" borderId="44" xfId="0" applyNumberFormat="1" applyFont="1" applyFill="1" applyBorder="1" applyAlignment="1">
      <alignment horizontal="right" vertical="center" wrapText="1"/>
    </xf>
    <xf numFmtId="170" fontId="9" fillId="8" borderId="16" xfId="9" applyNumberFormat="1" applyFont="1" applyFill="1" applyBorder="1" applyAlignment="1">
      <alignment horizontal="right" vertical="center" wrapText="1"/>
    </xf>
    <xf numFmtId="170" fontId="9" fillId="8" borderId="6" xfId="9" applyNumberFormat="1" applyFont="1" applyFill="1" applyBorder="1" applyAlignment="1">
      <alignment horizontal="right" vertical="center" wrapText="1"/>
    </xf>
    <xf numFmtId="170" fontId="9" fillId="8" borderId="22" xfId="9" applyNumberFormat="1" applyFont="1" applyFill="1" applyBorder="1" applyAlignment="1">
      <alignment horizontal="right" vertical="center" wrapText="1"/>
    </xf>
    <xf numFmtId="0" fontId="15" fillId="0" borderId="1" xfId="0" applyFont="1" applyBorder="1" applyAlignment="1">
      <alignment horizontal="center" vertical="center" wrapText="1"/>
    </xf>
    <xf numFmtId="0" fontId="9" fillId="7" borderId="4" xfId="0" applyFont="1" applyFill="1" applyBorder="1" applyAlignment="1">
      <alignment horizontal="right" vertical="center" wrapText="1"/>
    </xf>
    <xf numFmtId="0" fontId="9" fillId="7" borderId="3" xfId="0" applyFont="1" applyFill="1" applyBorder="1" applyAlignment="1">
      <alignment horizontal="right" vertical="center" wrapText="1"/>
    </xf>
    <xf numFmtId="4" fontId="9" fillId="7" borderId="12" xfId="0" applyNumberFormat="1" applyFont="1" applyFill="1" applyBorder="1" applyAlignment="1">
      <alignment horizontal="center" vertical="center" wrapText="1"/>
    </xf>
    <xf numFmtId="4" fontId="9" fillId="7" borderId="21" xfId="0" applyNumberFormat="1" applyFont="1" applyFill="1" applyBorder="1" applyAlignment="1">
      <alignment horizontal="center" vertical="center" wrapText="1"/>
    </xf>
    <xf numFmtId="0" fontId="66" fillId="7" borderId="48" xfId="0" applyFont="1" applyFill="1" applyBorder="1" applyAlignment="1">
      <alignment horizontal="right" vertical="center" wrapText="1"/>
    </xf>
    <xf numFmtId="0" fontId="66" fillId="7" borderId="26" xfId="0" applyFont="1" applyFill="1" applyBorder="1" applyAlignment="1">
      <alignment horizontal="right" vertical="center" wrapText="1"/>
    </xf>
    <xf numFmtId="0" fontId="66" fillId="7" borderId="46" xfId="0" applyFont="1" applyFill="1" applyBorder="1" applyAlignment="1">
      <alignment horizontal="right" vertical="center" wrapText="1"/>
    </xf>
    <xf numFmtId="0" fontId="66" fillId="7" borderId="51" xfId="0" applyFont="1" applyFill="1" applyBorder="1" applyAlignment="1">
      <alignment horizontal="right" vertical="center" wrapText="1"/>
    </xf>
    <xf numFmtId="0" fontId="66" fillId="7" borderId="45" xfId="0" applyFont="1" applyFill="1" applyBorder="1" applyAlignment="1">
      <alignment horizontal="right" vertical="center" wrapText="1"/>
    </xf>
    <xf numFmtId="0" fontId="66" fillId="7" borderId="47" xfId="0" applyFont="1" applyFill="1" applyBorder="1" applyAlignment="1">
      <alignment horizontal="right" vertical="center" wrapText="1"/>
    </xf>
    <xf numFmtId="0" fontId="66" fillId="7" borderId="43" xfId="0" applyFont="1" applyFill="1" applyBorder="1" applyAlignment="1">
      <alignment horizontal="right" vertical="center" wrapText="1"/>
    </xf>
    <xf numFmtId="0" fontId="69" fillId="0" borderId="22" xfId="0" applyFont="1" applyBorder="1" applyAlignment="1">
      <alignment horizontal="left" vertical="center" wrapText="1"/>
    </xf>
    <xf numFmtId="0" fontId="21" fillId="7" borderId="43" xfId="0" applyFont="1" applyFill="1" applyBorder="1" applyAlignment="1">
      <alignment horizontal="right" vertical="center" wrapText="1"/>
    </xf>
    <xf numFmtId="0" fontId="21" fillId="7" borderId="46" xfId="0" applyFont="1" applyFill="1" applyBorder="1" applyAlignment="1">
      <alignment horizontal="right" vertical="center" wrapText="1"/>
    </xf>
    <xf numFmtId="4" fontId="9" fillId="7" borderId="10" xfId="0" applyNumberFormat="1" applyFont="1" applyFill="1" applyBorder="1" applyAlignment="1">
      <alignment horizontal="right" vertical="center" wrapText="1"/>
    </xf>
    <xf numFmtId="4" fontId="9" fillId="7" borderId="14" xfId="0" applyNumberFormat="1" applyFont="1" applyFill="1" applyBorder="1" applyAlignment="1">
      <alignment horizontal="right" vertical="center" wrapText="1"/>
    </xf>
    <xf numFmtId="4" fontId="9" fillId="7" borderId="20" xfId="0" applyNumberFormat="1" applyFont="1" applyFill="1" applyBorder="1" applyAlignment="1">
      <alignment horizontal="right" vertical="center" wrapText="1"/>
    </xf>
    <xf numFmtId="4" fontId="9" fillId="7" borderId="21" xfId="0" applyNumberFormat="1" applyFont="1" applyFill="1" applyBorder="1" applyAlignment="1">
      <alignment horizontal="right" vertical="center" wrapText="1"/>
    </xf>
    <xf numFmtId="4" fontId="9" fillId="7" borderId="53" xfId="0" applyNumberFormat="1" applyFont="1" applyFill="1" applyBorder="1" applyAlignment="1">
      <alignment horizontal="right" vertical="center" wrapText="1"/>
    </xf>
    <xf numFmtId="3" fontId="17" fillId="0" borderId="36" xfId="0" applyNumberFormat="1" applyFont="1" applyFill="1" applyBorder="1" applyAlignment="1">
      <alignment horizontal="center" vertical="center" wrapText="1"/>
    </xf>
    <xf numFmtId="4" fontId="9" fillId="0" borderId="51" xfId="0" applyNumberFormat="1" applyFont="1" applyBorder="1" applyAlignment="1">
      <alignment horizontal="right" vertical="center" wrapText="1"/>
    </xf>
    <xf numFmtId="4" fontId="9" fillId="0" borderId="47" xfId="0" applyNumberFormat="1" applyFont="1" applyBorder="1" applyAlignment="1">
      <alignment horizontal="right" vertical="center" wrapText="1"/>
    </xf>
    <xf numFmtId="4" fontId="9" fillId="0" borderId="48" xfId="0" applyNumberFormat="1" applyFont="1" applyBorder="1" applyAlignment="1">
      <alignment horizontal="right" vertical="center" wrapText="1"/>
    </xf>
    <xf numFmtId="4" fontId="9" fillId="0" borderId="4" xfId="0" applyNumberFormat="1" applyFont="1" applyBorder="1" applyAlignment="1">
      <alignment horizontal="right" vertical="center" wrapText="1"/>
    </xf>
    <xf numFmtId="4" fontId="9" fillId="0" borderId="49" xfId="0" applyNumberFormat="1" applyFont="1" applyBorder="1" applyAlignment="1">
      <alignment horizontal="right" vertical="center" wrapText="1"/>
    </xf>
    <xf numFmtId="165" fontId="23" fillId="6" borderId="3" xfId="0" applyNumberFormat="1" applyFont="1" applyFill="1" applyBorder="1" applyAlignment="1">
      <alignment horizontal="center" vertical="center"/>
    </xf>
    <xf numFmtId="165" fontId="23" fillId="6" borderId="5" xfId="0" applyNumberFormat="1" applyFont="1" applyFill="1" applyBorder="1" applyAlignment="1">
      <alignment horizontal="center" vertical="center"/>
    </xf>
    <xf numFmtId="0" fontId="19" fillId="0" borderId="0" xfId="0" applyFont="1" applyFill="1" applyBorder="1" applyAlignment="1">
      <alignment horizontal="center" vertical="center" wrapText="1"/>
    </xf>
    <xf numFmtId="0" fontId="9" fillId="8" borderId="3" xfId="0" applyFont="1" applyFill="1" applyBorder="1" applyAlignment="1">
      <alignment horizontal="right" vertical="center" wrapText="1"/>
    </xf>
    <xf numFmtId="0" fontId="9" fillId="8" borderId="4" xfId="0" applyFont="1" applyFill="1" applyBorder="1" applyAlignment="1">
      <alignment horizontal="right" vertical="center" wrapText="1"/>
    </xf>
    <xf numFmtId="0" fontId="9" fillId="8" borderId="5" xfId="0" applyFont="1" applyFill="1" applyBorder="1" applyAlignment="1">
      <alignment horizontal="right" vertical="center" wrapText="1"/>
    </xf>
    <xf numFmtId="0" fontId="9" fillId="7" borderId="18" xfId="0" applyFont="1" applyFill="1" applyBorder="1" applyAlignment="1">
      <alignment horizontal="right" vertical="center" wrapText="1"/>
    </xf>
    <xf numFmtId="170" fontId="9" fillId="2" borderId="16" xfId="9" applyNumberFormat="1" applyFont="1" applyFill="1" applyBorder="1" applyAlignment="1">
      <alignment horizontal="right" vertical="center" wrapText="1"/>
    </xf>
    <xf numFmtId="170" fontId="9" fillId="2" borderId="6" xfId="9" applyNumberFormat="1" applyFont="1" applyFill="1" applyBorder="1" applyAlignment="1">
      <alignment horizontal="right" vertical="center" wrapText="1"/>
    </xf>
    <xf numFmtId="170" fontId="9" fillId="2" borderId="22" xfId="9" applyNumberFormat="1" applyFont="1" applyFill="1" applyBorder="1" applyAlignment="1">
      <alignment horizontal="right" vertical="center" wrapText="1"/>
    </xf>
    <xf numFmtId="3" fontId="17" fillId="0" borderId="47" xfId="0" applyNumberFormat="1" applyFont="1" applyFill="1" applyBorder="1" applyAlignment="1">
      <alignment horizontal="center" vertical="center" wrapText="1"/>
    </xf>
    <xf numFmtId="3" fontId="17" fillId="0" borderId="48" xfId="0" applyNumberFormat="1" applyFont="1" applyFill="1" applyBorder="1" applyAlignment="1">
      <alignment horizontal="center" vertical="center" wrapText="1"/>
    </xf>
    <xf numFmtId="3" fontId="17" fillId="0" borderId="51" xfId="0" applyNumberFormat="1" applyFont="1" applyFill="1" applyBorder="1" applyAlignment="1">
      <alignment horizontal="center" vertical="center" wrapText="1"/>
    </xf>
    <xf numFmtId="0" fontId="9" fillId="7" borderId="17" xfId="0" applyFont="1" applyFill="1" applyBorder="1" applyAlignment="1">
      <alignment horizontal="right" vertical="center" wrapText="1"/>
    </xf>
    <xf numFmtId="0" fontId="9" fillId="7" borderId="73" xfId="0" applyFont="1" applyFill="1" applyBorder="1" applyAlignment="1">
      <alignment horizontal="right" vertical="center" wrapText="1"/>
    </xf>
    <xf numFmtId="4" fontId="9" fillId="7" borderId="49" xfId="0" applyNumberFormat="1" applyFont="1" applyFill="1" applyBorder="1" applyAlignment="1">
      <alignment horizontal="right" vertical="center" wrapText="1"/>
    </xf>
    <xf numFmtId="4" fontId="9" fillId="7" borderId="44" xfId="0" applyNumberFormat="1" applyFont="1" applyFill="1" applyBorder="1" applyAlignment="1">
      <alignment horizontal="right" vertical="center" wrapText="1"/>
    </xf>
    <xf numFmtId="0" fontId="14" fillId="0" borderId="21" xfId="0" applyFont="1" applyBorder="1" applyAlignment="1">
      <alignment horizontal="left" vertical="center" wrapText="1"/>
    </xf>
    <xf numFmtId="0" fontId="14" fillId="0" borderId="36" xfId="0" applyFont="1" applyBorder="1" applyAlignment="1">
      <alignment horizontal="left" vertical="center" wrapText="1"/>
    </xf>
    <xf numFmtId="3" fontId="17" fillId="0" borderId="31" xfId="0" applyNumberFormat="1" applyFont="1" applyFill="1" applyBorder="1" applyAlignment="1">
      <alignment horizontal="center" vertical="center" wrapText="1"/>
    </xf>
    <xf numFmtId="4" fontId="9" fillId="7" borderId="6" xfId="0" applyNumberFormat="1" applyFont="1" applyFill="1" applyBorder="1" applyAlignment="1">
      <alignment horizontal="right" vertical="center" wrapText="1"/>
    </xf>
    <xf numFmtId="4" fontId="9" fillId="7" borderId="32" xfId="0" applyNumberFormat="1" applyFont="1" applyFill="1" applyBorder="1" applyAlignment="1">
      <alignment horizontal="right" vertical="center" wrapText="1"/>
    </xf>
    <xf numFmtId="0" fontId="9" fillId="7" borderId="2" xfId="0" applyFont="1" applyFill="1" applyBorder="1" applyAlignment="1">
      <alignment horizontal="center" vertical="center" wrapText="1"/>
    </xf>
    <xf numFmtId="0" fontId="9" fillId="7" borderId="41" xfId="0" applyFont="1" applyFill="1" applyBorder="1" applyAlignment="1">
      <alignment horizontal="center" vertical="center" wrapText="1"/>
    </xf>
    <xf numFmtId="0" fontId="9" fillId="7" borderId="5" xfId="0" applyFont="1" applyFill="1" applyBorder="1" applyAlignment="1">
      <alignment horizontal="right" vertical="center" wrapText="1"/>
    </xf>
    <xf numFmtId="0" fontId="21" fillId="7" borderId="51" xfId="0" applyFont="1" applyFill="1" applyBorder="1" applyAlignment="1">
      <alignment horizontal="right" vertical="center" wrapText="1"/>
    </xf>
    <xf numFmtId="0" fontId="21" fillId="7" borderId="45" xfId="0" applyFont="1" applyFill="1" applyBorder="1" applyAlignment="1">
      <alignment horizontal="right" vertical="center" wrapText="1"/>
    </xf>
    <xf numFmtId="0" fontId="21" fillId="7" borderId="47" xfId="0" applyFont="1" applyFill="1" applyBorder="1" applyAlignment="1">
      <alignment horizontal="right" vertical="center" wrapText="1"/>
    </xf>
    <xf numFmtId="0" fontId="21" fillId="7" borderId="48" xfId="0" applyFont="1" applyFill="1" applyBorder="1" applyAlignment="1">
      <alignment horizontal="right" vertical="center" wrapText="1"/>
    </xf>
    <xf numFmtId="0" fontId="18" fillId="0" borderId="45" xfId="0" applyFont="1" applyFill="1" applyBorder="1" applyAlignment="1">
      <alignment horizontal="left" vertical="center" wrapText="1"/>
    </xf>
    <xf numFmtId="0" fontId="18" fillId="0" borderId="46" xfId="0" applyFont="1" applyFill="1" applyBorder="1" applyAlignment="1">
      <alignment horizontal="left" vertical="center" wrapText="1"/>
    </xf>
    <xf numFmtId="9" fontId="98" fillId="0" borderId="42" xfId="2" applyFont="1" applyBorder="1" applyAlignment="1">
      <alignment horizontal="center" vertical="center" wrapText="1"/>
    </xf>
    <xf numFmtId="9" fontId="98" fillId="0" borderId="28" xfId="2" applyFont="1" applyBorder="1" applyAlignment="1">
      <alignment horizontal="center" vertical="center" wrapText="1"/>
    </xf>
    <xf numFmtId="9" fontId="98" fillId="0" borderId="80" xfId="2" applyFont="1" applyBorder="1" applyAlignment="1">
      <alignment horizontal="center" vertical="center" wrapText="1"/>
    </xf>
    <xf numFmtId="0" fontId="18" fillId="0" borderId="43" xfId="0" applyFont="1" applyFill="1" applyBorder="1" applyAlignment="1">
      <alignment horizontal="left" vertical="center" wrapText="1"/>
    </xf>
    <xf numFmtId="4" fontId="18" fillId="0" borderId="5" xfId="0" applyNumberFormat="1" applyFont="1" applyFill="1" applyBorder="1" applyAlignment="1">
      <alignment horizontal="right" vertical="center" wrapText="1"/>
    </xf>
    <xf numFmtId="0" fontId="18" fillId="0" borderId="24" xfId="0" applyFont="1" applyFill="1" applyBorder="1" applyAlignment="1">
      <alignment horizontal="right" vertical="center" wrapText="1"/>
    </xf>
    <xf numFmtId="0" fontId="18" fillId="0" borderId="4" xfId="0" applyFont="1" applyFill="1" applyBorder="1" applyAlignment="1">
      <alignment horizontal="right" vertical="center" wrapText="1"/>
    </xf>
    <xf numFmtId="0" fontId="18" fillId="0" borderId="44" xfId="0" applyFont="1" applyFill="1" applyBorder="1" applyAlignment="1">
      <alignment horizontal="right" vertical="center" wrapText="1"/>
    </xf>
    <xf numFmtId="3" fontId="17" fillId="0" borderId="42" xfId="0" applyNumberFormat="1" applyFont="1" applyFill="1" applyBorder="1" applyAlignment="1">
      <alignment horizontal="center" vertical="center" wrapText="1"/>
    </xf>
    <xf numFmtId="3" fontId="17" fillId="0" borderId="80" xfId="0" applyNumberFormat="1" applyFont="1" applyFill="1" applyBorder="1" applyAlignment="1">
      <alignment horizontal="center" vertical="center" wrapText="1"/>
    </xf>
    <xf numFmtId="49" fontId="44" fillId="13" borderId="18" xfId="0" applyNumberFormat="1" applyFont="1" applyFill="1" applyBorder="1" applyAlignment="1">
      <alignment horizontal="center" vertical="center" wrapText="1"/>
    </xf>
    <xf numFmtId="49" fontId="44" fillId="13" borderId="24" xfId="0" applyNumberFormat="1" applyFont="1" applyFill="1" applyBorder="1" applyAlignment="1">
      <alignment horizontal="center" vertical="center" wrapText="1"/>
    </xf>
    <xf numFmtId="49" fontId="44" fillId="13" borderId="1" xfId="0" applyNumberFormat="1" applyFont="1" applyFill="1" applyBorder="1" applyAlignment="1">
      <alignment horizontal="center" vertical="center" wrapText="1"/>
    </xf>
    <xf numFmtId="0" fontId="45" fillId="10" borderId="1" xfId="0" applyNumberFormat="1" applyFont="1" applyFill="1" applyBorder="1" applyAlignment="1">
      <alignment horizontal="center" vertical="center" wrapText="1"/>
    </xf>
    <xf numFmtId="49" fontId="45" fillId="6" borderId="1" xfId="0" applyNumberFormat="1" applyFont="1" applyFill="1" applyBorder="1" applyAlignment="1">
      <alignment horizontal="center" vertical="center" wrapText="1"/>
    </xf>
    <xf numFmtId="14" fontId="81" fillId="7" borderId="57" xfId="0" applyNumberFormat="1" applyFont="1" applyFill="1" applyBorder="1" applyAlignment="1">
      <alignment horizontal="center" vertical="center" wrapText="1"/>
    </xf>
    <xf numFmtId="14" fontId="81" fillId="7" borderId="69" xfId="0" applyNumberFormat="1" applyFont="1" applyFill="1" applyBorder="1" applyAlignment="1">
      <alignment horizontal="center" vertical="center" wrapText="1"/>
    </xf>
    <xf numFmtId="0" fontId="0" fillId="0" borderId="0" xfId="0" applyAlignment="1">
      <alignment horizontal="right" vertical="center" wrapText="1"/>
    </xf>
    <xf numFmtId="0" fontId="103" fillId="23" borderId="3" xfId="0" applyFont="1" applyFill="1" applyBorder="1" applyAlignment="1">
      <alignment horizontal="center" vertical="center" wrapText="1"/>
    </xf>
    <xf numFmtId="0" fontId="103" fillId="23" borderId="4" xfId="0" applyFont="1" applyFill="1" applyBorder="1" applyAlignment="1">
      <alignment horizontal="center" vertical="center" wrapText="1"/>
    </xf>
    <xf numFmtId="0" fontId="91" fillId="11" borderId="1" xfId="0" applyFont="1" applyFill="1" applyBorder="1" applyAlignment="1">
      <alignment horizontal="center" vertical="center" wrapText="1"/>
    </xf>
    <xf numFmtId="0" fontId="91" fillId="11" borderId="3" xfId="0" applyFont="1" applyFill="1" applyBorder="1" applyAlignment="1">
      <alignment horizontal="center" vertical="center" wrapText="1"/>
    </xf>
    <xf numFmtId="0" fontId="91" fillId="11" borderId="5" xfId="0" applyFont="1" applyFill="1" applyBorder="1" applyAlignment="1">
      <alignment horizontal="center" vertical="center" wrapText="1"/>
    </xf>
    <xf numFmtId="0" fontId="91" fillId="11" borderId="2" xfId="0" applyFont="1" applyFill="1" applyBorder="1" applyAlignment="1">
      <alignment horizontal="center" vertical="center" wrapText="1"/>
    </xf>
    <xf numFmtId="0" fontId="91" fillId="11" borderId="0" xfId="0" applyFont="1" applyFill="1" applyBorder="1" applyAlignment="1">
      <alignment horizontal="center" vertical="center" wrapText="1"/>
    </xf>
    <xf numFmtId="0" fontId="91" fillId="11" borderId="41" xfId="0" applyFont="1" applyFill="1" applyBorder="1" applyAlignment="1">
      <alignment horizontal="center" vertical="center" wrapText="1"/>
    </xf>
    <xf numFmtId="0" fontId="91" fillId="11" borderId="26" xfId="0" applyFont="1" applyFill="1" applyBorder="1" applyAlignment="1">
      <alignment horizontal="center" vertical="center" wrapText="1"/>
    </xf>
    <xf numFmtId="0" fontId="45" fillId="0" borderId="2" xfId="0" applyFont="1" applyBorder="1" applyAlignment="1">
      <alignment horizontal="left" vertical="center" wrapText="1"/>
    </xf>
    <xf numFmtId="0" fontId="45" fillId="0" borderId="2" xfId="0" applyFont="1" applyFill="1" applyBorder="1" applyAlignment="1">
      <alignment horizontal="left" vertical="center" wrapText="1"/>
    </xf>
    <xf numFmtId="170" fontId="45" fillId="0" borderId="2" xfId="0" applyNumberFormat="1" applyFont="1" applyBorder="1" applyAlignment="1">
      <alignment horizontal="left" vertical="center" wrapText="1"/>
    </xf>
    <xf numFmtId="170" fontId="45" fillId="0" borderId="1" xfId="0" applyNumberFormat="1" applyFont="1" applyBorder="1" applyAlignment="1">
      <alignment horizontal="center" vertical="center" wrapText="1"/>
    </xf>
    <xf numFmtId="0" fontId="94" fillId="0" borderId="1" xfId="0" applyFont="1" applyBorder="1" applyAlignment="1">
      <alignment horizontal="left" vertical="center" wrapText="1"/>
    </xf>
    <xf numFmtId="0" fontId="94" fillId="0" borderId="1" xfId="16" applyFont="1" applyBorder="1" applyAlignment="1">
      <alignment horizontal="left" vertical="center" wrapText="1"/>
    </xf>
    <xf numFmtId="0" fontId="92" fillId="21" borderId="1" xfId="0" applyFont="1" applyFill="1" applyBorder="1" applyAlignment="1">
      <alignment horizontal="center" vertical="center" wrapText="1"/>
    </xf>
    <xf numFmtId="170" fontId="45" fillId="0" borderId="18" xfId="0" applyNumberFormat="1" applyFont="1" applyBorder="1" applyAlignment="1">
      <alignment horizontal="center" vertical="center" wrapText="1"/>
    </xf>
    <xf numFmtId="170" fontId="45" fillId="0" borderId="19" xfId="0" applyNumberFormat="1" applyFont="1" applyBorder="1" applyAlignment="1">
      <alignment horizontal="center" vertical="center" wrapText="1"/>
    </xf>
    <xf numFmtId="0" fontId="94" fillId="26" borderId="1" xfId="0" applyFont="1" applyFill="1" applyBorder="1" applyAlignment="1">
      <alignment horizontal="left" vertical="center" wrapText="1"/>
    </xf>
    <xf numFmtId="0" fontId="74" fillId="0" borderId="1" xfId="0" applyFont="1" applyBorder="1" applyAlignment="1">
      <alignment horizontal="left" vertical="center" wrapText="1"/>
    </xf>
    <xf numFmtId="0" fontId="94" fillId="0" borderId="3" xfId="0" applyFont="1" applyBorder="1" applyAlignment="1">
      <alignment horizontal="left" vertical="center" wrapText="1"/>
    </xf>
    <xf numFmtId="0" fontId="94" fillId="0" borderId="5" xfId="0" applyFont="1" applyBorder="1" applyAlignment="1">
      <alignment horizontal="left" vertical="center" wrapText="1"/>
    </xf>
    <xf numFmtId="0" fontId="94" fillId="0" borderId="1" xfId="0" applyFont="1" applyBorder="1" applyAlignment="1">
      <alignment vertical="center" wrapText="1"/>
    </xf>
    <xf numFmtId="0" fontId="94" fillId="0" borderId="1" xfId="0" applyFont="1" applyBorder="1" applyAlignment="1">
      <alignment horizontal="center" vertical="center" wrapText="1"/>
    </xf>
    <xf numFmtId="0" fontId="74" fillId="0" borderId="3" xfId="0" applyFont="1" applyBorder="1" applyAlignment="1">
      <alignment horizontal="left" vertical="center" wrapText="1"/>
    </xf>
    <xf numFmtId="0" fontId="74" fillId="0" borderId="5" xfId="0" applyFont="1" applyBorder="1" applyAlignment="1">
      <alignment horizontal="left" vertical="center" wrapText="1"/>
    </xf>
    <xf numFmtId="14" fontId="13" fillId="0" borderId="0" xfId="0" applyNumberFormat="1" applyFont="1" applyAlignment="1">
      <alignment vertical="center" wrapText="1"/>
    </xf>
    <xf numFmtId="0" fontId="9" fillId="0" borderId="1" xfId="0" applyFont="1" applyFill="1" applyBorder="1" applyAlignment="1">
      <alignment horizontal="center" vertical="center" wrapText="1"/>
    </xf>
    <xf numFmtId="0" fontId="10" fillId="0" borderId="0" xfId="0" applyFont="1" applyFill="1" applyAlignment="1">
      <alignment vertical="center"/>
    </xf>
    <xf numFmtId="43" fontId="15" fillId="0" borderId="0" xfId="9" applyFont="1" applyFill="1" applyAlignment="1">
      <alignment vertical="center"/>
    </xf>
    <xf numFmtId="165" fontId="9" fillId="0" borderId="1" xfId="0" applyNumberFormat="1" applyFont="1" applyFill="1" applyBorder="1" applyAlignment="1">
      <alignment horizontal="center" vertical="center" wrapText="1"/>
    </xf>
    <xf numFmtId="165" fontId="9" fillId="0" borderId="18" xfId="0" applyNumberFormat="1" applyFont="1" applyFill="1" applyBorder="1" applyAlignment="1">
      <alignment horizontal="center" vertical="center" wrapText="1"/>
    </xf>
    <xf numFmtId="0" fontId="10" fillId="0" borderId="1" xfId="0" applyFont="1" applyFill="1" applyBorder="1" applyAlignment="1">
      <alignment horizontal="center" vertical="center"/>
    </xf>
  </cellXfs>
  <cellStyles count="54639">
    <cellStyle name="_x0012_" xfId="23"/>
    <cellStyle name=" 1" xfId="3"/>
    <cellStyle name="_x000a__x000a_JournalTemplate=C:\COMFO\CTALK\JOURSTD.TPL_x000a__x000a_LbStateAddress=3 3 0 251 1 89 2 311_x000a__x000a_LbStateJou" xfId="24"/>
    <cellStyle name="_x000d__x000a_JournalTemplate=C:\COMFO\CTALK\JOURSTD.TPL_x000d__x000a_LbStateAddress=3 3 0 251 1 89 2 311_x000d__x000a_LbStateJou" xfId="25"/>
    <cellStyle name="_x000d__x000a_JournalTemplate=C:\COMFO\CTALK\JOURSTD.TPL_x000d__x000a_LbStateAddress=3 3 0 251 1 89 2 311_x000d__x000a_LbStateJou 2" xfId="26"/>
    <cellStyle name="_x000d__x000a_JournalTemplate=C:\COMFO\CTALK\JOURSTD.TPL_x000d__x000a_LbStateAddress=3 3 0 251 1 89 2 311_x000d__x000a_LbStateJou 3" xfId="27"/>
    <cellStyle name="_x000d__x000a_JournalTemplate=C:\COMFO\CTALK\JOURSTD.TPL_x000d__x000a_LbStateAddress=3 3 0 251 1 89 2 311_x000d__x000a_LbStateJou_Лист3" xfId="28"/>
    <cellStyle name="%" xfId="29"/>
    <cellStyle name="%_0109-MBKK-budget-v2 (1)" xfId="30"/>
    <cellStyle name="%_0109-MBKK-budget-v2 (1) 2" xfId="31"/>
    <cellStyle name="%_0109-MBKK-budget-v2 (Февраль - проект)" xfId="32"/>
    <cellStyle name="%_0109-MBKK-budget-v2 (Февраль - проект) 2" xfId="33"/>
    <cellStyle name="%_01-09-swod-kolomenskoe-v2(PL-январь 2009 - факт3)" xfId="34"/>
    <cellStyle name="%_01-09-swod-kolomenskoe-v2(PL-январь 2009 - факт3) 2" xfId="35"/>
    <cellStyle name="%_01-09-swod-kolomenskoe-v2(PL-январь 2009 - факт3)_0309-swod-kolomenskoe-v18" xfId="36"/>
    <cellStyle name="%_01-09-swod-kolomenskoe-v2(PL-январь 2009 - факт3)_0309-swod-kolomenskoe-v18 2" xfId="37"/>
    <cellStyle name="%_01-09-swod-kolomenskoe-v2(PL-январь 2009 - факт3)_0409-swod-kolomenskoe-v2" xfId="38"/>
    <cellStyle name="%_01-09-swod-kolomenskoe-v2(PL-январь 2009 - факт3)_0409-swod-kolomenskoe-v2 2" xfId="39"/>
    <cellStyle name="%_01-09-swod-kolomenskoe-v2(PL-январь 2009 - факт3)_PL апрель 2009" xfId="40"/>
    <cellStyle name="%_01-09-swod-kolomenskoe-v2(PL-январь 2009 - факт3)_PL апрель 2009 2" xfId="41"/>
    <cellStyle name="%_01-09-swod-kolomenskoe-v2(PL-январь 2009 - факт3)_PL март 2009 (ревижн)" xfId="42"/>
    <cellStyle name="%_01-09-swod-kolomenskoe-v2(PL-январь 2009 - факт3)_PL март 2009 (ревижн) 2" xfId="43"/>
    <cellStyle name="%_01-09-swod-kolomenskoe-v2(PL-январь 2009 - факт3)_Сводный отчет" xfId="44"/>
    <cellStyle name="%_01-09-swod-kolomenskoe-v2(PL-январь 2009 - факт3)_Сводный отчет 2" xfId="45"/>
    <cellStyle name="%_01-09-swod-kolomenskoe-v2(PL-январь 2009 - факт3)_Сводный_отчет_май_2009" xfId="46"/>
    <cellStyle name="%_01-09-swod-kolomenskoe-v2(PL-январь 2009 - факт3)_Сводный_отчет_май_2009 2" xfId="47"/>
    <cellStyle name="%_0209-MBKK-budget-v8" xfId="48"/>
    <cellStyle name="%_0209-MBKK-budget-v8 2" xfId="49"/>
    <cellStyle name="%_0209-коломенское(v1)" xfId="50"/>
    <cellStyle name="%_0209-коломенское(v1)_CF_без реорганизации" xfId="51"/>
    <cellStyle name="%_0209-коломенское(v1)_CF_инвест_6 мес_2010" xfId="52"/>
    <cellStyle name="%_0209-коломенское(v1)_MBKK_dec_2010_18_01_11_вер_1" xfId="53"/>
    <cellStyle name="%_0209-коломенское(v1)_MBKK_jan_2011_08_02_11_вер_1" xfId="54"/>
    <cellStyle name="%_0209-коломенское(v1)_MBKK_jule_2010_09_08_10_вер_1" xfId="55"/>
    <cellStyle name="%_0209-коломенское(v1)_MBKK_nov_2010_09_12_10_вер_1" xfId="56"/>
    <cellStyle name="%_0209-коломенское(v1)_MBKK_oct_2010_10_11_10_вер_1" xfId="57"/>
    <cellStyle name="%_0209-коломенское(v1)_MBKK_sep_2010_05_10_10_вер_1" xfId="58"/>
    <cellStyle name="%_0209-коломенское(v1)_MBKK_sept_2010_03_08_10_вер_2" xfId="59"/>
    <cellStyle name="%_0209-коломенское(v1)_Xl0000000" xfId="60"/>
    <cellStyle name="%_0209-коломенское(v1)_МБКК -план развития 2009-хлеб с перевзвешенным падением-3" xfId="61"/>
    <cellStyle name="%_0209-коломенское(v1)_Прогноз_BS_PL_CF_v5" xfId="62"/>
    <cellStyle name="%_0209-коломенское(v1)_Сырье-проценты" xfId="63"/>
    <cellStyle name="%_0209-коломенское(v1)_Таблица расходов" xfId="64"/>
    <cellStyle name="%_0209-коломенское(v1)_Торты" xfId="65"/>
    <cellStyle name="%_0209-коломенское(v1)_Формат" xfId="66"/>
    <cellStyle name="%_0309-budge-Kolomenskoe-v5" xfId="67"/>
    <cellStyle name="%_0309-budge-Kolomenskoe-v5 2" xfId="68"/>
    <cellStyle name="%_0309-swod-kolomenskoe-v18" xfId="69"/>
    <cellStyle name="%_0309-swod-kolomenskoe-v18_CF_без реорганизации" xfId="70"/>
    <cellStyle name="%_0309-swod-kolomenskoe-v18_MBKK_dec_2010_18_01_11_вер_1" xfId="71"/>
    <cellStyle name="%_0309-swod-kolomenskoe-v18_MBKK_jan_2011_08_02_11_вер_1" xfId="72"/>
    <cellStyle name="%_0309-swod-kolomenskoe-v18_MBKK_jule_2010_09_08_10_вер_1" xfId="73"/>
    <cellStyle name="%_0309-swod-kolomenskoe-v18_MBKK_nov_2010_09_12_10_вер_1" xfId="74"/>
    <cellStyle name="%_0309-swod-kolomenskoe-v18_MBKK_oct_2010_10_11_10_вер_1" xfId="75"/>
    <cellStyle name="%_0309-swod-kolomenskoe-v18_MBKK_sep_2010_05_10_10_вер_1" xfId="76"/>
    <cellStyle name="%_0309-swod-kolomenskoe-v18_MBKK_sept_2010_03_08_10_вер_2" xfId="77"/>
    <cellStyle name="%_0309-swod-kolomenskoe-v18_PL_прогноз" xfId="78"/>
    <cellStyle name="%_0309-swod-kolomenskoe-v18_Xl0000000" xfId="79"/>
    <cellStyle name="%_0309-swod-kolomenskoe-v18_Таблица расходов" xfId="80"/>
    <cellStyle name="%_0309-swod-kolomenskoe-v18_Формат" xfId="81"/>
    <cellStyle name="%_0309-swod-kolomenskoe-v4" xfId="82"/>
    <cellStyle name="%_0309-swod-kolomenskoe-v4 2" xfId="83"/>
    <cellStyle name="%_0409-swod-kolomenskoe-v2" xfId="84"/>
    <cellStyle name="%_0409-swod-kolomenskoe-v2_CF_без реорганизации" xfId="85"/>
    <cellStyle name="%_0409-swod-kolomenskoe-v2_MBKK_dec_2010_18_01_11_вер_1" xfId="86"/>
    <cellStyle name="%_0409-swod-kolomenskoe-v2_MBKK_jan_2011_08_02_11_вер_1" xfId="87"/>
    <cellStyle name="%_0409-swod-kolomenskoe-v2_MBKK_jule_2010_09_08_10_вер_1" xfId="88"/>
    <cellStyle name="%_0409-swod-kolomenskoe-v2_MBKK_nov_2010_09_12_10_вер_1" xfId="89"/>
    <cellStyle name="%_0409-swod-kolomenskoe-v2_MBKK_oct_2010_10_11_10_вер_1" xfId="90"/>
    <cellStyle name="%_0409-swod-kolomenskoe-v2_MBKK_sep_2010_05_10_10_вер_1" xfId="91"/>
    <cellStyle name="%_0409-swod-kolomenskoe-v2_MBKK_sept_2010_03_08_10_вер_2" xfId="92"/>
    <cellStyle name="%_0409-swod-kolomenskoe-v2_PL_прогноз" xfId="93"/>
    <cellStyle name="%_0409-swod-kolomenskoe-v2_Xl0000000" xfId="94"/>
    <cellStyle name="%_0409-swod-kolomenskoe-v2_Таблица расходов" xfId="95"/>
    <cellStyle name="%_0409-swod-kolomenskoe-v2_Формат" xfId="96"/>
    <cellStyle name="%_0609-budge-Kolomenskoe-v6_final" xfId="97"/>
    <cellStyle name="%_0609-swod-kolomenskoe-v1" xfId="98"/>
    <cellStyle name="%_CF февраль (Факт полный месяц)" xfId="99"/>
    <cellStyle name="%_CF февраль (Факт полный месяц) 2" xfId="100"/>
    <cellStyle name="%_CF- январь 2009 NEW" xfId="101"/>
    <cellStyle name="%_CF- январь 2009 NEW 2" xfId="102"/>
    <cellStyle name="%_CF_без реорганизации" xfId="103"/>
    <cellStyle name="%_CF-январь08" xfId="104"/>
    <cellStyle name="%_CF-январь08_0109-MBKK-budget-v2 (1)" xfId="105"/>
    <cellStyle name="%_CF-январь08_0109-MBKK-budget-v2 (1) 2" xfId="106"/>
    <cellStyle name="%_CF-январь08_0109-MBKK-budget-v2 (Февраль - проект)" xfId="107"/>
    <cellStyle name="%_CF-январь08_0109-MBKK-budget-v2 (Февраль - проект) 2" xfId="108"/>
    <cellStyle name="%_CF-январь08_01-09-swod-kolomenskoe-v2(PL-январь 2009 - факт3)" xfId="109"/>
    <cellStyle name="%_CF-январь08_01-09-swod-kolomenskoe-v2(PL-январь 2009 - факт3) 2" xfId="110"/>
    <cellStyle name="%_CF-январь08_01-09-swod-kolomenskoe-v2(PL-январь 2009 - факт3)_0309-swod-kolomenskoe-v18" xfId="111"/>
    <cellStyle name="%_CF-январь08_01-09-swod-kolomenskoe-v2(PL-январь 2009 - факт3)_0309-swod-kolomenskoe-v18 2" xfId="112"/>
    <cellStyle name="%_CF-январь08_01-09-swod-kolomenskoe-v2(PL-январь 2009 - факт3)_0409-swod-kolomenskoe-v2" xfId="113"/>
    <cellStyle name="%_CF-январь08_01-09-swod-kolomenskoe-v2(PL-январь 2009 - факт3)_0409-swod-kolomenskoe-v2 2" xfId="114"/>
    <cellStyle name="%_CF-январь08_01-09-swod-kolomenskoe-v2(PL-январь 2009 - факт3)_PL апрель 2009" xfId="115"/>
    <cellStyle name="%_CF-январь08_01-09-swod-kolomenskoe-v2(PL-январь 2009 - факт3)_PL апрель 2009 2" xfId="116"/>
    <cellStyle name="%_CF-январь08_01-09-swod-kolomenskoe-v2(PL-январь 2009 - факт3)_PL март 2009 (ревижн)" xfId="117"/>
    <cellStyle name="%_CF-январь08_01-09-swod-kolomenskoe-v2(PL-январь 2009 - факт3)_PL март 2009 (ревижн) 2" xfId="118"/>
    <cellStyle name="%_CF-январь08_01-09-swod-kolomenskoe-v2(PL-январь 2009 - факт3)_Сводный отчет" xfId="119"/>
    <cellStyle name="%_CF-январь08_01-09-swod-kolomenskoe-v2(PL-январь 2009 - факт3)_Сводный отчет 2" xfId="120"/>
    <cellStyle name="%_CF-январь08_01-09-swod-kolomenskoe-v2(PL-январь 2009 - факт3)_Сводный_отчет_май_2009" xfId="121"/>
    <cellStyle name="%_CF-январь08_01-09-swod-kolomenskoe-v2(PL-январь 2009 - факт3)_Сводный_отчет_май_2009 2" xfId="122"/>
    <cellStyle name="%_CF-январь08_0209-MBKK-budget-v8" xfId="123"/>
    <cellStyle name="%_CF-январь08_0209-MBKK-budget-v8 2" xfId="124"/>
    <cellStyle name="%_CF-январь08_0209-коломенское(v1)" xfId="125"/>
    <cellStyle name="%_CF-январь08_0209-коломенское(v1)_CF_без реорганизации" xfId="126"/>
    <cellStyle name="%_CF-январь08_0209-коломенское(v1)_CF_инвест_6 мес_2010" xfId="127"/>
    <cellStyle name="%_CF-январь08_0209-коломенское(v1)_MBKK_dec_2010_18_01_11_вер_1" xfId="128"/>
    <cellStyle name="%_CF-январь08_0209-коломенское(v1)_MBKK_jan_2011_08_02_11_вер_1" xfId="129"/>
    <cellStyle name="%_CF-январь08_0209-коломенское(v1)_MBKK_jule_2010_09_08_10_вер_1" xfId="130"/>
    <cellStyle name="%_CF-январь08_0209-коломенское(v1)_MBKK_nov_2010_09_12_10_вер_1" xfId="131"/>
    <cellStyle name="%_CF-январь08_0209-коломенское(v1)_MBKK_oct_2010_10_11_10_вер_1" xfId="132"/>
    <cellStyle name="%_CF-январь08_0209-коломенское(v1)_MBKK_sep_2010_05_10_10_вер_1" xfId="133"/>
    <cellStyle name="%_CF-январь08_0209-коломенское(v1)_MBKK_sept_2010_03_08_10_вер_2" xfId="134"/>
    <cellStyle name="%_CF-январь08_0209-коломенское(v1)_Xl0000000" xfId="135"/>
    <cellStyle name="%_CF-январь08_0209-коломенское(v1)_МБКК -план развития 2009-хлеб с перевзвешенным падением-3" xfId="136"/>
    <cellStyle name="%_CF-январь08_0209-коломенское(v1)_Прогноз_BS_PL_CF_v5" xfId="137"/>
    <cellStyle name="%_CF-январь08_0209-коломенское(v1)_Сырье-проценты" xfId="138"/>
    <cellStyle name="%_CF-январь08_0209-коломенское(v1)_Таблица расходов" xfId="139"/>
    <cellStyle name="%_CF-январь08_0209-коломенское(v1)_Торты" xfId="140"/>
    <cellStyle name="%_CF-январь08_0209-коломенское(v1)_Формат" xfId="141"/>
    <cellStyle name="%_CF-январь08_0309-swod-kolomenskoe-v18" xfId="142"/>
    <cellStyle name="%_CF-январь08_0309-swod-kolomenskoe-v18_CF_без реорганизации" xfId="143"/>
    <cellStyle name="%_CF-январь08_0309-swod-kolomenskoe-v18_MBKK_dec_2010_18_01_11_вер_1" xfId="144"/>
    <cellStyle name="%_CF-январь08_0309-swod-kolomenskoe-v18_MBKK_jan_2011_08_02_11_вер_1" xfId="145"/>
    <cellStyle name="%_CF-январь08_0309-swod-kolomenskoe-v18_MBKK_jule_2010_09_08_10_вер_1" xfId="146"/>
    <cellStyle name="%_CF-январь08_0309-swod-kolomenskoe-v18_MBKK_nov_2010_09_12_10_вер_1" xfId="147"/>
    <cellStyle name="%_CF-январь08_0309-swod-kolomenskoe-v18_MBKK_oct_2010_10_11_10_вер_1" xfId="148"/>
    <cellStyle name="%_CF-январь08_0309-swod-kolomenskoe-v18_MBKK_sep_2010_05_10_10_вер_1" xfId="149"/>
    <cellStyle name="%_CF-январь08_0309-swod-kolomenskoe-v18_MBKK_sept_2010_03_08_10_вер_2" xfId="150"/>
    <cellStyle name="%_CF-январь08_0309-swod-kolomenskoe-v18_PL_прогноз" xfId="151"/>
    <cellStyle name="%_CF-январь08_0309-swod-kolomenskoe-v18_Xl0000000" xfId="152"/>
    <cellStyle name="%_CF-январь08_0309-swod-kolomenskoe-v18_Таблица расходов" xfId="153"/>
    <cellStyle name="%_CF-январь08_0309-swod-kolomenskoe-v18_Формат" xfId="154"/>
    <cellStyle name="%_CF-январь08_0409-swod-kolomenskoe-v2" xfId="155"/>
    <cellStyle name="%_CF-январь08_0409-swod-kolomenskoe-v2_CF_без реорганизации" xfId="156"/>
    <cellStyle name="%_CF-январь08_0409-swod-kolomenskoe-v2_MBKK_dec_2010_18_01_11_вер_1" xfId="157"/>
    <cellStyle name="%_CF-январь08_0409-swod-kolomenskoe-v2_MBKK_jan_2011_08_02_11_вер_1" xfId="158"/>
    <cellStyle name="%_CF-январь08_0409-swod-kolomenskoe-v2_MBKK_jule_2010_09_08_10_вер_1" xfId="159"/>
    <cellStyle name="%_CF-январь08_0409-swod-kolomenskoe-v2_MBKK_nov_2010_09_12_10_вер_1" xfId="160"/>
    <cellStyle name="%_CF-январь08_0409-swod-kolomenskoe-v2_MBKK_oct_2010_10_11_10_вер_1" xfId="161"/>
    <cellStyle name="%_CF-январь08_0409-swod-kolomenskoe-v2_MBKK_sep_2010_05_10_10_вер_1" xfId="162"/>
    <cellStyle name="%_CF-январь08_0409-swod-kolomenskoe-v2_MBKK_sept_2010_03_08_10_вер_2" xfId="163"/>
    <cellStyle name="%_CF-январь08_0409-swod-kolomenskoe-v2_PL_прогноз" xfId="164"/>
    <cellStyle name="%_CF-январь08_0409-swod-kolomenskoe-v2_Xl0000000" xfId="165"/>
    <cellStyle name="%_CF-январь08_0409-swod-kolomenskoe-v2_Таблица расходов" xfId="166"/>
    <cellStyle name="%_CF-январь08_0409-swod-kolomenskoe-v2_Формат" xfId="167"/>
    <cellStyle name="%_CF-январь08_0609-budge-Kolomenskoe-v6_final" xfId="168"/>
    <cellStyle name="%_CF-январь08_0609-swod-kolomenskoe-v1" xfId="169"/>
    <cellStyle name="%_CF-январь08_CF_без реорганизации" xfId="170"/>
    <cellStyle name="%_CF-январь08_CF_инвест_6 мес_2010" xfId="171"/>
    <cellStyle name="%_CF-январь08_margin-0409" xfId="172"/>
    <cellStyle name="%_CF-январь08_margin-0409_CF_без реорганизации" xfId="173"/>
    <cellStyle name="%_CF-январь08_margin-0409_MBKK_dec_2010_18_01_11_вер_1" xfId="174"/>
    <cellStyle name="%_CF-январь08_margin-0409_MBKK_jan_2011_08_02_11_вер_1" xfId="175"/>
    <cellStyle name="%_CF-январь08_margin-0409_MBKK_jule_2010_09_08_10_вер_1" xfId="176"/>
    <cellStyle name="%_CF-январь08_margin-0409_MBKK_nov_2010_09_12_10_вер_1" xfId="177"/>
    <cellStyle name="%_CF-январь08_margin-0409_MBKK_oct_2010_10_11_10_вер_1" xfId="178"/>
    <cellStyle name="%_CF-январь08_margin-0409_MBKK_sep_2010_05_10_10_вер_1" xfId="179"/>
    <cellStyle name="%_CF-январь08_margin-0409_MBKK_sept_2010_03_08_10_вер_2" xfId="180"/>
    <cellStyle name="%_CF-январь08_margin-0409_PL_прогноз" xfId="181"/>
    <cellStyle name="%_CF-январь08_margin-0409_Xl0000000" xfId="182"/>
    <cellStyle name="%_CF-январь08_margin-0409_Таблица расходов" xfId="183"/>
    <cellStyle name="%_CF-январь08_margin-0409_Формат" xfId="184"/>
    <cellStyle name="%_CF-январь08_MBKK_dec_2010_18_01_11_вер_1" xfId="185"/>
    <cellStyle name="%_CF-январь08_MBKK_jan_2011_08_02_11_вер_1" xfId="186"/>
    <cellStyle name="%_CF-январь08_MBKK_jule_2010_09_08_10_вер_1" xfId="187"/>
    <cellStyle name="%_CF-январь08_MBKK_nov_2010_09_12_10_вер_1" xfId="188"/>
    <cellStyle name="%_CF-январь08_MBKK_oct_2010_10_11_10_вер_1" xfId="189"/>
    <cellStyle name="%_CF-январь08_MBKK_sep_2010_05_10_10_вер_1" xfId="190"/>
    <cellStyle name="%_CF-январь08_MBKK_sept_2010_03_08_10_вер_2" xfId="191"/>
    <cellStyle name="%_CF-январь08_MBKKK-BP-2009-months-v18-project" xfId="192"/>
    <cellStyle name="%_CF-январь08_MBKKK-BP-2009-months-v18-project 2" xfId="193"/>
    <cellStyle name="%_CF-январь08_MBKKK-BP-2009-months-v19-project" xfId="194"/>
    <cellStyle name="%_CF-январь08_MBKKK-BP-2009-months-v19-project 2" xfId="195"/>
    <cellStyle name="%_CF-январь08_MBKKK-BP-2009-months-v20-project_2" xfId="196"/>
    <cellStyle name="%_CF-январь08_MBKKK-BP-2009-months-v6-cash" xfId="197"/>
    <cellStyle name="%_CF-январь08_MBKKK-BP-2009-months-v6-cash 2" xfId="198"/>
    <cellStyle name="%_CF-январь08_PL апрель 2009" xfId="199"/>
    <cellStyle name="%_CF-январь08_PL апрель 2009_CF_без реорганизации" xfId="200"/>
    <cellStyle name="%_CF-январь08_PL апрель 2009_MBKK_dec_2010_18_01_11_вер_1" xfId="201"/>
    <cellStyle name="%_CF-январь08_PL апрель 2009_MBKK_jan_2011_08_02_11_вер_1" xfId="202"/>
    <cellStyle name="%_CF-январь08_PL апрель 2009_MBKK_jule_2010_09_08_10_вер_1" xfId="203"/>
    <cellStyle name="%_CF-январь08_PL апрель 2009_MBKK_nov_2010_09_12_10_вер_1" xfId="204"/>
    <cellStyle name="%_CF-январь08_PL апрель 2009_MBKK_oct_2010_10_11_10_вер_1" xfId="205"/>
    <cellStyle name="%_CF-январь08_PL апрель 2009_MBKK_sep_2010_05_10_10_вер_1" xfId="206"/>
    <cellStyle name="%_CF-январь08_PL апрель 2009_MBKK_sept_2010_03_08_10_вер_2" xfId="207"/>
    <cellStyle name="%_CF-январь08_PL апрель 2009_PL_прогноз" xfId="208"/>
    <cellStyle name="%_CF-январь08_PL апрель 2009_Xl0000000" xfId="209"/>
    <cellStyle name="%_CF-январь08_PL апрель 2009_Таблица расходов" xfId="210"/>
    <cellStyle name="%_CF-январь08_PL апрель 2009_Формат" xfId="211"/>
    <cellStyle name="%_CF-январь08_PL март 2009 (ревижн)" xfId="212"/>
    <cellStyle name="%_CF-январь08_PL март 2009 (ревижн)_CF_без реорганизации" xfId="213"/>
    <cellStyle name="%_CF-январь08_PL март 2009 (ревижн)_MBKK_dec_2010_18_01_11_вер_1" xfId="214"/>
    <cellStyle name="%_CF-январь08_PL март 2009 (ревижн)_MBKK_jan_2011_08_02_11_вер_1" xfId="215"/>
    <cellStyle name="%_CF-январь08_PL март 2009 (ревижн)_MBKK_jule_2010_09_08_10_вер_1" xfId="216"/>
    <cellStyle name="%_CF-январь08_PL март 2009 (ревижн)_MBKK_nov_2010_09_12_10_вер_1" xfId="217"/>
    <cellStyle name="%_CF-январь08_PL март 2009 (ревижн)_MBKK_oct_2010_10_11_10_вер_1" xfId="218"/>
    <cellStyle name="%_CF-январь08_PL март 2009 (ревижн)_MBKK_sep_2010_05_10_10_вер_1" xfId="219"/>
    <cellStyle name="%_CF-январь08_PL март 2009 (ревижн)_MBKK_sept_2010_03_08_10_вер_2" xfId="220"/>
    <cellStyle name="%_CF-январь08_PL март 2009 (ревижн)_PL_прогноз" xfId="221"/>
    <cellStyle name="%_CF-январь08_PL март 2009 (ревижн)_Xl0000000" xfId="222"/>
    <cellStyle name="%_CF-январь08_PL март 2009 (ревижн)_Таблица расходов" xfId="223"/>
    <cellStyle name="%_CF-январь08_PL март 2009 (ревижн)_Формат" xfId="224"/>
    <cellStyle name="%_CF-январь08_SVOD 1108 MBKKK budget-act v6" xfId="225"/>
    <cellStyle name="%_CF-январь08_SVOD 1108 MBKKK budget-act v6 2" xfId="226"/>
    <cellStyle name="%_CF-январь08_SVOD 1108 MBKKK budget-act v6_0609-budge-Kolomenskoe-v6_final" xfId="227"/>
    <cellStyle name="%_CF-январь08_SVOD 1108 MBKKK budget-act v6_0609-swod-kolomenskoe-v1" xfId="228"/>
    <cellStyle name="%_CF-январь08_SVOD 1108 MBKKK budget-act v6_MBKKK-BP-2009-months-v20-project_2" xfId="229"/>
    <cellStyle name="%_CF-январь08_SVOD 1108 MBKKK budget-act v6_Сырье-проценты" xfId="230"/>
    <cellStyle name="%_CF-январь08_SVOD 1208 MBKKK budget-act v1" xfId="231"/>
    <cellStyle name="%_CF-январь08_SVOD 1208 MBKKK budget-act v1 2" xfId="232"/>
    <cellStyle name="%_CF-январь08_SVOD 1208 MBKKK budget-act v1_0609-budge-Kolomenskoe-v6_final" xfId="233"/>
    <cellStyle name="%_CF-январь08_SVOD 1208 MBKKK budget-act v1_0609-swod-kolomenskoe-v1" xfId="234"/>
    <cellStyle name="%_CF-январь08_SVOD 1208 MBKKK budget-act v1_MBKKK-BP-2009-months-v20-project_2" xfId="235"/>
    <cellStyle name="%_CF-январь08_SVOD 1208 MBKKK budget-act v1_Сырье-проценты" xfId="236"/>
    <cellStyle name="%_CF-январь08_Xl0000000" xfId="237"/>
    <cellStyle name="%_CF-январь08_бюджет январь 2009г xls (3)" xfId="238"/>
    <cellStyle name="%_CF-январь08_бюджет январь 2009г xls (3) 2" xfId="239"/>
    <cellStyle name="%_CF-январь08_бюджет январь 2009г xls (3)_0609-budge-Kolomenskoe-v6_final" xfId="240"/>
    <cellStyle name="%_CF-январь08_бюджет январь 2009г xls (3)_0609-swod-kolomenskoe-v1" xfId="241"/>
    <cellStyle name="%_CF-январь08_бюджет январь 2009г xls (3)_MBKKK-BP-2009-months-v20-project_2" xfId="242"/>
    <cellStyle name="%_CF-январь08_бюджет январь 2009г xls (3)_Сырье-проценты" xfId="243"/>
    <cellStyle name="%_CF-январь08_Детский ассортимент_график входа" xfId="244"/>
    <cellStyle name="%_CF-январь08_Детский ассортимент_Окупаемость версия" xfId="245"/>
    <cellStyle name="%_CF-январь08_МБКК -план развития 2009-хлеб с перевзвешенным падением-3" xfId="246"/>
    <cellStyle name="%_CF-январь08_Модель-2009 год" xfId="247"/>
    <cellStyle name="%_CF-январь08_Модель-2009 год 2" xfId="248"/>
    <cellStyle name="%_CF-январь08_Модель-2009 год_0609-budge-Kolomenskoe-v6_final" xfId="249"/>
    <cellStyle name="%_CF-январь08_Модель-2009 год_0609-swod-kolomenskoe-v1" xfId="250"/>
    <cellStyle name="%_CF-январь08_Модель-2009 год_MBKKK-BP-2009-months-v20-project_2" xfId="251"/>
    <cellStyle name="%_CF-январь08_Модель-2009 год_Сырье-проценты" xfId="252"/>
    <cellStyle name="%_CF-январь08_Объ" xfId="253"/>
    <cellStyle name="%_CF-январь08_Объ 2" xfId="254"/>
    <cellStyle name="%_CF-январь08_Оперплан_2010_13_01_2010_версия_10_уточн" xfId="255"/>
    <cellStyle name="%_CF-январь08_Прогноз_BS_PL_CF_v5" xfId="256"/>
    <cellStyle name="%_CF-январь08_Сводный отчет" xfId="257"/>
    <cellStyle name="%_CF-январь08_Сводный отчет 2" xfId="258"/>
    <cellStyle name="%_CF-январь08_Сводный отчет МБКК за май 2009 v2" xfId="259"/>
    <cellStyle name="%_CF-январь08_Сводный отчет МБКК за май 2009 v2 2" xfId="260"/>
    <cellStyle name="%_CF-январь08_Сводный отчет МБКК_05 02 09(правка)" xfId="261"/>
    <cellStyle name="%_CF-январь08_Сводный отчет МБКК_05 02 09(правка) 2" xfId="262"/>
    <cellStyle name="%_CF-январь08_Сводный_отчет_май_2009" xfId="263"/>
    <cellStyle name="%_CF-январь08_Сводный_отчет_май_2009_CF_без реорганизации" xfId="264"/>
    <cellStyle name="%_CF-январь08_Сводный_отчет_май_2009_MBKK_dec_2010_18_01_11_вер_1" xfId="265"/>
    <cellStyle name="%_CF-январь08_Сводный_отчет_май_2009_MBKK_jan_2011_08_02_11_вер_1" xfId="266"/>
    <cellStyle name="%_CF-январь08_Сводный_отчет_май_2009_MBKK_jule_2010_09_08_10_вер_1" xfId="267"/>
    <cellStyle name="%_CF-январь08_Сводный_отчет_май_2009_MBKK_nov_2010_09_12_10_вер_1" xfId="268"/>
    <cellStyle name="%_CF-январь08_Сводный_отчет_май_2009_MBKK_oct_2010_10_11_10_вер_1" xfId="269"/>
    <cellStyle name="%_CF-январь08_Сводный_отчет_май_2009_MBKK_sep_2010_05_10_10_вер_1" xfId="270"/>
    <cellStyle name="%_CF-январь08_Сводный_отчет_май_2009_MBKK_sept_2010_03_08_10_вер_2" xfId="271"/>
    <cellStyle name="%_CF-январь08_Сводный_отчет_май_2009_PL_прогноз" xfId="272"/>
    <cellStyle name="%_CF-январь08_Сводный_отчет_май_2009_Xl0000000" xfId="273"/>
    <cellStyle name="%_CF-январь08_Сводный_отчет_май_2009_Таблица расходов" xfId="274"/>
    <cellStyle name="%_CF-январь08_Сводный_отчет_май_2009_Формат" xfId="275"/>
    <cellStyle name="%_CF-январь08_смайнекс PL0209" xfId="276"/>
    <cellStyle name="%_CF-январь08_смайнекс PL0209 2" xfId="277"/>
    <cellStyle name="%_CF-январь08_Сырье-проценты" xfId="278"/>
    <cellStyle name="%_CF-январь08_Таблица расходов" xfId="279"/>
    <cellStyle name="%_CF-январь08_Торты" xfId="280"/>
    <cellStyle name="%_CF-январь08_Формат" xfId="281"/>
    <cellStyle name="%_margin-0109" xfId="282"/>
    <cellStyle name="%_margin-0109 2" xfId="283"/>
    <cellStyle name="%_margin-0109(ревижн-авг)" xfId="284"/>
    <cellStyle name="%_margin-0110 v_R" xfId="285"/>
    <cellStyle name="%_margin-0209" xfId="286"/>
    <cellStyle name="%_margin-0209 2" xfId="287"/>
    <cellStyle name="%_margin-0309" xfId="288"/>
    <cellStyle name="%_margin-0309 2" xfId="289"/>
    <cellStyle name="%_margin-0309 v2" xfId="290"/>
    <cellStyle name="%_margin-0409" xfId="291"/>
    <cellStyle name="%_margin-0409 2" xfId="292"/>
    <cellStyle name="%_margin-0609" xfId="293"/>
    <cellStyle name="%_margin-0609 (ревижн-август)" xfId="294"/>
    <cellStyle name="%_margin-1109 (v_1)" xfId="295"/>
    <cellStyle name="%_margin-1209 (v_1)" xfId="296"/>
    <cellStyle name="%_MBKK_dec_2010_18_01_11_вер_1" xfId="297"/>
    <cellStyle name="%_MBKK_jan_2011_08_02_11_вер_1" xfId="298"/>
    <cellStyle name="%_MBKK_jule_2010_09_08_10_вер_1" xfId="299"/>
    <cellStyle name="%_MBKK_mar_2010_22_04_10" xfId="300"/>
    <cellStyle name="%_MBKK_nov_2010_09_12_10_вер_1" xfId="301"/>
    <cellStyle name="%_MBKK_oct_2010_10_11_10_вер_1" xfId="302"/>
    <cellStyle name="%_MBKK_sep_2010_05_10_10_вер_1" xfId="303"/>
    <cellStyle name="%_MBKK_sept_2010_03_08_10_вер_2" xfId="304"/>
    <cellStyle name="%_MBKKK-BP-2009-months-v20-project_2" xfId="305"/>
    <cellStyle name="%_MBKKK-BP-2009-months-v6-cash" xfId="306"/>
    <cellStyle name="%_MBKKK-BP-2009-months-v6-cash 2" xfId="307"/>
    <cellStyle name="%_PL (декабрь 08)" xfId="308"/>
    <cellStyle name="%_PL (декабрь 08)_CF_без реорганизации" xfId="309"/>
    <cellStyle name="%_PL (декабрь 08)_CF_инвест_6 мес_2010" xfId="310"/>
    <cellStyle name="%_PL (декабрь 08)_MBKK_dec_2010_18_01_11_вер_1" xfId="311"/>
    <cellStyle name="%_PL (декабрь 08)_MBKK_jan_2011_08_02_11_вер_1" xfId="312"/>
    <cellStyle name="%_PL (декабрь 08)_MBKK_jule_2010_09_08_10_вер_1" xfId="313"/>
    <cellStyle name="%_PL (декабрь 08)_MBKK_nov_2010_09_12_10_вер_1" xfId="314"/>
    <cellStyle name="%_PL (декабрь 08)_MBKK_oct_2010_10_11_10_вер_1" xfId="315"/>
    <cellStyle name="%_PL (декабрь 08)_MBKK_sep_2010_05_10_10_вер_1" xfId="316"/>
    <cellStyle name="%_PL (декабрь 08)_MBKK_sept_2010_03_08_10_вер_2" xfId="317"/>
    <cellStyle name="%_PL (декабрь 08)_Xl0000000" xfId="318"/>
    <cellStyle name="%_PL (декабрь 08)_МБКК -план развития 2009-хлеб с перевзвешенным падением-3" xfId="319"/>
    <cellStyle name="%_PL (декабрь 08)_Прогноз_BS_PL_CF_v5" xfId="320"/>
    <cellStyle name="%_PL (декабрь 08)_Сырье-проценты" xfId="321"/>
    <cellStyle name="%_PL (декабрь 08)_Таблица расходов" xfId="322"/>
    <cellStyle name="%_PL (декабрь 08)_Торты" xfId="323"/>
    <cellStyle name="%_PL (декабрь 08)_Формат" xfId="324"/>
    <cellStyle name="%_PL апрель 2009" xfId="325"/>
    <cellStyle name="%_PL апрель 2009_CF_без реорганизации" xfId="326"/>
    <cellStyle name="%_PL апрель 2009_MBKK_dec_2010_18_01_11_вер_1" xfId="327"/>
    <cellStyle name="%_PL апрель 2009_MBKK_jan_2011_08_02_11_вер_1" xfId="328"/>
    <cellStyle name="%_PL апрель 2009_MBKK_jule_2010_09_08_10_вер_1" xfId="329"/>
    <cellStyle name="%_PL апрель 2009_MBKK_nov_2010_09_12_10_вер_1" xfId="330"/>
    <cellStyle name="%_PL апрель 2009_MBKK_oct_2010_10_11_10_вер_1" xfId="331"/>
    <cellStyle name="%_PL апрель 2009_MBKK_sep_2010_05_10_10_вер_1" xfId="332"/>
    <cellStyle name="%_PL апрель 2009_MBKK_sept_2010_03_08_10_вер_2" xfId="333"/>
    <cellStyle name="%_PL апрель 2009_PL_прогноз" xfId="334"/>
    <cellStyle name="%_PL апрель 2009_Xl0000000" xfId="335"/>
    <cellStyle name="%_PL апрель 2009_Таблица расходов" xfId="336"/>
    <cellStyle name="%_PL апрель 2009_Формат" xfId="337"/>
    <cellStyle name="%_PL март 2009 (ревижн)" xfId="338"/>
    <cellStyle name="%_PL март 2009 (ревижн)_CF_без реорганизации" xfId="339"/>
    <cellStyle name="%_PL март 2009 (ревижн)_MBKK_dec_2010_18_01_11_вер_1" xfId="340"/>
    <cellStyle name="%_PL март 2009 (ревижн)_MBKK_jan_2011_08_02_11_вер_1" xfId="341"/>
    <cellStyle name="%_PL март 2009 (ревижн)_MBKK_jule_2010_09_08_10_вер_1" xfId="342"/>
    <cellStyle name="%_PL март 2009 (ревижн)_MBKK_nov_2010_09_12_10_вер_1" xfId="343"/>
    <cellStyle name="%_PL март 2009 (ревижн)_MBKK_oct_2010_10_11_10_вер_1" xfId="344"/>
    <cellStyle name="%_PL март 2009 (ревижн)_MBKK_sep_2010_05_10_10_вер_1" xfId="345"/>
    <cellStyle name="%_PL март 2009 (ревижн)_MBKK_sept_2010_03_08_10_вер_2" xfId="346"/>
    <cellStyle name="%_PL март 2009 (ревижн)_PL_прогноз" xfId="347"/>
    <cellStyle name="%_PL март 2009 (ревижн)_Xl0000000" xfId="348"/>
    <cellStyle name="%_PL март 2009 (ревижн)_Таблица расходов" xfId="349"/>
    <cellStyle name="%_PL март 2009 (ревижн)_Формат" xfId="350"/>
    <cellStyle name="%_PL февраль 2009" xfId="351"/>
    <cellStyle name="%_PL февраль 2009 2" xfId="352"/>
    <cellStyle name="%_PL_прогноз" xfId="353"/>
    <cellStyle name="%_PL-декабрь (термит)  2008" xfId="354"/>
    <cellStyle name="%_PL-декабрь (термит)  2008 2" xfId="355"/>
    <cellStyle name="%_PL-декабрь07" xfId="356"/>
    <cellStyle name="%_PL-декабрь07 (2)" xfId="357"/>
    <cellStyle name="%_PL-декабрь07 (2) 2" xfId="358"/>
    <cellStyle name="%_PL-декабрь07 2" xfId="359"/>
    <cellStyle name="%_PL-декабрь07 3" xfId="360"/>
    <cellStyle name="%_PL-ноябр 2008" xfId="361"/>
    <cellStyle name="%_PL-ноябр 2008 2" xfId="362"/>
    <cellStyle name="%_PL-январь 08" xfId="363"/>
    <cellStyle name="%_PL-январь 08 2" xfId="364"/>
    <cellStyle name="%_SVOD 1108 MBKKK budget-act v6" xfId="365"/>
    <cellStyle name="%_SVOD 1108 MBKKK budget-act v6 2" xfId="366"/>
    <cellStyle name="%_SVOD 1208 MBKKK budget-act v1" xfId="367"/>
    <cellStyle name="%_SVOD 1208 MBKKK budget-act v1 2" xfId="368"/>
    <cellStyle name="%_SVOD-Kolomenskoe" xfId="369"/>
    <cellStyle name="%_SVOD-Kolomenskoe_0109-MBKK-budget-v2 (1)" xfId="370"/>
    <cellStyle name="%_SVOD-Kolomenskoe_0109-MBKK-budget-v2 (1) 2" xfId="371"/>
    <cellStyle name="%_SVOD-Kolomenskoe_0109-MBKK-budget-v2 (Февраль - проект)" xfId="372"/>
    <cellStyle name="%_SVOD-Kolomenskoe_0109-MBKK-budget-v2 (Февраль - проект) 2" xfId="373"/>
    <cellStyle name="%_SVOD-Kolomenskoe_01-09-swod-kolomenskoe-v2(PL-январь 2009 - факт3)" xfId="374"/>
    <cellStyle name="%_SVOD-Kolomenskoe_01-09-swod-kolomenskoe-v2(PL-январь 2009 - факт3) 2" xfId="375"/>
    <cellStyle name="%_SVOD-Kolomenskoe_01-09-swod-kolomenskoe-v2(PL-январь 2009 - факт3)_0309-swod-kolomenskoe-v18" xfId="376"/>
    <cellStyle name="%_SVOD-Kolomenskoe_01-09-swod-kolomenskoe-v2(PL-январь 2009 - факт3)_0309-swod-kolomenskoe-v18 2" xfId="377"/>
    <cellStyle name="%_SVOD-Kolomenskoe_01-09-swod-kolomenskoe-v2(PL-январь 2009 - факт3)_0409-swod-kolomenskoe-v2" xfId="378"/>
    <cellStyle name="%_SVOD-Kolomenskoe_01-09-swod-kolomenskoe-v2(PL-январь 2009 - факт3)_0409-swod-kolomenskoe-v2 2" xfId="379"/>
    <cellStyle name="%_SVOD-Kolomenskoe_01-09-swod-kolomenskoe-v2(PL-январь 2009 - факт3)_PL апрель 2009" xfId="380"/>
    <cellStyle name="%_SVOD-Kolomenskoe_01-09-swod-kolomenskoe-v2(PL-январь 2009 - факт3)_PL апрель 2009 2" xfId="381"/>
    <cellStyle name="%_SVOD-Kolomenskoe_01-09-swod-kolomenskoe-v2(PL-январь 2009 - факт3)_PL март 2009 (ревижн)" xfId="382"/>
    <cellStyle name="%_SVOD-Kolomenskoe_01-09-swod-kolomenskoe-v2(PL-январь 2009 - факт3)_PL март 2009 (ревижн) 2" xfId="383"/>
    <cellStyle name="%_SVOD-Kolomenskoe_01-09-swod-kolomenskoe-v2(PL-январь 2009 - факт3)_Сводный отчет" xfId="384"/>
    <cellStyle name="%_SVOD-Kolomenskoe_01-09-swod-kolomenskoe-v2(PL-январь 2009 - факт3)_Сводный отчет 2" xfId="385"/>
    <cellStyle name="%_SVOD-Kolomenskoe_01-09-swod-kolomenskoe-v2(PL-январь 2009 - факт3)_Сводный_отчет_май_2009" xfId="386"/>
    <cellStyle name="%_SVOD-Kolomenskoe_01-09-swod-kolomenskoe-v2(PL-январь 2009 - факт3)_Сводный_отчет_май_2009 2" xfId="387"/>
    <cellStyle name="%_SVOD-Kolomenskoe_0209-MBKK-budget-v8" xfId="388"/>
    <cellStyle name="%_SVOD-Kolomenskoe_0209-MBKK-budget-v8 2" xfId="389"/>
    <cellStyle name="%_SVOD-Kolomenskoe_0209-коломенское(v1)" xfId="390"/>
    <cellStyle name="%_SVOD-Kolomenskoe_0209-коломенское(v1)_CF_без реорганизации" xfId="391"/>
    <cellStyle name="%_SVOD-Kolomenskoe_0209-коломенское(v1)_CF_инвест_6 мес_2010" xfId="392"/>
    <cellStyle name="%_SVOD-Kolomenskoe_0209-коломенское(v1)_MBKK_dec_2010_18_01_11_вер_1" xfId="393"/>
    <cellStyle name="%_SVOD-Kolomenskoe_0209-коломенское(v1)_MBKK_jan_2011_08_02_11_вер_1" xfId="394"/>
    <cellStyle name="%_SVOD-Kolomenskoe_0209-коломенское(v1)_MBKK_jule_2010_09_08_10_вер_1" xfId="395"/>
    <cellStyle name="%_SVOD-Kolomenskoe_0209-коломенское(v1)_MBKK_nov_2010_09_12_10_вер_1" xfId="396"/>
    <cellStyle name="%_SVOD-Kolomenskoe_0209-коломенское(v1)_MBKK_oct_2010_10_11_10_вер_1" xfId="397"/>
    <cellStyle name="%_SVOD-Kolomenskoe_0209-коломенское(v1)_MBKK_sep_2010_05_10_10_вер_1" xfId="398"/>
    <cellStyle name="%_SVOD-Kolomenskoe_0209-коломенское(v1)_MBKK_sept_2010_03_08_10_вер_2" xfId="399"/>
    <cellStyle name="%_SVOD-Kolomenskoe_0209-коломенское(v1)_Xl0000000" xfId="400"/>
    <cellStyle name="%_SVOD-Kolomenskoe_0209-коломенское(v1)_МБКК -план развития 2009-хлеб с перевзвешенным падением-3" xfId="401"/>
    <cellStyle name="%_SVOD-Kolomenskoe_0209-коломенское(v1)_Прогноз_BS_PL_CF_v5" xfId="402"/>
    <cellStyle name="%_SVOD-Kolomenskoe_0209-коломенское(v1)_Сырье-проценты" xfId="403"/>
    <cellStyle name="%_SVOD-Kolomenskoe_0209-коломенское(v1)_Таблица расходов" xfId="404"/>
    <cellStyle name="%_SVOD-Kolomenskoe_0209-коломенское(v1)_Торты" xfId="405"/>
    <cellStyle name="%_SVOD-Kolomenskoe_0209-коломенское(v1)_Формат" xfId="406"/>
    <cellStyle name="%_SVOD-Kolomenskoe_0309-swod-kolomenskoe-v18" xfId="407"/>
    <cellStyle name="%_SVOD-Kolomenskoe_0309-swod-kolomenskoe-v18_CF_без реорганизации" xfId="408"/>
    <cellStyle name="%_SVOD-Kolomenskoe_0309-swod-kolomenskoe-v18_MBKK_dec_2010_18_01_11_вер_1" xfId="409"/>
    <cellStyle name="%_SVOD-Kolomenskoe_0309-swod-kolomenskoe-v18_MBKK_jan_2011_08_02_11_вер_1" xfId="410"/>
    <cellStyle name="%_SVOD-Kolomenskoe_0309-swod-kolomenskoe-v18_MBKK_jule_2010_09_08_10_вер_1" xfId="411"/>
    <cellStyle name="%_SVOD-Kolomenskoe_0309-swod-kolomenskoe-v18_MBKK_nov_2010_09_12_10_вер_1" xfId="412"/>
    <cellStyle name="%_SVOD-Kolomenskoe_0309-swod-kolomenskoe-v18_MBKK_oct_2010_10_11_10_вер_1" xfId="413"/>
    <cellStyle name="%_SVOD-Kolomenskoe_0309-swod-kolomenskoe-v18_MBKK_sep_2010_05_10_10_вер_1" xfId="414"/>
    <cellStyle name="%_SVOD-Kolomenskoe_0309-swod-kolomenskoe-v18_MBKK_sept_2010_03_08_10_вер_2" xfId="415"/>
    <cellStyle name="%_SVOD-Kolomenskoe_0309-swod-kolomenskoe-v18_PL_прогноз" xfId="416"/>
    <cellStyle name="%_SVOD-Kolomenskoe_0309-swod-kolomenskoe-v18_Xl0000000" xfId="417"/>
    <cellStyle name="%_SVOD-Kolomenskoe_0309-swod-kolomenskoe-v18_Таблица расходов" xfId="418"/>
    <cellStyle name="%_SVOD-Kolomenskoe_0309-swod-kolomenskoe-v18_Формат" xfId="419"/>
    <cellStyle name="%_SVOD-Kolomenskoe_0409-swod-kolomenskoe-v2" xfId="420"/>
    <cellStyle name="%_SVOD-Kolomenskoe_0409-swod-kolomenskoe-v2_CF_без реорганизации" xfId="421"/>
    <cellStyle name="%_SVOD-Kolomenskoe_0409-swod-kolomenskoe-v2_MBKK_dec_2010_18_01_11_вер_1" xfId="422"/>
    <cellStyle name="%_SVOD-Kolomenskoe_0409-swod-kolomenskoe-v2_MBKK_jan_2011_08_02_11_вер_1" xfId="423"/>
    <cellStyle name="%_SVOD-Kolomenskoe_0409-swod-kolomenskoe-v2_MBKK_jule_2010_09_08_10_вер_1" xfId="424"/>
    <cellStyle name="%_SVOD-Kolomenskoe_0409-swod-kolomenskoe-v2_MBKK_nov_2010_09_12_10_вер_1" xfId="425"/>
    <cellStyle name="%_SVOD-Kolomenskoe_0409-swod-kolomenskoe-v2_MBKK_oct_2010_10_11_10_вер_1" xfId="426"/>
    <cellStyle name="%_SVOD-Kolomenskoe_0409-swod-kolomenskoe-v2_MBKK_sep_2010_05_10_10_вер_1" xfId="427"/>
    <cellStyle name="%_SVOD-Kolomenskoe_0409-swod-kolomenskoe-v2_MBKK_sept_2010_03_08_10_вер_2" xfId="428"/>
    <cellStyle name="%_SVOD-Kolomenskoe_0409-swod-kolomenskoe-v2_PL_прогноз" xfId="429"/>
    <cellStyle name="%_SVOD-Kolomenskoe_0409-swod-kolomenskoe-v2_Xl0000000" xfId="430"/>
    <cellStyle name="%_SVOD-Kolomenskoe_0409-swod-kolomenskoe-v2_Таблица расходов" xfId="431"/>
    <cellStyle name="%_SVOD-Kolomenskoe_0409-swod-kolomenskoe-v2_Формат" xfId="432"/>
    <cellStyle name="%_SVOD-Kolomenskoe_0609-budge-Kolomenskoe-v6_final" xfId="433"/>
    <cellStyle name="%_SVOD-Kolomenskoe_0609-swod-kolomenskoe-v1" xfId="434"/>
    <cellStyle name="%_SVOD-Kolomenskoe_CF_без реорганизации" xfId="435"/>
    <cellStyle name="%_SVOD-Kolomenskoe_CF_инвест_6 мес_2010" xfId="436"/>
    <cellStyle name="%_SVOD-Kolomenskoe_margin-0409" xfId="437"/>
    <cellStyle name="%_SVOD-Kolomenskoe_margin-0409_CF_без реорганизации" xfId="438"/>
    <cellStyle name="%_SVOD-Kolomenskoe_margin-0409_MBKK_dec_2010_18_01_11_вер_1" xfId="439"/>
    <cellStyle name="%_SVOD-Kolomenskoe_margin-0409_MBKK_jan_2011_08_02_11_вер_1" xfId="440"/>
    <cellStyle name="%_SVOD-Kolomenskoe_margin-0409_MBKK_jule_2010_09_08_10_вер_1" xfId="441"/>
    <cellStyle name="%_SVOD-Kolomenskoe_margin-0409_MBKK_nov_2010_09_12_10_вер_1" xfId="442"/>
    <cellStyle name="%_SVOD-Kolomenskoe_margin-0409_MBKK_oct_2010_10_11_10_вер_1" xfId="443"/>
    <cellStyle name="%_SVOD-Kolomenskoe_margin-0409_MBKK_sep_2010_05_10_10_вер_1" xfId="444"/>
    <cellStyle name="%_SVOD-Kolomenskoe_margin-0409_MBKK_sept_2010_03_08_10_вер_2" xfId="445"/>
    <cellStyle name="%_SVOD-Kolomenskoe_margin-0409_PL_прогноз" xfId="446"/>
    <cellStyle name="%_SVOD-Kolomenskoe_margin-0409_Xl0000000" xfId="447"/>
    <cellStyle name="%_SVOD-Kolomenskoe_margin-0409_Таблица расходов" xfId="448"/>
    <cellStyle name="%_SVOD-Kolomenskoe_margin-0409_Формат" xfId="449"/>
    <cellStyle name="%_SVOD-Kolomenskoe_MBKK_dec_2010_18_01_11_вер_1" xfId="450"/>
    <cellStyle name="%_SVOD-Kolomenskoe_MBKK_jan_2011_08_02_11_вер_1" xfId="451"/>
    <cellStyle name="%_SVOD-Kolomenskoe_MBKK_jule_2010_09_08_10_вер_1" xfId="452"/>
    <cellStyle name="%_SVOD-Kolomenskoe_MBKK_nov_2010_09_12_10_вер_1" xfId="453"/>
    <cellStyle name="%_SVOD-Kolomenskoe_MBKK_oct_2010_10_11_10_вер_1" xfId="454"/>
    <cellStyle name="%_SVOD-Kolomenskoe_MBKK_sep_2010_05_10_10_вер_1" xfId="455"/>
    <cellStyle name="%_SVOD-Kolomenskoe_MBKK_sept_2010_03_08_10_вер_2" xfId="456"/>
    <cellStyle name="%_SVOD-Kolomenskoe_MBKKK-BP-2009-months-v18-project" xfId="457"/>
    <cellStyle name="%_SVOD-Kolomenskoe_MBKKK-BP-2009-months-v18-project 2" xfId="458"/>
    <cellStyle name="%_SVOD-Kolomenskoe_MBKKK-BP-2009-months-v19-project" xfId="459"/>
    <cellStyle name="%_SVOD-Kolomenskoe_MBKKK-BP-2009-months-v19-project 2" xfId="460"/>
    <cellStyle name="%_SVOD-Kolomenskoe_MBKKK-BP-2009-months-v20-project_2" xfId="461"/>
    <cellStyle name="%_SVOD-Kolomenskoe_MBKKK-BP-2009-months-v6-cash" xfId="462"/>
    <cellStyle name="%_SVOD-Kolomenskoe_MBKKK-BP-2009-months-v6-cash 2" xfId="463"/>
    <cellStyle name="%_SVOD-Kolomenskoe_PL апрель 2009" xfId="464"/>
    <cellStyle name="%_SVOD-Kolomenskoe_PL апрель 2009_CF_без реорганизации" xfId="465"/>
    <cellStyle name="%_SVOD-Kolomenskoe_PL апрель 2009_MBKK_dec_2010_18_01_11_вер_1" xfId="466"/>
    <cellStyle name="%_SVOD-Kolomenskoe_PL апрель 2009_MBKK_jan_2011_08_02_11_вер_1" xfId="467"/>
    <cellStyle name="%_SVOD-Kolomenskoe_PL апрель 2009_MBKK_jule_2010_09_08_10_вер_1" xfId="468"/>
    <cellStyle name="%_SVOD-Kolomenskoe_PL апрель 2009_MBKK_nov_2010_09_12_10_вер_1" xfId="469"/>
    <cellStyle name="%_SVOD-Kolomenskoe_PL апрель 2009_MBKK_oct_2010_10_11_10_вер_1" xfId="470"/>
    <cellStyle name="%_SVOD-Kolomenskoe_PL апрель 2009_MBKK_sep_2010_05_10_10_вер_1" xfId="471"/>
    <cellStyle name="%_SVOD-Kolomenskoe_PL апрель 2009_MBKK_sept_2010_03_08_10_вер_2" xfId="472"/>
    <cellStyle name="%_SVOD-Kolomenskoe_PL апрель 2009_PL_прогноз" xfId="473"/>
    <cellStyle name="%_SVOD-Kolomenskoe_PL апрель 2009_Xl0000000" xfId="474"/>
    <cellStyle name="%_SVOD-Kolomenskoe_PL апрель 2009_Таблица расходов" xfId="475"/>
    <cellStyle name="%_SVOD-Kolomenskoe_PL апрель 2009_Формат" xfId="476"/>
    <cellStyle name="%_SVOD-Kolomenskoe_PL март 2009 (ревижн)" xfId="477"/>
    <cellStyle name="%_SVOD-Kolomenskoe_PL март 2009 (ревижн)_CF_без реорганизации" xfId="478"/>
    <cellStyle name="%_SVOD-Kolomenskoe_PL март 2009 (ревижн)_MBKK_dec_2010_18_01_11_вер_1" xfId="479"/>
    <cellStyle name="%_SVOD-Kolomenskoe_PL март 2009 (ревижн)_MBKK_jan_2011_08_02_11_вер_1" xfId="480"/>
    <cellStyle name="%_SVOD-Kolomenskoe_PL март 2009 (ревижн)_MBKK_jule_2010_09_08_10_вер_1" xfId="481"/>
    <cellStyle name="%_SVOD-Kolomenskoe_PL март 2009 (ревижн)_MBKK_nov_2010_09_12_10_вер_1" xfId="482"/>
    <cellStyle name="%_SVOD-Kolomenskoe_PL март 2009 (ревижн)_MBKK_oct_2010_10_11_10_вер_1" xfId="483"/>
    <cellStyle name="%_SVOD-Kolomenskoe_PL март 2009 (ревижн)_MBKK_sep_2010_05_10_10_вер_1" xfId="484"/>
    <cellStyle name="%_SVOD-Kolomenskoe_PL март 2009 (ревижн)_MBKK_sept_2010_03_08_10_вер_2" xfId="485"/>
    <cellStyle name="%_SVOD-Kolomenskoe_PL март 2009 (ревижн)_PL_прогноз" xfId="486"/>
    <cellStyle name="%_SVOD-Kolomenskoe_PL март 2009 (ревижн)_Xl0000000" xfId="487"/>
    <cellStyle name="%_SVOD-Kolomenskoe_PL март 2009 (ревижн)_Таблица расходов" xfId="488"/>
    <cellStyle name="%_SVOD-Kolomenskoe_PL март 2009 (ревижн)_Формат" xfId="489"/>
    <cellStyle name="%_SVOD-Kolomenskoe_SVOD 1108 MBKKK budget-act v6" xfId="490"/>
    <cellStyle name="%_SVOD-Kolomenskoe_SVOD 1108 MBKKK budget-act v6 2" xfId="491"/>
    <cellStyle name="%_SVOD-Kolomenskoe_SVOD 1108 MBKKK budget-act v6_0609-budge-Kolomenskoe-v6_final" xfId="492"/>
    <cellStyle name="%_SVOD-Kolomenskoe_SVOD 1108 MBKKK budget-act v6_0609-swod-kolomenskoe-v1" xfId="493"/>
    <cellStyle name="%_SVOD-Kolomenskoe_SVOD 1108 MBKKK budget-act v6_MBKKK-BP-2009-months-v20-project_2" xfId="494"/>
    <cellStyle name="%_SVOD-Kolomenskoe_SVOD 1108 MBKKK budget-act v6_Сырье-проценты" xfId="495"/>
    <cellStyle name="%_SVOD-Kolomenskoe_SVOD 1208 MBKKK budget-act v1" xfId="496"/>
    <cellStyle name="%_SVOD-Kolomenskoe_SVOD 1208 MBKKK budget-act v1 2" xfId="497"/>
    <cellStyle name="%_SVOD-Kolomenskoe_SVOD 1208 MBKKK budget-act v1_0609-budge-Kolomenskoe-v6_final" xfId="498"/>
    <cellStyle name="%_SVOD-Kolomenskoe_SVOD 1208 MBKKK budget-act v1_0609-swod-kolomenskoe-v1" xfId="499"/>
    <cellStyle name="%_SVOD-Kolomenskoe_SVOD 1208 MBKKK budget-act v1_MBKKK-BP-2009-months-v20-project_2" xfId="500"/>
    <cellStyle name="%_SVOD-Kolomenskoe_SVOD 1208 MBKKK budget-act v1_Сырье-проценты" xfId="501"/>
    <cellStyle name="%_SVOD-Kolomenskoe_Xl0000000" xfId="502"/>
    <cellStyle name="%_SVOD-Kolomenskoe_бюджет январь 2009г xls (3)" xfId="503"/>
    <cellStyle name="%_SVOD-Kolomenskoe_бюджет январь 2009г xls (3) 2" xfId="504"/>
    <cellStyle name="%_SVOD-Kolomenskoe_бюджет январь 2009г xls (3)_0609-budge-Kolomenskoe-v6_final" xfId="505"/>
    <cellStyle name="%_SVOD-Kolomenskoe_бюджет январь 2009г xls (3)_0609-swod-kolomenskoe-v1" xfId="506"/>
    <cellStyle name="%_SVOD-Kolomenskoe_бюджет январь 2009г xls (3)_MBKKK-BP-2009-months-v20-project_2" xfId="507"/>
    <cellStyle name="%_SVOD-Kolomenskoe_бюджет январь 2009г xls (3)_Сырье-проценты" xfId="508"/>
    <cellStyle name="%_SVOD-Kolomenskoe_Детский ассортимент_график входа" xfId="509"/>
    <cellStyle name="%_SVOD-Kolomenskoe_Детский ассортимент_Окупаемость версия" xfId="510"/>
    <cellStyle name="%_SVOD-Kolomenskoe_МБКК -план развития 2009-хлеб с перевзвешенным падением-3" xfId="511"/>
    <cellStyle name="%_SVOD-Kolomenskoe_Модель-2009 год" xfId="512"/>
    <cellStyle name="%_SVOD-Kolomenskoe_Модель-2009 год 2" xfId="513"/>
    <cellStyle name="%_SVOD-Kolomenskoe_Модель-2009 год_0609-budge-Kolomenskoe-v6_final" xfId="514"/>
    <cellStyle name="%_SVOD-Kolomenskoe_Модель-2009 год_0609-swod-kolomenskoe-v1" xfId="515"/>
    <cellStyle name="%_SVOD-Kolomenskoe_Модель-2009 год_MBKKK-BP-2009-months-v20-project_2" xfId="516"/>
    <cellStyle name="%_SVOD-Kolomenskoe_Модель-2009 год_Сырье-проценты" xfId="517"/>
    <cellStyle name="%_SVOD-Kolomenskoe_Объ" xfId="518"/>
    <cellStyle name="%_SVOD-Kolomenskoe_Объ 2" xfId="519"/>
    <cellStyle name="%_SVOD-Kolomenskoe_Оперплан_2010_13_01_2010_версия_10_уточн" xfId="520"/>
    <cellStyle name="%_SVOD-Kolomenskoe_Прогноз_BS_PL_CF_v5" xfId="521"/>
    <cellStyle name="%_SVOD-Kolomenskoe_Сводный отчет" xfId="522"/>
    <cellStyle name="%_SVOD-Kolomenskoe_Сводный отчет 2" xfId="523"/>
    <cellStyle name="%_SVOD-Kolomenskoe_Сводный отчет МБКК за май 2009 v2" xfId="524"/>
    <cellStyle name="%_SVOD-Kolomenskoe_Сводный отчет МБКК за май 2009 v2 2" xfId="525"/>
    <cellStyle name="%_SVOD-Kolomenskoe_Сводный отчет МБКК_05 02 09(правка)" xfId="526"/>
    <cellStyle name="%_SVOD-Kolomenskoe_Сводный отчет МБКК_05 02 09(правка) 2" xfId="527"/>
    <cellStyle name="%_SVOD-Kolomenskoe_Сводный_отчет_май_2009" xfId="528"/>
    <cellStyle name="%_SVOD-Kolomenskoe_Сводный_отчет_май_2009_CF_без реорганизации" xfId="529"/>
    <cellStyle name="%_SVOD-Kolomenskoe_Сводный_отчет_май_2009_MBKK_dec_2010_18_01_11_вер_1" xfId="530"/>
    <cellStyle name="%_SVOD-Kolomenskoe_Сводный_отчет_май_2009_MBKK_jan_2011_08_02_11_вер_1" xfId="531"/>
    <cellStyle name="%_SVOD-Kolomenskoe_Сводный_отчет_май_2009_MBKK_jule_2010_09_08_10_вер_1" xfId="532"/>
    <cellStyle name="%_SVOD-Kolomenskoe_Сводный_отчет_май_2009_MBKK_nov_2010_09_12_10_вер_1" xfId="533"/>
    <cellStyle name="%_SVOD-Kolomenskoe_Сводный_отчет_май_2009_MBKK_oct_2010_10_11_10_вер_1" xfId="534"/>
    <cellStyle name="%_SVOD-Kolomenskoe_Сводный_отчет_май_2009_MBKK_sep_2010_05_10_10_вер_1" xfId="535"/>
    <cellStyle name="%_SVOD-Kolomenskoe_Сводный_отчет_май_2009_MBKK_sept_2010_03_08_10_вер_2" xfId="536"/>
    <cellStyle name="%_SVOD-Kolomenskoe_Сводный_отчет_май_2009_PL_прогноз" xfId="537"/>
    <cellStyle name="%_SVOD-Kolomenskoe_Сводный_отчет_май_2009_Xl0000000" xfId="538"/>
    <cellStyle name="%_SVOD-Kolomenskoe_Сводный_отчет_май_2009_Таблица расходов" xfId="539"/>
    <cellStyle name="%_SVOD-Kolomenskoe_Сводный_отчет_май_2009_Формат" xfId="540"/>
    <cellStyle name="%_SVOD-Kolomenskoe_смайнекс PL0209" xfId="541"/>
    <cellStyle name="%_SVOD-Kolomenskoe_смайнекс PL0209 2" xfId="542"/>
    <cellStyle name="%_SVOD-Kolomenskoe_Сырье-проценты" xfId="543"/>
    <cellStyle name="%_SVOD-Kolomenskoe_Таблица расходов" xfId="544"/>
    <cellStyle name="%_SVOD-Kolomenskoe_Торты" xfId="545"/>
    <cellStyle name="%_SVOD-Kolomenskoe_Формат" xfId="546"/>
    <cellStyle name="%_Xl0000000" xfId="547"/>
    <cellStyle name="%_бюджет январь 2009г xls (3)" xfId="548"/>
    <cellStyle name="%_бюджет январь 2009г xls (3) 2" xfId="549"/>
    <cellStyle name="%_Детский ассортимент_график входа" xfId="550"/>
    <cellStyle name="%_Детский ассортимент_Окупаемость версия" xfId="551"/>
    <cellStyle name="%_Диорит-Технис_09-1404_NORD 13 04 09_ver.2" xfId="552"/>
    <cellStyle name="%_Компоновка" xfId="553"/>
    <cellStyle name="%_Компоновка_CF_без реорганизации" xfId="554"/>
    <cellStyle name="%_Компоновка_CF_инвест_6 мес_2010" xfId="555"/>
    <cellStyle name="%_Компоновка_MBKK_dec_2010_18_01_11_вер_1" xfId="556"/>
    <cellStyle name="%_Компоновка_MBKK_jan_2011_08_02_11_вер_1" xfId="557"/>
    <cellStyle name="%_Компоновка_MBKK_jule_2010_09_08_10_вер_1" xfId="558"/>
    <cellStyle name="%_Компоновка_MBKK_nov_2010_09_12_10_вер_1" xfId="559"/>
    <cellStyle name="%_Компоновка_MBKK_oct_2010_10_11_10_вер_1" xfId="560"/>
    <cellStyle name="%_Компоновка_MBKK_sep_2010_05_10_10_вер_1" xfId="561"/>
    <cellStyle name="%_Компоновка_MBKK_sept_2010_03_08_10_вер_2" xfId="562"/>
    <cellStyle name="%_Компоновка_Xl0000000" xfId="563"/>
    <cellStyle name="%_Компоновка_МБКК -план развития 2009-хлеб с перевзвешенным падением-3" xfId="564"/>
    <cellStyle name="%_Компоновка_Прогноз_BS_PL_CF_v5" xfId="565"/>
    <cellStyle name="%_Компоновка_Сырье-проценты" xfId="566"/>
    <cellStyle name="%_Компоновка_Таблица расходов" xfId="567"/>
    <cellStyle name="%_Компоновка_Торты" xfId="568"/>
    <cellStyle name="%_Компоновка_Формат" xfId="569"/>
    <cellStyle name="%_Копия 0803 MBKKK budget act v 12" xfId="570"/>
    <cellStyle name="%_Копия 0803 MBKKK budget act v 12 2" xfId="571"/>
    <cellStyle name="%_Копия CF-декабрь-новый" xfId="572"/>
    <cellStyle name="%_Копия CF-декабрь-новый 2" xfId="573"/>
    <cellStyle name="%_МБКК -план развития 2009-хлеб с перевзвешенным падением-3" xfId="574"/>
    <cellStyle name="%_МБКК_budget_0410_версия_1" xfId="575"/>
    <cellStyle name="%_МБКК_budget_0410_версия_2" xfId="576"/>
    <cellStyle name="%_Модель-2009 год" xfId="577"/>
    <cellStyle name="%_Модель-2009 год 2" xfId="578"/>
    <cellStyle name="%_Норд_вар 1_нов_себ" xfId="579"/>
    <cellStyle name="%_Оперплан_2010_13_01_2010_версия_10_уточн" xfId="580"/>
    <cellStyle name="%_Отгрузки" xfId="581"/>
    <cellStyle name="%_Отгрузки 2" xfId="582"/>
    <cellStyle name="%_Отчет о движении ден.средств (прямой и косвенный)" xfId="583"/>
    <cellStyle name="%_Отчет о движении ден.средств (прямой и косвенный) 2" xfId="584"/>
    <cellStyle name="%_Отчет о движении ден.средств (прямой и косвенный)_0109-MBKK-budget-v2 (1)" xfId="585"/>
    <cellStyle name="%_Отчет о движении ден.средств (прямой и косвенный)_0109-MBKK-budget-v2 (1) 2" xfId="586"/>
    <cellStyle name="%_Отчет о движении ден.средств (прямой и косвенный)_0309-budge-Kolomenskoe-v5" xfId="587"/>
    <cellStyle name="%_Отчет о движении ден.средств (прямой и косвенный)_0309-budge-Kolomenskoe-v5 2" xfId="588"/>
    <cellStyle name="%_Отчет о движении ден.средств (прямой и косвенный)_0309-swod-kolomenskoe-v4" xfId="589"/>
    <cellStyle name="%_Отчет о движении ден.средств (прямой и косвенный)_0309-swod-kolomenskoe-v4 2" xfId="590"/>
    <cellStyle name="%_Отчет о движении ден.средств (прямой и косвенный)_0802 MBKKK budget v.1" xfId="591"/>
    <cellStyle name="%_Отчет о движении ден.средств (прямой и косвенный)_0802 MBKKK budget v.1 2" xfId="592"/>
    <cellStyle name="%_Отчет о движении ден.средств (прямой и косвенный)_0802 MBKKK budget v.1_0109-MBKK-budget-v2 (1)" xfId="593"/>
    <cellStyle name="%_Отчет о движении ден.средств (прямой и косвенный)_0802 MBKKK budget v.1_0109-MBKK-budget-v2 (1) 2" xfId="594"/>
    <cellStyle name="%_Отчет о движении ден.средств (прямой и косвенный)_0802 MBKKK budget v.1_0109-MBKK-budget-v2 (Февраль - проект)" xfId="595"/>
    <cellStyle name="%_Отчет о движении ден.средств (прямой и косвенный)_0802 MBKKK budget v.1_0109-MBKK-budget-v2 (Февраль - проект) 2" xfId="596"/>
    <cellStyle name="%_Отчет о движении ден.средств (прямой и косвенный)_0802 MBKKK budget v.1_01-09-swod-kolomenskoe-v2(PL-январь 2009 - факт3)" xfId="597"/>
    <cellStyle name="%_Отчет о движении ден.средств (прямой и косвенный)_0802 MBKKK budget v.1_01-09-swod-kolomenskoe-v2(PL-январь 2009 - факт3) 2" xfId="598"/>
    <cellStyle name="%_Отчет о движении ден.средств (прямой и косвенный)_0802 MBKKK budget v.1_0209-MBKK-budget-v8" xfId="599"/>
    <cellStyle name="%_Отчет о движении ден.средств (прямой и косвенный)_0802 MBKKK budget v.1_0209-MBKK-budget-v8 2" xfId="600"/>
    <cellStyle name="%_Отчет о движении ден.средств (прямой и косвенный)_0802 MBKKK budget v.1_0209-коломенское(v1)" xfId="601"/>
    <cellStyle name="%_Отчет о движении ден.средств (прямой и косвенный)_0802 MBKKK budget v.1_0209-коломенское(v1) 2" xfId="602"/>
    <cellStyle name="%_Отчет о движении ден.средств (прямой и косвенный)_0802 MBKKK budget v.1_0309-budge-Kolomenskoe-v5" xfId="603"/>
    <cellStyle name="%_Отчет о движении ден.средств (прямой и косвенный)_0802 MBKKK budget v.1_0309-budge-Kolomenskoe-v5 2" xfId="604"/>
    <cellStyle name="%_Отчет о движении ден.средств (прямой и косвенный)_0802 MBKKK budget v.1_0309-budge-Kolomenskoe-v5_CF_без реорганизации" xfId="605"/>
    <cellStyle name="%_Отчет о движении ден.средств (прямой и косвенный)_0802 MBKKK budget v.1_0309-budge-Kolomenskoe-v5_CF_инвест_6 мес_2010" xfId="606"/>
    <cellStyle name="%_Отчет о движении ден.средств (прямой и косвенный)_0802 MBKKK budget v.1_0309-budge-Kolomenskoe-v5_MBKK_dec_2010_18_01_11_вер_1" xfId="607"/>
    <cellStyle name="%_Отчет о движении ден.средств (прямой и косвенный)_0802 MBKKK budget v.1_0309-budge-Kolomenskoe-v5_MBKK_jan_2011_08_02_11_вер_1" xfId="608"/>
    <cellStyle name="%_Отчет о движении ден.средств (прямой и косвенный)_0802 MBKKK budget v.1_0309-budge-Kolomenskoe-v5_MBKK_jule_2010_09_08_10_вер_1" xfId="609"/>
    <cellStyle name="%_Отчет о движении ден.средств (прямой и косвенный)_0802 MBKKK budget v.1_0309-budge-Kolomenskoe-v5_MBKK_nov_2010_09_12_10_вер_1" xfId="610"/>
    <cellStyle name="%_Отчет о движении ден.средств (прямой и косвенный)_0802 MBKKK budget v.1_0309-budge-Kolomenskoe-v5_MBKK_oct_2010_10_11_10_вер_1" xfId="611"/>
    <cellStyle name="%_Отчет о движении ден.средств (прямой и косвенный)_0802 MBKKK budget v.1_0309-budge-Kolomenskoe-v5_MBKK_sep_2010_05_10_10_вер_1" xfId="612"/>
    <cellStyle name="%_Отчет о движении ден.средств (прямой и косвенный)_0802 MBKKK budget v.1_0309-budge-Kolomenskoe-v5_MBKK_sept_2010_03_08_10_вер_2" xfId="613"/>
    <cellStyle name="%_Отчет о движении ден.средств (прямой и косвенный)_0802 MBKKK budget v.1_0309-budge-Kolomenskoe-v5_Xl0000000" xfId="614"/>
    <cellStyle name="%_Отчет о движении ден.средств (прямой и косвенный)_0802 MBKKK budget v.1_0309-budge-Kolomenskoe-v5_МБКК -план развития 2009-хлеб с перевзвешенным падением-3" xfId="615"/>
    <cellStyle name="%_Отчет о движении ден.средств (прямой и косвенный)_0802 MBKKK budget v.1_0309-budge-Kolomenskoe-v5_Прогноз_BS_PL_CF_v5" xfId="616"/>
    <cellStyle name="%_Отчет о движении ден.средств (прямой и косвенный)_0802 MBKKK budget v.1_0309-budge-Kolomenskoe-v5_Сырье-проценты" xfId="617"/>
    <cellStyle name="%_Отчет о движении ден.средств (прямой и косвенный)_0802 MBKKK budget v.1_0309-budge-Kolomenskoe-v5_Таблица расходов" xfId="618"/>
    <cellStyle name="%_Отчет о движении ден.средств (прямой и косвенный)_0802 MBKKK budget v.1_0309-budge-Kolomenskoe-v5_Торты" xfId="619"/>
    <cellStyle name="%_Отчет о движении ден.средств (прямой и косвенный)_0802 MBKKK budget v.1_0309-budge-Kolomenskoe-v5_Формат" xfId="620"/>
    <cellStyle name="%_Отчет о движении ден.средств (прямой и косвенный)_0802 MBKKK budget v.1_0309-swod-kolomenskoe-v18" xfId="621"/>
    <cellStyle name="%_Отчет о движении ден.средств (прямой и косвенный)_0802 MBKKK budget v.1_0309-swod-kolomenskoe-v18 2" xfId="622"/>
    <cellStyle name="%_Отчет о движении ден.средств (прямой и косвенный)_0802 MBKKK budget v.1_0309-swod-kolomenskoe-v18_CF_без реорганизации" xfId="623"/>
    <cellStyle name="%_Отчет о движении ден.средств (прямой и косвенный)_0802 MBKKK budget v.1_0309-swod-kolomenskoe-v18_MBKK_dec_2010_18_01_11_вер_1" xfId="624"/>
    <cellStyle name="%_Отчет о движении ден.средств (прямой и косвенный)_0802 MBKKK budget v.1_0309-swod-kolomenskoe-v18_MBKK_jan_2011_08_02_11_вер_1" xfId="625"/>
    <cellStyle name="%_Отчет о движении ден.средств (прямой и косвенный)_0802 MBKKK budget v.1_0309-swod-kolomenskoe-v18_MBKK_jule_2010_09_08_10_вер_1" xfId="626"/>
    <cellStyle name="%_Отчет о движении ден.средств (прямой и косвенный)_0802 MBKKK budget v.1_0309-swod-kolomenskoe-v18_MBKK_nov_2010_09_12_10_вер_1" xfId="627"/>
    <cellStyle name="%_Отчет о движении ден.средств (прямой и косвенный)_0802 MBKKK budget v.1_0309-swod-kolomenskoe-v18_MBKK_oct_2010_10_11_10_вер_1" xfId="628"/>
    <cellStyle name="%_Отчет о движении ден.средств (прямой и косвенный)_0802 MBKKK budget v.1_0309-swod-kolomenskoe-v18_MBKK_sep_2010_05_10_10_вер_1" xfId="629"/>
    <cellStyle name="%_Отчет о движении ден.средств (прямой и косвенный)_0802 MBKKK budget v.1_0309-swod-kolomenskoe-v18_MBKK_sept_2010_03_08_10_вер_2" xfId="630"/>
    <cellStyle name="%_Отчет о движении ден.средств (прямой и косвенный)_0802 MBKKK budget v.1_0309-swod-kolomenskoe-v18_PL_прогноз" xfId="631"/>
    <cellStyle name="%_Отчет о движении ден.средств (прямой и косвенный)_0802 MBKKK budget v.1_0309-swod-kolomenskoe-v18_Xl0000000" xfId="632"/>
    <cellStyle name="%_Отчет о движении ден.средств (прямой и косвенный)_0802 MBKKK budget v.1_0309-swod-kolomenskoe-v18_Таблица расходов" xfId="633"/>
    <cellStyle name="%_Отчет о движении ден.средств (прямой и косвенный)_0802 MBKKK budget v.1_0309-swod-kolomenskoe-v18_Формат" xfId="634"/>
    <cellStyle name="%_Отчет о движении ден.средств (прямой и косвенный)_0802 MBKKK budget v.1_0309-swod-kolomenskoe-v4" xfId="635"/>
    <cellStyle name="%_Отчет о движении ден.средств (прямой и косвенный)_0802 MBKKK budget v.1_0309-swod-kolomenskoe-v4 2" xfId="636"/>
    <cellStyle name="%_Отчет о движении ден.средств (прямой и косвенный)_0802 MBKKK budget v.1_0309-swod-kolomenskoe-v4_CF_без реорганизации" xfId="637"/>
    <cellStyle name="%_Отчет о движении ден.средств (прямой и косвенный)_0802 MBKKK budget v.1_0309-swod-kolomenskoe-v4_CF_инвест_6 мес_2010" xfId="638"/>
    <cellStyle name="%_Отчет о движении ден.средств (прямой и косвенный)_0802 MBKKK budget v.1_0309-swod-kolomenskoe-v4_MBKK_dec_2010_18_01_11_вер_1" xfId="639"/>
    <cellStyle name="%_Отчет о движении ден.средств (прямой и косвенный)_0802 MBKKK budget v.1_0309-swod-kolomenskoe-v4_MBKK_jan_2011_08_02_11_вер_1" xfId="640"/>
    <cellStyle name="%_Отчет о движении ден.средств (прямой и косвенный)_0802 MBKKK budget v.1_0309-swod-kolomenskoe-v4_MBKK_jule_2010_09_08_10_вер_1" xfId="641"/>
    <cellStyle name="%_Отчет о движении ден.средств (прямой и косвенный)_0802 MBKKK budget v.1_0309-swod-kolomenskoe-v4_MBKK_nov_2010_09_12_10_вер_1" xfId="642"/>
    <cellStyle name="%_Отчет о движении ден.средств (прямой и косвенный)_0802 MBKKK budget v.1_0309-swod-kolomenskoe-v4_MBKK_oct_2010_10_11_10_вер_1" xfId="643"/>
    <cellStyle name="%_Отчет о движении ден.средств (прямой и косвенный)_0802 MBKKK budget v.1_0309-swod-kolomenskoe-v4_MBKK_sep_2010_05_10_10_вер_1" xfId="644"/>
    <cellStyle name="%_Отчет о движении ден.средств (прямой и косвенный)_0802 MBKKK budget v.1_0309-swod-kolomenskoe-v4_MBKK_sept_2010_03_08_10_вер_2" xfId="645"/>
    <cellStyle name="%_Отчет о движении ден.средств (прямой и косвенный)_0802 MBKKK budget v.1_0309-swod-kolomenskoe-v4_Xl0000000" xfId="646"/>
    <cellStyle name="%_Отчет о движении ден.средств (прямой и косвенный)_0802 MBKKK budget v.1_0309-swod-kolomenskoe-v4_МБКК -план развития 2009-хлеб с перевзвешенным падением-3" xfId="647"/>
    <cellStyle name="%_Отчет о движении ден.средств (прямой и косвенный)_0802 MBKKK budget v.1_0309-swod-kolomenskoe-v4_Прогноз_BS_PL_CF_v5" xfId="648"/>
    <cellStyle name="%_Отчет о движении ден.средств (прямой и косвенный)_0802 MBKKK budget v.1_0309-swod-kolomenskoe-v4_Сырье-проценты" xfId="649"/>
    <cellStyle name="%_Отчет о движении ден.средств (прямой и косвенный)_0802 MBKKK budget v.1_0309-swod-kolomenskoe-v4_Таблица расходов" xfId="650"/>
    <cellStyle name="%_Отчет о движении ден.средств (прямой и косвенный)_0802 MBKKK budget v.1_0309-swod-kolomenskoe-v4_Торты" xfId="651"/>
    <cellStyle name="%_Отчет о движении ден.средств (прямой и косвенный)_0802 MBKKK budget v.1_0309-swod-kolomenskoe-v4_Формат" xfId="652"/>
    <cellStyle name="%_Отчет о движении ден.средств (прямой и косвенный)_0802 MBKKK budget v.1_0409-swod-kolomenskoe-v2" xfId="653"/>
    <cellStyle name="%_Отчет о движении ден.средств (прямой и косвенный)_0802 MBKKK budget v.1_0409-swod-kolomenskoe-v2 2" xfId="654"/>
    <cellStyle name="%_Отчет о движении ден.средств (прямой и косвенный)_0802 MBKKK budget v.1_0409-swod-kolomenskoe-v2_CF_без реорганизации" xfId="655"/>
    <cellStyle name="%_Отчет о движении ден.средств (прямой и косвенный)_0802 MBKKK budget v.1_0409-swod-kolomenskoe-v2_MBKK_dec_2010_18_01_11_вер_1" xfId="656"/>
    <cellStyle name="%_Отчет о движении ден.средств (прямой и косвенный)_0802 MBKKK budget v.1_0409-swod-kolomenskoe-v2_MBKK_jan_2011_08_02_11_вер_1" xfId="657"/>
    <cellStyle name="%_Отчет о движении ден.средств (прямой и косвенный)_0802 MBKKK budget v.1_0409-swod-kolomenskoe-v2_MBKK_jule_2010_09_08_10_вер_1" xfId="658"/>
    <cellStyle name="%_Отчет о движении ден.средств (прямой и косвенный)_0802 MBKKK budget v.1_0409-swod-kolomenskoe-v2_MBKK_nov_2010_09_12_10_вер_1" xfId="659"/>
    <cellStyle name="%_Отчет о движении ден.средств (прямой и косвенный)_0802 MBKKK budget v.1_0409-swod-kolomenskoe-v2_MBKK_oct_2010_10_11_10_вер_1" xfId="660"/>
    <cellStyle name="%_Отчет о движении ден.средств (прямой и косвенный)_0802 MBKKK budget v.1_0409-swod-kolomenskoe-v2_MBKK_sep_2010_05_10_10_вер_1" xfId="661"/>
    <cellStyle name="%_Отчет о движении ден.средств (прямой и косвенный)_0802 MBKKK budget v.1_0409-swod-kolomenskoe-v2_MBKK_sept_2010_03_08_10_вер_2" xfId="662"/>
    <cellStyle name="%_Отчет о движении ден.средств (прямой и косвенный)_0802 MBKKK budget v.1_0409-swod-kolomenskoe-v2_PL_прогноз" xfId="663"/>
    <cellStyle name="%_Отчет о движении ден.средств (прямой и косвенный)_0802 MBKKK budget v.1_0409-swod-kolomenskoe-v2_Xl0000000" xfId="664"/>
    <cellStyle name="%_Отчет о движении ден.средств (прямой и косвенный)_0802 MBKKK budget v.1_0409-swod-kolomenskoe-v2_Таблица расходов" xfId="665"/>
    <cellStyle name="%_Отчет о движении ден.средств (прямой и косвенный)_0802 MBKKK budget v.1_0409-swod-kolomenskoe-v2_Формат" xfId="666"/>
    <cellStyle name="%_Отчет о движении ден.средств (прямой и косвенный)_0802 MBKKK budget v.1_0609-budge-Kolomenskoe-v6_final" xfId="667"/>
    <cellStyle name="%_Отчет о движении ден.средств (прямой и косвенный)_0802 MBKKK budget v.1_0609-swod-kolomenskoe-v1" xfId="668"/>
    <cellStyle name="%_Отчет о движении ден.средств (прямой и косвенный)_0802 MBKKK budget v.1_CF февраль (Факт полный месяц)" xfId="669"/>
    <cellStyle name="%_Отчет о движении ден.средств (прямой и косвенный)_0802 MBKKK budget v.1_CF февраль (Факт полный месяц) 2" xfId="670"/>
    <cellStyle name="%_Отчет о движении ден.средств (прямой и косвенный)_0802 MBKKK budget v.1_CF февраль (Факт полный месяц)_CF_без реорганизации" xfId="671"/>
    <cellStyle name="%_Отчет о движении ден.средств (прямой и косвенный)_0802 MBKKK budget v.1_CF февраль (Факт полный месяц)_CF_инвест_6 мес_2010" xfId="672"/>
    <cellStyle name="%_Отчет о движении ден.средств (прямой и косвенный)_0802 MBKKK budget v.1_CF февраль (Факт полный месяц)_MBKK_dec_2010_18_01_11_вер_1" xfId="673"/>
    <cellStyle name="%_Отчет о движении ден.средств (прямой и косвенный)_0802 MBKKK budget v.1_CF февраль (Факт полный месяц)_MBKK_jan_2011_08_02_11_вер_1" xfId="674"/>
    <cellStyle name="%_Отчет о движении ден.средств (прямой и косвенный)_0802 MBKKK budget v.1_CF февраль (Факт полный месяц)_MBKK_jule_2010_09_08_10_вер_1" xfId="675"/>
    <cellStyle name="%_Отчет о движении ден.средств (прямой и косвенный)_0802 MBKKK budget v.1_CF февраль (Факт полный месяц)_MBKK_nov_2010_09_12_10_вер_1" xfId="676"/>
    <cellStyle name="%_Отчет о движении ден.средств (прямой и косвенный)_0802 MBKKK budget v.1_CF февраль (Факт полный месяц)_MBKK_oct_2010_10_11_10_вер_1" xfId="677"/>
    <cellStyle name="%_Отчет о движении ден.средств (прямой и косвенный)_0802 MBKKK budget v.1_CF февраль (Факт полный месяц)_MBKK_sep_2010_05_10_10_вер_1" xfId="678"/>
    <cellStyle name="%_Отчет о движении ден.средств (прямой и косвенный)_0802 MBKKK budget v.1_CF февраль (Факт полный месяц)_MBKK_sept_2010_03_08_10_вер_2" xfId="679"/>
    <cellStyle name="%_Отчет о движении ден.средств (прямой и косвенный)_0802 MBKKK budget v.1_CF февраль (Факт полный месяц)_Xl0000000" xfId="680"/>
    <cellStyle name="%_Отчет о движении ден.средств (прямой и косвенный)_0802 MBKKK budget v.1_CF февраль (Факт полный месяц)_МБКК -план развития 2009-хлеб с перевзвешенным падением-3" xfId="681"/>
    <cellStyle name="%_Отчет о движении ден.средств (прямой и косвенный)_0802 MBKKK budget v.1_CF февраль (Факт полный месяц)_Прогноз_BS_PL_CF_v5" xfId="682"/>
    <cellStyle name="%_Отчет о движении ден.средств (прямой и косвенный)_0802 MBKKK budget v.1_CF февраль (Факт полный месяц)_Сырье-проценты" xfId="683"/>
    <cellStyle name="%_Отчет о движении ден.средств (прямой и косвенный)_0802 MBKKK budget v.1_CF февраль (Факт полный месяц)_Таблица расходов" xfId="684"/>
    <cellStyle name="%_Отчет о движении ден.средств (прямой и косвенный)_0802 MBKKK budget v.1_CF февраль (Факт полный месяц)_Торты" xfId="685"/>
    <cellStyle name="%_Отчет о движении ден.средств (прямой и косвенный)_0802 MBKKK budget v.1_CF февраль (Факт полный месяц)_Формат" xfId="686"/>
    <cellStyle name="%_Отчет о движении ден.средств (прямой и косвенный)_0802 MBKKK budget v.1_CF- январь 2009 NEW" xfId="687"/>
    <cellStyle name="%_Отчет о движении ден.средств (прямой и косвенный)_0802 MBKKK budget v.1_CF- январь 2009 NEW 2" xfId="688"/>
    <cellStyle name="%_Отчет о движении ден.средств (прямой и косвенный)_0802 MBKKK budget v.1_CF- январь 2009 NEW_0209-коломенское(v1)" xfId="689"/>
    <cellStyle name="%_Отчет о движении ден.средств (прямой и косвенный)_0802 MBKKK budget v.1_CF- январь 2009 NEW_0209-коломенское(v1) 2" xfId="690"/>
    <cellStyle name="%_Отчет о движении ден.средств (прямой и косвенный)_0802 MBKKK budget v.1_CF- январь 2009 NEW_0209-коломенское(v1)_CF_без реорганизации" xfId="691"/>
    <cellStyle name="%_Отчет о движении ден.средств (прямой и косвенный)_0802 MBKKK budget v.1_CF- январь 2009 NEW_0209-коломенское(v1)_CF_инвест_6 мес_2010" xfId="692"/>
    <cellStyle name="%_Отчет о движении ден.средств (прямой и косвенный)_0802 MBKKK budget v.1_CF- январь 2009 NEW_0209-коломенское(v1)_MBKK_dec_2010_18_01_11_вер_1" xfId="693"/>
    <cellStyle name="%_Отчет о движении ден.средств (прямой и косвенный)_0802 MBKKK budget v.1_CF- январь 2009 NEW_0209-коломенское(v1)_MBKK_jan_2011_08_02_11_вер_1" xfId="694"/>
    <cellStyle name="%_Отчет о движении ден.средств (прямой и косвенный)_0802 MBKKK budget v.1_CF- январь 2009 NEW_0209-коломенское(v1)_MBKK_jule_2010_09_08_10_вер_1" xfId="695"/>
    <cellStyle name="%_Отчет о движении ден.средств (прямой и косвенный)_0802 MBKKK budget v.1_CF- январь 2009 NEW_0209-коломенское(v1)_MBKK_nov_2010_09_12_10_вер_1" xfId="696"/>
    <cellStyle name="%_Отчет о движении ден.средств (прямой и косвенный)_0802 MBKKK budget v.1_CF- январь 2009 NEW_0209-коломенское(v1)_MBKK_oct_2010_10_11_10_вер_1" xfId="697"/>
    <cellStyle name="%_Отчет о движении ден.средств (прямой и косвенный)_0802 MBKKK budget v.1_CF- январь 2009 NEW_0209-коломенское(v1)_MBKK_sep_2010_05_10_10_вер_1" xfId="698"/>
    <cellStyle name="%_Отчет о движении ден.средств (прямой и косвенный)_0802 MBKKK budget v.1_CF- январь 2009 NEW_0209-коломенское(v1)_MBKK_sept_2010_03_08_10_вер_2" xfId="699"/>
    <cellStyle name="%_Отчет о движении ден.средств (прямой и косвенный)_0802 MBKKK budget v.1_CF- январь 2009 NEW_0209-коломенское(v1)_Xl0000000" xfId="700"/>
    <cellStyle name="%_Отчет о движении ден.средств (прямой и косвенный)_0802 MBKKK budget v.1_CF- январь 2009 NEW_0209-коломенское(v1)_МБКК -план развития 2009-хлеб с перевзвешенным падением-3" xfId="701"/>
    <cellStyle name="%_Отчет о движении ден.средств (прямой и косвенный)_0802 MBKKK budget v.1_CF- январь 2009 NEW_0209-коломенское(v1)_Прогноз_BS_PL_CF_v5" xfId="702"/>
    <cellStyle name="%_Отчет о движении ден.средств (прямой и косвенный)_0802 MBKKK budget v.1_CF- январь 2009 NEW_0209-коломенское(v1)_Сырье-проценты" xfId="703"/>
    <cellStyle name="%_Отчет о движении ден.средств (прямой и косвенный)_0802 MBKKK budget v.1_CF- январь 2009 NEW_0209-коломенское(v1)_Таблица расходов" xfId="704"/>
    <cellStyle name="%_Отчет о движении ден.средств (прямой и косвенный)_0802 MBKKK budget v.1_CF- январь 2009 NEW_0209-коломенское(v1)_Торты" xfId="705"/>
    <cellStyle name="%_Отчет о движении ден.средств (прямой и косвенный)_0802 MBKKK budget v.1_CF- январь 2009 NEW_0209-коломенское(v1)_Формат" xfId="706"/>
    <cellStyle name="%_Отчет о движении ден.средств (прямой и косвенный)_0802 MBKKK budget v.1_CF- январь 2009 NEW_0309-swod-kolomenskoe-v18" xfId="707"/>
    <cellStyle name="%_Отчет о движении ден.средств (прямой и косвенный)_0802 MBKKK budget v.1_CF- январь 2009 NEW_0309-swod-kolomenskoe-v18 2" xfId="708"/>
    <cellStyle name="%_Отчет о движении ден.средств (прямой и косвенный)_0802 MBKKK budget v.1_CF- январь 2009 NEW_0309-swod-kolomenskoe-v18_CF_без реорганизации" xfId="709"/>
    <cellStyle name="%_Отчет о движении ден.средств (прямой и косвенный)_0802 MBKKK budget v.1_CF- январь 2009 NEW_0309-swod-kolomenskoe-v18_MBKK_dec_2010_18_01_11_вер_1" xfId="710"/>
    <cellStyle name="%_Отчет о движении ден.средств (прямой и косвенный)_0802 MBKKK budget v.1_CF- январь 2009 NEW_0309-swod-kolomenskoe-v18_MBKK_jan_2011_08_02_11_вер_1" xfId="711"/>
    <cellStyle name="%_Отчет о движении ден.средств (прямой и косвенный)_0802 MBKKK budget v.1_CF- январь 2009 NEW_0309-swod-kolomenskoe-v18_MBKK_jule_2010_09_08_10_вер_1" xfId="712"/>
    <cellStyle name="%_Отчет о движении ден.средств (прямой и косвенный)_0802 MBKKK budget v.1_CF- январь 2009 NEW_0309-swod-kolomenskoe-v18_MBKK_nov_2010_09_12_10_вер_1" xfId="713"/>
    <cellStyle name="%_Отчет о движении ден.средств (прямой и косвенный)_0802 MBKKK budget v.1_CF- январь 2009 NEW_0309-swod-kolomenskoe-v18_MBKK_oct_2010_10_11_10_вер_1" xfId="714"/>
    <cellStyle name="%_Отчет о движении ден.средств (прямой и косвенный)_0802 MBKKK budget v.1_CF- январь 2009 NEW_0309-swod-kolomenskoe-v18_MBKK_sep_2010_05_10_10_вер_1" xfId="715"/>
    <cellStyle name="%_Отчет о движении ден.средств (прямой и косвенный)_0802 MBKKK budget v.1_CF- январь 2009 NEW_0309-swod-kolomenskoe-v18_MBKK_sept_2010_03_08_10_вер_2" xfId="716"/>
    <cellStyle name="%_Отчет о движении ден.средств (прямой и косвенный)_0802 MBKKK budget v.1_CF- январь 2009 NEW_0309-swod-kolomenskoe-v18_PL_прогноз" xfId="717"/>
    <cellStyle name="%_Отчет о движении ден.средств (прямой и косвенный)_0802 MBKKK budget v.1_CF- январь 2009 NEW_0309-swod-kolomenskoe-v18_Xl0000000" xfId="718"/>
    <cellStyle name="%_Отчет о движении ден.средств (прямой и косвенный)_0802 MBKKK budget v.1_CF- январь 2009 NEW_0309-swod-kolomenskoe-v18_Таблица расходов" xfId="719"/>
    <cellStyle name="%_Отчет о движении ден.средств (прямой и косвенный)_0802 MBKKK budget v.1_CF- январь 2009 NEW_0309-swod-kolomenskoe-v18_Формат" xfId="720"/>
    <cellStyle name="%_Отчет о движении ден.средств (прямой и косвенный)_0802 MBKKK budget v.1_CF- январь 2009 NEW_0409-swod-kolomenskoe-v2" xfId="721"/>
    <cellStyle name="%_Отчет о движении ден.средств (прямой и косвенный)_0802 MBKKK budget v.1_CF- январь 2009 NEW_0409-swod-kolomenskoe-v2 2" xfId="722"/>
    <cellStyle name="%_Отчет о движении ден.средств (прямой и косвенный)_0802 MBKKK budget v.1_CF- январь 2009 NEW_0409-swod-kolomenskoe-v2_CF_без реорганизации" xfId="723"/>
    <cellStyle name="%_Отчет о движении ден.средств (прямой и косвенный)_0802 MBKKK budget v.1_CF- январь 2009 NEW_0409-swod-kolomenskoe-v2_MBKK_dec_2010_18_01_11_вер_1" xfId="724"/>
    <cellStyle name="%_Отчет о движении ден.средств (прямой и косвенный)_0802 MBKKK budget v.1_CF- январь 2009 NEW_0409-swod-kolomenskoe-v2_MBKK_jan_2011_08_02_11_вер_1" xfId="725"/>
    <cellStyle name="%_Отчет о движении ден.средств (прямой и косвенный)_0802 MBKKK budget v.1_CF- январь 2009 NEW_0409-swod-kolomenskoe-v2_MBKK_jule_2010_09_08_10_вер_1" xfId="726"/>
    <cellStyle name="%_Отчет о движении ден.средств (прямой и косвенный)_0802 MBKKK budget v.1_CF- январь 2009 NEW_0409-swod-kolomenskoe-v2_MBKK_nov_2010_09_12_10_вер_1" xfId="727"/>
    <cellStyle name="%_Отчет о движении ден.средств (прямой и косвенный)_0802 MBKKK budget v.1_CF- январь 2009 NEW_0409-swod-kolomenskoe-v2_MBKK_oct_2010_10_11_10_вер_1" xfId="728"/>
    <cellStyle name="%_Отчет о движении ден.средств (прямой и косвенный)_0802 MBKKK budget v.1_CF- январь 2009 NEW_0409-swod-kolomenskoe-v2_MBKK_sep_2010_05_10_10_вер_1" xfId="729"/>
    <cellStyle name="%_Отчет о движении ден.средств (прямой и косвенный)_0802 MBKKK budget v.1_CF- январь 2009 NEW_0409-swod-kolomenskoe-v2_MBKK_sept_2010_03_08_10_вер_2" xfId="730"/>
    <cellStyle name="%_Отчет о движении ден.средств (прямой и косвенный)_0802 MBKKK budget v.1_CF- январь 2009 NEW_0409-swod-kolomenskoe-v2_PL_прогноз" xfId="731"/>
    <cellStyle name="%_Отчет о движении ден.средств (прямой и косвенный)_0802 MBKKK budget v.1_CF- январь 2009 NEW_0409-swod-kolomenskoe-v2_Xl0000000" xfId="732"/>
    <cellStyle name="%_Отчет о движении ден.средств (прямой и косвенный)_0802 MBKKK budget v.1_CF- январь 2009 NEW_0409-swod-kolomenskoe-v2_Таблица расходов" xfId="733"/>
    <cellStyle name="%_Отчет о движении ден.средств (прямой и косвенный)_0802 MBKKK budget v.1_CF- январь 2009 NEW_0409-swod-kolomenskoe-v2_Формат" xfId="734"/>
    <cellStyle name="%_Отчет о движении ден.средств (прямой и косвенный)_0802 MBKKK budget v.1_CF- январь 2009 NEW_CF_без реорганизации" xfId="735"/>
    <cellStyle name="%_Отчет о движении ден.средств (прямой и косвенный)_0802 MBKKK budget v.1_CF- январь 2009 NEW_CF_инвест_6 мес_2010" xfId="736"/>
    <cellStyle name="%_Отчет о движении ден.средств (прямой и косвенный)_0802 MBKKK budget v.1_CF- январь 2009 NEW_MBKK_dec_2010_18_01_11_вер_1" xfId="737"/>
    <cellStyle name="%_Отчет о движении ден.средств (прямой и косвенный)_0802 MBKKK budget v.1_CF- январь 2009 NEW_MBKK_jan_2011_08_02_11_вер_1" xfId="738"/>
    <cellStyle name="%_Отчет о движении ден.средств (прямой и косвенный)_0802 MBKKK budget v.1_CF- январь 2009 NEW_MBKK_jule_2010_09_08_10_вер_1" xfId="739"/>
    <cellStyle name="%_Отчет о движении ден.средств (прямой и косвенный)_0802 MBKKK budget v.1_CF- январь 2009 NEW_MBKK_nov_2010_09_12_10_вер_1" xfId="740"/>
    <cellStyle name="%_Отчет о движении ден.средств (прямой и косвенный)_0802 MBKKK budget v.1_CF- январь 2009 NEW_MBKK_oct_2010_10_11_10_вер_1" xfId="741"/>
    <cellStyle name="%_Отчет о движении ден.средств (прямой и косвенный)_0802 MBKKK budget v.1_CF- январь 2009 NEW_MBKK_sep_2010_05_10_10_вер_1" xfId="742"/>
    <cellStyle name="%_Отчет о движении ден.средств (прямой и косвенный)_0802 MBKKK budget v.1_CF- январь 2009 NEW_MBKK_sept_2010_03_08_10_вер_2" xfId="743"/>
    <cellStyle name="%_Отчет о движении ден.средств (прямой и косвенный)_0802 MBKKK budget v.1_CF- январь 2009 NEW_PL апрель 2009" xfId="744"/>
    <cellStyle name="%_Отчет о движении ден.средств (прямой и косвенный)_0802 MBKKK budget v.1_CF- январь 2009 NEW_PL апрель 2009 2" xfId="745"/>
    <cellStyle name="%_Отчет о движении ден.средств (прямой и косвенный)_0802 MBKKK budget v.1_CF- январь 2009 NEW_PL апрель 2009_CF_без реорганизации" xfId="746"/>
    <cellStyle name="%_Отчет о движении ден.средств (прямой и косвенный)_0802 MBKKK budget v.1_CF- январь 2009 NEW_PL апрель 2009_MBKK_dec_2010_18_01_11_вер_1" xfId="747"/>
    <cellStyle name="%_Отчет о движении ден.средств (прямой и косвенный)_0802 MBKKK budget v.1_CF- январь 2009 NEW_PL апрель 2009_MBKK_jan_2011_08_02_11_вер_1" xfId="748"/>
    <cellStyle name="%_Отчет о движении ден.средств (прямой и косвенный)_0802 MBKKK budget v.1_CF- январь 2009 NEW_PL апрель 2009_MBKK_jule_2010_09_08_10_вер_1" xfId="749"/>
    <cellStyle name="%_Отчет о движении ден.средств (прямой и косвенный)_0802 MBKKK budget v.1_CF- январь 2009 NEW_PL апрель 2009_MBKK_nov_2010_09_12_10_вер_1" xfId="750"/>
    <cellStyle name="%_Отчет о движении ден.средств (прямой и косвенный)_0802 MBKKK budget v.1_CF- январь 2009 NEW_PL апрель 2009_MBKK_oct_2010_10_11_10_вер_1" xfId="751"/>
    <cellStyle name="%_Отчет о движении ден.средств (прямой и косвенный)_0802 MBKKK budget v.1_CF- январь 2009 NEW_PL апрель 2009_MBKK_sep_2010_05_10_10_вер_1" xfId="752"/>
    <cellStyle name="%_Отчет о движении ден.средств (прямой и косвенный)_0802 MBKKK budget v.1_CF- январь 2009 NEW_PL апрель 2009_MBKK_sept_2010_03_08_10_вер_2" xfId="753"/>
    <cellStyle name="%_Отчет о движении ден.средств (прямой и косвенный)_0802 MBKKK budget v.1_CF- январь 2009 NEW_PL апрель 2009_PL_прогноз" xfId="754"/>
    <cellStyle name="%_Отчет о движении ден.средств (прямой и косвенный)_0802 MBKKK budget v.1_CF- январь 2009 NEW_PL апрель 2009_Xl0000000" xfId="755"/>
    <cellStyle name="%_Отчет о движении ден.средств (прямой и косвенный)_0802 MBKKK budget v.1_CF- январь 2009 NEW_PL апрель 2009_Таблица расходов" xfId="756"/>
    <cellStyle name="%_Отчет о движении ден.средств (прямой и косвенный)_0802 MBKKK budget v.1_CF- январь 2009 NEW_PL апрель 2009_Формат" xfId="757"/>
    <cellStyle name="%_Отчет о движении ден.средств (прямой и косвенный)_0802 MBKKK budget v.1_CF- январь 2009 NEW_PL март 2009 (ревижн)" xfId="758"/>
    <cellStyle name="%_Отчет о движении ден.средств (прямой и косвенный)_0802 MBKKK budget v.1_CF- январь 2009 NEW_PL март 2009 (ревижн) 2" xfId="759"/>
    <cellStyle name="%_Отчет о движении ден.средств (прямой и косвенный)_0802 MBKKK budget v.1_CF- январь 2009 NEW_PL март 2009 (ревижн)_CF_без реорганизации" xfId="760"/>
    <cellStyle name="%_Отчет о движении ден.средств (прямой и косвенный)_0802 MBKKK budget v.1_CF- январь 2009 NEW_PL март 2009 (ревижн)_MBKK_dec_2010_18_01_11_вер_1" xfId="761"/>
    <cellStyle name="%_Отчет о движении ден.средств (прямой и косвенный)_0802 MBKKK budget v.1_CF- январь 2009 NEW_PL март 2009 (ревижн)_MBKK_jan_2011_08_02_11_вер_1" xfId="762"/>
    <cellStyle name="%_Отчет о движении ден.средств (прямой и косвенный)_0802 MBKKK budget v.1_CF- январь 2009 NEW_PL март 2009 (ревижн)_MBKK_jule_2010_09_08_10_вер_1" xfId="763"/>
    <cellStyle name="%_Отчет о движении ден.средств (прямой и косвенный)_0802 MBKKK budget v.1_CF- январь 2009 NEW_PL март 2009 (ревижн)_MBKK_nov_2010_09_12_10_вер_1" xfId="764"/>
    <cellStyle name="%_Отчет о движении ден.средств (прямой и косвенный)_0802 MBKKK budget v.1_CF- январь 2009 NEW_PL март 2009 (ревижн)_MBKK_oct_2010_10_11_10_вер_1" xfId="765"/>
    <cellStyle name="%_Отчет о движении ден.средств (прямой и косвенный)_0802 MBKKK budget v.1_CF- январь 2009 NEW_PL март 2009 (ревижн)_MBKK_sep_2010_05_10_10_вер_1" xfId="766"/>
    <cellStyle name="%_Отчет о движении ден.средств (прямой и косвенный)_0802 MBKKK budget v.1_CF- январь 2009 NEW_PL март 2009 (ревижн)_MBKK_sept_2010_03_08_10_вер_2" xfId="767"/>
    <cellStyle name="%_Отчет о движении ден.средств (прямой и косвенный)_0802 MBKKK budget v.1_CF- январь 2009 NEW_PL март 2009 (ревижн)_PL_прогноз" xfId="768"/>
    <cellStyle name="%_Отчет о движении ден.средств (прямой и косвенный)_0802 MBKKK budget v.1_CF- январь 2009 NEW_PL март 2009 (ревижн)_Xl0000000" xfId="769"/>
    <cellStyle name="%_Отчет о движении ден.средств (прямой и косвенный)_0802 MBKKK budget v.1_CF- январь 2009 NEW_PL март 2009 (ревижн)_Таблица расходов" xfId="770"/>
    <cellStyle name="%_Отчет о движении ден.средств (прямой и косвенный)_0802 MBKKK budget v.1_CF- январь 2009 NEW_PL март 2009 (ревижн)_Формат" xfId="771"/>
    <cellStyle name="%_Отчет о движении ден.средств (прямой и косвенный)_0802 MBKKK budget v.1_CF- январь 2009 NEW_Xl0000000" xfId="772"/>
    <cellStyle name="%_Отчет о движении ден.средств (прямой и косвенный)_0802 MBKKK budget v.1_CF- январь 2009 NEW_МБКК -план развития 2009-хлеб с перевзвешенным падением-3" xfId="773"/>
    <cellStyle name="%_Отчет о движении ден.средств (прямой и косвенный)_0802 MBKKK budget v.1_CF- январь 2009 NEW_Прогноз_BS_PL_CF_v5" xfId="774"/>
    <cellStyle name="%_Отчет о движении ден.средств (прямой и косвенный)_0802 MBKKK budget v.1_CF- январь 2009 NEW_Сводный отчет" xfId="775"/>
    <cellStyle name="%_Отчет о движении ден.средств (прямой и косвенный)_0802 MBKKK budget v.1_CF- январь 2009 NEW_Сводный отчет 2" xfId="776"/>
    <cellStyle name="%_Отчет о движении ден.средств (прямой и косвенный)_0802 MBKKK budget v.1_CF- январь 2009 NEW_Сводный отчет МБКК за май 2009 v2" xfId="777"/>
    <cellStyle name="%_Отчет о движении ден.средств (прямой и косвенный)_0802 MBKKK budget v.1_CF- январь 2009 NEW_Сводный отчет МБКК за май 2009 v2 2" xfId="778"/>
    <cellStyle name="%_Отчет о движении ден.средств (прямой и косвенный)_0802 MBKKK budget v.1_CF- январь 2009 NEW_Сводный_отчет_май_2009" xfId="779"/>
    <cellStyle name="%_Отчет о движении ден.средств (прямой и косвенный)_0802 MBKKK budget v.1_CF- январь 2009 NEW_Сводный_отчет_май_2009 2" xfId="780"/>
    <cellStyle name="%_Отчет о движении ден.средств (прямой и косвенный)_0802 MBKKK budget v.1_CF- январь 2009 NEW_Сводный_отчет_май_2009_CF_без реорганизации" xfId="781"/>
    <cellStyle name="%_Отчет о движении ден.средств (прямой и косвенный)_0802 MBKKK budget v.1_CF- январь 2009 NEW_Сводный_отчет_май_2009_MBKK_dec_2010_18_01_11_вер_1" xfId="782"/>
    <cellStyle name="%_Отчет о движении ден.средств (прямой и косвенный)_0802 MBKKK budget v.1_CF- январь 2009 NEW_Сводный_отчет_май_2009_MBKK_jan_2011_08_02_11_вер_1" xfId="783"/>
    <cellStyle name="%_Отчет о движении ден.средств (прямой и косвенный)_0802 MBKKK budget v.1_CF- январь 2009 NEW_Сводный_отчет_май_2009_MBKK_jule_2010_09_08_10_вер_1" xfId="784"/>
    <cellStyle name="%_Отчет о движении ден.средств (прямой и косвенный)_0802 MBKKK budget v.1_CF- январь 2009 NEW_Сводный_отчет_май_2009_MBKK_nov_2010_09_12_10_вер_1" xfId="785"/>
    <cellStyle name="%_Отчет о движении ден.средств (прямой и косвенный)_0802 MBKKK budget v.1_CF- январь 2009 NEW_Сводный_отчет_май_2009_MBKK_oct_2010_10_11_10_вер_1" xfId="786"/>
    <cellStyle name="%_Отчет о движении ден.средств (прямой и косвенный)_0802 MBKKK budget v.1_CF- январь 2009 NEW_Сводный_отчет_май_2009_MBKK_sep_2010_05_10_10_вер_1" xfId="787"/>
    <cellStyle name="%_Отчет о движении ден.средств (прямой и косвенный)_0802 MBKKK budget v.1_CF- январь 2009 NEW_Сводный_отчет_май_2009_MBKK_sept_2010_03_08_10_вер_2" xfId="788"/>
    <cellStyle name="%_Отчет о движении ден.средств (прямой и косвенный)_0802 MBKKK budget v.1_CF- январь 2009 NEW_Сводный_отчет_май_2009_PL_прогноз" xfId="789"/>
    <cellStyle name="%_Отчет о движении ден.средств (прямой и косвенный)_0802 MBKKK budget v.1_CF- январь 2009 NEW_Сводный_отчет_май_2009_Xl0000000" xfId="790"/>
    <cellStyle name="%_Отчет о движении ден.средств (прямой и косвенный)_0802 MBKKK budget v.1_CF- январь 2009 NEW_Сводный_отчет_май_2009_Таблица расходов" xfId="791"/>
    <cellStyle name="%_Отчет о движении ден.средств (прямой и косвенный)_0802 MBKKK budget v.1_CF- январь 2009 NEW_Сводный_отчет_май_2009_Формат" xfId="792"/>
    <cellStyle name="%_Отчет о движении ден.средств (прямой и косвенный)_0802 MBKKK budget v.1_CF- январь 2009 NEW_смайнекс PL0209" xfId="793"/>
    <cellStyle name="%_Отчет о движении ден.средств (прямой и косвенный)_0802 MBKKK budget v.1_CF- январь 2009 NEW_смайнекс PL0209 2" xfId="794"/>
    <cellStyle name="%_Отчет о движении ден.средств (прямой и косвенный)_0802 MBKKK budget v.1_CF- январь 2009 NEW_Сырье-проценты" xfId="795"/>
    <cellStyle name="%_Отчет о движении ден.средств (прямой и косвенный)_0802 MBKKK budget v.1_CF- январь 2009 NEW_Таблица расходов" xfId="796"/>
    <cellStyle name="%_Отчет о движении ден.средств (прямой и косвенный)_0802 MBKKK budget v.1_CF- январь 2009 NEW_Торты" xfId="797"/>
    <cellStyle name="%_Отчет о движении ден.средств (прямой и косвенный)_0802 MBKKK budget v.1_CF- январь 2009 NEW_Формат" xfId="798"/>
    <cellStyle name="%_Отчет о движении ден.средств (прямой и косвенный)_0802 MBKKK budget v.1_CF_без реорганизации" xfId="799"/>
    <cellStyle name="%_Отчет о движении ден.средств (прямой и косвенный)_0802 MBKKK budget v.1_CF_инвест_6 мес_2010" xfId="800"/>
    <cellStyle name="%_Отчет о движении ден.средств (прямой и косвенный)_0802 MBKKK budget v.1_margin-0409" xfId="801"/>
    <cellStyle name="%_Отчет о движении ден.средств (прямой и косвенный)_0802 MBKKK budget v.1_margin-0409 2" xfId="802"/>
    <cellStyle name="%_Отчет о движении ден.средств (прямой и косвенный)_0802 MBKKK budget v.1_margin-0409_CF_без реорганизации" xfId="803"/>
    <cellStyle name="%_Отчет о движении ден.средств (прямой и косвенный)_0802 MBKKK budget v.1_margin-0409_MBKK_dec_2010_18_01_11_вер_1" xfId="804"/>
    <cellStyle name="%_Отчет о движении ден.средств (прямой и косвенный)_0802 MBKKK budget v.1_margin-0409_MBKK_jan_2011_08_02_11_вер_1" xfId="805"/>
    <cellStyle name="%_Отчет о движении ден.средств (прямой и косвенный)_0802 MBKKK budget v.1_margin-0409_MBKK_jule_2010_09_08_10_вер_1" xfId="806"/>
    <cellStyle name="%_Отчет о движении ден.средств (прямой и косвенный)_0802 MBKKK budget v.1_margin-0409_MBKK_nov_2010_09_12_10_вер_1" xfId="807"/>
    <cellStyle name="%_Отчет о движении ден.средств (прямой и косвенный)_0802 MBKKK budget v.1_margin-0409_MBKK_oct_2010_10_11_10_вер_1" xfId="808"/>
    <cellStyle name="%_Отчет о движении ден.средств (прямой и косвенный)_0802 MBKKK budget v.1_margin-0409_MBKK_sep_2010_05_10_10_вер_1" xfId="809"/>
    <cellStyle name="%_Отчет о движении ден.средств (прямой и косвенный)_0802 MBKKK budget v.1_margin-0409_MBKK_sept_2010_03_08_10_вер_2" xfId="810"/>
    <cellStyle name="%_Отчет о движении ден.средств (прямой и косвенный)_0802 MBKKK budget v.1_margin-0409_PL_прогноз" xfId="811"/>
    <cellStyle name="%_Отчет о движении ден.средств (прямой и косвенный)_0802 MBKKK budget v.1_margin-0409_Xl0000000" xfId="812"/>
    <cellStyle name="%_Отчет о движении ден.средств (прямой и косвенный)_0802 MBKKK budget v.1_margin-0409_Таблица расходов" xfId="813"/>
    <cellStyle name="%_Отчет о движении ден.средств (прямой и косвенный)_0802 MBKKK budget v.1_margin-0409_Формат" xfId="814"/>
    <cellStyle name="%_Отчет о движении ден.средств (прямой и косвенный)_0802 MBKKK budget v.1_MBKK_dec_2010_18_01_11_вер_1" xfId="815"/>
    <cellStyle name="%_Отчет о движении ден.средств (прямой и косвенный)_0802 MBKKK budget v.1_MBKK_jan_2011_08_02_11_вер_1" xfId="816"/>
    <cellStyle name="%_Отчет о движении ден.средств (прямой и косвенный)_0802 MBKKK budget v.1_MBKK_jule_2010_09_08_10_вер_1" xfId="817"/>
    <cellStyle name="%_Отчет о движении ден.средств (прямой и косвенный)_0802 MBKKK budget v.1_MBKK_nov_2010_09_12_10_вер_1" xfId="818"/>
    <cellStyle name="%_Отчет о движении ден.средств (прямой и косвенный)_0802 MBKKK budget v.1_MBKK_oct_2010_10_11_10_вер_1" xfId="819"/>
    <cellStyle name="%_Отчет о движении ден.средств (прямой и косвенный)_0802 MBKKK budget v.1_MBKK_sep_2010_05_10_10_вер_1" xfId="820"/>
    <cellStyle name="%_Отчет о движении ден.средств (прямой и косвенный)_0802 MBKKK budget v.1_MBKK_sept_2010_03_08_10_вер_2" xfId="821"/>
    <cellStyle name="%_Отчет о движении ден.средств (прямой и косвенный)_0802 MBKKK budget v.1_MBKKK-BP-2009-months-v18-project" xfId="822"/>
    <cellStyle name="%_Отчет о движении ден.средств (прямой и косвенный)_0802 MBKKK budget v.1_MBKKK-BP-2009-months-v18-project 2" xfId="823"/>
    <cellStyle name="%_Отчет о движении ден.средств (прямой и косвенный)_0802 MBKKK budget v.1_MBKKK-BP-2009-months-v19-project" xfId="824"/>
    <cellStyle name="%_Отчет о движении ден.средств (прямой и косвенный)_0802 MBKKK budget v.1_MBKKK-BP-2009-months-v19-project 2" xfId="825"/>
    <cellStyle name="%_Отчет о движении ден.средств (прямой и косвенный)_0802 MBKKK budget v.1_MBKKK-BP-2009-months-v20-project_2" xfId="826"/>
    <cellStyle name="%_Отчет о движении ден.средств (прямой и косвенный)_0802 MBKKK budget v.1_MBKKK-BP-2009-months-v6-cash" xfId="827"/>
    <cellStyle name="%_Отчет о движении ден.средств (прямой и косвенный)_0802 MBKKK budget v.1_MBKKK-BP-2009-months-v6-cash 2" xfId="828"/>
    <cellStyle name="%_Отчет о движении ден.средств (прямой и косвенный)_0802 MBKKK budget v.1_PL" xfId="829"/>
    <cellStyle name="%_Отчет о движении ден.средств (прямой и косвенный)_0802 MBKKK budget v.1_PL 2" xfId="830"/>
    <cellStyle name="%_Отчет о движении ден.средств (прямой и косвенный)_0802 MBKKK budget v.1_PL апрель 2009" xfId="831"/>
    <cellStyle name="%_Отчет о движении ден.средств (прямой и косвенный)_0802 MBKKK budget v.1_PL апрель 2009 2" xfId="832"/>
    <cellStyle name="%_Отчет о движении ден.средств (прямой и косвенный)_0802 MBKKK budget v.1_PL апрель 2009_CF_без реорганизации" xfId="833"/>
    <cellStyle name="%_Отчет о движении ден.средств (прямой и косвенный)_0802 MBKKK budget v.1_PL апрель 2009_MBKK_dec_2010_18_01_11_вер_1" xfId="834"/>
    <cellStyle name="%_Отчет о движении ден.средств (прямой и косвенный)_0802 MBKKK budget v.1_PL апрель 2009_MBKK_jan_2011_08_02_11_вер_1" xfId="835"/>
    <cellStyle name="%_Отчет о движении ден.средств (прямой и косвенный)_0802 MBKKK budget v.1_PL апрель 2009_MBKK_jule_2010_09_08_10_вер_1" xfId="836"/>
    <cellStyle name="%_Отчет о движении ден.средств (прямой и косвенный)_0802 MBKKK budget v.1_PL апрель 2009_MBKK_nov_2010_09_12_10_вер_1" xfId="837"/>
    <cellStyle name="%_Отчет о движении ден.средств (прямой и косвенный)_0802 MBKKK budget v.1_PL апрель 2009_MBKK_oct_2010_10_11_10_вер_1" xfId="838"/>
    <cellStyle name="%_Отчет о движении ден.средств (прямой и косвенный)_0802 MBKKK budget v.1_PL апрель 2009_MBKK_sep_2010_05_10_10_вер_1" xfId="839"/>
    <cellStyle name="%_Отчет о движении ден.средств (прямой и косвенный)_0802 MBKKK budget v.1_PL апрель 2009_MBKK_sept_2010_03_08_10_вер_2" xfId="840"/>
    <cellStyle name="%_Отчет о движении ден.средств (прямой и косвенный)_0802 MBKKK budget v.1_PL апрель 2009_PL_прогноз" xfId="841"/>
    <cellStyle name="%_Отчет о движении ден.средств (прямой и косвенный)_0802 MBKKK budget v.1_PL апрель 2009_Xl0000000" xfId="842"/>
    <cellStyle name="%_Отчет о движении ден.средств (прямой и косвенный)_0802 MBKKK budget v.1_PL апрель 2009_Таблица расходов" xfId="843"/>
    <cellStyle name="%_Отчет о движении ден.средств (прямой и косвенный)_0802 MBKKK budget v.1_PL апрель 2009_Формат" xfId="844"/>
    <cellStyle name="%_Отчет о движении ден.средств (прямой и косвенный)_0802 MBKKK budget v.1_PL март 2009 (ревижн)" xfId="845"/>
    <cellStyle name="%_Отчет о движении ден.средств (прямой и косвенный)_0802 MBKKK budget v.1_PL март 2009 (ревижн) 2" xfId="846"/>
    <cellStyle name="%_Отчет о движении ден.средств (прямой и косвенный)_0802 MBKKK budget v.1_PL март 2009 (ревижн)_CF_без реорганизации" xfId="847"/>
    <cellStyle name="%_Отчет о движении ден.средств (прямой и косвенный)_0802 MBKKK budget v.1_PL март 2009 (ревижн)_MBKK_dec_2010_18_01_11_вер_1" xfId="848"/>
    <cellStyle name="%_Отчет о движении ден.средств (прямой и косвенный)_0802 MBKKK budget v.1_PL март 2009 (ревижн)_MBKK_jan_2011_08_02_11_вер_1" xfId="849"/>
    <cellStyle name="%_Отчет о движении ден.средств (прямой и косвенный)_0802 MBKKK budget v.1_PL март 2009 (ревижн)_MBKK_jule_2010_09_08_10_вер_1" xfId="850"/>
    <cellStyle name="%_Отчет о движении ден.средств (прямой и косвенный)_0802 MBKKK budget v.1_PL март 2009 (ревижн)_MBKK_nov_2010_09_12_10_вер_1" xfId="851"/>
    <cellStyle name="%_Отчет о движении ден.средств (прямой и косвенный)_0802 MBKKK budget v.1_PL март 2009 (ревижн)_MBKK_oct_2010_10_11_10_вер_1" xfId="852"/>
    <cellStyle name="%_Отчет о движении ден.средств (прямой и косвенный)_0802 MBKKK budget v.1_PL март 2009 (ревижн)_MBKK_sep_2010_05_10_10_вер_1" xfId="853"/>
    <cellStyle name="%_Отчет о движении ден.средств (прямой и косвенный)_0802 MBKKK budget v.1_PL март 2009 (ревижн)_MBKK_sept_2010_03_08_10_вер_2" xfId="854"/>
    <cellStyle name="%_Отчет о движении ден.средств (прямой и косвенный)_0802 MBKKK budget v.1_PL март 2009 (ревижн)_PL_прогноз" xfId="855"/>
    <cellStyle name="%_Отчет о движении ден.средств (прямой и косвенный)_0802 MBKKK budget v.1_PL март 2009 (ревижн)_Xl0000000" xfId="856"/>
    <cellStyle name="%_Отчет о движении ден.средств (прямой и косвенный)_0802 MBKKK budget v.1_PL март 2009 (ревижн)_Таблица расходов" xfId="857"/>
    <cellStyle name="%_Отчет о движении ден.средств (прямой и косвенный)_0802 MBKKK budget v.1_PL март 2009 (ревижн)_Формат" xfId="858"/>
    <cellStyle name="%_Отчет о движении ден.средств (прямой и косвенный)_0802 MBKKK budget v.1_PL февраль 2009" xfId="859"/>
    <cellStyle name="%_Отчет о движении ден.средств (прямой и косвенный)_0802 MBKKK budget v.1_PL февраль 2009 2" xfId="860"/>
    <cellStyle name="%_Отчет о движении ден.средств (прямой и косвенный)_0802 MBKKK budget v.1_PL февраль 2009_CF_без реорганизации" xfId="861"/>
    <cellStyle name="%_Отчет о движении ден.средств (прямой и косвенный)_0802 MBKKK budget v.1_PL февраль 2009_CF_инвест_6 мес_2010" xfId="862"/>
    <cellStyle name="%_Отчет о движении ден.средств (прямой и косвенный)_0802 MBKKK budget v.1_PL февраль 2009_MBKK_dec_2010_18_01_11_вер_1" xfId="863"/>
    <cellStyle name="%_Отчет о движении ден.средств (прямой и косвенный)_0802 MBKKK budget v.1_PL февраль 2009_MBKK_jan_2011_08_02_11_вер_1" xfId="864"/>
    <cellStyle name="%_Отчет о движении ден.средств (прямой и косвенный)_0802 MBKKK budget v.1_PL февраль 2009_MBKK_jule_2010_09_08_10_вер_1" xfId="865"/>
    <cellStyle name="%_Отчет о движении ден.средств (прямой и косвенный)_0802 MBKKK budget v.1_PL февраль 2009_MBKK_nov_2010_09_12_10_вер_1" xfId="866"/>
    <cellStyle name="%_Отчет о движении ден.средств (прямой и косвенный)_0802 MBKKK budget v.1_PL февраль 2009_MBKK_oct_2010_10_11_10_вер_1" xfId="867"/>
    <cellStyle name="%_Отчет о движении ден.средств (прямой и косвенный)_0802 MBKKK budget v.1_PL февраль 2009_MBKK_sep_2010_05_10_10_вер_1" xfId="868"/>
    <cellStyle name="%_Отчет о движении ден.средств (прямой и косвенный)_0802 MBKKK budget v.1_PL февраль 2009_MBKK_sept_2010_03_08_10_вер_2" xfId="869"/>
    <cellStyle name="%_Отчет о движении ден.средств (прямой и косвенный)_0802 MBKKK budget v.1_PL февраль 2009_Xl0000000" xfId="870"/>
    <cellStyle name="%_Отчет о движении ден.средств (прямой и косвенный)_0802 MBKKK budget v.1_PL февраль 2009_МБКК -план развития 2009-хлеб с перевзвешенным падением-3" xfId="871"/>
    <cellStyle name="%_Отчет о движении ден.средств (прямой и косвенный)_0802 MBKKK budget v.1_PL февраль 2009_Прогноз_BS_PL_CF_v5" xfId="872"/>
    <cellStyle name="%_Отчет о движении ден.средств (прямой и косвенный)_0802 MBKKK budget v.1_PL февраль 2009_Сырье-проценты" xfId="873"/>
    <cellStyle name="%_Отчет о движении ден.средств (прямой и косвенный)_0802 MBKKK budget v.1_PL февраль 2009_Таблица расходов" xfId="874"/>
    <cellStyle name="%_Отчет о движении ден.средств (прямой и косвенный)_0802 MBKKK budget v.1_PL февраль 2009_Торты" xfId="875"/>
    <cellStyle name="%_Отчет о движении ден.средств (прямой и косвенный)_0802 MBKKK budget v.1_PL февраль 2009_Формат" xfId="876"/>
    <cellStyle name="%_Отчет о движении ден.средств (прямой и косвенный)_0802 MBKKK budget v.1_SVOD 1108 MBKKK budget-act v6" xfId="877"/>
    <cellStyle name="%_Отчет о движении ден.средств (прямой и косвенный)_0802 MBKKK budget v.1_SVOD 1108 MBKKK budget-act v6 2" xfId="878"/>
    <cellStyle name="%_Отчет о движении ден.средств (прямой и косвенный)_0802 MBKKK budget v.1_SVOD 1108 MBKKK budget-act v6_0609-budge-Kolomenskoe-v6_final" xfId="879"/>
    <cellStyle name="%_Отчет о движении ден.средств (прямой и косвенный)_0802 MBKKK budget v.1_SVOD 1108 MBKKK budget-act v6_0609-swod-kolomenskoe-v1" xfId="880"/>
    <cellStyle name="%_Отчет о движении ден.средств (прямой и косвенный)_0802 MBKKK budget v.1_SVOD 1108 MBKKK budget-act v6_MBKKK-BP-2009-months-v20-project_2" xfId="881"/>
    <cellStyle name="%_Отчет о движении ден.средств (прямой и косвенный)_0802 MBKKK budget v.1_SVOD 1108 MBKKK budget-act v6_Сырье-проценты" xfId="882"/>
    <cellStyle name="%_Отчет о движении ден.средств (прямой и косвенный)_0802 MBKKK budget v.1_SVOD 1208 MBKKK budget-act v1" xfId="883"/>
    <cellStyle name="%_Отчет о движении ден.средств (прямой и косвенный)_0802 MBKKK budget v.1_SVOD 1208 MBKKK budget-act v1 2" xfId="884"/>
    <cellStyle name="%_Отчет о движении ден.средств (прямой и косвенный)_0802 MBKKK budget v.1_SVOD 1208 MBKKK budget-act v1_0609-budge-Kolomenskoe-v6_final" xfId="885"/>
    <cellStyle name="%_Отчет о движении ден.средств (прямой и косвенный)_0802 MBKKK budget v.1_SVOD 1208 MBKKK budget-act v1_0609-swod-kolomenskoe-v1" xfId="886"/>
    <cellStyle name="%_Отчет о движении ден.средств (прямой и косвенный)_0802 MBKKK budget v.1_SVOD 1208 MBKKK budget-act v1_MBKKK-BP-2009-months-v20-project_2" xfId="887"/>
    <cellStyle name="%_Отчет о движении ден.средств (прямой и косвенный)_0802 MBKKK budget v.1_SVOD 1208 MBKKK budget-act v1_Сырье-проценты" xfId="888"/>
    <cellStyle name="%_Отчет о движении ден.средств (прямой и косвенный)_0802 MBKKK budget v.1_Xl0000000" xfId="889"/>
    <cellStyle name="%_Отчет о движении ден.средств (прямой и косвенный)_0802 MBKKK budget v.1_бюджет январь 2009г xls (3)" xfId="890"/>
    <cellStyle name="%_Отчет о движении ден.средств (прямой и косвенный)_0802 MBKKK budget v.1_бюджет январь 2009г xls (3) 2" xfId="891"/>
    <cellStyle name="%_Отчет о движении ден.средств (прямой и косвенный)_0802 MBKKK budget v.1_бюджет январь 2009г xls (3)_0609-budge-Kolomenskoe-v6_final" xfId="892"/>
    <cellStyle name="%_Отчет о движении ден.средств (прямой и косвенный)_0802 MBKKK budget v.1_бюджет январь 2009г xls (3)_0609-swod-kolomenskoe-v1" xfId="893"/>
    <cellStyle name="%_Отчет о движении ден.средств (прямой и косвенный)_0802 MBKKK budget v.1_бюджет январь 2009г xls (3)_MBKKK-BP-2009-months-v20-project_2" xfId="894"/>
    <cellStyle name="%_Отчет о движении ден.средств (прямой и косвенный)_0802 MBKKK budget v.1_бюджет январь 2009г xls (3)_Сырье-проценты" xfId="895"/>
    <cellStyle name="%_Отчет о движении ден.средств (прямой и косвенный)_0802 MBKKK budget v.1_Детский ассортимент_график входа" xfId="896"/>
    <cellStyle name="%_Отчет о движении ден.средств (прямой и косвенный)_0802 MBKKK budget v.1_Детский ассортимент_Окупаемость версия" xfId="897"/>
    <cellStyle name="%_Отчет о движении ден.средств (прямой и косвенный)_0802 MBKKK budget v.1_Копия SVOD 1208 MBKKK budget-act v2(с планом PL-январь)" xfId="898"/>
    <cellStyle name="%_Отчет о движении ден.средств (прямой и косвенный)_0802 MBKKK budget v.1_Копия SVOD 1208 MBKKK budget-act v2(с планом PL-январь) 2" xfId="899"/>
    <cellStyle name="%_Отчет о движении ден.средств (прямой и косвенный)_0802 MBKKK budget v.1_МБКК -план развития 2009-хлеб с перевзвешенным падением-3" xfId="900"/>
    <cellStyle name="%_Отчет о движении ден.средств (прямой и косвенный)_0802 MBKKK budget v.1_Модель-2009 год" xfId="901"/>
    <cellStyle name="%_Отчет о движении ден.средств (прямой и косвенный)_0802 MBKKK budget v.1_Модель-2009 год 2" xfId="902"/>
    <cellStyle name="%_Отчет о движении ден.средств (прямой и косвенный)_0802 MBKKK budget v.1_Модель-2009 год_0609-budge-Kolomenskoe-v6_final" xfId="903"/>
    <cellStyle name="%_Отчет о движении ден.средств (прямой и косвенный)_0802 MBKKK budget v.1_Модель-2009 год_0609-swod-kolomenskoe-v1" xfId="904"/>
    <cellStyle name="%_Отчет о движении ден.средств (прямой и косвенный)_0802 MBKKK budget v.1_Модель-2009 год_MBKKK-BP-2009-months-v20-project_2" xfId="905"/>
    <cellStyle name="%_Отчет о движении ден.средств (прямой и косвенный)_0802 MBKKK budget v.1_Модель-2009 год_Сырье-проценты" xfId="906"/>
    <cellStyle name="%_Отчет о движении ден.средств (прямой и косвенный)_0802 MBKKK budget v.1_Объ" xfId="907"/>
    <cellStyle name="%_Отчет о движении ден.средств (прямой и косвенный)_0802 MBKKK budget v.1_Объ 2" xfId="908"/>
    <cellStyle name="%_Отчет о движении ден.средств (прямой и косвенный)_0802 MBKKK budget v.1_Оперплан_2010_13_01_2010_версия_10_уточн" xfId="909"/>
    <cellStyle name="%_Отчет о движении ден.средств (прямой и косвенный)_0802 MBKKK budget v.1_Прогноз_BS_PL_CF_v5" xfId="910"/>
    <cellStyle name="%_Отчет о движении ден.средств (прямой и косвенный)_0802 MBKKK budget v.1_Продажи" xfId="911"/>
    <cellStyle name="%_Отчет о движении ден.средств (прямой и косвенный)_0802 MBKKK budget v.1_Продажи 2" xfId="912"/>
    <cellStyle name="%_Отчет о движении ден.средств (прямой и косвенный)_0802 MBKKK budget v.1_Продажи_CF_без реорганизации" xfId="913"/>
    <cellStyle name="%_Отчет о движении ден.средств (прямой и косвенный)_0802 MBKKK budget v.1_Продажи_CF_инвест_6 мес_2010" xfId="914"/>
    <cellStyle name="%_Отчет о движении ден.средств (прямой и косвенный)_0802 MBKKK budget v.1_Продажи_MBKK_dec_2010_18_01_11_вер_1" xfId="915"/>
    <cellStyle name="%_Отчет о движении ден.средств (прямой и косвенный)_0802 MBKKK budget v.1_Продажи_MBKK_jan_2011_08_02_11_вер_1" xfId="916"/>
    <cellStyle name="%_Отчет о движении ден.средств (прямой и косвенный)_0802 MBKKK budget v.1_Продажи_MBKK_jule_2010_09_08_10_вер_1" xfId="917"/>
    <cellStyle name="%_Отчет о движении ден.средств (прямой и косвенный)_0802 MBKKK budget v.1_Продажи_MBKK_nov_2010_09_12_10_вер_1" xfId="918"/>
    <cellStyle name="%_Отчет о движении ден.средств (прямой и косвенный)_0802 MBKKK budget v.1_Продажи_MBKK_oct_2010_10_11_10_вер_1" xfId="919"/>
    <cellStyle name="%_Отчет о движении ден.средств (прямой и косвенный)_0802 MBKKK budget v.1_Продажи_MBKK_sep_2010_05_10_10_вер_1" xfId="920"/>
    <cellStyle name="%_Отчет о движении ден.средств (прямой и косвенный)_0802 MBKKK budget v.1_Продажи_MBKK_sept_2010_03_08_10_вер_2" xfId="921"/>
    <cellStyle name="%_Отчет о движении ден.средств (прямой и косвенный)_0802 MBKKK budget v.1_Продажи_Xl0000000" xfId="922"/>
    <cellStyle name="%_Отчет о движении ден.средств (прямой и косвенный)_0802 MBKKK budget v.1_Продажи_МБКК -план развития 2009-хлеб с перевзвешенным падением-3" xfId="923"/>
    <cellStyle name="%_Отчет о движении ден.средств (прямой и косвенный)_0802 MBKKK budget v.1_Продажи_Прогноз_BS_PL_CF_v5" xfId="924"/>
    <cellStyle name="%_Отчет о движении ден.средств (прямой и косвенный)_0802 MBKKK budget v.1_Продажи_Сырье-проценты" xfId="925"/>
    <cellStyle name="%_Отчет о движении ден.средств (прямой и косвенный)_0802 MBKKK budget v.1_Продажи_Таблица расходов" xfId="926"/>
    <cellStyle name="%_Отчет о движении ден.средств (прямой и косвенный)_0802 MBKKK budget v.1_Продажи_Торты" xfId="927"/>
    <cellStyle name="%_Отчет о движении ден.средств (прямой и косвенный)_0802 MBKKK budget v.1_Продажи_Формат" xfId="928"/>
    <cellStyle name="%_Отчет о движении ден.средств (прямой и косвенный)_0802 MBKKK budget v.1_Сводный отчет" xfId="929"/>
    <cellStyle name="%_Отчет о движении ден.средств (прямой и косвенный)_0802 MBKKK budget v.1_Сводный отчет 2" xfId="930"/>
    <cellStyle name="%_Отчет о движении ден.средств (прямой и косвенный)_0802 MBKKK budget v.1_Сводный отчет МБКК за май 2009 v2" xfId="931"/>
    <cellStyle name="%_Отчет о движении ден.средств (прямой и косвенный)_0802 MBKKK budget v.1_Сводный отчет МБКК за май 2009 v2 2" xfId="932"/>
    <cellStyle name="%_Отчет о движении ден.средств (прямой и косвенный)_0802 MBKKK budget v.1_Сводный отчет МБКК_05 02 09(правка)" xfId="933"/>
    <cellStyle name="%_Отчет о движении ден.средств (прямой и косвенный)_0802 MBKKK budget v.1_Сводный отчет МБКК_05 02 09(правка) 2" xfId="934"/>
    <cellStyle name="%_Отчет о движении ден.средств (прямой и косвенный)_0802 MBKKK budget v.1_Сводный_отчет_май_2009" xfId="935"/>
    <cellStyle name="%_Отчет о движении ден.средств (прямой и косвенный)_0802 MBKKK budget v.1_Сводный_отчет_май_2009 2" xfId="936"/>
    <cellStyle name="%_Отчет о движении ден.средств (прямой и косвенный)_0802 MBKKK budget v.1_Сводный_отчет_май_2009_CF_без реорганизации" xfId="937"/>
    <cellStyle name="%_Отчет о движении ден.средств (прямой и косвенный)_0802 MBKKK budget v.1_Сводный_отчет_май_2009_MBKK_dec_2010_18_01_11_вер_1" xfId="938"/>
    <cellStyle name="%_Отчет о движении ден.средств (прямой и косвенный)_0802 MBKKK budget v.1_Сводный_отчет_май_2009_MBKK_jan_2011_08_02_11_вер_1" xfId="939"/>
    <cellStyle name="%_Отчет о движении ден.средств (прямой и косвенный)_0802 MBKKK budget v.1_Сводный_отчет_май_2009_MBKK_jule_2010_09_08_10_вер_1" xfId="940"/>
    <cellStyle name="%_Отчет о движении ден.средств (прямой и косвенный)_0802 MBKKK budget v.1_Сводный_отчет_май_2009_MBKK_nov_2010_09_12_10_вер_1" xfId="941"/>
    <cellStyle name="%_Отчет о движении ден.средств (прямой и косвенный)_0802 MBKKK budget v.1_Сводный_отчет_май_2009_MBKK_oct_2010_10_11_10_вер_1" xfId="942"/>
    <cellStyle name="%_Отчет о движении ден.средств (прямой и косвенный)_0802 MBKKK budget v.1_Сводный_отчет_май_2009_MBKK_sep_2010_05_10_10_вер_1" xfId="943"/>
    <cellStyle name="%_Отчет о движении ден.средств (прямой и косвенный)_0802 MBKKK budget v.1_Сводный_отчет_май_2009_MBKK_sept_2010_03_08_10_вер_2" xfId="944"/>
    <cellStyle name="%_Отчет о движении ден.средств (прямой и косвенный)_0802 MBKKK budget v.1_Сводный_отчет_май_2009_PL_прогноз" xfId="945"/>
    <cellStyle name="%_Отчет о движении ден.средств (прямой и косвенный)_0802 MBKKK budget v.1_Сводный_отчет_май_2009_Xl0000000" xfId="946"/>
    <cellStyle name="%_Отчет о движении ден.средств (прямой и косвенный)_0802 MBKKK budget v.1_Сводный_отчет_май_2009_Таблица расходов" xfId="947"/>
    <cellStyle name="%_Отчет о движении ден.средств (прямой и косвенный)_0802 MBKKK budget v.1_Сводный_отчет_май_2009_Формат" xfId="948"/>
    <cellStyle name="%_Отчет о движении ден.средств (прямой и косвенный)_0802 MBKKK budget v.1_смайнекс PL0209" xfId="949"/>
    <cellStyle name="%_Отчет о движении ден.средств (прямой и косвенный)_0802 MBKKK budget v.1_смайнекс PL0209 2" xfId="950"/>
    <cellStyle name="%_Отчет о движении ден.средств (прямой и косвенный)_0802 MBKKK budget v.1_Сырье-проценты" xfId="951"/>
    <cellStyle name="%_Отчет о движении ден.средств (прямой и косвенный)_0802 MBKKK budget v.1_Таблица расходов" xfId="952"/>
    <cellStyle name="%_Отчет о движении ден.средств (прямой и косвенный)_0802 MBKKK budget v.1_Торты" xfId="953"/>
    <cellStyle name="%_Отчет о движении ден.средств (прямой и косвенный)_0802 MBKKK budget v.1_Формат" xfId="954"/>
    <cellStyle name="%_Отчет о движении ден.средств (прямой и косвенный)_CF" xfId="955"/>
    <cellStyle name="%_Отчет о движении ден.средств (прямой и косвенный)_CF 2" xfId="956"/>
    <cellStyle name="%_Отчет о движении ден.средств (прямой и косвенный)_CF- январь 2009 NEW" xfId="957"/>
    <cellStyle name="%_Отчет о движении ден.средств (прямой и косвенный)_CF- январь 2009 NEW 2" xfId="958"/>
    <cellStyle name="%_Отчет о движении ден.средств (прямой и косвенный)_CF- январь 2009 NEW_0209-коломенское(v1)" xfId="959"/>
    <cellStyle name="%_Отчет о движении ден.средств (прямой и косвенный)_CF- январь 2009 NEW_0209-коломенское(v1) 2" xfId="960"/>
    <cellStyle name="%_Отчет о движении ден.средств (прямой и косвенный)_CF- январь 2009 NEW_0209-коломенское(v1)_CF_без реорганизации" xfId="961"/>
    <cellStyle name="%_Отчет о движении ден.средств (прямой и косвенный)_CF- январь 2009 NEW_0209-коломенское(v1)_CF_инвест_6 мес_2010" xfId="962"/>
    <cellStyle name="%_Отчет о движении ден.средств (прямой и косвенный)_CF- январь 2009 NEW_0209-коломенское(v1)_MBKK_dec_2010_18_01_11_вер_1" xfId="963"/>
    <cellStyle name="%_Отчет о движении ден.средств (прямой и косвенный)_CF- январь 2009 NEW_0209-коломенское(v1)_MBKK_jan_2011_08_02_11_вер_1" xfId="964"/>
    <cellStyle name="%_Отчет о движении ден.средств (прямой и косвенный)_CF- январь 2009 NEW_0209-коломенское(v1)_MBKK_jule_2010_09_08_10_вер_1" xfId="965"/>
    <cellStyle name="%_Отчет о движении ден.средств (прямой и косвенный)_CF- январь 2009 NEW_0209-коломенское(v1)_MBKK_nov_2010_09_12_10_вер_1" xfId="966"/>
    <cellStyle name="%_Отчет о движении ден.средств (прямой и косвенный)_CF- январь 2009 NEW_0209-коломенское(v1)_MBKK_oct_2010_10_11_10_вер_1" xfId="967"/>
    <cellStyle name="%_Отчет о движении ден.средств (прямой и косвенный)_CF- январь 2009 NEW_0209-коломенское(v1)_MBKK_sep_2010_05_10_10_вер_1" xfId="968"/>
    <cellStyle name="%_Отчет о движении ден.средств (прямой и косвенный)_CF- январь 2009 NEW_0209-коломенское(v1)_MBKK_sept_2010_03_08_10_вер_2" xfId="969"/>
    <cellStyle name="%_Отчет о движении ден.средств (прямой и косвенный)_CF- январь 2009 NEW_0209-коломенское(v1)_Xl0000000" xfId="970"/>
    <cellStyle name="%_Отчет о движении ден.средств (прямой и косвенный)_CF- январь 2009 NEW_0209-коломенское(v1)_МБКК -план развития 2009-хлеб с перевзвешенным падением-3" xfId="971"/>
    <cellStyle name="%_Отчет о движении ден.средств (прямой и косвенный)_CF- январь 2009 NEW_0209-коломенское(v1)_Прогноз_BS_PL_CF_v5" xfId="972"/>
    <cellStyle name="%_Отчет о движении ден.средств (прямой и косвенный)_CF- январь 2009 NEW_0209-коломенское(v1)_Сырье-проценты" xfId="973"/>
    <cellStyle name="%_Отчет о движении ден.средств (прямой и косвенный)_CF- январь 2009 NEW_0209-коломенское(v1)_Таблица расходов" xfId="974"/>
    <cellStyle name="%_Отчет о движении ден.средств (прямой и косвенный)_CF- январь 2009 NEW_0209-коломенское(v1)_Торты" xfId="975"/>
    <cellStyle name="%_Отчет о движении ден.средств (прямой и косвенный)_CF- январь 2009 NEW_0209-коломенское(v1)_Формат" xfId="976"/>
    <cellStyle name="%_Отчет о движении ден.средств (прямой и косвенный)_CF- январь 2009 NEW_0309-swod-kolomenskoe-v18" xfId="977"/>
    <cellStyle name="%_Отчет о движении ден.средств (прямой и косвенный)_CF- январь 2009 NEW_0309-swod-kolomenskoe-v18 2" xfId="978"/>
    <cellStyle name="%_Отчет о движении ден.средств (прямой и косвенный)_CF- январь 2009 NEW_0309-swod-kolomenskoe-v18_CF_без реорганизации" xfId="979"/>
    <cellStyle name="%_Отчет о движении ден.средств (прямой и косвенный)_CF- январь 2009 NEW_0309-swod-kolomenskoe-v18_MBKK_dec_2010_18_01_11_вер_1" xfId="980"/>
    <cellStyle name="%_Отчет о движении ден.средств (прямой и косвенный)_CF- январь 2009 NEW_0309-swod-kolomenskoe-v18_MBKK_jan_2011_08_02_11_вер_1" xfId="981"/>
    <cellStyle name="%_Отчет о движении ден.средств (прямой и косвенный)_CF- январь 2009 NEW_0309-swod-kolomenskoe-v18_MBKK_jule_2010_09_08_10_вер_1" xfId="982"/>
    <cellStyle name="%_Отчет о движении ден.средств (прямой и косвенный)_CF- январь 2009 NEW_0309-swod-kolomenskoe-v18_MBKK_nov_2010_09_12_10_вер_1" xfId="983"/>
    <cellStyle name="%_Отчет о движении ден.средств (прямой и косвенный)_CF- январь 2009 NEW_0309-swod-kolomenskoe-v18_MBKK_oct_2010_10_11_10_вер_1" xfId="984"/>
    <cellStyle name="%_Отчет о движении ден.средств (прямой и косвенный)_CF- январь 2009 NEW_0309-swod-kolomenskoe-v18_MBKK_sep_2010_05_10_10_вер_1" xfId="985"/>
    <cellStyle name="%_Отчет о движении ден.средств (прямой и косвенный)_CF- январь 2009 NEW_0309-swod-kolomenskoe-v18_MBKK_sept_2010_03_08_10_вер_2" xfId="986"/>
    <cellStyle name="%_Отчет о движении ден.средств (прямой и косвенный)_CF- январь 2009 NEW_0309-swod-kolomenskoe-v18_PL_прогноз" xfId="987"/>
    <cellStyle name="%_Отчет о движении ден.средств (прямой и косвенный)_CF- январь 2009 NEW_0309-swod-kolomenskoe-v18_Xl0000000" xfId="988"/>
    <cellStyle name="%_Отчет о движении ден.средств (прямой и косвенный)_CF- январь 2009 NEW_0309-swod-kolomenskoe-v18_Таблица расходов" xfId="989"/>
    <cellStyle name="%_Отчет о движении ден.средств (прямой и косвенный)_CF- январь 2009 NEW_0309-swod-kolomenskoe-v18_Формат" xfId="990"/>
    <cellStyle name="%_Отчет о движении ден.средств (прямой и косвенный)_CF- январь 2009 NEW_0409-swod-kolomenskoe-v2" xfId="991"/>
    <cellStyle name="%_Отчет о движении ден.средств (прямой и косвенный)_CF- январь 2009 NEW_0409-swod-kolomenskoe-v2 2" xfId="992"/>
    <cellStyle name="%_Отчет о движении ден.средств (прямой и косвенный)_CF- январь 2009 NEW_0409-swod-kolomenskoe-v2_CF_без реорганизации" xfId="993"/>
    <cellStyle name="%_Отчет о движении ден.средств (прямой и косвенный)_CF- январь 2009 NEW_0409-swod-kolomenskoe-v2_MBKK_dec_2010_18_01_11_вер_1" xfId="994"/>
    <cellStyle name="%_Отчет о движении ден.средств (прямой и косвенный)_CF- январь 2009 NEW_0409-swod-kolomenskoe-v2_MBKK_jan_2011_08_02_11_вер_1" xfId="995"/>
    <cellStyle name="%_Отчет о движении ден.средств (прямой и косвенный)_CF- январь 2009 NEW_0409-swod-kolomenskoe-v2_MBKK_jule_2010_09_08_10_вер_1" xfId="996"/>
    <cellStyle name="%_Отчет о движении ден.средств (прямой и косвенный)_CF- январь 2009 NEW_0409-swod-kolomenskoe-v2_MBKK_nov_2010_09_12_10_вер_1" xfId="997"/>
    <cellStyle name="%_Отчет о движении ден.средств (прямой и косвенный)_CF- январь 2009 NEW_0409-swod-kolomenskoe-v2_MBKK_oct_2010_10_11_10_вер_1" xfId="998"/>
    <cellStyle name="%_Отчет о движении ден.средств (прямой и косвенный)_CF- январь 2009 NEW_0409-swod-kolomenskoe-v2_MBKK_sep_2010_05_10_10_вер_1" xfId="999"/>
    <cellStyle name="%_Отчет о движении ден.средств (прямой и косвенный)_CF- январь 2009 NEW_0409-swod-kolomenskoe-v2_MBKK_sept_2010_03_08_10_вер_2" xfId="1000"/>
    <cellStyle name="%_Отчет о движении ден.средств (прямой и косвенный)_CF- январь 2009 NEW_0409-swod-kolomenskoe-v2_PL_прогноз" xfId="1001"/>
    <cellStyle name="%_Отчет о движении ден.средств (прямой и косвенный)_CF- январь 2009 NEW_0409-swod-kolomenskoe-v2_Xl0000000" xfId="1002"/>
    <cellStyle name="%_Отчет о движении ден.средств (прямой и косвенный)_CF- январь 2009 NEW_0409-swod-kolomenskoe-v2_Таблица расходов" xfId="1003"/>
    <cellStyle name="%_Отчет о движении ден.средств (прямой и косвенный)_CF- январь 2009 NEW_0409-swod-kolomenskoe-v2_Формат" xfId="1004"/>
    <cellStyle name="%_Отчет о движении ден.средств (прямой и косвенный)_CF- январь 2009 NEW_CF_без реорганизации" xfId="1005"/>
    <cellStyle name="%_Отчет о движении ден.средств (прямой и косвенный)_CF- январь 2009 NEW_CF_инвест_6 мес_2010" xfId="1006"/>
    <cellStyle name="%_Отчет о движении ден.средств (прямой и косвенный)_CF- январь 2009 NEW_MBKK_dec_2010_18_01_11_вер_1" xfId="1007"/>
    <cellStyle name="%_Отчет о движении ден.средств (прямой и косвенный)_CF- январь 2009 NEW_MBKK_jan_2011_08_02_11_вер_1" xfId="1008"/>
    <cellStyle name="%_Отчет о движении ден.средств (прямой и косвенный)_CF- январь 2009 NEW_MBKK_jule_2010_09_08_10_вер_1" xfId="1009"/>
    <cellStyle name="%_Отчет о движении ден.средств (прямой и косвенный)_CF- январь 2009 NEW_MBKK_nov_2010_09_12_10_вер_1" xfId="1010"/>
    <cellStyle name="%_Отчет о движении ден.средств (прямой и косвенный)_CF- январь 2009 NEW_MBKK_oct_2010_10_11_10_вер_1" xfId="1011"/>
    <cellStyle name="%_Отчет о движении ден.средств (прямой и косвенный)_CF- январь 2009 NEW_MBKK_sep_2010_05_10_10_вер_1" xfId="1012"/>
    <cellStyle name="%_Отчет о движении ден.средств (прямой и косвенный)_CF- январь 2009 NEW_MBKK_sept_2010_03_08_10_вер_2" xfId="1013"/>
    <cellStyle name="%_Отчет о движении ден.средств (прямой и косвенный)_CF- январь 2009 NEW_PL апрель 2009" xfId="1014"/>
    <cellStyle name="%_Отчет о движении ден.средств (прямой и косвенный)_CF- январь 2009 NEW_PL апрель 2009 2" xfId="1015"/>
    <cellStyle name="%_Отчет о движении ден.средств (прямой и косвенный)_CF- январь 2009 NEW_PL апрель 2009_CF_без реорганизации" xfId="1016"/>
    <cellStyle name="%_Отчет о движении ден.средств (прямой и косвенный)_CF- январь 2009 NEW_PL апрель 2009_MBKK_dec_2010_18_01_11_вер_1" xfId="1017"/>
    <cellStyle name="%_Отчет о движении ден.средств (прямой и косвенный)_CF- январь 2009 NEW_PL апрель 2009_MBKK_jan_2011_08_02_11_вер_1" xfId="1018"/>
    <cellStyle name="%_Отчет о движении ден.средств (прямой и косвенный)_CF- январь 2009 NEW_PL апрель 2009_MBKK_jule_2010_09_08_10_вер_1" xfId="1019"/>
    <cellStyle name="%_Отчет о движении ден.средств (прямой и косвенный)_CF- январь 2009 NEW_PL апрель 2009_MBKK_nov_2010_09_12_10_вер_1" xfId="1020"/>
    <cellStyle name="%_Отчет о движении ден.средств (прямой и косвенный)_CF- январь 2009 NEW_PL апрель 2009_MBKK_oct_2010_10_11_10_вер_1" xfId="1021"/>
    <cellStyle name="%_Отчет о движении ден.средств (прямой и косвенный)_CF- январь 2009 NEW_PL апрель 2009_MBKK_sep_2010_05_10_10_вер_1" xfId="1022"/>
    <cellStyle name="%_Отчет о движении ден.средств (прямой и косвенный)_CF- январь 2009 NEW_PL апрель 2009_MBKK_sept_2010_03_08_10_вер_2" xfId="1023"/>
    <cellStyle name="%_Отчет о движении ден.средств (прямой и косвенный)_CF- январь 2009 NEW_PL апрель 2009_PL_прогноз" xfId="1024"/>
    <cellStyle name="%_Отчет о движении ден.средств (прямой и косвенный)_CF- январь 2009 NEW_PL апрель 2009_Xl0000000" xfId="1025"/>
    <cellStyle name="%_Отчет о движении ден.средств (прямой и косвенный)_CF- январь 2009 NEW_PL апрель 2009_Таблица расходов" xfId="1026"/>
    <cellStyle name="%_Отчет о движении ден.средств (прямой и косвенный)_CF- январь 2009 NEW_PL апрель 2009_Формат" xfId="1027"/>
    <cellStyle name="%_Отчет о движении ден.средств (прямой и косвенный)_CF- январь 2009 NEW_PL март 2009 (ревижн)" xfId="1028"/>
    <cellStyle name="%_Отчет о движении ден.средств (прямой и косвенный)_CF- январь 2009 NEW_PL март 2009 (ревижн) 2" xfId="1029"/>
    <cellStyle name="%_Отчет о движении ден.средств (прямой и косвенный)_CF- январь 2009 NEW_PL март 2009 (ревижн)_CF_без реорганизации" xfId="1030"/>
    <cellStyle name="%_Отчет о движении ден.средств (прямой и косвенный)_CF- январь 2009 NEW_PL март 2009 (ревижн)_MBKK_dec_2010_18_01_11_вер_1" xfId="1031"/>
    <cellStyle name="%_Отчет о движении ден.средств (прямой и косвенный)_CF- январь 2009 NEW_PL март 2009 (ревижн)_MBKK_jan_2011_08_02_11_вер_1" xfId="1032"/>
    <cellStyle name="%_Отчет о движении ден.средств (прямой и косвенный)_CF- январь 2009 NEW_PL март 2009 (ревижн)_MBKK_jule_2010_09_08_10_вер_1" xfId="1033"/>
    <cellStyle name="%_Отчет о движении ден.средств (прямой и косвенный)_CF- январь 2009 NEW_PL март 2009 (ревижн)_MBKK_nov_2010_09_12_10_вер_1" xfId="1034"/>
    <cellStyle name="%_Отчет о движении ден.средств (прямой и косвенный)_CF- январь 2009 NEW_PL март 2009 (ревижн)_MBKK_oct_2010_10_11_10_вер_1" xfId="1035"/>
    <cellStyle name="%_Отчет о движении ден.средств (прямой и косвенный)_CF- январь 2009 NEW_PL март 2009 (ревижн)_MBKK_sep_2010_05_10_10_вер_1" xfId="1036"/>
    <cellStyle name="%_Отчет о движении ден.средств (прямой и косвенный)_CF- январь 2009 NEW_PL март 2009 (ревижн)_MBKK_sept_2010_03_08_10_вер_2" xfId="1037"/>
    <cellStyle name="%_Отчет о движении ден.средств (прямой и косвенный)_CF- январь 2009 NEW_PL март 2009 (ревижн)_PL_прогноз" xfId="1038"/>
    <cellStyle name="%_Отчет о движении ден.средств (прямой и косвенный)_CF- январь 2009 NEW_PL март 2009 (ревижн)_Xl0000000" xfId="1039"/>
    <cellStyle name="%_Отчет о движении ден.средств (прямой и косвенный)_CF- январь 2009 NEW_PL март 2009 (ревижн)_Таблица расходов" xfId="1040"/>
    <cellStyle name="%_Отчет о движении ден.средств (прямой и косвенный)_CF- январь 2009 NEW_PL март 2009 (ревижн)_Формат" xfId="1041"/>
    <cellStyle name="%_Отчет о движении ден.средств (прямой и косвенный)_CF- январь 2009 NEW_Xl0000000" xfId="1042"/>
    <cellStyle name="%_Отчет о движении ден.средств (прямой и косвенный)_CF- январь 2009 NEW_МБКК -план развития 2009-хлеб с перевзвешенным падением-3" xfId="1043"/>
    <cellStyle name="%_Отчет о движении ден.средств (прямой и косвенный)_CF- январь 2009 NEW_Прогноз_BS_PL_CF_v5" xfId="1044"/>
    <cellStyle name="%_Отчет о движении ден.средств (прямой и косвенный)_CF- январь 2009 NEW_Сводный отчет" xfId="1045"/>
    <cellStyle name="%_Отчет о движении ден.средств (прямой и косвенный)_CF- январь 2009 NEW_Сводный отчет 2" xfId="1046"/>
    <cellStyle name="%_Отчет о движении ден.средств (прямой и косвенный)_CF- январь 2009 NEW_Сводный отчет МБКК за май 2009 v2" xfId="1047"/>
    <cellStyle name="%_Отчет о движении ден.средств (прямой и косвенный)_CF- январь 2009 NEW_Сводный отчет МБКК за май 2009 v2 2" xfId="1048"/>
    <cellStyle name="%_Отчет о движении ден.средств (прямой и косвенный)_CF- январь 2009 NEW_Сводный_отчет_май_2009" xfId="1049"/>
    <cellStyle name="%_Отчет о движении ден.средств (прямой и косвенный)_CF- январь 2009 NEW_Сводный_отчет_май_2009 2" xfId="1050"/>
    <cellStyle name="%_Отчет о движении ден.средств (прямой и косвенный)_CF- январь 2009 NEW_Сводный_отчет_май_2009_CF_без реорганизации" xfId="1051"/>
    <cellStyle name="%_Отчет о движении ден.средств (прямой и косвенный)_CF- январь 2009 NEW_Сводный_отчет_май_2009_MBKK_dec_2010_18_01_11_вер_1" xfId="1052"/>
    <cellStyle name="%_Отчет о движении ден.средств (прямой и косвенный)_CF- январь 2009 NEW_Сводный_отчет_май_2009_MBKK_jan_2011_08_02_11_вер_1" xfId="1053"/>
    <cellStyle name="%_Отчет о движении ден.средств (прямой и косвенный)_CF- январь 2009 NEW_Сводный_отчет_май_2009_MBKK_jule_2010_09_08_10_вер_1" xfId="1054"/>
    <cellStyle name="%_Отчет о движении ден.средств (прямой и косвенный)_CF- январь 2009 NEW_Сводный_отчет_май_2009_MBKK_nov_2010_09_12_10_вер_1" xfId="1055"/>
    <cellStyle name="%_Отчет о движении ден.средств (прямой и косвенный)_CF- январь 2009 NEW_Сводный_отчет_май_2009_MBKK_oct_2010_10_11_10_вер_1" xfId="1056"/>
    <cellStyle name="%_Отчет о движении ден.средств (прямой и косвенный)_CF- январь 2009 NEW_Сводный_отчет_май_2009_MBKK_sep_2010_05_10_10_вер_1" xfId="1057"/>
    <cellStyle name="%_Отчет о движении ден.средств (прямой и косвенный)_CF- январь 2009 NEW_Сводный_отчет_май_2009_MBKK_sept_2010_03_08_10_вер_2" xfId="1058"/>
    <cellStyle name="%_Отчет о движении ден.средств (прямой и косвенный)_CF- январь 2009 NEW_Сводный_отчет_май_2009_PL_прогноз" xfId="1059"/>
    <cellStyle name="%_Отчет о движении ден.средств (прямой и косвенный)_CF- январь 2009 NEW_Сводный_отчет_май_2009_Xl0000000" xfId="1060"/>
    <cellStyle name="%_Отчет о движении ден.средств (прямой и косвенный)_CF- январь 2009 NEW_Сводный_отчет_май_2009_Таблица расходов" xfId="1061"/>
    <cellStyle name="%_Отчет о движении ден.средств (прямой и косвенный)_CF- январь 2009 NEW_Сводный_отчет_май_2009_Формат" xfId="1062"/>
    <cellStyle name="%_Отчет о движении ден.средств (прямой и косвенный)_CF- январь 2009 NEW_смайнекс PL0209" xfId="1063"/>
    <cellStyle name="%_Отчет о движении ден.средств (прямой и косвенный)_CF- январь 2009 NEW_смайнекс PL0209 2" xfId="1064"/>
    <cellStyle name="%_Отчет о движении ден.средств (прямой и косвенный)_CF- январь 2009 NEW_Сырье-проценты" xfId="1065"/>
    <cellStyle name="%_Отчет о движении ден.средств (прямой и косвенный)_CF- январь 2009 NEW_Таблица расходов" xfId="1066"/>
    <cellStyle name="%_Отчет о движении ден.средств (прямой и косвенный)_CF- январь 2009 NEW_Торты" xfId="1067"/>
    <cellStyle name="%_Отчет о движении ден.средств (прямой и косвенный)_CF- январь 2009 NEW_Формат" xfId="1068"/>
    <cellStyle name="%_Отчет о движении ден.средств (прямой и косвенный)_CF_0109-MBKK-budget-v2 (1)" xfId="1069"/>
    <cellStyle name="%_Отчет о движении ден.средств (прямой и косвенный)_CF_0109-MBKK-budget-v2 (1) 2" xfId="1070"/>
    <cellStyle name="%_Отчет о движении ден.средств (прямой и косвенный)_CF_0109-MBKK-budget-v2 (Февраль - проект)" xfId="1071"/>
    <cellStyle name="%_Отчет о движении ден.средств (прямой и косвенный)_CF_0109-MBKK-budget-v2 (Февраль - проект) 2" xfId="1072"/>
    <cellStyle name="%_Отчет о движении ден.средств (прямой и косвенный)_CF_01-09-swod-kolomenskoe-v2(PL-январь 2009 - факт3)" xfId="1073"/>
    <cellStyle name="%_Отчет о движении ден.средств (прямой и косвенный)_CF_01-09-swod-kolomenskoe-v2(PL-январь 2009 - факт3) 2" xfId="1074"/>
    <cellStyle name="%_Отчет о движении ден.средств (прямой и косвенный)_CF_0209-MBKK-budget-v8" xfId="1075"/>
    <cellStyle name="%_Отчет о движении ден.средств (прямой и косвенный)_CF_0209-MBKK-budget-v8 2" xfId="1076"/>
    <cellStyle name="%_Отчет о движении ден.средств (прямой и косвенный)_CF_0209-коломенское(v1)" xfId="1077"/>
    <cellStyle name="%_Отчет о движении ден.средств (прямой и косвенный)_CF_0209-коломенское(v1) 2" xfId="1078"/>
    <cellStyle name="%_Отчет о движении ден.средств (прямой и косвенный)_CF_0309-budge-Kolomenskoe-v5" xfId="1079"/>
    <cellStyle name="%_Отчет о движении ден.средств (прямой и косвенный)_CF_0309-budge-Kolomenskoe-v5 2" xfId="1080"/>
    <cellStyle name="%_Отчет о движении ден.средств (прямой и косвенный)_CF_0309-budge-Kolomenskoe-v5_CF_без реорганизации" xfId="1081"/>
    <cellStyle name="%_Отчет о движении ден.средств (прямой и косвенный)_CF_0309-budge-Kolomenskoe-v5_CF_инвест_6 мес_2010" xfId="1082"/>
    <cellStyle name="%_Отчет о движении ден.средств (прямой и косвенный)_CF_0309-budge-Kolomenskoe-v5_MBKK_dec_2010_18_01_11_вер_1" xfId="1083"/>
    <cellStyle name="%_Отчет о движении ден.средств (прямой и косвенный)_CF_0309-budge-Kolomenskoe-v5_MBKK_jan_2011_08_02_11_вер_1" xfId="1084"/>
    <cellStyle name="%_Отчет о движении ден.средств (прямой и косвенный)_CF_0309-budge-Kolomenskoe-v5_MBKK_jule_2010_09_08_10_вер_1" xfId="1085"/>
    <cellStyle name="%_Отчет о движении ден.средств (прямой и косвенный)_CF_0309-budge-Kolomenskoe-v5_MBKK_nov_2010_09_12_10_вер_1" xfId="1086"/>
    <cellStyle name="%_Отчет о движении ден.средств (прямой и косвенный)_CF_0309-budge-Kolomenskoe-v5_MBKK_oct_2010_10_11_10_вер_1" xfId="1087"/>
    <cellStyle name="%_Отчет о движении ден.средств (прямой и косвенный)_CF_0309-budge-Kolomenskoe-v5_MBKK_sep_2010_05_10_10_вер_1" xfId="1088"/>
    <cellStyle name="%_Отчет о движении ден.средств (прямой и косвенный)_CF_0309-budge-Kolomenskoe-v5_MBKK_sept_2010_03_08_10_вер_2" xfId="1089"/>
    <cellStyle name="%_Отчет о движении ден.средств (прямой и косвенный)_CF_0309-budge-Kolomenskoe-v5_Xl0000000" xfId="1090"/>
    <cellStyle name="%_Отчет о движении ден.средств (прямой и косвенный)_CF_0309-budge-Kolomenskoe-v5_МБКК -план развития 2009-хлеб с перевзвешенным падением-3" xfId="1091"/>
    <cellStyle name="%_Отчет о движении ден.средств (прямой и косвенный)_CF_0309-budge-Kolomenskoe-v5_Прогноз_BS_PL_CF_v5" xfId="1092"/>
    <cellStyle name="%_Отчет о движении ден.средств (прямой и косвенный)_CF_0309-budge-Kolomenskoe-v5_Сырье-проценты" xfId="1093"/>
    <cellStyle name="%_Отчет о движении ден.средств (прямой и косвенный)_CF_0309-budge-Kolomenskoe-v5_Таблица расходов" xfId="1094"/>
    <cellStyle name="%_Отчет о движении ден.средств (прямой и косвенный)_CF_0309-budge-Kolomenskoe-v5_Торты" xfId="1095"/>
    <cellStyle name="%_Отчет о движении ден.средств (прямой и косвенный)_CF_0309-budge-Kolomenskoe-v5_Формат" xfId="1096"/>
    <cellStyle name="%_Отчет о движении ден.средств (прямой и косвенный)_CF_0309-swod-kolomenskoe-v18" xfId="1097"/>
    <cellStyle name="%_Отчет о движении ден.средств (прямой и косвенный)_CF_0309-swod-kolomenskoe-v18 2" xfId="1098"/>
    <cellStyle name="%_Отчет о движении ден.средств (прямой и косвенный)_CF_0309-swod-kolomenskoe-v18_CF_без реорганизации" xfId="1099"/>
    <cellStyle name="%_Отчет о движении ден.средств (прямой и косвенный)_CF_0309-swod-kolomenskoe-v18_MBKK_dec_2010_18_01_11_вер_1" xfId="1100"/>
    <cellStyle name="%_Отчет о движении ден.средств (прямой и косвенный)_CF_0309-swod-kolomenskoe-v18_MBKK_jan_2011_08_02_11_вер_1" xfId="1101"/>
    <cellStyle name="%_Отчет о движении ден.средств (прямой и косвенный)_CF_0309-swod-kolomenskoe-v18_MBKK_jule_2010_09_08_10_вер_1" xfId="1102"/>
    <cellStyle name="%_Отчет о движении ден.средств (прямой и косвенный)_CF_0309-swod-kolomenskoe-v18_MBKK_nov_2010_09_12_10_вер_1" xfId="1103"/>
    <cellStyle name="%_Отчет о движении ден.средств (прямой и косвенный)_CF_0309-swod-kolomenskoe-v18_MBKK_oct_2010_10_11_10_вер_1" xfId="1104"/>
    <cellStyle name="%_Отчет о движении ден.средств (прямой и косвенный)_CF_0309-swod-kolomenskoe-v18_MBKK_sep_2010_05_10_10_вер_1" xfId="1105"/>
    <cellStyle name="%_Отчет о движении ден.средств (прямой и косвенный)_CF_0309-swod-kolomenskoe-v18_MBKK_sept_2010_03_08_10_вер_2" xfId="1106"/>
    <cellStyle name="%_Отчет о движении ден.средств (прямой и косвенный)_CF_0309-swod-kolomenskoe-v18_PL_прогноз" xfId="1107"/>
    <cellStyle name="%_Отчет о движении ден.средств (прямой и косвенный)_CF_0309-swod-kolomenskoe-v18_Xl0000000" xfId="1108"/>
    <cellStyle name="%_Отчет о движении ден.средств (прямой и косвенный)_CF_0309-swod-kolomenskoe-v18_Таблица расходов" xfId="1109"/>
    <cellStyle name="%_Отчет о движении ден.средств (прямой и косвенный)_CF_0309-swod-kolomenskoe-v18_Формат" xfId="1110"/>
    <cellStyle name="%_Отчет о движении ден.средств (прямой и косвенный)_CF_0309-swod-kolomenskoe-v4" xfId="1111"/>
    <cellStyle name="%_Отчет о движении ден.средств (прямой и косвенный)_CF_0309-swod-kolomenskoe-v4 2" xfId="1112"/>
    <cellStyle name="%_Отчет о движении ден.средств (прямой и косвенный)_CF_0309-swod-kolomenskoe-v4_CF_без реорганизации" xfId="1113"/>
    <cellStyle name="%_Отчет о движении ден.средств (прямой и косвенный)_CF_0309-swod-kolomenskoe-v4_CF_инвест_6 мес_2010" xfId="1114"/>
    <cellStyle name="%_Отчет о движении ден.средств (прямой и косвенный)_CF_0309-swod-kolomenskoe-v4_MBKK_dec_2010_18_01_11_вер_1" xfId="1115"/>
    <cellStyle name="%_Отчет о движении ден.средств (прямой и косвенный)_CF_0309-swod-kolomenskoe-v4_MBKK_jan_2011_08_02_11_вер_1" xfId="1116"/>
    <cellStyle name="%_Отчет о движении ден.средств (прямой и косвенный)_CF_0309-swod-kolomenskoe-v4_MBKK_jule_2010_09_08_10_вер_1" xfId="1117"/>
    <cellStyle name="%_Отчет о движении ден.средств (прямой и косвенный)_CF_0309-swod-kolomenskoe-v4_MBKK_nov_2010_09_12_10_вер_1" xfId="1118"/>
    <cellStyle name="%_Отчет о движении ден.средств (прямой и косвенный)_CF_0309-swod-kolomenskoe-v4_MBKK_oct_2010_10_11_10_вер_1" xfId="1119"/>
    <cellStyle name="%_Отчет о движении ден.средств (прямой и косвенный)_CF_0309-swod-kolomenskoe-v4_MBKK_sep_2010_05_10_10_вер_1" xfId="1120"/>
    <cellStyle name="%_Отчет о движении ден.средств (прямой и косвенный)_CF_0309-swod-kolomenskoe-v4_MBKK_sept_2010_03_08_10_вер_2" xfId="1121"/>
    <cellStyle name="%_Отчет о движении ден.средств (прямой и косвенный)_CF_0309-swod-kolomenskoe-v4_Xl0000000" xfId="1122"/>
    <cellStyle name="%_Отчет о движении ден.средств (прямой и косвенный)_CF_0309-swod-kolomenskoe-v4_МБКК -план развития 2009-хлеб с перевзвешенным падением-3" xfId="1123"/>
    <cellStyle name="%_Отчет о движении ден.средств (прямой и косвенный)_CF_0309-swod-kolomenskoe-v4_Прогноз_BS_PL_CF_v5" xfId="1124"/>
    <cellStyle name="%_Отчет о движении ден.средств (прямой и косвенный)_CF_0309-swod-kolomenskoe-v4_Сырье-проценты" xfId="1125"/>
    <cellStyle name="%_Отчет о движении ден.средств (прямой и косвенный)_CF_0309-swod-kolomenskoe-v4_Таблица расходов" xfId="1126"/>
    <cellStyle name="%_Отчет о движении ден.средств (прямой и косвенный)_CF_0309-swod-kolomenskoe-v4_Торты" xfId="1127"/>
    <cellStyle name="%_Отчет о движении ден.средств (прямой и косвенный)_CF_0309-swod-kolomenskoe-v4_Формат" xfId="1128"/>
    <cellStyle name="%_Отчет о движении ден.средств (прямой и косвенный)_CF_0409-swod-kolomenskoe-v2" xfId="1129"/>
    <cellStyle name="%_Отчет о движении ден.средств (прямой и косвенный)_CF_0409-swod-kolomenskoe-v2 2" xfId="1130"/>
    <cellStyle name="%_Отчет о движении ден.средств (прямой и косвенный)_CF_0409-swod-kolomenskoe-v2_CF_без реорганизации" xfId="1131"/>
    <cellStyle name="%_Отчет о движении ден.средств (прямой и косвенный)_CF_0409-swod-kolomenskoe-v2_MBKK_dec_2010_18_01_11_вер_1" xfId="1132"/>
    <cellStyle name="%_Отчет о движении ден.средств (прямой и косвенный)_CF_0409-swod-kolomenskoe-v2_MBKK_jan_2011_08_02_11_вер_1" xfId="1133"/>
    <cellStyle name="%_Отчет о движении ден.средств (прямой и косвенный)_CF_0409-swod-kolomenskoe-v2_MBKK_jule_2010_09_08_10_вер_1" xfId="1134"/>
    <cellStyle name="%_Отчет о движении ден.средств (прямой и косвенный)_CF_0409-swod-kolomenskoe-v2_MBKK_nov_2010_09_12_10_вер_1" xfId="1135"/>
    <cellStyle name="%_Отчет о движении ден.средств (прямой и косвенный)_CF_0409-swod-kolomenskoe-v2_MBKK_oct_2010_10_11_10_вер_1" xfId="1136"/>
    <cellStyle name="%_Отчет о движении ден.средств (прямой и косвенный)_CF_0409-swod-kolomenskoe-v2_MBKK_sep_2010_05_10_10_вер_1" xfId="1137"/>
    <cellStyle name="%_Отчет о движении ден.средств (прямой и косвенный)_CF_0409-swod-kolomenskoe-v2_MBKK_sept_2010_03_08_10_вер_2" xfId="1138"/>
    <cellStyle name="%_Отчет о движении ден.средств (прямой и косвенный)_CF_0409-swod-kolomenskoe-v2_PL_прогноз" xfId="1139"/>
    <cellStyle name="%_Отчет о движении ден.средств (прямой и косвенный)_CF_0409-swod-kolomenskoe-v2_Xl0000000" xfId="1140"/>
    <cellStyle name="%_Отчет о движении ден.средств (прямой и косвенный)_CF_0409-swod-kolomenskoe-v2_Таблица расходов" xfId="1141"/>
    <cellStyle name="%_Отчет о движении ден.средств (прямой и косвенный)_CF_0409-swod-kolomenskoe-v2_Формат" xfId="1142"/>
    <cellStyle name="%_Отчет о движении ден.средств (прямой и косвенный)_CF_0609-budge-Kolomenskoe-v6_final" xfId="1143"/>
    <cellStyle name="%_Отчет о движении ден.средств (прямой и косвенный)_CF_0609-swod-kolomenskoe-v1" xfId="1144"/>
    <cellStyle name="%_Отчет о движении ден.средств (прямой и косвенный)_CF_CF февраль (Факт полный месяц)" xfId="1145"/>
    <cellStyle name="%_Отчет о движении ден.средств (прямой и косвенный)_CF_CF февраль (Факт полный месяц) 2" xfId="1146"/>
    <cellStyle name="%_Отчет о движении ден.средств (прямой и косвенный)_CF_CF февраль (Факт полный месяц)_CF_без реорганизации" xfId="1147"/>
    <cellStyle name="%_Отчет о движении ден.средств (прямой и косвенный)_CF_CF февраль (Факт полный месяц)_CF_инвест_6 мес_2010" xfId="1148"/>
    <cellStyle name="%_Отчет о движении ден.средств (прямой и косвенный)_CF_CF февраль (Факт полный месяц)_MBKK_dec_2010_18_01_11_вер_1" xfId="1149"/>
    <cellStyle name="%_Отчет о движении ден.средств (прямой и косвенный)_CF_CF февраль (Факт полный месяц)_MBKK_jan_2011_08_02_11_вер_1" xfId="1150"/>
    <cellStyle name="%_Отчет о движении ден.средств (прямой и косвенный)_CF_CF февраль (Факт полный месяц)_MBKK_jule_2010_09_08_10_вер_1" xfId="1151"/>
    <cellStyle name="%_Отчет о движении ден.средств (прямой и косвенный)_CF_CF февраль (Факт полный месяц)_MBKK_nov_2010_09_12_10_вер_1" xfId="1152"/>
    <cellStyle name="%_Отчет о движении ден.средств (прямой и косвенный)_CF_CF февраль (Факт полный месяц)_MBKK_oct_2010_10_11_10_вер_1" xfId="1153"/>
    <cellStyle name="%_Отчет о движении ден.средств (прямой и косвенный)_CF_CF февраль (Факт полный месяц)_MBKK_sep_2010_05_10_10_вер_1" xfId="1154"/>
    <cellStyle name="%_Отчет о движении ден.средств (прямой и косвенный)_CF_CF февраль (Факт полный месяц)_MBKK_sept_2010_03_08_10_вер_2" xfId="1155"/>
    <cellStyle name="%_Отчет о движении ден.средств (прямой и косвенный)_CF_CF февраль (Факт полный месяц)_Xl0000000" xfId="1156"/>
    <cellStyle name="%_Отчет о движении ден.средств (прямой и косвенный)_CF_CF февраль (Факт полный месяц)_МБКК -план развития 2009-хлеб с перевзвешенным падением-3" xfId="1157"/>
    <cellStyle name="%_Отчет о движении ден.средств (прямой и косвенный)_CF_CF февраль (Факт полный месяц)_Прогноз_BS_PL_CF_v5" xfId="1158"/>
    <cellStyle name="%_Отчет о движении ден.средств (прямой и косвенный)_CF_CF февраль (Факт полный месяц)_Сырье-проценты" xfId="1159"/>
    <cellStyle name="%_Отчет о движении ден.средств (прямой и косвенный)_CF_CF февраль (Факт полный месяц)_Таблица расходов" xfId="1160"/>
    <cellStyle name="%_Отчет о движении ден.средств (прямой и косвенный)_CF_CF февраль (Факт полный месяц)_Торты" xfId="1161"/>
    <cellStyle name="%_Отчет о движении ден.средств (прямой и косвенный)_CF_CF февраль (Факт полный месяц)_Формат" xfId="1162"/>
    <cellStyle name="%_Отчет о движении ден.средств (прямой и косвенный)_CF_CF- январь 2009 NEW" xfId="1163"/>
    <cellStyle name="%_Отчет о движении ден.средств (прямой и косвенный)_CF_CF- январь 2009 NEW 2" xfId="1164"/>
    <cellStyle name="%_Отчет о движении ден.средств (прямой и косвенный)_CF_CF_без реорганизации" xfId="1165"/>
    <cellStyle name="%_Отчет о движении ден.средств (прямой и косвенный)_CF_CF_инвест_6 мес_2010" xfId="1166"/>
    <cellStyle name="%_Отчет о движении ден.средств (прямой и косвенный)_CF_margin-0409" xfId="1167"/>
    <cellStyle name="%_Отчет о движении ден.средств (прямой и косвенный)_CF_margin-0409 2" xfId="1168"/>
    <cellStyle name="%_Отчет о движении ден.средств (прямой и косвенный)_CF_margin-0409_CF_без реорганизации" xfId="1169"/>
    <cellStyle name="%_Отчет о движении ден.средств (прямой и косвенный)_CF_margin-0409_MBKK_dec_2010_18_01_11_вер_1" xfId="1170"/>
    <cellStyle name="%_Отчет о движении ден.средств (прямой и косвенный)_CF_margin-0409_MBKK_jan_2011_08_02_11_вер_1" xfId="1171"/>
    <cellStyle name="%_Отчет о движении ден.средств (прямой и косвенный)_CF_margin-0409_MBKK_jule_2010_09_08_10_вер_1" xfId="1172"/>
    <cellStyle name="%_Отчет о движении ден.средств (прямой и косвенный)_CF_margin-0409_MBKK_nov_2010_09_12_10_вер_1" xfId="1173"/>
    <cellStyle name="%_Отчет о движении ден.средств (прямой и косвенный)_CF_margin-0409_MBKK_oct_2010_10_11_10_вер_1" xfId="1174"/>
    <cellStyle name="%_Отчет о движении ден.средств (прямой и косвенный)_CF_margin-0409_MBKK_sep_2010_05_10_10_вер_1" xfId="1175"/>
    <cellStyle name="%_Отчет о движении ден.средств (прямой и косвенный)_CF_margin-0409_MBKK_sept_2010_03_08_10_вер_2" xfId="1176"/>
    <cellStyle name="%_Отчет о движении ден.средств (прямой и косвенный)_CF_margin-0409_PL_прогноз" xfId="1177"/>
    <cellStyle name="%_Отчет о движении ден.средств (прямой и косвенный)_CF_margin-0409_Xl0000000" xfId="1178"/>
    <cellStyle name="%_Отчет о движении ден.средств (прямой и косвенный)_CF_margin-0409_Таблица расходов" xfId="1179"/>
    <cellStyle name="%_Отчет о движении ден.средств (прямой и косвенный)_CF_margin-0409_Формат" xfId="1180"/>
    <cellStyle name="%_Отчет о движении ден.средств (прямой и косвенный)_CF_MBKK_dec_2010_18_01_11_вер_1" xfId="1181"/>
    <cellStyle name="%_Отчет о движении ден.средств (прямой и косвенный)_CF_MBKK_jan_2011_08_02_11_вер_1" xfId="1182"/>
    <cellStyle name="%_Отчет о движении ден.средств (прямой и косвенный)_CF_MBKK_jule_2010_09_08_10_вер_1" xfId="1183"/>
    <cellStyle name="%_Отчет о движении ден.средств (прямой и косвенный)_CF_MBKK_nov_2010_09_12_10_вер_1" xfId="1184"/>
    <cellStyle name="%_Отчет о движении ден.средств (прямой и косвенный)_CF_MBKK_oct_2010_10_11_10_вер_1" xfId="1185"/>
    <cellStyle name="%_Отчет о движении ден.средств (прямой и косвенный)_CF_MBKK_sep_2010_05_10_10_вер_1" xfId="1186"/>
    <cellStyle name="%_Отчет о движении ден.средств (прямой и косвенный)_CF_MBKK_sept_2010_03_08_10_вер_2" xfId="1187"/>
    <cellStyle name="%_Отчет о движении ден.средств (прямой и косвенный)_CF_MBKKK-BP-2009-months-v18-project" xfId="1188"/>
    <cellStyle name="%_Отчет о движении ден.средств (прямой и косвенный)_CF_MBKKK-BP-2009-months-v18-project 2" xfId="1189"/>
    <cellStyle name="%_Отчет о движении ден.средств (прямой и косвенный)_CF_MBKKK-BP-2009-months-v19-project" xfId="1190"/>
    <cellStyle name="%_Отчет о движении ден.средств (прямой и косвенный)_CF_MBKKK-BP-2009-months-v19-project 2" xfId="1191"/>
    <cellStyle name="%_Отчет о движении ден.средств (прямой и косвенный)_CF_MBKKK-BP-2009-months-v20-project_2" xfId="1192"/>
    <cellStyle name="%_Отчет о движении ден.средств (прямой и косвенный)_CF_MBKKK-BP-2009-months-v6-cash" xfId="1193"/>
    <cellStyle name="%_Отчет о движении ден.средств (прямой и косвенный)_CF_MBKKK-BP-2009-months-v6-cash 2" xfId="1194"/>
    <cellStyle name="%_Отчет о движении ден.средств (прямой и косвенный)_CF_PL" xfId="1195"/>
    <cellStyle name="%_Отчет о движении ден.средств (прямой и косвенный)_CF_PL 2" xfId="1196"/>
    <cellStyle name="%_Отчет о движении ден.средств (прямой и косвенный)_CF_PL апрель 2009" xfId="1197"/>
    <cellStyle name="%_Отчет о движении ден.средств (прямой и косвенный)_CF_PL апрель 2009 2" xfId="1198"/>
    <cellStyle name="%_Отчет о движении ден.средств (прямой и косвенный)_CF_PL апрель 2009_CF_без реорганизации" xfId="1199"/>
    <cellStyle name="%_Отчет о движении ден.средств (прямой и косвенный)_CF_PL апрель 2009_MBKK_dec_2010_18_01_11_вер_1" xfId="1200"/>
    <cellStyle name="%_Отчет о движении ден.средств (прямой и косвенный)_CF_PL апрель 2009_MBKK_jan_2011_08_02_11_вер_1" xfId="1201"/>
    <cellStyle name="%_Отчет о движении ден.средств (прямой и косвенный)_CF_PL апрель 2009_MBKK_jule_2010_09_08_10_вер_1" xfId="1202"/>
    <cellStyle name="%_Отчет о движении ден.средств (прямой и косвенный)_CF_PL апрель 2009_MBKK_nov_2010_09_12_10_вер_1" xfId="1203"/>
    <cellStyle name="%_Отчет о движении ден.средств (прямой и косвенный)_CF_PL апрель 2009_MBKK_oct_2010_10_11_10_вер_1" xfId="1204"/>
    <cellStyle name="%_Отчет о движении ден.средств (прямой и косвенный)_CF_PL апрель 2009_MBKK_sep_2010_05_10_10_вер_1" xfId="1205"/>
    <cellStyle name="%_Отчет о движении ден.средств (прямой и косвенный)_CF_PL апрель 2009_MBKK_sept_2010_03_08_10_вер_2" xfId="1206"/>
    <cellStyle name="%_Отчет о движении ден.средств (прямой и косвенный)_CF_PL апрель 2009_PL_прогноз" xfId="1207"/>
    <cellStyle name="%_Отчет о движении ден.средств (прямой и косвенный)_CF_PL апрель 2009_Xl0000000" xfId="1208"/>
    <cellStyle name="%_Отчет о движении ден.средств (прямой и косвенный)_CF_PL апрель 2009_Таблица расходов" xfId="1209"/>
    <cellStyle name="%_Отчет о движении ден.средств (прямой и косвенный)_CF_PL апрель 2009_Формат" xfId="1210"/>
    <cellStyle name="%_Отчет о движении ден.средств (прямой и косвенный)_CF_PL март 2009 (ревижн)" xfId="1211"/>
    <cellStyle name="%_Отчет о движении ден.средств (прямой и косвенный)_CF_PL март 2009 (ревижн) 2" xfId="1212"/>
    <cellStyle name="%_Отчет о движении ден.средств (прямой и косвенный)_CF_PL март 2009 (ревижн)_CF_без реорганизации" xfId="1213"/>
    <cellStyle name="%_Отчет о движении ден.средств (прямой и косвенный)_CF_PL март 2009 (ревижн)_MBKK_dec_2010_18_01_11_вер_1" xfId="1214"/>
    <cellStyle name="%_Отчет о движении ден.средств (прямой и косвенный)_CF_PL март 2009 (ревижн)_MBKK_jan_2011_08_02_11_вер_1" xfId="1215"/>
    <cellStyle name="%_Отчет о движении ден.средств (прямой и косвенный)_CF_PL март 2009 (ревижн)_MBKK_jule_2010_09_08_10_вер_1" xfId="1216"/>
    <cellStyle name="%_Отчет о движении ден.средств (прямой и косвенный)_CF_PL март 2009 (ревижн)_MBKK_nov_2010_09_12_10_вер_1" xfId="1217"/>
    <cellStyle name="%_Отчет о движении ден.средств (прямой и косвенный)_CF_PL март 2009 (ревижн)_MBKK_oct_2010_10_11_10_вер_1" xfId="1218"/>
    <cellStyle name="%_Отчет о движении ден.средств (прямой и косвенный)_CF_PL март 2009 (ревижн)_MBKK_sep_2010_05_10_10_вер_1" xfId="1219"/>
    <cellStyle name="%_Отчет о движении ден.средств (прямой и косвенный)_CF_PL март 2009 (ревижн)_MBKK_sept_2010_03_08_10_вер_2" xfId="1220"/>
    <cellStyle name="%_Отчет о движении ден.средств (прямой и косвенный)_CF_PL март 2009 (ревижн)_PL_прогноз" xfId="1221"/>
    <cellStyle name="%_Отчет о движении ден.средств (прямой и косвенный)_CF_PL март 2009 (ревижн)_Xl0000000" xfId="1222"/>
    <cellStyle name="%_Отчет о движении ден.средств (прямой и косвенный)_CF_PL март 2009 (ревижн)_Таблица расходов" xfId="1223"/>
    <cellStyle name="%_Отчет о движении ден.средств (прямой и косвенный)_CF_PL март 2009 (ревижн)_Формат" xfId="1224"/>
    <cellStyle name="%_Отчет о движении ден.средств (прямой и косвенный)_CF_PL февраль 2009" xfId="1225"/>
    <cellStyle name="%_Отчет о движении ден.средств (прямой и косвенный)_CF_PL февраль 2009 2" xfId="1226"/>
    <cellStyle name="%_Отчет о движении ден.средств (прямой и косвенный)_CF_PL февраль 2009_CF_без реорганизации" xfId="1227"/>
    <cellStyle name="%_Отчет о движении ден.средств (прямой и косвенный)_CF_PL февраль 2009_CF_инвест_6 мес_2010" xfId="1228"/>
    <cellStyle name="%_Отчет о движении ден.средств (прямой и косвенный)_CF_PL февраль 2009_MBKK_dec_2010_18_01_11_вер_1" xfId="1229"/>
    <cellStyle name="%_Отчет о движении ден.средств (прямой и косвенный)_CF_PL февраль 2009_MBKK_jan_2011_08_02_11_вер_1" xfId="1230"/>
    <cellStyle name="%_Отчет о движении ден.средств (прямой и косвенный)_CF_PL февраль 2009_MBKK_jule_2010_09_08_10_вер_1" xfId="1231"/>
    <cellStyle name="%_Отчет о движении ден.средств (прямой и косвенный)_CF_PL февраль 2009_MBKK_nov_2010_09_12_10_вер_1" xfId="1232"/>
    <cellStyle name="%_Отчет о движении ден.средств (прямой и косвенный)_CF_PL февраль 2009_MBKK_oct_2010_10_11_10_вер_1" xfId="1233"/>
    <cellStyle name="%_Отчет о движении ден.средств (прямой и косвенный)_CF_PL февраль 2009_MBKK_sep_2010_05_10_10_вер_1" xfId="1234"/>
    <cellStyle name="%_Отчет о движении ден.средств (прямой и косвенный)_CF_PL февраль 2009_MBKK_sept_2010_03_08_10_вер_2" xfId="1235"/>
    <cellStyle name="%_Отчет о движении ден.средств (прямой и косвенный)_CF_PL февраль 2009_Xl0000000" xfId="1236"/>
    <cellStyle name="%_Отчет о движении ден.средств (прямой и косвенный)_CF_PL февраль 2009_МБКК -план развития 2009-хлеб с перевзвешенным падением-3" xfId="1237"/>
    <cellStyle name="%_Отчет о движении ден.средств (прямой и косвенный)_CF_PL февраль 2009_Прогноз_BS_PL_CF_v5" xfId="1238"/>
    <cellStyle name="%_Отчет о движении ден.средств (прямой и косвенный)_CF_PL февраль 2009_Сырье-проценты" xfId="1239"/>
    <cellStyle name="%_Отчет о движении ден.средств (прямой и косвенный)_CF_PL февраль 2009_Таблица расходов" xfId="1240"/>
    <cellStyle name="%_Отчет о движении ден.средств (прямой и косвенный)_CF_PL февраль 2009_Торты" xfId="1241"/>
    <cellStyle name="%_Отчет о движении ден.средств (прямой и косвенный)_CF_PL февраль 2009_Формат" xfId="1242"/>
    <cellStyle name="%_Отчет о движении ден.средств (прямой и косвенный)_CF_SVOD 1108 MBKKK budget-act v6" xfId="1243"/>
    <cellStyle name="%_Отчет о движении ден.средств (прямой и косвенный)_CF_SVOD 1108 MBKKK budget-act v6 2" xfId="1244"/>
    <cellStyle name="%_Отчет о движении ден.средств (прямой и косвенный)_CF_SVOD 1108 MBKKK budget-act v6_0609-budge-Kolomenskoe-v6_final" xfId="1245"/>
    <cellStyle name="%_Отчет о движении ден.средств (прямой и косвенный)_CF_SVOD 1108 MBKKK budget-act v6_0609-swod-kolomenskoe-v1" xfId="1246"/>
    <cellStyle name="%_Отчет о движении ден.средств (прямой и косвенный)_CF_SVOD 1108 MBKKK budget-act v6_MBKKK-BP-2009-months-v20-project_2" xfId="1247"/>
    <cellStyle name="%_Отчет о движении ден.средств (прямой и косвенный)_CF_SVOD 1108 MBKKK budget-act v6_Сырье-проценты" xfId="1248"/>
    <cellStyle name="%_Отчет о движении ден.средств (прямой и косвенный)_CF_SVOD 1208 MBKKK budget-act v1" xfId="1249"/>
    <cellStyle name="%_Отчет о движении ден.средств (прямой и косвенный)_CF_SVOD 1208 MBKKK budget-act v1 2" xfId="1250"/>
    <cellStyle name="%_Отчет о движении ден.средств (прямой и косвенный)_CF_SVOD 1208 MBKKK budget-act v1_0609-budge-Kolomenskoe-v6_final" xfId="1251"/>
    <cellStyle name="%_Отчет о движении ден.средств (прямой и косвенный)_CF_SVOD 1208 MBKKK budget-act v1_0609-swod-kolomenskoe-v1" xfId="1252"/>
    <cellStyle name="%_Отчет о движении ден.средств (прямой и косвенный)_CF_SVOD 1208 MBKKK budget-act v1_MBKKK-BP-2009-months-v20-project_2" xfId="1253"/>
    <cellStyle name="%_Отчет о движении ден.средств (прямой и косвенный)_CF_SVOD 1208 MBKKK budget-act v1_Сырье-проценты" xfId="1254"/>
    <cellStyle name="%_Отчет о движении ден.средств (прямой и косвенный)_CF_Xl0000000" xfId="1255"/>
    <cellStyle name="%_Отчет о движении ден.средств (прямой и косвенный)_CF_бюджет январь 2009г xls (3)" xfId="1256"/>
    <cellStyle name="%_Отчет о движении ден.средств (прямой и косвенный)_CF_бюджет январь 2009г xls (3) 2" xfId="1257"/>
    <cellStyle name="%_Отчет о движении ден.средств (прямой и косвенный)_CF_бюджет январь 2009г xls (3)_0609-budge-Kolomenskoe-v6_final" xfId="1258"/>
    <cellStyle name="%_Отчет о движении ден.средств (прямой и косвенный)_CF_бюджет январь 2009г xls (3)_0609-swod-kolomenskoe-v1" xfId="1259"/>
    <cellStyle name="%_Отчет о движении ден.средств (прямой и косвенный)_CF_бюджет январь 2009г xls (3)_MBKKK-BP-2009-months-v20-project_2" xfId="1260"/>
    <cellStyle name="%_Отчет о движении ден.средств (прямой и косвенный)_CF_бюджет январь 2009г xls (3)_Сырье-проценты" xfId="1261"/>
    <cellStyle name="%_Отчет о движении ден.средств (прямой и косвенный)_CF_Детский ассортимент_график входа" xfId="1262"/>
    <cellStyle name="%_Отчет о движении ден.средств (прямой и косвенный)_CF_Детский ассортимент_Окупаемость версия" xfId="1263"/>
    <cellStyle name="%_Отчет о движении ден.средств (прямой и косвенный)_CF_Копия SVOD 1208 MBKKK budget-act v2(с планом PL-январь)" xfId="1264"/>
    <cellStyle name="%_Отчет о движении ден.средств (прямой и косвенный)_CF_Копия SVOD 1208 MBKKK budget-act v2(с планом PL-январь) 2" xfId="1265"/>
    <cellStyle name="%_Отчет о движении ден.средств (прямой и косвенный)_CF_МБКК -план развития 2009-хлеб с перевзвешенным падением-3" xfId="1266"/>
    <cellStyle name="%_Отчет о движении ден.средств (прямой и косвенный)_CF_Модель-2009 год" xfId="1267"/>
    <cellStyle name="%_Отчет о движении ден.средств (прямой и косвенный)_CF_Модель-2009 год 2" xfId="1268"/>
    <cellStyle name="%_Отчет о движении ден.средств (прямой и косвенный)_CF_Модель-2009 год_0609-budge-Kolomenskoe-v6_final" xfId="1269"/>
    <cellStyle name="%_Отчет о движении ден.средств (прямой и косвенный)_CF_Модель-2009 год_0609-swod-kolomenskoe-v1" xfId="1270"/>
    <cellStyle name="%_Отчет о движении ден.средств (прямой и косвенный)_CF_Модель-2009 год_MBKKK-BP-2009-months-v20-project_2" xfId="1271"/>
    <cellStyle name="%_Отчет о движении ден.средств (прямой и косвенный)_CF_Модель-2009 год_Сырье-проценты" xfId="1272"/>
    <cellStyle name="%_Отчет о движении ден.средств (прямой и косвенный)_CF_Объ" xfId="1273"/>
    <cellStyle name="%_Отчет о движении ден.средств (прямой и косвенный)_CF_Объ 2" xfId="1274"/>
    <cellStyle name="%_Отчет о движении ден.средств (прямой и косвенный)_CF_Оперплан_2010_13_01_2010_версия_10_уточн" xfId="1275"/>
    <cellStyle name="%_Отчет о движении ден.средств (прямой и косвенный)_CF_Прогноз_BS_PL_CF_v5" xfId="1276"/>
    <cellStyle name="%_Отчет о движении ден.средств (прямой и косвенный)_CF_Продажи" xfId="1277"/>
    <cellStyle name="%_Отчет о движении ден.средств (прямой и косвенный)_CF_Продажи 2" xfId="1278"/>
    <cellStyle name="%_Отчет о движении ден.средств (прямой и косвенный)_CF_Продажи_CF_без реорганизации" xfId="1279"/>
    <cellStyle name="%_Отчет о движении ден.средств (прямой и косвенный)_CF_Продажи_CF_инвест_6 мес_2010" xfId="1280"/>
    <cellStyle name="%_Отчет о движении ден.средств (прямой и косвенный)_CF_Продажи_MBKK_dec_2010_18_01_11_вер_1" xfId="1281"/>
    <cellStyle name="%_Отчет о движении ден.средств (прямой и косвенный)_CF_Продажи_MBKK_jan_2011_08_02_11_вер_1" xfId="1282"/>
    <cellStyle name="%_Отчет о движении ден.средств (прямой и косвенный)_CF_Продажи_MBKK_jule_2010_09_08_10_вер_1" xfId="1283"/>
    <cellStyle name="%_Отчет о движении ден.средств (прямой и косвенный)_CF_Продажи_MBKK_nov_2010_09_12_10_вер_1" xfId="1284"/>
    <cellStyle name="%_Отчет о движении ден.средств (прямой и косвенный)_CF_Продажи_MBKK_oct_2010_10_11_10_вер_1" xfId="1285"/>
    <cellStyle name="%_Отчет о движении ден.средств (прямой и косвенный)_CF_Продажи_MBKK_sep_2010_05_10_10_вер_1" xfId="1286"/>
    <cellStyle name="%_Отчет о движении ден.средств (прямой и косвенный)_CF_Продажи_MBKK_sept_2010_03_08_10_вер_2" xfId="1287"/>
    <cellStyle name="%_Отчет о движении ден.средств (прямой и косвенный)_CF_Продажи_Xl0000000" xfId="1288"/>
    <cellStyle name="%_Отчет о движении ден.средств (прямой и косвенный)_CF_Продажи_МБКК -план развития 2009-хлеб с перевзвешенным падением-3" xfId="1289"/>
    <cellStyle name="%_Отчет о движении ден.средств (прямой и косвенный)_CF_Продажи_Прогноз_BS_PL_CF_v5" xfId="1290"/>
    <cellStyle name="%_Отчет о движении ден.средств (прямой и косвенный)_CF_Продажи_Сырье-проценты" xfId="1291"/>
    <cellStyle name="%_Отчет о движении ден.средств (прямой и косвенный)_CF_Продажи_Таблица расходов" xfId="1292"/>
    <cellStyle name="%_Отчет о движении ден.средств (прямой и косвенный)_CF_Продажи_Торты" xfId="1293"/>
    <cellStyle name="%_Отчет о движении ден.средств (прямой и косвенный)_CF_Продажи_Формат" xfId="1294"/>
    <cellStyle name="%_Отчет о движении ден.средств (прямой и косвенный)_CF_Сводный отчет" xfId="1295"/>
    <cellStyle name="%_Отчет о движении ден.средств (прямой и косвенный)_CF_Сводный отчет 2" xfId="1296"/>
    <cellStyle name="%_Отчет о движении ден.средств (прямой и косвенный)_CF_Сводный отчет МБКК за май 2009 v2" xfId="1297"/>
    <cellStyle name="%_Отчет о движении ден.средств (прямой и косвенный)_CF_Сводный отчет МБКК за май 2009 v2 2" xfId="1298"/>
    <cellStyle name="%_Отчет о движении ден.средств (прямой и косвенный)_CF_Сводный отчет МБКК_05 02 09(правка)" xfId="1299"/>
    <cellStyle name="%_Отчет о движении ден.средств (прямой и косвенный)_CF_Сводный отчет МБКК_05 02 09(правка) 2" xfId="1300"/>
    <cellStyle name="%_Отчет о движении ден.средств (прямой и косвенный)_CF_Сводный_отчет_май_2009" xfId="1301"/>
    <cellStyle name="%_Отчет о движении ден.средств (прямой и косвенный)_CF_Сводный_отчет_май_2009 2" xfId="1302"/>
    <cellStyle name="%_Отчет о движении ден.средств (прямой и косвенный)_CF_Сводный_отчет_май_2009_CF_без реорганизации" xfId="1303"/>
    <cellStyle name="%_Отчет о движении ден.средств (прямой и косвенный)_CF_Сводный_отчет_май_2009_MBKK_dec_2010_18_01_11_вер_1" xfId="1304"/>
    <cellStyle name="%_Отчет о движении ден.средств (прямой и косвенный)_CF_Сводный_отчет_май_2009_MBKK_jan_2011_08_02_11_вер_1" xfId="1305"/>
    <cellStyle name="%_Отчет о движении ден.средств (прямой и косвенный)_CF_Сводный_отчет_май_2009_MBKK_jule_2010_09_08_10_вер_1" xfId="1306"/>
    <cellStyle name="%_Отчет о движении ден.средств (прямой и косвенный)_CF_Сводный_отчет_май_2009_MBKK_nov_2010_09_12_10_вер_1" xfId="1307"/>
    <cellStyle name="%_Отчет о движении ден.средств (прямой и косвенный)_CF_Сводный_отчет_май_2009_MBKK_oct_2010_10_11_10_вер_1" xfId="1308"/>
    <cellStyle name="%_Отчет о движении ден.средств (прямой и косвенный)_CF_Сводный_отчет_май_2009_MBKK_sep_2010_05_10_10_вер_1" xfId="1309"/>
    <cellStyle name="%_Отчет о движении ден.средств (прямой и косвенный)_CF_Сводный_отчет_май_2009_MBKK_sept_2010_03_08_10_вер_2" xfId="1310"/>
    <cellStyle name="%_Отчет о движении ден.средств (прямой и косвенный)_CF_Сводный_отчет_май_2009_PL_прогноз" xfId="1311"/>
    <cellStyle name="%_Отчет о движении ден.средств (прямой и косвенный)_CF_Сводный_отчет_май_2009_Xl0000000" xfId="1312"/>
    <cellStyle name="%_Отчет о движении ден.средств (прямой и косвенный)_CF_Сводный_отчет_май_2009_Таблица расходов" xfId="1313"/>
    <cellStyle name="%_Отчет о движении ден.средств (прямой и косвенный)_CF_Сводный_отчет_май_2009_Формат" xfId="1314"/>
    <cellStyle name="%_Отчет о движении ден.средств (прямой и косвенный)_CF_смайнекс PL0209" xfId="1315"/>
    <cellStyle name="%_Отчет о движении ден.средств (прямой и косвенный)_CF_смайнекс PL0209 2" xfId="1316"/>
    <cellStyle name="%_Отчет о движении ден.средств (прямой и косвенный)_CF_Сырье-проценты" xfId="1317"/>
    <cellStyle name="%_Отчет о движении ден.средств (прямой и косвенный)_CF_Таблица расходов" xfId="1318"/>
    <cellStyle name="%_Отчет о движении ден.средств (прямой и косвенный)_CF_Торты" xfId="1319"/>
    <cellStyle name="%_Отчет о движении ден.средств (прямой и косвенный)_CF_Формат" xfId="1320"/>
    <cellStyle name="%_Отчет о движении ден.средств (прямой и косвенный)_PL (декабрь 08)" xfId="1321"/>
    <cellStyle name="%_Отчет о движении ден.средств (прямой и косвенный)_PL (декабрь 08) 2" xfId="1322"/>
    <cellStyle name="%_Отчет о движении ден.средств (прямой и косвенный)_PL февраль 2009" xfId="1323"/>
    <cellStyle name="%_Отчет о движении ден.средств (прямой и косвенный)_PL февраль 2009 2" xfId="1324"/>
    <cellStyle name="%_Отчет о движении ден.средств (прямой и косвенный)_PL-декабрь (термит)  2008" xfId="1325"/>
    <cellStyle name="%_Отчет о движении ден.средств (прямой и косвенный)_PL-декабрь (термит)  2008 2" xfId="1326"/>
    <cellStyle name="%_Отчет о движении ден.средств (прямой и косвенный)_PL-декабрь07" xfId="1327"/>
    <cellStyle name="%_Отчет о движении ден.средств (прямой и косвенный)_PL-декабрь07 2" xfId="1328"/>
    <cellStyle name="%_Отчет о движении ден.средств (прямой и косвенный)_PL-декабрь07_0109-MBKK-budget-v2 (1)" xfId="1329"/>
    <cellStyle name="%_Отчет о движении ден.средств (прямой и косвенный)_PL-декабрь07_0109-MBKK-budget-v2 (1) 2" xfId="1330"/>
    <cellStyle name="%_Отчет о движении ден.средств (прямой и косвенный)_PL-декабрь07_0109-MBKK-budget-v2 (Февраль - проект)" xfId="1331"/>
    <cellStyle name="%_Отчет о движении ден.средств (прямой и косвенный)_PL-декабрь07_0109-MBKK-budget-v2 (Февраль - проект) 2" xfId="1332"/>
    <cellStyle name="%_Отчет о движении ден.средств (прямой и косвенный)_PL-декабрь07_01-09-swod-kolomenskoe-v2(PL-январь 2009 - факт3)" xfId="1333"/>
    <cellStyle name="%_Отчет о движении ден.средств (прямой и косвенный)_PL-декабрь07_01-09-swod-kolomenskoe-v2(PL-январь 2009 - факт3) 2" xfId="1334"/>
    <cellStyle name="%_Отчет о движении ден.средств (прямой и косвенный)_PL-декабрь07_0209-MBKK-budget-v8" xfId="1335"/>
    <cellStyle name="%_Отчет о движении ден.средств (прямой и косвенный)_PL-декабрь07_0209-MBKK-budget-v8 2" xfId="1336"/>
    <cellStyle name="%_Отчет о движении ден.средств (прямой и косвенный)_PL-декабрь07_0209-коломенское(v1)" xfId="1337"/>
    <cellStyle name="%_Отчет о движении ден.средств (прямой и косвенный)_PL-декабрь07_0209-коломенское(v1) 2" xfId="1338"/>
    <cellStyle name="%_Отчет о движении ден.средств (прямой и косвенный)_PL-декабрь07_0309-swod-kolomenskoe-v18" xfId="1339"/>
    <cellStyle name="%_Отчет о движении ден.средств (прямой и косвенный)_PL-декабрь07_0309-swod-kolomenskoe-v18 2" xfId="1340"/>
    <cellStyle name="%_Отчет о движении ден.средств (прямой и косвенный)_PL-декабрь07_0309-swod-kolomenskoe-v18_CF_без реорганизации" xfId="1341"/>
    <cellStyle name="%_Отчет о движении ден.средств (прямой и косвенный)_PL-декабрь07_0309-swod-kolomenskoe-v18_MBKK_dec_2010_18_01_11_вер_1" xfId="1342"/>
    <cellStyle name="%_Отчет о движении ден.средств (прямой и косвенный)_PL-декабрь07_0309-swod-kolomenskoe-v18_MBKK_jan_2011_08_02_11_вер_1" xfId="1343"/>
    <cellStyle name="%_Отчет о движении ден.средств (прямой и косвенный)_PL-декабрь07_0309-swod-kolomenskoe-v18_MBKK_jule_2010_09_08_10_вер_1" xfId="1344"/>
    <cellStyle name="%_Отчет о движении ден.средств (прямой и косвенный)_PL-декабрь07_0309-swod-kolomenskoe-v18_MBKK_nov_2010_09_12_10_вер_1" xfId="1345"/>
    <cellStyle name="%_Отчет о движении ден.средств (прямой и косвенный)_PL-декабрь07_0309-swod-kolomenskoe-v18_MBKK_oct_2010_10_11_10_вер_1" xfId="1346"/>
    <cellStyle name="%_Отчет о движении ден.средств (прямой и косвенный)_PL-декабрь07_0309-swod-kolomenskoe-v18_MBKK_sep_2010_05_10_10_вер_1" xfId="1347"/>
    <cellStyle name="%_Отчет о движении ден.средств (прямой и косвенный)_PL-декабрь07_0309-swod-kolomenskoe-v18_MBKK_sept_2010_03_08_10_вер_2" xfId="1348"/>
    <cellStyle name="%_Отчет о движении ден.средств (прямой и косвенный)_PL-декабрь07_0309-swod-kolomenskoe-v18_PL_прогноз" xfId="1349"/>
    <cellStyle name="%_Отчет о движении ден.средств (прямой и косвенный)_PL-декабрь07_0309-swod-kolomenskoe-v18_Xl0000000" xfId="1350"/>
    <cellStyle name="%_Отчет о движении ден.средств (прямой и косвенный)_PL-декабрь07_0309-swod-kolomenskoe-v18_Таблица расходов" xfId="1351"/>
    <cellStyle name="%_Отчет о движении ден.средств (прямой и косвенный)_PL-декабрь07_0309-swod-kolomenskoe-v18_Формат" xfId="1352"/>
    <cellStyle name="%_Отчет о движении ден.средств (прямой и косвенный)_PL-декабрь07_0409-swod-kolomenskoe-v2" xfId="1353"/>
    <cellStyle name="%_Отчет о движении ден.средств (прямой и косвенный)_PL-декабрь07_0409-swod-kolomenskoe-v2 2" xfId="1354"/>
    <cellStyle name="%_Отчет о движении ден.средств (прямой и косвенный)_PL-декабрь07_0409-swod-kolomenskoe-v2_CF_без реорганизации" xfId="1355"/>
    <cellStyle name="%_Отчет о движении ден.средств (прямой и косвенный)_PL-декабрь07_0409-swod-kolomenskoe-v2_MBKK_dec_2010_18_01_11_вер_1" xfId="1356"/>
    <cellStyle name="%_Отчет о движении ден.средств (прямой и косвенный)_PL-декабрь07_0409-swod-kolomenskoe-v2_MBKK_jan_2011_08_02_11_вер_1" xfId="1357"/>
    <cellStyle name="%_Отчет о движении ден.средств (прямой и косвенный)_PL-декабрь07_0409-swod-kolomenskoe-v2_MBKK_jule_2010_09_08_10_вер_1" xfId="1358"/>
    <cellStyle name="%_Отчет о движении ден.средств (прямой и косвенный)_PL-декабрь07_0409-swod-kolomenskoe-v2_MBKK_nov_2010_09_12_10_вер_1" xfId="1359"/>
    <cellStyle name="%_Отчет о движении ден.средств (прямой и косвенный)_PL-декабрь07_0409-swod-kolomenskoe-v2_MBKK_oct_2010_10_11_10_вер_1" xfId="1360"/>
    <cellStyle name="%_Отчет о движении ден.средств (прямой и косвенный)_PL-декабрь07_0409-swod-kolomenskoe-v2_MBKK_sep_2010_05_10_10_вер_1" xfId="1361"/>
    <cellStyle name="%_Отчет о движении ден.средств (прямой и косвенный)_PL-декабрь07_0409-swod-kolomenskoe-v2_MBKK_sept_2010_03_08_10_вер_2" xfId="1362"/>
    <cellStyle name="%_Отчет о движении ден.средств (прямой и косвенный)_PL-декабрь07_0409-swod-kolomenskoe-v2_PL_прогноз" xfId="1363"/>
    <cellStyle name="%_Отчет о движении ден.средств (прямой и косвенный)_PL-декабрь07_0409-swod-kolomenskoe-v2_Xl0000000" xfId="1364"/>
    <cellStyle name="%_Отчет о движении ден.средств (прямой и косвенный)_PL-декабрь07_0409-swod-kolomenskoe-v2_Таблица расходов" xfId="1365"/>
    <cellStyle name="%_Отчет о движении ден.средств (прямой и косвенный)_PL-декабрь07_0409-swod-kolomenskoe-v2_Формат" xfId="1366"/>
    <cellStyle name="%_Отчет о движении ден.средств (прямой и косвенный)_PL-декабрь07_0609-budge-Kolomenskoe-v6_final" xfId="1367"/>
    <cellStyle name="%_Отчет о движении ден.средств (прямой и косвенный)_PL-декабрь07_0609-swod-kolomenskoe-v1" xfId="1368"/>
    <cellStyle name="%_Отчет о движении ден.средств (прямой и косвенный)_PL-декабрь07_CF февраль (Факт полный месяц)" xfId="1369"/>
    <cellStyle name="%_Отчет о движении ден.средств (прямой и косвенный)_PL-декабрь07_CF февраль (Факт полный месяц) 2" xfId="1370"/>
    <cellStyle name="%_Отчет о движении ден.средств (прямой и косвенный)_PL-декабрь07_CF февраль (Факт полный месяц)_CF_без реорганизации" xfId="1371"/>
    <cellStyle name="%_Отчет о движении ден.средств (прямой и косвенный)_PL-декабрь07_CF февраль (Факт полный месяц)_CF_инвест_6 мес_2010" xfId="1372"/>
    <cellStyle name="%_Отчет о движении ден.средств (прямой и косвенный)_PL-декабрь07_CF февраль (Факт полный месяц)_MBKK_dec_2010_18_01_11_вер_1" xfId="1373"/>
    <cellStyle name="%_Отчет о движении ден.средств (прямой и косвенный)_PL-декабрь07_CF февраль (Факт полный месяц)_MBKK_jan_2011_08_02_11_вер_1" xfId="1374"/>
    <cellStyle name="%_Отчет о движении ден.средств (прямой и косвенный)_PL-декабрь07_CF февраль (Факт полный месяц)_MBKK_jule_2010_09_08_10_вер_1" xfId="1375"/>
    <cellStyle name="%_Отчет о движении ден.средств (прямой и косвенный)_PL-декабрь07_CF февраль (Факт полный месяц)_MBKK_nov_2010_09_12_10_вер_1" xfId="1376"/>
    <cellStyle name="%_Отчет о движении ден.средств (прямой и косвенный)_PL-декабрь07_CF февраль (Факт полный месяц)_MBKK_oct_2010_10_11_10_вер_1" xfId="1377"/>
    <cellStyle name="%_Отчет о движении ден.средств (прямой и косвенный)_PL-декабрь07_CF февраль (Факт полный месяц)_MBKK_sep_2010_05_10_10_вер_1" xfId="1378"/>
    <cellStyle name="%_Отчет о движении ден.средств (прямой и косвенный)_PL-декабрь07_CF февраль (Факт полный месяц)_MBKK_sept_2010_03_08_10_вер_2" xfId="1379"/>
    <cellStyle name="%_Отчет о движении ден.средств (прямой и косвенный)_PL-декабрь07_CF февраль (Факт полный месяц)_Xl0000000" xfId="1380"/>
    <cellStyle name="%_Отчет о движении ден.средств (прямой и косвенный)_PL-декабрь07_CF февраль (Факт полный месяц)_МБКК -план развития 2009-хлеб с перевзвешенным падением-3" xfId="1381"/>
    <cellStyle name="%_Отчет о движении ден.средств (прямой и косвенный)_PL-декабрь07_CF февраль (Факт полный месяц)_Прогноз_BS_PL_CF_v5" xfId="1382"/>
    <cellStyle name="%_Отчет о движении ден.средств (прямой и косвенный)_PL-декабрь07_CF февраль (Факт полный месяц)_Сырье-проценты" xfId="1383"/>
    <cellStyle name="%_Отчет о движении ден.средств (прямой и косвенный)_PL-декабрь07_CF февраль (Факт полный месяц)_Таблица расходов" xfId="1384"/>
    <cellStyle name="%_Отчет о движении ден.средств (прямой и косвенный)_PL-декабрь07_CF февраль (Факт полный месяц)_Торты" xfId="1385"/>
    <cellStyle name="%_Отчет о движении ден.средств (прямой и косвенный)_PL-декабрь07_CF февраль (Факт полный месяц)_Формат" xfId="1386"/>
    <cellStyle name="%_Отчет о движении ден.средств (прямой и косвенный)_PL-декабрь07_CF- январь 2009 NEW" xfId="1387"/>
    <cellStyle name="%_Отчет о движении ден.средств (прямой и косвенный)_PL-декабрь07_CF- январь 2009 NEW 2" xfId="1388"/>
    <cellStyle name="%_Отчет о движении ден.средств (прямой и косвенный)_PL-декабрь07_CF- январь 2009 NEW_0209-коломенское(v1)" xfId="1389"/>
    <cellStyle name="%_Отчет о движении ден.средств (прямой и косвенный)_PL-декабрь07_CF- январь 2009 NEW_0209-коломенское(v1) 2" xfId="1390"/>
    <cellStyle name="%_Отчет о движении ден.средств (прямой и косвенный)_PL-декабрь07_CF- январь 2009 NEW_0209-коломенское(v1)_CF_без реорганизации" xfId="1391"/>
    <cellStyle name="%_Отчет о движении ден.средств (прямой и косвенный)_PL-декабрь07_CF- январь 2009 NEW_0209-коломенское(v1)_CF_инвест_6 мес_2010" xfId="1392"/>
    <cellStyle name="%_Отчет о движении ден.средств (прямой и косвенный)_PL-декабрь07_CF- январь 2009 NEW_0209-коломенское(v1)_MBKK_dec_2010_18_01_11_вер_1" xfId="1393"/>
    <cellStyle name="%_Отчет о движении ден.средств (прямой и косвенный)_PL-декабрь07_CF- январь 2009 NEW_0209-коломенское(v1)_MBKK_jan_2011_08_02_11_вер_1" xfId="1394"/>
    <cellStyle name="%_Отчет о движении ден.средств (прямой и косвенный)_PL-декабрь07_CF- январь 2009 NEW_0209-коломенское(v1)_MBKK_jule_2010_09_08_10_вер_1" xfId="1395"/>
    <cellStyle name="%_Отчет о движении ден.средств (прямой и косвенный)_PL-декабрь07_CF- январь 2009 NEW_0209-коломенское(v1)_MBKK_nov_2010_09_12_10_вер_1" xfId="1396"/>
    <cellStyle name="%_Отчет о движении ден.средств (прямой и косвенный)_PL-декабрь07_CF- январь 2009 NEW_0209-коломенское(v1)_MBKK_oct_2010_10_11_10_вер_1" xfId="1397"/>
    <cellStyle name="%_Отчет о движении ден.средств (прямой и косвенный)_PL-декабрь07_CF- январь 2009 NEW_0209-коломенское(v1)_MBKK_sep_2010_05_10_10_вер_1" xfId="1398"/>
    <cellStyle name="%_Отчет о движении ден.средств (прямой и косвенный)_PL-декабрь07_CF- январь 2009 NEW_0209-коломенское(v1)_MBKK_sept_2010_03_08_10_вер_2" xfId="1399"/>
    <cellStyle name="%_Отчет о движении ден.средств (прямой и косвенный)_PL-декабрь07_CF- январь 2009 NEW_0209-коломенское(v1)_Xl0000000" xfId="1400"/>
    <cellStyle name="%_Отчет о движении ден.средств (прямой и косвенный)_PL-декабрь07_CF- январь 2009 NEW_0209-коломенское(v1)_МБКК -план развития 2009-хлеб с перевзвешенным падением-3" xfId="1401"/>
    <cellStyle name="%_Отчет о движении ден.средств (прямой и косвенный)_PL-декабрь07_CF- январь 2009 NEW_0209-коломенское(v1)_Прогноз_BS_PL_CF_v5" xfId="1402"/>
    <cellStyle name="%_Отчет о движении ден.средств (прямой и косвенный)_PL-декабрь07_CF- январь 2009 NEW_0209-коломенское(v1)_Сырье-проценты" xfId="1403"/>
    <cellStyle name="%_Отчет о движении ден.средств (прямой и косвенный)_PL-декабрь07_CF- январь 2009 NEW_0209-коломенское(v1)_Таблица расходов" xfId="1404"/>
    <cellStyle name="%_Отчет о движении ден.средств (прямой и косвенный)_PL-декабрь07_CF- январь 2009 NEW_0209-коломенское(v1)_Торты" xfId="1405"/>
    <cellStyle name="%_Отчет о движении ден.средств (прямой и косвенный)_PL-декабрь07_CF- январь 2009 NEW_0209-коломенское(v1)_Формат" xfId="1406"/>
    <cellStyle name="%_Отчет о движении ден.средств (прямой и косвенный)_PL-декабрь07_CF- январь 2009 NEW_0309-swod-kolomenskoe-v18" xfId="1407"/>
    <cellStyle name="%_Отчет о движении ден.средств (прямой и косвенный)_PL-декабрь07_CF- январь 2009 NEW_0309-swod-kolomenskoe-v18 2" xfId="1408"/>
    <cellStyle name="%_Отчет о движении ден.средств (прямой и косвенный)_PL-декабрь07_CF- январь 2009 NEW_0309-swod-kolomenskoe-v18_CF_без реорганизации" xfId="1409"/>
    <cellStyle name="%_Отчет о движении ден.средств (прямой и косвенный)_PL-декабрь07_CF- январь 2009 NEW_0309-swod-kolomenskoe-v18_MBKK_dec_2010_18_01_11_вер_1" xfId="1410"/>
    <cellStyle name="%_Отчет о движении ден.средств (прямой и косвенный)_PL-декабрь07_CF- январь 2009 NEW_0309-swod-kolomenskoe-v18_MBKK_jan_2011_08_02_11_вер_1" xfId="1411"/>
    <cellStyle name="%_Отчет о движении ден.средств (прямой и косвенный)_PL-декабрь07_CF- январь 2009 NEW_0309-swod-kolomenskoe-v18_MBKK_jule_2010_09_08_10_вер_1" xfId="1412"/>
    <cellStyle name="%_Отчет о движении ден.средств (прямой и косвенный)_PL-декабрь07_CF- январь 2009 NEW_0309-swod-kolomenskoe-v18_MBKK_nov_2010_09_12_10_вер_1" xfId="1413"/>
    <cellStyle name="%_Отчет о движении ден.средств (прямой и косвенный)_PL-декабрь07_CF- январь 2009 NEW_0309-swod-kolomenskoe-v18_MBKK_oct_2010_10_11_10_вер_1" xfId="1414"/>
    <cellStyle name="%_Отчет о движении ден.средств (прямой и косвенный)_PL-декабрь07_CF- январь 2009 NEW_0309-swod-kolomenskoe-v18_MBKK_sep_2010_05_10_10_вер_1" xfId="1415"/>
    <cellStyle name="%_Отчет о движении ден.средств (прямой и косвенный)_PL-декабрь07_CF- январь 2009 NEW_0309-swod-kolomenskoe-v18_MBKK_sept_2010_03_08_10_вер_2" xfId="1416"/>
    <cellStyle name="%_Отчет о движении ден.средств (прямой и косвенный)_PL-декабрь07_CF- январь 2009 NEW_0309-swod-kolomenskoe-v18_PL_прогноз" xfId="1417"/>
    <cellStyle name="%_Отчет о движении ден.средств (прямой и косвенный)_PL-декабрь07_CF- январь 2009 NEW_0309-swod-kolomenskoe-v18_Xl0000000" xfId="1418"/>
    <cellStyle name="%_Отчет о движении ден.средств (прямой и косвенный)_PL-декабрь07_CF- январь 2009 NEW_0309-swod-kolomenskoe-v18_Таблица расходов" xfId="1419"/>
    <cellStyle name="%_Отчет о движении ден.средств (прямой и косвенный)_PL-декабрь07_CF- январь 2009 NEW_0309-swod-kolomenskoe-v18_Формат" xfId="1420"/>
    <cellStyle name="%_Отчет о движении ден.средств (прямой и косвенный)_PL-декабрь07_CF- январь 2009 NEW_0409-swod-kolomenskoe-v2" xfId="1421"/>
    <cellStyle name="%_Отчет о движении ден.средств (прямой и косвенный)_PL-декабрь07_CF- январь 2009 NEW_0409-swod-kolomenskoe-v2 2" xfId="1422"/>
    <cellStyle name="%_Отчет о движении ден.средств (прямой и косвенный)_PL-декабрь07_CF- январь 2009 NEW_0409-swod-kolomenskoe-v2_CF_без реорганизации" xfId="1423"/>
    <cellStyle name="%_Отчет о движении ден.средств (прямой и косвенный)_PL-декабрь07_CF- январь 2009 NEW_0409-swod-kolomenskoe-v2_MBKK_dec_2010_18_01_11_вер_1" xfId="1424"/>
    <cellStyle name="%_Отчет о движении ден.средств (прямой и косвенный)_PL-декабрь07_CF- январь 2009 NEW_0409-swod-kolomenskoe-v2_MBKK_jan_2011_08_02_11_вер_1" xfId="1425"/>
    <cellStyle name="%_Отчет о движении ден.средств (прямой и косвенный)_PL-декабрь07_CF- январь 2009 NEW_0409-swod-kolomenskoe-v2_MBKK_jule_2010_09_08_10_вер_1" xfId="1426"/>
    <cellStyle name="%_Отчет о движении ден.средств (прямой и косвенный)_PL-декабрь07_CF- январь 2009 NEW_0409-swod-kolomenskoe-v2_MBKK_nov_2010_09_12_10_вер_1" xfId="1427"/>
    <cellStyle name="%_Отчет о движении ден.средств (прямой и косвенный)_PL-декабрь07_CF- январь 2009 NEW_0409-swod-kolomenskoe-v2_MBKK_oct_2010_10_11_10_вер_1" xfId="1428"/>
    <cellStyle name="%_Отчет о движении ден.средств (прямой и косвенный)_PL-декабрь07_CF- январь 2009 NEW_0409-swod-kolomenskoe-v2_MBKK_sep_2010_05_10_10_вер_1" xfId="1429"/>
    <cellStyle name="%_Отчет о движении ден.средств (прямой и косвенный)_PL-декабрь07_CF- январь 2009 NEW_0409-swod-kolomenskoe-v2_MBKK_sept_2010_03_08_10_вер_2" xfId="1430"/>
    <cellStyle name="%_Отчет о движении ден.средств (прямой и косвенный)_PL-декабрь07_CF- январь 2009 NEW_0409-swod-kolomenskoe-v2_PL_прогноз" xfId="1431"/>
    <cellStyle name="%_Отчет о движении ден.средств (прямой и косвенный)_PL-декабрь07_CF- январь 2009 NEW_0409-swod-kolomenskoe-v2_Xl0000000" xfId="1432"/>
    <cellStyle name="%_Отчет о движении ден.средств (прямой и косвенный)_PL-декабрь07_CF- январь 2009 NEW_0409-swod-kolomenskoe-v2_Таблица расходов" xfId="1433"/>
    <cellStyle name="%_Отчет о движении ден.средств (прямой и косвенный)_PL-декабрь07_CF- январь 2009 NEW_0409-swod-kolomenskoe-v2_Формат" xfId="1434"/>
    <cellStyle name="%_Отчет о движении ден.средств (прямой и косвенный)_PL-декабрь07_CF- январь 2009 NEW_CF_без реорганизации" xfId="1435"/>
    <cellStyle name="%_Отчет о движении ден.средств (прямой и косвенный)_PL-декабрь07_CF- январь 2009 NEW_CF_инвест_6 мес_2010" xfId="1436"/>
    <cellStyle name="%_Отчет о движении ден.средств (прямой и косвенный)_PL-декабрь07_CF- январь 2009 NEW_MBKK_dec_2010_18_01_11_вер_1" xfId="1437"/>
    <cellStyle name="%_Отчет о движении ден.средств (прямой и косвенный)_PL-декабрь07_CF- январь 2009 NEW_MBKK_jan_2011_08_02_11_вер_1" xfId="1438"/>
    <cellStyle name="%_Отчет о движении ден.средств (прямой и косвенный)_PL-декабрь07_CF- январь 2009 NEW_MBKK_jule_2010_09_08_10_вер_1" xfId="1439"/>
    <cellStyle name="%_Отчет о движении ден.средств (прямой и косвенный)_PL-декабрь07_CF- январь 2009 NEW_MBKK_nov_2010_09_12_10_вер_1" xfId="1440"/>
    <cellStyle name="%_Отчет о движении ден.средств (прямой и косвенный)_PL-декабрь07_CF- январь 2009 NEW_MBKK_oct_2010_10_11_10_вер_1" xfId="1441"/>
    <cellStyle name="%_Отчет о движении ден.средств (прямой и косвенный)_PL-декабрь07_CF- январь 2009 NEW_MBKK_sep_2010_05_10_10_вер_1" xfId="1442"/>
    <cellStyle name="%_Отчет о движении ден.средств (прямой и косвенный)_PL-декабрь07_CF- январь 2009 NEW_MBKK_sept_2010_03_08_10_вер_2" xfId="1443"/>
    <cellStyle name="%_Отчет о движении ден.средств (прямой и косвенный)_PL-декабрь07_CF- январь 2009 NEW_PL апрель 2009" xfId="1444"/>
    <cellStyle name="%_Отчет о движении ден.средств (прямой и косвенный)_PL-декабрь07_CF- январь 2009 NEW_PL апрель 2009 2" xfId="1445"/>
    <cellStyle name="%_Отчет о движении ден.средств (прямой и косвенный)_PL-декабрь07_CF- январь 2009 NEW_PL апрель 2009_CF_без реорганизации" xfId="1446"/>
    <cellStyle name="%_Отчет о движении ден.средств (прямой и косвенный)_PL-декабрь07_CF- январь 2009 NEW_PL апрель 2009_MBKK_dec_2010_18_01_11_вер_1" xfId="1447"/>
    <cellStyle name="%_Отчет о движении ден.средств (прямой и косвенный)_PL-декабрь07_CF- январь 2009 NEW_PL апрель 2009_MBKK_jan_2011_08_02_11_вер_1" xfId="1448"/>
    <cellStyle name="%_Отчет о движении ден.средств (прямой и косвенный)_PL-декабрь07_CF- январь 2009 NEW_PL апрель 2009_MBKK_jule_2010_09_08_10_вер_1" xfId="1449"/>
    <cellStyle name="%_Отчет о движении ден.средств (прямой и косвенный)_PL-декабрь07_CF- январь 2009 NEW_PL апрель 2009_MBKK_nov_2010_09_12_10_вер_1" xfId="1450"/>
    <cellStyle name="%_Отчет о движении ден.средств (прямой и косвенный)_PL-декабрь07_CF- январь 2009 NEW_PL апрель 2009_MBKK_oct_2010_10_11_10_вер_1" xfId="1451"/>
    <cellStyle name="%_Отчет о движении ден.средств (прямой и косвенный)_PL-декабрь07_CF- январь 2009 NEW_PL апрель 2009_MBKK_sep_2010_05_10_10_вер_1" xfId="1452"/>
    <cellStyle name="%_Отчет о движении ден.средств (прямой и косвенный)_PL-декабрь07_CF- январь 2009 NEW_PL апрель 2009_MBKK_sept_2010_03_08_10_вер_2" xfId="1453"/>
    <cellStyle name="%_Отчет о движении ден.средств (прямой и косвенный)_PL-декабрь07_CF- январь 2009 NEW_PL апрель 2009_PL_прогноз" xfId="1454"/>
    <cellStyle name="%_Отчет о движении ден.средств (прямой и косвенный)_PL-декабрь07_CF- январь 2009 NEW_PL апрель 2009_Xl0000000" xfId="1455"/>
    <cellStyle name="%_Отчет о движении ден.средств (прямой и косвенный)_PL-декабрь07_CF- январь 2009 NEW_PL апрель 2009_Таблица расходов" xfId="1456"/>
    <cellStyle name="%_Отчет о движении ден.средств (прямой и косвенный)_PL-декабрь07_CF- январь 2009 NEW_PL апрель 2009_Формат" xfId="1457"/>
    <cellStyle name="%_Отчет о движении ден.средств (прямой и косвенный)_PL-декабрь07_CF- январь 2009 NEW_PL март 2009 (ревижн)" xfId="1458"/>
    <cellStyle name="%_Отчет о движении ден.средств (прямой и косвенный)_PL-декабрь07_CF- январь 2009 NEW_PL март 2009 (ревижн) 2" xfId="1459"/>
    <cellStyle name="%_Отчет о движении ден.средств (прямой и косвенный)_PL-декабрь07_CF- январь 2009 NEW_PL март 2009 (ревижн)_CF_без реорганизации" xfId="1460"/>
    <cellStyle name="%_Отчет о движении ден.средств (прямой и косвенный)_PL-декабрь07_CF- январь 2009 NEW_PL март 2009 (ревижн)_MBKK_dec_2010_18_01_11_вер_1" xfId="1461"/>
    <cellStyle name="%_Отчет о движении ден.средств (прямой и косвенный)_PL-декабрь07_CF- январь 2009 NEW_PL март 2009 (ревижн)_MBKK_jan_2011_08_02_11_вер_1" xfId="1462"/>
    <cellStyle name="%_Отчет о движении ден.средств (прямой и косвенный)_PL-декабрь07_CF- январь 2009 NEW_PL март 2009 (ревижн)_MBKK_jule_2010_09_08_10_вер_1" xfId="1463"/>
    <cellStyle name="%_Отчет о движении ден.средств (прямой и косвенный)_PL-декабрь07_CF- январь 2009 NEW_PL март 2009 (ревижн)_MBKK_nov_2010_09_12_10_вер_1" xfId="1464"/>
    <cellStyle name="%_Отчет о движении ден.средств (прямой и косвенный)_PL-декабрь07_CF- январь 2009 NEW_PL март 2009 (ревижн)_MBKK_oct_2010_10_11_10_вер_1" xfId="1465"/>
    <cellStyle name="%_Отчет о движении ден.средств (прямой и косвенный)_PL-декабрь07_CF- январь 2009 NEW_PL март 2009 (ревижн)_MBKK_sep_2010_05_10_10_вер_1" xfId="1466"/>
    <cellStyle name="%_Отчет о движении ден.средств (прямой и косвенный)_PL-декабрь07_CF- январь 2009 NEW_PL март 2009 (ревижн)_MBKK_sept_2010_03_08_10_вер_2" xfId="1467"/>
    <cellStyle name="%_Отчет о движении ден.средств (прямой и косвенный)_PL-декабрь07_CF- январь 2009 NEW_PL март 2009 (ревижн)_PL_прогноз" xfId="1468"/>
    <cellStyle name="%_Отчет о движении ден.средств (прямой и косвенный)_PL-декабрь07_CF- январь 2009 NEW_PL март 2009 (ревижн)_Xl0000000" xfId="1469"/>
    <cellStyle name="%_Отчет о движении ден.средств (прямой и косвенный)_PL-декабрь07_CF- январь 2009 NEW_PL март 2009 (ревижн)_Таблица расходов" xfId="1470"/>
    <cellStyle name="%_Отчет о движении ден.средств (прямой и косвенный)_PL-декабрь07_CF- январь 2009 NEW_PL март 2009 (ревижн)_Формат" xfId="1471"/>
    <cellStyle name="%_Отчет о движении ден.средств (прямой и косвенный)_PL-декабрь07_CF- январь 2009 NEW_Xl0000000" xfId="1472"/>
    <cellStyle name="%_Отчет о движении ден.средств (прямой и косвенный)_PL-декабрь07_CF- январь 2009 NEW_МБКК -план развития 2009-хлеб с перевзвешенным падением-3" xfId="1473"/>
    <cellStyle name="%_Отчет о движении ден.средств (прямой и косвенный)_PL-декабрь07_CF- январь 2009 NEW_Прогноз_BS_PL_CF_v5" xfId="1474"/>
    <cellStyle name="%_Отчет о движении ден.средств (прямой и косвенный)_PL-декабрь07_CF- январь 2009 NEW_Сводный отчет" xfId="1475"/>
    <cellStyle name="%_Отчет о движении ден.средств (прямой и косвенный)_PL-декабрь07_CF- январь 2009 NEW_Сводный отчет 2" xfId="1476"/>
    <cellStyle name="%_Отчет о движении ден.средств (прямой и косвенный)_PL-декабрь07_CF- январь 2009 NEW_Сводный отчет МБКК за май 2009 v2" xfId="1477"/>
    <cellStyle name="%_Отчет о движении ден.средств (прямой и косвенный)_PL-декабрь07_CF- январь 2009 NEW_Сводный отчет МБКК за май 2009 v2 2" xfId="1478"/>
    <cellStyle name="%_Отчет о движении ден.средств (прямой и косвенный)_PL-декабрь07_CF- январь 2009 NEW_Сводный_отчет_май_2009" xfId="1479"/>
    <cellStyle name="%_Отчет о движении ден.средств (прямой и косвенный)_PL-декабрь07_CF- январь 2009 NEW_Сводный_отчет_май_2009 2" xfId="1480"/>
    <cellStyle name="%_Отчет о движении ден.средств (прямой и косвенный)_PL-декабрь07_CF- январь 2009 NEW_Сводный_отчет_май_2009_CF_без реорганизации" xfId="1481"/>
    <cellStyle name="%_Отчет о движении ден.средств (прямой и косвенный)_PL-декабрь07_CF- январь 2009 NEW_Сводный_отчет_май_2009_MBKK_dec_2010_18_01_11_вер_1" xfId="1482"/>
    <cellStyle name="%_Отчет о движении ден.средств (прямой и косвенный)_PL-декабрь07_CF- январь 2009 NEW_Сводный_отчет_май_2009_MBKK_jan_2011_08_02_11_вер_1" xfId="1483"/>
    <cellStyle name="%_Отчет о движении ден.средств (прямой и косвенный)_PL-декабрь07_CF- январь 2009 NEW_Сводный_отчет_май_2009_MBKK_jule_2010_09_08_10_вер_1" xfId="1484"/>
    <cellStyle name="%_Отчет о движении ден.средств (прямой и косвенный)_PL-декабрь07_CF- январь 2009 NEW_Сводный_отчет_май_2009_MBKK_nov_2010_09_12_10_вер_1" xfId="1485"/>
    <cellStyle name="%_Отчет о движении ден.средств (прямой и косвенный)_PL-декабрь07_CF- январь 2009 NEW_Сводный_отчет_май_2009_MBKK_oct_2010_10_11_10_вер_1" xfId="1486"/>
    <cellStyle name="%_Отчет о движении ден.средств (прямой и косвенный)_PL-декабрь07_CF- январь 2009 NEW_Сводный_отчет_май_2009_MBKK_sep_2010_05_10_10_вер_1" xfId="1487"/>
    <cellStyle name="%_Отчет о движении ден.средств (прямой и косвенный)_PL-декабрь07_CF- январь 2009 NEW_Сводный_отчет_май_2009_MBKK_sept_2010_03_08_10_вер_2" xfId="1488"/>
    <cellStyle name="%_Отчет о движении ден.средств (прямой и косвенный)_PL-декабрь07_CF- январь 2009 NEW_Сводный_отчет_май_2009_PL_прогноз" xfId="1489"/>
    <cellStyle name="%_Отчет о движении ден.средств (прямой и косвенный)_PL-декабрь07_CF- январь 2009 NEW_Сводный_отчет_май_2009_Xl0000000" xfId="1490"/>
    <cellStyle name="%_Отчет о движении ден.средств (прямой и косвенный)_PL-декабрь07_CF- январь 2009 NEW_Сводный_отчет_май_2009_Таблица расходов" xfId="1491"/>
    <cellStyle name="%_Отчет о движении ден.средств (прямой и косвенный)_PL-декабрь07_CF- январь 2009 NEW_Сводный_отчет_май_2009_Формат" xfId="1492"/>
    <cellStyle name="%_Отчет о движении ден.средств (прямой и косвенный)_PL-декабрь07_CF- январь 2009 NEW_смайнекс PL0209" xfId="1493"/>
    <cellStyle name="%_Отчет о движении ден.средств (прямой и косвенный)_PL-декабрь07_CF- январь 2009 NEW_смайнекс PL0209 2" xfId="1494"/>
    <cellStyle name="%_Отчет о движении ден.средств (прямой и косвенный)_PL-декабрь07_CF- январь 2009 NEW_Сырье-проценты" xfId="1495"/>
    <cellStyle name="%_Отчет о движении ден.средств (прямой и косвенный)_PL-декабрь07_CF- январь 2009 NEW_Таблица расходов" xfId="1496"/>
    <cellStyle name="%_Отчет о движении ден.средств (прямой и косвенный)_PL-декабрь07_CF- январь 2009 NEW_Торты" xfId="1497"/>
    <cellStyle name="%_Отчет о движении ден.средств (прямой и косвенный)_PL-декабрь07_CF- январь 2009 NEW_Формат" xfId="1498"/>
    <cellStyle name="%_Отчет о движении ден.средств (прямой и косвенный)_PL-декабрь07_CF_без реорганизации" xfId="1499"/>
    <cellStyle name="%_Отчет о движении ден.средств (прямой и косвенный)_PL-декабрь07_CF_инвест_6 мес_2010" xfId="1500"/>
    <cellStyle name="%_Отчет о движении ден.средств (прямой и косвенный)_PL-декабрь07_margin-0409" xfId="1501"/>
    <cellStyle name="%_Отчет о движении ден.средств (прямой и косвенный)_PL-декабрь07_margin-0409 2" xfId="1502"/>
    <cellStyle name="%_Отчет о движении ден.средств (прямой и косвенный)_PL-декабрь07_margin-0409_CF_без реорганизации" xfId="1503"/>
    <cellStyle name="%_Отчет о движении ден.средств (прямой и косвенный)_PL-декабрь07_margin-0409_MBKK_dec_2010_18_01_11_вер_1" xfId="1504"/>
    <cellStyle name="%_Отчет о движении ден.средств (прямой и косвенный)_PL-декабрь07_margin-0409_MBKK_jan_2011_08_02_11_вер_1" xfId="1505"/>
    <cellStyle name="%_Отчет о движении ден.средств (прямой и косвенный)_PL-декабрь07_margin-0409_MBKK_jule_2010_09_08_10_вер_1" xfId="1506"/>
    <cellStyle name="%_Отчет о движении ден.средств (прямой и косвенный)_PL-декабрь07_margin-0409_MBKK_nov_2010_09_12_10_вер_1" xfId="1507"/>
    <cellStyle name="%_Отчет о движении ден.средств (прямой и косвенный)_PL-декабрь07_margin-0409_MBKK_oct_2010_10_11_10_вер_1" xfId="1508"/>
    <cellStyle name="%_Отчет о движении ден.средств (прямой и косвенный)_PL-декабрь07_margin-0409_MBKK_sep_2010_05_10_10_вер_1" xfId="1509"/>
    <cellStyle name="%_Отчет о движении ден.средств (прямой и косвенный)_PL-декабрь07_margin-0409_MBKK_sept_2010_03_08_10_вер_2" xfId="1510"/>
    <cellStyle name="%_Отчет о движении ден.средств (прямой и косвенный)_PL-декабрь07_margin-0409_PL_прогноз" xfId="1511"/>
    <cellStyle name="%_Отчет о движении ден.средств (прямой и косвенный)_PL-декабрь07_margin-0409_Xl0000000" xfId="1512"/>
    <cellStyle name="%_Отчет о движении ден.средств (прямой и косвенный)_PL-декабрь07_margin-0409_Таблица расходов" xfId="1513"/>
    <cellStyle name="%_Отчет о движении ден.средств (прямой и косвенный)_PL-декабрь07_margin-0409_Формат" xfId="1514"/>
    <cellStyle name="%_Отчет о движении ден.средств (прямой и косвенный)_PL-декабрь07_MBKK_dec_2010_18_01_11_вер_1" xfId="1515"/>
    <cellStyle name="%_Отчет о движении ден.средств (прямой и косвенный)_PL-декабрь07_MBKK_jan_2011_08_02_11_вер_1" xfId="1516"/>
    <cellStyle name="%_Отчет о движении ден.средств (прямой и косвенный)_PL-декабрь07_MBKK_jule_2010_09_08_10_вер_1" xfId="1517"/>
    <cellStyle name="%_Отчет о движении ден.средств (прямой и косвенный)_PL-декабрь07_MBKK_nov_2010_09_12_10_вер_1" xfId="1518"/>
    <cellStyle name="%_Отчет о движении ден.средств (прямой и косвенный)_PL-декабрь07_MBKK_oct_2010_10_11_10_вер_1" xfId="1519"/>
    <cellStyle name="%_Отчет о движении ден.средств (прямой и косвенный)_PL-декабрь07_MBKK_sep_2010_05_10_10_вер_1" xfId="1520"/>
    <cellStyle name="%_Отчет о движении ден.средств (прямой и косвенный)_PL-декабрь07_MBKK_sept_2010_03_08_10_вер_2" xfId="1521"/>
    <cellStyle name="%_Отчет о движении ден.средств (прямой и косвенный)_PL-декабрь07_MBKKK-BP-2009-months-v18-project" xfId="1522"/>
    <cellStyle name="%_Отчет о движении ден.средств (прямой и косвенный)_PL-декабрь07_MBKKK-BP-2009-months-v18-project 2" xfId="1523"/>
    <cellStyle name="%_Отчет о движении ден.средств (прямой и косвенный)_PL-декабрь07_MBKKK-BP-2009-months-v19-project" xfId="1524"/>
    <cellStyle name="%_Отчет о движении ден.средств (прямой и косвенный)_PL-декабрь07_MBKKK-BP-2009-months-v19-project 2" xfId="1525"/>
    <cellStyle name="%_Отчет о движении ден.средств (прямой и косвенный)_PL-декабрь07_MBKKK-BP-2009-months-v20-project_2" xfId="1526"/>
    <cellStyle name="%_Отчет о движении ден.средств (прямой и косвенный)_PL-декабрь07_MBKKK-BP-2009-months-v6-cash" xfId="1527"/>
    <cellStyle name="%_Отчет о движении ден.средств (прямой и косвенный)_PL-декабрь07_MBKKK-BP-2009-months-v6-cash 2" xfId="1528"/>
    <cellStyle name="%_Отчет о движении ден.средств (прямой и косвенный)_PL-декабрь07_PL (декабрь 08)" xfId="1529"/>
    <cellStyle name="%_Отчет о движении ден.средств (прямой и косвенный)_PL-декабрь07_PL (декабрь 08) 2" xfId="1530"/>
    <cellStyle name="%_Отчет о движении ден.средств (прямой и косвенный)_PL-декабрь07_PL апрель 2009" xfId="1531"/>
    <cellStyle name="%_Отчет о движении ден.средств (прямой и косвенный)_PL-декабрь07_PL апрель 2009 2" xfId="1532"/>
    <cellStyle name="%_Отчет о движении ден.средств (прямой и косвенный)_PL-декабрь07_PL апрель 2009_CF_без реорганизации" xfId="1533"/>
    <cellStyle name="%_Отчет о движении ден.средств (прямой и косвенный)_PL-декабрь07_PL апрель 2009_MBKK_dec_2010_18_01_11_вер_1" xfId="1534"/>
    <cellStyle name="%_Отчет о движении ден.средств (прямой и косвенный)_PL-декабрь07_PL апрель 2009_MBKK_jan_2011_08_02_11_вер_1" xfId="1535"/>
    <cellStyle name="%_Отчет о движении ден.средств (прямой и косвенный)_PL-декабрь07_PL апрель 2009_MBKK_jule_2010_09_08_10_вер_1" xfId="1536"/>
    <cellStyle name="%_Отчет о движении ден.средств (прямой и косвенный)_PL-декабрь07_PL апрель 2009_MBKK_nov_2010_09_12_10_вер_1" xfId="1537"/>
    <cellStyle name="%_Отчет о движении ден.средств (прямой и косвенный)_PL-декабрь07_PL апрель 2009_MBKK_oct_2010_10_11_10_вер_1" xfId="1538"/>
    <cellStyle name="%_Отчет о движении ден.средств (прямой и косвенный)_PL-декабрь07_PL апрель 2009_MBKK_sep_2010_05_10_10_вер_1" xfId="1539"/>
    <cellStyle name="%_Отчет о движении ден.средств (прямой и косвенный)_PL-декабрь07_PL апрель 2009_MBKK_sept_2010_03_08_10_вер_2" xfId="1540"/>
    <cellStyle name="%_Отчет о движении ден.средств (прямой и косвенный)_PL-декабрь07_PL апрель 2009_PL_прогноз" xfId="1541"/>
    <cellStyle name="%_Отчет о движении ден.средств (прямой и косвенный)_PL-декабрь07_PL апрель 2009_Xl0000000" xfId="1542"/>
    <cellStyle name="%_Отчет о движении ден.средств (прямой и косвенный)_PL-декабрь07_PL апрель 2009_Таблица расходов" xfId="1543"/>
    <cellStyle name="%_Отчет о движении ден.средств (прямой и косвенный)_PL-декабрь07_PL апрель 2009_Формат" xfId="1544"/>
    <cellStyle name="%_Отчет о движении ден.средств (прямой и косвенный)_PL-декабрь07_PL март 2009 (ревижн)" xfId="1545"/>
    <cellStyle name="%_Отчет о движении ден.средств (прямой и косвенный)_PL-декабрь07_PL март 2009 (ревижн) 2" xfId="1546"/>
    <cellStyle name="%_Отчет о движении ден.средств (прямой и косвенный)_PL-декабрь07_PL март 2009 (ревижн)_CF_без реорганизации" xfId="1547"/>
    <cellStyle name="%_Отчет о движении ден.средств (прямой и косвенный)_PL-декабрь07_PL март 2009 (ревижн)_MBKK_dec_2010_18_01_11_вер_1" xfId="1548"/>
    <cellStyle name="%_Отчет о движении ден.средств (прямой и косвенный)_PL-декабрь07_PL март 2009 (ревижн)_MBKK_jan_2011_08_02_11_вер_1" xfId="1549"/>
    <cellStyle name="%_Отчет о движении ден.средств (прямой и косвенный)_PL-декабрь07_PL март 2009 (ревижн)_MBKK_jule_2010_09_08_10_вер_1" xfId="1550"/>
    <cellStyle name="%_Отчет о движении ден.средств (прямой и косвенный)_PL-декабрь07_PL март 2009 (ревижн)_MBKK_nov_2010_09_12_10_вер_1" xfId="1551"/>
    <cellStyle name="%_Отчет о движении ден.средств (прямой и косвенный)_PL-декабрь07_PL март 2009 (ревижн)_MBKK_oct_2010_10_11_10_вер_1" xfId="1552"/>
    <cellStyle name="%_Отчет о движении ден.средств (прямой и косвенный)_PL-декабрь07_PL март 2009 (ревижн)_MBKK_sep_2010_05_10_10_вер_1" xfId="1553"/>
    <cellStyle name="%_Отчет о движении ден.средств (прямой и косвенный)_PL-декабрь07_PL март 2009 (ревижн)_MBKK_sept_2010_03_08_10_вер_2" xfId="1554"/>
    <cellStyle name="%_Отчет о движении ден.средств (прямой и косвенный)_PL-декабрь07_PL март 2009 (ревижн)_PL_прогноз" xfId="1555"/>
    <cellStyle name="%_Отчет о движении ден.средств (прямой и косвенный)_PL-декабрь07_PL март 2009 (ревижн)_Xl0000000" xfId="1556"/>
    <cellStyle name="%_Отчет о движении ден.средств (прямой и косвенный)_PL-декабрь07_PL март 2009 (ревижн)_Таблица расходов" xfId="1557"/>
    <cellStyle name="%_Отчет о движении ден.средств (прямой и косвенный)_PL-декабрь07_PL март 2009 (ревижн)_Формат" xfId="1558"/>
    <cellStyle name="%_Отчет о движении ден.средств (прямой и косвенный)_PL-декабрь07_PL февраль 2009" xfId="1559"/>
    <cellStyle name="%_Отчет о движении ден.средств (прямой и косвенный)_PL-декабрь07_PL февраль 2009 2" xfId="1560"/>
    <cellStyle name="%_Отчет о движении ден.средств (прямой и косвенный)_PL-декабрь07_PL февраль 2009_CF_без реорганизации" xfId="1561"/>
    <cellStyle name="%_Отчет о движении ден.средств (прямой и косвенный)_PL-декабрь07_PL февраль 2009_CF_инвест_6 мес_2010" xfId="1562"/>
    <cellStyle name="%_Отчет о движении ден.средств (прямой и косвенный)_PL-декабрь07_PL февраль 2009_MBKK_dec_2010_18_01_11_вер_1" xfId="1563"/>
    <cellStyle name="%_Отчет о движении ден.средств (прямой и косвенный)_PL-декабрь07_PL февраль 2009_MBKK_jan_2011_08_02_11_вер_1" xfId="1564"/>
    <cellStyle name="%_Отчет о движении ден.средств (прямой и косвенный)_PL-декабрь07_PL февраль 2009_MBKK_jule_2010_09_08_10_вер_1" xfId="1565"/>
    <cellStyle name="%_Отчет о движении ден.средств (прямой и косвенный)_PL-декабрь07_PL февраль 2009_MBKK_nov_2010_09_12_10_вер_1" xfId="1566"/>
    <cellStyle name="%_Отчет о движении ден.средств (прямой и косвенный)_PL-декабрь07_PL февраль 2009_MBKK_oct_2010_10_11_10_вер_1" xfId="1567"/>
    <cellStyle name="%_Отчет о движении ден.средств (прямой и косвенный)_PL-декабрь07_PL февраль 2009_MBKK_sep_2010_05_10_10_вер_1" xfId="1568"/>
    <cellStyle name="%_Отчет о движении ден.средств (прямой и косвенный)_PL-декабрь07_PL февраль 2009_MBKK_sept_2010_03_08_10_вер_2" xfId="1569"/>
    <cellStyle name="%_Отчет о движении ден.средств (прямой и косвенный)_PL-декабрь07_PL февраль 2009_Xl0000000" xfId="1570"/>
    <cellStyle name="%_Отчет о движении ден.средств (прямой и косвенный)_PL-декабрь07_PL февраль 2009_МБКК -план развития 2009-хлеб с перевзвешенным падением-3" xfId="1571"/>
    <cellStyle name="%_Отчет о движении ден.средств (прямой и косвенный)_PL-декабрь07_PL февраль 2009_Прогноз_BS_PL_CF_v5" xfId="1572"/>
    <cellStyle name="%_Отчет о движении ден.средств (прямой и косвенный)_PL-декабрь07_PL февраль 2009_Сырье-проценты" xfId="1573"/>
    <cellStyle name="%_Отчет о движении ден.средств (прямой и косвенный)_PL-декабрь07_PL февраль 2009_Таблица расходов" xfId="1574"/>
    <cellStyle name="%_Отчет о движении ден.средств (прямой и косвенный)_PL-декабрь07_PL февраль 2009_Торты" xfId="1575"/>
    <cellStyle name="%_Отчет о движении ден.средств (прямой и косвенный)_PL-декабрь07_PL февраль 2009_Формат" xfId="1576"/>
    <cellStyle name="%_Отчет о движении ден.средств (прямой и косвенный)_PL-декабрь07_SVOD 1108 MBKKK budget-act v6" xfId="1577"/>
    <cellStyle name="%_Отчет о движении ден.средств (прямой и косвенный)_PL-декабрь07_SVOD 1108 MBKKK budget-act v6 2" xfId="1578"/>
    <cellStyle name="%_Отчет о движении ден.средств (прямой и косвенный)_PL-декабрь07_SVOD 1108 MBKKK budget-act v6_0609-budge-Kolomenskoe-v6_final" xfId="1579"/>
    <cellStyle name="%_Отчет о движении ден.средств (прямой и косвенный)_PL-декабрь07_SVOD 1108 MBKKK budget-act v6_0609-swod-kolomenskoe-v1" xfId="1580"/>
    <cellStyle name="%_Отчет о движении ден.средств (прямой и косвенный)_PL-декабрь07_SVOD 1108 MBKKK budget-act v6_MBKKK-BP-2009-months-v20-project_2" xfId="1581"/>
    <cellStyle name="%_Отчет о движении ден.средств (прямой и косвенный)_PL-декабрь07_SVOD 1108 MBKKK budget-act v6_Сырье-проценты" xfId="1582"/>
    <cellStyle name="%_Отчет о движении ден.средств (прямой и косвенный)_PL-декабрь07_SVOD 1208 MBKKK budget-act v1" xfId="1583"/>
    <cellStyle name="%_Отчет о движении ден.средств (прямой и косвенный)_PL-декабрь07_SVOD 1208 MBKKK budget-act v1 2" xfId="1584"/>
    <cellStyle name="%_Отчет о движении ден.средств (прямой и косвенный)_PL-декабрь07_SVOD 1208 MBKKK budget-act v1_0609-budge-Kolomenskoe-v6_final" xfId="1585"/>
    <cellStyle name="%_Отчет о движении ден.средств (прямой и косвенный)_PL-декабрь07_SVOD 1208 MBKKK budget-act v1_0609-swod-kolomenskoe-v1" xfId="1586"/>
    <cellStyle name="%_Отчет о движении ден.средств (прямой и косвенный)_PL-декабрь07_SVOD 1208 MBKKK budget-act v1_MBKKK-BP-2009-months-v20-project_2" xfId="1587"/>
    <cellStyle name="%_Отчет о движении ден.средств (прямой и косвенный)_PL-декабрь07_SVOD 1208 MBKKK budget-act v1_Сырье-проценты" xfId="1588"/>
    <cellStyle name="%_Отчет о движении ден.средств (прямой и косвенный)_PL-декабрь07_Xl0000000" xfId="1589"/>
    <cellStyle name="%_Отчет о движении ден.средств (прямой и косвенный)_PL-декабрь07_бюджет январь 2009г xls (3)" xfId="1590"/>
    <cellStyle name="%_Отчет о движении ден.средств (прямой и косвенный)_PL-декабрь07_бюджет январь 2009г xls (3) 2" xfId="1591"/>
    <cellStyle name="%_Отчет о движении ден.средств (прямой и косвенный)_PL-декабрь07_бюджет январь 2009г xls (3)_0609-budge-Kolomenskoe-v6_final" xfId="1592"/>
    <cellStyle name="%_Отчет о движении ден.средств (прямой и косвенный)_PL-декабрь07_бюджет январь 2009г xls (3)_0609-swod-kolomenskoe-v1" xfId="1593"/>
    <cellStyle name="%_Отчет о движении ден.средств (прямой и косвенный)_PL-декабрь07_бюджет январь 2009г xls (3)_MBKKK-BP-2009-months-v20-project_2" xfId="1594"/>
    <cellStyle name="%_Отчет о движении ден.средств (прямой и косвенный)_PL-декабрь07_бюджет январь 2009г xls (3)_Сырье-проценты" xfId="1595"/>
    <cellStyle name="%_Отчет о движении ден.средств (прямой и косвенный)_PL-декабрь07_Детский ассортимент_график входа" xfId="1596"/>
    <cellStyle name="%_Отчет о движении ден.средств (прямой и косвенный)_PL-декабрь07_Детский ассортимент_Окупаемость версия" xfId="1597"/>
    <cellStyle name="%_Отчет о движении ден.средств (прямой и косвенный)_PL-декабрь07_Компоновка" xfId="1598"/>
    <cellStyle name="%_Отчет о движении ден.средств (прямой и косвенный)_PL-декабрь07_Компоновка 2" xfId="1599"/>
    <cellStyle name="%_Отчет о движении ден.средств (прямой и косвенный)_PL-декабрь07_Копия SVOD 1208 MBKKK budget-act v2(с планом PL-январь)" xfId="1600"/>
    <cellStyle name="%_Отчет о движении ден.средств (прямой и косвенный)_PL-декабрь07_Копия SVOD 1208 MBKKK budget-act v2(с планом PL-январь) 2" xfId="1601"/>
    <cellStyle name="%_Отчет о движении ден.средств (прямой и косвенный)_PL-декабрь07_МБКК -план развития 2009-хлеб с перевзвешенным падением-3" xfId="1602"/>
    <cellStyle name="%_Отчет о движении ден.средств (прямой и косвенный)_PL-декабрь07_Модель-2009 год" xfId="1603"/>
    <cellStyle name="%_Отчет о движении ден.средств (прямой и косвенный)_PL-декабрь07_Модель-2009 год 2" xfId="1604"/>
    <cellStyle name="%_Отчет о движении ден.средств (прямой и косвенный)_PL-декабрь07_Модель-2009 год_0609-budge-Kolomenskoe-v6_final" xfId="1605"/>
    <cellStyle name="%_Отчет о движении ден.средств (прямой и косвенный)_PL-декабрь07_Модель-2009 год_0609-swod-kolomenskoe-v1" xfId="1606"/>
    <cellStyle name="%_Отчет о движении ден.средств (прямой и косвенный)_PL-декабрь07_Модель-2009 год_MBKKK-BP-2009-months-v20-project_2" xfId="1607"/>
    <cellStyle name="%_Отчет о движении ден.средств (прямой и косвенный)_PL-декабрь07_Модель-2009 год_Сырье-проценты" xfId="1608"/>
    <cellStyle name="%_Отчет о движении ден.средств (прямой и косвенный)_PL-декабрь07_Объ" xfId="1609"/>
    <cellStyle name="%_Отчет о движении ден.средств (прямой и косвенный)_PL-декабрь07_Объ 2" xfId="1610"/>
    <cellStyle name="%_Отчет о движении ден.средств (прямой и косвенный)_PL-декабрь07_Оперплан_2010_13_01_2010_версия_10_уточн" xfId="1611"/>
    <cellStyle name="%_Отчет о движении ден.средств (прямой и косвенный)_PL-декабрь07_Прогноз_BS_PL_CF_v5" xfId="1612"/>
    <cellStyle name="%_Отчет о движении ден.средств (прямой и косвенный)_PL-декабрь07_Сводный отчет" xfId="1613"/>
    <cellStyle name="%_Отчет о движении ден.средств (прямой и косвенный)_PL-декабрь07_Сводный отчет 2" xfId="1614"/>
    <cellStyle name="%_Отчет о движении ден.средств (прямой и косвенный)_PL-декабрь07_Сводный отчет МБКК за май 2009 v2" xfId="1615"/>
    <cellStyle name="%_Отчет о движении ден.средств (прямой и косвенный)_PL-декабрь07_Сводный отчет МБКК за май 2009 v2 2" xfId="1616"/>
    <cellStyle name="%_Отчет о движении ден.средств (прямой и косвенный)_PL-декабрь07_Сводный отчет МБКК_05 02 09(правка)" xfId="1617"/>
    <cellStyle name="%_Отчет о движении ден.средств (прямой и косвенный)_PL-декабрь07_Сводный отчет МБКК_05 02 09(правка) 2" xfId="1618"/>
    <cellStyle name="%_Отчет о движении ден.средств (прямой и косвенный)_PL-декабрь07_Сводный_отчет_май_2009" xfId="1619"/>
    <cellStyle name="%_Отчет о движении ден.средств (прямой и косвенный)_PL-декабрь07_Сводный_отчет_май_2009 2" xfId="1620"/>
    <cellStyle name="%_Отчет о движении ден.средств (прямой и косвенный)_PL-декабрь07_Сводный_отчет_май_2009_CF_без реорганизации" xfId="1621"/>
    <cellStyle name="%_Отчет о движении ден.средств (прямой и косвенный)_PL-декабрь07_Сводный_отчет_май_2009_MBKK_dec_2010_18_01_11_вер_1" xfId="1622"/>
    <cellStyle name="%_Отчет о движении ден.средств (прямой и косвенный)_PL-декабрь07_Сводный_отчет_май_2009_MBKK_jan_2011_08_02_11_вер_1" xfId="1623"/>
    <cellStyle name="%_Отчет о движении ден.средств (прямой и косвенный)_PL-декабрь07_Сводный_отчет_май_2009_MBKK_jule_2010_09_08_10_вер_1" xfId="1624"/>
    <cellStyle name="%_Отчет о движении ден.средств (прямой и косвенный)_PL-декабрь07_Сводный_отчет_май_2009_MBKK_nov_2010_09_12_10_вер_1" xfId="1625"/>
    <cellStyle name="%_Отчет о движении ден.средств (прямой и косвенный)_PL-декабрь07_Сводный_отчет_май_2009_MBKK_oct_2010_10_11_10_вер_1" xfId="1626"/>
    <cellStyle name="%_Отчет о движении ден.средств (прямой и косвенный)_PL-декабрь07_Сводный_отчет_май_2009_MBKK_sep_2010_05_10_10_вер_1" xfId="1627"/>
    <cellStyle name="%_Отчет о движении ден.средств (прямой и косвенный)_PL-декабрь07_Сводный_отчет_май_2009_MBKK_sept_2010_03_08_10_вер_2" xfId="1628"/>
    <cellStyle name="%_Отчет о движении ден.средств (прямой и косвенный)_PL-декабрь07_Сводный_отчет_май_2009_PL_прогноз" xfId="1629"/>
    <cellStyle name="%_Отчет о движении ден.средств (прямой и косвенный)_PL-декабрь07_Сводный_отчет_май_2009_Xl0000000" xfId="1630"/>
    <cellStyle name="%_Отчет о движении ден.средств (прямой и косвенный)_PL-декабрь07_Сводный_отчет_май_2009_Таблица расходов" xfId="1631"/>
    <cellStyle name="%_Отчет о движении ден.средств (прямой и косвенный)_PL-декабрь07_Сводный_отчет_май_2009_Формат" xfId="1632"/>
    <cellStyle name="%_Отчет о движении ден.средств (прямой и косвенный)_PL-декабрь07_смайнекс PL0209" xfId="1633"/>
    <cellStyle name="%_Отчет о движении ден.средств (прямой и косвенный)_PL-декабрь07_смайнекс PL0209 2" xfId="1634"/>
    <cellStyle name="%_Отчет о движении ден.средств (прямой и косвенный)_PL-декабрь07_Сырье-проценты" xfId="1635"/>
    <cellStyle name="%_Отчет о движении ден.средств (прямой и косвенный)_PL-декабрь07_Таблица расходов" xfId="1636"/>
    <cellStyle name="%_Отчет о движении ден.средств (прямой и косвенный)_PL-декабрь07_Торты" xfId="1637"/>
    <cellStyle name="%_Отчет о движении ден.средств (прямой и косвенный)_PL-декабрь07_Формат" xfId="1638"/>
    <cellStyle name="%_Отчет о движении ден.средств (прямой и косвенный)_PL-ноябр 2008" xfId="1639"/>
    <cellStyle name="%_Отчет о движении ден.средств (прямой и косвенный)_PL-ноябр 2008 2" xfId="1640"/>
    <cellStyle name="%_Отчет о движении ден.средств (прямой и косвенный)_PL-январь 08" xfId="1641"/>
    <cellStyle name="%_Отчет о движении ден.средств (прямой и косвенный)_PL-январь 08 2" xfId="1642"/>
    <cellStyle name="%_Отчет о движении ден.средств (прямой и косвенный)_SVOD-Kolomenskoe" xfId="1643"/>
    <cellStyle name="%_Отчет о движении ден.средств (прямой и косвенный)_SVOD-Kolomenskoe 2" xfId="1644"/>
    <cellStyle name="%_Отчет о движении ден.средств (прямой и косвенный)_SVOD-Kolomenskoe_0109-MBKK-budget-v2 (1)" xfId="1645"/>
    <cellStyle name="%_Отчет о движении ден.средств (прямой и косвенный)_SVOD-Kolomenskoe_0109-MBKK-budget-v2 (1) 2" xfId="1646"/>
    <cellStyle name="%_Отчет о движении ден.средств (прямой и косвенный)_SVOD-Kolomenskoe_0109-MBKK-budget-v2 (Февраль - проект)" xfId="1647"/>
    <cellStyle name="%_Отчет о движении ден.средств (прямой и косвенный)_SVOD-Kolomenskoe_0109-MBKK-budget-v2 (Февраль - проект) 2" xfId="1648"/>
    <cellStyle name="%_Отчет о движении ден.средств (прямой и косвенный)_SVOD-Kolomenskoe_01-09-swod-kolomenskoe-v2(PL-январь 2009 - факт3)" xfId="1649"/>
    <cellStyle name="%_Отчет о движении ден.средств (прямой и косвенный)_SVOD-Kolomenskoe_01-09-swod-kolomenskoe-v2(PL-январь 2009 - факт3) 2" xfId="1650"/>
    <cellStyle name="%_Отчет о движении ден.средств (прямой и косвенный)_SVOD-Kolomenskoe_0209-MBKK-budget-v8" xfId="1651"/>
    <cellStyle name="%_Отчет о движении ден.средств (прямой и косвенный)_SVOD-Kolomenskoe_0209-MBKK-budget-v8 2" xfId="1652"/>
    <cellStyle name="%_Отчет о движении ден.средств (прямой и косвенный)_SVOD-Kolomenskoe_0209-коломенское(v1)" xfId="1653"/>
    <cellStyle name="%_Отчет о движении ден.средств (прямой и косвенный)_SVOD-Kolomenskoe_0209-коломенское(v1) 2" xfId="1654"/>
    <cellStyle name="%_Отчет о движении ден.средств (прямой и косвенный)_SVOD-Kolomenskoe_0309-budge-Kolomenskoe-v5" xfId="1655"/>
    <cellStyle name="%_Отчет о движении ден.средств (прямой и косвенный)_SVOD-Kolomenskoe_0309-budge-Kolomenskoe-v5 2" xfId="1656"/>
    <cellStyle name="%_Отчет о движении ден.средств (прямой и косвенный)_SVOD-Kolomenskoe_0309-budge-Kolomenskoe-v5_CF_без реорганизации" xfId="1657"/>
    <cellStyle name="%_Отчет о движении ден.средств (прямой и косвенный)_SVOD-Kolomenskoe_0309-budge-Kolomenskoe-v5_CF_инвест_6 мес_2010" xfId="1658"/>
    <cellStyle name="%_Отчет о движении ден.средств (прямой и косвенный)_SVOD-Kolomenskoe_0309-budge-Kolomenskoe-v5_MBKK_dec_2010_18_01_11_вер_1" xfId="1659"/>
    <cellStyle name="%_Отчет о движении ден.средств (прямой и косвенный)_SVOD-Kolomenskoe_0309-budge-Kolomenskoe-v5_MBKK_jan_2011_08_02_11_вер_1" xfId="1660"/>
    <cellStyle name="%_Отчет о движении ден.средств (прямой и косвенный)_SVOD-Kolomenskoe_0309-budge-Kolomenskoe-v5_MBKK_jule_2010_09_08_10_вер_1" xfId="1661"/>
    <cellStyle name="%_Отчет о движении ден.средств (прямой и косвенный)_SVOD-Kolomenskoe_0309-budge-Kolomenskoe-v5_MBKK_nov_2010_09_12_10_вер_1" xfId="1662"/>
    <cellStyle name="%_Отчет о движении ден.средств (прямой и косвенный)_SVOD-Kolomenskoe_0309-budge-Kolomenskoe-v5_MBKK_oct_2010_10_11_10_вер_1" xfId="1663"/>
    <cellStyle name="%_Отчет о движении ден.средств (прямой и косвенный)_SVOD-Kolomenskoe_0309-budge-Kolomenskoe-v5_MBKK_sep_2010_05_10_10_вер_1" xfId="1664"/>
    <cellStyle name="%_Отчет о движении ден.средств (прямой и косвенный)_SVOD-Kolomenskoe_0309-budge-Kolomenskoe-v5_MBKK_sept_2010_03_08_10_вер_2" xfId="1665"/>
    <cellStyle name="%_Отчет о движении ден.средств (прямой и косвенный)_SVOD-Kolomenskoe_0309-budge-Kolomenskoe-v5_Xl0000000" xfId="1666"/>
    <cellStyle name="%_Отчет о движении ден.средств (прямой и косвенный)_SVOD-Kolomenskoe_0309-budge-Kolomenskoe-v5_МБКК -план развития 2009-хлеб с перевзвешенным падением-3" xfId="1667"/>
    <cellStyle name="%_Отчет о движении ден.средств (прямой и косвенный)_SVOD-Kolomenskoe_0309-budge-Kolomenskoe-v5_Прогноз_BS_PL_CF_v5" xfId="1668"/>
    <cellStyle name="%_Отчет о движении ден.средств (прямой и косвенный)_SVOD-Kolomenskoe_0309-budge-Kolomenskoe-v5_Сырье-проценты" xfId="1669"/>
    <cellStyle name="%_Отчет о движении ден.средств (прямой и косвенный)_SVOD-Kolomenskoe_0309-budge-Kolomenskoe-v5_Таблица расходов" xfId="1670"/>
    <cellStyle name="%_Отчет о движении ден.средств (прямой и косвенный)_SVOD-Kolomenskoe_0309-budge-Kolomenskoe-v5_Торты" xfId="1671"/>
    <cellStyle name="%_Отчет о движении ден.средств (прямой и косвенный)_SVOD-Kolomenskoe_0309-budge-Kolomenskoe-v5_Формат" xfId="1672"/>
    <cellStyle name="%_Отчет о движении ден.средств (прямой и косвенный)_SVOD-Kolomenskoe_0309-swod-kolomenskoe-v18" xfId="1673"/>
    <cellStyle name="%_Отчет о движении ден.средств (прямой и косвенный)_SVOD-Kolomenskoe_0309-swod-kolomenskoe-v18 2" xfId="1674"/>
    <cellStyle name="%_Отчет о движении ден.средств (прямой и косвенный)_SVOD-Kolomenskoe_0309-swod-kolomenskoe-v18_CF_без реорганизации" xfId="1675"/>
    <cellStyle name="%_Отчет о движении ден.средств (прямой и косвенный)_SVOD-Kolomenskoe_0309-swod-kolomenskoe-v18_MBKK_dec_2010_18_01_11_вер_1" xfId="1676"/>
    <cellStyle name="%_Отчет о движении ден.средств (прямой и косвенный)_SVOD-Kolomenskoe_0309-swod-kolomenskoe-v18_MBKK_jan_2011_08_02_11_вер_1" xfId="1677"/>
    <cellStyle name="%_Отчет о движении ден.средств (прямой и косвенный)_SVOD-Kolomenskoe_0309-swod-kolomenskoe-v18_MBKK_jule_2010_09_08_10_вер_1" xfId="1678"/>
    <cellStyle name="%_Отчет о движении ден.средств (прямой и косвенный)_SVOD-Kolomenskoe_0309-swod-kolomenskoe-v18_MBKK_nov_2010_09_12_10_вер_1" xfId="1679"/>
    <cellStyle name="%_Отчет о движении ден.средств (прямой и косвенный)_SVOD-Kolomenskoe_0309-swod-kolomenskoe-v18_MBKK_oct_2010_10_11_10_вер_1" xfId="1680"/>
    <cellStyle name="%_Отчет о движении ден.средств (прямой и косвенный)_SVOD-Kolomenskoe_0309-swod-kolomenskoe-v18_MBKK_sep_2010_05_10_10_вер_1" xfId="1681"/>
    <cellStyle name="%_Отчет о движении ден.средств (прямой и косвенный)_SVOD-Kolomenskoe_0309-swod-kolomenskoe-v18_MBKK_sept_2010_03_08_10_вер_2" xfId="1682"/>
    <cellStyle name="%_Отчет о движении ден.средств (прямой и косвенный)_SVOD-Kolomenskoe_0309-swod-kolomenskoe-v18_PL_прогноз" xfId="1683"/>
    <cellStyle name="%_Отчет о движении ден.средств (прямой и косвенный)_SVOD-Kolomenskoe_0309-swod-kolomenskoe-v18_Xl0000000" xfId="1684"/>
    <cellStyle name="%_Отчет о движении ден.средств (прямой и косвенный)_SVOD-Kolomenskoe_0309-swod-kolomenskoe-v18_Таблица расходов" xfId="1685"/>
    <cellStyle name="%_Отчет о движении ден.средств (прямой и косвенный)_SVOD-Kolomenskoe_0309-swod-kolomenskoe-v18_Формат" xfId="1686"/>
    <cellStyle name="%_Отчет о движении ден.средств (прямой и косвенный)_SVOD-Kolomenskoe_0309-swod-kolomenskoe-v4" xfId="1687"/>
    <cellStyle name="%_Отчет о движении ден.средств (прямой и косвенный)_SVOD-Kolomenskoe_0309-swod-kolomenskoe-v4 2" xfId="1688"/>
    <cellStyle name="%_Отчет о движении ден.средств (прямой и косвенный)_SVOD-Kolomenskoe_0309-swod-kolomenskoe-v4_CF_без реорганизации" xfId="1689"/>
    <cellStyle name="%_Отчет о движении ден.средств (прямой и косвенный)_SVOD-Kolomenskoe_0309-swod-kolomenskoe-v4_CF_инвест_6 мес_2010" xfId="1690"/>
    <cellStyle name="%_Отчет о движении ден.средств (прямой и косвенный)_SVOD-Kolomenskoe_0309-swod-kolomenskoe-v4_MBKK_dec_2010_18_01_11_вер_1" xfId="1691"/>
    <cellStyle name="%_Отчет о движении ден.средств (прямой и косвенный)_SVOD-Kolomenskoe_0309-swod-kolomenskoe-v4_MBKK_jan_2011_08_02_11_вер_1" xfId="1692"/>
    <cellStyle name="%_Отчет о движении ден.средств (прямой и косвенный)_SVOD-Kolomenskoe_0309-swod-kolomenskoe-v4_MBKK_jule_2010_09_08_10_вер_1" xfId="1693"/>
    <cellStyle name="%_Отчет о движении ден.средств (прямой и косвенный)_SVOD-Kolomenskoe_0309-swod-kolomenskoe-v4_MBKK_nov_2010_09_12_10_вер_1" xfId="1694"/>
    <cellStyle name="%_Отчет о движении ден.средств (прямой и косвенный)_SVOD-Kolomenskoe_0309-swod-kolomenskoe-v4_MBKK_oct_2010_10_11_10_вер_1" xfId="1695"/>
    <cellStyle name="%_Отчет о движении ден.средств (прямой и косвенный)_SVOD-Kolomenskoe_0309-swod-kolomenskoe-v4_MBKK_sep_2010_05_10_10_вер_1" xfId="1696"/>
    <cellStyle name="%_Отчет о движении ден.средств (прямой и косвенный)_SVOD-Kolomenskoe_0309-swod-kolomenskoe-v4_MBKK_sept_2010_03_08_10_вер_2" xfId="1697"/>
    <cellStyle name="%_Отчет о движении ден.средств (прямой и косвенный)_SVOD-Kolomenskoe_0309-swod-kolomenskoe-v4_Xl0000000" xfId="1698"/>
    <cellStyle name="%_Отчет о движении ден.средств (прямой и косвенный)_SVOD-Kolomenskoe_0309-swod-kolomenskoe-v4_МБКК -план развития 2009-хлеб с перевзвешенным падением-3" xfId="1699"/>
    <cellStyle name="%_Отчет о движении ден.средств (прямой и косвенный)_SVOD-Kolomenskoe_0309-swod-kolomenskoe-v4_Прогноз_BS_PL_CF_v5" xfId="1700"/>
    <cellStyle name="%_Отчет о движении ден.средств (прямой и косвенный)_SVOD-Kolomenskoe_0309-swod-kolomenskoe-v4_Сырье-проценты" xfId="1701"/>
    <cellStyle name="%_Отчет о движении ден.средств (прямой и косвенный)_SVOD-Kolomenskoe_0309-swod-kolomenskoe-v4_Таблица расходов" xfId="1702"/>
    <cellStyle name="%_Отчет о движении ден.средств (прямой и косвенный)_SVOD-Kolomenskoe_0309-swod-kolomenskoe-v4_Торты" xfId="1703"/>
    <cellStyle name="%_Отчет о движении ден.средств (прямой и косвенный)_SVOD-Kolomenskoe_0309-swod-kolomenskoe-v4_Формат" xfId="1704"/>
    <cellStyle name="%_Отчет о движении ден.средств (прямой и косвенный)_SVOD-Kolomenskoe_0409-swod-kolomenskoe-v2" xfId="1705"/>
    <cellStyle name="%_Отчет о движении ден.средств (прямой и косвенный)_SVOD-Kolomenskoe_0409-swod-kolomenskoe-v2 2" xfId="1706"/>
    <cellStyle name="%_Отчет о движении ден.средств (прямой и косвенный)_SVOD-Kolomenskoe_0409-swod-kolomenskoe-v2_CF_без реорганизации" xfId="1707"/>
    <cellStyle name="%_Отчет о движении ден.средств (прямой и косвенный)_SVOD-Kolomenskoe_0409-swod-kolomenskoe-v2_MBKK_dec_2010_18_01_11_вер_1" xfId="1708"/>
    <cellStyle name="%_Отчет о движении ден.средств (прямой и косвенный)_SVOD-Kolomenskoe_0409-swod-kolomenskoe-v2_MBKK_jan_2011_08_02_11_вер_1" xfId="1709"/>
    <cellStyle name="%_Отчет о движении ден.средств (прямой и косвенный)_SVOD-Kolomenskoe_0409-swod-kolomenskoe-v2_MBKK_jule_2010_09_08_10_вер_1" xfId="1710"/>
    <cellStyle name="%_Отчет о движении ден.средств (прямой и косвенный)_SVOD-Kolomenskoe_0409-swod-kolomenskoe-v2_MBKK_nov_2010_09_12_10_вер_1" xfId="1711"/>
    <cellStyle name="%_Отчет о движении ден.средств (прямой и косвенный)_SVOD-Kolomenskoe_0409-swod-kolomenskoe-v2_MBKK_oct_2010_10_11_10_вер_1" xfId="1712"/>
    <cellStyle name="%_Отчет о движении ден.средств (прямой и косвенный)_SVOD-Kolomenskoe_0409-swod-kolomenskoe-v2_MBKK_sep_2010_05_10_10_вер_1" xfId="1713"/>
    <cellStyle name="%_Отчет о движении ден.средств (прямой и косвенный)_SVOD-Kolomenskoe_0409-swod-kolomenskoe-v2_MBKK_sept_2010_03_08_10_вер_2" xfId="1714"/>
    <cellStyle name="%_Отчет о движении ден.средств (прямой и косвенный)_SVOD-Kolomenskoe_0409-swod-kolomenskoe-v2_PL_прогноз" xfId="1715"/>
    <cellStyle name="%_Отчет о движении ден.средств (прямой и косвенный)_SVOD-Kolomenskoe_0409-swod-kolomenskoe-v2_Xl0000000" xfId="1716"/>
    <cellStyle name="%_Отчет о движении ден.средств (прямой и косвенный)_SVOD-Kolomenskoe_0409-swod-kolomenskoe-v2_Таблица расходов" xfId="1717"/>
    <cellStyle name="%_Отчет о движении ден.средств (прямой и косвенный)_SVOD-Kolomenskoe_0409-swod-kolomenskoe-v2_Формат" xfId="1718"/>
    <cellStyle name="%_Отчет о движении ден.средств (прямой и косвенный)_SVOD-Kolomenskoe_0609-budge-Kolomenskoe-v6_final" xfId="1719"/>
    <cellStyle name="%_Отчет о движении ден.средств (прямой и косвенный)_SVOD-Kolomenskoe_0609-swod-kolomenskoe-v1" xfId="1720"/>
    <cellStyle name="%_Отчет о движении ден.средств (прямой и косвенный)_SVOD-Kolomenskoe_CF февраль (Факт полный месяц)" xfId="1721"/>
    <cellStyle name="%_Отчет о движении ден.средств (прямой и косвенный)_SVOD-Kolomenskoe_CF февраль (Факт полный месяц) 2" xfId="1722"/>
    <cellStyle name="%_Отчет о движении ден.средств (прямой и косвенный)_SVOD-Kolomenskoe_CF февраль (Факт полный месяц)_CF_без реорганизации" xfId="1723"/>
    <cellStyle name="%_Отчет о движении ден.средств (прямой и косвенный)_SVOD-Kolomenskoe_CF февраль (Факт полный месяц)_CF_инвест_6 мес_2010" xfId="1724"/>
    <cellStyle name="%_Отчет о движении ден.средств (прямой и косвенный)_SVOD-Kolomenskoe_CF февраль (Факт полный месяц)_MBKK_dec_2010_18_01_11_вер_1" xfId="1725"/>
    <cellStyle name="%_Отчет о движении ден.средств (прямой и косвенный)_SVOD-Kolomenskoe_CF февраль (Факт полный месяц)_MBKK_jan_2011_08_02_11_вер_1" xfId="1726"/>
    <cellStyle name="%_Отчет о движении ден.средств (прямой и косвенный)_SVOD-Kolomenskoe_CF февраль (Факт полный месяц)_MBKK_jule_2010_09_08_10_вер_1" xfId="1727"/>
    <cellStyle name="%_Отчет о движении ден.средств (прямой и косвенный)_SVOD-Kolomenskoe_CF февраль (Факт полный месяц)_MBKK_nov_2010_09_12_10_вер_1" xfId="1728"/>
    <cellStyle name="%_Отчет о движении ден.средств (прямой и косвенный)_SVOD-Kolomenskoe_CF февраль (Факт полный месяц)_MBKK_oct_2010_10_11_10_вер_1" xfId="1729"/>
    <cellStyle name="%_Отчет о движении ден.средств (прямой и косвенный)_SVOD-Kolomenskoe_CF февраль (Факт полный месяц)_MBKK_sep_2010_05_10_10_вер_1" xfId="1730"/>
    <cellStyle name="%_Отчет о движении ден.средств (прямой и косвенный)_SVOD-Kolomenskoe_CF февраль (Факт полный месяц)_MBKK_sept_2010_03_08_10_вер_2" xfId="1731"/>
    <cellStyle name="%_Отчет о движении ден.средств (прямой и косвенный)_SVOD-Kolomenskoe_CF февраль (Факт полный месяц)_Xl0000000" xfId="1732"/>
    <cellStyle name="%_Отчет о движении ден.средств (прямой и косвенный)_SVOD-Kolomenskoe_CF февраль (Факт полный месяц)_МБКК -план развития 2009-хлеб с перевзвешенным падением-3" xfId="1733"/>
    <cellStyle name="%_Отчет о движении ден.средств (прямой и косвенный)_SVOD-Kolomenskoe_CF февраль (Факт полный месяц)_Прогноз_BS_PL_CF_v5" xfId="1734"/>
    <cellStyle name="%_Отчет о движении ден.средств (прямой и косвенный)_SVOD-Kolomenskoe_CF февраль (Факт полный месяц)_Сырье-проценты" xfId="1735"/>
    <cellStyle name="%_Отчет о движении ден.средств (прямой и косвенный)_SVOD-Kolomenskoe_CF февраль (Факт полный месяц)_Таблица расходов" xfId="1736"/>
    <cellStyle name="%_Отчет о движении ден.средств (прямой и косвенный)_SVOD-Kolomenskoe_CF февраль (Факт полный месяц)_Торты" xfId="1737"/>
    <cellStyle name="%_Отчет о движении ден.средств (прямой и косвенный)_SVOD-Kolomenskoe_CF февраль (Факт полный месяц)_Формат" xfId="1738"/>
    <cellStyle name="%_Отчет о движении ден.средств (прямой и косвенный)_SVOD-Kolomenskoe_CF- январь 2009 NEW" xfId="1739"/>
    <cellStyle name="%_Отчет о движении ден.средств (прямой и косвенный)_SVOD-Kolomenskoe_CF- январь 2009 NEW 2" xfId="1740"/>
    <cellStyle name="%_Отчет о движении ден.средств (прямой и косвенный)_SVOD-Kolomenskoe_CF- январь 2009 NEW_0209-коломенское(v1)" xfId="1741"/>
    <cellStyle name="%_Отчет о движении ден.средств (прямой и косвенный)_SVOD-Kolomenskoe_CF- январь 2009 NEW_0209-коломенское(v1) 2" xfId="1742"/>
    <cellStyle name="%_Отчет о движении ден.средств (прямой и косвенный)_SVOD-Kolomenskoe_CF- январь 2009 NEW_0209-коломенское(v1)_CF_без реорганизации" xfId="1743"/>
    <cellStyle name="%_Отчет о движении ден.средств (прямой и косвенный)_SVOD-Kolomenskoe_CF- январь 2009 NEW_0209-коломенское(v1)_CF_инвест_6 мес_2010" xfId="1744"/>
    <cellStyle name="%_Отчет о движении ден.средств (прямой и косвенный)_SVOD-Kolomenskoe_CF- январь 2009 NEW_0209-коломенское(v1)_MBKK_dec_2010_18_01_11_вер_1" xfId="1745"/>
    <cellStyle name="%_Отчет о движении ден.средств (прямой и косвенный)_SVOD-Kolomenskoe_CF- январь 2009 NEW_0209-коломенское(v1)_MBKK_jan_2011_08_02_11_вер_1" xfId="1746"/>
    <cellStyle name="%_Отчет о движении ден.средств (прямой и косвенный)_SVOD-Kolomenskoe_CF- январь 2009 NEW_0209-коломенское(v1)_MBKK_jule_2010_09_08_10_вер_1" xfId="1747"/>
    <cellStyle name="%_Отчет о движении ден.средств (прямой и косвенный)_SVOD-Kolomenskoe_CF- январь 2009 NEW_0209-коломенское(v1)_MBKK_nov_2010_09_12_10_вер_1" xfId="1748"/>
    <cellStyle name="%_Отчет о движении ден.средств (прямой и косвенный)_SVOD-Kolomenskoe_CF- январь 2009 NEW_0209-коломенское(v1)_MBKK_oct_2010_10_11_10_вер_1" xfId="1749"/>
    <cellStyle name="%_Отчет о движении ден.средств (прямой и косвенный)_SVOD-Kolomenskoe_CF- январь 2009 NEW_0209-коломенское(v1)_MBKK_sep_2010_05_10_10_вер_1" xfId="1750"/>
    <cellStyle name="%_Отчет о движении ден.средств (прямой и косвенный)_SVOD-Kolomenskoe_CF- январь 2009 NEW_0209-коломенское(v1)_MBKK_sept_2010_03_08_10_вер_2" xfId="1751"/>
    <cellStyle name="%_Отчет о движении ден.средств (прямой и косвенный)_SVOD-Kolomenskoe_CF- январь 2009 NEW_0209-коломенское(v1)_Xl0000000" xfId="1752"/>
    <cellStyle name="%_Отчет о движении ден.средств (прямой и косвенный)_SVOD-Kolomenskoe_CF- январь 2009 NEW_0209-коломенское(v1)_МБКК -план развития 2009-хлеб с перевзвешенным падением-3" xfId="1753"/>
    <cellStyle name="%_Отчет о движении ден.средств (прямой и косвенный)_SVOD-Kolomenskoe_CF- январь 2009 NEW_0209-коломенское(v1)_Прогноз_BS_PL_CF_v5" xfId="1754"/>
    <cellStyle name="%_Отчет о движении ден.средств (прямой и косвенный)_SVOD-Kolomenskoe_CF- январь 2009 NEW_0209-коломенское(v1)_Сырье-проценты" xfId="1755"/>
    <cellStyle name="%_Отчет о движении ден.средств (прямой и косвенный)_SVOD-Kolomenskoe_CF- январь 2009 NEW_0209-коломенское(v1)_Таблица расходов" xfId="1756"/>
    <cellStyle name="%_Отчет о движении ден.средств (прямой и косвенный)_SVOD-Kolomenskoe_CF- январь 2009 NEW_0209-коломенское(v1)_Торты" xfId="1757"/>
    <cellStyle name="%_Отчет о движении ден.средств (прямой и косвенный)_SVOD-Kolomenskoe_CF- январь 2009 NEW_0209-коломенское(v1)_Формат" xfId="1758"/>
    <cellStyle name="%_Отчет о движении ден.средств (прямой и косвенный)_SVOD-Kolomenskoe_CF- январь 2009 NEW_0309-swod-kolomenskoe-v18" xfId="1759"/>
    <cellStyle name="%_Отчет о движении ден.средств (прямой и косвенный)_SVOD-Kolomenskoe_CF- январь 2009 NEW_0309-swod-kolomenskoe-v18 2" xfId="1760"/>
    <cellStyle name="%_Отчет о движении ден.средств (прямой и косвенный)_SVOD-Kolomenskoe_CF- январь 2009 NEW_0309-swod-kolomenskoe-v18_CF_без реорганизации" xfId="1761"/>
    <cellStyle name="%_Отчет о движении ден.средств (прямой и косвенный)_SVOD-Kolomenskoe_CF- январь 2009 NEW_0309-swod-kolomenskoe-v18_MBKK_dec_2010_18_01_11_вер_1" xfId="1762"/>
    <cellStyle name="%_Отчет о движении ден.средств (прямой и косвенный)_SVOD-Kolomenskoe_CF- январь 2009 NEW_0309-swod-kolomenskoe-v18_MBKK_jan_2011_08_02_11_вер_1" xfId="1763"/>
    <cellStyle name="%_Отчет о движении ден.средств (прямой и косвенный)_SVOD-Kolomenskoe_CF- январь 2009 NEW_0309-swod-kolomenskoe-v18_MBKK_jule_2010_09_08_10_вер_1" xfId="1764"/>
    <cellStyle name="%_Отчет о движении ден.средств (прямой и косвенный)_SVOD-Kolomenskoe_CF- январь 2009 NEW_0309-swod-kolomenskoe-v18_MBKK_nov_2010_09_12_10_вер_1" xfId="1765"/>
    <cellStyle name="%_Отчет о движении ден.средств (прямой и косвенный)_SVOD-Kolomenskoe_CF- январь 2009 NEW_0309-swod-kolomenskoe-v18_MBKK_oct_2010_10_11_10_вер_1" xfId="1766"/>
    <cellStyle name="%_Отчет о движении ден.средств (прямой и косвенный)_SVOD-Kolomenskoe_CF- январь 2009 NEW_0309-swod-kolomenskoe-v18_MBKK_sep_2010_05_10_10_вер_1" xfId="1767"/>
    <cellStyle name="%_Отчет о движении ден.средств (прямой и косвенный)_SVOD-Kolomenskoe_CF- январь 2009 NEW_0309-swod-kolomenskoe-v18_MBKK_sept_2010_03_08_10_вер_2" xfId="1768"/>
    <cellStyle name="%_Отчет о движении ден.средств (прямой и косвенный)_SVOD-Kolomenskoe_CF- январь 2009 NEW_0309-swod-kolomenskoe-v18_PL_прогноз" xfId="1769"/>
    <cellStyle name="%_Отчет о движении ден.средств (прямой и косвенный)_SVOD-Kolomenskoe_CF- январь 2009 NEW_0309-swod-kolomenskoe-v18_Xl0000000" xfId="1770"/>
    <cellStyle name="%_Отчет о движении ден.средств (прямой и косвенный)_SVOD-Kolomenskoe_CF- январь 2009 NEW_0309-swod-kolomenskoe-v18_Таблица расходов" xfId="1771"/>
    <cellStyle name="%_Отчет о движении ден.средств (прямой и косвенный)_SVOD-Kolomenskoe_CF- январь 2009 NEW_0309-swod-kolomenskoe-v18_Формат" xfId="1772"/>
    <cellStyle name="%_Отчет о движении ден.средств (прямой и косвенный)_SVOD-Kolomenskoe_CF- январь 2009 NEW_0409-swod-kolomenskoe-v2" xfId="1773"/>
    <cellStyle name="%_Отчет о движении ден.средств (прямой и косвенный)_SVOD-Kolomenskoe_CF- январь 2009 NEW_0409-swod-kolomenskoe-v2 2" xfId="1774"/>
    <cellStyle name="%_Отчет о движении ден.средств (прямой и косвенный)_SVOD-Kolomenskoe_CF- январь 2009 NEW_0409-swod-kolomenskoe-v2_CF_без реорганизации" xfId="1775"/>
    <cellStyle name="%_Отчет о движении ден.средств (прямой и косвенный)_SVOD-Kolomenskoe_CF- январь 2009 NEW_0409-swod-kolomenskoe-v2_MBKK_dec_2010_18_01_11_вер_1" xfId="1776"/>
    <cellStyle name="%_Отчет о движении ден.средств (прямой и косвенный)_SVOD-Kolomenskoe_CF- январь 2009 NEW_0409-swod-kolomenskoe-v2_MBKK_jan_2011_08_02_11_вер_1" xfId="1777"/>
    <cellStyle name="%_Отчет о движении ден.средств (прямой и косвенный)_SVOD-Kolomenskoe_CF- январь 2009 NEW_0409-swod-kolomenskoe-v2_MBKK_jule_2010_09_08_10_вер_1" xfId="1778"/>
    <cellStyle name="%_Отчет о движении ден.средств (прямой и косвенный)_SVOD-Kolomenskoe_CF- январь 2009 NEW_0409-swod-kolomenskoe-v2_MBKK_nov_2010_09_12_10_вер_1" xfId="1779"/>
    <cellStyle name="%_Отчет о движении ден.средств (прямой и косвенный)_SVOD-Kolomenskoe_CF- январь 2009 NEW_0409-swod-kolomenskoe-v2_MBKK_oct_2010_10_11_10_вер_1" xfId="1780"/>
    <cellStyle name="%_Отчет о движении ден.средств (прямой и косвенный)_SVOD-Kolomenskoe_CF- январь 2009 NEW_0409-swod-kolomenskoe-v2_MBKK_sep_2010_05_10_10_вер_1" xfId="1781"/>
    <cellStyle name="%_Отчет о движении ден.средств (прямой и косвенный)_SVOD-Kolomenskoe_CF- январь 2009 NEW_0409-swod-kolomenskoe-v2_MBKK_sept_2010_03_08_10_вер_2" xfId="1782"/>
    <cellStyle name="%_Отчет о движении ден.средств (прямой и косвенный)_SVOD-Kolomenskoe_CF- январь 2009 NEW_0409-swod-kolomenskoe-v2_PL_прогноз" xfId="1783"/>
    <cellStyle name="%_Отчет о движении ден.средств (прямой и косвенный)_SVOD-Kolomenskoe_CF- январь 2009 NEW_0409-swod-kolomenskoe-v2_Xl0000000" xfId="1784"/>
    <cellStyle name="%_Отчет о движении ден.средств (прямой и косвенный)_SVOD-Kolomenskoe_CF- январь 2009 NEW_0409-swod-kolomenskoe-v2_Таблица расходов" xfId="1785"/>
    <cellStyle name="%_Отчет о движении ден.средств (прямой и косвенный)_SVOD-Kolomenskoe_CF- январь 2009 NEW_0409-swod-kolomenskoe-v2_Формат" xfId="1786"/>
    <cellStyle name="%_Отчет о движении ден.средств (прямой и косвенный)_SVOD-Kolomenskoe_CF- январь 2009 NEW_CF_без реорганизации" xfId="1787"/>
    <cellStyle name="%_Отчет о движении ден.средств (прямой и косвенный)_SVOD-Kolomenskoe_CF- январь 2009 NEW_CF_инвест_6 мес_2010" xfId="1788"/>
    <cellStyle name="%_Отчет о движении ден.средств (прямой и косвенный)_SVOD-Kolomenskoe_CF- январь 2009 NEW_MBKK_dec_2010_18_01_11_вер_1" xfId="1789"/>
    <cellStyle name="%_Отчет о движении ден.средств (прямой и косвенный)_SVOD-Kolomenskoe_CF- январь 2009 NEW_MBKK_jan_2011_08_02_11_вер_1" xfId="1790"/>
    <cellStyle name="%_Отчет о движении ден.средств (прямой и косвенный)_SVOD-Kolomenskoe_CF- январь 2009 NEW_MBKK_jule_2010_09_08_10_вер_1" xfId="1791"/>
    <cellStyle name="%_Отчет о движении ден.средств (прямой и косвенный)_SVOD-Kolomenskoe_CF- январь 2009 NEW_MBKK_nov_2010_09_12_10_вер_1" xfId="1792"/>
    <cellStyle name="%_Отчет о движении ден.средств (прямой и косвенный)_SVOD-Kolomenskoe_CF- январь 2009 NEW_MBKK_oct_2010_10_11_10_вер_1" xfId="1793"/>
    <cellStyle name="%_Отчет о движении ден.средств (прямой и косвенный)_SVOD-Kolomenskoe_CF- январь 2009 NEW_MBKK_sep_2010_05_10_10_вер_1" xfId="1794"/>
    <cellStyle name="%_Отчет о движении ден.средств (прямой и косвенный)_SVOD-Kolomenskoe_CF- январь 2009 NEW_MBKK_sept_2010_03_08_10_вер_2" xfId="1795"/>
    <cellStyle name="%_Отчет о движении ден.средств (прямой и косвенный)_SVOD-Kolomenskoe_CF- январь 2009 NEW_PL апрель 2009" xfId="1796"/>
    <cellStyle name="%_Отчет о движении ден.средств (прямой и косвенный)_SVOD-Kolomenskoe_CF- январь 2009 NEW_PL апрель 2009 2" xfId="1797"/>
    <cellStyle name="%_Отчет о движении ден.средств (прямой и косвенный)_SVOD-Kolomenskoe_CF- январь 2009 NEW_PL апрель 2009_CF_без реорганизации" xfId="1798"/>
    <cellStyle name="%_Отчет о движении ден.средств (прямой и косвенный)_SVOD-Kolomenskoe_CF- январь 2009 NEW_PL апрель 2009_MBKK_dec_2010_18_01_11_вер_1" xfId="1799"/>
    <cellStyle name="%_Отчет о движении ден.средств (прямой и косвенный)_SVOD-Kolomenskoe_CF- январь 2009 NEW_PL апрель 2009_MBKK_jan_2011_08_02_11_вер_1" xfId="1800"/>
    <cellStyle name="%_Отчет о движении ден.средств (прямой и косвенный)_SVOD-Kolomenskoe_CF- январь 2009 NEW_PL апрель 2009_MBKK_jule_2010_09_08_10_вер_1" xfId="1801"/>
    <cellStyle name="%_Отчет о движении ден.средств (прямой и косвенный)_SVOD-Kolomenskoe_CF- январь 2009 NEW_PL апрель 2009_MBKK_nov_2010_09_12_10_вер_1" xfId="1802"/>
    <cellStyle name="%_Отчет о движении ден.средств (прямой и косвенный)_SVOD-Kolomenskoe_CF- январь 2009 NEW_PL апрель 2009_MBKK_oct_2010_10_11_10_вер_1" xfId="1803"/>
    <cellStyle name="%_Отчет о движении ден.средств (прямой и косвенный)_SVOD-Kolomenskoe_CF- январь 2009 NEW_PL апрель 2009_MBKK_sep_2010_05_10_10_вер_1" xfId="1804"/>
    <cellStyle name="%_Отчет о движении ден.средств (прямой и косвенный)_SVOD-Kolomenskoe_CF- январь 2009 NEW_PL апрель 2009_MBKK_sept_2010_03_08_10_вер_2" xfId="1805"/>
    <cellStyle name="%_Отчет о движении ден.средств (прямой и косвенный)_SVOD-Kolomenskoe_CF- январь 2009 NEW_PL апрель 2009_PL_прогноз" xfId="1806"/>
    <cellStyle name="%_Отчет о движении ден.средств (прямой и косвенный)_SVOD-Kolomenskoe_CF- январь 2009 NEW_PL апрель 2009_Xl0000000" xfId="1807"/>
    <cellStyle name="%_Отчет о движении ден.средств (прямой и косвенный)_SVOD-Kolomenskoe_CF- январь 2009 NEW_PL апрель 2009_Таблица расходов" xfId="1808"/>
    <cellStyle name="%_Отчет о движении ден.средств (прямой и косвенный)_SVOD-Kolomenskoe_CF- январь 2009 NEW_PL апрель 2009_Формат" xfId="1809"/>
    <cellStyle name="%_Отчет о движении ден.средств (прямой и косвенный)_SVOD-Kolomenskoe_CF- январь 2009 NEW_PL март 2009 (ревижн)" xfId="1810"/>
    <cellStyle name="%_Отчет о движении ден.средств (прямой и косвенный)_SVOD-Kolomenskoe_CF- январь 2009 NEW_PL март 2009 (ревижн) 2" xfId="1811"/>
    <cellStyle name="%_Отчет о движении ден.средств (прямой и косвенный)_SVOD-Kolomenskoe_CF- январь 2009 NEW_PL март 2009 (ревижн)_CF_без реорганизации" xfId="1812"/>
    <cellStyle name="%_Отчет о движении ден.средств (прямой и косвенный)_SVOD-Kolomenskoe_CF- январь 2009 NEW_PL март 2009 (ревижн)_MBKK_dec_2010_18_01_11_вер_1" xfId="1813"/>
    <cellStyle name="%_Отчет о движении ден.средств (прямой и косвенный)_SVOD-Kolomenskoe_CF- январь 2009 NEW_PL март 2009 (ревижн)_MBKK_jan_2011_08_02_11_вер_1" xfId="1814"/>
    <cellStyle name="%_Отчет о движении ден.средств (прямой и косвенный)_SVOD-Kolomenskoe_CF- январь 2009 NEW_PL март 2009 (ревижн)_MBKK_jule_2010_09_08_10_вер_1" xfId="1815"/>
    <cellStyle name="%_Отчет о движении ден.средств (прямой и косвенный)_SVOD-Kolomenskoe_CF- январь 2009 NEW_PL март 2009 (ревижн)_MBKK_nov_2010_09_12_10_вер_1" xfId="1816"/>
    <cellStyle name="%_Отчет о движении ден.средств (прямой и косвенный)_SVOD-Kolomenskoe_CF- январь 2009 NEW_PL март 2009 (ревижн)_MBKK_oct_2010_10_11_10_вер_1" xfId="1817"/>
    <cellStyle name="%_Отчет о движении ден.средств (прямой и косвенный)_SVOD-Kolomenskoe_CF- январь 2009 NEW_PL март 2009 (ревижн)_MBKK_sep_2010_05_10_10_вер_1" xfId="1818"/>
    <cellStyle name="%_Отчет о движении ден.средств (прямой и косвенный)_SVOD-Kolomenskoe_CF- январь 2009 NEW_PL март 2009 (ревижн)_MBKK_sept_2010_03_08_10_вер_2" xfId="1819"/>
    <cellStyle name="%_Отчет о движении ден.средств (прямой и косвенный)_SVOD-Kolomenskoe_CF- январь 2009 NEW_PL март 2009 (ревижн)_PL_прогноз" xfId="1820"/>
    <cellStyle name="%_Отчет о движении ден.средств (прямой и косвенный)_SVOD-Kolomenskoe_CF- январь 2009 NEW_PL март 2009 (ревижн)_Xl0000000" xfId="1821"/>
    <cellStyle name="%_Отчет о движении ден.средств (прямой и косвенный)_SVOD-Kolomenskoe_CF- январь 2009 NEW_PL март 2009 (ревижн)_Таблица расходов" xfId="1822"/>
    <cellStyle name="%_Отчет о движении ден.средств (прямой и косвенный)_SVOD-Kolomenskoe_CF- январь 2009 NEW_PL март 2009 (ревижн)_Формат" xfId="1823"/>
    <cellStyle name="%_Отчет о движении ден.средств (прямой и косвенный)_SVOD-Kolomenskoe_CF- январь 2009 NEW_Xl0000000" xfId="1824"/>
    <cellStyle name="%_Отчет о движении ден.средств (прямой и косвенный)_SVOD-Kolomenskoe_CF- январь 2009 NEW_МБКК -план развития 2009-хлеб с перевзвешенным падением-3" xfId="1825"/>
    <cellStyle name="%_Отчет о движении ден.средств (прямой и косвенный)_SVOD-Kolomenskoe_CF- январь 2009 NEW_Прогноз_BS_PL_CF_v5" xfId="1826"/>
    <cellStyle name="%_Отчет о движении ден.средств (прямой и косвенный)_SVOD-Kolomenskoe_CF- январь 2009 NEW_Сводный отчет" xfId="1827"/>
    <cellStyle name="%_Отчет о движении ден.средств (прямой и косвенный)_SVOD-Kolomenskoe_CF- январь 2009 NEW_Сводный отчет 2" xfId="1828"/>
    <cellStyle name="%_Отчет о движении ден.средств (прямой и косвенный)_SVOD-Kolomenskoe_CF- январь 2009 NEW_Сводный отчет МБКК за май 2009 v2" xfId="1829"/>
    <cellStyle name="%_Отчет о движении ден.средств (прямой и косвенный)_SVOD-Kolomenskoe_CF- январь 2009 NEW_Сводный отчет МБКК за май 2009 v2 2" xfId="1830"/>
    <cellStyle name="%_Отчет о движении ден.средств (прямой и косвенный)_SVOD-Kolomenskoe_CF- январь 2009 NEW_Сводный_отчет_май_2009" xfId="1831"/>
    <cellStyle name="%_Отчет о движении ден.средств (прямой и косвенный)_SVOD-Kolomenskoe_CF- январь 2009 NEW_Сводный_отчет_май_2009 2" xfId="1832"/>
    <cellStyle name="%_Отчет о движении ден.средств (прямой и косвенный)_SVOD-Kolomenskoe_CF- январь 2009 NEW_Сводный_отчет_май_2009_CF_без реорганизации" xfId="1833"/>
    <cellStyle name="%_Отчет о движении ден.средств (прямой и косвенный)_SVOD-Kolomenskoe_CF- январь 2009 NEW_Сводный_отчет_май_2009_MBKK_dec_2010_18_01_11_вер_1" xfId="1834"/>
    <cellStyle name="%_Отчет о движении ден.средств (прямой и косвенный)_SVOD-Kolomenskoe_CF- январь 2009 NEW_Сводный_отчет_май_2009_MBKK_jan_2011_08_02_11_вер_1" xfId="1835"/>
    <cellStyle name="%_Отчет о движении ден.средств (прямой и косвенный)_SVOD-Kolomenskoe_CF- январь 2009 NEW_Сводный_отчет_май_2009_MBKK_jule_2010_09_08_10_вер_1" xfId="1836"/>
    <cellStyle name="%_Отчет о движении ден.средств (прямой и косвенный)_SVOD-Kolomenskoe_CF- январь 2009 NEW_Сводный_отчет_май_2009_MBKK_nov_2010_09_12_10_вер_1" xfId="1837"/>
    <cellStyle name="%_Отчет о движении ден.средств (прямой и косвенный)_SVOD-Kolomenskoe_CF- январь 2009 NEW_Сводный_отчет_май_2009_MBKK_oct_2010_10_11_10_вер_1" xfId="1838"/>
    <cellStyle name="%_Отчет о движении ден.средств (прямой и косвенный)_SVOD-Kolomenskoe_CF- январь 2009 NEW_Сводный_отчет_май_2009_MBKK_sep_2010_05_10_10_вер_1" xfId="1839"/>
    <cellStyle name="%_Отчет о движении ден.средств (прямой и косвенный)_SVOD-Kolomenskoe_CF- январь 2009 NEW_Сводный_отчет_май_2009_MBKK_sept_2010_03_08_10_вер_2" xfId="1840"/>
    <cellStyle name="%_Отчет о движении ден.средств (прямой и косвенный)_SVOD-Kolomenskoe_CF- январь 2009 NEW_Сводный_отчет_май_2009_PL_прогноз" xfId="1841"/>
    <cellStyle name="%_Отчет о движении ден.средств (прямой и косвенный)_SVOD-Kolomenskoe_CF- январь 2009 NEW_Сводный_отчет_май_2009_Xl0000000" xfId="1842"/>
    <cellStyle name="%_Отчет о движении ден.средств (прямой и косвенный)_SVOD-Kolomenskoe_CF- январь 2009 NEW_Сводный_отчет_май_2009_Таблица расходов" xfId="1843"/>
    <cellStyle name="%_Отчет о движении ден.средств (прямой и косвенный)_SVOD-Kolomenskoe_CF- январь 2009 NEW_Сводный_отчет_май_2009_Формат" xfId="1844"/>
    <cellStyle name="%_Отчет о движении ден.средств (прямой и косвенный)_SVOD-Kolomenskoe_CF- январь 2009 NEW_смайнекс PL0209" xfId="1845"/>
    <cellStyle name="%_Отчет о движении ден.средств (прямой и косвенный)_SVOD-Kolomenskoe_CF- январь 2009 NEW_смайнекс PL0209 2" xfId="1846"/>
    <cellStyle name="%_Отчет о движении ден.средств (прямой и косвенный)_SVOD-Kolomenskoe_CF- январь 2009 NEW_Сырье-проценты" xfId="1847"/>
    <cellStyle name="%_Отчет о движении ден.средств (прямой и косвенный)_SVOD-Kolomenskoe_CF- январь 2009 NEW_Таблица расходов" xfId="1848"/>
    <cellStyle name="%_Отчет о движении ден.средств (прямой и косвенный)_SVOD-Kolomenskoe_CF- январь 2009 NEW_Торты" xfId="1849"/>
    <cellStyle name="%_Отчет о движении ден.средств (прямой и косвенный)_SVOD-Kolomenskoe_CF- январь 2009 NEW_Формат" xfId="1850"/>
    <cellStyle name="%_Отчет о движении ден.средств (прямой и косвенный)_SVOD-Kolomenskoe_CF_без реорганизации" xfId="1851"/>
    <cellStyle name="%_Отчет о движении ден.средств (прямой и косвенный)_SVOD-Kolomenskoe_CF_инвест_6 мес_2010" xfId="1852"/>
    <cellStyle name="%_Отчет о движении ден.средств (прямой и косвенный)_SVOD-Kolomenskoe_margin-0409" xfId="1853"/>
    <cellStyle name="%_Отчет о движении ден.средств (прямой и косвенный)_SVOD-Kolomenskoe_margin-0409 2" xfId="1854"/>
    <cellStyle name="%_Отчет о движении ден.средств (прямой и косвенный)_SVOD-Kolomenskoe_margin-0409_CF_без реорганизации" xfId="1855"/>
    <cellStyle name="%_Отчет о движении ден.средств (прямой и косвенный)_SVOD-Kolomenskoe_margin-0409_MBKK_dec_2010_18_01_11_вер_1" xfId="1856"/>
    <cellStyle name="%_Отчет о движении ден.средств (прямой и косвенный)_SVOD-Kolomenskoe_margin-0409_MBKK_jan_2011_08_02_11_вер_1" xfId="1857"/>
    <cellStyle name="%_Отчет о движении ден.средств (прямой и косвенный)_SVOD-Kolomenskoe_margin-0409_MBKK_jule_2010_09_08_10_вер_1" xfId="1858"/>
    <cellStyle name="%_Отчет о движении ден.средств (прямой и косвенный)_SVOD-Kolomenskoe_margin-0409_MBKK_nov_2010_09_12_10_вер_1" xfId="1859"/>
    <cellStyle name="%_Отчет о движении ден.средств (прямой и косвенный)_SVOD-Kolomenskoe_margin-0409_MBKK_oct_2010_10_11_10_вер_1" xfId="1860"/>
    <cellStyle name="%_Отчет о движении ден.средств (прямой и косвенный)_SVOD-Kolomenskoe_margin-0409_MBKK_sep_2010_05_10_10_вер_1" xfId="1861"/>
    <cellStyle name="%_Отчет о движении ден.средств (прямой и косвенный)_SVOD-Kolomenskoe_margin-0409_MBKK_sept_2010_03_08_10_вер_2" xfId="1862"/>
    <cellStyle name="%_Отчет о движении ден.средств (прямой и косвенный)_SVOD-Kolomenskoe_margin-0409_PL_прогноз" xfId="1863"/>
    <cellStyle name="%_Отчет о движении ден.средств (прямой и косвенный)_SVOD-Kolomenskoe_margin-0409_Xl0000000" xfId="1864"/>
    <cellStyle name="%_Отчет о движении ден.средств (прямой и косвенный)_SVOD-Kolomenskoe_margin-0409_Таблица расходов" xfId="1865"/>
    <cellStyle name="%_Отчет о движении ден.средств (прямой и косвенный)_SVOD-Kolomenskoe_margin-0409_Формат" xfId="1866"/>
    <cellStyle name="%_Отчет о движении ден.средств (прямой и косвенный)_SVOD-Kolomenskoe_MBKK_dec_2010_18_01_11_вер_1" xfId="1867"/>
    <cellStyle name="%_Отчет о движении ден.средств (прямой и косвенный)_SVOD-Kolomenskoe_MBKK_jan_2011_08_02_11_вер_1" xfId="1868"/>
    <cellStyle name="%_Отчет о движении ден.средств (прямой и косвенный)_SVOD-Kolomenskoe_MBKK_jule_2010_09_08_10_вер_1" xfId="1869"/>
    <cellStyle name="%_Отчет о движении ден.средств (прямой и косвенный)_SVOD-Kolomenskoe_MBKK_nov_2010_09_12_10_вер_1" xfId="1870"/>
    <cellStyle name="%_Отчет о движении ден.средств (прямой и косвенный)_SVOD-Kolomenskoe_MBKK_oct_2010_10_11_10_вер_1" xfId="1871"/>
    <cellStyle name="%_Отчет о движении ден.средств (прямой и косвенный)_SVOD-Kolomenskoe_MBKK_sep_2010_05_10_10_вер_1" xfId="1872"/>
    <cellStyle name="%_Отчет о движении ден.средств (прямой и косвенный)_SVOD-Kolomenskoe_MBKK_sept_2010_03_08_10_вер_2" xfId="1873"/>
    <cellStyle name="%_Отчет о движении ден.средств (прямой и косвенный)_SVOD-Kolomenskoe_MBKKK-BP-2009-months-v18-project" xfId="1874"/>
    <cellStyle name="%_Отчет о движении ден.средств (прямой и косвенный)_SVOD-Kolomenskoe_MBKKK-BP-2009-months-v18-project 2" xfId="1875"/>
    <cellStyle name="%_Отчет о движении ден.средств (прямой и косвенный)_SVOD-Kolomenskoe_MBKKK-BP-2009-months-v19-project" xfId="1876"/>
    <cellStyle name="%_Отчет о движении ден.средств (прямой и косвенный)_SVOD-Kolomenskoe_MBKKK-BP-2009-months-v19-project 2" xfId="1877"/>
    <cellStyle name="%_Отчет о движении ден.средств (прямой и косвенный)_SVOD-Kolomenskoe_MBKKK-BP-2009-months-v20-project_2" xfId="1878"/>
    <cellStyle name="%_Отчет о движении ден.средств (прямой и косвенный)_SVOD-Kolomenskoe_MBKKK-BP-2009-months-v6-cash" xfId="1879"/>
    <cellStyle name="%_Отчет о движении ден.средств (прямой и косвенный)_SVOD-Kolomenskoe_MBKKK-BP-2009-months-v6-cash 2" xfId="1880"/>
    <cellStyle name="%_Отчет о движении ден.средств (прямой и косвенный)_SVOD-Kolomenskoe_PL" xfId="1881"/>
    <cellStyle name="%_Отчет о движении ден.средств (прямой и косвенный)_SVOD-Kolomenskoe_PL 2" xfId="1882"/>
    <cellStyle name="%_Отчет о движении ден.средств (прямой и косвенный)_SVOD-Kolomenskoe_PL апрель 2009" xfId="1883"/>
    <cellStyle name="%_Отчет о движении ден.средств (прямой и косвенный)_SVOD-Kolomenskoe_PL апрель 2009 2" xfId="1884"/>
    <cellStyle name="%_Отчет о движении ден.средств (прямой и косвенный)_SVOD-Kolomenskoe_PL апрель 2009_CF_без реорганизации" xfId="1885"/>
    <cellStyle name="%_Отчет о движении ден.средств (прямой и косвенный)_SVOD-Kolomenskoe_PL апрель 2009_MBKK_dec_2010_18_01_11_вер_1" xfId="1886"/>
    <cellStyle name="%_Отчет о движении ден.средств (прямой и косвенный)_SVOD-Kolomenskoe_PL апрель 2009_MBKK_jan_2011_08_02_11_вер_1" xfId="1887"/>
    <cellStyle name="%_Отчет о движении ден.средств (прямой и косвенный)_SVOD-Kolomenskoe_PL апрель 2009_MBKK_jule_2010_09_08_10_вер_1" xfId="1888"/>
    <cellStyle name="%_Отчет о движении ден.средств (прямой и косвенный)_SVOD-Kolomenskoe_PL апрель 2009_MBKK_nov_2010_09_12_10_вер_1" xfId="1889"/>
    <cellStyle name="%_Отчет о движении ден.средств (прямой и косвенный)_SVOD-Kolomenskoe_PL апрель 2009_MBKK_oct_2010_10_11_10_вер_1" xfId="1890"/>
    <cellStyle name="%_Отчет о движении ден.средств (прямой и косвенный)_SVOD-Kolomenskoe_PL апрель 2009_MBKK_sep_2010_05_10_10_вер_1" xfId="1891"/>
    <cellStyle name="%_Отчет о движении ден.средств (прямой и косвенный)_SVOD-Kolomenskoe_PL апрель 2009_MBKK_sept_2010_03_08_10_вер_2" xfId="1892"/>
    <cellStyle name="%_Отчет о движении ден.средств (прямой и косвенный)_SVOD-Kolomenskoe_PL апрель 2009_PL_прогноз" xfId="1893"/>
    <cellStyle name="%_Отчет о движении ден.средств (прямой и косвенный)_SVOD-Kolomenskoe_PL апрель 2009_Xl0000000" xfId="1894"/>
    <cellStyle name="%_Отчет о движении ден.средств (прямой и косвенный)_SVOD-Kolomenskoe_PL апрель 2009_Таблица расходов" xfId="1895"/>
    <cellStyle name="%_Отчет о движении ден.средств (прямой и косвенный)_SVOD-Kolomenskoe_PL апрель 2009_Формат" xfId="1896"/>
    <cellStyle name="%_Отчет о движении ден.средств (прямой и косвенный)_SVOD-Kolomenskoe_PL март 2009 (ревижн)" xfId="1897"/>
    <cellStyle name="%_Отчет о движении ден.средств (прямой и косвенный)_SVOD-Kolomenskoe_PL март 2009 (ревижн) 2" xfId="1898"/>
    <cellStyle name="%_Отчет о движении ден.средств (прямой и косвенный)_SVOD-Kolomenskoe_PL март 2009 (ревижн)_CF_без реорганизации" xfId="1899"/>
    <cellStyle name="%_Отчет о движении ден.средств (прямой и косвенный)_SVOD-Kolomenskoe_PL март 2009 (ревижн)_MBKK_dec_2010_18_01_11_вер_1" xfId="1900"/>
    <cellStyle name="%_Отчет о движении ден.средств (прямой и косвенный)_SVOD-Kolomenskoe_PL март 2009 (ревижн)_MBKK_jan_2011_08_02_11_вер_1" xfId="1901"/>
    <cellStyle name="%_Отчет о движении ден.средств (прямой и косвенный)_SVOD-Kolomenskoe_PL март 2009 (ревижн)_MBKK_jule_2010_09_08_10_вер_1" xfId="1902"/>
    <cellStyle name="%_Отчет о движении ден.средств (прямой и косвенный)_SVOD-Kolomenskoe_PL март 2009 (ревижн)_MBKK_nov_2010_09_12_10_вер_1" xfId="1903"/>
    <cellStyle name="%_Отчет о движении ден.средств (прямой и косвенный)_SVOD-Kolomenskoe_PL март 2009 (ревижн)_MBKK_oct_2010_10_11_10_вер_1" xfId="1904"/>
    <cellStyle name="%_Отчет о движении ден.средств (прямой и косвенный)_SVOD-Kolomenskoe_PL март 2009 (ревижн)_MBKK_sep_2010_05_10_10_вер_1" xfId="1905"/>
    <cellStyle name="%_Отчет о движении ден.средств (прямой и косвенный)_SVOD-Kolomenskoe_PL март 2009 (ревижн)_MBKK_sept_2010_03_08_10_вер_2" xfId="1906"/>
    <cellStyle name="%_Отчет о движении ден.средств (прямой и косвенный)_SVOD-Kolomenskoe_PL март 2009 (ревижн)_PL_прогноз" xfId="1907"/>
    <cellStyle name="%_Отчет о движении ден.средств (прямой и косвенный)_SVOD-Kolomenskoe_PL март 2009 (ревижн)_Xl0000000" xfId="1908"/>
    <cellStyle name="%_Отчет о движении ден.средств (прямой и косвенный)_SVOD-Kolomenskoe_PL март 2009 (ревижн)_Таблица расходов" xfId="1909"/>
    <cellStyle name="%_Отчет о движении ден.средств (прямой и косвенный)_SVOD-Kolomenskoe_PL март 2009 (ревижн)_Формат" xfId="1910"/>
    <cellStyle name="%_Отчет о движении ден.средств (прямой и косвенный)_SVOD-Kolomenskoe_PL февраль 2009" xfId="1911"/>
    <cellStyle name="%_Отчет о движении ден.средств (прямой и косвенный)_SVOD-Kolomenskoe_PL февраль 2009 2" xfId="1912"/>
    <cellStyle name="%_Отчет о движении ден.средств (прямой и косвенный)_SVOD-Kolomenskoe_PL февраль 2009_CF_без реорганизации" xfId="1913"/>
    <cellStyle name="%_Отчет о движении ден.средств (прямой и косвенный)_SVOD-Kolomenskoe_PL февраль 2009_CF_инвест_6 мес_2010" xfId="1914"/>
    <cellStyle name="%_Отчет о движении ден.средств (прямой и косвенный)_SVOD-Kolomenskoe_PL февраль 2009_MBKK_dec_2010_18_01_11_вер_1" xfId="1915"/>
    <cellStyle name="%_Отчет о движении ден.средств (прямой и косвенный)_SVOD-Kolomenskoe_PL февраль 2009_MBKK_jan_2011_08_02_11_вер_1" xfId="1916"/>
    <cellStyle name="%_Отчет о движении ден.средств (прямой и косвенный)_SVOD-Kolomenskoe_PL февраль 2009_MBKK_jule_2010_09_08_10_вер_1" xfId="1917"/>
    <cellStyle name="%_Отчет о движении ден.средств (прямой и косвенный)_SVOD-Kolomenskoe_PL февраль 2009_MBKK_nov_2010_09_12_10_вер_1" xfId="1918"/>
    <cellStyle name="%_Отчет о движении ден.средств (прямой и косвенный)_SVOD-Kolomenskoe_PL февраль 2009_MBKK_oct_2010_10_11_10_вер_1" xfId="1919"/>
    <cellStyle name="%_Отчет о движении ден.средств (прямой и косвенный)_SVOD-Kolomenskoe_PL февраль 2009_MBKK_sep_2010_05_10_10_вер_1" xfId="1920"/>
    <cellStyle name="%_Отчет о движении ден.средств (прямой и косвенный)_SVOD-Kolomenskoe_PL февраль 2009_MBKK_sept_2010_03_08_10_вер_2" xfId="1921"/>
    <cellStyle name="%_Отчет о движении ден.средств (прямой и косвенный)_SVOD-Kolomenskoe_PL февраль 2009_Xl0000000" xfId="1922"/>
    <cellStyle name="%_Отчет о движении ден.средств (прямой и косвенный)_SVOD-Kolomenskoe_PL февраль 2009_МБКК -план развития 2009-хлеб с перевзвешенным падением-3" xfId="1923"/>
    <cellStyle name="%_Отчет о движении ден.средств (прямой и косвенный)_SVOD-Kolomenskoe_PL февраль 2009_Прогноз_BS_PL_CF_v5" xfId="1924"/>
    <cellStyle name="%_Отчет о движении ден.средств (прямой и косвенный)_SVOD-Kolomenskoe_PL февраль 2009_Сырье-проценты" xfId="1925"/>
    <cellStyle name="%_Отчет о движении ден.средств (прямой и косвенный)_SVOD-Kolomenskoe_PL февраль 2009_Таблица расходов" xfId="1926"/>
    <cellStyle name="%_Отчет о движении ден.средств (прямой и косвенный)_SVOD-Kolomenskoe_PL февраль 2009_Торты" xfId="1927"/>
    <cellStyle name="%_Отчет о движении ден.средств (прямой и косвенный)_SVOD-Kolomenskoe_PL февраль 2009_Формат" xfId="1928"/>
    <cellStyle name="%_Отчет о движении ден.средств (прямой и косвенный)_SVOD-Kolomenskoe_SVOD 1108 MBKKK budget-act v6" xfId="1929"/>
    <cellStyle name="%_Отчет о движении ден.средств (прямой и косвенный)_SVOD-Kolomenskoe_SVOD 1108 MBKKK budget-act v6 2" xfId="1930"/>
    <cellStyle name="%_Отчет о движении ден.средств (прямой и косвенный)_SVOD-Kolomenskoe_SVOD 1108 MBKKK budget-act v6_0609-budge-Kolomenskoe-v6_final" xfId="1931"/>
    <cellStyle name="%_Отчет о движении ден.средств (прямой и косвенный)_SVOD-Kolomenskoe_SVOD 1108 MBKKK budget-act v6_0609-swod-kolomenskoe-v1" xfId="1932"/>
    <cellStyle name="%_Отчет о движении ден.средств (прямой и косвенный)_SVOD-Kolomenskoe_SVOD 1108 MBKKK budget-act v6_MBKKK-BP-2009-months-v20-project_2" xfId="1933"/>
    <cellStyle name="%_Отчет о движении ден.средств (прямой и косвенный)_SVOD-Kolomenskoe_SVOD 1108 MBKKK budget-act v6_Сырье-проценты" xfId="1934"/>
    <cellStyle name="%_Отчет о движении ден.средств (прямой и косвенный)_SVOD-Kolomenskoe_SVOD 1208 MBKKK budget-act v1" xfId="1935"/>
    <cellStyle name="%_Отчет о движении ден.средств (прямой и косвенный)_SVOD-Kolomenskoe_SVOD 1208 MBKKK budget-act v1 2" xfId="1936"/>
    <cellStyle name="%_Отчет о движении ден.средств (прямой и косвенный)_SVOD-Kolomenskoe_SVOD 1208 MBKKK budget-act v1_0609-budge-Kolomenskoe-v6_final" xfId="1937"/>
    <cellStyle name="%_Отчет о движении ден.средств (прямой и косвенный)_SVOD-Kolomenskoe_SVOD 1208 MBKKK budget-act v1_0609-swod-kolomenskoe-v1" xfId="1938"/>
    <cellStyle name="%_Отчет о движении ден.средств (прямой и косвенный)_SVOD-Kolomenskoe_SVOD 1208 MBKKK budget-act v1_MBKKK-BP-2009-months-v20-project_2" xfId="1939"/>
    <cellStyle name="%_Отчет о движении ден.средств (прямой и косвенный)_SVOD-Kolomenskoe_SVOD 1208 MBKKK budget-act v1_Сырье-проценты" xfId="1940"/>
    <cellStyle name="%_Отчет о движении ден.средств (прямой и косвенный)_SVOD-Kolomenskoe_Xl0000000" xfId="1941"/>
    <cellStyle name="%_Отчет о движении ден.средств (прямой и косвенный)_SVOD-Kolomenskoe_бюджет январь 2009г xls (3)" xfId="1942"/>
    <cellStyle name="%_Отчет о движении ден.средств (прямой и косвенный)_SVOD-Kolomenskoe_бюджет январь 2009г xls (3) 2" xfId="1943"/>
    <cellStyle name="%_Отчет о движении ден.средств (прямой и косвенный)_SVOD-Kolomenskoe_бюджет январь 2009г xls (3)_0609-budge-Kolomenskoe-v6_final" xfId="1944"/>
    <cellStyle name="%_Отчет о движении ден.средств (прямой и косвенный)_SVOD-Kolomenskoe_бюджет январь 2009г xls (3)_0609-swod-kolomenskoe-v1" xfId="1945"/>
    <cellStyle name="%_Отчет о движении ден.средств (прямой и косвенный)_SVOD-Kolomenskoe_бюджет январь 2009г xls (3)_MBKKK-BP-2009-months-v20-project_2" xfId="1946"/>
    <cellStyle name="%_Отчет о движении ден.средств (прямой и косвенный)_SVOD-Kolomenskoe_бюджет январь 2009г xls (3)_Сырье-проценты" xfId="1947"/>
    <cellStyle name="%_Отчет о движении ден.средств (прямой и косвенный)_SVOD-Kolomenskoe_Детский ассортимент_график входа" xfId="1948"/>
    <cellStyle name="%_Отчет о движении ден.средств (прямой и косвенный)_SVOD-Kolomenskoe_Детский ассортимент_Окупаемость версия" xfId="1949"/>
    <cellStyle name="%_Отчет о движении ден.средств (прямой и косвенный)_SVOD-Kolomenskoe_Копия SVOD 1208 MBKKK budget-act v2(с планом PL-январь)" xfId="1950"/>
    <cellStyle name="%_Отчет о движении ден.средств (прямой и косвенный)_SVOD-Kolomenskoe_Копия SVOD 1208 MBKKK budget-act v2(с планом PL-январь) 2" xfId="1951"/>
    <cellStyle name="%_Отчет о движении ден.средств (прямой и косвенный)_SVOD-Kolomenskoe_МБКК -план развития 2009-хлеб с перевзвешенным падением-3" xfId="1952"/>
    <cellStyle name="%_Отчет о движении ден.средств (прямой и косвенный)_SVOD-Kolomenskoe_Модель-2009 год" xfId="1953"/>
    <cellStyle name="%_Отчет о движении ден.средств (прямой и косвенный)_SVOD-Kolomenskoe_Модель-2009 год 2" xfId="1954"/>
    <cellStyle name="%_Отчет о движении ден.средств (прямой и косвенный)_SVOD-Kolomenskoe_Модель-2009 год_0609-budge-Kolomenskoe-v6_final" xfId="1955"/>
    <cellStyle name="%_Отчет о движении ден.средств (прямой и косвенный)_SVOD-Kolomenskoe_Модель-2009 год_0609-swod-kolomenskoe-v1" xfId="1956"/>
    <cellStyle name="%_Отчет о движении ден.средств (прямой и косвенный)_SVOD-Kolomenskoe_Модель-2009 год_MBKKK-BP-2009-months-v20-project_2" xfId="1957"/>
    <cellStyle name="%_Отчет о движении ден.средств (прямой и косвенный)_SVOD-Kolomenskoe_Модель-2009 год_Сырье-проценты" xfId="1958"/>
    <cellStyle name="%_Отчет о движении ден.средств (прямой и косвенный)_SVOD-Kolomenskoe_Объ" xfId="1959"/>
    <cellStyle name="%_Отчет о движении ден.средств (прямой и косвенный)_SVOD-Kolomenskoe_Объ 2" xfId="1960"/>
    <cellStyle name="%_Отчет о движении ден.средств (прямой и косвенный)_SVOD-Kolomenskoe_Оперплан_2010_13_01_2010_версия_10_уточн" xfId="1961"/>
    <cellStyle name="%_Отчет о движении ден.средств (прямой и косвенный)_SVOD-Kolomenskoe_Прогноз_BS_PL_CF_v5" xfId="1962"/>
    <cellStyle name="%_Отчет о движении ден.средств (прямой и косвенный)_SVOD-Kolomenskoe_Продажи" xfId="1963"/>
    <cellStyle name="%_Отчет о движении ден.средств (прямой и косвенный)_SVOD-Kolomenskoe_Продажи 2" xfId="1964"/>
    <cellStyle name="%_Отчет о движении ден.средств (прямой и косвенный)_SVOD-Kolomenskoe_Продажи_CF_без реорганизации" xfId="1965"/>
    <cellStyle name="%_Отчет о движении ден.средств (прямой и косвенный)_SVOD-Kolomenskoe_Продажи_CF_инвест_6 мес_2010" xfId="1966"/>
    <cellStyle name="%_Отчет о движении ден.средств (прямой и косвенный)_SVOD-Kolomenskoe_Продажи_MBKK_dec_2010_18_01_11_вер_1" xfId="1967"/>
    <cellStyle name="%_Отчет о движении ден.средств (прямой и косвенный)_SVOD-Kolomenskoe_Продажи_MBKK_jan_2011_08_02_11_вер_1" xfId="1968"/>
    <cellStyle name="%_Отчет о движении ден.средств (прямой и косвенный)_SVOD-Kolomenskoe_Продажи_MBKK_jule_2010_09_08_10_вер_1" xfId="1969"/>
    <cellStyle name="%_Отчет о движении ден.средств (прямой и косвенный)_SVOD-Kolomenskoe_Продажи_MBKK_nov_2010_09_12_10_вер_1" xfId="1970"/>
    <cellStyle name="%_Отчет о движении ден.средств (прямой и косвенный)_SVOD-Kolomenskoe_Продажи_MBKK_oct_2010_10_11_10_вер_1" xfId="1971"/>
    <cellStyle name="%_Отчет о движении ден.средств (прямой и косвенный)_SVOD-Kolomenskoe_Продажи_MBKK_sep_2010_05_10_10_вер_1" xfId="1972"/>
    <cellStyle name="%_Отчет о движении ден.средств (прямой и косвенный)_SVOD-Kolomenskoe_Продажи_MBKK_sept_2010_03_08_10_вер_2" xfId="1973"/>
    <cellStyle name="%_Отчет о движении ден.средств (прямой и косвенный)_SVOD-Kolomenskoe_Продажи_Xl0000000" xfId="1974"/>
    <cellStyle name="%_Отчет о движении ден.средств (прямой и косвенный)_SVOD-Kolomenskoe_Продажи_МБКК -план развития 2009-хлеб с перевзвешенным падением-3" xfId="1975"/>
    <cellStyle name="%_Отчет о движении ден.средств (прямой и косвенный)_SVOD-Kolomenskoe_Продажи_Прогноз_BS_PL_CF_v5" xfId="1976"/>
    <cellStyle name="%_Отчет о движении ден.средств (прямой и косвенный)_SVOD-Kolomenskoe_Продажи_Сырье-проценты" xfId="1977"/>
    <cellStyle name="%_Отчет о движении ден.средств (прямой и косвенный)_SVOD-Kolomenskoe_Продажи_Таблица расходов" xfId="1978"/>
    <cellStyle name="%_Отчет о движении ден.средств (прямой и косвенный)_SVOD-Kolomenskoe_Продажи_Торты" xfId="1979"/>
    <cellStyle name="%_Отчет о движении ден.средств (прямой и косвенный)_SVOD-Kolomenskoe_Продажи_Формат" xfId="1980"/>
    <cellStyle name="%_Отчет о движении ден.средств (прямой и косвенный)_SVOD-Kolomenskoe_Сводный отчет" xfId="1981"/>
    <cellStyle name="%_Отчет о движении ден.средств (прямой и косвенный)_SVOD-Kolomenskoe_Сводный отчет 2" xfId="1982"/>
    <cellStyle name="%_Отчет о движении ден.средств (прямой и косвенный)_SVOD-Kolomenskoe_Сводный отчет МБКК за май 2009 v2" xfId="1983"/>
    <cellStyle name="%_Отчет о движении ден.средств (прямой и косвенный)_SVOD-Kolomenskoe_Сводный отчет МБКК за май 2009 v2 2" xfId="1984"/>
    <cellStyle name="%_Отчет о движении ден.средств (прямой и косвенный)_SVOD-Kolomenskoe_Сводный отчет МБКК_05 02 09(правка)" xfId="1985"/>
    <cellStyle name="%_Отчет о движении ден.средств (прямой и косвенный)_SVOD-Kolomenskoe_Сводный отчет МБКК_05 02 09(правка) 2" xfId="1986"/>
    <cellStyle name="%_Отчет о движении ден.средств (прямой и косвенный)_SVOD-Kolomenskoe_Сводный_отчет_май_2009" xfId="1987"/>
    <cellStyle name="%_Отчет о движении ден.средств (прямой и косвенный)_SVOD-Kolomenskoe_Сводный_отчет_май_2009 2" xfId="1988"/>
    <cellStyle name="%_Отчет о движении ден.средств (прямой и косвенный)_SVOD-Kolomenskoe_Сводный_отчет_май_2009_CF_без реорганизации" xfId="1989"/>
    <cellStyle name="%_Отчет о движении ден.средств (прямой и косвенный)_SVOD-Kolomenskoe_Сводный_отчет_май_2009_MBKK_dec_2010_18_01_11_вер_1" xfId="1990"/>
    <cellStyle name="%_Отчет о движении ден.средств (прямой и косвенный)_SVOD-Kolomenskoe_Сводный_отчет_май_2009_MBKK_jan_2011_08_02_11_вер_1" xfId="1991"/>
    <cellStyle name="%_Отчет о движении ден.средств (прямой и косвенный)_SVOD-Kolomenskoe_Сводный_отчет_май_2009_MBKK_jule_2010_09_08_10_вер_1" xfId="1992"/>
    <cellStyle name="%_Отчет о движении ден.средств (прямой и косвенный)_SVOD-Kolomenskoe_Сводный_отчет_май_2009_MBKK_nov_2010_09_12_10_вер_1" xfId="1993"/>
    <cellStyle name="%_Отчет о движении ден.средств (прямой и косвенный)_SVOD-Kolomenskoe_Сводный_отчет_май_2009_MBKK_oct_2010_10_11_10_вер_1" xfId="1994"/>
    <cellStyle name="%_Отчет о движении ден.средств (прямой и косвенный)_SVOD-Kolomenskoe_Сводный_отчет_май_2009_MBKK_sep_2010_05_10_10_вер_1" xfId="1995"/>
    <cellStyle name="%_Отчет о движении ден.средств (прямой и косвенный)_SVOD-Kolomenskoe_Сводный_отчет_май_2009_MBKK_sept_2010_03_08_10_вер_2" xfId="1996"/>
    <cellStyle name="%_Отчет о движении ден.средств (прямой и косвенный)_SVOD-Kolomenskoe_Сводный_отчет_май_2009_PL_прогноз" xfId="1997"/>
    <cellStyle name="%_Отчет о движении ден.средств (прямой и косвенный)_SVOD-Kolomenskoe_Сводный_отчет_май_2009_Xl0000000" xfId="1998"/>
    <cellStyle name="%_Отчет о движении ден.средств (прямой и косвенный)_SVOD-Kolomenskoe_Сводный_отчет_май_2009_Таблица расходов" xfId="1999"/>
    <cellStyle name="%_Отчет о движении ден.средств (прямой и косвенный)_SVOD-Kolomenskoe_Сводный_отчет_май_2009_Формат" xfId="2000"/>
    <cellStyle name="%_Отчет о движении ден.средств (прямой и косвенный)_SVOD-Kolomenskoe_смайнекс PL0209" xfId="2001"/>
    <cellStyle name="%_Отчет о движении ден.средств (прямой и косвенный)_SVOD-Kolomenskoe_смайнекс PL0209 2" xfId="2002"/>
    <cellStyle name="%_Отчет о движении ден.средств (прямой и косвенный)_SVOD-Kolomenskoe_Сырье-проценты" xfId="2003"/>
    <cellStyle name="%_Отчет о движении ден.средств (прямой и косвенный)_SVOD-Kolomenskoe_Таблица расходов" xfId="2004"/>
    <cellStyle name="%_Отчет о движении ден.средств (прямой и косвенный)_SVOD-Kolomenskoe_Торты" xfId="2005"/>
    <cellStyle name="%_Отчет о движении ден.средств (прямой и косвенный)_SVOD-Kolomenskoe_Формат" xfId="2006"/>
    <cellStyle name="%_Отчет о движении ден.средств (прямой и косвенный)_Компоновка" xfId="2007"/>
    <cellStyle name="%_Отчет о движении ден.средств (прямой и косвенный)_Компоновка 2" xfId="2008"/>
    <cellStyle name="%_Отчет о движении ден.средств (прямой и косвенный)_Копия 0803 MBKKK budget act v 12" xfId="2009"/>
    <cellStyle name="%_Отчет о движении ден.средств (прямой и косвенный)_Копия 0803 MBKKK budget act v 12 2" xfId="2010"/>
    <cellStyle name="%_Отчет о движении ден.средств (прямой и косвенный)_план май 08 " xfId="10"/>
    <cellStyle name="%_Отчет о движении ден.средств (прямой и косвенный)_план май 08  2" xfId="2011"/>
    <cellStyle name="%_Отчет о движении ден.средств (прямой и косвенный)_Продажи" xfId="2012"/>
    <cellStyle name="%_Отчет о движении ден.средств (прямой и косвенный)_Продажи 2" xfId="2013"/>
    <cellStyle name="%_Отчет о движении ден.средств (прямой и косвенный)_система ППР о скидках-1" xfId="2014"/>
    <cellStyle name="%_Отчет о движении ден.средств (прямой и косвенный)_система ППР о скидках-1 2" xfId="2015"/>
    <cellStyle name="%_Отчет о движении ден.средств (прямой и косвенный)_система ППР о скидках-1_0109-MBKK-budget-v2 (1)" xfId="2016"/>
    <cellStyle name="%_Отчет о движении ден.средств (прямой и косвенный)_система ППР о скидках-1_0109-MBKK-budget-v2 (1) 2" xfId="2017"/>
    <cellStyle name="%_Отчет о движении ден.средств (прямой и косвенный)_система ППР о скидках-1_0109-MBKK-budget-v2 (Февраль - проект)" xfId="2018"/>
    <cellStyle name="%_Отчет о движении ден.средств (прямой и косвенный)_система ППР о скидках-1_0109-MBKK-budget-v2 (Февраль - проект) 2" xfId="2019"/>
    <cellStyle name="%_Отчет о движении ден.средств (прямой и косвенный)_система ППР о скидках-1_01-09-swod-kolomenskoe-v2(PL-январь 2009 - факт3)" xfId="2020"/>
    <cellStyle name="%_Отчет о движении ден.средств (прямой и косвенный)_система ППР о скидках-1_01-09-swod-kolomenskoe-v2(PL-январь 2009 - факт3) 2" xfId="2021"/>
    <cellStyle name="%_Отчет о движении ден.средств (прямой и косвенный)_система ППР о скидках-1_0209-MBKK-budget-v8" xfId="2022"/>
    <cellStyle name="%_Отчет о движении ден.средств (прямой и косвенный)_система ППР о скидках-1_0209-MBKK-budget-v8 2" xfId="2023"/>
    <cellStyle name="%_Отчет о движении ден.средств (прямой и косвенный)_система ППР о скидках-1_0209-коломенское(v1)" xfId="2024"/>
    <cellStyle name="%_Отчет о движении ден.средств (прямой и косвенный)_система ППР о скидках-1_0209-коломенское(v1) 2" xfId="2025"/>
    <cellStyle name="%_Отчет о движении ден.средств (прямой и косвенный)_система ППР о скидках-1_0309-swod-kolomenskoe-v18" xfId="2026"/>
    <cellStyle name="%_Отчет о движении ден.средств (прямой и косвенный)_система ППР о скидках-1_0309-swod-kolomenskoe-v18 2" xfId="2027"/>
    <cellStyle name="%_Отчет о движении ден.средств (прямой и косвенный)_система ППР о скидках-1_0309-swod-kolomenskoe-v18_CF_без реорганизации" xfId="2028"/>
    <cellStyle name="%_Отчет о движении ден.средств (прямой и косвенный)_система ППР о скидках-1_0309-swod-kolomenskoe-v18_MBKK_dec_2010_18_01_11_вер_1" xfId="2029"/>
    <cellStyle name="%_Отчет о движении ден.средств (прямой и косвенный)_система ППР о скидках-1_0309-swod-kolomenskoe-v18_MBKK_jan_2011_08_02_11_вер_1" xfId="2030"/>
    <cellStyle name="%_Отчет о движении ден.средств (прямой и косвенный)_система ППР о скидках-1_0309-swod-kolomenskoe-v18_MBKK_jule_2010_09_08_10_вер_1" xfId="2031"/>
    <cellStyle name="%_Отчет о движении ден.средств (прямой и косвенный)_система ППР о скидках-1_0309-swod-kolomenskoe-v18_MBKK_nov_2010_09_12_10_вер_1" xfId="2032"/>
    <cellStyle name="%_Отчет о движении ден.средств (прямой и косвенный)_система ППР о скидках-1_0309-swod-kolomenskoe-v18_MBKK_oct_2010_10_11_10_вер_1" xfId="2033"/>
    <cellStyle name="%_Отчет о движении ден.средств (прямой и косвенный)_система ППР о скидках-1_0309-swod-kolomenskoe-v18_MBKK_sep_2010_05_10_10_вер_1" xfId="2034"/>
    <cellStyle name="%_Отчет о движении ден.средств (прямой и косвенный)_система ППР о скидках-1_0309-swod-kolomenskoe-v18_MBKK_sept_2010_03_08_10_вер_2" xfId="2035"/>
    <cellStyle name="%_Отчет о движении ден.средств (прямой и косвенный)_система ППР о скидках-1_0309-swod-kolomenskoe-v18_PL_прогноз" xfId="2036"/>
    <cellStyle name="%_Отчет о движении ден.средств (прямой и косвенный)_система ППР о скидках-1_0309-swod-kolomenskoe-v18_Xl0000000" xfId="2037"/>
    <cellStyle name="%_Отчет о движении ден.средств (прямой и косвенный)_система ППР о скидках-1_0309-swod-kolomenskoe-v18_Таблица расходов" xfId="2038"/>
    <cellStyle name="%_Отчет о движении ден.средств (прямой и косвенный)_система ППР о скидках-1_0309-swod-kolomenskoe-v18_Формат" xfId="2039"/>
    <cellStyle name="%_Отчет о движении ден.средств (прямой и косвенный)_система ППР о скидках-1_0409-swod-kolomenskoe-v2" xfId="2040"/>
    <cellStyle name="%_Отчет о движении ден.средств (прямой и косвенный)_система ППР о скидках-1_0409-swod-kolomenskoe-v2 2" xfId="2041"/>
    <cellStyle name="%_Отчет о движении ден.средств (прямой и косвенный)_система ППР о скидках-1_0409-swod-kolomenskoe-v2_CF_без реорганизации" xfId="2042"/>
    <cellStyle name="%_Отчет о движении ден.средств (прямой и косвенный)_система ППР о скидках-1_0409-swod-kolomenskoe-v2_MBKK_dec_2010_18_01_11_вер_1" xfId="2043"/>
    <cellStyle name="%_Отчет о движении ден.средств (прямой и косвенный)_система ППР о скидках-1_0409-swod-kolomenskoe-v2_MBKK_jan_2011_08_02_11_вер_1" xfId="2044"/>
    <cellStyle name="%_Отчет о движении ден.средств (прямой и косвенный)_система ППР о скидках-1_0409-swod-kolomenskoe-v2_MBKK_jule_2010_09_08_10_вер_1" xfId="2045"/>
    <cellStyle name="%_Отчет о движении ден.средств (прямой и косвенный)_система ППР о скидках-1_0409-swod-kolomenskoe-v2_MBKK_nov_2010_09_12_10_вер_1" xfId="2046"/>
    <cellStyle name="%_Отчет о движении ден.средств (прямой и косвенный)_система ППР о скидках-1_0409-swod-kolomenskoe-v2_MBKK_oct_2010_10_11_10_вер_1" xfId="2047"/>
    <cellStyle name="%_Отчет о движении ден.средств (прямой и косвенный)_система ППР о скидках-1_0409-swod-kolomenskoe-v2_MBKK_sep_2010_05_10_10_вер_1" xfId="2048"/>
    <cellStyle name="%_Отчет о движении ден.средств (прямой и косвенный)_система ППР о скидках-1_0409-swod-kolomenskoe-v2_MBKK_sept_2010_03_08_10_вер_2" xfId="2049"/>
    <cellStyle name="%_Отчет о движении ден.средств (прямой и косвенный)_система ППР о скидках-1_0409-swod-kolomenskoe-v2_PL_прогноз" xfId="2050"/>
    <cellStyle name="%_Отчет о движении ден.средств (прямой и косвенный)_система ППР о скидках-1_0409-swod-kolomenskoe-v2_Xl0000000" xfId="2051"/>
    <cellStyle name="%_Отчет о движении ден.средств (прямой и косвенный)_система ППР о скидках-1_0409-swod-kolomenskoe-v2_Таблица расходов" xfId="2052"/>
    <cellStyle name="%_Отчет о движении ден.средств (прямой и косвенный)_система ППР о скидках-1_0409-swod-kolomenskoe-v2_Формат" xfId="2053"/>
    <cellStyle name="%_Отчет о движении ден.средств (прямой и косвенный)_система ППР о скидках-1_0609-budge-Kolomenskoe-v6_final" xfId="2054"/>
    <cellStyle name="%_Отчет о движении ден.средств (прямой и косвенный)_система ППР о скидках-1_0609-swod-kolomenskoe-v1" xfId="2055"/>
    <cellStyle name="%_Отчет о движении ден.средств (прямой и косвенный)_система ППР о скидках-1_CF февраль (Факт полный месяц)" xfId="2056"/>
    <cellStyle name="%_Отчет о движении ден.средств (прямой и косвенный)_система ППР о скидках-1_CF февраль (Факт полный месяц) 2" xfId="2057"/>
    <cellStyle name="%_Отчет о движении ден.средств (прямой и косвенный)_система ППР о скидках-1_CF февраль (Факт полный месяц)_CF_без реорганизации" xfId="2058"/>
    <cellStyle name="%_Отчет о движении ден.средств (прямой и косвенный)_система ППР о скидках-1_CF февраль (Факт полный месяц)_CF_инвест_6 мес_2010" xfId="2059"/>
    <cellStyle name="%_Отчет о движении ден.средств (прямой и косвенный)_система ППР о скидках-1_CF февраль (Факт полный месяц)_MBKK_dec_2010_18_01_11_вер_1" xfId="2060"/>
    <cellStyle name="%_Отчет о движении ден.средств (прямой и косвенный)_система ППР о скидках-1_CF февраль (Факт полный месяц)_MBKK_jan_2011_08_02_11_вер_1" xfId="2061"/>
    <cellStyle name="%_Отчет о движении ден.средств (прямой и косвенный)_система ППР о скидках-1_CF февраль (Факт полный месяц)_MBKK_jule_2010_09_08_10_вер_1" xfId="2062"/>
    <cellStyle name="%_Отчет о движении ден.средств (прямой и косвенный)_система ППР о скидках-1_CF февраль (Факт полный месяц)_MBKK_nov_2010_09_12_10_вер_1" xfId="2063"/>
    <cellStyle name="%_Отчет о движении ден.средств (прямой и косвенный)_система ППР о скидках-1_CF февраль (Факт полный месяц)_MBKK_oct_2010_10_11_10_вер_1" xfId="2064"/>
    <cellStyle name="%_Отчет о движении ден.средств (прямой и косвенный)_система ППР о скидках-1_CF февраль (Факт полный месяц)_MBKK_sep_2010_05_10_10_вер_1" xfId="2065"/>
    <cellStyle name="%_Отчет о движении ден.средств (прямой и косвенный)_система ППР о скидках-1_CF февраль (Факт полный месяц)_MBKK_sept_2010_03_08_10_вер_2" xfId="2066"/>
    <cellStyle name="%_Отчет о движении ден.средств (прямой и косвенный)_система ППР о скидках-1_CF февраль (Факт полный месяц)_Xl0000000" xfId="2067"/>
    <cellStyle name="%_Отчет о движении ден.средств (прямой и косвенный)_система ППР о скидках-1_CF февраль (Факт полный месяц)_МБКК -план развития 2009-хлеб с перевзвешенным падением-3" xfId="2068"/>
    <cellStyle name="%_Отчет о движении ден.средств (прямой и косвенный)_система ППР о скидках-1_CF февраль (Факт полный месяц)_Прогноз_BS_PL_CF_v5" xfId="2069"/>
    <cellStyle name="%_Отчет о движении ден.средств (прямой и косвенный)_система ППР о скидках-1_CF февраль (Факт полный месяц)_Сырье-проценты" xfId="2070"/>
    <cellStyle name="%_Отчет о движении ден.средств (прямой и косвенный)_система ППР о скидках-1_CF февраль (Факт полный месяц)_Таблица расходов" xfId="2071"/>
    <cellStyle name="%_Отчет о движении ден.средств (прямой и косвенный)_система ППР о скидках-1_CF февраль (Факт полный месяц)_Торты" xfId="2072"/>
    <cellStyle name="%_Отчет о движении ден.средств (прямой и косвенный)_система ППР о скидках-1_CF февраль (Факт полный месяц)_Формат" xfId="2073"/>
    <cellStyle name="%_Отчет о движении ден.средств (прямой и косвенный)_система ППР о скидках-1_CF- январь 2009 NEW" xfId="2074"/>
    <cellStyle name="%_Отчет о движении ден.средств (прямой и косвенный)_система ППР о скидках-1_CF- январь 2009 NEW 2" xfId="2075"/>
    <cellStyle name="%_Отчет о движении ден.средств (прямой и косвенный)_система ППР о скидках-1_CF- январь 2009 NEW_0209-коломенское(v1)" xfId="2076"/>
    <cellStyle name="%_Отчет о движении ден.средств (прямой и косвенный)_система ППР о скидках-1_CF- январь 2009 NEW_0209-коломенское(v1) 2" xfId="2077"/>
    <cellStyle name="%_Отчет о движении ден.средств (прямой и косвенный)_система ППР о скидках-1_CF- январь 2009 NEW_0209-коломенское(v1)_CF_без реорганизации" xfId="2078"/>
    <cellStyle name="%_Отчет о движении ден.средств (прямой и косвенный)_система ППР о скидках-1_CF- январь 2009 NEW_0209-коломенское(v1)_CF_инвест_6 мес_2010" xfId="2079"/>
    <cellStyle name="%_Отчет о движении ден.средств (прямой и косвенный)_система ППР о скидках-1_CF- январь 2009 NEW_0209-коломенское(v1)_MBKK_dec_2010_18_01_11_вер_1" xfId="2080"/>
    <cellStyle name="%_Отчет о движении ден.средств (прямой и косвенный)_система ППР о скидках-1_CF- январь 2009 NEW_0209-коломенское(v1)_MBKK_jan_2011_08_02_11_вер_1" xfId="2081"/>
    <cellStyle name="%_Отчет о движении ден.средств (прямой и косвенный)_система ППР о скидках-1_CF- январь 2009 NEW_0209-коломенское(v1)_MBKK_jule_2010_09_08_10_вер_1" xfId="2082"/>
    <cellStyle name="%_Отчет о движении ден.средств (прямой и косвенный)_система ППР о скидках-1_CF- январь 2009 NEW_0209-коломенское(v1)_MBKK_nov_2010_09_12_10_вер_1" xfId="2083"/>
    <cellStyle name="%_Отчет о движении ден.средств (прямой и косвенный)_система ППР о скидках-1_CF- январь 2009 NEW_0209-коломенское(v1)_MBKK_oct_2010_10_11_10_вер_1" xfId="2084"/>
    <cellStyle name="%_Отчет о движении ден.средств (прямой и косвенный)_система ППР о скидках-1_CF- январь 2009 NEW_0209-коломенское(v1)_MBKK_sep_2010_05_10_10_вер_1" xfId="2085"/>
    <cellStyle name="%_Отчет о движении ден.средств (прямой и косвенный)_система ППР о скидках-1_CF- январь 2009 NEW_0209-коломенское(v1)_MBKK_sept_2010_03_08_10_вер_2" xfId="2086"/>
    <cellStyle name="%_Отчет о движении ден.средств (прямой и косвенный)_система ППР о скидках-1_CF- январь 2009 NEW_0209-коломенское(v1)_Xl0000000" xfId="2087"/>
    <cellStyle name="%_Отчет о движении ден.средств (прямой и косвенный)_система ППР о скидках-1_CF- январь 2009 NEW_0209-коломенское(v1)_МБКК -план развития 2009-хлеб с перевзвешенным падением-3" xfId="2088"/>
    <cellStyle name="%_Отчет о движении ден.средств (прямой и косвенный)_система ППР о скидках-1_CF- январь 2009 NEW_0209-коломенское(v1)_Прогноз_BS_PL_CF_v5" xfId="2089"/>
    <cellStyle name="%_Отчет о движении ден.средств (прямой и косвенный)_система ППР о скидках-1_CF- январь 2009 NEW_0209-коломенское(v1)_Сырье-проценты" xfId="2090"/>
    <cellStyle name="%_Отчет о движении ден.средств (прямой и косвенный)_система ППР о скидках-1_CF- январь 2009 NEW_0209-коломенское(v1)_Таблица расходов" xfId="2091"/>
    <cellStyle name="%_Отчет о движении ден.средств (прямой и косвенный)_система ППР о скидках-1_CF- январь 2009 NEW_0209-коломенское(v1)_Торты" xfId="2092"/>
    <cellStyle name="%_Отчет о движении ден.средств (прямой и косвенный)_система ППР о скидках-1_CF- январь 2009 NEW_0209-коломенское(v1)_Формат" xfId="2093"/>
    <cellStyle name="%_Отчет о движении ден.средств (прямой и косвенный)_система ППР о скидках-1_CF- январь 2009 NEW_0309-swod-kolomenskoe-v18" xfId="2094"/>
    <cellStyle name="%_Отчет о движении ден.средств (прямой и косвенный)_система ППР о скидках-1_CF- январь 2009 NEW_0309-swod-kolomenskoe-v18 2" xfId="2095"/>
    <cellStyle name="%_Отчет о движении ден.средств (прямой и косвенный)_система ППР о скидках-1_CF- январь 2009 NEW_0309-swod-kolomenskoe-v18_CF_без реорганизации" xfId="2096"/>
    <cellStyle name="%_Отчет о движении ден.средств (прямой и косвенный)_система ППР о скидках-1_CF- январь 2009 NEW_0309-swod-kolomenskoe-v18_MBKK_dec_2010_18_01_11_вер_1" xfId="2097"/>
    <cellStyle name="%_Отчет о движении ден.средств (прямой и косвенный)_система ППР о скидках-1_CF- январь 2009 NEW_0309-swod-kolomenskoe-v18_MBKK_jan_2011_08_02_11_вер_1" xfId="2098"/>
    <cellStyle name="%_Отчет о движении ден.средств (прямой и косвенный)_система ППР о скидках-1_CF- январь 2009 NEW_0309-swod-kolomenskoe-v18_MBKK_jule_2010_09_08_10_вер_1" xfId="2099"/>
    <cellStyle name="%_Отчет о движении ден.средств (прямой и косвенный)_система ППР о скидках-1_CF- январь 2009 NEW_0309-swod-kolomenskoe-v18_MBKK_nov_2010_09_12_10_вер_1" xfId="2100"/>
    <cellStyle name="%_Отчет о движении ден.средств (прямой и косвенный)_система ППР о скидках-1_CF- январь 2009 NEW_0309-swod-kolomenskoe-v18_MBKK_oct_2010_10_11_10_вер_1" xfId="2101"/>
    <cellStyle name="%_Отчет о движении ден.средств (прямой и косвенный)_система ППР о скидках-1_CF- январь 2009 NEW_0309-swod-kolomenskoe-v18_MBKK_sep_2010_05_10_10_вер_1" xfId="2102"/>
    <cellStyle name="%_Отчет о движении ден.средств (прямой и косвенный)_система ППР о скидках-1_CF- январь 2009 NEW_0309-swod-kolomenskoe-v18_MBKK_sept_2010_03_08_10_вер_2" xfId="2103"/>
    <cellStyle name="%_Отчет о движении ден.средств (прямой и косвенный)_система ППР о скидках-1_CF- январь 2009 NEW_0309-swod-kolomenskoe-v18_PL_прогноз" xfId="2104"/>
    <cellStyle name="%_Отчет о движении ден.средств (прямой и косвенный)_система ППР о скидках-1_CF- январь 2009 NEW_0309-swod-kolomenskoe-v18_Xl0000000" xfId="2105"/>
    <cellStyle name="%_Отчет о движении ден.средств (прямой и косвенный)_система ППР о скидках-1_CF- январь 2009 NEW_0309-swod-kolomenskoe-v18_Таблица расходов" xfId="2106"/>
    <cellStyle name="%_Отчет о движении ден.средств (прямой и косвенный)_система ППР о скидках-1_CF- январь 2009 NEW_0309-swod-kolomenskoe-v18_Формат" xfId="2107"/>
    <cellStyle name="%_Отчет о движении ден.средств (прямой и косвенный)_система ППР о скидках-1_CF- январь 2009 NEW_0409-swod-kolomenskoe-v2" xfId="2108"/>
    <cellStyle name="%_Отчет о движении ден.средств (прямой и косвенный)_система ППР о скидках-1_CF- январь 2009 NEW_0409-swod-kolomenskoe-v2 2" xfId="2109"/>
    <cellStyle name="%_Отчет о движении ден.средств (прямой и косвенный)_система ППР о скидках-1_CF- январь 2009 NEW_0409-swod-kolomenskoe-v2_CF_без реорганизации" xfId="2110"/>
    <cellStyle name="%_Отчет о движении ден.средств (прямой и косвенный)_система ППР о скидках-1_CF- январь 2009 NEW_0409-swod-kolomenskoe-v2_MBKK_dec_2010_18_01_11_вер_1" xfId="2111"/>
    <cellStyle name="%_Отчет о движении ден.средств (прямой и косвенный)_система ППР о скидках-1_CF- январь 2009 NEW_0409-swod-kolomenskoe-v2_MBKK_jan_2011_08_02_11_вер_1" xfId="2112"/>
    <cellStyle name="%_Отчет о движении ден.средств (прямой и косвенный)_система ППР о скидках-1_CF- январь 2009 NEW_0409-swod-kolomenskoe-v2_MBKK_jule_2010_09_08_10_вер_1" xfId="2113"/>
    <cellStyle name="%_Отчет о движении ден.средств (прямой и косвенный)_система ППР о скидках-1_CF- январь 2009 NEW_0409-swod-kolomenskoe-v2_MBKK_nov_2010_09_12_10_вер_1" xfId="2114"/>
    <cellStyle name="%_Отчет о движении ден.средств (прямой и косвенный)_система ППР о скидках-1_CF- январь 2009 NEW_0409-swod-kolomenskoe-v2_MBKK_oct_2010_10_11_10_вер_1" xfId="2115"/>
    <cellStyle name="%_Отчет о движении ден.средств (прямой и косвенный)_система ППР о скидках-1_CF- январь 2009 NEW_0409-swod-kolomenskoe-v2_MBKK_sep_2010_05_10_10_вер_1" xfId="2116"/>
    <cellStyle name="%_Отчет о движении ден.средств (прямой и косвенный)_система ППР о скидках-1_CF- январь 2009 NEW_0409-swod-kolomenskoe-v2_MBKK_sept_2010_03_08_10_вер_2" xfId="2117"/>
    <cellStyle name="%_Отчет о движении ден.средств (прямой и косвенный)_система ППР о скидках-1_CF- январь 2009 NEW_0409-swod-kolomenskoe-v2_PL_прогноз" xfId="2118"/>
    <cellStyle name="%_Отчет о движении ден.средств (прямой и косвенный)_система ППР о скидках-1_CF- январь 2009 NEW_0409-swod-kolomenskoe-v2_Xl0000000" xfId="2119"/>
    <cellStyle name="%_Отчет о движении ден.средств (прямой и косвенный)_система ППР о скидках-1_CF- январь 2009 NEW_0409-swod-kolomenskoe-v2_Таблица расходов" xfId="2120"/>
    <cellStyle name="%_Отчет о движении ден.средств (прямой и косвенный)_система ППР о скидках-1_CF- январь 2009 NEW_0409-swod-kolomenskoe-v2_Формат" xfId="2121"/>
    <cellStyle name="%_Отчет о движении ден.средств (прямой и косвенный)_система ППР о скидках-1_CF- январь 2009 NEW_CF_без реорганизации" xfId="2122"/>
    <cellStyle name="%_Отчет о движении ден.средств (прямой и косвенный)_система ППР о скидках-1_CF- январь 2009 NEW_CF_инвест_6 мес_2010" xfId="2123"/>
    <cellStyle name="%_Отчет о движении ден.средств (прямой и косвенный)_система ППР о скидках-1_CF- январь 2009 NEW_MBKK_dec_2010_18_01_11_вер_1" xfId="2124"/>
    <cellStyle name="%_Отчет о движении ден.средств (прямой и косвенный)_система ППР о скидках-1_CF- январь 2009 NEW_MBKK_jan_2011_08_02_11_вер_1" xfId="2125"/>
    <cellStyle name="%_Отчет о движении ден.средств (прямой и косвенный)_система ППР о скидках-1_CF- январь 2009 NEW_MBKK_jule_2010_09_08_10_вер_1" xfId="2126"/>
    <cellStyle name="%_Отчет о движении ден.средств (прямой и косвенный)_система ППР о скидках-1_CF- январь 2009 NEW_MBKK_nov_2010_09_12_10_вер_1" xfId="2127"/>
    <cellStyle name="%_Отчет о движении ден.средств (прямой и косвенный)_система ППР о скидках-1_CF- январь 2009 NEW_MBKK_oct_2010_10_11_10_вер_1" xfId="2128"/>
    <cellStyle name="%_Отчет о движении ден.средств (прямой и косвенный)_система ППР о скидках-1_CF- январь 2009 NEW_MBKK_sep_2010_05_10_10_вер_1" xfId="2129"/>
    <cellStyle name="%_Отчет о движении ден.средств (прямой и косвенный)_система ППР о скидках-1_CF- январь 2009 NEW_MBKK_sept_2010_03_08_10_вер_2" xfId="2130"/>
    <cellStyle name="%_Отчет о движении ден.средств (прямой и косвенный)_система ППР о скидках-1_CF- январь 2009 NEW_PL апрель 2009" xfId="2131"/>
    <cellStyle name="%_Отчет о движении ден.средств (прямой и косвенный)_система ППР о скидках-1_CF- январь 2009 NEW_PL апрель 2009 2" xfId="2132"/>
    <cellStyle name="%_Отчет о движении ден.средств (прямой и косвенный)_система ППР о скидках-1_CF- январь 2009 NEW_PL апрель 2009_CF_без реорганизации" xfId="2133"/>
    <cellStyle name="%_Отчет о движении ден.средств (прямой и косвенный)_система ППР о скидках-1_CF- январь 2009 NEW_PL апрель 2009_MBKK_dec_2010_18_01_11_вер_1" xfId="2134"/>
    <cellStyle name="%_Отчет о движении ден.средств (прямой и косвенный)_система ППР о скидках-1_CF- январь 2009 NEW_PL апрель 2009_MBKK_jan_2011_08_02_11_вер_1" xfId="2135"/>
    <cellStyle name="%_Отчет о движении ден.средств (прямой и косвенный)_система ППР о скидках-1_CF- январь 2009 NEW_PL апрель 2009_MBKK_jule_2010_09_08_10_вер_1" xfId="2136"/>
    <cellStyle name="%_Отчет о движении ден.средств (прямой и косвенный)_система ППР о скидках-1_CF- январь 2009 NEW_PL апрель 2009_MBKK_nov_2010_09_12_10_вер_1" xfId="2137"/>
    <cellStyle name="%_Отчет о движении ден.средств (прямой и косвенный)_система ППР о скидках-1_CF- январь 2009 NEW_PL апрель 2009_MBKK_oct_2010_10_11_10_вер_1" xfId="2138"/>
    <cellStyle name="%_Отчет о движении ден.средств (прямой и косвенный)_система ППР о скидках-1_CF- январь 2009 NEW_PL апрель 2009_MBKK_sep_2010_05_10_10_вер_1" xfId="2139"/>
    <cellStyle name="%_Отчет о движении ден.средств (прямой и косвенный)_система ППР о скидках-1_CF- январь 2009 NEW_PL апрель 2009_MBKK_sept_2010_03_08_10_вер_2" xfId="2140"/>
    <cellStyle name="%_Отчет о движении ден.средств (прямой и косвенный)_система ППР о скидках-1_CF- январь 2009 NEW_PL апрель 2009_PL_прогноз" xfId="2141"/>
    <cellStyle name="%_Отчет о движении ден.средств (прямой и косвенный)_система ППР о скидках-1_CF- январь 2009 NEW_PL апрель 2009_Xl0000000" xfId="2142"/>
    <cellStyle name="%_Отчет о движении ден.средств (прямой и косвенный)_система ППР о скидках-1_CF- январь 2009 NEW_PL апрель 2009_Таблица расходов" xfId="2143"/>
    <cellStyle name="%_Отчет о движении ден.средств (прямой и косвенный)_система ППР о скидках-1_CF- январь 2009 NEW_PL апрель 2009_Формат" xfId="2144"/>
    <cellStyle name="%_Отчет о движении ден.средств (прямой и косвенный)_система ППР о скидках-1_CF- январь 2009 NEW_PL март 2009 (ревижн)" xfId="2145"/>
    <cellStyle name="%_Отчет о движении ден.средств (прямой и косвенный)_система ППР о скидках-1_CF- январь 2009 NEW_PL март 2009 (ревижн) 2" xfId="2146"/>
    <cellStyle name="%_Отчет о движении ден.средств (прямой и косвенный)_система ППР о скидках-1_CF- январь 2009 NEW_PL март 2009 (ревижн)_CF_без реорганизации" xfId="2147"/>
    <cellStyle name="%_Отчет о движении ден.средств (прямой и косвенный)_система ППР о скидках-1_CF- январь 2009 NEW_PL март 2009 (ревижн)_MBKK_dec_2010_18_01_11_вер_1" xfId="2148"/>
    <cellStyle name="%_Отчет о движении ден.средств (прямой и косвенный)_система ППР о скидках-1_CF- январь 2009 NEW_PL март 2009 (ревижн)_MBKK_jan_2011_08_02_11_вер_1" xfId="2149"/>
    <cellStyle name="%_Отчет о движении ден.средств (прямой и косвенный)_система ППР о скидках-1_CF- январь 2009 NEW_PL март 2009 (ревижн)_MBKK_jule_2010_09_08_10_вер_1" xfId="2150"/>
    <cellStyle name="%_Отчет о движении ден.средств (прямой и косвенный)_система ППР о скидках-1_CF- январь 2009 NEW_PL март 2009 (ревижн)_MBKK_nov_2010_09_12_10_вер_1" xfId="2151"/>
    <cellStyle name="%_Отчет о движении ден.средств (прямой и косвенный)_система ППР о скидках-1_CF- январь 2009 NEW_PL март 2009 (ревижн)_MBKK_oct_2010_10_11_10_вер_1" xfId="2152"/>
    <cellStyle name="%_Отчет о движении ден.средств (прямой и косвенный)_система ППР о скидках-1_CF- январь 2009 NEW_PL март 2009 (ревижн)_MBKK_sep_2010_05_10_10_вер_1" xfId="2153"/>
    <cellStyle name="%_Отчет о движении ден.средств (прямой и косвенный)_система ППР о скидках-1_CF- январь 2009 NEW_PL март 2009 (ревижн)_MBKK_sept_2010_03_08_10_вер_2" xfId="2154"/>
    <cellStyle name="%_Отчет о движении ден.средств (прямой и косвенный)_система ППР о скидках-1_CF- январь 2009 NEW_PL март 2009 (ревижн)_PL_прогноз" xfId="2155"/>
    <cellStyle name="%_Отчет о движении ден.средств (прямой и косвенный)_система ППР о скидках-1_CF- январь 2009 NEW_PL март 2009 (ревижн)_Xl0000000" xfId="2156"/>
    <cellStyle name="%_Отчет о движении ден.средств (прямой и косвенный)_система ППР о скидках-1_CF- январь 2009 NEW_PL март 2009 (ревижн)_Таблица расходов" xfId="2157"/>
    <cellStyle name="%_Отчет о движении ден.средств (прямой и косвенный)_система ППР о скидках-1_CF- январь 2009 NEW_PL март 2009 (ревижн)_Формат" xfId="2158"/>
    <cellStyle name="%_Отчет о движении ден.средств (прямой и косвенный)_система ППР о скидках-1_CF- январь 2009 NEW_Xl0000000" xfId="2159"/>
    <cellStyle name="%_Отчет о движении ден.средств (прямой и косвенный)_система ППР о скидках-1_CF- январь 2009 NEW_МБКК -план развития 2009-хлеб с перевзвешенным падением-3" xfId="2160"/>
    <cellStyle name="%_Отчет о движении ден.средств (прямой и косвенный)_система ППР о скидках-1_CF- январь 2009 NEW_Прогноз_BS_PL_CF_v5" xfId="2161"/>
    <cellStyle name="%_Отчет о движении ден.средств (прямой и косвенный)_система ППР о скидках-1_CF- январь 2009 NEW_Сводный отчет" xfId="2162"/>
    <cellStyle name="%_Отчет о движении ден.средств (прямой и косвенный)_система ППР о скидках-1_CF- январь 2009 NEW_Сводный отчет 2" xfId="2163"/>
    <cellStyle name="%_Отчет о движении ден.средств (прямой и косвенный)_система ППР о скидках-1_CF- январь 2009 NEW_Сводный отчет МБКК за май 2009 v2" xfId="2164"/>
    <cellStyle name="%_Отчет о движении ден.средств (прямой и косвенный)_система ППР о скидках-1_CF- январь 2009 NEW_Сводный отчет МБКК за май 2009 v2 2" xfId="2165"/>
    <cellStyle name="%_Отчет о движении ден.средств (прямой и косвенный)_система ППР о скидках-1_CF- январь 2009 NEW_Сводный_отчет_май_2009" xfId="2166"/>
    <cellStyle name="%_Отчет о движении ден.средств (прямой и косвенный)_система ППР о скидках-1_CF- январь 2009 NEW_Сводный_отчет_май_2009 2" xfId="2167"/>
    <cellStyle name="%_Отчет о движении ден.средств (прямой и косвенный)_система ППР о скидках-1_CF- январь 2009 NEW_Сводный_отчет_май_2009_CF_без реорганизации" xfId="2168"/>
    <cellStyle name="%_Отчет о движении ден.средств (прямой и косвенный)_система ППР о скидках-1_CF- январь 2009 NEW_Сводный_отчет_май_2009_MBKK_dec_2010_18_01_11_вер_1" xfId="2169"/>
    <cellStyle name="%_Отчет о движении ден.средств (прямой и косвенный)_система ППР о скидках-1_CF- январь 2009 NEW_Сводный_отчет_май_2009_MBKK_jan_2011_08_02_11_вер_1" xfId="2170"/>
    <cellStyle name="%_Отчет о движении ден.средств (прямой и косвенный)_система ППР о скидках-1_CF- январь 2009 NEW_Сводный_отчет_май_2009_MBKK_jule_2010_09_08_10_вер_1" xfId="2171"/>
    <cellStyle name="%_Отчет о движении ден.средств (прямой и косвенный)_система ППР о скидках-1_CF- январь 2009 NEW_Сводный_отчет_май_2009_MBKK_nov_2010_09_12_10_вер_1" xfId="2172"/>
    <cellStyle name="%_Отчет о движении ден.средств (прямой и косвенный)_система ППР о скидках-1_CF- январь 2009 NEW_Сводный_отчет_май_2009_MBKK_oct_2010_10_11_10_вер_1" xfId="2173"/>
    <cellStyle name="%_Отчет о движении ден.средств (прямой и косвенный)_система ППР о скидках-1_CF- январь 2009 NEW_Сводный_отчет_май_2009_MBKK_sep_2010_05_10_10_вер_1" xfId="2174"/>
    <cellStyle name="%_Отчет о движении ден.средств (прямой и косвенный)_система ППР о скидках-1_CF- январь 2009 NEW_Сводный_отчет_май_2009_MBKK_sept_2010_03_08_10_вер_2" xfId="2175"/>
    <cellStyle name="%_Отчет о движении ден.средств (прямой и косвенный)_система ППР о скидках-1_CF- январь 2009 NEW_Сводный_отчет_май_2009_PL_прогноз" xfId="2176"/>
    <cellStyle name="%_Отчет о движении ден.средств (прямой и косвенный)_система ППР о скидках-1_CF- январь 2009 NEW_Сводный_отчет_май_2009_Xl0000000" xfId="2177"/>
    <cellStyle name="%_Отчет о движении ден.средств (прямой и косвенный)_система ППР о скидках-1_CF- январь 2009 NEW_Сводный_отчет_май_2009_Таблица расходов" xfId="2178"/>
    <cellStyle name="%_Отчет о движении ден.средств (прямой и косвенный)_система ППР о скидках-1_CF- январь 2009 NEW_Сводный_отчет_май_2009_Формат" xfId="2179"/>
    <cellStyle name="%_Отчет о движении ден.средств (прямой и косвенный)_система ППР о скидках-1_CF- январь 2009 NEW_смайнекс PL0209" xfId="2180"/>
    <cellStyle name="%_Отчет о движении ден.средств (прямой и косвенный)_система ППР о скидках-1_CF- январь 2009 NEW_смайнекс PL0209 2" xfId="2181"/>
    <cellStyle name="%_Отчет о движении ден.средств (прямой и косвенный)_система ППР о скидках-1_CF- январь 2009 NEW_Сырье-проценты" xfId="2182"/>
    <cellStyle name="%_Отчет о движении ден.средств (прямой и косвенный)_система ППР о скидках-1_CF- январь 2009 NEW_Таблица расходов" xfId="2183"/>
    <cellStyle name="%_Отчет о движении ден.средств (прямой и косвенный)_система ППР о скидках-1_CF- январь 2009 NEW_Торты" xfId="2184"/>
    <cellStyle name="%_Отчет о движении ден.средств (прямой и косвенный)_система ППР о скидках-1_CF- январь 2009 NEW_Формат" xfId="2185"/>
    <cellStyle name="%_Отчет о движении ден.средств (прямой и косвенный)_система ППР о скидках-1_CF_без реорганизации" xfId="2186"/>
    <cellStyle name="%_Отчет о движении ден.средств (прямой и косвенный)_система ППР о скидках-1_CF_инвест_6 мес_2010" xfId="2187"/>
    <cellStyle name="%_Отчет о движении ден.средств (прямой и косвенный)_система ППР о скидках-1_margin-0409" xfId="2188"/>
    <cellStyle name="%_Отчет о движении ден.средств (прямой и косвенный)_система ППР о скидках-1_margin-0409 2" xfId="2189"/>
    <cellStyle name="%_Отчет о движении ден.средств (прямой и косвенный)_система ППР о скидках-1_margin-0409_CF_без реорганизации" xfId="2190"/>
    <cellStyle name="%_Отчет о движении ден.средств (прямой и косвенный)_система ППР о скидках-1_margin-0409_MBKK_dec_2010_18_01_11_вер_1" xfId="2191"/>
    <cellStyle name="%_Отчет о движении ден.средств (прямой и косвенный)_система ППР о скидках-1_margin-0409_MBKK_jan_2011_08_02_11_вер_1" xfId="2192"/>
    <cellStyle name="%_Отчет о движении ден.средств (прямой и косвенный)_система ППР о скидках-1_margin-0409_MBKK_jule_2010_09_08_10_вер_1" xfId="2193"/>
    <cellStyle name="%_Отчет о движении ден.средств (прямой и косвенный)_система ППР о скидках-1_margin-0409_MBKK_nov_2010_09_12_10_вер_1" xfId="2194"/>
    <cellStyle name="%_Отчет о движении ден.средств (прямой и косвенный)_система ППР о скидках-1_margin-0409_MBKK_oct_2010_10_11_10_вер_1" xfId="2195"/>
    <cellStyle name="%_Отчет о движении ден.средств (прямой и косвенный)_система ППР о скидках-1_margin-0409_MBKK_sep_2010_05_10_10_вер_1" xfId="2196"/>
    <cellStyle name="%_Отчет о движении ден.средств (прямой и косвенный)_система ППР о скидках-1_margin-0409_MBKK_sept_2010_03_08_10_вер_2" xfId="2197"/>
    <cellStyle name="%_Отчет о движении ден.средств (прямой и косвенный)_система ППР о скидках-1_margin-0409_PL_прогноз" xfId="2198"/>
    <cellStyle name="%_Отчет о движении ден.средств (прямой и косвенный)_система ППР о скидках-1_margin-0409_Xl0000000" xfId="2199"/>
    <cellStyle name="%_Отчет о движении ден.средств (прямой и косвенный)_система ППР о скидках-1_margin-0409_Таблица расходов" xfId="2200"/>
    <cellStyle name="%_Отчет о движении ден.средств (прямой и косвенный)_система ППР о скидках-1_margin-0409_Формат" xfId="2201"/>
    <cellStyle name="%_Отчет о движении ден.средств (прямой и косвенный)_система ППР о скидках-1_MBKK_dec_2010_18_01_11_вер_1" xfId="2202"/>
    <cellStyle name="%_Отчет о движении ден.средств (прямой и косвенный)_система ППР о скидках-1_MBKK_jan_2011_08_02_11_вер_1" xfId="2203"/>
    <cellStyle name="%_Отчет о движении ден.средств (прямой и косвенный)_система ППР о скидках-1_MBKK_jule_2010_09_08_10_вер_1" xfId="2204"/>
    <cellStyle name="%_Отчет о движении ден.средств (прямой и косвенный)_система ППР о скидках-1_MBKK_nov_2010_09_12_10_вер_1" xfId="2205"/>
    <cellStyle name="%_Отчет о движении ден.средств (прямой и косвенный)_система ППР о скидках-1_MBKK_oct_2010_10_11_10_вер_1" xfId="2206"/>
    <cellStyle name="%_Отчет о движении ден.средств (прямой и косвенный)_система ППР о скидках-1_MBKK_sep_2010_05_10_10_вер_1" xfId="2207"/>
    <cellStyle name="%_Отчет о движении ден.средств (прямой и косвенный)_система ППР о скидках-1_MBKK_sept_2010_03_08_10_вер_2" xfId="2208"/>
    <cellStyle name="%_Отчет о движении ден.средств (прямой и косвенный)_система ППР о скидках-1_MBKKK-BP-2009-months-v18-project" xfId="2209"/>
    <cellStyle name="%_Отчет о движении ден.средств (прямой и косвенный)_система ППР о скидках-1_MBKKK-BP-2009-months-v18-project 2" xfId="2210"/>
    <cellStyle name="%_Отчет о движении ден.средств (прямой и косвенный)_система ППР о скидках-1_MBKKK-BP-2009-months-v19-project" xfId="2211"/>
    <cellStyle name="%_Отчет о движении ден.средств (прямой и косвенный)_система ППР о скидках-1_MBKKK-BP-2009-months-v19-project 2" xfId="2212"/>
    <cellStyle name="%_Отчет о движении ден.средств (прямой и косвенный)_система ППР о скидках-1_MBKKK-BP-2009-months-v20-project_2" xfId="2213"/>
    <cellStyle name="%_Отчет о движении ден.средств (прямой и косвенный)_система ППР о скидках-1_MBKKK-BP-2009-months-v6-cash" xfId="2214"/>
    <cellStyle name="%_Отчет о движении ден.средств (прямой и косвенный)_система ППР о скидках-1_MBKKK-BP-2009-months-v6-cash 2" xfId="2215"/>
    <cellStyle name="%_Отчет о движении ден.средств (прямой и косвенный)_система ППР о скидках-1_PL (декабрь 08)" xfId="2216"/>
    <cellStyle name="%_Отчет о движении ден.средств (прямой и косвенный)_система ППР о скидках-1_PL (декабрь 08) 2" xfId="2217"/>
    <cellStyle name="%_Отчет о движении ден.средств (прямой и косвенный)_система ППР о скидках-1_PL апрель 2009" xfId="2218"/>
    <cellStyle name="%_Отчет о движении ден.средств (прямой и косвенный)_система ППР о скидках-1_PL апрель 2009 2" xfId="2219"/>
    <cellStyle name="%_Отчет о движении ден.средств (прямой и косвенный)_система ППР о скидках-1_PL апрель 2009_CF_без реорганизации" xfId="2220"/>
    <cellStyle name="%_Отчет о движении ден.средств (прямой и косвенный)_система ППР о скидках-1_PL апрель 2009_MBKK_dec_2010_18_01_11_вер_1" xfId="2221"/>
    <cellStyle name="%_Отчет о движении ден.средств (прямой и косвенный)_система ППР о скидках-1_PL апрель 2009_MBKK_jan_2011_08_02_11_вер_1" xfId="2222"/>
    <cellStyle name="%_Отчет о движении ден.средств (прямой и косвенный)_система ППР о скидках-1_PL апрель 2009_MBKK_jule_2010_09_08_10_вер_1" xfId="2223"/>
    <cellStyle name="%_Отчет о движении ден.средств (прямой и косвенный)_система ППР о скидках-1_PL апрель 2009_MBKK_nov_2010_09_12_10_вер_1" xfId="2224"/>
    <cellStyle name="%_Отчет о движении ден.средств (прямой и косвенный)_система ППР о скидках-1_PL апрель 2009_MBKK_oct_2010_10_11_10_вер_1" xfId="2225"/>
    <cellStyle name="%_Отчет о движении ден.средств (прямой и косвенный)_система ППР о скидках-1_PL апрель 2009_MBKK_sep_2010_05_10_10_вер_1" xfId="2226"/>
    <cellStyle name="%_Отчет о движении ден.средств (прямой и косвенный)_система ППР о скидках-1_PL апрель 2009_MBKK_sept_2010_03_08_10_вер_2" xfId="2227"/>
    <cellStyle name="%_Отчет о движении ден.средств (прямой и косвенный)_система ППР о скидках-1_PL апрель 2009_PL_прогноз" xfId="2228"/>
    <cellStyle name="%_Отчет о движении ден.средств (прямой и косвенный)_система ППР о скидках-1_PL апрель 2009_Xl0000000" xfId="2229"/>
    <cellStyle name="%_Отчет о движении ден.средств (прямой и косвенный)_система ППР о скидках-1_PL апрель 2009_Таблица расходов" xfId="2230"/>
    <cellStyle name="%_Отчет о движении ден.средств (прямой и косвенный)_система ППР о скидках-1_PL апрель 2009_Формат" xfId="2231"/>
    <cellStyle name="%_Отчет о движении ден.средств (прямой и косвенный)_система ППР о скидках-1_PL март 2009 (ревижн)" xfId="2232"/>
    <cellStyle name="%_Отчет о движении ден.средств (прямой и косвенный)_система ППР о скидках-1_PL март 2009 (ревижн) 2" xfId="2233"/>
    <cellStyle name="%_Отчет о движении ден.средств (прямой и косвенный)_система ППР о скидках-1_PL март 2009 (ревижн)_CF_без реорганизации" xfId="2234"/>
    <cellStyle name="%_Отчет о движении ден.средств (прямой и косвенный)_система ППР о скидках-1_PL март 2009 (ревижн)_MBKK_dec_2010_18_01_11_вер_1" xfId="2235"/>
    <cellStyle name="%_Отчет о движении ден.средств (прямой и косвенный)_система ППР о скидках-1_PL март 2009 (ревижн)_MBKK_jan_2011_08_02_11_вер_1" xfId="2236"/>
    <cellStyle name="%_Отчет о движении ден.средств (прямой и косвенный)_система ППР о скидках-1_PL март 2009 (ревижн)_MBKK_jule_2010_09_08_10_вер_1" xfId="2237"/>
    <cellStyle name="%_Отчет о движении ден.средств (прямой и косвенный)_система ППР о скидках-1_PL март 2009 (ревижн)_MBKK_nov_2010_09_12_10_вер_1" xfId="2238"/>
    <cellStyle name="%_Отчет о движении ден.средств (прямой и косвенный)_система ППР о скидках-1_PL март 2009 (ревижн)_MBKK_oct_2010_10_11_10_вер_1" xfId="2239"/>
    <cellStyle name="%_Отчет о движении ден.средств (прямой и косвенный)_система ППР о скидках-1_PL март 2009 (ревижн)_MBKK_sep_2010_05_10_10_вер_1" xfId="2240"/>
    <cellStyle name="%_Отчет о движении ден.средств (прямой и косвенный)_система ППР о скидках-1_PL март 2009 (ревижн)_MBKK_sept_2010_03_08_10_вер_2" xfId="2241"/>
    <cellStyle name="%_Отчет о движении ден.средств (прямой и косвенный)_система ППР о скидках-1_PL март 2009 (ревижн)_PL_прогноз" xfId="2242"/>
    <cellStyle name="%_Отчет о движении ден.средств (прямой и косвенный)_система ППР о скидках-1_PL март 2009 (ревижн)_Xl0000000" xfId="2243"/>
    <cellStyle name="%_Отчет о движении ден.средств (прямой и косвенный)_система ППР о скидках-1_PL март 2009 (ревижн)_Таблица расходов" xfId="2244"/>
    <cellStyle name="%_Отчет о движении ден.средств (прямой и косвенный)_система ППР о скидках-1_PL март 2009 (ревижн)_Формат" xfId="2245"/>
    <cellStyle name="%_Отчет о движении ден.средств (прямой и косвенный)_система ППР о скидках-1_PL февраль 2009" xfId="2246"/>
    <cellStyle name="%_Отчет о движении ден.средств (прямой и косвенный)_система ППР о скидках-1_PL февраль 2009 2" xfId="2247"/>
    <cellStyle name="%_Отчет о движении ден.средств (прямой и косвенный)_система ППР о скидках-1_PL февраль 2009_CF_без реорганизации" xfId="2248"/>
    <cellStyle name="%_Отчет о движении ден.средств (прямой и косвенный)_система ППР о скидках-1_PL февраль 2009_CF_инвест_6 мес_2010" xfId="2249"/>
    <cellStyle name="%_Отчет о движении ден.средств (прямой и косвенный)_система ППР о скидках-1_PL февраль 2009_MBKK_dec_2010_18_01_11_вер_1" xfId="2250"/>
    <cellStyle name="%_Отчет о движении ден.средств (прямой и косвенный)_система ППР о скидках-1_PL февраль 2009_MBKK_jan_2011_08_02_11_вер_1" xfId="2251"/>
    <cellStyle name="%_Отчет о движении ден.средств (прямой и косвенный)_система ППР о скидках-1_PL февраль 2009_MBKK_jule_2010_09_08_10_вер_1" xfId="2252"/>
    <cellStyle name="%_Отчет о движении ден.средств (прямой и косвенный)_система ППР о скидках-1_PL февраль 2009_MBKK_nov_2010_09_12_10_вер_1" xfId="2253"/>
    <cellStyle name="%_Отчет о движении ден.средств (прямой и косвенный)_система ППР о скидках-1_PL февраль 2009_MBKK_oct_2010_10_11_10_вер_1" xfId="2254"/>
    <cellStyle name="%_Отчет о движении ден.средств (прямой и косвенный)_система ППР о скидках-1_PL февраль 2009_MBKK_sep_2010_05_10_10_вер_1" xfId="2255"/>
    <cellStyle name="%_Отчет о движении ден.средств (прямой и косвенный)_система ППР о скидках-1_PL февраль 2009_MBKK_sept_2010_03_08_10_вер_2" xfId="2256"/>
    <cellStyle name="%_Отчет о движении ден.средств (прямой и косвенный)_система ППР о скидках-1_PL февраль 2009_Xl0000000" xfId="2257"/>
    <cellStyle name="%_Отчет о движении ден.средств (прямой и косвенный)_система ППР о скидках-1_PL февраль 2009_МБКК -план развития 2009-хлеб с перевзвешенным падением-3" xfId="2258"/>
    <cellStyle name="%_Отчет о движении ден.средств (прямой и косвенный)_система ППР о скидках-1_PL февраль 2009_Прогноз_BS_PL_CF_v5" xfId="2259"/>
    <cellStyle name="%_Отчет о движении ден.средств (прямой и косвенный)_система ППР о скидках-1_PL февраль 2009_Сырье-проценты" xfId="2260"/>
    <cellStyle name="%_Отчет о движении ден.средств (прямой и косвенный)_система ППР о скидках-1_PL февраль 2009_Таблица расходов" xfId="2261"/>
    <cellStyle name="%_Отчет о движении ден.средств (прямой и косвенный)_система ППР о скидках-1_PL февраль 2009_Торты" xfId="2262"/>
    <cellStyle name="%_Отчет о движении ден.средств (прямой и косвенный)_система ППР о скидках-1_PL февраль 2009_Формат" xfId="2263"/>
    <cellStyle name="%_Отчет о движении ден.средств (прямой и косвенный)_система ППР о скидках-1_SVOD 1108 MBKKK budget-act v6" xfId="2264"/>
    <cellStyle name="%_Отчет о движении ден.средств (прямой и косвенный)_система ППР о скидках-1_SVOD 1108 MBKKK budget-act v6 2" xfId="2265"/>
    <cellStyle name="%_Отчет о движении ден.средств (прямой и косвенный)_система ППР о скидках-1_SVOD 1108 MBKKK budget-act v6_0609-budge-Kolomenskoe-v6_final" xfId="2266"/>
    <cellStyle name="%_Отчет о движении ден.средств (прямой и косвенный)_система ППР о скидках-1_SVOD 1108 MBKKK budget-act v6_0609-swod-kolomenskoe-v1" xfId="2267"/>
    <cellStyle name="%_Отчет о движении ден.средств (прямой и косвенный)_система ППР о скидках-1_SVOD 1108 MBKKK budget-act v6_MBKKK-BP-2009-months-v20-project_2" xfId="2268"/>
    <cellStyle name="%_Отчет о движении ден.средств (прямой и косвенный)_система ППР о скидках-1_SVOD 1108 MBKKK budget-act v6_Сырье-проценты" xfId="2269"/>
    <cellStyle name="%_Отчет о движении ден.средств (прямой и косвенный)_система ППР о скидках-1_SVOD 1208 MBKKK budget-act v1" xfId="2270"/>
    <cellStyle name="%_Отчет о движении ден.средств (прямой и косвенный)_система ППР о скидках-1_SVOD 1208 MBKKK budget-act v1 2" xfId="2271"/>
    <cellStyle name="%_Отчет о движении ден.средств (прямой и косвенный)_система ППР о скидках-1_SVOD 1208 MBKKK budget-act v1_0609-budge-Kolomenskoe-v6_final" xfId="2272"/>
    <cellStyle name="%_Отчет о движении ден.средств (прямой и косвенный)_система ППР о скидках-1_SVOD 1208 MBKKK budget-act v1_0609-swod-kolomenskoe-v1" xfId="2273"/>
    <cellStyle name="%_Отчет о движении ден.средств (прямой и косвенный)_система ППР о скидках-1_SVOD 1208 MBKKK budget-act v1_MBKKK-BP-2009-months-v20-project_2" xfId="2274"/>
    <cellStyle name="%_Отчет о движении ден.средств (прямой и косвенный)_система ППР о скидках-1_SVOD 1208 MBKKK budget-act v1_Сырье-проценты" xfId="2275"/>
    <cellStyle name="%_Отчет о движении ден.средств (прямой и косвенный)_система ППР о скидках-1_Xl0000000" xfId="2276"/>
    <cellStyle name="%_Отчет о движении ден.средств (прямой и косвенный)_система ППР о скидках-1_бюджет январь 2009г xls (3)" xfId="2277"/>
    <cellStyle name="%_Отчет о движении ден.средств (прямой и косвенный)_система ППР о скидках-1_бюджет январь 2009г xls (3) 2" xfId="2278"/>
    <cellStyle name="%_Отчет о движении ден.средств (прямой и косвенный)_система ППР о скидках-1_бюджет январь 2009г xls (3)_0609-budge-Kolomenskoe-v6_final" xfId="2279"/>
    <cellStyle name="%_Отчет о движении ден.средств (прямой и косвенный)_система ППР о скидках-1_бюджет январь 2009г xls (3)_0609-swod-kolomenskoe-v1" xfId="2280"/>
    <cellStyle name="%_Отчет о движении ден.средств (прямой и косвенный)_система ППР о скидках-1_бюджет январь 2009г xls (3)_MBKKK-BP-2009-months-v20-project_2" xfId="2281"/>
    <cellStyle name="%_Отчет о движении ден.средств (прямой и косвенный)_система ППР о скидках-1_бюджет январь 2009г xls (3)_Сырье-проценты" xfId="2282"/>
    <cellStyle name="%_Отчет о движении ден.средств (прямой и косвенный)_система ППР о скидках-1_Детский ассортимент_график входа" xfId="2283"/>
    <cellStyle name="%_Отчет о движении ден.средств (прямой и косвенный)_система ППР о скидках-1_Детский ассортимент_Окупаемость версия" xfId="2284"/>
    <cellStyle name="%_Отчет о движении ден.средств (прямой и косвенный)_система ППР о скидках-1_Компоновка" xfId="2285"/>
    <cellStyle name="%_Отчет о движении ден.средств (прямой и косвенный)_система ППР о скидках-1_Компоновка 2" xfId="2286"/>
    <cellStyle name="%_Отчет о движении ден.средств (прямой и косвенный)_система ППР о скидках-1_Копия SVOD 1208 MBKKK budget-act v2(с планом PL-январь)" xfId="2287"/>
    <cellStyle name="%_Отчет о движении ден.средств (прямой и косвенный)_система ППР о скидках-1_Копия SVOD 1208 MBKKK budget-act v2(с планом PL-январь) 2" xfId="2288"/>
    <cellStyle name="%_Отчет о движении ден.средств (прямой и косвенный)_система ППР о скидках-1_МБКК -план развития 2009-хлеб с перевзвешенным падением-3" xfId="2289"/>
    <cellStyle name="%_Отчет о движении ден.средств (прямой и косвенный)_система ППР о скидках-1_Модель-2009 год" xfId="2290"/>
    <cellStyle name="%_Отчет о движении ден.средств (прямой и косвенный)_система ППР о скидках-1_Модель-2009 год 2" xfId="2291"/>
    <cellStyle name="%_Отчет о движении ден.средств (прямой и косвенный)_система ППР о скидках-1_Модель-2009 год_0609-budge-Kolomenskoe-v6_final" xfId="2292"/>
    <cellStyle name="%_Отчет о движении ден.средств (прямой и косвенный)_система ППР о скидках-1_Модель-2009 год_0609-swod-kolomenskoe-v1" xfId="2293"/>
    <cellStyle name="%_Отчет о движении ден.средств (прямой и косвенный)_система ППР о скидках-1_Модель-2009 год_MBKKK-BP-2009-months-v20-project_2" xfId="2294"/>
    <cellStyle name="%_Отчет о движении ден.средств (прямой и косвенный)_система ППР о скидках-1_Модель-2009 год_Сырье-проценты" xfId="2295"/>
    <cellStyle name="%_Отчет о движении ден.средств (прямой и косвенный)_система ППР о скидках-1_Объ" xfId="2296"/>
    <cellStyle name="%_Отчет о движении ден.средств (прямой и косвенный)_система ППР о скидках-1_Объ 2" xfId="2297"/>
    <cellStyle name="%_Отчет о движении ден.средств (прямой и косвенный)_система ППР о скидках-1_Оперплан_2010_13_01_2010_версия_10_уточн" xfId="2298"/>
    <cellStyle name="%_Отчет о движении ден.средств (прямой и косвенный)_система ППР о скидках-1_Прогноз_BS_PL_CF_v5" xfId="2299"/>
    <cellStyle name="%_Отчет о движении ден.средств (прямой и косвенный)_система ППР о скидках-1_Сводный отчет" xfId="2300"/>
    <cellStyle name="%_Отчет о движении ден.средств (прямой и косвенный)_система ППР о скидках-1_Сводный отчет 2" xfId="2301"/>
    <cellStyle name="%_Отчет о движении ден.средств (прямой и косвенный)_система ППР о скидках-1_Сводный отчет МБКК за май 2009 v2" xfId="2302"/>
    <cellStyle name="%_Отчет о движении ден.средств (прямой и косвенный)_система ППР о скидках-1_Сводный отчет МБКК за май 2009 v2 2" xfId="2303"/>
    <cellStyle name="%_Отчет о движении ден.средств (прямой и косвенный)_система ППР о скидках-1_Сводный отчет МБКК_05 02 09(правка)" xfId="2304"/>
    <cellStyle name="%_Отчет о движении ден.средств (прямой и косвенный)_система ППР о скидках-1_Сводный отчет МБКК_05 02 09(правка) 2" xfId="2305"/>
    <cellStyle name="%_Отчет о движении ден.средств (прямой и косвенный)_система ППР о скидках-1_Сводный_отчет_май_2009" xfId="2306"/>
    <cellStyle name="%_Отчет о движении ден.средств (прямой и косвенный)_система ППР о скидках-1_Сводный_отчет_май_2009 2" xfId="2307"/>
    <cellStyle name="%_Отчет о движении ден.средств (прямой и косвенный)_система ППР о скидках-1_Сводный_отчет_май_2009_CF_без реорганизации" xfId="2308"/>
    <cellStyle name="%_Отчет о движении ден.средств (прямой и косвенный)_система ППР о скидках-1_Сводный_отчет_май_2009_MBKK_dec_2010_18_01_11_вер_1" xfId="2309"/>
    <cellStyle name="%_Отчет о движении ден.средств (прямой и косвенный)_система ППР о скидках-1_Сводный_отчет_май_2009_MBKK_jan_2011_08_02_11_вер_1" xfId="2310"/>
    <cellStyle name="%_Отчет о движении ден.средств (прямой и косвенный)_система ППР о скидках-1_Сводный_отчет_май_2009_MBKK_jule_2010_09_08_10_вер_1" xfId="2311"/>
    <cellStyle name="%_Отчет о движении ден.средств (прямой и косвенный)_система ППР о скидках-1_Сводный_отчет_май_2009_MBKK_nov_2010_09_12_10_вер_1" xfId="2312"/>
    <cellStyle name="%_Отчет о движении ден.средств (прямой и косвенный)_система ППР о скидках-1_Сводный_отчет_май_2009_MBKK_oct_2010_10_11_10_вер_1" xfId="2313"/>
    <cellStyle name="%_Отчет о движении ден.средств (прямой и косвенный)_система ППР о скидках-1_Сводный_отчет_май_2009_MBKK_sep_2010_05_10_10_вер_1" xfId="2314"/>
    <cellStyle name="%_Отчет о движении ден.средств (прямой и косвенный)_система ППР о скидках-1_Сводный_отчет_май_2009_MBKK_sept_2010_03_08_10_вер_2" xfId="2315"/>
    <cellStyle name="%_Отчет о движении ден.средств (прямой и косвенный)_система ППР о скидках-1_Сводный_отчет_май_2009_PL_прогноз" xfId="2316"/>
    <cellStyle name="%_Отчет о движении ден.средств (прямой и косвенный)_система ППР о скидках-1_Сводный_отчет_май_2009_Xl0000000" xfId="2317"/>
    <cellStyle name="%_Отчет о движении ден.средств (прямой и косвенный)_система ППР о скидках-1_Сводный_отчет_май_2009_Таблица расходов" xfId="2318"/>
    <cellStyle name="%_Отчет о движении ден.средств (прямой и косвенный)_система ППР о скидках-1_Сводный_отчет_май_2009_Формат" xfId="2319"/>
    <cellStyle name="%_Отчет о движении ден.средств (прямой и косвенный)_система ППР о скидках-1_смайнекс PL0209" xfId="2320"/>
    <cellStyle name="%_Отчет о движении ден.средств (прямой и косвенный)_система ППР о скидках-1_смайнекс PL0209 2" xfId="2321"/>
    <cellStyle name="%_Отчет о движении ден.средств (прямой и косвенный)_система ППР о скидках-1_Сырье-проценты" xfId="2322"/>
    <cellStyle name="%_Отчет о движении ден.средств (прямой и косвенный)_система ППР о скидках-1_Таблица расходов" xfId="2323"/>
    <cellStyle name="%_Отчет о движении ден.средств (прямой и косвенный)_система ППР о скидках-1_Торты" xfId="2324"/>
    <cellStyle name="%_Отчет о движении ден.средств (прямой и косвенный)_система ППР о скидках-1_Формат" xfId="2325"/>
    <cellStyle name="%_План продаж" xfId="2326"/>
    <cellStyle name="%_План продаж 2" xfId="2327"/>
    <cellStyle name="%_Прогноз_BS_PL_CF_v5" xfId="2328"/>
    <cellStyle name="%_Продажи" xfId="2329"/>
    <cellStyle name="%_продажи 2" xfId="2330"/>
    <cellStyle name="%_продажи 2 2" xfId="2331"/>
    <cellStyle name="%_Продажи 3" xfId="2332"/>
    <cellStyle name="%_Продажи 4" xfId="2333"/>
    <cellStyle name="%_Продажи апрель" xfId="2334"/>
    <cellStyle name="%_Продажи апрель 2" xfId="2335"/>
    <cellStyle name="%_Развернутый Бюджет" xfId="2336"/>
    <cellStyle name="%_Развернутый Бюджет 2" xfId="2337"/>
    <cellStyle name="%_Сводный отчет" xfId="2338"/>
    <cellStyle name="%_Сводный отчет 2" xfId="2339"/>
    <cellStyle name="%_Сводный отчет МБКК за май 2009 v2" xfId="2340"/>
    <cellStyle name="%_Сводный отчет МБКК за май 2009 v2 2" xfId="2341"/>
    <cellStyle name="%_Сводный отчет МБКК_05 02 09(правка)" xfId="2342"/>
    <cellStyle name="%_Сводный отчет МБКК_05 02 09(правка) 2" xfId="2343"/>
    <cellStyle name="%_Сводный_отчет_май_2009" xfId="2344"/>
    <cellStyle name="%_Сводный_отчет_май_2009_CF_без реорганизации" xfId="2345"/>
    <cellStyle name="%_Сводный_отчет_май_2009_MBKK_dec_2010_18_01_11_вер_1" xfId="2346"/>
    <cellStyle name="%_Сводный_отчет_май_2009_MBKK_jan_2011_08_02_11_вер_1" xfId="2347"/>
    <cellStyle name="%_Сводный_отчет_май_2009_MBKK_jule_2010_09_08_10_вер_1" xfId="2348"/>
    <cellStyle name="%_Сводный_отчет_май_2009_MBKK_nov_2010_09_12_10_вер_1" xfId="2349"/>
    <cellStyle name="%_Сводный_отчет_май_2009_MBKK_oct_2010_10_11_10_вер_1" xfId="2350"/>
    <cellStyle name="%_Сводный_отчет_май_2009_MBKK_sep_2010_05_10_10_вер_1" xfId="2351"/>
    <cellStyle name="%_Сводный_отчет_май_2009_MBKK_sept_2010_03_08_10_вер_2" xfId="2352"/>
    <cellStyle name="%_Сводный_отчет_май_2009_PL_прогноз" xfId="2353"/>
    <cellStyle name="%_Сводный_отчет_май_2009_Xl0000000" xfId="2354"/>
    <cellStyle name="%_Сводный_отчет_май_2009_Таблица расходов" xfId="2355"/>
    <cellStyle name="%_Сводный_отчет_май_2009_Формат" xfId="2356"/>
    <cellStyle name="%_Себестоимость" xfId="2357"/>
    <cellStyle name="%_система ППР о скидках-1" xfId="2358"/>
    <cellStyle name="%_система ППР о скидках-1 2" xfId="2359"/>
    <cellStyle name="%_смайнекс PL0209" xfId="2360"/>
    <cellStyle name="%_смайнекс PL0209 2" xfId="2361"/>
    <cellStyle name="%_Сырье" xfId="2362"/>
    <cellStyle name="%_Сырье 2" xfId="2363"/>
    <cellStyle name="%_Сырье плна-май" xfId="2364"/>
    <cellStyle name="%_Сырье плна-май 2" xfId="2365"/>
    <cellStyle name="%_Сырье-SKU" xfId="2366"/>
    <cellStyle name="%_Сырье-новое (хорошее)" xfId="2367"/>
    <cellStyle name="%_Сырье-продажи" xfId="2368"/>
    <cellStyle name="%_Сырье-продажи 2" xfId="2369"/>
    <cellStyle name="%_Сырье-проценты" xfId="2370"/>
    <cellStyle name="%_Торты" xfId="2371"/>
    <cellStyle name="%_Формат" xfId="2372"/>
    <cellStyle name="_x0012_? ИЂA?_x000e_?2?V?z?ћ?В?ж?_x000a__x0001_._x0001_R_x0001_v_x0001_љ_x0001_ѕ_x0001_в_x0001__x0006__x0002_*_x0002_????#?_x0010_?_x0001_?p_x0012_p_x0012_p_x0012_????????????????????????????????????????????????????????????????_x0018_" xfId="2373"/>
    <cellStyle name="_~0629145" xfId="2374"/>
    <cellStyle name="_~1841741" xfId="2375"/>
    <cellStyle name="_~3033673" xfId="2376"/>
    <cellStyle name="_02_22_на март_ОЛИМП" xfId="2377"/>
    <cellStyle name="_12_" xfId="2378"/>
    <cellStyle name="_1Коммерческие расходы КОММЕРЧЕСКАЯ СЛУЖБА  ноябрь, декабрь, январь 2009" xfId="2379"/>
    <cellStyle name="_23_05_ФМОрленок_Включить_макросы(v2-2-13)_на д-х_SD_ФО_и_ДПП_Draft" xfId="2380"/>
    <cellStyle name="_458(Росавтодор)" xfId="2381"/>
    <cellStyle name="_Addr.18-Pillar.SPb.Coca-Cola.04.2007" xfId="2382"/>
    <cellStyle name="_balustr" xfId="2383"/>
    <cellStyle name="_CC weights model" xfId="2384"/>
    <cellStyle name="_CDOCUME~1SSTREB~1LOCALS~1TempGWViewerCC pillars in Vladivostok Oct'2006" xfId="2385"/>
    <cellStyle name="_CF05" xfId="2386"/>
    <cellStyle name="_Electrolux_Buying_Guarantees Spain OK" xfId="2387"/>
    <cellStyle name="_Electrolux_Buying_Guarantees TV 2" xfId="2388"/>
    <cellStyle name="_Electrolux_Buying_Guarantees UK" xfId="2389"/>
    <cellStyle name="_Electrolux_Buying_Guarantees_Russia" xfId="2390"/>
    <cellStyle name="_Electrolux_Buying_Guarantees_SW" xfId="2391"/>
    <cellStyle name="_Electrolux_Buying_Guarantees_TV" xfId="2392"/>
    <cellStyle name="_Electrolux_Buying_Guarantees_Ukraine" xfId="2393"/>
    <cellStyle name="_Electrolux_Buying_Guarantees1" xfId="2394"/>
    <cellStyle name="_Electrolux_Buying_Guarantees1_NO" xfId="2395"/>
    <cellStyle name="_Electrolux_Buying_Guarantees3" xfId="2396"/>
    <cellStyle name="_Estimación Costes" xfId="2397"/>
    <cellStyle name="_FC ПИВО" xfId="2398"/>
    <cellStyle name="_Florist_margin_new" xfId="2399"/>
    <cellStyle name="_France Billboard Guarantees Electrolux" xfId="2400"/>
    <cellStyle name="_France Press Guarantees Electrolux" xfId="2401"/>
    <cellStyle name="_Germany_Pitch Cash" xfId="2402"/>
    <cellStyle name="_Germany_Print" xfId="2403"/>
    <cellStyle name="_GoldfishkaNardy_margin" xfId="2404"/>
    <cellStyle name="_Ingoss_DMS_2010_margin" xfId="2405"/>
    <cellStyle name="_Italy - Vizeum 13th Aug 2003" xfId="2406"/>
    <cellStyle name="_Jet System_margin" xfId="2407"/>
    <cellStyle name="_kiss" xfId="2408"/>
    <cellStyle name="_MediacomFrancePressguaranteesV2" xfId="2409"/>
    <cellStyle name="_MediacomFrancePressguaranteesV22" xfId="2410"/>
    <cellStyle name="_Miller Helloween" xfId="2411"/>
    <cellStyle name="_moscow&amp;stpetersburg" xfId="2412"/>
    <cellStyle name="_Nestea 11 OOH plan 060720" xfId="2413"/>
    <cellStyle name="_NEW 2009 (1.01.09) !!!Расчет условий GRP НТВ ТНТ Рен-ТВ-Регион 2009" xfId="2414"/>
    <cellStyle name="_OG_Coca-Cola_апрель_Klient_170107" xfId="2415"/>
    <cellStyle name="_Ohota Promo Print consol (08.06.07)" xfId="2416"/>
    <cellStyle name="_Puma 2005 estimate" xfId="2417"/>
    <cellStyle name="_Puma 2005 estimate (2)" xfId="2418"/>
    <cellStyle name="_PUMA_Mos_Metro_2005_10-02-05" xfId="2419"/>
    <cellStyle name="_Puma_OOH_CF_BB_Approved_10-03-05" xfId="2420"/>
    <cellStyle name="_Puma_OOH_City-formats_Billboards_MUST_Proposal_28-12-04" xfId="2421"/>
    <cellStyle name="_Puma_OOH_City-formats_Billboards_Summary_Proposal_28-12-04" xfId="2422"/>
    <cellStyle name="_PUMA_Piter_Light box escalator_30-12-04" xfId="2423"/>
    <cellStyle name="_Rodex_margin" xfId="2424"/>
    <cellStyle name="_sneki viral 10-07-2007" xfId="2425"/>
    <cellStyle name="_Starcom_CocaCola_декабрь 2006_выборка_регионы" xfId="2426"/>
    <cellStyle name="_travel_market_margin" xfId="2427"/>
    <cellStyle name="_Union_Media_plan_DEPO_2008_3 (в нашей форме)" xfId="2428"/>
    <cellStyle name="_Vestel_margin" xfId="2429"/>
    <cellStyle name="_vtbins_base_plan1" xfId="2430"/>
    <cellStyle name="_Winston ERA 22 06 09 клиент размещение" xfId="2431"/>
    <cellStyle name="_Winston ERA 5 06 09" xfId="2432"/>
    <cellStyle name="_Winston ERA 8 06 09" xfId="2433"/>
    <cellStyle name="_Winston ERA 8 06 09 (2)" xfId="2434"/>
    <cellStyle name="_-xls" xfId="2435"/>
    <cellStyle name="_адресные программы 06.09.07" xfId="2436"/>
    <cellStyle name="_адресные программы 18.11.08" xfId="2437"/>
    <cellStyle name="_адресные программы 26.11.07" xfId="2438"/>
    <cellStyle name="_адресные программы 30.10.07" xfId="2439"/>
    <cellStyle name="_Акт" xfId="2440"/>
    <cellStyle name="_баинг бигабум ТВ 120309" xfId="2441"/>
    <cellStyle name="_Беталинк перетки от 25.04.07" xfId="2442"/>
    <cellStyle name="_Бигабум_3х6_Новосибирск" xfId="2443"/>
    <cellStyle name="_борта" xfId="2444"/>
    <cellStyle name="_бюджет февраля" xfId="2445"/>
    <cellStyle name="_бюджет февраля_22 02 08_1 (7)" xfId="2446"/>
    <cellStyle name="_Бюджет_себ" xfId="2447"/>
    <cellStyle name="_ВТБ Страхование_08-0404_ВТБ Страхование_8 07 08_себ" xfId="2448"/>
    <cellStyle name="_ВТБ Страхование_08-0404_клиентский с корректировками_23 07 08" xfId="2449"/>
    <cellStyle name="_ВТБ Страхование_интернет_08-0404_клиентский с корректировками_19 09 08" xfId="2450"/>
    <cellStyle name="_ВТБ-Страхование_банер" xfId="2451"/>
    <cellStyle name="_ВТБ-Страхование_медиа_27 05" xfId="2452"/>
    <cellStyle name="_ДДС для проектов АПРЕЛЬ" xfId="2453"/>
    <cellStyle name="_Диорит-Технис_09-1404_NORD 13 04 09_ver.2" xfId="2454"/>
    <cellStyle name="_Дозакл 5 мес.2000" xfId="2455"/>
    <cellStyle name="_Запрос перетяжки" xfId="2456"/>
    <cellStyle name="_Интернет" xfId="2457"/>
    <cellStyle name="_Интернет_итог" xfId="2458"/>
    <cellStyle name="_Книга6 (14)" xfId="2459"/>
    <cellStyle name="_Коломенское Бизнес -март" xfId="2460"/>
    <cellStyle name="_Коммерческие расходы КОММЕРЧЕСКАЯ СЛУЖБА   июль - август - сентябрь 2008 " xfId="11"/>
    <cellStyle name="_Коммерческие расходы КОММЕРЧЕСКАЯ СЛУЖБА март - апрель - май 2008" xfId="2461"/>
    <cellStyle name="_Коммерческие расходы март - апрель - май 2008-маркетинг" xfId="2462"/>
    <cellStyle name="_Копия vtbins_base_plan1" xfId="2463"/>
    <cellStyle name="_Копия Копия БП_2008-2009 _19 02 08_VL(3_года)" xfId="2464"/>
    <cellStyle name="_Лист1" xfId="2465"/>
    <cellStyle name="_накладная" xfId="2466"/>
    <cellStyle name="_Новая  версия  ФОТ с ночными и праздничными на ИЮЛЬ  2008 года " xfId="12"/>
    <cellStyle name="_Новая версия ФОТ на Апрель 2008 года " xfId="13"/>
    <cellStyle name="_Норд_вар 1_нов_себ" xfId="2467"/>
    <cellStyle name="_Ответ от Баинга" xfId="2468"/>
    <cellStyle name="_ПИВО" xfId="2469"/>
    <cellStyle name="_ПИВО милионники" xfId="2470"/>
    <cellStyle name="_Програмное обеспечение_транспорт_регионы_от 20 11 2009" xfId="2471"/>
    <cellStyle name="_Расчеты_бытовая техника_22 12 06" xfId="2472"/>
    <cellStyle name="_РосЕвроБанк_22 04" xfId="2473"/>
    <cellStyle name="_Сб-macro 2020" xfId="2474"/>
    <cellStyle name="_сделка 250309" xfId="2475"/>
    <cellStyle name="_СМР и Проектирование" xfId="2476"/>
    <cellStyle name="_сырье материалы упаковка" xfId="2477"/>
    <cellStyle name="_сырье материалы упаковка март 2008г" xfId="2478"/>
    <cellStyle name="_сырье материалы упаковка мартxls" xfId="2479"/>
    <cellStyle name="_сырье материалы упаковкафевраль 2008г (1)" xfId="2480"/>
    <cellStyle name="_Три поросенка_мониторы_091209_сбст_Москва_янв-фев" xfId="2481"/>
    <cellStyle name="_ФОТ на Март 2008 года" xfId="2482"/>
    <cellStyle name="_Январь 2010 г. Т2 (Затраты КС неденежные)" xfId="2483"/>
    <cellStyle name="”€ЌЂЌ‘Ћ‚›‰" xfId="2484"/>
    <cellStyle name="”€ЌЂЌ‘Ћ‚›‰ 2" xfId="2485"/>
    <cellStyle name="”€љ‘€ђЋ‚ЂЌЌ›‰" xfId="2486"/>
    <cellStyle name="”€љ‘€ђЋ‚ЂЌЌ›‰ 2" xfId="2487"/>
    <cellStyle name="”ЌЂЌ‘Ћ‚›‰" xfId="2488"/>
    <cellStyle name="”љ‘ђЋ‚ЂЌЌ›‰" xfId="2489"/>
    <cellStyle name="„…Ќ…†Ќ›‰" xfId="2490"/>
    <cellStyle name="€’ЋѓЋ‚›‰" xfId="2491"/>
    <cellStyle name="€’ЋѓЋ‚›‰ 2" xfId="2492"/>
    <cellStyle name="‡ЂѓЋ‹Ћ‚Ћљ1" xfId="2493"/>
    <cellStyle name="‡ЂѓЋ‹Ћ‚Ћљ2" xfId="2494"/>
    <cellStyle name="’ЋѓЋ‚›‰" xfId="2495"/>
    <cellStyle name="1Normal" xfId="2496"/>
    <cellStyle name="2.Жирный" xfId="2497"/>
    <cellStyle name="2.Жирный 2" xfId="2498"/>
    <cellStyle name="20% - Accent1" xfId="2499"/>
    <cellStyle name="20% - Accent1 2" xfId="2500"/>
    <cellStyle name="20% - Accent1 3" xfId="2501"/>
    <cellStyle name="20% - Accent2" xfId="2502"/>
    <cellStyle name="20% - Accent2 2" xfId="2503"/>
    <cellStyle name="20% - Accent2 3" xfId="2504"/>
    <cellStyle name="20% - Accent3" xfId="2505"/>
    <cellStyle name="20% - Accent3 2" xfId="2506"/>
    <cellStyle name="20% - Accent3 3" xfId="2507"/>
    <cellStyle name="20% - Accent4" xfId="2508"/>
    <cellStyle name="20% - Accent4 2" xfId="2509"/>
    <cellStyle name="20% - Accent4 3" xfId="2510"/>
    <cellStyle name="20% - Accent5" xfId="2511"/>
    <cellStyle name="20% - Accent5 2" xfId="2512"/>
    <cellStyle name="20% - Accent5 3" xfId="2513"/>
    <cellStyle name="20% - Accent6" xfId="2514"/>
    <cellStyle name="20% - Accent6 2" xfId="2515"/>
    <cellStyle name="20% - Accent6 3" xfId="2516"/>
    <cellStyle name="20% - Акцент1 2" xfId="2517"/>
    <cellStyle name="20% - Акцент1 2 2" xfId="2518"/>
    <cellStyle name="20% - Акцент1 3" xfId="2519"/>
    <cellStyle name="20% - Акцент1 3 2" xfId="2520"/>
    <cellStyle name="20% - Акцент1 3 3" xfId="2521"/>
    <cellStyle name="20% - Акцент1 3 3 2" xfId="2522"/>
    <cellStyle name="20% - Акцент1 3 3 2 2" xfId="2523"/>
    <cellStyle name="20% - Акцент1 3 3 3" xfId="2524"/>
    <cellStyle name="20% - Акцент1 3 4" xfId="2525"/>
    <cellStyle name="20% - Акцент1 3 4 2" xfId="2526"/>
    <cellStyle name="20% - Акцент1 3 4 2 2" xfId="2527"/>
    <cellStyle name="20% - Акцент1 3 4 3" xfId="2528"/>
    <cellStyle name="20% - Акцент1 3 5" xfId="2529"/>
    <cellStyle name="20% - Акцент1 3 5 2" xfId="2530"/>
    <cellStyle name="20% - Акцент1 3 5 2 2" xfId="2531"/>
    <cellStyle name="20% - Акцент1 3 5 3" xfId="2532"/>
    <cellStyle name="20% - Акцент1 3 6" xfId="2533"/>
    <cellStyle name="20% - Акцент1 3 6 2" xfId="2534"/>
    <cellStyle name="20% - Акцент1 3 7" xfId="2535"/>
    <cellStyle name="20% - Акцент1 4" xfId="2536"/>
    <cellStyle name="20% - Акцент1 5" xfId="2537"/>
    <cellStyle name="20% - Акцент1 6" xfId="2538"/>
    <cellStyle name="20% - Акцент2 2" xfId="2539"/>
    <cellStyle name="20% - Акцент2 2 2" xfId="2540"/>
    <cellStyle name="20% - Акцент2 3" xfId="2541"/>
    <cellStyle name="20% - Акцент2 3 2" xfId="2542"/>
    <cellStyle name="20% - Акцент2 3 3" xfId="2543"/>
    <cellStyle name="20% - Акцент2 3 3 2" xfId="2544"/>
    <cellStyle name="20% - Акцент2 3 3 2 2" xfId="2545"/>
    <cellStyle name="20% - Акцент2 3 3 3" xfId="2546"/>
    <cellStyle name="20% - Акцент2 3 4" xfId="2547"/>
    <cellStyle name="20% - Акцент2 3 4 2" xfId="2548"/>
    <cellStyle name="20% - Акцент2 3 4 2 2" xfId="2549"/>
    <cellStyle name="20% - Акцент2 3 4 3" xfId="2550"/>
    <cellStyle name="20% - Акцент2 3 5" xfId="2551"/>
    <cellStyle name="20% - Акцент2 3 5 2" xfId="2552"/>
    <cellStyle name="20% - Акцент2 3 5 2 2" xfId="2553"/>
    <cellStyle name="20% - Акцент2 3 5 3" xfId="2554"/>
    <cellStyle name="20% - Акцент2 3 6" xfId="2555"/>
    <cellStyle name="20% - Акцент2 3 6 2" xfId="2556"/>
    <cellStyle name="20% - Акцент2 3 7" xfId="2557"/>
    <cellStyle name="20% - Акцент2 4" xfId="2558"/>
    <cellStyle name="20% - Акцент2 5" xfId="2559"/>
    <cellStyle name="20% - Акцент2 6" xfId="2560"/>
    <cellStyle name="20% - Акцент3 2" xfId="2561"/>
    <cellStyle name="20% - Акцент3 2 2" xfId="2562"/>
    <cellStyle name="20% - Акцент3 3" xfId="2563"/>
    <cellStyle name="20% - Акцент3 3 2" xfId="2564"/>
    <cellStyle name="20% - Акцент3 3 3" xfId="2565"/>
    <cellStyle name="20% - Акцент3 3 3 2" xfId="2566"/>
    <cellStyle name="20% - Акцент3 3 3 2 2" xfId="2567"/>
    <cellStyle name="20% - Акцент3 3 3 3" xfId="2568"/>
    <cellStyle name="20% - Акцент3 3 4" xfId="2569"/>
    <cellStyle name="20% - Акцент3 3 4 2" xfId="2570"/>
    <cellStyle name="20% - Акцент3 3 4 2 2" xfId="2571"/>
    <cellStyle name="20% - Акцент3 3 4 3" xfId="2572"/>
    <cellStyle name="20% - Акцент3 3 5" xfId="2573"/>
    <cellStyle name="20% - Акцент3 3 5 2" xfId="2574"/>
    <cellStyle name="20% - Акцент3 3 5 2 2" xfId="2575"/>
    <cellStyle name="20% - Акцент3 3 5 3" xfId="2576"/>
    <cellStyle name="20% - Акцент3 3 6" xfId="2577"/>
    <cellStyle name="20% - Акцент3 3 6 2" xfId="2578"/>
    <cellStyle name="20% - Акцент3 3 7" xfId="2579"/>
    <cellStyle name="20% - Акцент3 4" xfId="2580"/>
    <cellStyle name="20% - Акцент3 5" xfId="2581"/>
    <cellStyle name="20% - Акцент3 6" xfId="2582"/>
    <cellStyle name="20% - Акцент4 2" xfId="2583"/>
    <cellStyle name="20% - Акцент4 2 2" xfId="2584"/>
    <cellStyle name="20% - Акцент4 3" xfId="2585"/>
    <cellStyle name="20% - Акцент4 3 2" xfId="2586"/>
    <cellStyle name="20% - Акцент4 3 2 2" xfId="2587"/>
    <cellStyle name="20% - Акцент4 3 2 2 2" xfId="2588"/>
    <cellStyle name="20% - Акцент4 3 2 2 2 2" xfId="2589"/>
    <cellStyle name="20% - Акцент4 3 2 2 3" xfId="2590"/>
    <cellStyle name="20% - Акцент4 3 2 3" xfId="2591"/>
    <cellStyle name="20% - Акцент4 3 2 3 2" xfId="2592"/>
    <cellStyle name="20% - Акцент4 3 2 4" xfId="2593"/>
    <cellStyle name="20% - Акцент4 3 3" xfId="2594"/>
    <cellStyle name="20% - Акцент4 3 3 2" xfId="2595"/>
    <cellStyle name="20% - Акцент4 3 3 2 2" xfId="2596"/>
    <cellStyle name="20% - Акцент4 3 3 3" xfId="2597"/>
    <cellStyle name="20% - Акцент4 3 4" xfId="2598"/>
    <cellStyle name="20% - Акцент4 3 4 2" xfId="2599"/>
    <cellStyle name="20% - Акцент4 3 4 2 2" xfId="2600"/>
    <cellStyle name="20% - Акцент4 3 4 3" xfId="2601"/>
    <cellStyle name="20% - Акцент4 3 5" xfId="2602"/>
    <cellStyle name="20% - Акцент4 3 5 2" xfId="2603"/>
    <cellStyle name="20% - Акцент4 3 5 2 2" xfId="2604"/>
    <cellStyle name="20% - Акцент4 3 5 3" xfId="2605"/>
    <cellStyle name="20% - Акцент4 3 6" xfId="2606"/>
    <cellStyle name="20% - Акцент4 3 6 2" xfId="2607"/>
    <cellStyle name="20% - Акцент4 3 7" xfId="2608"/>
    <cellStyle name="20% - Акцент4 4" xfId="2609"/>
    <cellStyle name="20% - Акцент4 5" xfId="2610"/>
    <cellStyle name="20% - Акцент4 6" xfId="2611"/>
    <cellStyle name="20% - Акцент5 2" xfId="2612"/>
    <cellStyle name="20% - Акцент5 2 2" xfId="2613"/>
    <cellStyle name="20% - Акцент5 2 3" xfId="2614"/>
    <cellStyle name="20% - Акцент5 2 3 2" xfId="2615"/>
    <cellStyle name="20% - Акцент5 2 3 2 2" xfId="2616"/>
    <cellStyle name="20% - Акцент5 2 3 3" xfId="2617"/>
    <cellStyle name="20% - Акцент5 2 4" xfId="2618"/>
    <cellStyle name="20% - Акцент5 2 4 2" xfId="2619"/>
    <cellStyle name="20% - Акцент5 2 4 2 2" xfId="2620"/>
    <cellStyle name="20% - Акцент5 2 4 3" xfId="2621"/>
    <cellStyle name="20% - Акцент5 2 5" xfId="2622"/>
    <cellStyle name="20% - Акцент5 2 5 2" xfId="2623"/>
    <cellStyle name="20% - Акцент5 2 5 2 2" xfId="2624"/>
    <cellStyle name="20% - Акцент5 2 5 3" xfId="2625"/>
    <cellStyle name="20% - Акцент5 2 6" xfId="2626"/>
    <cellStyle name="20% - Акцент5 2 7" xfId="2627"/>
    <cellStyle name="20% - Акцент5 2 7 2" xfId="2628"/>
    <cellStyle name="20% - Акцент5 2 8" xfId="2629"/>
    <cellStyle name="20% - Акцент5 3" xfId="2630"/>
    <cellStyle name="20% - Акцент5 4" xfId="2631"/>
    <cellStyle name="20% - Акцент5 5" xfId="2632"/>
    <cellStyle name="20% - Акцент5 6" xfId="2633"/>
    <cellStyle name="20% - Акцент6 2" xfId="2634"/>
    <cellStyle name="20% - Акцент6 2 2" xfId="2635"/>
    <cellStyle name="20% - Акцент6 2 3" xfId="2636"/>
    <cellStyle name="20% - Акцент6 2 3 2" xfId="2637"/>
    <cellStyle name="20% - Акцент6 2 3 2 2" xfId="2638"/>
    <cellStyle name="20% - Акцент6 2 3 3" xfId="2639"/>
    <cellStyle name="20% - Акцент6 2 4" xfId="2640"/>
    <cellStyle name="20% - Акцент6 2 4 2" xfId="2641"/>
    <cellStyle name="20% - Акцент6 2 4 2 2" xfId="2642"/>
    <cellStyle name="20% - Акцент6 2 4 3" xfId="2643"/>
    <cellStyle name="20% - Акцент6 2 5" xfId="2644"/>
    <cellStyle name="20% - Акцент6 2 5 2" xfId="2645"/>
    <cellStyle name="20% - Акцент6 2 5 2 2" xfId="2646"/>
    <cellStyle name="20% - Акцент6 2 5 3" xfId="2647"/>
    <cellStyle name="20% - Акцент6 2 6" xfId="2648"/>
    <cellStyle name="20% - Акцент6 2 7" xfId="2649"/>
    <cellStyle name="20% - Акцент6 2 7 2" xfId="2650"/>
    <cellStyle name="20% - Акцент6 2 8" xfId="2651"/>
    <cellStyle name="20% - Акцент6 3" xfId="2652"/>
    <cellStyle name="20% - Акцент6 4" xfId="2653"/>
    <cellStyle name="20% - Акцент6 5" xfId="2654"/>
    <cellStyle name="20% - Акцент6 6" xfId="2655"/>
    <cellStyle name="40% - Accent1" xfId="2656"/>
    <cellStyle name="40% - Accent1 2" xfId="2657"/>
    <cellStyle name="40% - Accent1 3" xfId="2658"/>
    <cellStyle name="40% - Accent2" xfId="2659"/>
    <cellStyle name="40% - Accent2 2" xfId="2660"/>
    <cellStyle name="40% - Accent2 3" xfId="2661"/>
    <cellStyle name="40% - Accent3" xfId="2662"/>
    <cellStyle name="40% - Accent3 2" xfId="2663"/>
    <cellStyle name="40% - Accent3 3" xfId="2664"/>
    <cellStyle name="40% - Accent4" xfId="2665"/>
    <cellStyle name="40% - Accent4 2" xfId="2666"/>
    <cellStyle name="40% - Accent4 3" xfId="2667"/>
    <cellStyle name="40% - Accent5" xfId="2668"/>
    <cellStyle name="40% - Accent5 2" xfId="2669"/>
    <cellStyle name="40% - Accent5 3" xfId="2670"/>
    <cellStyle name="40% - Accent6" xfId="2671"/>
    <cellStyle name="40% - Accent6 2" xfId="2672"/>
    <cellStyle name="40% - Accent6 3" xfId="2673"/>
    <cellStyle name="40% - Акцент1 2" xfId="2674"/>
    <cellStyle name="40% - Акцент1 2 2" xfId="2675"/>
    <cellStyle name="40% - Акцент1 3" xfId="2676"/>
    <cellStyle name="40% - Акцент1 3 2" xfId="2677"/>
    <cellStyle name="40% - Акцент1 3 3" xfId="2678"/>
    <cellStyle name="40% - Акцент1 3 3 2" xfId="2679"/>
    <cellStyle name="40% - Акцент1 3 3 2 2" xfId="2680"/>
    <cellStyle name="40% - Акцент1 3 3 3" xfId="2681"/>
    <cellStyle name="40% - Акцент1 3 4" xfId="2682"/>
    <cellStyle name="40% - Акцент1 3 4 2" xfId="2683"/>
    <cellStyle name="40% - Акцент1 3 4 2 2" xfId="2684"/>
    <cellStyle name="40% - Акцент1 3 4 3" xfId="2685"/>
    <cellStyle name="40% - Акцент1 3 5" xfId="2686"/>
    <cellStyle name="40% - Акцент1 3 5 2" xfId="2687"/>
    <cellStyle name="40% - Акцент1 3 5 2 2" xfId="2688"/>
    <cellStyle name="40% - Акцент1 3 5 3" xfId="2689"/>
    <cellStyle name="40% - Акцент1 3 6" xfId="2690"/>
    <cellStyle name="40% - Акцент1 3 6 2" xfId="2691"/>
    <cellStyle name="40% - Акцент1 3 7" xfId="2692"/>
    <cellStyle name="40% - Акцент1 4" xfId="2693"/>
    <cellStyle name="40% - Акцент1 5" xfId="2694"/>
    <cellStyle name="40% - Акцент1 6" xfId="2695"/>
    <cellStyle name="40% - Акцент2 2" xfId="2696"/>
    <cellStyle name="40% - Акцент2 2 2" xfId="2697"/>
    <cellStyle name="40% - Акцент2 2 3" xfId="2698"/>
    <cellStyle name="40% - Акцент2 2 3 2" xfId="2699"/>
    <cellStyle name="40% - Акцент2 2 3 2 2" xfId="2700"/>
    <cellStyle name="40% - Акцент2 2 3 3" xfId="2701"/>
    <cellStyle name="40% - Акцент2 2 4" xfId="2702"/>
    <cellStyle name="40% - Акцент2 2 4 2" xfId="2703"/>
    <cellStyle name="40% - Акцент2 2 4 2 2" xfId="2704"/>
    <cellStyle name="40% - Акцент2 2 4 3" xfId="2705"/>
    <cellStyle name="40% - Акцент2 2 5" xfId="2706"/>
    <cellStyle name="40% - Акцент2 2 5 2" xfId="2707"/>
    <cellStyle name="40% - Акцент2 2 5 2 2" xfId="2708"/>
    <cellStyle name="40% - Акцент2 2 5 3" xfId="2709"/>
    <cellStyle name="40% - Акцент2 2 6" xfId="2710"/>
    <cellStyle name="40% - Акцент2 2 7" xfId="2711"/>
    <cellStyle name="40% - Акцент2 2 7 2" xfId="2712"/>
    <cellStyle name="40% - Акцент2 2 8" xfId="2713"/>
    <cellStyle name="40% - Акцент2 3" xfId="2714"/>
    <cellStyle name="40% - Акцент2 4" xfId="2715"/>
    <cellStyle name="40% - Акцент2 5" xfId="2716"/>
    <cellStyle name="40% - Акцент2 6" xfId="2717"/>
    <cellStyle name="40% - Акцент3 2" xfId="2718"/>
    <cellStyle name="40% - Акцент3 2 2" xfId="2719"/>
    <cellStyle name="40% - Акцент3 3" xfId="2720"/>
    <cellStyle name="40% - Акцент3 3 2" xfId="2721"/>
    <cellStyle name="40% - Акцент3 3 2 2" xfId="2722"/>
    <cellStyle name="40% - Акцент3 3 2 2 2" xfId="2723"/>
    <cellStyle name="40% - Акцент3 3 2 2 2 2" xfId="2724"/>
    <cellStyle name="40% - Акцент3 3 2 2 3" xfId="2725"/>
    <cellStyle name="40% - Акцент3 3 2 3" xfId="2726"/>
    <cellStyle name="40% - Акцент3 3 2 3 2" xfId="2727"/>
    <cellStyle name="40% - Акцент3 3 2 4" xfId="2728"/>
    <cellStyle name="40% - Акцент3 3 3" xfId="2729"/>
    <cellStyle name="40% - Акцент3 3 3 2" xfId="2730"/>
    <cellStyle name="40% - Акцент3 3 3 2 2" xfId="2731"/>
    <cellStyle name="40% - Акцент3 3 3 3" xfId="2732"/>
    <cellStyle name="40% - Акцент3 3 4" xfId="2733"/>
    <cellStyle name="40% - Акцент3 3 4 2" xfId="2734"/>
    <cellStyle name="40% - Акцент3 3 4 2 2" xfId="2735"/>
    <cellStyle name="40% - Акцент3 3 4 3" xfId="2736"/>
    <cellStyle name="40% - Акцент3 3 5" xfId="2737"/>
    <cellStyle name="40% - Акцент3 3 5 2" xfId="2738"/>
    <cellStyle name="40% - Акцент3 3 5 2 2" xfId="2739"/>
    <cellStyle name="40% - Акцент3 3 5 3" xfId="2740"/>
    <cellStyle name="40% - Акцент3 3 6" xfId="2741"/>
    <cellStyle name="40% - Акцент3 3 6 2" xfId="2742"/>
    <cellStyle name="40% - Акцент3 3 7" xfId="2743"/>
    <cellStyle name="40% - Акцент3 4" xfId="2744"/>
    <cellStyle name="40% - Акцент3 5" xfId="2745"/>
    <cellStyle name="40% - Акцент3 6" xfId="2746"/>
    <cellStyle name="40% - Акцент4 2" xfId="2747"/>
    <cellStyle name="40% - Акцент4 2 2" xfId="2748"/>
    <cellStyle name="40% - Акцент4 3" xfId="2749"/>
    <cellStyle name="40% - Акцент4 3 2" xfId="2750"/>
    <cellStyle name="40% - Акцент4 3 3" xfId="2751"/>
    <cellStyle name="40% - Акцент4 3 3 2" xfId="2752"/>
    <cellStyle name="40% - Акцент4 3 3 2 2" xfId="2753"/>
    <cellStyle name="40% - Акцент4 3 3 3" xfId="2754"/>
    <cellStyle name="40% - Акцент4 3 4" xfId="2755"/>
    <cellStyle name="40% - Акцент4 3 4 2" xfId="2756"/>
    <cellStyle name="40% - Акцент4 3 4 2 2" xfId="2757"/>
    <cellStyle name="40% - Акцент4 3 4 3" xfId="2758"/>
    <cellStyle name="40% - Акцент4 3 5" xfId="2759"/>
    <cellStyle name="40% - Акцент4 3 5 2" xfId="2760"/>
    <cellStyle name="40% - Акцент4 3 5 2 2" xfId="2761"/>
    <cellStyle name="40% - Акцент4 3 5 3" xfId="2762"/>
    <cellStyle name="40% - Акцент4 3 6" xfId="2763"/>
    <cellStyle name="40% - Акцент4 3 6 2" xfId="2764"/>
    <cellStyle name="40% - Акцент4 3 7" xfId="2765"/>
    <cellStyle name="40% - Акцент4 4" xfId="2766"/>
    <cellStyle name="40% - Акцент4 5" xfId="2767"/>
    <cellStyle name="40% - Акцент4 6" xfId="2768"/>
    <cellStyle name="40% - Акцент5 2" xfId="2769"/>
    <cellStyle name="40% - Акцент5 2 2" xfId="2770"/>
    <cellStyle name="40% - Акцент5 3" xfId="2771"/>
    <cellStyle name="40% - Акцент5 3 2" xfId="2772"/>
    <cellStyle name="40% - Акцент5 3 3" xfId="2773"/>
    <cellStyle name="40% - Акцент5 3 3 2" xfId="2774"/>
    <cellStyle name="40% - Акцент5 3 3 2 2" xfId="2775"/>
    <cellStyle name="40% - Акцент5 3 3 3" xfId="2776"/>
    <cellStyle name="40% - Акцент5 3 4" xfId="2777"/>
    <cellStyle name="40% - Акцент5 3 4 2" xfId="2778"/>
    <cellStyle name="40% - Акцент5 3 4 2 2" xfId="2779"/>
    <cellStyle name="40% - Акцент5 3 4 3" xfId="2780"/>
    <cellStyle name="40% - Акцент5 3 5" xfId="2781"/>
    <cellStyle name="40% - Акцент5 3 5 2" xfId="2782"/>
    <cellStyle name="40% - Акцент5 3 5 2 2" xfId="2783"/>
    <cellStyle name="40% - Акцент5 3 5 3" xfId="2784"/>
    <cellStyle name="40% - Акцент5 3 6" xfId="2785"/>
    <cellStyle name="40% - Акцент5 3 6 2" xfId="2786"/>
    <cellStyle name="40% - Акцент5 3 7" xfId="2787"/>
    <cellStyle name="40% - Акцент5 4" xfId="2788"/>
    <cellStyle name="40% - Акцент5 5" xfId="2789"/>
    <cellStyle name="40% - Акцент5 6" xfId="2790"/>
    <cellStyle name="40% - Акцент6 2" xfId="2791"/>
    <cellStyle name="40% - Акцент6 2 2" xfId="2792"/>
    <cellStyle name="40% - Акцент6 3" xfId="2793"/>
    <cellStyle name="40% - Акцент6 3 2" xfId="2794"/>
    <cellStyle name="40% - Акцент6 3 3" xfId="2795"/>
    <cellStyle name="40% - Акцент6 3 3 2" xfId="2796"/>
    <cellStyle name="40% - Акцент6 3 3 2 2" xfId="2797"/>
    <cellStyle name="40% - Акцент6 3 3 3" xfId="2798"/>
    <cellStyle name="40% - Акцент6 3 4" xfId="2799"/>
    <cellStyle name="40% - Акцент6 3 4 2" xfId="2800"/>
    <cellStyle name="40% - Акцент6 3 4 2 2" xfId="2801"/>
    <cellStyle name="40% - Акцент6 3 4 3" xfId="2802"/>
    <cellStyle name="40% - Акцент6 3 5" xfId="2803"/>
    <cellStyle name="40% - Акцент6 3 5 2" xfId="2804"/>
    <cellStyle name="40% - Акцент6 3 5 2 2" xfId="2805"/>
    <cellStyle name="40% - Акцент6 3 5 3" xfId="2806"/>
    <cellStyle name="40% - Акцент6 3 6" xfId="2807"/>
    <cellStyle name="40% - Акцент6 3 6 2" xfId="2808"/>
    <cellStyle name="40% - Акцент6 3 7" xfId="2809"/>
    <cellStyle name="40% - Акцент6 4" xfId="2810"/>
    <cellStyle name="40% - Акцент6 5" xfId="2811"/>
    <cellStyle name="40% - Акцент6 6" xfId="2812"/>
    <cellStyle name="60% - Accent1" xfId="2813"/>
    <cellStyle name="60% - Accent1 2" xfId="2814"/>
    <cellStyle name="60% - Accent1 3" xfId="2815"/>
    <cellStyle name="60% - Accent2" xfId="2816"/>
    <cellStyle name="60% - Accent2 2" xfId="2817"/>
    <cellStyle name="60% - Accent2 3" xfId="2818"/>
    <cellStyle name="60% - Accent3" xfId="2819"/>
    <cellStyle name="60% - Accent3 2" xfId="2820"/>
    <cellStyle name="60% - Accent3 3" xfId="2821"/>
    <cellStyle name="60% - Accent4" xfId="2822"/>
    <cellStyle name="60% - Accent4 2" xfId="2823"/>
    <cellStyle name="60% - Accent4 3" xfId="2824"/>
    <cellStyle name="60% - Accent5" xfId="2825"/>
    <cellStyle name="60% - Accent5 2" xfId="2826"/>
    <cellStyle name="60% - Accent5 3" xfId="2827"/>
    <cellStyle name="60% - Accent6" xfId="2828"/>
    <cellStyle name="60% - Accent6 2" xfId="2829"/>
    <cellStyle name="60% - Accent6 3" xfId="2830"/>
    <cellStyle name="60% - Акцент1 2" xfId="2831"/>
    <cellStyle name="60% - Акцент1 2 2" xfId="2832"/>
    <cellStyle name="60% - Акцент1 3" xfId="2833"/>
    <cellStyle name="60% - Акцент1 4" xfId="2834"/>
    <cellStyle name="60% - Акцент1 5" xfId="2835"/>
    <cellStyle name="60% - Акцент1 6" xfId="2836"/>
    <cellStyle name="60% - Акцент2 2" xfId="2837"/>
    <cellStyle name="60% - Акцент2 2 2" xfId="2838"/>
    <cellStyle name="60% - Акцент2 3" xfId="2839"/>
    <cellStyle name="60% - Акцент2 4" xfId="2840"/>
    <cellStyle name="60% - Акцент2 5" xfId="2841"/>
    <cellStyle name="60% - Акцент2 6" xfId="2842"/>
    <cellStyle name="60% - Акцент3 2" xfId="2843"/>
    <cellStyle name="60% - Акцент3 2 2" xfId="2844"/>
    <cellStyle name="60% - Акцент3 3" xfId="2845"/>
    <cellStyle name="60% - Акцент3 4" xfId="2846"/>
    <cellStyle name="60% - Акцент3 5" xfId="2847"/>
    <cellStyle name="60% - Акцент3 6" xfId="2848"/>
    <cellStyle name="60% - Акцент4 2" xfId="2849"/>
    <cellStyle name="60% - Акцент4 2 2" xfId="2850"/>
    <cellStyle name="60% - Акцент4 3" xfId="2851"/>
    <cellStyle name="60% - Акцент4 4" xfId="2852"/>
    <cellStyle name="60% - Акцент4 5" xfId="2853"/>
    <cellStyle name="60% - Акцент4 6" xfId="2854"/>
    <cellStyle name="60% - Акцент5 2" xfId="2855"/>
    <cellStyle name="60% - Акцент5 2 2" xfId="2856"/>
    <cellStyle name="60% - Акцент5 3" xfId="2857"/>
    <cellStyle name="60% - Акцент5 4" xfId="2858"/>
    <cellStyle name="60% - Акцент5 5" xfId="2859"/>
    <cellStyle name="60% - Акцент5 6" xfId="2860"/>
    <cellStyle name="60% - Акцент6 2" xfId="2861"/>
    <cellStyle name="60% - Акцент6 2 2" xfId="2862"/>
    <cellStyle name="60% - Акцент6 3" xfId="2863"/>
    <cellStyle name="60% - Акцент6 4" xfId="2864"/>
    <cellStyle name="60% - Акцент6 5" xfId="2865"/>
    <cellStyle name="60% - Акцент6 6" xfId="2866"/>
    <cellStyle name="8pt" xfId="2867"/>
    <cellStyle name="Accent1" xfId="2868"/>
    <cellStyle name="Accent1 2" xfId="2869"/>
    <cellStyle name="Accent2" xfId="2870"/>
    <cellStyle name="Accent2 2" xfId="2871"/>
    <cellStyle name="Accent3" xfId="2872"/>
    <cellStyle name="Accent3 2" xfId="2873"/>
    <cellStyle name="Accent4" xfId="2874"/>
    <cellStyle name="Accent4 2" xfId="2875"/>
    <cellStyle name="Accent5" xfId="2876"/>
    <cellStyle name="Accent5 2" xfId="2877"/>
    <cellStyle name="Accent6" xfId="2878"/>
    <cellStyle name="Accent6 2" xfId="2879"/>
    <cellStyle name="amount" xfId="2880"/>
    <cellStyle name="amount 2" xfId="2881"/>
    <cellStyle name="amount 2 2" xfId="2882"/>
    <cellStyle name="amount 2 3" xfId="2883"/>
    <cellStyle name="amount 3" xfId="2884"/>
    <cellStyle name="amount 4" xfId="2885"/>
    <cellStyle name="Bad" xfId="2886"/>
    <cellStyle name="Bad 2" xfId="2887"/>
    <cellStyle name="Balance" xfId="2888"/>
    <cellStyle name="BalanceBold" xfId="2889"/>
    <cellStyle name="Body text" xfId="2890"/>
    <cellStyle name="Calc Currency (0)" xfId="2891"/>
    <cellStyle name="Calc Currency (2)" xfId="2892"/>
    <cellStyle name="Calc Percent (0)" xfId="2893"/>
    <cellStyle name="Calc Percent (1)" xfId="2894"/>
    <cellStyle name="Calc Percent (2)" xfId="2895"/>
    <cellStyle name="Calc Units (0)" xfId="2896"/>
    <cellStyle name="Calc Units (1)" xfId="2897"/>
    <cellStyle name="Calc Units (2)" xfId="2898"/>
    <cellStyle name="Calculation" xfId="2899"/>
    <cellStyle name="Calculation 10" xfId="2900"/>
    <cellStyle name="Calculation 10 2" xfId="2901"/>
    <cellStyle name="Calculation 10 3" xfId="2902"/>
    <cellStyle name="Calculation 10 3 2" xfId="2903"/>
    <cellStyle name="Calculation 11" xfId="2904"/>
    <cellStyle name="Calculation 11 2" xfId="2905"/>
    <cellStyle name="Calculation 11 3" xfId="2906"/>
    <cellStyle name="Calculation 11 3 2" xfId="2907"/>
    <cellStyle name="Calculation 12" xfId="2908"/>
    <cellStyle name="Calculation 12 2" xfId="2909"/>
    <cellStyle name="Calculation 12 3" xfId="2910"/>
    <cellStyle name="Calculation 12 3 2" xfId="2911"/>
    <cellStyle name="Calculation 13" xfId="2912"/>
    <cellStyle name="Calculation 13 2" xfId="2913"/>
    <cellStyle name="Calculation 13 2 2" xfId="2914"/>
    <cellStyle name="Calculation 14" xfId="2915"/>
    <cellStyle name="Calculation 14 2" xfId="2916"/>
    <cellStyle name="Calculation 14 2 2" xfId="2917"/>
    <cellStyle name="Calculation 14 3" xfId="2918"/>
    <cellStyle name="Calculation 15" xfId="2919"/>
    <cellStyle name="Calculation 15 2" xfId="2920"/>
    <cellStyle name="Calculation 2" xfId="2921"/>
    <cellStyle name="Calculation 2 2" xfId="2922"/>
    <cellStyle name="Calculation 2 2 2" xfId="2923"/>
    <cellStyle name="Calculation 2 2 2 2" xfId="2924"/>
    <cellStyle name="Calculation 2 2 3" xfId="2925"/>
    <cellStyle name="Calculation 2 2 3 2" xfId="2926"/>
    <cellStyle name="Calculation 2 3" xfId="2927"/>
    <cellStyle name="Calculation 2 3 2" xfId="2928"/>
    <cellStyle name="Calculation 2 3 2 2" xfId="2929"/>
    <cellStyle name="Calculation 2 3 3" xfId="2930"/>
    <cellStyle name="Calculation 2 3 3 2" xfId="2931"/>
    <cellStyle name="Calculation 2 4" xfId="2932"/>
    <cellStyle name="Calculation 2 4 2" xfId="2933"/>
    <cellStyle name="Calculation 2 4 2 2" xfId="2934"/>
    <cellStyle name="Calculation 2 4 3" xfId="2935"/>
    <cellStyle name="Calculation 2 4 3 2" xfId="2936"/>
    <cellStyle name="Calculation 2 5" xfId="2937"/>
    <cellStyle name="Calculation 2 5 2" xfId="2938"/>
    <cellStyle name="Calculation 2 5 3" xfId="2939"/>
    <cellStyle name="Calculation 2 5 3 2" xfId="2940"/>
    <cellStyle name="Calculation 2 5 4" xfId="2941"/>
    <cellStyle name="Calculation 2 6" xfId="2942"/>
    <cellStyle name="Calculation 2 6 2" xfId="2943"/>
    <cellStyle name="Calculation 2 7" xfId="2944"/>
    <cellStyle name="Calculation 2 7 2" xfId="2945"/>
    <cellStyle name="Calculation 3" xfId="2946"/>
    <cellStyle name="Calculation 3 2" xfId="2947"/>
    <cellStyle name="Calculation 3 2 2" xfId="2948"/>
    <cellStyle name="Calculation 3 2 3" xfId="2949"/>
    <cellStyle name="Calculation 3 2 3 2" xfId="2950"/>
    <cellStyle name="Calculation 3 2 4" xfId="2951"/>
    <cellStyle name="Calculation 3 3" xfId="2952"/>
    <cellStyle name="Calculation 3 4" xfId="2953"/>
    <cellStyle name="Calculation 3 4 2" xfId="2954"/>
    <cellStyle name="Calculation 4" xfId="2955"/>
    <cellStyle name="Calculation 4 2" xfId="2956"/>
    <cellStyle name="Calculation 4 3" xfId="2957"/>
    <cellStyle name="Calculation 4 3 2" xfId="2958"/>
    <cellStyle name="Calculation 5" xfId="2959"/>
    <cellStyle name="Calculation 5 2" xfId="2960"/>
    <cellStyle name="Calculation 5 3" xfId="2961"/>
    <cellStyle name="Calculation 5 3 2" xfId="2962"/>
    <cellStyle name="Calculation 6" xfId="2963"/>
    <cellStyle name="Calculation 6 2" xfId="2964"/>
    <cellStyle name="Calculation 6 3" xfId="2965"/>
    <cellStyle name="Calculation 6 3 2" xfId="2966"/>
    <cellStyle name="Calculation 6 4" xfId="2967"/>
    <cellStyle name="Calculation 7" xfId="2968"/>
    <cellStyle name="Calculation 7 2" xfId="2969"/>
    <cellStyle name="Calculation 7 3" xfId="2970"/>
    <cellStyle name="Calculation 7 3 2" xfId="2971"/>
    <cellStyle name="Calculation 8" xfId="2972"/>
    <cellStyle name="Calculation 8 2" xfId="2973"/>
    <cellStyle name="Calculation 8 3" xfId="2974"/>
    <cellStyle name="Calculation 8 3 2" xfId="2975"/>
    <cellStyle name="Calculation 9" xfId="2976"/>
    <cellStyle name="Calculation 9 2" xfId="2977"/>
    <cellStyle name="Calculation 9 3" xfId="2978"/>
    <cellStyle name="Calculation 9 3 2" xfId="2979"/>
    <cellStyle name="Channel" xfId="2980"/>
    <cellStyle name="Check Cell" xfId="2981"/>
    <cellStyle name="Check Cell 2" xfId="2982"/>
    <cellStyle name="Collegamento ipertestuale visitato_NEGS" xfId="2983"/>
    <cellStyle name="Collegamento ipertestuale_NEGS" xfId="2984"/>
    <cellStyle name="ColumnHeaderNormal" xfId="2985"/>
    <cellStyle name="Comma" xfId="9" builtinId="3"/>
    <cellStyle name="Comma [00]" xfId="2986"/>
    <cellStyle name="Comma 2" xfId="2987"/>
    <cellStyle name="Comma 2 2" xfId="2988"/>
    <cellStyle name="Comma 2 2 2" xfId="2989"/>
    <cellStyle name="Comma 2 3" xfId="2990"/>
    <cellStyle name="Comma 2 4" xfId="2991"/>
    <cellStyle name="Comma 3" xfId="2992"/>
    <cellStyle name="Comma 3 2" xfId="2993"/>
    <cellStyle name="Comma 74" xfId="2994"/>
    <cellStyle name="Comma 74 2" xfId="2995"/>
    <cellStyle name="Cost" xfId="2996"/>
    <cellStyle name="Credit" xfId="2997"/>
    <cellStyle name="Credit subtotal" xfId="2998"/>
    <cellStyle name="Credit subtotal 2" xfId="2999"/>
    <cellStyle name="Credit subtotal 3" xfId="3000"/>
    <cellStyle name="Credit Total" xfId="3001"/>
    <cellStyle name="Credit_Tickmarks" xfId="3002"/>
    <cellStyle name="Currency (0.00)" xfId="3003"/>
    <cellStyle name="Currency (0.00) 2" xfId="3004"/>
    <cellStyle name="Currency (0.00) 2 2" xfId="3005"/>
    <cellStyle name="Currency (0.00) 3" xfId="3006"/>
    <cellStyle name="Currency [00]" xfId="3007"/>
    <cellStyle name="Currency 2" xfId="3008"/>
    <cellStyle name="Currency 3" xfId="3009"/>
    <cellStyle name="Currency 4" xfId="3010"/>
    <cellStyle name="Currency 5" xfId="3011"/>
    <cellStyle name="Currency 5 2" xfId="3012"/>
    <cellStyle name="Currency 6" xfId="3013"/>
    <cellStyle name="Currency 6 2" xfId="3014"/>
    <cellStyle name="Currency 7" xfId="3015"/>
    <cellStyle name="Currency 8" xfId="3016"/>
    <cellStyle name="Data" xfId="3017"/>
    <cellStyle name="DataBold" xfId="3018"/>
    <cellStyle name="Date Short" xfId="3019"/>
    <cellStyle name="Date Short 2" xfId="3020"/>
    <cellStyle name="Dateline" xfId="3021"/>
    <cellStyle name="Datum" xfId="3022"/>
    <cellStyle name="Datum 2" xfId="3023"/>
    <cellStyle name="Debit" xfId="3024"/>
    <cellStyle name="Debit subtotal" xfId="3025"/>
    <cellStyle name="Debit subtotal 2" xfId="3026"/>
    <cellStyle name="Debit subtotal 3" xfId="3027"/>
    <cellStyle name="Debit Total" xfId="3028"/>
    <cellStyle name="Debit_Tickmarks" xfId="3029"/>
    <cellStyle name="Dezimal [0]_All" xfId="3030"/>
    <cellStyle name="Dezimal__Utopia Index Index und Guidance (Deutsch)" xfId="3031"/>
    <cellStyle name="Discount" xfId="3032"/>
    <cellStyle name="DiscountText" xfId="3033"/>
    <cellStyle name="E&amp;Y House" xfId="3034"/>
    <cellStyle name="ein" xfId="3035"/>
    <cellStyle name="ein 2" xfId="3036"/>
    <cellStyle name="ein 3" xfId="3037"/>
    <cellStyle name="Enter Currency (0)" xfId="3038"/>
    <cellStyle name="Enter Currency (2)" xfId="3039"/>
    <cellStyle name="Enter Units (0)" xfId="3040"/>
    <cellStyle name="Enter Units (1)" xfId="3041"/>
    <cellStyle name="Enter Units (2)" xfId="3042"/>
    <cellStyle name="Euro" xfId="3043"/>
    <cellStyle name="Euro 2" xfId="3044"/>
    <cellStyle name="Excel Built-in Comma" xfId="3045"/>
    <cellStyle name="Excel Built-in Excel Built-in Excel Built-in Excel Built-in Excel Built-in Excel Built-in Excel Built-in Excel Built-in Excel Built-in Excel Built-in Excel Built-in Excel Built-in Excel Built-in Normal" xfId="3046"/>
    <cellStyle name="Excel Built-in Excel Built-in Excel Built-in Excel Built-in Excel Built-in Excel Built-in Excel Built-in Excel Built-in Excel Built-in Excel Built-in Excel Built-in Excel Built-in Excel Built-in Normal 2" xfId="3047"/>
    <cellStyle name="Excel Built-in Excel Built-in Excel Built-in Excel Built-in Excel Built-in Excel Built-in Excel Built-in Excel Built-in Normal" xfId="3048"/>
    <cellStyle name="Excel Built-in Excel Built-in Excel Built-in Excel Built-in Excel Built-in Excel Built-in Normal" xfId="3049"/>
    <cellStyle name="Excel Built-in Excel Built-in Excel Built-in Normal" xfId="3050"/>
    <cellStyle name="Excel Built-in Excel Built-in Excel Built-in Normal 2" xfId="3051"/>
    <cellStyle name="Excel Built-in Hyperlink" xfId="3052"/>
    <cellStyle name="Excel Built-in Normal" xfId="3053"/>
    <cellStyle name="Excel Built-in Normal 1" xfId="3054"/>
    <cellStyle name="Excel Built-in Normal 1 2" xfId="3055"/>
    <cellStyle name="Excel Built-in Normal 1_Берзарина_СУ_240712" xfId="3056"/>
    <cellStyle name="Excel Built-in Normal 10" xfId="3057"/>
    <cellStyle name="Excel Built-in Normal 11" xfId="3058"/>
    <cellStyle name="Excel Built-in Normal 2" xfId="3059"/>
    <cellStyle name="Excel Built-in Normal 3" xfId="3060"/>
    <cellStyle name="Excel Built-in Normal 4" xfId="3061"/>
    <cellStyle name="Excel Built-in Normal 5" xfId="3062"/>
    <cellStyle name="Excel Built-in Normal 6" xfId="3063"/>
    <cellStyle name="Excel Built-in Normal 7" xfId="3064"/>
    <cellStyle name="Excel Built-in Normal 8" xfId="3065"/>
    <cellStyle name="Excel Built-in Normal 9" xfId="3066"/>
    <cellStyle name="Explanatory Text" xfId="3067"/>
    <cellStyle name="Explanatory Text 2" xfId="3068"/>
    <cellStyle name="Followed Hyperlink 10" xfId="3069"/>
    <cellStyle name="Followed Hyperlink 11" xfId="3070"/>
    <cellStyle name="Followed Hyperlink 12" xfId="3071"/>
    <cellStyle name="Followed Hyperlink 13" xfId="3072"/>
    <cellStyle name="Followed Hyperlink 14" xfId="3073"/>
    <cellStyle name="Followed Hyperlink 15" xfId="3074"/>
    <cellStyle name="Followed Hyperlink 16" xfId="3075"/>
    <cellStyle name="Followed Hyperlink 17" xfId="3076"/>
    <cellStyle name="Followed Hyperlink 18" xfId="3077"/>
    <cellStyle name="Followed Hyperlink 19" xfId="3078"/>
    <cellStyle name="Followed Hyperlink 2" xfId="3079"/>
    <cellStyle name="Followed Hyperlink 20" xfId="3080"/>
    <cellStyle name="Followed Hyperlink 21" xfId="3081"/>
    <cellStyle name="Followed Hyperlink 22" xfId="3082"/>
    <cellStyle name="Followed Hyperlink 23" xfId="3083"/>
    <cellStyle name="Followed Hyperlink 24" xfId="3084"/>
    <cellStyle name="Followed Hyperlink 25" xfId="3085"/>
    <cellStyle name="Followed Hyperlink 26" xfId="3086"/>
    <cellStyle name="Followed Hyperlink 27" xfId="3087"/>
    <cellStyle name="Followed Hyperlink 28" xfId="3088"/>
    <cellStyle name="Followed Hyperlink 29" xfId="3089"/>
    <cellStyle name="Followed Hyperlink 3" xfId="3090"/>
    <cellStyle name="Followed Hyperlink 30" xfId="3091"/>
    <cellStyle name="Followed Hyperlink 31" xfId="3092"/>
    <cellStyle name="Followed Hyperlink 32" xfId="3093"/>
    <cellStyle name="Followed Hyperlink 33" xfId="3094"/>
    <cellStyle name="Followed Hyperlink 34" xfId="3095"/>
    <cellStyle name="Followed Hyperlink 35" xfId="3096"/>
    <cellStyle name="Followed Hyperlink 36" xfId="3097"/>
    <cellStyle name="Followed Hyperlink 37" xfId="3098"/>
    <cellStyle name="Followed Hyperlink 38" xfId="3099"/>
    <cellStyle name="Followed Hyperlink 39" xfId="3100"/>
    <cellStyle name="Followed Hyperlink 4" xfId="3101"/>
    <cellStyle name="Followed Hyperlink 40" xfId="3102"/>
    <cellStyle name="Followed Hyperlink 41" xfId="3103"/>
    <cellStyle name="Followed Hyperlink 42" xfId="3104"/>
    <cellStyle name="Followed Hyperlink 43" xfId="3105"/>
    <cellStyle name="Followed Hyperlink 44" xfId="3106"/>
    <cellStyle name="Followed Hyperlink 45" xfId="3107"/>
    <cellStyle name="Followed Hyperlink 46" xfId="3108"/>
    <cellStyle name="Followed Hyperlink 47" xfId="3109"/>
    <cellStyle name="Followed Hyperlink 48" xfId="3110"/>
    <cellStyle name="Followed Hyperlink 49" xfId="3111"/>
    <cellStyle name="Followed Hyperlink 5" xfId="3112"/>
    <cellStyle name="Followed Hyperlink 50" xfId="3113"/>
    <cellStyle name="Followed Hyperlink 51" xfId="3114"/>
    <cellStyle name="Followed Hyperlink 52" xfId="3115"/>
    <cellStyle name="Followed Hyperlink 53" xfId="3116"/>
    <cellStyle name="Followed Hyperlink 54" xfId="3117"/>
    <cellStyle name="Followed Hyperlink 55" xfId="3118"/>
    <cellStyle name="Followed Hyperlink 56" xfId="3119"/>
    <cellStyle name="Followed Hyperlink 57" xfId="3120"/>
    <cellStyle name="Followed Hyperlink 58" xfId="3121"/>
    <cellStyle name="Followed Hyperlink 59" xfId="3122"/>
    <cellStyle name="Followed Hyperlink 6" xfId="3123"/>
    <cellStyle name="Followed Hyperlink 60" xfId="3124"/>
    <cellStyle name="Followed Hyperlink 61" xfId="3125"/>
    <cellStyle name="Followed Hyperlink 62" xfId="3126"/>
    <cellStyle name="Followed Hyperlink 63" xfId="3127"/>
    <cellStyle name="Followed Hyperlink 64" xfId="3128"/>
    <cellStyle name="Followed Hyperlink 65" xfId="3129"/>
    <cellStyle name="Followed Hyperlink 66" xfId="3130"/>
    <cellStyle name="Followed Hyperlink 67" xfId="3131"/>
    <cellStyle name="Followed Hyperlink 68" xfId="3132"/>
    <cellStyle name="Followed Hyperlink 69" xfId="3133"/>
    <cellStyle name="Followed Hyperlink 7" xfId="3134"/>
    <cellStyle name="Followed Hyperlink 70" xfId="3135"/>
    <cellStyle name="Followed Hyperlink 71" xfId="3136"/>
    <cellStyle name="Followed Hyperlink 72" xfId="3137"/>
    <cellStyle name="Followed Hyperlink 73" xfId="3138"/>
    <cellStyle name="Followed Hyperlink 74" xfId="3139"/>
    <cellStyle name="Followed Hyperlink 75" xfId="3140"/>
    <cellStyle name="Followed Hyperlink 76" xfId="3141"/>
    <cellStyle name="Followed Hyperlink 77" xfId="3142"/>
    <cellStyle name="Followed Hyperlink 78" xfId="3143"/>
    <cellStyle name="Followed Hyperlink 79" xfId="3144"/>
    <cellStyle name="Followed Hyperlink 8" xfId="3145"/>
    <cellStyle name="Followed Hyperlink 80" xfId="3146"/>
    <cellStyle name="Followed Hyperlink 81" xfId="3147"/>
    <cellStyle name="Followed Hyperlink 82" xfId="3148"/>
    <cellStyle name="Followed Hyperlink 83" xfId="3149"/>
    <cellStyle name="Followed Hyperlink 84" xfId="3150"/>
    <cellStyle name="Followed Hyperlink 85" xfId="3151"/>
    <cellStyle name="Followed Hyperlink 9" xfId="3152"/>
    <cellStyle name="Good" xfId="3153"/>
    <cellStyle name="Good 2" xfId="3154"/>
    <cellStyle name="Grey" xfId="3155"/>
    <cellStyle name="Grey 2" xfId="3156"/>
    <cellStyle name="Head" xfId="3157"/>
    <cellStyle name="HeadCorner" xfId="3158"/>
    <cellStyle name="header" xfId="3159"/>
    <cellStyle name="Header Total" xfId="3160"/>
    <cellStyle name="Header Total 2" xfId="3161"/>
    <cellStyle name="Header Total 2 2" xfId="3162"/>
    <cellStyle name="Header Total 3" xfId="3163"/>
    <cellStyle name="Header Total 3 2" xfId="3164"/>
    <cellStyle name="Header Total 4" xfId="3165"/>
    <cellStyle name="Header1" xfId="3166"/>
    <cellStyle name="Header1 2" xfId="3167"/>
    <cellStyle name="Header1 2 2" xfId="3168"/>
    <cellStyle name="Header1 2 2 2" xfId="3169"/>
    <cellStyle name="Header1 2 2 2 2" xfId="3170"/>
    <cellStyle name="Header1 2 2 3" xfId="3171"/>
    <cellStyle name="Header1 2 3" xfId="3172"/>
    <cellStyle name="Header1 2 3 2" xfId="3173"/>
    <cellStyle name="Header1 2 4" xfId="3174"/>
    <cellStyle name="Header1 3" xfId="3175"/>
    <cellStyle name="Header1 3 2" xfId="3176"/>
    <cellStyle name="Header1 3 2 2" xfId="3177"/>
    <cellStyle name="Header1 3 3" xfId="3178"/>
    <cellStyle name="Header1 4" xfId="3179"/>
    <cellStyle name="Header1 4 2" xfId="3180"/>
    <cellStyle name="Header1 5" xfId="3181"/>
    <cellStyle name="Header2" xfId="3182"/>
    <cellStyle name="Header2 10" xfId="3183"/>
    <cellStyle name="Header2 10 2" xfId="3184"/>
    <cellStyle name="Header2 10 2 2" xfId="3185"/>
    <cellStyle name="Header2 10 3" xfId="3186"/>
    <cellStyle name="Header2 11" xfId="3187"/>
    <cellStyle name="Header2 11 2" xfId="3188"/>
    <cellStyle name="Header2 11 2 2" xfId="3189"/>
    <cellStyle name="Header2 11 3" xfId="3190"/>
    <cellStyle name="Header2 12" xfId="3191"/>
    <cellStyle name="Header2 12 2" xfId="3192"/>
    <cellStyle name="Header2 12 2 2" xfId="3193"/>
    <cellStyle name="Header2 12 3" xfId="3194"/>
    <cellStyle name="Header2 13" xfId="3195"/>
    <cellStyle name="Header2 13 2" xfId="3196"/>
    <cellStyle name="Header2 13 2 2" xfId="3197"/>
    <cellStyle name="Header2 13 3" xfId="3198"/>
    <cellStyle name="Header2 14" xfId="3199"/>
    <cellStyle name="Header2 14 2" xfId="3200"/>
    <cellStyle name="Header2 15" xfId="3201"/>
    <cellStyle name="Header2 16" xfId="3202"/>
    <cellStyle name="Header2 2" xfId="3203"/>
    <cellStyle name="Header2 2 2" xfId="3204"/>
    <cellStyle name="Header2 2 2 2" xfId="3205"/>
    <cellStyle name="Header2 2 2 2 2" xfId="3206"/>
    <cellStyle name="Header2 2 2 2 2 2" xfId="3207"/>
    <cellStyle name="Header2 2 2 2 3" xfId="3208"/>
    <cellStyle name="Header2 2 2 3" xfId="3209"/>
    <cellStyle name="Header2 2 2 3 2" xfId="3210"/>
    <cellStyle name="Header2 2 2 3 3" xfId="3211"/>
    <cellStyle name="Header2 2 2 4" xfId="3212"/>
    <cellStyle name="Header2 2 2 4 2" xfId="3213"/>
    <cellStyle name="Header2 2 2 5" xfId="3214"/>
    <cellStyle name="Header2 2 3" xfId="3215"/>
    <cellStyle name="Header2 2 3 2" xfId="3216"/>
    <cellStyle name="Header2 2 3 2 2" xfId="3217"/>
    <cellStyle name="Header2 2 3 2 3" xfId="3218"/>
    <cellStyle name="Header2 2 3 3" xfId="3219"/>
    <cellStyle name="Header2 2 3 3 2" xfId="3220"/>
    <cellStyle name="Header2 2 3 4" xfId="3221"/>
    <cellStyle name="Header2 2 4" xfId="3222"/>
    <cellStyle name="Header2 2 4 2" xfId="3223"/>
    <cellStyle name="Header2 2 4 2 2" xfId="3224"/>
    <cellStyle name="Header2 2 4 2 3" xfId="3225"/>
    <cellStyle name="Header2 2 4 3" xfId="3226"/>
    <cellStyle name="Header2 2 4 3 2" xfId="3227"/>
    <cellStyle name="Header2 2 4 4" xfId="3228"/>
    <cellStyle name="Header2 2 5" xfId="3229"/>
    <cellStyle name="Header2 2 5 2" xfId="3230"/>
    <cellStyle name="Header2 2 5 3" xfId="3231"/>
    <cellStyle name="Header2 2 6" xfId="3232"/>
    <cellStyle name="Header2 2 7" xfId="3233"/>
    <cellStyle name="Header2 3" xfId="3234"/>
    <cellStyle name="Header2 3 2" xfId="3235"/>
    <cellStyle name="Header2 3 2 2" xfId="3236"/>
    <cellStyle name="Header2 3 2 2 2" xfId="3237"/>
    <cellStyle name="Header2 3 2 3" xfId="3238"/>
    <cellStyle name="Header2 3 3" xfId="3239"/>
    <cellStyle name="Header2 3 3 2" xfId="3240"/>
    <cellStyle name="Header2 3 4" xfId="3241"/>
    <cellStyle name="Header2 3 5" xfId="3242"/>
    <cellStyle name="Header2 4" xfId="3243"/>
    <cellStyle name="Header2 4 2" xfId="3244"/>
    <cellStyle name="Header2 4 2 2" xfId="3245"/>
    <cellStyle name="Header2 4 3" xfId="3246"/>
    <cellStyle name="Header2 4 4" xfId="3247"/>
    <cellStyle name="Header2 5" xfId="3248"/>
    <cellStyle name="Header2 5 2" xfId="3249"/>
    <cellStyle name="Header2 5 2 2" xfId="3250"/>
    <cellStyle name="Header2 5 3" xfId="3251"/>
    <cellStyle name="Header2 6" xfId="3252"/>
    <cellStyle name="Header2 6 2" xfId="3253"/>
    <cellStyle name="Header2 6 2 2" xfId="3254"/>
    <cellStyle name="Header2 6 3" xfId="3255"/>
    <cellStyle name="Header2 7" xfId="3256"/>
    <cellStyle name="Header2 7 2" xfId="3257"/>
    <cellStyle name="Header2 7 2 2" xfId="3258"/>
    <cellStyle name="Header2 7 3" xfId="3259"/>
    <cellStyle name="Header2 8" xfId="3260"/>
    <cellStyle name="Header2 8 2" xfId="3261"/>
    <cellStyle name="Header2 8 2 2" xfId="3262"/>
    <cellStyle name="Header2 8 3" xfId="3263"/>
    <cellStyle name="Header2 9" xfId="3264"/>
    <cellStyle name="Header2 9 2" xfId="3265"/>
    <cellStyle name="Header2 9 2 2" xfId="3266"/>
    <cellStyle name="Header2 9 3" xfId="3267"/>
    <cellStyle name="Header3" xfId="3268"/>
    <cellStyle name="Header3 2" xfId="3269"/>
    <cellStyle name="Header3 2 2" xfId="3270"/>
    <cellStyle name="Header3 2 2 2" xfId="3271"/>
    <cellStyle name="Header3 2 3" xfId="3272"/>
    <cellStyle name="Header3 2 3 2" xfId="3273"/>
    <cellStyle name="Header3 2 4" xfId="3274"/>
    <cellStyle name="Header3 3" xfId="3275"/>
    <cellStyle name="Header3 3 2" xfId="3276"/>
    <cellStyle name="Header3 3 2 2" xfId="3277"/>
    <cellStyle name="Header3 3 2 2 2" xfId="3278"/>
    <cellStyle name="Header3 3 2 3" xfId="3279"/>
    <cellStyle name="Header3 3 3" xfId="3280"/>
    <cellStyle name="Header3 3 3 2" xfId="3281"/>
    <cellStyle name="Header3 3 4" xfId="3282"/>
    <cellStyle name="Header3 3 4 2" xfId="3283"/>
    <cellStyle name="Header3 3 5" xfId="3284"/>
    <cellStyle name="Header3 4" xfId="3285"/>
    <cellStyle name="Header3 4 2" xfId="3286"/>
    <cellStyle name="Header3 5" xfId="3287"/>
    <cellStyle name="Header3 5 2" xfId="3288"/>
    <cellStyle name="Header3 6" xfId="3289"/>
    <cellStyle name="Heading" xfId="3290"/>
    <cellStyle name="Heading 1" xfId="3291"/>
    <cellStyle name="Heading 1 2" xfId="3292"/>
    <cellStyle name="Heading 2" xfId="3293"/>
    <cellStyle name="Heading 2 2" xfId="3294"/>
    <cellStyle name="Heading 3" xfId="3295"/>
    <cellStyle name="Heading 3 10" xfId="3296"/>
    <cellStyle name="Heading 3 2" xfId="3297"/>
    <cellStyle name="Heading 3 2 2" xfId="3298"/>
    <cellStyle name="Heading 3 2 2 2" xfId="3299"/>
    <cellStyle name="Heading 3 2 2 2 2" xfId="3300"/>
    <cellStyle name="Heading 3 2 2 2 2 2" xfId="3301"/>
    <cellStyle name="Heading 3 2 2 2 2 3" xfId="3302"/>
    <cellStyle name="Heading 3 2 2 2 3" xfId="3303"/>
    <cellStyle name="Heading 3 2 2 2 4" xfId="3304"/>
    <cellStyle name="Heading 3 2 2 3" xfId="3305"/>
    <cellStyle name="Heading 3 2 2 3 2" xfId="3306"/>
    <cellStyle name="Heading 3 2 2 3 3" xfId="3307"/>
    <cellStyle name="Heading 3 2 2 4" xfId="3308"/>
    <cellStyle name="Heading 3 2 2 5" xfId="3309"/>
    <cellStyle name="Heading 3 2 3" xfId="3310"/>
    <cellStyle name="Heading 3 2 3 2" xfId="3311"/>
    <cellStyle name="Heading 3 2 3 3" xfId="3312"/>
    <cellStyle name="Heading 3 2 4" xfId="3313"/>
    <cellStyle name="Heading 3 2 4 2" xfId="3314"/>
    <cellStyle name="Heading 3 2 5" xfId="3315"/>
    <cellStyle name="Heading 3 2 6" xfId="3316"/>
    <cellStyle name="Heading 3 3" xfId="3317"/>
    <cellStyle name="Heading 3 3 2" xfId="3318"/>
    <cellStyle name="Heading 3 3 2 2" xfId="3319"/>
    <cellStyle name="Heading 3 3 3" xfId="3320"/>
    <cellStyle name="Heading 3 3 3 2" xfId="3321"/>
    <cellStyle name="Heading 3 3 4" xfId="3322"/>
    <cellStyle name="Heading 3 4" xfId="3323"/>
    <cellStyle name="Heading 3 4 2" xfId="3324"/>
    <cellStyle name="Heading 3 4 2 2" xfId="3325"/>
    <cellStyle name="Heading 3 4 3" xfId="3326"/>
    <cellStyle name="Heading 3 4 3 2" xfId="3327"/>
    <cellStyle name="Heading 3 4 4" xfId="3328"/>
    <cellStyle name="Heading 3 5" xfId="3329"/>
    <cellStyle name="Heading 3 5 2" xfId="3330"/>
    <cellStyle name="Heading 3 5 2 2" xfId="3331"/>
    <cellStyle name="Heading 3 5 3" xfId="3332"/>
    <cellStyle name="Heading 3 5 3 2" xfId="3333"/>
    <cellStyle name="Heading 3 5 4" xfId="3334"/>
    <cellStyle name="Heading 3 6" xfId="3335"/>
    <cellStyle name="Heading 3 6 2" xfId="3336"/>
    <cellStyle name="Heading 3 6 2 2" xfId="3337"/>
    <cellStyle name="Heading 3 6 3" xfId="3338"/>
    <cellStyle name="Heading 3 6 4" xfId="3339"/>
    <cellStyle name="Heading 3 7" xfId="3340"/>
    <cellStyle name="Heading 3 7 2" xfId="3341"/>
    <cellStyle name="Heading 3 8" xfId="3342"/>
    <cellStyle name="Heading 3 8 2" xfId="3343"/>
    <cellStyle name="Heading 3 9" xfId="3344"/>
    <cellStyle name="Heading 4" xfId="3345"/>
    <cellStyle name="Heading 4 2" xfId="3346"/>
    <cellStyle name="Heading1" xfId="3347"/>
    <cellStyle name="Headline2" xfId="3348"/>
    <cellStyle name="Headline3" xfId="3349"/>
    <cellStyle name="Hyperlink" xfId="14" hidden="1"/>
    <cellStyle name="Hyperlink 2" xfId="3350"/>
    <cellStyle name="Hyperlink 3" xfId="3351"/>
    <cellStyle name="Hyperlink 4" xfId="3352"/>
    <cellStyle name="Iau?iue_J&amp;J - CAREFREE" xfId="3353"/>
    <cellStyle name="Impressions" xfId="3354"/>
    <cellStyle name="Impressions 2" xfId="3355"/>
    <cellStyle name="Input" xfId="3356"/>
    <cellStyle name="Input [yellow]" xfId="3357"/>
    <cellStyle name="Input [yellow] 2" xfId="3358"/>
    <cellStyle name="Input [yellow] 2 2" xfId="3359"/>
    <cellStyle name="Input [yellow] 2 2 2" xfId="3360"/>
    <cellStyle name="Input [yellow] 2 3" xfId="3361"/>
    <cellStyle name="Input 10" xfId="3362"/>
    <cellStyle name="Input 10 2" xfId="3363"/>
    <cellStyle name="Input 10 3" xfId="3364"/>
    <cellStyle name="Input 10 3 2" xfId="3365"/>
    <cellStyle name="Input 11" xfId="3366"/>
    <cellStyle name="Input 11 2" xfId="3367"/>
    <cellStyle name="Input 11 3" xfId="3368"/>
    <cellStyle name="Input 11 3 2" xfId="3369"/>
    <cellStyle name="Input 12" xfId="3370"/>
    <cellStyle name="Input 12 2" xfId="3371"/>
    <cellStyle name="Input 12 3" xfId="3372"/>
    <cellStyle name="Input 12 3 2" xfId="3373"/>
    <cellStyle name="Input 13" xfId="3374"/>
    <cellStyle name="Input 13 2" xfId="3375"/>
    <cellStyle name="Input 13 2 2" xfId="3376"/>
    <cellStyle name="Input 14" xfId="3377"/>
    <cellStyle name="Input 14 2" xfId="3378"/>
    <cellStyle name="Input 14 2 2" xfId="3379"/>
    <cellStyle name="Input 14 3" xfId="3380"/>
    <cellStyle name="Input 15" xfId="3381"/>
    <cellStyle name="Input 15 2" xfId="3382"/>
    <cellStyle name="Input 2" xfId="3383"/>
    <cellStyle name="Input 2 2" xfId="3384"/>
    <cellStyle name="Input 2 2 2" xfId="3385"/>
    <cellStyle name="Input 2 2 2 2" xfId="3386"/>
    <cellStyle name="Input 2 2 3" xfId="3387"/>
    <cellStyle name="Input 2 2 3 2" xfId="3388"/>
    <cellStyle name="Input 2 3" xfId="3389"/>
    <cellStyle name="Input 2 3 2" xfId="3390"/>
    <cellStyle name="Input 2 3 2 2" xfId="3391"/>
    <cellStyle name="Input 2 3 3" xfId="3392"/>
    <cellStyle name="Input 2 3 3 2" xfId="3393"/>
    <cellStyle name="Input 2 4" xfId="3394"/>
    <cellStyle name="Input 2 4 2" xfId="3395"/>
    <cellStyle name="Input 2 4 2 2" xfId="3396"/>
    <cellStyle name="Input 2 4 3" xfId="3397"/>
    <cellStyle name="Input 2 4 3 2" xfId="3398"/>
    <cellStyle name="Input 2 5" xfId="3399"/>
    <cellStyle name="Input 2 5 2" xfId="3400"/>
    <cellStyle name="Input 2 5 3" xfId="3401"/>
    <cellStyle name="Input 2 5 3 2" xfId="3402"/>
    <cellStyle name="Input 2 5 4" xfId="3403"/>
    <cellStyle name="Input 2 6" xfId="3404"/>
    <cellStyle name="Input 2 6 2" xfId="3405"/>
    <cellStyle name="Input 2 7" xfId="3406"/>
    <cellStyle name="Input 2 7 2" xfId="3407"/>
    <cellStyle name="Input 3" xfId="3408"/>
    <cellStyle name="Input 3 2" xfId="3409"/>
    <cellStyle name="Input 3 2 2" xfId="3410"/>
    <cellStyle name="Input 3 2 3" xfId="3411"/>
    <cellStyle name="Input 3 2 3 2" xfId="3412"/>
    <cellStyle name="Input 3 2 4" xfId="3413"/>
    <cellStyle name="Input 3 3" xfId="3414"/>
    <cellStyle name="Input 3 4" xfId="3415"/>
    <cellStyle name="Input 3 4 2" xfId="3416"/>
    <cellStyle name="Input 4" xfId="3417"/>
    <cellStyle name="Input 4 2" xfId="3418"/>
    <cellStyle name="Input 4 3" xfId="3419"/>
    <cellStyle name="Input 4 3 2" xfId="3420"/>
    <cellStyle name="Input 5" xfId="3421"/>
    <cellStyle name="Input 5 2" xfId="3422"/>
    <cellStyle name="Input 5 3" xfId="3423"/>
    <cellStyle name="Input 5 3 2" xfId="3424"/>
    <cellStyle name="Input 6" xfId="3425"/>
    <cellStyle name="Input 6 2" xfId="3426"/>
    <cellStyle name="Input 6 3" xfId="3427"/>
    <cellStyle name="Input 6 3 2" xfId="3428"/>
    <cellStyle name="Input 6 4" xfId="3429"/>
    <cellStyle name="Input 7" xfId="3430"/>
    <cellStyle name="Input 7 2" xfId="3431"/>
    <cellStyle name="Input 7 3" xfId="3432"/>
    <cellStyle name="Input 7 3 2" xfId="3433"/>
    <cellStyle name="Input 8" xfId="3434"/>
    <cellStyle name="Input 8 2" xfId="3435"/>
    <cellStyle name="Input 8 3" xfId="3436"/>
    <cellStyle name="Input 8 3 2" xfId="3437"/>
    <cellStyle name="Input 9" xfId="3438"/>
    <cellStyle name="Input 9 2" xfId="3439"/>
    <cellStyle name="Input 9 3" xfId="3440"/>
    <cellStyle name="Input 9 3 2" xfId="3441"/>
    <cellStyle name="Issue" xfId="3442"/>
    <cellStyle name="KPMG Heading 1" xfId="3443"/>
    <cellStyle name="KPMG Heading 2" xfId="3444"/>
    <cellStyle name="KPMG Heading 3" xfId="3445"/>
    <cellStyle name="KPMG Heading 4" xfId="3446"/>
    <cellStyle name="KPMG Normal" xfId="3447"/>
    <cellStyle name="KPMG Normal Text" xfId="3448"/>
    <cellStyle name="Lien hypertexte" xfId="3449"/>
    <cellStyle name="Lien hypertexte 2" xfId="3450"/>
    <cellStyle name="Link Currency (0)" xfId="3451"/>
    <cellStyle name="Link Currency (2)" xfId="3452"/>
    <cellStyle name="Link Units (0)" xfId="3453"/>
    <cellStyle name="Link Units (1)" xfId="3454"/>
    <cellStyle name="Link Units (2)" xfId="3455"/>
    <cellStyle name="Linked Cell" xfId="3456"/>
    <cellStyle name="Linked Cell 2" xfId="3457"/>
    <cellStyle name="Migliaia (0)_NEGS" xfId="3458"/>
    <cellStyle name="Migliaia_NEGS" xfId="3459"/>
    <cellStyle name="Millares [0]_elpais" xfId="3460"/>
    <cellStyle name="Millares_elpais" xfId="3461"/>
    <cellStyle name="Milliers [0]_plan2" xfId="3462"/>
    <cellStyle name="Milliers_plan2" xfId="3463"/>
    <cellStyle name="mnb" xfId="3464"/>
    <cellStyle name="mnb 2" xfId="3465"/>
    <cellStyle name="mnb 3" xfId="3466"/>
    <cellStyle name="Moneda [0]_elpais" xfId="3467"/>
    <cellStyle name="Moneda_elpais" xfId="3468"/>
    <cellStyle name="Monetaire [0]_plan2" xfId="3469"/>
    <cellStyle name="Monetaire_plan2" xfId="3470"/>
    <cellStyle name="Neutral" xfId="3471"/>
    <cellStyle name="Neutral 2" xfId="3472"/>
    <cellStyle name="NonPrint_Heading" xfId="3473"/>
    <cellStyle name="Norma11l" xfId="3474"/>
    <cellStyle name="Normal" xfId="0" builtinId="0"/>
    <cellStyle name="Normal - Style1" xfId="3475"/>
    <cellStyle name="Normal - Style1 2" xfId="3476"/>
    <cellStyle name="Normal 1" xfId="3477"/>
    <cellStyle name="Normal 1 2" xfId="3478"/>
    <cellStyle name="Normal 1 3" xfId="3479"/>
    <cellStyle name="Normal 1 4" xfId="3480"/>
    <cellStyle name="Normal 1 5" xfId="3481"/>
    <cellStyle name="Normal 1 6" xfId="3482"/>
    <cellStyle name="Normal 10" xfId="3483"/>
    <cellStyle name="Normal 11" xfId="3484"/>
    <cellStyle name="Normal 12" xfId="3485"/>
    <cellStyle name="Normal 13" xfId="3486"/>
    <cellStyle name="Normal 13 2" xfId="3487"/>
    <cellStyle name="Normal 13 2 2" xfId="3488"/>
    <cellStyle name="Normal 13 2 2 2" xfId="3489"/>
    <cellStyle name="Normal 13 2 3" xfId="3490"/>
    <cellStyle name="Normal 13 3" xfId="3491"/>
    <cellStyle name="Normal 13 3 2" xfId="3492"/>
    <cellStyle name="Normal 13 3 2 2" xfId="3493"/>
    <cellStyle name="Normal 13 3 3" xfId="3494"/>
    <cellStyle name="Normal 13 4" xfId="3495"/>
    <cellStyle name="Normal 13 4 2" xfId="3496"/>
    <cellStyle name="Normal 13 5" xfId="3497"/>
    <cellStyle name="Normal 14" xfId="3498"/>
    <cellStyle name="Normal 15" xfId="3499"/>
    <cellStyle name="Normal 15 2" xfId="3500"/>
    <cellStyle name="Normal 15 2 2" xfId="3501"/>
    <cellStyle name="Normal 15 3" xfId="3502"/>
    <cellStyle name="Normal 16" xfId="3503"/>
    <cellStyle name="Normal 16 2" xfId="3504"/>
    <cellStyle name="Normal 16 2 2" xfId="3505"/>
    <cellStyle name="Normal 17" xfId="3506"/>
    <cellStyle name="Normal 18" xfId="3507"/>
    <cellStyle name="Normal 19" xfId="3508"/>
    <cellStyle name="Normal 2" xfId="3509"/>
    <cellStyle name="Normal 2 2" xfId="3510"/>
    <cellStyle name="Normal 2 2 10" xfId="3511"/>
    <cellStyle name="Normal 2 2 10 2" xfId="3512"/>
    <cellStyle name="Normal 2 2 10 2 2" xfId="3513"/>
    <cellStyle name="Normal 2 2 10 3" xfId="3514"/>
    <cellStyle name="Normal 2 2 11" xfId="3515"/>
    <cellStyle name="Normal 2 2 11 2" xfId="3516"/>
    <cellStyle name="Normal 2 2 11 2 2" xfId="3517"/>
    <cellStyle name="Normal 2 2 11 3" xfId="3518"/>
    <cellStyle name="Normal 2 2 12" xfId="3519"/>
    <cellStyle name="Normal 2 2 12 2" xfId="3520"/>
    <cellStyle name="Normal 2 2 12 2 2" xfId="3521"/>
    <cellStyle name="Normal 2 2 12 3" xfId="3522"/>
    <cellStyle name="Normal 2 2 13" xfId="3523"/>
    <cellStyle name="Normal 2 2 13 2" xfId="3524"/>
    <cellStyle name="Normal 2 2 13 2 2" xfId="3525"/>
    <cellStyle name="Normal 2 2 13 3" xfId="3526"/>
    <cellStyle name="Normal 2 2 14" xfId="3527"/>
    <cellStyle name="Normal 2 2 14 2" xfId="3528"/>
    <cellStyle name="Normal 2 2 15" xfId="3529"/>
    <cellStyle name="Normal 2 2 16" xfId="3530"/>
    <cellStyle name="Normal 2 2 2" xfId="3531"/>
    <cellStyle name="Normal 2 2 2 2" xfId="3532"/>
    <cellStyle name="Normal 2 2 2 2 2" xfId="3533"/>
    <cellStyle name="Normal 2 2 2 2 2 2" xfId="3534"/>
    <cellStyle name="Normal 2 2 2 2 2 2 2" xfId="3535"/>
    <cellStyle name="Normal 2 2 2 2 2 3" xfId="3536"/>
    <cellStyle name="Normal 2 2 2 2 2 4" xfId="3537"/>
    <cellStyle name="Normal 2 2 2 2 3" xfId="3538"/>
    <cellStyle name="Normal 2 2 2 2 3 2" xfId="3539"/>
    <cellStyle name="Normal 2 2 2 2 3 3" xfId="3540"/>
    <cellStyle name="Normal 2 2 2 2 4" xfId="3541"/>
    <cellStyle name="Normal 2 2 2 2 4 2" xfId="3542"/>
    <cellStyle name="Normal 2 2 2 2 5" xfId="3543"/>
    <cellStyle name="Normal 2 2 2 3" xfId="3544"/>
    <cellStyle name="Normal 2 2 2 3 2" xfId="3545"/>
    <cellStyle name="Normal 2 2 2 3 2 2" xfId="3546"/>
    <cellStyle name="Normal 2 2 2 3 2 3" xfId="3547"/>
    <cellStyle name="Normal 2 2 2 3 2 4" xfId="3548"/>
    <cellStyle name="Normal 2 2 2 3 3" xfId="3549"/>
    <cellStyle name="Normal 2 2 2 3 3 2" xfId="3550"/>
    <cellStyle name="Normal 2 2 2 3 4" xfId="3551"/>
    <cellStyle name="Normal 2 2 2 4" xfId="3552"/>
    <cellStyle name="Normal 2 2 2 4 2" xfId="3553"/>
    <cellStyle name="Normal 2 2 2 4 2 2" xfId="3554"/>
    <cellStyle name="Normal 2 2 2 4 2 3" xfId="3555"/>
    <cellStyle name="Normal 2 2 2 4 2 4" xfId="3556"/>
    <cellStyle name="Normal 2 2 2 4 3" xfId="3557"/>
    <cellStyle name="Normal 2 2 2 4 3 2" xfId="3558"/>
    <cellStyle name="Normal 2 2 2 4 4" xfId="3559"/>
    <cellStyle name="Normal 2 2 2 5" xfId="3560"/>
    <cellStyle name="Normal 2 2 2 5 2" xfId="3561"/>
    <cellStyle name="Normal 2 2 2 6" xfId="3562"/>
    <cellStyle name="Normal 2 2 2 7" xfId="3563"/>
    <cellStyle name="Normal 2 2 3" xfId="3564"/>
    <cellStyle name="Normal 2 2 3 2" xfId="3565"/>
    <cellStyle name="Normal 2 2 3 2 2" xfId="3566"/>
    <cellStyle name="Normal 2 2 3 2 2 2" xfId="3567"/>
    <cellStyle name="Normal 2 2 3 2 3" xfId="3568"/>
    <cellStyle name="Normal 2 2 3 3" xfId="3569"/>
    <cellStyle name="Normal 2 2 3 3 2" xfId="3570"/>
    <cellStyle name="Normal 2 2 3 4" xfId="3571"/>
    <cellStyle name="Normal 2 2 3 5" xfId="3572"/>
    <cellStyle name="Normal 2 2 4" xfId="3573"/>
    <cellStyle name="Normal 2 2 4 2" xfId="3574"/>
    <cellStyle name="Normal 2 2 4 2 2" xfId="3575"/>
    <cellStyle name="Normal 2 2 4 3" xfId="3576"/>
    <cellStyle name="Normal 2 2 4 4" xfId="3577"/>
    <cellStyle name="Normal 2 2 5" xfId="3578"/>
    <cellStyle name="Normal 2 2 5 2" xfId="3579"/>
    <cellStyle name="Normal 2 2 5 2 2" xfId="3580"/>
    <cellStyle name="Normal 2 2 5 3" xfId="3581"/>
    <cellStyle name="Normal 2 2 6" xfId="3582"/>
    <cellStyle name="Normal 2 2 6 2" xfId="3583"/>
    <cellStyle name="Normal 2 2 6 2 2" xfId="3584"/>
    <cellStyle name="Normal 2 2 6 3" xfId="3585"/>
    <cellStyle name="Normal 2 2 7" xfId="3586"/>
    <cellStyle name="Normal 2 2 7 2" xfId="3587"/>
    <cellStyle name="Normal 2 2 7 2 2" xfId="3588"/>
    <cellStyle name="Normal 2 2 7 3" xfId="3589"/>
    <cellStyle name="Normal 2 2 8" xfId="3590"/>
    <cellStyle name="Normal 2 2 8 2" xfId="3591"/>
    <cellStyle name="Normal 2 2 8 2 2" xfId="3592"/>
    <cellStyle name="Normal 2 2 8 3" xfId="3593"/>
    <cellStyle name="Normal 2 2 9" xfId="3594"/>
    <cellStyle name="Normal 2 2 9 2" xfId="3595"/>
    <cellStyle name="Normal 2 2 9 2 2" xfId="3596"/>
    <cellStyle name="Normal 2 2 9 3" xfId="3597"/>
    <cellStyle name="Normal 2 3" xfId="3598"/>
    <cellStyle name="Normal 2 3 10" xfId="3599"/>
    <cellStyle name="Normal 2 3 10 2" xfId="3600"/>
    <cellStyle name="Normal 2 3 10 2 2" xfId="3601"/>
    <cellStyle name="Normal 2 3 10 3" xfId="3602"/>
    <cellStyle name="Normal 2 3 11" xfId="3603"/>
    <cellStyle name="Normal 2 3 11 2" xfId="3604"/>
    <cellStyle name="Normal 2 3 11 2 2" xfId="3605"/>
    <cellStyle name="Normal 2 3 11 3" xfId="3606"/>
    <cellStyle name="Normal 2 3 12" xfId="3607"/>
    <cellStyle name="Normal 2 3 12 2" xfId="3608"/>
    <cellStyle name="Normal 2 3 12 2 2" xfId="3609"/>
    <cellStyle name="Normal 2 3 12 3" xfId="3610"/>
    <cellStyle name="Normal 2 3 13" xfId="3611"/>
    <cellStyle name="Normal 2 3 13 2" xfId="3612"/>
    <cellStyle name="Normal 2 3 13 2 2" xfId="3613"/>
    <cellStyle name="Normal 2 3 13 3" xfId="3614"/>
    <cellStyle name="Normal 2 3 14" xfId="3615"/>
    <cellStyle name="Normal 2 3 14 2" xfId="3616"/>
    <cellStyle name="Normal 2 3 15" xfId="3617"/>
    <cellStyle name="Normal 2 3 16" xfId="3618"/>
    <cellStyle name="Normal 2 3 2" xfId="3619"/>
    <cellStyle name="Normal 2 3 2 2" xfId="3620"/>
    <cellStyle name="Normal 2 3 2 2 2" xfId="3621"/>
    <cellStyle name="Normal 2 3 2 2 2 2" xfId="3622"/>
    <cellStyle name="Normal 2 3 2 2 2 2 2" xfId="3623"/>
    <cellStyle name="Normal 2 3 2 2 2 3" xfId="3624"/>
    <cellStyle name="Normal 2 3 2 2 2 4" xfId="3625"/>
    <cellStyle name="Normal 2 3 2 2 3" xfId="3626"/>
    <cellStyle name="Normal 2 3 2 2 3 2" xfId="3627"/>
    <cellStyle name="Normal 2 3 2 2 3 3" xfId="3628"/>
    <cellStyle name="Normal 2 3 2 2 4" xfId="3629"/>
    <cellStyle name="Normal 2 3 2 2 4 2" xfId="3630"/>
    <cellStyle name="Normal 2 3 2 2 5" xfId="3631"/>
    <cellStyle name="Normal 2 3 2 3" xfId="3632"/>
    <cellStyle name="Normal 2 3 2 3 2" xfId="3633"/>
    <cellStyle name="Normal 2 3 2 3 2 2" xfId="3634"/>
    <cellStyle name="Normal 2 3 2 3 2 3" xfId="3635"/>
    <cellStyle name="Normal 2 3 2 3 2 4" xfId="3636"/>
    <cellStyle name="Normal 2 3 2 3 3" xfId="3637"/>
    <cellStyle name="Normal 2 3 2 3 3 2" xfId="3638"/>
    <cellStyle name="Normal 2 3 2 3 4" xfId="3639"/>
    <cellStyle name="Normal 2 3 2 4" xfId="3640"/>
    <cellStyle name="Normal 2 3 2 4 2" xfId="3641"/>
    <cellStyle name="Normal 2 3 2 4 2 2" xfId="3642"/>
    <cellStyle name="Normal 2 3 2 4 2 3" xfId="3643"/>
    <cellStyle name="Normal 2 3 2 4 2 4" xfId="3644"/>
    <cellStyle name="Normal 2 3 2 4 3" xfId="3645"/>
    <cellStyle name="Normal 2 3 2 4 3 2" xfId="3646"/>
    <cellStyle name="Normal 2 3 2 4 4" xfId="3647"/>
    <cellStyle name="Normal 2 3 2 5" xfId="3648"/>
    <cellStyle name="Normal 2 3 2 5 2" xfId="3649"/>
    <cellStyle name="Normal 2 3 2 6" xfId="3650"/>
    <cellStyle name="Normal 2 3 2 7" xfId="3651"/>
    <cellStyle name="Normal 2 3 3" xfId="3652"/>
    <cellStyle name="Normal 2 3 3 2" xfId="3653"/>
    <cellStyle name="Normal 2 3 3 2 2" xfId="3654"/>
    <cellStyle name="Normal 2 3 3 2 2 2" xfId="3655"/>
    <cellStyle name="Normal 2 3 3 2 3" xfId="3656"/>
    <cellStyle name="Normal 2 3 3 3" xfId="3657"/>
    <cellStyle name="Normal 2 3 3 3 2" xfId="3658"/>
    <cellStyle name="Normal 2 3 3 4" xfId="3659"/>
    <cellStyle name="Normal 2 3 3 5" xfId="3660"/>
    <cellStyle name="Normal 2 3 4" xfId="3661"/>
    <cellStyle name="Normal 2 3 4 2" xfId="3662"/>
    <cellStyle name="Normal 2 3 4 2 2" xfId="3663"/>
    <cellStyle name="Normal 2 3 4 3" xfId="3664"/>
    <cellStyle name="Normal 2 3 4 4" xfId="3665"/>
    <cellStyle name="Normal 2 3 5" xfId="3666"/>
    <cellStyle name="Normal 2 3 5 2" xfId="3667"/>
    <cellStyle name="Normal 2 3 5 2 2" xfId="3668"/>
    <cellStyle name="Normal 2 3 5 3" xfId="3669"/>
    <cellStyle name="Normal 2 3 6" xfId="3670"/>
    <cellStyle name="Normal 2 3 6 2" xfId="3671"/>
    <cellStyle name="Normal 2 3 6 2 2" xfId="3672"/>
    <cellStyle name="Normal 2 3 6 3" xfId="3673"/>
    <cellStyle name="Normal 2 3 7" xfId="3674"/>
    <cellStyle name="Normal 2 3 7 2" xfId="3675"/>
    <cellStyle name="Normal 2 3 7 2 2" xfId="3676"/>
    <cellStyle name="Normal 2 3 7 3" xfId="3677"/>
    <cellStyle name="Normal 2 3 8" xfId="3678"/>
    <cellStyle name="Normal 2 3 8 2" xfId="3679"/>
    <cellStyle name="Normal 2 3 8 2 2" xfId="3680"/>
    <cellStyle name="Normal 2 3 8 3" xfId="3681"/>
    <cellStyle name="Normal 2 3 9" xfId="3682"/>
    <cellStyle name="Normal 2 3 9 2" xfId="3683"/>
    <cellStyle name="Normal 2 3 9 2 2" xfId="3684"/>
    <cellStyle name="Normal 2 3 9 3" xfId="3685"/>
    <cellStyle name="Normal 2 4" xfId="3686"/>
    <cellStyle name="Normal 2 4 2" xfId="3687"/>
    <cellStyle name="Normal 2 5" xfId="3688"/>
    <cellStyle name="Normal 2 6" xfId="3689"/>
    <cellStyle name="Normal 2 7" xfId="3690"/>
    <cellStyle name="Normal 2_MindshareMedia" xfId="3691"/>
    <cellStyle name="Normal 20" xfId="3692"/>
    <cellStyle name="Normal 21" xfId="3693"/>
    <cellStyle name="Normal 22" xfId="3694"/>
    <cellStyle name="Normal 23" xfId="3695"/>
    <cellStyle name="Normal 24" xfId="3696"/>
    <cellStyle name="Normal 24 2" xfId="3697"/>
    <cellStyle name="Normal 25" xfId="3698"/>
    <cellStyle name="Normal 26" xfId="3699"/>
    <cellStyle name="Normal 3" xfId="3700"/>
    <cellStyle name="Normal 3 2" xfId="3701"/>
    <cellStyle name="Normal 3 2 2" xfId="3702"/>
    <cellStyle name="Normal 3 3" xfId="3703"/>
    <cellStyle name="Normal 3 3 2" xfId="3704"/>
    <cellStyle name="Normal 3 3 2 2" xfId="3705"/>
    <cellStyle name="Normal 3 3 2 2 2" xfId="3706"/>
    <cellStyle name="Normal 3 3 2 2 2 2" xfId="3707"/>
    <cellStyle name="Normal 3 3 2 2 3" xfId="3708"/>
    <cellStyle name="Normal 3 3 2 3" xfId="3709"/>
    <cellStyle name="Normal 3 3 2 3 2" xfId="3710"/>
    <cellStyle name="Normal 3 3 2 3 2 2" xfId="3711"/>
    <cellStyle name="Normal 3 3 2 3 3" xfId="3712"/>
    <cellStyle name="Normal 3 3 2 4" xfId="3713"/>
    <cellStyle name="Normal 3 3 2 4 2" xfId="3714"/>
    <cellStyle name="Normal 3 3 2 5" xfId="3715"/>
    <cellStyle name="Normal 3 3 2 5 2" xfId="3716"/>
    <cellStyle name="Normal 3 3 2 6" xfId="3717"/>
    <cellStyle name="Normal 3 3 3" xfId="3718"/>
    <cellStyle name="Normal 3 3 3 2" xfId="3719"/>
    <cellStyle name="Normal 3 3 3 2 2" xfId="3720"/>
    <cellStyle name="Normal 3 3 3 2 2 2" xfId="3721"/>
    <cellStyle name="Normal 3 3 3 2 3" xfId="3722"/>
    <cellStyle name="Normal 3 3 3 3" xfId="3723"/>
    <cellStyle name="Normal 3 3 3 3 2" xfId="3724"/>
    <cellStyle name="Normal 3 3 3 3 2 2" xfId="3725"/>
    <cellStyle name="Normal 3 3 3 3 3" xfId="3726"/>
    <cellStyle name="Normal 3 3 3 4" xfId="3727"/>
    <cellStyle name="Normal 3 3 3 4 2" xfId="3728"/>
    <cellStyle name="Normal 3 3 3 5" xfId="3729"/>
    <cellStyle name="Normal 3 3 3 5 2" xfId="3730"/>
    <cellStyle name="Normal 3 3 3 6" xfId="3731"/>
    <cellStyle name="Normal 3 3 4" xfId="3732"/>
    <cellStyle name="Normal 3 3 4 2" xfId="3733"/>
    <cellStyle name="Normal 3 3 4 2 2" xfId="3734"/>
    <cellStyle name="Normal 3 3 4 3" xfId="3735"/>
    <cellStyle name="Normal 3 3 4 3 2" xfId="3736"/>
    <cellStyle name="Normal 3 3 4 4" xfId="3737"/>
    <cellStyle name="Normal 3 3 5" xfId="3738"/>
    <cellStyle name="Normal 3 3 5 2" xfId="3739"/>
    <cellStyle name="Normal 3 3 5 2 2" xfId="3740"/>
    <cellStyle name="Normal 3 3 5 3" xfId="3741"/>
    <cellStyle name="Normal 3 3 6" xfId="3742"/>
    <cellStyle name="Normal 3 3 6 2" xfId="3743"/>
    <cellStyle name="Normal 3 3 7" xfId="3744"/>
    <cellStyle name="Normal 3 3 7 2" xfId="3745"/>
    <cellStyle name="Normal 3 3 8" xfId="3746"/>
    <cellStyle name="Normal 3 4" xfId="3747"/>
    <cellStyle name="Normal 3 5" xfId="3748"/>
    <cellStyle name="Normal 3 5 2" xfId="3749"/>
    <cellStyle name="Normal 3 6" xfId="3750"/>
    <cellStyle name="Normal 3 6 2" xfId="3751"/>
    <cellStyle name="Normal 4" xfId="3752"/>
    <cellStyle name="Normal 4 2" xfId="3753"/>
    <cellStyle name="Normal 4 3" xfId="3754"/>
    <cellStyle name="Normal 4_Розыгрыш" xfId="3755"/>
    <cellStyle name="Normal 5" xfId="3756"/>
    <cellStyle name="Normal 52" xfId="3757"/>
    <cellStyle name="Normal 52 2" xfId="3758"/>
    <cellStyle name="Normal 52 2 2" xfId="3759"/>
    <cellStyle name="Normal 52 2 2 2" xfId="3760"/>
    <cellStyle name="Normal 52 2 3" xfId="3761"/>
    <cellStyle name="Normal 52 3" xfId="3762"/>
    <cellStyle name="Normal 52 3 2" xfId="3763"/>
    <cellStyle name="Normal 52 3 2 2" xfId="3764"/>
    <cellStyle name="Normal 52 3 3" xfId="3765"/>
    <cellStyle name="Normal 52 4" xfId="3766"/>
    <cellStyle name="Normal 52 4 2" xfId="3767"/>
    <cellStyle name="Normal 52 5" xfId="3768"/>
    <cellStyle name="Normal 52 5 2" xfId="3769"/>
    <cellStyle name="Normal 52 6" xfId="3770"/>
    <cellStyle name="Normal 6" xfId="3771"/>
    <cellStyle name="Normal 7" xfId="3772"/>
    <cellStyle name="Normal 8" xfId="3773"/>
    <cellStyle name="Normal 9" xfId="3774"/>
    <cellStyle name="Normal." xfId="3775"/>
    <cellStyle name="Normal1" xfId="4"/>
    <cellStyle name="Normale_NEGS" xfId="3776"/>
    <cellStyle name="normбlnм_laroux" xfId="3777"/>
    <cellStyle name="Note" xfId="3778"/>
    <cellStyle name="Note 10" xfId="3779"/>
    <cellStyle name="Note 10 2" xfId="3780"/>
    <cellStyle name="Note 10 2 2" xfId="3781"/>
    <cellStyle name="Note 10 2 2 2" xfId="3782"/>
    <cellStyle name="Note 10 2 2 2 2" xfId="3783"/>
    <cellStyle name="Note 10 2 2 3" xfId="3784"/>
    <cellStyle name="Note 10 2 3" xfId="3785"/>
    <cellStyle name="Note 10 2 3 2" xfId="3786"/>
    <cellStyle name="Note 10 2 3 2 2" xfId="3787"/>
    <cellStyle name="Note 10 2 3 3" xfId="3788"/>
    <cellStyle name="Note 10 2 4" xfId="3789"/>
    <cellStyle name="Note 10 3" xfId="3790"/>
    <cellStyle name="Note 10 3 2" xfId="3791"/>
    <cellStyle name="Note 10 3 2 2" xfId="3792"/>
    <cellStyle name="Note 10 3 3" xfId="3793"/>
    <cellStyle name="Note 10 4" xfId="3794"/>
    <cellStyle name="Note 10 4 2" xfId="3795"/>
    <cellStyle name="Note 10 4 2 2" xfId="3796"/>
    <cellStyle name="Note 10 4 3" xfId="3797"/>
    <cellStyle name="Note 10 5" xfId="3798"/>
    <cellStyle name="Note 11" xfId="3799"/>
    <cellStyle name="Note 11 2" xfId="3800"/>
    <cellStyle name="Note 11 2 2" xfId="3801"/>
    <cellStyle name="Note 11 2 2 2" xfId="3802"/>
    <cellStyle name="Note 11 2 3" xfId="3803"/>
    <cellStyle name="Note 11 3" xfId="3804"/>
    <cellStyle name="Note 11 3 2" xfId="3805"/>
    <cellStyle name="Note 11 3 2 2" xfId="3806"/>
    <cellStyle name="Note 11 3 3" xfId="3807"/>
    <cellStyle name="Note 11 4" xfId="3808"/>
    <cellStyle name="Note 12" xfId="3809"/>
    <cellStyle name="Note 12 2" xfId="3810"/>
    <cellStyle name="Note 12 2 2" xfId="3811"/>
    <cellStyle name="Note 12 2 2 2" xfId="3812"/>
    <cellStyle name="Note 12 2 3" xfId="3813"/>
    <cellStyle name="Note 12 3" xfId="3814"/>
    <cellStyle name="Note 12 3 2" xfId="3815"/>
    <cellStyle name="Note 12 3 2 2" xfId="3816"/>
    <cellStyle name="Note 12 3 3" xfId="3817"/>
    <cellStyle name="Note 12 4" xfId="3818"/>
    <cellStyle name="Note 13" xfId="3819"/>
    <cellStyle name="Note 13 2" xfId="3820"/>
    <cellStyle name="Note 13 2 2" xfId="3821"/>
    <cellStyle name="Note 13 2 2 2" xfId="3822"/>
    <cellStyle name="Note 13 2 3" xfId="3823"/>
    <cellStyle name="Note 13 3" xfId="3824"/>
    <cellStyle name="Note 13 3 2" xfId="3825"/>
    <cellStyle name="Note 13 3 2 2" xfId="3826"/>
    <cellStyle name="Note 13 3 3" xfId="3827"/>
    <cellStyle name="Note 13 4" xfId="3828"/>
    <cellStyle name="Note 14" xfId="3829"/>
    <cellStyle name="Note 14 2" xfId="3830"/>
    <cellStyle name="Note 14 2 2" xfId="3831"/>
    <cellStyle name="Note 14 3" xfId="3832"/>
    <cellStyle name="Note 14 3 2" xfId="3833"/>
    <cellStyle name="Note 14 4" xfId="3834"/>
    <cellStyle name="Note 15" xfId="3835"/>
    <cellStyle name="Note 15 2" xfId="3836"/>
    <cellStyle name="Note 15 2 2" xfId="3837"/>
    <cellStyle name="Note 15 3" xfId="3838"/>
    <cellStyle name="Note 15 3 2" xfId="3839"/>
    <cellStyle name="Note 16" xfId="3840"/>
    <cellStyle name="Note 16 2" xfId="3841"/>
    <cellStyle name="Note 16 3" xfId="3842"/>
    <cellStyle name="Note 16 3 2" xfId="3843"/>
    <cellStyle name="Note 17" xfId="3844"/>
    <cellStyle name="Note 17 2" xfId="3845"/>
    <cellStyle name="Note 17 3" xfId="3846"/>
    <cellStyle name="Note 17 3 2" xfId="3847"/>
    <cellStyle name="Note 18" xfId="3848"/>
    <cellStyle name="Note 18 2" xfId="3849"/>
    <cellStyle name="Note 18 3" xfId="3850"/>
    <cellStyle name="Note 18 3 2" xfId="3851"/>
    <cellStyle name="Note 19" xfId="3852"/>
    <cellStyle name="Note 19 2" xfId="3853"/>
    <cellStyle name="Note 19 2 2" xfId="3854"/>
    <cellStyle name="Note 2" xfId="3855"/>
    <cellStyle name="Note 2 10" xfId="3856"/>
    <cellStyle name="Note 2 10 2" xfId="3857"/>
    <cellStyle name="Note 2 10 3" xfId="3858"/>
    <cellStyle name="Note 2 10 3 2" xfId="3859"/>
    <cellStyle name="Note 2 11" xfId="3860"/>
    <cellStyle name="Note 2 11 2" xfId="3861"/>
    <cellStyle name="Note 2 11 3" xfId="3862"/>
    <cellStyle name="Note 2 11 3 2" xfId="3863"/>
    <cellStyle name="Note 2 12" xfId="3864"/>
    <cellStyle name="Note 2 12 2" xfId="3865"/>
    <cellStyle name="Note 2 12 3" xfId="3866"/>
    <cellStyle name="Note 2 12 3 2" xfId="3867"/>
    <cellStyle name="Note 2 13" xfId="3868"/>
    <cellStyle name="Note 2 13 2" xfId="3869"/>
    <cellStyle name="Note 2 13 2 2" xfId="3870"/>
    <cellStyle name="Note 2 14" xfId="3871"/>
    <cellStyle name="Note 2 14 2" xfId="3872"/>
    <cellStyle name="Note 2 2" xfId="3873"/>
    <cellStyle name="Note 2 2 10" xfId="3874"/>
    <cellStyle name="Note 2 2 2" xfId="3875"/>
    <cellStyle name="Note 2 2 2 2" xfId="3876"/>
    <cellStyle name="Note 2 2 2 2 2" xfId="3877"/>
    <cellStyle name="Note 2 2 2 2 2 2" xfId="3878"/>
    <cellStyle name="Note 2 2 2 2 2 2 2" xfId="3879"/>
    <cellStyle name="Note 2 2 2 2 2 3" xfId="3880"/>
    <cellStyle name="Note 2 2 2 2 3" xfId="3881"/>
    <cellStyle name="Note 2 2 2 2 3 2" xfId="3882"/>
    <cellStyle name="Note 2 2 2 2 3 2 2" xfId="3883"/>
    <cellStyle name="Note 2 2 2 2 3 3" xfId="3884"/>
    <cellStyle name="Note 2 2 2 2 4" xfId="3885"/>
    <cellStyle name="Note 2 2 2 3" xfId="3886"/>
    <cellStyle name="Note 2 2 2 3 2" xfId="3887"/>
    <cellStyle name="Note 2 2 2 3 2 2" xfId="3888"/>
    <cellStyle name="Note 2 2 2 3 3" xfId="3889"/>
    <cellStyle name="Note 2 2 2 4" xfId="3890"/>
    <cellStyle name="Note 2 2 2 4 2" xfId="3891"/>
    <cellStyle name="Note 2 2 2 4 2 2" xfId="3892"/>
    <cellStyle name="Note 2 2 2 4 3" xfId="3893"/>
    <cellStyle name="Note 2 2 2 5" xfId="3894"/>
    <cellStyle name="Note 2 2 3" xfId="3895"/>
    <cellStyle name="Note 2 2 3 2" xfId="3896"/>
    <cellStyle name="Note 2 2 3 2 2" xfId="3897"/>
    <cellStyle name="Note 2 2 3 2 2 2" xfId="3898"/>
    <cellStyle name="Note 2 2 3 2 2 2 2" xfId="3899"/>
    <cellStyle name="Note 2 2 3 2 2 3" xfId="3900"/>
    <cellStyle name="Note 2 2 3 2 3" xfId="3901"/>
    <cellStyle name="Note 2 2 3 2 3 2" xfId="3902"/>
    <cellStyle name="Note 2 2 3 2 3 2 2" xfId="3903"/>
    <cellStyle name="Note 2 2 3 2 3 3" xfId="3904"/>
    <cellStyle name="Note 2 2 3 2 4" xfId="3905"/>
    <cellStyle name="Note 2 2 3 3" xfId="3906"/>
    <cellStyle name="Note 2 2 3 3 2" xfId="3907"/>
    <cellStyle name="Note 2 2 3 3 2 2" xfId="3908"/>
    <cellStyle name="Note 2 2 3 3 3" xfId="3909"/>
    <cellStyle name="Note 2 2 3 4" xfId="3910"/>
    <cellStyle name="Note 2 2 3 4 2" xfId="3911"/>
    <cellStyle name="Note 2 2 3 4 2 2" xfId="3912"/>
    <cellStyle name="Note 2 2 3 4 3" xfId="3913"/>
    <cellStyle name="Note 2 2 3 5" xfId="3914"/>
    <cellStyle name="Note 2 2 4" xfId="3915"/>
    <cellStyle name="Note 2 2 4 2" xfId="3916"/>
    <cellStyle name="Note 2 2 4 2 2" xfId="3917"/>
    <cellStyle name="Note 2 2 4 2 2 2" xfId="3918"/>
    <cellStyle name="Note 2 2 4 2 3" xfId="3919"/>
    <cellStyle name="Note 2 2 4 3" xfId="3920"/>
    <cellStyle name="Note 2 2 4 3 2" xfId="3921"/>
    <cellStyle name="Note 2 2 4 3 2 2" xfId="3922"/>
    <cellStyle name="Note 2 2 4 3 3" xfId="3923"/>
    <cellStyle name="Note 2 2 4 4" xfId="3924"/>
    <cellStyle name="Note 2 2 5" xfId="3925"/>
    <cellStyle name="Note 2 2 5 2" xfId="3926"/>
    <cellStyle name="Note 2 2 5 2 2" xfId="3927"/>
    <cellStyle name="Note 2 2 5 2 2 2" xfId="3928"/>
    <cellStyle name="Note 2 2 5 2 3" xfId="3929"/>
    <cellStyle name="Note 2 2 5 3" xfId="3930"/>
    <cellStyle name="Note 2 2 5 3 2" xfId="3931"/>
    <cellStyle name="Note 2 2 5 3 2 2" xfId="3932"/>
    <cellStyle name="Note 2 2 5 3 3" xfId="3933"/>
    <cellStyle name="Note 2 2 5 4" xfId="3934"/>
    <cellStyle name="Note 2 2 6" xfId="3935"/>
    <cellStyle name="Note 2 2 6 2" xfId="3936"/>
    <cellStyle name="Note 2 2 6 2 2" xfId="3937"/>
    <cellStyle name="Note 2 2 6 2 2 2" xfId="3938"/>
    <cellStyle name="Note 2 2 6 2 3" xfId="3939"/>
    <cellStyle name="Note 2 2 6 3" xfId="3940"/>
    <cellStyle name="Note 2 2 6 3 2" xfId="3941"/>
    <cellStyle name="Note 2 2 6 3 2 2" xfId="3942"/>
    <cellStyle name="Note 2 2 6 3 3" xfId="3943"/>
    <cellStyle name="Note 2 2 6 4" xfId="3944"/>
    <cellStyle name="Note 2 2 7" xfId="3945"/>
    <cellStyle name="Note 2 2 7 2" xfId="3946"/>
    <cellStyle name="Note 2 2 7 2 2" xfId="3947"/>
    <cellStyle name="Note 2 2 7 2 2 2" xfId="3948"/>
    <cellStyle name="Note 2 2 7 2 3" xfId="3949"/>
    <cellStyle name="Note 2 2 7 3" xfId="3950"/>
    <cellStyle name="Note 2 2 7 3 2" xfId="3951"/>
    <cellStyle name="Note 2 2 7 3 2 2" xfId="3952"/>
    <cellStyle name="Note 2 2 7 3 3" xfId="3953"/>
    <cellStyle name="Note 2 2 7 4" xfId="3954"/>
    <cellStyle name="Note 2 2 8" xfId="3955"/>
    <cellStyle name="Note 2 2 8 2" xfId="3956"/>
    <cellStyle name="Note 2 2 8 2 2" xfId="3957"/>
    <cellStyle name="Note 2 2 8 3" xfId="3958"/>
    <cellStyle name="Note 2 2 9" xfId="3959"/>
    <cellStyle name="Note 2 2 9 2" xfId="3960"/>
    <cellStyle name="Note 2 2 9 2 2" xfId="3961"/>
    <cellStyle name="Note 2 2 9 3" xfId="3962"/>
    <cellStyle name="Note 2 3" xfId="3963"/>
    <cellStyle name="Note 2 3 2" xfId="3964"/>
    <cellStyle name="Note 2 3 2 2" xfId="3965"/>
    <cellStyle name="Note 2 3 2 2 2" xfId="3966"/>
    <cellStyle name="Note 2 3 2 2 2 2" xfId="3967"/>
    <cellStyle name="Note 2 3 2 2 3" xfId="3968"/>
    <cellStyle name="Note 2 3 2 3" xfId="3969"/>
    <cellStyle name="Note 2 3 2 3 2" xfId="3970"/>
    <cellStyle name="Note 2 3 2 3 2 2" xfId="3971"/>
    <cellStyle name="Note 2 3 2 3 3" xfId="3972"/>
    <cellStyle name="Note 2 3 2 4" xfId="3973"/>
    <cellStyle name="Note 2 3 3" xfId="3974"/>
    <cellStyle name="Note 2 3 3 2" xfId="3975"/>
    <cellStyle name="Note 2 3 3 2 2" xfId="3976"/>
    <cellStyle name="Note 2 3 3 3" xfId="3977"/>
    <cellStyle name="Note 2 3 4" xfId="3978"/>
    <cellStyle name="Note 2 3 4 2" xfId="3979"/>
    <cellStyle name="Note 2 3 4 2 2" xfId="3980"/>
    <cellStyle name="Note 2 3 4 3" xfId="3981"/>
    <cellStyle name="Note 2 3 5" xfId="3982"/>
    <cellStyle name="Note 2 4" xfId="3983"/>
    <cellStyle name="Note 2 4 2" xfId="3984"/>
    <cellStyle name="Note 2 4 2 2" xfId="3985"/>
    <cellStyle name="Note 2 4 2 2 2" xfId="3986"/>
    <cellStyle name="Note 2 4 2 2 2 2" xfId="3987"/>
    <cellStyle name="Note 2 4 2 2 3" xfId="3988"/>
    <cellStyle name="Note 2 4 2 3" xfId="3989"/>
    <cellStyle name="Note 2 4 2 3 2" xfId="3990"/>
    <cellStyle name="Note 2 4 2 3 2 2" xfId="3991"/>
    <cellStyle name="Note 2 4 2 3 3" xfId="3992"/>
    <cellStyle name="Note 2 4 2 4" xfId="3993"/>
    <cellStyle name="Note 2 4 3" xfId="3994"/>
    <cellStyle name="Note 2 4 3 2" xfId="3995"/>
    <cellStyle name="Note 2 4 3 2 2" xfId="3996"/>
    <cellStyle name="Note 2 4 3 3" xfId="3997"/>
    <cellStyle name="Note 2 4 4" xfId="3998"/>
    <cellStyle name="Note 2 4 4 2" xfId="3999"/>
    <cellStyle name="Note 2 4 4 2 2" xfId="4000"/>
    <cellStyle name="Note 2 4 4 3" xfId="4001"/>
    <cellStyle name="Note 2 4 5" xfId="4002"/>
    <cellStyle name="Note 2 5" xfId="4003"/>
    <cellStyle name="Note 2 5 2" xfId="4004"/>
    <cellStyle name="Note 2 5 2 2" xfId="4005"/>
    <cellStyle name="Note 2 5 2 2 2" xfId="4006"/>
    <cellStyle name="Note 2 5 2 3" xfId="4007"/>
    <cellStyle name="Note 2 5 3" xfId="4008"/>
    <cellStyle name="Note 2 5 3 2" xfId="4009"/>
    <cellStyle name="Note 2 5 3 2 2" xfId="4010"/>
    <cellStyle name="Note 2 5 3 3" xfId="4011"/>
    <cellStyle name="Note 2 5 4" xfId="4012"/>
    <cellStyle name="Note 2 6" xfId="4013"/>
    <cellStyle name="Note 2 6 2" xfId="4014"/>
    <cellStyle name="Note 2 6 2 2" xfId="4015"/>
    <cellStyle name="Note 2 6 2 2 2" xfId="4016"/>
    <cellStyle name="Note 2 6 2 3" xfId="4017"/>
    <cellStyle name="Note 2 6 3" xfId="4018"/>
    <cellStyle name="Note 2 6 3 2" xfId="4019"/>
    <cellStyle name="Note 2 6 3 2 2" xfId="4020"/>
    <cellStyle name="Note 2 6 3 3" xfId="4021"/>
    <cellStyle name="Note 2 6 4" xfId="4022"/>
    <cellStyle name="Note 2 7" xfId="4023"/>
    <cellStyle name="Note 2 7 2" xfId="4024"/>
    <cellStyle name="Note 2 7 2 2" xfId="4025"/>
    <cellStyle name="Note 2 7 2 2 2" xfId="4026"/>
    <cellStyle name="Note 2 7 2 3" xfId="4027"/>
    <cellStyle name="Note 2 7 3" xfId="4028"/>
    <cellStyle name="Note 2 7 3 2" xfId="4029"/>
    <cellStyle name="Note 2 7 3 2 2" xfId="4030"/>
    <cellStyle name="Note 2 7 3 3" xfId="4031"/>
    <cellStyle name="Note 2 7 4" xfId="4032"/>
    <cellStyle name="Note 2 8" xfId="4033"/>
    <cellStyle name="Note 2 8 2" xfId="4034"/>
    <cellStyle name="Note 2 8 2 2" xfId="4035"/>
    <cellStyle name="Note 2 8 3" xfId="4036"/>
    <cellStyle name="Note 2 8 3 2" xfId="4037"/>
    <cellStyle name="Note 2 9" xfId="4038"/>
    <cellStyle name="Note 2 9 2" xfId="4039"/>
    <cellStyle name="Note 2 9 2 2" xfId="4040"/>
    <cellStyle name="Note 2 9 3" xfId="4041"/>
    <cellStyle name="Note 2 9 3 2" xfId="4042"/>
    <cellStyle name="Note 20" xfId="4043"/>
    <cellStyle name="Note 20 2" xfId="4044"/>
    <cellStyle name="Note 3" xfId="4045"/>
    <cellStyle name="Note 3 10" xfId="4046"/>
    <cellStyle name="Note 3 10 2" xfId="4047"/>
    <cellStyle name="Note 3 10 3" xfId="4048"/>
    <cellStyle name="Note 3 10 3 2" xfId="4049"/>
    <cellStyle name="Note 3 11" xfId="4050"/>
    <cellStyle name="Note 3 11 2" xfId="4051"/>
    <cellStyle name="Note 3 11 3" xfId="4052"/>
    <cellStyle name="Note 3 11 3 2" xfId="4053"/>
    <cellStyle name="Note 3 12" xfId="4054"/>
    <cellStyle name="Note 3 12 2" xfId="4055"/>
    <cellStyle name="Note 3 12 3" xfId="4056"/>
    <cellStyle name="Note 3 12 3 2" xfId="4057"/>
    <cellStyle name="Note 3 13" xfId="4058"/>
    <cellStyle name="Note 3 13 2" xfId="4059"/>
    <cellStyle name="Note 3 13 2 2" xfId="4060"/>
    <cellStyle name="Note 3 14" xfId="4061"/>
    <cellStyle name="Note 3 14 2" xfId="4062"/>
    <cellStyle name="Note 3 2" xfId="4063"/>
    <cellStyle name="Note 3 2 10" xfId="4064"/>
    <cellStyle name="Note 3 2 2" xfId="4065"/>
    <cellStyle name="Note 3 2 2 2" xfId="4066"/>
    <cellStyle name="Note 3 2 2 2 2" xfId="4067"/>
    <cellStyle name="Note 3 2 2 2 2 2" xfId="4068"/>
    <cellStyle name="Note 3 2 2 2 2 2 2" xfId="4069"/>
    <cellStyle name="Note 3 2 2 2 2 3" xfId="4070"/>
    <cellStyle name="Note 3 2 2 2 3" xfId="4071"/>
    <cellStyle name="Note 3 2 2 2 3 2" xfId="4072"/>
    <cellStyle name="Note 3 2 2 2 3 2 2" xfId="4073"/>
    <cellStyle name="Note 3 2 2 2 3 3" xfId="4074"/>
    <cellStyle name="Note 3 2 2 2 4" xfId="4075"/>
    <cellStyle name="Note 3 2 2 3" xfId="4076"/>
    <cellStyle name="Note 3 2 2 3 2" xfId="4077"/>
    <cellStyle name="Note 3 2 2 3 2 2" xfId="4078"/>
    <cellStyle name="Note 3 2 2 3 3" xfId="4079"/>
    <cellStyle name="Note 3 2 2 4" xfId="4080"/>
    <cellStyle name="Note 3 2 2 4 2" xfId="4081"/>
    <cellStyle name="Note 3 2 2 4 2 2" xfId="4082"/>
    <cellStyle name="Note 3 2 2 4 3" xfId="4083"/>
    <cellStyle name="Note 3 2 2 5" xfId="4084"/>
    <cellStyle name="Note 3 2 3" xfId="4085"/>
    <cellStyle name="Note 3 2 3 2" xfId="4086"/>
    <cellStyle name="Note 3 2 3 2 2" xfId="4087"/>
    <cellStyle name="Note 3 2 3 2 2 2" xfId="4088"/>
    <cellStyle name="Note 3 2 3 2 2 2 2" xfId="4089"/>
    <cellStyle name="Note 3 2 3 2 2 3" xfId="4090"/>
    <cellStyle name="Note 3 2 3 2 3" xfId="4091"/>
    <cellStyle name="Note 3 2 3 2 3 2" xfId="4092"/>
    <cellStyle name="Note 3 2 3 2 3 2 2" xfId="4093"/>
    <cellStyle name="Note 3 2 3 2 3 3" xfId="4094"/>
    <cellStyle name="Note 3 2 3 2 4" xfId="4095"/>
    <cellStyle name="Note 3 2 3 3" xfId="4096"/>
    <cellStyle name="Note 3 2 3 3 2" xfId="4097"/>
    <cellStyle name="Note 3 2 3 3 2 2" xfId="4098"/>
    <cellStyle name="Note 3 2 3 3 3" xfId="4099"/>
    <cellStyle name="Note 3 2 3 4" xfId="4100"/>
    <cellStyle name="Note 3 2 3 4 2" xfId="4101"/>
    <cellStyle name="Note 3 2 3 4 2 2" xfId="4102"/>
    <cellStyle name="Note 3 2 3 4 3" xfId="4103"/>
    <cellStyle name="Note 3 2 3 5" xfId="4104"/>
    <cellStyle name="Note 3 2 4" xfId="4105"/>
    <cellStyle name="Note 3 2 4 2" xfId="4106"/>
    <cellStyle name="Note 3 2 4 2 2" xfId="4107"/>
    <cellStyle name="Note 3 2 4 2 2 2" xfId="4108"/>
    <cellStyle name="Note 3 2 4 2 3" xfId="4109"/>
    <cellStyle name="Note 3 2 4 3" xfId="4110"/>
    <cellStyle name="Note 3 2 4 3 2" xfId="4111"/>
    <cellStyle name="Note 3 2 4 3 2 2" xfId="4112"/>
    <cellStyle name="Note 3 2 4 3 3" xfId="4113"/>
    <cellStyle name="Note 3 2 4 4" xfId="4114"/>
    <cellStyle name="Note 3 2 5" xfId="4115"/>
    <cellStyle name="Note 3 2 5 2" xfId="4116"/>
    <cellStyle name="Note 3 2 5 2 2" xfId="4117"/>
    <cellStyle name="Note 3 2 5 2 2 2" xfId="4118"/>
    <cellStyle name="Note 3 2 5 2 3" xfId="4119"/>
    <cellStyle name="Note 3 2 5 3" xfId="4120"/>
    <cellStyle name="Note 3 2 5 3 2" xfId="4121"/>
    <cellStyle name="Note 3 2 5 3 2 2" xfId="4122"/>
    <cellStyle name="Note 3 2 5 3 3" xfId="4123"/>
    <cellStyle name="Note 3 2 5 4" xfId="4124"/>
    <cellStyle name="Note 3 2 6" xfId="4125"/>
    <cellStyle name="Note 3 2 6 2" xfId="4126"/>
    <cellStyle name="Note 3 2 6 2 2" xfId="4127"/>
    <cellStyle name="Note 3 2 6 2 2 2" xfId="4128"/>
    <cellStyle name="Note 3 2 6 2 3" xfId="4129"/>
    <cellStyle name="Note 3 2 6 3" xfId="4130"/>
    <cellStyle name="Note 3 2 6 3 2" xfId="4131"/>
    <cellStyle name="Note 3 2 6 3 2 2" xfId="4132"/>
    <cellStyle name="Note 3 2 6 3 3" xfId="4133"/>
    <cellStyle name="Note 3 2 6 4" xfId="4134"/>
    <cellStyle name="Note 3 2 7" xfId="4135"/>
    <cellStyle name="Note 3 2 7 2" xfId="4136"/>
    <cellStyle name="Note 3 2 7 2 2" xfId="4137"/>
    <cellStyle name="Note 3 2 7 2 2 2" xfId="4138"/>
    <cellStyle name="Note 3 2 7 2 3" xfId="4139"/>
    <cellStyle name="Note 3 2 7 3" xfId="4140"/>
    <cellStyle name="Note 3 2 7 3 2" xfId="4141"/>
    <cellStyle name="Note 3 2 7 3 2 2" xfId="4142"/>
    <cellStyle name="Note 3 2 7 3 3" xfId="4143"/>
    <cellStyle name="Note 3 2 7 4" xfId="4144"/>
    <cellStyle name="Note 3 2 8" xfId="4145"/>
    <cellStyle name="Note 3 2 8 2" xfId="4146"/>
    <cellStyle name="Note 3 2 8 2 2" xfId="4147"/>
    <cellStyle name="Note 3 2 8 3" xfId="4148"/>
    <cellStyle name="Note 3 2 9" xfId="4149"/>
    <cellStyle name="Note 3 2 9 2" xfId="4150"/>
    <cellStyle name="Note 3 2 9 2 2" xfId="4151"/>
    <cellStyle name="Note 3 2 9 3" xfId="4152"/>
    <cellStyle name="Note 3 3" xfId="4153"/>
    <cellStyle name="Note 3 3 2" xfId="4154"/>
    <cellStyle name="Note 3 3 2 2" xfId="4155"/>
    <cellStyle name="Note 3 3 2 2 2" xfId="4156"/>
    <cellStyle name="Note 3 3 2 2 2 2" xfId="4157"/>
    <cellStyle name="Note 3 3 2 2 3" xfId="4158"/>
    <cellStyle name="Note 3 3 2 3" xfId="4159"/>
    <cellStyle name="Note 3 3 2 3 2" xfId="4160"/>
    <cellStyle name="Note 3 3 2 3 2 2" xfId="4161"/>
    <cellStyle name="Note 3 3 2 3 3" xfId="4162"/>
    <cellStyle name="Note 3 3 2 4" xfId="4163"/>
    <cellStyle name="Note 3 3 3" xfId="4164"/>
    <cellStyle name="Note 3 3 3 2" xfId="4165"/>
    <cellStyle name="Note 3 3 3 2 2" xfId="4166"/>
    <cellStyle name="Note 3 3 3 3" xfId="4167"/>
    <cellStyle name="Note 3 3 4" xfId="4168"/>
    <cellStyle name="Note 3 3 4 2" xfId="4169"/>
    <cellStyle name="Note 3 3 4 2 2" xfId="4170"/>
    <cellStyle name="Note 3 3 4 3" xfId="4171"/>
    <cellStyle name="Note 3 3 5" xfId="4172"/>
    <cellStyle name="Note 3 4" xfId="4173"/>
    <cellStyle name="Note 3 4 2" xfId="4174"/>
    <cellStyle name="Note 3 4 2 2" xfId="4175"/>
    <cellStyle name="Note 3 4 2 2 2" xfId="4176"/>
    <cellStyle name="Note 3 4 2 2 2 2" xfId="4177"/>
    <cellStyle name="Note 3 4 2 2 3" xfId="4178"/>
    <cellStyle name="Note 3 4 2 3" xfId="4179"/>
    <cellStyle name="Note 3 4 2 3 2" xfId="4180"/>
    <cellStyle name="Note 3 4 2 3 2 2" xfId="4181"/>
    <cellStyle name="Note 3 4 2 3 3" xfId="4182"/>
    <cellStyle name="Note 3 4 2 4" xfId="4183"/>
    <cellStyle name="Note 3 4 3" xfId="4184"/>
    <cellStyle name="Note 3 4 3 2" xfId="4185"/>
    <cellStyle name="Note 3 4 3 2 2" xfId="4186"/>
    <cellStyle name="Note 3 4 3 3" xfId="4187"/>
    <cellStyle name="Note 3 4 4" xfId="4188"/>
    <cellStyle name="Note 3 4 4 2" xfId="4189"/>
    <cellStyle name="Note 3 4 4 2 2" xfId="4190"/>
    <cellStyle name="Note 3 4 4 3" xfId="4191"/>
    <cellStyle name="Note 3 4 5" xfId="4192"/>
    <cellStyle name="Note 3 5" xfId="4193"/>
    <cellStyle name="Note 3 5 2" xfId="4194"/>
    <cellStyle name="Note 3 5 2 2" xfId="4195"/>
    <cellStyle name="Note 3 5 2 2 2" xfId="4196"/>
    <cellStyle name="Note 3 5 2 3" xfId="4197"/>
    <cellStyle name="Note 3 5 3" xfId="4198"/>
    <cellStyle name="Note 3 5 3 2" xfId="4199"/>
    <cellStyle name="Note 3 5 3 2 2" xfId="4200"/>
    <cellStyle name="Note 3 5 3 3" xfId="4201"/>
    <cellStyle name="Note 3 5 4" xfId="4202"/>
    <cellStyle name="Note 3 6" xfId="4203"/>
    <cellStyle name="Note 3 6 2" xfId="4204"/>
    <cellStyle name="Note 3 6 2 2" xfId="4205"/>
    <cellStyle name="Note 3 6 2 2 2" xfId="4206"/>
    <cellStyle name="Note 3 6 2 3" xfId="4207"/>
    <cellStyle name="Note 3 6 3" xfId="4208"/>
    <cellStyle name="Note 3 6 3 2" xfId="4209"/>
    <cellStyle name="Note 3 6 3 2 2" xfId="4210"/>
    <cellStyle name="Note 3 6 3 3" xfId="4211"/>
    <cellStyle name="Note 3 6 4" xfId="4212"/>
    <cellStyle name="Note 3 7" xfId="4213"/>
    <cellStyle name="Note 3 7 2" xfId="4214"/>
    <cellStyle name="Note 3 7 2 2" xfId="4215"/>
    <cellStyle name="Note 3 7 2 2 2" xfId="4216"/>
    <cellStyle name="Note 3 7 2 3" xfId="4217"/>
    <cellStyle name="Note 3 7 3" xfId="4218"/>
    <cellStyle name="Note 3 7 3 2" xfId="4219"/>
    <cellStyle name="Note 3 7 3 2 2" xfId="4220"/>
    <cellStyle name="Note 3 7 3 3" xfId="4221"/>
    <cellStyle name="Note 3 7 4" xfId="4222"/>
    <cellStyle name="Note 3 8" xfId="4223"/>
    <cellStyle name="Note 3 8 2" xfId="4224"/>
    <cellStyle name="Note 3 8 2 2" xfId="4225"/>
    <cellStyle name="Note 3 8 3" xfId="4226"/>
    <cellStyle name="Note 3 8 3 2" xfId="4227"/>
    <cellStyle name="Note 3 9" xfId="4228"/>
    <cellStyle name="Note 3 9 2" xfId="4229"/>
    <cellStyle name="Note 3 9 2 2" xfId="4230"/>
    <cellStyle name="Note 3 9 3" xfId="4231"/>
    <cellStyle name="Note 3 9 3 2" xfId="4232"/>
    <cellStyle name="Note 4" xfId="4233"/>
    <cellStyle name="Note 4 10" xfId="4234"/>
    <cellStyle name="Note 4 10 2" xfId="4235"/>
    <cellStyle name="Note 4 10 3" xfId="4236"/>
    <cellStyle name="Note 4 10 3 2" xfId="4237"/>
    <cellStyle name="Note 4 11" xfId="4238"/>
    <cellStyle name="Note 4 11 2" xfId="4239"/>
    <cellStyle name="Note 4 11 3" xfId="4240"/>
    <cellStyle name="Note 4 11 3 2" xfId="4241"/>
    <cellStyle name="Note 4 12" xfId="4242"/>
    <cellStyle name="Note 4 12 2" xfId="4243"/>
    <cellStyle name="Note 4 12 3" xfId="4244"/>
    <cellStyle name="Note 4 12 3 2" xfId="4245"/>
    <cellStyle name="Note 4 13" xfId="4246"/>
    <cellStyle name="Note 4 13 2" xfId="4247"/>
    <cellStyle name="Note 4 13 2 2" xfId="4248"/>
    <cellStyle name="Note 4 14" xfId="4249"/>
    <cellStyle name="Note 4 14 2" xfId="4250"/>
    <cellStyle name="Note 4 2" xfId="4251"/>
    <cellStyle name="Note 4 2 10" xfId="4252"/>
    <cellStyle name="Note 4 2 2" xfId="4253"/>
    <cellStyle name="Note 4 2 2 2" xfId="4254"/>
    <cellStyle name="Note 4 2 2 2 2" xfId="4255"/>
    <cellStyle name="Note 4 2 2 2 2 2" xfId="4256"/>
    <cellStyle name="Note 4 2 2 2 2 2 2" xfId="4257"/>
    <cellStyle name="Note 4 2 2 2 2 3" xfId="4258"/>
    <cellStyle name="Note 4 2 2 2 3" xfId="4259"/>
    <cellStyle name="Note 4 2 2 2 3 2" xfId="4260"/>
    <cellStyle name="Note 4 2 2 2 3 2 2" xfId="4261"/>
    <cellStyle name="Note 4 2 2 2 3 3" xfId="4262"/>
    <cellStyle name="Note 4 2 2 2 4" xfId="4263"/>
    <cellStyle name="Note 4 2 2 3" xfId="4264"/>
    <cellStyle name="Note 4 2 2 3 2" xfId="4265"/>
    <cellStyle name="Note 4 2 2 3 2 2" xfId="4266"/>
    <cellStyle name="Note 4 2 2 3 3" xfId="4267"/>
    <cellStyle name="Note 4 2 2 4" xfId="4268"/>
    <cellStyle name="Note 4 2 2 4 2" xfId="4269"/>
    <cellStyle name="Note 4 2 2 4 2 2" xfId="4270"/>
    <cellStyle name="Note 4 2 2 4 3" xfId="4271"/>
    <cellStyle name="Note 4 2 2 5" xfId="4272"/>
    <cellStyle name="Note 4 2 3" xfId="4273"/>
    <cellStyle name="Note 4 2 3 2" xfId="4274"/>
    <cellStyle name="Note 4 2 3 2 2" xfId="4275"/>
    <cellStyle name="Note 4 2 3 2 2 2" xfId="4276"/>
    <cellStyle name="Note 4 2 3 2 2 2 2" xfId="4277"/>
    <cellStyle name="Note 4 2 3 2 2 3" xfId="4278"/>
    <cellStyle name="Note 4 2 3 2 3" xfId="4279"/>
    <cellStyle name="Note 4 2 3 2 3 2" xfId="4280"/>
    <cellStyle name="Note 4 2 3 2 3 2 2" xfId="4281"/>
    <cellStyle name="Note 4 2 3 2 3 3" xfId="4282"/>
    <cellStyle name="Note 4 2 3 2 4" xfId="4283"/>
    <cellStyle name="Note 4 2 3 3" xfId="4284"/>
    <cellStyle name="Note 4 2 3 3 2" xfId="4285"/>
    <cellStyle name="Note 4 2 3 3 2 2" xfId="4286"/>
    <cellStyle name="Note 4 2 3 3 3" xfId="4287"/>
    <cellStyle name="Note 4 2 3 4" xfId="4288"/>
    <cellStyle name="Note 4 2 3 4 2" xfId="4289"/>
    <cellStyle name="Note 4 2 3 4 2 2" xfId="4290"/>
    <cellStyle name="Note 4 2 3 4 3" xfId="4291"/>
    <cellStyle name="Note 4 2 3 5" xfId="4292"/>
    <cellStyle name="Note 4 2 4" xfId="4293"/>
    <cellStyle name="Note 4 2 4 2" xfId="4294"/>
    <cellStyle name="Note 4 2 4 2 2" xfId="4295"/>
    <cellStyle name="Note 4 2 4 2 2 2" xfId="4296"/>
    <cellStyle name="Note 4 2 4 2 3" xfId="4297"/>
    <cellStyle name="Note 4 2 4 3" xfId="4298"/>
    <cellStyle name="Note 4 2 4 3 2" xfId="4299"/>
    <cellStyle name="Note 4 2 4 3 2 2" xfId="4300"/>
    <cellStyle name="Note 4 2 4 3 3" xfId="4301"/>
    <cellStyle name="Note 4 2 4 4" xfId="4302"/>
    <cellStyle name="Note 4 2 5" xfId="4303"/>
    <cellStyle name="Note 4 2 5 2" xfId="4304"/>
    <cellStyle name="Note 4 2 5 2 2" xfId="4305"/>
    <cellStyle name="Note 4 2 5 2 2 2" xfId="4306"/>
    <cellStyle name="Note 4 2 5 2 3" xfId="4307"/>
    <cellStyle name="Note 4 2 5 3" xfId="4308"/>
    <cellStyle name="Note 4 2 5 3 2" xfId="4309"/>
    <cellStyle name="Note 4 2 5 3 2 2" xfId="4310"/>
    <cellStyle name="Note 4 2 5 3 3" xfId="4311"/>
    <cellStyle name="Note 4 2 5 4" xfId="4312"/>
    <cellStyle name="Note 4 2 6" xfId="4313"/>
    <cellStyle name="Note 4 2 6 2" xfId="4314"/>
    <cellStyle name="Note 4 2 6 2 2" xfId="4315"/>
    <cellStyle name="Note 4 2 6 2 2 2" xfId="4316"/>
    <cellStyle name="Note 4 2 6 2 3" xfId="4317"/>
    <cellStyle name="Note 4 2 6 3" xfId="4318"/>
    <cellStyle name="Note 4 2 6 3 2" xfId="4319"/>
    <cellStyle name="Note 4 2 6 3 2 2" xfId="4320"/>
    <cellStyle name="Note 4 2 6 3 3" xfId="4321"/>
    <cellStyle name="Note 4 2 6 4" xfId="4322"/>
    <cellStyle name="Note 4 2 7" xfId="4323"/>
    <cellStyle name="Note 4 2 7 2" xfId="4324"/>
    <cellStyle name="Note 4 2 7 2 2" xfId="4325"/>
    <cellStyle name="Note 4 2 7 2 2 2" xfId="4326"/>
    <cellStyle name="Note 4 2 7 2 3" xfId="4327"/>
    <cellStyle name="Note 4 2 7 3" xfId="4328"/>
    <cellStyle name="Note 4 2 7 3 2" xfId="4329"/>
    <cellStyle name="Note 4 2 7 3 2 2" xfId="4330"/>
    <cellStyle name="Note 4 2 7 3 3" xfId="4331"/>
    <cellStyle name="Note 4 2 7 4" xfId="4332"/>
    <cellStyle name="Note 4 2 8" xfId="4333"/>
    <cellStyle name="Note 4 2 8 2" xfId="4334"/>
    <cellStyle name="Note 4 2 8 2 2" xfId="4335"/>
    <cellStyle name="Note 4 2 8 3" xfId="4336"/>
    <cellStyle name="Note 4 2 9" xfId="4337"/>
    <cellStyle name="Note 4 2 9 2" xfId="4338"/>
    <cellStyle name="Note 4 2 9 2 2" xfId="4339"/>
    <cellStyle name="Note 4 2 9 3" xfId="4340"/>
    <cellStyle name="Note 4 3" xfId="4341"/>
    <cellStyle name="Note 4 3 2" xfId="4342"/>
    <cellStyle name="Note 4 3 2 2" xfId="4343"/>
    <cellStyle name="Note 4 3 2 2 2" xfId="4344"/>
    <cellStyle name="Note 4 3 2 2 2 2" xfId="4345"/>
    <cellStyle name="Note 4 3 2 2 3" xfId="4346"/>
    <cellStyle name="Note 4 3 2 3" xfId="4347"/>
    <cellStyle name="Note 4 3 2 3 2" xfId="4348"/>
    <cellStyle name="Note 4 3 2 3 2 2" xfId="4349"/>
    <cellStyle name="Note 4 3 2 3 3" xfId="4350"/>
    <cellStyle name="Note 4 3 2 4" xfId="4351"/>
    <cellStyle name="Note 4 3 3" xfId="4352"/>
    <cellStyle name="Note 4 3 3 2" xfId="4353"/>
    <cellStyle name="Note 4 3 3 2 2" xfId="4354"/>
    <cellStyle name="Note 4 3 3 3" xfId="4355"/>
    <cellStyle name="Note 4 3 4" xfId="4356"/>
    <cellStyle name="Note 4 3 4 2" xfId="4357"/>
    <cellStyle name="Note 4 3 4 2 2" xfId="4358"/>
    <cellStyle name="Note 4 3 4 3" xfId="4359"/>
    <cellStyle name="Note 4 3 5" xfId="4360"/>
    <cellStyle name="Note 4 4" xfId="4361"/>
    <cellStyle name="Note 4 4 2" xfId="4362"/>
    <cellStyle name="Note 4 4 2 2" xfId="4363"/>
    <cellStyle name="Note 4 4 2 2 2" xfId="4364"/>
    <cellStyle name="Note 4 4 2 2 2 2" xfId="4365"/>
    <cellStyle name="Note 4 4 2 2 3" xfId="4366"/>
    <cellStyle name="Note 4 4 2 3" xfId="4367"/>
    <cellStyle name="Note 4 4 2 3 2" xfId="4368"/>
    <cellStyle name="Note 4 4 2 3 2 2" xfId="4369"/>
    <cellStyle name="Note 4 4 2 3 3" xfId="4370"/>
    <cellStyle name="Note 4 4 2 4" xfId="4371"/>
    <cellStyle name="Note 4 4 3" xfId="4372"/>
    <cellStyle name="Note 4 4 3 2" xfId="4373"/>
    <cellStyle name="Note 4 4 3 2 2" xfId="4374"/>
    <cellStyle name="Note 4 4 3 3" xfId="4375"/>
    <cellStyle name="Note 4 4 4" xfId="4376"/>
    <cellStyle name="Note 4 4 4 2" xfId="4377"/>
    <cellStyle name="Note 4 4 4 2 2" xfId="4378"/>
    <cellStyle name="Note 4 4 4 3" xfId="4379"/>
    <cellStyle name="Note 4 4 5" xfId="4380"/>
    <cellStyle name="Note 4 5" xfId="4381"/>
    <cellStyle name="Note 4 5 2" xfId="4382"/>
    <cellStyle name="Note 4 5 2 2" xfId="4383"/>
    <cellStyle name="Note 4 5 2 2 2" xfId="4384"/>
    <cellStyle name="Note 4 5 2 3" xfId="4385"/>
    <cellStyle name="Note 4 5 3" xfId="4386"/>
    <cellStyle name="Note 4 5 3 2" xfId="4387"/>
    <cellStyle name="Note 4 5 3 2 2" xfId="4388"/>
    <cellStyle name="Note 4 5 3 3" xfId="4389"/>
    <cellStyle name="Note 4 5 4" xfId="4390"/>
    <cellStyle name="Note 4 6" xfId="4391"/>
    <cellStyle name="Note 4 6 2" xfId="4392"/>
    <cellStyle name="Note 4 6 2 2" xfId="4393"/>
    <cellStyle name="Note 4 6 2 2 2" xfId="4394"/>
    <cellStyle name="Note 4 6 2 3" xfId="4395"/>
    <cellStyle name="Note 4 6 3" xfId="4396"/>
    <cellStyle name="Note 4 6 3 2" xfId="4397"/>
    <cellStyle name="Note 4 6 3 2 2" xfId="4398"/>
    <cellStyle name="Note 4 6 3 3" xfId="4399"/>
    <cellStyle name="Note 4 6 4" xfId="4400"/>
    <cellStyle name="Note 4 7" xfId="4401"/>
    <cellStyle name="Note 4 7 2" xfId="4402"/>
    <cellStyle name="Note 4 7 2 2" xfId="4403"/>
    <cellStyle name="Note 4 7 2 2 2" xfId="4404"/>
    <cellStyle name="Note 4 7 2 3" xfId="4405"/>
    <cellStyle name="Note 4 7 3" xfId="4406"/>
    <cellStyle name="Note 4 7 3 2" xfId="4407"/>
    <cellStyle name="Note 4 7 3 2 2" xfId="4408"/>
    <cellStyle name="Note 4 7 3 3" xfId="4409"/>
    <cellStyle name="Note 4 7 4" xfId="4410"/>
    <cellStyle name="Note 4 8" xfId="4411"/>
    <cellStyle name="Note 4 8 2" xfId="4412"/>
    <cellStyle name="Note 4 8 2 2" xfId="4413"/>
    <cellStyle name="Note 4 8 3" xfId="4414"/>
    <cellStyle name="Note 4 8 3 2" xfId="4415"/>
    <cellStyle name="Note 4 9" xfId="4416"/>
    <cellStyle name="Note 4 9 2" xfId="4417"/>
    <cellStyle name="Note 4 9 2 2" xfId="4418"/>
    <cellStyle name="Note 4 9 3" xfId="4419"/>
    <cellStyle name="Note 4 9 3 2" xfId="4420"/>
    <cellStyle name="Note 5" xfId="4421"/>
    <cellStyle name="Note 5 10" xfId="4422"/>
    <cellStyle name="Note 5 10 2" xfId="4423"/>
    <cellStyle name="Note 5 10 3" xfId="4424"/>
    <cellStyle name="Note 5 10 3 2" xfId="4425"/>
    <cellStyle name="Note 5 11" xfId="4426"/>
    <cellStyle name="Note 5 11 2" xfId="4427"/>
    <cellStyle name="Note 5 11 3" xfId="4428"/>
    <cellStyle name="Note 5 11 3 2" xfId="4429"/>
    <cellStyle name="Note 5 12" xfId="4430"/>
    <cellStyle name="Note 5 12 2" xfId="4431"/>
    <cellStyle name="Note 5 12 3" xfId="4432"/>
    <cellStyle name="Note 5 12 3 2" xfId="4433"/>
    <cellStyle name="Note 5 13" xfId="4434"/>
    <cellStyle name="Note 5 13 2" xfId="4435"/>
    <cellStyle name="Note 5 13 2 2" xfId="4436"/>
    <cellStyle name="Note 5 14" xfId="4437"/>
    <cellStyle name="Note 5 14 2" xfId="4438"/>
    <cellStyle name="Note 5 2" xfId="4439"/>
    <cellStyle name="Note 5 2 10" xfId="4440"/>
    <cellStyle name="Note 5 2 2" xfId="4441"/>
    <cellStyle name="Note 5 2 2 2" xfId="4442"/>
    <cellStyle name="Note 5 2 2 2 2" xfId="4443"/>
    <cellStyle name="Note 5 2 2 2 2 2" xfId="4444"/>
    <cellStyle name="Note 5 2 2 2 2 2 2" xfId="4445"/>
    <cellStyle name="Note 5 2 2 2 2 3" xfId="4446"/>
    <cellStyle name="Note 5 2 2 2 3" xfId="4447"/>
    <cellStyle name="Note 5 2 2 2 3 2" xfId="4448"/>
    <cellStyle name="Note 5 2 2 2 3 2 2" xfId="4449"/>
    <cellStyle name="Note 5 2 2 2 3 3" xfId="4450"/>
    <cellStyle name="Note 5 2 2 2 4" xfId="4451"/>
    <cellStyle name="Note 5 2 2 3" xfId="4452"/>
    <cellStyle name="Note 5 2 2 3 2" xfId="4453"/>
    <cellStyle name="Note 5 2 2 3 2 2" xfId="4454"/>
    <cellStyle name="Note 5 2 2 3 3" xfId="4455"/>
    <cellStyle name="Note 5 2 2 4" xfId="4456"/>
    <cellStyle name="Note 5 2 2 4 2" xfId="4457"/>
    <cellStyle name="Note 5 2 2 4 2 2" xfId="4458"/>
    <cellStyle name="Note 5 2 2 4 3" xfId="4459"/>
    <cellStyle name="Note 5 2 2 5" xfId="4460"/>
    <cellStyle name="Note 5 2 3" xfId="4461"/>
    <cellStyle name="Note 5 2 3 2" xfId="4462"/>
    <cellStyle name="Note 5 2 3 2 2" xfId="4463"/>
    <cellStyle name="Note 5 2 3 2 2 2" xfId="4464"/>
    <cellStyle name="Note 5 2 3 2 2 2 2" xfId="4465"/>
    <cellStyle name="Note 5 2 3 2 2 3" xfId="4466"/>
    <cellStyle name="Note 5 2 3 2 3" xfId="4467"/>
    <cellStyle name="Note 5 2 3 2 3 2" xfId="4468"/>
    <cellStyle name="Note 5 2 3 2 3 2 2" xfId="4469"/>
    <cellStyle name="Note 5 2 3 2 3 3" xfId="4470"/>
    <cellStyle name="Note 5 2 3 2 4" xfId="4471"/>
    <cellStyle name="Note 5 2 3 3" xfId="4472"/>
    <cellStyle name="Note 5 2 3 3 2" xfId="4473"/>
    <cellStyle name="Note 5 2 3 3 2 2" xfId="4474"/>
    <cellStyle name="Note 5 2 3 3 3" xfId="4475"/>
    <cellStyle name="Note 5 2 3 4" xfId="4476"/>
    <cellStyle name="Note 5 2 3 4 2" xfId="4477"/>
    <cellStyle name="Note 5 2 3 4 2 2" xfId="4478"/>
    <cellStyle name="Note 5 2 3 4 3" xfId="4479"/>
    <cellStyle name="Note 5 2 3 5" xfId="4480"/>
    <cellStyle name="Note 5 2 4" xfId="4481"/>
    <cellStyle name="Note 5 2 4 2" xfId="4482"/>
    <cellStyle name="Note 5 2 4 2 2" xfId="4483"/>
    <cellStyle name="Note 5 2 4 2 2 2" xfId="4484"/>
    <cellStyle name="Note 5 2 4 2 3" xfId="4485"/>
    <cellStyle name="Note 5 2 4 3" xfId="4486"/>
    <cellStyle name="Note 5 2 4 3 2" xfId="4487"/>
    <cellStyle name="Note 5 2 4 3 2 2" xfId="4488"/>
    <cellStyle name="Note 5 2 4 3 3" xfId="4489"/>
    <cellStyle name="Note 5 2 4 4" xfId="4490"/>
    <cellStyle name="Note 5 2 5" xfId="4491"/>
    <cellStyle name="Note 5 2 5 2" xfId="4492"/>
    <cellStyle name="Note 5 2 5 2 2" xfId="4493"/>
    <cellStyle name="Note 5 2 5 2 2 2" xfId="4494"/>
    <cellStyle name="Note 5 2 5 2 3" xfId="4495"/>
    <cellStyle name="Note 5 2 5 3" xfId="4496"/>
    <cellStyle name="Note 5 2 5 3 2" xfId="4497"/>
    <cellStyle name="Note 5 2 5 3 2 2" xfId="4498"/>
    <cellStyle name="Note 5 2 5 3 3" xfId="4499"/>
    <cellStyle name="Note 5 2 5 4" xfId="4500"/>
    <cellStyle name="Note 5 2 6" xfId="4501"/>
    <cellStyle name="Note 5 2 6 2" xfId="4502"/>
    <cellStyle name="Note 5 2 6 2 2" xfId="4503"/>
    <cellStyle name="Note 5 2 6 2 2 2" xfId="4504"/>
    <cellStyle name="Note 5 2 6 2 3" xfId="4505"/>
    <cellStyle name="Note 5 2 6 3" xfId="4506"/>
    <cellStyle name="Note 5 2 6 3 2" xfId="4507"/>
    <cellStyle name="Note 5 2 6 3 2 2" xfId="4508"/>
    <cellStyle name="Note 5 2 6 3 3" xfId="4509"/>
    <cellStyle name="Note 5 2 6 4" xfId="4510"/>
    <cellStyle name="Note 5 2 7" xfId="4511"/>
    <cellStyle name="Note 5 2 7 2" xfId="4512"/>
    <cellStyle name="Note 5 2 7 2 2" xfId="4513"/>
    <cellStyle name="Note 5 2 7 2 2 2" xfId="4514"/>
    <cellStyle name="Note 5 2 7 2 3" xfId="4515"/>
    <cellStyle name="Note 5 2 7 3" xfId="4516"/>
    <cellStyle name="Note 5 2 7 3 2" xfId="4517"/>
    <cellStyle name="Note 5 2 7 3 2 2" xfId="4518"/>
    <cellStyle name="Note 5 2 7 3 3" xfId="4519"/>
    <cellStyle name="Note 5 2 7 4" xfId="4520"/>
    <cellStyle name="Note 5 2 8" xfId="4521"/>
    <cellStyle name="Note 5 2 8 2" xfId="4522"/>
    <cellStyle name="Note 5 2 8 2 2" xfId="4523"/>
    <cellStyle name="Note 5 2 8 3" xfId="4524"/>
    <cellStyle name="Note 5 2 9" xfId="4525"/>
    <cellStyle name="Note 5 2 9 2" xfId="4526"/>
    <cellStyle name="Note 5 2 9 2 2" xfId="4527"/>
    <cellStyle name="Note 5 2 9 3" xfId="4528"/>
    <cellStyle name="Note 5 3" xfId="4529"/>
    <cellStyle name="Note 5 3 2" xfId="4530"/>
    <cellStyle name="Note 5 3 2 2" xfId="4531"/>
    <cellStyle name="Note 5 3 2 2 2" xfId="4532"/>
    <cellStyle name="Note 5 3 2 2 2 2" xfId="4533"/>
    <cellStyle name="Note 5 3 2 2 3" xfId="4534"/>
    <cellStyle name="Note 5 3 2 3" xfId="4535"/>
    <cellStyle name="Note 5 3 2 3 2" xfId="4536"/>
    <cellStyle name="Note 5 3 2 3 2 2" xfId="4537"/>
    <cellStyle name="Note 5 3 2 3 3" xfId="4538"/>
    <cellStyle name="Note 5 3 2 4" xfId="4539"/>
    <cellStyle name="Note 5 3 3" xfId="4540"/>
    <cellStyle name="Note 5 3 3 2" xfId="4541"/>
    <cellStyle name="Note 5 3 3 2 2" xfId="4542"/>
    <cellStyle name="Note 5 3 3 3" xfId="4543"/>
    <cellStyle name="Note 5 3 4" xfId="4544"/>
    <cellStyle name="Note 5 3 4 2" xfId="4545"/>
    <cellStyle name="Note 5 3 4 2 2" xfId="4546"/>
    <cellStyle name="Note 5 3 4 3" xfId="4547"/>
    <cellStyle name="Note 5 3 5" xfId="4548"/>
    <cellStyle name="Note 5 4" xfId="4549"/>
    <cellStyle name="Note 5 4 2" xfId="4550"/>
    <cellStyle name="Note 5 4 2 2" xfId="4551"/>
    <cellStyle name="Note 5 4 2 2 2" xfId="4552"/>
    <cellStyle name="Note 5 4 2 2 2 2" xfId="4553"/>
    <cellStyle name="Note 5 4 2 2 3" xfId="4554"/>
    <cellStyle name="Note 5 4 2 3" xfId="4555"/>
    <cellStyle name="Note 5 4 2 3 2" xfId="4556"/>
    <cellStyle name="Note 5 4 2 3 2 2" xfId="4557"/>
    <cellStyle name="Note 5 4 2 3 3" xfId="4558"/>
    <cellStyle name="Note 5 4 2 4" xfId="4559"/>
    <cellStyle name="Note 5 4 3" xfId="4560"/>
    <cellStyle name="Note 5 4 3 2" xfId="4561"/>
    <cellStyle name="Note 5 4 3 2 2" xfId="4562"/>
    <cellStyle name="Note 5 4 3 3" xfId="4563"/>
    <cellStyle name="Note 5 4 4" xfId="4564"/>
    <cellStyle name="Note 5 4 4 2" xfId="4565"/>
    <cellStyle name="Note 5 4 4 2 2" xfId="4566"/>
    <cellStyle name="Note 5 4 4 3" xfId="4567"/>
    <cellStyle name="Note 5 4 5" xfId="4568"/>
    <cellStyle name="Note 5 5" xfId="4569"/>
    <cellStyle name="Note 5 5 2" xfId="4570"/>
    <cellStyle name="Note 5 5 2 2" xfId="4571"/>
    <cellStyle name="Note 5 5 2 2 2" xfId="4572"/>
    <cellStyle name="Note 5 5 2 3" xfId="4573"/>
    <cellStyle name="Note 5 5 3" xfId="4574"/>
    <cellStyle name="Note 5 5 3 2" xfId="4575"/>
    <cellStyle name="Note 5 5 3 2 2" xfId="4576"/>
    <cellStyle name="Note 5 5 3 3" xfId="4577"/>
    <cellStyle name="Note 5 5 4" xfId="4578"/>
    <cellStyle name="Note 5 6" xfId="4579"/>
    <cellStyle name="Note 5 6 2" xfId="4580"/>
    <cellStyle name="Note 5 6 2 2" xfId="4581"/>
    <cellStyle name="Note 5 6 2 2 2" xfId="4582"/>
    <cellStyle name="Note 5 6 2 3" xfId="4583"/>
    <cellStyle name="Note 5 6 3" xfId="4584"/>
    <cellStyle name="Note 5 6 3 2" xfId="4585"/>
    <cellStyle name="Note 5 6 3 2 2" xfId="4586"/>
    <cellStyle name="Note 5 6 3 3" xfId="4587"/>
    <cellStyle name="Note 5 6 4" xfId="4588"/>
    <cellStyle name="Note 5 7" xfId="4589"/>
    <cellStyle name="Note 5 7 2" xfId="4590"/>
    <cellStyle name="Note 5 7 2 2" xfId="4591"/>
    <cellStyle name="Note 5 7 2 2 2" xfId="4592"/>
    <cellStyle name="Note 5 7 2 3" xfId="4593"/>
    <cellStyle name="Note 5 7 3" xfId="4594"/>
    <cellStyle name="Note 5 7 3 2" xfId="4595"/>
    <cellStyle name="Note 5 7 3 2 2" xfId="4596"/>
    <cellStyle name="Note 5 7 3 3" xfId="4597"/>
    <cellStyle name="Note 5 7 4" xfId="4598"/>
    <cellStyle name="Note 5 8" xfId="4599"/>
    <cellStyle name="Note 5 8 2" xfId="4600"/>
    <cellStyle name="Note 5 8 2 2" xfId="4601"/>
    <cellStyle name="Note 5 8 3" xfId="4602"/>
    <cellStyle name="Note 5 8 3 2" xfId="4603"/>
    <cellStyle name="Note 5 9" xfId="4604"/>
    <cellStyle name="Note 5 9 2" xfId="4605"/>
    <cellStyle name="Note 5 9 2 2" xfId="4606"/>
    <cellStyle name="Note 5 9 3" xfId="4607"/>
    <cellStyle name="Note 5 9 3 2" xfId="4608"/>
    <cellStyle name="Note 6" xfId="4609"/>
    <cellStyle name="Note 6 10" xfId="4610"/>
    <cellStyle name="Note 6 10 2" xfId="4611"/>
    <cellStyle name="Note 6 10 3" xfId="4612"/>
    <cellStyle name="Note 6 10 3 2" xfId="4613"/>
    <cellStyle name="Note 6 11" xfId="4614"/>
    <cellStyle name="Note 6 11 2" xfId="4615"/>
    <cellStyle name="Note 6 11 3" xfId="4616"/>
    <cellStyle name="Note 6 11 3 2" xfId="4617"/>
    <cellStyle name="Note 6 12" xfId="4618"/>
    <cellStyle name="Note 6 12 2" xfId="4619"/>
    <cellStyle name="Note 6 12 3" xfId="4620"/>
    <cellStyle name="Note 6 12 3 2" xfId="4621"/>
    <cellStyle name="Note 6 13" xfId="4622"/>
    <cellStyle name="Note 6 13 2" xfId="4623"/>
    <cellStyle name="Note 6 13 2 2" xfId="4624"/>
    <cellStyle name="Note 6 14" xfId="4625"/>
    <cellStyle name="Note 6 14 2" xfId="4626"/>
    <cellStyle name="Note 6 2" xfId="4627"/>
    <cellStyle name="Note 6 2 10" xfId="4628"/>
    <cellStyle name="Note 6 2 2" xfId="4629"/>
    <cellStyle name="Note 6 2 2 2" xfId="4630"/>
    <cellStyle name="Note 6 2 2 2 2" xfId="4631"/>
    <cellStyle name="Note 6 2 2 2 2 2" xfId="4632"/>
    <cellStyle name="Note 6 2 2 2 2 2 2" xfId="4633"/>
    <cellStyle name="Note 6 2 2 2 2 3" xfId="4634"/>
    <cellStyle name="Note 6 2 2 2 3" xfId="4635"/>
    <cellStyle name="Note 6 2 2 2 3 2" xfId="4636"/>
    <cellStyle name="Note 6 2 2 2 3 2 2" xfId="4637"/>
    <cellStyle name="Note 6 2 2 2 3 3" xfId="4638"/>
    <cellStyle name="Note 6 2 2 2 4" xfId="4639"/>
    <cellStyle name="Note 6 2 2 3" xfId="4640"/>
    <cellStyle name="Note 6 2 2 3 2" xfId="4641"/>
    <cellStyle name="Note 6 2 2 3 2 2" xfId="4642"/>
    <cellStyle name="Note 6 2 2 3 3" xfId="4643"/>
    <cellStyle name="Note 6 2 2 4" xfId="4644"/>
    <cellStyle name="Note 6 2 2 4 2" xfId="4645"/>
    <cellStyle name="Note 6 2 2 4 2 2" xfId="4646"/>
    <cellStyle name="Note 6 2 2 4 3" xfId="4647"/>
    <cellStyle name="Note 6 2 2 5" xfId="4648"/>
    <cellStyle name="Note 6 2 3" xfId="4649"/>
    <cellStyle name="Note 6 2 3 2" xfId="4650"/>
    <cellStyle name="Note 6 2 3 2 2" xfId="4651"/>
    <cellStyle name="Note 6 2 3 2 2 2" xfId="4652"/>
    <cellStyle name="Note 6 2 3 2 2 2 2" xfId="4653"/>
    <cellStyle name="Note 6 2 3 2 2 3" xfId="4654"/>
    <cellStyle name="Note 6 2 3 2 3" xfId="4655"/>
    <cellStyle name="Note 6 2 3 2 3 2" xfId="4656"/>
    <cellStyle name="Note 6 2 3 2 3 2 2" xfId="4657"/>
    <cellStyle name="Note 6 2 3 2 3 3" xfId="4658"/>
    <cellStyle name="Note 6 2 3 2 4" xfId="4659"/>
    <cellStyle name="Note 6 2 3 3" xfId="4660"/>
    <cellStyle name="Note 6 2 3 3 2" xfId="4661"/>
    <cellStyle name="Note 6 2 3 3 2 2" xfId="4662"/>
    <cellStyle name="Note 6 2 3 3 3" xfId="4663"/>
    <cellStyle name="Note 6 2 3 4" xfId="4664"/>
    <cellStyle name="Note 6 2 3 4 2" xfId="4665"/>
    <cellStyle name="Note 6 2 3 4 2 2" xfId="4666"/>
    <cellStyle name="Note 6 2 3 4 3" xfId="4667"/>
    <cellStyle name="Note 6 2 3 5" xfId="4668"/>
    <cellStyle name="Note 6 2 4" xfId="4669"/>
    <cellStyle name="Note 6 2 4 2" xfId="4670"/>
    <cellStyle name="Note 6 2 4 2 2" xfId="4671"/>
    <cellStyle name="Note 6 2 4 2 2 2" xfId="4672"/>
    <cellStyle name="Note 6 2 4 2 3" xfId="4673"/>
    <cellStyle name="Note 6 2 4 3" xfId="4674"/>
    <cellStyle name="Note 6 2 4 3 2" xfId="4675"/>
    <cellStyle name="Note 6 2 4 3 2 2" xfId="4676"/>
    <cellStyle name="Note 6 2 4 3 3" xfId="4677"/>
    <cellStyle name="Note 6 2 4 4" xfId="4678"/>
    <cellStyle name="Note 6 2 5" xfId="4679"/>
    <cellStyle name="Note 6 2 5 2" xfId="4680"/>
    <cellStyle name="Note 6 2 5 2 2" xfId="4681"/>
    <cellStyle name="Note 6 2 5 2 2 2" xfId="4682"/>
    <cellStyle name="Note 6 2 5 2 3" xfId="4683"/>
    <cellStyle name="Note 6 2 5 3" xfId="4684"/>
    <cellStyle name="Note 6 2 5 3 2" xfId="4685"/>
    <cellStyle name="Note 6 2 5 3 2 2" xfId="4686"/>
    <cellStyle name="Note 6 2 5 3 3" xfId="4687"/>
    <cellStyle name="Note 6 2 5 4" xfId="4688"/>
    <cellStyle name="Note 6 2 6" xfId="4689"/>
    <cellStyle name="Note 6 2 6 2" xfId="4690"/>
    <cellStyle name="Note 6 2 6 2 2" xfId="4691"/>
    <cellStyle name="Note 6 2 6 2 2 2" xfId="4692"/>
    <cellStyle name="Note 6 2 6 2 3" xfId="4693"/>
    <cellStyle name="Note 6 2 6 3" xfId="4694"/>
    <cellStyle name="Note 6 2 6 3 2" xfId="4695"/>
    <cellStyle name="Note 6 2 6 3 2 2" xfId="4696"/>
    <cellStyle name="Note 6 2 6 3 3" xfId="4697"/>
    <cellStyle name="Note 6 2 6 4" xfId="4698"/>
    <cellStyle name="Note 6 2 7" xfId="4699"/>
    <cellStyle name="Note 6 2 7 2" xfId="4700"/>
    <cellStyle name="Note 6 2 7 2 2" xfId="4701"/>
    <cellStyle name="Note 6 2 7 2 2 2" xfId="4702"/>
    <cellStyle name="Note 6 2 7 2 3" xfId="4703"/>
    <cellStyle name="Note 6 2 7 3" xfId="4704"/>
    <cellStyle name="Note 6 2 7 3 2" xfId="4705"/>
    <cellStyle name="Note 6 2 7 3 2 2" xfId="4706"/>
    <cellStyle name="Note 6 2 7 3 3" xfId="4707"/>
    <cellStyle name="Note 6 2 7 4" xfId="4708"/>
    <cellStyle name="Note 6 2 8" xfId="4709"/>
    <cellStyle name="Note 6 2 8 2" xfId="4710"/>
    <cellStyle name="Note 6 2 8 2 2" xfId="4711"/>
    <cellStyle name="Note 6 2 8 3" xfId="4712"/>
    <cellStyle name="Note 6 2 9" xfId="4713"/>
    <cellStyle name="Note 6 2 9 2" xfId="4714"/>
    <cellStyle name="Note 6 2 9 2 2" xfId="4715"/>
    <cellStyle name="Note 6 2 9 3" xfId="4716"/>
    <cellStyle name="Note 6 3" xfId="4717"/>
    <cellStyle name="Note 6 3 2" xfId="4718"/>
    <cellStyle name="Note 6 3 2 2" xfId="4719"/>
    <cellStyle name="Note 6 3 2 2 2" xfId="4720"/>
    <cellStyle name="Note 6 3 2 2 2 2" xfId="4721"/>
    <cellStyle name="Note 6 3 2 2 3" xfId="4722"/>
    <cellStyle name="Note 6 3 2 3" xfId="4723"/>
    <cellStyle name="Note 6 3 2 3 2" xfId="4724"/>
    <cellStyle name="Note 6 3 2 3 2 2" xfId="4725"/>
    <cellStyle name="Note 6 3 2 3 3" xfId="4726"/>
    <cellStyle name="Note 6 3 2 4" xfId="4727"/>
    <cellStyle name="Note 6 3 3" xfId="4728"/>
    <cellStyle name="Note 6 3 3 2" xfId="4729"/>
    <cellStyle name="Note 6 3 3 2 2" xfId="4730"/>
    <cellStyle name="Note 6 3 3 3" xfId="4731"/>
    <cellStyle name="Note 6 3 4" xfId="4732"/>
    <cellStyle name="Note 6 3 4 2" xfId="4733"/>
    <cellStyle name="Note 6 3 4 2 2" xfId="4734"/>
    <cellStyle name="Note 6 3 4 3" xfId="4735"/>
    <cellStyle name="Note 6 3 5" xfId="4736"/>
    <cellStyle name="Note 6 4" xfId="4737"/>
    <cellStyle name="Note 6 4 2" xfId="4738"/>
    <cellStyle name="Note 6 4 2 2" xfId="4739"/>
    <cellStyle name="Note 6 4 2 2 2" xfId="4740"/>
    <cellStyle name="Note 6 4 2 2 2 2" xfId="4741"/>
    <cellStyle name="Note 6 4 2 2 3" xfId="4742"/>
    <cellStyle name="Note 6 4 2 3" xfId="4743"/>
    <cellStyle name="Note 6 4 2 3 2" xfId="4744"/>
    <cellStyle name="Note 6 4 2 3 2 2" xfId="4745"/>
    <cellStyle name="Note 6 4 2 3 3" xfId="4746"/>
    <cellStyle name="Note 6 4 2 4" xfId="4747"/>
    <cellStyle name="Note 6 4 3" xfId="4748"/>
    <cellStyle name="Note 6 4 3 2" xfId="4749"/>
    <cellStyle name="Note 6 4 3 2 2" xfId="4750"/>
    <cellStyle name="Note 6 4 3 3" xfId="4751"/>
    <cellStyle name="Note 6 4 4" xfId="4752"/>
    <cellStyle name="Note 6 4 4 2" xfId="4753"/>
    <cellStyle name="Note 6 4 4 2 2" xfId="4754"/>
    <cellStyle name="Note 6 4 4 3" xfId="4755"/>
    <cellStyle name="Note 6 4 5" xfId="4756"/>
    <cellStyle name="Note 6 5" xfId="4757"/>
    <cellStyle name="Note 6 5 2" xfId="4758"/>
    <cellStyle name="Note 6 5 2 2" xfId="4759"/>
    <cellStyle name="Note 6 5 2 2 2" xfId="4760"/>
    <cellStyle name="Note 6 5 2 3" xfId="4761"/>
    <cellStyle name="Note 6 5 3" xfId="4762"/>
    <cellStyle name="Note 6 5 3 2" xfId="4763"/>
    <cellStyle name="Note 6 5 3 2 2" xfId="4764"/>
    <cellStyle name="Note 6 5 3 3" xfId="4765"/>
    <cellStyle name="Note 6 5 4" xfId="4766"/>
    <cellStyle name="Note 6 6" xfId="4767"/>
    <cellStyle name="Note 6 6 2" xfId="4768"/>
    <cellStyle name="Note 6 6 2 2" xfId="4769"/>
    <cellStyle name="Note 6 6 2 2 2" xfId="4770"/>
    <cellStyle name="Note 6 6 2 3" xfId="4771"/>
    <cellStyle name="Note 6 6 3" xfId="4772"/>
    <cellStyle name="Note 6 6 3 2" xfId="4773"/>
    <cellStyle name="Note 6 6 3 2 2" xfId="4774"/>
    <cellStyle name="Note 6 6 3 3" xfId="4775"/>
    <cellStyle name="Note 6 6 4" xfId="4776"/>
    <cellStyle name="Note 6 7" xfId="4777"/>
    <cellStyle name="Note 6 7 2" xfId="4778"/>
    <cellStyle name="Note 6 7 2 2" xfId="4779"/>
    <cellStyle name="Note 6 7 2 2 2" xfId="4780"/>
    <cellStyle name="Note 6 7 2 3" xfId="4781"/>
    <cellStyle name="Note 6 7 3" xfId="4782"/>
    <cellStyle name="Note 6 7 3 2" xfId="4783"/>
    <cellStyle name="Note 6 7 3 2 2" xfId="4784"/>
    <cellStyle name="Note 6 7 3 3" xfId="4785"/>
    <cellStyle name="Note 6 7 4" xfId="4786"/>
    <cellStyle name="Note 6 8" xfId="4787"/>
    <cellStyle name="Note 6 8 2" xfId="4788"/>
    <cellStyle name="Note 6 8 2 2" xfId="4789"/>
    <cellStyle name="Note 6 8 3" xfId="4790"/>
    <cellStyle name="Note 6 8 3 2" xfId="4791"/>
    <cellStyle name="Note 6 9" xfId="4792"/>
    <cellStyle name="Note 6 9 2" xfId="4793"/>
    <cellStyle name="Note 6 9 2 2" xfId="4794"/>
    <cellStyle name="Note 6 9 3" xfId="4795"/>
    <cellStyle name="Note 6 9 3 2" xfId="4796"/>
    <cellStyle name="Note 7" xfId="4797"/>
    <cellStyle name="Note 7 10" xfId="4798"/>
    <cellStyle name="Note 7 10 2" xfId="4799"/>
    <cellStyle name="Note 7 10 3" xfId="4800"/>
    <cellStyle name="Note 7 10 3 2" xfId="4801"/>
    <cellStyle name="Note 7 11" xfId="4802"/>
    <cellStyle name="Note 7 11 2" xfId="4803"/>
    <cellStyle name="Note 7 11 3" xfId="4804"/>
    <cellStyle name="Note 7 11 3 2" xfId="4805"/>
    <cellStyle name="Note 7 12" xfId="4806"/>
    <cellStyle name="Note 7 12 2" xfId="4807"/>
    <cellStyle name="Note 7 12 3" xfId="4808"/>
    <cellStyle name="Note 7 12 3 2" xfId="4809"/>
    <cellStyle name="Note 7 13" xfId="4810"/>
    <cellStyle name="Note 7 13 2" xfId="4811"/>
    <cellStyle name="Note 7 13 2 2" xfId="4812"/>
    <cellStyle name="Note 7 14" xfId="4813"/>
    <cellStyle name="Note 7 14 2" xfId="4814"/>
    <cellStyle name="Note 7 2" xfId="4815"/>
    <cellStyle name="Note 7 2 10" xfId="4816"/>
    <cellStyle name="Note 7 2 2" xfId="4817"/>
    <cellStyle name="Note 7 2 2 2" xfId="4818"/>
    <cellStyle name="Note 7 2 2 2 2" xfId="4819"/>
    <cellStyle name="Note 7 2 2 2 2 2" xfId="4820"/>
    <cellStyle name="Note 7 2 2 2 2 2 2" xfId="4821"/>
    <cellStyle name="Note 7 2 2 2 2 3" xfId="4822"/>
    <cellStyle name="Note 7 2 2 2 3" xfId="4823"/>
    <cellStyle name="Note 7 2 2 2 3 2" xfId="4824"/>
    <cellStyle name="Note 7 2 2 2 3 2 2" xfId="4825"/>
    <cellStyle name="Note 7 2 2 2 3 3" xfId="4826"/>
    <cellStyle name="Note 7 2 2 2 4" xfId="4827"/>
    <cellStyle name="Note 7 2 2 3" xfId="4828"/>
    <cellStyle name="Note 7 2 2 3 2" xfId="4829"/>
    <cellStyle name="Note 7 2 2 3 2 2" xfId="4830"/>
    <cellStyle name="Note 7 2 2 3 3" xfId="4831"/>
    <cellStyle name="Note 7 2 2 4" xfId="4832"/>
    <cellStyle name="Note 7 2 2 4 2" xfId="4833"/>
    <cellStyle name="Note 7 2 2 4 2 2" xfId="4834"/>
    <cellStyle name="Note 7 2 2 4 3" xfId="4835"/>
    <cellStyle name="Note 7 2 2 5" xfId="4836"/>
    <cellStyle name="Note 7 2 3" xfId="4837"/>
    <cellStyle name="Note 7 2 3 2" xfId="4838"/>
    <cellStyle name="Note 7 2 3 2 2" xfId="4839"/>
    <cellStyle name="Note 7 2 3 2 2 2" xfId="4840"/>
    <cellStyle name="Note 7 2 3 2 2 2 2" xfId="4841"/>
    <cellStyle name="Note 7 2 3 2 2 3" xfId="4842"/>
    <cellStyle name="Note 7 2 3 2 3" xfId="4843"/>
    <cellStyle name="Note 7 2 3 2 3 2" xfId="4844"/>
    <cellStyle name="Note 7 2 3 2 3 2 2" xfId="4845"/>
    <cellStyle name="Note 7 2 3 2 3 3" xfId="4846"/>
    <cellStyle name="Note 7 2 3 2 4" xfId="4847"/>
    <cellStyle name="Note 7 2 3 3" xfId="4848"/>
    <cellStyle name="Note 7 2 3 3 2" xfId="4849"/>
    <cellStyle name="Note 7 2 3 3 2 2" xfId="4850"/>
    <cellStyle name="Note 7 2 3 3 3" xfId="4851"/>
    <cellStyle name="Note 7 2 3 4" xfId="4852"/>
    <cellStyle name="Note 7 2 3 4 2" xfId="4853"/>
    <cellStyle name="Note 7 2 3 4 2 2" xfId="4854"/>
    <cellStyle name="Note 7 2 3 4 3" xfId="4855"/>
    <cellStyle name="Note 7 2 3 5" xfId="4856"/>
    <cellStyle name="Note 7 2 4" xfId="4857"/>
    <cellStyle name="Note 7 2 4 2" xfId="4858"/>
    <cellStyle name="Note 7 2 4 2 2" xfId="4859"/>
    <cellStyle name="Note 7 2 4 2 2 2" xfId="4860"/>
    <cellStyle name="Note 7 2 4 2 3" xfId="4861"/>
    <cellStyle name="Note 7 2 4 3" xfId="4862"/>
    <cellStyle name="Note 7 2 4 3 2" xfId="4863"/>
    <cellStyle name="Note 7 2 4 3 2 2" xfId="4864"/>
    <cellStyle name="Note 7 2 4 3 3" xfId="4865"/>
    <cellStyle name="Note 7 2 4 4" xfId="4866"/>
    <cellStyle name="Note 7 2 5" xfId="4867"/>
    <cellStyle name="Note 7 2 5 2" xfId="4868"/>
    <cellStyle name="Note 7 2 5 2 2" xfId="4869"/>
    <cellStyle name="Note 7 2 5 2 2 2" xfId="4870"/>
    <cellStyle name="Note 7 2 5 2 3" xfId="4871"/>
    <cellStyle name="Note 7 2 5 3" xfId="4872"/>
    <cellStyle name="Note 7 2 5 3 2" xfId="4873"/>
    <cellStyle name="Note 7 2 5 3 2 2" xfId="4874"/>
    <cellStyle name="Note 7 2 5 3 3" xfId="4875"/>
    <cellStyle name="Note 7 2 5 4" xfId="4876"/>
    <cellStyle name="Note 7 2 6" xfId="4877"/>
    <cellStyle name="Note 7 2 6 2" xfId="4878"/>
    <cellStyle name="Note 7 2 6 2 2" xfId="4879"/>
    <cellStyle name="Note 7 2 6 2 2 2" xfId="4880"/>
    <cellStyle name="Note 7 2 6 2 3" xfId="4881"/>
    <cellStyle name="Note 7 2 6 3" xfId="4882"/>
    <cellStyle name="Note 7 2 6 3 2" xfId="4883"/>
    <cellStyle name="Note 7 2 6 3 2 2" xfId="4884"/>
    <cellStyle name="Note 7 2 6 3 3" xfId="4885"/>
    <cellStyle name="Note 7 2 6 4" xfId="4886"/>
    <cellStyle name="Note 7 2 7" xfId="4887"/>
    <cellStyle name="Note 7 2 7 2" xfId="4888"/>
    <cellStyle name="Note 7 2 7 2 2" xfId="4889"/>
    <cellStyle name="Note 7 2 7 2 2 2" xfId="4890"/>
    <cellStyle name="Note 7 2 7 2 3" xfId="4891"/>
    <cellStyle name="Note 7 2 7 3" xfId="4892"/>
    <cellStyle name="Note 7 2 7 3 2" xfId="4893"/>
    <cellStyle name="Note 7 2 7 3 2 2" xfId="4894"/>
    <cellStyle name="Note 7 2 7 3 3" xfId="4895"/>
    <cellStyle name="Note 7 2 7 4" xfId="4896"/>
    <cellStyle name="Note 7 2 8" xfId="4897"/>
    <cellStyle name="Note 7 2 8 2" xfId="4898"/>
    <cellStyle name="Note 7 2 8 2 2" xfId="4899"/>
    <cellStyle name="Note 7 2 8 3" xfId="4900"/>
    <cellStyle name="Note 7 2 9" xfId="4901"/>
    <cellStyle name="Note 7 2 9 2" xfId="4902"/>
    <cellStyle name="Note 7 2 9 2 2" xfId="4903"/>
    <cellStyle name="Note 7 2 9 3" xfId="4904"/>
    <cellStyle name="Note 7 3" xfId="4905"/>
    <cellStyle name="Note 7 3 2" xfId="4906"/>
    <cellStyle name="Note 7 3 2 2" xfId="4907"/>
    <cellStyle name="Note 7 3 2 2 2" xfId="4908"/>
    <cellStyle name="Note 7 3 2 2 2 2" xfId="4909"/>
    <cellStyle name="Note 7 3 2 2 3" xfId="4910"/>
    <cellStyle name="Note 7 3 2 3" xfId="4911"/>
    <cellStyle name="Note 7 3 2 3 2" xfId="4912"/>
    <cellStyle name="Note 7 3 2 3 2 2" xfId="4913"/>
    <cellStyle name="Note 7 3 2 3 3" xfId="4914"/>
    <cellStyle name="Note 7 3 2 4" xfId="4915"/>
    <cellStyle name="Note 7 3 3" xfId="4916"/>
    <cellStyle name="Note 7 3 3 2" xfId="4917"/>
    <cellStyle name="Note 7 3 3 2 2" xfId="4918"/>
    <cellStyle name="Note 7 3 3 3" xfId="4919"/>
    <cellStyle name="Note 7 3 4" xfId="4920"/>
    <cellStyle name="Note 7 3 4 2" xfId="4921"/>
    <cellStyle name="Note 7 3 4 2 2" xfId="4922"/>
    <cellStyle name="Note 7 3 4 3" xfId="4923"/>
    <cellStyle name="Note 7 3 5" xfId="4924"/>
    <cellStyle name="Note 7 4" xfId="4925"/>
    <cellStyle name="Note 7 4 2" xfId="4926"/>
    <cellStyle name="Note 7 4 2 2" xfId="4927"/>
    <cellStyle name="Note 7 4 2 2 2" xfId="4928"/>
    <cellStyle name="Note 7 4 2 2 2 2" xfId="4929"/>
    <cellStyle name="Note 7 4 2 2 3" xfId="4930"/>
    <cellStyle name="Note 7 4 2 3" xfId="4931"/>
    <cellStyle name="Note 7 4 2 3 2" xfId="4932"/>
    <cellStyle name="Note 7 4 2 3 2 2" xfId="4933"/>
    <cellStyle name="Note 7 4 2 3 3" xfId="4934"/>
    <cellStyle name="Note 7 4 2 4" xfId="4935"/>
    <cellStyle name="Note 7 4 3" xfId="4936"/>
    <cellStyle name="Note 7 4 3 2" xfId="4937"/>
    <cellStyle name="Note 7 4 3 2 2" xfId="4938"/>
    <cellStyle name="Note 7 4 3 3" xfId="4939"/>
    <cellStyle name="Note 7 4 4" xfId="4940"/>
    <cellStyle name="Note 7 4 4 2" xfId="4941"/>
    <cellStyle name="Note 7 4 4 2 2" xfId="4942"/>
    <cellStyle name="Note 7 4 4 3" xfId="4943"/>
    <cellStyle name="Note 7 4 5" xfId="4944"/>
    <cellStyle name="Note 7 5" xfId="4945"/>
    <cellStyle name="Note 7 5 2" xfId="4946"/>
    <cellStyle name="Note 7 5 2 2" xfId="4947"/>
    <cellStyle name="Note 7 5 2 2 2" xfId="4948"/>
    <cellStyle name="Note 7 5 2 3" xfId="4949"/>
    <cellStyle name="Note 7 5 3" xfId="4950"/>
    <cellStyle name="Note 7 5 3 2" xfId="4951"/>
    <cellStyle name="Note 7 5 3 2 2" xfId="4952"/>
    <cellStyle name="Note 7 5 3 3" xfId="4953"/>
    <cellStyle name="Note 7 5 4" xfId="4954"/>
    <cellStyle name="Note 7 6" xfId="4955"/>
    <cellStyle name="Note 7 6 2" xfId="4956"/>
    <cellStyle name="Note 7 6 2 2" xfId="4957"/>
    <cellStyle name="Note 7 6 2 2 2" xfId="4958"/>
    <cellStyle name="Note 7 6 2 3" xfId="4959"/>
    <cellStyle name="Note 7 6 3" xfId="4960"/>
    <cellStyle name="Note 7 6 3 2" xfId="4961"/>
    <cellStyle name="Note 7 6 3 2 2" xfId="4962"/>
    <cellStyle name="Note 7 6 3 3" xfId="4963"/>
    <cellStyle name="Note 7 6 4" xfId="4964"/>
    <cellStyle name="Note 7 7" xfId="4965"/>
    <cellStyle name="Note 7 7 2" xfId="4966"/>
    <cellStyle name="Note 7 7 2 2" xfId="4967"/>
    <cellStyle name="Note 7 7 2 2 2" xfId="4968"/>
    <cellStyle name="Note 7 7 2 3" xfId="4969"/>
    <cellStyle name="Note 7 7 3" xfId="4970"/>
    <cellStyle name="Note 7 7 3 2" xfId="4971"/>
    <cellStyle name="Note 7 7 3 2 2" xfId="4972"/>
    <cellStyle name="Note 7 7 3 3" xfId="4973"/>
    <cellStyle name="Note 7 7 4" xfId="4974"/>
    <cellStyle name="Note 7 8" xfId="4975"/>
    <cellStyle name="Note 7 8 2" xfId="4976"/>
    <cellStyle name="Note 7 8 2 2" xfId="4977"/>
    <cellStyle name="Note 7 8 3" xfId="4978"/>
    <cellStyle name="Note 7 8 3 2" xfId="4979"/>
    <cellStyle name="Note 7 9" xfId="4980"/>
    <cellStyle name="Note 7 9 2" xfId="4981"/>
    <cellStyle name="Note 7 9 2 2" xfId="4982"/>
    <cellStyle name="Note 7 9 3" xfId="4983"/>
    <cellStyle name="Note 7 9 3 2" xfId="4984"/>
    <cellStyle name="Note 8" xfId="4985"/>
    <cellStyle name="Note 8 10" xfId="4986"/>
    <cellStyle name="Note 8 2" xfId="4987"/>
    <cellStyle name="Note 8 2 2" xfId="4988"/>
    <cellStyle name="Note 8 2 2 2" xfId="4989"/>
    <cellStyle name="Note 8 2 2 2 2" xfId="4990"/>
    <cellStyle name="Note 8 2 2 2 2 2" xfId="4991"/>
    <cellStyle name="Note 8 2 2 2 3" xfId="4992"/>
    <cellStyle name="Note 8 2 2 3" xfId="4993"/>
    <cellStyle name="Note 8 2 2 3 2" xfId="4994"/>
    <cellStyle name="Note 8 2 2 3 2 2" xfId="4995"/>
    <cellStyle name="Note 8 2 2 3 3" xfId="4996"/>
    <cellStyle name="Note 8 2 2 4" xfId="4997"/>
    <cellStyle name="Note 8 2 3" xfId="4998"/>
    <cellStyle name="Note 8 2 3 2" xfId="4999"/>
    <cellStyle name="Note 8 2 3 2 2" xfId="5000"/>
    <cellStyle name="Note 8 2 3 3" xfId="5001"/>
    <cellStyle name="Note 8 2 4" xfId="5002"/>
    <cellStyle name="Note 8 2 4 2" xfId="5003"/>
    <cellStyle name="Note 8 2 4 2 2" xfId="5004"/>
    <cellStyle name="Note 8 2 4 3" xfId="5005"/>
    <cellStyle name="Note 8 2 5" xfId="5006"/>
    <cellStyle name="Note 8 3" xfId="5007"/>
    <cellStyle name="Note 8 3 2" xfId="5008"/>
    <cellStyle name="Note 8 3 2 2" xfId="5009"/>
    <cellStyle name="Note 8 3 2 2 2" xfId="5010"/>
    <cellStyle name="Note 8 3 2 2 2 2" xfId="5011"/>
    <cellStyle name="Note 8 3 2 2 3" xfId="5012"/>
    <cellStyle name="Note 8 3 2 3" xfId="5013"/>
    <cellStyle name="Note 8 3 2 3 2" xfId="5014"/>
    <cellStyle name="Note 8 3 2 3 2 2" xfId="5015"/>
    <cellStyle name="Note 8 3 2 3 3" xfId="5016"/>
    <cellStyle name="Note 8 3 2 4" xfId="5017"/>
    <cellStyle name="Note 8 3 3" xfId="5018"/>
    <cellStyle name="Note 8 3 3 2" xfId="5019"/>
    <cellStyle name="Note 8 3 3 2 2" xfId="5020"/>
    <cellStyle name="Note 8 3 3 3" xfId="5021"/>
    <cellStyle name="Note 8 3 4" xfId="5022"/>
    <cellStyle name="Note 8 3 4 2" xfId="5023"/>
    <cellStyle name="Note 8 3 4 2 2" xfId="5024"/>
    <cellStyle name="Note 8 3 4 3" xfId="5025"/>
    <cellStyle name="Note 8 3 5" xfId="5026"/>
    <cellStyle name="Note 8 4" xfId="5027"/>
    <cellStyle name="Note 8 4 2" xfId="5028"/>
    <cellStyle name="Note 8 4 2 2" xfId="5029"/>
    <cellStyle name="Note 8 4 2 2 2" xfId="5030"/>
    <cellStyle name="Note 8 4 2 3" xfId="5031"/>
    <cellStyle name="Note 8 4 3" xfId="5032"/>
    <cellStyle name="Note 8 4 3 2" xfId="5033"/>
    <cellStyle name="Note 8 4 3 2 2" xfId="5034"/>
    <cellStyle name="Note 8 4 3 3" xfId="5035"/>
    <cellStyle name="Note 8 4 4" xfId="5036"/>
    <cellStyle name="Note 8 5" xfId="5037"/>
    <cellStyle name="Note 8 5 2" xfId="5038"/>
    <cellStyle name="Note 8 5 2 2" xfId="5039"/>
    <cellStyle name="Note 8 5 2 2 2" xfId="5040"/>
    <cellStyle name="Note 8 5 2 3" xfId="5041"/>
    <cellStyle name="Note 8 5 3" xfId="5042"/>
    <cellStyle name="Note 8 5 3 2" xfId="5043"/>
    <cellStyle name="Note 8 5 3 2 2" xfId="5044"/>
    <cellStyle name="Note 8 5 3 3" xfId="5045"/>
    <cellStyle name="Note 8 5 4" xfId="5046"/>
    <cellStyle name="Note 8 6" xfId="5047"/>
    <cellStyle name="Note 8 6 2" xfId="5048"/>
    <cellStyle name="Note 8 6 2 2" xfId="5049"/>
    <cellStyle name="Note 8 6 2 2 2" xfId="5050"/>
    <cellStyle name="Note 8 6 2 3" xfId="5051"/>
    <cellStyle name="Note 8 6 3" xfId="5052"/>
    <cellStyle name="Note 8 6 3 2" xfId="5053"/>
    <cellStyle name="Note 8 6 3 2 2" xfId="5054"/>
    <cellStyle name="Note 8 6 3 3" xfId="5055"/>
    <cellStyle name="Note 8 6 4" xfId="5056"/>
    <cellStyle name="Note 8 7" xfId="5057"/>
    <cellStyle name="Note 8 7 2" xfId="5058"/>
    <cellStyle name="Note 8 7 2 2" xfId="5059"/>
    <cellStyle name="Note 8 7 2 2 2" xfId="5060"/>
    <cellStyle name="Note 8 7 2 3" xfId="5061"/>
    <cellStyle name="Note 8 7 3" xfId="5062"/>
    <cellStyle name="Note 8 7 3 2" xfId="5063"/>
    <cellStyle name="Note 8 7 3 2 2" xfId="5064"/>
    <cellStyle name="Note 8 7 3 3" xfId="5065"/>
    <cellStyle name="Note 8 7 4" xfId="5066"/>
    <cellStyle name="Note 8 8" xfId="5067"/>
    <cellStyle name="Note 8 8 2" xfId="5068"/>
    <cellStyle name="Note 8 8 2 2" xfId="5069"/>
    <cellStyle name="Note 8 8 3" xfId="5070"/>
    <cellStyle name="Note 8 9" xfId="5071"/>
    <cellStyle name="Note 8 9 2" xfId="5072"/>
    <cellStyle name="Note 8 9 2 2" xfId="5073"/>
    <cellStyle name="Note 8 9 3" xfId="5074"/>
    <cellStyle name="Note 9" xfId="5075"/>
    <cellStyle name="Note 9 2" xfId="5076"/>
    <cellStyle name="Note 9 2 2" xfId="5077"/>
    <cellStyle name="Note 9 2 2 2" xfId="5078"/>
    <cellStyle name="Note 9 2 2 2 2" xfId="5079"/>
    <cellStyle name="Note 9 2 2 3" xfId="5080"/>
    <cellStyle name="Note 9 2 3" xfId="5081"/>
    <cellStyle name="Note 9 2 3 2" xfId="5082"/>
    <cellStyle name="Note 9 2 3 2 2" xfId="5083"/>
    <cellStyle name="Note 9 2 3 3" xfId="5084"/>
    <cellStyle name="Note 9 2 4" xfId="5085"/>
    <cellStyle name="Note 9 3" xfId="5086"/>
    <cellStyle name="Note 9 3 2" xfId="5087"/>
    <cellStyle name="Note 9 3 2 2" xfId="5088"/>
    <cellStyle name="Note 9 3 3" xfId="5089"/>
    <cellStyle name="Note 9 4" xfId="5090"/>
    <cellStyle name="Note 9 4 2" xfId="5091"/>
    <cellStyle name="Note 9 4 2 2" xfId="5092"/>
    <cellStyle name="Note 9 4 3" xfId="5093"/>
    <cellStyle name="Note 9 5" xfId="5094"/>
    <cellStyle name="Note 9 5 2" xfId="5095"/>
    <cellStyle name="NOTNormal" xfId="5096"/>
    <cellStyle name="Number entry" xfId="5097"/>
    <cellStyle name="Number entry 2" xfId="5098"/>
    <cellStyle name="Number entry 3" xfId="5099"/>
    <cellStyle name="Number entry dec" xfId="5100"/>
    <cellStyle name="Number entry dec 2" xfId="5101"/>
    <cellStyle name="Number entry dec 3" xfId="5102"/>
    <cellStyle name="№йєРАІ_°жїµБцЗҐ" xfId="5103"/>
    <cellStyle name="Option" xfId="5104"/>
    <cellStyle name="Output" xfId="5105"/>
    <cellStyle name="Output 10" xfId="5106"/>
    <cellStyle name="Output 10 2" xfId="5107"/>
    <cellStyle name="Output 10 2 2" xfId="5108"/>
    <cellStyle name="Output 10 2 2 2" xfId="5109"/>
    <cellStyle name="Output 10 3" xfId="5110"/>
    <cellStyle name="Output 10 4" xfId="5111"/>
    <cellStyle name="Output 10 4 2" xfId="5112"/>
    <cellStyle name="Output 11" xfId="5113"/>
    <cellStyle name="Output 11 2" xfId="5114"/>
    <cellStyle name="Output 11 2 2" xfId="5115"/>
    <cellStyle name="Output 11 2 2 2" xfId="5116"/>
    <cellStyle name="Output 11 3" xfId="5117"/>
    <cellStyle name="Output 11 4" xfId="5118"/>
    <cellStyle name="Output 11 4 2" xfId="5119"/>
    <cellStyle name="Output 12" xfId="5120"/>
    <cellStyle name="Output 12 2" xfId="5121"/>
    <cellStyle name="Output 12 2 2" xfId="5122"/>
    <cellStyle name="Output 12 2 2 2" xfId="5123"/>
    <cellStyle name="Output 12 3" xfId="5124"/>
    <cellStyle name="Output 12 4" xfId="5125"/>
    <cellStyle name="Output 12 4 2" xfId="5126"/>
    <cellStyle name="Output 13" xfId="5127"/>
    <cellStyle name="Output 13 2" xfId="5128"/>
    <cellStyle name="Output 13 2 2" xfId="5129"/>
    <cellStyle name="Output 13 2 2 2" xfId="5130"/>
    <cellStyle name="Output 13 3" xfId="5131"/>
    <cellStyle name="Output 13 3 2" xfId="5132"/>
    <cellStyle name="Output 14" xfId="5133"/>
    <cellStyle name="Output 14 2" xfId="5134"/>
    <cellStyle name="Output 2" xfId="5135"/>
    <cellStyle name="Output 2 2" xfId="5136"/>
    <cellStyle name="Output 2 2 2" xfId="5137"/>
    <cellStyle name="Output 2 2 2 2" xfId="5138"/>
    <cellStyle name="Output 2 2 2 2 2" xfId="5139"/>
    <cellStyle name="Output 2 2 3" xfId="5140"/>
    <cellStyle name="Output 2 2 4" xfId="5141"/>
    <cellStyle name="Output 2 2 4 2" xfId="5142"/>
    <cellStyle name="Output 2 2 5" xfId="5143"/>
    <cellStyle name="Output 2 3" xfId="5144"/>
    <cellStyle name="Output 2 3 2" xfId="5145"/>
    <cellStyle name="Output 2 4" xfId="5146"/>
    <cellStyle name="Output 2 4 2" xfId="5147"/>
    <cellStyle name="Output 3" xfId="5148"/>
    <cellStyle name="Output 3 2" xfId="5149"/>
    <cellStyle name="Output 3 2 2" xfId="5150"/>
    <cellStyle name="Output 3 2 2 2" xfId="5151"/>
    <cellStyle name="Output 3 2 2 2 2" xfId="5152"/>
    <cellStyle name="Output 3 2 3" xfId="5153"/>
    <cellStyle name="Output 3 2 4" xfId="5154"/>
    <cellStyle name="Output 3 2 4 2" xfId="5155"/>
    <cellStyle name="Output 3 2 5" xfId="5156"/>
    <cellStyle name="Output 3 3" xfId="5157"/>
    <cellStyle name="Output 3 3 2" xfId="5158"/>
    <cellStyle name="Output 3 3 2 2" xfId="5159"/>
    <cellStyle name="Output 3 4" xfId="5160"/>
    <cellStyle name="Output 3 5" xfId="5161"/>
    <cellStyle name="Output 3 5 2" xfId="5162"/>
    <cellStyle name="Output 4" xfId="5163"/>
    <cellStyle name="Output 4 2" xfId="5164"/>
    <cellStyle name="Output 4 2 2" xfId="5165"/>
    <cellStyle name="Output 4 2 2 2" xfId="5166"/>
    <cellStyle name="Output 4 2 3" xfId="5167"/>
    <cellStyle name="Output 4 3" xfId="5168"/>
    <cellStyle name="Output 4 4" xfId="5169"/>
    <cellStyle name="Output 4 4 2" xfId="5170"/>
    <cellStyle name="Output 5" xfId="5171"/>
    <cellStyle name="Output 5 2" xfId="5172"/>
    <cellStyle name="Output 5 2 2" xfId="5173"/>
    <cellStyle name="Output 5 2 2 2" xfId="5174"/>
    <cellStyle name="Output 5 3" xfId="5175"/>
    <cellStyle name="Output 5 4" xfId="5176"/>
    <cellStyle name="Output 5 4 2" xfId="5177"/>
    <cellStyle name="Output 5 5" xfId="5178"/>
    <cellStyle name="Output 6" xfId="5179"/>
    <cellStyle name="Output 6 2" xfId="5180"/>
    <cellStyle name="Output 6 2 2" xfId="5181"/>
    <cellStyle name="Output 6 2 2 2" xfId="5182"/>
    <cellStyle name="Output 6 3" xfId="5183"/>
    <cellStyle name="Output 6 4" xfId="5184"/>
    <cellStyle name="Output 6 4 2" xfId="5185"/>
    <cellStyle name="Output 7" xfId="5186"/>
    <cellStyle name="Output 7 2" xfId="5187"/>
    <cellStyle name="Output 7 2 2" xfId="5188"/>
    <cellStyle name="Output 7 2 2 2" xfId="5189"/>
    <cellStyle name="Output 7 3" xfId="5190"/>
    <cellStyle name="Output 7 4" xfId="5191"/>
    <cellStyle name="Output 7 4 2" xfId="5192"/>
    <cellStyle name="Output 8" xfId="5193"/>
    <cellStyle name="Output 8 2" xfId="5194"/>
    <cellStyle name="Output 8 2 2" xfId="5195"/>
    <cellStyle name="Output 8 2 2 2" xfId="5196"/>
    <cellStyle name="Output 8 3" xfId="5197"/>
    <cellStyle name="Output 8 4" xfId="5198"/>
    <cellStyle name="Output 8 4 2" xfId="5199"/>
    <cellStyle name="Output 9" xfId="5200"/>
    <cellStyle name="Output 9 2" xfId="5201"/>
    <cellStyle name="Output 9 2 2" xfId="5202"/>
    <cellStyle name="Output 9 2 2 2" xfId="5203"/>
    <cellStyle name="Output 9 3" xfId="5204"/>
    <cellStyle name="Output 9 4" xfId="5205"/>
    <cellStyle name="Output 9 4 2" xfId="5206"/>
    <cellStyle name="Percent" xfId="2" builtinId="5"/>
    <cellStyle name="Percent [0]" xfId="5207"/>
    <cellStyle name="Percent [00]" xfId="5208"/>
    <cellStyle name="Percent [00] 2" xfId="5209"/>
    <cellStyle name="Percent [00] 3" xfId="5210"/>
    <cellStyle name="Percent [00] 4" xfId="5211"/>
    <cellStyle name="Percent [00] 5" xfId="5212"/>
    <cellStyle name="Percent [2]" xfId="5213"/>
    <cellStyle name="Percent [2] 2" xfId="5214"/>
    <cellStyle name="Percent 10" xfId="5215"/>
    <cellStyle name="Percent 11" xfId="5216"/>
    <cellStyle name="Percent 12" xfId="5217"/>
    <cellStyle name="Percent 2" xfId="5218"/>
    <cellStyle name="Percent 2 2" xfId="5219"/>
    <cellStyle name="Percent 2 2 2" xfId="5220"/>
    <cellStyle name="Percent 2 3" xfId="5221"/>
    <cellStyle name="Percent 2 4" xfId="5222"/>
    <cellStyle name="Percent 3" xfId="5223"/>
    <cellStyle name="Percent 3 2" xfId="5224"/>
    <cellStyle name="Percent 3 2 2" xfId="5225"/>
    <cellStyle name="Percent 3 3" xfId="5226"/>
    <cellStyle name="Percent 4" xfId="5227"/>
    <cellStyle name="Percent 5" xfId="5228"/>
    <cellStyle name="Percent 6" xfId="5229"/>
    <cellStyle name="Percent 6 2" xfId="5230"/>
    <cellStyle name="Percent 7" xfId="5231"/>
    <cellStyle name="Percent 8" xfId="5232"/>
    <cellStyle name="Percent 9" xfId="5233"/>
    <cellStyle name="PrePop Currency (0)" xfId="5234"/>
    <cellStyle name="PrePop Currency (2)" xfId="5235"/>
    <cellStyle name="PrePop Units (0)" xfId="5236"/>
    <cellStyle name="PrePop Units (1)" xfId="5237"/>
    <cellStyle name="PrePop Units (2)" xfId="5238"/>
    <cellStyle name="prochrek" xfId="5239"/>
    <cellStyle name="prochrek 2" xfId="5240"/>
    <cellStyle name="Product Title" xfId="5241"/>
    <cellStyle name="Program" xfId="5242"/>
    <cellStyle name="Result" xfId="5243"/>
    <cellStyle name="Result2" xfId="5244"/>
    <cellStyle name="RowLevel_1" xfId="1" builtinId="1" iLevel="0"/>
    <cellStyle name="Rubrik" xfId="5245"/>
    <cellStyle name="Rubrik 2" xfId="5246"/>
    <cellStyle name="S0" xfId="5247"/>
    <cellStyle name="S1" xfId="5248"/>
    <cellStyle name="S10" xfId="5249"/>
    <cellStyle name="S11" xfId="5250"/>
    <cellStyle name="S11 10" xfId="5251"/>
    <cellStyle name="S11 2" xfId="5252"/>
    <cellStyle name="S11 3" xfId="5253"/>
    <cellStyle name="S11 4" xfId="5254"/>
    <cellStyle name="S11 5" xfId="5255"/>
    <cellStyle name="S11 6" xfId="5256"/>
    <cellStyle name="S11 7" xfId="5257"/>
    <cellStyle name="S11 8" xfId="5258"/>
    <cellStyle name="S11 9" xfId="5259"/>
    <cellStyle name="S12" xfId="5260"/>
    <cellStyle name="S12 10" xfId="5261"/>
    <cellStyle name="S12 2" xfId="5262"/>
    <cellStyle name="S12 3" xfId="5263"/>
    <cellStyle name="S12 4" xfId="5264"/>
    <cellStyle name="S12 5" xfId="5265"/>
    <cellStyle name="S12 6" xfId="5266"/>
    <cellStyle name="S12 7" xfId="5267"/>
    <cellStyle name="S12 8" xfId="5268"/>
    <cellStyle name="S12 9" xfId="5269"/>
    <cellStyle name="S13" xfId="5270"/>
    <cellStyle name="S13 10" xfId="5271"/>
    <cellStyle name="S13 2" xfId="5272"/>
    <cellStyle name="S13 3" xfId="5273"/>
    <cellStyle name="S13 4" xfId="5274"/>
    <cellStyle name="S13 5" xfId="5275"/>
    <cellStyle name="S13 6" xfId="5276"/>
    <cellStyle name="S13 7" xfId="5277"/>
    <cellStyle name="S13 8" xfId="5278"/>
    <cellStyle name="S13 9" xfId="5279"/>
    <cellStyle name="S14" xfId="5280"/>
    <cellStyle name="S14 10" xfId="5281"/>
    <cellStyle name="S14 2" xfId="5282"/>
    <cellStyle name="S14 3" xfId="5283"/>
    <cellStyle name="S14 4" xfId="5284"/>
    <cellStyle name="S14 5" xfId="5285"/>
    <cellStyle name="S14 6" xfId="5286"/>
    <cellStyle name="S14 7" xfId="5287"/>
    <cellStyle name="S14 8" xfId="5288"/>
    <cellStyle name="S14 9" xfId="5289"/>
    <cellStyle name="S15" xfId="5290"/>
    <cellStyle name="S16" xfId="5291"/>
    <cellStyle name="S17" xfId="5292"/>
    <cellStyle name="S18" xfId="5293"/>
    <cellStyle name="S19" xfId="5294"/>
    <cellStyle name="S2" xfId="5295"/>
    <cellStyle name="S20" xfId="5296"/>
    <cellStyle name="S3" xfId="5297"/>
    <cellStyle name="S4" xfId="5298"/>
    <cellStyle name="S5" xfId="5299"/>
    <cellStyle name="S6" xfId="5300"/>
    <cellStyle name="S7" xfId="5301"/>
    <cellStyle name="S8" xfId="5302"/>
    <cellStyle name="S9" xfId="5303"/>
    <cellStyle name="sbt2" xfId="5304"/>
    <cellStyle name="sbt2 10" xfId="5305"/>
    <cellStyle name="sbt2 11" xfId="5306"/>
    <cellStyle name="sbt2 12" xfId="5307"/>
    <cellStyle name="sbt2 13" xfId="5308"/>
    <cellStyle name="sbt2 14" xfId="5309"/>
    <cellStyle name="sbt2 15" xfId="5310"/>
    <cellStyle name="sbt2 16" xfId="5311"/>
    <cellStyle name="sbt2 17" xfId="5312"/>
    <cellStyle name="sbt2 2" xfId="5313"/>
    <cellStyle name="sbt2 2 2" xfId="5314"/>
    <cellStyle name="sbt2 3" xfId="5315"/>
    <cellStyle name="sbt2 4" xfId="5316"/>
    <cellStyle name="sbt2 5" xfId="5317"/>
    <cellStyle name="sbt2 6" xfId="5318"/>
    <cellStyle name="sbt2 7" xfId="5319"/>
    <cellStyle name="sbt2 8" xfId="5320"/>
    <cellStyle name="sbt2 9" xfId="5321"/>
    <cellStyle name="skugga" xfId="5322"/>
    <cellStyle name="skugga 2" xfId="5323"/>
    <cellStyle name="small" xfId="5324"/>
    <cellStyle name="Standaard_9410CORA" xfId="5325"/>
    <cellStyle name="Standard__Utopia Index Index und Guidance (Deutsch)" xfId="5326"/>
    <cellStyle name="Style 1" xfId="5327"/>
    <cellStyle name="Style 1 2" xfId="5328"/>
    <cellStyle name="subt1" xfId="5329"/>
    <cellStyle name="subt1 10" xfId="5330"/>
    <cellStyle name="subt1 11" xfId="5331"/>
    <cellStyle name="subt1 12" xfId="5332"/>
    <cellStyle name="subt1 13" xfId="5333"/>
    <cellStyle name="subt1 14" xfId="5334"/>
    <cellStyle name="subt1 15" xfId="5335"/>
    <cellStyle name="subt1 16" xfId="5336"/>
    <cellStyle name="subt1 17" xfId="5337"/>
    <cellStyle name="subt1 2" xfId="5338"/>
    <cellStyle name="subt1 3" xfId="5339"/>
    <cellStyle name="subt1 4" xfId="5340"/>
    <cellStyle name="subt1 5" xfId="5341"/>
    <cellStyle name="subt1 6" xfId="5342"/>
    <cellStyle name="subt1 7" xfId="5343"/>
    <cellStyle name="subt1 8" xfId="5344"/>
    <cellStyle name="subt1 9" xfId="5345"/>
    <cellStyle name="Summe" xfId="5346"/>
    <cellStyle name="Tabelle-Zahl" xfId="5347"/>
    <cellStyle name="Table" xfId="5348"/>
    <cellStyle name="Table 2" xfId="5349"/>
    <cellStyle name="Table 2 2" xfId="5350"/>
    <cellStyle name="Table 2 2 2" xfId="5351"/>
    <cellStyle name="Table 2 2 3" xfId="5352"/>
    <cellStyle name="Table 2 3" xfId="5353"/>
    <cellStyle name="Table 2 4" xfId="5354"/>
    <cellStyle name="TableStyleLight1" xfId="5355"/>
    <cellStyle name="TableStyleLight1 2" xfId="5356"/>
    <cellStyle name="TableStyleLight1 3" xfId="5357"/>
    <cellStyle name="Talmed2decimaler" xfId="5358"/>
    <cellStyle name="Talmed2decimaler 2" xfId="5359"/>
    <cellStyle name="Talutandecimaler" xfId="5360"/>
    <cellStyle name="Talutandecimaler 2" xfId="5361"/>
    <cellStyle name="Text" xfId="5362"/>
    <cellStyle name="Text Indent A" xfId="5363"/>
    <cellStyle name="Text Indent A 2" xfId="5364"/>
    <cellStyle name="Text Indent B" xfId="5365"/>
    <cellStyle name="Text Indent C" xfId="5366"/>
    <cellStyle name="TextNormal" xfId="5367"/>
    <cellStyle name="Tickmark" xfId="5368"/>
    <cellStyle name="Tid" xfId="5369"/>
    <cellStyle name="Tid 2" xfId="5370"/>
    <cellStyle name="Time" xfId="5371"/>
    <cellStyle name="Title" xfId="5372"/>
    <cellStyle name="Title 2" xfId="5373"/>
    <cellStyle name="Total" xfId="5374"/>
    <cellStyle name="Total 10" xfId="5375"/>
    <cellStyle name="Total 10 2" xfId="5376"/>
    <cellStyle name="Total 10 3" xfId="5377"/>
    <cellStyle name="Total 10 3 2" xfId="5378"/>
    <cellStyle name="Total 11" xfId="5379"/>
    <cellStyle name="Total 11 2" xfId="5380"/>
    <cellStyle name="Total 11 3" xfId="5381"/>
    <cellStyle name="Total 11 3 2" xfId="5382"/>
    <cellStyle name="Total 12" xfId="5383"/>
    <cellStyle name="Total 12 2" xfId="5384"/>
    <cellStyle name="Total 12 3" xfId="5385"/>
    <cellStyle name="Total 12 3 2" xfId="5386"/>
    <cellStyle name="Total 13" xfId="5387"/>
    <cellStyle name="Total 13 2" xfId="5388"/>
    <cellStyle name="Total 13 2 2" xfId="5389"/>
    <cellStyle name="Total 14" xfId="5390"/>
    <cellStyle name="Total 14 2" xfId="5391"/>
    <cellStyle name="Total 2" xfId="5392"/>
    <cellStyle name="Total 2 2" xfId="5393"/>
    <cellStyle name="Total 2 2 2" xfId="5394"/>
    <cellStyle name="Total 2 2 2 2" xfId="5395"/>
    <cellStyle name="Total 2 2 3" xfId="5396"/>
    <cellStyle name="Total 2 2 3 2" xfId="5397"/>
    <cellStyle name="Total 2 2 4" xfId="5398"/>
    <cellStyle name="Total 2 3" xfId="5399"/>
    <cellStyle name="Total 2 3 2" xfId="5400"/>
    <cellStyle name="Total 2 4" xfId="5401"/>
    <cellStyle name="Total 2 4 2" xfId="5402"/>
    <cellStyle name="Total 3" xfId="5403"/>
    <cellStyle name="Total 3 2" xfId="5404"/>
    <cellStyle name="Total 3 2 2" xfId="5405"/>
    <cellStyle name="Total 3 2 3" xfId="5406"/>
    <cellStyle name="Total 3 2 3 2" xfId="5407"/>
    <cellStyle name="Total 3 2 4" xfId="5408"/>
    <cellStyle name="Total 3 3" xfId="5409"/>
    <cellStyle name="Total 3 4" xfId="5410"/>
    <cellStyle name="Total 3 4 2" xfId="5411"/>
    <cellStyle name="Total 4" xfId="5412"/>
    <cellStyle name="Total 4 2" xfId="5413"/>
    <cellStyle name="Total 4 2 2" xfId="5414"/>
    <cellStyle name="Total 4 3" xfId="5415"/>
    <cellStyle name="Total 4 3 2" xfId="5416"/>
    <cellStyle name="Total 5" xfId="5417"/>
    <cellStyle name="Total 5 2" xfId="5418"/>
    <cellStyle name="Total 5 3" xfId="5419"/>
    <cellStyle name="Total 5 3 2" xfId="5420"/>
    <cellStyle name="Total 5 4" xfId="5421"/>
    <cellStyle name="Total 6" xfId="5422"/>
    <cellStyle name="Total 6 2" xfId="5423"/>
    <cellStyle name="Total 6 3" xfId="5424"/>
    <cellStyle name="Total 6 3 2" xfId="5425"/>
    <cellStyle name="Total 7" xfId="5426"/>
    <cellStyle name="Total 7 2" xfId="5427"/>
    <cellStyle name="Total 7 3" xfId="5428"/>
    <cellStyle name="Total 7 3 2" xfId="5429"/>
    <cellStyle name="Total 8" xfId="5430"/>
    <cellStyle name="Total 8 2" xfId="5431"/>
    <cellStyle name="Total 8 3" xfId="5432"/>
    <cellStyle name="Total 8 3 2" xfId="5433"/>
    <cellStyle name="Total 9" xfId="5434"/>
    <cellStyle name="Total 9 2" xfId="5435"/>
    <cellStyle name="Total 9 3" xfId="5436"/>
    <cellStyle name="Total 9 3 2" xfId="5437"/>
    <cellStyle name="Tusental (0)_Bok1 Diagram 10" xfId="5438"/>
    <cellStyle name="Tusental_Bok1 Diagram 10" xfId="5439"/>
    <cellStyle name="Undefiniert" xfId="5440"/>
    <cellStyle name="Underrubrik" xfId="5441"/>
    <cellStyle name="Underrubrik 2" xfId="5442"/>
    <cellStyle name="Unit" xfId="5443"/>
    <cellStyle name="Valuta (0)_Bok1 Diagram 10" xfId="5444"/>
    <cellStyle name="Valuta_BLAD" xfId="5445"/>
    <cellStyle name="Währung [0]_All" xfId="5446"/>
    <cellStyle name="Wahrung [0]_Bilanz" xfId="5447"/>
    <cellStyle name="Währung [0]_Mediaplan Intel ALT" xfId="5448"/>
    <cellStyle name="Währung_All" xfId="5449"/>
    <cellStyle name="Wahrung_Bilanz" xfId="5450"/>
    <cellStyle name="Währung_Mediaplan Intel ALT" xfId="5451"/>
    <cellStyle name="Warning Text" xfId="5452"/>
    <cellStyle name="Warning Text 2" xfId="5453"/>
    <cellStyle name="Акцент1 2" xfId="5454"/>
    <cellStyle name="Акцент1 2 2" xfId="5455"/>
    <cellStyle name="Акцент1 3" xfId="5456"/>
    <cellStyle name="Акцент1 4" xfId="5457"/>
    <cellStyle name="Акцент1 5" xfId="5458"/>
    <cellStyle name="Акцент1 6" xfId="5459"/>
    <cellStyle name="Акцент2 2" xfId="5460"/>
    <cellStyle name="Акцент2 2 2" xfId="5461"/>
    <cellStyle name="Акцент2 3" xfId="5462"/>
    <cellStyle name="Акцент2 4" xfId="5463"/>
    <cellStyle name="Акцент2 5" xfId="5464"/>
    <cellStyle name="Акцент2 5 2" xfId="5465"/>
    <cellStyle name="Акцент2 5 3" xfId="5466"/>
    <cellStyle name="Акцент2 6" xfId="5467"/>
    <cellStyle name="Акцент3 2" xfId="5468"/>
    <cellStyle name="Акцент3 2 2" xfId="5469"/>
    <cellStyle name="Акцент3 3" xfId="5470"/>
    <cellStyle name="Акцент3 4" xfId="5471"/>
    <cellStyle name="Акцент3 5" xfId="5472"/>
    <cellStyle name="Акцент3 6" xfId="5473"/>
    <cellStyle name="Акцент4 2" xfId="5474"/>
    <cellStyle name="Акцент4 2 2" xfId="5475"/>
    <cellStyle name="Акцент4 3" xfId="5476"/>
    <cellStyle name="Акцент4 4" xfId="5477"/>
    <cellStyle name="Акцент4 5" xfId="5478"/>
    <cellStyle name="Акцент4 6" xfId="5479"/>
    <cellStyle name="Акцент5 2" xfId="5480"/>
    <cellStyle name="Акцент5 2 2" xfId="5481"/>
    <cellStyle name="Акцент5 3" xfId="5482"/>
    <cellStyle name="Акцент5 4" xfId="5483"/>
    <cellStyle name="Акцент5 5" xfId="5484"/>
    <cellStyle name="Акцент5 6" xfId="5485"/>
    <cellStyle name="Акцент6 2" xfId="5486"/>
    <cellStyle name="Акцент6 2 2" xfId="5487"/>
    <cellStyle name="Акцент6 3" xfId="5488"/>
    <cellStyle name="Акцент6 4" xfId="5489"/>
    <cellStyle name="Акцент6 5" xfId="5490"/>
    <cellStyle name="Акцент6 6" xfId="5491"/>
    <cellStyle name="Бюджет" xfId="5492"/>
    <cellStyle name="Бюджет 2" xfId="5493"/>
    <cellStyle name="Бюджет 2 2" xfId="5494"/>
    <cellStyle name="Бюджет 3" xfId="5495"/>
    <cellStyle name="Ввод  10" xfId="5496"/>
    <cellStyle name="Ввод  10 2" xfId="5497"/>
    <cellStyle name="Ввод  10 3" xfId="5498"/>
    <cellStyle name="Ввод  10 3 2" xfId="5499"/>
    <cellStyle name="Ввод  11" xfId="5500"/>
    <cellStyle name="Ввод  11 2" xfId="5501"/>
    <cellStyle name="Ввод  11 3" xfId="5502"/>
    <cellStyle name="Ввод  11 3 2" xfId="5503"/>
    <cellStyle name="Ввод  12" xfId="5504"/>
    <cellStyle name="Ввод  12 2" xfId="5505"/>
    <cellStyle name="Ввод  12 3" xfId="5506"/>
    <cellStyle name="Ввод  12 3 2" xfId="5507"/>
    <cellStyle name="Ввод  13" xfId="5508"/>
    <cellStyle name="Ввод  13 2" xfId="5509"/>
    <cellStyle name="Ввод  13 3" xfId="5510"/>
    <cellStyle name="Ввод  13 3 2" xfId="5511"/>
    <cellStyle name="Ввод  14" xfId="5512"/>
    <cellStyle name="Ввод  14 2" xfId="5513"/>
    <cellStyle name="Ввод  14 3" xfId="5514"/>
    <cellStyle name="Ввод  14 3 2" xfId="5515"/>
    <cellStyle name="Ввод  15" xfId="5516"/>
    <cellStyle name="Ввод  15 2" xfId="5517"/>
    <cellStyle name="Ввод  15 3" xfId="5518"/>
    <cellStyle name="Ввод  15 3 2" xfId="5519"/>
    <cellStyle name="Ввод  16" xfId="5520"/>
    <cellStyle name="Ввод  16 2" xfId="5521"/>
    <cellStyle name="Ввод  16 2 2" xfId="5522"/>
    <cellStyle name="Ввод  17" xfId="5523"/>
    <cellStyle name="Ввод  17 2" xfId="5524"/>
    <cellStyle name="Ввод  17 2 2" xfId="5525"/>
    <cellStyle name="Ввод  17 3" xfId="5526"/>
    <cellStyle name="Ввод  18" xfId="5527"/>
    <cellStyle name="Ввод  18 2" xfId="5528"/>
    <cellStyle name="Ввод  18 2 2" xfId="5529"/>
    <cellStyle name="Ввод  18 3" xfId="5530"/>
    <cellStyle name="Ввод  2" xfId="5531"/>
    <cellStyle name="Ввод  2 10" xfId="5532"/>
    <cellStyle name="Ввод  2 10 2" xfId="5533"/>
    <cellStyle name="Ввод  2 10 3" xfId="5534"/>
    <cellStyle name="Ввод  2 10 3 2" xfId="5535"/>
    <cellStyle name="Ввод  2 11" xfId="5536"/>
    <cellStyle name="Ввод  2 11 2" xfId="5537"/>
    <cellStyle name="Ввод  2 11 3" xfId="5538"/>
    <cellStyle name="Ввод  2 11 3 2" xfId="5539"/>
    <cellStyle name="Ввод  2 12" xfId="5540"/>
    <cellStyle name="Ввод  2 12 2" xfId="5541"/>
    <cellStyle name="Ввод  2 12 3" xfId="5542"/>
    <cellStyle name="Ввод  2 12 3 2" xfId="5543"/>
    <cellStyle name="Ввод  2 13" xfId="5544"/>
    <cellStyle name="Ввод  2 13 2" xfId="5545"/>
    <cellStyle name="Ввод  2 13 2 2" xfId="5546"/>
    <cellStyle name="Ввод  2 14" xfId="5547"/>
    <cellStyle name="Ввод  2 14 2" xfId="5548"/>
    <cellStyle name="Ввод  2 14 2 2" xfId="5549"/>
    <cellStyle name="Ввод  2 14 3" xfId="5550"/>
    <cellStyle name="Ввод  2 15" xfId="5551"/>
    <cellStyle name="Ввод  2 15 2" xfId="5552"/>
    <cellStyle name="Ввод  2 16" xfId="5553"/>
    <cellStyle name="Ввод  2 2" xfId="5554"/>
    <cellStyle name="Ввод  2 2 2" xfId="5555"/>
    <cellStyle name="Ввод  2 2 2 2" xfId="5556"/>
    <cellStyle name="Ввод  2 2 2 3" xfId="5557"/>
    <cellStyle name="Ввод  2 2 2 3 2" xfId="5558"/>
    <cellStyle name="Ввод  2 2 2 4" xfId="5559"/>
    <cellStyle name="Ввод  2 2 3" xfId="5560"/>
    <cellStyle name="Ввод  2 2 4" xfId="5561"/>
    <cellStyle name="Ввод  2 2 4 2" xfId="5562"/>
    <cellStyle name="Ввод  2 3" xfId="5563"/>
    <cellStyle name="Ввод  2 3 2" xfId="5564"/>
    <cellStyle name="Ввод  2 3 2 2" xfId="5565"/>
    <cellStyle name="Ввод  2 3 2 3" xfId="5566"/>
    <cellStyle name="Ввод  2 3 2 3 2" xfId="5567"/>
    <cellStyle name="Ввод  2 3 2 4" xfId="5568"/>
    <cellStyle name="Ввод  2 3 3" xfId="5569"/>
    <cellStyle name="Ввод  2 3 4" xfId="5570"/>
    <cellStyle name="Ввод  2 3 4 2" xfId="5571"/>
    <cellStyle name="Ввод  2 4" xfId="5572"/>
    <cellStyle name="Ввод  2 4 2" xfId="5573"/>
    <cellStyle name="Ввод  2 4 3" xfId="5574"/>
    <cellStyle name="Ввод  2 4 3 2" xfId="5575"/>
    <cellStyle name="Ввод  2 5" xfId="5576"/>
    <cellStyle name="Ввод  2 5 2" xfId="5577"/>
    <cellStyle name="Ввод  2 5 3" xfId="5578"/>
    <cellStyle name="Ввод  2 5 3 2" xfId="5579"/>
    <cellStyle name="Ввод  2 5 4" xfId="5580"/>
    <cellStyle name="Ввод  2 6" xfId="5581"/>
    <cellStyle name="Ввод  2 6 2" xfId="5582"/>
    <cellStyle name="Ввод  2 6 3" xfId="5583"/>
    <cellStyle name="Ввод  2 6 3 2" xfId="5584"/>
    <cellStyle name="Ввод  2 6 4" xfId="5585"/>
    <cellStyle name="Ввод  2 7" xfId="5586"/>
    <cellStyle name="Ввод  2 7 2" xfId="5587"/>
    <cellStyle name="Ввод  2 7 3" xfId="5588"/>
    <cellStyle name="Ввод  2 7 3 2" xfId="5589"/>
    <cellStyle name="Ввод  2 8" xfId="5590"/>
    <cellStyle name="Ввод  2 8 2" xfId="5591"/>
    <cellStyle name="Ввод  2 8 3" xfId="5592"/>
    <cellStyle name="Ввод  2 8 3 2" xfId="5593"/>
    <cellStyle name="Ввод  2 9" xfId="5594"/>
    <cellStyle name="Ввод  2 9 2" xfId="5595"/>
    <cellStyle name="Ввод  2 9 3" xfId="5596"/>
    <cellStyle name="Ввод  2 9 3 2" xfId="5597"/>
    <cellStyle name="Ввод  3" xfId="5598"/>
    <cellStyle name="Ввод  3 2" xfId="5599"/>
    <cellStyle name="Ввод  3 2 2" xfId="5600"/>
    <cellStyle name="Ввод  3 2 2 2" xfId="5601"/>
    <cellStyle name="Ввод  3 2 2 3" xfId="5602"/>
    <cellStyle name="Ввод  3 2 2 3 2" xfId="5603"/>
    <cellStyle name="Ввод  3 2 3" xfId="5604"/>
    <cellStyle name="Ввод  3 2 4" xfId="5605"/>
    <cellStyle name="Ввод  3 2 4 2" xfId="5606"/>
    <cellStyle name="Ввод  3 2 5" xfId="5607"/>
    <cellStyle name="Ввод  3 3" xfId="5608"/>
    <cellStyle name="Ввод  3 3 2" xfId="5609"/>
    <cellStyle name="Ввод  3 3 2 2" xfId="5610"/>
    <cellStyle name="Ввод  3 3 2 3" xfId="5611"/>
    <cellStyle name="Ввод  3 3 2 3 2" xfId="5612"/>
    <cellStyle name="Ввод  3 3 3" xfId="5613"/>
    <cellStyle name="Ввод  3 3 4" xfId="5614"/>
    <cellStyle name="Ввод  3 3 4 2" xfId="5615"/>
    <cellStyle name="Ввод  3 3 5" xfId="5616"/>
    <cellStyle name="Ввод  3 4" xfId="5617"/>
    <cellStyle name="Ввод  3 4 2" xfId="5618"/>
    <cellStyle name="Ввод  3 4 2 2" xfId="5619"/>
    <cellStyle name="Ввод  3 4 3" xfId="5620"/>
    <cellStyle name="Ввод  3 5" xfId="5621"/>
    <cellStyle name="Ввод  3 5 2" xfId="5622"/>
    <cellStyle name="Ввод  3 5 2 2" xfId="5623"/>
    <cellStyle name="Ввод  3 5 3" xfId="5624"/>
    <cellStyle name="Ввод  3 6" xfId="5625"/>
    <cellStyle name="Ввод  3 7" xfId="5626"/>
    <cellStyle name="Ввод  3 7 2" xfId="5627"/>
    <cellStyle name="Ввод  3 8" xfId="5628"/>
    <cellStyle name="Ввод  4" xfId="5629"/>
    <cellStyle name="Ввод  4 2" xfId="5630"/>
    <cellStyle name="Ввод  4 2 2" xfId="5631"/>
    <cellStyle name="Ввод  4 2 3" xfId="5632"/>
    <cellStyle name="Ввод  4 2 3 2" xfId="5633"/>
    <cellStyle name="Ввод  4 2 4" xfId="5634"/>
    <cellStyle name="Ввод  4 3" xfId="5635"/>
    <cellStyle name="Ввод  4 4" xfId="5636"/>
    <cellStyle name="Ввод  4 4 2" xfId="5637"/>
    <cellStyle name="Ввод  5" xfId="5638"/>
    <cellStyle name="Ввод  5 2" xfId="5639"/>
    <cellStyle name="Ввод  5 2 2" xfId="5640"/>
    <cellStyle name="Ввод  5 2 3" xfId="5641"/>
    <cellStyle name="Ввод  5 2 3 2" xfId="5642"/>
    <cellStyle name="Ввод  5 2 4" xfId="5643"/>
    <cellStyle name="Ввод  5 3" xfId="5644"/>
    <cellStyle name="Ввод  5 4" xfId="5645"/>
    <cellStyle name="Ввод  5 4 2" xfId="5646"/>
    <cellStyle name="Ввод  6" xfId="5647"/>
    <cellStyle name="Ввод  6 2" xfId="5648"/>
    <cellStyle name="Ввод  6 2 2" xfId="5649"/>
    <cellStyle name="Ввод  6 3" xfId="5650"/>
    <cellStyle name="Ввод  6 3 2" xfId="5651"/>
    <cellStyle name="Ввод  7" xfId="5652"/>
    <cellStyle name="Ввод  7 2" xfId="5653"/>
    <cellStyle name="Ввод  7 3" xfId="5654"/>
    <cellStyle name="Ввод  7 3 2" xfId="5655"/>
    <cellStyle name="Ввод  7 4" xfId="5656"/>
    <cellStyle name="Ввод  8" xfId="5657"/>
    <cellStyle name="Ввод  8 2" xfId="5658"/>
    <cellStyle name="Ввод  8 3" xfId="5659"/>
    <cellStyle name="Ввод  8 3 2" xfId="5660"/>
    <cellStyle name="Ввод  9" xfId="5661"/>
    <cellStyle name="Ввод  9 2" xfId="5662"/>
    <cellStyle name="Ввод  9 2 2" xfId="5663"/>
    <cellStyle name="Ввод  9 3" xfId="5664"/>
    <cellStyle name="Ввод  9 3 2" xfId="5665"/>
    <cellStyle name="Вывод 10" xfId="5666"/>
    <cellStyle name="Вывод 10 2" xfId="5667"/>
    <cellStyle name="Вывод 10 2 2" xfId="5668"/>
    <cellStyle name="Вывод 10 2 2 2" xfId="5669"/>
    <cellStyle name="Вывод 10 3" xfId="5670"/>
    <cellStyle name="Вывод 10 4" xfId="5671"/>
    <cellStyle name="Вывод 10 4 2" xfId="5672"/>
    <cellStyle name="Вывод 11" xfId="5673"/>
    <cellStyle name="Вывод 11 2" xfId="5674"/>
    <cellStyle name="Вывод 11 2 2" xfId="5675"/>
    <cellStyle name="Вывод 11 2 2 2" xfId="5676"/>
    <cellStyle name="Вывод 11 3" xfId="5677"/>
    <cellStyle name="Вывод 11 4" xfId="5678"/>
    <cellStyle name="Вывод 11 4 2" xfId="5679"/>
    <cellStyle name="Вывод 12" xfId="5680"/>
    <cellStyle name="Вывод 12 2" xfId="5681"/>
    <cellStyle name="Вывод 12 2 2" xfId="5682"/>
    <cellStyle name="Вывод 12 2 2 2" xfId="5683"/>
    <cellStyle name="Вывод 12 3" xfId="5684"/>
    <cellStyle name="Вывод 12 4" xfId="5685"/>
    <cellStyle name="Вывод 12 4 2" xfId="5686"/>
    <cellStyle name="Вывод 13" xfId="5687"/>
    <cellStyle name="Вывод 13 2" xfId="5688"/>
    <cellStyle name="Вывод 13 2 2" xfId="5689"/>
    <cellStyle name="Вывод 13 2 2 2" xfId="5690"/>
    <cellStyle name="Вывод 13 3" xfId="5691"/>
    <cellStyle name="Вывод 13 4" xfId="5692"/>
    <cellStyle name="Вывод 13 4 2" xfId="5693"/>
    <cellStyle name="Вывод 14" xfId="5694"/>
    <cellStyle name="Вывод 14 2" xfId="5695"/>
    <cellStyle name="Вывод 14 2 2" xfId="5696"/>
    <cellStyle name="Вывод 14 2 2 2" xfId="5697"/>
    <cellStyle name="Вывод 14 3" xfId="5698"/>
    <cellStyle name="Вывод 14 3 2" xfId="5699"/>
    <cellStyle name="Вывод 15" xfId="5700"/>
    <cellStyle name="Вывод 15 2" xfId="5701"/>
    <cellStyle name="Вывод 15 2 2" xfId="5702"/>
    <cellStyle name="Вывод 2" xfId="5703"/>
    <cellStyle name="Вывод 2 10" xfId="5704"/>
    <cellStyle name="Вывод 2 10 2" xfId="5705"/>
    <cellStyle name="Вывод 2 10 2 2" xfId="5706"/>
    <cellStyle name="Вывод 2 10 2 2 2" xfId="5707"/>
    <cellStyle name="Вывод 2 10 3" xfId="5708"/>
    <cellStyle name="Вывод 2 10 4" xfId="5709"/>
    <cellStyle name="Вывод 2 10 4 2" xfId="5710"/>
    <cellStyle name="Вывод 2 11" xfId="5711"/>
    <cellStyle name="Вывод 2 11 2" xfId="5712"/>
    <cellStyle name="Вывод 2 11 2 2" xfId="5713"/>
    <cellStyle name="Вывод 2 11 2 2 2" xfId="5714"/>
    <cellStyle name="Вывод 2 11 3" xfId="5715"/>
    <cellStyle name="Вывод 2 11 4" xfId="5716"/>
    <cellStyle name="Вывод 2 11 4 2" xfId="5717"/>
    <cellStyle name="Вывод 2 12" xfId="5718"/>
    <cellStyle name="Вывод 2 12 2" xfId="5719"/>
    <cellStyle name="Вывод 2 12 2 2" xfId="5720"/>
    <cellStyle name="Вывод 2 12 2 2 2" xfId="5721"/>
    <cellStyle name="Вывод 2 12 3" xfId="5722"/>
    <cellStyle name="Вывод 2 12 3 2" xfId="5723"/>
    <cellStyle name="Вывод 2 13" xfId="5724"/>
    <cellStyle name="Вывод 2 13 2" xfId="5725"/>
    <cellStyle name="Вывод 2 14" xfId="5726"/>
    <cellStyle name="Вывод 2 2" xfId="5727"/>
    <cellStyle name="Вывод 2 2 2" xfId="5728"/>
    <cellStyle name="Вывод 2 2 2 2" xfId="5729"/>
    <cellStyle name="Вывод 2 2 2 2 2" xfId="5730"/>
    <cellStyle name="Вывод 2 2 2 2 2 2" xfId="5731"/>
    <cellStyle name="Вывод 2 2 2 3" xfId="5732"/>
    <cellStyle name="Вывод 2 2 2 4" xfId="5733"/>
    <cellStyle name="Вывод 2 2 2 4 2" xfId="5734"/>
    <cellStyle name="Вывод 2 2 2 5" xfId="5735"/>
    <cellStyle name="Вывод 2 2 3" xfId="5736"/>
    <cellStyle name="Вывод 2 2 4" xfId="5737"/>
    <cellStyle name="Вывод 2 2 4 2" xfId="5738"/>
    <cellStyle name="Вывод 2 3" xfId="5739"/>
    <cellStyle name="Вывод 2 3 2" xfId="5740"/>
    <cellStyle name="Вывод 2 3 2 2" xfId="5741"/>
    <cellStyle name="Вывод 2 3 2 2 2" xfId="5742"/>
    <cellStyle name="Вывод 2 3 2 2 2 2" xfId="5743"/>
    <cellStyle name="Вывод 2 3 2 3" xfId="5744"/>
    <cellStyle name="Вывод 2 3 2 4" xfId="5745"/>
    <cellStyle name="Вывод 2 3 2 4 2" xfId="5746"/>
    <cellStyle name="Вывод 2 3 3" xfId="5747"/>
    <cellStyle name="Вывод 2 3 3 2" xfId="5748"/>
    <cellStyle name="Вывод 2 3 3 2 2" xfId="5749"/>
    <cellStyle name="Вывод 2 3 4" xfId="5750"/>
    <cellStyle name="Вывод 2 3 5" xfId="5751"/>
    <cellStyle name="Вывод 2 3 5 2" xfId="5752"/>
    <cellStyle name="Вывод 2 4" xfId="5753"/>
    <cellStyle name="Вывод 2 4 2" xfId="5754"/>
    <cellStyle name="Вывод 2 4 2 2" xfId="5755"/>
    <cellStyle name="Вывод 2 4 2 2 2" xfId="5756"/>
    <cellStyle name="Вывод 2 4 3" xfId="5757"/>
    <cellStyle name="Вывод 2 4 4" xfId="5758"/>
    <cellStyle name="Вывод 2 4 4 2" xfId="5759"/>
    <cellStyle name="Вывод 2 5" xfId="5760"/>
    <cellStyle name="Вывод 2 5 2" xfId="5761"/>
    <cellStyle name="Вывод 2 5 2 2" xfId="5762"/>
    <cellStyle name="Вывод 2 5 2 2 2" xfId="5763"/>
    <cellStyle name="Вывод 2 5 3" xfId="5764"/>
    <cellStyle name="Вывод 2 5 4" xfId="5765"/>
    <cellStyle name="Вывод 2 5 4 2" xfId="5766"/>
    <cellStyle name="Вывод 2 5 5" xfId="5767"/>
    <cellStyle name="Вывод 2 6" xfId="5768"/>
    <cellStyle name="Вывод 2 6 2" xfId="5769"/>
    <cellStyle name="Вывод 2 6 2 2" xfId="5770"/>
    <cellStyle name="Вывод 2 6 2 2 2" xfId="5771"/>
    <cellStyle name="Вывод 2 6 3" xfId="5772"/>
    <cellStyle name="Вывод 2 6 4" xfId="5773"/>
    <cellStyle name="Вывод 2 6 4 2" xfId="5774"/>
    <cellStyle name="Вывод 2 6 5" xfId="5775"/>
    <cellStyle name="Вывод 2 7" xfId="5776"/>
    <cellStyle name="Вывод 2 7 2" xfId="5777"/>
    <cellStyle name="Вывод 2 7 2 2" xfId="5778"/>
    <cellStyle name="Вывод 2 7 2 2 2" xfId="5779"/>
    <cellStyle name="Вывод 2 7 3" xfId="5780"/>
    <cellStyle name="Вывод 2 7 4" xfId="5781"/>
    <cellStyle name="Вывод 2 7 4 2" xfId="5782"/>
    <cellStyle name="Вывод 2 8" xfId="5783"/>
    <cellStyle name="Вывод 2 8 2" xfId="5784"/>
    <cellStyle name="Вывод 2 8 2 2" xfId="5785"/>
    <cellStyle name="Вывод 2 8 2 2 2" xfId="5786"/>
    <cellStyle name="Вывод 2 8 3" xfId="5787"/>
    <cellStyle name="Вывод 2 8 4" xfId="5788"/>
    <cellStyle name="Вывод 2 8 4 2" xfId="5789"/>
    <cellStyle name="Вывод 2 9" xfId="5790"/>
    <cellStyle name="Вывод 2 9 2" xfId="5791"/>
    <cellStyle name="Вывод 2 9 2 2" xfId="5792"/>
    <cellStyle name="Вывод 2 9 2 2 2" xfId="5793"/>
    <cellStyle name="Вывод 2 9 3" xfId="5794"/>
    <cellStyle name="Вывод 2 9 4" xfId="5795"/>
    <cellStyle name="Вывод 2 9 4 2" xfId="5796"/>
    <cellStyle name="Вывод 3" xfId="5797"/>
    <cellStyle name="Вывод 3 2" xfId="5798"/>
    <cellStyle name="Вывод 3 2 2" xfId="5799"/>
    <cellStyle name="Вывод 3 2 2 2" xfId="5800"/>
    <cellStyle name="Вывод 3 2 2 2 2" xfId="5801"/>
    <cellStyle name="Вывод 3 2 2 2 2 2" xfId="5802"/>
    <cellStyle name="Вывод 3 2 2 3" xfId="5803"/>
    <cellStyle name="Вывод 3 2 2 4" xfId="5804"/>
    <cellStyle name="Вывод 3 2 2 4 2" xfId="5805"/>
    <cellStyle name="Вывод 3 2 3" xfId="5806"/>
    <cellStyle name="Вывод 3 2 3 2" xfId="5807"/>
    <cellStyle name="Вывод 3 2 3 2 2" xfId="5808"/>
    <cellStyle name="Вывод 3 2 4" xfId="5809"/>
    <cellStyle name="Вывод 3 2 5" xfId="5810"/>
    <cellStyle name="Вывод 3 2 5 2" xfId="5811"/>
    <cellStyle name="Вывод 3 2 6" xfId="5812"/>
    <cellStyle name="Вывод 3 3" xfId="5813"/>
    <cellStyle name="Вывод 3 3 2" xfId="5814"/>
    <cellStyle name="Вывод 3 3 2 2" xfId="5815"/>
    <cellStyle name="Вывод 3 3 2 2 2" xfId="5816"/>
    <cellStyle name="Вывод 3 3 2 2 2 2" xfId="5817"/>
    <cellStyle name="Вывод 3 3 2 3" xfId="5818"/>
    <cellStyle name="Вывод 3 3 2 4" xfId="5819"/>
    <cellStyle name="Вывод 3 3 2 4 2" xfId="5820"/>
    <cellStyle name="Вывод 3 3 3" xfId="5821"/>
    <cellStyle name="Вывод 3 3 3 2" xfId="5822"/>
    <cellStyle name="Вывод 3 3 3 2 2" xfId="5823"/>
    <cellStyle name="Вывод 3 3 4" xfId="5824"/>
    <cellStyle name="Вывод 3 3 5" xfId="5825"/>
    <cellStyle name="Вывод 3 3 5 2" xfId="5826"/>
    <cellStyle name="Вывод 3 4" xfId="5827"/>
    <cellStyle name="Вывод 3 4 2" xfId="5828"/>
    <cellStyle name="Вывод 3 4 2 2" xfId="5829"/>
    <cellStyle name="Вывод 3 4 3" xfId="5830"/>
    <cellStyle name="Вывод 3 5" xfId="5831"/>
    <cellStyle name="Вывод 3 5 2" xfId="5832"/>
    <cellStyle name="Вывод 3 5 2 2" xfId="5833"/>
    <cellStyle name="Вывод 3 5 3" xfId="5834"/>
    <cellStyle name="Вывод 3 6" xfId="5835"/>
    <cellStyle name="Вывод 3 7" xfId="5836"/>
    <cellStyle name="Вывод 3 7 2" xfId="5837"/>
    <cellStyle name="Вывод 3 8" xfId="5838"/>
    <cellStyle name="Вывод 4" xfId="5839"/>
    <cellStyle name="Вывод 4 2" xfId="5840"/>
    <cellStyle name="Вывод 4 2 2" xfId="5841"/>
    <cellStyle name="Вывод 4 2 2 2" xfId="5842"/>
    <cellStyle name="Вывод 4 2 2 2 2" xfId="5843"/>
    <cellStyle name="Вывод 4 2 3" xfId="5844"/>
    <cellStyle name="Вывод 4 2 4" xfId="5845"/>
    <cellStyle name="Вывод 4 2 4 2" xfId="5846"/>
    <cellStyle name="Вывод 4 2 5" xfId="5847"/>
    <cellStyle name="Вывод 4 3" xfId="5848"/>
    <cellStyle name="Вывод 4 3 2" xfId="5849"/>
    <cellStyle name="Вывод 4 3 2 2" xfId="5850"/>
    <cellStyle name="Вывод 4 4" xfId="5851"/>
    <cellStyle name="Вывод 4 5" xfId="5852"/>
    <cellStyle name="Вывод 4 5 2" xfId="5853"/>
    <cellStyle name="Вывод 5" xfId="5854"/>
    <cellStyle name="Вывод 5 2" xfId="5855"/>
    <cellStyle name="Вывод 5 2 2" xfId="5856"/>
    <cellStyle name="Вывод 5 2 2 2" xfId="5857"/>
    <cellStyle name="Вывод 5 2 2 2 2" xfId="5858"/>
    <cellStyle name="Вывод 5 2 3" xfId="5859"/>
    <cellStyle name="Вывод 5 2 4" xfId="5860"/>
    <cellStyle name="Вывод 5 2 4 2" xfId="5861"/>
    <cellStyle name="Вывод 5 2 5" xfId="5862"/>
    <cellStyle name="Вывод 5 3" xfId="5863"/>
    <cellStyle name="Вывод 5 3 2" xfId="5864"/>
    <cellStyle name="Вывод 5 3 2 2" xfId="5865"/>
    <cellStyle name="Вывод 5 4" xfId="5866"/>
    <cellStyle name="Вывод 5 5" xfId="5867"/>
    <cellStyle name="Вывод 5 5 2" xfId="5868"/>
    <cellStyle name="Вывод 6" xfId="5869"/>
    <cellStyle name="Вывод 6 2" xfId="5870"/>
    <cellStyle name="Вывод 6 2 2" xfId="5871"/>
    <cellStyle name="Вывод 6 2 2 2" xfId="5872"/>
    <cellStyle name="Вывод 6 3" xfId="5873"/>
    <cellStyle name="Вывод 6 4" xfId="5874"/>
    <cellStyle name="Вывод 6 4 2" xfId="5875"/>
    <cellStyle name="Вывод 7" xfId="5876"/>
    <cellStyle name="Вывод 7 2" xfId="5877"/>
    <cellStyle name="Вывод 7 2 2" xfId="5878"/>
    <cellStyle name="Вывод 7 2 2 2" xfId="5879"/>
    <cellStyle name="Вывод 7 3" xfId="5880"/>
    <cellStyle name="Вывод 7 4" xfId="5881"/>
    <cellStyle name="Вывод 7 4 2" xfId="5882"/>
    <cellStyle name="Вывод 8" xfId="5883"/>
    <cellStyle name="Вывод 8 2" xfId="5884"/>
    <cellStyle name="Вывод 8 2 2" xfId="5885"/>
    <cellStyle name="Вывод 8 2 2 2" xfId="5886"/>
    <cellStyle name="Вывод 8 3" xfId="5887"/>
    <cellStyle name="Вывод 8 4" xfId="5888"/>
    <cellStyle name="Вывод 8 4 2" xfId="5889"/>
    <cellStyle name="Вывод 9" xfId="5890"/>
    <cellStyle name="Вывод 9 2" xfId="5891"/>
    <cellStyle name="Вывод 9 2 2" xfId="5892"/>
    <cellStyle name="Вывод 9 2 2 2" xfId="5893"/>
    <cellStyle name="Вывод 9 3" xfId="5894"/>
    <cellStyle name="Вывод 9 4" xfId="5895"/>
    <cellStyle name="Вывод 9 4 2" xfId="5896"/>
    <cellStyle name="Выворотка" xfId="5897"/>
    <cellStyle name="Выворотка 2" xfId="5898"/>
    <cellStyle name="Вычисление 10" xfId="5899"/>
    <cellStyle name="Вычисление 10 2" xfId="5900"/>
    <cellStyle name="Вычисление 10 3" xfId="5901"/>
    <cellStyle name="Вычисление 10 3 2" xfId="5902"/>
    <cellStyle name="Вычисление 11" xfId="5903"/>
    <cellStyle name="Вычисление 11 2" xfId="5904"/>
    <cellStyle name="Вычисление 11 3" xfId="5905"/>
    <cellStyle name="Вычисление 11 3 2" xfId="5906"/>
    <cellStyle name="Вычисление 12" xfId="5907"/>
    <cellStyle name="Вычисление 12 2" xfId="5908"/>
    <cellStyle name="Вычисление 12 3" xfId="5909"/>
    <cellStyle name="Вычисление 12 3 2" xfId="5910"/>
    <cellStyle name="Вычисление 13" xfId="5911"/>
    <cellStyle name="Вычисление 13 2" xfId="5912"/>
    <cellStyle name="Вычисление 13 3" xfId="5913"/>
    <cellStyle name="Вычисление 13 3 2" xfId="5914"/>
    <cellStyle name="Вычисление 14" xfId="5915"/>
    <cellStyle name="Вычисление 14 2" xfId="5916"/>
    <cellStyle name="Вычисление 14 3" xfId="5917"/>
    <cellStyle name="Вычисление 14 3 2" xfId="5918"/>
    <cellStyle name="Вычисление 15" xfId="5919"/>
    <cellStyle name="Вычисление 15 2" xfId="5920"/>
    <cellStyle name="Вычисление 15 3" xfId="5921"/>
    <cellStyle name="Вычисление 15 3 2" xfId="5922"/>
    <cellStyle name="Вычисление 16" xfId="5923"/>
    <cellStyle name="Вычисление 16 2" xfId="5924"/>
    <cellStyle name="Вычисление 16 2 2" xfId="5925"/>
    <cellStyle name="Вычисление 17" xfId="5926"/>
    <cellStyle name="Вычисление 17 2" xfId="5927"/>
    <cellStyle name="Вычисление 17 2 2" xfId="5928"/>
    <cellStyle name="Вычисление 17 3" xfId="5929"/>
    <cellStyle name="Вычисление 18" xfId="5930"/>
    <cellStyle name="Вычисление 18 2" xfId="5931"/>
    <cellStyle name="Вычисление 18 2 2" xfId="5932"/>
    <cellStyle name="Вычисление 18 3" xfId="5933"/>
    <cellStyle name="Вычисление 2" xfId="5934"/>
    <cellStyle name="Вычисление 2 10" xfId="5935"/>
    <cellStyle name="Вычисление 2 10 2" xfId="5936"/>
    <cellStyle name="Вычисление 2 10 3" xfId="5937"/>
    <cellStyle name="Вычисление 2 10 3 2" xfId="5938"/>
    <cellStyle name="Вычисление 2 11" xfId="5939"/>
    <cellStyle name="Вычисление 2 11 2" xfId="5940"/>
    <cellStyle name="Вычисление 2 11 3" xfId="5941"/>
    <cellStyle name="Вычисление 2 11 3 2" xfId="5942"/>
    <cellStyle name="Вычисление 2 12" xfId="5943"/>
    <cellStyle name="Вычисление 2 12 2" xfId="5944"/>
    <cellStyle name="Вычисление 2 12 3" xfId="5945"/>
    <cellStyle name="Вычисление 2 12 3 2" xfId="5946"/>
    <cellStyle name="Вычисление 2 13" xfId="5947"/>
    <cellStyle name="Вычисление 2 13 2" xfId="5948"/>
    <cellStyle name="Вычисление 2 13 2 2" xfId="5949"/>
    <cellStyle name="Вычисление 2 14" xfId="5950"/>
    <cellStyle name="Вычисление 2 14 2" xfId="5951"/>
    <cellStyle name="Вычисление 2 14 2 2" xfId="5952"/>
    <cellStyle name="Вычисление 2 14 3" xfId="5953"/>
    <cellStyle name="Вычисление 2 15" xfId="5954"/>
    <cellStyle name="Вычисление 2 15 2" xfId="5955"/>
    <cellStyle name="Вычисление 2 16" xfId="5956"/>
    <cellStyle name="Вычисление 2 2" xfId="5957"/>
    <cellStyle name="Вычисление 2 2 2" xfId="5958"/>
    <cellStyle name="Вычисление 2 2 2 2" xfId="5959"/>
    <cellStyle name="Вычисление 2 2 2 3" xfId="5960"/>
    <cellStyle name="Вычисление 2 2 2 3 2" xfId="5961"/>
    <cellStyle name="Вычисление 2 2 2 4" xfId="5962"/>
    <cellStyle name="Вычисление 2 2 3" xfId="5963"/>
    <cellStyle name="Вычисление 2 2 4" xfId="5964"/>
    <cellStyle name="Вычисление 2 2 4 2" xfId="5965"/>
    <cellStyle name="Вычисление 2 3" xfId="5966"/>
    <cellStyle name="Вычисление 2 3 2" xfId="5967"/>
    <cellStyle name="Вычисление 2 3 2 2" xfId="5968"/>
    <cellStyle name="Вычисление 2 3 2 3" xfId="5969"/>
    <cellStyle name="Вычисление 2 3 2 3 2" xfId="5970"/>
    <cellStyle name="Вычисление 2 3 2 4" xfId="5971"/>
    <cellStyle name="Вычисление 2 3 3" xfId="5972"/>
    <cellStyle name="Вычисление 2 3 4" xfId="5973"/>
    <cellStyle name="Вычисление 2 3 4 2" xfId="5974"/>
    <cellStyle name="Вычисление 2 4" xfId="5975"/>
    <cellStyle name="Вычисление 2 4 2" xfId="5976"/>
    <cellStyle name="Вычисление 2 4 3" xfId="5977"/>
    <cellStyle name="Вычисление 2 4 3 2" xfId="5978"/>
    <cellStyle name="Вычисление 2 5" xfId="5979"/>
    <cellStyle name="Вычисление 2 5 2" xfId="5980"/>
    <cellStyle name="Вычисление 2 5 3" xfId="5981"/>
    <cellStyle name="Вычисление 2 5 3 2" xfId="5982"/>
    <cellStyle name="Вычисление 2 5 4" xfId="5983"/>
    <cellStyle name="Вычисление 2 6" xfId="5984"/>
    <cellStyle name="Вычисление 2 6 2" xfId="5985"/>
    <cellStyle name="Вычисление 2 6 3" xfId="5986"/>
    <cellStyle name="Вычисление 2 6 3 2" xfId="5987"/>
    <cellStyle name="Вычисление 2 6 4" xfId="5988"/>
    <cellStyle name="Вычисление 2 7" xfId="5989"/>
    <cellStyle name="Вычисление 2 7 2" xfId="5990"/>
    <cellStyle name="Вычисление 2 7 3" xfId="5991"/>
    <cellStyle name="Вычисление 2 7 3 2" xfId="5992"/>
    <cellStyle name="Вычисление 2 8" xfId="5993"/>
    <cellStyle name="Вычисление 2 8 2" xfId="5994"/>
    <cellStyle name="Вычисление 2 8 3" xfId="5995"/>
    <cellStyle name="Вычисление 2 8 3 2" xfId="5996"/>
    <cellStyle name="Вычисление 2 9" xfId="5997"/>
    <cellStyle name="Вычисление 2 9 2" xfId="5998"/>
    <cellStyle name="Вычисление 2 9 3" xfId="5999"/>
    <cellStyle name="Вычисление 2 9 3 2" xfId="6000"/>
    <cellStyle name="Вычисление 3" xfId="6001"/>
    <cellStyle name="Вычисление 3 2" xfId="6002"/>
    <cellStyle name="Вычисление 3 2 2" xfId="6003"/>
    <cellStyle name="Вычисление 3 2 2 2" xfId="6004"/>
    <cellStyle name="Вычисление 3 2 2 3" xfId="6005"/>
    <cellStyle name="Вычисление 3 2 2 3 2" xfId="6006"/>
    <cellStyle name="Вычисление 3 2 3" xfId="6007"/>
    <cellStyle name="Вычисление 3 2 4" xfId="6008"/>
    <cellStyle name="Вычисление 3 2 4 2" xfId="6009"/>
    <cellStyle name="Вычисление 3 2 5" xfId="6010"/>
    <cellStyle name="Вычисление 3 3" xfId="6011"/>
    <cellStyle name="Вычисление 3 3 2" xfId="6012"/>
    <cellStyle name="Вычисление 3 3 2 2" xfId="6013"/>
    <cellStyle name="Вычисление 3 3 2 3" xfId="6014"/>
    <cellStyle name="Вычисление 3 3 2 3 2" xfId="6015"/>
    <cellStyle name="Вычисление 3 3 3" xfId="6016"/>
    <cellStyle name="Вычисление 3 3 4" xfId="6017"/>
    <cellStyle name="Вычисление 3 3 4 2" xfId="6018"/>
    <cellStyle name="Вычисление 3 3 5" xfId="6019"/>
    <cellStyle name="Вычисление 3 4" xfId="6020"/>
    <cellStyle name="Вычисление 3 4 2" xfId="6021"/>
    <cellStyle name="Вычисление 3 4 2 2" xfId="6022"/>
    <cellStyle name="Вычисление 3 4 3" xfId="6023"/>
    <cellStyle name="Вычисление 3 5" xfId="6024"/>
    <cellStyle name="Вычисление 3 5 2" xfId="6025"/>
    <cellStyle name="Вычисление 3 5 2 2" xfId="6026"/>
    <cellStyle name="Вычисление 3 5 3" xfId="6027"/>
    <cellStyle name="Вычисление 3 6" xfId="6028"/>
    <cellStyle name="Вычисление 3 7" xfId="6029"/>
    <cellStyle name="Вычисление 3 7 2" xfId="6030"/>
    <cellStyle name="Вычисление 3 8" xfId="6031"/>
    <cellStyle name="Вычисление 4" xfId="6032"/>
    <cellStyle name="Вычисление 4 2" xfId="6033"/>
    <cellStyle name="Вычисление 4 2 2" xfId="6034"/>
    <cellStyle name="Вычисление 4 2 2 2" xfId="6035"/>
    <cellStyle name="Вычисление 4 2 3" xfId="6036"/>
    <cellStyle name="Вычисление 4 2 3 2" xfId="6037"/>
    <cellStyle name="Вычисление 4 2 4" xfId="6038"/>
    <cellStyle name="Вычисление 4 3" xfId="6039"/>
    <cellStyle name="Вычисление 4 3 2" xfId="6040"/>
    <cellStyle name="Вычисление 4 4" xfId="6041"/>
    <cellStyle name="Вычисление 4 4 2" xfId="6042"/>
    <cellStyle name="Вычисление 5" xfId="6043"/>
    <cellStyle name="Вычисление 5 2" xfId="6044"/>
    <cellStyle name="Вычисление 5 2 2" xfId="6045"/>
    <cellStyle name="Вычисление 5 2 3" xfId="6046"/>
    <cellStyle name="Вычисление 5 2 3 2" xfId="6047"/>
    <cellStyle name="Вычисление 5 2 4" xfId="6048"/>
    <cellStyle name="Вычисление 5 3" xfId="6049"/>
    <cellStyle name="Вычисление 5 4" xfId="6050"/>
    <cellStyle name="Вычисление 5 4 2" xfId="6051"/>
    <cellStyle name="Вычисление 6" xfId="6052"/>
    <cellStyle name="Вычисление 6 2" xfId="6053"/>
    <cellStyle name="Вычисление 6 2 2" xfId="6054"/>
    <cellStyle name="Вычисление 6 3" xfId="6055"/>
    <cellStyle name="Вычисление 6 3 2" xfId="6056"/>
    <cellStyle name="Вычисление 7" xfId="6057"/>
    <cellStyle name="Вычисление 7 2" xfId="6058"/>
    <cellStyle name="Вычисление 7 3" xfId="6059"/>
    <cellStyle name="Вычисление 7 3 2" xfId="6060"/>
    <cellStyle name="Вычисление 7 4" xfId="6061"/>
    <cellStyle name="Вычисление 8" xfId="6062"/>
    <cellStyle name="Вычисление 8 2" xfId="6063"/>
    <cellStyle name="Вычисление 8 3" xfId="6064"/>
    <cellStyle name="Вычисление 8 3 2" xfId="6065"/>
    <cellStyle name="Вычисление 9" xfId="6066"/>
    <cellStyle name="Вычисление 9 2" xfId="6067"/>
    <cellStyle name="Вычисление 9 2 2" xfId="6068"/>
    <cellStyle name="Вычисление 9 3" xfId="6069"/>
    <cellStyle name="Вычисление 9 3 2" xfId="6070"/>
    <cellStyle name="Гиперссылка 10" xfId="6071"/>
    <cellStyle name="Гиперссылка 10 2" xfId="6072"/>
    <cellStyle name="Гиперссылка 10 3" xfId="6073"/>
    <cellStyle name="Гиперссылка 11" xfId="6074"/>
    <cellStyle name="Гиперссылка 11 2" xfId="6075"/>
    <cellStyle name="Гиперссылка 12" xfId="6076"/>
    <cellStyle name="Гиперссылка 13" xfId="6077"/>
    <cellStyle name="Гиперссылка 14" xfId="6078"/>
    <cellStyle name="Гиперссылка 15" xfId="6079"/>
    <cellStyle name="Гиперссылка 16" xfId="6080"/>
    <cellStyle name="Гиперссылка 17" xfId="6081"/>
    <cellStyle name="Гиперссылка 18" xfId="6082"/>
    <cellStyle name="Гиперссылка 19" xfId="6083"/>
    <cellStyle name="Гиперссылка 2" xfId="6084"/>
    <cellStyle name="Гиперссылка 2 2" xfId="6085"/>
    <cellStyle name="Гиперссылка 2 2 2" xfId="6086"/>
    <cellStyle name="Гиперссылка 2 2 3" xfId="6087"/>
    <cellStyle name="Гиперссылка 2 3" xfId="6088"/>
    <cellStyle name="Гиперссылка 2 4" xfId="6089"/>
    <cellStyle name="Гиперссылка 2 5" xfId="6090"/>
    <cellStyle name="Гиперссылка 2 6" xfId="6091"/>
    <cellStyle name="Гиперссылка 2 7" xfId="6092"/>
    <cellStyle name="Гиперссылка 2 8" xfId="6093"/>
    <cellStyle name="Гиперссылка 2 8 2" xfId="6094"/>
    <cellStyle name="Гиперссылка 2 8 3" xfId="6095"/>
    <cellStyle name="Гиперссылка 2 9" xfId="6096"/>
    <cellStyle name="Гиперссылка 20" xfId="6097"/>
    <cellStyle name="Гиперссылка 21" xfId="6098"/>
    <cellStyle name="Гиперссылка 22" xfId="6099"/>
    <cellStyle name="Гиперссылка 23" xfId="6100"/>
    <cellStyle name="Гиперссылка 26" xfId="6101"/>
    <cellStyle name="Гиперссылка 27" xfId="6102"/>
    <cellStyle name="Гиперссылка 28" xfId="6103"/>
    <cellStyle name="Гиперссылка 29" xfId="6104"/>
    <cellStyle name="Гиперссылка 3" xfId="6105"/>
    <cellStyle name="Гиперссылка 3 2" xfId="6106"/>
    <cellStyle name="Гиперссылка 3 3" xfId="6107"/>
    <cellStyle name="Гиперссылка 30" xfId="6108"/>
    <cellStyle name="Гиперссылка 31" xfId="6109"/>
    <cellStyle name="Гиперссылка 32" xfId="6110"/>
    <cellStyle name="Гиперссылка 33" xfId="6111"/>
    <cellStyle name="Гиперссылка 34" xfId="6112"/>
    <cellStyle name="Гиперссылка 4" xfId="6113"/>
    <cellStyle name="Гиперссылка 4 10" xfId="6114"/>
    <cellStyle name="Гиперссылка 4 11" xfId="6115"/>
    <cellStyle name="Гиперссылка 4 12" xfId="6116"/>
    <cellStyle name="Гиперссылка 4 13" xfId="6117"/>
    <cellStyle name="Гиперссылка 4 2" xfId="6118"/>
    <cellStyle name="Гиперссылка 4 3" xfId="6119"/>
    <cellStyle name="Гиперссылка 4 4" xfId="6120"/>
    <cellStyle name="Гиперссылка 4 5" xfId="6121"/>
    <cellStyle name="Гиперссылка 4 6" xfId="6122"/>
    <cellStyle name="Гиперссылка 4 7" xfId="6123"/>
    <cellStyle name="Гиперссылка 4 8" xfId="6124"/>
    <cellStyle name="Гиперссылка 4 9" xfId="6125"/>
    <cellStyle name="Гиперссылка 5" xfId="6126"/>
    <cellStyle name="Гиперссылка 5 2" xfId="6127"/>
    <cellStyle name="Гиперссылка 5 3" xfId="6128"/>
    <cellStyle name="Гиперссылка 5 4" xfId="6129"/>
    <cellStyle name="Гиперссылка 5 5" xfId="6130"/>
    <cellStyle name="Гиперссылка 5 6" xfId="6131"/>
    <cellStyle name="Гиперссылка 5 7" xfId="6132"/>
    <cellStyle name="Гиперссылка 5 8" xfId="6133"/>
    <cellStyle name="Гиперссылка 5 9" xfId="6134"/>
    <cellStyle name="Гиперссылка 6" xfId="6135"/>
    <cellStyle name="Гиперссылка 6 2" xfId="6136"/>
    <cellStyle name="Гиперссылка 6 2 2" xfId="6137"/>
    <cellStyle name="Гиперссылка 6 2 3" xfId="6138"/>
    <cellStyle name="Гиперссылка 6 3" xfId="6139"/>
    <cellStyle name="Гиперссылка 6 3 2" xfId="6140"/>
    <cellStyle name="Гиперссылка 6 4" xfId="6141"/>
    <cellStyle name="Гиперссылка 6_Лист3" xfId="6142"/>
    <cellStyle name="Гиперссылка 7" xfId="6143"/>
    <cellStyle name="Гиперссылка 8" xfId="6144"/>
    <cellStyle name="Гиперссылка 8 2" xfId="6145"/>
    <cellStyle name="Гиперссылка 8 3" xfId="6146"/>
    <cellStyle name="Гиперссылка 9" xfId="6147"/>
    <cellStyle name="Гиперссылка 9 2" xfId="6148"/>
    <cellStyle name="Гиперссылка 9 2 2" xfId="6149"/>
    <cellStyle name="Гиперссылка 9 3" xfId="6150"/>
    <cellStyle name="Группа статей" xfId="6151"/>
    <cellStyle name="Данные" xfId="6152"/>
    <cellStyle name="Данные 2" xfId="6153"/>
    <cellStyle name="Данные 3" xfId="6154"/>
    <cellStyle name="Денежный [0] 2" xfId="6155"/>
    <cellStyle name="Денежный [0] 3" xfId="6156"/>
    <cellStyle name="Денежный 10" xfId="6157"/>
    <cellStyle name="Денежный 10 2" xfId="6158"/>
    <cellStyle name="Денежный 10 2 2" xfId="6159"/>
    <cellStyle name="Денежный 10 2 2 2" xfId="6160"/>
    <cellStyle name="Денежный 10 2 3" xfId="6161"/>
    <cellStyle name="Денежный 10 3" xfId="6162"/>
    <cellStyle name="Денежный 10 3 2" xfId="6163"/>
    <cellStyle name="Денежный 10 4" xfId="6164"/>
    <cellStyle name="Денежный 11" xfId="6165"/>
    <cellStyle name="Денежный 11 2" xfId="6166"/>
    <cellStyle name="Денежный 11 2 2" xfId="6167"/>
    <cellStyle name="Денежный 11 2 2 2" xfId="6168"/>
    <cellStyle name="Денежный 11 2 3" xfId="6169"/>
    <cellStyle name="Денежный 11 3" xfId="6170"/>
    <cellStyle name="Денежный 11 3 2" xfId="6171"/>
    <cellStyle name="Денежный 11 4" xfId="6172"/>
    <cellStyle name="Денежный 12" xfId="6173"/>
    <cellStyle name="Денежный 12 2" xfId="6174"/>
    <cellStyle name="Денежный 12 2 2" xfId="6175"/>
    <cellStyle name="Денежный 12 2 2 2" xfId="6176"/>
    <cellStyle name="Денежный 12 2 3" xfId="6177"/>
    <cellStyle name="Денежный 12 3" xfId="6178"/>
    <cellStyle name="Денежный 12 3 2" xfId="6179"/>
    <cellStyle name="Денежный 12 4" xfId="6180"/>
    <cellStyle name="Денежный 13" xfId="6181"/>
    <cellStyle name="Денежный 13 2" xfId="6182"/>
    <cellStyle name="Денежный 13 2 2" xfId="6183"/>
    <cellStyle name="Денежный 13 2 2 2" xfId="6184"/>
    <cellStyle name="Денежный 13 2 3" xfId="6185"/>
    <cellStyle name="Денежный 13 3" xfId="6186"/>
    <cellStyle name="Денежный 13 3 2" xfId="6187"/>
    <cellStyle name="Денежный 13 4" xfId="6188"/>
    <cellStyle name="Денежный 13 5" xfId="6189"/>
    <cellStyle name="Денежный 13 6" xfId="6190"/>
    <cellStyle name="Денежный 13 7" xfId="6191"/>
    <cellStyle name="Денежный 14" xfId="6192"/>
    <cellStyle name="Денежный 14 2" xfId="6193"/>
    <cellStyle name="Денежный 14 2 2" xfId="6194"/>
    <cellStyle name="Денежный 14 2 2 2" xfId="6195"/>
    <cellStyle name="Денежный 14 2 3" xfId="6196"/>
    <cellStyle name="Денежный 14 3" xfId="6197"/>
    <cellStyle name="Денежный 14 3 2" xfId="6198"/>
    <cellStyle name="Денежный 14 4" xfId="6199"/>
    <cellStyle name="Денежный 15" xfId="6200"/>
    <cellStyle name="Денежный 15 2" xfId="6201"/>
    <cellStyle name="Денежный 15 2 2" xfId="6202"/>
    <cellStyle name="Денежный 15 2 2 2" xfId="6203"/>
    <cellStyle name="Денежный 15 2 3" xfId="6204"/>
    <cellStyle name="Денежный 15 3" xfId="6205"/>
    <cellStyle name="Денежный 15 3 2" xfId="6206"/>
    <cellStyle name="Денежный 15 4" xfId="6207"/>
    <cellStyle name="Денежный 16" xfId="6208"/>
    <cellStyle name="Денежный 16 2" xfId="6209"/>
    <cellStyle name="Денежный 16 2 2" xfId="6210"/>
    <cellStyle name="Денежный 16 2 2 2" xfId="6211"/>
    <cellStyle name="Денежный 16 2 3" xfId="6212"/>
    <cellStyle name="Денежный 16 3" xfId="6213"/>
    <cellStyle name="Денежный 16 3 2" xfId="6214"/>
    <cellStyle name="Денежный 16 4" xfId="6215"/>
    <cellStyle name="Денежный 17" xfId="6216"/>
    <cellStyle name="Денежный 17 2" xfId="6217"/>
    <cellStyle name="Денежный 18" xfId="6218"/>
    <cellStyle name="Денежный 18 2" xfId="6219"/>
    <cellStyle name="Денежный 19" xfId="6220"/>
    <cellStyle name="Денежный 19 2" xfId="6221"/>
    <cellStyle name="Денежный 2" xfId="6222"/>
    <cellStyle name="Денежный 2 2" xfId="6223"/>
    <cellStyle name="Денежный 2 2 2" xfId="6224"/>
    <cellStyle name="Денежный 2 2 2 2" xfId="6225"/>
    <cellStyle name="Денежный 2 2 2 2 2" xfId="6226"/>
    <cellStyle name="Денежный 2 2 2 3" xfId="6227"/>
    <cellStyle name="Денежный 2 2 2 3 2" xfId="6228"/>
    <cellStyle name="Денежный 2 2 2 4" xfId="6229"/>
    <cellStyle name="Денежный 2 2 3" xfId="6230"/>
    <cellStyle name="Денежный 2 2 3 2" xfId="6231"/>
    <cellStyle name="Денежный 2 2 3 2 2" xfId="6232"/>
    <cellStyle name="Денежный 2 2 3 2 2 2" xfId="6233"/>
    <cellStyle name="Денежный 2 2 3 2 3" xfId="6234"/>
    <cellStyle name="Денежный 2 2 3 3" xfId="6235"/>
    <cellStyle name="Денежный 2 2 3 3 2" xfId="6236"/>
    <cellStyle name="Денежный 2 2 3 3 2 2" xfId="6237"/>
    <cellStyle name="Денежный 2 2 3 3 3" xfId="6238"/>
    <cellStyle name="Денежный 2 2 3 4" xfId="6239"/>
    <cellStyle name="Денежный 2 2 3 4 2" xfId="6240"/>
    <cellStyle name="Денежный 2 2 3 5" xfId="6241"/>
    <cellStyle name="Денежный 2 2 3 5 2" xfId="6242"/>
    <cellStyle name="Денежный 2 2 3 6" xfId="6243"/>
    <cellStyle name="Денежный 2 2 4" xfId="6244"/>
    <cellStyle name="Денежный 2 2 4 2" xfId="6245"/>
    <cellStyle name="Денежный 2 2 4 2 2" xfId="6246"/>
    <cellStyle name="Денежный 2 2 4 3" xfId="6247"/>
    <cellStyle name="Денежный 2 2 5" xfId="6248"/>
    <cellStyle name="Денежный 2 2 5 2" xfId="6249"/>
    <cellStyle name="Денежный 2 2 6" xfId="6250"/>
    <cellStyle name="Денежный 2 3" xfId="6251"/>
    <cellStyle name="Денежный 2 3 2" xfId="6252"/>
    <cellStyle name="Денежный 2 3 2 2" xfId="6253"/>
    <cellStyle name="Денежный 2 3 2 2 2" xfId="6254"/>
    <cellStyle name="Денежный 2 3 2 3" xfId="6255"/>
    <cellStyle name="Денежный 2 3 2 3 2" xfId="6256"/>
    <cellStyle name="Денежный 2 3 2 4" xfId="6257"/>
    <cellStyle name="Денежный 2 3 3" xfId="6258"/>
    <cellStyle name="Денежный 2 3 3 2" xfId="6259"/>
    <cellStyle name="Денежный 2 3 3 2 2" xfId="6260"/>
    <cellStyle name="Денежный 2 3 3 2 2 2" xfId="6261"/>
    <cellStyle name="Денежный 2 3 3 2 3" xfId="6262"/>
    <cellStyle name="Денежный 2 3 3 3" xfId="6263"/>
    <cellStyle name="Денежный 2 3 3 3 2" xfId="6264"/>
    <cellStyle name="Денежный 2 3 3 3 2 2" xfId="6265"/>
    <cellStyle name="Денежный 2 3 3 3 3" xfId="6266"/>
    <cellStyle name="Денежный 2 3 3 4" xfId="6267"/>
    <cellStyle name="Денежный 2 3 3 4 2" xfId="6268"/>
    <cellStyle name="Денежный 2 3 3 5" xfId="6269"/>
    <cellStyle name="Денежный 2 3 3 5 2" xfId="6270"/>
    <cellStyle name="Денежный 2 3 3 6" xfId="6271"/>
    <cellStyle name="Денежный 2 3 4" xfId="6272"/>
    <cellStyle name="Денежный 2 3 4 2" xfId="6273"/>
    <cellStyle name="Денежный 2 3 5" xfId="6274"/>
    <cellStyle name="Денежный 2 3 5 2" xfId="6275"/>
    <cellStyle name="Денежный 2 3 6" xfId="6276"/>
    <cellStyle name="Денежный 2 4" xfId="6277"/>
    <cellStyle name="Денежный 2 5" xfId="6278"/>
    <cellStyle name="Денежный 2 6" xfId="6279"/>
    <cellStyle name="Денежный 20" xfId="6280"/>
    <cellStyle name="Денежный 21" xfId="6281"/>
    <cellStyle name="Денежный 22" xfId="6282"/>
    <cellStyle name="Денежный 23" xfId="6283"/>
    <cellStyle name="Денежный 24" xfId="6284"/>
    <cellStyle name="Денежный 25" xfId="6285"/>
    <cellStyle name="Денежный 26" xfId="6286"/>
    <cellStyle name="Денежный 27" xfId="6287"/>
    <cellStyle name="Денежный 28" xfId="6288"/>
    <cellStyle name="Денежный 29" xfId="6289"/>
    <cellStyle name="Денежный 29 2" xfId="6290"/>
    <cellStyle name="Денежный 3" xfId="6291"/>
    <cellStyle name="Денежный 3 2" xfId="6292"/>
    <cellStyle name="Денежный 3 2 2" xfId="6293"/>
    <cellStyle name="Денежный 3 2 2 2" xfId="6294"/>
    <cellStyle name="Денежный 3 2 3" xfId="6295"/>
    <cellStyle name="Денежный 3 3" xfId="6296"/>
    <cellStyle name="Денежный 3 3 2" xfId="6297"/>
    <cellStyle name="Денежный 3 3 2 2" xfId="6298"/>
    <cellStyle name="Денежный 3 3 2 2 2" xfId="6299"/>
    <cellStyle name="Денежный 3 3 2 3" xfId="6300"/>
    <cellStyle name="Денежный 3 3 3" xfId="6301"/>
    <cellStyle name="Денежный 3 3 3 2" xfId="6302"/>
    <cellStyle name="Денежный 3 3 3 2 2" xfId="6303"/>
    <cellStyle name="Денежный 3 3 3 3" xfId="6304"/>
    <cellStyle name="Денежный 3 3 4" xfId="6305"/>
    <cellStyle name="Денежный 3 3 4 2" xfId="6306"/>
    <cellStyle name="Денежный 3 3 5" xfId="6307"/>
    <cellStyle name="Денежный 3 3 5 2" xfId="6308"/>
    <cellStyle name="Денежный 3 3 6" xfId="6309"/>
    <cellStyle name="Денежный 3 4" xfId="6310"/>
    <cellStyle name="Денежный 3 4 2" xfId="6311"/>
    <cellStyle name="Денежный 3 4 3" xfId="6312"/>
    <cellStyle name="Денежный 3 5" xfId="6313"/>
    <cellStyle name="Денежный 3 5 2" xfId="6314"/>
    <cellStyle name="Денежный 3 6" xfId="6315"/>
    <cellStyle name="Денежный 3 6 2" xfId="6316"/>
    <cellStyle name="Денежный 30" xfId="6317"/>
    <cellStyle name="Денежный 30 2" xfId="6318"/>
    <cellStyle name="Денежный 31" xfId="6319"/>
    <cellStyle name="Денежный 31 2" xfId="6320"/>
    <cellStyle name="Денежный 32" xfId="6321"/>
    <cellStyle name="Денежный 32 2" xfId="6322"/>
    <cellStyle name="Денежный 33" xfId="6323"/>
    <cellStyle name="Денежный 34" xfId="6324"/>
    <cellStyle name="Денежный 4" xfId="6325"/>
    <cellStyle name="Денежный 4 2" xfId="6326"/>
    <cellStyle name="Денежный 4 2 2" xfId="6327"/>
    <cellStyle name="Денежный 4 2 2 2" xfId="6328"/>
    <cellStyle name="Денежный 4 2 2 2 2" xfId="6329"/>
    <cellStyle name="Денежный 4 2 2 3" xfId="6330"/>
    <cellStyle name="Денежный 4 2 3" xfId="6331"/>
    <cellStyle name="Денежный 4 2 3 2" xfId="6332"/>
    <cellStyle name="Денежный 4 2 3 2 2" xfId="6333"/>
    <cellStyle name="Денежный 4 2 3 3" xfId="6334"/>
    <cellStyle name="Денежный 4 2 4" xfId="6335"/>
    <cellStyle name="Денежный 4 2 4 2" xfId="6336"/>
    <cellStyle name="Денежный 4 2 5" xfId="6337"/>
    <cellStyle name="Денежный 4 2 5 2" xfId="6338"/>
    <cellStyle name="Денежный 4 2 6" xfId="6339"/>
    <cellStyle name="Денежный 4 3" xfId="6340"/>
    <cellStyle name="Денежный 4 3 2" xfId="6341"/>
    <cellStyle name="Денежный 4 3 2 2" xfId="6342"/>
    <cellStyle name="Денежный 4 3 2 2 2" xfId="6343"/>
    <cellStyle name="Денежный 4 3 2 3" xfId="6344"/>
    <cellStyle name="Денежный 4 3 3" xfId="6345"/>
    <cellStyle name="Денежный 4 3 3 2" xfId="6346"/>
    <cellStyle name="Денежный 4 3 3 2 2" xfId="6347"/>
    <cellStyle name="Денежный 4 3 3 3" xfId="6348"/>
    <cellStyle name="Денежный 4 3 4" xfId="6349"/>
    <cellStyle name="Денежный 4 3 4 2" xfId="6350"/>
    <cellStyle name="Денежный 4 3 5" xfId="6351"/>
    <cellStyle name="Денежный 4 3 5 2" xfId="6352"/>
    <cellStyle name="Денежный 4 3 6" xfId="6353"/>
    <cellStyle name="Денежный 4 4" xfId="6354"/>
    <cellStyle name="Денежный 4 4 2" xfId="6355"/>
    <cellStyle name="Денежный 4 4 2 2" xfId="6356"/>
    <cellStyle name="Денежный 4 4 3" xfId="6357"/>
    <cellStyle name="Денежный 4 4 3 2" xfId="6358"/>
    <cellStyle name="Денежный 4 4 4" xfId="6359"/>
    <cellStyle name="Денежный 4 5" xfId="6360"/>
    <cellStyle name="Денежный 4 5 2" xfId="6361"/>
    <cellStyle name="Денежный 4 5 2 2" xfId="6362"/>
    <cellStyle name="Денежный 4 5 3" xfId="6363"/>
    <cellStyle name="Денежный 4 6" xfId="6364"/>
    <cellStyle name="Денежный 4 6 2" xfId="6365"/>
    <cellStyle name="Денежный 4 7" xfId="6366"/>
    <cellStyle name="Денежный 4 7 2" xfId="6367"/>
    <cellStyle name="Денежный 4 8" xfId="6368"/>
    <cellStyle name="Денежный 5" xfId="6369"/>
    <cellStyle name="Денежный 5 2" xfId="6370"/>
    <cellStyle name="Денежный 5 2 2" xfId="6371"/>
    <cellStyle name="Денежный 5 2 2 2" xfId="6372"/>
    <cellStyle name="Денежный 5 2 2 2 2" xfId="6373"/>
    <cellStyle name="Денежный 5 2 2 3" xfId="6374"/>
    <cellStyle name="Денежный 5 2 3" xfId="6375"/>
    <cellStyle name="Денежный 5 2 3 2" xfId="6376"/>
    <cellStyle name="Денежный 5 2 3 2 2" xfId="6377"/>
    <cellStyle name="Денежный 5 2 3 3" xfId="6378"/>
    <cellStyle name="Денежный 5 2 4" xfId="6379"/>
    <cellStyle name="Денежный 5 2 4 2" xfId="6380"/>
    <cellStyle name="Денежный 5 2 5" xfId="6381"/>
    <cellStyle name="Денежный 5 3" xfId="6382"/>
    <cellStyle name="Денежный 5 3 2" xfId="6383"/>
    <cellStyle name="Денежный 5 3 2 2" xfId="6384"/>
    <cellStyle name="Денежный 5 3 2 2 2" xfId="6385"/>
    <cellStyle name="Денежный 5 3 2 3" xfId="6386"/>
    <cellStyle name="Денежный 5 3 3" xfId="6387"/>
    <cellStyle name="Денежный 5 3 3 2" xfId="6388"/>
    <cellStyle name="Денежный 5 3 3 2 2" xfId="6389"/>
    <cellStyle name="Денежный 5 3 3 3" xfId="6390"/>
    <cellStyle name="Денежный 5 3 4" xfId="6391"/>
    <cellStyle name="Денежный 5 3 4 2" xfId="6392"/>
    <cellStyle name="Денежный 5 3 5" xfId="6393"/>
    <cellStyle name="Денежный 5 4" xfId="6394"/>
    <cellStyle name="Денежный 5 4 2" xfId="6395"/>
    <cellStyle name="Денежный 5 4 2 2" xfId="6396"/>
    <cellStyle name="Денежный 5 4 3" xfId="6397"/>
    <cellStyle name="Денежный 5 5" xfId="6398"/>
    <cellStyle name="Денежный 5 5 2" xfId="6399"/>
    <cellStyle name="Денежный 5 5 2 2" xfId="6400"/>
    <cellStyle name="Денежный 5 5 3" xfId="6401"/>
    <cellStyle name="Денежный 5 6" xfId="6402"/>
    <cellStyle name="Денежный 5 6 2" xfId="6403"/>
    <cellStyle name="Денежный 5 7" xfId="6404"/>
    <cellStyle name="Денежный 5 7 2" xfId="6405"/>
    <cellStyle name="Денежный 5 8" xfId="6406"/>
    <cellStyle name="Денежный 6" xfId="6407"/>
    <cellStyle name="Денежный 6 2" xfId="6408"/>
    <cellStyle name="Денежный 6 2 2" xfId="6409"/>
    <cellStyle name="Денежный 6 2 2 2" xfId="6410"/>
    <cellStyle name="Денежный 6 2 3" xfId="6411"/>
    <cellStyle name="Денежный 6 3" xfId="6412"/>
    <cellStyle name="Денежный 6 3 2" xfId="6413"/>
    <cellStyle name="Денежный 6 3 2 2" xfId="6414"/>
    <cellStyle name="Денежный 6 3 3" xfId="6415"/>
    <cellStyle name="Денежный 6 4" xfId="6416"/>
    <cellStyle name="Денежный 6 4 2" xfId="6417"/>
    <cellStyle name="Денежный 6 5" xfId="6418"/>
    <cellStyle name="Денежный 6 5 2" xfId="6419"/>
    <cellStyle name="Денежный 6 6" xfId="6420"/>
    <cellStyle name="Денежный 7" xfId="6421"/>
    <cellStyle name="Денежный 7 2" xfId="6422"/>
    <cellStyle name="Денежный 7 2 2" xfId="6423"/>
    <cellStyle name="Денежный 7 2 2 2" xfId="6424"/>
    <cellStyle name="Денежный 7 2 3" xfId="6425"/>
    <cellStyle name="Денежный 7 3" xfId="6426"/>
    <cellStyle name="Денежный 7 3 2" xfId="6427"/>
    <cellStyle name="Денежный 7 3 2 2" xfId="6428"/>
    <cellStyle name="Денежный 7 3 3" xfId="6429"/>
    <cellStyle name="Денежный 7 4" xfId="6430"/>
    <cellStyle name="Денежный 7 4 2" xfId="6431"/>
    <cellStyle name="Денежный 7 5" xfId="6432"/>
    <cellStyle name="Денежный 7 5 2" xfId="6433"/>
    <cellStyle name="Денежный 7 6" xfId="6434"/>
    <cellStyle name="Денежный 8" xfId="6435"/>
    <cellStyle name="Денежный 8 2" xfId="6436"/>
    <cellStyle name="Денежный 8 2 2" xfId="6437"/>
    <cellStyle name="Денежный 8 2 2 2" xfId="6438"/>
    <cellStyle name="Денежный 8 2 3" xfId="6439"/>
    <cellStyle name="Денежный 8 3" xfId="6440"/>
    <cellStyle name="Денежный 8 3 2" xfId="6441"/>
    <cellStyle name="Денежный 8 3 2 2" xfId="6442"/>
    <cellStyle name="Денежный 8 3 3" xfId="6443"/>
    <cellStyle name="Денежный 8 4" xfId="6444"/>
    <cellStyle name="Денежный 8 4 2" xfId="6445"/>
    <cellStyle name="Денежный 8 5" xfId="6446"/>
    <cellStyle name="Денежный 8 5 2" xfId="6447"/>
    <cellStyle name="Денежный 8 6" xfId="6448"/>
    <cellStyle name="Денежный 9" xfId="6449"/>
    <cellStyle name="Денежный 9 2" xfId="6450"/>
    <cellStyle name="Денежный 9 2 2" xfId="6451"/>
    <cellStyle name="Денежный 9 2 2 2" xfId="6452"/>
    <cellStyle name="Денежный 9 2 3" xfId="6453"/>
    <cellStyle name="Денежный 9 3" xfId="6454"/>
    <cellStyle name="Денежный 9 3 2" xfId="6455"/>
    <cellStyle name="Денежный 9 4" xfId="6456"/>
    <cellStyle name="Денежный 9 4 2" xfId="6457"/>
    <cellStyle name="Денежный 9 5" xfId="6458"/>
    <cellStyle name="Деньги" xfId="6459"/>
    <cellStyle name="Деньги 2" xfId="6460"/>
    <cellStyle name="Деньги 2 2" xfId="6461"/>
    <cellStyle name="Деньги 3" xfId="6462"/>
    <cellStyle name="ДЮё¶_laroux" xfId="6463"/>
    <cellStyle name="ЕлИ­ [0]_96" xfId="6464"/>
    <cellStyle name="Заголовок" xfId="6465"/>
    <cellStyle name="Заголовок 1 2" xfId="6466"/>
    <cellStyle name="Заголовок 1 2 2" xfId="6467"/>
    <cellStyle name="Заголовок 1 3" xfId="6468"/>
    <cellStyle name="Заголовок 1 3 2" xfId="6469"/>
    <cellStyle name="Заголовок 1 4" xfId="6470"/>
    <cellStyle name="Заголовок 1 5" xfId="6471"/>
    <cellStyle name="Заголовок 1 6" xfId="6472"/>
    <cellStyle name="Заголовок 2 2" xfId="6473"/>
    <cellStyle name="Заголовок 2 2 2" xfId="6474"/>
    <cellStyle name="Заголовок 2 3" xfId="6475"/>
    <cellStyle name="Заголовок 2 3 2" xfId="6476"/>
    <cellStyle name="Заголовок 2 4" xfId="6477"/>
    <cellStyle name="Заголовок 2 5" xfId="6478"/>
    <cellStyle name="Заголовок 2 6" xfId="6479"/>
    <cellStyle name="Заголовок 3 2" xfId="6480"/>
    <cellStyle name="Заголовок 3 2 10" xfId="6481"/>
    <cellStyle name="Заголовок 3 2 2" xfId="6482"/>
    <cellStyle name="Заголовок 3 2 2 2" xfId="6483"/>
    <cellStyle name="Заголовок 3 2 2 2 2" xfId="6484"/>
    <cellStyle name="Заголовок 3 2 2 2 2 2" xfId="6485"/>
    <cellStyle name="Заголовок 3 2 2 2 2 2 2" xfId="6486"/>
    <cellStyle name="Заголовок 3 2 2 2 2 2 3" xfId="6487"/>
    <cellStyle name="Заголовок 3 2 2 2 2 3" xfId="6488"/>
    <cellStyle name="Заголовок 3 2 2 2 2 4" xfId="6489"/>
    <cellStyle name="Заголовок 3 2 2 2 3" xfId="6490"/>
    <cellStyle name="Заголовок 3 2 2 2 3 2" xfId="6491"/>
    <cellStyle name="Заголовок 3 2 2 2 3 3" xfId="6492"/>
    <cellStyle name="Заголовок 3 2 2 2 4" xfId="6493"/>
    <cellStyle name="Заголовок 3 2 2 2 5" xfId="6494"/>
    <cellStyle name="Заголовок 3 2 2 3" xfId="6495"/>
    <cellStyle name="Заголовок 3 2 2 3 2" xfId="6496"/>
    <cellStyle name="Заголовок 3 2 2 3 2 2" xfId="6497"/>
    <cellStyle name="Заголовок 3 2 2 3 2 3" xfId="6498"/>
    <cellStyle name="Заголовок 3 2 2 3 3" xfId="6499"/>
    <cellStyle name="Заголовок 3 2 2 3 4" xfId="6500"/>
    <cellStyle name="Заголовок 3 2 2 4" xfId="6501"/>
    <cellStyle name="Заголовок 3 2 2 4 2" xfId="6502"/>
    <cellStyle name="Заголовок 3 2 2 4 3" xfId="6503"/>
    <cellStyle name="Заголовок 3 2 2 5" xfId="6504"/>
    <cellStyle name="Заголовок 3 2 2 5 2" xfId="6505"/>
    <cellStyle name="Заголовок 3 2 2 6" xfId="6506"/>
    <cellStyle name="Заголовок 3 2 3" xfId="6507"/>
    <cellStyle name="Заголовок 3 2 3 2" xfId="6508"/>
    <cellStyle name="Заголовок 3 2 3 2 2" xfId="6509"/>
    <cellStyle name="Заголовок 3 2 3 3" xfId="6510"/>
    <cellStyle name="Заголовок 3 2 3 3 2" xfId="6511"/>
    <cellStyle name="Заголовок 3 2 3 4" xfId="6512"/>
    <cellStyle name="Заголовок 3 2 4" xfId="6513"/>
    <cellStyle name="Заголовок 3 2 4 2" xfId="6514"/>
    <cellStyle name="Заголовок 3 2 4 2 2" xfId="6515"/>
    <cellStyle name="Заголовок 3 2 4 3" xfId="6516"/>
    <cellStyle name="Заголовок 3 2 4 3 2" xfId="6517"/>
    <cellStyle name="Заголовок 3 2 4 4" xfId="6518"/>
    <cellStyle name="Заголовок 3 2 5" xfId="6519"/>
    <cellStyle name="Заголовок 3 2 5 2" xfId="6520"/>
    <cellStyle name="Заголовок 3 2 5 2 2" xfId="6521"/>
    <cellStyle name="Заголовок 3 2 5 3" xfId="6522"/>
    <cellStyle name="Заголовок 3 2 5 3 2" xfId="6523"/>
    <cellStyle name="Заголовок 3 2 5 4" xfId="6524"/>
    <cellStyle name="Заголовок 3 2 6" xfId="6525"/>
    <cellStyle name="Заголовок 3 2 6 2" xfId="6526"/>
    <cellStyle name="Заголовок 3 2 6 2 2" xfId="6527"/>
    <cellStyle name="Заголовок 3 2 6 3" xfId="6528"/>
    <cellStyle name="Заголовок 3 2 6 4" xfId="6529"/>
    <cellStyle name="Заголовок 3 2 7" xfId="6530"/>
    <cellStyle name="Заголовок 3 2 7 2" xfId="6531"/>
    <cellStyle name="Заголовок 3 2 8" xfId="6532"/>
    <cellStyle name="Заголовок 3 2 8 2" xfId="6533"/>
    <cellStyle name="Заголовок 3 2 9" xfId="6534"/>
    <cellStyle name="Заголовок 3 3" xfId="6535"/>
    <cellStyle name="Заголовок 3 3 2" xfId="6536"/>
    <cellStyle name="Заголовок 3 3 2 2" xfId="6537"/>
    <cellStyle name="Заголовок 3 3 2 2 2" xfId="6538"/>
    <cellStyle name="Заголовок 3 3 2 2 2 2" xfId="6539"/>
    <cellStyle name="Заголовок 3 3 2 2 3" xfId="6540"/>
    <cellStyle name="Заголовок 3 3 2 2 3 2" xfId="6541"/>
    <cellStyle name="Заголовок 3 3 2 2 4" xfId="6542"/>
    <cellStyle name="Заголовок 3 3 2 3" xfId="6543"/>
    <cellStyle name="Заголовок 3 3 2 3 2" xfId="6544"/>
    <cellStyle name="Заголовок 3 3 2 4" xfId="6545"/>
    <cellStyle name="Заголовок 3 3 2 4 2" xfId="6546"/>
    <cellStyle name="Заголовок 3 3 2 5" xfId="6547"/>
    <cellStyle name="Заголовок 3 3 3" xfId="6548"/>
    <cellStyle name="Заголовок 3 3 3 2" xfId="6549"/>
    <cellStyle name="Заголовок 3 3 3 2 2" xfId="6550"/>
    <cellStyle name="Заголовок 3 3 3 3" xfId="6551"/>
    <cellStyle name="Заголовок 3 3 3 3 2" xfId="6552"/>
    <cellStyle name="Заголовок 3 3 3 4" xfId="6553"/>
    <cellStyle name="Заголовок 3 3 4" xfId="6554"/>
    <cellStyle name="Заголовок 3 3 4 2" xfId="6555"/>
    <cellStyle name="Заголовок 3 3 4 2 2" xfId="6556"/>
    <cellStyle name="Заголовок 3 3 4 3" xfId="6557"/>
    <cellStyle name="Заголовок 3 3 4 3 2" xfId="6558"/>
    <cellStyle name="Заголовок 3 3 4 4" xfId="6559"/>
    <cellStyle name="Заголовок 3 3 5" xfId="6560"/>
    <cellStyle name="Заголовок 3 3 5 2" xfId="6561"/>
    <cellStyle name="Заголовок 3 3 6" xfId="6562"/>
    <cellStyle name="Заголовок 3 3 6 2" xfId="6563"/>
    <cellStyle name="Заголовок 3 3 7" xfId="6564"/>
    <cellStyle name="Заголовок 3 3 8" xfId="6565"/>
    <cellStyle name="Заголовок 3 4" xfId="6566"/>
    <cellStyle name="Заголовок 3 4 2" xfId="6567"/>
    <cellStyle name="Заголовок 3 4 2 2" xfId="6568"/>
    <cellStyle name="Заголовок 3 4 2 2 2" xfId="6569"/>
    <cellStyle name="Заголовок 3 4 2 2 2 2" xfId="6570"/>
    <cellStyle name="Заголовок 3 4 2 2 2 2 2" xfId="6571"/>
    <cellStyle name="Заголовок 3 4 2 2 2 2 3" xfId="6572"/>
    <cellStyle name="Заголовок 3 4 2 2 2 3" xfId="6573"/>
    <cellStyle name="Заголовок 3 4 2 2 2 4" xfId="6574"/>
    <cellStyle name="Заголовок 3 4 2 2 3" xfId="6575"/>
    <cellStyle name="Заголовок 3 4 2 2 3 2" xfId="6576"/>
    <cellStyle name="Заголовок 3 4 2 2 3 3" xfId="6577"/>
    <cellStyle name="Заголовок 3 4 2 2 4" xfId="6578"/>
    <cellStyle name="Заголовок 3 4 2 2 5" xfId="6579"/>
    <cellStyle name="Заголовок 3 4 2 3" xfId="6580"/>
    <cellStyle name="Заголовок 3 4 2 3 2" xfId="6581"/>
    <cellStyle name="Заголовок 3 4 2 3 2 2" xfId="6582"/>
    <cellStyle name="Заголовок 3 4 2 3 2 3" xfId="6583"/>
    <cellStyle name="Заголовок 3 4 2 3 3" xfId="6584"/>
    <cellStyle name="Заголовок 3 4 2 3 4" xfId="6585"/>
    <cellStyle name="Заголовок 3 4 2 4" xfId="6586"/>
    <cellStyle name="Заголовок 3 4 2 4 2" xfId="6587"/>
    <cellStyle name="Заголовок 3 4 2 4 3" xfId="6588"/>
    <cellStyle name="Заголовок 3 4 2 5" xfId="6589"/>
    <cellStyle name="Заголовок 3 4 2 5 2" xfId="6590"/>
    <cellStyle name="Заголовок 3 4 3" xfId="6591"/>
    <cellStyle name="Заголовок 3 4 3 2" xfId="6592"/>
    <cellStyle name="Заголовок 3 4 4" xfId="6593"/>
    <cellStyle name="Заголовок 3 4 4 2" xfId="6594"/>
    <cellStyle name="Заголовок 3 4 5" xfId="6595"/>
    <cellStyle name="Заголовок 3 4 6" xfId="6596"/>
    <cellStyle name="Заголовок 3 5" xfId="6597"/>
    <cellStyle name="Заголовок 3 5 2" xfId="6598"/>
    <cellStyle name="Заголовок 3 5 2 2" xfId="6599"/>
    <cellStyle name="Заголовок 3 5 3" xfId="6600"/>
    <cellStyle name="Заголовок 3 5 3 2" xfId="6601"/>
    <cellStyle name="Заголовок 3 5 4" xfId="6602"/>
    <cellStyle name="Заголовок 3 6" xfId="6603"/>
    <cellStyle name="Заголовок 3 6 2" xfId="6604"/>
    <cellStyle name="Заголовок 3 6 2 2" xfId="6605"/>
    <cellStyle name="Заголовок 3 6 3" xfId="6606"/>
    <cellStyle name="Заголовок 3 6 3 2" xfId="6607"/>
    <cellStyle name="Заголовок 3 6 4" xfId="6608"/>
    <cellStyle name="Заголовок 3 7" xfId="6609"/>
    <cellStyle name="Заголовок 3 7 2" xfId="6610"/>
    <cellStyle name="Заголовок 3 7 2 2" xfId="6611"/>
    <cellStyle name="Заголовок 3 7 3" xfId="6612"/>
    <cellStyle name="Заголовок 3 7 3 2" xfId="6613"/>
    <cellStyle name="Заголовок 3 7 4" xfId="6614"/>
    <cellStyle name="Заголовок 3 8" xfId="6615"/>
    <cellStyle name="Заголовок 3 8 2" xfId="6616"/>
    <cellStyle name="Заголовок 3 8 2 2" xfId="6617"/>
    <cellStyle name="Заголовок 3 8 3" xfId="6618"/>
    <cellStyle name="Заголовок 3 9" xfId="6619"/>
    <cellStyle name="Заголовок 3 9 2" xfId="6620"/>
    <cellStyle name="Заголовок 3 9 2 2" xfId="6621"/>
    <cellStyle name="Заголовок 3 9 3" xfId="6622"/>
    <cellStyle name="Заголовок 3 9 4" xfId="6623"/>
    <cellStyle name="Заголовок 4 2" xfId="6624"/>
    <cellStyle name="Заголовок 4 2 2" xfId="6625"/>
    <cellStyle name="Заголовок 4 3" xfId="6626"/>
    <cellStyle name="Заголовок 4 3 2" xfId="6627"/>
    <cellStyle name="Заголовок 4 4" xfId="6628"/>
    <cellStyle name="Заголовок 4 5" xfId="6629"/>
    <cellStyle name="Заголовок 4 6" xfId="6630"/>
    <cellStyle name="Заголовок 5" xfId="6631"/>
    <cellStyle name="Заголовок формы" xfId="6632"/>
    <cellStyle name="Заголовок2" xfId="6633"/>
    <cellStyle name="Заголовок2 10" xfId="6634"/>
    <cellStyle name="Заголовок2 10 2" xfId="6635"/>
    <cellStyle name="Заголовок2 10 2 2" xfId="6636"/>
    <cellStyle name="Заголовок2 10 3" xfId="6637"/>
    <cellStyle name="Заголовок2 11" xfId="6638"/>
    <cellStyle name="Заголовок2 11 2" xfId="6639"/>
    <cellStyle name="Заголовок2 11 2 2" xfId="6640"/>
    <cellStyle name="Заголовок2 11 3" xfId="6641"/>
    <cellStyle name="Заголовок2 12" xfId="6642"/>
    <cellStyle name="Заголовок2 12 2" xfId="6643"/>
    <cellStyle name="Заголовок2 12 2 2" xfId="6644"/>
    <cellStyle name="Заголовок2 12 3" xfId="6645"/>
    <cellStyle name="Заголовок2 13" xfId="6646"/>
    <cellStyle name="Заголовок2 13 2" xfId="6647"/>
    <cellStyle name="Заголовок2 13 2 2" xfId="6648"/>
    <cellStyle name="Заголовок2 13 3" xfId="6649"/>
    <cellStyle name="Заголовок2 14" xfId="6650"/>
    <cellStyle name="Заголовок2 14 2" xfId="6651"/>
    <cellStyle name="Заголовок2 15" xfId="6652"/>
    <cellStyle name="Заголовок2 16" xfId="6653"/>
    <cellStyle name="Заголовок2 2" xfId="6654"/>
    <cellStyle name="Заголовок2 2 2" xfId="6655"/>
    <cellStyle name="Заголовок2 2 2 2" xfId="6656"/>
    <cellStyle name="Заголовок2 2 2 2 2" xfId="6657"/>
    <cellStyle name="Заголовок2 2 2 2 2 2" xfId="6658"/>
    <cellStyle name="Заголовок2 2 2 2 2 3" xfId="6659"/>
    <cellStyle name="Заголовок2 2 2 2 3" xfId="6660"/>
    <cellStyle name="Заголовок2 2 2 2 3 2" xfId="6661"/>
    <cellStyle name="Заголовок2 2 2 2 4" xfId="6662"/>
    <cellStyle name="Заголовок2 2 2 2 5" xfId="6663"/>
    <cellStyle name="Заголовок2 2 2 3" xfId="6664"/>
    <cellStyle name="Заголовок2 2 2 3 2" xfId="6665"/>
    <cellStyle name="Заголовок2 2 2 3 3" xfId="6666"/>
    <cellStyle name="Заголовок2 2 2 4" xfId="6667"/>
    <cellStyle name="Заголовок2 2 2 4 2" xfId="6668"/>
    <cellStyle name="Заголовок2 2 2 5" xfId="6669"/>
    <cellStyle name="Заголовок2 2 3" xfId="6670"/>
    <cellStyle name="Заголовок2 2 3 2" xfId="6671"/>
    <cellStyle name="Заголовок2 2 3 2 2" xfId="6672"/>
    <cellStyle name="Заголовок2 2 3 2 3" xfId="6673"/>
    <cellStyle name="Заголовок2 2 3 2 4" xfId="6674"/>
    <cellStyle name="Заголовок2 2 3 3" xfId="6675"/>
    <cellStyle name="Заголовок2 2 3 3 2" xfId="6676"/>
    <cellStyle name="Заголовок2 2 3 4" xfId="6677"/>
    <cellStyle name="Заголовок2 2 4" xfId="6678"/>
    <cellStyle name="Заголовок2 2 4 2" xfId="6679"/>
    <cellStyle name="Заголовок2 2 4 2 2" xfId="6680"/>
    <cellStyle name="Заголовок2 2 4 2 3" xfId="6681"/>
    <cellStyle name="Заголовок2 2 4 2 4" xfId="6682"/>
    <cellStyle name="Заголовок2 2 4 3" xfId="6683"/>
    <cellStyle name="Заголовок2 2 4 3 2" xfId="6684"/>
    <cellStyle name="Заголовок2 2 4 4" xfId="6685"/>
    <cellStyle name="Заголовок2 2 5" xfId="6686"/>
    <cellStyle name="Заголовок2 2 5 2" xfId="6687"/>
    <cellStyle name="Заголовок2 2 6" xfId="6688"/>
    <cellStyle name="Заголовок2 2 7" xfId="6689"/>
    <cellStyle name="Заголовок2 3" xfId="6690"/>
    <cellStyle name="Заголовок2 3 2" xfId="6691"/>
    <cellStyle name="Заголовок2 3 2 2" xfId="6692"/>
    <cellStyle name="Заголовок2 3 2 2 2" xfId="6693"/>
    <cellStyle name="Заголовок2 3 2 2 3" xfId="6694"/>
    <cellStyle name="Заголовок2 3 2 3" xfId="6695"/>
    <cellStyle name="Заголовок2 3 2 3 2" xfId="6696"/>
    <cellStyle name="Заголовок2 3 2 4" xfId="6697"/>
    <cellStyle name="Заголовок2 3 3" xfId="6698"/>
    <cellStyle name="Заголовок2 3 3 2" xfId="6699"/>
    <cellStyle name="Заголовок2 3 3 3" xfId="6700"/>
    <cellStyle name="Заголовок2 3 4" xfId="6701"/>
    <cellStyle name="Заголовок2 3 4 2" xfId="6702"/>
    <cellStyle name="Заголовок2 3 5" xfId="6703"/>
    <cellStyle name="Заголовок2 3 6" xfId="6704"/>
    <cellStyle name="Заголовок2 4" xfId="6705"/>
    <cellStyle name="Заголовок2 4 2" xfId="6706"/>
    <cellStyle name="Заголовок2 4 2 2" xfId="6707"/>
    <cellStyle name="Заголовок2 4 2 3" xfId="6708"/>
    <cellStyle name="Заголовок2 4 3" xfId="6709"/>
    <cellStyle name="Заголовок2 4 3 2" xfId="6710"/>
    <cellStyle name="Заголовок2 4 4" xfId="6711"/>
    <cellStyle name="Заголовок2 4 5" xfId="6712"/>
    <cellStyle name="Заголовок2 5" xfId="6713"/>
    <cellStyle name="Заголовок2 5 2" xfId="6714"/>
    <cellStyle name="Заголовок2 5 2 2" xfId="6715"/>
    <cellStyle name="Заголовок2 5 3" xfId="6716"/>
    <cellStyle name="Заголовок2 6" xfId="6717"/>
    <cellStyle name="Заголовок2 6 2" xfId="6718"/>
    <cellStyle name="Заголовок2 6 2 2" xfId="6719"/>
    <cellStyle name="Заголовок2 6 3" xfId="6720"/>
    <cellStyle name="Заголовок2 7" xfId="6721"/>
    <cellStyle name="Заголовок2 7 2" xfId="6722"/>
    <cellStyle name="Заголовок2 7 2 2" xfId="6723"/>
    <cellStyle name="Заголовок2 7 3" xfId="6724"/>
    <cellStyle name="Заголовок2 8" xfId="6725"/>
    <cellStyle name="Заголовок2 8 2" xfId="6726"/>
    <cellStyle name="Заголовок2 8 2 2" xfId="6727"/>
    <cellStyle name="Заголовок2 8 3" xfId="6728"/>
    <cellStyle name="Заголовок2 9" xfId="6729"/>
    <cellStyle name="Заголовок2 9 2" xfId="6730"/>
    <cellStyle name="Заголовок2 9 2 2" xfId="6731"/>
    <cellStyle name="Заголовок2 9 3" xfId="6732"/>
    <cellStyle name="Значение" xfId="6733"/>
    <cellStyle name="Имя колонки" xfId="6734"/>
    <cellStyle name="Итог 10" xfId="6735"/>
    <cellStyle name="Итог 10 2" xfId="6736"/>
    <cellStyle name="Итог 10 3" xfId="6737"/>
    <cellStyle name="Итог 10 3 2" xfId="6738"/>
    <cellStyle name="Итог 11" xfId="6739"/>
    <cellStyle name="Итог 11 2" xfId="6740"/>
    <cellStyle name="Итог 11 3" xfId="6741"/>
    <cellStyle name="Итог 11 3 2" xfId="6742"/>
    <cellStyle name="Итог 12" xfId="6743"/>
    <cellStyle name="Итог 12 2" xfId="6744"/>
    <cellStyle name="Итог 12 3" xfId="6745"/>
    <cellStyle name="Итог 12 3 2" xfId="6746"/>
    <cellStyle name="Итог 13" xfId="6747"/>
    <cellStyle name="Итог 13 2" xfId="6748"/>
    <cellStyle name="Итог 13 3" xfId="6749"/>
    <cellStyle name="Итог 13 3 2" xfId="6750"/>
    <cellStyle name="Итог 14" xfId="6751"/>
    <cellStyle name="Итог 14 2" xfId="6752"/>
    <cellStyle name="Итог 14 2 2" xfId="6753"/>
    <cellStyle name="Итог 15" xfId="6754"/>
    <cellStyle name="Итог 15 2" xfId="6755"/>
    <cellStyle name="Итог 15 2 2" xfId="6756"/>
    <cellStyle name="Итог 15 3" xfId="6757"/>
    <cellStyle name="Итог 2" xfId="6758"/>
    <cellStyle name="Итог 2 10" xfId="6759"/>
    <cellStyle name="Итог 2 10 2" xfId="6760"/>
    <cellStyle name="Итог 2 10 3" xfId="6761"/>
    <cellStyle name="Итог 2 10 3 2" xfId="6762"/>
    <cellStyle name="Итог 2 11" xfId="6763"/>
    <cellStyle name="Итог 2 11 2" xfId="6764"/>
    <cellStyle name="Итог 2 11 3" xfId="6765"/>
    <cellStyle name="Итог 2 11 3 2" xfId="6766"/>
    <cellStyle name="Итог 2 12" xfId="6767"/>
    <cellStyle name="Итог 2 12 2" xfId="6768"/>
    <cellStyle name="Итог 2 12 2 2" xfId="6769"/>
    <cellStyle name="Итог 2 13" xfId="6770"/>
    <cellStyle name="Итог 2 13 2" xfId="6771"/>
    <cellStyle name="Итог 2 14" xfId="6772"/>
    <cellStyle name="Итог 2 2" xfId="6773"/>
    <cellStyle name="Итог 2 2 2" xfId="6774"/>
    <cellStyle name="Итог 2 2 2 2" xfId="6775"/>
    <cellStyle name="Итог 2 2 2 3" xfId="6776"/>
    <cellStyle name="Итог 2 2 2 3 2" xfId="6777"/>
    <cellStyle name="Итог 2 2 2 4" xfId="6778"/>
    <cellStyle name="Итог 2 2 3" xfId="6779"/>
    <cellStyle name="Итог 2 2 4" xfId="6780"/>
    <cellStyle name="Итог 2 2 4 2" xfId="6781"/>
    <cellStyle name="Итог 2 3" xfId="6782"/>
    <cellStyle name="Итог 2 3 2" xfId="6783"/>
    <cellStyle name="Итог 2 3 2 2" xfId="6784"/>
    <cellStyle name="Итог 2 3 2 3" xfId="6785"/>
    <cellStyle name="Итог 2 3 2 3 2" xfId="6786"/>
    <cellStyle name="Итог 2 3 3" xfId="6787"/>
    <cellStyle name="Итог 2 3 4" xfId="6788"/>
    <cellStyle name="Итог 2 3 4 2" xfId="6789"/>
    <cellStyle name="Итог 2 4" xfId="6790"/>
    <cellStyle name="Итог 2 4 2" xfId="6791"/>
    <cellStyle name="Итог 2 4 3" xfId="6792"/>
    <cellStyle name="Итог 2 4 3 2" xfId="6793"/>
    <cellStyle name="Итог 2 5" xfId="6794"/>
    <cellStyle name="Итог 2 5 2" xfId="6795"/>
    <cellStyle name="Итог 2 5 3" xfId="6796"/>
    <cellStyle name="Итог 2 5 3 2" xfId="6797"/>
    <cellStyle name="Итог 2 5 4" xfId="6798"/>
    <cellStyle name="Итог 2 6" xfId="6799"/>
    <cellStyle name="Итог 2 6 2" xfId="6800"/>
    <cellStyle name="Итог 2 6 3" xfId="6801"/>
    <cellStyle name="Итог 2 6 3 2" xfId="6802"/>
    <cellStyle name="Итог 2 6 4" xfId="6803"/>
    <cellStyle name="Итог 2 7" xfId="6804"/>
    <cellStyle name="Итог 2 7 2" xfId="6805"/>
    <cellStyle name="Итог 2 7 3" xfId="6806"/>
    <cellStyle name="Итог 2 7 3 2" xfId="6807"/>
    <cellStyle name="Итог 2 8" xfId="6808"/>
    <cellStyle name="Итог 2 8 2" xfId="6809"/>
    <cellStyle name="Итог 2 8 3" xfId="6810"/>
    <cellStyle name="Итог 2 8 3 2" xfId="6811"/>
    <cellStyle name="Итог 2 9" xfId="6812"/>
    <cellStyle name="Итог 2 9 2" xfId="6813"/>
    <cellStyle name="Итог 2 9 3" xfId="6814"/>
    <cellStyle name="Итог 2 9 3 2" xfId="6815"/>
    <cellStyle name="Итог 3" xfId="6816"/>
    <cellStyle name="Итог 3 2" xfId="6817"/>
    <cellStyle name="Итог 3 2 2" xfId="6818"/>
    <cellStyle name="Итог 3 2 2 2" xfId="6819"/>
    <cellStyle name="Итог 3 2 2 3" xfId="6820"/>
    <cellStyle name="Итог 3 2 2 3 2" xfId="6821"/>
    <cellStyle name="Итог 3 2 3" xfId="6822"/>
    <cellStyle name="Итог 3 2 4" xfId="6823"/>
    <cellStyle name="Итог 3 2 4 2" xfId="6824"/>
    <cellStyle name="Итог 3 2 5" xfId="6825"/>
    <cellStyle name="Итог 3 3" xfId="6826"/>
    <cellStyle name="Итог 3 3 2" xfId="6827"/>
    <cellStyle name="Итог 3 3 2 2" xfId="6828"/>
    <cellStyle name="Итог 3 3 2 3" xfId="6829"/>
    <cellStyle name="Итог 3 3 2 3 2" xfId="6830"/>
    <cellStyle name="Итог 3 3 3" xfId="6831"/>
    <cellStyle name="Итог 3 3 4" xfId="6832"/>
    <cellStyle name="Итог 3 3 4 2" xfId="6833"/>
    <cellStyle name="Итог 3 4" xfId="6834"/>
    <cellStyle name="Итог 3 4 2" xfId="6835"/>
    <cellStyle name="Итог 3 4 2 2" xfId="6836"/>
    <cellStyle name="Итог 3 4 3" xfId="6837"/>
    <cellStyle name="Итог 3 5" xfId="6838"/>
    <cellStyle name="Итог 3 5 2" xfId="6839"/>
    <cellStyle name="Итог 3 5 2 2" xfId="6840"/>
    <cellStyle name="Итог 3 5 3" xfId="6841"/>
    <cellStyle name="Итог 3 6" xfId="6842"/>
    <cellStyle name="Итог 3 7" xfId="6843"/>
    <cellStyle name="Итог 3 7 2" xfId="6844"/>
    <cellStyle name="Итог 3 8" xfId="6845"/>
    <cellStyle name="Итог 4" xfId="6846"/>
    <cellStyle name="Итог 4 2" xfId="6847"/>
    <cellStyle name="Итог 4 2 2" xfId="6848"/>
    <cellStyle name="Итог 4 2 2 2" xfId="6849"/>
    <cellStyle name="Итог 4 2 3" xfId="6850"/>
    <cellStyle name="Итог 4 2 3 2" xfId="6851"/>
    <cellStyle name="Итог 4 2 4" xfId="6852"/>
    <cellStyle name="Итог 4 3" xfId="6853"/>
    <cellStyle name="Итог 4 3 2" xfId="6854"/>
    <cellStyle name="Итог 4 4" xfId="6855"/>
    <cellStyle name="Итог 4 4 2" xfId="6856"/>
    <cellStyle name="Итог 5" xfId="6857"/>
    <cellStyle name="Итог 5 2" xfId="6858"/>
    <cellStyle name="Итог 5 2 2" xfId="6859"/>
    <cellStyle name="Итог 5 2 3" xfId="6860"/>
    <cellStyle name="Итог 5 2 3 2" xfId="6861"/>
    <cellStyle name="Итог 5 2 4" xfId="6862"/>
    <cellStyle name="Итог 5 3" xfId="6863"/>
    <cellStyle name="Итог 5 4" xfId="6864"/>
    <cellStyle name="Итог 5 4 2" xfId="6865"/>
    <cellStyle name="Итог 6" xfId="6866"/>
    <cellStyle name="Итог 6 2" xfId="6867"/>
    <cellStyle name="Итог 6 3" xfId="6868"/>
    <cellStyle name="Итог 6 3 2" xfId="6869"/>
    <cellStyle name="Итог 7" xfId="6870"/>
    <cellStyle name="Итог 7 2" xfId="6871"/>
    <cellStyle name="Итог 7 3" xfId="6872"/>
    <cellStyle name="Итог 7 3 2" xfId="6873"/>
    <cellStyle name="Итог 8" xfId="6874"/>
    <cellStyle name="Итог 8 2" xfId="6875"/>
    <cellStyle name="Итог 8 2 2" xfId="6876"/>
    <cellStyle name="Итог 8 3" xfId="6877"/>
    <cellStyle name="Итог 8 3 2" xfId="6878"/>
    <cellStyle name="Итог 9" xfId="6879"/>
    <cellStyle name="Итог 9 2" xfId="6880"/>
    <cellStyle name="Итог 9 3" xfId="6881"/>
    <cellStyle name="Итог 9 3 2" xfId="6882"/>
    <cellStyle name="Контрольная ячейка 2" xfId="6883"/>
    <cellStyle name="Контрольная ячейка 2 2" xfId="6884"/>
    <cellStyle name="Контрольная ячейка 3" xfId="6885"/>
    <cellStyle name="Контрольная ячейка 4" xfId="6886"/>
    <cellStyle name="Контрольная ячейка 5" xfId="6887"/>
    <cellStyle name="Контрольная ячейка 6" xfId="6888"/>
    <cellStyle name="Критерий" xfId="6889"/>
    <cellStyle name="Личный" xfId="6890"/>
    <cellStyle name="Название 2" xfId="6891"/>
    <cellStyle name="Название 2 2" xfId="6892"/>
    <cellStyle name="Название 2 2 2" xfId="6893"/>
    <cellStyle name="Название 2 3" xfId="6894"/>
    <cellStyle name="Название 3" xfId="6895"/>
    <cellStyle name="Название 3 2" xfId="6896"/>
    <cellStyle name="Название 4" xfId="6897"/>
    <cellStyle name="Название 5" xfId="6898"/>
    <cellStyle name="Название 6" xfId="6899"/>
    <cellStyle name="Нейтральный 2" xfId="6900"/>
    <cellStyle name="Нейтральный 2 2" xfId="6901"/>
    <cellStyle name="Нейтральный 3" xfId="6902"/>
    <cellStyle name="Нейтральный 4" xfId="6903"/>
    <cellStyle name="Нейтральный 5" xfId="6904"/>
    <cellStyle name="Нейтральный 6" xfId="6905"/>
    <cellStyle name="Обычный 10" xfId="6906"/>
    <cellStyle name="Обычный 10 10" xfId="6907"/>
    <cellStyle name="Обычный 10 11" xfId="6908"/>
    <cellStyle name="Обычный 10 2" xfId="6909"/>
    <cellStyle name="Обычный 10 2 10" xfId="6910"/>
    <cellStyle name="Обычный 10 2 10 2" xfId="6911"/>
    <cellStyle name="Обычный 10 2 10 2 2" xfId="6912"/>
    <cellStyle name="Обычный 10 2 10 3" xfId="6913"/>
    <cellStyle name="Обычный 10 2 11" xfId="6914"/>
    <cellStyle name="Обычный 10 2 11 2" xfId="6915"/>
    <cellStyle name="Обычный 10 2 12" xfId="6916"/>
    <cellStyle name="Обычный 10 2 12 2" xfId="6917"/>
    <cellStyle name="Обычный 10 2 13" xfId="6918"/>
    <cellStyle name="Обычный 10 2 13 2" xfId="6919"/>
    <cellStyle name="Обычный 10 2 14" xfId="6920"/>
    <cellStyle name="Обычный 10 2 2" xfId="6921"/>
    <cellStyle name="Обычный 10 2 2 2" xfId="6922"/>
    <cellStyle name="Обычный 10 2 2 2 2" xfId="6923"/>
    <cellStyle name="Обычный 10 2 2 2 2 2" xfId="6924"/>
    <cellStyle name="Обычный 10 2 2 2 2 2 2" xfId="6925"/>
    <cellStyle name="Обычный 10 2 2 2 2 2 2 2" xfId="6926"/>
    <cellStyle name="Обычный 10 2 2 2 2 2 3" xfId="6927"/>
    <cellStyle name="Обычный 10 2 2 2 2 3" xfId="6928"/>
    <cellStyle name="Обычный 10 2 2 2 2 3 2" xfId="6929"/>
    <cellStyle name="Обычный 10 2 2 2 2 3 2 2" xfId="6930"/>
    <cellStyle name="Обычный 10 2 2 2 2 3 3" xfId="6931"/>
    <cellStyle name="Обычный 10 2 2 2 2 4" xfId="6932"/>
    <cellStyle name="Обычный 10 2 2 2 2 4 2" xfId="6933"/>
    <cellStyle name="Обычный 10 2 2 2 2 5" xfId="6934"/>
    <cellStyle name="Обычный 10 2 2 2 2 5 2" xfId="6935"/>
    <cellStyle name="Обычный 10 2 2 2 2 6" xfId="6936"/>
    <cellStyle name="Обычный 10 2 2 2 3" xfId="6937"/>
    <cellStyle name="Обычный 10 2 2 2 3 2" xfId="6938"/>
    <cellStyle name="Обычный 10 2 2 2 3 2 2" xfId="6939"/>
    <cellStyle name="Обычный 10 2 2 2 3 2 2 2" xfId="6940"/>
    <cellStyle name="Обычный 10 2 2 2 3 2 3" xfId="6941"/>
    <cellStyle name="Обычный 10 2 2 2 3 3" xfId="6942"/>
    <cellStyle name="Обычный 10 2 2 2 3 3 2" xfId="6943"/>
    <cellStyle name="Обычный 10 2 2 2 3 3 2 2" xfId="6944"/>
    <cellStyle name="Обычный 10 2 2 2 3 3 3" xfId="6945"/>
    <cellStyle name="Обычный 10 2 2 2 3 4" xfId="6946"/>
    <cellStyle name="Обычный 10 2 2 2 3 4 2" xfId="6947"/>
    <cellStyle name="Обычный 10 2 2 2 3 5" xfId="6948"/>
    <cellStyle name="Обычный 10 2 2 2 3 5 2" xfId="6949"/>
    <cellStyle name="Обычный 10 2 2 2 3 6" xfId="6950"/>
    <cellStyle name="Обычный 10 2 2 2 4" xfId="6951"/>
    <cellStyle name="Обычный 10 2 2 2 4 2" xfId="6952"/>
    <cellStyle name="Обычный 10 2 2 2 4 2 2" xfId="6953"/>
    <cellStyle name="Обычный 10 2 2 2 4 3" xfId="6954"/>
    <cellStyle name="Обычный 10 2 2 2 5" xfId="6955"/>
    <cellStyle name="Обычный 10 2 2 2 5 2" xfId="6956"/>
    <cellStyle name="Обычный 10 2 2 2 5 2 2" xfId="6957"/>
    <cellStyle name="Обычный 10 2 2 2 5 3" xfId="6958"/>
    <cellStyle name="Обычный 10 2 2 2 6" xfId="6959"/>
    <cellStyle name="Обычный 10 2 2 2 6 2" xfId="6960"/>
    <cellStyle name="Обычный 10 2 2 2 7" xfId="6961"/>
    <cellStyle name="Обычный 10 2 2 2 7 2" xfId="6962"/>
    <cellStyle name="Обычный 10 2 2 2 8" xfId="6963"/>
    <cellStyle name="Обычный 10 2 2 3" xfId="6964"/>
    <cellStyle name="Обычный 10 2 2 3 2" xfId="6965"/>
    <cellStyle name="Обычный 10 2 2 3 2 2" xfId="6966"/>
    <cellStyle name="Обычный 10 2 2 3 2 2 2" xfId="6967"/>
    <cellStyle name="Обычный 10 2 2 3 2 3" xfId="6968"/>
    <cellStyle name="Обычный 10 2 2 3 2 3 2" xfId="6969"/>
    <cellStyle name="Обычный 10 2 2 3 2 4" xfId="6970"/>
    <cellStyle name="Обычный 10 2 2 3 3" xfId="6971"/>
    <cellStyle name="Обычный 10 2 2 3 3 2" xfId="6972"/>
    <cellStyle name="Обычный 10 2 2 3 3 2 2" xfId="6973"/>
    <cellStyle name="Обычный 10 2 2 3 3 3" xfId="6974"/>
    <cellStyle name="Обычный 10 2 2 3 4" xfId="6975"/>
    <cellStyle name="Обычный 10 2 2 3 4 2" xfId="6976"/>
    <cellStyle name="Обычный 10 2 2 3 5" xfId="6977"/>
    <cellStyle name="Обычный 10 2 2 3 5 2" xfId="6978"/>
    <cellStyle name="Обычный 10 2 2 3 6" xfId="6979"/>
    <cellStyle name="Обычный 10 2 2 3 7" xfId="6980"/>
    <cellStyle name="Обычный 10 2 2 3 8" xfId="6981"/>
    <cellStyle name="Обычный 10 2 2 4" xfId="6982"/>
    <cellStyle name="Обычный 10 2 2 4 2" xfId="6983"/>
    <cellStyle name="Обычный 10 2 2 4 2 2" xfId="6984"/>
    <cellStyle name="Обычный 10 2 2 4 2 2 2" xfId="6985"/>
    <cellStyle name="Обычный 10 2 2 4 2 3" xfId="6986"/>
    <cellStyle name="Обычный 10 2 2 4 3" xfId="6987"/>
    <cellStyle name="Обычный 10 2 2 4 3 2" xfId="6988"/>
    <cellStyle name="Обычный 10 2 2 4 3 2 2" xfId="6989"/>
    <cellStyle name="Обычный 10 2 2 4 3 3" xfId="6990"/>
    <cellStyle name="Обычный 10 2 2 4 4" xfId="6991"/>
    <cellStyle name="Обычный 10 2 2 4 4 2" xfId="6992"/>
    <cellStyle name="Обычный 10 2 2 4 5" xfId="6993"/>
    <cellStyle name="Обычный 10 2 2 4 5 2" xfId="6994"/>
    <cellStyle name="Обычный 10 2 2 4 6" xfId="6995"/>
    <cellStyle name="Обычный 10 2 2 5" xfId="6996"/>
    <cellStyle name="Обычный 10 2 2 5 2" xfId="6997"/>
    <cellStyle name="Обычный 10 2 2 5 2 2" xfId="6998"/>
    <cellStyle name="Обычный 10 2 2 5 3" xfId="6999"/>
    <cellStyle name="Обычный 10 2 2 6" xfId="7000"/>
    <cellStyle name="Обычный 10 2 2 6 2" xfId="7001"/>
    <cellStyle name="Обычный 10 2 2 6 2 2" xfId="7002"/>
    <cellStyle name="Обычный 10 2 2 6 3" xfId="7003"/>
    <cellStyle name="Обычный 10 2 2 7" xfId="7004"/>
    <cellStyle name="Обычный 10 2 2 7 2" xfId="7005"/>
    <cellStyle name="Обычный 10 2 2 8" xfId="7006"/>
    <cellStyle name="Обычный 10 2 2 8 2" xfId="7007"/>
    <cellStyle name="Обычный 10 2 2 9" xfId="7008"/>
    <cellStyle name="Обычный 10 2 3" xfId="7009"/>
    <cellStyle name="Обычный 10 2 3 2" xfId="7010"/>
    <cellStyle name="Обычный 10 2 3 2 2" xfId="7011"/>
    <cellStyle name="Обычный 10 2 3 2 2 2" xfId="7012"/>
    <cellStyle name="Обычный 10 2 3 2 2 2 2" xfId="7013"/>
    <cellStyle name="Обычный 10 2 3 2 2 3" xfId="7014"/>
    <cellStyle name="Обычный 10 2 3 2 2 3 2" xfId="7015"/>
    <cellStyle name="Обычный 10 2 3 2 2 4" xfId="7016"/>
    <cellStyle name="Обычный 10 2 3 2 3" xfId="7017"/>
    <cellStyle name="Обычный 10 2 3 2 3 2" xfId="7018"/>
    <cellStyle name="Обычный 10 2 3 2 3 2 2" xfId="7019"/>
    <cellStyle name="Обычный 10 2 3 2 3 3" xfId="7020"/>
    <cellStyle name="Обычный 10 2 3 2 4" xfId="7021"/>
    <cellStyle name="Обычный 10 2 3 2 4 2" xfId="7022"/>
    <cellStyle name="Обычный 10 2 3 2 5" xfId="7023"/>
    <cellStyle name="Обычный 10 2 3 2 5 2" xfId="7024"/>
    <cellStyle name="Обычный 10 2 3 2 6" xfId="7025"/>
    <cellStyle name="Обычный 10 2 3 3" xfId="7026"/>
    <cellStyle name="Обычный 10 2 3 3 2" xfId="7027"/>
    <cellStyle name="Обычный 10 2 3 3 2 2" xfId="7028"/>
    <cellStyle name="Обычный 10 2 3 3 2 2 2" xfId="7029"/>
    <cellStyle name="Обычный 10 2 3 3 2 3" xfId="7030"/>
    <cellStyle name="Обычный 10 2 3 3 3" xfId="7031"/>
    <cellStyle name="Обычный 10 2 3 3 3 2" xfId="7032"/>
    <cellStyle name="Обычный 10 2 3 3 3 2 2" xfId="7033"/>
    <cellStyle name="Обычный 10 2 3 3 3 3" xfId="7034"/>
    <cellStyle name="Обычный 10 2 3 3 4" xfId="7035"/>
    <cellStyle name="Обычный 10 2 3 3 4 2" xfId="7036"/>
    <cellStyle name="Обычный 10 2 3 3 5" xfId="7037"/>
    <cellStyle name="Обычный 10 2 3 3 5 2" xfId="7038"/>
    <cellStyle name="Обычный 10 2 3 3 6" xfId="7039"/>
    <cellStyle name="Обычный 10 2 3 4" xfId="7040"/>
    <cellStyle name="Обычный 10 2 3 4 2" xfId="7041"/>
    <cellStyle name="Обычный 10 2 3 4 2 2" xfId="7042"/>
    <cellStyle name="Обычный 10 2 3 4 3" xfId="7043"/>
    <cellStyle name="Обычный 10 2 3 4 3 2" xfId="7044"/>
    <cellStyle name="Обычный 10 2 3 4 4" xfId="7045"/>
    <cellStyle name="Обычный 10 2 3 5" xfId="7046"/>
    <cellStyle name="Обычный 10 2 3 5 2" xfId="7047"/>
    <cellStyle name="Обычный 10 2 3 5 2 2" xfId="7048"/>
    <cellStyle name="Обычный 10 2 3 5 3" xfId="7049"/>
    <cellStyle name="Обычный 10 2 3 6" xfId="7050"/>
    <cellStyle name="Обычный 10 2 3 6 2" xfId="7051"/>
    <cellStyle name="Обычный 10 2 3 7" xfId="7052"/>
    <cellStyle name="Обычный 10 2 3 7 2" xfId="7053"/>
    <cellStyle name="Обычный 10 2 3 8" xfId="7054"/>
    <cellStyle name="Обычный 10 2 4" xfId="7055"/>
    <cellStyle name="Обычный 10 2 4 2" xfId="7056"/>
    <cellStyle name="Обычный 10 2 4 2 2" xfId="7057"/>
    <cellStyle name="Обычный 10 2 4 2 2 2" xfId="7058"/>
    <cellStyle name="Обычный 10 2 4 2 2 2 2" xfId="7059"/>
    <cellStyle name="Обычный 10 2 4 2 2 3" xfId="7060"/>
    <cellStyle name="Обычный 10 2 4 2 3" xfId="7061"/>
    <cellStyle name="Обычный 10 2 4 2 3 2" xfId="7062"/>
    <cellStyle name="Обычный 10 2 4 2 3 2 2" xfId="7063"/>
    <cellStyle name="Обычный 10 2 4 2 3 3" xfId="7064"/>
    <cellStyle name="Обычный 10 2 4 2 4" xfId="7065"/>
    <cellStyle name="Обычный 10 2 4 2 4 2" xfId="7066"/>
    <cellStyle name="Обычный 10 2 4 2 5" xfId="7067"/>
    <cellStyle name="Обычный 10 2 4 2 5 2" xfId="7068"/>
    <cellStyle name="Обычный 10 2 4 2 6" xfId="7069"/>
    <cellStyle name="Обычный 10 2 4 3" xfId="7070"/>
    <cellStyle name="Обычный 10 2 4 3 2" xfId="7071"/>
    <cellStyle name="Обычный 10 2 4 3 2 2" xfId="7072"/>
    <cellStyle name="Обычный 10 2 4 3 2 2 2" xfId="7073"/>
    <cellStyle name="Обычный 10 2 4 3 2 3" xfId="7074"/>
    <cellStyle name="Обычный 10 2 4 3 3" xfId="7075"/>
    <cellStyle name="Обычный 10 2 4 3 3 2" xfId="7076"/>
    <cellStyle name="Обычный 10 2 4 3 3 2 2" xfId="7077"/>
    <cellStyle name="Обычный 10 2 4 3 3 3" xfId="7078"/>
    <cellStyle name="Обычный 10 2 4 3 4" xfId="7079"/>
    <cellStyle name="Обычный 10 2 4 3 4 2" xfId="7080"/>
    <cellStyle name="Обычный 10 2 4 3 5" xfId="7081"/>
    <cellStyle name="Обычный 10 2 4 4" xfId="7082"/>
    <cellStyle name="Обычный 10 2 4 4 2" xfId="7083"/>
    <cellStyle name="Обычный 10 2 4 4 2 2" xfId="7084"/>
    <cellStyle name="Обычный 10 2 4 4 2 2 2" xfId="7085"/>
    <cellStyle name="Обычный 10 2 4 4 2 3" xfId="7086"/>
    <cellStyle name="Обычный 10 2 4 4 3" xfId="7087"/>
    <cellStyle name="Обычный 10 2 4 4 3 2" xfId="7088"/>
    <cellStyle name="Обычный 10 2 4 4 4" xfId="7089"/>
    <cellStyle name="Обычный 10 2 4 5" xfId="7090"/>
    <cellStyle name="Обычный 10 2 4 5 2" xfId="7091"/>
    <cellStyle name="Обычный 10 2 4 5 2 2" xfId="7092"/>
    <cellStyle name="Обычный 10 2 4 5 3" xfId="7093"/>
    <cellStyle name="Обычный 10 2 4 6" xfId="7094"/>
    <cellStyle name="Обычный 10 2 4 6 2" xfId="7095"/>
    <cellStyle name="Обычный 10 2 4 6 2 2" xfId="7096"/>
    <cellStyle name="Обычный 10 2 4 6 3" xfId="7097"/>
    <cellStyle name="Обычный 10 2 4 7" xfId="7098"/>
    <cellStyle name="Обычный 10 2 4 7 2" xfId="7099"/>
    <cellStyle name="Обычный 10 2 4 8" xfId="7100"/>
    <cellStyle name="Обычный 10 2 4 8 2" xfId="7101"/>
    <cellStyle name="Обычный 10 2 4 9" xfId="7102"/>
    <cellStyle name="Обычный 10 2 5" xfId="7103"/>
    <cellStyle name="Обычный 10 2 5 2" xfId="7104"/>
    <cellStyle name="Обычный 10 2 5 2 2" xfId="7105"/>
    <cellStyle name="Обычный 10 2 5 2 2 2" xfId="7106"/>
    <cellStyle name="Обычный 10 2 5 2 3" xfId="7107"/>
    <cellStyle name="Обычный 10 2 5 3" xfId="7108"/>
    <cellStyle name="Обычный 10 2 5 3 2" xfId="7109"/>
    <cellStyle name="Обычный 10 2 5 3 2 2" xfId="7110"/>
    <cellStyle name="Обычный 10 2 5 3 3" xfId="7111"/>
    <cellStyle name="Обычный 10 2 5 4" xfId="7112"/>
    <cellStyle name="Обычный 10 2 5 4 2" xfId="7113"/>
    <cellStyle name="Обычный 10 2 5 5" xfId="7114"/>
    <cellStyle name="Обычный 10 2 5 5 2" xfId="7115"/>
    <cellStyle name="Обычный 10 2 5 6" xfId="7116"/>
    <cellStyle name="Обычный 10 2 6" xfId="7117"/>
    <cellStyle name="Обычный 10 2 6 2" xfId="7118"/>
    <cellStyle name="Обычный 10 2 6 2 2" xfId="7119"/>
    <cellStyle name="Обычный 10 2 6 2 2 2" xfId="7120"/>
    <cellStyle name="Обычный 10 2 6 2 3" xfId="7121"/>
    <cellStyle name="Обычный 10 2 6 3" xfId="7122"/>
    <cellStyle name="Обычный 10 2 6 3 2" xfId="7123"/>
    <cellStyle name="Обычный 10 2 6 3 2 2" xfId="7124"/>
    <cellStyle name="Обычный 10 2 6 3 3" xfId="7125"/>
    <cellStyle name="Обычный 10 2 6 4" xfId="7126"/>
    <cellStyle name="Обычный 10 2 6 4 2" xfId="7127"/>
    <cellStyle name="Обычный 10 2 6 5" xfId="7128"/>
    <cellStyle name="Обычный 10 2 6 5 2" xfId="7129"/>
    <cellStyle name="Обычный 10 2 6 6" xfId="7130"/>
    <cellStyle name="Обычный 10 2 7" xfId="7131"/>
    <cellStyle name="Обычный 10 2 7 2" xfId="7132"/>
    <cellStyle name="Обычный 10 2 7 2 2" xfId="7133"/>
    <cellStyle name="Обычный 10 2 7 2 2 2" xfId="7134"/>
    <cellStyle name="Обычный 10 2 7 2 3" xfId="7135"/>
    <cellStyle name="Обычный 10 2 7 3" xfId="7136"/>
    <cellStyle name="Обычный 10 2 7 3 2" xfId="7137"/>
    <cellStyle name="Обычный 10 2 7 4" xfId="7138"/>
    <cellStyle name="Обычный 10 2 8" xfId="7139"/>
    <cellStyle name="Обычный 10 2 8 2" xfId="7140"/>
    <cellStyle name="Обычный 10 2 8 2 2" xfId="7141"/>
    <cellStyle name="Обычный 10 2 8 2 2 2" xfId="7142"/>
    <cellStyle name="Обычный 10 2 8 2 3" xfId="7143"/>
    <cellStyle name="Обычный 10 2 8 3" xfId="7144"/>
    <cellStyle name="Обычный 10 2 8 3 2" xfId="7145"/>
    <cellStyle name="Обычный 10 2 8 4" xfId="7146"/>
    <cellStyle name="Обычный 10 2 9" xfId="7147"/>
    <cellStyle name="Обычный 10 2 9 2" xfId="7148"/>
    <cellStyle name="Обычный 10 2 9 2 2" xfId="7149"/>
    <cellStyle name="Обычный 10 2 9 3" xfId="7150"/>
    <cellStyle name="Обычный 10 3" xfId="7151"/>
    <cellStyle name="Обычный 10 3 2" xfId="7152"/>
    <cellStyle name="Обычный 10 3 2 2" xfId="7153"/>
    <cellStyle name="Обычный 10 3 2 2 2" xfId="7154"/>
    <cellStyle name="Обычный 10 3 2 2 3" xfId="7155"/>
    <cellStyle name="Обычный 10 3 2 2 4" xfId="7156"/>
    <cellStyle name="Обычный 10 3 2 3" xfId="7157"/>
    <cellStyle name="Обычный 10 3 2 4" xfId="7158"/>
    <cellStyle name="Обычный 10 3 2 5" xfId="7159"/>
    <cellStyle name="Обычный 10 3 3" xfId="7160"/>
    <cellStyle name="Обычный 10 3 3 2" xfId="7161"/>
    <cellStyle name="Обычный 10 3 3 3" xfId="7162"/>
    <cellStyle name="Обычный 10 3 3 4" xfId="7163"/>
    <cellStyle name="Обычный 10 3 4" xfId="7164"/>
    <cellStyle name="Обычный 10 3 5" xfId="7165"/>
    <cellStyle name="Обычный 10 3 6" xfId="7166"/>
    <cellStyle name="Обычный 10 4" xfId="7167"/>
    <cellStyle name="Обычный 10 4 2" xfId="7168"/>
    <cellStyle name="Обычный 10 4 2 2" xfId="7169"/>
    <cellStyle name="Обычный 10 4 2 2 2" xfId="7170"/>
    <cellStyle name="Обычный 10 4 2 2 2 2" xfId="7171"/>
    <cellStyle name="Обычный 10 4 2 2 2 2 2" xfId="7172"/>
    <cellStyle name="Обычный 10 4 2 2 2 2 2 2" xfId="7173"/>
    <cellStyle name="Обычный 10 4 2 2 2 2 2 3" xfId="7174"/>
    <cellStyle name="Обычный 10 4 2 2 2 2 2 4" xfId="7175"/>
    <cellStyle name="Обычный 10 4 2 2 2 2 3" xfId="7176"/>
    <cellStyle name="Обычный 10 4 2 2 2 2 3 2" xfId="7177"/>
    <cellStyle name="Обычный 10 4 2 2 2 2 3 3" xfId="7178"/>
    <cellStyle name="Обычный 10 4 2 2 2 2 3 4" xfId="7179"/>
    <cellStyle name="Обычный 10 4 2 2 2 2 4" xfId="7180"/>
    <cellStyle name="Обычный 10 4 2 2 2 2 5" xfId="7181"/>
    <cellStyle name="Обычный 10 4 2 2 2 2 6" xfId="7182"/>
    <cellStyle name="Обычный 10 4 2 2 2 3" xfId="7183"/>
    <cellStyle name="Обычный 10 4 2 2 2 3 2" xfId="7184"/>
    <cellStyle name="Обычный 10 4 2 2 2 3 3" xfId="7185"/>
    <cellStyle name="Обычный 10 4 2 2 2 3 4" xfId="7186"/>
    <cellStyle name="Обычный 10 4 2 2 2 4" xfId="7187"/>
    <cellStyle name="Обычный 10 4 2 2 2 5" xfId="7188"/>
    <cellStyle name="Обычный 10 4 2 2 2 6" xfId="7189"/>
    <cellStyle name="Обычный 10 4 2 2 3" xfId="7190"/>
    <cellStyle name="Обычный 10 4 2 2 3 2" xfId="7191"/>
    <cellStyle name="Обычный 10 4 2 2 3 3" xfId="7192"/>
    <cellStyle name="Обычный 10 4 2 2 3 4" xfId="7193"/>
    <cellStyle name="Обычный 10 4 2 2 4" xfId="7194"/>
    <cellStyle name="Обычный 10 4 2 2 4 2" xfId="7195"/>
    <cellStyle name="Обычный 10 4 2 2 4 3" xfId="7196"/>
    <cellStyle name="Обычный 10 4 2 2 4 4" xfId="7197"/>
    <cellStyle name="Обычный 10 4 2 2 5" xfId="7198"/>
    <cellStyle name="Обычный 10 4 2 2 6" xfId="7199"/>
    <cellStyle name="Обычный 10 4 2 2 7" xfId="7200"/>
    <cellStyle name="Обычный 10 4 2 3" xfId="7201"/>
    <cellStyle name="Обычный 10 4 2 3 2" xfId="7202"/>
    <cellStyle name="Обычный 10 4 2 3 2 2" xfId="7203"/>
    <cellStyle name="Обычный 10 4 2 3 3" xfId="7204"/>
    <cellStyle name="Обычный 10 4 2 3 4" xfId="7205"/>
    <cellStyle name="Обычный 10 4 2 4" xfId="7206"/>
    <cellStyle name="Обычный 10 4 2 4 2" xfId="7207"/>
    <cellStyle name="Обычный 10 4 2 5" xfId="7208"/>
    <cellStyle name="Обычный 10 4 2 5 2" xfId="7209"/>
    <cellStyle name="Обычный 10 4 2 6" xfId="7210"/>
    <cellStyle name="Обычный 10 4 3" xfId="7211"/>
    <cellStyle name="Обычный 10 4 3 2" xfId="7212"/>
    <cellStyle name="Обычный 10 4 3 2 2" xfId="7213"/>
    <cellStyle name="Обычный 10 4 3 2 2 2" xfId="7214"/>
    <cellStyle name="Обычный 10 4 3 2 3" xfId="7215"/>
    <cellStyle name="Обычный 10 4 3 3" xfId="7216"/>
    <cellStyle name="Обычный 10 4 3 3 2" xfId="7217"/>
    <cellStyle name="Обычный 10 4 3 3 2 2" xfId="7218"/>
    <cellStyle name="Обычный 10 4 3 3 3" xfId="7219"/>
    <cellStyle name="Обычный 10 4 3 4" xfId="7220"/>
    <cellStyle name="Обычный 10 4 3 4 2" xfId="7221"/>
    <cellStyle name="Обычный 10 4 3 5" xfId="7222"/>
    <cellStyle name="Обычный 10 4 3 5 2" xfId="7223"/>
    <cellStyle name="Обычный 10 4 3 6" xfId="7224"/>
    <cellStyle name="Обычный 10 4 4" xfId="7225"/>
    <cellStyle name="Обычный 10 4 4 2" xfId="7226"/>
    <cellStyle name="Обычный 10 4 4 2 2" xfId="7227"/>
    <cellStyle name="Обычный 10 4 4 3" xfId="7228"/>
    <cellStyle name="Обычный 10 4 5" xfId="7229"/>
    <cellStyle name="Обычный 10 4 5 2" xfId="7230"/>
    <cellStyle name="Обычный 10 4 5 2 2" xfId="7231"/>
    <cellStyle name="Обычный 10 4 5 3" xfId="7232"/>
    <cellStyle name="Обычный 10 4 6" xfId="7233"/>
    <cellStyle name="Обычный 10 4 6 2" xfId="7234"/>
    <cellStyle name="Обычный 10 4 7" xfId="7235"/>
    <cellStyle name="Обычный 10 4 7 2" xfId="7236"/>
    <cellStyle name="Обычный 10 4 8" xfId="7237"/>
    <cellStyle name="Обычный 10 5" xfId="7238"/>
    <cellStyle name="Обычный 10 5 2" xfId="7239"/>
    <cellStyle name="Обычный 10 5 2 2" xfId="7240"/>
    <cellStyle name="Обычный 10 5 2 2 2" xfId="7241"/>
    <cellStyle name="Обычный 10 5 2 2 3" xfId="7242"/>
    <cellStyle name="Обычный 10 5 2 2 4" xfId="7243"/>
    <cellStyle name="Обычный 10 5 2 3" xfId="7244"/>
    <cellStyle name="Обычный 10 5 2 4" xfId="7245"/>
    <cellStyle name="Обычный 10 5 2 5" xfId="7246"/>
    <cellStyle name="Обычный 10 5 3" xfId="7247"/>
    <cellStyle name="Обычный 10 5 3 2" xfId="7248"/>
    <cellStyle name="Обычный 10 5 3 3" xfId="7249"/>
    <cellStyle name="Обычный 10 5 3 4" xfId="7250"/>
    <cellStyle name="Обычный 10 5 4" xfId="7251"/>
    <cellStyle name="Обычный 10 5 5" xfId="7252"/>
    <cellStyle name="Обычный 10 5 6" xfId="7253"/>
    <cellStyle name="Обычный 10 6" xfId="7254"/>
    <cellStyle name="Обычный 10 6 2" xfId="7255"/>
    <cellStyle name="Обычный 10 6 2 2" xfId="7256"/>
    <cellStyle name="Обычный 10 6 2 2 2" xfId="7257"/>
    <cellStyle name="Обычный 10 6 2 2 3" xfId="7258"/>
    <cellStyle name="Обычный 10 6 2 2 4" xfId="7259"/>
    <cellStyle name="Обычный 10 6 2 3" xfId="7260"/>
    <cellStyle name="Обычный 10 6 2 4" xfId="7261"/>
    <cellStyle name="Обычный 10 6 2 5" xfId="7262"/>
    <cellStyle name="Обычный 10 6 3" xfId="7263"/>
    <cellStyle name="Обычный 10 6 3 2" xfId="7264"/>
    <cellStyle name="Обычный 10 6 3 3" xfId="7265"/>
    <cellStyle name="Обычный 10 6 3 4" xfId="7266"/>
    <cellStyle name="Обычный 10 6 4" xfId="7267"/>
    <cellStyle name="Обычный 10 6 4 2" xfId="7268"/>
    <cellStyle name="Обычный 10 6 4 3" xfId="7269"/>
    <cellStyle name="Обычный 10 6 4 4" xfId="7270"/>
    <cellStyle name="Обычный 10 6 5" xfId="7271"/>
    <cellStyle name="Обычный 10 6 5 2" xfId="7272"/>
    <cellStyle name="Обычный 10 6 5 3" xfId="7273"/>
    <cellStyle name="Обычный 10 6 5 4" xfId="7274"/>
    <cellStyle name="Обычный 10 6 6" xfId="7275"/>
    <cellStyle name="Обычный 10 6 7" xfId="7276"/>
    <cellStyle name="Обычный 10 6 8" xfId="7277"/>
    <cellStyle name="Обычный 10 7" xfId="7278"/>
    <cellStyle name="Обычный 10 7 2" xfId="7279"/>
    <cellStyle name="Обычный 10 7 3" xfId="7280"/>
    <cellStyle name="Обычный 10 7 4" xfId="7281"/>
    <cellStyle name="Обычный 10 8" xfId="7282"/>
    <cellStyle name="Обычный 10 8 2" xfId="7283"/>
    <cellStyle name="Обычный 10 8 3" xfId="7284"/>
    <cellStyle name="Обычный 10 8 4" xfId="7285"/>
    <cellStyle name="Обычный 10 9" xfId="7286"/>
    <cellStyle name="Обычный 10 9 2" xfId="7287"/>
    <cellStyle name="Обычный 100" xfId="7288"/>
    <cellStyle name="Обычный 100 2" xfId="7289"/>
    <cellStyle name="Обычный 100 2 2" xfId="7290"/>
    <cellStyle name="Обычный 100 2 2 2" xfId="7291"/>
    <cellStyle name="Обычный 100 2 3" xfId="7292"/>
    <cellStyle name="Обычный 100 3" xfId="7293"/>
    <cellStyle name="Обычный 100 3 2" xfId="7294"/>
    <cellStyle name="Обычный 100 3 2 2" xfId="7295"/>
    <cellStyle name="Обычный 100 3 3" xfId="7296"/>
    <cellStyle name="Обычный 100 4" xfId="7297"/>
    <cellStyle name="Обычный 100 4 2" xfId="7298"/>
    <cellStyle name="Обычный 100 5" xfId="7299"/>
    <cellStyle name="Обычный 101" xfId="7300"/>
    <cellStyle name="Обычный 101 2" xfId="7301"/>
    <cellStyle name="Обычный 102" xfId="7302"/>
    <cellStyle name="Обычный 103" xfId="7303"/>
    <cellStyle name="Обычный 103 2" xfId="7304"/>
    <cellStyle name="Обычный 104" xfId="7305"/>
    <cellStyle name="Обычный 105" xfId="7306"/>
    <cellStyle name="Обычный 105 2" xfId="7307"/>
    <cellStyle name="Обычный 106" xfId="7308"/>
    <cellStyle name="Обычный 107" xfId="7309"/>
    <cellStyle name="Обычный 107 2" xfId="7310"/>
    <cellStyle name="Обычный 108" xfId="7311"/>
    <cellStyle name="Обычный 108 2" xfId="7312"/>
    <cellStyle name="Обычный 108 2 2" xfId="7313"/>
    <cellStyle name="Обычный 108 2 2 2" xfId="7314"/>
    <cellStyle name="Обычный 108 2 3" xfId="7315"/>
    <cellStyle name="Обычный 108 3" xfId="7316"/>
    <cellStyle name="Обычный 108 3 2" xfId="7317"/>
    <cellStyle name="Обычный 108 3 2 2" xfId="7318"/>
    <cellStyle name="Обычный 108 3 3" xfId="7319"/>
    <cellStyle name="Обычный 108 4" xfId="7320"/>
    <cellStyle name="Обычный 108 4 2" xfId="7321"/>
    <cellStyle name="Обычный 108 5" xfId="7322"/>
    <cellStyle name="Обычный 109" xfId="7323"/>
    <cellStyle name="Обычный 11" xfId="7324"/>
    <cellStyle name="Обычный 11 2" xfId="7325"/>
    <cellStyle name="Обычный 11 2 2" xfId="7326"/>
    <cellStyle name="Обычный 11 2 2 2" xfId="7327"/>
    <cellStyle name="Обычный 11 2 2 2 2" xfId="7328"/>
    <cellStyle name="Обычный 11 2 2 2 2 2" xfId="7329"/>
    <cellStyle name="Обычный 11 2 2 2 2 3" xfId="7330"/>
    <cellStyle name="Обычный 11 2 2 2 2 4" xfId="7331"/>
    <cellStyle name="Обычный 11 2 2 2 3" xfId="7332"/>
    <cellStyle name="Обычный 11 2 2 2 4" xfId="7333"/>
    <cellStyle name="Обычный 11 2 2 2 5" xfId="7334"/>
    <cellStyle name="Обычный 11 2 2 3" xfId="7335"/>
    <cellStyle name="Обычный 11 2 2 3 2" xfId="7336"/>
    <cellStyle name="Обычный 11 2 2 3 2 2" xfId="7337"/>
    <cellStyle name="Обычный 11 2 2 3 3" xfId="7338"/>
    <cellStyle name="Обычный 11 2 2 3 4" xfId="7339"/>
    <cellStyle name="Обычный 11 2 2 4" xfId="7340"/>
    <cellStyle name="Обычный 11 2 2 4 2" xfId="7341"/>
    <cellStyle name="Обычный 11 2 2 5" xfId="7342"/>
    <cellStyle name="Обычный 11 2 2 5 2" xfId="7343"/>
    <cellStyle name="Обычный 11 2 2 6" xfId="7344"/>
    <cellStyle name="Обычный 11 2 3" xfId="7345"/>
    <cellStyle name="Обычный 11 2 3 2" xfId="7346"/>
    <cellStyle name="Обычный 11 2 3 2 2" xfId="7347"/>
    <cellStyle name="Обычный 11 2 3 2 2 2" xfId="7348"/>
    <cellStyle name="Обычный 11 2 3 2 2 2 2" xfId="7349"/>
    <cellStyle name="Обычный 11 2 3 2 2 2 2 2" xfId="7350"/>
    <cellStyle name="Обычный 11 2 3 2 2 2 2 3" xfId="7351"/>
    <cellStyle name="Обычный 11 2 3 2 2 2 2 4" xfId="7352"/>
    <cellStyle name="Обычный 11 2 3 2 2 2 3" xfId="7353"/>
    <cellStyle name="Обычный 11 2 3 2 2 2 4" xfId="7354"/>
    <cellStyle name="Обычный 11 2 3 2 2 2 5" xfId="7355"/>
    <cellStyle name="Обычный 11 2 3 2 2 3" xfId="7356"/>
    <cellStyle name="Обычный 11 2 3 2 2 3 2" xfId="7357"/>
    <cellStyle name="Обычный 11 2 3 2 2 3 3" xfId="7358"/>
    <cellStyle name="Обычный 11 2 3 2 2 3 4" xfId="7359"/>
    <cellStyle name="Обычный 11 2 3 2 2 4" xfId="7360"/>
    <cellStyle name="Обычный 11 2 3 2 2 5" xfId="7361"/>
    <cellStyle name="Обычный 11 2 3 2 2 6" xfId="7362"/>
    <cellStyle name="Обычный 11 2 3 2 3" xfId="7363"/>
    <cellStyle name="Обычный 11 2 3 2 3 2" xfId="7364"/>
    <cellStyle name="Обычный 11 2 3 2 3 2 2" xfId="7365"/>
    <cellStyle name="Обычный 11 2 3 2 3 2 2 2" xfId="7366"/>
    <cellStyle name="Обычный 11 2 3 2 3 2 2 2 2" xfId="7367"/>
    <cellStyle name="Обычный 11 2 3 2 3 2 2 2 3" xfId="7368"/>
    <cellStyle name="Обычный 11 2 3 2 3 2 2 2 4" xfId="7369"/>
    <cellStyle name="Обычный 11 2 3 2 3 2 2 3" xfId="7370"/>
    <cellStyle name="Обычный 11 2 3 2 3 2 2 4" xfId="7371"/>
    <cellStyle name="Обычный 11 2 3 2 3 2 2 5" xfId="7372"/>
    <cellStyle name="Обычный 11 2 3 2 3 2 3" xfId="7373"/>
    <cellStyle name="Обычный 11 2 3 2 3 2 3 2" xfId="7374"/>
    <cellStyle name="Обычный 11 2 3 2 3 2 3 3" xfId="7375"/>
    <cellStyle name="Обычный 11 2 3 2 3 2 3 4" xfId="7376"/>
    <cellStyle name="Обычный 11 2 3 2 3 2 4" xfId="7377"/>
    <cellStyle name="Обычный 11 2 3 2 3 2 5" xfId="7378"/>
    <cellStyle name="Обычный 11 2 3 2 3 2 6" xfId="7379"/>
    <cellStyle name="Обычный 11 2 3 2 3 3" xfId="7380"/>
    <cellStyle name="Обычный 11 2 3 2 3 3 2" xfId="7381"/>
    <cellStyle name="Обычный 11 2 3 2 3 3 2 2" xfId="7382"/>
    <cellStyle name="Обычный 11 2 3 2 3 3 2 2 2" xfId="7383"/>
    <cellStyle name="Обычный 11 2 3 2 3 3 2 2 2 2" xfId="7384"/>
    <cellStyle name="Обычный 11 2 3 2 3 3 2 2 2 3" xfId="7385"/>
    <cellStyle name="Обычный 11 2 3 2 3 3 2 2 2 4" xfId="7386"/>
    <cellStyle name="Обычный 11 2 3 2 3 3 2 2 3" xfId="7387"/>
    <cellStyle name="Обычный 11 2 3 2 3 3 2 2 4" xfId="7388"/>
    <cellStyle name="Обычный 11 2 3 2 3 3 2 2 5" xfId="7389"/>
    <cellStyle name="Обычный 11 2 3 2 3 3 2 3" xfId="7390"/>
    <cellStyle name="Обычный 11 2 3 2 3 3 2 3 2" xfId="7391"/>
    <cellStyle name="Обычный 11 2 3 2 3 3 2 3 3" xfId="7392"/>
    <cellStyle name="Обычный 11 2 3 2 3 3 2 3 4" xfId="7393"/>
    <cellStyle name="Обычный 11 2 3 2 3 3 2 4" xfId="7394"/>
    <cellStyle name="Обычный 11 2 3 2 3 3 2 5" xfId="7395"/>
    <cellStyle name="Обычный 11 2 3 2 3 3 2 6" xfId="7396"/>
    <cellStyle name="Обычный 11 2 3 2 3 3 3" xfId="7397"/>
    <cellStyle name="Обычный 11 2 3 2 3 3 3 2" xfId="7398"/>
    <cellStyle name="Обычный 11 2 3 2 3 3 3 2 2" xfId="7399"/>
    <cellStyle name="Обычный 11 2 3 2 3 3 3 2 3" xfId="7400"/>
    <cellStyle name="Обычный 11 2 3 2 3 3 3 2 4" xfId="7401"/>
    <cellStyle name="Обычный 11 2 3 2 3 3 3 3" xfId="7402"/>
    <cellStyle name="Обычный 11 2 3 2 3 3 3 4" xfId="7403"/>
    <cellStyle name="Обычный 11 2 3 2 3 3 3 5" xfId="7404"/>
    <cellStyle name="Обычный 11 2 3 2 3 3 4" xfId="7405"/>
    <cellStyle name="Обычный 11 2 3 2 3 3 4 2" xfId="7406"/>
    <cellStyle name="Обычный 11 2 3 2 3 3 4 3" xfId="7407"/>
    <cellStyle name="Обычный 11 2 3 2 3 3 4 4" xfId="7408"/>
    <cellStyle name="Обычный 11 2 3 2 3 3 5" xfId="7409"/>
    <cellStyle name="Обычный 11 2 3 2 3 3 6" xfId="7410"/>
    <cellStyle name="Обычный 11 2 3 2 3 3 7" xfId="7411"/>
    <cellStyle name="Обычный 11 2 3 2 3 4" xfId="7412"/>
    <cellStyle name="Обычный 11 2 3 2 3 4 2" xfId="7413"/>
    <cellStyle name="Обычный 11 2 3 2 3 4 2 2" xfId="7414"/>
    <cellStyle name="Обычный 11 2 3 2 3 4 2 3" xfId="7415"/>
    <cellStyle name="Обычный 11 2 3 2 3 4 2 4" xfId="7416"/>
    <cellStyle name="Обычный 11 2 3 2 3 4 3" xfId="7417"/>
    <cellStyle name="Обычный 11 2 3 2 3 4 4" xfId="7418"/>
    <cellStyle name="Обычный 11 2 3 2 3 4 5" xfId="7419"/>
    <cellStyle name="Обычный 11 2 3 2 3 5" xfId="7420"/>
    <cellStyle name="Обычный 11 2 3 2 3 5 2" xfId="7421"/>
    <cellStyle name="Обычный 11 2 3 2 3 5 3" xfId="7422"/>
    <cellStyle name="Обычный 11 2 3 2 3 5 4" xfId="7423"/>
    <cellStyle name="Обычный 11 2 3 2 3 6" xfId="7424"/>
    <cellStyle name="Обычный 11 2 3 2 3 7" xfId="7425"/>
    <cellStyle name="Обычный 11 2 3 2 3 8" xfId="7426"/>
    <cellStyle name="Обычный 11 2 3 2 4" xfId="7427"/>
    <cellStyle name="Обычный 11 2 3 2 4 2" xfId="7428"/>
    <cellStyle name="Обычный 11 2 3 2 4 2 2" xfId="7429"/>
    <cellStyle name="Обычный 11 2 3 2 4 2 2 2" xfId="7430"/>
    <cellStyle name="Обычный 11 2 3 2 4 2 2 2 2" xfId="7431"/>
    <cellStyle name="Обычный 11 2 3 2 4 2 2 2 3" xfId="7432"/>
    <cellStyle name="Обычный 11 2 3 2 4 2 2 2 4" xfId="7433"/>
    <cellStyle name="Обычный 11 2 3 2 4 2 2 3" xfId="7434"/>
    <cellStyle name="Обычный 11 2 3 2 4 2 2 4" xfId="7435"/>
    <cellStyle name="Обычный 11 2 3 2 4 2 2 5" xfId="7436"/>
    <cellStyle name="Обычный 11 2 3 2 4 2 3" xfId="7437"/>
    <cellStyle name="Обычный 11 2 3 2 4 2 3 2" xfId="7438"/>
    <cellStyle name="Обычный 11 2 3 2 4 2 3 3" xfId="7439"/>
    <cellStyle name="Обычный 11 2 3 2 4 2 3 4" xfId="7440"/>
    <cellStyle name="Обычный 11 2 3 2 4 2 4" xfId="7441"/>
    <cellStyle name="Обычный 11 2 3 2 4 2 5" xfId="7442"/>
    <cellStyle name="Обычный 11 2 3 2 4 2 6" xfId="7443"/>
    <cellStyle name="Обычный 11 2 3 2 4 3" xfId="7444"/>
    <cellStyle name="Обычный 11 2 3 2 4 3 2" xfId="7445"/>
    <cellStyle name="Обычный 11 2 3 2 4 3 2 2" xfId="7446"/>
    <cellStyle name="Обычный 11 2 3 2 4 3 2 3" xfId="7447"/>
    <cellStyle name="Обычный 11 2 3 2 4 3 2 4" xfId="7448"/>
    <cellStyle name="Обычный 11 2 3 2 4 3 3" xfId="7449"/>
    <cellStyle name="Обычный 11 2 3 2 4 3 4" xfId="7450"/>
    <cellStyle name="Обычный 11 2 3 2 4 3 5" xfId="7451"/>
    <cellStyle name="Обычный 11 2 3 2 4 4" xfId="7452"/>
    <cellStyle name="Обычный 11 2 3 2 4 4 2" xfId="7453"/>
    <cellStyle name="Обычный 11 2 3 2 4 4 3" xfId="7454"/>
    <cellStyle name="Обычный 11 2 3 2 4 4 4" xfId="7455"/>
    <cellStyle name="Обычный 11 2 3 2 4 5" xfId="7456"/>
    <cellStyle name="Обычный 11 2 3 2 4 6" xfId="7457"/>
    <cellStyle name="Обычный 11 2 3 2 4 7" xfId="7458"/>
    <cellStyle name="Обычный 11 2 3 2 5" xfId="7459"/>
    <cellStyle name="Обычный 11 2 3 2 5 2" xfId="7460"/>
    <cellStyle name="Обычный 11 2 3 2 5 2 2" xfId="7461"/>
    <cellStyle name="Обычный 11 2 3 2 5 2 3" xfId="7462"/>
    <cellStyle name="Обычный 11 2 3 2 5 2 4" xfId="7463"/>
    <cellStyle name="Обычный 11 2 3 2 5 3" xfId="7464"/>
    <cellStyle name="Обычный 11 2 3 2 5 4" xfId="7465"/>
    <cellStyle name="Обычный 11 2 3 2 5 5" xfId="7466"/>
    <cellStyle name="Обычный 11 2 3 2 6" xfId="7467"/>
    <cellStyle name="Обычный 11 2 3 2 6 2" xfId="7468"/>
    <cellStyle name="Обычный 11 2 3 2 6 3" xfId="7469"/>
    <cellStyle name="Обычный 11 2 3 2 6 4" xfId="7470"/>
    <cellStyle name="Обычный 11 2 3 2 7" xfId="7471"/>
    <cellStyle name="Обычный 11 2 3 2 8" xfId="7472"/>
    <cellStyle name="Обычный 11 2 3 2 9" xfId="7473"/>
    <cellStyle name="Обычный 11 2 3 3" xfId="7474"/>
    <cellStyle name="Обычный 11 2 3 3 2" xfId="7475"/>
    <cellStyle name="Обычный 11 2 3 3 2 2" xfId="7476"/>
    <cellStyle name="Обычный 11 2 3 3 2 3" xfId="7477"/>
    <cellStyle name="Обычный 11 2 3 3 2 4" xfId="7478"/>
    <cellStyle name="Обычный 11 2 3 3 3" xfId="7479"/>
    <cellStyle name="Обычный 11 2 3 3 4" xfId="7480"/>
    <cellStyle name="Обычный 11 2 3 3 5" xfId="7481"/>
    <cellStyle name="Обычный 11 2 3 4" xfId="7482"/>
    <cellStyle name="Обычный 11 2 3 4 2" xfId="7483"/>
    <cellStyle name="Обычный 11 2 3 4 3" xfId="7484"/>
    <cellStyle name="Обычный 11 2 3 4 4" xfId="7485"/>
    <cellStyle name="Обычный 11 2 3 5" xfId="7486"/>
    <cellStyle name="Обычный 11 2 3 5 2" xfId="7487"/>
    <cellStyle name="Обычный 11 2 3 6" xfId="7488"/>
    <cellStyle name="Обычный 11 2 3 7" xfId="7489"/>
    <cellStyle name="Обычный 11 2 4" xfId="7490"/>
    <cellStyle name="Обычный 11 2 4 2" xfId="7491"/>
    <cellStyle name="Обычный 11 2 4 2 2" xfId="7492"/>
    <cellStyle name="Обычный 11 2 4 2 3" xfId="7493"/>
    <cellStyle name="Обычный 11 2 4 2 4" xfId="7494"/>
    <cellStyle name="Обычный 11 2 4 3" xfId="7495"/>
    <cellStyle name="Обычный 11 2 4 4" xfId="7496"/>
    <cellStyle name="Обычный 11 2 4 5" xfId="7497"/>
    <cellStyle name="Обычный 11 2 5" xfId="7498"/>
    <cellStyle name="Обычный 11 2 5 2" xfId="7499"/>
    <cellStyle name="Обычный 11 2 5 2 2" xfId="7500"/>
    <cellStyle name="Обычный 11 2 5 3" xfId="7501"/>
    <cellStyle name="Обычный 11 2 5 4" xfId="7502"/>
    <cellStyle name="Обычный 11 2 6" xfId="7503"/>
    <cellStyle name="Обычный 11 2 6 2" xfId="7504"/>
    <cellStyle name="Обычный 11 2 7" xfId="7505"/>
    <cellStyle name="Обычный 11 2 7 2" xfId="7506"/>
    <cellStyle name="Обычный 11 2 8" xfId="7507"/>
    <cellStyle name="Обычный 11 3" xfId="7508"/>
    <cellStyle name="Обычный 11 3 2" xfId="7509"/>
    <cellStyle name="Обычный 11 4" xfId="7510"/>
    <cellStyle name="Обычный 11 4 2" xfId="7511"/>
    <cellStyle name="Обычный 11 4 2 2" xfId="7512"/>
    <cellStyle name="Обычный 11 4 2 3" xfId="7513"/>
    <cellStyle name="Обычный 11 4 2 4" xfId="7514"/>
    <cellStyle name="Обычный 11 4 3" xfId="7515"/>
    <cellStyle name="Обычный 11 4 4" xfId="7516"/>
    <cellStyle name="Обычный 11 4 5" xfId="7517"/>
    <cellStyle name="Обычный 11 5" xfId="7518"/>
    <cellStyle name="Обычный 11 5 2" xfId="7519"/>
    <cellStyle name="Обычный 11 5 3" xfId="7520"/>
    <cellStyle name="Обычный 11 5 4" xfId="7521"/>
    <cellStyle name="Обычный 11 6" xfId="7522"/>
    <cellStyle name="Обычный 11 7" xfId="7523"/>
    <cellStyle name="Обычный 11 8" xfId="7524"/>
    <cellStyle name="Обычный 110" xfId="7525"/>
    <cellStyle name="Обычный 110 2" xfId="7526"/>
    <cellStyle name="Обычный 111" xfId="7527"/>
    <cellStyle name="Обычный 111 2" xfId="7528"/>
    <cellStyle name="Обычный 112" xfId="7529"/>
    <cellStyle name="Обычный 112 2" xfId="7530"/>
    <cellStyle name="Обычный 113" xfId="7531"/>
    <cellStyle name="Обычный 113 2" xfId="7532"/>
    <cellStyle name="Обычный 114" xfId="7533"/>
    <cellStyle name="Обычный 114 2" xfId="7534"/>
    <cellStyle name="Обычный 115" xfId="7535"/>
    <cellStyle name="Обычный 115 2" xfId="7536"/>
    <cellStyle name="Обычный 115 2 2" xfId="7537"/>
    <cellStyle name="Обычный 115 2 2 2" xfId="7538"/>
    <cellStyle name="Обычный 115 2 3" xfId="7539"/>
    <cellStyle name="Обычный 115 3" xfId="7540"/>
    <cellStyle name="Обычный 115 3 2" xfId="7541"/>
    <cellStyle name="Обычный 115 3 2 2" xfId="7542"/>
    <cellStyle name="Обычный 115 3 3" xfId="7543"/>
    <cellStyle name="Обычный 115 4" xfId="7544"/>
    <cellStyle name="Обычный 115 4 2" xfId="7545"/>
    <cellStyle name="Обычный 115 5" xfId="7546"/>
    <cellStyle name="Обычный 116" xfId="7547"/>
    <cellStyle name="Обычный 116 2" xfId="7548"/>
    <cellStyle name="Обычный 117" xfId="7549"/>
    <cellStyle name="Обычный 117 2" xfId="7550"/>
    <cellStyle name="Обычный 117 2 2" xfId="7551"/>
    <cellStyle name="Обычный 117 2 2 2" xfId="7552"/>
    <cellStyle name="Обычный 117 2 3" xfId="7553"/>
    <cellStyle name="Обычный 117 3" xfId="7554"/>
    <cellStyle name="Обычный 117 3 2" xfId="7555"/>
    <cellStyle name="Обычный 117 3 2 2" xfId="7556"/>
    <cellStyle name="Обычный 117 3 3" xfId="7557"/>
    <cellStyle name="Обычный 117 4" xfId="7558"/>
    <cellStyle name="Обычный 117 4 2" xfId="7559"/>
    <cellStyle name="Обычный 117 5" xfId="7560"/>
    <cellStyle name="Обычный 118" xfId="7561"/>
    <cellStyle name="Обычный 119" xfId="7562"/>
    <cellStyle name="Обычный 119 2" xfId="7563"/>
    <cellStyle name="Обычный 12" xfId="7564"/>
    <cellStyle name="Обычный 12 2" xfId="7565"/>
    <cellStyle name="Обычный 12 2 2" xfId="7566"/>
    <cellStyle name="Обычный 12 2 2 2" xfId="7567"/>
    <cellStyle name="Обычный 12 2 2 2 2" xfId="7568"/>
    <cellStyle name="Обычный 12 2 2 2 2 2" xfId="7569"/>
    <cellStyle name="Обычный 12 2 2 2 3" xfId="7570"/>
    <cellStyle name="Обычный 12 2 2 3" xfId="7571"/>
    <cellStyle name="Обычный 12 2 2 3 2" xfId="7572"/>
    <cellStyle name="Обычный 12 2 2 3 2 2" xfId="7573"/>
    <cellStyle name="Обычный 12 2 2 3 3" xfId="7574"/>
    <cellStyle name="Обычный 12 2 2 4" xfId="7575"/>
    <cellStyle name="Обычный 12 2 2 4 2" xfId="7576"/>
    <cellStyle name="Обычный 12 2 2 5" xfId="7577"/>
    <cellStyle name="Обычный 12 2 2 5 2" xfId="7578"/>
    <cellStyle name="Обычный 12 2 2 6" xfId="7579"/>
    <cellStyle name="Обычный 12 2 3" xfId="7580"/>
    <cellStyle name="Обычный 12 2 3 2" xfId="7581"/>
    <cellStyle name="Обычный 12 2 3 2 2" xfId="7582"/>
    <cellStyle name="Обычный 12 2 3 2 2 2" xfId="7583"/>
    <cellStyle name="Обычный 12 2 3 2 3" xfId="7584"/>
    <cellStyle name="Обычный 12 2 3 3" xfId="7585"/>
    <cellStyle name="Обычный 12 2 3 3 2" xfId="7586"/>
    <cellStyle name="Обычный 12 2 3 3 2 2" xfId="7587"/>
    <cellStyle name="Обычный 12 2 3 3 3" xfId="7588"/>
    <cellStyle name="Обычный 12 2 3 4" xfId="7589"/>
    <cellStyle name="Обычный 12 2 3 4 2" xfId="7590"/>
    <cellStyle name="Обычный 12 2 3 5" xfId="7591"/>
    <cellStyle name="Обычный 12 2 3 5 2" xfId="7592"/>
    <cellStyle name="Обычный 12 2 3 6" xfId="7593"/>
    <cellStyle name="Обычный 12 2 4" xfId="7594"/>
    <cellStyle name="Обычный 12 2 4 2" xfId="7595"/>
    <cellStyle name="Обычный 12 2 4 2 2" xfId="7596"/>
    <cellStyle name="Обычный 12 2 4 3" xfId="7597"/>
    <cellStyle name="Обычный 12 2 5" xfId="7598"/>
    <cellStyle name="Обычный 12 2 5 2" xfId="7599"/>
    <cellStyle name="Обычный 12 2 5 2 2" xfId="7600"/>
    <cellStyle name="Обычный 12 2 5 3" xfId="7601"/>
    <cellStyle name="Обычный 12 2 6" xfId="7602"/>
    <cellStyle name="Обычный 12 2 6 2" xfId="7603"/>
    <cellStyle name="Обычный 12 2 7" xfId="7604"/>
    <cellStyle name="Обычный 12 2 7 2" xfId="7605"/>
    <cellStyle name="Обычный 12 2 8" xfId="7606"/>
    <cellStyle name="Обычный 12 3" xfId="7607"/>
    <cellStyle name="Обычный 12 3 2" xfId="7608"/>
    <cellStyle name="Обычный 12 3 3" xfId="7609"/>
    <cellStyle name="Обычный 12 3 4" xfId="7610"/>
    <cellStyle name="Обычный 12 4" xfId="7611"/>
    <cellStyle name="Обычный 12 5" xfId="7612"/>
    <cellStyle name="Обычный 12 6" xfId="7613"/>
    <cellStyle name="Обычный 120" xfId="7614"/>
    <cellStyle name="Обычный 120 2" xfId="7615"/>
    <cellStyle name="Обычный 121" xfId="7616"/>
    <cellStyle name="Обычный 121 2" xfId="7617"/>
    <cellStyle name="Обычный 122" xfId="7618"/>
    <cellStyle name="Обычный 122 2" xfId="7619"/>
    <cellStyle name="Обычный 123" xfId="7620"/>
    <cellStyle name="Обычный 123 2" xfId="7621"/>
    <cellStyle name="Обычный 124" xfId="7622"/>
    <cellStyle name="Обычный 124 2" xfId="7623"/>
    <cellStyle name="Обычный 125" xfId="7624"/>
    <cellStyle name="Обычный 125 2" xfId="7625"/>
    <cellStyle name="Обычный 126" xfId="7626"/>
    <cellStyle name="Обычный 127" xfId="7627"/>
    <cellStyle name="Обычный 127 2" xfId="7628"/>
    <cellStyle name="Обычный 128" xfId="7629"/>
    <cellStyle name="Обычный 129" xfId="7630"/>
    <cellStyle name="Обычный 13" xfId="7631"/>
    <cellStyle name="Обычный 13 10" xfId="7632"/>
    <cellStyle name="Обычный 13 10 2" xfId="7633"/>
    <cellStyle name="Обычный 13 11" xfId="7634"/>
    <cellStyle name="Обычный 13 2" xfId="7635"/>
    <cellStyle name="Обычный 13 2 2" xfId="7636"/>
    <cellStyle name="Обычный 13 2 2 2" xfId="7637"/>
    <cellStyle name="Обычный 13 2 2 2 2" xfId="7638"/>
    <cellStyle name="Обычный 13 2 2 2 2 2" xfId="7639"/>
    <cellStyle name="Обычный 13 2 2 2 2 2 2" xfId="7640"/>
    <cellStyle name="Обычный 13 2 2 2 2 3" xfId="7641"/>
    <cellStyle name="Обычный 13 2 2 2 3" xfId="7642"/>
    <cellStyle name="Обычный 13 2 2 2 3 2" xfId="7643"/>
    <cellStyle name="Обычный 13 2 2 2 3 2 2" xfId="7644"/>
    <cellStyle name="Обычный 13 2 2 2 3 3" xfId="7645"/>
    <cellStyle name="Обычный 13 2 2 2 4" xfId="7646"/>
    <cellStyle name="Обычный 13 2 2 2 4 2" xfId="7647"/>
    <cellStyle name="Обычный 13 2 2 2 5" xfId="7648"/>
    <cellStyle name="Обычный 13 2 2 2 5 2" xfId="7649"/>
    <cellStyle name="Обычный 13 2 2 2 6" xfId="7650"/>
    <cellStyle name="Обычный 13 2 2 3" xfId="7651"/>
    <cellStyle name="Обычный 13 2 2 3 2" xfId="7652"/>
    <cellStyle name="Обычный 13 2 2 3 2 2" xfId="7653"/>
    <cellStyle name="Обычный 13 2 2 3 2 2 2" xfId="7654"/>
    <cellStyle name="Обычный 13 2 2 3 2 3" xfId="7655"/>
    <cellStyle name="Обычный 13 2 2 3 3" xfId="7656"/>
    <cellStyle name="Обычный 13 2 2 3 3 2" xfId="7657"/>
    <cellStyle name="Обычный 13 2 2 3 3 2 2" xfId="7658"/>
    <cellStyle name="Обычный 13 2 2 3 3 3" xfId="7659"/>
    <cellStyle name="Обычный 13 2 2 3 4" xfId="7660"/>
    <cellStyle name="Обычный 13 2 2 3 4 2" xfId="7661"/>
    <cellStyle name="Обычный 13 2 2 3 5" xfId="7662"/>
    <cellStyle name="Обычный 13 2 2 3 5 2" xfId="7663"/>
    <cellStyle name="Обычный 13 2 2 3 6" xfId="7664"/>
    <cellStyle name="Обычный 13 2 2 4" xfId="7665"/>
    <cellStyle name="Обычный 13 2 2 4 2" xfId="7666"/>
    <cellStyle name="Обычный 13 2 2 4 2 2" xfId="7667"/>
    <cellStyle name="Обычный 13 2 2 4 3" xfId="7668"/>
    <cellStyle name="Обычный 13 2 2 5" xfId="7669"/>
    <cellStyle name="Обычный 13 2 2 5 2" xfId="7670"/>
    <cellStyle name="Обычный 13 2 2 5 2 2" xfId="7671"/>
    <cellStyle name="Обычный 13 2 2 5 3" xfId="7672"/>
    <cellStyle name="Обычный 13 2 2 6" xfId="7673"/>
    <cellStyle name="Обычный 13 2 2 6 2" xfId="7674"/>
    <cellStyle name="Обычный 13 2 2 7" xfId="7675"/>
    <cellStyle name="Обычный 13 2 2 7 2" xfId="7676"/>
    <cellStyle name="Обычный 13 2 2 8" xfId="7677"/>
    <cellStyle name="Обычный 13 2 3" xfId="7678"/>
    <cellStyle name="Обычный 13 2 3 2" xfId="7679"/>
    <cellStyle name="Обычный 13 2 3 2 2" xfId="7680"/>
    <cellStyle name="Обычный 13 2 3 2 2 2" xfId="7681"/>
    <cellStyle name="Обычный 13 2 3 2 3" xfId="7682"/>
    <cellStyle name="Обычный 13 2 3 2 3 2" xfId="7683"/>
    <cellStyle name="Обычный 13 2 3 2 4" xfId="7684"/>
    <cellStyle name="Обычный 13 2 3 3" xfId="7685"/>
    <cellStyle name="Обычный 13 2 3 3 2" xfId="7686"/>
    <cellStyle name="Обычный 13 2 3 3 2 2" xfId="7687"/>
    <cellStyle name="Обычный 13 2 3 3 3" xfId="7688"/>
    <cellStyle name="Обычный 13 2 3 4" xfId="7689"/>
    <cellStyle name="Обычный 13 2 3 4 2" xfId="7690"/>
    <cellStyle name="Обычный 13 2 3 5" xfId="7691"/>
    <cellStyle name="Обычный 13 2 3 5 2" xfId="7692"/>
    <cellStyle name="Обычный 13 2 3 6" xfId="7693"/>
    <cellStyle name="Обычный 13 2 4" xfId="7694"/>
    <cellStyle name="Обычный 13 2 4 2" xfId="7695"/>
    <cellStyle name="Обычный 13 2 4 2 2" xfId="7696"/>
    <cellStyle name="Обычный 13 2 4 2 2 2" xfId="7697"/>
    <cellStyle name="Обычный 13 2 4 2 3" xfId="7698"/>
    <cellStyle name="Обычный 13 2 4 3" xfId="7699"/>
    <cellStyle name="Обычный 13 2 4 3 2" xfId="7700"/>
    <cellStyle name="Обычный 13 2 4 3 2 2" xfId="7701"/>
    <cellStyle name="Обычный 13 2 4 3 3" xfId="7702"/>
    <cellStyle name="Обычный 13 2 4 4" xfId="7703"/>
    <cellStyle name="Обычный 13 2 4 4 2" xfId="7704"/>
    <cellStyle name="Обычный 13 2 4 5" xfId="7705"/>
    <cellStyle name="Обычный 13 2 4 5 2" xfId="7706"/>
    <cellStyle name="Обычный 13 2 4 6" xfId="7707"/>
    <cellStyle name="Обычный 13 2 5" xfId="7708"/>
    <cellStyle name="Обычный 13 2 5 2" xfId="7709"/>
    <cellStyle name="Обычный 13 2 5 2 2" xfId="7710"/>
    <cellStyle name="Обычный 13 2 5 3" xfId="7711"/>
    <cellStyle name="Обычный 13 2 6" xfId="7712"/>
    <cellStyle name="Обычный 13 2 6 2" xfId="7713"/>
    <cellStyle name="Обычный 13 2 6 2 2" xfId="7714"/>
    <cellStyle name="Обычный 13 2 6 3" xfId="7715"/>
    <cellStyle name="Обычный 13 2 7" xfId="7716"/>
    <cellStyle name="Обычный 13 2 7 2" xfId="7717"/>
    <cellStyle name="Обычный 13 2 8" xfId="7718"/>
    <cellStyle name="Обычный 13 2 8 2" xfId="7719"/>
    <cellStyle name="Обычный 13 2 9" xfId="7720"/>
    <cellStyle name="Обычный 13 3" xfId="7721"/>
    <cellStyle name="Обычный 13 3 2" xfId="7722"/>
    <cellStyle name="Обычный 13 3 2 2" xfId="7723"/>
    <cellStyle name="Обычный 13 3 2 2 2" xfId="7724"/>
    <cellStyle name="Обычный 13 3 2 2 2 2" xfId="7725"/>
    <cellStyle name="Обычный 13 3 2 2 3" xfId="7726"/>
    <cellStyle name="Обычный 13 3 2 2 3 2" xfId="7727"/>
    <cellStyle name="Обычный 13 3 2 2 4" xfId="7728"/>
    <cellStyle name="Обычный 13 3 2 3" xfId="7729"/>
    <cellStyle name="Обычный 13 3 2 3 2" xfId="7730"/>
    <cellStyle name="Обычный 13 3 2 3 2 2" xfId="7731"/>
    <cellStyle name="Обычный 13 3 2 3 3" xfId="7732"/>
    <cellStyle name="Обычный 13 3 2 4" xfId="7733"/>
    <cellStyle name="Обычный 13 3 2 4 2" xfId="7734"/>
    <cellStyle name="Обычный 13 3 2 5" xfId="7735"/>
    <cellStyle name="Обычный 13 3 2 5 2" xfId="7736"/>
    <cellStyle name="Обычный 13 3 2 6" xfId="7737"/>
    <cellStyle name="Обычный 13 3 3" xfId="7738"/>
    <cellStyle name="Обычный 13 3 3 2" xfId="7739"/>
    <cellStyle name="Обычный 13 3 3 2 2" xfId="7740"/>
    <cellStyle name="Обычный 13 3 3 2 2 2" xfId="7741"/>
    <cellStyle name="Обычный 13 3 3 2 3" xfId="7742"/>
    <cellStyle name="Обычный 13 3 3 3" xfId="7743"/>
    <cellStyle name="Обычный 13 3 3 3 2" xfId="7744"/>
    <cellStyle name="Обычный 13 3 3 3 2 2" xfId="7745"/>
    <cellStyle name="Обычный 13 3 3 3 3" xfId="7746"/>
    <cellStyle name="Обычный 13 3 3 4" xfId="7747"/>
    <cellStyle name="Обычный 13 3 3 4 2" xfId="7748"/>
    <cellStyle name="Обычный 13 3 3 5" xfId="7749"/>
    <cellStyle name="Обычный 13 3 3 5 2" xfId="7750"/>
    <cellStyle name="Обычный 13 3 3 6" xfId="7751"/>
    <cellStyle name="Обычный 13 3 4" xfId="7752"/>
    <cellStyle name="Обычный 13 3 4 2" xfId="7753"/>
    <cellStyle name="Обычный 13 3 4 2 2" xfId="7754"/>
    <cellStyle name="Обычный 13 3 4 3" xfId="7755"/>
    <cellStyle name="Обычный 13 3 4 3 2" xfId="7756"/>
    <cellStyle name="Обычный 13 3 4 4" xfId="7757"/>
    <cellStyle name="Обычный 13 3 5" xfId="7758"/>
    <cellStyle name="Обычный 13 3 5 2" xfId="7759"/>
    <cellStyle name="Обычный 13 3 5 2 2" xfId="7760"/>
    <cellStyle name="Обычный 13 3 5 3" xfId="7761"/>
    <cellStyle name="Обычный 13 3 6" xfId="7762"/>
    <cellStyle name="Обычный 13 3 6 2" xfId="7763"/>
    <cellStyle name="Обычный 13 3 7" xfId="7764"/>
    <cellStyle name="Обычный 13 3 7 2" xfId="7765"/>
    <cellStyle name="Обычный 13 3 8" xfId="7766"/>
    <cellStyle name="Обычный 13 3 9" xfId="7767"/>
    <cellStyle name="Обычный 13 4" xfId="7768"/>
    <cellStyle name="Обычный 13 4 2" xfId="7769"/>
    <cellStyle name="Обычный 13 4 2 2" xfId="7770"/>
    <cellStyle name="Обычный 13 4 2 2 2" xfId="7771"/>
    <cellStyle name="Обычный 13 4 2 2 2 2" xfId="7772"/>
    <cellStyle name="Обычный 13 4 2 2 3" xfId="7773"/>
    <cellStyle name="Обычный 13 4 2 3" xfId="7774"/>
    <cellStyle name="Обычный 13 4 2 3 2" xfId="7775"/>
    <cellStyle name="Обычный 13 4 2 3 2 2" xfId="7776"/>
    <cellStyle name="Обычный 13 4 2 3 3" xfId="7777"/>
    <cellStyle name="Обычный 13 4 2 4" xfId="7778"/>
    <cellStyle name="Обычный 13 4 2 4 2" xfId="7779"/>
    <cellStyle name="Обычный 13 4 2 5" xfId="7780"/>
    <cellStyle name="Обычный 13 4 2 5 2" xfId="7781"/>
    <cellStyle name="Обычный 13 4 2 6" xfId="7782"/>
    <cellStyle name="Обычный 13 4 3" xfId="7783"/>
    <cellStyle name="Обычный 13 4 3 2" xfId="7784"/>
    <cellStyle name="Обычный 13 4 3 2 2" xfId="7785"/>
    <cellStyle name="Обычный 13 4 3 2 2 2" xfId="7786"/>
    <cellStyle name="Обычный 13 4 3 2 3" xfId="7787"/>
    <cellStyle name="Обычный 13 4 3 3" xfId="7788"/>
    <cellStyle name="Обычный 13 4 3 3 2" xfId="7789"/>
    <cellStyle name="Обычный 13 4 3 3 2 2" xfId="7790"/>
    <cellStyle name="Обычный 13 4 3 3 3" xfId="7791"/>
    <cellStyle name="Обычный 13 4 3 4" xfId="7792"/>
    <cellStyle name="Обычный 13 4 3 4 2" xfId="7793"/>
    <cellStyle name="Обычный 13 4 3 5" xfId="7794"/>
    <cellStyle name="Обычный 13 4 4" xfId="7795"/>
    <cellStyle name="Обычный 13 4 4 2" xfId="7796"/>
    <cellStyle name="Обычный 13 4 4 2 2" xfId="7797"/>
    <cellStyle name="Обычный 13 4 4 3" xfId="7798"/>
    <cellStyle name="Обычный 13 4 5" xfId="7799"/>
    <cellStyle name="Обычный 13 4 5 2" xfId="7800"/>
    <cellStyle name="Обычный 13 4 5 2 2" xfId="7801"/>
    <cellStyle name="Обычный 13 4 5 3" xfId="7802"/>
    <cellStyle name="Обычный 13 4 6" xfId="7803"/>
    <cellStyle name="Обычный 13 4 6 2" xfId="7804"/>
    <cellStyle name="Обычный 13 4 7" xfId="7805"/>
    <cellStyle name="Обычный 13 4 7 2" xfId="7806"/>
    <cellStyle name="Обычный 13 4 8" xfId="7807"/>
    <cellStyle name="Обычный 13 5" xfId="7808"/>
    <cellStyle name="Обычный 13 5 2" xfId="7809"/>
    <cellStyle name="Обычный 13 5 2 2" xfId="7810"/>
    <cellStyle name="Обычный 13 5 2 2 2" xfId="7811"/>
    <cellStyle name="Обычный 13 5 2 3" xfId="7812"/>
    <cellStyle name="Обычный 13 5 3" xfId="7813"/>
    <cellStyle name="Обычный 13 5 3 2" xfId="7814"/>
    <cellStyle name="Обычный 13 5 3 2 2" xfId="7815"/>
    <cellStyle name="Обычный 13 5 3 3" xfId="7816"/>
    <cellStyle name="Обычный 13 5 4" xfId="7817"/>
    <cellStyle name="Обычный 13 5 4 2" xfId="7818"/>
    <cellStyle name="Обычный 13 5 5" xfId="7819"/>
    <cellStyle name="Обычный 13 5 5 2" xfId="7820"/>
    <cellStyle name="Обычный 13 5 6" xfId="7821"/>
    <cellStyle name="Обычный 13 6" xfId="7822"/>
    <cellStyle name="Обычный 13 6 2" xfId="7823"/>
    <cellStyle name="Обычный 13 6 2 2" xfId="7824"/>
    <cellStyle name="Обычный 13 6 2 2 2" xfId="7825"/>
    <cellStyle name="Обычный 13 6 2 3" xfId="7826"/>
    <cellStyle name="Обычный 13 6 3" xfId="7827"/>
    <cellStyle name="Обычный 13 6 3 2" xfId="7828"/>
    <cellStyle name="Обычный 13 6 3 2 2" xfId="7829"/>
    <cellStyle name="Обычный 13 6 3 3" xfId="7830"/>
    <cellStyle name="Обычный 13 6 4" xfId="7831"/>
    <cellStyle name="Обычный 13 6 4 2" xfId="7832"/>
    <cellStyle name="Обычный 13 6 5" xfId="7833"/>
    <cellStyle name="Обычный 13 6 5 2" xfId="7834"/>
    <cellStyle name="Обычный 13 6 6" xfId="7835"/>
    <cellStyle name="Обычный 13 7" xfId="7836"/>
    <cellStyle name="Обычный 13 7 2" xfId="7837"/>
    <cellStyle name="Обычный 13 7 2 2" xfId="7838"/>
    <cellStyle name="Обычный 13 7 3" xfId="7839"/>
    <cellStyle name="Обычный 13 8" xfId="7840"/>
    <cellStyle name="Обычный 13 8 2" xfId="7841"/>
    <cellStyle name="Обычный 13 8 2 2" xfId="7842"/>
    <cellStyle name="Обычный 13 8 3" xfId="7843"/>
    <cellStyle name="Обычный 13 9" xfId="7844"/>
    <cellStyle name="Обычный 13 9 2" xfId="7845"/>
    <cellStyle name="Обычный 130" xfId="7846"/>
    <cellStyle name="Обычный 130 2" xfId="7847"/>
    <cellStyle name="Обычный 130 2 2" xfId="7848"/>
    <cellStyle name="Обычный 130 3" xfId="7849"/>
    <cellStyle name="Обычный 131" xfId="7850"/>
    <cellStyle name="Обычный 131 2" xfId="7851"/>
    <cellStyle name="Обычный 131 3" xfId="7852"/>
    <cellStyle name="Обычный 132" xfId="7853"/>
    <cellStyle name="Обычный 133" xfId="7854"/>
    <cellStyle name="Обычный 134" xfId="7855"/>
    <cellStyle name="Обычный 135" xfId="7856"/>
    <cellStyle name="Обычный 136" xfId="7857"/>
    <cellStyle name="Обычный 136 2" xfId="7858"/>
    <cellStyle name="Обычный 137" xfId="7859"/>
    <cellStyle name="Обычный 137 2" xfId="7860"/>
    <cellStyle name="Обычный 137 3" xfId="7861"/>
    <cellStyle name="Обычный 137 4" xfId="7862"/>
    <cellStyle name="Обычный 138" xfId="7863"/>
    <cellStyle name="Обычный 138 2" xfId="7864"/>
    <cellStyle name="Обычный 139" xfId="7865"/>
    <cellStyle name="Обычный 14" xfId="7866"/>
    <cellStyle name="Обычный 14 10" xfId="7867"/>
    <cellStyle name="Обычный 14 10 2" xfId="7868"/>
    <cellStyle name="Обычный 14 11" xfId="7869"/>
    <cellStyle name="Обычный 14 11 2" xfId="7870"/>
    <cellStyle name="Обычный 14 12" xfId="7871"/>
    <cellStyle name="Обычный 14 2" xfId="7872"/>
    <cellStyle name="Обычный 14 2 2" xfId="7873"/>
    <cellStyle name="Обычный 14 2 2 2" xfId="7874"/>
    <cellStyle name="Обычный 14 2 2 2 2" xfId="7875"/>
    <cellStyle name="Обычный 14 2 2 2 3" xfId="7876"/>
    <cellStyle name="Обычный 14 2 2 2 4" xfId="7877"/>
    <cellStyle name="Обычный 14 2 2 3" xfId="7878"/>
    <cellStyle name="Обычный 14 2 2 4" xfId="7879"/>
    <cellStyle name="Обычный 14 2 2 5" xfId="7880"/>
    <cellStyle name="Обычный 14 2 3" xfId="7881"/>
    <cellStyle name="Обычный 14 2 3 2" xfId="7882"/>
    <cellStyle name="Обычный 14 2 3 3" xfId="7883"/>
    <cellStyle name="Обычный 14 2 3 4" xfId="7884"/>
    <cellStyle name="Обычный 14 2 4" xfId="7885"/>
    <cellStyle name="Обычный 14 2 5" xfId="7886"/>
    <cellStyle name="Обычный 14 2 6" xfId="7887"/>
    <cellStyle name="Обычный 14 3" xfId="7888"/>
    <cellStyle name="Обычный 14 3 2" xfId="7889"/>
    <cellStyle name="Обычный 14 3 2 2" xfId="7890"/>
    <cellStyle name="Обычный 14 3 2 2 2" xfId="7891"/>
    <cellStyle name="Обычный 14 3 2 2 2 2" xfId="7892"/>
    <cellStyle name="Обычный 14 3 2 2 2 2 2" xfId="7893"/>
    <cellStyle name="Обычный 14 3 2 2 2 3" xfId="7894"/>
    <cellStyle name="Обычный 14 3 2 2 3" xfId="7895"/>
    <cellStyle name="Обычный 14 3 2 2 3 2" xfId="7896"/>
    <cellStyle name="Обычный 14 3 2 2 3 2 2" xfId="7897"/>
    <cellStyle name="Обычный 14 3 2 2 3 3" xfId="7898"/>
    <cellStyle name="Обычный 14 3 2 2 4" xfId="7899"/>
    <cellStyle name="Обычный 14 3 2 2 4 2" xfId="7900"/>
    <cellStyle name="Обычный 14 3 2 2 5" xfId="7901"/>
    <cellStyle name="Обычный 14 3 2 2 5 2" xfId="7902"/>
    <cellStyle name="Обычный 14 3 2 2 6" xfId="7903"/>
    <cellStyle name="Обычный 14 3 2 3" xfId="7904"/>
    <cellStyle name="Обычный 14 3 2 3 2" xfId="7905"/>
    <cellStyle name="Обычный 14 3 2 3 2 2" xfId="7906"/>
    <cellStyle name="Обычный 14 3 2 3 2 2 2" xfId="7907"/>
    <cellStyle name="Обычный 14 3 2 3 2 3" xfId="7908"/>
    <cellStyle name="Обычный 14 3 2 3 3" xfId="7909"/>
    <cellStyle name="Обычный 14 3 2 3 3 2" xfId="7910"/>
    <cellStyle name="Обычный 14 3 2 3 3 2 2" xfId="7911"/>
    <cellStyle name="Обычный 14 3 2 3 3 3" xfId="7912"/>
    <cellStyle name="Обычный 14 3 2 3 4" xfId="7913"/>
    <cellStyle name="Обычный 14 3 2 3 4 2" xfId="7914"/>
    <cellStyle name="Обычный 14 3 2 3 5" xfId="7915"/>
    <cellStyle name="Обычный 14 3 2 3 5 2" xfId="7916"/>
    <cellStyle name="Обычный 14 3 2 3 6" xfId="7917"/>
    <cellStyle name="Обычный 14 3 2 4" xfId="7918"/>
    <cellStyle name="Обычный 14 3 2 4 2" xfId="7919"/>
    <cellStyle name="Обычный 14 3 2 4 2 2" xfId="7920"/>
    <cellStyle name="Обычный 14 3 2 4 3" xfId="7921"/>
    <cellStyle name="Обычный 14 3 2 5" xfId="7922"/>
    <cellStyle name="Обычный 14 3 2 5 2" xfId="7923"/>
    <cellStyle name="Обычный 14 3 2 5 2 2" xfId="7924"/>
    <cellStyle name="Обычный 14 3 2 5 3" xfId="7925"/>
    <cellStyle name="Обычный 14 3 2 6" xfId="7926"/>
    <cellStyle name="Обычный 14 3 2 6 2" xfId="7927"/>
    <cellStyle name="Обычный 14 3 2 7" xfId="7928"/>
    <cellStyle name="Обычный 14 3 2 7 2" xfId="7929"/>
    <cellStyle name="Обычный 14 3 2 8" xfId="7930"/>
    <cellStyle name="Обычный 14 3 3" xfId="7931"/>
    <cellStyle name="Обычный 14 3 3 2" xfId="7932"/>
    <cellStyle name="Обычный 14 3 3 2 2" xfId="7933"/>
    <cellStyle name="Обычный 14 3 3 2 2 2" xfId="7934"/>
    <cellStyle name="Обычный 14 3 3 2 3" xfId="7935"/>
    <cellStyle name="Обычный 14 3 3 2 3 2" xfId="7936"/>
    <cellStyle name="Обычный 14 3 3 2 4" xfId="7937"/>
    <cellStyle name="Обычный 14 3 3 3" xfId="7938"/>
    <cellStyle name="Обычный 14 3 3 3 2" xfId="7939"/>
    <cellStyle name="Обычный 14 3 3 3 2 2" xfId="7940"/>
    <cellStyle name="Обычный 14 3 3 3 3" xfId="7941"/>
    <cellStyle name="Обычный 14 3 3 4" xfId="7942"/>
    <cellStyle name="Обычный 14 3 3 4 2" xfId="7943"/>
    <cellStyle name="Обычный 14 3 3 5" xfId="7944"/>
    <cellStyle name="Обычный 14 3 3 5 2" xfId="7945"/>
    <cellStyle name="Обычный 14 3 3 6" xfId="7946"/>
    <cellStyle name="Обычный 14 3 4" xfId="7947"/>
    <cellStyle name="Обычный 14 3 4 2" xfId="7948"/>
    <cellStyle name="Обычный 14 3 4 2 2" xfId="7949"/>
    <cellStyle name="Обычный 14 3 4 2 2 2" xfId="7950"/>
    <cellStyle name="Обычный 14 3 4 2 3" xfId="7951"/>
    <cellStyle name="Обычный 14 3 4 3" xfId="7952"/>
    <cellStyle name="Обычный 14 3 4 3 2" xfId="7953"/>
    <cellStyle name="Обычный 14 3 4 3 2 2" xfId="7954"/>
    <cellStyle name="Обычный 14 3 4 3 3" xfId="7955"/>
    <cellStyle name="Обычный 14 3 4 4" xfId="7956"/>
    <cellStyle name="Обычный 14 3 4 4 2" xfId="7957"/>
    <cellStyle name="Обычный 14 3 4 5" xfId="7958"/>
    <cellStyle name="Обычный 14 3 4 5 2" xfId="7959"/>
    <cellStyle name="Обычный 14 3 4 6" xfId="7960"/>
    <cellStyle name="Обычный 14 3 5" xfId="7961"/>
    <cellStyle name="Обычный 14 3 5 2" xfId="7962"/>
    <cellStyle name="Обычный 14 3 5 2 2" xfId="7963"/>
    <cellStyle name="Обычный 14 3 5 3" xfId="7964"/>
    <cellStyle name="Обычный 14 3 6" xfId="7965"/>
    <cellStyle name="Обычный 14 3 6 2" xfId="7966"/>
    <cellStyle name="Обычный 14 3 6 2 2" xfId="7967"/>
    <cellStyle name="Обычный 14 3 6 3" xfId="7968"/>
    <cellStyle name="Обычный 14 3 7" xfId="7969"/>
    <cellStyle name="Обычный 14 3 7 2" xfId="7970"/>
    <cellStyle name="Обычный 14 3 8" xfId="7971"/>
    <cellStyle name="Обычный 14 3 8 2" xfId="7972"/>
    <cellStyle name="Обычный 14 3 9" xfId="7973"/>
    <cellStyle name="Обычный 14 4" xfId="7974"/>
    <cellStyle name="Обычный 14 4 2" xfId="7975"/>
    <cellStyle name="Обычный 14 4 2 2" xfId="7976"/>
    <cellStyle name="Обычный 14 4 2 2 2" xfId="7977"/>
    <cellStyle name="Обычный 14 4 2 2 2 2" xfId="7978"/>
    <cellStyle name="Обычный 14 4 2 2 3" xfId="7979"/>
    <cellStyle name="Обычный 14 4 2 2 3 2" xfId="7980"/>
    <cellStyle name="Обычный 14 4 2 2 4" xfId="7981"/>
    <cellStyle name="Обычный 14 4 2 3" xfId="7982"/>
    <cellStyle name="Обычный 14 4 2 3 2" xfId="7983"/>
    <cellStyle name="Обычный 14 4 2 3 2 2" xfId="7984"/>
    <cellStyle name="Обычный 14 4 2 3 3" xfId="7985"/>
    <cellStyle name="Обычный 14 4 2 4" xfId="7986"/>
    <cellStyle name="Обычный 14 4 2 4 2" xfId="7987"/>
    <cellStyle name="Обычный 14 4 2 5" xfId="7988"/>
    <cellStyle name="Обычный 14 4 2 5 2" xfId="7989"/>
    <cellStyle name="Обычный 14 4 2 6" xfId="7990"/>
    <cellStyle name="Обычный 14 4 3" xfId="7991"/>
    <cellStyle name="Обычный 14 4 3 2" xfId="7992"/>
    <cellStyle name="Обычный 14 4 3 2 2" xfId="7993"/>
    <cellStyle name="Обычный 14 4 3 2 2 2" xfId="7994"/>
    <cellStyle name="Обычный 14 4 3 2 3" xfId="7995"/>
    <cellStyle name="Обычный 14 4 3 3" xfId="7996"/>
    <cellStyle name="Обычный 14 4 3 3 2" xfId="7997"/>
    <cellStyle name="Обычный 14 4 3 3 2 2" xfId="7998"/>
    <cellStyle name="Обычный 14 4 3 3 3" xfId="7999"/>
    <cellStyle name="Обычный 14 4 3 4" xfId="8000"/>
    <cellStyle name="Обычный 14 4 3 4 2" xfId="8001"/>
    <cellStyle name="Обычный 14 4 3 5" xfId="8002"/>
    <cellStyle name="Обычный 14 4 3 5 2" xfId="8003"/>
    <cellStyle name="Обычный 14 4 3 6" xfId="8004"/>
    <cellStyle name="Обычный 14 4 4" xfId="8005"/>
    <cellStyle name="Обычный 14 4 4 2" xfId="8006"/>
    <cellStyle name="Обычный 14 4 4 2 2" xfId="8007"/>
    <cellStyle name="Обычный 14 4 4 3" xfId="8008"/>
    <cellStyle name="Обычный 14 4 4 3 2" xfId="8009"/>
    <cellStyle name="Обычный 14 4 4 4" xfId="8010"/>
    <cellStyle name="Обычный 14 4 5" xfId="8011"/>
    <cellStyle name="Обычный 14 4 5 2" xfId="8012"/>
    <cellStyle name="Обычный 14 4 5 2 2" xfId="8013"/>
    <cellStyle name="Обычный 14 4 5 3" xfId="8014"/>
    <cellStyle name="Обычный 14 4 6" xfId="8015"/>
    <cellStyle name="Обычный 14 4 6 2" xfId="8016"/>
    <cellStyle name="Обычный 14 4 7" xfId="8017"/>
    <cellStyle name="Обычный 14 4 7 2" xfId="8018"/>
    <cellStyle name="Обычный 14 4 8" xfId="8019"/>
    <cellStyle name="Обычный 14 5" xfId="8020"/>
    <cellStyle name="Обычный 14 5 2" xfId="8021"/>
    <cellStyle name="Обычный 14 5 2 2" xfId="8022"/>
    <cellStyle name="Обычный 14 5 2 2 2" xfId="8023"/>
    <cellStyle name="Обычный 14 5 2 2 2 2" xfId="8024"/>
    <cellStyle name="Обычный 14 5 2 2 3" xfId="8025"/>
    <cellStyle name="Обычный 14 5 2 3" xfId="8026"/>
    <cellStyle name="Обычный 14 5 2 3 2" xfId="8027"/>
    <cellStyle name="Обычный 14 5 2 3 2 2" xfId="8028"/>
    <cellStyle name="Обычный 14 5 2 3 3" xfId="8029"/>
    <cellStyle name="Обычный 14 5 2 4" xfId="8030"/>
    <cellStyle name="Обычный 14 5 2 4 2" xfId="8031"/>
    <cellStyle name="Обычный 14 5 2 5" xfId="8032"/>
    <cellStyle name="Обычный 14 5 2 5 2" xfId="8033"/>
    <cellStyle name="Обычный 14 5 2 6" xfId="8034"/>
    <cellStyle name="Обычный 14 5 3" xfId="8035"/>
    <cellStyle name="Обычный 14 5 3 2" xfId="8036"/>
    <cellStyle name="Обычный 14 5 3 2 2" xfId="8037"/>
    <cellStyle name="Обычный 14 5 3 2 2 2" xfId="8038"/>
    <cellStyle name="Обычный 14 5 3 2 3" xfId="8039"/>
    <cellStyle name="Обычный 14 5 3 3" xfId="8040"/>
    <cellStyle name="Обычный 14 5 3 3 2" xfId="8041"/>
    <cellStyle name="Обычный 14 5 3 3 2 2" xfId="8042"/>
    <cellStyle name="Обычный 14 5 3 3 3" xfId="8043"/>
    <cellStyle name="Обычный 14 5 3 4" xfId="8044"/>
    <cellStyle name="Обычный 14 5 3 4 2" xfId="8045"/>
    <cellStyle name="Обычный 14 5 3 5" xfId="8046"/>
    <cellStyle name="Обычный 14 5 4" xfId="8047"/>
    <cellStyle name="Обычный 14 5 4 2" xfId="8048"/>
    <cellStyle name="Обычный 14 5 4 2 2" xfId="8049"/>
    <cellStyle name="Обычный 14 5 4 3" xfId="8050"/>
    <cellStyle name="Обычный 14 5 5" xfId="8051"/>
    <cellStyle name="Обычный 14 5 5 2" xfId="8052"/>
    <cellStyle name="Обычный 14 5 5 2 2" xfId="8053"/>
    <cellStyle name="Обычный 14 5 5 3" xfId="8054"/>
    <cellStyle name="Обычный 14 5 6" xfId="8055"/>
    <cellStyle name="Обычный 14 5 6 2" xfId="8056"/>
    <cellStyle name="Обычный 14 5 7" xfId="8057"/>
    <cellStyle name="Обычный 14 5 7 2" xfId="8058"/>
    <cellStyle name="Обычный 14 5 8" xfId="8059"/>
    <cellStyle name="Обычный 14 6" xfId="8060"/>
    <cellStyle name="Обычный 14 6 2" xfId="8061"/>
    <cellStyle name="Обычный 14 6 2 2" xfId="8062"/>
    <cellStyle name="Обычный 14 6 2 2 2" xfId="8063"/>
    <cellStyle name="Обычный 14 6 2 3" xfId="8064"/>
    <cellStyle name="Обычный 14 6 3" xfId="8065"/>
    <cellStyle name="Обычный 14 6 3 2" xfId="8066"/>
    <cellStyle name="Обычный 14 6 3 2 2" xfId="8067"/>
    <cellStyle name="Обычный 14 6 3 3" xfId="8068"/>
    <cellStyle name="Обычный 14 6 4" xfId="8069"/>
    <cellStyle name="Обычный 14 6 4 2" xfId="8070"/>
    <cellStyle name="Обычный 14 6 5" xfId="8071"/>
    <cellStyle name="Обычный 14 6 5 2" xfId="8072"/>
    <cellStyle name="Обычный 14 6 6" xfId="8073"/>
    <cellStyle name="Обычный 14 7" xfId="8074"/>
    <cellStyle name="Обычный 14 7 2" xfId="8075"/>
    <cellStyle name="Обычный 14 7 2 2" xfId="8076"/>
    <cellStyle name="Обычный 14 7 2 2 2" xfId="8077"/>
    <cellStyle name="Обычный 14 7 2 3" xfId="8078"/>
    <cellStyle name="Обычный 14 7 3" xfId="8079"/>
    <cellStyle name="Обычный 14 7 3 2" xfId="8080"/>
    <cellStyle name="Обычный 14 7 3 2 2" xfId="8081"/>
    <cellStyle name="Обычный 14 7 3 3" xfId="8082"/>
    <cellStyle name="Обычный 14 7 4" xfId="8083"/>
    <cellStyle name="Обычный 14 7 4 2" xfId="8084"/>
    <cellStyle name="Обычный 14 7 5" xfId="8085"/>
    <cellStyle name="Обычный 14 7 5 2" xfId="8086"/>
    <cellStyle name="Обычный 14 7 6" xfId="8087"/>
    <cellStyle name="Обычный 14 8" xfId="8088"/>
    <cellStyle name="Обычный 14 8 2" xfId="8089"/>
    <cellStyle name="Обычный 14 8 2 2" xfId="8090"/>
    <cellStyle name="Обычный 14 8 3" xfId="8091"/>
    <cellStyle name="Обычный 14 9" xfId="8092"/>
    <cellStyle name="Обычный 14 9 2" xfId="8093"/>
    <cellStyle name="Обычный 14 9 2 2" xfId="8094"/>
    <cellStyle name="Обычный 14 9 3" xfId="8095"/>
    <cellStyle name="Обычный 140" xfId="8096"/>
    <cellStyle name="Обычный 141" xfId="8097"/>
    <cellStyle name="Обычный 142" xfId="8098"/>
    <cellStyle name="Обычный 143" xfId="8099"/>
    <cellStyle name="Обычный 144" xfId="8100"/>
    <cellStyle name="Обычный 145" xfId="8101"/>
    <cellStyle name="Обычный 146" xfId="8102"/>
    <cellStyle name="Обычный 147" xfId="8103"/>
    <cellStyle name="Обычный 148" xfId="8104"/>
    <cellStyle name="Обычный 149" xfId="8105"/>
    <cellStyle name="Обычный 15" xfId="8106"/>
    <cellStyle name="Обычный 15 10" xfId="8107"/>
    <cellStyle name="Обычный 15 10 2" xfId="8108"/>
    <cellStyle name="Обычный 15 11" xfId="8109"/>
    <cellStyle name="Обычный 15 2" xfId="8110"/>
    <cellStyle name="Обычный 15 2 2" xfId="8111"/>
    <cellStyle name="Обычный 15 2 2 2" xfId="8112"/>
    <cellStyle name="Обычный 15 2 2 2 2" xfId="8113"/>
    <cellStyle name="Обычный 15 2 2 2 2 2" xfId="8114"/>
    <cellStyle name="Обычный 15 2 2 2 2 2 2" xfId="8115"/>
    <cellStyle name="Обычный 15 2 2 2 2 3" xfId="8116"/>
    <cellStyle name="Обычный 15 2 2 2 3" xfId="8117"/>
    <cellStyle name="Обычный 15 2 2 2 3 2" xfId="8118"/>
    <cellStyle name="Обычный 15 2 2 2 3 2 2" xfId="8119"/>
    <cellStyle name="Обычный 15 2 2 2 3 3" xfId="8120"/>
    <cellStyle name="Обычный 15 2 2 2 4" xfId="8121"/>
    <cellStyle name="Обычный 15 2 2 2 4 2" xfId="8122"/>
    <cellStyle name="Обычный 15 2 2 2 5" xfId="8123"/>
    <cellStyle name="Обычный 15 2 2 2 5 2" xfId="8124"/>
    <cellStyle name="Обычный 15 2 2 2 6" xfId="8125"/>
    <cellStyle name="Обычный 15 2 2 3" xfId="8126"/>
    <cellStyle name="Обычный 15 2 2 3 2" xfId="8127"/>
    <cellStyle name="Обычный 15 2 2 3 2 2" xfId="8128"/>
    <cellStyle name="Обычный 15 2 2 3 2 2 2" xfId="8129"/>
    <cellStyle name="Обычный 15 2 2 3 2 3" xfId="8130"/>
    <cellStyle name="Обычный 15 2 2 3 3" xfId="8131"/>
    <cellStyle name="Обычный 15 2 2 3 3 2" xfId="8132"/>
    <cellStyle name="Обычный 15 2 2 3 3 2 2" xfId="8133"/>
    <cellStyle name="Обычный 15 2 2 3 3 3" xfId="8134"/>
    <cellStyle name="Обычный 15 2 2 3 4" xfId="8135"/>
    <cellStyle name="Обычный 15 2 2 3 4 2" xfId="8136"/>
    <cellStyle name="Обычный 15 2 2 3 5" xfId="8137"/>
    <cellStyle name="Обычный 15 2 2 3 5 2" xfId="8138"/>
    <cellStyle name="Обычный 15 2 2 3 6" xfId="8139"/>
    <cellStyle name="Обычный 15 2 2 4" xfId="8140"/>
    <cellStyle name="Обычный 15 2 2 4 2" xfId="8141"/>
    <cellStyle name="Обычный 15 2 2 4 2 2" xfId="8142"/>
    <cellStyle name="Обычный 15 2 2 4 3" xfId="8143"/>
    <cellStyle name="Обычный 15 2 2 5" xfId="8144"/>
    <cellStyle name="Обычный 15 2 2 5 2" xfId="8145"/>
    <cellStyle name="Обычный 15 2 2 5 2 2" xfId="8146"/>
    <cellStyle name="Обычный 15 2 2 5 3" xfId="8147"/>
    <cellStyle name="Обычный 15 2 2 6" xfId="8148"/>
    <cellStyle name="Обычный 15 2 2 6 2" xfId="8149"/>
    <cellStyle name="Обычный 15 2 2 7" xfId="8150"/>
    <cellStyle name="Обычный 15 2 2 7 2" xfId="8151"/>
    <cellStyle name="Обычный 15 2 2 8" xfId="8152"/>
    <cellStyle name="Обычный 15 2 3" xfId="8153"/>
    <cellStyle name="Обычный 15 2 3 2" xfId="8154"/>
    <cellStyle name="Обычный 15 2 3 2 2" xfId="8155"/>
    <cellStyle name="Обычный 15 2 3 2 2 2" xfId="8156"/>
    <cellStyle name="Обычный 15 2 3 2 3" xfId="8157"/>
    <cellStyle name="Обычный 15 2 3 2 3 2" xfId="8158"/>
    <cellStyle name="Обычный 15 2 3 2 4" xfId="8159"/>
    <cellStyle name="Обычный 15 2 3 3" xfId="8160"/>
    <cellStyle name="Обычный 15 2 3 3 2" xfId="8161"/>
    <cellStyle name="Обычный 15 2 3 3 2 2" xfId="8162"/>
    <cellStyle name="Обычный 15 2 3 3 3" xfId="8163"/>
    <cellStyle name="Обычный 15 2 3 4" xfId="8164"/>
    <cellStyle name="Обычный 15 2 3 4 2" xfId="8165"/>
    <cellStyle name="Обычный 15 2 3 5" xfId="8166"/>
    <cellStyle name="Обычный 15 2 3 5 2" xfId="8167"/>
    <cellStyle name="Обычный 15 2 3 6" xfId="8168"/>
    <cellStyle name="Обычный 15 2 4" xfId="8169"/>
    <cellStyle name="Обычный 15 2 4 2" xfId="8170"/>
    <cellStyle name="Обычный 15 2 4 2 2" xfId="8171"/>
    <cellStyle name="Обычный 15 2 4 2 2 2" xfId="8172"/>
    <cellStyle name="Обычный 15 2 4 2 3" xfId="8173"/>
    <cellStyle name="Обычный 15 2 4 3" xfId="8174"/>
    <cellStyle name="Обычный 15 2 4 3 2" xfId="8175"/>
    <cellStyle name="Обычный 15 2 4 3 2 2" xfId="8176"/>
    <cellStyle name="Обычный 15 2 4 3 3" xfId="8177"/>
    <cellStyle name="Обычный 15 2 4 4" xfId="8178"/>
    <cellStyle name="Обычный 15 2 4 4 2" xfId="8179"/>
    <cellStyle name="Обычный 15 2 4 5" xfId="8180"/>
    <cellStyle name="Обычный 15 2 4 5 2" xfId="8181"/>
    <cellStyle name="Обычный 15 2 4 6" xfId="8182"/>
    <cellStyle name="Обычный 15 2 5" xfId="8183"/>
    <cellStyle name="Обычный 15 2 5 2" xfId="8184"/>
    <cellStyle name="Обычный 15 2 5 2 2" xfId="8185"/>
    <cellStyle name="Обычный 15 2 5 3" xfId="8186"/>
    <cellStyle name="Обычный 15 2 6" xfId="8187"/>
    <cellStyle name="Обычный 15 2 6 2" xfId="8188"/>
    <cellStyle name="Обычный 15 2 6 2 2" xfId="8189"/>
    <cellStyle name="Обычный 15 2 6 3" xfId="8190"/>
    <cellStyle name="Обычный 15 2 7" xfId="8191"/>
    <cellStyle name="Обычный 15 2 7 2" xfId="8192"/>
    <cellStyle name="Обычный 15 2 8" xfId="8193"/>
    <cellStyle name="Обычный 15 2 8 2" xfId="8194"/>
    <cellStyle name="Обычный 15 2 9" xfId="8195"/>
    <cellStyle name="Обычный 15 3" xfId="8196"/>
    <cellStyle name="Обычный 15 3 2" xfId="8197"/>
    <cellStyle name="Обычный 15 3 2 2" xfId="8198"/>
    <cellStyle name="Обычный 15 3 2 2 2" xfId="8199"/>
    <cellStyle name="Обычный 15 3 2 2 2 2" xfId="8200"/>
    <cellStyle name="Обычный 15 3 2 2 3" xfId="8201"/>
    <cellStyle name="Обычный 15 3 2 2 3 2" xfId="8202"/>
    <cellStyle name="Обычный 15 3 2 2 4" xfId="8203"/>
    <cellStyle name="Обычный 15 3 2 3" xfId="8204"/>
    <cellStyle name="Обычный 15 3 2 3 2" xfId="8205"/>
    <cellStyle name="Обычный 15 3 2 3 2 2" xfId="8206"/>
    <cellStyle name="Обычный 15 3 2 3 3" xfId="8207"/>
    <cellStyle name="Обычный 15 3 2 4" xfId="8208"/>
    <cellStyle name="Обычный 15 3 2 4 2" xfId="8209"/>
    <cellStyle name="Обычный 15 3 2 5" xfId="8210"/>
    <cellStyle name="Обычный 15 3 2 5 2" xfId="8211"/>
    <cellStyle name="Обычный 15 3 2 6" xfId="8212"/>
    <cellStyle name="Обычный 15 3 3" xfId="8213"/>
    <cellStyle name="Обычный 15 3 3 2" xfId="8214"/>
    <cellStyle name="Обычный 15 3 3 2 2" xfId="8215"/>
    <cellStyle name="Обычный 15 3 3 2 2 2" xfId="8216"/>
    <cellStyle name="Обычный 15 3 3 2 3" xfId="8217"/>
    <cellStyle name="Обычный 15 3 3 3" xfId="8218"/>
    <cellStyle name="Обычный 15 3 3 3 2" xfId="8219"/>
    <cellStyle name="Обычный 15 3 3 3 2 2" xfId="8220"/>
    <cellStyle name="Обычный 15 3 3 3 3" xfId="8221"/>
    <cellStyle name="Обычный 15 3 3 4" xfId="8222"/>
    <cellStyle name="Обычный 15 3 3 4 2" xfId="8223"/>
    <cellStyle name="Обычный 15 3 3 5" xfId="8224"/>
    <cellStyle name="Обычный 15 3 3 5 2" xfId="8225"/>
    <cellStyle name="Обычный 15 3 3 6" xfId="8226"/>
    <cellStyle name="Обычный 15 3 4" xfId="8227"/>
    <cellStyle name="Обычный 15 3 4 2" xfId="8228"/>
    <cellStyle name="Обычный 15 3 4 2 2" xfId="8229"/>
    <cellStyle name="Обычный 15 3 4 3" xfId="8230"/>
    <cellStyle name="Обычный 15 3 4 3 2" xfId="8231"/>
    <cellStyle name="Обычный 15 3 4 4" xfId="8232"/>
    <cellStyle name="Обычный 15 3 5" xfId="8233"/>
    <cellStyle name="Обычный 15 3 5 2" xfId="8234"/>
    <cellStyle name="Обычный 15 3 5 2 2" xfId="8235"/>
    <cellStyle name="Обычный 15 3 5 3" xfId="8236"/>
    <cellStyle name="Обычный 15 3 6" xfId="8237"/>
    <cellStyle name="Обычный 15 3 6 2" xfId="8238"/>
    <cellStyle name="Обычный 15 3 7" xfId="8239"/>
    <cellStyle name="Обычный 15 3 7 2" xfId="8240"/>
    <cellStyle name="Обычный 15 3 8" xfId="8241"/>
    <cellStyle name="Обычный 15 4" xfId="8242"/>
    <cellStyle name="Обычный 15 4 2" xfId="8243"/>
    <cellStyle name="Обычный 15 4 2 2" xfId="8244"/>
    <cellStyle name="Обычный 15 4 2 2 2" xfId="8245"/>
    <cellStyle name="Обычный 15 4 2 2 2 2" xfId="8246"/>
    <cellStyle name="Обычный 15 4 2 2 3" xfId="8247"/>
    <cellStyle name="Обычный 15 4 2 3" xfId="8248"/>
    <cellStyle name="Обычный 15 4 2 3 2" xfId="8249"/>
    <cellStyle name="Обычный 15 4 2 3 2 2" xfId="8250"/>
    <cellStyle name="Обычный 15 4 2 3 3" xfId="8251"/>
    <cellStyle name="Обычный 15 4 2 4" xfId="8252"/>
    <cellStyle name="Обычный 15 4 2 4 2" xfId="8253"/>
    <cellStyle name="Обычный 15 4 2 5" xfId="8254"/>
    <cellStyle name="Обычный 15 4 2 5 2" xfId="8255"/>
    <cellStyle name="Обычный 15 4 2 6" xfId="8256"/>
    <cellStyle name="Обычный 15 4 3" xfId="8257"/>
    <cellStyle name="Обычный 15 4 3 2" xfId="8258"/>
    <cellStyle name="Обычный 15 4 3 2 2" xfId="8259"/>
    <cellStyle name="Обычный 15 4 3 2 2 2" xfId="8260"/>
    <cellStyle name="Обычный 15 4 3 2 3" xfId="8261"/>
    <cellStyle name="Обычный 15 4 3 3" xfId="8262"/>
    <cellStyle name="Обычный 15 4 3 3 2" xfId="8263"/>
    <cellStyle name="Обычный 15 4 3 3 2 2" xfId="8264"/>
    <cellStyle name="Обычный 15 4 3 3 3" xfId="8265"/>
    <cellStyle name="Обычный 15 4 3 4" xfId="8266"/>
    <cellStyle name="Обычный 15 4 3 4 2" xfId="8267"/>
    <cellStyle name="Обычный 15 4 3 5" xfId="8268"/>
    <cellStyle name="Обычный 15 4 4" xfId="8269"/>
    <cellStyle name="Обычный 15 4 4 2" xfId="8270"/>
    <cellStyle name="Обычный 15 4 4 2 2" xfId="8271"/>
    <cellStyle name="Обычный 15 4 4 3" xfId="8272"/>
    <cellStyle name="Обычный 15 4 5" xfId="8273"/>
    <cellStyle name="Обычный 15 4 5 2" xfId="8274"/>
    <cellStyle name="Обычный 15 4 5 2 2" xfId="8275"/>
    <cellStyle name="Обычный 15 4 5 3" xfId="8276"/>
    <cellStyle name="Обычный 15 4 6" xfId="8277"/>
    <cellStyle name="Обычный 15 4 6 2" xfId="8278"/>
    <cellStyle name="Обычный 15 4 7" xfId="8279"/>
    <cellStyle name="Обычный 15 4 7 2" xfId="8280"/>
    <cellStyle name="Обычный 15 4 8" xfId="8281"/>
    <cellStyle name="Обычный 15 5" xfId="8282"/>
    <cellStyle name="Обычный 15 5 2" xfId="8283"/>
    <cellStyle name="Обычный 15 5 2 2" xfId="8284"/>
    <cellStyle name="Обычный 15 5 2 2 2" xfId="8285"/>
    <cellStyle name="Обычный 15 5 2 3" xfId="8286"/>
    <cellStyle name="Обычный 15 5 3" xfId="8287"/>
    <cellStyle name="Обычный 15 5 3 2" xfId="8288"/>
    <cellStyle name="Обычный 15 5 3 2 2" xfId="8289"/>
    <cellStyle name="Обычный 15 5 3 3" xfId="8290"/>
    <cellStyle name="Обычный 15 5 4" xfId="8291"/>
    <cellStyle name="Обычный 15 5 4 2" xfId="8292"/>
    <cellStyle name="Обычный 15 5 5" xfId="8293"/>
    <cellStyle name="Обычный 15 5 5 2" xfId="8294"/>
    <cellStyle name="Обычный 15 5 6" xfId="8295"/>
    <cellStyle name="Обычный 15 6" xfId="8296"/>
    <cellStyle name="Обычный 15 6 2" xfId="8297"/>
    <cellStyle name="Обычный 15 6 2 2" xfId="8298"/>
    <cellStyle name="Обычный 15 6 2 2 2" xfId="8299"/>
    <cellStyle name="Обычный 15 6 2 3" xfId="8300"/>
    <cellStyle name="Обычный 15 6 3" xfId="8301"/>
    <cellStyle name="Обычный 15 6 3 2" xfId="8302"/>
    <cellStyle name="Обычный 15 6 3 2 2" xfId="8303"/>
    <cellStyle name="Обычный 15 6 3 3" xfId="8304"/>
    <cellStyle name="Обычный 15 6 4" xfId="8305"/>
    <cellStyle name="Обычный 15 6 4 2" xfId="8306"/>
    <cellStyle name="Обычный 15 6 5" xfId="8307"/>
    <cellStyle name="Обычный 15 6 5 2" xfId="8308"/>
    <cellStyle name="Обычный 15 6 6" xfId="8309"/>
    <cellStyle name="Обычный 15 7" xfId="8310"/>
    <cellStyle name="Обычный 15 7 2" xfId="8311"/>
    <cellStyle name="Обычный 15 7 2 2" xfId="8312"/>
    <cellStyle name="Обычный 15 7 3" xfId="8313"/>
    <cellStyle name="Обычный 15 8" xfId="8314"/>
    <cellStyle name="Обычный 15 8 2" xfId="8315"/>
    <cellStyle name="Обычный 15 8 2 2" xfId="8316"/>
    <cellStyle name="Обычный 15 8 3" xfId="8317"/>
    <cellStyle name="Обычный 15 9" xfId="8318"/>
    <cellStyle name="Обычный 15 9 2" xfId="8319"/>
    <cellStyle name="Обычный 150" xfId="8320"/>
    <cellStyle name="Обычный 151" xfId="8321"/>
    <cellStyle name="Обычный 152" xfId="8322"/>
    <cellStyle name="Обычный 153" xfId="8323"/>
    <cellStyle name="Обычный 154" xfId="8324"/>
    <cellStyle name="Обычный 155" xfId="8325"/>
    <cellStyle name="Обычный 156" xfId="8326"/>
    <cellStyle name="Обычный 157" xfId="8327"/>
    <cellStyle name="Обычный 158" xfId="8328"/>
    <cellStyle name="Обычный 159" xfId="8329"/>
    <cellStyle name="Обычный 16" xfId="8330"/>
    <cellStyle name="Обычный 16 10" xfId="8331"/>
    <cellStyle name="Обычный 16 10 2" xfId="8332"/>
    <cellStyle name="Обычный 16 11" xfId="8333"/>
    <cellStyle name="Обычный 16 2" xfId="8334"/>
    <cellStyle name="Обычный 16 2 2" xfId="8335"/>
    <cellStyle name="Обычный 16 2 2 2" xfId="8336"/>
    <cellStyle name="Обычный 16 2 2 2 2" xfId="8337"/>
    <cellStyle name="Обычный 16 2 2 2 2 2" xfId="8338"/>
    <cellStyle name="Обычный 16 2 2 2 2 2 2" xfId="8339"/>
    <cellStyle name="Обычный 16 2 2 2 2 3" xfId="8340"/>
    <cellStyle name="Обычный 16 2 2 2 3" xfId="8341"/>
    <cellStyle name="Обычный 16 2 2 2 3 2" xfId="8342"/>
    <cellStyle name="Обычный 16 2 2 2 3 2 2" xfId="8343"/>
    <cellStyle name="Обычный 16 2 2 2 3 3" xfId="8344"/>
    <cellStyle name="Обычный 16 2 2 2 4" xfId="8345"/>
    <cellStyle name="Обычный 16 2 2 2 4 2" xfId="8346"/>
    <cellStyle name="Обычный 16 2 2 2 5" xfId="8347"/>
    <cellStyle name="Обычный 16 2 2 2 5 2" xfId="8348"/>
    <cellStyle name="Обычный 16 2 2 2 6" xfId="8349"/>
    <cellStyle name="Обычный 16 2 2 3" xfId="8350"/>
    <cellStyle name="Обычный 16 2 2 3 2" xfId="8351"/>
    <cellStyle name="Обычный 16 2 2 3 2 2" xfId="8352"/>
    <cellStyle name="Обычный 16 2 2 3 2 2 2" xfId="8353"/>
    <cellStyle name="Обычный 16 2 2 3 2 3" xfId="8354"/>
    <cellStyle name="Обычный 16 2 2 3 3" xfId="8355"/>
    <cellStyle name="Обычный 16 2 2 3 3 2" xfId="8356"/>
    <cellStyle name="Обычный 16 2 2 3 3 2 2" xfId="8357"/>
    <cellStyle name="Обычный 16 2 2 3 3 3" xfId="8358"/>
    <cellStyle name="Обычный 16 2 2 3 4" xfId="8359"/>
    <cellStyle name="Обычный 16 2 2 3 4 2" xfId="8360"/>
    <cellStyle name="Обычный 16 2 2 3 5" xfId="8361"/>
    <cellStyle name="Обычный 16 2 2 3 5 2" xfId="8362"/>
    <cellStyle name="Обычный 16 2 2 3 6" xfId="8363"/>
    <cellStyle name="Обычный 16 2 2 4" xfId="8364"/>
    <cellStyle name="Обычный 16 2 2 4 2" xfId="8365"/>
    <cellStyle name="Обычный 16 2 2 4 2 2" xfId="8366"/>
    <cellStyle name="Обычный 16 2 2 4 3" xfId="8367"/>
    <cellStyle name="Обычный 16 2 2 5" xfId="8368"/>
    <cellStyle name="Обычный 16 2 2 5 2" xfId="8369"/>
    <cellStyle name="Обычный 16 2 2 5 2 2" xfId="8370"/>
    <cellStyle name="Обычный 16 2 2 5 3" xfId="8371"/>
    <cellStyle name="Обычный 16 2 2 6" xfId="8372"/>
    <cellStyle name="Обычный 16 2 2 6 2" xfId="8373"/>
    <cellStyle name="Обычный 16 2 2 7" xfId="8374"/>
    <cellStyle name="Обычный 16 2 2 7 2" xfId="8375"/>
    <cellStyle name="Обычный 16 2 2 8" xfId="8376"/>
    <cellStyle name="Обычный 16 2 3" xfId="8377"/>
    <cellStyle name="Обычный 16 2 3 2" xfId="8378"/>
    <cellStyle name="Обычный 16 2 3 2 2" xfId="8379"/>
    <cellStyle name="Обычный 16 2 3 2 2 2" xfId="8380"/>
    <cellStyle name="Обычный 16 2 3 2 3" xfId="8381"/>
    <cellStyle name="Обычный 16 2 3 2 3 2" xfId="8382"/>
    <cellStyle name="Обычный 16 2 3 2 4" xfId="8383"/>
    <cellStyle name="Обычный 16 2 3 3" xfId="8384"/>
    <cellStyle name="Обычный 16 2 3 3 2" xfId="8385"/>
    <cellStyle name="Обычный 16 2 3 3 2 2" xfId="8386"/>
    <cellStyle name="Обычный 16 2 3 3 3" xfId="8387"/>
    <cellStyle name="Обычный 16 2 3 4" xfId="8388"/>
    <cellStyle name="Обычный 16 2 3 4 2" xfId="8389"/>
    <cellStyle name="Обычный 16 2 3 5" xfId="8390"/>
    <cellStyle name="Обычный 16 2 3 5 2" xfId="8391"/>
    <cellStyle name="Обычный 16 2 3 6" xfId="8392"/>
    <cellStyle name="Обычный 16 2 4" xfId="8393"/>
    <cellStyle name="Обычный 16 2 4 2" xfId="8394"/>
    <cellStyle name="Обычный 16 2 4 2 2" xfId="8395"/>
    <cellStyle name="Обычный 16 2 4 2 2 2" xfId="8396"/>
    <cellStyle name="Обычный 16 2 4 2 3" xfId="8397"/>
    <cellStyle name="Обычный 16 2 4 3" xfId="8398"/>
    <cellStyle name="Обычный 16 2 4 3 2" xfId="8399"/>
    <cellStyle name="Обычный 16 2 4 3 2 2" xfId="8400"/>
    <cellStyle name="Обычный 16 2 4 3 3" xfId="8401"/>
    <cellStyle name="Обычный 16 2 4 4" xfId="8402"/>
    <cellStyle name="Обычный 16 2 4 4 2" xfId="8403"/>
    <cellStyle name="Обычный 16 2 4 5" xfId="8404"/>
    <cellStyle name="Обычный 16 2 4 5 2" xfId="8405"/>
    <cellStyle name="Обычный 16 2 4 6" xfId="8406"/>
    <cellStyle name="Обычный 16 2 5" xfId="8407"/>
    <cellStyle name="Обычный 16 2 5 2" xfId="8408"/>
    <cellStyle name="Обычный 16 2 5 2 2" xfId="8409"/>
    <cellStyle name="Обычный 16 2 5 3" xfId="8410"/>
    <cellStyle name="Обычный 16 2 6" xfId="8411"/>
    <cellStyle name="Обычный 16 2 6 2" xfId="8412"/>
    <cellStyle name="Обычный 16 2 6 2 2" xfId="8413"/>
    <cellStyle name="Обычный 16 2 6 3" xfId="8414"/>
    <cellStyle name="Обычный 16 2 7" xfId="8415"/>
    <cellStyle name="Обычный 16 2 7 2" xfId="8416"/>
    <cellStyle name="Обычный 16 2 8" xfId="8417"/>
    <cellStyle name="Обычный 16 2 8 2" xfId="8418"/>
    <cellStyle name="Обычный 16 2 9" xfId="8419"/>
    <cellStyle name="Обычный 16 3" xfId="8420"/>
    <cellStyle name="Обычный 16 3 2" xfId="8421"/>
    <cellStyle name="Обычный 16 3 2 2" xfId="8422"/>
    <cellStyle name="Обычный 16 3 2 2 2" xfId="8423"/>
    <cellStyle name="Обычный 16 3 2 2 2 2" xfId="8424"/>
    <cellStyle name="Обычный 16 3 2 2 3" xfId="8425"/>
    <cellStyle name="Обычный 16 3 2 2 3 2" xfId="8426"/>
    <cellStyle name="Обычный 16 3 2 2 4" xfId="8427"/>
    <cellStyle name="Обычный 16 3 2 3" xfId="8428"/>
    <cellStyle name="Обычный 16 3 2 3 2" xfId="8429"/>
    <cellStyle name="Обычный 16 3 2 3 2 2" xfId="8430"/>
    <cellStyle name="Обычный 16 3 2 3 3" xfId="8431"/>
    <cellStyle name="Обычный 16 3 2 4" xfId="8432"/>
    <cellStyle name="Обычный 16 3 2 4 2" xfId="8433"/>
    <cellStyle name="Обычный 16 3 2 5" xfId="8434"/>
    <cellStyle name="Обычный 16 3 2 5 2" xfId="8435"/>
    <cellStyle name="Обычный 16 3 2 6" xfId="8436"/>
    <cellStyle name="Обычный 16 3 3" xfId="8437"/>
    <cellStyle name="Обычный 16 3 3 2" xfId="8438"/>
    <cellStyle name="Обычный 16 3 3 2 2" xfId="8439"/>
    <cellStyle name="Обычный 16 3 3 2 2 2" xfId="8440"/>
    <cellStyle name="Обычный 16 3 3 2 3" xfId="8441"/>
    <cellStyle name="Обычный 16 3 3 3" xfId="8442"/>
    <cellStyle name="Обычный 16 3 3 3 2" xfId="8443"/>
    <cellStyle name="Обычный 16 3 3 3 2 2" xfId="8444"/>
    <cellStyle name="Обычный 16 3 3 3 3" xfId="8445"/>
    <cellStyle name="Обычный 16 3 3 4" xfId="8446"/>
    <cellStyle name="Обычный 16 3 3 4 2" xfId="8447"/>
    <cellStyle name="Обычный 16 3 3 5" xfId="8448"/>
    <cellStyle name="Обычный 16 3 3 5 2" xfId="8449"/>
    <cellStyle name="Обычный 16 3 3 6" xfId="8450"/>
    <cellStyle name="Обычный 16 3 4" xfId="8451"/>
    <cellStyle name="Обычный 16 3 4 2" xfId="8452"/>
    <cellStyle name="Обычный 16 3 4 2 2" xfId="8453"/>
    <cellStyle name="Обычный 16 3 4 3" xfId="8454"/>
    <cellStyle name="Обычный 16 3 4 3 2" xfId="8455"/>
    <cellStyle name="Обычный 16 3 4 4" xfId="8456"/>
    <cellStyle name="Обычный 16 3 5" xfId="8457"/>
    <cellStyle name="Обычный 16 3 5 2" xfId="8458"/>
    <cellStyle name="Обычный 16 3 5 2 2" xfId="8459"/>
    <cellStyle name="Обычный 16 3 5 3" xfId="8460"/>
    <cellStyle name="Обычный 16 3 6" xfId="8461"/>
    <cellStyle name="Обычный 16 3 6 2" xfId="8462"/>
    <cellStyle name="Обычный 16 3 7" xfId="8463"/>
    <cellStyle name="Обычный 16 3 7 2" xfId="8464"/>
    <cellStyle name="Обычный 16 3 8" xfId="8465"/>
    <cellStyle name="Обычный 16 4" xfId="8466"/>
    <cellStyle name="Обычный 16 4 2" xfId="8467"/>
    <cellStyle name="Обычный 16 4 2 2" xfId="8468"/>
    <cellStyle name="Обычный 16 4 2 2 2" xfId="8469"/>
    <cellStyle name="Обычный 16 4 2 2 2 2" xfId="8470"/>
    <cellStyle name="Обычный 16 4 2 2 3" xfId="8471"/>
    <cellStyle name="Обычный 16 4 2 3" xfId="8472"/>
    <cellStyle name="Обычный 16 4 2 3 2" xfId="8473"/>
    <cellStyle name="Обычный 16 4 2 3 2 2" xfId="8474"/>
    <cellStyle name="Обычный 16 4 2 3 3" xfId="8475"/>
    <cellStyle name="Обычный 16 4 2 4" xfId="8476"/>
    <cellStyle name="Обычный 16 4 2 4 2" xfId="8477"/>
    <cellStyle name="Обычный 16 4 2 5" xfId="8478"/>
    <cellStyle name="Обычный 16 4 2 5 2" xfId="8479"/>
    <cellStyle name="Обычный 16 4 2 6" xfId="8480"/>
    <cellStyle name="Обычный 16 4 3" xfId="8481"/>
    <cellStyle name="Обычный 16 4 3 2" xfId="8482"/>
    <cellStyle name="Обычный 16 4 3 2 2" xfId="8483"/>
    <cellStyle name="Обычный 16 4 3 2 2 2" xfId="8484"/>
    <cellStyle name="Обычный 16 4 3 2 3" xfId="8485"/>
    <cellStyle name="Обычный 16 4 3 3" xfId="8486"/>
    <cellStyle name="Обычный 16 4 3 3 2" xfId="8487"/>
    <cellStyle name="Обычный 16 4 3 3 2 2" xfId="8488"/>
    <cellStyle name="Обычный 16 4 3 3 3" xfId="8489"/>
    <cellStyle name="Обычный 16 4 3 4" xfId="8490"/>
    <cellStyle name="Обычный 16 4 3 4 2" xfId="8491"/>
    <cellStyle name="Обычный 16 4 3 5" xfId="8492"/>
    <cellStyle name="Обычный 16 4 4" xfId="8493"/>
    <cellStyle name="Обычный 16 4 4 2" xfId="8494"/>
    <cellStyle name="Обычный 16 4 4 2 2" xfId="8495"/>
    <cellStyle name="Обычный 16 4 4 3" xfId="8496"/>
    <cellStyle name="Обычный 16 4 5" xfId="8497"/>
    <cellStyle name="Обычный 16 4 5 2" xfId="8498"/>
    <cellStyle name="Обычный 16 4 5 2 2" xfId="8499"/>
    <cellStyle name="Обычный 16 4 5 3" xfId="8500"/>
    <cellStyle name="Обычный 16 4 6" xfId="8501"/>
    <cellStyle name="Обычный 16 4 6 2" xfId="8502"/>
    <cellStyle name="Обычный 16 4 7" xfId="8503"/>
    <cellStyle name="Обычный 16 4 7 2" xfId="8504"/>
    <cellStyle name="Обычный 16 4 8" xfId="8505"/>
    <cellStyle name="Обычный 16 5" xfId="8506"/>
    <cellStyle name="Обычный 16 5 2" xfId="8507"/>
    <cellStyle name="Обычный 16 5 2 2" xfId="8508"/>
    <cellStyle name="Обычный 16 5 2 2 2" xfId="8509"/>
    <cellStyle name="Обычный 16 5 2 3" xfId="8510"/>
    <cellStyle name="Обычный 16 5 3" xfId="8511"/>
    <cellStyle name="Обычный 16 5 3 2" xfId="8512"/>
    <cellStyle name="Обычный 16 5 3 2 2" xfId="8513"/>
    <cellStyle name="Обычный 16 5 3 3" xfId="8514"/>
    <cellStyle name="Обычный 16 5 4" xfId="8515"/>
    <cellStyle name="Обычный 16 5 4 2" xfId="8516"/>
    <cellStyle name="Обычный 16 5 5" xfId="8517"/>
    <cellStyle name="Обычный 16 5 5 2" xfId="8518"/>
    <cellStyle name="Обычный 16 5 6" xfId="8519"/>
    <cellStyle name="Обычный 16 6" xfId="8520"/>
    <cellStyle name="Обычный 16 6 2" xfId="8521"/>
    <cellStyle name="Обычный 16 6 2 2" xfId="8522"/>
    <cellStyle name="Обычный 16 6 2 2 2" xfId="8523"/>
    <cellStyle name="Обычный 16 6 2 3" xfId="8524"/>
    <cellStyle name="Обычный 16 6 3" xfId="8525"/>
    <cellStyle name="Обычный 16 6 3 2" xfId="8526"/>
    <cellStyle name="Обычный 16 6 3 2 2" xfId="8527"/>
    <cellStyle name="Обычный 16 6 3 3" xfId="8528"/>
    <cellStyle name="Обычный 16 6 4" xfId="8529"/>
    <cellStyle name="Обычный 16 6 4 2" xfId="8530"/>
    <cellStyle name="Обычный 16 6 5" xfId="8531"/>
    <cellStyle name="Обычный 16 6 5 2" xfId="8532"/>
    <cellStyle name="Обычный 16 6 6" xfId="8533"/>
    <cellStyle name="Обычный 16 7" xfId="8534"/>
    <cellStyle name="Обычный 16 7 2" xfId="8535"/>
    <cellStyle name="Обычный 16 7 2 2" xfId="8536"/>
    <cellStyle name="Обычный 16 7 3" xfId="8537"/>
    <cellStyle name="Обычный 16 8" xfId="8538"/>
    <cellStyle name="Обычный 16 8 2" xfId="8539"/>
    <cellStyle name="Обычный 16 8 2 2" xfId="8540"/>
    <cellStyle name="Обычный 16 8 3" xfId="8541"/>
    <cellStyle name="Обычный 16 9" xfId="8542"/>
    <cellStyle name="Обычный 16 9 2" xfId="8543"/>
    <cellStyle name="Обычный 160" xfId="8544"/>
    <cellStyle name="Обычный 161" xfId="8545"/>
    <cellStyle name="Обычный 162" xfId="8546"/>
    <cellStyle name="Обычный 163" xfId="8547"/>
    <cellStyle name="Обычный 164" xfId="8548"/>
    <cellStyle name="Обычный 165" xfId="8549"/>
    <cellStyle name="Обычный 166" xfId="8550"/>
    <cellStyle name="Обычный 167" xfId="8551"/>
    <cellStyle name="Обычный 168" xfId="8552"/>
    <cellStyle name="Обычный 169" xfId="8553"/>
    <cellStyle name="Обычный 17" xfId="8554"/>
    <cellStyle name="Обычный 17 10" xfId="8555"/>
    <cellStyle name="Обычный 17 10 2" xfId="8556"/>
    <cellStyle name="Обычный 17 11" xfId="8557"/>
    <cellStyle name="Обычный 17 11 2" xfId="8558"/>
    <cellStyle name="Обычный 17 12" xfId="8559"/>
    <cellStyle name="Обычный 17 2" xfId="8560"/>
    <cellStyle name="Обычный 17 2 2" xfId="8561"/>
    <cellStyle name="Обычный 17 2 2 2" xfId="8562"/>
    <cellStyle name="Обычный 17 2 2 3" xfId="8563"/>
    <cellStyle name="Обычный 17 2 2 4" xfId="8564"/>
    <cellStyle name="Обычный 17 2 3" xfId="8565"/>
    <cellStyle name="Обычный 17 2 3 2" xfId="8566"/>
    <cellStyle name="Обычный 17 2 4" xfId="8567"/>
    <cellStyle name="Обычный 17 2 5" xfId="8568"/>
    <cellStyle name="Обычный 17 3" xfId="8569"/>
    <cellStyle name="Обычный 17 3 10" xfId="8570"/>
    <cellStyle name="Обычный 17 3 2" xfId="8571"/>
    <cellStyle name="Обычный 17 3 2 2" xfId="8572"/>
    <cellStyle name="Обычный 17 3 2 2 2" xfId="8573"/>
    <cellStyle name="Обычный 17 3 2 2 2 2" xfId="8574"/>
    <cellStyle name="Обычный 17 3 2 2 2 2 2" xfId="8575"/>
    <cellStyle name="Обычный 17 3 2 2 2 3" xfId="8576"/>
    <cellStyle name="Обычный 17 3 2 2 2 3 2" xfId="8577"/>
    <cellStyle name="Обычный 17 3 2 2 2 4" xfId="8578"/>
    <cellStyle name="Обычный 17 3 2 2 3" xfId="8579"/>
    <cellStyle name="Обычный 17 3 2 2 3 2" xfId="8580"/>
    <cellStyle name="Обычный 17 3 2 2 3 2 2" xfId="8581"/>
    <cellStyle name="Обычный 17 3 2 2 3 3" xfId="8582"/>
    <cellStyle name="Обычный 17 3 2 2 4" xfId="8583"/>
    <cellStyle name="Обычный 17 3 2 2 4 2" xfId="8584"/>
    <cellStyle name="Обычный 17 3 2 2 5" xfId="8585"/>
    <cellStyle name="Обычный 17 3 2 2 5 2" xfId="8586"/>
    <cellStyle name="Обычный 17 3 2 2 6" xfId="8587"/>
    <cellStyle name="Обычный 17 3 2 3" xfId="8588"/>
    <cellStyle name="Обычный 17 3 2 3 2" xfId="8589"/>
    <cellStyle name="Обычный 17 3 2 3 2 2" xfId="8590"/>
    <cellStyle name="Обычный 17 3 2 3 2 2 2" xfId="8591"/>
    <cellStyle name="Обычный 17 3 2 3 2 3" xfId="8592"/>
    <cellStyle name="Обычный 17 3 2 3 3" xfId="8593"/>
    <cellStyle name="Обычный 17 3 2 3 3 2" xfId="8594"/>
    <cellStyle name="Обычный 17 3 2 3 3 2 2" xfId="8595"/>
    <cellStyle name="Обычный 17 3 2 3 3 3" xfId="8596"/>
    <cellStyle name="Обычный 17 3 2 3 4" xfId="8597"/>
    <cellStyle name="Обычный 17 3 2 3 4 2" xfId="8598"/>
    <cellStyle name="Обычный 17 3 2 3 5" xfId="8599"/>
    <cellStyle name="Обычный 17 3 2 3 5 2" xfId="8600"/>
    <cellStyle name="Обычный 17 3 2 3 6" xfId="8601"/>
    <cellStyle name="Обычный 17 3 2 4" xfId="8602"/>
    <cellStyle name="Обычный 17 3 2 4 2" xfId="8603"/>
    <cellStyle name="Обычный 17 3 2 4 2 2" xfId="8604"/>
    <cellStyle name="Обычный 17 3 2 4 3" xfId="8605"/>
    <cellStyle name="Обычный 17 3 2 4 3 2" xfId="8606"/>
    <cellStyle name="Обычный 17 3 2 4 4" xfId="8607"/>
    <cellStyle name="Обычный 17 3 2 5" xfId="8608"/>
    <cellStyle name="Обычный 17 3 2 5 2" xfId="8609"/>
    <cellStyle name="Обычный 17 3 2 5 2 2" xfId="8610"/>
    <cellStyle name="Обычный 17 3 2 5 3" xfId="8611"/>
    <cellStyle name="Обычный 17 3 2 6" xfId="8612"/>
    <cellStyle name="Обычный 17 3 2 6 2" xfId="8613"/>
    <cellStyle name="Обычный 17 3 2 7" xfId="8614"/>
    <cellStyle name="Обычный 17 3 2 7 2" xfId="8615"/>
    <cellStyle name="Обычный 17 3 2 8" xfId="8616"/>
    <cellStyle name="Обычный 17 3 3" xfId="8617"/>
    <cellStyle name="Обычный 17 3 3 2" xfId="8618"/>
    <cellStyle name="Обычный 17 3 3 2 2" xfId="8619"/>
    <cellStyle name="Обычный 17 3 3 2 2 2" xfId="8620"/>
    <cellStyle name="Обычный 17 3 3 2 2 2 2" xfId="8621"/>
    <cellStyle name="Обычный 17 3 3 2 2 3" xfId="8622"/>
    <cellStyle name="Обычный 17 3 3 2 3" xfId="8623"/>
    <cellStyle name="Обычный 17 3 3 2 3 2" xfId="8624"/>
    <cellStyle name="Обычный 17 3 3 2 3 2 2" xfId="8625"/>
    <cellStyle name="Обычный 17 3 3 2 3 3" xfId="8626"/>
    <cellStyle name="Обычный 17 3 3 2 4" xfId="8627"/>
    <cellStyle name="Обычный 17 3 3 2 4 2" xfId="8628"/>
    <cellStyle name="Обычный 17 3 3 2 5" xfId="8629"/>
    <cellStyle name="Обычный 17 3 3 2 5 2" xfId="8630"/>
    <cellStyle name="Обычный 17 3 3 2 6" xfId="8631"/>
    <cellStyle name="Обычный 17 3 3 3" xfId="8632"/>
    <cellStyle name="Обычный 17 3 3 3 2" xfId="8633"/>
    <cellStyle name="Обычный 17 3 3 3 2 2" xfId="8634"/>
    <cellStyle name="Обычный 17 3 3 3 2 2 2" xfId="8635"/>
    <cellStyle name="Обычный 17 3 3 3 2 2 2 2" xfId="8636"/>
    <cellStyle name="Обычный 17 3 3 3 2 2 3" xfId="8637"/>
    <cellStyle name="Обычный 17 3 3 3 2 3" xfId="8638"/>
    <cellStyle name="Обычный 17 3 3 3 2 3 2" xfId="8639"/>
    <cellStyle name="Обычный 17 3 3 3 2 3 2 2" xfId="8640"/>
    <cellStyle name="Обычный 17 3 3 3 2 3 3" xfId="8641"/>
    <cellStyle name="Обычный 17 3 3 3 2 4" xfId="8642"/>
    <cellStyle name="Обычный 17 3 3 3 2 4 2" xfId="8643"/>
    <cellStyle name="Обычный 17 3 3 3 2 5" xfId="8644"/>
    <cellStyle name="Обычный 17 3 3 3 3" xfId="8645"/>
    <cellStyle name="Обычный 17 3 3 3 3 2" xfId="8646"/>
    <cellStyle name="Обычный 17 3 3 3 3 2 2" xfId="8647"/>
    <cellStyle name="Обычный 17 3 3 3 3 3" xfId="8648"/>
    <cellStyle name="Обычный 17 3 3 3 4" xfId="8649"/>
    <cellStyle name="Обычный 17 3 3 3 4 2" xfId="8650"/>
    <cellStyle name="Обычный 17 3 3 3 4 2 2" xfId="8651"/>
    <cellStyle name="Обычный 17 3 3 3 4 3" xfId="8652"/>
    <cellStyle name="Обычный 17 3 3 3 5" xfId="8653"/>
    <cellStyle name="Обычный 17 3 3 3 5 2" xfId="8654"/>
    <cellStyle name="Обычный 17 3 3 3 6" xfId="8655"/>
    <cellStyle name="Обычный 17 3 3 4" xfId="8656"/>
    <cellStyle name="Обычный 17 3 3 4 2" xfId="8657"/>
    <cellStyle name="Обычный 17 3 3 4 2 2" xfId="8658"/>
    <cellStyle name="Обычный 17 3 3 4 3" xfId="8659"/>
    <cellStyle name="Обычный 17 3 3 5" xfId="8660"/>
    <cellStyle name="Обычный 17 3 3 5 2" xfId="8661"/>
    <cellStyle name="Обычный 17 3 3 5 2 2" xfId="8662"/>
    <cellStyle name="Обычный 17 3 3 5 3" xfId="8663"/>
    <cellStyle name="Обычный 17 3 3 6" xfId="8664"/>
    <cellStyle name="Обычный 17 3 3 6 2" xfId="8665"/>
    <cellStyle name="Обычный 17 3 3 7" xfId="8666"/>
    <cellStyle name="Обычный 17 3 3 7 2" xfId="8667"/>
    <cellStyle name="Обычный 17 3 3 8" xfId="8668"/>
    <cellStyle name="Обычный 17 3 4" xfId="8669"/>
    <cellStyle name="Обычный 17 3 4 2" xfId="8670"/>
    <cellStyle name="Обычный 17 3 4 2 2" xfId="8671"/>
    <cellStyle name="Обычный 17 3 4 2 2 2" xfId="8672"/>
    <cellStyle name="Обычный 17 3 4 2 3" xfId="8673"/>
    <cellStyle name="Обычный 17 3 4 3" xfId="8674"/>
    <cellStyle name="Обычный 17 3 4 3 2" xfId="8675"/>
    <cellStyle name="Обычный 17 3 4 3 2 2" xfId="8676"/>
    <cellStyle name="Обычный 17 3 4 3 3" xfId="8677"/>
    <cellStyle name="Обычный 17 3 4 4" xfId="8678"/>
    <cellStyle name="Обычный 17 3 4 4 2" xfId="8679"/>
    <cellStyle name="Обычный 17 3 4 5" xfId="8680"/>
    <cellStyle name="Обычный 17 3 4 5 2" xfId="8681"/>
    <cellStyle name="Обычный 17 3 4 6" xfId="8682"/>
    <cellStyle name="Обычный 17 3 5" xfId="8683"/>
    <cellStyle name="Обычный 17 3 5 2" xfId="8684"/>
    <cellStyle name="Обычный 17 3 5 2 2" xfId="8685"/>
    <cellStyle name="Обычный 17 3 5 2 2 2" xfId="8686"/>
    <cellStyle name="Обычный 17 3 5 2 3" xfId="8687"/>
    <cellStyle name="Обычный 17 3 5 3" xfId="8688"/>
    <cellStyle name="Обычный 17 3 5 3 2" xfId="8689"/>
    <cellStyle name="Обычный 17 3 5 3 2 2" xfId="8690"/>
    <cellStyle name="Обычный 17 3 5 3 3" xfId="8691"/>
    <cellStyle name="Обычный 17 3 5 4" xfId="8692"/>
    <cellStyle name="Обычный 17 3 5 4 2" xfId="8693"/>
    <cellStyle name="Обычный 17 3 5 5" xfId="8694"/>
    <cellStyle name="Обычный 17 3 5 5 2" xfId="8695"/>
    <cellStyle name="Обычный 17 3 5 6" xfId="8696"/>
    <cellStyle name="Обычный 17 3 6" xfId="8697"/>
    <cellStyle name="Обычный 17 3 6 2" xfId="8698"/>
    <cellStyle name="Обычный 17 3 6 2 2" xfId="8699"/>
    <cellStyle name="Обычный 17 3 6 3" xfId="8700"/>
    <cellStyle name="Обычный 17 3 7" xfId="8701"/>
    <cellStyle name="Обычный 17 3 7 2" xfId="8702"/>
    <cellStyle name="Обычный 17 3 7 2 2" xfId="8703"/>
    <cellStyle name="Обычный 17 3 7 3" xfId="8704"/>
    <cellStyle name="Обычный 17 3 8" xfId="8705"/>
    <cellStyle name="Обычный 17 3 8 2" xfId="8706"/>
    <cellStyle name="Обычный 17 3 9" xfId="8707"/>
    <cellStyle name="Обычный 17 3 9 2" xfId="8708"/>
    <cellStyle name="Обычный 17 4" xfId="8709"/>
    <cellStyle name="Обычный 17 4 2" xfId="8710"/>
    <cellStyle name="Обычный 17 4 2 2" xfId="8711"/>
    <cellStyle name="Обычный 17 4 2 2 2" xfId="8712"/>
    <cellStyle name="Обычный 17 4 2 2 2 2" xfId="8713"/>
    <cellStyle name="Обычный 17 4 2 2 3" xfId="8714"/>
    <cellStyle name="Обычный 17 4 2 2 3 2" xfId="8715"/>
    <cellStyle name="Обычный 17 4 2 2 4" xfId="8716"/>
    <cellStyle name="Обычный 17 4 2 3" xfId="8717"/>
    <cellStyle name="Обычный 17 4 2 3 2" xfId="8718"/>
    <cellStyle name="Обычный 17 4 2 3 2 2" xfId="8719"/>
    <cellStyle name="Обычный 17 4 2 3 3" xfId="8720"/>
    <cellStyle name="Обычный 17 4 2 4" xfId="8721"/>
    <cellStyle name="Обычный 17 4 2 4 2" xfId="8722"/>
    <cellStyle name="Обычный 17 4 2 5" xfId="8723"/>
    <cellStyle name="Обычный 17 4 2 5 2" xfId="8724"/>
    <cellStyle name="Обычный 17 4 2 6" xfId="8725"/>
    <cellStyle name="Обычный 17 4 3" xfId="8726"/>
    <cellStyle name="Обычный 17 4 3 2" xfId="8727"/>
    <cellStyle name="Обычный 17 4 3 2 2" xfId="8728"/>
    <cellStyle name="Обычный 17 4 3 2 2 2" xfId="8729"/>
    <cellStyle name="Обычный 17 4 3 2 3" xfId="8730"/>
    <cellStyle name="Обычный 17 4 3 3" xfId="8731"/>
    <cellStyle name="Обычный 17 4 3 3 2" xfId="8732"/>
    <cellStyle name="Обычный 17 4 3 3 2 2" xfId="8733"/>
    <cellStyle name="Обычный 17 4 3 3 3" xfId="8734"/>
    <cellStyle name="Обычный 17 4 3 4" xfId="8735"/>
    <cellStyle name="Обычный 17 4 3 4 2" xfId="8736"/>
    <cellStyle name="Обычный 17 4 3 5" xfId="8737"/>
    <cellStyle name="Обычный 17 4 3 5 2" xfId="8738"/>
    <cellStyle name="Обычный 17 4 3 6" xfId="8739"/>
    <cellStyle name="Обычный 17 4 4" xfId="8740"/>
    <cellStyle name="Обычный 17 4 4 2" xfId="8741"/>
    <cellStyle name="Обычный 17 4 4 2 2" xfId="8742"/>
    <cellStyle name="Обычный 17 4 4 3" xfId="8743"/>
    <cellStyle name="Обычный 17 4 4 3 2" xfId="8744"/>
    <cellStyle name="Обычный 17 4 4 4" xfId="8745"/>
    <cellStyle name="Обычный 17 4 5" xfId="8746"/>
    <cellStyle name="Обычный 17 4 5 2" xfId="8747"/>
    <cellStyle name="Обычный 17 4 5 2 2" xfId="8748"/>
    <cellStyle name="Обычный 17 4 5 3" xfId="8749"/>
    <cellStyle name="Обычный 17 4 6" xfId="8750"/>
    <cellStyle name="Обычный 17 4 6 2" xfId="8751"/>
    <cellStyle name="Обычный 17 4 7" xfId="8752"/>
    <cellStyle name="Обычный 17 4 7 2" xfId="8753"/>
    <cellStyle name="Обычный 17 4 8" xfId="8754"/>
    <cellStyle name="Обычный 17 5" xfId="8755"/>
    <cellStyle name="Обычный 17 5 2" xfId="8756"/>
    <cellStyle name="Обычный 17 5 2 2" xfId="8757"/>
    <cellStyle name="Обычный 17 5 2 2 2" xfId="8758"/>
    <cellStyle name="Обычный 17 5 2 2 2 2" xfId="8759"/>
    <cellStyle name="Обычный 17 5 2 2 3" xfId="8760"/>
    <cellStyle name="Обычный 17 5 2 2 3 2" xfId="8761"/>
    <cellStyle name="Обычный 17 5 2 2 4" xfId="8762"/>
    <cellStyle name="Обычный 17 5 2 3" xfId="8763"/>
    <cellStyle name="Обычный 17 5 2 3 2" xfId="8764"/>
    <cellStyle name="Обычный 17 5 2 3 2 2" xfId="8765"/>
    <cellStyle name="Обычный 17 5 2 3 3" xfId="8766"/>
    <cellStyle name="Обычный 17 5 2 4" xfId="8767"/>
    <cellStyle name="Обычный 17 5 2 4 2" xfId="8768"/>
    <cellStyle name="Обычный 17 5 2 5" xfId="8769"/>
    <cellStyle name="Обычный 17 5 2 5 2" xfId="8770"/>
    <cellStyle name="Обычный 17 5 2 6" xfId="8771"/>
    <cellStyle name="Обычный 17 5 3" xfId="8772"/>
    <cellStyle name="Обычный 17 5 3 2" xfId="8773"/>
    <cellStyle name="Обычный 17 5 3 2 2" xfId="8774"/>
    <cellStyle name="Обычный 17 5 3 2 2 2" xfId="8775"/>
    <cellStyle name="Обычный 17 5 3 2 3" xfId="8776"/>
    <cellStyle name="Обычный 17 5 3 3" xfId="8777"/>
    <cellStyle name="Обычный 17 5 3 3 2" xfId="8778"/>
    <cellStyle name="Обычный 17 5 3 3 2 2" xfId="8779"/>
    <cellStyle name="Обычный 17 5 3 3 3" xfId="8780"/>
    <cellStyle name="Обычный 17 5 3 4" xfId="8781"/>
    <cellStyle name="Обычный 17 5 3 4 2" xfId="8782"/>
    <cellStyle name="Обычный 17 5 3 5" xfId="8783"/>
    <cellStyle name="Обычный 17 5 3 5 2" xfId="8784"/>
    <cellStyle name="Обычный 17 5 3 6" xfId="8785"/>
    <cellStyle name="Обычный 17 5 4" xfId="8786"/>
    <cellStyle name="Обычный 17 5 4 2" xfId="8787"/>
    <cellStyle name="Обычный 17 5 4 2 2" xfId="8788"/>
    <cellStyle name="Обычный 17 5 4 3" xfId="8789"/>
    <cellStyle name="Обычный 17 5 4 3 2" xfId="8790"/>
    <cellStyle name="Обычный 17 5 4 4" xfId="8791"/>
    <cellStyle name="Обычный 17 5 5" xfId="8792"/>
    <cellStyle name="Обычный 17 5 5 2" xfId="8793"/>
    <cellStyle name="Обычный 17 5 5 2 2" xfId="8794"/>
    <cellStyle name="Обычный 17 5 5 3" xfId="8795"/>
    <cellStyle name="Обычный 17 5 6" xfId="8796"/>
    <cellStyle name="Обычный 17 5 6 2" xfId="8797"/>
    <cellStyle name="Обычный 17 5 7" xfId="8798"/>
    <cellStyle name="Обычный 17 5 7 2" xfId="8799"/>
    <cellStyle name="Обычный 17 5 8" xfId="8800"/>
    <cellStyle name="Обычный 17 6" xfId="8801"/>
    <cellStyle name="Обычный 17 6 2" xfId="8802"/>
    <cellStyle name="Обычный 17 6 2 2" xfId="8803"/>
    <cellStyle name="Обычный 17 6 2 2 2" xfId="8804"/>
    <cellStyle name="Обычный 17 6 2 3" xfId="8805"/>
    <cellStyle name="Обычный 17 6 2 3 2" xfId="8806"/>
    <cellStyle name="Обычный 17 6 2 4" xfId="8807"/>
    <cellStyle name="Обычный 17 6 3" xfId="8808"/>
    <cellStyle name="Обычный 17 6 3 2" xfId="8809"/>
    <cellStyle name="Обычный 17 6 3 2 2" xfId="8810"/>
    <cellStyle name="Обычный 17 6 3 3" xfId="8811"/>
    <cellStyle name="Обычный 17 6 4" xfId="8812"/>
    <cellStyle name="Обычный 17 6 4 2" xfId="8813"/>
    <cellStyle name="Обычный 17 6 5" xfId="8814"/>
    <cellStyle name="Обычный 17 6 5 2" xfId="8815"/>
    <cellStyle name="Обычный 17 6 6" xfId="8816"/>
    <cellStyle name="Обычный 17 7" xfId="8817"/>
    <cellStyle name="Обычный 17 7 2" xfId="8818"/>
    <cellStyle name="Обычный 17 7 2 2" xfId="8819"/>
    <cellStyle name="Обычный 17 7 2 2 2" xfId="8820"/>
    <cellStyle name="Обычный 17 7 2 3" xfId="8821"/>
    <cellStyle name="Обычный 17 7 3" xfId="8822"/>
    <cellStyle name="Обычный 17 7 3 2" xfId="8823"/>
    <cellStyle name="Обычный 17 7 3 2 2" xfId="8824"/>
    <cellStyle name="Обычный 17 7 3 3" xfId="8825"/>
    <cellStyle name="Обычный 17 7 4" xfId="8826"/>
    <cellStyle name="Обычный 17 7 4 2" xfId="8827"/>
    <cellStyle name="Обычный 17 7 5" xfId="8828"/>
    <cellStyle name="Обычный 17 7 5 2" xfId="8829"/>
    <cellStyle name="Обычный 17 7 6" xfId="8830"/>
    <cellStyle name="Обычный 17 8" xfId="8831"/>
    <cellStyle name="Обычный 17 8 2" xfId="8832"/>
    <cellStyle name="Обычный 17 8 2 2" xfId="8833"/>
    <cellStyle name="Обычный 17 8 3" xfId="8834"/>
    <cellStyle name="Обычный 17 8 3 2" xfId="8835"/>
    <cellStyle name="Обычный 17 8 4" xfId="8836"/>
    <cellStyle name="Обычный 17 9" xfId="8837"/>
    <cellStyle name="Обычный 17 9 2" xfId="8838"/>
    <cellStyle name="Обычный 17 9 2 2" xfId="8839"/>
    <cellStyle name="Обычный 17 9 3" xfId="8840"/>
    <cellStyle name="Обычный 170" xfId="8841"/>
    <cellStyle name="Обычный 171" xfId="8842"/>
    <cellStyle name="Обычный 172" xfId="8843"/>
    <cellStyle name="Обычный 173" xfId="8844"/>
    <cellStyle name="Обычный 174" xfId="8845"/>
    <cellStyle name="Обычный 175" xfId="8846"/>
    <cellStyle name="Обычный 176" xfId="8847"/>
    <cellStyle name="Обычный 177" xfId="8848"/>
    <cellStyle name="Обычный 178" xfId="8849"/>
    <cellStyle name="Обычный 179" xfId="8850"/>
    <cellStyle name="Обычный 18" xfId="8851"/>
    <cellStyle name="Обычный 18 10" xfId="8852"/>
    <cellStyle name="Обычный 18 10 2" xfId="8853"/>
    <cellStyle name="Обычный 18 11" xfId="8854"/>
    <cellStyle name="Обычный 18 2" xfId="8855"/>
    <cellStyle name="Обычный 18 2 2" xfId="8856"/>
    <cellStyle name="Обычный 18 2 2 2" xfId="8857"/>
    <cellStyle name="Обычный 18 2 2 2 2" xfId="8858"/>
    <cellStyle name="Обычный 18 2 2 2 2 2" xfId="8859"/>
    <cellStyle name="Обычный 18 2 2 2 2 2 2" xfId="8860"/>
    <cellStyle name="Обычный 18 2 2 2 2 3" xfId="8861"/>
    <cellStyle name="Обычный 18 2 2 2 3" xfId="8862"/>
    <cellStyle name="Обычный 18 2 2 2 3 2" xfId="8863"/>
    <cellStyle name="Обычный 18 2 2 2 3 2 2" xfId="8864"/>
    <cellStyle name="Обычный 18 2 2 2 3 3" xfId="8865"/>
    <cellStyle name="Обычный 18 2 2 2 4" xfId="8866"/>
    <cellStyle name="Обычный 18 2 2 2 4 2" xfId="8867"/>
    <cellStyle name="Обычный 18 2 2 2 5" xfId="8868"/>
    <cellStyle name="Обычный 18 2 2 2 5 2" xfId="8869"/>
    <cellStyle name="Обычный 18 2 2 2 6" xfId="8870"/>
    <cellStyle name="Обычный 18 2 2 3" xfId="8871"/>
    <cellStyle name="Обычный 18 2 2 3 2" xfId="8872"/>
    <cellStyle name="Обычный 18 2 2 3 2 2" xfId="8873"/>
    <cellStyle name="Обычный 18 2 2 3 2 2 2" xfId="8874"/>
    <cellStyle name="Обычный 18 2 2 3 2 3" xfId="8875"/>
    <cellStyle name="Обычный 18 2 2 3 3" xfId="8876"/>
    <cellStyle name="Обычный 18 2 2 3 3 2" xfId="8877"/>
    <cellStyle name="Обычный 18 2 2 3 3 2 2" xfId="8878"/>
    <cellStyle name="Обычный 18 2 2 3 3 3" xfId="8879"/>
    <cellStyle name="Обычный 18 2 2 3 4" xfId="8880"/>
    <cellStyle name="Обычный 18 2 2 3 4 2" xfId="8881"/>
    <cellStyle name="Обычный 18 2 2 3 5" xfId="8882"/>
    <cellStyle name="Обычный 18 2 2 3 5 2" xfId="8883"/>
    <cellStyle name="Обычный 18 2 2 3 6" xfId="8884"/>
    <cellStyle name="Обычный 18 2 2 4" xfId="8885"/>
    <cellStyle name="Обычный 18 2 2 4 2" xfId="8886"/>
    <cellStyle name="Обычный 18 2 2 4 2 2" xfId="8887"/>
    <cellStyle name="Обычный 18 2 2 4 3" xfId="8888"/>
    <cellStyle name="Обычный 18 2 2 5" xfId="8889"/>
    <cellStyle name="Обычный 18 2 2 5 2" xfId="8890"/>
    <cellStyle name="Обычный 18 2 2 5 2 2" xfId="8891"/>
    <cellStyle name="Обычный 18 2 2 5 3" xfId="8892"/>
    <cellStyle name="Обычный 18 2 2 6" xfId="8893"/>
    <cellStyle name="Обычный 18 2 2 6 2" xfId="8894"/>
    <cellStyle name="Обычный 18 2 2 7" xfId="8895"/>
    <cellStyle name="Обычный 18 2 2 7 2" xfId="8896"/>
    <cellStyle name="Обычный 18 2 2 8" xfId="8897"/>
    <cellStyle name="Обычный 18 2 3" xfId="8898"/>
    <cellStyle name="Обычный 18 2 3 2" xfId="8899"/>
    <cellStyle name="Обычный 18 2 3 2 2" xfId="8900"/>
    <cellStyle name="Обычный 18 2 3 2 2 2" xfId="8901"/>
    <cellStyle name="Обычный 18 2 3 2 3" xfId="8902"/>
    <cellStyle name="Обычный 18 2 3 2 3 2" xfId="8903"/>
    <cellStyle name="Обычный 18 2 3 2 4" xfId="8904"/>
    <cellStyle name="Обычный 18 2 3 3" xfId="8905"/>
    <cellStyle name="Обычный 18 2 3 3 2" xfId="8906"/>
    <cellStyle name="Обычный 18 2 3 3 2 2" xfId="8907"/>
    <cellStyle name="Обычный 18 2 3 3 3" xfId="8908"/>
    <cellStyle name="Обычный 18 2 3 4" xfId="8909"/>
    <cellStyle name="Обычный 18 2 3 4 2" xfId="8910"/>
    <cellStyle name="Обычный 18 2 3 5" xfId="8911"/>
    <cellStyle name="Обычный 18 2 3 5 2" xfId="8912"/>
    <cellStyle name="Обычный 18 2 3 6" xfId="8913"/>
    <cellStyle name="Обычный 18 2 4" xfId="8914"/>
    <cellStyle name="Обычный 18 2 4 2" xfId="8915"/>
    <cellStyle name="Обычный 18 2 4 2 2" xfId="8916"/>
    <cellStyle name="Обычный 18 2 4 2 2 2" xfId="8917"/>
    <cellStyle name="Обычный 18 2 4 2 3" xfId="8918"/>
    <cellStyle name="Обычный 18 2 4 3" xfId="8919"/>
    <cellStyle name="Обычный 18 2 4 3 2" xfId="8920"/>
    <cellStyle name="Обычный 18 2 4 3 2 2" xfId="8921"/>
    <cellStyle name="Обычный 18 2 4 3 3" xfId="8922"/>
    <cellStyle name="Обычный 18 2 4 4" xfId="8923"/>
    <cellStyle name="Обычный 18 2 4 4 2" xfId="8924"/>
    <cellStyle name="Обычный 18 2 4 5" xfId="8925"/>
    <cellStyle name="Обычный 18 2 4 5 2" xfId="8926"/>
    <cellStyle name="Обычный 18 2 4 6" xfId="8927"/>
    <cellStyle name="Обычный 18 2 5" xfId="8928"/>
    <cellStyle name="Обычный 18 2 5 2" xfId="8929"/>
    <cellStyle name="Обычный 18 2 5 2 2" xfId="8930"/>
    <cellStyle name="Обычный 18 2 5 3" xfId="8931"/>
    <cellStyle name="Обычный 18 2 6" xfId="8932"/>
    <cellStyle name="Обычный 18 2 6 2" xfId="8933"/>
    <cellStyle name="Обычный 18 2 6 2 2" xfId="8934"/>
    <cellStyle name="Обычный 18 2 6 3" xfId="8935"/>
    <cellStyle name="Обычный 18 2 7" xfId="8936"/>
    <cellStyle name="Обычный 18 2 7 2" xfId="8937"/>
    <cellStyle name="Обычный 18 2 8" xfId="8938"/>
    <cellStyle name="Обычный 18 2 8 2" xfId="8939"/>
    <cellStyle name="Обычный 18 2 9" xfId="8940"/>
    <cellStyle name="Обычный 18 3" xfId="8941"/>
    <cellStyle name="Обычный 18 3 2" xfId="8942"/>
    <cellStyle name="Обычный 18 3 2 2" xfId="8943"/>
    <cellStyle name="Обычный 18 3 2 2 2" xfId="8944"/>
    <cellStyle name="Обычный 18 3 2 2 2 2" xfId="8945"/>
    <cellStyle name="Обычный 18 3 2 2 3" xfId="8946"/>
    <cellStyle name="Обычный 18 3 2 2 3 2" xfId="8947"/>
    <cellStyle name="Обычный 18 3 2 2 4" xfId="8948"/>
    <cellStyle name="Обычный 18 3 2 3" xfId="8949"/>
    <cellStyle name="Обычный 18 3 2 3 2" xfId="8950"/>
    <cellStyle name="Обычный 18 3 2 3 2 2" xfId="8951"/>
    <cellStyle name="Обычный 18 3 2 3 3" xfId="8952"/>
    <cellStyle name="Обычный 18 3 2 4" xfId="8953"/>
    <cellStyle name="Обычный 18 3 2 4 2" xfId="8954"/>
    <cellStyle name="Обычный 18 3 2 5" xfId="8955"/>
    <cellStyle name="Обычный 18 3 2 5 2" xfId="8956"/>
    <cellStyle name="Обычный 18 3 2 6" xfId="8957"/>
    <cellStyle name="Обычный 18 3 3" xfId="8958"/>
    <cellStyle name="Обычный 18 3 3 2" xfId="8959"/>
    <cellStyle name="Обычный 18 3 3 2 2" xfId="8960"/>
    <cellStyle name="Обычный 18 3 3 2 2 2" xfId="8961"/>
    <cellStyle name="Обычный 18 3 3 2 3" xfId="8962"/>
    <cellStyle name="Обычный 18 3 3 3" xfId="8963"/>
    <cellStyle name="Обычный 18 3 3 3 2" xfId="8964"/>
    <cellStyle name="Обычный 18 3 3 3 2 2" xfId="8965"/>
    <cellStyle name="Обычный 18 3 3 3 3" xfId="8966"/>
    <cellStyle name="Обычный 18 3 3 4" xfId="8967"/>
    <cellStyle name="Обычный 18 3 3 4 2" xfId="8968"/>
    <cellStyle name="Обычный 18 3 3 5" xfId="8969"/>
    <cellStyle name="Обычный 18 3 3 5 2" xfId="8970"/>
    <cellStyle name="Обычный 18 3 3 6" xfId="8971"/>
    <cellStyle name="Обычный 18 3 4" xfId="8972"/>
    <cellStyle name="Обычный 18 3 4 2" xfId="8973"/>
    <cellStyle name="Обычный 18 3 4 2 2" xfId="8974"/>
    <cellStyle name="Обычный 18 3 4 3" xfId="8975"/>
    <cellStyle name="Обычный 18 3 4 3 2" xfId="8976"/>
    <cellStyle name="Обычный 18 3 4 4" xfId="8977"/>
    <cellStyle name="Обычный 18 3 5" xfId="8978"/>
    <cellStyle name="Обычный 18 3 5 2" xfId="8979"/>
    <cellStyle name="Обычный 18 3 5 2 2" xfId="8980"/>
    <cellStyle name="Обычный 18 3 5 3" xfId="8981"/>
    <cellStyle name="Обычный 18 3 6" xfId="8982"/>
    <cellStyle name="Обычный 18 3 6 2" xfId="8983"/>
    <cellStyle name="Обычный 18 3 7" xfId="8984"/>
    <cellStyle name="Обычный 18 3 7 2" xfId="8985"/>
    <cellStyle name="Обычный 18 3 8" xfId="8986"/>
    <cellStyle name="Обычный 18 4" xfId="8987"/>
    <cellStyle name="Обычный 18 4 2" xfId="8988"/>
    <cellStyle name="Обычный 18 4 2 2" xfId="8989"/>
    <cellStyle name="Обычный 18 4 2 2 2" xfId="8990"/>
    <cellStyle name="Обычный 18 4 2 2 2 2" xfId="8991"/>
    <cellStyle name="Обычный 18 4 2 2 3" xfId="8992"/>
    <cellStyle name="Обычный 18 4 2 3" xfId="8993"/>
    <cellStyle name="Обычный 18 4 2 3 2" xfId="8994"/>
    <cellStyle name="Обычный 18 4 2 3 2 2" xfId="8995"/>
    <cellStyle name="Обычный 18 4 2 3 3" xfId="8996"/>
    <cellStyle name="Обычный 18 4 2 4" xfId="8997"/>
    <cellStyle name="Обычный 18 4 2 4 2" xfId="8998"/>
    <cellStyle name="Обычный 18 4 2 5" xfId="8999"/>
    <cellStyle name="Обычный 18 4 2 5 2" xfId="9000"/>
    <cellStyle name="Обычный 18 4 2 6" xfId="9001"/>
    <cellStyle name="Обычный 18 4 3" xfId="9002"/>
    <cellStyle name="Обычный 18 4 3 2" xfId="9003"/>
    <cellStyle name="Обычный 18 4 3 2 2" xfId="9004"/>
    <cellStyle name="Обычный 18 4 3 2 2 2" xfId="9005"/>
    <cellStyle name="Обычный 18 4 3 2 3" xfId="9006"/>
    <cellStyle name="Обычный 18 4 3 3" xfId="9007"/>
    <cellStyle name="Обычный 18 4 3 3 2" xfId="9008"/>
    <cellStyle name="Обычный 18 4 3 3 2 2" xfId="9009"/>
    <cellStyle name="Обычный 18 4 3 3 3" xfId="9010"/>
    <cellStyle name="Обычный 18 4 3 4" xfId="9011"/>
    <cellStyle name="Обычный 18 4 3 4 2" xfId="9012"/>
    <cellStyle name="Обычный 18 4 3 5" xfId="9013"/>
    <cellStyle name="Обычный 18 4 4" xfId="9014"/>
    <cellStyle name="Обычный 18 4 4 2" xfId="9015"/>
    <cellStyle name="Обычный 18 4 4 2 2" xfId="9016"/>
    <cellStyle name="Обычный 18 4 4 3" xfId="9017"/>
    <cellStyle name="Обычный 18 4 5" xfId="9018"/>
    <cellStyle name="Обычный 18 4 5 2" xfId="9019"/>
    <cellStyle name="Обычный 18 4 5 2 2" xfId="9020"/>
    <cellStyle name="Обычный 18 4 5 3" xfId="9021"/>
    <cellStyle name="Обычный 18 4 6" xfId="9022"/>
    <cellStyle name="Обычный 18 4 6 2" xfId="9023"/>
    <cellStyle name="Обычный 18 4 7" xfId="9024"/>
    <cellStyle name="Обычный 18 4 7 2" xfId="9025"/>
    <cellStyle name="Обычный 18 4 8" xfId="9026"/>
    <cellStyle name="Обычный 18 5" xfId="9027"/>
    <cellStyle name="Обычный 18 5 2" xfId="9028"/>
    <cellStyle name="Обычный 18 5 2 2" xfId="9029"/>
    <cellStyle name="Обычный 18 5 2 2 2" xfId="9030"/>
    <cellStyle name="Обычный 18 5 2 3" xfId="9031"/>
    <cellStyle name="Обычный 18 5 3" xfId="9032"/>
    <cellStyle name="Обычный 18 5 3 2" xfId="9033"/>
    <cellStyle name="Обычный 18 5 3 2 2" xfId="9034"/>
    <cellStyle name="Обычный 18 5 3 3" xfId="9035"/>
    <cellStyle name="Обычный 18 5 4" xfId="9036"/>
    <cellStyle name="Обычный 18 5 4 2" xfId="9037"/>
    <cellStyle name="Обычный 18 5 5" xfId="9038"/>
    <cellStyle name="Обычный 18 5 5 2" xfId="9039"/>
    <cellStyle name="Обычный 18 5 6" xfId="9040"/>
    <cellStyle name="Обычный 18 6" xfId="9041"/>
    <cellStyle name="Обычный 18 6 2" xfId="9042"/>
    <cellStyle name="Обычный 18 6 2 2" xfId="9043"/>
    <cellStyle name="Обычный 18 6 2 2 2" xfId="9044"/>
    <cellStyle name="Обычный 18 6 2 3" xfId="9045"/>
    <cellStyle name="Обычный 18 6 3" xfId="9046"/>
    <cellStyle name="Обычный 18 6 3 2" xfId="9047"/>
    <cellStyle name="Обычный 18 6 3 2 2" xfId="9048"/>
    <cellStyle name="Обычный 18 6 3 3" xfId="9049"/>
    <cellStyle name="Обычный 18 6 4" xfId="9050"/>
    <cellStyle name="Обычный 18 6 4 2" xfId="9051"/>
    <cellStyle name="Обычный 18 6 5" xfId="9052"/>
    <cellStyle name="Обычный 18 6 5 2" xfId="9053"/>
    <cellStyle name="Обычный 18 6 6" xfId="9054"/>
    <cellStyle name="Обычный 18 7" xfId="9055"/>
    <cellStyle name="Обычный 18 7 2" xfId="9056"/>
    <cellStyle name="Обычный 18 7 2 2" xfId="9057"/>
    <cellStyle name="Обычный 18 7 3" xfId="9058"/>
    <cellStyle name="Обычный 18 8" xfId="9059"/>
    <cellStyle name="Обычный 18 8 2" xfId="9060"/>
    <cellStyle name="Обычный 18 8 2 2" xfId="9061"/>
    <cellStyle name="Обычный 18 8 3" xfId="9062"/>
    <cellStyle name="Обычный 18 9" xfId="9063"/>
    <cellStyle name="Обычный 18 9 2" xfId="9064"/>
    <cellStyle name="Обычный 180" xfId="9065"/>
    <cellStyle name="Обычный 181" xfId="9066"/>
    <cellStyle name="Обычный 182" xfId="9067"/>
    <cellStyle name="Обычный 183" xfId="9068"/>
    <cellStyle name="Обычный 184" xfId="9069"/>
    <cellStyle name="Обычный 185" xfId="9070"/>
    <cellStyle name="Обычный 186" xfId="9071"/>
    <cellStyle name="Обычный 187" xfId="9072"/>
    <cellStyle name="Обычный 188" xfId="9073"/>
    <cellStyle name="Обычный 189" xfId="9074"/>
    <cellStyle name="Обычный 19" xfId="9075"/>
    <cellStyle name="Обычный 19 10" xfId="9076"/>
    <cellStyle name="Обычный 19 10 2" xfId="9077"/>
    <cellStyle name="Обычный 19 10 2 2" xfId="9078"/>
    <cellStyle name="Обычный 19 10 3" xfId="9079"/>
    <cellStyle name="Обычный 19 11" xfId="9080"/>
    <cellStyle name="Обычный 19 11 2" xfId="9081"/>
    <cellStyle name="Обычный 19 12" xfId="9082"/>
    <cellStyle name="Обычный 19 12 2" xfId="9083"/>
    <cellStyle name="Обычный 19 13" xfId="9084"/>
    <cellStyle name="Обычный 19 2" xfId="9085"/>
    <cellStyle name="Обычный 19 2 10" xfId="9086"/>
    <cellStyle name="Обычный 19 2 10 2" xfId="9087"/>
    <cellStyle name="Обычный 19 2 10 2 2" xfId="9088"/>
    <cellStyle name="Обычный 19 2 10 3" xfId="9089"/>
    <cellStyle name="Обычный 19 2 11" xfId="9090"/>
    <cellStyle name="Обычный 19 2 11 2" xfId="9091"/>
    <cellStyle name="Обычный 19 2 12" xfId="9092"/>
    <cellStyle name="Обычный 19 2 12 2" xfId="9093"/>
    <cellStyle name="Обычный 19 2 13" xfId="9094"/>
    <cellStyle name="Обычный 19 2 2" xfId="9095"/>
    <cellStyle name="Обычный 19 2 2 10" xfId="9096"/>
    <cellStyle name="Обычный 19 2 2 10 2" xfId="9097"/>
    <cellStyle name="Обычный 19 2 2 11" xfId="9098"/>
    <cellStyle name="Обычный 19 2 2 2" xfId="9099"/>
    <cellStyle name="Обычный 19 2 2 2 2" xfId="9100"/>
    <cellStyle name="Обычный 19 2 2 2 2 2" xfId="9101"/>
    <cellStyle name="Обычный 19 2 2 2 2 2 2" xfId="9102"/>
    <cellStyle name="Обычный 19 2 2 2 2 2 2 2" xfId="9103"/>
    <cellStyle name="Обычный 19 2 2 2 2 2 2 2 2" xfId="9104"/>
    <cellStyle name="Обычный 19 2 2 2 2 2 2 3" xfId="9105"/>
    <cellStyle name="Обычный 19 2 2 2 2 2 3" xfId="9106"/>
    <cellStyle name="Обычный 19 2 2 2 2 2 3 2" xfId="9107"/>
    <cellStyle name="Обычный 19 2 2 2 2 2 3 2 2" xfId="9108"/>
    <cellStyle name="Обычный 19 2 2 2 2 2 3 3" xfId="9109"/>
    <cellStyle name="Обычный 19 2 2 2 2 2 4" xfId="9110"/>
    <cellStyle name="Обычный 19 2 2 2 2 2 4 2" xfId="9111"/>
    <cellStyle name="Обычный 19 2 2 2 2 2 5" xfId="9112"/>
    <cellStyle name="Обычный 19 2 2 2 2 2 5 2" xfId="9113"/>
    <cellStyle name="Обычный 19 2 2 2 2 2 6" xfId="9114"/>
    <cellStyle name="Обычный 19 2 2 2 2 3" xfId="9115"/>
    <cellStyle name="Обычный 19 2 2 2 2 3 2" xfId="9116"/>
    <cellStyle name="Обычный 19 2 2 2 2 3 2 2" xfId="9117"/>
    <cellStyle name="Обычный 19 2 2 2 2 3 2 2 2" xfId="9118"/>
    <cellStyle name="Обычный 19 2 2 2 2 3 2 3" xfId="9119"/>
    <cellStyle name="Обычный 19 2 2 2 2 3 3" xfId="9120"/>
    <cellStyle name="Обычный 19 2 2 2 2 3 3 2" xfId="9121"/>
    <cellStyle name="Обычный 19 2 2 2 2 3 3 2 2" xfId="9122"/>
    <cellStyle name="Обычный 19 2 2 2 2 3 3 3" xfId="9123"/>
    <cellStyle name="Обычный 19 2 2 2 2 3 4" xfId="9124"/>
    <cellStyle name="Обычный 19 2 2 2 2 3 4 2" xfId="9125"/>
    <cellStyle name="Обычный 19 2 2 2 2 3 5" xfId="9126"/>
    <cellStyle name="Обычный 19 2 2 2 2 3 5 2" xfId="9127"/>
    <cellStyle name="Обычный 19 2 2 2 2 3 6" xfId="9128"/>
    <cellStyle name="Обычный 19 2 2 2 2 4" xfId="9129"/>
    <cellStyle name="Обычный 19 2 2 2 2 4 2" xfId="9130"/>
    <cellStyle name="Обычный 19 2 2 2 2 4 2 2" xfId="9131"/>
    <cellStyle name="Обычный 19 2 2 2 2 4 3" xfId="9132"/>
    <cellStyle name="Обычный 19 2 2 2 2 5" xfId="9133"/>
    <cellStyle name="Обычный 19 2 2 2 2 5 2" xfId="9134"/>
    <cellStyle name="Обычный 19 2 2 2 2 5 2 2" xfId="9135"/>
    <cellStyle name="Обычный 19 2 2 2 2 5 3" xfId="9136"/>
    <cellStyle name="Обычный 19 2 2 2 2 6" xfId="9137"/>
    <cellStyle name="Обычный 19 2 2 2 2 6 2" xfId="9138"/>
    <cellStyle name="Обычный 19 2 2 2 2 7" xfId="9139"/>
    <cellStyle name="Обычный 19 2 2 2 2 7 2" xfId="9140"/>
    <cellStyle name="Обычный 19 2 2 2 2 8" xfId="9141"/>
    <cellStyle name="Обычный 19 2 2 2 3" xfId="9142"/>
    <cellStyle name="Обычный 19 2 2 2 3 2" xfId="9143"/>
    <cellStyle name="Обычный 19 2 2 2 3 2 2" xfId="9144"/>
    <cellStyle name="Обычный 19 2 2 2 3 2 2 2" xfId="9145"/>
    <cellStyle name="Обычный 19 2 2 2 3 2 3" xfId="9146"/>
    <cellStyle name="Обычный 19 2 2 2 3 2 3 2" xfId="9147"/>
    <cellStyle name="Обычный 19 2 2 2 3 2 4" xfId="9148"/>
    <cellStyle name="Обычный 19 2 2 2 3 3" xfId="9149"/>
    <cellStyle name="Обычный 19 2 2 2 3 3 2" xfId="9150"/>
    <cellStyle name="Обычный 19 2 2 2 3 3 2 2" xfId="9151"/>
    <cellStyle name="Обычный 19 2 2 2 3 3 3" xfId="9152"/>
    <cellStyle name="Обычный 19 2 2 2 3 4" xfId="9153"/>
    <cellStyle name="Обычный 19 2 2 2 3 4 2" xfId="9154"/>
    <cellStyle name="Обычный 19 2 2 2 3 5" xfId="9155"/>
    <cellStyle name="Обычный 19 2 2 2 3 5 2" xfId="9156"/>
    <cellStyle name="Обычный 19 2 2 2 3 6" xfId="9157"/>
    <cellStyle name="Обычный 19 2 2 2 4" xfId="9158"/>
    <cellStyle name="Обычный 19 2 2 2 4 2" xfId="9159"/>
    <cellStyle name="Обычный 19 2 2 2 4 2 2" xfId="9160"/>
    <cellStyle name="Обычный 19 2 2 2 4 2 2 2" xfId="9161"/>
    <cellStyle name="Обычный 19 2 2 2 4 2 3" xfId="9162"/>
    <cellStyle name="Обычный 19 2 2 2 4 3" xfId="9163"/>
    <cellStyle name="Обычный 19 2 2 2 4 3 2" xfId="9164"/>
    <cellStyle name="Обычный 19 2 2 2 4 3 2 2" xfId="9165"/>
    <cellStyle name="Обычный 19 2 2 2 4 3 3" xfId="9166"/>
    <cellStyle name="Обычный 19 2 2 2 4 4" xfId="9167"/>
    <cellStyle name="Обычный 19 2 2 2 4 4 2" xfId="9168"/>
    <cellStyle name="Обычный 19 2 2 2 4 5" xfId="9169"/>
    <cellStyle name="Обычный 19 2 2 2 4 5 2" xfId="9170"/>
    <cellStyle name="Обычный 19 2 2 2 4 6" xfId="9171"/>
    <cellStyle name="Обычный 19 2 2 2 5" xfId="9172"/>
    <cellStyle name="Обычный 19 2 2 2 5 2" xfId="9173"/>
    <cellStyle name="Обычный 19 2 2 2 5 2 2" xfId="9174"/>
    <cellStyle name="Обычный 19 2 2 2 5 3" xfId="9175"/>
    <cellStyle name="Обычный 19 2 2 2 6" xfId="9176"/>
    <cellStyle name="Обычный 19 2 2 2 6 2" xfId="9177"/>
    <cellStyle name="Обычный 19 2 2 2 6 2 2" xfId="9178"/>
    <cellStyle name="Обычный 19 2 2 2 6 3" xfId="9179"/>
    <cellStyle name="Обычный 19 2 2 2 7" xfId="9180"/>
    <cellStyle name="Обычный 19 2 2 2 7 2" xfId="9181"/>
    <cellStyle name="Обычный 19 2 2 2 8" xfId="9182"/>
    <cellStyle name="Обычный 19 2 2 2 8 2" xfId="9183"/>
    <cellStyle name="Обычный 19 2 2 2 9" xfId="9184"/>
    <cellStyle name="Обычный 19 2 2 3" xfId="9185"/>
    <cellStyle name="Обычный 19 2 2 3 2" xfId="9186"/>
    <cellStyle name="Обычный 19 2 2 3 2 2" xfId="9187"/>
    <cellStyle name="Обычный 19 2 2 3 2 2 2" xfId="9188"/>
    <cellStyle name="Обычный 19 2 2 3 2 2 2 2" xfId="9189"/>
    <cellStyle name="Обычный 19 2 2 3 2 2 3" xfId="9190"/>
    <cellStyle name="Обычный 19 2 2 3 2 2 3 2" xfId="9191"/>
    <cellStyle name="Обычный 19 2 2 3 2 2 4" xfId="9192"/>
    <cellStyle name="Обычный 19 2 2 3 2 3" xfId="9193"/>
    <cellStyle name="Обычный 19 2 2 3 2 3 2" xfId="9194"/>
    <cellStyle name="Обычный 19 2 2 3 2 3 2 2" xfId="9195"/>
    <cellStyle name="Обычный 19 2 2 3 2 3 3" xfId="9196"/>
    <cellStyle name="Обычный 19 2 2 3 2 4" xfId="9197"/>
    <cellStyle name="Обычный 19 2 2 3 2 4 2" xfId="9198"/>
    <cellStyle name="Обычный 19 2 2 3 2 5" xfId="9199"/>
    <cellStyle name="Обычный 19 2 2 3 2 5 2" xfId="9200"/>
    <cellStyle name="Обычный 19 2 2 3 2 6" xfId="9201"/>
    <cellStyle name="Обычный 19 2 2 3 3" xfId="9202"/>
    <cellStyle name="Обычный 19 2 2 3 3 2" xfId="9203"/>
    <cellStyle name="Обычный 19 2 2 3 3 2 2" xfId="9204"/>
    <cellStyle name="Обычный 19 2 2 3 3 2 2 2" xfId="9205"/>
    <cellStyle name="Обычный 19 2 2 3 3 2 3" xfId="9206"/>
    <cellStyle name="Обычный 19 2 2 3 3 3" xfId="9207"/>
    <cellStyle name="Обычный 19 2 2 3 3 3 2" xfId="9208"/>
    <cellStyle name="Обычный 19 2 2 3 3 3 2 2" xfId="9209"/>
    <cellStyle name="Обычный 19 2 2 3 3 3 3" xfId="9210"/>
    <cellStyle name="Обычный 19 2 2 3 3 4" xfId="9211"/>
    <cellStyle name="Обычный 19 2 2 3 3 4 2" xfId="9212"/>
    <cellStyle name="Обычный 19 2 2 3 3 5" xfId="9213"/>
    <cellStyle name="Обычный 19 2 2 3 3 5 2" xfId="9214"/>
    <cellStyle name="Обычный 19 2 2 3 3 6" xfId="9215"/>
    <cellStyle name="Обычный 19 2 2 3 4" xfId="9216"/>
    <cellStyle name="Обычный 19 2 2 3 4 2" xfId="9217"/>
    <cellStyle name="Обычный 19 2 2 3 4 2 2" xfId="9218"/>
    <cellStyle name="Обычный 19 2 2 3 4 3" xfId="9219"/>
    <cellStyle name="Обычный 19 2 2 3 4 3 2" xfId="9220"/>
    <cellStyle name="Обычный 19 2 2 3 4 4" xfId="9221"/>
    <cellStyle name="Обычный 19 2 2 3 5" xfId="9222"/>
    <cellStyle name="Обычный 19 2 2 3 5 2" xfId="9223"/>
    <cellStyle name="Обычный 19 2 2 3 5 2 2" xfId="9224"/>
    <cellStyle name="Обычный 19 2 2 3 5 3" xfId="9225"/>
    <cellStyle name="Обычный 19 2 2 3 6" xfId="9226"/>
    <cellStyle name="Обычный 19 2 2 3 6 2" xfId="9227"/>
    <cellStyle name="Обычный 19 2 2 3 7" xfId="9228"/>
    <cellStyle name="Обычный 19 2 2 3 7 2" xfId="9229"/>
    <cellStyle name="Обычный 19 2 2 3 8" xfId="9230"/>
    <cellStyle name="Обычный 19 2 2 4" xfId="9231"/>
    <cellStyle name="Обычный 19 2 2 4 2" xfId="9232"/>
    <cellStyle name="Обычный 19 2 2 4 2 2" xfId="9233"/>
    <cellStyle name="Обычный 19 2 2 4 2 2 2" xfId="9234"/>
    <cellStyle name="Обычный 19 2 2 4 2 2 2 2" xfId="9235"/>
    <cellStyle name="Обычный 19 2 2 4 2 2 3" xfId="9236"/>
    <cellStyle name="Обычный 19 2 2 4 2 3" xfId="9237"/>
    <cellStyle name="Обычный 19 2 2 4 2 3 2" xfId="9238"/>
    <cellStyle name="Обычный 19 2 2 4 2 3 2 2" xfId="9239"/>
    <cellStyle name="Обычный 19 2 2 4 2 3 3" xfId="9240"/>
    <cellStyle name="Обычный 19 2 2 4 2 4" xfId="9241"/>
    <cellStyle name="Обычный 19 2 2 4 2 4 2" xfId="9242"/>
    <cellStyle name="Обычный 19 2 2 4 2 5" xfId="9243"/>
    <cellStyle name="Обычный 19 2 2 4 2 5 2" xfId="9244"/>
    <cellStyle name="Обычный 19 2 2 4 2 6" xfId="9245"/>
    <cellStyle name="Обычный 19 2 2 4 3" xfId="9246"/>
    <cellStyle name="Обычный 19 2 2 4 3 2" xfId="9247"/>
    <cellStyle name="Обычный 19 2 2 4 3 2 2" xfId="9248"/>
    <cellStyle name="Обычный 19 2 2 4 3 2 2 2" xfId="9249"/>
    <cellStyle name="Обычный 19 2 2 4 3 2 3" xfId="9250"/>
    <cellStyle name="Обычный 19 2 2 4 3 3" xfId="9251"/>
    <cellStyle name="Обычный 19 2 2 4 3 3 2" xfId="9252"/>
    <cellStyle name="Обычный 19 2 2 4 3 3 2 2" xfId="9253"/>
    <cellStyle name="Обычный 19 2 2 4 3 3 3" xfId="9254"/>
    <cellStyle name="Обычный 19 2 2 4 3 4" xfId="9255"/>
    <cellStyle name="Обычный 19 2 2 4 3 4 2" xfId="9256"/>
    <cellStyle name="Обычный 19 2 2 4 3 5" xfId="9257"/>
    <cellStyle name="Обычный 19 2 2 4 4" xfId="9258"/>
    <cellStyle name="Обычный 19 2 2 4 4 2" xfId="9259"/>
    <cellStyle name="Обычный 19 2 2 4 4 2 2" xfId="9260"/>
    <cellStyle name="Обычный 19 2 2 4 4 3" xfId="9261"/>
    <cellStyle name="Обычный 19 2 2 4 5" xfId="9262"/>
    <cellStyle name="Обычный 19 2 2 4 5 2" xfId="9263"/>
    <cellStyle name="Обычный 19 2 2 4 5 2 2" xfId="9264"/>
    <cellStyle name="Обычный 19 2 2 4 5 3" xfId="9265"/>
    <cellStyle name="Обычный 19 2 2 4 6" xfId="9266"/>
    <cellStyle name="Обычный 19 2 2 4 6 2" xfId="9267"/>
    <cellStyle name="Обычный 19 2 2 4 7" xfId="9268"/>
    <cellStyle name="Обычный 19 2 2 4 7 2" xfId="9269"/>
    <cellStyle name="Обычный 19 2 2 4 8" xfId="9270"/>
    <cellStyle name="Обычный 19 2 2 5" xfId="9271"/>
    <cellStyle name="Обычный 19 2 2 5 2" xfId="9272"/>
    <cellStyle name="Обычный 19 2 2 5 2 2" xfId="9273"/>
    <cellStyle name="Обычный 19 2 2 5 2 2 2" xfId="9274"/>
    <cellStyle name="Обычный 19 2 2 5 2 3" xfId="9275"/>
    <cellStyle name="Обычный 19 2 2 5 3" xfId="9276"/>
    <cellStyle name="Обычный 19 2 2 5 3 2" xfId="9277"/>
    <cellStyle name="Обычный 19 2 2 5 3 2 2" xfId="9278"/>
    <cellStyle name="Обычный 19 2 2 5 3 3" xfId="9279"/>
    <cellStyle name="Обычный 19 2 2 5 4" xfId="9280"/>
    <cellStyle name="Обычный 19 2 2 5 4 2" xfId="9281"/>
    <cellStyle name="Обычный 19 2 2 5 5" xfId="9282"/>
    <cellStyle name="Обычный 19 2 2 5 5 2" xfId="9283"/>
    <cellStyle name="Обычный 19 2 2 5 6" xfId="9284"/>
    <cellStyle name="Обычный 19 2 2 6" xfId="9285"/>
    <cellStyle name="Обычный 19 2 2 6 2" xfId="9286"/>
    <cellStyle name="Обычный 19 2 2 6 2 2" xfId="9287"/>
    <cellStyle name="Обычный 19 2 2 6 2 2 2" xfId="9288"/>
    <cellStyle name="Обычный 19 2 2 6 2 3" xfId="9289"/>
    <cellStyle name="Обычный 19 2 2 6 3" xfId="9290"/>
    <cellStyle name="Обычный 19 2 2 6 3 2" xfId="9291"/>
    <cellStyle name="Обычный 19 2 2 6 3 2 2" xfId="9292"/>
    <cellStyle name="Обычный 19 2 2 6 3 3" xfId="9293"/>
    <cellStyle name="Обычный 19 2 2 6 4" xfId="9294"/>
    <cellStyle name="Обычный 19 2 2 6 4 2" xfId="9295"/>
    <cellStyle name="Обычный 19 2 2 6 5" xfId="9296"/>
    <cellStyle name="Обычный 19 2 2 6 5 2" xfId="9297"/>
    <cellStyle name="Обычный 19 2 2 6 6" xfId="9298"/>
    <cellStyle name="Обычный 19 2 2 7" xfId="9299"/>
    <cellStyle name="Обычный 19 2 2 7 2" xfId="9300"/>
    <cellStyle name="Обычный 19 2 2 7 2 2" xfId="9301"/>
    <cellStyle name="Обычный 19 2 2 7 3" xfId="9302"/>
    <cellStyle name="Обычный 19 2 2 8" xfId="9303"/>
    <cellStyle name="Обычный 19 2 2 8 2" xfId="9304"/>
    <cellStyle name="Обычный 19 2 2 8 2 2" xfId="9305"/>
    <cellStyle name="Обычный 19 2 2 8 3" xfId="9306"/>
    <cellStyle name="Обычный 19 2 2 9" xfId="9307"/>
    <cellStyle name="Обычный 19 2 2 9 2" xfId="9308"/>
    <cellStyle name="Обычный 19 2 3" xfId="9309"/>
    <cellStyle name="Обычный 19 2 3 10" xfId="9310"/>
    <cellStyle name="Обычный 19 2 3 10 2" xfId="9311"/>
    <cellStyle name="Обычный 19 2 3 11" xfId="9312"/>
    <cellStyle name="Обычный 19 2 3 11 2" xfId="9313"/>
    <cellStyle name="Обычный 19 2 3 12" xfId="9314"/>
    <cellStyle name="Обычный 19 2 3 2" xfId="9315"/>
    <cellStyle name="Обычный 19 2 3 2 10" xfId="9316"/>
    <cellStyle name="Обычный 19 2 3 2 10 2" xfId="9317"/>
    <cellStyle name="Обычный 19 2 3 2 10 2 2" xfId="9318"/>
    <cellStyle name="Обычный 19 2 3 2 10 2 2 2" xfId="9319"/>
    <cellStyle name="Обычный 19 2 3 2 10 2 3" xfId="9320"/>
    <cellStyle name="Обычный 19 2 3 2 10 2 3 2" xfId="9321"/>
    <cellStyle name="Обычный 19 2 3 2 10 2 4" xfId="9322"/>
    <cellStyle name="Обычный 19 2 3 2 10 3" xfId="9323"/>
    <cellStyle name="Обычный 19 2 3 2 10 3 2" xfId="9324"/>
    <cellStyle name="Обычный 19 2 3 2 10 3 2 2" xfId="9325"/>
    <cellStyle name="Обычный 19 2 3 2 10 3 3" xfId="9326"/>
    <cellStyle name="Обычный 19 2 3 2 10 4" xfId="9327"/>
    <cellStyle name="Обычный 19 2 3 2 10 4 2" xfId="9328"/>
    <cellStyle name="Обычный 19 2 3 2 10 5" xfId="9329"/>
    <cellStyle name="Обычный 19 2 3 2 10 5 2" xfId="9330"/>
    <cellStyle name="Обычный 19 2 3 2 10 6" xfId="9331"/>
    <cellStyle name="Обычный 19 2 3 2 11" xfId="9332"/>
    <cellStyle name="Обычный 19 2 3 2 11 2" xfId="9333"/>
    <cellStyle name="Обычный 19 2 3 2 11 2 2" xfId="9334"/>
    <cellStyle name="Обычный 19 2 3 2 11 2 2 2" xfId="9335"/>
    <cellStyle name="Обычный 19 2 3 2 11 2 3" xfId="9336"/>
    <cellStyle name="Обычный 19 2 3 2 11 2 3 2" xfId="9337"/>
    <cellStyle name="Обычный 19 2 3 2 11 2 4" xfId="9338"/>
    <cellStyle name="Обычный 19 2 3 2 11 3" xfId="9339"/>
    <cellStyle name="Обычный 19 2 3 2 11 3 2" xfId="9340"/>
    <cellStyle name="Обычный 19 2 3 2 11 3 2 2" xfId="9341"/>
    <cellStyle name="Обычный 19 2 3 2 11 3 3" xfId="9342"/>
    <cellStyle name="Обычный 19 2 3 2 11 4" xfId="9343"/>
    <cellStyle name="Обычный 19 2 3 2 11 4 2" xfId="9344"/>
    <cellStyle name="Обычный 19 2 3 2 11 5" xfId="9345"/>
    <cellStyle name="Обычный 19 2 3 2 11 5 2" xfId="9346"/>
    <cellStyle name="Обычный 19 2 3 2 11 6" xfId="9347"/>
    <cellStyle name="Обычный 19 2 3 2 12" xfId="9348"/>
    <cellStyle name="Обычный 19 2 3 2 12 2" xfId="9349"/>
    <cellStyle name="Обычный 19 2 3 2 12 2 2" xfId="9350"/>
    <cellStyle name="Обычный 19 2 3 2 12 2 2 2" xfId="9351"/>
    <cellStyle name="Обычный 19 2 3 2 12 2 3" xfId="9352"/>
    <cellStyle name="Обычный 19 2 3 2 12 3" xfId="9353"/>
    <cellStyle name="Обычный 19 2 3 2 12 3 2" xfId="9354"/>
    <cellStyle name="Обычный 19 2 3 2 12 4" xfId="9355"/>
    <cellStyle name="Обычный 19 2 3 2 12 4 2" xfId="9356"/>
    <cellStyle name="Обычный 19 2 3 2 12 5" xfId="9357"/>
    <cellStyle name="Обычный 19 2 3 2 13" xfId="9358"/>
    <cellStyle name="Обычный 19 2 3 2 13 2" xfId="9359"/>
    <cellStyle name="Обычный 19 2 3 2 13 2 2" xfId="9360"/>
    <cellStyle name="Обычный 19 2 3 2 13 3" xfId="9361"/>
    <cellStyle name="Обычный 19 2 3 2 13 3 2" xfId="9362"/>
    <cellStyle name="Обычный 19 2 3 2 13 4" xfId="9363"/>
    <cellStyle name="Обычный 19 2 3 2 14" xfId="9364"/>
    <cellStyle name="Обычный 19 2 3 2 14 2" xfId="9365"/>
    <cellStyle name="Обычный 19 2 3 2 14 2 2" xfId="9366"/>
    <cellStyle name="Обычный 19 2 3 2 14 3" xfId="9367"/>
    <cellStyle name="Обычный 19 2 3 2 14 3 2" xfId="9368"/>
    <cellStyle name="Обычный 19 2 3 2 14 4" xfId="9369"/>
    <cellStyle name="Обычный 19 2 3 2 15" xfId="9370"/>
    <cellStyle name="Обычный 19 2 3 2 15 2" xfId="9371"/>
    <cellStyle name="Обычный 19 2 3 2 15 2 2" xfId="9372"/>
    <cellStyle name="Обычный 19 2 3 2 15 3" xfId="9373"/>
    <cellStyle name="Обычный 19 2 3 2 15 3 2" xfId="9374"/>
    <cellStyle name="Обычный 19 2 3 2 15 4" xfId="9375"/>
    <cellStyle name="Обычный 19 2 3 2 16" xfId="9376"/>
    <cellStyle name="Обычный 19 2 3 2 16 2" xfId="9377"/>
    <cellStyle name="Обычный 19 2 3 2 16 2 2" xfId="9378"/>
    <cellStyle name="Обычный 19 2 3 2 16 3" xfId="9379"/>
    <cellStyle name="Обычный 19 2 3 2 16 3 2" xfId="9380"/>
    <cellStyle name="Обычный 19 2 3 2 16 4" xfId="9381"/>
    <cellStyle name="Обычный 19 2 3 2 17" xfId="9382"/>
    <cellStyle name="Обычный 19 2 3 2 17 2" xfId="9383"/>
    <cellStyle name="Обычный 19 2 3 2 17 2 2" xfId="9384"/>
    <cellStyle name="Обычный 19 2 3 2 17 3" xfId="9385"/>
    <cellStyle name="Обычный 19 2 3 2 17 3 2" xfId="9386"/>
    <cellStyle name="Обычный 19 2 3 2 17 4" xfId="9387"/>
    <cellStyle name="Обычный 19 2 3 2 18" xfId="9388"/>
    <cellStyle name="Обычный 19 2 3 2 18 2" xfId="9389"/>
    <cellStyle name="Обычный 19 2 3 2 18 2 2" xfId="9390"/>
    <cellStyle name="Обычный 19 2 3 2 18 3" xfId="9391"/>
    <cellStyle name="Обычный 19 2 3 2 18 3 2" xfId="9392"/>
    <cellStyle name="Обычный 19 2 3 2 18 4" xfId="9393"/>
    <cellStyle name="Обычный 19 2 3 2 19" xfId="9394"/>
    <cellStyle name="Обычный 19 2 3 2 19 2" xfId="9395"/>
    <cellStyle name="Обычный 19 2 3 2 19 2 2" xfId="9396"/>
    <cellStyle name="Обычный 19 2 3 2 19 3" xfId="9397"/>
    <cellStyle name="Обычный 19 2 3 2 19 3 2" xfId="9398"/>
    <cellStyle name="Обычный 19 2 3 2 19 4" xfId="9399"/>
    <cellStyle name="Обычный 19 2 3 2 2" xfId="9400"/>
    <cellStyle name="Обычный 19 2 3 2 2 10" xfId="9401"/>
    <cellStyle name="Обычный 19 2 3 2 2 2" xfId="9402"/>
    <cellStyle name="Обычный 19 2 3 2 2 2 2" xfId="9403"/>
    <cellStyle name="Обычный 19 2 3 2 2 2 2 2" xfId="9404"/>
    <cellStyle name="Обычный 19 2 3 2 2 2 2 2 2" xfId="9405"/>
    <cellStyle name="Обычный 19 2 3 2 2 2 2 2 2 2" xfId="9406"/>
    <cellStyle name="Обычный 19 2 3 2 2 2 2 2 3" xfId="9407"/>
    <cellStyle name="Обычный 19 2 3 2 2 2 2 3" xfId="9408"/>
    <cellStyle name="Обычный 19 2 3 2 2 2 2 3 2" xfId="9409"/>
    <cellStyle name="Обычный 19 2 3 2 2 2 2 3 2 2" xfId="9410"/>
    <cellStyle name="Обычный 19 2 3 2 2 2 2 3 3" xfId="9411"/>
    <cellStyle name="Обычный 19 2 3 2 2 2 2 4" xfId="9412"/>
    <cellStyle name="Обычный 19 2 3 2 2 2 2 4 2" xfId="9413"/>
    <cellStyle name="Обычный 19 2 3 2 2 2 2 5" xfId="9414"/>
    <cellStyle name="Обычный 19 2 3 2 2 2 2 5 2" xfId="9415"/>
    <cellStyle name="Обычный 19 2 3 2 2 2 2 6" xfId="9416"/>
    <cellStyle name="Обычный 19 2 3 2 2 2 3" xfId="9417"/>
    <cellStyle name="Обычный 19 2 3 2 2 2 3 2" xfId="9418"/>
    <cellStyle name="Обычный 19 2 3 2 2 2 3 2 2" xfId="9419"/>
    <cellStyle name="Обычный 19 2 3 2 2 2 3 2 2 2" xfId="9420"/>
    <cellStyle name="Обычный 19 2 3 2 2 2 3 2 3" xfId="9421"/>
    <cellStyle name="Обычный 19 2 3 2 2 2 3 3" xfId="9422"/>
    <cellStyle name="Обычный 19 2 3 2 2 2 3 3 2" xfId="9423"/>
    <cellStyle name="Обычный 19 2 3 2 2 2 3 3 2 2" xfId="9424"/>
    <cellStyle name="Обычный 19 2 3 2 2 2 3 3 3" xfId="9425"/>
    <cellStyle name="Обычный 19 2 3 2 2 2 3 4" xfId="9426"/>
    <cellStyle name="Обычный 19 2 3 2 2 2 3 4 2" xfId="9427"/>
    <cellStyle name="Обычный 19 2 3 2 2 2 3 5" xfId="9428"/>
    <cellStyle name="Обычный 19 2 3 2 2 2 3 5 2" xfId="9429"/>
    <cellStyle name="Обычный 19 2 3 2 2 2 3 6" xfId="9430"/>
    <cellStyle name="Обычный 19 2 3 2 2 2 4" xfId="9431"/>
    <cellStyle name="Обычный 19 2 3 2 2 2 4 2" xfId="9432"/>
    <cellStyle name="Обычный 19 2 3 2 2 2 4 2 2" xfId="9433"/>
    <cellStyle name="Обычный 19 2 3 2 2 2 4 3" xfId="9434"/>
    <cellStyle name="Обычный 19 2 3 2 2 2 4 3 2" xfId="9435"/>
    <cellStyle name="Обычный 19 2 3 2 2 2 4 4" xfId="9436"/>
    <cellStyle name="Обычный 19 2 3 2 2 2 5" xfId="9437"/>
    <cellStyle name="Обычный 19 2 3 2 2 2 5 2" xfId="9438"/>
    <cellStyle name="Обычный 19 2 3 2 2 2 5 2 2" xfId="9439"/>
    <cellStyle name="Обычный 19 2 3 2 2 2 5 3" xfId="9440"/>
    <cellStyle name="Обычный 19 2 3 2 2 2 6" xfId="9441"/>
    <cellStyle name="Обычный 19 2 3 2 2 2 6 2" xfId="9442"/>
    <cellStyle name="Обычный 19 2 3 2 2 2 7" xfId="9443"/>
    <cellStyle name="Обычный 19 2 3 2 2 2 7 2" xfId="9444"/>
    <cellStyle name="Обычный 19 2 3 2 2 2 8" xfId="9445"/>
    <cellStyle name="Обычный 19 2 3 2 2 3" xfId="9446"/>
    <cellStyle name="Обычный 19 2 3 2 2 3 2" xfId="9447"/>
    <cellStyle name="Обычный 19 2 3 2 2 3 2 2" xfId="9448"/>
    <cellStyle name="Обычный 19 2 3 2 2 3 2 2 2" xfId="9449"/>
    <cellStyle name="Обычный 19 2 3 2 2 3 2 3" xfId="9450"/>
    <cellStyle name="Обычный 19 2 3 2 2 3 3" xfId="9451"/>
    <cellStyle name="Обычный 19 2 3 2 2 3 3 2" xfId="9452"/>
    <cellStyle name="Обычный 19 2 3 2 2 3 3 2 2" xfId="9453"/>
    <cellStyle name="Обычный 19 2 3 2 2 3 3 3" xfId="9454"/>
    <cellStyle name="Обычный 19 2 3 2 2 3 4" xfId="9455"/>
    <cellStyle name="Обычный 19 2 3 2 2 3 4 2" xfId="9456"/>
    <cellStyle name="Обычный 19 2 3 2 2 3 5" xfId="9457"/>
    <cellStyle name="Обычный 19 2 3 2 2 3 5 2" xfId="9458"/>
    <cellStyle name="Обычный 19 2 3 2 2 3 6" xfId="9459"/>
    <cellStyle name="Обычный 19 2 3 2 2 4" xfId="9460"/>
    <cellStyle name="Обычный 19 2 3 2 2 4 2" xfId="9461"/>
    <cellStyle name="Обычный 19 2 3 2 2 4 2 2" xfId="9462"/>
    <cellStyle name="Обычный 19 2 3 2 2 4 2 2 2" xfId="9463"/>
    <cellStyle name="Обычный 19 2 3 2 2 4 2 3" xfId="9464"/>
    <cellStyle name="Обычный 19 2 3 2 2 4 3" xfId="9465"/>
    <cellStyle name="Обычный 19 2 3 2 2 4 3 2" xfId="9466"/>
    <cellStyle name="Обычный 19 2 3 2 2 4 3 2 2" xfId="9467"/>
    <cellStyle name="Обычный 19 2 3 2 2 4 3 3" xfId="9468"/>
    <cellStyle name="Обычный 19 2 3 2 2 4 4" xfId="9469"/>
    <cellStyle name="Обычный 19 2 3 2 2 4 4 2" xfId="9470"/>
    <cellStyle name="Обычный 19 2 3 2 2 4 5" xfId="9471"/>
    <cellStyle name="Обычный 19 2 3 2 2 4 5 2" xfId="9472"/>
    <cellStyle name="Обычный 19 2 3 2 2 4 6" xfId="9473"/>
    <cellStyle name="Обычный 19 2 3 2 2 5" xfId="9474"/>
    <cellStyle name="Обычный 19 2 3 2 2 5 2" xfId="9475"/>
    <cellStyle name="Обычный 19 2 3 2 2 5 2 2" xfId="9476"/>
    <cellStyle name="Обычный 19 2 3 2 2 5 2 2 2" xfId="9477"/>
    <cellStyle name="Обычный 19 2 3 2 2 5 2 3" xfId="9478"/>
    <cellStyle name="Обычный 19 2 3 2 2 5 3" xfId="9479"/>
    <cellStyle name="Обычный 19 2 3 2 2 5 3 2" xfId="9480"/>
    <cellStyle name="Обычный 19 2 3 2 2 5 3 2 2" xfId="9481"/>
    <cellStyle name="Обычный 19 2 3 2 2 5 3 3" xfId="9482"/>
    <cellStyle name="Обычный 19 2 3 2 2 5 4" xfId="9483"/>
    <cellStyle name="Обычный 19 2 3 2 2 5 4 2" xfId="9484"/>
    <cellStyle name="Обычный 19 2 3 2 2 5 5" xfId="9485"/>
    <cellStyle name="Обычный 19 2 3 2 2 5 5 2" xfId="9486"/>
    <cellStyle name="Обычный 19 2 3 2 2 5 6" xfId="9487"/>
    <cellStyle name="Обычный 19 2 3 2 2 6" xfId="9488"/>
    <cellStyle name="Обычный 19 2 3 2 2 6 2" xfId="9489"/>
    <cellStyle name="Обычный 19 2 3 2 2 6 2 2" xfId="9490"/>
    <cellStyle name="Обычный 19 2 3 2 2 6 3" xfId="9491"/>
    <cellStyle name="Обычный 19 2 3 2 2 6 3 2" xfId="9492"/>
    <cellStyle name="Обычный 19 2 3 2 2 6 4" xfId="9493"/>
    <cellStyle name="Обычный 19 2 3 2 2 7" xfId="9494"/>
    <cellStyle name="Обычный 19 2 3 2 2 7 2" xfId="9495"/>
    <cellStyle name="Обычный 19 2 3 2 2 7 2 2" xfId="9496"/>
    <cellStyle name="Обычный 19 2 3 2 2 7 3" xfId="9497"/>
    <cellStyle name="Обычный 19 2 3 2 2 8" xfId="9498"/>
    <cellStyle name="Обычный 19 2 3 2 2 8 2" xfId="9499"/>
    <cellStyle name="Обычный 19 2 3 2 2 9" xfId="9500"/>
    <cellStyle name="Обычный 19 2 3 2 2 9 2" xfId="9501"/>
    <cellStyle name="Обычный 19 2 3 2 20" xfId="9502"/>
    <cellStyle name="Обычный 19 2 3 2 20 2" xfId="9503"/>
    <cellStyle name="Обычный 19 2 3 2 21" xfId="9504"/>
    <cellStyle name="Обычный 19 2 3 2 21 2" xfId="9505"/>
    <cellStyle name="Обычный 19 2 3 2 22" xfId="9506"/>
    <cellStyle name="Обычный 19 2 3 2 3" xfId="9507"/>
    <cellStyle name="Обычный 19 2 3 2 3 10" xfId="9508"/>
    <cellStyle name="Обычный 19 2 3 2 3 10 2" xfId="9509"/>
    <cellStyle name="Обычный 19 2 3 2 3 11" xfId="9510"/>
    <cellStyle name="Обычный 19 2 3 2 3 2" xfId="9511"/>
    <cellStyle name="Обычный 19 2 3 2 3 2 2" xfId="9512"/>
    <cellStyle name="Обычный 19 2 3 2 3 2 2 2" xfId="9513"/>
    <cellStyle name="Обычный 19 2 3 2 3 2 2 2 2" xfId="9514"/>
    <cellStyle name="Обычный 19 2 3 2 3 2 2 2 2 2" xfId="9515"/>
    <cellStyle name="Обычный 19 2 3 2 3 2 2 2 2 2 2" xfId="9516"/>
    <cellStyle name="Обычный 19 2 3 2 3 2 2 2 2 3" xfId="9517"/>
    <cellStyle name="Обычный 19 2 3 2 3 2 2 2 3" xfId="9518"/>
    <cellStyle name="Обычный 19 2 3 2 3 2 2 2 3 2" xfId="9519"/>
    <cellStyle name="Обычный 19 2 3 2 3 2 2 2 3 2 2" xfId="9520"/>
    <cellStyle name="Обычный 19 2 3 2 3 2 2 2 3 3" xfId="9521"/>
    <cellStyle name="Обычный 19 2 3 2 3 2 2 2 4" xfId="9522"/>
    <cellStyle name="Обычный 19 2 3 2 3 2 2 2 4 2" xfId="9523"/>
    <cellStyle name="Обычный 19 2 3 2 3 2 2 2 5" xfId="9524"/>
    <cellStyle name="Обычный 19 2 3 2 3 2 2 2 5 2" xfId="9525"/>
    <cellStyle name="Обычный 19 2 3 2 3 2 2 2 6" xfId="9526"/>
    <cellStyle name="Обычный 19 2 3 2 3 2 2 3" xfId="9527"/>
    <cellStyle name="Обычный 19 2 3 2 3 2 2 3 2" xfId="9528"/>
    <cellStyle name="Обычный 19 2 3 2 3 2 2 3 2 2" xfId="9529"/>
    <cellStyle name="Обычный 19 2 3 2 3 2 2 3 3" xfId="9530"/>
    <cellStyle name="Обычный 19 2 3 2 3 2 2 4" xfId="9531"/>
    <cellStyle name="Обычный 19 2 3 2 3 2 2 4 2" xfId="9532"/>
    <cellStyle name="Обычный 19 2 3 2 3 2 2 4 2 2" xfId="9533"/>
    <cellStyle name="Обычный 19 2 3 2 3 2 2 4 3" xfId="9534"/>
    <cellStyle name="Обычный 19 2 3 2 3 2 2 5" xfId="9535"/>
    <cellStyle name="Обычный 19 2 3 2 3 2 2 5 2" xfId="9536"/>
    <cellStyle name="Обычный 19 2 3 2 3 2 2 6" xfId="9537"/>
    <cellStyle name="Обычный 19 2 3 2 3 2 2 6 2" xfId="9538"/>
    <cellStyle name="Обычный 19 2 3 2 3 2 2 7" xfId="9539"/>
    <cellStyle name="Обычный 19 2 3 2 3 2 3" xfId="9540"/>
    <cellStyle name="Обычный 19 2 3 2 3 2 3 2" xfId="9541"/>
    <cellStyle name="Обычный 19 2 3 2 3 2 3 2 2" xfId="9542"/>
    <cellStyle name="Обычный 19 2 3 2 3 2 3 2 2 2" xfId="9543"/>
    <cellStyle name="Обычный 19 2 3 2 3 2 3 2 3" xfId="9544"/>
    <cellStyle name="Обычный 19 2 3 2 3 2 3 3" xfId="9545"/>
    <cellStyle name="Обычный 19 2 3 2 3 2 3 3 2" xfId="9546"/>
    <cellStyle name="Обычный 19 2 3 2 3 2 3 3 2 2" xfId="9547"/>
    <cellStyle name="Обычный 19 2 3 2 3 2 3 3 3" xfId="9548"/>
    <cellStyle name="Обычный 19 2 3 2 3 2 3 4" xfId="9549"/>
    <cellStyle name="Обычный 19 2 3 2 3 2 3 4 2" xfId="9550"/>
    <cellStyle name="Обычный 19 2 3 2 3 2 3 5" xfId="9551"/>
    <cellStyle name="Обычный 19 2 3 2 3 2 3 5 2" xfId="9552"/>
    <cellStyle name="Обычный 19 2 3 2 3 2 3 6" xfId="9553"/>
    <cellStyle name="Обычный 19 2 3 2 3 2 4" xfId="9554"/>
    <cellStyle name="Обычный 19 2 3 2 3 2 4 2" xfId="9555"/>
    <cellStyle name="Обычный 19 2 3 2 3 2 4 2 2" xfId="9556"/>
    <cellStyle name="Обычный 19 2 3 2 3 2 4 3" xfId="9557"/>
    <cellStyle name="Обычный 19 2 3 2 3 2 4 3 2" xfId="9558"/>
    <cellStyle name="Обычный 19 2 3 2 3 2 4 4" xfId="9559"/>
    <cellStyle name="Обычный 19 2 3 2 3 2 5" xfId="9560"/>
    <cellStyle name="Обычный 19 2 3 2 3 2 5 2" xfId="9561"/>
    <cellStyle name="Обычный 19 2 3 2 3 2 5 2 2" xfId="9562"/>
    <cellStyle name="Обычный 19 2 3 2 3 2 5 3" xfId="9563"/>
    <cellStyle name="Обычный 19 2 3 2 3 2 6" xfId="9564"/>
    <cellStyle name="Обычный 19 2 3 2 3 2 6 2" xfId="9565"/>
    <cellStyle name="Обычный 19 2 3 2 3 2 7" xfId="9566"/>
    <cellStyle name="Обычный 19 2 3 2 3 2 7 2" xfId="9567"/>
    <cellStyle name="Обычный 19 2 3 2 3 2 8" xfId="9568"/>
    <cellStyle name="Обычный 19 2 3 2 3 3" xfId="9569"/>
    <cellStyle name="Обычный 19 2 3 2 3 3 2" xfId="9570"/>
    <cellStyle name="Обычный 19 2 3 2 3 3 2 2" xfId="9571"/>
    <cellStyle name="Обычный 19 2 3 2 3 3 2 2 2" xfId="9572"/>
    <cellStyle name="Обычный 19 2 3 2 3 3 2 2 2 2" xfId="9573"/>
    <cellStyle name="Обычный 19 2 3 2 3 3 2 2 3" xfId="9574"/>
    <cellStyle name="Обычный 19 2 3 2 3 3 2 3" xfId="9575"/>
    <cellStyle name="Обычный 19 2 3 2 3 3 2 3 2" xfId="9576"/>
    <cellStyle name="Обычный 19 2 3 2 3 3 2 3 2 2" xfId="9577"/>
    <cellStyle name="Обычный 19 2 3 2 3 3 2 3 3" xfId="9578"/>
    <cellStyle name="Обычный 19 2 3 2 3 3 2 4" xfId="9579"/>
    <cellStyle name="Обычный 19 2 3 2 3 3 2 4 2" xfId="9580"/>
    <cellStyle name="Обычный 19 2 3 2 3 3 2 5" xfId="9581"/>
    <cellStyle name="Обычный 19 2 3 2 3 3 2 5 2" xfId="9582"/>
    <cellStyle name="Обычный 19 2 3 2 3 3 2 6" xfId="9583"/>
    <cellStyle name="Обычный 19 2 3 2 3 3 3" xfId="9584"/>
    <cellStyle name="Обычный 19 2 3 2 3 3 3 2" xfId="9585"/>
    <cellStyle name="Обычный 19 2 3 2 3 3 3 2 2" xfId="9586"/>
    <cellStyle name="Обычный 19 2 3 2 3 3 3 3" xfId="9587"/>
    <cellStyle name="Обычный 19 2 3 2 3 3 4" xfId="9588"/>
    <cellStyle name="Обычный 19 2 3 2 3 3 4 2" xfId="9589"/>
    <cellStyle name="Обычный 19 2 3 2 3 3 4 2 2" xfId="9590"/>
    <cellStyle name="Обычный 19 2 3 2 3 3 4 3" xfId="9591"/>
    <cellStyle name="Обычный 19 2 3 2 3 3 5" xfId="9592"/>
    <cellStyle name="Обычный 19 2 3 2 3 3 5 2" xfId="9593"/>
    <cellStyle name="Обычный 19 2 3 2 3 3 6" xfId="9594"/>
    <cellStyle name="Обычный 19 2 3 2 3 3 6 2" xfId="9595"/>
    <cellStyle name="Обычный 19 2 3 2 3 3 7" xfId="9596"/>
    <cellStyle name="Обычный 19 2 3 2 3 4" xfId="9597"/>
    <cellStyle name="Обычный 19 2 3 2 3 4 2" xfId="9598"/>
    <cellStyle name="Обычный 19 2 3 2 3 4 2 2" xfId="9599"/>
    <cellStyle name="Обычный 19 2 3 2 3 4 2 2 2" xfId="9600"/>
    <cellStyle name="Обычный 19 2 3 2 3 4 2 3" xfId="9601"/>
    <cellStyle name="Обычный 19 2 3 2 3 4 3" xfId="9602"/>
    <cellStyle name="Обычный 19 2 3 2 3 4 3 2" xfId="9603"/>
    <cellStyle name="Обычный 19 2 3 2 3 4 3 2 2" xfId="9604"/>
    <cellStyle name="Обычный 19 2 3 2 3 4 3 3" xfId="9605"/>
    <cellStyle name="Обычный 19 2 3 2 3 4 4" xfId="9606"/>
    <cellStyle name="Обычный 19 2 3 2 3 4 4 2" xfId="9607"/>
    <cellStyle name="Обычный 19 2 3 2 3 4 5" xfId="9608"/>
    <cellStyle name="Обычный 19 2 3 2 3 4 5 2" xfId="9609"/>
    <cellStyle name="Обычный 19 2 3 2 3 4 6" xfId="9610"/>
    <cellStyle name="Обычный 19 2 3 2 3 5" xfId="9611"/>
    <cellStyle name="Обычный 19 2 3 2 3 5 2" xfId="9612"/>
    <cellStyle name="Обычный 19 2 3 2 3 5 2 2" xfId="9613"/>
    <cellStyle name="Обычный 19 2 3 2 3 5 2 2 2" xfId="9614"/>
    <cellStyle name="Обычный 19 2 3 2 3 5 2 3" xfId="9615"/>
    <cellStyle name="Обычный 19 2 3 2 3 5 3" xfId="9616"/>
    <cellStyle name="Обычный 19 2 3 2 3 5 3 2" xfId="9617"/>
    <cellStyle name="Обычный 19 2 3 2 3 5 3 2 2" xfId="9618"/>
    <cellStyle name="Обычный 19 2 3 2 3 5 3 3" xfId="9619"/>
    <cellStyle name="Обычный 19 2 3 2 3 5 4" xfId="9620"/>
    <cellStyle name="Обычный 19 2 3 2 3 5 4 2" xfId="9621"/>
    <cellStyle name="Обычный 19 2 3 2 3 5 5" xfId="9622"/>
    <cellStyle name="Обычный 19 2 3 2 3 5 5 2" xfId="9623"/>
    <cellStyle name="Обычный 19 2 3 2 3 5 6" xfId="9624"/>
    <cellStyle name="Обычный 19 2 3 2 3 6" xfId="9625"/>
    <cellStyle name="Обычный 19 2 3 2 3 6 2" xfId="9626"/>
    <cellStyle name="Обычный 19 2 3 2 3 6 2 2" xfId="9627"/>
    <cellStyle name="Обычный 19 2 3 2 3 6 2 2 2" xfId="9628"/>
    <cellStyle name="Обычный 19 2 3 2 3 6 2 3" xfId="9629"/>
    <cellStyle name="Обычный 19 2 3 2 3 6 3" xfId="9630"/>
    <cellStyle name="Обычный 19 2 3 2 3 6 3 2" xfId="9631"/>
    <cellStyle name="Обычный 19 2 3 2 3 6 3 2 2" xfId="9632"/>
    <cellStyle name="Обычный 19 2 3 2 3 6 3 3" xfId="9633"/>
    <cellStyle name="Обычный 19 2 3 2 3 6 4" xfId="9634"/>
    <cellStyle name="Обычный 19 2 3 2 3 6 4 2" xfId="9635"/>
    <cellStyle name="Обычный 19 2 3 2 3 6 5" xfId="9636"/>
    <cellStyle name="Обычный 19 2 3 2 3 6 5 2" xfId="9637"/>
    <cellStyle name="Обычный 19 2 3 2 3 6 6" xfId="9638"/>
    <cellStyle name="Обычный 19 2 3 2 3 7" xfId="9639"/>
    <cellStyle name="Обычный 19 2 3 2 3 7 2" xfId="9640"/>
    <cellStyle name="Обычный 19 2 3 2 3 7 2 2" xfId="9641"/>
    <cellStyle name="Обычный 19 2 3 2 3 7 3" xfId="9642"/>
    <cellStyle name="Обычный 19 2 3 2 3 8" xfId="9643"/>
    <cellStyle name="Обычный 19 2 3 2 3 8 2" xfId="9644"/>
    <cellStyle name="Обычный 19 2 3 2 3 8 2 2" xfId="9645"/>
    <cellStyle name="Обычный 19 2 3 2 3 8 3" xfId="9646"/>
    <cellStyle name="Обычный 19 2 3 2 3 9" xfId="9647"/>
    <cellStyle name="Обычный 19 2 3 2 3 9 2" xfId="9648"/>
    <cellStyle name="Обычный 19 2 3 2 4" xfId="9649"/>
    <cellStyle name="Обычный 19 2 3 2 4 10" xfId="9650"/>
    <cellStyle name="Обычный 19 2 3 2 4 2" xfId="9651"/>
    <cellStyle name="Обычный 19 2 3 2 4 2 2" xfId="9652"/>
    <cellStyle name="Обычный 19 2 3 2 4 2 2 2" xfId="9653"/>
    <cellStyle name="Обычный 19 2 3 2 4 2 2 2 2" xfId="9654"/>
    <cellStyle name="Обычный 19 2 3 2 4 2 2 2 2 2" xfId="9655"/>
    <cellStyle name="Обычный 19 2 3 2 4 2 2 2 3" xfId="9656"/>
    <cellStyle name="Обычный 19 2 3 2 4 2 2 3" xfId="9657"/>
    <cellStyle name="Обычный 19 2 3 2 4 2 2 3 2" xfId="9658"/>
    <cellStyle name="Обычный 19 2 3 2 4 2 2 3 2 2" xfId="9659"/>
    <cellStyle name="Обычный 19 2 3 2 4 2 2 3 3" xfId="9660"/>
    <cellStyle name="Обычный 19 2 3 2 4 2 2 4" xfId="9661"/>
    <cellStyle name="Обычный 19 2 3 2 4 2 2 4 2" xfId="9662"/>
    <cellStyle name="Обычный 19 2 3 2 4 2 2 5" xfId="9663"/>
    <cellStyle name="Обычный 19 2 3 2 4 2 2 5 2" xfId="9664"/>
    <cellStyle name="Обычный 19 2 3 2 4 2 2 6" xfId="9665"/>
    <cellStyle name="Обычный 19 2 3 2 4 2 3" xfId="9666"/>
    <cellStyle name="Обычный 19 2 3 2 4 2 3 2" xfId="9667"/>
    <cellStyle name="Обычный 19 2 3 2 4 2 3 2 2" xfId="9668"/>
    <cellStyle name="Обычный 19 2 3 2 4 2 3 3" xfId="9669"/>
    <cellStyle name="Обычный 19 2 3 2 4 2 4" xfId="9670"/>
    <cellStyle name="Обычный 19 2 3 2 4 2 4 2" xfId="9671"/>
    <cellStyle name="Обычный 19 2 3 2 4 2 4 2 2" xfId="9672"/>
    <cellStyle name="Обычный 19 2 3 2 4 2 4 3" xfId="9673"/>
    <cellStyle name="Обычный 19 2 3 2 4 2 5" xfId="9674"/>
    <cellStyle name="Обычный 19 2 3 2 4 2 5 2" xfId="9675"/>
    <cellStyle name="Обычный 19 2 3 2 4 2 6" xfId="9676"/>
    <cellStyle name="Обычный 19 2 3 2 4 2 6 2" xfId="9677"/>
    <cellStyle name="Обычный 19 2 3 2 4 2 7" xfId="9678"/>
    <cellStyle name="Обычный 19 2 3 2 4 3" xfId="9679"/>
    <cellStyle name="Обычный 19 2 3 2 4 3 2" xfId="9680"/>
    <cellStyle name="Обычный 19 2 3 2 4 3 2 2" xfId="9681"/>
    <cellStyle name="Обычный 19 2 3 2 4 3 2 2 2" xfId="9682"/>
    <cellStyle name="Обычный 19 2 3 2 4 3 2 2 2 2" xfId="9683"/>
    <cellStyle name="Обычный 19 2 3 2 4 3 2 2 3" xfId="9684"/>
    <cellStyle name="Обычный 19 2 3 2 4 3 2 3" xfId="9685"/>
    <cellStyle name="Обычный 19 2 3 2 4 3 2 3 2" xfId="9686"/>
    <cellStyle name="Обычный 19 2 3 2 4 3 2 3 2 2" xfId="9687"/>
    <cellStyle name="Обычный 19 2 3 2 4 3 2 3 3" xfId="9688"/>
    <cellStyle name="Обычный 19 2 3 2 4 3 2 4" xfId="9689"/>
    <cellStyle name="Обычный 19 2 3 2 4 3 2 4 2" xfId="9690"/>
    <cellStyle name="Обычный 19 2 3 2 4 3 2 5" xfId="9691"/>
    <cellStyle name="Обычный 19 2 3 2 4 3 2 5 2" xfId="9692"/>
    <cellStyle name="Обычный 19 2 3 2 4 3 2 6" xfId="9693"/>
    <cellStyle name="Обычный 19 2 3 2 4 3 3" xfId="9694"/>
    <cellStyle name="Обычный 19 2 3 2 4 3 3 2" xfId="9695"/>
    <cellStyle name="Обычный 19 2 3 2 4 3 3 2 2" xfId="9696"/>
    <cellStyle name="Обычный 19 2 3 2 4 3 3 3" xfId="9697"/>
    <cellStyle name="Обычный 19 2 3 2 4 3 4" xfId="9698"/>
    <cellStyle name="Обычный 19 2 3 2 4 3 4 2" xfId="9699"/>
    <cellStyle name="Обычный 19 2 3 2 4 3 4 2 2" xfId="9700"/>
    <cellStyle name="Обычный 19 2 3 2 4 3 4 3" xfId="9701"/>
    <cellStyle name="Обычный 19 2 3 2 4 3 5" xfId="9702"/>
    <cellStyle name="Обычный 19 2 3 2 4 3 5 2" xfId="9703"/>
    <cellStyle name="Обычный 19 2 3 2 4 3 6" xfId="9704"/>
    <cellStyle name="Обычный 19 2 3 2 4 3 6 2" xfId="9705"/>
    <cellStyle name="Обычный 19 2 3 2 4 3 7" xfId="9706"/>
    <cellStyle name="Обычный 19 2 3 2 4 4" xfId="9707"/>
    <cellStyle name="Обычный 19 2 3 2 4 4 2" xfId="9708"/>
    <cellStyle name="Обычный 19 2 3 2 4 4 2 2" xfId="9709"/>
    <cellStyle name="Обычный 19 2 3 2 4 4 2 2 2" xfId="9710"/>
    <cellStyle name="Обычный 19 2 3 2 4 4 2 3" xfId="9711"/>
    <cellStyle name="Обычный 19 2 3 2 4 4 3" xfId="9712"/>
    <cellStyle name="Обычный 19 2 3 2 4 4 3 2" xfId="9713"/>
    <cellStyle name="Обычный 19 2 3 2 4 4 3 2 2" xfId="9714"/>
    <cellStyle name="Обычный 19 2 3 2 4 4 3 3" xfId="9715"/>
    <cellStyle name="Обычный 19 2 3 2 4 4 4" xfId="9716"/>
    <cellStyle name="Обычный 19 2 3 2 4 4 4 2" xfId="9717"/>
    <cellStyle name="Обычный 19 2 3 2 4 4 5" xfId="9718"/>
    <cellStyle name="Обычный 19 2 3 2 4 4 5 2" xfId="9719"/>
    <cellStyle name="Обычный 19 2 3 2 4 4 6" xfId="9720"/>
    <cellStyle name="Обычный 19 2 3 2 4 5" xfId="9721"/>
    <cellStyle name="Обычный 19 2 3 2 4 5 2" xfId="9722"/>
    <cellStyle name="Обычный 19 2 3 2 4 5 2 2" xfId="9723"/>
    <cellStyle name="Обычный 19 2 3 2 4 5 2 2 2" xfId="9724"/>
    <cellStyle name="Обычный 19 2 3 2 4 5 2 3" xfId="9725"/>
    <cellStyle name="Обычный 19 2 3 2 4 5 3" xfId="9726"/>
    <cellStyle name="Обычный 19 2 3 2 4 5 3 2" xfId="9727"/>
    <cellStyle name="Обычный 19 2 3 2 4 5 3 2 2" xfId="9728"/>
    <cellStyle name="Обычный 19 2 3 2 4 5 3 3" xfId="9729"/>
    <cellStyle name="Обычный 19 2 3 2 4 5 4" xfId="9730"/>
    <cellStyle name="Обычный 19 2 3 2 4 5 4 2" xfId="9731"/>
    <cellStyle name="Обычный 19 2 3 2 4 5 5" xfId="9732"/>
    <cellStyle name="Обычный 19 2 3 2 4 5 5 2" xfId="9733"/>
    <cellStyle name="Обычный 19 2 3 2 4 5 6" xfId="9734"/>
    <cellStyle name="Обычный 19 2 3 2 4 6" xfId="9735"/>
    <cellStyle name="Обычный 19 2 3 2 4 6 2" xfId="9736"/>
    <cellStyle name="Обычный 19 2 3 2 4 6 2 2" xfId="9737"/>
    <cellStyle name="Обычный 19 2 3 2 4 6 3" xfId="9738"/>
    <cellStyle name="Обычный 19 2 3 2 4 7" xfId="9739"/>
    <cellStyle name="Обычный 19 2 3 2 4 7 2" xfId="9740"/>
    <cellStyle name="Обычный 19 2 3 2 4 7 2 2" xfId="9741"/>
    <cellStyle name="Обычный 19 2 3 2 4 7 3" xfId="9742"/>
    <cellStyle name="Обычный 19 2 3 2 4 8" xfId="9743"/>
    <cellStyle name="Обычный 19 2 3 2 4 8 2" xfId="9744"/>
    <cellStyle name="Обычный 19 2 3 2 4 9" xfId="9745"/>
    <cellStyle name="Обычный 19 2 3 2 4 9 2" xfId="9746"/>
    <cellStyle name="Обычный 19 2 3 2 5" xfId="9747"/>
    <cellStyle name="Обычный 19 2 3 2 5 2" xfId="9748"/>
    <cellStyle name="Обычный 19 2 3 2 5 2 2" xfId="9749"/>
    <cellStyle name="Обычный 19 2 3 2 5 2 2 2" xfId="9750"/>
    <cellStyle name="Обычный 19 2 3 2 5 2 2 2 2" xfId="9751"/>
    <cellStyle name="Обычный 19 2 3 2 5 2 2 2 2 2" xfId="9752"/>
    <cellStyle name="Обычный 19 2 3 2 5 2 2 2 3" xfId="9753"/>
    <cellStyle name="Обычный 19 2 3 2 5 2 2 3" xfId="9754"/>
    <cellStyle name="Обычный 19 2 3 2 5 2 2 3 2" xfId="9755"/>
    <cellStyle name="Обычный 19 2 3 2 5 2 2 3 2 2" xfId="9756"/>
    <cellStyle name="Обычный 19 2 3 2 5 2 2 3 3" xfId="9757"/>
    <cellStyle name="Обычный 19 2 3 2 5 2 2 4" xfId="9758"/>
    <cellStyle name="Обычный 19 2 3 2 5 2 2 4 2" xfId="9759"/>
    <cellStyle name="Обычный 19 2 3 2 5 2 2 5" xfId="9760"/>
    <cellStyle name="Обычный 19 2 3 2 5 2 2 5 2" xfId="9761"/>
    <cellStyle name="Обычный 19 2 3 2 5 2 2 6" xfId="9762"/>
    <cellStyle name="Обычный 19 2 3 2 5 2 3" xfId="9763"/>
    <cellStyle name="Обычный 19 2 3 2 5 2 3 2" xfId="9764"/>
    <cellStyle name="Обычный 19 2 3 2 5 2 3 2 2" xfId="9765"/>
    <cellStyle name="Обычный 19 2 3 2 5 2 3 3" xfId="9766"/>
    <cellStyle name="Обычный 19 2 3 2 5 2 4" xfId="9767"/>
    <cellStyle name="Обычный 19 2 3 2 5 2 4 2" xfId="9768"/>
    <cellStyle name="Обычный 19 2 3 2 5 2 4 2 2" xfId="9769"/>
    <cellStyle name="Обычный 19 2 3 2 5 2 4 3" xfId="9770"/>
    <cellStyle name="Обычный 19 2 3 2 5 2 5" xfId="9771"/>
    <cellStyle name="Обычный 19 2 3 2 5 2 5 2" xfId="9772"/>
    <cellStyle name="Обычный 19 2 3 2 5 2 6" xfId="9773"/>
    <cellStyle name="Обычный 19 2 3 2 5 2 6 2" xfId="9774"/>
    <cellStyle name="Обычный 19 2 3 2 5 2 7" xfId="9775"/>
    <cellStyle name="Обычный 19 2 3 2 5 3" xfId="9776"/>
    <cellStyle name="Обычный 19 2 3 2 5 3 2" xfId="9777"/>
    <cellStyle name="Обычный 19 2 3 2 5 3 2 2" xfId="9778"/>
    <cellStyle name="Обычный 19 2 3 2 5 3 2 2 2" xfId="9779"/>
    <cellStyle name="Обычный 19 2 3 2 5 3 2 3" xfId="9780"/>
    <cellStyle name="Обычный 19 2 3 2 5 3 3" xfId="9781"/>
    <cellStyle name="Обычный 19 2 3 2 5 3 3 2" xfId="9782"/>
    <cellStyle name="Обычный 19 2 3 2 5 3 3 2 2" xfId="9783"/>
    <cellStyle name="Обычный 19 2 3 2 5 3 3 3" xfId="9784"/>
    <cellStyle name="Обычный 19 2 3 2 5 3 4" xfId="9785"/>
    <cellStyle name="Обычный 19 2 3 2 5 3 4 2" xfId="9786"/>
    <cellStyle name="Обычный 19 2 3 2 5 3 5" xfId="9787"/>
    <cellStyle name="Обычный 19 2 3 2 5 3 5 2" xfId="9788"/>
    <cellStyle name="Обычный 19 2 3 2 5 3 6" xfId="9789"/>
    <cellStyle name="Обычный 19 2 3 2 5 4" xfId="9790"/>
    <cellStyle name="Обычный 19 2 3 2 5 4 2" xfId="9791"/>
    <cellStyle name="Обычный 19 2 3 2 5 4 2 2" xfId="9792"/>
    <cellStyle name="Обычный 19 2 3 2 5 4 3" xfId="9793"/>
    <cellStyle name="Обычный 19 2 3 2 5 4 3 2" xfId="9794"/>
    <cellStyle name="Обычный 19 2 3 2 5 4 4" xfId="9795"/>
    <cellStyle name="Обычный 19 2 3 2 5 5" xfId="9796"/>
    <cellStyle name="Обычный 19 2 3 2 5 5 2" xfId="9797"/>
    <cellStyle name="Обычный 19 2 3 2 5 5 2 2" xfId="9798"/>
    <cellStyle name="Обычный 19 2 3 2 5 5 3" xfId="9799"/>
    <cellStyle name="Обычный 19 2 3 2 5 6" xfId="9800"/>
    <cellStyle name="Обычный 19 2 3 2 5 6 2" xfId="9801"/>
    <cellStyle name="Обычный 19 2 3 2 5 7" xfId="9802"/>
    <cellStyle name="Обычный 19 2 3 2 5 7 2" xfId="9803"/>
    <cellStyle name="Обычный 19 2 3 2 5 8" xfId="9804"/>
    <cellStyle name="Обычный 19 2 3 2 6" xfId="9805"/>
    <cellStyle name="Обычный 19 2 3 2 6 2" xfId="9806"/>
    <cellStyle name="Обычный 19 2 3 2 6 2 2" xfId="9807"/>
    <cellStyle name="Обычный 19 2 3 2 6 2 2 2" xfId="9808"/>
    <cellStyle name="Обычный 19 2 3 2 6 2 2 2 2" xfId="9809"/>
    <cellStyle name="Обычный 19 2 3 2 6 2 2 3" xfId="9810"/>
    <cellStyle name="Обычный 19 2 3 2 6 2 3" xfId="9811"/>
    <cellStyle name="Обычный 19 2 3 2 6 2 3 2" xfId="9812"/>
    <cellStyle name="Обычный 19 2 3 2 6 2 3 2 2" xfId="9813"/>
    <cellStyle name="Обычный 19 2 3 2 6 2 3 3" xfId="9814"/>
    <cellStyle name="Обычный 19 2 3 2 6 2 4" xfId="9815"/>
    <cellStyle name="Обычный 19 2 3 2 6 2 4 2" xfId="9816"/>
    <cellStyle name="Обычный 19 2 3 2 6 2 5" xfId="9817"/>
    <cellStyle name="Обычный 19 2 3 2 6 2 5 2" xfId="9818"/>
    <cellStyle name="Обычный 19 2 3 2 6 2 6" xfId="9819"/>
    <cellStyle name="Обычный 19 2 3 2 6 3" xfId="9820"/>
    <cellStyle name="Обычный 19 2 3 2 6 3 2" xfId="9821"/>
    <cellStyle name="Обычный 19 2 3 2 6 3 2 2" xfId="9822"/>
    <cellStyle name="Обычный 19 2 3 2 6 3 2 2 2" xfId="9823"/>
    <cellStyle name="Обычный 19 2 3 2 6 3 2 3" xfId="9824"/>
    <cellStyle name="Обычный 19 2 3 2 6 3 3" xfId="9825"/>
    <cellStyle name="Обычный 19 2 3 2 6 3 3 2" xfId="9826"/>
    <cellStyle name="Обычный 19 2 3 2 6 3 3 2 2" xfId="9827"/>
    <cellStyle name="Обычный 19 2 3 2 6 3 3 3" xfId="9828"/>
    <cellStyle name="Обычный 19 2 3 2 6 3 4" xfId="9829"/>
    <cellStyle name="Обычный 19 2 3 2 6 3 4 2" xfId="9830"/>
    <cellStyle name="Обычный 19 2 3 2 6 3 5" xfId="9831"/>
    <cellStyle name="Обычный 19 2 3 2 6 3 5 2" xfId="9832"/>
    <cellStyle name="Обычный 19 2 3 2 6 3 6" xfId="9833"/>
    <cellStyle name="Обычный 19 2 3 2 6 4" xfId="9834"/>
    <cellStyle name="Обычный 19 2 3 2 6 4 2" xfId="9835"/>
    <cellStyle name="Обычный 19 2 3 2 6 4 2 2" xfId="9836"/>
    <cellStyle name="Обычный 19 2 3 2 6 4 3" xfId="9837"/>
    <cellStyle name="Обычный 19 2 3 2 6 4 3 2" xfId="9838"/>
    <cellStyle name="Обычный 19 2 3 2 6 4 4" xfId="9839"/>
    <cellStyle name="Обычный 19 2 3 2 6 5" xfId="9840"/>
    <cellStyle name="Обычный 19 2 3 2 6 5 2" xfId="9841"/>
    <cellStyle name="Обычный 19 2 3 2 6 5 2 2" xfId="9842"/>
    <cellStyle name="Обычный 19 2 3 2 6 5 3" xfId="9843"/>
    <cellStyle name="Обычный 19 2 3 2 6 6" xfId="9844"/>
    <cellStyle name="Обычный 19 2 3 2 6 6 2" xfId="9845"/>
    <cellStyle name="Обычный 19 2 3 2 6 7" xfId="9846"/>
    <cellStyle name="Обычный 19 2 3 2 6 7 2" xfId="9847"/>
    <cellStyle name="Обычный 19 2 3 2 6 8" xfId="9848"/>
    <cellStyle name="Обычный 19 2 3 2 7" xfId="9849"/>
    <cellStyle name="Обычный 19 2 3 2 7 2" xfId="9850"/>
    <cellStyle name="Обычный 19 2 3 2 7 2 2" xfId="9851"/>
    <cellStyle name="Обычный 19 2 3 2 7 2 2 2" xfId="9852"/>
    <cellStyle name="Обычный 19 2 3 2 7 2 2 2 2" xfId="9853"/>
    <cellStyle name="Обычный 19 2 3 2 7 2 2 3" xfId="9854"/>
    <cellStyle name="Обычный 19 2 3 2 7 2 3" xfId="9855"/>
    <cellStyle name="Обычный 19 2 3 2 7 2 3 2" xfId="9856"/>
    <cellStyle name="Обычный 19 2 3 2 7 2 3 2 2" xfId="9857"/>
    <cellStyle name="Обычный 19 2 3 2 7 2 3 3" xfId="9858"/>
    <cellStyle name="Обычный 19 2 3 2 7 2 4" xfId="9859"/>
    <cellStyle name="Обычный 19 2 3 2 7 2 4 2" xfId="9860"/>
    <cellStyle name="Обычный 19 2 3 2 7 2 5" xfId="9861"/>
    <cellStyle name="Обычный 19 2 3 2 7 2 5 2" xfId="9862"/>
    <cellStyle name="Обычный 19 2 3 2 7 2 6" xfId="9863"/>
    <cellStyle name="Обычный 19 2 3 2 7 3" xfId="9864"/>
    <cellStyle name="Обычный 19 2 3 2 7 3 2" xfId="9865"/>
    <cellStyle name="Обычный 19 2 3 2 7 3 2 2" xfId="9866"/>
    <cellStyle name="Обычный 19 2 3 2 7 3 2 2 2" xfId="9867"/>
    <cellStyle name="Обычный 19 2 3 2 7 3 2 3" xfId="9868"/>
    <cellStyle name="Обычный 19 2 3 2 7 3 3" xfId="9869"/>
    <cellStyle name="Обычный 19 2 3 2 7 3 3 2" xfId="9870"/>
    <cellStyle name="Обычный 19 2 3 2 7 3 3 2 2" xfId="9871"/>
    <cellStyle name="Обычный 19 2 3 2 7 3 3 3" xfId="9872"/>
    <cellStyle name="Обычный 19 2 3 2 7 3 4" xfId="9873"/>
    <cellStyle name="Обычный 19 2 3 2 7 3 4 2" xfId="9874"/>
    <cellStyle name="Обычный 19 2 3 2 7 3 5" xfId="9875"/>
    <cellStyle name="Обычный 19 2 3 2 7 3 5 2" xfId="9876"/>
    <cellStyle name="Обычный 19 2 3 2 7 3 6" xfId="9877"/>
    <cellStyle name="Обычный 19 2 3 2 7 4" xfId="9878"/>
    <cellStyle name="Обычный 19 2 3 2 7 4 2" xfId="9879"/>
    <cellStyle name="Обычный 19 2 3 2 7 4 2 2" xfId="9880"/>
    <cellStyle name="Обычный 19 2 3 2 7 4 3" xfId="9881"/>
    <cellStyle name="Обычный 19 2 3 2 7 4 3 2" xfId="9882"/>
    <cellStyle name="Обычный 19 2 3 2 7 4 4" xfId="9883"/>
    <cellStyle name="Обычный 19 2 3 2 7 5" xfId="9884"/>
    <cellStyle name="Обычный 19 2 3 2 7 5 2" xfId="9885"/>
    <cellStyle name="Обычный 19 2 3 2 7 5 2 2" xfId="9886"/>
    <cellStyle name="Обычный 19 2 3 2 7 5 3" xfId="9887"/>
    <cellStyle name="Обычный 19 2 3 2 7 6" xfId="9888"/>
    <cellStyle name="Обычный 19 2 3 2 7 6 2" xfId="9889"/>
    <cellStyle name="Обычный 19 2 3 2 7 7" xfId="9890"/>
    <cellStyle name="Обычный 19 2 3 2 7 7 2" xfId="9891"/>
    <cellStyle name="Обычный 19 2 3 2 7 8" xfId="9892"/>
    <cellStyle name="Обычный 19 2 3 2 8" xfId="9893"/>
    <cellStyle name="Обычный 19 2 3 2 8 2" xfId="9894"/>
    <cellStyle name="Обычный 19 2 3 2 8 2 2" xfId="9895"/>
    <cellStyle name="Обычный 19 2 3 2 8 2 2 2" xfId="9896"/>
    <cellStyle name="Обычный 19 2 3 2 8 2 2 2 2" xfId="9897"/>
    <cellStyle name="Обычный 19 2 3 2 8 2 2 3" xfId="9898"/>
    <cellStyle name="Обычный 19 2 3 2 8 2 3" xfId="9899"/>
    <cellStyle name="Обычный 19 2 3 2 8 2 3 2" xfId="9900"/>
    <cellStyle name="Обычный 19 2 3 2 8 2 3 2 2" xfId="9901"/>
    <cellStyle name="Обычный 19 2 3 2 8 2 3 3" xfId="9902"/>
    <cellStyle name="Обычный 19 2 3 2 8 2 4" xfId="9903"/>
    <cellStyle name="Обычный 19 2 3 2 8 2 4 2" xfId="9904"/>
    <cellStyle name="Обычный 19 2 3 2 8 2 5" xfId="9905"/>
    <cellStyle name="Обычный 19 2 3 2 8 2 5 2" xfId="9906"/>
    <cellStyle name="Обычный 19 2 3 2 8 2 6" xfId="9907"/>
    <cellStyle name="Обычный 19 2 3 2 8 3" xfId="9908"/>
    <cellStyle name="Обычный 19 2 3 2 8 3 2" xfId="9909"/>
    <cellStyle name="Обычный 19 2 3 2 8 3 2 2" xfId="9910"/>
    <cellStyle name="Обычный 19 2 3 2 8 3 2 2 2" xfId="9911"/>
    <cellStyle name="Обычный 19 2 3 2 8 3 2 3" xfId="9912"/>
    <cellStyle name="Обычный 19 2 3 2 8 3 3" xfId="9913"/>
    <cellStyle name="Обычный 19 2 3 2 8 3 3 2" xfId="9914"/>
    <cellStyle name="Обычный 19 2 3 2 8 3 3 2 2" xfId="9915"/>
    <cellStyle name="Обычный 19 2 3 2 8 3 3 3" xfId="9916"/>
    <cellStyle name="Обычный 19 2 3 2 8 3 4" xfId="9917"/>
    <cellStyle name="Обычный 19 2 3 2 8 3 4 2" xfId="9918"/>
    <cellStyle name="Обычный 19 2 3 2 8 3 5" xfId="9919"/>
    <cellStyle name="Обычный 19 2 3 2 8 3 5 2" xfId="9920"/>
    <cellStyle name="Обычный 19 2 3 2 8 3 6" xfId="9921"/>
    <cellStyle name="Обычный 19 2 3 2 8 4" xfId="9922"/>
    <cellStyle name="Обычный 19 2 3 2 8 4 2" xfId="9923"/>
    <cellStyle name="Обычный 19 2 3 2 8 4 2 2" xfId="9924"/>
    <cellStyle name="Обычный 19 2 3 2 8 4 3" xfId="9925"/>
    <cellStyle name="Обычный 19 2 3 2 8 4 3 2" xfId="9926"/>
    <cellStyle name="Обычный 19 2 3 2 8 4 4" xfId="9927"/>
    <cellStyle name="Обычный 19 2 3 2 8 5" xfId="9928"/>
    <cellStyle name="Обычный 19 2 3 2 8 5 2" xfId="9929"/>
    <cellStyle name="Обычный 19 2 3 2 8 5 2 2" xfId="9930"/>
    <cellStyle name="Обычный 19 2 3 2 8 5 3" xfId="9931"/>
    <cellStyle name="Обычный 19 2 3 2 8 6" xfId="9932"/>
    <cellStyle name="Обычный 19 2 3 2 8 6 2" xfId="9933"/>
    <cellStyle name="Обычный 19 2 3 2 8 7" xfId="9934"/>
    <cellStyle name="Обычный 19 2 3 2 8 7 2" xfId="9935"/>
    <cellStyle name="Обычный 19 2 3 2 8 8" xfId="9936"/>
    <cellStyle name="Обычный 19 2 3 2 9" xfId="9937"/>
    <cellStyle name="Обычный 19 2 3 2 9 2" xfId="9938"/>
    <cellStyle name="Обычный 19 2 3 2 9 2 2" xfId="9939"/>
    <cellStyle name="Обычный 19 2 3 2 9 2 2 2" xfId="9940"/>
    <cellStyle name="Обычный 19 2 3 2 9 2 3" xfId="9941"/>
    <cellStyle name="Обычный 19 2 3 2 9 2 3 2" xfId="9942"/>
    <cellStyle name="Обычный 19 2 3 2 9 2 4" xfId="9943"/>
    <cellStyle name="Обычный 19 2 3 2 9 3" xfId="9944"/>
    <cellStyle name="Обычный 19 2 3 2 9 3 2" xfId="9945"/>
    <cellStyle name="Обычный 19 2 3 2 9 3 2 2" xfId="9946"/>
    <cellStyle name="Обычный 19 2 3 2 9 3 3" xfId="9947"/>
    <cellStyle name="Обычный 19 2 3 2 9 4" xfId="9948"/>
    <cellStyle name="Обычный 19 2 3 2 9 4 2" xfId="9949"/>
    <cellStyle name="Обычный 19 2 3 2 9 5" xfId="9950"/>
    <cellStyle name="Обычный 19 2 3 2 9 5 2" xfId="9951"/>
    <cellStyle name="Обычный 19 2 3 2 9 6" xfId="9952"/>
    <cellStyle name="Обычный 19 2 3 3" xfId="9953"/>
    <cellStyle name="Обычный 19 2 3 3 2" xfId="9954"/>
    <cellStyle name="Обычный 19 2 3 3 2 2" xfId="9955"/>
    <cellStyle name="Обычный 19 2 3 3 2 2 2" xfId="9956"/>
    <cellStyle name="Обычный 19 2 3 3 2 2 2 2" xfId="9957"/>
    <cellStyle name="Обычный 19 2 3 3 2 2 2 2 2" xfId="9958"/>
    <cellStyle name="Обычный 19 2 3 3 2 2 2 3" xfId="9959"/>
    <cellStyle name="Обычный 19 2 3 3 2 2 3" xfId="9960"/>
    <cellStyle name="Обычный 19 2 3 3 2 2 3 2" xfId="9961"/>
    <cellStyle name="Обычный 19 2 3 3 2 2 3 2 2" xfId="9962"/>
    <cellStyle name="Обычный 19 2 3 3 2 2 3 3" xfId="9963"/>
    <cellStyle name="Обычный 19 2 3 3 2 2 4" xfId="9964"/>
    <cellStyle name="Обычный 19 2 3 3 2 2 4 2" xfId="9965"/>
    <cellStyle name="Обычный 19 2 3 3 2 2 5" xfId="9966"/>
    <cellStyle name="Обычный 19 2 3 3 2 2 5 2" xfId="9967"/>
    <cellStyle name="Обычный 19 2 3 3 2 2 6" xfId="9968"/>
    <cellStyle name="Обычный 19 2 3 3 2 3" xfId="9969"/>
    <cellStyle name="Обычный 19 2 3 3 2 3 2" xfId="9970"/>
    <cellStyle name="Обычный 19 2 3 3 2 3 2 2" xfId="9971"/>
    <cellStyle name="Обычный 19 2 3 3 2 3 2 2 2" xfId="9972"/>
    <cellStyle name="Обычный 19 2 3 3 2 3 2 3" xfId="9973"/>
    <cellStyle name="Обычный 19 2 3 3 2 3 3" xfId="9974"/>
    <cellStyle name="Обычный 19 2 3 3 2 3 3 2" xfId="9975"/>
    <cellStyle name="Обычный 19 2 3 3 2 3 3 2 2" xfId="9976"/>
    <cellStyle name="Обычный 19 2 3 3 2 3 3 3" xfId="9977"/>
    <cellStyle name="Обычный 19 2 3 3 2 3 4" xfId="9978"/>
    <cellStyle name="Обычный 19 2 3 3 2 3 4 2" xfId="9979"/>
    <cellStyle name="Обычный 19 2 3 3 2 3 5" xfId="9980"/>
    <cellStyle name="Обычный 19 2 3 3 2 4" xfId="9981"/>
    <cellStyle name="Обычный 19 2 3 3 2 4 2" xfId="9982"/>
    <cellStyle name="Обычный 19 2 3 3 2 4 2 2" xfId="9983"/>
    <cellStyle name="Обычный 19 2 3 3 2 4 3" xfId="9984"/>
    <cellStyle name="Обычный 19 2 3 3 2 5" xfId="9985"/>
    <cellStyle name="Обычный 19 2 3 3 2 5 2" xfId="9986"/>
    <cellStyle name="Обычный 19 2 3 3 2 5 2 2" xfId="9987"/>
    <cellStyle name="Обычный 19 2 3 3 2 5 3" xfId="9988"/>
    <cellStyle name="Обычный 19 2 3 3 2 6" xfId="9989"/>
    <cellStyle name="Обычный 19 2 3 3 2 6 2" xfId="9990"/>
    <cellStyle name="Обычный 19 2 3 3 2 7" xfId="9991"/>
    <cellStyle name="Обычный 19 2 3 3 2 7 2" xfId="9992"/>
    <cellStyle name="Обычный 19 2 3 3 2 8" xfId="9993"/>
    <cellStyle name="Обычный 19 2 3 3 3" xfId="9994"/>
    <cellStyle name="Обычный 19 2 3 3 3 2" xfId="9995"/>
    <cellStyle name="Обычный 19 2 3 3 3 2 2" xfId="9996"/>
    <cellStyle name="Обычный 19 2 3 3 3 2 2 2" xfId="9997"/>
    <cellStyle name="Обычный 19 2 3 3 3 2 3" xfId="9998"/>
    <cellStyle name="Обычный 19 2 3 3 3 3" xfId="9999"/>
    <cellStyle name="Обычный 19 2 3 3 3 3 2" xfId="10000"/>
    <cellStyle name="Обычный 19 2 3 3 3 3 2 2" xfId="10001"/>
    <cellStyle name="Обычный 19 2 3 3 3 3 3" xfId="10002"/>
    <cellStyle name="Обычный 19 2 3 3 3 4" xfId="10003"/>
    <cellStyle name="Обычный 19 2 3 3 3 4 2" xfId="10004"/>
    <cellStyle name="Обычный 19 2 3 3 3 5" xfId="10005"/>
    <cellStyle name="Обычный 19 2 3 3 3 5 2" xfId="10006"/>
    <cellStyle name="Обычный 19 2 3 3 3 6" xfId="10007"/>
    <cellStyle name="Обычный 19 2 3 3 4" xfId="10008"/>
    <cellStyle name="Обычный 19 2 3 3 4 2" xfId="10009"/>
    <cellStyle name="Обычный 19 2 3 3 4 2 2" xfId="10010"/>
    <cellStyle name="Обычный 19 2 3 3 4 2 2 2" xfId="10011"/>
    <cellStyle name="Обычный 19 2 3 3 4 2 3" xfId="10012"/>
    <cellStyle name="Обычный 19 2 3 3 4 3" xfId="10013"/>
    <cellStyle name="Обычный 19 2 3 3 4 3 2" xfId="10014"/>
    <cellStyle name="Обычный 19 2 3 3 4 3 2 2" xfId="10015"/>
    <cellStyle name="Обычный 19 2 3 3 4 3 3" xfId="10016"/>
    <cellStyle name="Обычный 19 2 3 3 4 4" xfId="10017"/>
    <cellStyle name="Обычный 19 2 3 3 4 4 2" xfId="10018"/>
    <cellStyle name="Обычный 19 2 3 3 4 5" xfId="10019"/>
    <cellStyle name="Обычный 19 2 3 3 4 5 2" xfId="10020"/>
    <cellStyle name="Обычный 19 2 3 3 4 6" xfId="10021"/>
    <cellStyle name="Обычный 19 2 3 3 5" xfId="10022"/>
    <cellStyle name="Обычный 19 2 3 3 5 2" xfId="10023"/>
    <cellStyle name="Обычный 19 2 3 3 5 2 2" xfId="10024"/>
    <cellStyle name="Обычный 19 2 3 3 5 3" xfId="10025"/>
    <cellStyle name="Обычный 19 2 3 3 6" xfId="10026"/>
    <cellStyle name="Обычный 19 2 3 3 6 2" xfId="10027"/>
    <cellStyle name="Обычный 19 2 3 3 6 2 2" xfId="10028"/>
    <cellStyle name="Обычный 19 2 3 3 6 3" xfId="10029"/>
    <cellStyle name="Обычный 19 2 3 3 7" xfId="10030"/>
    <cellStyle name="Обычный 19 2 3 3 7 2" xfId="10031"/>
    <cellStyle name="Обычный 19 2 3 3 8" xfId="10032"/>
    <cellStyle name="Обычный 19 2 3 3 8 2" xfId="10033"/>
    <cellStyle name="Обычный 19 2 3 3 9" xfId="10034"/>
    <cellStyle name="Обычный 19 2 3 4" xfId="10035"/>
    <cellStyle name="Обычный 19 2 3 4 2" xfId="10036"/>
    <cellStyle name="Обычный 19 2 3 4 2 2" xfId="10037"/>
    <cellStyle name="Обычный 19 2 3 4 2 2 2" xfId="10038"/>
    <cellStyle name="Обычный 19 2 3 4 2 2 2 2" xfId="10039"/>
    <cellStyle name="Обычный 19 2 3 4 2 2 3" xfId="10040"/>
    <cellStyle name="Обычный 19 2 3 4 2 2 3 2" xfId="10041"/>
    <cellStyle name="Обычный 19 2 3 4 2 2 4" xfId="10042"/>
    <cellStyle name="Обычный 19 2 3 4 2 3" xfId="10043"/>
    <cellStyle name="Обычный 19 2 3 4 2 3 2" xfId="10044"/>
    <cellStyle name="Обычный 19 2 3 4 2 3 2 2" xfId="10045"/>
    <cellStyle name="Обычный 19 2 3 4 2 3 3" xfId="10046"/>
    <cellStyle name="Обычный 19 2 3 4 2 4" xfId="10047"/>
    <cellStyle name="Обычный 19 2 3 4 2 4 2" xfId="10048"/>
    <cellStyle name="Обычный 19 2 3 4 2 5" xfId="10049"/>
    <cellStyle name="Обычный 19 2 3 4 2 5 2" xfId="10050"/>
    <cellStyle name="Обычный 19 2 3 4 2 6" xfId="10051"/>
    <cellStyle name="Обычный 19 2 3 4 3" xfId="10052"/>
    <cellStyle name="Обычный 19 2 3 4 3 2" xfId="10053"/>
    <cellStyle name="Обычный 19 2 3 4 3 2 2" xfId="10054"/>
    <cellStyle name="Обычный 19 2 3 4 3 2 2 2" xfId="10055"/>
    <cellStyle name="Обычный 19 2 3 4 3 2 3" xfId="10056"/>
    <cellStyle name="Обычный 19 2 3 4 3 3" xfId="10057"/>
    <cellStyle name="Обычный 19 2 3 4 3 3 2" xfId="10058"/>
    <cellStyle name="Обычный 19 2 3 4 3 3 2 2" xfId="10059"/>
    <cellStyle name="Обычный 19 2 3 4 3 3 3" xfId="10060"/>
    <cellStyle name="Обычный 19 2 3 4 3 4" xfId="10061"/>
    <cellStyle name="Обычный 19 2 3 4 3 4 2" xfId="10062"/>
    <cellStyle name="Обычный 19 2 3 4 3 5" xfId="10063"/>
    <cellStyle name="Обычный 19 2 3 4 3 5 2" xfId="10064"/>
    <cellStyle name="Обычный 19 2 3 4 3 6" xfId="10065"/>
    <cellStyle name="Обычный 19 2 3 4 4" xfId="10066"/>
    <cellStyle name="Обычный 19 2 3 4 4 2" xfId="10067"/>
    <cellStyle name="Обычный 19 2 3 4 4 2 2" xfId="10068"/>
    <cellStyle name="Обычный 19 2 3 4 4 3" xfId="10069"/>
    <cellStyle name="Обычный 19 2 3 4 4 3 2" xfId="10070"/>
    <cellStyle name="Обычный 19 2 3 4 4 4" xfId="10071"/>
    <cellStyle name="Обычный 19 2 3 4 5" xfId="10072"/>
    <cellStyle name="Обычный 19 2 3 4 5 2" xfId="10073"/>
    <cellStyle name="Обычный 19 2 3 4 5 2 2" xfId="10074"/>
    <cellStyle name="Обычный 19 2 3 4 5 3" xfId="10075"/>
    <cellStyle name="Обычный 19 2 3 4 6" xfId="10076"/>
    <cellStyle name="Обычный 19 2 3 4 6 2" xfId="10077"/>
    <cellStyle name="Обычный 19 2 3 4 7" xfId="10078"/>
    <cellStyle name="Обычный 19 2 3 4 7 2" xfId="10079"/>
    <cellStyle name="Обычный 19 2 3 4 8" xfId="10080"/>
    <cellStyle name="Обычный 19 2 3 5" xfId="10081"/>
    <cellStyle name="Обычный 19 2 3 5 2" xfId="10082"/>
    <cellStyle name="Обычный 19 2 3 5 2 2" xfId="10083"/>
    <cellStyle name="Обычный 19 2 3 5 2 2 2" xfId="10084"/>
    <cellStyle name="Обычный 19 2 3 5 2 2 2 2" xfId="10085"/>
    <cellStyle name="Обычный 19 2 3 5 2 2 3" xfId="10086"/>
    <cellStyle name="Обычный 19 2 3 5 2 3" xfId="10087"/>
    <cellStyle name="Обычный 19 2 3 5 2 3 2" xfId="10088"/>
    <cellStyle name="Обычный 19 2 3 5 2 3 2 2" xfId="10089"/>
    <cellStyle name="Обычный 19 2 3 5 2 3 3" xfId="10090"/>
    <cellStyle name="Обычный 19 2 3 5 2 4" xfId="10091"/>
    <cellStyle name="Обычный 19 2 3 5 2 4 2" xfId="10092"/>
    <cellStyle name="Обычный 19 2 3 5 2 5" xfId="10093"/>
    <cellStyle name="Обычный 19 2 3 5 2 5 2" xfId="10094"/>
    <cellStyle name="Обычный 19 2 3 5 2 6" xfId="10095"/>
    <cellStyle name="Обычный 19 2 3 5 3" xfId="10096"/>
    <cellStyle name="Обычный 19 2 3 5 3 2" xfId="10097"/>
    <cellStyle name="Обычный 19 2 3 5 3 2 2" xfId="10098"/>
    <cellStyle name="Обычный 19 2 3 5 3 2 2 2" xfId="10099"/>
    <cellStyle name="Обычный 19 2 3 5 3 2 3" xfId="10100"/>
    <cellStyle name="Обычный 19 2 3 5 3 3" xfId="10101"/>
    <cellStyle name="Обычный 19 2 3 5 3 3 2" xfId="10102"/>
    <cellStyle name="Обычный 19 2 3 5 3 3 2 2" xfId="10103"/>
    <cellStyle name="Обычный 19 2 3 5 3 3 3" xfId="10104"/>
    <cellStyle name="Обычный 19 2 3 5 3 4" xfId="10105"/>
    <cellStyle name="Обычный 19 2 3 5 3 4 2" xfId="10106"/>
    <cellStyle name="Обычный 19 2 3 5 3 5" xfId="10107"/>
    <cellStyle name="Обычный 19 2 3 5 4" xfId="10108"/>
    <cellStyle name="Обычный 19 2 3 5 4 2" xfId="10109"/>
    <cellStyle name="Обычный 19 2 3 5 4 2 2" xfId="10110"/>
    <cellStyle name="Обычный 19 2 3 5 4 3" xfId="10111"/>
    <cellStyle name="Обычный 19 2 3 5 5" xfId="10112"/>
    <cellStyle name="Обычный 19 2 3 5 5 2" xfId="10113"/>
    <cellStyle name="Обычный 19 2 3 5 5 2 2" xfId="10114"/>
    <cellStyle name="Обычный 19 2 3 5 5 3" xfId="10115"/>
    <cellStyle name="Обычный 19 2 3 5 6" xfId="10116"/>
    <cellStyle name="Обычный 19 2 3 5 6 2" xfId="10117"/>
    <cellStyle name="Обычный 19 2 3 5 7" xfId="10118"/>
    <cellStyle name="Обычный 19 2 3 5 7 2" xfId="10119"/>
    <cellStyle name="Обычный 19 2 3 5 8" xfId="10120"/>
    <cellStyle name="Обычный 19 2 3 6" xfId="10121"/>
    <cellStyle name="Обычный 19 2 3 6 2" xfId="10122"/>
    <cellStyle name="Обычный 19 2 3 6 2 2" xfId="10123"/>
    <cellStyle name="Обычный 19 2 3 6 2 2 2" xfId="10124"/>
    <cellStyle name="Обычный 19 2 3 6 2 3" xfId="10125"/>
    <cellStyle name="Обычный 19 2 3 6 3" xfId="10126"/>
    <cellStyle name="Обычный 19 2 3 6 3 2" xfId="10127"/>
    <cellStyle name="Обычный 19 2 3 6 3 2 2" xfId="10128"/>
    <cellStyle name="Обычный 19 2 3 6 3 3" xfId="10129"/>
    <cellStyle name="Обычный 19 2 3 6 4" xfId="10130"/>
    <cellStyle name="Обычный 19 2 3 6 4 2" xfId="10131"/>
    <cellStyle name="Обычный 19 2 3 6 5" xfId="10132"/>
    <cellStyle name="Обычный 19 2 3 6 5 2" xfId="10133"/>
    <cellStyle name="Обычный 19 2 3 6 6" xfId="10134"/>
    <cellStyle name="Обычный 19 2 3 7" xfId="10135"/>
    <cellStyle name="Обычный 19 2 3 7 2" xfId="10136"/>
    <cellStyle name="Обычный 19 2 3 7 2 2" xfId="10137"/>
    <cellStyle name="Обычный 19 2 3 7 2 2 2" xfId="10138"/>
    <cellStyle name="Обычный 19 2 3 7 2 3" xfId="10139"/>
    <cellStyle name="Обычный 19 2 3 7 3" xfId="10140"/>
    <cellStyle name="Обычный 19 2 3 7 3 2" xfId="10141"/>
    <cellStyle name="Обычный 19 2 3 7 3 2 2" xfId="10142"/>
    <cellStyle name="Обычный 19 2 3 7 3 3" xfId="10143"/>
    <cellStyle name="Обычный 19 2 3 7 4" xfId="10144"/>
    <cellStyle name="Обычный 19 2 3 7 4 2" xfId="10145"/>
    <cellStyle name="Обычный 19 2 3 7 5" xfId="10146"/>
    <cellStyle name="Обычный 19 2 3 7 5 2" xfId="10147"/>
    <cellStyle name="Обычный 19 2 3 7 6" xfId="10148"/>
    <cellStyle name="Обычный 19 2 3 8" xfId="10149"/>
    <cellStyle name="Обычный 19 2 3 8 2" xfId="10150"/>
    <cellStyle name="Обычный 19 2 3 8 2 2" xfId="10151"/>
    <cellStyle name="Обычный 19 2 3 8 3" xfId="10152"/>
    <cellStyle name="Обычный 19 2 3 9" xfId="10153"/>
    <cellStyle name="Обычный 19 2 3 9 2" xfId="10154"/>
    <cellStyle name="Обычный 19 2 3 9 2 2" xfId="10155"/>
    <cellStyle name="Обычный 19 2 3 9 3" xfId="10156"/>
    <cellStyle name="Обычный 19 2 4" xfId="10157"/>
    <cellStyle name="Обычный 19 2 4 2" xfId="10158"/>
    <cellStyle name="Обычный 19 2 4 2 2" xfId="10159"/>
    <cellStyle name="Обычный 19 2 4 2 2 2" xfId="10160"/>
    <cellStyle name="Обычный 19 2 4 2 2 2 2" xfId="10161"/>
    <cellStyle name="Обычный 19 2 4 2 2 2 2 2" xfId="10162"/>
    <cellStyle name="Обычный 19 2 4 2 2 2 3" xfId="10163"/>
    <cellStyle name="Обычный 19 2 4 2 2 3" xfId="10164"/>
    <cellStyle name="Обычный 19 2 4 2 2 3 2" xfId="10165"/>
    <cellStyle name="Обычный 19 2 4 2 2 3 2 2" xfId="10166"/>
    <cellStyle name="Обычный 19 2 4 2 2 3 3" xfId="10167"/>
    <cellStyle name="Обычный 19 2 4 2 2 4" xfId="10168"/>
    <cellStyle name="Обычный 19 2 4 2 2 4 2" xfId="10169"/>
    <cellStyle name="Обычный 19 2 4 2 2 5" xfId="10170"/>
    <cellStyle name="Обычный 19 2 4 2 2 5 2" xfId="10171"/>
    <cellStyle name="Обычный 19 2 4 2 2 6" xfId="10172"/>
    <cellStyle name="Обычный 19 2 4 2 3" xfId="10173"/>
    <cellStyle name="Обычный 19 2 4 2 3 2" xfId="10174"/>
    <cellStyle name="Обычный 19 2 4 2 3 2 2" xfId="10175"/>
    <cellStyle name="Обычный 19 2 4 2 3 2 2 2" xfId="10176"/>
    <cellStyle name="Обычный 19 2 4 2 3 2 3" xfId="10177"/>
    <cellStyle name="Обычный 19 2 4 2 3 3" xfId="10178"/>
    <cellStyle name="Обычный 19 2 4 2 3 3 2" xfId="10179"/>
    <cellStyle name="Обычный 19 2 4 2 3 3 2 2" xfId="10180"/>
    <cellStyle name="Обычный 19 2 4 2 3 3 3" xfId="10181"/>
    <cellStyle name="Обычный 19 2 4 2 3 4" xfId="10182"/>
    <cellStyle name="Обычный 19 2 4 2 3 4 2" xfId="10183"/>
    <cellStyle name="Обычный 19 2 4 2 3 5" xfId="10184"/>
    <cellStyle name="Обычный 19 2 4 2 3 5 2" xfId="10185"/>
    <cellStyle name="Обычный 19 2 4 2 3 6" xfId="10186"/>
    <cellStyle name="Обычный 19 2 4 2 4" xfId="10187"/>
    <cellStyle name="Обычный 19 2 4 2 4 2" xfId="10188"/>
    <cellStyle name="Обычный 19 2 4 2 4 2 2" xfId="10189"/>
    <cellStyle name="Обычный 19 2 4 2 4 3" xfId="10190"/>
    <cellStyle name="Обычный 19 2 4 2 5" xfId="10191"/>
    <cellStyle name="Обычный 19 2 4 2 5 2" xfId="10192"/>
    <cellStyle name="Обычный 19 2 4 2 5 2 2" xfId="10193"/>
    <cellStyle name="Обычный 19 2 4 2 5 3" xfId="10194"/>
    <cellStyle name="Обычный 19 2 4 2 6" xfId="10195"/>
    <cellStyle name="Обычный 19 2 4 2 6 2" xfId="10196"/>
    <cellStyle name="Обычный 19 2 4 2 7" xfId="10197"/>
    <cellStyle name="Обычный 19 2 4 2 7 2" xfId="10198"/>
    <cellStyle name="Обычный 19 2 4 2 8" xfId="10199"/>
    <cellStyle name="Обычный 19 2 4 3" xfId="10200"/>
    <cellStyle name="Обычный 19 2 4 3 2" xfId="10201"/>
    <cellStyle name="Обычный 19 2 4 3 2 2" xfId="10202"/>
    <cellStyle name="Обычный 19 2 4 3 2 2 2" xfId="10203"/>
    <cellStyle name="Обычный 19 2 4 3 2 3" xfId="10204"/>
    <cellStyle name="Обычный 19 2 4 3 2 3 2" xfId="10205"/>
    <cellStyle name="Обычный 19 2 4 3 2 4" xfId="10206"/>
    <cellStyle name="Обычный 19 2 4 3 3" xfId="10207"/>
    <cellStyle name="Обычный 19 2 4 3 3 2" xfId="10208"/>
    <cellStyle name="Обычный 19 2 4 3 3 2 2" xfId="10209"/>
    <cellStyle name="Обычный 19 2 4 3 3 3" xfId="10210"/>
    <cellStyle name="Обычный 19 2 4 3 4" xfId="10211"/>
    <cellStyle name="Обычный 19 2 4 3 4 2" xfId="10212"/>
    <cellStyle name="Обычный 19 2 4 3 5" xfId="10213"/>
    <cellStyle name="Обычный 19 2 4 3 5 2" xfId="10214"/>
    <cellStyle name="Обычный 19 2 4 3 6" xfId="10215"/>
    <cellStyle name="Обычный 19 2 4 4" xfId="10216"/>
    <cellStyle name="Обычный 19 2 4 4 2" xfId="10217"/>
    <cellStyle name="Обычный 19 2 4 4 2 2" xfId="10218"/>
    <cellStyle name="Обычный 19 2 4 4 2 2 2" xfId="10219"/>
    <cellStyle name="Обычный 19 2 4 4 2 3" xfId="10220"/>
    <cellStyle name="Обычный 19 2 4 4 3" xfId="10221"/>
    <cellStyle name="Обычный 19 2 4 4 3 2" xfId="10222"/>
    <cellStyle name="Обычный 19 2 4 4 3 2 2" xfId="10223"/>
    <cellStyle name="Обычный 19 2 4 4 3 3" xfId="10224"/>
    <cellStyle name="Обычный 19 2 4 4 4" xfId="10225"/>
    <cellStyle name="Обычный 19 2 4 4 4 2" xfId="10226"/>
    <cellStyle name="Обычный 19 2 4 4 5" xfId="10227"/>
    <cellStyle name="Обычный 19 2 4 4 5 2" xfId="10228"/>
    <cellStyle name="Обычный 19 2 4 4 6" xfId="10229"/>
    <cellStyle name="Обычный 19 2 4 5" xfId="10230"/>
    <cellStyle name="Обычный 19 2 4 5 2" xfId="10231"/>
    <cellStyle name="Обычный 19 2 4 5 2 2" xfId="10232"/>
    <cellStyle name="Обычный 19 2 4 5 3" xfId="10233"/>
    <cellStyle name="Обычный 19 2 4 6" xfId="10234"/>
    <cellStyle name="Обычный 19 2 4 6 2" xfId="10235"/>
    <cellStyle name="Обычный 19 2 4 6 2 2" xfId="10236"/>
    <cellStyle name="Обычный 19 2 4 6 3" xfId="10237"/>
    <cellStyle name="Обычный 19 2 4 7" xfId="10238"/>
    <cellStyle name="Обычный 19 2 4 7 2" xfId="10239"/>
    <cellStyle name="Обычный 19 2 4 8" xfId="10240"/>
    <cellStyle name="Обычный 19 2 4 8 2" xfId="10241"/>
    <cellStyle name="Обычный 19 2 4 9" xfId="10242"/>
    <cellStyle name="Обычный 19 2 5" xfId="10243"/>
    <cellStyle name="Обычный 19 2 5 2" xfId="10244"/>
    <cellStyle name="Обычный 19 2 5 2 2" xfId="10245"/>
    <cellStyle name="Обычный 19 2 5 2 2 2" xfId="10246"/>
    <cellStyle name="Обычный 19 2 5 2 2 2 2" xfId="10247"/>
    <cellStyle name="Обычный 19 2 5 2 2 3" xfId="10248"/>
    <cellStyle name="Обычный 19 2 5 2 2 3 2" xfId="10249"/>
    <cellStyle name="Обычный 19 2 5 2 2 4" xfId="10250"/>
    <cellStyle name="Обычный 19 2 5 2 3" xfId="10251"/>
    <cellStyle name="Обычный 19 2 5 2 3 2" xfId="10252"/>
    <cellStyle name="Обычный 19 2 5 2 3 2 2" xfId="10253"/>
    <cellStyle name="Обычный 19 2 5 2 3 3" xfId="10254"/>
    <cellStyle name="Обычный 19 2 5 2 4" xfId="10255"/>
    <cellStyle name="Обычный 19 2 5 2 4 2" xfId="10256"/>
    <cellStyle name="Обычный 19 2 5 2 5" xfId="10257"/>
    <cellStyle name="Обычный 19 2 5 2 5 2" xfId="10258"/>
    <cellStyle name="Обычный 19 2 5 2 6" xfId="10259"/>
    <cellStyle name="Обычный 19 2 5 3" xfId="10260"/>
    <cellStyle name="Обычный 19 2 5 3 2" xfId="10261"/>
    <cellStyle name="Обычный 19 2 5 3 2 2" xfId="10262"/>
    <cellStyle name="Обычный 19 2 5 3 2 2 2" xfId="10263"/>
    <cellStyle name="Обычный 19 2 5 3 2 3" xfId="10264"/>
    <cellStyle name="Обычный 19 2 5 3 3" xfId="10265"/>
    <cellStyle name="Обычный 19 2 5 3 3 2" xfId="10266"/>
    <cellStyle name="Обычный 19 2 5 3 3 2 2" xfId="10267"/>
    <cellStyle name="Обычный 19 2 5 3 3 3" xfId="10268"/>
    <cellStyle name="Обычный 19 2 5 3 4" xfId="10269"/>
    <cellStyle name="Обычный 19 2 5 3 4 2" xfId="10270"/>
    <cellStyle name="Обычный 19 2 5 3 5" xfId="10271"/>
    <cellStyle name="Обычный 19 2 5 3 5 2" xfId="10272"/>
    <cellStyle name="Обычный 19 2 5 3 6" xfId="10273"/>
    <cellStyle name="Обычный 19 2 5 4" xfId="10274"/>
    <cellStyle name="Обычный 19 2 5 4 2" xfId="10275"/>
    <cellStyle name="Обычный 19 2 5 4 2 2" xfId="10276"/>
    <cellStyle name="Обычный 19 2 5 4 3" xfId="10277"/>
    <cellStyle name="Обычный 19 2 5 4 3 2" xfId="10278"/>
    <cellStyle name="Обычный 19 2 5 4 4" xfId="10279"/>
    <cellStyle name="Обычный 19 2 5 5" xfId="10280"/>
    <cellStyle name="Обычный 19 2 5 5 2" xfId="10281"/>
    <cellStyle name="Обычный 19 2 5 5 2 2" xfId="10282"/>
    <cellStyle name="Обычный 19 2 5 5 3" xfId="10283"/>
    <cellStyle name="Обычный 19 2 5 6" xfId="10284"/>
    <cellStyle name="Обычный 19 2 5 6 2" xfId="10285"/>
    <cellStyle name="Обычный 19 2 5 7" xfId="10286"/>
    <cellStyle name="Обычный 19 2 5 7 2" xfId="10287"/>
    <cellStyle name="Обычный 19 2 5 8" xfId="10288"/>
    <cellStyle name="Обычный 19 2 6" xfId="10289"/>
    <cellStyle name="Обычный 19 2 6 2" xfId="10290"/>
    <cellStyle name="Обычный 19 2 6 2 2" xfId="10291"/>
    <cellStyle name="Обычный 19 2 6 2 2 2" xfId="10292"/>
    <cellStyle name="Обычный 19 2 6 2 2 2 2" xfId="10293"/>
    <cellStyle name="Обычный 19 2 6 2 2 3" xfId="10294"/>
    <cellStyle name="Обычный 19 2 6 2 3" xfId="10295"/>
    <cellStyle name="Обычный 19 2 6 2 3 2" xfId="10296"/>
    <cellStyle name="Обычный 19 2 6 2 3 2 2" xfId="10297"/>
    <cellStyle name="Обычный 19 2 6 2 3 3" xfId="10298"/>
    <cellStyle name="Обычный 19 2 6 2 4" xfId="10299"/>
    <cellStyle name="Обычный 19 2 6 2 4 2" xfId="10300"/>
    <cellStyle name="Обычный 19 2 6 2 5" xfId="10301"/>
    <cellStyle name="Обычный 19 2 6 2 5 2" xfId="10302"/>
    <cellStyle name="Обычный 19 2 6 2 6" xfId="10303"/>
    <cellStyle name="Обычный 19 2 6 3" xfId="10304"/>
    <cellStyle name="Обычный 19 2 6 3 2" xfId="10305"/>
    <cellStyle name="Обычный 19 2 6 3 2 2" xfId="10306"/>
    <cellStyle name="Обычный 19 2 6 3 2 2 2" xfId="10307"/>
    <cellStyle name="Обычный 19 2 6 3 2 3" xfId="10308"/>
    <cellStyle name="Обычный 19 2 6 3 3" xfId="10309"/>
    <cellStyle name="Обычный 19 2 6 3 3 2" xfId="10310"/>
    <cellStyle name="Обычный 19 2 6 3 3 2 2" xfId="10311"/>
    <cellStyle name="Обычный 19 2 6 3 3 3" xfId="10312"/>
    <cellStyle name="Обычный 19 2 6 3 4" xfId="10313"/>
    <cellStyle name="Обычный 19 2 6 3 4 2" xfId="10314"/>
    <cellStyle name="Обычный 19 2 6 3 5" xfId="10315"/>
    <cellStyle name="Обычный 19 2 6 4" xfId="10316"/>
    <cellStyle name="Обычный 19 2 6 4 2" xfId="10317"/>
    <cellStyle name="Обычный 19 2 6 4 2 2" xfId="10318"/>
    <cellStyle name="Обычный 19 2 6 4 3" xfId="10319"/>
    <cellStyle name="Обычный 19 2 6 5" xfId="10320"/>
    <cellStyle name="Обычный 19 2 6 5 2" xfId="10321"/>
    <cellStyle name="Обычный 19 2 6 5 2 2" xfId="10322"/>
    <cellStyle name="Обычный 19 2 6 5 3" xfId="10323"/>
    <cellStyle name="Обычный 19 2 6 6" xfId="10324"/>
    <cellStyle name="Обычный 19 2 6 6 2" xfId="10325"/>
    <cellStyle name="Обычный 19 2 6 7" xfId="10326"/>
    <cellStyle name="Обычный 19 2 6 7 2" xfId="10327"/>
    <cellStyle name="Обычный 19 2 6 8" xfId="10328"/>
    <cellStyle name="Обычный 19 2 7" xfId="10329"/>
    <cellStyle name="Обычный 19 2 7 2" xfId="10330"/>
    <cellStyle name="Обычный 19 2 7 2 2" xfId="10331"/>
    <cellStyle name="Обычный 19 2 7 2 2 2" xfId="10332"/>
    <cellStyle name="Обычный 19 2 7 2 3" xfId="10333"/>
    <cellStyle name="Обычный 19 2 7 3" xfId="10334"/>
    <cellStyle name="Обычный 19 2 7 3 2" xfId="10335"/>
    <cellStyle name="Обычный 19 2 7 3 2 2" xfId="10336"/>
    <cellStyle name="Обычный 19 2 7 3 3" xfId="10337"/>
    <cellStyle name="Обычный 19 2 7 4" xfId="10338"/>
    <cellStyle name="Обычный 19 2 7 4 2" xfId="10339"/>
    <cellStyle name="Обычный 19 2 7 5" xfId="10340"/>
    <cellStyle name="Обычный 19 2 7 5 2" xfId="10341"/>
    <cellStyle name="Обычный 19 2 7 6" xfId="10342"/>
    <cellStyle name="Обычный 19 2 8" xfId="10343"/>
    <cellStyle name="Обычный 19 2 8 2" xfId="10344"/>
    <cellStyle name="Обычный 19 2 8 2 2" xfId="10345"/>
    <cellStyle name="Обычный 19 2 8 2 2 2" xfId="10346"/>
    <cellStyle name="Обычный 19 2 8 2 3" xfId="10347"/>
    <cellStyle name="Обычный 19 2 8 3" xfId="10348"/>
    <cellStyle name="Обычный 19 2 8 3 2" xfId="10349"/>
    <cellStyle name="Обычный 19 2 8 3 2 2" xfId="10350"/>
    <cellStyle name="Обычный 19 2 8 3 3" xfId="10351"/>
    <cellStyle name="Обычный 19 2 8 4" xfId="10352"/>
    <cellStyle name="Обычный 19 2 8 4 2" xfId="10353"/>
    <cellStyle name="Обычный 19 2 8 5" xfId="10354"/>
    <cellStyle name="Обычный 19 2 8 5 2" xfId="10355"/>
    <cellStyle name="Обычный 19 2 8 6" xfId="10356"/>
    <cellStyle name="Обычный 19 2 9" xfId="10357"/>
    <cellStyle name="Обычный 19 2 9 2" xfId="10358"/>
    <cellStyle name="Обычный 19 2 9 2 2" xfId="10359"/>
    <cellStyle name="Обычный 19 2 9 3" xfId="10360"/>
    <cellStyle name="Обычный 19 3" xfId="10361"/>
    <cellStyle name="Обычный 19 3 10" xfId="10362"/>
    <cellStyle name="Обычный 19 3 10 2" xfId="10363"/>
    <cellStyle name="Обычный 19 3 10 2 2" xfId="10364"/>
    <cellStyle name="Обычный 19 3 10 2 2 2" xfId="10365"/>
    <cellStyle name="Обычный 19 3 10 2 3" xfId="10366"/>
    <cellStyle name="Обычный 19 3 10 3" xfId="10367"/>
    <cellStyle name="Обычный 19 3 10 3 2" xfId="10368"/>
    <cellStyle name="Обычный 19 3 10 4" xfId="10369"/>
    <cellStyle name="Обычный 19 3 11" xfId="10370"/>
    <cellStyle name="Обычный 19 3 11 2" xfId="10371"/>
    <cellStyle name="Обычный 19 3 11 2 2" xfId="10372"/>
    <cellStyle name="Обычный 19 3 11 3" xfId="10373"/>
    <cellStyle name="Обычный 19 3 12" xfId="10374"/>
    <cellStyle name="Обычный 19 3 12 2" xfId="10375"/>
    <cellStyle name="Обычный 19 3 12 2 2" xfId="10376"/>
    <cellStyle name="Обычный 19 3 12 3" xfId="10377"/>
    <cellStyle name="Обычный 19 3 13" xfId="10378"/>
    <cellStyle name="Обычный 19 3 13 2" xfId="10379"/>
    <cellStyle name="Обычный 19 3 14" xfId="10380"/>
    <cellStyle name="Обычный 19 3 14 2" xfId="10381"/>
    <cellStyle name="Обычный 19 3 15" xfId="10382"/>
    <cellStyle name="Обычный 19 3 2" xfId="10383"/>
    <cellStyle name="Обычный 19 3 2 10" xfId="10384"/>
    <cellStyle name="Обычный 19 3 2 10 2" xfId="10385"/>
    <cellStyle name="Обычный 19 3 2 11" xfId="10386"/>
    <cellStyle name="Обычный 19 3 2 2" xfId="10387"/>
    <cellStyle name="Обычный 19 3 2 2 2" xfId="10388"/>
    <cellStyle name="Обычный 19 3 2 2 2 2" xfId="10389"/>
    <cellStyle name="Обычный 19 3 2 2 2 2 2" xfId="10390"/>
    <cellStyle name="Обычный 19 3 2 2 2 2 2 2" xfId="10391"/>
    <cellStyle name="Обычный 19 3 2 2 2 2 2 2 2" xfId="10392"/>
    <cellStyle name="Обычный 19 3 2 2 2 2 2 3" xfId="10393"/>
    <cellStyle name="Обычный 19 3 2 2 2 2 3" xfId="10394"/>
    <cellStyle name="Обычный 19 3 2 2 2 2 3 2" xfId="10395"/>
    <cellStyle name="Обычный 19 3 2 2 2 2 3 2 2" xfId="10396"/>
    <cellStyle name="Обычный 19 3 2 2 2 2 3 3" xfId="10397"/>
    <cellStyle name="Обычный 19 3 2 2 2 2 4" xfId="10398"/>
    <cellStyle name="Обычный 19 3 2 2 2 2 4 2" xfId="10399"/>
    <cellStyle name="Обычный 19 3 2 2 2 2 5" xfId="10400"/>
    <cellStyle name="Обычный 19 3 2 2 2 2 5 2" xfId="10401"/>
    <cellStyle name="Обычный 19 3 2 2 2 2 6" xfId="10402"/>
    <cellStyle name="Обычный 19 3 2 2 2 3" xfId="10403"/>
    <cellStyle name="Обычный 19 3 2 2 2 3 2" xfId="10404"/>
    <cellStyle name="Обычный 19 3 2 2 2 3 2 2" xfId="10405"/>
    <cellStyle name="Обычный 19 3 2 2 2 3 2 2 2" xfId="10406"/>
    <cellStyle name="Обычный 19 3 2 2 2 3 2 3" xfId="10407"/>
    <cellStyle name="Обычный 19 3 2 2 2 3 3" xfId="10408"/>
    <cellStyle name="Обычный 19 3 2 2 2 3 3 2" xfId="10409"/>
    <cellStyle name="Обычный 19 3 2 2 2 3 3 2 2" xfId="10410"/>
    <cellStyle name="Обычный 19 3 2 2 2 3 3 3" xfId="10411"/>
    <cellStyle name="Обычный 19 3 2 2 2 3 4" xfId="10412"/>
    <cellStyle name="Обычный 19 3 2 2 2 3 4 2" xfId="10413"/>
    <cellStyle name="Обычный 19 3 2 2 2 3 5" xfId="10414"/>
    <cellStyle name="Обычный 19 3 2 2 2 4" xfId="10415"/>
    <cellStyle name="Обычный 19 3 2 2 2 4 2" xfId="10416"/>
    <cellStyle name="Обычный 19 3 2 2 2 4 2 2" xfId="10417"/>
    <cellStyle name="Обычный 19 3 2 2 2 4 3" xfId="10418"/>
    <cellStyle name="Обычный 19 3 2 2 2 5" xfId="10419"/>
    <cellStyle name="Обычный 19 3 2 2 2 5 2" xfId="10420"/>
    <cellStyle name="Обычный 19 3 2 2 2 5 2 2" xfId="10421"/>
    <cellStyle name="Обычный 19 3 2 2 2 5 3" xfId="10422"/>
    <cellStyle name="Обычный 19 3 2 2 2 6" xfId="10423"/>
    <cellStyle name="Обычный 19 3 2 2 2 6 2" xfId="10424"/>
    <cellStyle name="Обычный 19 3 2 2 2 7" xfId="10425"/>
    <cellStyle name="Обычный 19 3 2 2 2 7 2" xfId="10426"/>
    <cellStyle name="Обычный 19 3 2 2 2 8" xfId="10427"/>
    <cellStyle name="Обычный 19 3 2 2 3" xfId="10428"/>
    <cellStyle name="Обычный 19 3 2 2 3 2" xfId="10429"/>
    <cellStyle name="Обычный 19 3 2 2 3 2 2" xfId="10430"/>
    <cellStyle name="Обычный 19 3 2 2 3 2 2 2" xfId="10431"/>
    <cellStyle name="Обычный 19 3 2 2 3 2 3" xfId="10432"/>
    <cellStyle name="Обычный 19 3 2 2 3 3" xfId="10433"/>
    <cellStyle name="Обычный 19 3 2 2 3 3 2" xfId="10434"/>
    <cellStyle name="Обычный 19 3 2 2 3 3 2 2" xfId="10435"/>
    <cellStyle name="Обычный 19 3 2 2 3 3 3" xfId="10436"/>
    <cellStyle name="Обычный 19 3 2 2 3 4" xfId="10437"/>
    <cellStyle name="Обычный 19 3 2 2 3 4 2" xfId="10438"/>
    <cellStyle name="Обычный 19 3 2 2 3 5" xfId="10439"/>
    <cellStyle name="Обычный 19 3 2 2 3 5 2" xfId="10440"/>
    <cellStyle name="Обычный 19 3 2 2 3 6" xfId="10441"/>
    <cellStyle name="Обычный 19 3 2 2 4" xfId="10442"/>
    <cellStyle name="Обычный 19 3 2 2 4 2" xfId="10443"/>
    <cellStyle name="Обычный 19 3 2 2 4 2 2" xfId="10444"/>
    <cellStyle name="Обычный 19 3 2 2 4 2 2 2" xfId="10445"/>
    <cellStyle name="Обычный 19 3 2 2 4 2 3" xfId="10446"/>
    <cellStyle name="Обычный 19 3 2 2 4 3" xfId="10447"/>
    <cellStyle name="Обычный 19 3 2 2 4 3 2" xfId="10448"/>
    <cellStyle name="Обычный 19 3 2 2 4 3 2 2" xfId="10449"/>
    <cellStyle name="Обычный 19 3 2 2 4 3 3" xfId="10450"/>
    <cellStyle name="Обычный 19 3 2 2 4 4" xfId="10451"/>
    <cellStyle name="Обычный 19 3 2 2 4 4 2" xfId="10452"/>
    <cellStyle name="Обычный 19 3 2 2 4 5" xfId="10453"/>
    <cellStyle name="Обычный 19 3 2 2 4 5 2" xfId="10454"/>
    <cellStyle name="Обычный 19 3 2 2 4 6" xfId="10455"/>
    <cellStyle name="Обычный 19 3 2 2 5" xfId="10456"/>
    <cellStyle name="Обычный 19 3 2 2 5 2" xfId="10457"/>
    <cellStyle name="Обычный 19 3 2 2 5 2 2" xfId="10458"/>
    <cellStyle name="Обычный 19 3 2 2 5 3" xfId="10459"/>
    <cellStyle name="Обычный 19 3 2 2 6" xfId="10460"/>
    <cellStyle name="Обычный 19 3 2 2 6 2" xfId="10461"/>
    <cellStyle name="Обычный 19 3 2 2 6 2 2" xfId="10462"/>
    <cellStyle name="Обычный 19 3 2 2 6 3" xfId="10463"/>
    <cellStyle name="Обычный 19 3 2 2 7" xfId="10464"/>
    <cellStyle name="Обычный 19 3 2 2 7 2" xfId="10465"/>
    <cellStyle name="Обычный 19 3 2 2 8" xfId="10466"/>
    <cellStyle name="Обычный 19 3 2 2 8 2" xfId="10467"/>
    <cellStyle name="Обычный 19 3 2 2 9" xfId="10468"/>
    <cellStyle name="Обычный 19 3 2 3" xfId="10469"/>
    <cellStyle name="Обычный 19 3 2 3 2" xfId="10470"/>
    <cellStyle name="Обычный 19 3 2 3 2 2" xfId="10471"/>
    <cellStyle name="Обычный 19 3 2 3 2 2 2" xfId="10472"/>
    <cellStyle name="Обычный 19 3 2 3 2 2 2 2" xfId="10473"/>
    <cellStyle name="Обычный 19 3 2 3 2 2 3" xfId="10474"/>
    <cellStyle name="Обычный 19 3 2 3 2 2 3 2" xfId="10475"/>
    <cellStyle name="Обычный 19 3 2 3 2 2 4" xfId="10476"/>
    <cellStyle name="Обычный 19 3 2 3 2 3" xfId="10477"/>
    <cellStyle name="Обычный 19 3 2 3 2 3 2" xfId="10478"/>
    <cellStyle name="Обычный 19 3 2 3 2 3 2 2" xfId="10479"/>
    <cellStyle name="Обычный 19 3 2 3 2 3 3" xfId="10480"/>
    <cellStyle name="Обычный 19 3 2 3 2 4" xfId="10481"/>
    <cellStyle name="Обычный 19 3 2 3 2 4 2" xfId="10482"/>
    <cellStyle name="Обычный 19 3 2 3 2 5" xfId="10483"/>
    <cellStyle name="Обычный 19 3 2 3 2 5 2" xfId="10484"/>
    <cellStyle name="Обычный 19 3 2 3 2 6" xfId="10485"/>
    <cellStyle name="Обычный 19 3 2 3 3" xfId="10486"/>
    <cellStyle name="Обычный 19 3 2 3 3 2" xfId="10487"/>
    <cellStyle name="Обычный 19 3 2 3 3 2 2" xfId="10488"/>
    <cellStyle name="Обычный 19 3 2 3 3 2 2 2" xfId="10489"/>
    <cellStyle name="Обычный 19 3 2 3 3 2 3" xfId="10490"/>
    <cellStyle name="Обычный 19 3 2 3 3 3" xfId="10491"/>
    <cellStyle name="Обычный 19 3 2 3 3 3 2" xfId="10492"/>
    <cellStyle name="Обычный 19 3 2 3 3 3 2 2" xfId="10493"/>
    <cellStyle name="Обычный 19 3 2 3 3 3 3" xfId="10494"/>
    <cellStyle name="Обычный 19 3 2 3 3 4" xfId="10495"/>
    <cellStyle name="Обычный 19 3 2 3 3 4 2" xfId="10496"/>
    <cellStyle name="Обычный 19 3 2 3 3 5" xfId="10497"/>
    <cellStyle name="Обычный 19 3 2 3 3 5 2" xfId="10498"/>
    <cellStyle name="Обычный 19 3 2 3 3 6" xfId="10499"/>
    <cellStyle name="Обычный 19 3 2 3 4" xfId="10500"/>
    <cellStyle name="Обычный 19 3 2 3 4 2" xfId="10501"/>
    <cellStyle name="Обычный 19 3 2 3 4 2 2" xfId="10502"/>
    <cellStyle name="Обычный 19 3 2 3 4 3" xfId="10503"/>
    <cellStyle name="Обычный 19 3 2 3 4 3 2" xfId="10504"/>
    <cellStyle name="Обычный 19 3 2 3 4 4" xfId="10505"/>
    <cellStyle name="Обычный 19 3 2 3 5" xfId="10506"/>
    <cellStyle name="Обычный 19 3 2 3 5 2" xfId="10507"/>
    <cellStyle name="Обычный 19 3 2 3 5 2 2" xfId="10508"/>
    <cellStyle name="Обычный 19 3 2 3 5 3" xfId="10509"/>
    <cellStyle name="Обычный 19 3 2 3 6" xfId="10510"/>
    <cellStyle name="Обычный 19 3 2 3 6 2" xfId="10511"/>
    <cellStyle name="Обычный 19 3 2 3 7" xfId="10512"/>
    <cellStyle name="Обычный 19 3 2 3 7 2" xfId="10513"/>
    <cellStyle name="Обычный 19 3 2 3 8" xfId="10514"/>
    <cellStyle name="Обычный 19 3 2 4" xfId="10515"/>
    <cellStyle name="Обычный 19 3 2 4 2" xfId="10516"/>
    <cellStyle name="Обычный 19 3 2 4 2 2" xfId="10517"/>
    <cellStyle name="Обычный 19 3 2 4 2 2 2" xfId="10518"/>
    <cellStyle name="Обычный 19 3 2 4 2 2 2 2" xfId="10519"/>
    <cellStyle name="Обычный 19 3 2 4 2 2 3" xfId="10520"/>
    <cellStyle name="Обычный 19 3 2 4 2 3" xfId="10521"/>
    <cellStyle name="Обычный 19 3 2 4 2 3 2" xfId="10522"/>
    <cellStyle name="Обычный 19 3 2 4 2 3 2 2" xfId="10523"/>
    <cellStyle name="Обычный 19 3 2 4 2 3 3" xfId="10524"/>
    <cellStyle name="Обычный 19 3 2 4 2 4" xfId="10525"/>
    <cellStyle name="Обычный 19 3 2 4 2 4 2" xfId="10526"/>
    <cellStyle name="Обычный 19 3 2 4 2 5" xfId="10527"/>
    <cellStyle name="Обычный 19 3 2 4 2 5 2" xfId="10528"/>
    <cellStyle name="Обычный 19 3 2 4 2 6" xfId="10529"/>
    <cellStyle name="Обычный 19 3 2 4 3" xfId="10530"/>
    <cellStyle name="Обычный 19 3 2 4 3 2" xfId="10531"/>
    <cellStyle name="Обычный 19 3 2 4 3 2 2" xfId="10532"/>
    <cellStyle name="Обычный 19 3 2 4 3 2 2 2" xfId="10533"/>
    <cellStyle name="Обычный 19 3 2 4 3 2 3" xfId="10534"/>
    <cellStyle name="Обычный 19 3 2 4 3 3" xfId="10535"/>
    <cellStyle name="Обычный 19 3 2 4 3 3 2" xfId="10536"/>
    <cellStyle name="Обычный 19 3 2 4 3 3 2 2" xfId="10537"/>
    <cellStyle name="Обычный 19 3 2 4 3 3 3" xfId="10538"/>
    <cellStyle name="Обычный 19 3 2 4 3 4" xfId="10539"/>
    <cellStyle name="Обычный 19 3 2 4 3 4 2" xfId="10540"/>
    <cellStyle name="Обычный 19 3 2 4 3 5" xfId="10541"/>
    <cellStyle name="Обычный 19 3 2 4 4" xfId="10542"/>
    <cellStyle name="Обычный 19 3 2 4 4 2" xfId="10543"/>
    <cellStyle name="Обычный 19 3 2 4 4 2 2" xfId="10544"/>
    <cellStyle name="Обычный 19 3 2 4 4 3" xfId="10545"/>
    <cellStyle name="Обычный 19 3 2 4 5" xfId="10546"/>
    <cellStyle name="Обычный 19 3 2 4 5 2" xfId="10547"/>
    <cellStyle name="Обычный 19 3 2 4 5 2 2" xfId="10548"/>
    <cellStyle name="Обычный 19 3 2 4 5 3" xfId="10549"/>
    <cellStyle name="Обычный 19 3 2 4 6" xfId="10550"/>
    <cellStyle name="Обычный 19 3 2 4 6 2" xfId="10551"/>
    <cellStyle name="Обычный 19 3 2 4 7" xfId="10552"/>
    <cellStyle name="Обычный 19 3 2 4 7 2" xfId="10553"/>
    <cellStyle name="Обычный 19 3 2 4 8" xfId="10554"/>
    <cellStyle name="Обычный 19 3 2 5" xfId="10555"/>
    <cellStyle name="Обычный 19 3 2 5 2" xfId="10556"/>
    <cellStyle name="Обычный 19 3 2 5 2 2" xfId="10557"/>
    <cellStyle name="Обычный 19 3 2 5 2 2 2" xfId="10558"/>
    <cellStyle name="Обычный 19 3 2 5 2 3" xfId="10559"/>
    <cellStyle name="Обычный 19 3 2 5 3" xfId="10560"/>
    <cellStyle name="Обычный 19 3 2 5 3 2" xfId="10561"/>
    <cellStyle name="Обычный 19 3 2 5 3 2 2" xfId="10562"/>
    <cellStyle name="Обычный 19 3 2 5 3 3" xfId="10563"/>
    <cellStyle name="Обычный 19 3 2 5 4" xfId="10564"/>
    <cellStyle name="Обычный 19 3 2 5 4 2" xfId="10565"/>
    <cellStyle name="Обычный 19 3 2 5 5" xfId="10566"/>
    <cellStyle name="Обычный 19 3 2 5 5 2" xfId="10567"/>
    <cellStyle name="Обычный 19 3 2 5 6" xfId="10568"/>
    <cellStyle name="Обычный 19 3 2 6" xfId="10569"/>
    <cellStyle name="Обычный 19 3 2 6 2" xfId="10570"/>
    <cellStyle name="Обычный 19 3 2 6 2 2" xfId="10571"/>
    <cellStyle name="Обычный 19 3 2 6 2 2 2" xfId="10572"/>
    <cellStyle name="Обычный 19 3 2 6 2 3" xfId="10573"/>
    <cellStyle name="Обычный 19 3 2 6 3" xfId="10574"/>
    <cellStyle name="Обычный 19 3 2 6 3 2" xfId="10575"/>
    <cellStyle name="Обычный 19 3 2 6 3 2 2" xfId="10576"/>
    <cellStyle name="Обычный 19 3 2 6 3 3" xfId="10577"/>
    <cellStyle name="Обычный 19 3 2 6 4" xfId="10578"/>
    <cellStyle name="Обычный 19 3 2 6 4 2" xfId="10579"/>
    <cellStyle name="Обычный 19 3 2 6 5" xfId="10580"/>
    <cellStyle name="Обычный 19 3 2 6 5 2" xfId="10581"/>
    <cellStyle name="Обычный 19 3 2 6 6" xfId="10582"/>
    <cellStyle name="Обычный 19 3 2 7" xfId="10583"/>
    <cellStyle name="Обычный 19 3 2 7 2" xfId="10584"/>
    <cellStyle name="Обычный 19 3 2 7 2 2" xfId="10585"/>
    <cellStyle name="Обычный 19 3 2 7 3" xfId="10586"/>
    <cellStyle name="Обычный 19 3 2 8" xfId="10587"/>
    <cellStyle name="Обычный 19 3 2 8 2" xfId="10588"/>
    <cellStyle name="Обычный 19 3 2 8 2 2" xfId="10589"/>
    <cellStyle name="Обычный 19 3 2 8 3" xfId="10590"/>
    <cellStyle name="Обычный 19 3 2 9" xfId="10591"/>
    <cellStyle name="Обычный 19 3 2 9 2" xfId="10592"/>
    <cellStyle name="Обычный 19 3 3" xfId="10593"/>
    <cellStyle name="Обычный 19 3 3 10" xfId="10594"/>
    <cellStyle name="Обычный 19 3 3 2" xfId="10595"/>
    <cellStyle name="Обычный 19 3 3 2 2" xfId="10596"/>
    <cellStyle name="Обычный 19 3 3 2 2 2" xfId="10597"/>
    <cellStyle name="Обычный 19 3 3 2 2 2 2" xfId="10598"/>
    <cellStyle name="Обычный 19 3 3 2 2 2 2 2" xfId="10599"/>
    <cellStyle name="Обычный 19 3 3 2 2 2 2 2 2" xfId="10600"/>
    <cellStyle name="Обычный 19 3 3 2 2 2 2 3" xfId="10601"/>
    <cellStyle name="Обычный 19 3 3 2 2 2 3" xfId="10602"/>
    <cellStyle name="Обычный 19 3 3 2 2 2 3 2" xfId="10603"/>
    <cellStyle name="Обычный 19 3 3 2 2 2 3 2 2" xfId="10604"/>
    <cellStyle name="Обычный 19 3 3 2 2 2 3 3" xfId="10605"/>
    <cellStyle name="Обычный 19 3 3 2 2 2 4" xfId="10606"/>
    <cellStyle name="Обычный 19 3 3 2 2 2 4 2" xfId="10607"/>
    <cellStyle name="Обычный 19 3 3 2 2 2 5" xfId="10608"/>
    <cellStyle name="Обычный 19 3 3 2 2 2 5 2" xfId="10609"/>
    <cellStyle name="Обычный 19 3 3 2 2 2 6" xfId="10610"/>
    <cellStyle name="Обычный 19 3 3 2 2 3" xfId="10611"/>
    <cellStyle name="Обычный 19 3 3 2 2 3 2" xfId="10612"/>
    <cellStyle name="Обычный 19 3 3 2 2 3 2 2" xfId="10613"/>
    <cellStyle name="Обычный 19 3 3 2 2 3 3" xfId="10614"/>
    <cellStyle name="Обычный 19 3 3 2 2 3 3 2" xfId="10615"/>
    <cellStyle name="Обычный 19 3 3 2 2 3 4" xfId="10616"/>
    <cellStyle name="Обычный 19 3 3 2 2 4" xfId="10617"/>
    <cellStyle name="Обычный 19 3 3 2 2 4 2" xfId="10618"/>
    <cellStyle name="Обычный 19 3 3 2 2 4 2 2" xfId="10619"/>
    <cellStyle name="Обычный 19 3 3 2 2 4 3" xfId="10620"/>
    <cellStyle name="Обычный 19 3 3 2 2 5" xfId="10621"/>
    <cellStyle name="Обычный 19 3 3 2 2 5 2" xfId="10622"/>
    <cellStyle name="Обычный 19 3 3 2 2 6" xfId="10623"/>
    <cellStyle name="Обычный 19 3 3 2 2 6 2" xfId="10624"/>
    <cellStyle name="Обычный 19 3 3 2 2 7" xfId="10625"/>
    <cellStyle name="Обычный 19 3 3 2 3" xfId="10626"/>
    <cellStyle name="Обычный 19 3 3 2 3 2" xfId="10627"/>
    <cellStyle name="Обычный 19 3 3 2 3 2 2" xfId="10628"/>
    <cellStyle name="Обычный 19 3 3 2 3 2 2 2" xfId="10629"/>
    <cellStyle name="Обычный 19 3 3 2 3 2 3" xfId="10630"/>
    <cellStyle name="Обычный 19 3 3 2 3 3" xfId="10631"/>
    <cellStyle name="Обычный 19 3 3 2 3 3 2" xfId="10632"/>
    <cellStyle name="Обычный 19 3 3 2 3 3 2 2" xfId="10633"/>
    <cellStyle name="Обычный 19 3 3 2 3 3 3" xfId="10634"/>
    <cellStyle name="Обычный 19 3 3 2 3 4" xfId="10635"/>
    <cellStyle name="Обычный 19 3 3 2 3 4 2" xfId="10636"/>
    <cellStyle name="Обычный 19 3 3 2 3 5" xfId="10637"/>
    <cellStyle name="Обычный 19 3 3 2 3 5 2" xfId="10638"/>
    <cellStyle name="Обычный 19 3 3 2 3 6" xfId="10639"/>
    <cellStyle name="Обычный 19 3 3 2 4" xfId="10640"/>
    <cellStyle name="Обычный 19 3 3 2 4 2" xfId="10641"/>
    <cellStyle name="Обычный 19 3 3 2 4 2 2" xfId="10642"/>
    <cellStyle name="Обычный 19 3 3 2 4 2 2 2" xfId="10643"/>
    <cellStyle name="Обычный 19 3 3 2 4 2 3" xfId="10644"/>
    <cellStyle name="Обычный 19 3 3 2 4 3" xfId="10645"/>
    <cellStyle name="Обычный 19 3 3 2 4 3 2" xfId="10646"/>
    <cellStyle name="Обычный 19 3 3 2 4 3 2 2" xfId="10647"/>
    <cellStyle name="Обычный 19 3 3 2 4 3 3" xfId="10648"/>
    <cellStyle name="Обычный 19 3 3 2 4 4" xfId="10649"/>
    <cellStyle name="Обычный 19 3 3 2 4 4 2" xfId="10650"/>
    <cellStyle name="Обычный 19 3 3 2 4 5" xfId="10651"/>
    <cellStyle name="Обычный 19 3 3 2 4 5 2" xfId="10652"/>
    <cellStyle name="Обычный 19 3 3 2 4 6" xfId="10653"/>
    <cellStyle name="Обычный 19 3 3 2 5" xfId="10654"/>
    <cellStyle name="Обычный 19 3 3 2 5 2" xfId="10655"/>
    <cellStyle name="Обычный 19 3 3 2 5 2 2" xfId="10656"/>
    <cellStyle name="Обычный 19 3 3 2 5 3" xfId="10657"/>
    <cellStyle name="Обычный 19 3 3 2 6" xfId="10658"/>
    <cellStyle name="Обычный 19 3 3 2 6 2" xfId="10659"/>
    <cellStyle name="Обычный 19 3 3 2 6 2 2" xfId="10660"/>
    <cellStyle name="Обычный 19 3 3 2 6 3" xfId="10661"/>
    <cellStyle name="Обычный 19 3 3 2 7" xfId="10662"/>
    <cellStyle name="Обычный 19 3 3 2 7 2" xfId="10663"/>
    <cellStyle name="Обычный 19 3 3 2 8" xfId="10664"/>
    <cellStyle name="Обычный 19 3 3 2 8 2" xfId="10665"/>
    <cellStyle name="Обычный 19 3 3 2 9" xfId="10666"/>
    <cellStyle name="Обычный 19 3 3 3" xfId="10667"/>
    <cellStyle name="Обычный 19 3 3 3 2" xfId="10668"/>
    <cellStyle name="Обычный 19 3 3 3 2 2" xfId="10669"/>
    <cellStyle name="Обычный 19 3 3 3 2 2 2" xfId="10670"/>
    <cellStyle name="Обычный 19 3 3 3 2 2 2 2" xfId="10671"/>
    <cellStyle name="Обычный 19 3 3 3 2 2 3" xfId="10672"/>
    <cellStyle name="Обычный 19 3 3 3 2 3" xfId="10673"/>
    <cellStyle name="Обычный 19 3 3 3 2 3 2" xfId="10674"/>
    <cellStyle name="Обычный 19 3 3 3 2 3 2 2" xfId="10675"/>
    <cellStyle name="Обычный 19 3 3 3 2 3 3" xfId="10676"/>
    <cellStyle name="Обычный 19 3 3 3 2 4" xfId="10677"/>
    <cellStyle name="Обычный 19 3 3 3 2 4 2" xfId="10678"/>
    <cellStyle name="Обычный 19 3 3 3 2 5" xfId="10679"/>
    <cellStyle name="Обычный 19 3 3 3 2 5 2" xfId="10680"/>
    <cellStyle name="Обычный 19 3 3 3 2 6" xfId="10681"/>
    <cellStyle name="Обычный 19 3 3 3 3" xfId="10682"/>
    <cellStyle name="Обычный 19 3 3 3 3 2" xfId="10683"/>
    <cellStyle name="Обычный 19 3 3 3 3 2 2" xfId="10684"/>
    <cellStyle name="Обычный 19 3 3 3 3 3" xfId="10685"/>
    <cellStyle name="Обычный 19 3 3 3 3 3 2" xfId="10686"/>
    <cellStyle name="Обычный 19 3 3 3 3 4" xfId="10687"/>
    <cellStyle name="Обычный 19 3 3 3 4" xfId="10688"/>
    <cellStyle name="Обычный 19 3 3 3 4 2" xfId="10689"/>
    <cellStyle name="Обычный 19 3 3 3 4 2 2" xfId="10690"/>
    <cellStyle name="Обычный 19 3 3 3 4 3" xfId="10691"/>
    <cellStyle name="Обычный 19 3 3 3 5" xfId="10692"/>
    <cellStyle name="Обычный 19 3 3 3 5 2" xfId="10693"/>
    <cellStyle name="Обычный 19 3 3 3 6" xfId="10694"/>
    <cellStyle name="Обычный 19 3 3 3 6 2" xfId="10695"/>
    <cellStyle name="Обычный 19 3 3 3 7" xfId="10696"/>
    <cellStyle name="Обычный 19 3 3 4" xfId="10697"/>
    <cellStyle name="Обычный 19 3 3 4 2" xfId="10698"/>
    <cellStyle name="Обычный 19 3 3 4 2 2" xfId="10699"/>
    <cellStyle name="Обычный 19 3 3 4 2 2 2" xfId="10700"/>
    <cellStyle name="Обычный 19 3 3 4 2 3" xfId="10701"/>
    <cellStyle name="Обычный 19 3 3 4 3" xfId="10702"/>
    <cellStyle name="Обычный 19 3 3 4 3 2" xfId="10703"/>
    <cellStyle name="Обычный 19 3 3 4 3 2 2" xfId="10704"/>
    <cellStyle name="Обычный 19 3 3 4 3 3" xfId="10705"/>
    <cellStyle name="Обычный 19 3 3 4 4" xfId="10706"/>
    <cellStyle name="Обычный 19 3 3 4 4 2" xfId="10707"/>
    <cellStyle name="Обычный 19 3 3 4 5" xfId="10708"/>
    <cellStyle name="Обычный 19 3 3 4 5 2" xfId="10709"/>
    <cellStyle name="Обычный 19 3 3 4 6" xfId="10710"/>
    <cellStyle name="Обычный 19 3 3 5" xfId="10711"/>
    <cellStyle name="Обычный 19 3 3 5 2" xfId="10712"/>
    <cellStyle name="Обычный 19 3 3 5 2 2" xfId="10713"/>
    <cellStyle name="Обычный 19 3 3 5 2 2 2" xfId="10714"/>
    <cellStyle name="Обычный 19 3 3 5 2 3" xfId="10715"/>
    <cellStyle name="Обычный 19 3 3 5 3" xfId="10716"/>
    <cellStyle name="Обычный 19 3 3 5 3 2" xfId="10717"/>
    <cellStyle name="Обычный 19 3 3 5 3 2 2" xfId="10718"/>
    <cellStyle name="Обычный 19 3 3 5 3 3" xfId="10719"/>
    <cellStyle name="Обычный 19 3 3 5 4" xfId="10720"/>
    <cellStyle name="Обычный 19 3 3 5 4 2" xfId="10721"/>
    <cellStyle name="Обычный 19 3 3 5 5" xfId="10722"/>
    <cellStyle name="Обычный 19 3 3 5 5 2" xfId="10723"/>
    <cellStyle name="Обычный 19 3 3 5 6" xfId="10724"/>
    <cellStyle name="Обычный 19 3 3 6" xfId="10725"/>
    <cellStyle name="Обычный 19 3 3 6 2" xfId="10726"/>
    <cellStyle name="Обычный 19 3 3 6 2 2" xfId="10727"/>
    <cellStyle name="Обычный 19 3 3 6 3" xfId="10728"/>
    <cellStyle name="Обычный 19 3 3 7" xfId="10729"/>
    <cellStyle name="Обычный 19 3 3 7 2" xfId="10730"/>
    <cellStyle name="Обычный 19 3 3 7 2 2" xfId="10731"/>
    <cellStyle name="Обычный 19 3 3 7 3" xfId="10732"/>
    <cellStyle name="Обычный 19 3 3 8" xfId="10733"/>
    <cellStyle name="Обычный 19 3 3 8 2" xfId="10734"/>
    <cellStyle name="Обычный 19 3 3 9" xfId="10735"/>
    <cellStyle name="Обычный 19 3 3 9 2" xfId="10736"/>
    <cellStyle name="Обычный 19 3 4" xfId="10737"/>
    <cellStyle name="Обычный 19 3 4 10" xfId="10738"/>
    <cellStyle name="Обычный 19 3 4 10 2" xfId="10739"/>
    <cellStyle name="Обычный 19 3 4 11" xfId="10740"/>
    <cellStyle name="Обычный 19 3 4 2" xfId="10741"/>
    <cellStyle name="Обычный 19 3 4 2 2" xfId="10742"/>
    <cellStyle name="Обычный 19 3 4 2 2 2" xfId="10743"/>
    <cellStyle name="Обычный 19 3 4 2 2 2 2" xfId="10744"/>
    <cellStyle name="Обычный 19 3 4 2 2 2 2 2" xfId="10745"/>
    <cellStyle name="Обычный 19 3 4 2 2 2 3" xfId="10746"/>
    <cellStyle name="Обычный 19 3 4 2 2 3" xfId="10747"/>
    <cellStyle name="Обычный 19 3 4 2 2 3 2" xfId="10748"/>
    <cellStyle name="Обычный 19 3 4 2 2 3 2 2" xfId="10749"/>
    <cellStyle name="Обычный 19 3 4 2 2 3 3" xfId="10750"/>
    <cellStyle name="Обычный 19 3 4 2 2 4" xfId="10751"/>
    <cellStyle name="Обычный 19 3 4 2 2 4 2" xfId="10752"/>
    <cellStyle name="Обычный 19 3 4 2 2 5" xfId="10753"/>
    <cellStyle name="Обычный 19 3 4 2 2 5 2" xfId="10754"/>
    <cellStyle name="Обычный 19 3 4 2 2 6" xfId="10755"/>
    <cellStyle name="Обычный 19 3 4 2 3" xfId="10756"/>
    <cellStyle name="Обычный 19 3 4 2 3 2" xfId="10757"/>
    <cellStyle name="Обычный 19 3 4 2 3 2 2" xfId="10758"/>
    <cellStyle name="Обычный 19 3 4 2 3 2 2 2" xfId="10759"/>
    <cellStyle name="Обычный 19 3 4 2 3 2 3" xfId="10760"/>
    <cellStyle name="Обычный 19 3 4 2 3 3" xfId="10761"/>
    <cellStyle name="Обычный 19 3 4 2 3 3 2" xfId="10762"/>
    <cellStyle name="Обычный 19 3 4 2 3 3 2 2" xfId="10763"/>
    <cellStyle name="Обычный 19 3 4 2 3 3 3" xfId="10764"/>
    <cellStyle name="Обычный 19 3 4 2 3 4" xfId="10765"/>
    <cellStyle name="Обычный 19 3 4 2 3 4 2" xfId="10766"/>
    <cellStyle name="Обычный 19 3 4 2 3 5" xfId="10767"/>
    <cellStyle name="Обычный 19 3 4 2 4" xfId="10768"/>
    <cellStyle name="Обычный 19 3 4 2 4 2" xfId="10769"/>
    <cellStyle name="Обычный 19 3 4 2 4 2 2" xfId="10770"/>
    <cellStyle name="Обычный 19 3 4 2 4 3" xfId="10771"/>
    <cellStyle name="Обычный 19 3 4 2 5" xfId="10772"/>
    <cellStyle name="Обычный 19 3 4 2 5 2" xfId="10773"/>
    <cellStyle name="Обычный 19 3 4 2 5 2 2" xfId="10774"/>
    <cellStyle name="Обычный 19 3 4 2 5 3" xfId="10775"/>
    <cellStyle name="Обычный 19 3 4 2 6" xfId="10776"/>
    <cellStyle name="Обычный 19 3 4 2 6 2" xfId="10777"/>
    <cellStyle name="Обычный 19 3 4 2 7" xfId="10778"/>
    <cellStyle name="Обычный 19 3 4 2 7 2" xfId="10779"/>
    <cellStyle name="Обычный 19 3 4 2 8" xfId="10780"/>
    <cellStyle name="Обычный 19 3 4 3" xfId="10781"/>
    <cellStyle name="Обычный 19 3 4 3 2" xfId="10782"/>
    <cellStyle name="Обычный 19 3 4 3 2 2" xfId="10783"/>
    <cellStyle name="Обычный 19 3 4 3 2 2 2" xfId="10784"/>
    <cellStyle name="Обычный 19 3 4 3 2 2 2 2" xfId="10785"/>
    <cellStyle name="Обычный 19 3 4 3 2 2 3" xfId="10786"/>
    <cellStyle name="Обычный 19 3 4 3 2 3" xfId="10787"/>
    <cellStyle name="Обычный 19 3 4 3 2 3 2" xfId="10788"/>
    <cellStyle name="Обычный 19 3 4 3 2 3 2 2" xfId="10789"/>
    <cellStyle name="Обычный 19 3 4 3 2 3 3" xfId="10790"/>
    <cellStyle name="Обычный 19 3 4 3 2 4" xfId="10791"/>
    <cellStyle name="Обычный 19 3 4 3 2 4 2" xfId="10792"/>
    <cellStyle name="Обычный 19 3 4 3 2 5" xfId="10793"/>
    <cellStyle name="Обычный 19 3 4 3 3" xfId="10794"/>
    <cellStyle name="Обычный 19 3 4 3 3 2" xfId="10795"/>
    <cellStyle name="Обычный 19 3 4 3 3 2 2" xfId="10796"/>
    <cellStyle name="Обычный 19 3 4 3 3 2 2 2" xfId="10797"/>
    <cellStyle name="Обычный 19 3 4 3 3 2 3" xfId="10798"/>
    <cellStyle name="Обычный 19 3 4 3 3 3" xfId="10799"/>
    <cellStyle name="Обычный 19 3 4 3 3 3 2" xfId="10800"/>
    <cellStyle name="Обычный 19 3 4 3 3 3 2 2" xfId="10801"/>
    <cellStyle name="Обычный 19 3 4 3 3 3 3" xfId="10802"/>
    <cellStyle name="Обычный 19 3 4 3 3 4" xfId="10803"/>
    <cellStyle name="Обычный 19 3 4 3 3 4 2" xfId="10804"/>
    <cellStyle name="Обычный 19 3 4 3 3 5" xfId="10805"/>
    <cellStyle name="Обычный 19 3 4 3 4" xfId="10806"/>
    <cellStyle name="Обычный 19 3 4 3 4 2" xfId="10807"/>
    <cellStyle name="Обычный 19 3 4 3 4 2 2" xfId="10808"/>
    <cellStyle name="Обычный 19 3 4 3 4 3" xfId="10809"/>
    <cellStyle name="Обычный 19 3 4 3 5" xfId="10810"/>
    <cellStyle name="Обычный 19 3 4 3 5 2" xfId="10811"/>
    <cellStyle name="Обычный 19 3 4 3 5 2 2" xfId="10812"/>
    <cellStyle name="Обычный 19 3 4 3 5 3" xfId="10813"/>
    <cellStyle name="Обычный 19 3 4 3 6" xfId="10814"/>
    <cellStyle name="Обычный 19 3 4 3 6 2" xfId="10815"/>
    <cellStyle name="Обычный 19 3 4 3 7" xfId="10816"/>
    <cellStyle name="Обычный 19 3 4 3 7 2" xfId="10817"/>
    <cellStyle name="Обычный 19 3 4 3 8" xfId="10818"/>
    <cellStyle name="Обычный 19 3 4 4" xfId="10819"/>
    <cellStyle name="Обычный 19 3 4 4 2" xfId="10820"/>
    <cellStyle name="Обычный 19 3 4 4 2 2" xfId="10821"/>
    <cellStyle name="Обычный 19 3 4 4 2 2 2" xfId="10822"/>
    <cellStyle name="Обычный 19 3 4 4 2 2 2 2" xfId="10823"/>
    <cellStyle name="Обычный 19 3 4 4 2 2 3" xfId="10824"/>
    <cellStyle name="Обычный 19 3 4 4 2 3" xfId="10825"/>
    <cellStyle name="Обычный 19 3 4 4 2 3 2" xfId="10826"/>
    <cellStyle name="Обычный 19 3 4 4 2 3 2 2" xfId="10827"/>
    <cellStyle name="Обычный 19 3 4 4 2 3 3" xfId="10828"/>
    <cellStyle name="Обычный 19 3 4 4 2 4" xfId="10829"/>
    <cellStyle name="Обычный 19 3 4 4 2 4 2" xfId="10830"/>
    <cellStyle name="Обычный 19 3 4 4 2 5" xfId="10831"/>
    <cellStyle name="Обычный 19 3 4 4 3" xfId="10832"/>
    <cellStyle name="Обычный 19 3 4 4 3 2" xfId="10833"/>
    <cellStyle name="Обычный 19 3 4 4 3 2 2" xfId="10834"/>
    <cellStyle name="Обычный 19 3 4 4 3 2 2 2" xfId="10835"/>
    <cellStyle name="Обычный 19 3 4 4 3 2 3" xfId="10836"/>
    <cellStyle name="Обычный 19 3 4 4 3 3" xfId="10837"/>
    <cellStyle name="Обычный 19 3 4 4 3 3 2" xfId="10838"/>
    <cellStyle name="Обычный 19 3 4 4 3 3 2 2" xfId="10839"/>
    <cellStyle name="Обычный 19 3 4 4 3 3 3" xfId="10840"/>
    <cellStyle name="Обычный 19 3 4 4 3 4" xfId="10841"/>
    <cellStyle name="Обычный 19 3 4 4 3 4 2" xfId="10842"/>
    <cellStyle name="Обычный 19 3 4 4 3 5" xfId="10843"/>
    <cellStyle name="Обычный 19 3 4 4 4" xfId="10844"/>
    <cellStyle name="Обычный 19 3 4 4 4 2" xfId="10845"/>
    <cellStyle name="Обычный 19 3 4 4 4 2 2" xfId="10846"/>
    <cellStyle name="Обычный 19 3 4 4 4 3" xfId="10847"/>
    <cellStyle name="Обычный 19 3 4 4 5" xfId="10848"/>
    <cellStyle name="Обычный 19 3 4 4 5 2" xfId="10849"/>
    <cellStyle name="Обычный 19 3 4 4 5 2 2" xfId="10850"/>
    <cellStyle name="Обычный 19 3 4 4 5 3" xfId="10851"/>
    <cellStyle name="Обычный 19 3 4 4 6" xfId="10852"/>
    <cellStyle name="Обычный 19 3 4 4 6 2" xfId="10853"/>
    <cellStyle name="Обычный 19 3 4 4 7" xfId="10854"/>
    <cellStyle name="Обычный 19 3 4 4 7 2" xfId="10855"/>
    <cellStyle name="Обычный 19 3 4 4 8" xfId="10856"/>
    <cellStyle name="Обычный 19 3 4 5" xfId="10857"/>
    <cellStyle name="Обычный 19 3 4 5 2" xfId="10858"/>
    <cellStyle name="Обычный 19 3 4 5 2 2" xfId="10859"/>
    <cellStyle name="Обычный 19 3 4 5 2 2 2" xfId="10860"/>
    <cellStyle name="Обычный 19 3 4 5 2 3" xfId="10861"/>
    <cellStyle name="Обычный 19 3 4 5 3" xfId="10862"/>
    <cellStyle name="Обычный 19 3 4 5 3 2" xfId="10863"/>
    <cellStyle name="Обычный 19 3 4 5 3 2 2" xfId="10864"/>
    <cellStyle name="Обычный 19 3 4 5 3 3" xfId="10865"/>
    <cellStyle name="Обычный 19 3 4 5 4" xfId="10866"/>
    <cellStyle name="Обычный 19 3 4 5 4 2" xfId="10867"/>
    <cellStyle name="Обычный 19 3 4 5 5" xfId="10868"/>
    <cellStyle name="Обычный 19 3 4 6" xfId="10869"/>
    <cellStyle name="Обычный 19 3 4 6 2" xfId="10870"/>
    <cellStyle name="Обычный 19 3 4 6 2 2" xfId="10871"/>
    <cellStyle name="Обычный 19 3 4 6 2 2 2" xfId="10872"/>
    <cellStyle name="Обычный 19 3 4 6 2 3" xfId="10873"/>
    <cellStyle name="Обычный 19 3 4 6 3" xfId="10874"/>
    <cellStyle name="Обычный 19 3 4 6 3 2" xfId="10875"/>
    <cellStyle name="Обычный 19 3 4 6 3 2 2" xfId="10876"/>
    <cellStyle name="Обычный 19 3 4 6 3 3" xfId="10877"/>
    <cellStyle name="Обычный 19 3 4 6 4" xfId="10878"/>
    <cellStyle name="Обычный 19 3 4 6 4 2" xfId="10879"/>
    <cellStyle name="Обычный 19 3 4 6 5" xfId="10880"/>
    <cellStyle name="Обычный 19 3 4 7" xfId="10881"/>
    <cellStyle name="Обычный 19 3 4 7 2" xfId="10882"/>
    <cellStyle name="Обычный 19 3 4 7 2 2" xfId="10883"/>
    <cellStyle name="Обычный 19 3 4 7 3" xfId="10884"/>
    <cellStyle name="Обычный 19 3 4 8" xfId="10885"/>
    <cellStyle name="Обычный 19 3 4 8 2" xfId="10886"/>
    <cellStyle name="Обычный 19 3 4 8 2 2" xfId="10887"/>
    <cellStyle name="Обычный 19 3 4 8 3" xfId="10888"/>
    <cellStyle name="Обычный 19 3 4 9" xfId="10889"/>
    <cellStyle name="Обычный 19 3 4 9 2" xfId="10890"/>
    <cellStyle name="Обычный 19 3 5" xfId="10891"/>
    <cellStyle name="Обычный 19 3 5 2" xfId="10892"/>
    <cellStyle name="Обычный 19 3 5 2 2" xfId="10893"/>
    <cellStyle name="Обычный 19 3 5 2 2 2" xfId="10894"/>
    <cellStyle name="Обычный 19 3 5 2 2 2 2" xfId="10895"/>
    <cellStyle name="Обычный 19 3 5 2 2 3" xfId="10896"/>
    <cellStyle name="Обычный 19 3 5 2 3" xfId="10897"/>
    <cellStyle name="Обычный 19 3 5 2 3 2" xfId="10898"/>
    <cellStyle name="Обычный 19 3 5 2 3 2 2" xfId="10899"/>
    <cellStyle name="Обычный 19 3 5 2 3 3" xfId="10900"/>
    <cellStyle name="Обычный 19 3 5 2 4" xfId="10901"/>
    <cellStyle name="Обычный 19 3 5 2 4 2" xfId="10902"/>
    <cellStyle name="Обычный 19 3 5 2 5" xfId="10903"/>
    <cellStyle name="Обычный 19 3 5 2 5 2" xfId="10904"/>
    <cellStyle name="Обычный 19 3 5 2 6" xfId="10905"/>
    <cellStyle name="Обычный 19 3 5 3" xfId="10906"/>
    <cellStyle name="Обычный 19 3 5 3 2" xfId="10907"/>
    <cellStyle name="Обычный 19 3 5 3 2 2" xfId="10908"/>
    <cellStyle name="Обычный 19 3 5 3 2 2 2" xfId="10909"/>
    <cellStyle name="Обычный 19 3 5 3 2 3" xfId="10910"/>
    <cellStyle name="Обычный 19 3 5 3 3" xfId="10911"/>
    <cellStyle name="Обычный 19 3 5 3 3 2" xfId="10912"/>
    <cellStyle name="Обычный 19 3 5 3 3 2 2" xfId="10913"/>
    <cellStyle name="Обычный 19 3 5 3 3 3" xfId="10914"/>
    <cellStyle name="Обычный 19 3 5 3 4" xfId="10915"/>
    <cellStyle name="Обычный 19 3 5 3 4 2" xfId="10916"/>
    <cellStyle name="Обычный 19 3 5 3 5" xfId="10917"/>
    <cellStyle name="Обычный 19 3 5 4" xfId="10918"/>
    <cellStyle name="Обычный 19 3 5 4 2" xfId="10919"/>
    <cellStyle name="Обычный 19 3 5 4 2 2" xfId="10920"/>
    <cellStyle name="Обычный 19 3 5 4 3" xfId="10921"/>
    <cellStyle name="Обычный 19 3 5 5" xfId="10922"/>
    <cellStyle name="Обычный 19 3 5 5 2" xfId="10923"/>
    <cellStyle name="Обычный 19 3 5 5 2 2" xfId="10924"/>
    <cellStyle name="Обычный 19 3 5 5 3" xfId="10925"/>
    <cellStyle name="Обычный 19 3 5 6" xfId="10926"/>
    <cellStyle name="Обычный 19 3 5 6 2" xfId="10927"/>
    <cellStyle name="Обычный 19 3 5 7" xfId="10928"/>
    <cellStyle name="Обычный 19 3 5 7 2" xfId="10929"/>
    <cellStyle name="Обычный 19 3 5 8" xfId="10930"/>
    <cellStyle name="Обычный 19 3 6" xfId="10931"/>
    <cellStyle name="Обычный 19 3 6 2" xfId="10932"/>
    <cellStyle name="Обычный 19 3 6 2 2" xfId="10933"/>
    <cellStyle name="Обычный 19 3 6 2 2 2" xfId="10934"/>
    <cellStyle name="Обычный 19 3 6 2 2 3" xfId="10935"/>
    <cellStyle name="Обычный 19 3 6 2 3" xfId="10936"/>
    <cellStyle name="Обычный 19 3 6 2 4" xfId="10937"/>
    <cellStyle name="Обычный 19 3 6 3" xfId="10938"/>
    <cellStyle name="Обычный 19 3 6 3 2" xfId="10939"/>
    <cellStyle name="Обычный 19 3 6 3 2 2" xfId="10940"/>
    <cellStyle name="Обычный 19 3 6 3 3" xfId="10941"/>
    <cellStyle name="Обычный 19 3 6 4" xfId="10942"/>
    <cellStyle name="Обычный 19 3 6 4 2" xfId="10943"/>
    <cellStyle name="Обычный 19 3 6 5" xfId="10944"/>
    <cellStyle name="Обычный 19 3 6 5 2" xfId="10945"/>
    <cellStyle name="Обычный 19 3 6 6" xfId="10946"/>
    <cellStyle name="Обычный 19 3 7" xfId="10947"/>
    <cellStyle name="Обычный 19 3 7 2" xfId="10948"/>
    <cellStyle name="Обычный 19 3 7 2 2" xfId="10949"/>
    <cellStyle name="Обычный 19 3 7 2 2 2" xfId="10950"/>
    <cellStyle name="Обычный 19 3 7 2 3" xfId="10951"/>
    <cellStyle name="Обычный 19 3 7 3" xfId="10952"/>
    <cellStyle name="Обычный 19 3 7 3 2" xfId="10953"/>
    <cellStyle name="Обычный 19 3 7 3 2 2" xfId="10954"/>
    <cellStyle name="Обычный 19 3 7 3 3" xfId="10955"/>
    <cellStyle name="Обычный 19 3 7 4" xfId="10956"/>
    <cellStyle name="Обычный 19 3 7 4 2" xfId="10957"/>
    <cellStyle name="Обычный 19 3 7 5" xfId="10958"/>
    <cellStyle name="Обычный 19 3 7 5 2" xfId="10959"/>
    <cellStyle name="Обычный 19 3 7 6" xfId="10960"/>
    <cellStyle name="Обычный 19 3 8" xfId="10961"/>
    <cellStyle name="Обычный 19 3 8 2" xfId="10962"/>
    <cellStyle name="Обычный 19 3 8 2 2" xfId="10963"/>
    <cellStyle name="Обычный 19 3 8 2 2 2" xfId="10964"/>
    <cellStyle name="Обычный 19 3 8 2 3" xfId="10965"/>
    <cellStyle name="Обычный 19 3 8 3" xfId="10966"/>
    <cellStyle name="Обычный 19 3 8 3 2" xfId="10967"/>
    <cellStyle name="Обычный 19 3 8 4" xfId="10968"/>
    <cellStyle name="Обычный 19 3 9" xfId="10969"/>
    <cellStyle name="Обычный 19 3 9 2" xfId="10970"/>
    <cellStyle name="Обычный 19 3 9 2 2" xfId="10971"/>
    <cellStyle name="Обычный 19 3 9 2 2 2" xfId="10972"/>
    <cellStyle name="Обычный 19 3 9 2 3" xfId="10973"/>
    <cellStyle name="Обычный 19 3 9 3" xfId="10974"/>
    <cellStyle name="Обычный 19 3 9 3 2" xfId="10975"/>
    <cellStyle name="Обычный 19 3 9 4" xfId="10976"/>
    <cellStyle name="Обычный 19 4" xfId="10977"/>
    <cellStyle name="Обычный 19 4 2" xfId="10978"/>
    <cellStyle name="Обычный 19 4 2 2" xfId="10979"/>
    <cellStyle name="Обычный 19 4 2 2 2" xfId="10980"/>
    <cellStyle name="Обычный 19 4 2 2 2 2" xfId="10981"/>
    <cellStyle name="Обычный 19 4 2 2 2 2 2" xfId="10982"/>
    <cellStyle name="Обычный 19 4 2 2 2 3" xfId="10983"/>
    <cellStyle name="Обычный 19 4 2 2 3" xfId="10984"/>
    <cellStyle name="Обычный 19 4 2 2 3 2" xfId="10985"/>
    <cellStyle name="Обычный 19 4 2 2 3 2 2" xfId="10986"/>
    <cellStyle name="Обычный 19 4 2 2 3 3" xfId="10987"/>
    <cellStyle name="Обычный 19 4 2 2 4" xfId="10988"/>
    <cellStyle name="Обычный 19 4 2 2 4 2" xfId="10989"/>
    <cellStyle name="Обычный 19 4 2 2 5" xfId="10990"/>
    <cellStyle name="Обычный 19 4 2 2 5 2" xfId="10991"/>
    <cellStyle name="Обычный 19 4 2 2 6" xfId="10992"/>
    <cellStyle name="Обычный 19 4 2 3" xfId="10993"/>
    <cellStyle name="Обычный 19 4 2 3 2" xfId="10994"/>
    <cellStyle name="Обычный 19 4 2 3 2 2" xfId="10995"/>
    <cellStyle name="Обычный 19 4 2 3 2 2 2" xfId="10996"/>
    <cellStyle name="Обычный 19 4 2 3 2 3" xfId="10997"/>
    <cellStyle name="Обычный 19 4 2 3 3" xfId="10998"/>
    <cellStyle name="Обычный 19 4 2 3 3 2" xfId="10999"/>
    <cellStyle name="Обычный 19 4 2 3 3 2 2" xfId="11000"/>
    <cellStyle name="Обычный 19 4 2 3 3 3" xfId="11001"/>
    <cellStyle name="Обычный 19 4 2 3 4" xfId="11002"/>
    <cellStyle name="Обычный 19 4 2 3 4 2" xfId="11003"/>
    <cellStyle name="Обычный 19 4 2 3 5" xfId="11004"/>
    <cellStyle name="Обычный 19 4 2 4" xfId="11005"/>
    <cellStyle name="Обычный 19 4 2 4 2" xfId="11006"/>
    <cellStyle name="Обычный 19 4 2 4 2 2" xfId="11007"/>
    <cellStyle name="Обычный 19 4 2 4 3" xfId="11008"/>
    <cellStyle name="Обычный 19 4 2 5" xfId="11009"/>
    <cellStyle name="Обычный 19 4 2 5 2" xfId="11010"/>
    <cellStyle name="Обычный 19 4 2 5 2 2" xfId="11011"/>
    <cellStyle name="Обычный 19 4 2 5 3" xfId="11012"/>
    <cellStyle name="Обычный 19 4 2 6" xfId="11013"/>
    <cellStyle name="Обычный 19 4 2 6 2" xfId="11014"/>
    <cellStyle name="Обычный 19 4 2 7" xfId="11015"/>
    <cellStyle name="Обычный 19 4 2 7 2" xfId="11016"/>
    <cellStyle name="Обычный 19 4 2 8" xfId="11017"/>
    <cellStyle name="Обычный 19 4 3" xfId="11018"/>
    <cellStyle name="Обычный 19 4 3 2" xfId="11019"/>
    <cellStyle name="Обычный 19 4 3 2 2" xfId="11020"/>
    <cellStyle name="Обычный 19 4 3 2 2 2" xfId="11021"/>
    <cellStyle name="Обычный 19 4 3 2 3" xfId="11022"/>
    <cellStyle name="Обычный 19 4 3 3" xfId="11023"/>
    <cellStyle name="Обычный 19 4 3 3 2" xfId="11024"/>
    <cellStyle name="Обычный 19 4 3 3 2 2" xfId="11025"/>
    <cellStyle name="Обычный 19 4 3 3 3" xfId="11026"/>
    <cellStyle name="Обычный 19 4 3 4" xfId="11027"/>
    <cellStyle name="Обычный 19 4 3 4 2" xfId="11028"/>
    <cellStyle name="Обычный 19 4 3 5" xfId="11029"/>
    <cellStyle name="Обычный 19 4 3 5 2" xfId="11030"/>
    <cellStyle name="Обычный 19 4 3 6" xfId="11031"/>
    <cellStyle name="Обычный 19 4 4" xfId="11032"/>
    <cellStyle name="Обычный 19 4 4 2" xfId="11033"/>
    <cellStyle name="Обычный 19 4 4 2 2" xfId="11034"/>
    <cellStyle name="Обычный 19 4 4 2 2 2" xfId="11035"/>
    <cellStyle name="Обычный 19 4 4 2 3" xfId="11036"/>
    <cellStyle name="Обычный 19 4 4 3" xfId="11037"/>
    <cellStyle name="Обычный 19 4 4 3 2" xfId="11038"/>
    <cellStyle name="Обычный 19 4 4 3 2 2" xfId="11039"/>
    <cellStyle name="Обычный 19 4 4 3 3" xfId="11040"/>
    <cellStyle name="Обычный 19 4 4 4" xfId="11041"/>
    <cellStyle name="Обычный 19 4 4 4 2" xfId="11042"/>
    <cellStyle name="Обычный 19 4 4 5" xfId="11043"/>
    <cellStyle name="Обычный 19 4 4 5 2" xfId="11044"/>
    <cellStyle name="Обычный 19 4 4 6" xfId="11045"/>
    <cellStyle name="Обычный 19 4 5" xfId="11046"/>
    <cellStyle name="Обычный 19 4 5 2" xfId="11047"/>
    <cellStyle name="Обычный 19 4 5 2 2" xfId="11048"/>
    <cellStyle name="Обычный 19 4 5 3" xfId="11049"/>
    <cellStyle name="Обычный 19 4 6" xfId="11050"/>
    <cellStyle name="Обычный 19 4 6 2" xfId="11051"/>
    <cellStyle name="Обычный 19 4 6 2 2" xfId="11052"/>
    <cellStyle name="Обычный 19 4 6 3" xfId="11053"/>
    <cellStyle name="Обычный 19 4 7" xfId="11054"/>
    <cellStyle name="Обычный 19 4 7 2" xfId="11055"/>
    <cellStyle name="Обычный 19 4 8" xfId="11056"/>
    <cellStyle name="Обычный 19 4 8 2" xfId="11057"/>
    <cellStyle name="Обычный 19 4 9" xfId="11058"/>
    <cellStyle name="Обычный 19 5" xfId="11059"/>
    <cellStyle name="Обычный 19 5 2" xfId="11060"/>
    <cellStyle name="Обычный 19 5 2 2" xfId="11061"/>
    <cellStyle name="Обычный 19 5 2 2 2" xfId="11062"/>
    <cellStyle name="Обычный 19 5 2 2 2 2" xfId="11063"/>
    <cellStyle name="Обычный 19 5 2 2 3" xfId="11064"/>
    <cellStyle name="Обычный 19 5 2 2 3 2" xfId="11065"/>
    <cellStyle name="Обычный 19 5 2 2 4" xfId="11066"/>
    <cellStyle name="Обычный 19 5 2 3" xfId="11067"/>
    <cellStyle name="Обычный 19 5 2 3 2" xfId="11068"/>
    <cellStyle name="Обычный 19 5 2 3 2 2" xfId="11069"/>
    <cellStyle name="Обычный 19 5 2 3 3" xfId="11070"/>
    <cellStyle name="Обычный 19 5 2 4" xfId="11071"/>
    <cellStyle name="Обычный 19 5 2 4 2" xfId="11072"/>
    <cellStyle name="Обычный 19 5 2 5" xfId="11073"/>
    <cellStyle name="Обычный 19 5 2 5 2" xfId="11074"/>
    <cellStyle name="Обычный 19 5 2 6" xfId="11075"/>
    <cellStyle name="Обычный 19 5 3" xfId="11076"/>
    <cellStyle name="Обычный 19 5 3 2" xfId="11077"/>
    <cellStyle name="Обычный 19 5 3 2 2" xfId="11078"/>
    <cellStyle name="Обычный 19 5 3 2 2 2" xfId="11079"/>
    <cellStyle name="Обычный 19 5 3 2 3" xfId="11080"/>
    <cellStyle name="Обычный 19 5 3 3" xfId="11081"/>
    <cellStyle name="Обычный 19 5 3 3 2" xfId="11082"/>
    <cellStyle name="Обычный 19 5 3 3 2 2" xfId="11083"/>
    <cellStyle name="Обычный 19 5 3 3 3" xfId="11084"/>
    <cellStyle name="Обычный 19 5 3 4" xfId="11085"/>
    <cellStyle name="Обычный 19 5 3 4 2" xfId="11086"/>
    <cellStyle name="Обычный 19 5 3 5" xfId="11087"/>
    <cellStyle name="Обычный 19 5 3 5 2" xfId="11088"/>
    <cellStyle name="Обычный 19 5 3 6" xfId="11089"/>
    <cellStyle name="Обычный 19 5 4" xfId="11090"/>
    <cellStyle name="Обычный 19 5 4 2" xfId="11091"/>
    <cellStyle name="Обычный 19 5 4 2 2" xfId="11092"/>
    <cellStyle name="Обычный 19 5 4 3" xfId="11093"/>
    <cellStyle name="Обычный 19 5 4 3 2" xfId="11094"/>
    <cellStyle name="Обычный 19 5 4 4" xfId="11095"/>
    <cellStyle name="Обычный 19 5 5" xfId="11096"/>
    <cellStyle name="Обычный 19 5 5 2" xfId="11097"/>
    <cellStyle name="Обычный 19 5 5 2 2" xfId="11098"/>
    <cellStyle name="Обычный 19 5 5 3" xfId="11099"/>
    <cellStyle name="Обычный 19 5 6" xfId="11100"/>
    <cellStyle name="Обычный 19 5 6 2" xfId="11101"/>
    <cellStyle name="Обычный 19 5 7" xfId="11102"/>
    <cellStyle name="Обычный 19 5 7 2" xfId="11103"/>
    <cellStyle name="Обычный 19 5 8" xfId="11104"/>
    <cellStyle name="Обычный 19 6" xfId="11105"/>
    <cellStyle name="Обычный 19 6 2" xfId="11106"/>
    <cellStyle name="Обычный 19 6 2 2" xfId="11107"/>
    <cellStyle name="Обычный 19 6 2 2 2" xfId="11108"/>
    <cellStyle name="Обычный 19 6 2 2 2 2" xfId="11109"/>
    <cellStyle name="Обычный 19 6 2 2 3" xfId="11110"/>
    <cellStyle name="Обычный 19 6 2 3" xfId="11111"/>
    <cellStyle name="Обычный 19 6 2 3 2" xfId="11112"/>
    <cellStyle name="Обычный 19 6 2 3 2 2" xfId="11113"/>
    <cellStyle name="Обычный 19 6 2 3 3" xfId="11114"/>
    <cellStyle name="Обычный 19 6 2 4" xfId="11115"/>
    <cellStyle name="Обычный 19 6 2 4 2" xfId="11116"/>
    <cellStyle name="Обычный 19 6 2 5" xfId="11117"/>
    <cellStyle name="Обычный 19 6 2 5 2" xfId="11118"/>
    <cellStyle name="Обычный 19 6 2 6" xfId="11119"/>
    <cellStyle name="Обычный 19 6 3" xfId="11120"/>
    <cellStyle name="Обычный 19 6 3 2" xfId="11121"/>
    <cellStyle name="Обычный 19 6 3 2 2" xfId="11122"/>
    <cellStyle name="Обычный 19 6 3 2 2 2" xfId="11123"/>
    <cellStyle name="Обычный 19 6 3 2 3" xfId="11124"/>
    <cellStyle name="Обычный 19 6 3 3" xfId="11125"/>
    <cellStyle name="Обычный 19 6 3 3 2" xfId="11126"/>
    <cellStyle name="Обычный 19 6 3 3 2 2" xfId="11127"/>
    <cellStyle name="Обычный 19 6 3 3 3" xfId="11128"/>
    <cellStyle name="Обычный 19 6 3 4" xfId="11129"/>
    <cellStyle name="Обычный 19 6 3 4 2" xfId="11130"/>
    <cellStyle name="Обычный 19 6 3 5" xfId="11131"/>
    <cellStyle name="Обычный 19 6 4" xfId="11132"/>
    <cellStyle name="Обычный 19 6 4 2" xfId="11133"/>
    <cellStyle name="Обычный 19 6 4 2 2" xfId="11134"/>
    <cellStyle name="Обычный 19 6 4 3" xfId="11135"/>
    <cellStyle name="Обычный 19 6 5" xfId="11136"/>
    <cellStyle name="Обычный 19 6 5 2" xfId="11137"/>
    <cellStyle name="Обычный 19 6 5 2 2" xfId="11138"/>
    <cellStyle name="Обычный 19 6 5 3" xfId="11139"/>
    <cellStyle name="Обычный 19 6 6" xfId="11140"/>
    <cellStyle name="Обычный 19 6 6 2" xfId="11141"/>
    <cellStyle name="Обычный 19 6 7" xfId="11142"/>
    <cellStyle name="Обычный 19 6 7 2" xfId="11143"/>
    <cellStyle name="Обычный 19 6 8" xfId="11144"/>
    <cellStyle name="Обычный 19 7" xfId="11145"/>
    <cellStyle name="Обычный 19 7 2" xfId="11146"/>
    <cellStyle name="Обычный 19 7 2 2" xfId="11147"/>
    <cellStyle name="Обычный 19 7 2 2 2" xfId="11148"/>
    <cellStyle name="Обычный 19 7 2 3" xfId="11149"/>
    <cellStyle name="Обычный 19 7 3" xfId="11150"/>
    <cellStyle name="Обычный 19 7 3 2" xfId="11151"/>
    <cellStyle name="Обычный 19 7 3 2 2" xfId="11152"/>
    <cellStyle name="Обычный 19 7 3 3" xfId="11153"/>
    <cellStyle name="Обычный 19 7 4" xfId="11154"/>
    <cellStyle name="Обычный 19 7 4 2" xfId="11155"/>
    <cellStyle name="Обычный 19 7 5" xfId="11156"/>
    <cellStyle name="Обычный 19 7 5 2" xfId="11157"/>
    <cellStyle name="Обычный 19 7 6" xfId="11158"/>
    <cellStyle name="Обычный 19 8" xfId="11159"/>
    <cellStyle name="Обычный 19 8 2" xfId="11160"/>
    <cellStyle name="Обычный 19 8 2 2" xfId="11161"/>
    <cellStyle name="Обычный 19 8 2 2 2" xfId="11162"/>
    <cellStyle name="Обычный 19 8 2 3" xfId="11163"/>
    <cellStyle name="Обычный 19 8 3" xfId="11164"/>
    <cellStyle name="Обычный 19 8 3 2" xfId="11165"/>
    <cellStyle name="Обычный 19 8 3 2 2" xfId="11166"/>
    <cellStyle name="Обычный 19 8 3 3" xfId="11167"/>
    <cellStyle name="Обычный 19 8 4" xfId="11168"/>
    <cellStyle name="Обычный 19 8 4 2" xfId="11169"/>
    <cellStyle name="Обычный 19 8 5" xfId="11170"/>
    <cellStyle name="Обычный 19 8 5 2" xfId="11171"/>
    <cellStyle name="Обычный 19 8 6" xfId="11172"/>
    <cellStyle name="Обычный 19 9" xfId="11173"/>
    <cellStyle name="Обычный 19 9 2" xfId="11174"/>
    <cellStyle name="Обычный 19 9 2 2" xfId="11175"/>
    <cellStyle name="Обычный 19 9 3" xfId="11176"/>
    <cellStyle name="Обычный 190" xfId="11177"/>
    <cellStyle name="Обычный 191" xfId="11178"/>
    <cellStyle name="Обычный 192" xfId="11179"/>
    <cellStyle name="Обычный 193" xfId="11180"/>
    <cellStyle name="Обычный 194" xfId="11181"/>
    <cellStyle name="Обычный 195" xfId="11182"/>
    <cellStyle name="Обычный 196" xfId="11183"/>
    <cellStyle name="Обычный 197" xfId="11184"/>
    <cellStyle name="Обычный 198" xfId="11185"/>
    <cellStyle name="Обычный 199" xfId="11186"/>
    <cellStyle name="Обычный 2" xfId="17"/>
    <cellStyle name="Обычный 2 10" xfId="11187"/>
    <cellStyle name="Обычный 2 10 10" xfId="11188"/>
    <cellStyle name="Обычный 2 11" xfId="11189"/>
    <cellStyle name="Обычный 2 12" xfId="11190"/>
    <cellStyle name="Обычный 2 13" xfId="11191"/>
    <cellStyle name="Обычный 2 14" xfId="11192"/>
    <cellStyle name="Обычный 2 15" xfId="11193"/>
    <cellStyle name="Обычный 2 15 2" xfId="22"/>
    <cellStyle name="Обычный 2 15 2 2" xfId="11194"/>
    <cellStyle name="Обычный 2 15 2 2 2" xfId="11195"/>
    <cellStyle name="Обычный 2 15 2 3" xfId="11196"/>
    <cellStyle name="Обычный 2 15 2 3 2" xfId="11197"/>
    <cellStyle name="Обычный 2 15 2 4" xfId="11198"/>
    <cellStyle name="Обычный 2 15 3" xfId="11199"/>
    <cellStyle name="Обычный 2 15 3 2" xfId="11200"/>
    <cellStyle name="Обычный 2 15 3 2 2" xfId="11201"/>
    <cellStyle name="Обычный 2 15 3 2 2 2" xfId="11202"/>
    <cellStyle name="Обычный 2 15 3 2 3" xfId="11203"/>
    <cellStyle name="Обычный 2 15 3 3" xfId="11204"/>
    <cellStyle name="Обычный 2 15 3 3 2" xfId="11205"/>
    <cellStyle name="Обычный 2 15 3 3 2 2" xfId="11206"/>
    <cellStyle name="Обычный 2 15 3 3 3" xfId="11207"/>
    <cellStyle name="Обычный 2 15 3 4" xfId="11208"/>
    <cellStyle name="Обычный 2 15 3 4 2" xfId="11209"/>
    <cellStyle name="Обычный 2 15 3 5" xfId="11210"/>
    <cellStyle name="Обычный 2 15 3 5 2" xfId="11211"/>
    <cellStyle name="Обычный 2 15 3 6" xfId="11212"/>
    <cellStyle name="Обычный 2 15 4" xfId="11213"/>
    <cellStyle name="Обычный 2 15 4 2" xfId="11214"/>
    <cellStyle name="Обычный 2 15 4 2 2" xfId="11215"/>
    <cellStyle name="Обычный 2 15 4 3" xfId="11216"/>
    <cellStyle name="Обычный 2 15 5" xfId="11217"/>
    <cellStyle name="Обычный 2 15 5 2" xfId="11218"/>
    <cellStyle name="Обычный 2 15 6" xfId="11219"/>
    <cellStyle name="Обычный 2 15 6 2" xfId="11220"/>
    <cellStyle name="Обычный 2 15 6 2 2" xfId="11221"/>
    <cellStyle name="Обычный 2 15 7" xfId="11222"/>
    <cellStyle name="Обычный 2 15 7 2" xfId="11223"/>
    <cellStyle name="Обычный 2 15 7 2 2" xfId="11224"/>
    <cellStyle name="Обычный 2 15 7 3" xfId="11225"/>
    <cellStyle name="Обычный 2 15 8" xfId="11226"/>
    <cellStyle name="Обычный 2 15 8 2" xfId="11227"/>
    <cellStyle name="Обычный 2 15 9" xfId="11228"/>
    <cellStyle name="Обычный 2 15 9 2" xfId="11229"/>
    <cellStyle name="Обычный 2 16" xfId="11230"/>
    <cellStyle name="Обычный 2 16 2" xfId="11231"/>
    <cellStyle name="Обычный 2 16 2 2" xfId="11232"/>
    <cellStyle name="Обычный 2 16 2 2 2" xfId="11233"/>
    <cellStyle name="Обычный 2 16 2 2 2 2" xfId="11234"/>
    <cellStyle name="Обычный 2 16 2 2 3" xfId="11235"/>
    <cellStyle name="Обычный 2 16 2 3" xfId="11236"/>
    <cellStyle name="Обычный 2 16 2 3 2" xfId="11237"/>
    <cellStyle name="Обычный 2 16 2 3 2 2" xfId="11238"/>
    <cellStyle name="Обычный 2 16 2 3 3" xfId="11239"/>
    <cellStyle name="Обычный 2 16 2 4" xfId="11240"/>
    <cellStyle name="Обычный 2 16 2 4 2" xfId="11241"/>
    <cellStyle name="Обычный 2 16 2 5" xfId="11242"/>
    <cellStyle name="Обычный 2 16 2 5 2" xfId="11243"/>
    <cellStyle name="Обычный 2 16 2 6" xfId="11244"/>
    <cellStyle name="Обычный 2 16 3" xfId="11245"/>
    <cellStyle name="Обычный 2 16 3 2" xfId="11246"/>
    <cellStyle name="Обычный 2 16 3 2 2" xfId="11247"/>
    <cellStyle name="Обычный 2 16 3 2 2 2" xfId="11248"/>
    <cellStyle name="Обычный 2 16 3 2 3" xfId="11249"/>
    <cellStyle name="Обычный 2 16 3 3" xfId="11250"/>
    <cellStyle name="Обычный 2 16 3 3 2" xfId="11251"/>
    <cellStyle name="Обычный 2 16 3 3 2 2" xfId="11252"/>
    <cellStyle name="Обычный 2 16 3 3 3" xfId="11253"/>
    <cellStyle name="Обычный 2 16 3 4" xfId="11254"/>
    <cellStyle name="Обычный 2 16 3 4 2" xfId="11255"/>
    <cellStyle name="Обычный 2 16 3 5" xfId="11256"/>
    <cellStyle name="Обычный 2 16 3 6" xfId="11257"/>
    <cellStyle name="Обычный 2 16 4" xfId="11258"/>
    <cellStyle name="Обычный 2 16 4 2" xfId="11259"/>
    <cellStyle name="Обычный 2 16 4 2 2" xfId="11260"/>
    <cellStyle name="Обычный 2 16 4 3" xfId="11261"/>
    <cellStyle name="Обычный 2 16 5" xfId="11262"/>
    <cellStyle name="Обычный 2 16 5 2" xfId="11263"/>
    <cellStyle name="Обычный 2 16 5 2 2" xfId="11264"/>
    <cellStyle name="Обычный 2 16 5 3" xfId="11265"/>
    <cellStyle name="Обычный 2 16 6" xfId="11266"/>
    <cellStyle name="Обычный 2 16 6 2" xfId="11267"/>
    <cellStyle name="Обычный 2 16 7" xfId="11268"/>
    <cellStyle name="Обычный 2 16 7 2" xfId="11269"/>
    <cellStyle name="Обычный 2 17" xfId="11270"/>
    <cellStyle name="Обычный 2 17 3" xfId="16"/>
    <cellStyle name="Обычный 2 18" xfId="11271"/>
    <cellStyle name="Обычный 2 18 2" xfId="11272"/>
    <cellStyle name="Обычный 2 18 2 2" xfId="11273"/>
    <cellStyle name="Обычный 2 18 2 2 2" xfId="11274"/>
    <cellStyle name="Обычный 2 18 2 2 2 2" xfId="11275"/>
    <cellStyle name="Обычный 2 18 2 2 3" xfId="11276"/>
    <cellStyle name="Обычный 2 18 2 3" xfId="11277"/>
    <cellStyle name="Обычный 2 18 2 3 2" xfId="11278"/>
    <cellStyle name="Обычный 2 18 2 3 2 2" xfId="11279"/>
    <cellStyle name="Обычный 2 18 2 3 3" xfId="11280"/>
    <cellStyle name="Обычный 2 18 2 4" xfId="11281"/>
    <cellStyle name="Обычный 2 18 2 4 2" xfId="11282"/>
    <cellStyle name="Обычный 2 18 2 5" xfId="11283"/>
    <cellStyle name="Обычный 2 18 2 5 2" xfId="11284"/>
    <cellStyle name="Обычный 2 18 2 6" xfId="11285"/>
    <cellStyle name="Обычный 2 18 3" xfId="11286"/>
    <cellStyle name="Обычный 2 18 3 2" xfId="11287"/>
    <cellStyle name="Обычный 2 18 3 2 2" xfId="11288"/>
    <cellStyle name="Обычный 2 18 3 3" xfId="11289"/>
    <cellStyle name="Обычный 2 18 4" xfId="11290"/>
    <cellStyle name="Обычный 2 18 4 2" xfId="11291"/>
    <cellStyle name="Обычный 2 18 4 2 2" xfId="11292"/>
    <cellStyle name="Обычный 2 18 4 3" xfId="11293"/>
    <cellStyle name="Обычный 2 18 5" xfId="11294"/>
    <cellStyle name="Обычный 2 18 5 2" xfId="11295"/>
    <cellStyle name="Обычный 2 18 6" xfId="11296"/>
    <cellStyle name="Обычный 2 18 6 2" xfId="11297"/>
    <cellStyle name="Обычный 2 18 7" xfId="11298"/>
    <cellStyle name="Обычный 2 19" xfId="11299"/>
    <cellStyle name="Обычный 2 19 2" xfId="11300"/>
    <cellStyle name="Обычный 2 19 2 2" xfId="11301"/>
    <cellStyle name="Обычный 2 19 3" xfId="11302"/>
    <cellStyle name="Обычный 2 19 3 2" xfId="11303"/>
    <cellStyle name="Обычный 2 19 4" xfId="11304"/>
    <cellStyle name="Обычный 2 2" xfId="20"/>
    <cellStyle name="Обычный 2 2 10" xfId="11305"/>
    <cellStyle name="Обычный 2 2 11" xfId="11306"/>
    <cellStyle name="Обычный 2 2 12" xfId="11307"/>
    <cellStyle name="Обычный 2 2 12 2" xfId="11308"/>
    <cellStyle name="Обычный 2 2 12 2 2" xfId="11309"/>
    <cellStyle name="Обычный 2 2 12 2 2 2" xfId="11310"/>
    <cellStyle name="Обычный 2 2 12 2 2 2 2" xfId="11311"/>
    <cellStyle name="Обычный 2 2 12 2 2 3" xfId="11312"/>
    <cellStyle name="Обычный 2 2 12 2 3" xfId="11313"/>
    <cellStyle name="Обычный 2 2 12 2 3 2" xfId="11314"/>
    <cellStyle name="Обычный 2 2 12 2 3 2 2" xfId="11315"/>
    <cellStyle name="Обычный 2 2 12 2 3 3" xfId="11316"/>
    <cellStyle name="Обычный 2 2 12 2 4" xfId="11317"/>
    <cellStyle name="Обычный 2 2 12 2 4 2" xfId="11318"/>
    <cellStyle name="Обычный 2 2 12 2 5" xfId="11319"/>
    <cellStyle name="Обычный 2 2 12 2 5 2" xfId="11320"/>
    <cellStyle name="Обычный 2 2 12 2 6" xfId="11321"/>
    <cellStyle name="Обычный 2 2 12 3" xfId="11322"/>
    <cellStyle name="Обычный 2 2 12 3 2" xfId="11323"/>
    <cellStyle name="Обычный 2 2 12 3 2 2" xfId="11324"/>
    <cellStyle name="Обычный 2 2 12 3 2 2 2" xfId="11325"/>
    <cellStyle name="Обычный 2 2 12 3 2 3" xfId="11326"/>
    <cellStyle name="Обычный 2 2 12 3 3" xfId="11327"/>
    <cellStyle name="Обычный 2 2 12 3 3 2" xfId="11328"/>
    <cellStyle name="Обычный 2 2 12 3 3 2 2" xfId="11329"/>
    <cellStyle name="Обычный 2 2 12 3 3 3" xfId="11330"/>
    <cellStyle name="Обычный 2 2 12 3 4" xfId="11331"/>
    <cellStyle name="Обычный 2 2 12 3 4 2" xfId="11332"/>
    <cellStyle name="Обычный 2 2 12 3 5" xfId="11333"/>
    <cellStyle name="Обычный 2 2 12 3 5 2" xfId="11334"/>
    <cellStyle name="Обычный 2 2 12 3 6" xfId="11335"/>
    <cellStyle name="Обычный 2 2 12 4" xfId="11336"/>
    <cellStyle name="Обычный 2 2 12 4 2" xfId="11337"/>
    <cellStyle name="Обычный 2 2 12 4 2 2" xfId="11338"/>
    <cellStyle name="Обычный 2 2 12 4 3" xfId="11339"/>
    <cellStyle name="Обычный 2 2 12 4 3 2" xfId="11340"/>
    <cellStyle name="Обычный 2 2 12 4 4" xfId="11341"/>
    <cellStyle name="Обычный 2 2 12 5" xfId="11342"/>
    <cellStyle name="Обычный 2 2 12 5 2" xfId="11343"/>
    <cellStyle name="Обычный 2 2 12 5 2 2" xfId="11344"/>
    <cellStyle name="Обычный 2 2 12 5 3" xfId="11345"/>
    <cellStyle name="Обычный 2 2 12 6" xfId="11346"/>
    <cellStyle name="Обычный 2 2 12 6 2" xfId="11347"/>
    <cellStyle name="Обычный 2 2 12 7" xfId="11348"/>
    <cellStyle name="Обычный 2 2 12 7 2" xfId="11349"/>
    <cellStyle name="Обычный 2 2 12 8" xfId="11350"/>
    <cellStyle name="Обычный 2 2 13" xfId="11351"/>
    <cellStyle name="Обычный 2 2 13 2" xfId="11352"/>
    <cellStyle name="Обычный 2 2 14" xfId="11353"/>
    <cellStyle name="Обычный 2 2 14 2" xfId="11354"/>
    <cellStyle name="Обычный 2 2 15" xfId="11355"/>
    <cellStyle name="Обычный 2 2 16" xfId="11356"/>
    <cellStyle name="Обычный 2 2 17" xfId="11357"/>
    <cellStyle name="Обычный 2 2 18" xfId="11358"/>
    <cellStyle name="Обычный 2 2 19" xfId="11359"/>
    <cellStyle name="Обычный 2 2 2" xfId="11360"/>
    <cellStyle name="Обычный 2 2 2 10" xfId="11361"/>
    <cellStyle name="Обычный 2 2 2 10 2" xfId="11362"/>
    <cellStyle name="Обычный 2 2 2 10 2 2" xfId="11363"/>
    <cellStyle name="Обычный 2 2 2 10 2 2 2" xfId="11364"/>
    <cellStyle name="Обычный 2 2 2 10 2 2 2 2" xfId="11365"/>
    <cellStyle name="Обычный 2 2 2 10 2 2 3" xfId="11366"/>
    <cellStyle name="Обычный 2 2 2 10 2 3" xfId="11367"/>
    <cellStyle name="Обычный 2 2 2 10 2 3 2" xfId="11368"/>
    <cellStyle name="Обычный 2 2 2 10 2 3 2 2" xfId="11369"/>
    <cellStyle name="Обычный 2 2 2 10 2 3 3" xfId="11370"/>
    <cellStyle name="Обычный 2 2 2 10 2 4" xfId="11371"/>
    <cellStyle name="Обычный 2 2 2 10 2 4 2" xfId="11372"/>
    <cellStyle name="Обычный 2 2 2 10 2 5" xfId="11373"/>
    <cellStyle name="Обычный 2 2 2 10 2 5 2" xfId="11374"/>
    <cellStyle name="Обычный 2 2 2 10 2 6" xfId="11375"/>
    <cellStyle name="Обычный 2 2 2 10 3" xfId="11376"/>
    <cellStyle name="Обычный 2 2 2 10 3 2" xfId="11377"/>
    <cellStyle name="Обычный 2 2 2 10 3 2 2" xfId="11378"/>
    <cellStyle name="Обычный 2 2 2 10 3 2 2 2" xfId="11379"/>
    <cellStyle name="Обычный 2 2 2 10 3 2 3" xfId="11380"/>
    <cellStyle name="Обычный 2 2 2 10 3 3" xfId="11381"/>
    <cellStyle name="Обычный 2 2 2 10 3 3 2" xfId="11382"/>
    <cellStyle name="Обычный 2 2 2 10 3 3 2 2" xfId="11383"/>
    <cellStyle name="Обычный 2 2 2 10 3 3 3" xfId="11384"/>
    <cellStyle name="Обычный 2 2 2 10 3 4" xfId="11385"/>
    <cellStyle name="Обычный 2 2 2 10 3 4 2" xfId="11386"/>
    <cellStyle name="Обычный 2 2 2 10 3 5" xfId="11387"/>
    <cellStyle name="Обычный 2 2 2 10 3 5 2" xfId="11388"/>
    <cellStyle name="Обычный 2 2 2 10 3 6" xfId="11389"/>
    <cellStyle name="Обычный 2 2 2 10 4" xfId="11390"/>
    <cellStyle name="Обычный 2 2 2 10 4 2" xfId="11391"/>
    <cellStyle name="Обычный 2 2 2 10 4 2 2" xfId="11392"/>
    <cellStyle name="Обычный 2 2 2 10 4 3" xfId="11393"/>
    <cellStyle name="Обычный 2 2 2 10 4 3 2" xfId="11394"/>
    <cellStyle name="Обычный 2 2 2 10 4 4" xfId="11395"/>
    <cellStyle name="Обычный 2 2 2 10 5" xfId="11396"/>
    <cellStyle name="Обычный 2 2 2 10 5 2" xfId="11397"/>
    <cellStyle name="Обычный 2 2 2 10 5 2 2" xfId="11398"/>
    <cellStyle name="Обычный 2 2 2 10 5 3" xfId="11399"/>
    <cellStyle name="Обычный 2 2 2 10 6" xfId="11400"/>
    <cellStyle name="Обычный 2 2 2 10 6 2" xfId="11401"/>
    <cellStyle name="Обычный 2 2 2 10 7" xfId="11402"/>
    <cellStyle name="Обычный 2 2 2 10 7 2" xfId="11403"/>
    <cellStyle name="Обычный 2 2 2 10 8" xfId="11404"/>
    <cellStyle name="Обычный 2 2 2 11" xfId="11405"/>
    <cellStyle name="Обычный 2 2 2 12" xfId="11406"/>
    <cellStyle name="Обычный 2 2 2 12 2" xfId="11407"/>
    <cellStyle name="Обычный 2 2 2 13" xfId="11408"/>
    <cellStyle name="Обычный 2 2 2 13 2" xfId="11409"/>
    <cellStyle name="Обычный 2 2 2 14" xfId="11410"/>
    <cellStyle name="Обычный 2 2 2 2" xfId="11411"/>
    <cellStyle name="Обычный 2 2 2 3" xfId="11412"/>
    <cellStyle name="Обычный 2 2 2 3 2" xfId="11413"/>
    <cellStyle name="Обычный 2 2 2 4" xfId="11414"/>
    <cellStyle name="Обычный 2 2 2 4 2" xfId="11415"/>
    <cellStyle name="Обычный 2 2 2 5" xfId="11416"/>
    <cellStyle name="Обычный 2 2 2 6" xfId="11417"/>
    <cellStyle name="Обычный 2 2 2 7" xfId="11418"/>
    <cellStyle name="Обычный 2 2 2 8" xfId="11419"/>
    <cellStyle name="Обычный 2 2 2 9" xfId="11420"/>
    <cellStyle name="Обычный 2 2 20" xfId="11421"/>
    <cellStyle name="Обычный 2 2 21" xfId="11422"/>
    <cellStyle name="Обычный 2 2 22" xfId="11423"/>
    <cellStyle name="Обычный 2 2 23" xfId="11424"/>
    <cellStyle name="Обычный 2 2 24" xfId="11425"/>
    <cellStyle name="Обычный 2 2 25" xfId="11426"/>
    <cellStyle name="Обычный 2 2 26" xfId="11427"/>
    <cellStyle name="Обычный 2 2 27" xfId="11428"/>
    <cellStyle name="Обычный 2 2 28" xfId="11429"/>
    <cellStyle name="Обычный 2 2 29" xfId="11430"/>
    <cellStyle name="Обычный 2 2 3" xfId="11431"/>
    <cellStyle name="Обычный 2 2 3 2" xfId="11432"/>
    <cellStyle name="Обычный 2 2 3 2 2" xfId="11433"/>
    <cellStyle name="Обычный 2 2 3 2 2 2" xfId="11434"/>
    <cellStyle name="Обычный 2 2 3 2 2 2 10" xfId="11435"/>
    <cellStyle name="Обычный 2 2 3 2 2 2 2" xfId="11436"/>
    <cellStyle name="Обычный 2 2 3 2 2 2 2 2" xfId="11437"/>
    <cellStyle name="Обычный 2 2 3 2 2 2 2 2 2" xfId="11438"/>
    <cellStyle name="Обычный 2 2 3 2 2 2 2 2 3" xfId="11439"/>
    <cellStyle name="Обычный 2 2 3 2 2 2 2 2 4" xfId="11440"/>
    <cellStyle name="Обычный 2 2 3 2 2 2 2 3" xfId="11441"/>
    <cellStyle name="Обычный 2 2 3 2 2 2 2 3 2" xfId="11442"/>
    <cellStyle name="Обычный 2 2 3 2 2 2 2 3 3" xfId="11443"/>
    <cellStyle name="Обычный 2 2 3 2 2 2 2 3 4" xfId="11444"/>
    <cellStyle name="Обычный 2 2 3 2 2 2 2 4" xfId="11445"/>
    <cellStyle name="Обычный 2 2 3 2 2 2 2 5" xfId="11446"/>
    <cellStyle name="Обычный 2 2 3 2 2 2 2 6" xfId="11447"/>
    <cellStyle name="Обычный 2 2 3 2 2 2 3" xfId="11448"/>
    <cellStyle name="Обычный 2 2 3 2 2 2 3 2" xfId="11449"/>
    <cellStyle name="Обычный 2 2 3 2 2 2 3 3" xfId="11450"/>
    <cellStyle name="Обычный 2 2 3 2 2 2 3 4" xfId="11451"/>
    <cellStyle name="Обычный 2 2 3 2 2 2 4" xfId="11452"/>
    <cellStyle name="Обычный 2 2 3 2 2 2 4 2" xfId="11453"/>
    <cellStyle name="Обычный 2 2 3 2 2 2 4 3" xfId="11454"/>
    <cellStyle name="Обычный 2 2 3 2 2 2 4 4" xfId="11455"/>
    <cellStyle name="Обычный 2 2 3 2 2 2 5" xfId="11456"/>
    <cellStyle name="Обычный 2 2 3 2 2 2 5 2" xfId="11457"/>
    <cellStyle name="Обычный 2 2 3 2 2 2 5 3" xfId="11458"/>
    <cellStyle name="Обычный 2 2 3 2 2 2 5 4" xfId="11459"/>
    <cellStyle name="Обычный 2 2 3 2 2 2 6" xfId="11460"/>
    <cellStyle name="Обычный 2 2 3 2 2 2 6 2" xfId="11461"/>
    <cellStyle name="Обычный 2 2 3 2 2 2 6 3" xfId="11462"/>
    <cellStyle name="Обычный 2 2 3 2 2 2 6 4" xfId="11463"/>
    <cellStyle name="Обычный 2 2 3 2 2 2 7" xfId="11464"/>
    <cellStyle name="Обычный 2 2 3 2 2 2 7 2" xfId="11465"/>
    <cellStyle name="Обычный 2 2 3 2 2 2 7 3" xfId="11466"/>
    <cellStyle name="Обычный 2 2 3 2 2 2 7 4" xfId="11467"/>
    <cellStyle name="Обычный 2 2 3 2 2 2 8" xfId="11468"/>
    <cellStyle name="Обычный 2 2 3 2 2 2 9" xfId="11469"/>
    <cellStyle name="Обычный 2 2 3 2 2 3" xfId="11470"/>
    <cellStyle name="Обычный 2 2 3 2 2 3 2" xfId="11471"/>
    <cellStyle name="Обычный 2 2 3 2 2 3 3" xfId="11472"/>
    <cellStyle name="Обычный 2 2 3 2 2 3 4" xfId="11473"/>
    <cellStyle name="Обычный 2 2 3 2 2 4" xfId="11474"/>
    <cellStyle name="Обычный 2 2 3 2 2 5" xfId="11475"/>
    <cellStyle name="Обычный 2 2 3 2 2 6" xfId="11476"/>
    <cellStyle name="Обычный 2 2 3 2 3" xfId="11477"/>
    <cellStyle name="Обычный 2 2 3 2 3 2" xfId="11478"/>
    <cellStyle name="Обычный 2 2 3 2 3 3" xfId="11479"/>
    <cellStyle name="Обычный 2 2 3 2 3 4" xfId="11480"/>
    <cellStyle name="Обычный 2 2 3 2 4" xfId="11481"/>
    <cellStyle name="Обычный 2 2 3 2 5" xfId="11482"/>
    <cellStyle name="Обычный 2 2 3 2 6" xfId="11483"/>
    <cellStyle name="Обычный 2 2 3 3" xfId="11484"/>
    <cellStyle name="Обычный 2 2 3 3 2" xfId="11485"/>
    <cellStyle name="Обычный 2 2 3 3 2 2" xfId="11486"/>
    <cellStyle name="Обычный 2 2 3 3 2 2 2" xfId="11487"/>
    <cellStyle name="Обычный 2 2 3 3 2 2 3" xfId="11488"/>
    <cellStyle name="Обычный 2 2 3 3 2 2 4" xfId="11489"/>
    <cellStyle name="Обычный 2 2 3 3 2 3" xfId="11490"/>
    <cellStyle name="Обычный 2 2 3 3 2 4" xfId="11491"/>
    <cellStyle name="Обычный 2 2 3 3 2 5" xfId="11492"/>
    <cellStyle name="Обычный 2 2 3 3 3" xfId="11493"/>
    <cellStyle name="Обычный 2 2 3 3 3 2" xfId="11494"/>
    <cellStyle name="Обычный 2 2 3 3 3 3" xfId="11495"/>
    <cellStyle name="Обычный 2 2 3 3 3 4" xfId="11496"/>
    <cellStyle name="Обычный 2 2 3 3 4" xfId="11497"/>
    <cellStyle name="Обычный 2 2 3 3 4 2" xfId="11498"/>
    <cellStyle name="Обычный 2 2 3 3 4 3" xfId="11499"/>
    <cellStyle name="Обычный 2 2 3 3 4 4" xfId="11500"/>
    <cellStyle name="Обычный 2 2 3 3 5" xfId="11501"/>
    <cellStyle name="Обычный 2 2 3 3 5 2" xfId="11502"/>
    <cellStyle name="Обычный 2 2 3 3 5 3" xfId="11503"/>
    <cellStyle name="Обычный 2 2 3 3 5 4" xfId="11504"/>
    <cellStyle name="Обычный 2 2 3 3 6" xfId="11505"/>
    <cellStyle name="Обычный 2 2 3 3 7" xfId="11506"/>
    <cellStyle name="Обычный 2 2 3 3 8" xfId="11507"/>
    <cellStyle name="Обычный 2 2 3 4" xfId="11508"/>
    <cellStyle name="Обычный 2 2 3 4 2" xfId="11509"/>
    <cellStyle name="Обычный 2 2 3 4 3" xfId="11510"/>
    <cellStyle name="Обычный 2 2 3 4 4" xfId="11511"/>
    <cellStyle name="Обычный 2 2 3 5" xfId="11512"/>
    <cellStyle name="Обычный 2 2 3 6" xfId="11513"/>
    <cellStyle name="Обычный 2 2 3 7" xfId="11514"/>
    <cellStyle name="Обычный 2 2 30" xfId="11515"/>
    <cellStyle name="Обычный 2 2 31" xfId="11516"/>
    <cellStyle name="Обычный 2 2 32" xfId="11517"/>
    <cellStyle name="Обычный 2 2 33" xfId="11518"/>
    <cellStyle name="Обычный 2 2 34" xfId="11519"/>
    <cellStyle name="Обычный 2 2 35" xfId="11520"/>
    <cellStyle name="Обычный 2 2 36" xfId="11521"/>
    <cellStyle name="Обычный 2 2 37" xfId="11522"/>
    <cellStyle name="Обычный 2 2 38" xfId="11523"/>
    <cellStyle name="Обычный 2 2 39" xfId="11524"/>
    <cellStyle name="Обычный 2 2 4" xfId="11525"/>
    <cellStyle name="Обычный 2 2 4 2" xfId="11526"/>
    <cellStyle name="Обычный 2 2 4 2 2" xfId="11527"/>
    <cellStyle name="Обычный 2 2 4 2 2 2" xfId="11528"/>
    <cellStyle name="Обычный 2 2 4 2 2 2 2" xfId="11529"/>
    <cellStyle name="Обычный 2 2 4 2 2 2 2 2" xfId="11530"/>
    <cellStyle name="Обычный 2 2 4 2 2 2 3" xfId="11531"/>
    <cellStyle name="Обычный 2 2 4 2 2 3" xfId="11532"/>
    <cellStyle name="Обычный 2 2 4 2 2 3 2" xfId="11533"/>
    <cellStyle name="Обычный 2 2 4 2 2 3 2 2" xfId="11534"/>
    <cellStyle name="Обычный 2 2 4 2 2 3 3" xfId="11535"/>
    <cellStyle name="Обычный 2 2 4 2 2 4" xfId="11536"/>
    <cellStyle name="Обычный 2 2 4 2 2 4 2" xfId="11537"/>
    <cellStyle name="Обычный 2 2 4 2 2 5" xfId="11538"/>
    <cellStyle name="Обычный 2 2 4 2 2 5 2" xfId="11539"/>
    <cellStyle name="Обычный 2 2 4 2 2 6" xfId="11540"/>
    <cellStyle name="Обычный 2 2 4 2 3" xfId="11541"/>
    <cellStyle name="Обычный 2 2 4 2 3 2" xfId="11542"/>
    <cellStyle name="Обычный 2 2 4 2 3 2 2" xfId="11543"/>
    <cellStyle name="Обычный 2 2 4 2 3 2 2 2" xfId="11544"/>
    <cellStyle name="Обычный 2 2 4 2 3 2 3" xfId="11545"/>
    <cellStyle name="Обычный 2 2 4 2 3 3" xfId="11546"/>
    <cellStyle name="Обычный 2 2 4 2 3 3 2" xfId="11547"/>
    <cellStyle name="Обычный 2 2 4 2 3 3 2 2" xfId="11548"/>
    <cellStyle name="Обычный 2 2 4 2 3 3 3" xfId="11549"/>
    <cellStyle name="Обычный 2 2 4 2 3 4" xfId="11550"/>
    <cellStyle name="Обычный 2 2 4 2 3 4 2" xfId="11551"/>
    <cellStyle name="Обычный 2 2 4 2 3 5" xfId="11552"/>
    <cellStyle name="Обычный 2 2 4 2 3 5 2" xfId="11553"/>
    <cellStyle name="Обычный 2 2 4 2 3 6" xfId="11554"/>
    <cellStyle name="Обычный 2 2 4 2 4" xfId="11555"/>
    <cellStyle name="Обычный 2 2 4 2 4 2" xfId="11556"/>
    <cellStyle name="Обычный 2 2 4 2 4 2 2" xfId="11557"/>
    <cellStyle name="Обычный 2 2 4 2 4 3" xfId="11558"/>
    <cellStyle name="Обычный 2 2 4 2 4 3 2" xfId="11559"/>
    <cellStyle name="Обычный 2 2 4 2 4 4" xfId="11560"/>
    <cellStyle name="Обычный 2 2 4 2 5" xfId="11561"/>
    <cellStyle name="Обычный 2 2 4 2 5 2" xfId="11562"/>
    <cellStyle name="Обычный 2 2 4 2 5 2 2" xfId="11563"/>
    <cellStyle name="Обычный 2 2 4 2 5 3" xfId="11564"/>
    <cellStyle name="Обычный 2 2 4 2 6" xfId="11565"/>
    <cellStyle name="Обычный 2 2 4 2 6 2" xfId="11566"/>
    <cellStyle name="Обычный 2 2 4 2 7" xfId="11567"/>
    <cellStyle name="Обычный 2 2 4 2 8" xfId="11568"/>
    <cellStyle name="Обычный 2 2 4 3" xfId="11569"/>
    <cellStyle name="Обычный 2 2 4 3 2" xfId="11570"/>
    <cellStyle name="Обычный 2 2 4 3 2 2" xfId="11571"/>
    <cellStyle name="Обычный 2 2 4 3 3" xfId="11572"/>
    <cellStyle name="Обычный 2 2 4 3 3 2" xfId="11573"/>
    <cellStyle name="Обычный 2 2 4 3 4" xfId="11574"/>
    <cellStyle name="Обычный 2 2 4 4" xfId="11575"/>
    <cellStyle name="Обычный 2 2 4 4 2" xfId="11576"/>
    <cellStyle name="Обычный 2 2 4 5" xfId="11577"/>
    <cellStyle name="Обычный 2 2 4 5 2" xfId="11578"/>
    <cellStyle name="Обычный 2 2 40" xfId="11579"/>
    <cellStyle name="Обычный 2 2 41" xfId="11580"/>
    <cellStyle name="Обычный 2 2 42" xfId="11581"/>
    <cellStyle name="Обычный 2 2 43" xfId="11582"/>
    <cellStyle name="Обычный 2 2 44" xfId="11583"/>
    <cellStyle name="Обычный 2 2 45" xfId="11584"/>
    <cellStyle name="Обычный 2 2 46" xfId="11585"/>
    <cellStyle name="Обычный 2 2 47" xfId="11586"/>
    <cellStyle name="Обычный 2 2 48" xfId="11587"/>
    <cellStyle name="Обычный 2 2 49" xfId="11588"/>
    <cellStyle name="Обычный 2 2 5" xfId="11589"/>
    <cellStyle name="Обычный 2 2 5 2" xfId="11590"/>
    <cellStyle name="Обычный 2 2 5_Лист3" xfId="11591"/>
    <cellStyle name="Обычный 2 2 50" xfId="11592"/>
    <cellStyle name="Обычный 2 2 51" xfId="11593"/>
    <cellStyle name="Обычный 2 2 52" xfId="11594"/>
    <cellStyle name="Обычный 2 2 53" xfId="11595"/>
    <cellStyle name="Обычный 2 2 54" xfId="11596"/>
    <cellStyle name="Обычный 2 2 55" xfId="11597"/>
    <cellStyle name="Обычный 2 2 56" xfId="11598"/>
    <cellStyle name="Обычный 2 2 57" xfId="11599"/>
    <cellStyle name="Обычный 2 2 58" xfId="11600"/>
    <cellStyle name="Обычный 2 2 59" xfId="11601"/>
    <cellStyle name="Обычный 2 2 6" xfId="11602"/>
    <cellStyle name="Обычный 2 2 6 2" xfId="11603"/>
    <cellStyle name="Обычный 2 2 60" xfId="11604"/>
    <cellStyle name="Обычный 2 2 61" xfId="11605"/>
    <cellStyle name="Обычный 2 2 62" xfId="11606"/>
    <cellStyle name="Обычный 2 2 63" xfId="11607"/>
    <cellStyle name="Обычный 2 2 64" xfId="11608"/>
    <cellStyle name="Обычный 2 2 65" xfId="11609"/>
    <cellStyle name="Обычный 2 2 66" xfId="11610"/>
    <cellStyle name="Обычный 2 2 67" xfId="11611"/>
    <cellStyle name="Обычный 2 2 68" xfId="11612"/>
    <cellStyle name="Обычный 2 2 69" xfId="11613"/>
    <cellStyle name="Обычный 2 2 7" xfId="11614"/>
    <cellStyle name="Обычный 2 2 70" xfId="11615"/>
    <cellStyle name="Обычный 2 2 71" xfId="11616"/>
    <cellStyle name="Обычный 2 2 72" xfId="11617"/>
    <cellStyle name="Обычный 2 2 73" xfId="11618"/>
    <cellStyle name="Обычный 2 2 74" xfId="11619"/>
    <cellStyle name="Обычный 2 2 75" xfId="11620"/>
    <cellStyle name="Обычный 2 2 76" xfId="11621"/>
    <cellStyle name="Обычный 2 2 77" xfId="11622"/>
    <cellStyle name="Обычный 2 2 78" xfId="11623"/>
    <cellStyle name="Обычный 2 2 79" xfId="11624"/>
    <cellStyle name="Обычный 2 2 8" xfId="11625"/>
    <cellStyle name="Обычный 2 2 8 10" xfId="11626"/>
    <cellStyle name="Обычный 2 2 8 11" xfId="11627"/>
    <cellStyle name="Обычный 2 2 8 12" xfId="11628"/>
    <cellStyle name="Обычный 2 2 8 13" xfId="11629"/>
    <cellStyle name="Обычный 2 2 8 14" xfId="11630"/>
    <cellStyle name="Обычный 2 2 8 15" xfId="11631"/>
    <cellStyle name="Обычный 2 2 8 16" xfId="11632"/>
    <cellStyle name="Обычный 2 2 8 17" xfId="11633"/>
    <cellStyle name="Обычный 2 2 8 18" xfId="11634"/>
    <cellStyle name="Обычный 2 2 8 19" xfId="11635"/>
    <cellStyle name="Обычный 2 2 8 2" xfId="11636"/>
    <cellStyle name="Обычный 2 2 8 20" xfId="11637"/>
    <cellStyle name="Обычный 2 2 8 21" xfId="11638"/>
    <cellStyle name="Обычный 2 2 8 22" xfId="11639"/>
    <cellStyle name="Обычный 2 2 8 23" xfId="11640"/>
    <cellStyle name="Обычный 2 2 8 24" xfId="11641"/>
    <cellStyle name="Обычный 2 2 8 25" xfId="11642"/>
    <cellStyle name="Обычный 2 2 8 26" xfId="11643"/>
    <cellStyle name="Обычный 2 2 8 27" xfId="11644"/>
    <cellStyle name="Обычный 2 2 8 28" xfId="11645"/>
    <cellStyle name="Обычный 2 2 8 29" xfId="11646"/>
    <cellStyle name="Обычный 2 2 8 3" xfId="11647"/>
    <cellStyle name="Обычный 2 2 8 30" xfId="11648"/>
    <cellStyle name="Обычный 2 2 8 31" xfId="11649"/>
    <cellStyle name="Обычный 2 2 8 32" xfId="11650"/>
    <cellStyle name="Обычный 2 2 8 33" xfId="11651"/>
    <cellStyle name="Обычный 2 2 8 34" xfId="11652"/>
    <cellStyle name="Обычный 2 2 8 35" xfId="11653"/>
    <cellStyle name="Обычный 2 2 8 36" xfId="11654"/>
    <cellStyle name="Обычный 2 2 8 37" xfId="11655"/>
    <cellStyle name="Обычный 2 2 8 38" xfId="11656"/>
    <cellStyle name="Обычный 2 2 8 39" xfId="11657"/>
    <cellStyle name="Обычный 2 2 8 4" xfId="11658"/>
    <cellStyle name="Обычный 2 2 8 40" xfId="11659"/>
    <cellStyle name="Обычный 2 2 8 41" xfId="11660"/>
    <cellStyle name="Обычный 2 2 8 42" xfId="11661"/>
    <cellStyle name="Обычный 2 2 8 43" xfId="11662"/>
    <cellStyle name="Обычный 2 2 8 44" xfId="11663"/>
    <cellStyle name="Обычный 2 2 8 45" xfId="11664"/>
    <cellStyle name="Обычный 2 2 8 46" xfId="11665"/>
    <cellStyle name="Обычный 2 2 8 47" xfId="11666"/>
    <cellStyle name="Обычный 2 2 8 48" xfId="11667"/>
    <cellStyle name="Обычный 2 2 8 49" xfId="11668"/>
    <cellStyle name="Обычный 2 2 8 5" xfId="11669"/>
    <cellStyle name="Обычный 2 2 8 50" xfId="11670"/>
    <cellStyle name="Обычный 2 2 8 51" xfId="11671"/>
    <cellStyle name="Обычный 2 2 8 52" xfId="11672"/>
    <cellStyle name="Обычный 2 2 8 53" xfId="11673"/>
    <cellStyle name="Обычный 2 2 8 54" xfId="11674"/>
    <cellStyle name="Обычный 2 2 8 55" xfId="11675"/>
    <cellStyle name="Обычный 2 2 8 56" xfId="11676"/>
    <cellStyle name="Обычный 2 2 8 57" xfId="11677"/>
    <cellStyle name="Обычный 2 2 8 58" xfId="11678"/>
    <cellStyle name="Обычный 2 2 8 59" xfId="11679"/>
    <cellStyle name="Обычный 2 2 8 6" xfId="11680"/>
    <cellStyle name="Обычный 2 2 8 60" xfId="11681"/>
    <cellStyle name="Обычный 2 2 8 61" xfId="11682"/>
    <cellStyle name="Обычный 2 2 8 62" xfId="11683"/>
    <cellStyle name="Обычный 2 2 8 63" xfId="11684"/>
    <cellStyle name="Обычный 2 2 8 64" xfId="11685"/>
    <cellStyle name="Обычный 2 2 8 65" xfId="11686"/>
    <cellStyle name="Обычный 2 2 8 66" xfId="11687"/>
    <cellStyle name="Обычный 2 2 8 67" xfId="11688"/>
    <cellStyle name="Обычный 2 2 8 68" xfId="11689"/>
    <cellStyle name="Обычный 2 2 8 69" xfId="11690"/>
    <cellStyle name="Обычный 2 2 8 7" xfId="11691"/>
    <cellStyle name="Обычный 2 2 8 70" xfId="11692"/>
    <cellStyle name="Обычный 2 2 8 71" xfId="11693"/>
    <cellStyle name="Обычный 2 2 8 72" xfId="11694"/>
    <cellStyle name="Обычный 2 2 8 73" xfId="11695"/>
    <cellStyle name="Обычный 2 2 8 74" xfId="11696"/>
    <cellStyle name="Обычный 2 2 8 75" xfId="11697"/>
    <cellStyle name="Обычный 2 2 8 76" xfId="11698"/>
    <cellStyle name="Обычный 2 2 8 77" xfId="11699"/>
    <cellStyle name="Обычный 2 2 8 78" xfId="11700"/>
    <cellStyle name="Обычный 2 2 8 8" xfId="11701"/>
    <cellStyle name="Обычный 2 2 8 9" xfId="11702"/>
    <cellStyle name="Обычный 2 2 80" xfId="11703"/>
    <cellStyle name="Обычный 2 2 81" xfId="11704"/>
    <cellStyle name="Обычный 2 2 82" xfId="11705"/>
    <cellStyle name="Обычный 2 2 83" xfId="11706"/>
    <cellStyle name="Обычный 2 2 84" xfId="11707"/>
    <cellStyle name="Обычный 2 2 85" xfId="11708"/>
    <cellStyle name="Обычный 2 2 86" xfId="11709"/>
    <cellStyle name="Обычный 2 2 9" xfId="11710"/>
    <cellStyle name="Обычный 2 2_Лист3" xfId="11711"/>
    <cellStyle name="Обычный 2 20" xfId="11712"/>
    <cellStyle name="Обычный 2 21" xfId="11713"/>
    <cellStyle name="Обычный 2 21 2" xfId="11714"/>
    <cellStyle name="Обычный 2 22" xfId="11715"/>
    <cellStyle name="Обычный 2 22 2" xfId="11716"/>
    <cellStyle name="Обычный 2 23" xfId="11717"/>
    <cellStyle name="Обычный 2 24" xfId="11718"/>
    <cellStyle name="Обычный 2 3" xfId="11719"/>
    <cellStyle name="Обычный 2 3 10" xfId="11720"/>
    <cellStyle name="Обычный 2 3 10 2" xfId="11721"/>
    <cellStyle name="Обычный 2 3 11" xfId="11722"/>
    <cellStyle name="Обычный 2 3 11 2" xfId="11723"/>
    <cellStyle name="Обычный 2 3 2" xfId="11724"/>
    <cellStyle name="Обычный 2 3 2 10" xfId="11725"/>
    <cellStyle name="Обычный 2 3 2 10 2" xfId="11726"/>
    <cellStyle name="Обычный 2 3 2 11" xfId="11727"/>
    <cellStyle name="Обычный 2 3 2 11 2" xfId="11728"/>
    <cellStyle name="Обычный 2 3 2 2" xfId="11729"/>
    <cellStyle name="Обычный 2 3 2 2 10" xfId="11730"/>
    <cellStyle name="Обычный 2 3 2 2 10 2" xfId="11731"/>
    <cellStyle name="Обычный 2 3 2 2 11" xfId="11732"/>
    <cellStyle name="Обычный 2 3 2 2 11 2" xfId="11733"/>
    <cellStyle name="Обычный 2 3 2 2 12" xfId="11734"/>
    <cellStyle name="Обычный 2 3 2 2 2" xfId="11735"/>
    <cellStyle name="Обычный 2 3 2 2 2 10" xfId="11736"/>
    <cellStyle name="Обычный 2 3 2 2 2 10 2" xfId="11737"/>
    <cellStyle name="Обычный 2 3 2 2 2 11" xfId="11738"/>
    <cellStyle name="Обычный 2 3 2 2 2 2" xfId="11739"/>
    <cellStyle name="Обычный 2 3 2 2 2 2 2" xfId="11740"/>
    <cellStyle name="Обычный 2 3 2 2 2 2 2 2" xfId="11741"/>
    <cellStyle name="Обычный 2 3 2 2 2 2 2 2 2" xfId="11742"/>
    <cellStyle name="Обычный 2 3 2 2 2 2 2 2 2 2" xfId="11743"/>
    <cellStyle name="Обычный 2 3 2 2 2 2 2 2 2 2 2" xfId="11744"/>
    <cellStyle name="Обычный 2 3 2 2 2 2 2 2 2 3" xfId="11745"/>
    <cellStyle name="Обычный 2 3 2 2 2 2 2 2 3" xfId="11746"/>
    <cellStyle name="Обычный 2 3 2 2 2 2 2 2 3 2" xfId="11747"/>
    <cellStyle name="Обычный 2 3 2 2 2 2 2 2 3 2 2" xfId="11748"/>
    <cellStyle name="Обычный 2 3 2 2 2 2 2 2 3 3" xfId="11749"/>
    <cellStyle name="Обычный 2 3 2 2 2 2 2 2 4" xfId="11750"/>
    <cellStyle name="Обычный 2 3 2 2 2 2 2 2 4 2" xfId="11751"/>
    <cellStyle name="Обычный 2 3 2 2 2 2 2 2 5" xfId="11752"/>
    <cellStyle name="Обычный 2 3 2 2 2 2 2 2 5 2" xfId="11753"/>
    <cellStyle name="Обычный 2 3 2 2 2 2 2 2 6" xfId="11754"/>
    <cellStyle name="Обычный 2 3 2 2 2 2 2 3" xfId="11755"/>
    <cellStyle name="Обычный 2 3 2 2 2 2 2 3 2" xfId="11756"/>
    <cellStyle name="Обычный 2 3 2 2 2 2 2 3 2 2" xfId="11757"/>
    <cellStyle name="Обычный 2 3 2 2 2 2 2 3 2 2 2" xfId="11758"/>
    <cellStyle name="Обычный 2 3 2 2 2 2 2 3 2 3" xfId="11759"/>
    <cellStyle name="Обычный 2 3 2 2 2 2 2 3 3" xfId="11760"/>
    <cellStyle name="Обычный 2 3 2 2 2 2 2 3 3 2" xfId="11761"/>
    <cellStyle name="Обычный 2 3 2 2 2 2 2 3 3 2 2" xfId="11762"/>
    <cellStyle name="Обычный 2 3 2 2 2 2 2 3 3 3" xfId="11763"/>
    <cellStyle name="Обычный 2 3 2 2 2 2 2 3 4" xfId="11764"/>
    <cellStyle name="Обычный 2 3 2 2 2 2 2 3 4 2" xfId="11765"/>
    <cellStyle name="Обычный 2 3 2 2 2 2 2 3 5" xfId="11766"/>
    <cellStyle name="Обычный 2 3 2 2 2 2 2 3 5 2" xfId="11767"/>
    <cellStyle name="Обычный 2 3 2 2 2 2 2 3 6" xfId="11768"/>
    <cellStyle name="Обычный 2 3 2 2 2 2 2 4" xfId="11769"/>
    <cellStyle name="Обычный 2 3 2 2 2 2 2 4 2" xfId="11770"/>
    <cellStyle name="Обычный 2 3 2 2 2 2 2 4 2 2" xfId="11771"/>
    <cellStyle name="Обычный 2 3 2 2 2 2 2 4 3" xfId="11772"/>
    <cellStyle name="Обычный 2 3 2 2 2 2 2 5" xfId="11773"/>
    <cellStyle name="Обычный 2 3 2 2 2 2 2 5 2" xfId="11774"/>
    <cellStyle name="Обычный 2 3 2 2 2 2 2 5 2 2" xfId="11775"/>
    <cellStyle name="Обычный 2 3 2 2 2 2 2 5 3" xfId="11776"/>
    <cellStyle name="Обычный 2 3 2 2 2 2 2 6" xfId="11777"/>
    <cellStyle name="Обычный 2 3 2 2 2 2 2 6 2" xfId="11778"/>
    <cellStyle name="Обычный 2 3 2 2 2 2 2 7" xfId="11779"/>
    <cellStyle name="Обычный 2 3 2 2 2 2 2 7 2" xfId="11780"/>
    <cellStyle name="Обычный 2 3 2 2 2 2 2 8" xfId="11781"/>
    <cellStyle name="Обычный 2 3 2 2 2 2 3" xfId="11782"/>
    <cellStyle name="Обычный 2 3 2 2 2 2 3 2" xfId="11783"/>
    <cellStyle name="Обычный 2 3 2 2 2 2 3 2 2" xfId="11784"/>
    <cellStyle name="Обычный 2 3 2 2 2 2 3 2 2 2" xfId="11785"/>
    <cellStyle name="Обычный 2 3 2 2 2 2 3 2 3" xfId="11786"/>
    <cellStyle name="Обычный 2 3 2 2 2 2 3 2 3 2" xfId="11787"/>
    <cellStyle name="Обычный 2 3 2 2 2 2 3 2 4" xfId="11788"/>
    <cellStyle name="Обычный 2 3 2 2 2 2 3 3" xfId="11789"/>
    <cellStyle name="Обычный 2 3 2 2 2 2 3 3 2" xfId="11790"/>
    <cellStyle name="Обычный 2 3 2 2 2 2 3 3 2 2" xfId="11791"/>
    <cellStyle name="Обычный 2 3 2 2 2 2 3 3 3" xfId="11792"/>
    <cellStyle name="Обычный 2 3 2 2 2 2 3 4" xfId="11793"/>
    <cellStyle name="Обычный 2 3 2 2 2 2 3 4 2" xfId="11794"/>
    <cellStyle name="Обычный 2 3 2 2 2 2 3 5" xfId="11795"/>
    <cellStyle name="Обычный 2 3 2 2 2 2 3 5 2" xfId="11796"/>
    <cellStyle name="Обычный 2 3 2 2 2 2 3 6" xfId="11797"/>
    <cellStyle name="Обычный 2 3 2 2 2 2 4" xfId="11798"/>
    <cellStyle name="Обычный 2 3 2 2 2 2 4 2" xfId="11799"/>
    <cellStyle name="Обычный 2 3 2 2 2 2 4 2 2" xfId="11800"/>
    <cellStyle name="Обычный 2 3 2 2 2 2 4 2 2 2" xfId="11801"/>
    <cellStyle name="Обычный 2 3 2 2 2 2 4 2 3" xfId="11802"/>
    <cellStyle name="Обычный 2 3 2 2 2 2 4 3" xfId="11803"/>
    <cellStyle name="Обычный 2 3 2 2 2 2 4 3 2" xfId="11804"/>
    <cellStyle name="Обычный 2 3 2 2 2 2 4 3 2 2" xfId="11805"/>
    <cellStyle name="Обычный 2 3 2 2 2 2 4 3 3" xfId="11806"/>
    <cellStyle name="Обычный 2 3 2 2 2 2 4 4" xfId="11807"/>
    <cellStyle name="Обычный 2 3 2 2 2 2 4 4 2" xfId="11808"/>
    <cellStyle name="Обычный 2 3 2 2 2 2 4 5" xfId="11809"/>
    <cellStyle name="Обычный 2 3 2 2 2 2 4 5 2" xfId="11810"/>
    <cellStyle name="Обычный 2 3 2 2 2 2 4 6" xfId="11811"/>
    <cellStyle name="Обычный 2 3 2 2 2 2 5" xfId="11812"/>
    <cellStyle name="Обычный 2 3 2 2 2 2 5 2" xfId="11813"/>
    <cellStyle name="Обычный 2 3 2 2 2 2 5 2 2" xfId="11814"/>
    <cellStyle name="Обычный 2 3 2 2 2 2 5 3" xfId="11815"/>
    <cellStyle name="Обычный 2 3 2 2 2 2 6" xfId="11816"/>
    <cellStyle name="Обычный 2 3 2 2 2 2 6 2" xfId="11817"/>
    <cellStyle name="Обычный 2 3 2 2 2 2 6 2 2" xfId="11818"/>
    <cellStyle name="Обычный 2 3 2 2 2 2 6 3" xfId="11819"/>
    <cellStyle name="Обычный 2 3 2 2 2 2 7" xfId="11820"/>
    <cellStyle name="Обычный 2 3 2 2 2 2 7 2" xfId="11821"/>
    <cellStyle name="Обычный 2 3 2 2 2 2 8" xfId="11822"/>
    <cellStyle name="Обычный 2 3 2 2 2 2 8 2" xfId="11823"/>
    <cellStyle name="Обычный 2 3 2 2 2 2 9" xfId="11824"/>
    <cellStyle name="Обычный 2 3 2 2 2 3" xfId="11825"/>
    <cellStyle name="Обычный 2 3 2 2 2 3 2" xfId="11826"/>
    <cellStyle name="Обычный 2 3 2 2 2 3 2 2" xfId="11827"/>
    <cellStyle name="Обычный 2 3 2 2 2 3 2 2 2" xfId="11828"/>
    <cellStyle name="Обычный 2 3 2 2 2 3 2 2 2 2" xfId="11829"/>
    <cellStyle name="Обычный 2 3 2 2 2 3 2 2 3" xfId="11830"/>
    <cellStyle name="Обычный 2 3 2 2 2 3 2 2 3 2" xfId="11831"/>
    <cellStyle name="Обычный 2 3 2 2 2 3 2 2 4" xfId="11832"/>
    <cellStyle name="Обычный 2 3 2 2 2 3 2 3" xfId="11833"/>
    <cellStyle name="Обычный 2 3 2 2 2 3 2 3 2" xfId="11834"/>
    <cellStyle name="Обычный 2 3 2 2 2 3 2 3 2 2" xfId="11835"/>
    <cellStyle name="Обычный 2 3 2 2 2 3 2 3 3" xfId="11836"/>
    <cellStyle name="Обычный 2 3 2 2 2 3 2 4" xfId="11837"/>
    <cellStyle name="Обычный 2 3 2 2 2 3 2 4 2" xfId="11838"/>
    <cellStyle name="Обычный 2 3 2 2 2 3 2 5" xfId="11839"/>
    <cellStyle name="Обычный 2 3 2 2 2 3 2 5 2" xfId="11840"/>
    <cellStyle name="Обычный 2 3 2 2 2 3 2 6" xfId="11841"/>
    <cellStyle name="Обычный 2 3 2 2 2 3 3" xfId="11842"/>
    <cellStyle name="Обычный 2 3 2 2 2 3 3 2" xfId="11843"/>
    <cellStyle name="Обычный 2 3 2 2 2 3 3 2 2" xfId="11844"/>
    <cellStyle name="Обычный 2 3 2 2 2 3 3 2 2 2" xfId="11845"/>
    <cellStyle name="Обычный 2 3 2 2 2 3 3 2 3" xfId="11846"/>
    <cellStyle name="Обычный 2 3 2 2 2 3 3 3" xfId="11847"/>
    <cellStyle name="Обычный 2 3 2 2 2 3 3 3 2" xfId="11848"/>
    <cellStyle name="Обычный 2 3 2 2 2 3 3 3 2 2" xfId="11849"/>
    <cellStyle name="Обычный 2 3 2 2 2 3 3 3 3" xfId="11850"/>
    <cellStyle name="Обычный 2 3 2 2 2 3 3 4" xfId="11851"/>
    <cellStyle name="Обычный 2 3 2 2 2 3 3 4 2" xfId="11852"/>
    <cellStyle name="Обычный 2 3 2 2 2 3 3 5" xfId="11853"/>
    <cellStyle name="Обычный 2 3 2 2 2 3 3 5 2" xfId="11854"/>
    <cellStyle name="Обычный 2 3 2 2 2 3 3 6" xfId="11855"/>
    <cellStyle name="Обычный 2 3 2 2 2 3 4" xfId="11856"/>
    <cellStyle name="Обычный 2 3 2 2 2 3 4 2" xfId="11857"/>
    <cellStyle name="Обычный 2 3 2 2 2 3 4 2 2" xfId="11858"/>
    <cellStyle name="Обычный 2 3 2 2 2 3 4 3" xfId="11859"/>
    <cellStyle name="Обычный 2 3 2 2 2 3 4 3 2" xfId="11860"/>
    <cellStyle name="Обычный 2 3 2 2 2 3 4 4" xfId="11861"/>
    <cellStyle name="Обычный 2 3 2 2 2 3 5" xfId="11862"/>
    <cellStyle name="Обычный 2 3 2 2 2 3 5 2" xfId="11863"/>
    <cellStyle name="Обычный 2 3 2 2 2 3 5 2 2" xfId="11864"/>
    <cellStyle name="Обычный 2 3 2 2 2 3 5 3" xfId="11865"/>
    <cellStyle name="Обычный 2 3 2 2 2 3 6" xfId="11866"/>
    <cellStyle name="Обычный 2 3 2 2 2 3 6 2" xfId="11867"/>
    <cellStyle name="Обычный 2 3 2 2 2 3 7" xfId="11868"/>
    <cellStyle name="Обычный 2 3 2 2 2 3 7 2" xfId="11869"/>
    <cellStyle name="Обычный 2 3 2 2 2 3 8" xfId="11870"/>
    <cellStyle name="Обычный 2 3 2 2 2 4" xfId="11871"/>
    <cellStyle name="Обычный 2 3 2 2 2 4 2" xfId="11872"/>
    <cellStyle name="Обычный 2 3 2 2 2 4 2 2" xfId="11873"/>
    <cellStyle name="Обычный 2 3 2 2 2 4 2 2 2" xfId="11874"/>
    <cellStyle name="Обычный 2 3 2 2 2 4 2 2 2 2" xfId="11875"/>
    <cellStyle name="Обычный 2 3 2 2 2 4 2 2 3" xfId="11876"/>
    <cellStyle name="Обычный 2 3 2 2 2 4 2 3" xfId="11877"/>
    <cellStyle name="Обычный 2 3 2 2 2 4 2 3 2" xfId="11878"/>
    <cellStyle name="Обычный 2 3 2 2 2 4 2 3 2 2" xfId="11879"/>
    <cellStyle name="Обычный 2 3 2 2 2 4 2 3 3" xfId="11880"/>
    <cellStyle name="Обычный 2 3 2 2 2 4 2 4" xfId="11881"/>
    <cellStyle name="Обычный 2 3 2 2 2 4 2 4 2" xfId="11882"/>
    <cellStyle name="Обычный 2 3 2 2 2 4 2 5" xfId="11883"/>
    <cellStyle name="Обычный 2 3 2 2 2 4 2 5 2" xfId="11884"/>
    <cellStyle name="Обычный 2 3 2 2 2 4 2 6" xfId="11885"/>
    <cellStyle name="Обычный 2 3 2 2 2 4 3" xfId="11886"/>
    <cellStyle name="Обычный 2 3 2 2 2 4 3 2" xfId="11887"/>
    <cellStyle name="Обычный 2 3 2 2 2 4 3 2 2" xfId="11888"/>
    <cellStyle name="Обычный 2 3 2 2 2 4 3 2 2 2" xfId="11889"/>
    <cellStyle name="Обычный 2 3 2 2 2 4 3 2 3" xfId="11890"/>
    <cellStyle name="Обычный 2 3 2 2 2 4 3 3" xfId="11891"/>
    <cellStyle name="Обычный 2 3 2 2 2 4 3 3 2" xfId="11892"/>
    <cellStyle name="Обычный 2 3 2 2 2 4 3 3 2 2" xfId="11893"/>
    <cellStyle name="Обычный 2 3 2 2 2 4 3 3 3" xfId="11894"/>
    <cellStyle name="Обычный 2 3 2 2 2 4 3 4" xfId="11895"/>
    <cellStyle name="Обычный 2 3 2 2 2 4 3 4 2" xfId="11896"/>
    <cellStyle name="Обычный 2 3 2 2 2 4 3 5" xfId="11897"/>
    <cellStyle name="Обычный 2 3 2 2 2 4 4" xfId="11898"/>
    <cellStyle name="Обычный 2 3 2 2 2 4 4 2" xfId="11899"/>
    <cellStyle name="Обычный 2 3 2 2 2 4 4 2 2" xfId="11900"/>
    <cellStyle name="Обычный 2 3 2 2 2 4 4 3" xfId="11901"/>
    <cellStyle name="Обычный 2 3 2 2 2 4 5" xfId="11902"/>
    <cellStyle name="Обычный 2 3 2 2 2 4 5 2" xfId="11903"/>
    <cellStyle name="Обычный 2 3 2 2 2 4 5 2 2" xfId="11904"/>
    <cellStyle name="Обычный 2 3 2 2 2 4 5 3" xfId="11905"/>
    <cellStyle name="Обычный 2 3 2 2 2 4 6" xfId="11906"/>
    <cellStyle name="Обычный 2 3 2 2 2 4 6 2" xfId="11907"/>
    <cellStyle name="Обычный 2 3 2 2 2 4 7" xfId="11908"/>
    <cellStyle name="Обычный 2 3 2 2 2 4 7 2" xfId="11909"/>
    <cellStyle name="Обычный 2 3 2 2 2 4 8" xfId="11910"/>
    <cellStyle name="Обычный 2 3 2 2 2 5" xfId="11911"/>
    <cellStyle name="Обычный 2 3 2 2 2 5 2" xfId="11912"/>
    <cellStyle name="Обычный 2 3 2 2 2 5 2 2" xfId="11913"/>
    <cellStyle name="Обычный 2 3 2 2 2 5 2 2 2" xfId="11914"/>
    <cellStyle name="Обычный 2 3 2 2 2 5 2 3" xfId="11915"/>
    <cellStyle name="Обычный 2 3 2 2 2 5 3" xfId="11916"/>
    <cellStyle name="Обычный 2 3 2 2 2 5 3 2" xfId="11917"/>
    <cellStyle name="Обычный 2 3 2 2 2 5 3 2 2" xfId="11918"/>
    <cellStyle name="Обычный 2 3 2 2 2 5 3 3" xfId="11919"/>
    <cellStyle name="Обычный 2 3 2 2 2 5 4" xfId="11920"/>
    <cellStyle name="Обычный 2 3 2 2 2 5 4 2" xfId="11921"/>
    <cellStyle name="Обычный 2 3 2 2 2 5 5" xfId="11922"/>
    <cellStyle name="Обычный 2 3 2 2 2 5 5 2" xfId="11923"/>
    <cellStyle name="Обычный 2 3 2 2 2 5 6" xfId="11924"/>
    <cellStyle name="Обычный 2 3 2 2 2 6" xfId="11925"/>
    <cellStyle name="Обычный 2 3 2 2 2 6 2" xfId="11926"/>
    <cellStyle name="Обычный 2 3 2 2 2 6 2 2" xfId="11927"/>
    <cellStyle name="Обычный 2 3 2 2 2 6 2 2 2" xfId="11928"/>
    <cellStyle name="Обычный 2 3 2 2 2 6 2 3" xfId="11929"/>
    <cellStyle name="Обычный 2 3 2 2 2 6 3" xfId="11930"/>
    <cellStyle name="Обычный 2 3 2 2 2 6 3 2" xfId="11931"/>
    <cellStyle name="Обычный 2 3 2 2 2 6 3 2 2" xfId="11932"/>
    <cellStyle name="Обычный 2 3 2 2 2 6 3 3" xfId="11933"/>
    <cellStyle name="Обычный 2 3 2 2 2 6 4" xfId="11934"/>
    <cellStyle name="Обычный 2 3 2 2 2 6 4 2" xfId="11935"/>
    <cellStyle name="Обычный 2 3 2 2 2 6 5" xfId="11936"/>
    <cellStyle name="Обычный 2 3 2 2 2 6 5 2" xfId="11937"/>
    <cellStyle name="Обычный 2 3 2 2 2 6 6" xfId="11938"/>
    <cellStyle name="Обычный 2 3 2 2 2 7" xfId="11939"/>
    <cellStyle name="Обычный 2 3 2 2 2 7 2" xfId="11940"/>
    <cellStyle name="Обычный 2 3 2 2 2 7 2 2" xfId="11941"/>
    <cellStyle name="Обычный 2 3 2 2 2 7 3" xfId="11942"/>
    <cellStyle name="Обычный 2 3 2 2 2 8" xfId="11943"/>
    <cellStyle name="Обычный 2 3 2 2 2 8 2" xfId="11944"/>
    <cellStyle name="Обычный 2 3 2 2 2 8 2 2" xfId="11945"/>
    <cellStyle name="Обычный 2 3 2 2 2 8 3" xfId="11946"/>
    <cellStyle name="Обычный 2 3 2 2 2 9" xfId="11947"/>
    <cellStyle name="Обычный 2 3 2 2 2 9 2" xfId="11948"/>
    <cellStyle name="Обычный 2 3 2 2 3" xfId="11949"/>
    <cellStyle name="Обычный 2 3 2 2 3 2" xfId="11950"/>
    <cellStyle name="Обычный 2 3 2 2 3 2 2" xfId="11951"/>
    <cellStyle name="Обычный 2 3 2 2 3 2 2 2" xfId="11952"/>
    <cellStyle name="Обычный 2 3 2 2 3 2 2 2 2" xfId="11953"/>
    <cellStyle name="Обычный 2 3 2 2 3 2 2 2 2 2" xfId="11954"/>
    <cellStyle name="Обычный 2 3 2 2 3 2 2 2 3" xfId="11955"/>
    <cellStyle name="Обычный 2 3 2 2 3 2 2 3" xfId="11956"/>
    <cellStyle name="Обычный 2 3 2 2 3 2 2 3 2" xfId="11957"/>
    <cellStyle name="Обычный 2 3 2 2 3 2 2 3 2 2" xfId="11958"/>
    <cellStyle name="Обычный 2 3 2 2 3 2 2 3 3" xfId="11959"/>
    <cellStyle name="Обычный 2 3 2 2 3 2 2 4" xfId="11960"/>
    <cellStyle name="Обычный 2 3 2 2 3 2 2 4 2" xfId="11961"/>
    <cellStyle name="Обычный 2 3 2 2 3 2 2 5" xfId="11962"/>
    <cellStyle name="Обычный 2 3 2 2 3 2 2 5 2" xfId="11963"/>
    <cellStyle name="Обычный 2 3 2 2 3 2 2 6" xfId="11964"/>
    <cellStyle name="Обычный 2 3 2 2 3 2 3" xfId="11965"/>
    <cellStyle name="Обычный 2 3 2 2 3 2 3 2" xfId="11966"/>
    <cellStyle name="Обычный 2 3 2 2 3 2 3 2 2" xfId="11967"/>
    <cellStyle name="Обычный 2 3 2 2 3 2 3 2 2 2" xfId="11968"/>
    <cellStyle name="Обычный 2 3 2 2 3 2 3 2 3" xfId="11969"/>
    <cellStyle name="Обычный 2 3 2 2 3 2 3 3" xfId="11970"/>
    <cellStyle name="Обычный 2 3 2 2 3 2 3 3 2" xfId="11971"/>
    <cellStyle name="Обычный 2 3 2 2 3 2 3 3 2 2" xfId="11972"/>
    <cellStyle name="Обычный 2 3 2 2 3 2 3 3 3" xfId="11973"/>
    <cellStyle name="Обычный 2 3 2 2 3 2 3 4" xfId="11974"/>
    <cellStyle name="Обычный 2 3 2 2 3 2 3 4 2" xfId="11975"/>
    <cellStyle name="Обычный 2 3 2 2 3 2 3 5" xfId="11976"/>
    <cellStyle name="Обычный 2 3 2 2 3 2 3 5 2" xfId="11977"/>
    <cellStyle name="Обычный 2 3 2 2 3 2 3 6" xfId="11978"/>
    <cellStyle name="Обычный 2 3 2 2 3 2 4" xfId="11979"/>
    <cellStyle name="Обычный 2 3 2 2 3 2 4 2" xfId="11980"/>
    <cellStyle name="Обычный 2 3 2 2 3 2 4 2 2" xfId="11981"/>
    <cellStyle name="Обычный 2 3 2 2 3 2 4 3" xfId="11982"/>
    <cellStyle name="Обычный 2 3 2 2 3 2 5" xfId="11983"/>
    <cellStyle name="Обычный 2 3 2 2 3 2 5 2" xfId="11984"/>
    <cellStyle name="Обычный 2 3 2 2 3 2 5 2 2" xfId="11985"/>
    <cellStyle name="Обычный 2 3 2 2 3 2 5 3" xfId="11986"/>
    <cellStyle name="Обычный 2 3 2 2 3 2 6" xfId="11987"/>
    <cellStyle name="Обычный 2 3 2 2 3 2 6 2" xfId="11988"/>
    <cellStyle name="Обычный 2 3 2 2 3 2 7" xfId="11989"/>
    <cellStyle name="Обычный 2 3 2 2 3 2 7 2" xfId="11990"/>
    <cellStyle name="Обычный 2 3 2 2 3 2 8" xfId="11991"/>
    <cellStyle name="Обычный 2 3 2 2 3 3" xfId="11992"/>
    <cellStyle name="Обычный 2 3 2 2 3 3 2" xfId="11993"/>
    <cellStyle name="Обычный 2 3 2 2 3 3 2 2" xfId="11994"/>
    <cellStyle name="Обычный 2 3 2 2 3 3 2 2 2" xfId="11995"/>
    <cellStyle name="Обычный 2 3 2 2 3 3 2 3" xfId="11996"/>
    <cellStyle name="Обычный 2 3 2 2 3 3 2 3 2" xfId="11997"/>
    <cellStyle name="Обычный 2 3 2 2 3 3 2 4" xfId="11998"/>
    <cellStyle name="Обычный 2 3 2 2 3 3 3" xfId="11999"/>
    <cellStyle name="Обычный 2 3 2 2 3 3 3 2" xfId="12000"/>
    <cellStyle name="Обычный 2 3 2 2 3 3 3 2 2" xfId="12001"/>
    <cellStyle name="Обычный 2 3 2 2 3 3 3 3" xfId="12002"/>
    <cellStyle name="Обычный 2 3 2 2 3 3 4" xfId="12003"/>
    <cellStyle name="Обычный 2 3 2 2 3 3 4 2" xfId="12004"/>
    <cellStyle name="Обычный 2 3 2 2 3 3 5" xfId="12005"/>
    <cellStyle name="Обычный 2 3 2 2 3 3 5 2" xfId="12006"/>
    <cellStyle name="Обычный 2 3 2 2 3 3 6" xfId="12007"/>
    <cellStyle name="Обычный 2 3 2 2 3 4" xfId="12008"/>
    <cellStyle name="Обычный 2 3 2 2 3 4 2" xfId="12009"/>
    <cellStyle name="Обычный 2 3 2 2 3 4 2 2" xfId="12010"/>
    <cellStyle name="Обычный 2 3 2 2 3 4 2 2 2" xfId="12011"/>
    <cellStyle name="Обычный 2 3 2 2 3 4 2 3" xfId="12012"/>
    <cellStyle name="Обычный 2 3 2 2 3 4 3" xfId="12013"/>
    <cellStyle name="Обычный 2 3 2 2 3 4 3 2" xfId="12014"/>
    <cellStyle name="Обычный 2 3 2 2 3 4 3 2 2" xfId="12015"/>
    <cellStyle name="Обычный 2 3 2 2 3 4 3 3" xfId="12016"/>
    <cellStyle name="Обычный 2 3 2 2 3 4 4" xfId="12017"/>
    <cellStyle name="Обычный 2 3 2 2 3 4 4 2" xfId="12018"/>
    <cellStyle name="Обычный 2 3 2 2 3 4 5" xfId="12019"/>
    <cellStyle name="Обычный 2 3 2 2 3 4 5 2" xfId="12020"/>
    <cellStyle name="Обычный 2 3 2 2 3 4 6" xfId="12021"/>
    <cellStyle name="Обычный 2 3 2 2 3 5" xfId="12022"/>
    <cellStyle name="Обычный 2 3 2 2 3 5 2" xfId="12023"/>
    <cellStyle name="Обычный 2 3 2 2 3 5 2 2" xfId="12024"/>
    <cellStyle name="Обычный 2 3 2 2 3 5 3" xfId="12025"/>
    <cellStyle name="Обычный 2 3 2 2 3 6" xfId="12026"/>
    <cellStyle name="Обычный 2 3 2 2 3 6 2" xfId="12027"/>
    <cellStyle name="Обычный 2 3 2 2 3 6 2 2" xfId="12028"/>
    <cellStyle name="Обычный 2 3 2 2 3 6 3" xfId="12029"/>
    <cellStyle name="Обычный 2 3 2 2 3 7" xfId="12030"/>
    <cellStyle name="Обычный 2 3 2 2 3 7 2" xfId="12031"/>
    <cellStyle name="Обычный 2 3 2 2 3 8" xfId="12032"/>
    <cellStyle name="Обычный 2 3 2 2 3 8 2" xfId="12033"/>
    <cellStyle name="Обычный 2 3 2 2 3 9" xfId="12034"/>
    <cellStyle name="Обычный 2 3 2 2 4" xfId="12035"/>
    <cellStyle name="Обычный 2 3 2 2 4 2" xfId="12036"/>
    <cellStyle name="Обычный 2 3 2 2 4 2 2" xfId="12037"/>
    <cellStyle name="Обычный 2 3 2 2 4 2 2 2" xfId="12038"/>
    <cellStyle name="Обычный 2 3 2 2 4 2 2 2 2" xfId="12039"/>
    <cellStyle name="Обычный 2 3 2 2 4 2 2 3" xfId="12040"/>
    <cellStyle name="Обычный 2 3 2 2 4 2 2 3 2" xfId="12041"/>
    <cellStyle name="Обычный 2 3 2 2 4 2 2 4" xfId="12042"/>
    <cellStyle name="Обычный 2 3 2 2 4 2 3" xfId="12043"/>
    <cellStyle name="Обычный 2 3 2 2 4 2 3 2" xfId="12044"/>
    <cellStyle name="Обычный 2 3 2 2 4 2 3 2 2" xfId="12045"/>
    <cellStyle name="Обычный 2 3 2 2 4 2 3 3" xfId="12046"/>
    <cellStyle name="Обычный 2 3 2 2 4 2 4" xfId="12047"/>
    <cellStyle name="Обычный 2 3 2 2 4 2 4 2" xfId="12048"/>
    <cellStyle name="Обычный 2 3 2 2 4 2 5" xfId="12049"/>
    <cellStyle name="Обычный 2 3 2 2 4 2 5 2" xfId="12050"/>
    <cellStyle name="Обычный 2 3 2 2 4 2 6" xfId="12051"/>
    <cellStyle name="Обычный 2 3 2 2 4 3" xfId="12052"/>
    <cellStyle name="Обычный 2 3 2 2 4 3 2" xfId="12053"/>
    <cellStyle name="Обычный 2 3 2 2 4 3 2 2" xfId="12054"/>
    <cellStyle name="Обычный 2 3 2 2 4 3 2 2 2" xfId="12055"/>
    <cellStyle name="Обычный 2 3 2 2 4 3 2 3" xfId="12056"/>
    <cellStyle name="Обычный 2 3 2 2 4 3 3" xfId="12057"/>
    <cellStyle name="Обычный 2 3 2 2 4 3 3 2" xfId="12058"/>
    <cellStyle name="Обычный 2 3 2 2 4 3 3 2 2" xfId="12059"/>
    <cellStyle name="Обычный 2 3 2 2 4 3 3 3" xfId="12060"/>
    <cellStyle name="Обычный 2 3 2 2 4 3 4" xfId="12061"/>
    <cellStyle name="Обычный 2 3 2 2 4 3 4 2" xfId="12062"/>
    <cellStyle name="Обычный 2 3 2 2 4 3 5" xfId="12063"/>
    <cellStyle name="Обычный 2 3 2 2 4 3 5 2" xfId="12064"/>
    <cellStyle name="Обычный 2 3 2 2 4 3 6" xfId="12065"/>
    <cellStyle name="Обычный 2 3 2 2 4 4" xfId="12066"/>
    <cellStyle name="Обычный 2 3 2 2 4 4 2" xfId="12067"/>
    <cellStyle name="Обычный 2 3 2 2 4 4 2 2" xfId="12068"/>
    <cellStyle name="Обычный 2 3 2 2 4 4 3" xfId="12069"/>
    <cellStyle name="Обычный 2 3 2 2 4 4 3 2" xfId="12070"/>
    <cellStyle name="Обычный 2 3 2 2 4 4 4" xfId="12071"/>
    <cellStyle name="Обычный 2 3 2 2 4 5" xfId="12072"/>
    <cellStyle name="Обычный 2 3 2 2 4 5 2" xfId="12073"/>
    <cellStyle name="Обычный 2 3 2 2 4 5 2 2" xfId="12074"/>
    <cellStyle name="Обычный 2 3 2 2 4 5 3" xfId="12075"/>
    <cellStyle name="Обычный 2 3 2 2 4 6" xfId="12076"/>
    <cellStyle name="Обычный 2 3 2 2 4 6 2" xfId="12077"/>
    <cellStyle name="Обычный 2 3 2 2 4 7" xfId="12078"/>
    <cellStyle name="Обычный 2 3 2 2 4 7 2" xfId="12079"/>
    <cellStyle name="Обычный 2 3 2 2 4 8" xfId="12080"/>
    <cellStyle name="Обычный 2 3 2 2 5" xfId="12081"/>
    <cellStyle name="Обычный 2 3 2 2 5 2" xfId="12082"/>
    <cellStyle name="Обычный 2 3 2 2 5 2 2" xfId="12083"/>
    <cellStyle name="Обычный 2 3 2 2 5 2 2 2" xfId="12084"/>
    <cellStyle name="Обычный 2 3 2 2 5 2 2 2 2" xfId="12085"/>
    <cellStyle name="Обычный 2 3 2 2 5 2 2 3" xfId="12086"/>
    <cellStyle name="Обычный 2 3 2 2 5 2 3" xfId="12087"/>
    <cellStyle name="Обычный 2 3 2 2 5 2 3 2" xfId="12088"/>
    <cellStyle name="Обычный 2 3 2 2 5 2 3 2 2" xfId="12089"/>
    <cellStyle name="Обычный 2 3 2 2 5 2 3 3" xfId="12090"/>
    <cellStyle name="Обычный 2 3 2 2 5 2 4" xfId="12091"/>
    <cellStyle name="Обычный 2 3 2 2 5 2 4 2" xfId="12092"/>
    <cellStyle name="Обычный 2 3 2 2 5 2 5" xfId="12093"/>
    <cellStyle name="Обычный 2 3 2 2 5 2 5 2" xfId="12094"/>
    <cellStyle name="Обычный 2 3 2 2 5 2 6" xfId="12095"/>
    <cellStyle name="Обычный 2 3 2 2 5 3" xfId="12096"/>
    <cellStyle name="Обычный 2 3 2 2 5 3 2" xfId="12097"/>
    <cellStyle name="Обычный 2 3 2 2 5 3 2 2" xfId="12098"/>
    <cellStyle name="Обычный 2 3 2 2 5 3 2 2 2" xfId="12099"/>
    <cellStyle name="Обычный 2 3 2 2 5 3 2 3" xfId="12100"/>
    <cellStyle name="Обычный 2 3 2 2 5 3 3" xfId="12101"/>
    <cellStyle name="Обычный 2 3 2 2 5 3 3 2" xfId="12102"/>
    <cellStyle name="Обычный 2 3 2 2 5 3 3 2 2" xfId="12103"/>
    <cellStyle name="Обычный 2 3 2 2 5 3 3 3" xfId="12104"/>
    <cellStyle name="Обычный 2 3 2 2 5 3 4" xfId="12105"/>
    <cellStyle name="Обычный 2 3 2 2 5 3 4 2" xfId="12106"/>
    <cellStyle name="Обычный 2 3 2 2 5 3 5" xfId="12107"/>
    <cellStyle name="Обычный 2 3 2 2 5 4" xfId="12108"/>
    <cellStyle name="Обычный 2 3 2 2 5 4 2" xfId="12109"/>
    <cellStyle name="Обычный 2 3 2 2 5 4 2 2" xfId="12110"/>
    <cellStyle name="Обычный 2 3 2 2 5 4 3" xfId="12111"/>
    <cellStyle name="Обычный 2 3 2 2 5 5" xfId="12112"/>
    <cellStyle name="Обычный 2 3 2 2 5 5 2" xfId="12113"/>
    <cellStyle name="Обычный 2 3 2 2 5 5 2 2" xfId="12114"/>
    <cellStyle name="Обычный 2 3 2 2 5 5 3" xfId="12115"/>
    <cellStyle name="Обычный 2 3 2 2 5 6" xfId="12116"/>
    <cellStyle name="Обычный 2 3 2 2 5 6 2" xfId="12117"/>
    <cellStyle name="Обычный 2 3 2 2 5 7" xfId="12118"/>
    <cellStyle name="Обычный 2 3 2 2 5 7 2" xfId="12119"/>
    <cellStyle name="Обычный 2 3 2 2 5 8" xfId="12120"/>
    <cellStyle name="Обычный 2 3 2 2 6" xfId="12121"/>
    <cellStyle name="Обычный 2 3 2 2 6 2" xfId="12122"/>
    <cellStyle name="Обычный 2 3 2 2 6 2 2" xfId="12123"/>
    <cellStyle name="Обычный 2 3 2 2 6 2 2 2" xfId="12124"/>
    <cellStyle name="Обычный 2 3 2 2 6 2 3" xfId="12125"/>
    <cellStyle name="Обычный 2 3 2 2 6 3" xfId="12126"/>
    <cellStyle name="Обычный 2 3 2 2 6 3 2" xfId="12127"/>
    <cellStyle name="Обычный 2 3 2 2 6 3 2 2" xfId="12128"/>
    <cellStyle name="Обычный 2 3 2 2 6 3 3" xfId="12129"/>
    <cellStyle name="Обычный 2 3 2 2 6 4" xfId="12130"/>
    <cellStyle name="Обычный 2 3 2 2 6 4 2" xfId="12131"/>
    <cellStyle name="Обычный 2 3 2 2 6 5" xfId="12132"/>
    <cellStyle name="Обычный 2 3 2 2 6 5 2" xfId="12133"/>
    <cellStyle name="Обычный 2 3 2 2 6 6" xfId="12134"/>
    <cellStyle name="Обычный 2 3 2 2 7" xfId="12135"/>
    <cellStyle name="Обычный 2 3 2 2 7 2" xfId="12136"/>
    <cellStyle name="Обычный 2 3 2 2 7 2 2" xfId="12137"/>
    <cellStyle name="Обычный 2 3 2 2 7 2 2 2" xfId="12138"/>
    <cellStyle name="Обычный 2 3 2 2 7 2 3" xfId="12139"/>
    <cellStyle name="Обычный 2 3 2 2 7 3" xfId="12140"/>
    <cellStyle name="Обычный 2 3 2 2 7 3 2" xfId="12141"/>
    <cellStyle name="Обычный 2 3 2 2 7 3 2 2" xfId="12142"/>
    <cellStyle name="Обычный 2 3 2 2 7 3 3" xfId="12143"/>
    <cellStyle name="Обычный 2 3 2 2 7 4" xfId="12144"/>
    <cellStyle name="Обычный 2 3 2 2 7 4 2" xfId="12145"/>
    <cellStyle name="Обычный 2 3 2 2 7 5" xfId="12146"/>
    <cellStyle name="Обычный 2 3 2 2 7 5 2" xfId="12147"/>
    <cellStyle name="Обычный 2 3 2 2 7 6" xfId="12148"/>
    <cellStyle name="Обычный 2 3 2 2 8" xfId="12149"/>
    <cellStyle name="Обычный 2 3 2 2 8 2" xfId="12150"/>
    <cellStyle name="Обычный 2 3 2 2 8 2 2" xfId="12151"/>
    <cellStyle name="Обычный 2 3 2 2 8 3" xfId="12152"/>
    <cellStyle name="Обычный 2 3 2 2 9" xfId="12153"/>
    <cellStyle name="Обычный 2 3 2 2 9 2" xfId="12154"/>
    <cellStyle name="Обычный 2 3 2 2 9 2 2" xfId="12155"/>
    <cellStyle name="Обычный 2 3 2 2 9 3" xfId="12156"/>
    <cellStyle name="Обычный 2 3 2 3" xfId="12157"/>
    <cellStyle name="Обычный 2 3 2 3 2" xfId="12158"/>
    <cellStyle name="Обычный 2 3 2 3 2 2" xfId="12159"/>
    <cellStyle name="Обычный 2 3 2 3 2 2 2" xfId="12160"/>
    <cellStyle name="Обычный 2 3 2 3 2 2 2 2" xfId="12161"/>
    <cellStyle name="Обычный 2 3 2 3 2 2 2 2 2" xfId="12162"/>
    <cellStyle name="Обычный 2 3 2 3 2 2 2 3" xfId="12163"/>
    <cellStyle name="Обычный 2 3 2 3 2 2 3" xfId="12164"/>
    <cellStyle name="Обычный 2 3 2 3 2 2 3 2" xfId="12165"/>
    <cellStyle name="Обычный 2 3 2 3 2 2 3 2 2" xfId="12166"/>
    <cellStyle name="Обычный 2 3 2 3 2 2 3 3" xfId="12167"/>
    <cellStyle name="Обычный 2 3 2 3 2 2 4" xfId="12168"/>
    <cellStyle name="Обычный 2 3 2 3 2 2 4 2" xfId="12169"/>
    <cellStyle name="Обычный 2 3 2 3 2 2 5" xfId="12170"/>
    <cellStyle name="Обычный 2 3 2 3 2 2 5 2" xfId="12171"/>
    <cellStyle name="Обычный 2 3 2 3 2 2 6" xfId="12172"/>
    <cellStyle name="Обычный 2 3 2 3 2 3" xfId="12173"/>
    <cellStyle name="Обычный 2 3 2 3 2 3 2" xfId="12174"/>
    <cellStyle name="Обычный 2 3 2 3 2 3 2 2" xfId="12175"/>
    <cellStyle name="Обычный 2 3 2 3 2 3 2 2 2" xfId="12176"/>
    <cellStyle name="Обычный 2 3 2 3 2 3 2 3" xfId="12177"/>
    <cellStyle name="Обычный 2 3 2 3 2 3 3" xfId="12178"/>
    <cellStyle name="Обычный 2 3 2 3 2 3 3 2" xfId="12179"/>
    <cellStyle name="Обычный 2 3 2 3 2 3 3 2 2" xfId="12180"/>
    <cellStyle name="Обычный 2 3 2 3 2 3 3 3" xfId="12181"/>
    <cellStyle name="Обычный 2 3 2 3 2 3 4" xfId="12182"/>
    <cellStyle name="Обычный 2 3 2 3 2 3 4 2" xfId="12183"/>
    <cellStyle name="Обычный 2 3 2 3 2 3 5" xfId="12184"/>
    <cellStyle name="Обычный 2 3 2 3 2 3 5 2" xfId="12185"/>
    <cellStyle name="Обычный 2 3 2 3 2 3 6" xfId="12186"/>
    <cellStyle name="Обычный 2 3 2 3 2 4" xfId="12187"/>
    <cellStyle name="Обычный 2 3 2 3 2 4 2" xfId="12188"/>
    <cellStyle name="Обычный 2 3 2 3 2 4 2 2" xfId="12189"/>
    <cellStyle name="Обычный 2 3 2 3 2 4 3" xfId="12190"/>
    <cellStyle name="Обычный 2 3 2 3 2 5" xfId="12191"/>
    <cellStyle name="Обычный 2 3 2 3 2 5 2" xfId="12192"/>
    <cellStyle name="Обычный 2 3 2 3 2 5 2 2" xfId="12193"/>
    <cellStyle name="Обычный 2 3 2 3 2 5 3" xfId="12194"/>
    <cellStyle name="Обычный 2 3 2 3 2 6" xfId="12195"/>
    <cellStyle name="Обычный 2 3 2 3 2 6 2" xfId="12196"/>
    <cellStyle name="Обычный 2 3 2 3 2 7" xfId="12197"/>
    <cellStyle name="Обычный 2 3 2 3 2 7 2" xfId="12198"/>
    <cellStyle name="Обычный 2 3 2 3 2 8" xfId="12199"/>
    <cellStyle name="Обычный 2 3 2 3 3" xfId="12200"/>
    <cellStyle name="Обычный 2 3 2 3 3 2" xfId="12201"/>
    <cellStyle name="Обычный 2 3 2 3 3 2 2" xfId="12202"/>
    <cellStyle name="Обычный 2 3 2 3 3 2 2 2" xfId="12203"/>
    <cellStyle name="Обычный 2 3 2 3 3 2 3" xfId="12204"/>
    <cellStyle name="Обычный 2 3 2 3 3 2 3 2" xfId="12205"/>
    <cellStyle name="Обычный 2 3 2 3 3 2 4" xfId="12206"/>
    <cellStyle name="Обычный 2 3 2 3 3 3" xfId="12207"/>
    <cellStyle name="Обычный 2 3 2 3 3 3 2" xfId="12208"/>
    <cellStyle name="Обычный 2 3 2 3 3 3 2 2" xfId="12209"/>
    <cellStyle name="Обычный 2 3 2 3 3 3 3" xfId="12210"/>
    <cellStyle name="Обычный 2 3 2 3 3 4" xfId="12211"/>
    <cellStyle name="Обычный 2 3 2 3 3 4 2" xfId="12212"/>
    <cellStyle name="Обычный 2 3 2 3 3 5" xfId="12213"/>
    <cellStyle name="Обычный 2 3 2 3 3 5 2" xfId="12214"/>
    <cellStyle name="Обычный 2 3 2 3 3 6" xfId="12215"/>
    <cellStyle name="Обычный 2 3 2 3 4" xfId="12216"/>
    <cellStyle name="Обычный 2 3 2 3 4 2" xfId="12217"/>
    <cellStyle name="Обычный 2 3 2 3 4 2 2" xfId="12218"/>
    <cellStyle name="Обычный 2 3 2 3 4 2 2 2" xfId="12219"/>
    <cellStyle name="Обычный 2 3 2 3 4 2 3" xfId="12220"/>
    <cellStyle name="Обычный 2 3 2 3 4 3" xfId="12221"/>
    <cellStyle name="Обычный 2 3 2 3 4 3 2" xfId="12222"/>
    <cellStyle name="Обычный 2 3 2 3 4 3 2 2" xfId="12223"/>
    <cellStyle name="Обычный 2 3 2 3 4 3 3" xfId="12224"/>
    <cellStyle name="Обычный 2 3 2 3 4 4" xfId="12225"/>
    <cellStyle name="Обычный 2 3 2 3 4 4 2" xfId="12226"/>
    <cellStyle name="Обычный 2 3 2 3 4 5" xfId="12227"/>
    <cellStyle name="Обычный 2 3 2 3 4 5 2" xfId="12228"/>
    <cellStyle name="Обычный 2 3 2 3 4 6" xfId="12229"/>
    <cellStyle name="Обычный 2 3 2 3 5" xfId="12230"/>
    <cellStyle name="Обычный 2 3 2 3 5 2" xfId="12231"/>
    <cellStyle name="Обычный 2 3 2 3 5 2 2" xfId="12232"/>
    <cellStyle name="Обычный 2 3 2 3 5 3" xfId="12233"/>
    <cellStyle name="Обычный 2 3 2 3 6" xfId="12234"/>
    <cellStyle name="Обычный 2 3 2 3 6 2" xfId="12235"/>
    <cellStyle name="Обычный 2 3 2 3 6 2 2" xfId="12236"/>
    <cellStyle name="Обычный 2 3 2 3 6 3" xfId="12237"/>
    <cellStyle name="Обычный 2 3 2 3 7" xfId="12238"/>
    <cellStyle name="Обычный 2 3 2 3 7 2" xfId="12239"/>
    <cellStyle name="Обычный 2 3 2 3 8" xfId="12240"/>
    <cellStyle name="Обычный 2 3 2 3 8 2" xfId="12241"/>
    <cellStyle name="Обычный 2 3 2 3 9" xfId="12242"/>
    <cellStyle name="Обычный 2 3 2 4" xfId="12243"/>
    <cellStyle name="Обычный 2 3 2 4 2" xfId="12244"/>
    <cellStyle name="Обычный 2 3 2 4 2 2" xfId="12245"/>
    <cellStyle name="Обычный 2 3 2 4 2 2 2" xfId="12246"/>
    <cellStyle name="Обычный 2 3 2 4 2 2 2 2" xfId="12247"/>
    <cellStyle name="Обычный 2 3 2 4 2 2 3" xfId="12248"/>
    <cellStyle name="Обычный 2 3 2 4 2 2 3 2" xfId="12249"/>
    <cellStyle name="Обычный 2 3 2 4 2 2 4" xfId="12250"/>
    <cellStyle name="Обычный 2 3 2 4 2 3" xfId="12251"/>
    <cellStyle name="Обычный 2 3 2 4 2 3 2" xfId="12252"/>
    <cellStyle name="Обычный 2 3 2 4 2 3 2 2" xfId="12253"/>
    <cellStyle name="Обычный 2 3 2 4 2 3 3" xfId="12254"/>
    <cellStyle name="Обычный 2 3 2 4 2 4" xfId="12255"/>
    <cellStyle name="Обычный 2 3 2 4 2 4 2" xfId="12256"/>
    <cellStyle name="Обычный 2 3 2 4 2 5" xfId="12257"/>
    <cellStyle name="Обычный 2 3 2 4 2 6" xfId="12258"/>
    <cellStyle name="Обычный 2 3 2 4 3" xfId="12259"/>
    <cellStyle name="Обычный 2 3 2 4 3 2" xfId="12260"/>
    <cellStyle name="Обычный 2 3 2 4 3 2 2" xfId="12261"/>
    <cellStyle name="Обычный 2 3 2 4 3 2 2 2" xfId="12262"/>
    <cellStyle name="Обычный 2 3 2 4 3 2 3" xfId="12263"/>
    <cellStyle name="Обычный 2 3 2 4 3 2 3 2" xfId="12264"/>
    <cellStyle name="Обычный 2 3 2 4 3 2 4" xfId="12265"/>
    <cellStyle name="Обычный 2 3 2 4 3 3" xfId="12266"/>
    <cellStyle name="Обычный 2 3 2 4 3 3 2" xfId="12267"/>
    <cellStyle name="Обычный 2 3 2 4 3 3 2 2" xfId="12268"/>
    <cellStyle name="Обычный 2 3 2 4 3 3 3" xfId="12269"/>
    <cellStyle name="Обычный 2 3 2 4 3 4" xfId="12270"/>
    <cellStyle name="Обычный 2 3 2 4 3 4 2" xfId="12271"/>
    <cellStyle name="Обычный 2 3 2 4 3 5" xfId="12272"/>
    <cellStyle name="Обычный 2 3 2 4 3 5 2" xfId="12273"/>
    <cellStyle name="Обычный 2 3 2 4 3 6" xfId="12274"/>
    <cellStyle name="Обычный 2 3 2 4 4" xfId="12275"/>
    <cellStyle name="Обычный 2 3 2 4 4 2" xfId="12276"/>
    <cellStyle name="Обычный 2 3 2 4 4 2 2" xfId="12277"/>
    <cellStyle name="Обычный 2 3 2 4 4 3" xfId="12278"/>
    <cellStyle name="Обычный 2 3 2 4 4 3 2" xfId="12279"/>
    <cellStyle name="Обычный 2 3 2 4 4 4" xfId="12280"/>
    <cellStyle name="Обычный 2 3 2 4 5" xfId="12281"/>
    <cellStyle name="Обычный 2 3 2 4 5 2" xfId="12282"/>
    <cellStyle name="Обычный 2 3 2 4 5 2 2" xfId="12283"/>
    <cellStyle name="Обычный 2 3 2 4 5 3" xfId="12284"/>
    <cellStyle name="Обычный 2 3 2 4 6" xfId="12285"/>
    <cellStyle name="Обычный 2 3 2 4 6 2" xfId="12286"/>
    <cellStyle name="Обычный 2 3 2 4 7" xfId="12287"/>
    <cellStyle name="Обычный 2 3 2 4 7 2" xfId="12288"/>
    <cellStyle name="Обычный 2 3 2 4 8" xfId="12289"/>
    <cellStyle name="Обычный 2 3 2 5" xfId="12290"/>
    <cellStyle name="Обычный 2 3 2 5 2" xfId="12291"/>
    <cellStyle name="Обычный 2 3 2 5 2 2" xfId="12292"/>
    <cellStyle name="Обычный 2 3 2 5 2 2 2" xfId="12293"/>
    <cellStyle name="Обычный 2 3 2 5 2 2 2 2" xfId="12294"/>
    <cellStyle name="Обычный 2 3 2 5 2 2 3" xfId="12295"/>
    <cellStyle name="Обычный 2 3 2 5 2 3" xfId="12296"/>
    <cellStyle name="Обычный 2 3 2 5 2 3 2" xfId="12297"/>
    <cellStyle name="Обычный 2 3 2 5 2 3 2 2" xfId="12298"/>
    <cellStyle name="Обычный 2 3 2 5 2 3 3" xfId="12299"/>
    <cellStyle name="Обычный 2 3 2 5 2 4" xfId="12300"/>
    <cellStyle name="Обычный 2 3 2 5 2 4 2" xfId="12301"/>
    <cellStyle name="Обычный 2 3 2 5 2 5" xfId="12302"/>
    <cellStyle name="Обычный 2 3 2 5 2 5 2" xfId="12303"/>
    <cellStyle name="Обычный 2 3 2 5 2 6" xfId="12304"/>
    <cellStyle name="Обычный 2 3 2 5 3" xfId="12305"/>
    <cellStyle name="Обычный 2 3 2 5 3 2" xfId="12306"/>
    <cellStyle name="Обычный 2 3 2 5 3 2 2" xfId="12307"/>
    <cellStyle name="Обычный 2 3 2 5 3 2 2 2" xfId="12308"/>
    <cellStyle name="Обычный 2 3 2 5 3 2 3" xfId="12309"/>
    <cellStyle name="Обычный 2 3 2 5 3 3" xfId="12310"/>
    <cellStyle name="Обычный 2 3 2 5 3 3 2" xfId="12311"/>
    <cellStyle name="Обычный 2 3 2 5 3 3 2 2" xfId="12312"/>
    <cellStyle name="Обычный 2 3 2 5 3 3 3" xfId="12313"/>
    <cellStyle name="Обычный 2 3 2 5 3 4" xfId="12314"/>
    <cellStyle name="Обычный 2 3 2 5 3 4 2" xfId="12315"/>
    <cellStyle name="Обычный 2 3 2 5 3 5" xfId="12316"/>
    <cellStyle name="Обычный 2 3 2 5 4" xfId="12317"/>
    <cellStyle name="Обычный 2 3 2 5 4 2" xfId="12318"/>
    <cellStyle name="Обычный 2 3 2 5 4 2 2" xfId="12319"/>
    <cellStyle name="Обычный 2 3 2 5 4 3" xfId="12320"/>
    <cellStyle name="Обычный 2 3 2 5 5" xfId="12321"/>
    <cellStyle name="Обычный 2 3 2 5 5 2" xfId="12322"/>
    <cellStyle name="Обычный 2 3 2 5 5 2 2" xfId="12323"/>
    <cellStyle name="Обычный 2 3 2 5 5 3" xfId="12324"/>
    <cellStyle name="Обычный 2 3 2 5 6" xfId="12325"/>
    <cellStyle name="Обычный 2 3 2 5 6 2" xfId="12326"/>
    <cellStyle name="Обычный 2 3 2 5 7" xfId="12327"/>
    <cellStyle name="Обычный 2 3 2 5 7 2" xfId="12328"/>
    <cellStyle name="Обычный 2 3 2 5 8" xfId="12329"/>
    <cellStyle name="Обычный 2 3 2 6" xfId="12330"/>
    <cellStyle name="Обычный 2 3 2 6 2" xfId="12331"/>
    <cellStyle name="Обычный 2 3 2 6 2 2" xfId="12332"/>
    <cellStyle name="Обычный 2 3 2 6 2 2 2" xfId="12333"/>
    <cellStyle name="Обычный 2 3 2 6 2 3" xfId="12334"/>
    <cellStyle name="Обычный 2 3 2 6 3" xfId="12335"/>
    <cellStyle name="Обычный 2 3 2 6 3 2" xfId="12336"/>
    <cellStyle name="Обычный 2 3 2 6 3 2 2" xfId="12337"/>
    <cellStyle name="Обычный 2 3 2 6 3 3" xfId="12338"/>
    <cellStyle name="Обычный 2 3 2 6 4" xfId="12339"/>
    <cellStyle name="Обычный 2 3 2 6 4 2" xfId="12340"/>
    <cellStyle name="Обычный 2 3 2 6 5" xfId="12341"/>
    <cellStyle name="Обычный 2 3 2 7" xfId="12342"/>
    <cellStyle name="Обычный 2 3 2 7 2" xfId="12343"/>
    <cellStyle name="Обычный 2 3 2 7 2 2" xfId="12344"/>
    <cellStyle name="Обычный 2 3 2 7 2 2 2" xfId="12345"/>
    <cellStyle name="Обычный 2 3 2 7 2 3" xfId="12346"/>
    <cellStyle name="Обычный 2 3 2 7 3" xfId="12347"/>
    <cellStyle name="Обычный 2 3 2 7 3 2" xfId="12348"/>
    <cellStyle name="Обычный 2 3 2 7 3 2 2" xfId="12349"/>
    <cellStyle name="Обычный 2 3 2 7 3 3" xfId="12350"/>
    <cellStyle name="Обычный 2 3 2 7 4" xfId="12351"/>
    <cellStyle name="Обычный 2 3 2 7 4 2" xfId="12352"/>
    <cellStyle name="Обычный 2 3 2 7 5" xfId="12353"/>
    <cellStyle name="Обычный 2 3 2 8" xfId="12354"/>
    <cellStyle name="Обычный 2 3 2 8 2" xfId="12355"/>
    <cellStyle name="Обычный 2 3 2 8 2 2" xfId="12356"/>
    <cellStyle name="Обычный 2 3 2 8 3" xfId="12357"/>
    <cellStyle name="Обычный 2 3 2 9" xfId="12358"/>
    <cellStyle name="Обычный 2 3 2 9 2" xfId="12359"/>
    <cellStyle name="Обычный 2 3 2 9 2 2" xfId="12360"/>
    <cellStyle name="Обычный 2 3 2 9 3" xfId="12361"/>
    <cellStyle name="Обычный 2 3 3" xfId="12362"/>
    <cellStyle name="Обычный 2 3 3 2" xfId="12363"/>
    <cellStyle name="Обычный 2 3 3 2 2" xfId="12364"/>
    <cellStyle name="Обычный 2 3 3 2 2 2" xfId="12365"/>
    <cellStyle name="Обычный 2 3 3 2 2 2 2" xfId="12366"/>
    <cellStyle name="Обычный 2 3 3 2 2 2 2 2" xfId="12367"/>
    <cellStyle name="Обычный 2 3 3 2 2 2 3" xfId="12368"/>
    <cellStyle name="Обычный 2 3 3 2 2 3" xfId="12369"/>
    <cellStyle name="Обычный 2 3 3 2 2 3 2" xfId="12370"/>
    <cellStyle name="Обычный 2 3 3 2 2 3 2 2" xfId="12371"/>
    <cellStyle name="Обычный 2 3 3 2 2 3 3" xfId="12372"/>
    <cellStyle name="Обычный 2 3 3 2 2 4" xfId="12373"/>
    <cellStyle name="Обычный 2 3 3 2 2 4 2" xfId="12374"/>
    <cellStyle name="Обычный 2 3 3 2 2 5" xfId="12375"/>
    <cellStyle name="Обычный 2 3 3 2 2 5 2" xfId="12376"/>
    <cellStyle name="Обычный 2 3 3 2 2 6" xfId="12377"/>
    <cellStyle name="Обычный 2 3 3 2 3" xfId="12378"/>
    <cellStyle name="Обычный 2 3 3 2 3 2" xfId="12379"/>
    <cellStyle name="Обычный 2 3 3 2 3 2 2" xfId="12380"/>
    <cellStyle name="Обычный 2 3 3 2 3 2 2 2" xfId="12381"/>
    <cellStyle name="Обычный 2 3 3 2 3 2 3" xfId="12382"/>
    <cellStyle name="Обычный 2 3 3 2 3 3" xfId="12383"/>
    <cellStyle name="Обычный 2 3 3 2 3 3 2" xfId="12384"/>
    <cellStyle name="Обычный 2 3 3 2 3 3 2 2" xfId="12385"/>
    <cellStyle name="Обычный 2 3 3 2 3 3 3" xfId="12386"/>
    <cellStyle name="Обычный 2 3 3 2 3 4" xfId="12387"/>
    <cellStyle name="Обычный 2 3 3 2 3 4 2" xfId="12388"/>
    <cellStyle name="Обычный 2 3 3 2 4" xfId="12389"/>
    <cellStyle name="Обычный 2 3 3 2 4 2" xfId="12390"/>
    <cellStyle name="Обычный 2 3 3 2 4 2 2" xfId="12391"/>
    <cellStyle name="Обычный 2 3 3 2 4 3" xfId="12392"/>
    <cellStyle name="Обычный 2 3 3 2 5" xfId="12393"/>
    <cellStyle name="Обычный 2 3 3 2 5 2" xfId="12394"/>
    <cellStyle name="Обычный 2 3 3 2 5 2 2" xfId="12395"/>
    <cellStyle name="Обычный 2 3 3 2 5 3" xfId="12396"/>
    <cellStyle name="Обычный 2 3 3 2 6" xfId="12397"/>
    <cellStyle name="Обычный 2 3 3 2 6 2" xfId="12398"/>
    <cellStyle name="Обычный 2 3 3 2 7" xfId="12399"/>
    <cellStyle name="Обычный 2 3 3 2 8" xfId="12400"/>
    <cellStyle name="Обычный 2 3 3 3" xfId="12401"/>
    <cellStyle name="Обычный 2 3 3 3 2" xfId="12402"/>
    <cellStyle name="Обычный 2 3 3 3 2 2" xfId="12403"/>
    <cellStyle name="Обычный 2 3 3 3 2 2 2" xfId="12404"/>
    <cellStyle name="Обычный 2 3 3 3 2 3" xfId="12405"/>
    <cellStyle name="Обычный 2 3 3 3 2 3 2" xfId="12406"/>
    <cellStyle name="Обычный 2 3 3 3 2 4" xfId="12407"/>
    <cellStyle name="Обычный 2 3 3 3 3" xfId="12408"/>
    <cellStyle name="Обычный 2 3 3 3 3 2" xfId="12409"/>
    <cellStyle name="Обычный 2 3 3 3 3 2 2" xfId="12410"/>
    <cellStyle name="Обычный 2 3 3 3 3 3" xfId="12411"/>
    <cellStyle name="Обычный 2 3 3 3 4" xfId="12412"/>
    <cellStyle name="Обычный 2 3 3 3 4 2" xfId="12413"/>
    <cellStyle name="Обычный 2 3 3 3 5" xfId="12414"/>
    <cellStyle name="Обычный 2 3 3 3 5 2" xfId="12415"/>
    <cellStyle name="Обычный 2 3 3 3 6" xfId="12416"/>
    <cellStyle name="Обычный 2 3 3 4" xfId="12417"/>
    <cellStyle name="Обычный 2 3 3 4 2" xfId="12418"/>
    <cellStyle name="Обычный 2 3 3 4 2 2" xfId="12419"/>
    <cellStyle name="Обычный 2 3 3 4 2 2 2" xfId="12420"/>
    <cellStyle name="Обычный 2 3 3 4 2 3" xfId="12421"/>
    <cellStyle name="Обычный 2 3 3 4 3" xfId="12422"/>
    <cellStyle name="Обычный 2 3 3 4 3 2" xfId="12423"/>
    <cellStyle name="Обычный 2 3 3 4 3 2 2" xfId="12424"/>
    <cellStyle name="Обычный 2 3 3 4 3 3" xfId="12425"/>
    <cellStyle name="Обычный 2 3 3 4 4" xfId="12426"/>
    <cellStyle name="Обычный 2 3 3 4 4 2" xfId="12427"/>
    <cellStyle name="Обычный 2 3 3 4 5" xfId="12428"/>
    <cellStyle name="Обычный 2 3 3 4 5 2" xfId="12429"/>
    <cellStyle name="Обычный 2 3 3 4 6" xfId="12430"/>
    <cellStyle name="Обычный 2 3 3 5" xfId="12431"/>
    <cellStyle name="Обычный 2 3 3 5 2" xfId="12432"/>
    <cellStyle name="Обычный 2 3 3 5 2 2" xfId="12433"/>
    <cellStyle name="Обычный 2 3 3 5 3" xfId="12434"/>
    <cellStyle name="Обычный 2 3 3 6" xfId="12435"/>
    <cellStyle name="Обычный 2 3 3 6 2" xfId="12436"/>
    <cellStyle name="Обычный 2 3 3 6 2 2" xfId="12437"/>
    <cellStyle name="Обычный 2 3 3 6 3" xfId="12438"/>
    <cellStyle name="Обычный 2 3 3 7" xfId="12439"/>
    <cellStyle name="Обычный 2 3 3 7 2" xfId="12440"/>
    <cellStyle name="Обычный 2 3 3 8" xfId="12441"/>
    <cellStyle name="Обычный 2 3 3 8 2" xfId="12442"/>
    <cellStyle name="Обычный 2 3 3 9" xfId="12443"/>
    <cellStyle name="Обычный 2 3 4" xfId="12444"/>
    <cellStyle name="Обычный 2 3 4 2" xfId="12445"/>
    <cellStyle name="Обычный 2 3 4 2 2" xfId="12446"/>
    <cellStyle name="Обычный 2 3 4 2 2 2" xfId="12447"/>
    <cellStyle name="Обычный 2 3 4 2 2 2 2" xfId="12448"/>
    <cellStyle name="Обычный 2 3 4 2 2 3" xfId="12449"/>
    <cellStyle name="Обычный 2 3 4 2 3" xfId="12450"/>
    <cellStyle name="Обычный 2 3 4 2 3 2" xfId="12451"/>
    <cellStyle name="Обычный 2 3 4 2 3 2 2" xfId="12452"/>
    <cellStyle name="Обычный 2 3 4 2 3 3" xfId="12453"/>
    <cellStyle name="Обычный 2 3 4 2 4" xfId="12454"/>
    <cellStyle name="Обычный 2 3 4 2 4 2" xfId="12455"/>
    <cellStyle name="Обычный 2 3 4 2 5" xfId="12456"/>
    <cellStyle name="Обычный 2 3 4 3" xfId="12457"/>
    <cellStyle name="Обычный 2 3 4 3 2" xfId="12458"/>
    <cellStyle name="Обычный 2 3 4 3 2 2" xfId="12459"/>
    <cellStyle name="Обычный 2 3 4 3 2 2 2" xfId="12460"/>
    <cellStyle name="Обычный 2 3 4 3 2 3" xfId="12461"/>
    <cellStyle name="Обычный 2 3 4 3 3" xfId="12462"/>
    <cellStyle name="Обычный 2 3 4 3 3 2" xfId="12463"/>
    <cellStyle name="Обычный 2 3 4 3 3 2 2" xfId="12464"/>
    <cellStyle name="Обычный 2 3 4 3 3 3" xfId="12465"/>
    <cellStyle name="Обычный 2 3 4 3 4" xfId="12466"/>
    <cellStyle name="Обычный 2 3 4 3 4 2" xfId="12467"/>
    <cellStyle name="Обычный 2 3 4 3 5" xfId="12468"/>
    <cellStyle name="Обычный 2 3 4 3 5 2" xfId="12469"/>
    <cellStyle name="Обычный 2 3 4 3 6" xfId="12470"/>
    <cellStyle name="Обычный 2 3 4 4" xfId="12471"/>
    <cellStyle name="Обычный 2 3 4 4 2" xfId="12472"/>
    <cellStyle name="Обычный 2 3 4 4 2 2" xfId="12473"/>
    <cellStyle name="Обычный 2 3 4 4 3" xfId="12474"/>
    <cellStyle name="Обычный 2 3 4 4 4" xfId="12475"/>
    <cellStyle name="Обычный 2 3 4 5" xfId="12476"/>
    <cellStyle name="Обычный 2 3 4 5 2" xfId="12477"/>
    <cellStyle name="Обычный 2 3 4 5 2 2" xfId="12478"/>
    <cellStyle name="Обычный 2 3 4 5 3" xfId="12479"/>
    <cellStyle name="Обычный 2 3 4 6" xfId="12480"/>
    <cellStyle name="Обычный 2 3 4 6 2" xfId="12481"/>
    <cellStyle name="Обычный 2 3 4 7" xfId="12482"/>
    <cellStyle name="Обычный 2 3 4 7 2" xfId="12483"/>
    <cellStyle name="Обычный 2 3 5" xfId="12484"/>
    <cellStyle name="Обычный 2 3 5 2" xfId="12485"/>
    <cellStyle name="Обычный 2 3 5 2 2" xfId="12486"/>
    <cellStyle name="Обычный 2 3 5 2 2 2" xfId="12487"/>
    <cellStyle name="Обычный 2 3 5 2 2 2 2" xfId="12488"/>
    <cellStyle name="Обычный 2 3 5 2 2 3" xfId="12489"/>
    <cellStyle name="Обычный 2 3 5 2 3" xfId="12490"/>
    <cellStyle name="Обычный 2 3 5 2 3 2" xfId="12491"/>
    <cellStyle name="Обычный 2 3 5 2 3 2 2" xfId="12492"/>
    <cellStyle name="Обычный 2 3 5 2 3 3" xfId="12493"/>
    <cellStyle name="Обычный 2 3 5 2 4" xfId="12494"/>
    <cellStyle name="Обычный 2 3 5 2 4 2" xfId="12495"/>
    <cellStyle name="Обычный 2 3 5 2 5" xfId="12496"/>
    <cellStyle name="Обычный 2 3 5 2 5 2" xfId="12497"/>
    <cellStyle name="Обычный 2 3 5 2 6" xfId="12498"/>
    <cellStyle name="Обычный 2 3 5 3" xfId="12499"/>
    <cellStyle name="Обычный 2 3 5 3 2" xfId="12500"/>
    <cellStyle name="Обычный 2 3 5 3 2 2" xfId="12501"/>
    <cellStyle name="Обычный 2 3 5 3 2 2 2" xfId="12502"/>
    <cellStyle name="Обычный 2 3 5 3 2 3" xfId="12503"/>
    <cellStyle name="Обычный 2 3 5 3 3" xfId="12504"/>
    <cellStyle name="Обычный 2 3 5 3 3 2" xfId="12505"/>
    <cellStyle name="Обычный 2 3 5 3 3 2 2" xfId="12506"/>
    <cellStyle name="Обычный 2 3 5 3 3 3" xfId="12507"/>
    <cellStyle name="Обычный 2 3 5 3 4" xfId="12508"/>
    <cellStyle name="Обычный 2 3 5 3 4 2" xfId="12509"/>
    <cellStyle name="Обычный 2 3 5 3 5" xfId="12510"/>
    <cellStyle name="Обычный 2 3 5 4" xfId="12511"/>
    <cellStyle name="Обычный 2 3 5 4 2" xfId="12512"/>
    <cellStyle name="Обычный 2 3 5 4 2 2" xfId="12513"/>
    <cellStyle name="Обычный 2 3 5 4 3" xfId="12514"/>
    <cellStyle name="Обычный 2 3 5 5" xfId="12515"/>
    <cellStyle name="Обычный 2 3 5 5 2" xfId="12516"/>
    <cellStyle name="Обычный 2 3 5 5 2 2" xfId="12517"/>
    <cellStyle name="Обычный 2 3 5 5 3" xfId="12518"/>
    <cellStyle name="Обычный 2 3 5 6" xfId="12519"/>
    <cellStyle name="Обычный 2 3 5 6 2" xfId="12520"/>
    <cellStyle name="Обычный 2 3 5 7" xfId="12521"/>
    <cellStyle name="Обычный 2 3 5 7 2" xfId="12522"/>
    <cellStyle name="Обычный 2 3 5 8" xfId="12523"/>
    <cellStyle name="Обычный 2 3 6" xfId="12524"/>
    <cellStyle name="Обычный 2 3 6 2" xfId="12525"/>
    <cellStyle name="Обычный 2 3 6 2 2" xfId="12526"/>
    <cellStyle name="Обычный 2 3 6 2 2 2" xfId="12527"/>
    <cellStyle name="Обычный 2 3 6 2 3" xfId="12528"/>
    <cellStyle name="Обычный 2 3 6 3" xfId="12529"/>
    <cellStyle name="Обычный 2 3 6 3 2" xfId="12530"/>
    <cellStyle name="Обычный 2 3 6 3 2 2" xfId="12531"/>
    <cellStyle name="Обычный 2 3 6 3 3" xfId="12532"/>
    <cellStyle name="Обычный 2 3 6 4" xfId="12533"/>
    <cellStyle name="Обычный 2 3 6 4 2" xfId="12534"/>
    <cellStyle name="Обычный 2 3 6 5" xfId="12535"/>
    <cellStyle name="Обычный 2 3 7" xfId="12536"/>
    <cellStyle name="Обычный 2 3 7 2" xfId="12537"/>
    <cellStyle name="Обычный 2 3 7 2 2" xfId="12538"/>
    <cellStyle name="Обычный 2 3 7 2 2 2" xfId="12539"/>
    <cellStyle name="Обычный 2 3 7 2 3" xfId="12540"/>
    <cellStyle name="Обычный 2 3 7 3" xfId="12541"/>
    <cellStyle name="Обычный 2 3 7 3 2" xfId="12542"/>
    <cellStyle name="Обычный 2 3 7 3 2 2" xfId="12543"/>
    <cellStyle name="Обычный 2 3 7 3 3" xfId="12544"/>
    <cellStyle name="Обычный 2 3 7 4" xfId="12545"/>
    <cellStyle name="Обычный 2 3 7 4 2" xfId="12546"/>
    <cellStyle name="Обычный 2 3 7 5" xfId="12547"/>
    <cellStyle name="Обычный 2 3 8" xfId="12548"/>
    <cellStyle name="Обычный 2 3 8 2" xfId="12549"/>
    <cellStyle name="Обычный 2 3 8 2 2" xfId="12550"/>
    <cellStyle name="Обычный 2 3 8 3" xfId="12551"/>
    <cellStyle name="Обычный 2 3 9" xfId="12552"/>
    <cellStyle name="Обычный 2 3 9 2" xfId="12553"/>
    <cellStyle name="Обычный 2 3 9 2 2" xfId="12554"/>
    <cellStyle name="Обычный 2 3 9 3" xfId="12555"/>
    <cellStyle name="Обычный 2 4" xfId="12556"/>
    <cellStyle name="Обычный 2 4 2" xfId="12557"/>
    <cellStyle name="Обычный 2 4 2 2" xfId="12558"/>
    <cellStyle name="Обычный 2 4 3" xfId="12559"/>
    <cellStyle name="Обычный 2 4 3 2" xfId="12560"/>
    <cellStyle name="Обычный 2 4 3 3" xfId="12561"/>
    <cellStyle name="Обычный 2 5" xfId="12562"/>
    <cellStyle name="Обычный 2 5 2" xfId="12563"/>
    <cellStyle name="Обычный 2 5 3" xfId="12564"/>
    <cellStyle name="Обычный 2 5 4" xfId="12565"/>
    <cellStyle name="Обычный 2 5 4 2" xfId="12566"/>
    <cellStyle name="Обычный 2 6" xfId="12567"/>
    <cellStyle name="Обычный 2 6 2" xfId="12568"/>
    <cellStyle name="Обычный 2 6 2 2" xfId="12569"/>
    <cellStyle name="Обычный 2 6 3" xfId="12570"/>
    <cellStyle name="Обычный 2 6 3 2" xfId="12571"/>
    <cellStyle name="Обычный 2 6 3 3" xfId="12572"/>
    <cellStyle name="Обычный 2 6 4" xfId="12573"/>
    <cellStyle name="Обычный 2 6 4 2" xfId="12574"/>
    <cellStyle name="Обычный 2 6 5" xfId="12575"/>
    <cellStyle name="Обычный 2 6 5 2" xfId="12576"/>
    <cellStyle name="Обычный 2 6 5 2 2" xfId="12577"/>
    <cellStyle name="Обычный 2 6 5 2 2 2" xfId="12578"/>
    <cellStyle name="Обычный 2 6 5 2 3" xfId="12579"/>
    <cellStyle name="Обычный 2 6 5 3" xfId="12580"/>
    <cellStyle name="Обычный 2 6 5 3 2" xfId="12581"/>
    <cellStyle name="Обычный 2 6 5 3 2 2" xfId="12582"/>
    <cellStyle name="Обычный 2 6 5 3 3" xfId="12583"/>
    <cellStyle name="Обычный 2 6 5 4" xfId="12584"/>
    <cellStyle name="Обычный 2 6 5 4 2" xfId="12585"/>
    <cellStyle name="Обычный 2 6 5 5" xfId="12586"/>
    <cellStyle name="Обычный 2 6_20121229 РЎРІРѕРґРЅСР№ РСЋРґРРµС РРёРРСЏ РЅРµРґРІРёРРёРјРѕСЃССЊ 2012 РїРѕРјРµСЃСЏСРЅРѕ " xfId="5"/>
    <cellStyle name="Обычный 2 7" xfId="12587"/>
    <cellStyle name="Обычный 2 7 10" xfId="12588"/>
    <cellStyle name="Обычный 2 7 2" xfId="12589"/>
    <cellStyle name="Обычный 2 7 3" xfId="12590"/>
    <cellStyle name="Обычный 2 7 4" xfId="12591"/>
    <cellStyle name="Обычный 2 7 5" xfId="12592"/>
    <cellStyle name="Обычный 2 7 6" xfId="12593"/>
    <cellStyle name="Обычный 2 7 7" xfId="12594"/>
    <cellStyle name="Обычный 2 7 8" xfId="12595"/>
    <cellStyle name="Обычный 2 7 9" xfId="12596"/>
    <cellStyle name="Обычный 2 8" xfId="12597"/>
    <cellStyle name="Обычный 2 8 2" xfId="12598"/>
    <cellStyle name="Обычный 2 8 2 2" xfId="12599"/>
    <cellStyle name="Обычный 2 8 2 2 2" xfId="12600"/>
    <cellStyle name="Обычный 2 8 2 2 2 2" xfId="12601"/>
    <cellStyle name="Обычный 2 8 2 2 3" xfId="12602"/>
    <cellStyle name="Обычный 2 8 2 3" xfId="12603"/>
    <cellStyle name="Обычный 2 8 2 3 2" xfId="12604"/>
    <cellStyle name="Обычный 2 8 2 4" xfId="12605"/>
    <cellStyle name="Обычный 2 8 3" xfId="12606"/>
    <cellStyle name="Обычный 2 9" xfId="12607"/>
    <cellStyle name="Обычный 2_0209-коломенское(v1)" xfId="12608"/>
    <cellStyle name="Обычный 20" xfId="12609"/>
    <cellStyle name="Обычный 20 10" xfId="12610"/>
    <cellStyle name="Обычный 20 10 2" xfId="12611"/>
    <cellStyle name="Обычный 20 10 2 2" xfId="12612"/>
    <cellStyle name="Обычный 20 10 3" xfId="12613"/>
    <cellStyle name="Обычный 20 11" xfId="12614"/>
    <cellStyle name="Обычный 20 11 2" xfId="12615"/>
    <cellStyle name="Обычный 20 12" xfId="12616"/>
    <cellStyle name="Обычный 20 12 2" xfId="12617"/>
    <cellStyle name="Обычный 20 13" xfId="12618"/>
    <cellStyle name="Обычный 20 2" xfId="12619"/>
    <cellStyle name="Обычный 20 2 2" xfId="12620"/>
    <cellStyle name="Обычный 20 2 2 2" xfId="12621"/>
    <cellStyle name="Обычный 20 2 2 2 2" xfId="12622"/>
    <cellStyle name="Обычный 20 2 2 2 3" xfId="12623"/>
    <cellStyle name="Обычный 20 2 2 2 4" xfId="12624"/>
    <cellStyle name="Обычный 20 2 2 3" xfId="12625"/>
    <cellStyle name="Обычный 20 2 2 4" xfId="12626"/>
    <cellStyle name="Обычный 20 2 2 5" xfId="12627"/>
    <cellStyle name="Обычный 20 2 3" xfId="12628"/>
    <cellStyle name="Обычный 20 2 3 2" xfId="12629"/>
    <cellStyle name="Обычный 20 2 3 2 2" xfId="12630"/>
    <cellStyle name="Обычный 20 2 3 2 2 2" xfId="12631"/>
    <cellStyle name="Обычный 20 2 3 2 2 2 2" xfId="12632"/>
    <cellStyle name="Обычный 20 2 3 2 2 3" xfId="12633"/>
    <cellStyle name="Обычный 20 2 3 2 3" xfId="12634"/>
    <cellStyle name="Обычный 20 2 3 2 3 2" xfId="12635"/>
    <cellStyle name="Обычный 20 2 3 2 3 2 2" xfId="12636"/>
    <cellStyle name="Обычный 20 2 3 2 3 3" xfId="12637"/>
    <cellStyle name="Обычный 20 2 3 2 4" xfId="12638"/>
    <cellStyle name="Обычный 20 2 3 2 4 2" xfId="12639"/>
    <cellStyle name="Обычный 20 2 3 2 5" xfId="12640"/>
    <cellStyle name="Обычный 20 2 3 3" xfId="12641"/>
    <cellStyle name="Обычный 20 2 3 3 2" xfId="12642"/>
    <cellStyle name="Обычный 20 2 3 3 2 2" xfId="12643"/>
    <cellStyle name="Обычный 20 2 3 3 2 2 2" xfId="12644"/>
    <cellStyle name="Обычный 20 2 3 3 2 3" xfId="12645"/>
    <cellStyle name="Обычный 20 2 3 3 3" xfId="12646"/>
    <cellStyle name="Обычный 20 2 3 3 3 2" xfId="12647"/>
    <cellStyle name="Обычный 20 2 3 3 3 2 2" xfId="12648"/>
    <cellStyle name="Обычный 20 2 3 3 3 3" xfId="12649"/>
    <cellStyle name="Обычный 20 2 3 3 4" xfId="12650"/>
    <cellStyle name="Обычный 20 2 3 3 4 2" xfId="12651"/>
    <cellStyle name="Обычный 20 2 3 3 5" xfId="12652"/>
    <cellStyle name="Обычный 20 2 3 4" xfId="12653"/>
    <cellStyle name="Обычный 20 2 3 4 2" xfId="12654"/>
    <cellStyle name="Обычный 20 2 3 4 2 2" xfId="12655"/>
    <cellStyle name="Обычный 20 2 3 4 3" xfId="12656"/>
    <cellStyle name="Обычный 20 2 3 5" xfId="12657"/>
    <cellStyle name="Обычный 20 2 3 5 2" xfId="12658"/>
    <cellStyle name="Обычный 20 2 3 5 2 2" xfId="12659"/>
    <cellStyle name="Обычный 20 2 3 5 3" xfId="12660"/>
    <cellStyle name="Обычный 20 2 3 6" xfId="12661"/>
    <cellStyle name="Обычный 20 2 3 6 2" xfId="12662"/>
    <cellStyle name="Обычный 20 2 3 7" xfId="12663"/>
    <cellStyle name="Обычный 20 2 4" xfId="12664"/>
    <cellStyle name="Обычный 20 2 4 2" xfId="12665"/>
    <cellStyle name="Обычный 20 2 5" xfId="12666"/>
    <cellStyle name="Обычный 20 2 6" xfId="12667"/>
    <cellStyle name="Обычный 20 3" xfId="12668"/>
    <cellStyle name="Обычный 20 3 2" xfId="12669"/>
    <cellStyle name="Обычный 20 3 2 2" xfId="12670"/>
    <cellStyle name="Обычный 20 3 2 2 2" xfId="12671"/>
    <cellStyle name="Обычный 20 3 2 2 2 2" xfId="12672"/>
    <cellStyle name="Обычный 20 3 2 2 2 2 2" xfId="12673"/>
    <cellStyle name="Обычный 20 3 2 2 2 2 2 2" xfId="12674"/>
    <cellStyle name="Обычный 20 3 2 2 2 2 2 3" xfId="12675"/>
    <cellStyle name="Обычный 20 3 2 2 2 2 2 4" xfId="12676"/>
    <cellStyle name="Обычный 20 3 2 2 2 2 3" xfId="12677"/>
    <cellStyle name="Обычный 20 3 2 2 2 2 4" xfId="12678"/>
    <cellStyle name="Обычный 20 3 2 2 2 2 5" xfId="12679"/>
    <cellStyle name="Обычный 20 3 2 2 2 3" xfId="12680"/>
    <cellStyle name="Обычный 20 3 2 2 2 3 2" xfId="12681"/>
    <cellStyle name="Обычный 20 3 2 2 2 3 3" xfId="12682"/>
    <cellStyle name="Обычный 20 3 2 2 2 3 4" xfId="12683"/>
    <cellStyle name="Обычный 20 3 2 2 2 4" xfId="12684"/>
    <cellStyle name="Обычный 20 3 2 2 2 5" xfId="12685"/>
    <cellStyle name="Обычный 20 3 2 2 2 6" xfId="12686"/>
    <cellStyle name="Обычный 20 3 2 2 3" xfId="12687"/>
    <cellStyle name="Обычный 20 3 2 2 3 2" xfId="12688"/>
    <cellStyle name="Обычный 20 3 2 2 3 2 2" xfId="12689"/>
    <cellStyle name="Обычный 20 3 2 2 3 2 2 2" xfId="12690"/>
    <cellStyle name="Обычный 20 3 2 2 3 2 2 2 2" xfId="12691"/>
    <cellStyle name="Обычный 20 3 2 2 3 2 2 2 2 2" xfId="12692"/>
    <cellStyle name="Обычный 20 3 2 2 3 2 2 2 2 3" xfId="12693"/>
    <cellStyle name="Обычный 20 3 2 2 3 2 2 2 2 4" xfId="12694"/>
    <cellStyle name="Обычный 20 3 2 2 3 2 2 2 3" xfId="12695"/>
    <cellStyle name="Обычный 20 3 2 2 3 2 2 2 4" xfId="12696"/>
    <cellStyle name="Обычный 20 3 2 2 3 2 2 2 5" xfId="12697"/>
    <cellStyle name="Обычный 20 3 2 2 3 2 2 3" xfId="12698"/>
    <cellStyle name="Обычный 20 3 2 2 3 2 2 3 2" xfId="12699"/>
    <cellStyle name="Обычный 20 3 2 2 3 2 2 3 3" xfId="12700"/>
    <cellStyle name="Обычный 20 3 2 2 3 2 2 3 4" xfId="12701"/>
    <cellStyle name="Обычный 20 3 2 2 3 2 2 4" xfId="12702"/>
    <cellStyle name="Обычный 20 3 2 2 3 2 2 5" xfId="12703"/>
    <cellStyle name="Обычный 20 3 2 2 3 2 2 6" xfId="12704"/>
    <cellStyle name="Обычный 20 3 2 2 3 2 3" xfId="12705"/>
    <cellStyle name="Обычный 20 3 2 2 3 2 3 2" xfId="12706"/>
    <cellStyle name="Обычный 20 3 2 2 3 2 3 2 2" xfId="12707"/>
    <cellStyle name="Обычный 20 3 2 2 3 2 3 2 3" xfId="12708"/>
    <cellStyle name="Обычный 20 3 2 2 3 2 3 2 4" xfId="12709"/>
    <cellStyle name="Обычный 20 3 2 2 3 2 3 3" xfId="12710"/>
    <cellStyle name="Обычный 20 3 2 2 3 2 3 4" xfId="12711"/>
    <cellStyle name="Обычный 20 3 2 2 3 2 3 5" xfId="12712"/>
    <cellStyle name="Обычный 20 3 2 2 3 2 4" xfId="12713"/>
    <cellStyle name="Обычный 20 3 2 2 3 2 4 2" xfId="12714"/>
    <cellStyle name="Обычный 20 3 2 2 3 2 4 3" xfId="12715"/>
    <cellStyle name="Обычный 20 3 2 2 3 2 4 4" xfId="12716"/>
    <cellStyle name="Обычный 20 3 2 2 3 2 5" xfId="12717"/>
    <cellStyle name="Обычный 20 3 2 2 3 2 5 2" xfId="12718"/>
    <cellStyle name="Обычный 20 3 2 2 3 2 5 3" xfId="12719"/>
    <cellStyle name="Обычный 20 3 2 2 3 2 5 4" xfId="12720"/>
    <cellStyle name="Обычный 20 3 2 2 3 2 6" xfId="12721"/>
    <cellStyle name="Обычный 20 3 2 2 3 2 7" xfId="12722"/>
    <cellStyle name="Обычный 20 3 2 2 3 2 8" xfId="12723"/>
    <cellStyle name="Обычный 20 3 2 2 3 3" xfId="12724"/>
    <cellStyle name="Обычный 20 3 2 2 3 3 2" xfId="12725"/>
    <cellStyle name="Обычный 20 3 2 2 3 3 2 2" xfId="12726"/>
    <cellStyle name="Обычный 20 3 2 2 3 3 2 2 2" xfId="12727"/>
    <cellStyle name="Обычный 20 3 2 2 3 3 2 2 3" xfId="12728"/>
    <cellStyle name="Обычный 20 3 2 2 3 3 2 2 4" xfId="12729"/>
    <cellStyle name="Обычный 20 3 2 2 3 3 2 3" xfId="12730"/>
    <cellStyle name="Обычный 20 3 2 2 3 3 2 4" xfId="12731"/>
    <cellStyle name="Обычный 20 3 2 2 3 3 2 5" xfId="12732"/>
    <cellStyle name="Обычный 20 3 2 2 3 3 3" xfId="12733"/>
    <cellStyle name="Обычный 20 3 2 2 3 3 3 2" xfId="12734"/>
    <cellStyle name="Обычный 20 3 2 2 3 3 3 3" xfId="12735"/>
    <cellStyle name="Обычный 20 3 2 2 3 3 3 4" xfId="12736"/>
    <cellStyle name="Обычный 20 3 2 2 3 3 4" xfId="12737"/>
    <cellStyle name="Обычный 20 3 2 2 3 3 5" xfId="12738"/>
    <cellStyle name="Обычный 20 3 2 2 3 3 6" xfId="12739"/>
    <cellStyle name="Обычный 20 3 2 2 3 4" xfId="12740"/>
    <cellStyle name="Обычный 20 3 2 2 3 4 2" xfId="12741"/>
    <cellStyle name="Обычный 20 3 2 2 3 4 2 2" xfId="12742"/>
    <cellStyle name="Обычный 20 3 2 2 3 4 2 3" xfId="12743"/>
    <cellStyle name="Обычный 20 3 2 2 3 4 2 4" xfId="12744"/>
    <cellStyle name="Обычный 20 3 2 2 3 4 3" xfId="12745"/>
    <cellStyle name="Обычный 20 3 2 2 3 4 4" xfId="12746"/>
    <cellStyle name="Обычный 20 3 2 2 3 4 5" xfId="12747"/>
    <cellStyle name="Обычный 20 3 2 2 3 5" xfId="12748"/>
    <cellStyle name="Обычный 20 3 2 2 3 5 2" xfId="12749"/>
    <cellStyle name="Обычный 20 3 2 2 3 5 3" xfId="12750"/>
    <cellStyle name="Обычный 20 3 2 2 3 5 4" xfId="12751"/>
    <cellStyle name="Обычный 20 3 2 2 3 6" xfId="12752"/>
    <cellStyle name="Обычный 20 3 2 2 3 6 2" xfId="12753"/>
    <cellStyle name="Обычный 20 3 2 2 3 6 3" xfId="12754"/>
    <cellStyle name="Обычный 20 3 2 2 3 6 4" xfId="12755"/>
    <cellStyle name="Обычный 20 3 2 2 3 7" xfId="12756"/>
    <cellStyle name="Обычный 20 3 2 2 3 8" xfId="12757"/>
    <cellStyle name="Обычный 20 3 2 2 3 9" xfId="12758"/>
    <cellStyle name="Обычный 20 3 2 2 4" xfId="12759"/>
    <cellStyle name="Обычный 20 3 2 2 4 2" xfId="12760"/>
    <cellStyle name="Обычный 20 3 2 2 4 2 2" xfId="12761"/>
    <cellStyle name="Обычный 20 3 2 2 4 2 3" xfId="12762"/>
    <cellStyle name="Обычный 20 3 2 2 4 2 4" xfId="12763"/>
    <cellStyle name="Обычный 20 3 2 2 4 3" xfId="12764"/>
    <cellStyle name="Обычный 20 3 2 2 4 4" xfId="12765"/>
    <cellStyle name="Обычный 20 3 2 2 4 5" xfId="12766"/>
    <cellStyle name="Обычный 20 3 2 2 5" xfId="12767"/>
    <cellStyle name="Обычный 20 3 2 2 5 2" xfId="12768"/>
    <cellStyle name="Обычный 20 3 2 2 5 3" xfId="12769"/>
    <cellStyle name="Обычный 20 3 2 2 5 4" xfId="12770"/>
    <cellStyle name="Обычный 20 3 2 2 6" xfId="12771"/>
    <cellStyle name="Обычный 20 3 2 2 7" xfId="12772"/>
    <cellStyle name="Обычный 20 3 2 2 8" xfId="12773"/>
    <cellStyle name="Обычный 20 3 2 3" xfId="12774"/>
    <cellStyle name="Обычный 20 3 2 3 2" xfId="12775"/>
    <cellStyle name="Обычный 20 3 2 3 2 2" xfId="12776"/>
    <cellStyle name="Обычный 20 3 2 3 2 3" xfId="12777"/>
    <cellStyle name="Обычный 20 3 2 3 2 4" xfId="12778"/>
    <cellStyle name="Обычный 20 3 2 3 3" xfId="12779"/>
    <cellStyle name="Обычный 20 3 2 3 4" xfId="12780"/>
    <cellStyle name="Обычный 20 3 2 3 5" xfId="12781"/>
    <cellStyle name="Обычный 20 3 2 4" xfId="12782"/>
    <cellStyle name="Обычный 20 3 2 4 2" xfId="12783"/>
    <cellStyle name="Обычный 20 3 2 4 3" xfId="12784"/>
    <cellStyle name="Обычный 20 3 2 4 4" xfId="12785"/>
    <cellStyle name="Обычный 20 3 2 5" xfId="12786"/>
    <cellStyle name="Обычный 20 3 2 6" xfId="12787"/>
    <cellStyle name="Обычный 20 3 2 7" xfId="12788"/>
    <cellStyle name="Обычный 20 3 3" xfId="12789"/>
    <cellStyle name="Обычный 20 3 3 2" xfId="12790"/>
    <cellStyle name="Обычный 20 3 3 2 2" xfId="12791"/>
    <cellStyle name="Обычный 20 3 3 2 2 2" xfId="12792"/>
    <cellStyle name="Обычный 20 3 3 2 2 3" xfId="12793"/>
    <cellStyle name="Обычный 20 3 3 2 2 4" xfId="12794"/>
    <cellStyle name="Обычный 20 3 3 2 3" xfId="12795"/>
    <cellStyle name="Обычный 20 3 3 2 4" xfId="12796"/>
    <cellStyle name="Обычный 20 3 3 2 5" xfId="12797"/>
    <cellStyle name="Обычный 20 3 3 3" xfId="12798"/>
    <cellStyle name="Обычный 20 3 3 3 2" xfId="12799"/>
    <cellStyle name="Обычный 20 3 3 3 3" xfId="12800"/>
    <cellStyle name="Обычный 20 3 3 3 4" xfId="12801"/>
    <cellStyle name="Обычный 20 3 3 4" xfId="12802"/>
    <cellStyle name="Обычный 20 3 3 5" xfId="12803"/>
    <cellStyle name="Обычный 20 3 3 6" xfId="12804"/>
    <cellStyle name="Обычный 20 3 4" xfId="12805"/>
    <cellStyle name="Обычный 20 3 4 2" xfId="12806"/>
    <cellStyle name="Обычный 20 3 4 2 2" xfId="12807"/>
    <cellStyle name="Обычный 20 3 4 2 3" xfId="12808"/>
    <cellStyle name="Обычный 20 3 4 2 4" xfId="12809"/>
    <cellStyle name="Обычный 20 3 4 3" xfId="12810"/>
    <cellStyle name="Обычный 20 3 4 4" xfId="12811"/>
    <cellStyle name="Обычный 20 3 4 5" xfId="12812"/>
    <cellStyle name="Обычный 20 3 5" xfId="12813"/>
    <cellStyle name="Обычный 20 3 5 2" xfId="12814"/>
    <cellStyle name="Обычный 20 3 5 3" xfId="12815"/>
    <cellStyle name="Обычный 20 3 5 4" xfId="12816"/>
    <cellStyle name="Обычный 20 3 6" xfId="12817"/>
    <cellStyle name="Обычный 20 3 7" xfId="12818"/>
    <cellStyle name="Обычный 20 3 8" xfId="12819"/>
    <cellStyle name="Обычный 20 4" xfId="12820"/>
    <cellStyle name="Обычный 20 4 2" xfId="12821"/>
    <cellStyle name="Обычный 20 4 2 2" xfId="12822"/>
    <cellStyle name="Обычный 20 4 2 2 2" xfId="12823"/>
    <cellStyle name="Обычный 20 4 2 2 2 2" xfId="12824"/>
    <cellStyle name="Обычный 20 4 2 2 2 2 2" xfId="12825"/>
    <cellStyle name="Обычный 20 4 2 2 2 3" xfId="12826"/>
    <cellStyle name="Обычный 20 4 2 2 2 4" xfId="12827"/>
    <cellStyle name="Обычный 20 4 2 2 3" xfId="12828"/>
    <cellStyle name="Обычный 20 4 2 2 3 2" xfId="12829"/>
    <cellStyle name="Обычный 20 4 2 2 4" xfId="12830"/>
    <cellStyle name="Обычный 20 4 2 2 4 2" xfId="12831"/>
    <cellStyle name="Обычный 20 4 2 2 5" xfId="12832"/>
    <cellStyle name="Обычный 20 4 2 3" xfId="12833"/>
    <cellStyle name="Обычный 20 4 2 3 2" xfId="12834"/>
    <cellStyle name="Обычный 20 4 2 3 2 2" xfId="12835"/>
    <cellStyle name="Обычный 20 4 2 3 3" xfId="12836"/>
    <cellStyle name="Обычный 20 4 2 3 4" xfId="12837"/>
    <cellStyle name="Обычный 20 4 2 4" xfId="12838"/>
    <cellStyle name="Обычный 20 4 2 4 2" xfId="12839"/>
    <cellStyle name="Обычный 20 4 2 4 2 2" xfId="12840"/>
    <cellStyle name="Обычный 20 4 2 4 3" xfId="12841"/>
    <cellStyle name="Обычный 20 4 2 5" xfId="12842"/>
    <cellStyle name="Обычный 20 4 2 5 2" xfId="12843"/>
    <cellStyle name="Обычный 20 4 2 6" xfId="12844"/>
    <cellStyle name="Обычный 20 4 2 6 2" xfId="12845"/>
    <cellStyle name="Обычный 20 4 2 7" xfId="12846"/>
    <cellStyle name="Обычный 20 4 3" xfId="12847"/>
    <cellStyle name="Обычный 20 4 3 2" xfId="12848"/>
    <cellStyle name="Обычный 20 4 3 2 2" xfId="12849"/>
    <cellStyle name="Обычный 20 4 3 2 2 2" xfId="12850"/>
    <cellStyle name="Обычный 20 4 3 2 2 3" xfId="12851"/>
    <cellStyle name="Обычный 20 4 3 2 2 4" xfId="12852"/>
    <cellStyle name="Обычный 20 4 3 2 3" xfId="12853"/>
    <cellStyle name="Обычный 20 4 3 2 4" xfId="12854"/>
    <cellStyle name="Обычный 20 4 3 2 5" xfId="12855"/>
    <cellStyle name="Обычный 20 4 3 3" xfId="12856"/>
    <cellStyle name="Обычный 20 4 3 3 2" xfId="12857"/>
    <cellStyle name="Обычный 20 4 3 3 2 2" xfId="12858"/>
    <cellStyle name="Обычный 20 4 3 3 3" xfId="12859"/>
    <cellStyle name="Обычный 20 4 3 3 4" xfId="12860"/>
    <cellStyle name="Обычный 20 4 3 4" xfId="12861"/>
    <cellStyle name="Обычный 20 4 3 4 2" xfId="12862"/>
    <cellStyle name="Обычный 20 4 3 5" xfId="12863"/>
    <cellStyle name="Обычный 20 4 3 5 2" xfId="12864"/>
    <cellStyle name="Обычный 20 4 3 6" xfId="12865"/>
    <cellStyle name="Обычный 20 4 4" xfId="12866"/>
    <cellStyle name="Обычный 20 4 4 2" xfId="12867"/>
    <cellStyle name="Обычный 20 4 4 2 2" xfId="12868"/>
    <cellStyle name="Обычный 20 4 4 2 2 2" xfId="12869"/>
    <cellStyle name="Обычный 20 4 4 2 3" xfId="12870"/>
    <cellStyle name="Обычный 20 4 4 2 4" xfId="12871"/>
    <cellStyle name="Обычный 20 4 4 3" xfId="12872"/>
    <cellStyle name="Обычный 20 4 4 3 2" xfId="12873"/>
    <cellStyle name="Обычный 20 4 4 4" xfId="12874"/>
    <cellStyle name="Обычный 20 4 4 4 2" xfId="12875"/>
    <cellStyle name="Обычный 20 4 4 5" xfId="12876"/>
    <cellStyle name="Обычный 20 4 5" xfId="12877"/>
    <cellStyle name="Обычный 20 4 5 2" xfId="12878"/>
    <cellStyle name="Обычный 20 4 5 2 2" xfId="12879"/>
    <cellStyle name="Обычный 20 4 5 3" xfId="12880"/>
    <cellStyle name="Обычный 20 4 5 4" xfId="12881"/>
    <cellStyle name="Обычный 20 4 6" xfId="12882"/>
    <cellStyle name="Обычный 20 4 6 2" xfId="12883"/>
    <cellStyle name="Обычный 20 4 6 2 2" xfId="12884"/>
    <cellStyle name="Обычный 20 4 6 3" xfId="12885"/>
    <cellStyle name="Обычный 20 4 7" xfId="12886"/>
    <cellStyle name="Обычный 20 4 7 2" xfId="12887"/>
    <cellStyle name="Обычный 20 4 8" xfId="12888"/>
    <cellStyle name="Обычный 20 4 8 2" xfId="12889"/>
    <cellStyle name="Обычный 20 4 9" xfId="12890"/>
    <cellStyle name="Обычный 20 5" xfId="12891"/>
    <cellStyle name="Обычный 20 5 2" xfId="12892"/>
    <cellStyle name="Обычный 20 5 2 2" xfId="12893"/>
    <cellStyle name="Обычный 20 5 2 2 2" xfId="12894"/>
    <cellStyle name="Обычный 20 5 2 2 2 2" xfId="12895"/>
    <cellStyle name="Обычный 20 5 2 2 2 2 2" xfId="12896"/>
    <cellStyle name="Обычный 20 5 2 2 2 3" xfId="12897"/>
    <cellStyle name="Обычный 20 5 2 2 3" xfId="12898"/>
    <cellStyle name="Обычный 20 5 2 2 3 2" xfId="12899"/>
    <cellStyle name="Обычный 20 5 2 2 4" xfId="12900"/>
    <cellStyle name="Обычный 20 5 2 3" xfId="12901"/>
    <cellStyle name="Обычный 20 5 2 3 2" xfId="12902"/>
    <cellStyle name="Обычный 20 5 2 3 2 2" xfId="12903"/>
    <cellStyle name="Обычный 20 5 2 3 3" xfId="12904"/>
    <cellStyle name="Обычный 20 5 2 4" xfId="12905"/>
    <cellStyle name="Обычный 20 5 2 4 2" xfId="12906"/>
    <cellStyle name="Обычный 20 5 2 4 2 2" xfId="12907"/>
    <cellStyle name="Обычный 20 5 2 4 3" xfId="12908"/>
    <cellStyle name="Обычный 20 5 2 5" xfId="12909"/>
    <cellStyle name="Обычный 20 5 2 5 2" xfId="12910"/>
    <cellStyle name="Обычный 20 5 2 6" xfId="12911"/>
    <cellStyle name="Обычный 20 5 2 6 2" xfId="12912"/>
    <cellStyle name="Обычный 20 5 2 7" xfId="12913"/>
    <cellStyle name="Обычный 20 5 3" xfId="12914"/>
    <cellStyle name="Обычный 20 5 3 2" xfId="12915"/>
    <cellStyle name="Обычный 20 5 3 2 2" xfId="12916"/>
    <cellStyle name="Обычный 20 5 3 2 2 2" xfId="12917"/>
    <cellStyle name="Обычный 20 5 3 2 3" xfId="12918"/>
    <cellStyle name="Обычный 20 5 3 3" xfId="12919"/>
    <cellStyle name="Обычный 20 5 3 3 2" xfId="12920"/>
    <cellStyle name="Обычный 20 5 3 3 2 2" xfId="12921"/>
    <cellStyle name="Обычный 20 5 3 3 3" xfId="12922"/>
    <cellStyle name="Обычный 20 5 3 4" xfId="12923"/>
    <cellStyle name="Обычный 20 5 3 4 2" xfId="12924"/>
    <cellStyle name="Обычный 20 5 3 5" xfId="12925"/>
    <cellStyle name="Обычный 20 5 3 5 2" xfId="12926"/>
    <cellStyle name="Обычный 20 5 3 6" xfId="12927"/>
    <cellStyle name="Обычный 20 5 4" xfId="12928"/>
    <cellStyle name="Обычный 20 5 4 2" xfId="12929"/>
    <cellStyle name="Обычный 20 5 4 2 2" xfId="12930"/>
    <cellStyle name="Обычный 20 5 4 3" xfId="12931"/>
    <cellStyle name="Обычный 20 5 5" xfId="12932"/>
    <cellStyle name="Обычный 20 5 5 2" xfId="12933"/>
    <cellStyle name="Обычный 20 5 5 2 2" xfId="12934"/>
    <cellStyle name="Обычный 20 5 5 3" xfId="12935"/>
    <cellStyle name="Обычный 20 5 6" xfId="12936"/>
    <cellStyle name="Обычный 20 5 6 2" xfId="12937"/>
    <cellStyle name="Обычный 20 5 7" xfId="12938"/>
    <cellStyle name="Обычный 20 5 7 2" xfId="12939"/>
    <cellStyle name="Обычный 20 5 8" xfId="12940"/>
    <cellStyle name="Обычный 20 6" xfId="12941"/>
    <cellStyle name="Обычный 20 6 2" xfId="12942"/>
    <cellStyle name="Обычный 20 6 2 2" xfId="12943"/>
    <cellStyle name="Обычный 20 6 2 2 2" xfId="12944"/>
    <cellStyle name="Обычный 20 6 2 2 2 2" xfId="12945"/>
    <cellStyle name="Обычный 20 6 2 2 3" xfId="12946"/>
    <cellStyle name="Обычный 20 6 2 3" xfId="12947"/>
    <cellStyle name="Обычный 20 6 2 3 2" xfId="12948"/>
    <cellStyle name="Обычный 20 6 2 3 2 2" xfId="12949"/>
    <cellStyle name="Обычный 20 6 2 3 3" xfId="12950"/>
    <cellStyle name="Обычный 20 6 2 4" xfId="12951"/>
    <cellStyle name="Обычный 20 6 2 4 2" xfId="12952"/>
    <cellStyle name="Обычный 20 6 2 5" xfId="12953"/>
    <cellStyle name="Обычный 20 6 2 5 2" xfId="12954"/>
    <cellStyle name="Обычный 20 6 2 6" xfId="12955"/>
    <cellStyle name="Обычный 20 6 3" xfId="12956"/>
    <cellStyle name="Обычный 20 6 3 2" xfId="12957"/>
    <cellStyle name="Обычный 20 6 3 2 2" xfId="12958"/>
    <cellStyle name="Обычный 20 6 3 2 2 2" xfId="12959"/>
    <cellStyle name="Обычный 20 6 3 2 3" xfId="12960"/>
    <cellStyle name="Обычный 20 6 3 3" xfId="12961"/>
    <cellStyle name="Обычный 20 6 3 3 2" xfId="12962"/>
    <cellStyle name="Обычный 20 6 3 3 2 2" xfId="12963"/>
    <cellStyle name="Обычный 20 6 3 3 3" xfId="12964"/>
    <cellStyle name="Обычный 20 6 3 4" xfId="12965"/>
    <cellStyle name="Обычный 20 6 3 4 2" xfId="12966"/>
    <cellStyle name="Обычный 20 6 3 5" xfId="12967"/>
    <cellStyle name="Обычный 20 6 4" xfId="12968"/>
    <cellStyle name="Обычный 20 6 4 2" xfId="12969"/>
    <cellStyle name="Обычный 20 6 4 2 2" xfId="12970"/>
    <cellStyle name="Обычный 20 6 4 3" xfId="12971"/>
    <cellStyle name="Обычный 20 6 5" xfId="12972"/>
    <cellStyle name="Обычный 20 6 5 2" xfId="12973"/>
    <cellStyle name="Обычный 20 6 5 2 2" xfId="12974"/>
    <cellStyle name="Обычный 20 6 5 3" xfId="12975"/>
    <cellStyle name="Обычный 20 6 6" xfId="12976"/>
    <cellStyle name="Обычный 20 6 6 2" xfId="12977"/>
    <cellStyle name="Обычный 20 6 7" xfId="12978"/>
    <cellStyle name="Обычный 20 6 7 2" xfId="12979"/>
    <cellStyle name="Обычный 20 6 8" xfId="12980"/>
    <cellStyle name="Обычный 20 7" xfId="12981"/>
    <cellStyle name="Обычный 20 7 2" xfId="12982"/>
    <cellStyle name="Обычный 20 7 2 2" xfId="12983"/>
    <cellStyle name="Обычный 20 7 2 2 2" xfId="12984"/>
    <cellStyle name="Обычный 20 7 2 3" xfId="12985"/>
    <cellStyle name="Обычный 20 7 3" xfId="12986"/>
    <cellStyle name="Обычный 20 7 3 2" xfId="12987"/>
    <cellStyle name="Обычный 20 7 3 2 2" xfId="12988"/>
    <cellStyle name="Обычный 20 7 3 3" xfId="12989"/>
    <cellStyle name="Обычный 20 7 4" xfId="12990"/>
    <cellStyle name="Обычный 20 7 4 2" xfId="12991"/>
    <cellStyle name="Обычный 20 7 5" xfId="12992"/>
    <cellStyle name="Обычный 20 7 5 2" xfId="12993"/>
    <cellStyle name="Обычный 20 7 6" xfId="12994"/>
    <cellStyle name="Обычный 20 8" xfId="12995"/>
    <cellStyle name="Обычный 20 8 2" xfId="12996"/>
    <cellStyle name="Обычный 20 8 2 2" xfId="12997"/>
    <cellStyle name="Обычный 20 8 2 2 2" xfId="12998"/>
    <cellStyle name="Обычный 20 8 2 3" xfId="12999"/>
    <cellStyle name="Обычный 20 8 3" xfId="13000"/>
    <cellStyle name="Обычный 20 8 3 2" xfId="13001"/>
    <cellStyle name="Обычный 20 8 3 2 2" xfId="13002"/>
    <cellStyle name="Обычный 20 8 3 3" xfId="13003"/>
    <cellStyle name="Обычный 20 8 4" xfId="13004"/>
    <cellStyle name="Обычный 20 8 4 2" xfId="13005"/>
    <cellStyle name="Обычный 20 8 5" xfId="13006"/>
    <cellStyle name="Обычный 20 9" xfId="13007"/>
    <cellStyle name="Обычный 20 9 2" xfId="13008"/>
    <cellStyle name="Обычный 20 9 2 2" xfId="13009"/>
    <cellStyle name="Обычный 20 9 3" xfId="13010"/>
    <cellStyle name="Обычный 200" xfId="13011"/>
    <cellStyle name="Обычный 201" xfId="13012"/>
    <cellStyle name="Обычный 202" xfId="13013"/>
    <cellStyle name="Обычный 203" xfId="13014"/>
    <cellStyle name="Обычный 204" xfId="13015"/>
    <cellStyle name="Обычный 205" xfId="13016"/>
    <cellStyle name="Обычный 206" xfId="13017"/>
    <cellStyle name="Обычный 207" xfId="13018"/>
    <cellStyle name="Обычный 208" xfId="13019"/>
    <cellStyle name="Обычный 209" xfId="13020"/>
    <cellStyle name="Обычный 21" xfId="13021"/>
    <cellStyle name="Обычный 21 10" xfId="13022"/>
    <cellStyle name="Обычный 21 10 2" xfId="13023"/>
    <cellStyle name="Обычный 21 10 2 2" xfId="13024"/>
    <cellStyle name="Обычный 21 10 2 2 2" xfId="13025"/>
    <cellStyle name="Обычный 21 10 2 2 2 2" xfId="13026"/>
    <cellStyle name="Обычный 21 10 2 2 2 2 2" xfId="13027"/>
    <cellStyle name="Обычный 21 10 2 2 2 3" xfId="13028"/>
    <cellStyle name="Обычный 21 10 2 2 3" xfId="13029"/>
    <cellStyle name="Обычный 21 10 2 2 3 2" xfId="13030"/>
    <cellStyle name="Обычный 21 10 2 2 3 2 2" xfId="13031"/>
    <cellStyle name="Обычный 21 10 2 2 3 3" xfId="13032"/>
    <cellStyle name="Обычный 21 10 2 2 4" xfId="13033"/>
    <cellStyle name="Обычный 21 10 2 2 4 2" xfId="13034"/>
    <cellStyle name="Обычный 21 10 2 2 5" xfId="13035"/>
    <cellStyle name="Обычный 21 10 2 2 5 2" xfId="13036"/>
    <cellStyle name="Обычный 21 10 2 2 6" xfId="13037"/>
    <cellStyle name="Обычный 21 10 2 3" xfId="13038"/>
    <cellStyle name="Обычный 21 10 2 3 2" xfId="13039"/>
    <cellStyle name="Обычный 21 10 2 3 2 2" xfId="13040"/>
    <cellStyle name="Обычный 21 10 2 3 2 2 2" xfId="13041"/>
    <cellStyle name="Обычный 21 10 2 3 2 3" xfId="13042"/>
    <cellStyle name="Обычный 21 10 2 3 3" xfId="13043"/>
    <cellStyle name="Обычный 21 10 2 3 3 2" xfId="13044"/>
    <cellStyle name="Обычный 21 10 2 3 3 2 2" xfId="13045"/>
    <cellStyle name="Обычный 21 10 2 3 3 3" xfId="13046"/>
    <cellStyle name="Обычный 21 10 2 3 4" xfId="13047"/>
    <cellStyle name="Обычный 21 10 2 3 4 2" xfId="13048"/>
    <cellStyle name="Обычный 21 10 2 3 5" xfId="13049"/>
    <cellStyle name="Обычный 21 10 2 3 5 2" xfId="13050"/>
    <cellStyle name="Обычный 21 10 2 3 6" xfId="13051"/>
    <cellStyle name="Обычный 21 10 2 4" xfId="13052"/>
    <cellStyle name="Обычный 21 10 2 4 2" xfId="13053"/>
    <cellStyle name="Обычный 21 10 2 4 2 2" xfId="13054"/>
    <cellStyle name="Обычный 21 10 2 4 3" xfId="13055"/>
    <cellStyle name="Обычный 21 10 2 4 3 2" xfId="13056"/>
    <cellStyle name="Обычный 21 10 2 4 4" xfId="13057"/>
    <cellStyle name="Обычный 21 10 2 5" xfId="13058"/>
    <cellStyle name="Обычный 21 10 2 5 2" xfId="13059"/>
    <cellStyle name="Обычный 21 10 2 5 2 2" xfId="13060"/>
    <cellStyle name="Обычный 21 10 2 5 3" xfId="13061"/>
    <cellStyle name="Обычный 21 10 2 6" xfId="13062"/>
    <cellStyle name="Обычный 21 10 2 6 2" xfId="13063"/>
    <cellStyle name="Обычный 21 10 2 7" xfId="13064"/>
    <cellStyle name="Обычный 21 10 2 7 2" xfId="13065"/>
    <cellStyle name="Обычный 21 10 2 8" xfId="13066"/>
    <cellStyle name="Обычный 21 10 3" xfId="13067"/>
    <cellStyle name="Обычный 21 10 3 2" xfId="13068"/>
    <cellStyle name="Обычный 21 10 3 2 2" xfId="13069"/>
    <cellStyle name="Обычный 21 10 3 2 2 2" xfId="13070"/>
    <cellStyle name="Обычный 21 10 3 2 3" xfId="13071"/>
    <cellStyle name="Обычный 21 10 3 3" xfId="13072"/>
    <cellStyle name="Обычный 21 10 3 3 2" xfId="13073"/>
    <cellStyle name="Обычный 21 10 3 3 2 2" xfId="13074"/>
    <cellStyle name="Обычный 21 10 3 3 3" xfId="13075"/>
    <cellStyle name="Обычный 21 10 3 4" xfId="13076"/>
    <cellStyle name="Обычный 21 10 3 4 2" xfId="13077"/>
    <cellStyle name="Обычный 21 10 3 5" xfId="13078"/>
    <cellStyle name="Обычный 21 10 3 5 2" xfId="13079"/>
    <cellStyle name="Обычный 21 10 3 6" xfId="13080"/>
    <cellStyle name="Обычный 21 10 4" xfId="13081"/>
    <cellStyle name="Обычный 21 10 4 2" xfId="13082"/>
    <cellStyle name="Обычный 21 10 4 2 2" xfId="13083"/>
    <cellStyle name="Обычный 21 10 4 2 2 2" xfId="13084"/>
    <cellStyle name="Обычный 21 10 4 2 3" xfId="13085"/>
    <cellStyle name="Обычный 21 10 4 3" xfId="13086"/>
    <cellStyle name="Обычный 21 10 4 3 2" xfId="13087"/>
    <cellStyle name="Обычный 21 10 4 3 2 2" xfId="13088"/>
    <cellStyle name="Обычный 21 10 4 3 3" xfId="13089"/>
    <cellStyle name="Обычный 21 10 4 4" xfId="13090"/>
    <cellStyle name="Обычный 21 10 4 4 2" xfId="13091"/>
    <cellStyle name="Обычный 21 10 4 5" xfId="13092"/>
    <cellStyle name="Обычный 21 10 4 5 2" xfId="13093"/>
    <cellStyle name="Обычный 21 10 4 6" xfId="13094"/>
    <cellStyle name="Обычный 21 10 5" xfId="13095"/>
    <cellStyle name="Обычный 21 10 5 2" xfId="13096"/>
    <cellStyle name="Обычный 21 10 5 2 2" xfId="13097"/>
    <cellStyle name="Обычный 21 10 5 3" xfId="13098"/>
    <cellStyle name="Обычный 21 10 5 3 2" xfId="13099"/>
    <cellStyle name="Обычный 21 10 5 4" xfId="13100"/>
    <cellStyle name="Обычный 21 10 6" xfId="13101"/>
    <cellStyle name="Обычный 21 10 6 2" xfId="13102"/>
    <cellStyle name="Обычный 21 10 6 2 2" xfId="13103"/>
    <cellStyle name="Обычный 21 10 6 3" xfId="13104"/>
    <cellStyle name="Обычный 21 10 7" xfId="13105"/>
    <cellStyle name="Обычный 21 10 7 2" xfId="13106"/>
    <cellStyle name="Обычный 21 10 8" xfId="13107"/>
    <cellStyle name="Обычный 21 10 8 2" xfId="13108"/>
    <cellStyle name="Обычный 21 10 9" xfId="13109"/>
    <cellStyle name="Обычный 21 11" xfId="13110"/>
    <cellStyle name="Обычный 21 11 10" xfId="13111"/>
    <cellStyle name="Обычный 21 11 10 2" xfId="13112"/>
    <cellStyle name="Обычный 21 11 10 2 2" xfId="13113"/>
    <cellStyle name="Обычный 21 11 10 2 2 2" xfId="13114"/>
    <cellStyle name="Обычный 21 11 10 2 3" xfId="13115"/>
    <cellStyle name="Обычный 21 11 10 3" xfId="13116"/>
    <cellStyle name="Обычный 21 11 10 3 2" xfId="13117"/>
    <cellStyle name="Обычный 21 11 10 3 2 2" xfId="13118"/>
    <cellStyle name="Обычный 21 11 10 3 3" xfId="13119"/>
    <cellStyle name="Обычный 21 11 10 4" xfId="13120"/>
    <cellStyle name="Обычный 21 11 10 4 2" xfId="13121"/>
    <cellStyle name="Обычный 21 11 10 5" xfId="13122"/>
    <cellStyle name="Обычный 21 11 10 5 2" xfId="13123"/>
    <cellStyle name="Обычный 21 11 10 6" xfId="13124"/>
    <cellStyle name="Обычный 21 11 11" xfId="13125"/>
    <cellStyle name="Обычный 21 11 11 2" xfId="13126"/>
    <cellStyle name="Обычный 21 11 11 2 2" xfId="13127"/>
    <cellStyle name="Обычный 21 11 11 3" xfId="13128"/>
    <cellStyle name="Обычный 21 11 11 3 2" xfId="13129"/>
    <cellStyle name="Обычный 21 11 11 4" xfId="13130"/>
    <cellStyle name="Обычный 21 11 12" xfId="13131"/>
    <cellStyle name="Обычный 21 11 12 2" xfId="13132"/>
    <cellStyle name="Обычный 21 11 12 2 2" xfId="13133"/>
    <cellStyle name="Обычный 21 11 12 3" xfId="13134"/>
    <cellStyle name="Обычный 21 11 12 3 2" xfId="13135"/>
    <cellStyle name="Обычный 21 11 12 4" xfId="13136"/>
    <cellStyle name="Обычный 21 11 13" xfId="13137"/>
    <cellStyle name="Обычный 21 11 13 2" xfId="13138"/>
    <cellStyle name="Обычный 21 11 13 2 2" xfId="13139"/>
    <cellStyle name="Обычный 21 11 13 3" xfId="13140"/>
    <cellStyle name="Обычный 21 11 14" xfId="13141"/>
    <cellStyle name="Обычный 21 11 14 2" xfId="13142"/>
    <cellStyle name="Обычный 21 11 15" xfId="13143"/>
    <cellStyle name="Обычный 21 11 2" xfId="13144"/>
    <cellStyle name="Обычный 21 11 2 2" xfId="13145"/>
    <cellStyle name="Обычный 21 11 2 2 2" xfId="13146"/>
    <cellStyle name="Обычный 21 11 2 2 2 2" xfId="13147"/>
    <cellStyle name="Обычный 21 11 2 2 2 2 2" xfId="13148"/>
    <cellStyle name="Обычный 21 11 2 2 2 3" xfId="13149"/>
    <cellStyle name="Обычный 21 11 2 2 3" xfId="13150"/>
    <cellStyle name="Обычный 21 11 2 2 3 2" xfId="13151"/>
    <cellStyle name="Обычный 21 11 2 2 3 2 2" xfId="13152"/>
    <cellStyle name="Обычный 21 11 2 2 3 3" xfId="13153"/>
    <cellStyle name="Обычный 21 11 2 2 4" xfId="13154"/>
    <cellStyle name="Обычный 21 11 2 2 4 2" xfId="13155"/>
    <cellStyle name="Обычный 21 11 2 2 5" xfId="13156"/>
    <cellStyle name="Обычный 21 11 2 2 5 2" xfId="13157"/>
    <cellStyle name="Обычный 21 11 2 2 6" xfId="13158"/>
    <cellStyle name="Обычный 21 11 2 3" xfId="13159"/>
    <cellStyle name="Обычный 21 11 2 3 2" xfId="13160"/>
    <cellStyle name="Обычный 21 11 2 3 2 2" xfId="13161"/>
    <cellStyle name="Обычный 21 11 2 3 2 2 2" xfId="13162"/>
    <cellStyle name="Обычный 21 11 2 3 2 3" xfId="13163"/>
    <cellStyle name="Обычный 21 11 2 3 3" xfId="13164"/>
    <cellStyle name="Обычный 21 11 2 3 3 2" xfId="13165"/>
    <cellStyle name="Обычный 21 11 2 3 3 2 2" xfId="13166"/>
    <cellStyle name="Обычный 21 11 2 3 3 3" xfId="13167"/>
    <cellStyle name="Обычный 21 11 2 3 4" xfId="13168"/>
    <cellStyle name="Обычный 21 11 2 3 4 2" xfId="13169"/>
    <cellStyle name="Обычный 21 11 2 3 5" xfId="13170"/>
    <cellStyle name="Обычный 21 11 2 3 5 2" xfId="13171"/>
    <cellStyle name="Обычный 21 11 2 3 6" xfId="13172"/>
    <cellStyle name="Обычный 21 11 2 4" xfId="13173"/>
    <cellStyle name="Обычный 21 11 2 4 2" xfId="13174"/>
    <cellStyle name="Обычный 21 11 2 4 2 2" xfId="13175"/>
    <cellStyle name="Обычный 21 11 2 4 3" xfId="13176"/>
    <cellStyle name="Обычный 21 11 2 4 3 2" xfId="13177"/>
    <cellStyle name="Обычный 21 11 2 4 4" xfId="13178"/>
    <cellStyle name="Обычный 21 11 2 5" xfId="13179"/>
    <cellStyle name="Обычный 21 11 2 5 2" xfId="13180"/>
    <cellStyle name="Обычный 21 11 2 5 2 2" xfId="13181"/>
    <cellStyle name="Обычный 21 11 2 5 3" xfId="13182"/>
    <cellStyle name="Обычный 21 11 2 6" xfId="13183"/>
    <cellStyle name="Обычный 21 11 2 6 2" xfId="13184"/>
    <cellStyle name="Обычный 21 11 2 7" xfId="13185"/>
    <cellStyle name="Обычный 21 11 2 7 2" xfId="13186"/>
    <cellStyle name="Обычный 21 11 2 8" xfId="13187"/>
    <cellStyle name="Обычный 21 11 3" xfId="13188"/>
    <cellStyle name="Обычный 21 11 3 2" xfId="13189"/>
    <cellStyle name="Обычный 21 11 3 2 2" xfId="13190"/>
    <cellStyle name="Обычный 21 11 3 2 2 2" xfId="13191"/>
    <cellStyle name="Обычный 21 11 3 2 2 2 2" xfId="13192"/>
    <cellStyle name="Обычный 21 11 3 2 2 3" xfId="13193"/>
    <cellStyle name="Обычный 21 11 3 2 3" xfId="13194"/>
    <cellStyle name="Обычный 21 11 3 2 3 2" xfId="13195"/>
    <cellStyle name="Обычный 21 11 3 2 3 2 2" xfId="13196"/>
    <cellStyle name="Обычный 21 11 3 2 3 3" xfId="13197"/>
    <cellStyle name="Обычный 21 11 3 2 4" xfId="13198"/>
    <cellStyle name="Обычный 21 11 3 2 4 2" xfId="13199"/>
    <cellStyle name="Обычный 21 11 3 2 5" xfId="13200"/>
    <cellStyle name="Обычный 21 11 3 2 5 2" xfId="13201"/>
    <cellStyle name="Обычный 21 11 3 2 6" xfId="13202"/>
    <cellStyle name="Обычный 21 11 3 3" xfId="13203"/>
    <cellStyle name="Обычный 21 11 3 3 2" xfId="13204"/>
    <cellStyle name="Обычный 21 11 3 3 2 2" xfId="13205"/>
    <cellStyle name="Обычный 21 11 3 3 2 2 2" xfId="13206"/>
    <cellStyle name="Обычный 21 11 3 3 2 3" xfId="13207"/>
    <cellStyle name="Обычный 21 11 3 3 3" xfId="13208"/>
    <cellStyle name="Обычный 21 11 3 3 3 2" xfId="13209"/>
    <cellStyle name="Обычный 21 11 3 3 3 2 2" xfId="13210"/>
    <cellStyle name="Обычный 21 11 3 3 3 3" xfId="13211"/>
    <cellStyle name="Обычный 21 11 3 3 4" xfId="13212"/>
    <cellStyle name="Обычный 21 11 3 3 4 2" xfId="13213"/>
    <cellStyle name="Обычный 21 11 3 3 5" xfId="13214"/>
    <cellStyle name="Обычный 21 11 3 4" xfId="13215"/>
    <cellStyle name="Обычный 21 11 3 4 2" xfId="13216"/>
    <cellStyle name="Обычный 21 11 3 4 2 2" xfId="13217"/>
    <cellStyle name="Обычный 21 11 3 4 3" xfId="13218"/>
    <cellStyle name="Обычный 21 11 3 5" xfId="13219"/>
    <cellStyle name="Обычный 21 11 3 5 2" xfId="13220"/>
    <cellStyle name="Обычный 21 11 3 5 2 2" xfId="13221"/>
    <cellStyle name="Обычный 21 11 3 5 3" xfId="13222"/>
    <cellStyle name="Обычный 21 11 3 6" xfId="13223"/>
    <cellStyle name="Обычный 21 11 3 6 2" xfId="13224"/>
    <cellStyle name="Обычный 21 11 3 7" xfId="13225"/>
    <cellStyle name="Обычный 21 11 3 7 2" xfId="13226"/>
    <cellStyle name="Обычный 21 11 3 8" xfId="13227"/>
    <cellStyle name="Обычный 21 11 4" xfId="13228"/>
    <cellStyle name="Обычный 21 11 4 2" xfId="13229"/>
    <cellStyle name="Обычный 21 11 4 2 2" xfId="13230"/>
    <cellStyle name="Обычный 21 11 4 2 2 2" xfId="13231"/>
    <cellStyle name="Обычный 21 11 4 2 3" xfId="13232"/>
    <cellStyle name="Обычный 21 11 4 2 3 2" xfId="13233"/>
    <cellStyle name="Обычный 21 11 4 2 4" xfId="13234"/>
    <cellStyle name="Обычный 21 11 4 3" xfId="13235"/>
    <cellStyle name="Обычный 21 11 4 3 2" xfId="13236"/>
    <cellStyle name="Обычный 21 11 4 3 2 2" xfId="13237"/>
    <cellStyle name="Обычный 21 11 4 3 3" xfId="13238"/>
    <cellStyle name="Обычный 21 11 4 4" xfId="13239"/>
    <cellStyle name="Обычный 21 11 4 4 2" xfId="13240"/>
    <cellStyle name="Обычный 21 11 4 5" xfId="13241"/>
    <cellStyle name="Обычный 21 11 4 5 2" xfId="13242"/>
    <cellStyle name="Обычный 21 11 4 6" xfId="13243"/>
    <cellStyle name="Обычный 21 11 5" xfId="13244"/>
    <cellStyle name="Обычный 21 11 5 2" xfId="13245"/>
    <cellStyle name="Обычный 21 11 5 2 2" xfId="13246"/>
    <cellStyle name="Обычный 21 11 5 2 2 2" xfId="13247"/>
    <cellStyle name="Обычный 21 11 5 2 3" xfId="13248"/>
    <cellStyle name="Обычный 21 11 5 2 3 2" xfId="13249"/>
    <cellStyle name="Обычный 21 11 5 2 4" xfId="13250"/>
    <cellStyle name="Обычный 21 11 5 3" xfId="13251"/>
    <cellStyle name="Обычный 21 11 5 3 2" xfId="13252"/>
    <cellStyle name="Обычный 21 11 5 3 2 2" xfId="13253"/>
    <cellStyle name="Обычный 21 11 5 3 3" xfId="13254"/>
    <cellStyle name="Обычный 21 11 5 4" xfId="13255"/>
    <cellStyle name="Обычный 21 11 5 4 2" xfId="13256"/>
    <cellStyle name="Обычный 21 11 5 5" xfId="13257"/>
    <cellStyle name="Обычный 21 11 5 5 2" xfId="13258"/>
    <cellStyle name="Обычный 21 11 5 6" xfId="13259"/>
    <cellStyle name="Обычный 21 11 6" xfId="13260"/>
    <cellStyle name="Обычный 21 11 6 2" xfId="13261"/>
    <cellStyle name="Обычный 21 11 6 2 2" xfId="13262"/>
    <cellStyle name="Обычный 21 11 6 2 2 2" xfId="13263"/>
    <cellStyle name="Обычный 21 11 6 2 3" xfId="13264"/>
    <cellStyle name="Обычный 21 11 6 2 3 2" xfId="13265"/>
    <cellStyle name="Обычный 21 11 6 2 4" xfId="13266"/>
    <cellStyle name="Обычный 21 11 6 3" xfId="13267"/>
    <cellStyle name="Обычный 21 11 6 3 2" xfId="13268"/>
    <cellStyle name="Обычный 21 11 6 3 2 2" xfId="13269"/>
    <cellStyle name="Обычный 21 11 6 3 3" xfId="13270"/>
    <cellStyle name="Обычный 21 11 6 4" xfId="13271"/>
    <cellStyle name="Обычный 21 11 6 4 2" xfId="13272"/>
    <cellStyle name="Обычный 21 11 6 5" xfId="13273"/>
    <cellStyle name="Обычный 21 11 6 5 2" xfId="13274"/>
    <cellStyle name="Обычный 21 11 6 6" xfId="13275"/>
    <cellStyle name="Обычный 21 11 7" xfId="13276"/>
    <cellStyle name="Обычный 21 11 7 2" xfId="13277"/>
    <cellStyle name="Обычный 21 11 7 2 2" xfId="13278"/>
    <cellStyle name="Обычный 21 11 7 2 2 2" xfId="13279"/>
    <cellStyle name="Обычный 21 11 7 2 3" xfId="13280"/>
    <cellStyle name="Обычный 21 11 7 2 3 2" xfId="13281"/>
    <cellStyle name="Обычный 21 11 7 2 4" xfId="13282"/>
    <cellStyle name="Обычный 21 11 7 3" xfId="13283"/>
    <cellStyle name="Обычный 21 11 7 3 2" xfId="13284"/>
    <cellStyle name="Обычный 21 11 7 3 2 2" xfId="13285"/>
    <cellStyle name="Обычный 21 11 7 3 3" xfId="13286"/>
    <cellStyle name="Обычный 21 11 7 4" xfId="13287"/>
    <cellStyle name="Обычный 21 11 7 4 2" xfId="13288"/>
    <cellStyle name="Обычный 21 11 7 5" xfId="13289"/>
    <cellStyle name="Обычный 21 11 7 5 2" xfId="13290"/>
    <cellStyle name="Обычный 21 11 7 6" xfId="13291"/>
    <cellStyle name="Обычный 21 11 8" xfId="13292"/>
    <cellStyle name="Обычный 21 11 8 2" xfId="13293"/>
    <cellStyle name="Обычный 21 11 8 2 2" xfId="13294"/>
    <cellStyle name="Обычный 21 11 8 2 2 2" xfId="13295"/>
    <cellStyle name="Обычный 21 11 8 2 3" xfId="13296"/>
    <cellStyle name="Обычный 21 11 8 2 3 2" xfId="13297"/>
    <cellStyle name="Обычный 21 11 8 2 4" xfId="13298"/>
    <cellStyle name="Обычный 21 11 8 3" xfId="13299"/>
    <cellStyle name="Обычный 21 11 8 3 2" xfId="13300"/>
    <cellStyle name="Обычный 21 11 8 3 2 2" xfId="13301"/>
    <cellStyle name="Обычный 21 11 8 3 3" xfId="13302"/>
    <cellStyle name="Обычный 21 11 8 4" xfId="13303"/>
    <cellStyle name="Обычный 21 11 8 4 2" xfId="13304"/>
    <cellStyle name="Обычный 21 11 8 5" xfId="13305"/>
    <cellStyle name="Обычный 21 11 8 5 2" xfId="13306"/>
    <cellStyle name="Обычный 21 11 8 6" xfId="13307"/>
    <cellStyle name="Обычный 21 11 9" xfId="13308"/>
    <cellStyle name="Обычный 21 11 9 2" xfId="13309"/>
    <cellStyle name="Обычный 21 11 9 2 2" xfId="13310"/>
    <cellStyle name="Обычный 21 11 9 2 2 2" xfId="13311"/>
    <cellStyle name="Обычный 21 11 9 2 3" xfId="13312"/>
    <cellStyle name="Обычный 21 11 9 2 3 2" xfId="13313"/>
    <cellStyle name="Обычный 21 11 9 2 4" xfId="13314"/>
    <cellStyle name="Обычный 21 11 9 3" xfId="13315"/>
    <cellStyle name="Обычный 21 11 9 3 2" xfId="13316"/>
    <cellStyle name="Обычный 21 11 9 3 2 2" xfId="13317"/>
    <cellStyle name="Обычный 21 11 9 3 3" xfId="13318"/>
    <cellStyle name="Обычный 21 11 9 4" xfId="13319"/>
    <cellStyle name="Обычный 21 11 9 4 2" xfId="13320"/>
    <cellStyle name="Обычный 21 11 9 5" xfId="13321"/>
    <cellStyle name="Обычный 21 11 9 5 2" xfId="13322"/>
    <cellStyle name="Обычный 21 11 9 6" xfId="13323"/>
    <cellStyle name="Обычный 21 12" xfId="13324"/>
    <cellStyle name="Обычный 21 12 10" xfId="13325"/>
    <cellStyle name="Обычный 21 12 2" xfId="13326"/>
    <cellStyle name="Обычный 21 12 2 2" xfId="13327"/>
    <cellStyle name="Обычный 21 12 2 2 2" xfId="13328"/>
    <cellStyle name="Обычный 21 12 2 2 2 2" xfId="13329"/>
    <cellStyle name="Обычный 21 12 2 2 2 2 2" xfId="13330"/>
    <cellStyle name="Обычный 21 12 2 2 2 2 2 2" xfId="13331"/>
    <cellStyle name="Обычный 21 12 2 2 2 2 3" xfId="13332"/>
    <cellStyle name="Обычный 21 12 2 2 2 3" xfId="13333"/>
    <cellStyle name="Обычный 21 12 2 2 2 3 2" xfId="13334"/>
    <cellStyle name="Обычный 21 12 2 2 2 3 2 2" xfId="13335"/>
    <cellStyle name="Обычный 21 12 2 2 2 3 3" xfId="13336"/>
    <cellStyle name="Обычный 21 12 2 2 2 4" xfId="13337"/>
    <cellStyle name="Обычный 21 12 2 2 2 4 2" xfId="13338"/>
    <cellStyle name="Обычный 21 12 2 2 2 5" xfId="13339"/>
    <cellStyle name="Обычный 21 12 2 2 3" xfId="13340"/>
    <cellStyle name="Обычный 21 12 2 2 3 2" xfId="13341"/>
    <cellStyle name="Обычный 21 12 2 2 3 2 2" xfId="13342"/>
    <cellStyle name="Обычный 21 12 2 2 3 2 2 2" xfId="13343"/>
    <cellStyle name="Обычный 21 12 2 2 3 2 3" xfId="13344"/>
    <cellStyle name="Обычный 21 12 2 2 3 3" xfId="13345"/>
    <cellStyle name="Обычный 21 12 2 2 3 3 2" xfId="13346"/>
    <cellStyle name="Обычный 21 12 2 2 3 3 2 2" xfId="13347"/>
    <cellStyle name="Обычный 21 12 2 2 3 3 3" xfId="13348"/>
    <cellStyle name="Обычный 21 12 2 2 3 4" xfId="13349"/>
    <cellStyle name="Обычный 21 12 2 2 3 4 2" xfId="13350"/>
    <cellStyle name="Обычный 21 12 2 2 3 5" xfId="13351"/>
    <cellStyle name="Обычный 21 12 2 2 4" xfId="13352"/>
    <cellStyle name="Обычный 21 12 2 2 4 2" xfId="13353"/>
    <cellStyle name="Обычный 21 12 2 2 4 2 2" xfId="13354"/>
    <cellStyle name="Обычный 21 12 2 2 4 3" xfId="13355"/>
    <cellStyle name="Обычный 21 12 2 2 5" xfId="13356"/>
    <cellStyle name="Обычный 21 12 2 2 5 2" xfId="13357"/>
    <cellStyle name="Обычный 21 12 2 2 5 2 2" xfId="13358"/>
    <cellStyle name="Обычный 21 12 2 2 5 3" xfId="13359"/>
    <cellStyle name="Обычный 21 12 2 2 6" xfId="13360"/>
    <cellStyle name="Обычный 21 12 2 2 6 2" xfId="13361"/>
    <cellStyle name="Обычный 21 12 2 2 7" xfId="13362"/>
    <cellStyle name="Обычный 21 12 2 2 7 2" xfId="13363"/>
    <cellStyle name="Обычный 21 12 2 2 8" xfId="13364"/>
    <cellStyle name="Обычный 21 12 2 3" xfId="13365"/>
    <cellStyle name="Обычный 21 12 2 3 2" xfId="13366"/>
    <cellStyle name="Обычный 21 12 2 3 2 2" xfId="13367"/>
    <cellStyle name="Обычный 21 12 2 3 2 2 2" xfId="13368"/>
    <cellStyle name="Обычный 21 12 2 3 2 3" xfId="13369"/>
    <cellStyle name="Обычный 21 12 2 3 3" xfId="13370"/>
    <cellStyle name="Обычный 21 12 2 3 3 2" xfId="13371"/>
    <cellStyle name="Обычный 21 12 2 3 3 2 2" xfId="13372"/>
    <cellStyle name="Обычный 21 12 2 3 3 3" xfId="13373"/>
    <cellStyle name="Обычный 21 12 2 3 4" xfId="13374"/>
    <cellStyle name="Обычный 21 12 2 3 4 2" xfId="13375"/>
    <cellStyle name="Обычный 21 12 2 3 5" xfId="13376"/>
    <cellStyle name="Обычный 21 12 2 3 5 2" xfId="13377"/>
    <cellStyle name="Обычный 21 12 2 3 6" xfId="13378"/>
    <cellStyle name="Обычный 21 12 2 4" xfId="13379"/>
    <cellStyle name="Обычный 21 12 2 4 2" xfId="13380"/>
    <cellStyle name="Обычный 21 12 2 4 2 2" xfId="13381"/>
    <cellStyle name="Обычный 21 12 2 4 2 2 2" xfId="13382"/>
    <cellStyle name="Обычный 21 12 2 4 2 3" xfId="13383"/>
    <cellStyle name="Обычный 21 12 2 4 3" xfId="13384"/>
    <cellStyle name="Обычный 21 12 2 4 3 2" xfId="13385"/>
    <cellStyle name="Обычный 21 12 2 4 3 2 2" xfId="13386"/>
    <cellStyle name="Обычный 21 12 2 4 3 3" xfId="13387"/>
    <cellStyle name="Обычный 21 12 2 4 4" xfId="13388"/>
    <cellStyle name="Обычный 21 12 2 4 4 2" xfId="13389"/>
    <cellStyle name="Обычный 21 12 2 4 5" xfId="13390"/>
    <cellStyle name="Обычный 21 12 2 4 5 2" xfId="13391"/>
    <cellStyle name="Обычный 21 12 2 4 6" xfId="13392"/>
    <cellStyle name="Обычный 21 12 2 5" xfId="13393"/>
    <cellStyle name="Обычный 21 12 2 5 2" xfId="13394"/>
    <cellStyle name="Обычный 21 12 2 5 2 2" xfId="13395"/>
    <cellStyle name="Обычный 21 12 2 5 3" xfId="13396"/>
    <cellStyle name="Обычный 21 12 2 6" xfId="13397"/>
    <cellStyle name="Обычный 21 12 2 6 2" xfId="13398"/>
    <cellStyle name="Обычный 21 12 2 6 2 2" xfId="13399"/>
    <cellStyle name="Обычный 21 12 2 6 3" xfId="13400"/>
    <cellStyle name="Обычный 21 12 2 7" xfId="13401"/>
    <cellStyle name="Обычный 21 12 2 7 2" xfId="13402"/>
    <cellStyle name="Обычный 21 12 2 8" xfId="13403"/>
    <cellStyle name="Обычный 21 12 2 8 2" xfId="13404"/>
    <cellStyle name="Обычный 21 12 2 9" xfId="13405"/>
    <cellStyle name="Обычный 21 12 3" xfId="13406"/>
    <cellStyle name="Обычный 21 12 3 2" xfId="13407"/>
    <cellStyle name="Обычный 21 12 3 2 2" xfId="13408"/>
    <cellStyle name="Обычный 21 12 3 2 2 2" xfId="13409"/>
    <cellStyle name="Обычный 21 12 3 2 2 2 2" xfId="13410"/>
    <cellStyle name="Обычный 21 12 3 2 2 3" xfId="13411"/>
    <cellStyle name="Обычный 21 12 3 2 3" xfId="13412"/>
    <cellStyle name="Обычный 21 12 3 2 3 2" xfId="13413"/>
    <cellStyle name="Обычный 21 12 3 2 3 2 2" xfId="13414"/>
    <cellStyle name="Обычный 21 12 3 2 3 3" xfId="13415"/>
    <cellStyle name="Обычный 21 12 3 2 4" xfId="13416"/>
    <cellStyle name="Обычный 21 12 3 2 4 2" xfId="13417"/>
    <cellStyle name="Обычный 21 12 3 2 5" xfId="13418"/>
    <cellStyle name="Обычный 21 12 3 3" xfId="13419"/>
    <cellStyle name="Обычный 21 12 3 3 2" xfId="13420"/>
    <cellStyle name="Обычный 21 12 3 3 2 2" xfId="13421"/>
    <cellStyle name="Обычный 21 12 3 3 2 2 2" xfId="13422"/>
    <cellStyle name="Обычный 21 12 3 3 2 3" xfId="13423"/>
    <cellStyle name="Обычный 21 12 3 3 3" xfId="13424"/>
    <cellStyle name="Обычный 21 12 3 3 3 2" xfId="13425"/>
    <cellStyle name="Обычный 21 12 3 3 3 2 2" xfId="13426"/>
    <cellStyle name="Обычный 21 12 3 3 3 3" xfId="13427"/>
    <cellStyle name="Обычный 21 12 3 3 4" xfId="13428"/>
    <cellStyle name="Обычный 21 12 3 3 4 2" xfId="13429"/>
    <cellStyle name="Обычный 21 12 3 3 5" xfId="13430"/>
    <cellStyle name="Обычный 21 12 3 4" xfId="13431"/>
    <cellStyle name="Обычный 21 12 3 4 2" xfId="13432"/>
    <cellStyle name="Обычный 21 12 3 4 2 2" xfId="13433"/>
    <cellStyle name="Обычный 21 12 3 4 3" xfId="13434"/>
    <cellStyle name="Обычный 21 12 3 5" xfId="13435"/>
    <cellStyle name="Обычный 21 12 3 5 2" xfId="13436"/>
    <cellStyle name="Обычный 21 12 3 5 2 2" xfId="13437"/>
    <cellStyle name="Обычный 21 12 3 5 3" xfId="13438"/>
    <cellStyle name="Обычный 21 12 3 6" xfId="13439"/>
    <cellStyle name="Обычный 21 12 3 6 2" xfId="13440"/>
    <cellStyle name="Обычный 21 12 3 7" xfId="13441"/>
    <cellStyle name="Обычный 21 12 3 7 2" xfId="13442"/>
    <cellStyle name="Обычный 21 12 3 8" xfId="13443"/>
    <cellStyle name="Обычный 21 12 4" xfId="13444"/>
    <cellStyle name="Обычный 21 12 4 2" xfId="13445"/>
    <cellStyle name="Обычный 21 12 4 2 2" xfId="13446"/>
    <cellStyle name="Обычный 21 12 4 2 2 2" xfId="13447"/>
    <cellStyle name="Обычный 21 12 4 2 3" xfId="13448"/>
    <cellStyle name="Обычный 21 12 4 3" xfId="13449"/>
    <cellStyle name="Обычный 21 12 4 3 2" xfId="13450"/>
    <cellStyle name="Обычный 21 12 4 3 2 2" xfId="13451"/>
    <cellStyle name="Обычный 21 12 4 3 3" xfId="13452"/>
    <cellStyle name="Обычный 21 12 4 4" xfId="13453"/>
    <cellStyle name="Обычный 21 12 4 4 2" xfId="13454"/>
    <cellStyle name="Обычный 21 12 4 5" xfId="13455"/>
    <cellStyle name="Обычный 21 12 4 5 2" xfId="13456"/>
    <cellStyle name="Обычный 21 12 4 6" xfId="13457"/>
    <cellStyle name="Обычный 21 12 5" xfId="13458"/>
    <cellStyle name="Обычный 21 12 5 2" xfId="13459"/>
    <cellStyle name="Обычный 21 12 5 2 2" xfId="13460"/>
    <cellStyle name="Обычный 21 12 5 2 2 2" xfId="13461"/>
    <cellStyle name="Обычный 21 12 5 2 3" xfId="13462"/>
    <cellStyle name="Обычный 21 12 5 3" xfId="13463"/>
    <cellStyle name="Обычный 21 12 5 3 2" xfId="13464"/>
    <cellStyle name="Обычный 21 12 5 3 2 2" xfId="13465"/>
    <cellStyle name="Обычный 21 12 5 3 3" xfId="13466"/>
    <cellStyle name="Обычный 21 12 5 4" xfId="13467"/>
    <cellStyle name="Обычный 21 12 5 4 2" xfId="13468"/>
    <cellStyle name="Обычный 21 12 5 5" xfId="13469"/>
    <cellStyle name="Обычный 21 12 5 5 2" xfId="13470"/>
    <cellStyle name="Обычный 21 12 5 6" xfId="13471"/>
    <cellStyle name="Обычный 21 12 6" xfId="13472"/>
    <cellStyle name="Обычный 21 12 6 2" xfId="13473"/>
    <cellStyle name="Обычный 21 12 6 2 2" xfId="13474"/>
    <cellStyle name="Обычный 21 12 6 3" xfId="13475"/>
    <cellStyle name="Обычный 21 12 7" xfId="13476"/>
    <cellStyle name="Обычный 21 12 7 2" xfId="13477"/>
    <cellStyle name="Обычный 21 12 7 2 2" xfId="13478"/>
    <cellStyle name="Обычный 21 12 7 3" xfId="13479"/>
    <cellStyle name="Обычный 21 12 8" xfId="13480"/>
    <cellStyle name="Обычный 21 12 8 2" xfId="13481"/>
    <cellStyle name="Обычный 21 12 9" xfId="13482"/>
    <cellStyle name="Обычный 21 12 9 2" xfId="13483"/>
    <cellStyle name="Обычный 21 13" xfId="13484"/>
    <cellStyle name="Обычный 21 13 10" xfId="13485"/>
    <cellStyle name="Обычный 21 13 10 2" xfId="13486"/>
    <cellStyle name="Обычный 21 13 11" xfId="13487"/>
    <cellStyle name="Обычный 21 13 2" xfId="13488"/>
    <cellStyle name="Обычный 21 13 2 2" xfId="13489"/>
    <cellStyle name="Обычный 21 13 2 2 2" xfId="13490"/>
    <cellStyle name="Обычный 21 13 2 2 2 2" xfId="13491"/>
    <cellStyle name="Обычный 21 13 2 2 2 2 2" xfId="13492"/>
    <cellStyle name="Обычный 21 13 2 2 2 2 2 2" xfId="13493"/>
    <cellStyle name="Обычный 21 13 2 2 2 2 2 2 2" xfId="13494"/>
    <cellStyle name="Обычный 21 13 2 2 2 2 2 3" xfId="13495"/>
    <cellStyle name="Обычный 21 13 2 2 2 2 3" xfId="13496"/>
    <cellStyle name="Обычный 21 13 2 2 2 2 3 2" xfId="13497"/>
    <cellStyle name="Обычный 21 13 2 2 2 2 3 2 2" xfId="13498"/>
    <cellStyle name="Обычный 21 13 2 2 2 2 3 3" xfId="13499"/>
    <cellStyle name="Обычный 21 13 2 2 2 2 4" xfId="13500"/>
    <cellStyle name="Обычный 21 13 2 2 2 2 4 2" xfId="13501"/>
    <cellStyle name="Обычный 21 13 2 2 2 2 5" xfId="13502"/>
    <cellStyle name="Обычный 21 13 2 2 2 2 5 2" xfId="13503"/>
    <cellStyle name="Обычный 21 13 2 2 2 2 6" xfId="13504"/>
    <cellStyle name="Обычный 21 13 2 2 2 3" xfId="13505"/>
    <cellStyle name="Обычный 21 13 2 2 2 3 2" xfId="13506"/>
    <cellStyle name="Обычный 21 13 2 2 2 3 2 2" xfId="13507"/>
    <cellStyle name="Обычный 21 13 2 2 2 3 3" xfId="13508"/>
    <cellStyle name="Обычный 21 13 2 2 2 4" xfId="13509"/>
    <cellStyle name="Обычный 21 13 2 2 2 4 2" xfId="13510"/>
    <cellStyle name="Обычный 21 13 2 2 2 4 2 2" xfId="13511"/>
    <cellStyle name="Обычный 21 13 2 2 2 4 3" xfId="13512"/>
    <cellStyle name="Обычный 21 13 2 2 2 5" xfId="13513"/>
    <cellStyle name="Обычный 21 13 2 2 2 5 2" xfId="13514"/>
    <cellStyle name="Обычный 21 13 2 2 2 6" xfId="13515"/>
    <cellStyle name="Обычный 21 13 2 2 2 6 2" xfId="13516"/>
    <cellStyle name="Обычный 21 13 2 2 2 7" xfId="13517"/>
    <cellStyle name="Обычный 21 13 2 2 3" xfId="13518"/>
    <cellStyle name="Обычный 21 13 2 2 3 2" xfId="13519"/>
    <cellStyle name="Обычный 21 13 2 2 3 2 2" xfId="13520"/>
    <cellStyle name="Обычный 21 13 2 2 3 2 2 2" xfId="13521"/>
    <cellStyle name="Обычный 21 13 2 2 3 2 3" xfId="13522"/>
    <cellStyle name="Обычный 21 13 2 2 3 3" xfId="13523"/>
    <cellStyle name="Обычный 21 13 2 2 3 3 2" xfId="13524"/>
    <cellStyle name="Обычный 21 13 2 2 3 3 2 2" xfId="13525"/>
    <cellStyle name="Обычный 21 13 2 2 3 3 3" xfId="13526"/>
    <cellStyle name="Обычный 21 13 2 2 3 4" xfId="13527"/>
    <cellStyle name="Обычный 21 13 2 2 3 4 2" xfId="13528"/>
    <cellStyle name="Обычный 21 13 2 2 3 5" xfId="13529"/>
    <cellStyle name="Обычный 21 13 2 2 3 5 2" xfId="13530"/>
    <cellStyle name="Обычный 21 13 2 2 3 6" xfId="13531"/>
    <cellStyle name="Обычный 21 13 2 2 4" xfId="13532"/>
    <cellStyle name="Обычный 21 13 2 2 4 2" xfId="13533"/>
    <cellStyle name="Обычный 21 13 2 2 4 2 2" xfId="13534"/>
    <cellStyle name="Обычный 21 13 2 2 4 3" xfId="13535"/>
    <cellStyle name="Обычный 21 13 2 2 4 3 2" xfId="13536"/>
    <cellStyle name="Обычный 21 13 2 2 4 4" xfId="13537"/>
    <cellStyle name="Обычный 21 13 2 2 5" xfId="13538"/>
    <cellStyle name="Обычный 21 13 2 2 5 2" xfId="13539"/>
    <cellStyle name="Обычный 21 13 2 2 5 2 2" xfId="13540"/>
    <cellStyle name="Обычный 21 13 2 2 5 3" xfId="13541"/>
    <cellStyle name="Обычный 21 13 2 2 6" xfId="13542"/>
    <cellStyle name="Обычный 21 13 2 2 6 2" xfId="13543"/>
    <cellStyle name="Обычный 21 13 2 2 7" xfId="13544"/>
    <cellStyle name="Обычный 21 13 2 2 7 2" xfId="13545"/>
    <cellStyle name="Обычный 21 13 2 2 8" xfId="13546"/>
    <cellStyle name="Обычный 21 13 2 3" xfId="13547"/>
    <cellStyle name="Обычный 21 13 2 3 2" xfId="13548"/>
    <cellStyle name="Обычный 21 13 2 3 2 2" xfId="13549"/>
    <cellStyle name="Обычный 21 13 2 3 2 2 2" xfId="13550"/>
    <cellStyle name="Обычный 21 13 2 3 2 2 2 2" xfId="13551"/>
    <cellStyle name="Обычный 21 13 2 3 2 2 3" xfId="13552"/>
    <cellStyle name="Обычный 21 13 2 3 2 3" xfId="13553"/>
    <cellStyle name="Обычный 21 13 2 3 2 3 2" xfId="13554"/>
    <cellStyle name="Обычный 21 13 2 3 2 3 2 2" xfId="13555"/>
    <cellStyle name="Обычный 21 13 2 3 2 3 3" xfId="13556"/>
    <cellStyle name="Обычный 21 13 2 3 2 4" xfId="13557"/>
    <cellStyle name="Обычный 21 13 2 3 2 4 2" xfId="13558"/>
    <cellStyle name="Обычный 21 13 2 3 2 5" xfId="13559"/>
    <cellStyle name="Обычный 21 13 2 3 2 5 2" xfId="13560"/>
    <cellStyle name="Обычный 21 13 2 3 2 6" xfId="13561"/>
    <cellStyle name="Обычный 21 13 2 3 3" xfId="13562"/>
    <cellStyle name="Обычный 21 13 2 3 3 2" xfId="13563"/>
    <cellStyle name="Обычный 21 13 2 3 3 2 2" xfId="13564"/>
    <cellStyle name="Обычный 21 13 2 3 3 3" xfId="13565"/>
    <cellStyle name="Обычный 21 13 2 3 4" xfId="13566"/>
    <cellStyle name="Обычный 21 13 2 3 4 2" xfId="13567"/>
    <cellStyle name="Обычный 21 13 2 3 4 2 2" xfId="13568"/>
    <cellStyle name="Обычный 21 13 2 3 4 3" xfId="13569"/>
    <cellStyle name="Обычный 21 13 2 3 5" xfId="13570"/>
    <cellStyle name="Обычный 21 13 2 3 5 2" xfId="13571"/>
    <cellStyle name="Обычный 21 13 2 3 6" xfId="13572"/>
    <cellStyle name="Обычный 21 13 2 3 6 2" xfId="13573"/>
    <cellStyle name="Обычный 21 13 2 3 7" xfId="13574"/>
    <cellStyle name="Обычный 21 13 2 4" xfId="13575"/>
    <cellStyle name="Обычный 21 13 2 4 2" xfId="13576"/>
    <cellStyle name="Обычный 21 13 2 4 2 2" xfId="13577"/>
    <cellStyle name="Обычный 21 13 2 4 2 2 2" xfId="13578"/>
    <cellStyle name="Обычный 21 13 2 4 2 3" xfId="13579"/>
    <cellStyle name="Обычный 21 13 2 4 3" xfId="13580"/>
    <cellStyle name="Обычный 21 13 2 4 3 2" xfId="13581"/>
    <cellStyle name="Обычный 21 13 2 4 3 2 2" xfId="13582"/>
    <cellStyle name="Обычный 21 13 2 4 3 3" xfId="13583"/>
    <cellStyle name="Обычный 21 13 2 4 4" xfId="13584"/>
    <cellStyle name="Обычный 21 13 2 4 4 2" xfId="13585"/>
    <cellStyle name="Обычный 21 13 2 4 5" xfId="13586"/>
    <cellStyle name="Обычный 21 13 2 4 5 2" xfId="13587"/>
    <cellStyle name="Обычный 21 13 2 4 6" xfId="13588"/>
    <cellStyle name="Обычный 21 13 2 5" xfId="13589"/>
    <cellStyle name="Обычный 21 13 2 5 2" xfId="13590"/>
    <cellStyle name="Обычный 21 13 2 5 2 2" xfId="13591"/>
    <cellStyle name="Обычный 21 13 2 5 3" xfId="13592"/>
    <cellStyle name="Обычный 21 13 2 5 3 2" xfId="13593"/>
    <cellStyle name="Обычный 21 13 2 5 4" xfId="13594"/>
    <cellStyle name="Обычный 21 13 2 6" xfId="13595"/>
    <cellStyle name="Обычный 21 13 2 6 2" xfId="13596"/>
    <cellStyle name="Обычный 21 13 2 6 2 2" xfId="13597"/>
    <cellStyle name="Обычный 21 13 2 6 3" xfId="13598"/>
    <cellStyle name="Обычный 21 13 2 7" xfId="13599"/>
    <cellStyle name="Обычный 21 13 2 7 2" xfId="13600"/>
    <cellStyle name="Обычный 21 13 2 8" xfId="13601"/>
    <cellStyle name="Обычный 21 13 2 8 2" xfId="13602"/>
    <cellStyle name="Обычный 21 13 2 9" xfId="13603"/>
    <cellStyle name="Обычный 21 13 3" xfId="13604"/>
    <cellStyle name="Обычный 21 13 3 2" xfId="13605"/>
    <cellStyle name="Обычный 21 13 3 2 2" xfId="13606"/>
    <cellStyle name="Обычный 21 13 3 2 2 2" xfId="13607"/>
    <cellStyle name="Обычный 21 13 3 2 2 2 2" xfId="13608"/>
    <cellStyle name="Обычный 21 13 3 2 2 3" xfId="13609"/>
    <cellStyle name="Обычный 21 13 3 2 3" xfId="13610"/>
    <cellStyle name="Обычный 21 13 3 2 3 2" xfId="13611"/>
    <cellStyle name="Обычный 21 13 3 2 3 2 2" xfId="13612"/>
    <cellStyle name="Обычный 21 13 3 2 3 3" xfId="13613"/>
    <cellStyle name="Обычный 21 13 3 2 4" xfId="13614"/>
    <cellStyle name="Обычный 21 13 3 2 4 2" xfId="13615"/>
    <cellStyle name="Обычный 21 13 3 2 5" xfId="13616"/>
    <cellStyle name="Обычный 21 13 3 2 5 2" xfId="13617"/>
    <cellStyle name="Обычный 21 13 3 2 6" xfId="13618"/>
    <cellStyle name="Обычный 21 13 3 3" xfId="13619"/>
    <cellStyle name="Обычный 21 13 3 3 2" xfId="13620"/>
    <cellStyle name="Обычный 21 13 3 3 2 2" xfId="13621"/>
    <cellStyle name="Обычный 21 13 3 3 2 2 2" xfId="13622"/>
    <cellStyle name="Обычный 21 13 3 3 2 3" xfId="13623"/>
    <cellStyle name="Обычный 21 13 3 3 3" xfId="13624"/>
    <cellStyle name="Обычный 21 13 3 3 3 2" xfId="13625"/>
    <cellStyle name="Обычный 21 13 3 3 3 2 2" xfId="13626"/>
    <cellStyle name="Обычный 21 13 3 3 3 3" xfId="13627"/>
    <cellStyle name="Обычный 21 13 3 3 4" xfId="13628"/>
    <cellStyle name="Обычный 21 13 3 3 4 2" xfId="13629"/>
    <cellStyle name="Обычный 21 13 3 3 5" xfId="13630"/>
    <cellStyle name="Обычный 21 13 3 3 5 2" xfId="13631"/>
    <cellStyle name="Обычный 21 13 3 3 6" xfId="13632"/>
    <cellStyle name="Обычный 21 13 3 4" xfId="13633"/>
    <cellStyle name="Обычный 21 13 3 4 2" xfId="13634"/>
    <cellStyle name="Обычный 21 13 3 4 2 2" xfId="13635"/>
    <cellStyle name="Обычный 21 13 3 4 3" xfId="13636"/>
    <cellStyle name="Обычный 21 13 3 4 3 2" xfId="13637"/>
    <cellStyle name="Обычный 21 13 3 4 4" xfId="13638"/>
    <cellStyle name="Обычный 21 13 3 5" xfId="13639"/>
    <cellStyle name="Обычный 21 13 3 5 2" xfId="13640"/>
    <cellStyle name="Обычный 21 13 3 5 2 2" xfId="13641"/>
    <cellStyle name="Обычный 21 13 3 5 3" xfId="13642"/>
    <cellStyle name="Обычный 21 13 3 6" xfId="13643"/>
    <cellStyle name="Обычный 21 13 3 6 2" xfId="13644"/>
    <cellStyle name="Обычный 21 13 3 7" xfId="13645"/>
    <cellStyle name="Обычный 21 13 3 7 2" xfId="13646"/>
    <cellStyle name="Обычный 21 13 3 8" xfId="13647"/>
    <cellStyle name="Обычный 21 13 4" xfId="13648"/>
    <cellStyle name="Обычный 21 13 4 2" xfId="13649"/>
    <cellStyle name="Обычный 21 13 4 2 2" xfId="13650"/>
    <cellStyle name="Обычный 21 13 4 2 2 2" xfId="13651"/>
    <cellStyle name="Обычный 21 13 4 2 3" xfId="13652"/>
    <cellStyle name="Обычный 21 13 4 3" xfId="13653"/>
    <cellStyle name="Обычный 21 13 4 3 2" xfId="13654"/>
    <cellStyle name="Обычный 21 13 4 3 2 2" xfId="13655"/>
    <cellStyle name="Обычный 21 13 4 3 3" xfId="13656"/>
    <cellStyle name="Обычный 21 13 4 4" xfId="13657"/>
    <cellStyle name="Обычный 21 13 4 4 2" xfId="13658"/>
    <cellStyle name="Обычный 21 13 4 5" xfId="13659"/>
    <cellStyle name="Обычный 21 13 4 5 2" xfId="13660"/>
    <cellStyle name="Обычный 21 13 4 6" xfId="13661"/>
    <cellStyle name="Обычный 21 13 5" xfId="13662"/>
    <cellStyle name="Обычный 21 13 5 2" xfId="13663"/>
    <cellStyle name="Обычный 21 13 5 2 2" xfId="13664"/>
    <cellStyle name="Обычный 21 13 5 2 2 2" xfId="13665"/>
    <cellStyle name="Обычный 21 13 5 2 3" xfId="13666"/>
    <cellStyle name="Обычный 21 13 5 3" xfId="13667"/>
    <cellStyle name="Обычный 21 13 5 3 2" xfId="13668"/>
    <cellStyle name="Обычный 21 13 5 3 2 2" xfId="13669"/>
    <cellStyle name="Обычный 21 13 5 3 3" xfId="13670"/>
    <cellStyle name="Обычный 21 13 5 4" xfId="13671"/>
    <cellStyle name="Обычный 21 13 5 4 2" xfId="13672"/>
    <cellStyle name="Обычный 21 13 5 5" xfId="13673"/>
    <cellStyle name="Обычный 21 13 5 5 2" xfId="13674"/>
    <cellStyle name="Обычный 21 13 5 6" xfId="13675"/>
    <cellStyle name="Обычный 21 13 6" xfId="13676"/>
    <cellStyle name="Обычный 21 13 6 2" xfId="13677"/>
    <cellStyle name="Обычный 21 13 6 2 2" xfId="13678"/>
    <cellStyle name="Обычный 21 13 6 2 2 2" xfId="13679"/>
    <cellStyle name="Обычный 21 13 6 2 3" xfId="13680"/>
    <cellStyle name="Обычный 21 13 6 3" xfId="13681"/>
    <cellStyle name="Обычный 21 13 6 3 2" xfId="13682"/>
    <cellStyle name="Обычный 21 13 6 4" xfId="13683"/>
    <cellStyle name="Обычный 21 13 6 4 2" xfId="13684"/>
    <cellStyle name="Обычный 21 13 6 5" xfId="13685"/>
    <cellStyle name="Обычный 21 13 7" xfId="13686"/>
    <cellStyle name="Обычный 21 13 7 2" xfId="13687"/>
    <cellStyle name="Обычный 21 13 7 2 2" xfId="13688"/>
    <cellStyle name="Обычный 21 13 7 3" xfId="13689"/>
    <cellStyle name="Обычный 21 13 8" xfId="13690"/>
    <cellStyle name="Обычный 21 13 8 2" xfId="13691"/>
    <cellStyle name="Обычный 21 13 8 2 2" xfId="13692"/>
    <cellStyle name="Обычный 21 13 8 3" xfId="13693"/>
    <cellStyle name="Обычный 21 13 9" xfId="13694"/>
    <cellStyle name="Обычный 21 13 9 2" xfId="13695"/>
    <cellStyle name="Обычный 21 14" xfId="13696"/>
    <cellStyle name="Обычный 21 14 10" xfId="13697"/>
    <cellStyle name="Обычный 21 14 10 2" xfId="13698"/>
    <cellStyle name="Обычный 21 14 11" xfId="13699"/>
    <cellStyle name="Обычный 21 14 11 2" xfId="13700"/>
    <cellStyle name="Обычный 21 14 12" xfId="13701"/>
    <cellStyle name="Обычный 21 14 2" xfId="13702"/>
    <cellStyle name="Обычный 21 14 2 2" xfId="13703"/>
    <cellStyle name="Обычный 21 14 2 2 2" xfId="13704"/>
    <cellStyle name="Обычный 21 14 2 2 2 2" xfId="13705"/>
    <cellStyle name="Обычный 21 14 2 2 2 2 2" xfId="13706"/>
    <cellStyle name="Обычный 21 14 2 2 2 3" xfId="13707"/>
    <cellStyle name="Обычный 21 14 2 2 2 3 2" xfId="13708"/>
    <cellStyle name="Обычный 21 14 2 2 2 4" xfId="13709"/>
    <cellStyle name="Обычный 21 14 2 2 3" xfId="13710"/>
    <cellStyle name="Обычный 21 14 2 2 3 2" xfId="13711"/>
    <cellStyle name="Обычный 21 14 2 2 3 2 2" xfId="13712"/>
    <cellStyle name="Обычный 21 14 2 2 3 3" xfId="13713"/>
    <cellStyle name="Обычный 21 14 2 2 4" xfId="13714"/>
    <cellStyle name="Обычный 21 14 2 2 4 2" xfId="13715"/>
    <cellStyle name="Обычный 21 14 2 2 5" xfId="13716"/>
    <cellStyle name="Обычный 21 14 2 2 5 2" xfId="13717"/>
    <cellStyle name="Обычный 21 14 2 2 6" xfId="13718"/>
    <cellStyle name="Обычный 21 14 2 3" xfId="13719"/>
    <cellStyle name="Обычный 21 14 2 3 2" xfId="13720"/>
    <cellStyle name="Обычный 21 14 2 3 2 2" xfId="13721"/>
    <cellStyle name="Обычный 21 14 2 3 2 2 2" xfId="13722"/>
    <cellStyle name="Обычный 21 14 2 3 2 3" xfId="13723"/>
    <cellStyle name="Обычный 21 14 2 3 3" xfId="13724"/>
    <cellStyle name="Обычный 21 14 2 3 3 2" xfId="13725"/>
    <cellStyle name="Обычный 21 14 2 3 3 2 2" xfId="13726"/>
    <cellStyle name="Обычный 21 14 2 3 3 3" xfId="13727"/>
    <cellStyle name="Обычный 21 14 2 3 4" xfId="13728"/>
    <cellStyle name="Обычный 21 14 2 3 4 2" xfId="13729"/>
    <cellStyle name="Обычный 21 14 2 3 5" xfId="13730"/>
    <cellStyle name="Обычный 21 14 2 3 5 2" xfId="13731"/>
    <cellStyle name="Обычный 21 14 2 3 6" xfId="13732"/>
    <cellStyle name="Обычный 21 14 2 4" xfId="13733"/>
    <cellStyle name="Обычный 21 14 2 4 2" xfId="13734"/>
    <cellStyle name="Обычный 21 14 2 4 2 2" xfId="13735"/>
    <cellStyle name="Обычный 21 14 2 4 3" xfId="13736"/>
    <cellStyle name="Обычный 21 14 2 4 3 2" xfId="13737"/>
    <cellStyle name="Обычный 21 14 2 4 4" xfId="13738"/>
    <cellStyle name="Обычный 21 14 2 5" xfId="13739"/>
    <cellStyle name="Обычный 21 14 2 5 2" xfId="13740"/>
    <cellStyle name="Обычный 21 14 2 5 2 2" xfId="13741"/>
    <cellStyle name="Обычный 21 14 2 5 3" xfId="13742"/>
    <cellStyle name="Обычный 21 14 2 6" xfId="13743"/>
    <cellStyle name="Обычный 21 14 2 6 2" xfId="13744"/>
    <cellStyle name="Обычный 21 14 2 7" xfId="13745"/>
    <cellStyle name="Обычный 21 14 2 7 2" xfId="13746"/>
    <cellStyle name="Обычный 21 14 2 8" xfId="13747"/>
    <cellStyle name="Обычный 21 14 3" xfId="13748"/>
    <cellStyle name="Обычный 21 14 3 2" xfId="13749"/>
    <cellStyle name="Обычный 21 14 3 2 2" xfId="13750"/>
    <cellStyle name="Обычный 21 14 3 2 2 2" xfId="13751"/>
    <cellStyle name="Обычный 21 14 3 2 3" xfId="13752"/>
    <cellStyle name="Обычный 21 14 3 2 3 2" xfId="13753"/>
    <cellStyle name="Обычный 21 14 3 2 4" xfId="13754"/>
    <cellStyle name="Обычный 21 14 3 3" xfId="13755"/>
    <cellStyle name="Обычный 21 14 3 3 2" xfId="13756"/>
    <cellStyle name="Обычный 21 14 3 3 2 2" xfId="13757"/>
    <cellStyle name="Обычный 21 14 3 3 3" xfId="13758"/>
    <cellStyle name="Обычный 21 14 3 4" xfId="13759"/>
    <cellStyle name="Обычный 21 14 3 4 2" xfId="13760"/>
    <cellStyle name="Обычный 21 14 3 5" xfId="13761"/>
    <cellStyle name="Обычный 21 14 3 5 2" xfId="13762"/>
    <cellStyle name="Обычный 21 14 3 6" xfId="13763"/>
    <cellStyle name="Обычный 21 14 4" xfId="13764"/>
    <cellStyle name="Обычный 21 14 4 2" xfId="13765"/>
    <cellStyle name="Обычный 21 14 4 2 2" xfId="13766"/>
    <cellStyle name="Обычный 21 14 4 2 2 2" xfId="13767"/>
    <cellStyle name="Обычный 21 14 4 2 3" xfId="13768"/>
    <cellStyle name="Обычный 21 14 4 3" xfId="13769"/>
    <cellStyle name="Обычный 21 14 4 3 2" xfId="13770"/>
    <cellStyle name="Обычный 21 14 4 3 2 2" xfId="13771"/>
    <cellStyle name="Обычный 21 14 4 3 3" xfId="13772"/>
    <cellStyle name="Обычный 21 14 4 4" xfId="13773"/>
    <cellStyle name="Обычный 21 14 4 4 2" xfId="13774"/>
    <cellStyle name="Обычный 21 14 4 5" xfId="13775"/>
    <cellStyle name="Обычный 21 14 4 5 2" xfId="13776"/>
    <cellStyle name="Обычный 21 14 4 6" xfId="13777"/>
    <cellStyle name="Обычный 21 14 5" xfId="13778"/>
    <cellStyle name="Обычный 21 14 5 2" xfId="13779"/>
    <cellStyle name="Обычный 21 14 5 2 2" xfId="13780"/>
    <cellStyle name="Обычный 21 14 5 2 2 2" xfId="13781"/>
    <cellStyle name="Обычный 21 14 5 2 3" xfId="13782"/>
    <cellStyle name="Обычный 21 14 5 3" xfId="13783"/>
    <cellStyle name="Обычный 21 14 5 3 2" xfId="13784"/>
    <cellStyle name="Обычный 21 14 5 4" xfId="13785"/>
    <cellStyle name="Обычный 21 14 5 4 2" xfId="13786"/>
    <cellStyle name="Обычный 21 14 5 5" xfId="13787"/>
    <cellStyle name="Обычный 21 14 6" xfId="13788"/>
    <cellStyle name="Обычный 21 14 6 2" xfId="13789"/>
    <cellStyle name="Обычный 21 14 6 2 2" xfId="13790"/>
    <cellStyle name="Обычный 21 14 6 2 2 2" xfId="13791"/>
    <cellStyle name="Обычный 21 14 6 2 3" xfId="13792"/>
    <cellStyle name="Обычный 21 14 6 3" xfId="13793"/>
    <cellStyle name="Обычный 21 14 6 3 2" xfId="13794"/>
    <cellStyle name="Обычный 21 14 6 4" xfId="13795"/>
    <cellStyle name="Обычный 21 14 7" xfId="13796"/>
    <cellStyle name="Обычный 21 14 7 2" xfId="13797"/>
    <cellStyle name="Обычный 21 14 7 2 2" xfId="13798"/>
    <cellStyle name="Обычный 21 14 7 2 2 2" xfId="13799"/>
    <cellStyle name="Обычный 21 14 7 2 3" xfId="13800"/>
    <cellStyle name="Обычный 21 14 7 3" xfId="13801"/>
    <cellStyle name="Обычный 21 14 7 3 2" xfId="13802"/>
    <cellStyle name="Обычный 21 14 7 4" xfId="13803"/>
    <cellStyle name="Обычный 21 14 8" xfId="13804"/>
    <cellStyle name="Обычный 21 14 8 2" xfId="13805"/>
    <cellStyle name="Обычный 21 14 8 2 2" xfId="13806"/>
    <cellStyle name="Обычный 21 14 8 3" xfId="13807"/>
    <cellStyle name="Обычный 21 14 9" xfId="13808"/>
    <cellStyle name="Обычный 21 14 9 2" xfId="13809"/>
    <cellStyle name="Обычный 21 14 9 2 2" xfId="13810"/>
    <cellStyle name="Обычный 21 14 9 3" xfId="13811"/>
    <cellStyle name="Обычный 21 15" xfId="13812"/>
    <cellStyle name="Обычный 21 15 10" xfId="13813"/>
    <cellStyle name="Обычный 21 15 10 2" xfId="13814"/>
    <cellStyle name="Обычный 21 15 10 2 2" xfId="13815"/>
    <cellStyle name="Обычный 21 15 10 3" xfId="13816"/>
    <cellStyle name="Обычный 21 15 11" xfId="13817"/>
    <cellStyle name="Обычный 21 15 11 2" xfId="13818"/>
    <cellStyle name="Обычный 21 15 11 2 2" xfId="13819"/>
    <cellStyle name="Обычный 21 15 11 3" xfId="13820"/>
    <cellStyle name="Обычный 21 15 12" xfId="13821"/>
    <cellStyle name="Обычный 21 15 12 2" xfId="13822"/>
    <cellStyle name="Обычный 21 15 13" xfId="13823"/>
    <cellStyle name="Обычный 21 15 13 2" xfId="13824"/>
    <cellStyle name="Обычный 21 15 14" xfId="13825"/>
    <cellStyle name="Обычный 21 15 2" xfId="13826"/>
    <cellStyle name="Обычный 21 15 2 2" xfId="13827"/>
    <cellStyle name="Обычный 21 15 2 2 2" xfId="13828"/>
    <cellStyle name="Обычный 21 15 2 2 2 2" xfId="13829"/>
    <cellStyle name="Обычный 21 15 2 2 2 2 2" xfId="13830"/>
    <cellStyle name="Обычный 21 15 2 2 2 3" xfId="13831"/>
    <cellStyle name="Обычный 21 15 2 2 3" xfId="13832"/>
    <cellStyle name="Обычный 21 15 2 2 3 2" xfId="13833"/>
    <cellStyle name="Обычный 21 15 2 2 3 2 2" xfId="13834"/>
    <cellStyle name="Обычный 21 15 2 2 3 3" xfId="13835"/>
    <cellStyle name="Обычный 21 15 2 2 4" xfId="13836"/>
    <cellStyle name="Обычный 21 15 2 2 4 2" xfId="13837"/>
    <cellStyle name="Обычный 21 15 2 2 5" xfId="13838"/>
    <cellStyle name="Обычный 21 15 2 2 5 2" xfId="13839"/>
    <cellStyle name="Обычный 21 15 2 2 6" xfId="13840"/>
    <cellStyle name="Обычный 21 15 2 3" xfId="13841"/>
    <cellStyle name="Обычный 21 15 2 3 2" xfId="13842"/>
    <cellStyle name="Обычный 21 15 2 3 2 2" xfId="13843"/>
    <cellStyle name="Обычный 21 15 2 3 2 2 2" xfId="13844"/>
    <cellStyle name="Обычный 21 15 2 3 2 3" xfId="13845"/>
    <cellStyle name="Обычный 21 15 2 3 3" xfId="13846"/>
    <cellStyle name="Обычный 21 15 2 3 3 2" xfId="13847"/>
    <cellStyle name="Обычный 21 15 2 3 3 2 2" xfId="13848"/>
    <cellStyle name="Обычный 21 15 2 3 3 3" xfId="13849"/>
    <cellStyle name="Обычный 21 15 2 3 4" xfId="13850"/>
    <cellStyle name="Обычный 21 15 2 3 4 2" xfId="13851"/>
    <cellStyle name="Обычный 21 15 2 3 5" xfId="13852"/>
    <cellStyle name="Обычный 21 15 2 3 5 2" xfId="13853"/>
    <cellStyle name="Обычный 21 15 2 3 6" xfId="13854"/>
    <cellStyle name="Обычный 21 15 2 4" xfId="13855"/>
    <cellStyle name="Обычный 21 15 2 4 2" xfId="13856"/>
    <cellStyle name="Обычный 21 15 2 4 2 2" xfId="13857"/>
    <cellStyle name="Обычный 21 15 2 4 3" xfId="13858"/>
    <cellStyle name="Обычный 21 15 2 4 3 2" xfId="13859"/>
    <cellStyle name="Обычный 21 15 2 4 4" xfId="13860"/>
    <cellStyle name="Обычный 21 15 2 5" xfId="13861"/>
    <cellStyle name="Обычный 21 15 2 5 2" xfId="13862"/>
    <cellStyle name="Обычный 21 15 2 5 2 2" xfId="13863"/>
    <cellStyle name="Обычный 21 15 2 5 3" xfId="13864"/>
    <cellStyle name="Обычный 21 15 2 6" xfId="13865"/>
    <cellStyle name="Обычный 21 15 2 6 2" xfId="13866"/>
    <cellStyle name="Обычный 21 15 2 7" xfId="13867"/>
    <cellStyle name="Обычный 21 15 2 7 2" xfId="13868"/>
    <cellStyle name="Обычный 21 15 2 8" xfId="13869"/>
    <cellStyle name="Обычный 21 15 3" xfId="13870"/>
    <cellStyle name="Обычный 21 15 3 2" xfId="13871"/>
    <cellStyle name="Обычный 21 15 3 2 2" xfId="13872"/>
    <cellStyle name="Обычный 21 15 3 2 2 2" xfId="13873"/>
    <cellStyle name="Обычный 21 15 3 2 3" xfId="13874"/>
    <cellStyle name="Обычный 21 15 3 3" xfId="13875"/>
    <cellStyle name="Обычный 21 15 3 3 2" xfId="13876"/>
    <cellStyle name="Обычный 21 15 3 3 2 2" xfId="13877"/>
    <cellStyle name="Обычный 21 15 3 3 3" xfId="13878"/>
    <cellStyle name="Обычный 21 15 3 4" xfId="13879"/>
    <cellStyle name="Обычный 21 15 3 4 2" xfId="13880"/>
    <cellStyle name="Обычный 21 15 3 5" xfId="13881"/>
    <cellStyle name="Обычный 21 15 3 5 2" xfId="13882"/>
    <cellStyle name="Обычный 21 15 3 6" xfId="13883"/>
    <cellStyle name="Обычный 21 15 4" xfId="13884"/>
    <cellStyle name="Обычный 21 15 4 2" xfId="13885"/>
    <cellStyle name="Обычный 21 15 4 2 2" xfId="13886"/>
    <cellStyle name="Обычный 21 15 4 2 2 2" xfId="13887"/>
    <cellStyle name="Обычный 21 15 4 2 2 2 2" xfId="13888"/>
    <cellStyle name="Обычный 21 15 4 2 2 3" xfId="13889"/>
    <cellStyle name="Обычный 21 15 4 2 3" xfId="13890"/>
    <cellStyle name="Обычный 21 15 4 2 3 2" xfId="13891"/>
    <cellStyle name="Обычный 21 15 4 2 4" xfId="13892"/>
    <cellStyle name="Обычный 21 15 4 3" xfId="13893"/>
    <cellStyle name="Обычный 21 15 4 3 2" xfId="13894"/>
    <cellStyle name="Обычный 21 15 4 3 2 2" xfId="13895"/>
    <cellStyle name="Обычный 21 15 4 3 3" xfId="13896"/>
    <cellStyle name="Обычный 21 15 4 4" xfId="13897"/>
    <cellStyle name="Обычный 21 15 4 4 2" xfId="13898"/>
    <cellStyle name="Обычный 21 15 4 4 2 2" xfId="13899"/>
    <cellStyle name="Обычный 21 15 4 4 3" xfId="13900"/>
    <cellStyle name="Обычный 21 15 4 5" xfId="13901"/>
    <cellStyle name="Обычный 21 15 4 5 2" xfId="13902"/>
    <cellStyle name="Обычный 21 15 4 6" xfId="13903"/>
    <cellStyle name="Обычный 21 15 4 6 2" xfId="13904"/>
    <cellStyle name="Обычный 21 15 4 7" xfId="13905"/>
    <cellStyle name="Обычный 21 15 5" xfId="13906"/>
    <cellStyle name="Обычный 21 15 5 2" xfId="13907"/>
    <cellStyle name="Обычный 21 15 5 2 2" xfId="13908"/>
    <cellStyle name="Обычный 21 15 5 2 2 2" xfId="13909"/>
    <cellStyle name="Обычный 21 15 5 2 3" xfId="13910"/>
    <cellStyle name="Обычный 21 15 5 3" xfId="13911"/>
    <cellStyle name="Обычный 21 15 5 3 2" xfId="13912"/>
    <cellStyle name="Обычный 21 15 5 3 2 2" xfId="13913"/>
    <cellStyle name="Обычный 21 15 5 3 3" xfId="13914"/>
    <cellStyle name="Обычный 21 15 5 4" xfId="13915"/>
    <cellStyle name="Обычный 21 15 5 4 2" xfId="13916"/>
    <cellStyle name="Обычный 21 15 5 5" xfId="13917"/>
    <cellStyle name="Обычный 21 15 5 5 2" xfId="13918"/>
    <cellStyle name="Обычный 21 15 5 6" xfId="13919"/>
    <cellStyle name="Обычный 21 15 6" xfId="13920"/>
    <cellStyle name="Обычный 21 15 6 2" xfId="13921"/>
    <cellStyle name="Обычный 21 15 6 2 2" xfId="13922"/>
    <cellStyle name="Обычный 21 15 6 2 2 2" xfId="13923"/>
    <cellStyle name="Обычный 21 15 6 2 3" xfId="13924"/>
    <cellStyle name="Обычный 21 15 6 3" xfId="13925"/>
    <cellStyle name="Обычный 21 15 6 3 2" xfId="13926"/>
    <cellStyle name="Обычный 21 15 6 4" xfId="13927"/>
    <cellStyle name="Обычный 21 15 6 4 2" xfId="13928"/>
    <cellStyle name="Обычный 21 15 6 5" xfId="13929"/>
    <cellStyle name="Обычный 21 15 7" xfId="13930"/>
    <cellStyle name="Обычный 21 15 7 2" xfId="13931"/>
    <cellStyle name="Обычный 21 15 7 2 2" xfId="13932"/>
    <cellStyle name="Обычный 21 15 7 2 2 2" xfId="13933"/>
    <cellStyle name="Обычный 21 15 7 2 3" xfId="13934"/>
    <cellStyle name="Обычный 21 15 7 3" xfId="13935"/>
    <cellStyle name="Обычный 21 15 7 3 2" xfId="13936"/>
    <cellStyle name="Обычный 21 15 7 4" xfId="13937"/>
    <cellStyle name="Обычный 21 15 8" xfId="13938"/>
    <cellStyle name="Обычный 21 15 8 2" xfId="13939"/>
    <cellStyle name="Обычный 21 15 8 2 2" xfId="13940"/>
    <cellStyle name="Обычный 21 15 8 2 2 2" xfId="13941"/>
    <cellStyle name="Обычный 21 15 8 2 3" xfId="13942"/>
    <cellStyle name="Обычный 21 15 8 3" xfId="13943"/>
    <cellStyle name="Обычный 21 15 8 3 2" xfId="13944"/>
    <cellStyle name="Обычный 21 15 8 4" xfId="13945"/>
    <cellStyle name="Обычный 21 15 9" xfId="13946"/>
    <cellStyle name="Обычный 21 15 9 2" xfId="13947"/>
    <cellStyle name="Обычный 21 15 9 2 2" xfId="13948"/>
    <cellStyle name="Обычный 21 15 9 2 2 2" xfId="13949"/>
    <cellStyle name="Обычный 21 15 9 2 3" xfId="13950"/>
    <cellStyle name="Обычный 21 15 9 3" xfId="13951"/>
    <cellStyle name="Обычный 21 15 9 3 2" xfId="13952"/>
    <cellStyle name="Обычный 21 15 9 4" xfId="13953"/>
    <cellStyle name="Обычный 21 16" xfId="13954"/>
    <cellStyle name="Обычный 21 16 2" xfId="13955"/>
    <cellStyle name="Обычный 21 16 2 2" xfId="13956"/>
    <cellStyle name="Обычный 21 16 2 2 2" xfId="13957"/>
    <cellStyle name="Обычный 21 16 2 2 2 2" xfId="13958"/>
    <cellStyle name="Обычный 21 16 2 2 2 2 2" xfId="13959"/>
    <cellStyle name="Обычный 21 16 2 2 2 2 2 2" xfId="13960"/>
    <cellStyle name="Обычный 21 16 2 2 2 2 3" xfId="13961"/>
    <cellStyle name="Обычный 21 16 2 2 2 3" xfId="13962"/>
    <cellStyle name="Обычный 21 16 2 2 2 3 2" xfId="13963"/>
    <cellStyle name="Обычный 21 16 2 2 2 3 2 2" xfId="13964"/>
    <cellStyle name="Обычный 21 16 2 2 2 3 3" xfId="13965"/>
    <cellStyle name="Обычный 21 16 2 2 2 4" xfId="13966"/>
    <cellStyle name="Обычный 21 16 2 2 2 4 2" xfId="13967"/>
    <cellStyle name="Обычный 21 16 2 2 2 5" xfId="13968"/>
    <cellStyle name="Обычный 21 16 2 2 2 5 2" xfId="13969"/>
    <cellStyle name="Обычный 21 16 2 2 2 6" xfId="13970"/>
    <cellStyle name="Обычный 21 16 2 2 3" xfId="13971"/>
    <cellStyle name="Обычный 21 16 2 2 3 2" xfId="13972"/>
    <cellStyle name="Обычный 21 16 2 2 3 2 2" xfId="13973"/>
    <cellStyle name="Обычный 21 16 2 2 3 3" xfId="13974"/>
    <cellStyle name="Обычный 21 16 2 2 4" xfId="13975"/>
    <cellStyle name="Обычный 21 16 2 2 4 2" xfId="13976"/>
    <cellStyle name="Обычный 21 16 2 2 4 2 2" xfId="13977"/>
    <cellStyle name="Обычный 21 16 2 2 4 3" xfId="13978"/>
    <cellStyle name="Обычный 21 16 2 2 5" xfId="13979"/>
    <cellStyle name="Обычный 21 16 2 2 5 2" xfId="13980"/>
    <cellStyle name="Обычный 21 16 2 2 6" xfId="13981"/>
    <cellStyle name="Обычный 21 16 2 2 6 2" xfId="13982"/>
    <cellStyle name="Обычный 21 16 2 2 7" xfId="13983"/>
    <cellStyle name="Обычный 21 16 2 3" xfId="13984"/>
    <cellStyle name="Обычный 21 16 2 3 2" xfId="13985"/>
    <cellStyle name="Обычный 21 16 2 3 2 2" xfId="13986"/>
    <cellStyle name="Обычный 21 16 2 3 2 2 2" xfId="13987"/>
    <cellStyle name="Обычный 21 16 2 3 2 3" xfId="13988"/>
    <cellStyle name="Обычный 21 16 2 3 3" xfId="13989"/>
    <cellStyle name="Обычный 21 16 2 3 3 2" xfId="13990"/>
    <cellStyle name="Обычный 21 16 2 3 3 2 2" xfId="13991"/>
    <cellStyle name="Обычный 21 16 2 3 3 3" xfId="13992"/>
    <cellStyle name="Обычный 21 16 2 3 4" xfId="13993"/>
    <cellStyle name="Обычный 21 16 2 3 4 2" xfId="13994"/>
    <cellStyle name="Обычный 21 16 2 3 5" xfId="13995"/>
    <cellStyle name="Обычный 21 16 2 3 5 2" xfId="13996"/>
    <cellStyle name="Обычный 21 16 2 3 6" xfId="13997"/>
    <cellStyle name="Обычный 21 16 2 4" xfId="13998"/>
    <cellStyle name="Обычный 21 16 2 4 2" xfId="13999"/>
    <cellStyle name="Обычный 21 16 2 4 2 2" xfId="14000"/>
    <cellStyle name="Обычный 21 16 2 4 3" xfId="14001"/>
    <cellStyle name="Обычный 21 16 2 4 3 2" xfId="14002"/>
    <cellStyle name="Обычный 21 16 2 4 4" xfId="14003"/>
    <cellStyle name="Обычный 21 16 2 5" xfId="14004"/>
    <cellStyle name="Обычный 21 16 2 5 2" xfId="14005"/>
    <cellStyle name="Обычный 21 16 2 5 2 2" xfId="14006"/>
    <cellStyle name="Обычный 21 16 2 5 3" xfId="14007"/>
    <cellStyle name="Обычный 21 16 2 6" xfId="14008"/>
    <cellStyle name="Обычный 21 16 2 6 2" xfId="14009"/>
    <cellStyle name="Обычный 21 16 2 7" xfId="14010"/>
    <cellStyle name="Обычный 21 16 2 7 2" xfId="14011"/>
    <cellStyle name="Обычный 21 16 2 8" xfId="14012"/>
    <cellStyle name="Обычный 21 16 3" xfId="14013"/>
    <cellStyle name="Обычный 21 16 3 2" xfId="14014"/>
    <cellStyle name="Обычный 21 16 3 2 2" xfId="14015"/>
    <cellStyle name="Обычный 21 16 3 2 2 2" xfId="14016"/>
    <cellStyle name="Обычный 21 16 3 2 2 2 2" xfId="14017"/>
    <cellStyle name="Обычный 21 16 3 2 2 3" xfId="14018"/>
    <cellStyle name="Обычный 21 16 3 2 3" xfId="14019"/>
    <cellStyle name="Обычный 21 16 3 2 3 2" xfId="14020"/>
    <cellStyle name="Обычный 21 16 3 2 3 2 2" xfId="14021"/>
    <cellStyle name="Обычный 21 16 3 2 3 3" xfId="14022"/>
    <cellStyle name="Обычный 21 16 3 2 4" xfId="14023"/>
    <cellStyle name="Обычный 21 16 3 2 4 2" xfId="14024"/>
    <cellStyle name="Обычный 21 16 3 2 5" xfId="14025"/>
    <cellStyle name="Обычный 21 16 3 2 5 2" xfId="14026"/>
    <cellStyle name="Обычный 21 16 3 2 6" xfId="14027"/>
    <cellStyle name="Обычный 21 16 3 3" xfId="14028"/>
    <cellStyle name="Обычный 21 16 3 3 2" xfId="14029"/>
    <cellStyle name="Обычный 21 16 3 3 2 2" xfId="14030"/>
    <cellStyle name="Обычный 21 16 3 3 3" xfId="14031"/>
    <cellStyle name="Обычный 21 16 3 4" xfId="14032"/>
    <cellStyle name="Обычный 21 16 3 4 2" xfId="14033"/>
    <cellStyle name="Обычный 21 16 3 4 2 2" xfId="14034"/>
    <cellStyle name="Обычный 21 16 3 4 3" xfId="14035"/>
    <cellStyle name="Обычный 21 16 3 5" xfId="14036"/>
    <cellStyle name="Обычный 21 16 3 5 2" xfId="14037"/>
    <cellStyle name="Обычный 21 16 3 6" xfId="14038"/>
    <cellStyle name="Обычный 21 16 3 6 2" xfId="14039"/>
    <cellStyle name="Обычный 21 16 3 7" xfId="14040"/>
    <cellStyle name="Обычный 21 16 4" xfId="14041"/>
    <cellStyle name="Обычный 21 16 4 2" xfId="14042"/>
    <cellStyle name="Обычный 21 16 4 2 2" xfId="14043"/>
    <cellStyle name="Обычный 21 16 4 2 2 2" xfId="14044"/>
    <cellStyle name="Обычный 21 16 4 2 3" xfId="14045"/>
    <cellStyle name="Обычный 21 16 4 3" xfId="14046"/>
    <cellStyle name="Обычный 21 16 4 3 2" xfId="14047"/>
    <cellStyle name="Обычный 21 16 4 3 2 2" xfId="14048"/>
    <cellStyle name="Обычный 21 16 4 3 3" xfId="14049"/>
    <cellStyle name="Обычный 21 16 4 4" xfId="14050"/>
    <cellStyle name="Обычный 21 16 4 4 2" xfId="14051"/>
    <cellStyle name="Обычный 21 16 4 5" xfId="14052"/>
    <cellStyle name="Обычный 21 16 4 5 2" xfId="14053"/>
    <cellStyle name="Обычный 21 16 4 6" xfId="14054"/>
    <cellStyle name="Обычный 21 16 5" xfId="14055"/>
    <cellStyle name="Обычный 21 16 5 2" xfId="14056"/>
    <cellStyle name="Обычный 21 16 5 2 2" xfId="14057"/>
    <cellStyle name="Обычный 21 16 5 3" xfId="14058"/>
    <cellStyle name="Обычный 21 16 5 3 2" xfId="14059"/>
    <cellStyle name="Обычный 21 16 5 4" xfId="14060"/>
    <cellStyle name="Обычный 21 16 6" xfId="14061"/>
    <cellStyle name="Обычный 21 16 6 2" xfId="14062"/>
    <cellStyle name="Обычный 21 16 6 2 2" xfId="14063"/>
    <cellStyle name="Обычный 21 16 6 3" xfId="14064"/>
    <cellStyle name="Обычный 21 16 7" xfId="14065"/>
    <cellStyle name="Обычный 21 16 7 2" xfId="14066"/>
    <cellStyle name="Обычный 21 16 8" xfId="14067"/>
    <cellStyle name="Обычный 21 16 8 2" xfId="14068"/>
    <cellStyle name="Обычный 21 16 9" xfId="14069"/>
    <cellStyle name="Обычный 21 17" xfId="14070"/>
    <cellStyle name="Обычный 21 17 2" xfId="14071"/>
    <cellStyle name="Обычный 21 17 2 2" xfId="14072"/>
    <cellStyle name="Обычный 21 17 2 2 2" xfId="14073"/>
    <cellStyle name="Обычный 21 17 2 2 2 2" xfId="14074"/>
    <cellStyle name="Обычный 21 17 2 2 2 2 2" xfId="14075"/>
    <cellStyle name="Обычный 21 17 2 2 2 3" xfId="14076"/>
    <cellStyle name="Обычный 21 17 2 2 3" xfId="14077"/>
    <cellStyle name="Обычный 21 17 2 2 3 2" xfId="14078"/>
    <cellStyle name="Обычный 21 17 2 2 3 2 2" xfId="14079"/>
    <cellStyle name="Обычный 21 17 2 2 3 3" xfId="14080"/>
    <cellStyle name="Обычный 21 17 2 2 4" xfId="14081"/>
    <cellStyle name="Обычный 21 17 2 2 4 2" xfId="14082"/>
    <cellStyle name="Обычный 21 17 2 2 5" xfId="14083"/>
    <cellStyle name="Обычный 21 17 2 2 5 2" xfId="14084"/>
    <cellStyle name="Обычный 21 17 2 2 6" xfId="14085"/>
    <cellStyle name="Обычный 21 17 2 3" xfId="14086"/>
    <cellStyle name="Обычный 21 17 2 3 2" xfId="14087"/>
    <cellStyle name="Обычный 21 17 2 3 2 2" xfId="14088"/>
    <cellStyle name="Обычный 21 17 2 3 2 2 2" xfId="14089"/>
    <cellStyle name="Обычный 21 17 2 3 2 3" xfId="14090"/>
    <cellStyle name="Обычный 21 17 2 3 3" xfId="14091"/>
    <cellStyle name="Обычный 21 17 2 3 3 2" xfId="14092"/>
    <cellStyle name="Обычный 21 17 2 3 3 2 2" xfId="14093"/>
    <cellStyle name="Обычный 21 17 2 3 3 3" xfId="14094"/>
    <cellStyle name="Обычный 21 17 2 3 4" xfId="14095"/>
    <cellStyle name="Обычный 21 17 2 3 4 2" xfId="14096"/>
    <cellStyle name="Обычный 21 17 2 3 5" xfId="14097"/>
    <cellStyle name="Обычный 21 17 2 3 5 2" xfId="14098"/>
    <cellStyle name="Обычный 21 17 2 3 6" xfId="14099"/>
    <cellStyle name="Обычный 21 17 2 4" xfId="14100"/>
    <cellStyle name="Обычный 21 17 2 4 2" xfId="14101"/>
    <cellStyle name="Обычный 21 17 2 4 2 2" xfId="14102"/>
    <cellStyle name="Обычный 21 17 2 4 3" xfId="14103"/>
    <cellStyle name="Обычный 21 17 2 4 3 2" xfId="14104"/>
    <cellStyle name="Обычный 21 17 2 4 4" xfId="14105"/>
    <cellStyle name="Обычный 21 17 2 5" xfId="14106"/>
    <cellStyle name="Обычный 21 17 2 5 2" xfId="14107"/>
    <cellStyle name="Обычный 21 17 2 5 2 2" xfId="14108"/>
    <cellStyle name="Обычный 21 17 2 5 3" xfId="14109"/>
    <cellStyle name="Обычный 21 17 2 6" xfId="14110"/>
    <cellStyle name="Обычный 21 17 2 6 2" xfId="14111"/>
    <cellStyle name="Обычный 21 17 2 7" xfId="14112"/>
    <cellStyle name="Обычный 21 17 2 7 2" xfId="14113"/>
    <cellStyle name="Обычный 21 17 2 8" xfId="14114"/>
    <cellStyle name="Обычный 21 17 3" xfId="14115"/>
    <cellStyle name="Обычный 21 17 3 2" xfId="14116"/>
    <cellStyle name="Обычный 21 17 3 2 2" xfId="14117"/>
    <cellStyle name="Обычный 21 17 3 2 2 2" xfId="14118"/>
    <cellStyle name="Обычный 21 17 3 2 2 2 2" xfId="14119"/>
    <cellStyle name="Обычный 21 17 3 2 2 3" xfId="14120"/>
    <cellStyle name="Обычный 21 17 3 2 3" xfId="14121"/>
    <cellStyle name="Обычный 21 17 3 2 3 2" xfId="14122"/>
    <cellStyle name="Обычный 21 17 3 2 3 2 2" xfId="14123"/>
    <cellStyle name="Обычный 21 17 3 2 3 3" xfId="14124"/>
    <cellStyle name="Обычный 21 17 3 2 4" xfId="14125"/>
    <cellStyle name="Обычный 21 17 3 2 4 2" xfId="14126"/>
    <cellStyle name="Обычный 21 17 3 2 5" xfId="14127"/>
    <cellStyle name="Обычный 21 17 3 2 5 2" xfId="14128"/>
    <cellStyle name="Обычный 21 17 3 2 6" xfId="14129"/>
    <cellStyle name="Обычный 21 17 3 3" xfId="14130"/>
    <cellStyle name="Обычный 21 17 3 3 2" xfId="14131"/>
    <cellStyle name="Обычный 21 17 3 3 2 2" xfId="14132"/>
    <cellStyle name="Обычный 21 17 3 3 3" xfId="14133"/>
    <cellStyle name="Обычный 21 17 3 4" xfId="14134"/>
    <cellStyle name="Обычный 21 17 3 4 2" xfId="14135"/>
    <cellStyle name="Обычный 21 17 3 4 2 2" xfId="14136"/>
    <cellStyle name="Обычный 21 17 3 4 3" xfId="14137"/>
    <cellStyle name="Обычный 21 17 3 5" xfId="14138"/>
    <cellStyle name="Обычный 21 17 3 5 2" xfId="14139"/>
    <cellStyle name="Обычный 21 17 3 6" xfId="14140"/>
    <cellStyle name="Обычный 21 17 3 6 2" xfId="14141"/>
    <cellStyle name="Обычный 21 17 3 7" xfId="14142"/>
    <cellStyle name="Обычный 21 17 4" xfId="14143"/>
    <cellStyle name="Обычный 21 17 4 2" xfId="14144"/>
    <cellStyle name="Обычный 21 17 4 2 2" xfId="14145"/>
    <cellStyle name="Обычный 21 17 4 2 2 2" xfId="14146"/>
    <cellStyle name="Обычный 21 17 4 2 3" xfId="14147"/>
    <cellStyle name="Обычный 21 17 4 3" xfId="14148"/>
    <cellStyle name="Обычный 21 17 4 3 2" xfId="14149"/>
    <cellStyle name="Обычный 21 17 4 3 2 2" xfId="14150"/>
    <cellStyle name="Обычный 21 17 4 3 3" xfId="14151"/>
    <cellStyle name="Обычный 21 17 4 4" xfId="14152"/>
    <cellStyle name="Обычный 21 17 4 4 2" xfId="14153"/>
    <cellStyle name="Обычный 21 17 4 5" xfId="14154"/>
    <cellStyle name="Обычный 21 17 4 5 2" xfId="14155"/>
    <cellStyle name="Обычный 21 17 4 6" xfId="14156"/>
    <cellStyle name="Обычный 21 17 5" xfId="14157"/>
    <cellStyle name="Обычный 21 17 5 2" xfId="14158"/>
    <cellStyle name="Обычный 21 17 5 2 2" xfId="14159"/>
    <cellStyle name="Обычный 21 17 5 3" xfId="14160"/>
    <cellStyle name="Обычный 21 17 5 3 2" xfId="14161"/>
    <cellStyle name="Обычный 21 17 5 4" xfId="14162"/>
    <cellStyle name="Обычный 21 17 6" xfId="14163"/>
    <cellStyle name="Обычный 21 17 6 2" xfId="14164"/>
    <cellStyle name="Обычный 21 17 6 2 2" xfId="14165"/>
    <cellStyle name="Обычный 21 17 6 3" xfId="14166"/>
    <cellStyle name="Обычный 21 17 7" xfId="14167"/>
    <cellStyle name="Обычный 21 17 7 2" xfId="14168"/>
    <cellStyle name="Обычный 21 17 8" xfId="14169"/>
    <cellStyle name="Обычный 21 17 8 2" xfId="14170"/>
    <cellStyle name="Обычный 21 17 9" xfId="14171"/>
    <cellStyle name="Обычный 21 18" xfId="14172"/>
    <cellStyle name="Обычный 21 18 10" xfId="14173"/>
    <cellStyle name="Обычный 21 18 10 2" xfId="14174"/>
    <cellStyle name="Обычный 21 18 10 2 2" xfId="14175"/>
    <cellStyle name="Обычный 21 18 10 2 2 2" xfId="14176"/>
    <cellStyle name="Обычный 21 18 10 2 3" xfId="14177"/>
    <cellStyle name="Обычный 21 18 10 3" xfId="14178"/>
    <cellStyle name="Обычный 21 18 10 3 2" xfId="14179"/>
    <cellStyle name="Обычный 21 18 10 3 2 2" xfId="14180"/>
    <cellStyle name="Обычный 21 18 10 3 3" xfId="14181"/>
    <cellStyle name="Обычный 21 18 10 4" xfId="14182"/>
    <cellStyle name="Обычный 21 18 10 4 2" xfId="14183"/>
    <cellStyle name="Обычный 21 18 10 5" xfId="14184"/>
    <cellStyle name="Обычный 21 18 10 5 2" xfId="14185"/>
    <cellStyle name="Обычный 21 18 10 6" xfId="14186"/>
    <cellStyle name="Обычный 21 18 11" xfId="14187"/>
    <cellStyle name="Обычный 21 18 11 2" xfId="14188"/>
    <cellStyle name="Обычный 21 18 11 2 2" xfId="14189"/>
    <cellStyle name="Обычный 21 18 11 3" xfId="14190"/>
    <cellStyle name="Обычный 21 18 11 3 2" xfId="14191"/>
    <cellStyle name="Обычный 21 18 11 4" xfId="14192"/>
    <cellStyle name="Обычный 21 18 12" xfId="14193"/>
    <cellStyle name="Обычный 21 18 12 2" xfId="14194"/>
    <cellStyle name="Обычный 21 18 12 2 2" xfId="14195"/>
    <cellStyle name="Обычный 21 18 12 3" xfId="14196"/>
    <cellStyle name="Обычный 21 18 13" xfId="14197"/>
    <cellStyle name="Обычный 21 18 13 2" xfId="14198"/>
    <cellStyle name="Обычный 21 18 14" xfId="14199"/>
    <cellStyle name="Обычный 21 18 14 2" xfId="14200"/>
    <cellStyle name="Обычный 21 18 15" xfId="14201"/>
    <cellStyle name="Обычный 21 18 2" xfId="14202"/>
    <cellStyle name="Обычный 21 18 2 2" xfId="14203"/>
    <cellStyle name="Обычный 21 18 2 2 2" xfId="14204"/>
    <cellStyle name="Обычный 21 18 2 2 2 2" xfId="14205"/>
    <cellStyle name="Обычный 21 18 2 2 2 2 2" xfId="14206"/>
    <cellStyle name="Обычный 21 18 2 2 2 2 2 2" xfId="14207"/>
    <cellStyle name="Обычный 21 18 2 2 2 2 3" xfId="14208"/>
    <cellStyle name="Обычный 21 18 2 2 2 3" xfId="14209"/>
    <cellStyle name="Обычный 21 18 2 2 2 3 2" xfId="14210"/>
    <cellStyle name="Обычный 21 18 2 2 2 3 2 2" xfId="14211"/>
    <cellStyle name="Обычный 21 18 2 2 2 3 3" xfId="14212"/>
    <cellStyle name="Обычный 21 18 2 2 2 4" xfId="14213"/>
    <cellStyle name="Обычный 21 18 2 2 2 4 2" xfId="14214"/>
    <cellStyle name="Обычный 21 18 2 2 2 5" xfId="14215"/>
    <cellStyle name="Обычный 21 18 2 2 2 5 2" xfId="14216"/>
    <cellStyle name="Обычный 21 18 2 2 2 6" xfId="14217"/>
    <cellStyle name="Обычный 21 18 2 2 3" xfId="14218"/>
    <cellStyle name="Обычный 21 18 2 2 3 2" xfId="14219"/>
    <cellStyle name="Обычный 21 18 2 2 3 2 2" xfId="14220"/>
    <cellStyle name="Обычный 21 18 2 2 3 3" xfId="14221"/>
    <cellStyle name="Обычный 21 18 2 2 4" xfId="14222"/>
    <cellStyle name="Обычный 21 18 2 2 4 2" xfId="14223"/>
    <cellStyle name="Обычный 21 18 2 2 4 2 2" xfId="14224"/>
    <cellStyle name="Обычный 21 18 2 2 4 3" xfId="14225"/>
    <cellStyle name="Обычный 21 18 2 2 5" xfId="14226"/>
    <cellStyle name="Обычный 21 18 2 2 5 2" xfId="14227"/>
    <cellStyle name="Обычный 21 18 2 2 6" xfId="14228"/>
    <cellStyle name="Обычный 21 18 2 2 6 2" xfId="14229"/>
    <cellStyle name="Обычный 21 18 2 2 7" xfId="14230"/>
    <cellStyle name="Обычный 21 18 2 3" xfId="14231"/>
    <cellStyle name="Обычный 21 18 2 3 2" xfId="14232"/>
    <cellStyle name="Обычный 21 18 2 3 2 2" xfId="14233"/>
    <cellStyle name="Обычный 21 18 2 3 2 2 2" xfId="14234"/>
    <cellStyle name="Обычный 21 18 2 3 2 3" xfId="14235"/>
    <cellStyle name="Обычный 21 18 2 3 3" xfId="14236"/>
    <cellStyle name="Обычный 21 18 2 3 3 2" xfId="14237"/>
    <cellStyle name="Обычный 21 18 2 3 3 2 2" xfId="14238"/>
    <cellStyle name="Обычный 21 18 2 3 3 3" xfId="14239"/>
    <cellStyle name="Обычный 21 18 2 3 4" xfId="14240"/>
    <cellStyle name="Обычный 21 18 2 3 4 2" xfId="14241"/>
    <cellStyle name="Обычный 21 18 2 3 5" xfId="14242"/>
    <cellStyle name="Обычный 21 18 2 3 5 2" xfId="14243"/>
    <cellStyle name="Обычный 21 18 2 3 6" xfId="14244"/>
    <cellStyle name="Обычный 21 18 2 4" xfId="14245"/>
    <cellStyle name="Обычный 21 18 2 4 2" xfId="14246"/>
    <cellStyle name="Обычный 21 18 2 4 2 2" xfId="14247"/>
    <cellStyle name="Обычный 21 18 2 4 3" xfId="14248"/>
    <cellStyle name="Обычный 21 18 2 4 3 2" xfId="14249"/>
    <cellStyle name="Обычный 21 18 2 4 4" xfId="14250"/>
    <cellStyle name="Обычный 21 18 2 5" xfId="14251"/>
    <cellStyle name="Обычный 21 18 2 5 2" xfId="14252"/>
    <cellStyle name="Обычный 21 18 2 5 2 2" xfId="14253"/>
    <cellStyle name="Обычный 21 18 2 5 3" xfId="14254"/>
    <cellStyle name="Обычный 21 18 2 6" xfId="14255"/>
    <cellStyle name="Обычный 21 18 2 6 2" xfId="14256"/>
    <cellStyle name="Обычный 21 18 2 7" xfId="14257"/>
    <cellStyle name="Обычный 21 18 2 7 2" xfId="14258"/>
    <cellStyle name="Обычный 21 18 2 8" xfId="14259"/>
    <cellStyle name="Обычный 21 18 3" xfId="14260"/>
    <cellStyle name="Обычный 21 18 3 2" xfId="14261"/>
    <cellStyle name="Обычный 21 18 3 2 2" xfId="14262"/>
    <cellStyle name="Обычный 21 18 3 2 2 2" xfId="14263"/>
    <cellStyle name="Обычный 21 18 3 2 2 2 2" xfId="14264"/>
    <cellStyle name="Обычный 21 18 3 2 2 2 2 2" xfId="14265"/>
    <cellStyle name="Обычный 21 18 3 2 2 2 3" xfId="14266"/>
    <cellStyle name="Обычный 21 18 3 2 2 3" xfId="14267"/>
    <cellStyle name="Обычный 21 18 3 2 2 3 2" xfId="14268"/>
    <cellStyle name="Обычный 21 18 3 2 2 3 2 2" xfId="14269"/>
    <cellStyle name="Обычный 21 18 3 2 2 3 3" xfId="14270"/>
    <cellStyle name="Обычный 21 18 3 2 2 4" xfId="14271"/>
    <cellStyle name="Обычный 21 18 3 2 2 4 2" xfId="14272"/>
    <cellStyle name="Обычный 21 18 3 2 2 5" xfId="14273"/>
    <cellStyle name="Обычный 21 18 3 2 2 5 2" xfId="14274"/>
    <cellStyle name="Обычный 21 18 3 2 2 6" xfId="14275"/>
    <cellStyle name="Обычный 21 18 3 2 3" xfId="14276"/>
    <cellStyle name="Обычный 21 18 3 2 3 2" xfId="14277"/>
    <cellStyle name="Обычный 21 18 3 2 3 2 2" xfId="14278"/>
    <cellStyle name="Обычный 21 18 3 2 3 3" xfId="14279"/>
    <cellStyle name="Обычный 21 18 3 2 4" xfId="14280"/>
    <cellStyle name="Обычный 21 18 3 2 4 2" xfId="14281"/>
    <cellStyle name="Обычный 21 18 3 2 4 2 2" xfId="14282"/>
    <cellStyle name="Обычный 21 18 3 2 4 3" xfId="14283"/>
    <cellStyle name="Обычный 21 18 3 2 5" xfId="14284"/>
    <cellStyle name="Обычный 21 18 3 2 5 2" xfId="14285"/>
    <cellStyle name="Обычный 21 18 3 2 6" xfId="14286"/>
    <cellStyle name="Обычный 21 18 3 2 6 2" xfId="14287"/>
    <cellStyle name="Обычный 21 18 3 2 7" xfId="14288"/>
    <cellStyle name="Обычный 21 18 3 3" xfId="14289"/>
    <cellStyle name="Обычный 21 18 3 3 2" xfId="14290"/>
    <cellStyle name="Обычный 21 18 3 3 2 2" xfId="14291"/>
    <cellStyle name="Обычный 21 18 3 3 2 2 2" xfId="14292"/>
    <cellStyle name="Обычный 21 18 3 3 2 3" xfId="14293"/>
    <cellStyle name="Обычный 21 18 3 3 3" xfId="14294"/>
    <cellStyle name="Обычный 21 18 3 3 3 2" xfId="14295"/>
    <cellStyle name="Обычный 21 18 3 3 3 2 2" xfId="14296"/>
    <cellStyle name="Обычный 21 18 3 3 3 3" xfId="14297"/>
    <cellStyle name="Обычный 21 18 3 3 4" xfId="14298"/>
    <cellStyle name="Обычный 21 18 3 3 4 2" xfId="14299"/>
    <cellStyle name="Обычный 21 18 3 3 5" xfId="14300"/>
    <cellStyle name="Обычный 21 18 3 3 5 2" xfId="14301"/>
    <cellStyle name="Обычный 21 18 3 3 6" xfId="14302"/>
    <cellStyle name="Обычный 21 18 3 4" xfId="14303"/>
    <cellStyle name="Обычный 21 18 3 4 2" xfId="14304"/>
    <cellStyle name="Обычный 21 18 3 4 2 2" xfId="14305"/>
    <cellStyle name="Обычный 21 18 3 4 3" xfId="14306"/>
    <cellStyle name="Обычный 21 18 3 5" xfId="14307"/>
    <cellStyle name="Обычный 21 18 3 5 2" xfId="14308"/>
    <cellStyle name="Обычный 21 18 3 5 2 2" xfId="14309"/>
    <cellStyle name="Обычный 21 18 3 5 3" xfId="14310"/>
    <cellStyle name="Обычный 21 18 3 6" xfId="14311"/>
    <cellStyle name="Обычный 21 18 3 6 2" xfId="14312"/>
    <cellStyle name="Обычный 21 18 3 7" xfId="14313"/>
    <cellStyle name="Обычный 21 18 3 7 2" xfId="14314"/>
    <cellStyle name="Обычный 21 18 3 8" xfId="14315"/>
    <cellStyle name="Обычный 21 18 4" xfId="14316"/>
    <cellStyle name="Обычный 21 18 4 2" xfId="14317"/>
    <cellStyle name="Обычный 21 18 4 2 2" xfId="14318"/>
    <cellStyle name="Обычный 21 18 4 2 2 2" xfId="14319"/>
    <cellStyle name="Обычный 21 18 4 2 2 2 2" xfId="14320"/>
    <cellStyle name="Обычный 21 18 4 2 2 2 2 2" xfId="14321"/>
    <cellStyle name="Обычный 21 18 4 2 2 2 3" xfId="14322"/>
    <cellStyle name="Обычный 21 18 4 2 2 3" xfId="14323"/>
    <cellStyle name="Обычный 21 18 4 2 2 3 2" xfId="14324"/>
    <cellStyle name="Обычный 21 18 4 2 2 3 2 2" xfId="14325"/>
    <cellStyle name="Обычный 21 18 4 2 2 3 3" xfId="14326"/>
    <cellStyle name="Обычный 21 18 4 2 2 4" xfId="14327"/>
    <cellStyle name="Обычный 21 18 4 2 2 4 2" xfId="14328"/>
    <cellStyle name="Обычный 21 18 4 2 2 5" xfId="14329"/>
    <cellStyle name="Обычный 21 18 4 2 2 5 2" xfId="14330"/>
    <cellStyle name="Обычный 21 18 4 2 2 6" xfId="14331"/>
    <cellStyle name="Обычный 21 18 4 2 3" xfId="14332"/>
    <cellStyle name="Обычный 21 18 4 2 3 2" xfId="14333"/>
    <cellStyle name="Обычный 21 18 4 2 3 2 2" xfId="14334"/>
    <cellStyle name="Обычный 21 18 4 2 3 3" xfId="14335"/>
    <cellStyle name="Обычный 21 18 4 2 4" xfId="14336"/>
    <cellStyle name="Обычный 21 18 4 2 4 2" xfId="14337"/>
    <cellStyle name="Обычный 21 18 4 2 4 2 2" xfId="14338"/>
    <cellStyle name="Обычный 21 18 4 2 4 3" xfId="14339"/>
    <cellStyle name="Обычный 21 18 4 2 5" xfId="14340"/>
    <cellStyle name="Обычный 21 18 4 2 5 2" xfId="14341"/>
    <cellStyle name="Обычный 21 18 4 2 6" xfId="14342"/>
    <cellStyle name="Обычный 21 18 4 2 6 2" xfId="14343"/>
    <cellStyle name="Обычный 21 18 4 2 7" xfId="14344"/>
    <cellStyle name="Обычный 21 18 4 3" xfId="14345"/>
    <cellStyle name="Обычный 21 18 4 3 2" xfId="14346"/>
    <cellStyle name="Обычный 21 18 4 3 2 2" xfId="14347"/>
    <cellStyle name="Обычный 21 18 4 3 2 2 2" xfId="14348"/>
    <cellStyle name="Обычный 21 18 4 3 2 3" xfId="14349"/>
    <cellStyle name="Обычный 21 18 4 3 3" xfId="14350"/>
    <cellStyle name="Обычный 21 18 4 3 3 2" xfId="14351"/>
    <cellStyle name="Обычный 21 18 4 3 3 2 2" xfId="14352"/>
    <cellStyle name="Обычный 21 18 4 3 3 3" xfId="14353"/>
    <cellStyle name="Обычный 21 18 4 3 4" xfId="14354"/>
    <cellStyle name="Обычный 21 18 4 3 4 2" xfId="14355"/>
    <cellStyle name="Обычный 21 18 4 3 5" xfId="14356"/>
    <cellStyle name="Обычный 21 18 4 3 5 2" xfId="14357"/>
    <cellStyle name="Обычный 21 18 4 3 6" xfId="14358"/>
    <cellStyle name="Обычный 21 18 4 4" xfId="14359"/>
    <cellStyle name="Обычный 21 18 4 4 2" xfId="14360"/>
    <cellStyle name="Обычный 21 18 4 4 2 2" xfId="14361"/>
    <cellStyle name="Обычный 21 18 4 4 3" xfId="14362"/>
    <cellStyle name="Обычный 21 18 4 5" xfId="14363"/>
    <cellStyle name="Обычный 21 18 4 5 2" xfId="14364"/>
    <cellStyle name="Обычный 21 18 4 5 2 2" xfId="14365"/>
    <cellStyle name="Обычный 21 18 4 5 3" xfId="14366"/>
    <cellStyle name="Обычный 21 18 4 6" xfId="14367"/>
    <cellStyle name="Обычный 21 18 4 6 2" xfId="14368"/>
    <cellStyle name="Обычный 21 18 4 7" xfId="14369"/>
    <cellStyle name="Обычный 21 18 4 7 2" xfId="14370"/>
    <cellStyle name="Обычный 21 18 4 8" xfId="14371"/>
    <cellStyle name="Обычный 21 18 5" xfId="14372"/>
    <cellStyle name="Обычный 21 18 5 2" xfId="14373"/>
    <cellStyle name="Обычный 21 18 5 2 2" xfId="14374"/>
    <cellStyle name="Обычный 21 18 5 2 2 2" xfId="14375"/>
    <cellStyle name="Обычный 21 18 5 2 2 2 2" xfId="14376"/>
    <cellStyle name="Обычный 21 18 5 2 2 3" xfId="14377"/>
    <cellStyle name="Обычный 21 18 5 2 3" xfId="14378"/>
    <cellStyle name="Обычный 21 18 5 2 3 2" xfId="14379"/>
    <cellStyle name="Обычный 21 18 5 2 3 2 2" xfId="14380"/>
    <cellStyle name="Обычный 21 18 5 2 3 3" xfId="14381"/>
    <cellStyle name="Обычный 21 18 5 2 4" xfId="14382"/>
    <cellStyle name="Обычный 21 18 5 2 4 2" xfId="14383"/>
    <cellStyle name="Обычный 21 18 5 2 5" xfId="14384"/>
    <cellStyle name="Обычный 21 18 5 2 5 2" xfId="14385"/>
    <cellStyle name="Обычный 21 18 5 2 6" xfId="14386"/>
    <cellStyle name="Обычный 21 18 5 3" xfId="14387"/>
    <cellStyle name="Обычный 21 18 5 3 2" xfId="14388"/>
    <cellStyle name="Обычный 21 18 5 3 2 2" xfId="14389"/>
    <cellStyle name="Обычный 21 18 5 3 3" xfId="14390"/>
    <cellStyle name="Обычный 21 18 5 4" xfId="14391"/>
    <cellStyle name="Обычный 21 18 5 4 2" xfId="14392"/>
    <cellStyle name="Обычный 21 18 5 4 2 2" xfId="14393"/>
    <cellStyle name="Обычный 21 18 5 4 3" xfId="14394"/>
    <cellStyle name="Обычный 21 18 5 5" xfId="14395"/>
    <cellStyle name="Обычный 21 18 5 5 2" xfId="14396"/>
    <cellStyle name="Обычный 21 18 5 6" xfId="14397"/>
    <cellStyle name="Обычный 21 18 5 6 2" xfId="14398"/>
    <cellStyle name="Обычный 21 18 5 7" xfId="14399"/>
    <cellStyle name="Обычный 21 18 6" xfId="14400"/>
    <cellStyle name="Обычный 21 18 6 2" xfId="14401"/>
    <cellStyle name="Обычный 21 18 6 2 2" xfId="14402"/>
    <cellStyle name="Обычный 21 18 6 2 2 2" xfId="14403"/>
    <cellStyle name="Обычный 21 18 6 2 2 2 2" xfId="14404"/>
    <cellStyle name="Обычный 21 18 6 2 2 3" xfId="14405"/>
    <cellStyle name="Обычный 21 18 6 2 3" xfId="14406"/>
    <cellStyle name="Обычный 21 18 6 2 3 2" xfId="14407"/>
    <cellStyle name="Обычный 21 18 6 2 3 2 2" xfId="14408"/>
    <cellStyle name="Обычный 21 18 6 2 3 3" xfId="14409"/>
    <cellStyle name="Обычный 21 18 6 2 4" xfId="14410"/>
    <cellStyle name="Обычный 21 18 6 2 4 2" xfId="14411"/>
    <cellStyle name="Обычный 21 18 6 2 5" xfId="14412"/>
    <cellStyle name="Обычный 21 18 6 2 5 2" xfId="14413"/>
    <cellStyle name="Обычный 21 18 6 2 6" xfId="14414"/>
    <cellStyle name="Обычный 21 18 6 3" xfId="14415"/>
    <cellStyle name="Обычный 21 18 6 3 2" xfId="14416"/>
    <cellStyle name="Обычный 21 18 6 3 2 2" xfId="14417"/>
    <cellStyle name="Обычный 21 18 6 3 3" xfId="14418"/>
    <cellStyle name="Обычный 21 18 6 4" xfId="14419"/>
    <cellStyle name="Обычный 21 18 6 4 2" xfId="14420"/>
    <cellStyle name="Обычный 21 18 6 4 2 2" xfId="14421"/>
    <cellStyle name="Обычный 21 18 6 4 3" xfId="14422"/>
    <cellStyle name="Обычный 21 18 6 5" xfId="14423"/>
    <cellStyle name="Обычный 21 18 6 5 2" xfId="14424"/>
    <cellStyle name="Обычный 21 18 6 6" xfId="14425"/>
    <cellStyle name="Обычный 21 18 6 6 2" xfId="14426"/>
    <cellStyle name="Обычный 21 18 6 7" xfId="14427"/>
    <cellStyle name="Обычный 21 18 7" xfId="14428"/>
    <cellStyle name="Обычный 21 18 7 2" xfId="14429"/>
    <cellStyle name="Обычный 21 18 7 2 2" xfId="14430"/>
    <cellStyle name="Обычный 21 18 7 2 2 2" xfId="14431"/>
    <cellStyle name="Обычный 21 18 7 2 2 2 2" xfId="14432"/>
    <cellStyle name="Обычный 21 18 7 2 2 3" xfId="14433"/>
    <cellStyle name="Обычный 21 18 7 2 3" xfId="14434"/>
    <cellStyle name="Обычный 21 18 7 2 3 2" xfId="14435"/>
    <cellStyle name="Обычный 21 18 7 2 3 2 2" xfId="14436"/>
    <cellStyle name="Обычный 21 18 7 2 3 3" xfId="14437"/>
    <cellStyle name="Обычный 21 18 7 2 4" xfId="14438"/>
    <cellStyle name="Обычный 21 18 7 2 4 2" xfId="14439"/>
    <cellStyle name="Обычный 21 18 7 2 5" xfId="14440"/>
    <cellStyle name="Обычный 21 18 7 2 5 2" xfId="14441"/>
    <cellStyle name="Обычный 21 18 7 2 6" xfId="14442"/>
    <cellStyle name="Обычный 21 18 7 3" xfId="14443"/>
    <cellStyle name="Обычный 21 18 7 3 2" xfId="14444"/>
    <cellStyle name="Обычный 21 18 7 3 2 2" xfId="14445"/>
    <cellStyle name="Обычный 21 18 7 3 3" xfId="14446"/>
    <cellStyle name="Обычный 21 18 7 4" xfId="14447"/>
    <cellStyle name="Обычный 21 18 7 4 2" xfId="14448"/>
    <cellStyle name="Обычный 21 18 7 4 2 2" xfId="14449"/>
    <cellStyle name="Обычный 21 18 7 4 3" xfId="14450"/>
    <cellStyle name="Обычный 21 18 7 5" xfId="14451"/>
    <cellStyle name="Обычный 21 18 7 5 2" xfId="14452"/>
    <cellStyle name="Обычный 21 18 7 6" xfId="14453"/>
    <cellStyle name="Обычный 21 18 7 6 2" xfId="14454"/>
    <cellStyle name="Обычный 21 18 7 7" xfId="14455"/>
    <cellStyle name="Обычный 21 18 8" xfId="14456"/>
    <cellStyle name="Обычный 21 18 8 2" xfId="14457"/>
    <cellStyle name="Обычный 21 18 8 2 2" xfId="14458"/>
    <cellStyle name="Обычный 21 18 8 2 2 2" xfId="14459"/>
    <cellStyle name="Обычный 21 18 8 2 3" xfId="14460"/>
    <cellStyle name="Обычный 21 18 8 3" xfId="14461"/>
    <cellStyle name="Обычный 21 18 8 3 2" xfId="14462"/>
    <cellStyle name="Обычный 21 18 8 3 2 2" xfId="14463"/>
    <cellStyle name="Обычный 21 18 8 3 3" xfId="14464"/>
    <cellStyle name="Обычный 21 18 8 4" xfId="14465"/>
    <cellStyle name="Обычный 21 18 8 4 2" xfId="14466"/>
    <cellStyle name="Обычный 21 18 8 5" xfId="14467"/>
    <cellStyle name="Обычный 21 18 8 5 2" xfId="14468"/>
    <cellStyle name="Обычный 21 18 8 6" xfId="14469"/>
    <cellStyle name="Обычный 21 18 9" xfId="14470"/>
    <cellStyle name="Обычный 21 18 9 2" xfId="14471"/>
    <cellStyle name="Обычный 21 18 9 2 2" xfId="14472"/>
    <cellStyle name="Обычный 21 18 9 2 2 2" xfId="14473"/>
    <cellStyle name="Обычный 21 18 9 2 3" xfId="14474"/>
    <cellStyle name="Обычный 21 18 9 3" xfId="14475"/>
    <cellStyle name="Обычный 21 18 9 3 2" xfId="14476"/>
    <cellStyle name="Обычный 21 18 9 3 2 2" xfId="14477"/>
    <cellStyle name="Обычный 21 18 9 3 3" xfId="14478"/>
    <cellStyle name="Обычный 21 18 9 4" xfId="14479"/>
    <cellStyle name="Обычный 21 18 9 4 2" xfId="14480"/>
    <cellStyle name="Обычный 21 18 9 5" xfId="14481"/>
    <cellStyle name="Обычный 21 18 9 5 2" xfId="14482"/>
    <cellStyle name="Обычный 21 18 9 6" xfId="14483"/>
    <cellStyle name="Обычный 21 19" xfId="14484"/>
    <cellStyle name="Обычный 21 19 2" xfId="14485"/>
    <cellStyle name="Обычный 21 19 2 2" xfId="14486"/>
    <cellStyle name="Обычный 21 19 2 2 2" xfId="14487"/>
    <cellStyle name="Обычный 21 19 2 2 2 2" xfId="14488"/>
    <cellStyle name="Обычный 21 19 2 2 2 2 2" xfId="14489"/>
    <cellStyle name="Обычный 21 19 2 2 2 3" xfId="14490"/>
    <cellStyle name="Обычный 21 19 2 2 3" xfId="14491"/>
    <cellStyle name="Обычный 21 19 2 2 3 2" xfId="14492"/>
    <cellStyle name="Обычный 21 19 2 2 3 2 2" xfId="14493"/>
    <cellStyle name="Обычный 21 19 2 2 3 3" xfId="14494"/>
    <cellStyle name="Обычный 21 19 2 2 4" xfId="14495"/>
    <cellStyle name="Обычный 21 19 2 2 4 2" xfId="14496"/>
    <cellStyle name="Обычный 21 19 2 2 5" xfId="14497"/>
    <cellStyle name="Обычный 21 19 2 2 5 2" xfId="14498"/>
    <cellStyle name="Обычный 21 19 2 2 6" xfId="14499"/>
    <cellStyle name="Обычный 21 19 2 3" xfId="14500"/>
    <cellStyle name="Обычный 21 19 2 3 2" xfId="14501"/>
    <cellStyle name="Обычный 21 19 2 3 2 2" xfId="14502"/>
    <cellStyle name="Обычный 21 19 2 3 2 2 2" xfId="14503"/>
    <cellStyle name="Обычный 21 19 2 3 2 3" xfId="14504"/>
    <cellStyle name="Обычный 21 19 2 3 3" xfId="14505"/>
    <cellStyle name="Обычный 21 19 2 3 3 2" xfId="14506"/>
    <cellStyle name="Обычный 21 19 2 3 3 2 2" xfId="14507"/>
    <cellStyle name="Обычный 21 19 2 3 3 3" xfId="14508"/>
    <cellStyle name="Обычный 21 19 2 3 4" xfId="14509"/>
    <cellStyle name="Обычный 21 19 2 3 4 2" xfId="14510"/>
    <cellStyle name="Обычный 21 19 2 3 5" xfId="14511"/>
    <cellStyle name="Обычный 21 19 2 3 5 2" xfId="14512"/>
    <cellStyle name="Обычный 21 19 2 3 6" xfId="14513"/>
    <cellStyle name="Обычный 21 19 2 4" xfId="14514"/>
    <cellStyle name="Обычный 21 19 2 4 2" xfId="14515"/>
    <cellStyle name="Обычный 21 19 2 4 2 2" xfId="14516"/>
    <cellStyle name="Обычный 21 19 2 4 3" xfId="14517"/>
    <cellStyle name="Обычный 21 19 2 4 3 2" xfId="14518"/>
    <cellStyle name="Обычный 21 19 2 4 4" xfId="14519"/>
    <cellStyle name="Обычный 21 19 2 5" xfId="14520"/>
    <cellStyle name="Обычный 21 19 2 5 2" xfId="14521"/>
    <cellStyle name="Обычный 21 19 2 5 2 2" xfId="14522"/>
    <cellStyle name="Обычный 21 19 2 5 3" xfId="14523"/>
    <cellStyle name="Обычный 21 19 2 6" xfId="14524"/>
    <cellStyle name="Обычный 21 19 2 6 2" xfId="14525"/>
    <cellStyle name="Обычный 21 19 2 7" xfId="14526"/>
    <cellStyle name="Обычный 21 19 2 7 2" xfId="14527"/>
    <cellStyle name="Обычный 21 19 2 8" xfId="14528"/>
    <cellStyle name="Обычный 21 19 3" xfId="14529"/>
    <cellStyle name="Обычный 21 19 3 2" xfId="14530"/>
    <cellStyle name="Обычный 21 19 3 2 2" xfId="14531"/>
    <cellStyle name="Обычный 21 19 3 2 2 2" xfId="14532"/>
    <cellStyle name="Обычный 21 19 3 2 3" xfId="14533"/>
    <cellStyle name="Обычный 21 19 3 3" xfId="14534"/>
    <cellStyle name="Обычный 21 19 3 3 2" xfId="14535"/>
    <cellStyle name="Обычный 21 19 3 3 2 2" xfId="14536"/>
    <cellStyle name="Обычный 21 19 3 3 3" xfId="14537"/>
    <cellStyle name="Обычный 21 19 3 4" xfId="14538"/>
    <cellStyle name="Обычный 21 19 3 4 2" xfId="14539"/>
    <cellStyle name="Обычный 21 19 3 5" xfId="14540"/>
    <cellStyle name="Обычный 21 19 3 5 2" xfId="14541"/>
    <cellStyle name="Обычный 21 19 3 6" xfId="14542"/>
    <cellStyle name="Обычный 21 19 4" xfId="14543"/>
    <cellStyle name="Обычный 21 19 4 2" xfId="14544"/>
    <cellStyle name="Обычный 21 19 4 2 2" xfId="14545"/>
    <cellStyle name="Обычный 21 19 4 2 2 2" xfId="14546"/>
    <cellStyle name="Обычный 21 19 4 2 3" xfId="14547"/>
    <cellStyle name="Обычный 21 19 4 3" xfId="14548"/>
    <cellStyle name="Обычный 21 19 4 3 2" xfId="14549"/>
    <cellStyle name="Обычный 21 19 4 3 2 2" xfId="14550"/>
    <cellStyle name="Обычный 21 19 4 3 3" xfId="14551"/>
    <cellStyle name="Обычный 21 19 4 4" xfId="14552"/>
    <cellStyle name="Обычный 21 19 4 4 2" xfId="14553"/>
    <cellStyle name="Обычный 21 19 4 5" xfId="14554"/>
    <cellStyle name="Обычный 21 19 4 5 2" xfId="14555"/>
    <cellStyle name="Обычный 21 19 4 6" xfId="14556"/>
    <cellStyle name="Обычный 21 19 5" xfId="14557"/>
    <cellStyle name="Обычный 21 19 5 2" xfId="14558"/>
    <cellStyle name="Обычный 21 19 5 2 2" xfId="14559"/>
    <cellStyle name="Обычный 21 19 5 3" xfId="14560"/>
    <cellStyle name="Обычный 21 19 5 3 2" xfId="14561"/>
    <cellStyle name="Обычный 21 19 5 4" xfId="14562"/>
    <cellStyle name="Обычный 21 19 6" xfId="14563"/>
    <cellStyle name="Обычный 21 19 6 2" xfId="14564"/>
    <cellStyle name="Обычный 21 19 6 2 2" xfId="14565"/>
    <cellStyle name="Обычный 21 19 6 3" xfId="14566"/>
    <cellStyle name="Обычный 21 19 7" xfId="14567"/>
    <cellStyle name="Обычный 21 19 7 2" xfId="14568"/>
    <cellStyle name="Обычный 21 19 8" xfId="14569"/>
    <cellStyle name="Обычный 21 19 8 2" xfId="14570"/>
    <cellStyle name="Обычный 21 19 9" xfId="14571"/>
    <cellStyle name="Обычный 21 2" xfId="14572"/>
    <cellStyle name="Обычный 21 2 10" xfId="14573"/>
    <cellStyle name="Обычный 21 2 10 2" xfId="14574"/>
    <cellStyle name="Обычный 21 2 10 2 2" xfId="14575"/>
    <cellStyle name="Обычный 21 2 10 2 2 2" xfId="14576"/>
    <cellStyle name="Обычный 21 2 10 2 3" xfId="14577"/>
    <cellStyle name="Обычный 21 2 10 3" xfId="14578"/>
    <cellStyle name="Обычный 21 2 10 3 2" xfId="14579"/>
    <cellStyle name="Обычный 21 2 10 3 2 2" xfId="14580"/>
    <cellStyle name="Обычный 21 2 10 3 3" xfId="14581"/>
    <cellStyle name="Обычный 21 2 10 4" xfId="14582"/>
    <cellStyle name="Обычный 21 2 10 4 2" xfId="14583"/>
    <cellStyle name="Обычный 21 2 10 5" xfId="14584"/>
    <cellStyle name="Обычный 21 2 11" xfId="14585"/>
    <cellStyle name="Обычный 21 2 11 2" xfId="14586"/>
    <cellStyle name="Обычный 21 2 11 2 2" xfId="14587"/>
    <cellStyle name="Обычный 21 2 11 2 2 2" xfId="14588"/>
    <cellStyle name="Обычный 21 2 11 2 3" xfId="14589"/>
    <cellStyle name="Обычный 21 2 11 3" xfId="14590"/>
    <cellStyle name="Обычный 21 2 11 3 2" xfId="14591"/>
    <cellStyle name="Обычный 21 2 11 3 2 2" xfId="14592"/>
    <cellStyle name="Обычный 21 2 11 3 3" xfId="14593"/>
    <cellStyle name="Обычный 21 2 11 4" xfId="14594"/>
    <cellStyle name="Обычный 21 2 11 4 2" xfId="14595"/>
    <cellStyle name="Обычный 21 2 11 5" xfId="14596"/>
    <cellStyle name="Обычный 21 2 11 5 2" xfId="14597"/>
    <cellStyle name="Обычный 21 2 11 5 2 2" xfId="14598"/>
    <cellStyle name="Обычный 21 2 11 5 3" xfId="14599"/>
    <cellStyle name="Обычный 21 2 11 6" xfId="14600"/>
    <cellStyle name="Обычный 21 2 12" xfId="14601"/>
    <cellStyle name="Обычный 21 2 12 2" xfId="14602"/>
    <cellStyle name="Обычный 21 2 12 2 2" xfId="14603"/>
    <cellStyle name="Обычный 21 2 12 2 2 2" xfId="14604"/>
    <cellStyle name="Обычный 21 2 12 2 3" xfId="14605"/>
    <cellStyle name="Обычный 21 2 12 3" xfId="14606"/>
    <cellStyle name="Обычный 21 2 12 3 2" xfId="14607"/>
    <cellStyle name="Обычный 21 2 12 3 2 2" xfId="14608"/>
    <cellStyle name="Обычный 21 2 12 3 3" xfId="14609"/>
    <cellStyle name="Обычный 21 2 12 4" xfId="14610"/>
    <cellStyle name="Обычный 21 2 12 4 2" xfId="14611"/>
    <cellStyle name="Обычный 21 2 12 5" xfId="14612"/>
    <cellStyle name="Обычный 21 2 13" xfId="14613"/>
    <cellStyle name="Обычный 21 2 13 2" xfId="14614"/>
    <cellStyle name="Обычный 21 2 13 2 2" xfId="14615"/>
    <cellStyle name="Обычный 21 2 13 2 2 2" xfId="14616"/>
    <cellStyle name="Обычный 21 2 13 2 3" xfId="14617"/>
    <cellStyle name="Обычный 21 2 13 3" xfId="14618"/>
    <cellStyle name="Обычный 21 2 13 3 2" xfId="14619"/>
    <cellStyle name="Обычный 21 2 13 4" xfId="14620"/>
    <cellStyle name="Обычный 21 2 14" xfId="14621"/>
    <cellStyle name="Обычный 21 2 14 2" xfId="14622"/>
    <cellStyle name="Обычный 21 2 14 2 2" xfId="14623"/>
    <cellStyle name="Обычный 21 2 14 3" xfId="14624"/>
    <cellStyle name="Обычный 21 2 15" xfId="14625"/>
    <cellStyle name="Обычный 21 2 15 2" xfId="14626"/>
    <cellStyle name="Обычный 21 2 15 2 2" xfId="14627"/>
    <cellStyle name="Обычный 21 2 15 3" xfId="14628"/>
    <cellStyle name="Обычный 21 2 16" xfId="14629"/>
    <cellStyle name="Обычный 21 2 16 2" xfId="14630"/>
    <cellStyle name="Обычный 21 2 17" xfId="14631"/>
    <cellStyle name="Обычный 21 2 17 2" xfId="14632"/>
    <cellStyle name="Обычный 21 2 18" xfId="14633"/>
    <cellStyle name="Обычный 21 2 18 2" xfId="14634"/>
    <cellStyle name="Обычный 21 2 19" xfId="14635"/>
    <cellStyle name="Обычный 21 2 2" xfId="14636"/>
    <cellStyle name="Обычный 21 2 2 10" xfId="14637"/>
    <cellStyle name="Обычный 21 2 2 10 2" xfId="14638"/>
    <cellStyle name="Обычный 21 2 2 11" xfId="14639"/>
    <cellStyle name="Обычный 21 2 2 2" xfId="14640"/>
    <cellStyle name="Обычный 21 2 2 2 2" xfId="14641"/>
    <cellStyle name="Обычный 21 2 2 2 2 2" xfId="14642"/>
    <cellStyle name="Обычный 21 2 2 2 2 2 2" xfId="14643"/>
    <cellStyle name="Обычный 21 2 2 2 2 2 2 2" xfId="14644"/>
    <cellStyle name="Обычный 21 2 2 2 2 2 2 2 2" xfId="14645"/>
    <cellStyle name="Обычный 21 2 2 2 2 2 2 3" xfId="14646"/>
    <cellStyle name="Обычный 21 2 2 2 2 2 3" xfId="14647"/>
    <cellStyle name="Обычный 21 2 2 2 2 2 3 2" xfId="14648"/>
    <cellStyle name="Обычный 21 2 2 2 2 2 3 2 2" xfId="14649"/>
    <cellStyle name="Обычный 21 2 2 2 2 2 3 3" xfId="14650"/>
    <cellStyle name="Обычный 21 2 2 2 2 2 4" xfId="14651"/>
    <cellStyle name="Обычный 21 2 2 2 2 2 4 2" xfId="14652"/>
    <cellStyle name="Обычный 21 2 2 2 2 2 5" xfId="14653"/>
    <cellStyle name="Обычный 21 2 2 2 2 2 5 2" xfId="14654"/>
    <cellStyle name="Обычный 21 2 2 2 2 2 6" xfId="14655"/>
    <cellStyle name="Обычный 21 2 2 2 2 3" xfId="14656"/>
    <cellStyle name="Обычный 21 2 2 2 2 3 2" xfId="14657"/>
    <cellStyle name="Обычный 21 2 2 2 2 3 2 2" xfId="14658"/>
    <cellStyle name="Обычный 21 2 2 2 2 3 2 2 2" xfId="14659"/>
    <cellStyle name="Обычный 21 2 2 2 2 3 2 3" xfId="14660"/>
    <cellStyle name="Обычный 21 2 2 2 2 3 3" xfId="14661"/>
    <cellStyle name="Обычный 21 2 2 2 2 3 3 2" xfId="14662"/>
    <cellStyle name="Обычный 21 2 2 2 2 3 3 2 2" xfId="14663"/>
    <cellStyle name="Обычный 21 2 2 2 2 3 3 3" xfId="14664"/>
    <cellStyle name="Обычный 21 2 2 2 2 3 4" xfId="14665"/>
    <cellStyle name="Обычный 21 2 2 2 2 3 4 2" xfId="14666"/>
    <cellStyle name="Обычный 21 2 2 2 2 3 5" xfId="14667"/>
    <cellStyle name="Обычный 21 2 2 2 2 3 5 2" xfId="14668"/>
    <cellStyle name="Обычный 21 2 2 2 2 3 6" xfId="14669"/>
    <cellStyle name="Обычный 21 2 2 2 2 4" xfId="14670"/>
    <cellStyle name="Обычный 21 2 2 2 2 4 2" xfId="14671"/>
    <cellStyle name="Обычный 21 2 2 2 2 4 2 2" xfId="14672"/>
    <cellStyle name="Обычный 21 2 2 2 2 4 3" xfId="14673"/>
    <cellStyle name="Обычный 21 2 2 2 2 5" xfId="14674"/>
    <cellStyle name="Обычный 21 2 2 2 2 5 2" xfId="14675"/>
    <cellStyle name="Обычный 21 2 2 2 2 5 2 2" xfId="14676"/>
    <cellStyle name="Обычный 21 2 2 2 2 5 3" xfId="14677"/>
    <cellStyle name="Обычный 21 2 2 2 2 6" xfId="14678"/>
    <cellStyle name="Обычный 21 2 2 2 2 6 2" xfId="14679"/>
    <cellStyle name="Обычный 21 2 2 2 2 7" xfId="14680"/>
    <cellStyle name="Обычный 21 2 2 2 2 7 2" xfId="14681"/>
    <cellStyle name="Обычный 21 2 2 2 2 8" xfId="14682"/>
    <cellStyle name="Обычный 21 2 2 2 3" xfId="14683"/>
    <cellStyle name="Обычный 21 2 2 2 3 2" xfId="14684"/>
    <cellStyle name="Обычный 21 2 2 2 3 2 2" xfId="14685"/>
    <cellStyle name="Обычный 21 2 2 2 3 2 2 2" xfId="14686"/>
    <cellStyle name="Обычный 21 2 2 2 3 2 3" xfId="14687"/>
    <cellStyle name="Обычный 21 2 2 2 3 2 3 2" xfId="14688"/>
    <cellStyle name="Обычный 21 2 2 2 3 2 4" xfId="14689"/>
    <cellStyle name="Обычный 21 2 2 2 3 3" xfId="14690"/>
    <cellStyle name="Обычный 21 2 2 2 3 3 2" xfId="14691"/>
    <cellStyle name="Обычный 21 2 2 2 3 3 2 2" xfId="14692"/>
    <cellStyle name="Обычный 21 2 2 2 3 3 3" xfId="14693"/>
    <cellStyle name="Обычный 21 2 2 2 3 4" xfId="14694"/>
    <cellStyle name="Обычный 21 2 2 2 3 4 2" xfId="14695"/>
    <cellStyle name="Обычный 21 2 2 2 3 5" xfId="14696"/>
    <cellStyle name="Обычный 21 2 2 2 3 5 2" xfId="14697"/>
    <cellStyle name="Обычный 21 2 2 2 3 6" xfId="14698"/>
    <cellStyle name="Обычный 21 2 2 2 4" xfId="14699"/>
    <cellStyle name="Обычный 21 2 2 2 4 2" xfId="14700"/>
    <cellStyle name="Обычный 21 2 2 2 4 2 2" xfId="14701"/>
    <cellStyle name="Обычный 21 2 2 2 4 2 2 2" xfId="14702"/>
    <cellStyle name="Обычный 21 2 2 2 4 2 3" xfId="14703"/>
    <cellStyle name="Обычный 21 2 2 2 4 3" xfId="14704"/>
    <cellStyle name="Обычный 21 2 2 2 4 3 2" xfId="14705"/>
    <cellStyle name="Обычный 21 2 2 2 4 3 2 2" xfId="14706"/>
    <cellStyle name="Обычный 21 2 2 2 4 3 3" xfId="14707"/>
    <cellStyle name="Обычный 21 2 2 2 4 4" xfId="14708"/>
    <cellStyle name="Обычный 21 2 2 2 4 4 2" xfId="14709"/>
    <cellStyle name="Обычный 21 2 2 2 4 5" xfId="14710"/>
    <cellStyle name="Обычный 21 2 2 2 4 5 2" xfId="14711"/>
    <cellStyle name="Обычный 21 2 2 2 4 6" xfId="14712"/>
    <cellStyle name="Обычный 21 2 2 2 5" xfId="14713"/>
    <cellStyle name="Обычный 21 2 2 2 5 2" xfId="14714"/>
    <cellStyle name="Обычный 21 2 2 2 5 2 2" xfId="14715"/>
    <cellStyle name="Обычный 21 2 2 2 5 3" xfId="14716"/>
    <cellStyle name="Обычный 21 2 2 2 6" xfId="14717"/>
    <cellStyle name="Обычный 21 2 2 2 6 2" xfId="14718"/>
    <cellStyle name="Обычный 21 2 2 2 6 2 2" xfId="14719"/>
    <cellStyle name="Обычный 21 2 2 2 6 3" xfId="14720"/>
    <cellStyle name="Обычный 21 2 2 2 7" xfId="14721"/>
    <cellStyle name="Обычный 21 2 2 2 7 2" xfId="14722"/>
    <cellStyle name="Обычный 21 2 2 2 8" xfId="14723"/>
    <cellStyle name="Обычный 21 2 2 2 8 2" xfId="14724"/>
    <cellStyle name="Обычный 21 2 2 2 9" xfId="14725"/>
    <cellStyle name="Обычный 21 2 2 3" xfId="14726"/>
    <cellStyle name="Обычный 21 2 2 3 2" xfId="14727"/>
    <cellStyle name="Обычный 21 2 2 3 2 2" xfId="14728"/>
    <cellStyle name="Обычный 21 2 2 3 2 2 2" xfId="14729"/>
    <cellStyle name="Обычный 21 2 2 3 2 2 2 2" xfId="14730"/>
    <cellStyle name="Обычный 21 2 2 3 2 2 3" xfId="14731"/>
    <cellStyle name="Обычный 21 2 2 3 2 2 3 2" xfId="14732"/>
    <cellStyle name="Обычный 21 2 2 3 2 2 4" xfId="14733"/>
    <cellStyle name="Обычный 21 2 2 3 2 3" xfId="14734"/>
    <cellStyle name="Обычный 21 2 2 3 2 3 2" xfId="14735"/>
    <cellStyle name="Обычный 21 2 2 3 2 3 2 2" xfId="14736"/>
    <cellStyle name="Обычный 21 2 2 3 2 3 3" xfId="14737"/>
    <cellStyle name="Обычный 21 2 2 3 2 4" xfId="14738"/>
    <cellStyle name="Обычный 21 2 2 3 2 4 2" xfId="14739"/>
    <cellStyle name="Обычный 21 2 2 3 2 5" xfId="14740"/>
    <cellStyle name="Обычный 21 2 2 3 2 5 2" xfId="14741"/>
    <cellStyle name="Обычный 21 2 2 3 2 6" xfId="14742"/>
    <cellStyle name="Обычный 21 2 2 3 3" xfId="14743"/>
    <cellStyle name="Обычный 21 2 2 3 3 2" xfId="14744"/>
    <cellStyle name="Обычный 21 2 2 3 3 2 2" xfId="14745"/>
    <cellStyle name="Обычный 21 2 2 3 3 2 2 2" xfId="14746"/>
    <cellStyle name="Обычный 21 2 2 3 3 2 3" xfId="14747"/>
    <cellStyle name="Обычный 21 2 2 3 3 3" xfId="14748"/>
    <cellStyle name="Обычный 21 2 2 3 3 3 2" xfId="14749"/>
    <cellStyle name="Обычный 21 2 2 3 3 3 2 2" xfId="14750"/>
    <cellStyle name="Обычный 21 2 2 3 3 3 3" xfId="14751"/>
    <cellStyle name="Обычный 21 2 2 3 3 4" xfId="14752"/>
    <cellStyle name="Обычный 21 2 2 3 3 4 2" xfId="14753"/>
    <cellStyle name="Обычный 21 2 2 3 3 5" xfId="14754"/>
    <cellStyle name="Обычный 21 2 2 3 3 5 2" xfId="14755"/>
    <cellStyle name="Обычный 21 2 2 3 3 6" xfId="14756"/>
    <cellStyle name="Обычный 21 2 2 3 4" xfId="14757"/>
    <cellStyle name="Обычный 21 2 2 3 4 2" xfId="14758"/>
    <cellStyle name="Обычный 21 2 2 3 4 2 2" xfId="14759"/>
    <cellStyle name="Обычный 21 2 2 3 4 3" xfId="14760"/>
    <cellStyle name="Обычный 21 2 2 3 4 3 2" xfId="14761"/>
    <cellStyle name="Обычный 21 2 2 3 4 4" xfId="14762"/>
    <cellStyle name="Обычный 21 2 2 3 5" xfId="14763"/>
    <cellStyle name="Обычный 21 2 2 3 5 2" xfId="14764"/>
    <cellStyle name="Обычный 21 2 2 3 5 2 2" xfId="14765"/>
    <cellStyle name="Обычный 21 2 2 3 5 3" xfId="14766"/>
    <cellStyle name="Обычный 21 2 2 3 6" xfId="14767"/>
    <cellStyle name="Обычный 21 2 2 3 6 2" xfId="14768"/>
    <cellStyle name="Обычный 21 2 2 3 7" xfId="14769"/>
    <cellStyle name="Обычный 21 2 2 3 7 2" xfId="14770"/>
    <cellStyle name="Обычный 21 2 2 3 8" xfId="14771"/>
    <cellStyle name="Обычный 21 2 2 4" xfId="14772"/>
    <cellStyle name="Обычный 21 2 2 4 2" xfId="14773"/>
    <cellStyle name="Обычный 21 2 2 4 2 2" xfId="14774"/>
    <cellStyle name="Обычный 21 2 2 4 2 2 2" xfId="14775"/>
    <cellStyle name="Обычный 21 2 2 4 2 2 2 2" xfId="14776"/>
    <cellStyle name="Обычный 21 2 2 4 2 2 3" xfId="14777"/>
    <cellStyle name="Обычный 21 2 2 4 2 3" xfId="14778"/>
    <cellStyle name="Обычный 21 2 2 4 2 3 2" xfId="14779"/>
    <cellStyle name="Обычный 21 2 2 4 2 3 2 2" xfId="14780"/>
    <cellStyle name="Обычный 21 2 2 4 2 3 3" xfId="14781"/>
    <cellStyle name="Обычный 21 2 2 4 2 4" xfId="14782"/>
    <cellStyle name="Обычный 21 2 2 4 2 4 2" xfId="14783"/>
    <cellStyle name="Обычный 21 2 2 4 2 5" xfId="14784"/>
    <cellStyle name="Обычный 21 2 2 4 2 5 2" xfId="14785"/>
    <cellStyle name="Обычный 21 2 2 4 2 6" xfId="14786"/>
    <cellStyle name="Обычный 21 2 2 4 3" xfId="14787"/>
    <cellStyle name="Обычный 21 2 2 4 3 2" xfId="14788"/>
    <cellStyle name="Обычный 21 2 2 4 3 2 2" xfId="14789"/>
    <cellStyle name="Обычный 21 2 2 4 3 2 2 2" xfId="14790"/>
    <cellStyle name="Обычный 21 2 2 4 3 2 3" xfId="14791"/>
    <cellStyle name="Обычный 21 2 2 4 3 3" xfId="14792"/>
    <cellStyle name="Обычный 21 2 2 4 3 3 2" xfId="14793"/>
    <cellStyle name="Обычный 21 2 2 4 3 3 2 2" xfId="14794"/>
    <cellStyle name="Обычный 21 2 2 4 3 3 3" xfId="14795"/>
    <cellStyle name="Обычный 21 2 2 4 3 4" xfId="14796"/>
    <cellStyle name="Обычный 21 2 2 4 3 4 2" xfId="14797"/>
    <cellStyle name="Обычный 21 2 2 4 3 5" xfId="14798"/>
    <cellStyle name="Обычный 21 2 2 4 4" xfId="14799"/>
    <cellStyle name="Обычный 21 2 2 4 4 2" xfId="14800"/>
    <cellStyle name="Обычный 21 2 2 4 4 2 2" xfId="14801"/>
    <cellStyle name="Обычный 21 2 2 4 4 3" xfId="14802"/>
    <cellStyle name="Обычный 21 2 2 4 5" xfId="14803"/>
    <cellStyle name="Обычный 21 2 2 4 5 2" xfId="14804"/>
    <cellStyle name="Обычный 21 2 2 4 5 2 2" xfId="14805"/>
    <cellStyle name="Обычный 21 2 2 4 5 3" xfId="14806"/>
    <cellStyle name="Обычный 21 2 2 4 6" xfId="14807"/>
    <cellStyle name="Обычный 21 2 2 4 6 2" xfId="14808"/>
    <cellStyle name="Обычный 21 2 2 4 7" xfId="14809"/>
    <cellStyle name="Обычный 21 2 2 4 7 2" xfId="14810"/>
    <cellStyle name="Обычный 21 2 2 4 8" xfId="14811"/>
    <cellStyle name="Обычный 21 2 2 5" xfId="14812"/>
    <cellStyle name="Обычный 21 2 2 5 2" xfId="14813"/>
    <cellStyle name="Обычный 21 2 2 5 2 2" xfId="14814"/>
    <cellStyle name="Обычный 21 2 2 5 2 2 2" xfId="14815"/>
    <cellStyle name="Обычный 21 2 2 5 2 3" xfId="14816"/>
    <cellStyle name="Обычный 21 2 2 5 3" xfId="14817"/>
    <cellStyle name="Обычный 21 2 2 5 3 2" xfId="14818"/>
    <cellStyle name="Обычный 21 2 2 5 3 2 2" xfId="14819"/>
    <cellStyle name="Обычный 21 2 2 5 3 3" xfId="14820"/>
    <cellStyle name="Обычный 21 2 2 5 4" xfId="14821"/>
    <cellStyle name="Обычный 21 2 2 5 4 2" xfId="14822"/>
    <cellStyle name="Обычный 21 2 2 5 5" xfId="14823"/>
    <cellStyle name="Обычный 21 2 2 5 5 2" xfId="14824"/>
    <cellStyle name="Обычный 21 2 2 5 6" xfId="14825"/>
    <cellStyle name="Обычный 21 2 2 6" xfId="14826"/>
    <cellStyle name="Обычный 21 2 2 6 2" xfId="14827"/>
    <cellStyle name="Обычный 21 2 2 6 2 2" xfId="14828"/>
    <cellStyle name="Обычный 21 2 2 6 2 2 2" xfId="14829"/>
    <cellStyle name="Обычный 21 2 2 6 2 3" xfId="14830"/>
    <cellStyle name="Обычный 21 2 2 6 3" xfId="14831"/>
    <cellStyle name="Обычный 21 2 2 6 3 2" xfId="14832"/>
    <cellStyle name="Обычный 21 2 2 6 3 2 2" xfId="14833"/>
    <cellStyle name="Обычный 21 2 2 6 3 3" xfId="14834"/>
    <cellStyle name="Обычный 21 2 2 6 4" xfId="14835"/>
    <cellStyle name="Обычный 21 2 2 6 4 2" xfId="14836"/>
    <cellStyle name="Обычный 21 2 2 6 5" xfId="14837"/>
    <cellStyle name="Обычный 21 2 2 6 5 2" xfId="14838"/>
    <cellStyle name="Обычный 21 2 2 6 6" xfId="14839"/>
    <cellStyle name="Обычный 21 2 2 7" xfId="14840"/>
    <cellStyle name="Обычный 21 2 2 7 2" xfId="14841"/>
    <cellStyle name="Обычный 21 2 2 7 2 2" xfId="14842"/>
    <cellStyle name="Обычный 21 2 2 7 3" xfId="14843"/>
    <cellStyle name="Обычный 21 2 2 8" xfId="14844"/>
    <cellStyle name="Обычный 21 2 2 8 2" xfId="14845"/>
    <cellStyle name="Обычный 21 2 2 8 2 2" xfId="14846"/>
    <cellStyle name="Обычный 21 2 2 8 3" xfId="14847"/>
    <cellStyle name="Обычный 21 2 2 9" xfId="14848"/>
    <cellStyle name="Обычный 21 2 2 9 2" xfId="14849"/>
    <cellStyle name="Обычный 21 2 3" xfId="14850"/>
    <cellStyle name="Обычный 21 2 3 2" xfId="14851"/>
    <cellStyle name="Обычный 21 2 3 2 2" xfId="14852"/>
    <cellStyle name="Обычный 21 2 3 2 2 2" xfId="14853"/>
    <cellStyle name="Обычный 21 2 3 2 2 2 2" xfId="14854"/>
    <cellStyle name="Обычный 21 2 3 2 2 2 2 2" xfId="14855"/>
    <cellStyle name="Обычный 21 2 3 2 2 2 3" xfId="14856"/>
    <cellStyle name="Обычный 21 2 3 2 2 2 3 2" xfId="14857"/>
    <cellStyle name="Обычный 21 2 3 2 2 2 4" xfId="14858"/>
    <cellStyle name="Обычный 21 2 3 2 2 3" xfId="14859"/>
    <cellStyle name="Обычный 21 2 3 2 2 3 2" xfId="14860"/>
    <cellStyle name="Обычный 21 2 3 2 2 3 2 2" xfId="14861"/>
    <cellStyle name="Обычный 21 2 3 2 2 3 3" xfId="14862"/>
    <cellStyle name="Обычный 21 2 3 2 2 4" xfId="14863"/>
    <cellStyle name="Обычный 21 2 3 2 2 4 2" xfId="14864"/>
    <cellStyle name="Обычный 21 2 3 2 2 5" xfId="14865"/>
    <cellStyle name="Обычный 21 2 3 2 2 5 2" xfId="14866"/>
    <cellStyle name="Обычный 21 2 3 2 2 6" xfId="14867"/>
    <cellStyle name="Обычный 21 2 3 2 3" xfId="14868"/>
    <cellStyle name="Обычный 21 2 3 2 3 2" xfId="14869"/>
    <cellStyle name="Обычный 21 2 3 2 3 2 2" xfId="14870"/>
    <cellStyle name="Обычный 21 2 3 2 3 2 2 2" xfId="14871"/>
    <cellStyle name="Обычный 21 2 3 2 3 2 3" xfId="14872"/>
    <cellStyle name="Обычный 21 2 3 2 3 3" xfId="14873"/>
    <cellStyle name="Обычный 21 2 3 2 3 3 2" xfId="14874"/>
    <cellStyle name="Обычный 21 2 3 2 3 3 2 2" xfId="14875"/>
    <cellStyle name="Обычный 21 2 3 2 3 3 3" xfId="14876"/>
    <cellStyle name="Обычный 21 2 3 2 3 4" xfId="14877"/>
    <cellStyle name="Обычный 21 2 3 2 3 4 2" xfId="14878"/>
    <cellStyle name="Обычный 21 2 3 2 3 5" xfId="14879"/>
    <cellStyle name="Обычный 21 2 3 2 3 5 2" xfId="14880"/>
    <cellStyle name="Обычный 21 2 3 2 3 6" xfId="14881"/>
    <cellStyle name="Обычный 21 2 3 2 4" xfId="14882"/>
    <cellStyle name="Обычный 21 2 3 2 4 2" xfId="14883"/>
    <cellStyle name="Обычный 21 2 3 2 4 2 2" xfId="14884"/>
    <cellStyle name="Обычный 21 2 3 2 4 3" xfId="14885"/>
    <cellStyle name="Обычный 21 2 3 2 4 3 2" xfId="14886"/>
    <cellStyle name="Обычный 21 2 3 2 4 4" xfId="14887"/>
    <cellStyle name="Обычный 21 2 3 2 5" xfId="14888"/>
    <cellStyle name="Обычный 21 2 3 2 5 2" xfId="14889"/>
    <cellStyle name="Обычный 21 2 3 2 5 2 2" xfId="14890"/>
    <cellStyle name="Обычный 21 2 3 2 5 3" xfId="14891"/>
    <cellStyle name="Обычный 21 2 3 2 6" xfId="14892"/>
    <cellStyle name="Обычный 21 2 3 2 6 2" xfId="14893"/>
    <cellStyle name="Обычный 21 2 3 2 7" xfId="14894"/>
    <cellStyle name="Обычный 21 2 3 2 7 2" xfId="14895"/>
    <cellStyle name="Обычный 21 2 3 2 8" xfId="14896"/>
    <cellStyle name="Обычный 21 2 3 3" xfId="14897"/>
    <cellStyle name="Обычный 21 2 3 3 2" xfId="14898"/>
    <cellStyle name="Обычный 21 2 3 3 2 2" xfId="14899"/>
    <cellStyle name="Обычный 21 2 3 3 2 2 2" xfId="14900"/>
    <cellStyle name="Обычный 21 2 3 3 2 3" xfId="14901"/>
    <cellStyle name="Обычный 21 2 3 3 2 3 2" xfId="14902"/>
    <cellStyle name="Обычный 21 2 3 3 2 4" xfId="14903"/>
    <cellStyle name="Обычный 21 2 3 3 3" xfId="14904"/>
    <cellStyle name="Обычный 21 2 3 3 3 2" xfId="14905"/>
    <cellStyle name="Обычный 21 2 3 3 3 2 2" xfId="14906"/>
    <cellStyle name="Обычный 21 2 3 3 3 3" xfId="14907"/>
    <cellStyle name="Обычный 21 2 3 3 4" xfId="14908"/>
    <cellStyle name="Обычный 21 2 3 3 4 2" xfId="14909"/>
    <cellStyle name="Обычный 21 2 3 3 5" xfId="14910"/>
    <cellStyle name="Обычный 21 2 3 3 5 2" xfId="14911"/>
    <cellStyle name="Обычный 21 2 3 3 6" xfId="14912"/>
    <cellStyle name="Обычный 21 2 3 4" xfId="14913"/>
    <cellStyle name="Обычный 21 2 3 4 2" xfId="14914"/>
    <cellStyle name="Обычный 21 2 3 4 2 2" xfId="14915"/>
    <cellStyle name="Обычный 21 2 3 4 2 2 2" xfId="14916"/>
    <cellStyle name="Обычный 21 2 3 4 2 3" xfId="14917"/>
    <cellStyle name="Обычный 21 2 3 4 3" xfId="14918"/>
    <cellStyle name="Обычный 21 2 3 4 3 2" xfId="14919"/>
    <cellStyle name="Обычный 21 2 3 4 3 2 2" xfId="14920"/>
    <cellStyle name="Обычный 21 2 3 4 3 3" xfId="14921"/>
    <cellStyle name="Обычный 21 2 3 4 4" xfId="14922"/>
    <cellStyle name="Обычный 21 2 3 4 4 2" xfId="14923"/>
    <cellStyle name="Обычный 21 2 3 4 5" xfId="14924"/>
    <cellStyle name="Обычный 21 2 3 4 5 2" xfId="14925"/>
    <cellStyle name="Обычный 21 2 3 4 6" xfId="14926"/>
    <cellStyle name="Обычный 21 2 3 5" xfId="14927"/>
    <cellStyle name="Обычный 21 2 3 5 2" xfId="14928"/>
    <cellStyle name="Обычный 21 2 3 5 2 2" xfId="14929"/>
    <cellStyle name="Обычный 21 2 3 5 3" xfId="14930"/>
    <cellStyle name="Обычный 21 2 3 5 3 2" xfId="14931"/>
    <cellStyle name="Обычный 21 2 3 5 4" xfId="14932"/>
    <cellStyle name="Обычный 21 2 3 6" xfId="14933"/>
    <cellStyle name="Обычный 21 2 3 6 2" xfId="14934"/>
    <cellStyle name="Обычный 21 2 3 6 2 2" xfId="14935"/>
    <cellStyle name="Обычный 21 2 3 6 3" xfId="14936"/>
    <cellStyle name="Обычный 21 2 3 7" xfId="14937"/>
    <cellStyle name="Обычный 21 2 3 7 2" xfId="14938"/>
    <cellStyle name="Обычный 21 2 3 8" xfId="14939"/>
    <cellStyle name="Обычный 21 2 3 8 2" xfId="14940"/>
    <cellStyle name="Обычный 21 2 3 9" xfId="14941"/>
    <cellStyle name="Обычный 21 2 4" xfId="14942"/>
    <cellStyle name="Обычный 21 2 4 10" xfId="14943"/>
    <cellStyle name="Обычный 21 2 4 2" xfId="14944"/>
    <cellStyle name="Обычный 21 2 4 2 10" xfId="14945"/>
    <cellStyle name="Обычный 21 2 4 2 2" xfId="14946"/>
    <cellStyle name="Обычный 21 2 4 2 2 2" xfId="14947"/>
    <cellStyle name="Обычный 21 2 4 2 2 2 2" xfId="14948"/>
    <cellStyle name="Обычный 21 2 4 2 2 2 2 2" xfId="14949"/>
    <cellStyle name="Обычный 21 2 4 2 2 2 2 2 2" xfId="14950"/>
    <cellStyle name="Обычный 21 2 4 2 2 2 2 3" xfId="14951"/>
    <cellStyle name="Обычный 21 2 4 2 2 2 3" xfId="14952"/>
    <cellStyle name="Обычный 21 2 4 2 2 2 3 2" xfId="14953"/>
    <cellStyle name="Обычный 21 2 4 2 2 2 3 2 2" xfId="14954"/>
    <cellStyle name="Обычный 21 2 4 2 2 2 3 3" xfId="14955"/>
    <cellStyle name="Обычный 21 2 4 2 2 2 4" xfId="14956"/>
    <cellStyle name="Обычный 21 2 4 2 2 2 4 2" xfId="14957"/>
    <cellStyle name="Обычный 21 2 4 2 2 2 5" xfId="14958"/>
    <cellStyle name="Обычный 21 2 4 2 2 3" xfId="14959"/>
    <cellStyle name="Обычный 21 2 4 2 2 3 2" xfId="14960"/>
    <cellStyle name="Обычный 21 2 4 2 2 3 2 2" xfId="14961"/>
    <cellStyle name="Обычный 21 2 4 2 2 3 2 2 2" xfId="14962"/>
    <cellStyle name="Обычный 21 2 4 2 2 3 2 3" xfId="14963"/>
    <cellStyle name="Обычный 21 2 4 2 2 3 3" xfId="14964"/>
    <cellStyle name="Обычный 21 2 4 2 2 3 3 2" xfId="14965"/>
    <cellStyle name="Обычный 21 2 4 2 2 3 3 2 2" xfId="14966"/>
    <cellStyle name="Обычный 21 2 4 2 2 3 3 3" xfId="14967"/>
    <cellStyle name="Обычный 21 2 4 2 2 3 4" xfId="14968"/>
    <cellStyle name="Обычный 21 2 4 2 2 3 4 2" xfId="14969"/>
    <cellStyle name="Обычный 21 2 4 2 2 3 5" xfId="14970"/>
    <cellStyle name="Обычный 21 2 4 2 2 4" xfId="14971"/>
    <cellStyle name="Обычный 21 2 4 2 2 4 2" xfId="14972"/>
    <cellStyle name="Обычный 21 2 4 2 2 4 2 2" xfId="14973"/>
    <cellStyle name="Обычный 21 2 4 2 2 4 3" xfId="14974"/>
    <cellStyle name="Обычный 21 2 4 2 2 5" xfId="14975"/>
    <cellStyle name="Обычный 21 2 4 2 2 5 2" xfId="14976"/>
    <cellStyle name="Обычный 21 2 4 2 2 5 2 2" xfId="14977"/>
    <cellStyle name="Обычный 21 2 4 2 2 5 3" xfId="14978"/>
    <cellStyle name="Обычный 21 2 4 2 2 6" xfId="14979"/>
    <cellStyle name="Обычный 21 2 4 2 2 6 2" xfId="14980"/>
    <cellStyle name="Обычный 21 2 4 2 2 7" xfId="14981"/>
    <cellStyle name="Обычный 21 2 4 2 2 7 2" xfId="14982"/>
    <cellStyle name="Обычный 21 2 4 2 2 8" xfId="14983"/>
    <cellStyle name="Обычный 21 2 4 2 3" xfId="14984"/>
    <cellStyle name="Обычный 21 2 4 2 3 2" xfId="14985"/>
    <cellStyle name="Обычный 21 2 4 2 3 2 2" xfId="14986"/>
    <cellStyle name="Обычный 21 2 4 2 3 2 2 2" xfId="14987"/>
    <cellStyle name="Обычный 21 2 4 2 3 2 3" xfId="14988"/>
    <cellStyle name="Обычный 21 2 4 2 3 3" xfId="14989"/>
    <cellStyle name="Обычный 21 2 4 2 3 3 2" xfId="14990"/>
    <cellStyle name="Обычный 21 2 4 2 3 3 2 2" xfId="14991"/>
    <cellStyle name="Обычный 21 2 4 2 3 3 3" xfId="14992"/>
    <cellStyle name="Обычный 21 2 4 2 3 4" xfId="14993"/>
    <cellStyle name="Обычный 21 2 4 2 3 4 2" xfId="14994"/>
    <cellStyle name="Обычный 21 2 4 2 3 5" xfId="14995"/>
    <cellStyle name="Обычный 21 2 4 2 4" xfId="14996"/>
    <cellStyle name="Обычный 21 2 4 2 4 2" xfId="14997"/>
    <cellStyle name="Обычный 21 2 4 2 4 2 2" xfId="14998"/>
    <cellStyle name="Обычный 21 2 4 2 4 2 2 2" xfId="14999"/>
    <cellStyle name="Обычный 21 2 4 2 4 2 3" xfId="15000"/>
    <cellStyle name="Обычный 21 2 4 2 4 3" xfId="15001"/>
    <cellStyle name="Обычный 21 2 4 2 4 3 2" xfId="15002"/>
    <cellStyle name="Обычный 21 2 4 2 4 3 2 2" xfId="15003"/>
    <cellStyle name="Обычный 21 2 4 2 4 3 3" xfId="15004"/>
    <cellStyle name="Обычный 21 2 4 2 4 4" xfId="15005"/>
    <cellStyle name="Обычный 21 2 4 2 4 4 2" xfId="15006"/>
    <cellStyle name="Обычный 21 2 4 2 4 5" xfId="15007"/>
    <cellStyle name="Обычный 21 2 4 2 5" xfId="15008"/>
    <cellStyle name="Обычный 21 2 4 2 5 2" xfId="15009"/>
    <cellStyle name="Обычный 21 2 4 2 5 2 2" xfId="15010"/>
    <cellStyle name="Обычный 21 2 4 2 5 2 2 2" xfId="15011"/>
    <cellStyle name="Обычный 21 2 4 2 5 2 3" xfId="15012"/>
    <cellStyle name="Обычный 21 2 4 2 5 3" xfId="15013"/>
    <cellStyle name="Обычный 21 2 4 2 5 3 2" xfId="15014"/>
    <cellStyle name="Обычный 21 2 4 2 5 3 2 2" xfId="15015"/>
    <cellStyle name="Обычный 21 2 4 2 5 3 3" xfId="15016"/>
    <cellStyle name="Обычный 21 2 4 2 5 4" xfId="15017"/>
    <cellStyle name="Обычный 21 2 4 2 5 4 2" xfId="15018"/>
    <cellStyle name="Обычный 21 2 4 2 5 5" xfId="15019"/>
    <cellStyle name="Обычный 21 2 4 2 6" xfId="15020"/>
    <cellStyle name="Обычный 21 2 4 2 6 2" xfId="15021"/>
    <cellStyle name="Обычный 21 2 4 2 6 2 2" xfId="15022"/>
    <cellStyle name="Обычный 21 2 4 2 6 3" xfId="15023"/>
    <cellStyle name="Обычный 21 2 4 2 7" xfId="15024"/>
    <cellStyle name="Обычный 21 2 4 2 7 2" xfId="15025"/>
    <cellStyle name="Обычный 21 2 4 2 7 2 2" xfId="15026"/>
    <cellStyle name="Обычный 21 2 4 2 7 3" xfId="15027"/>
    <cellStyle name="Обычный 21 2 4 2 8" xfId="15028"/>
    <cellStyle name="Обычный 21 2 4 2 8 2" xfId="15029"/>
    <cellStyle name="Обычный 21 2 4 2 9" xfId="15030"/>
    <cellStyle name="Обычный 21 2 4 2 9 2" xfId="15031"/>
    <cellStyle name="Обычный 21 2 4 3" xfId="15032"/>
    <cellStyle name="Обычный 21 2 4 3 2" xfId="15033"/>
    <cellStyle name="Обычный 21 2 4 3 2 2" xfId="15034"/>
    <cellStyle name="Обычный 21 2 4 3 2 2 2" xfId="15035"/>
    <cellStyle name="Обычный 21 2 4 3 2 2 2 2" xfId="15036"/>
    <cellStyle name="Обычный 21 2 4 3 2 2 3" xfId="15037"/>
    <cellStyle name="Обычный 21 2 4 3 2 3" xfId="15038"/>
    <cellStyle name="Обычный 21 2 4 3 2 3 2" xfId="15039"/>
    <cellStyle name="Обычный 21 2 4 3 2 3 2 2" xfId="15040"/>
    <cellStyle name="Обычный 21 2 4 3 2 3 3" xfId="15041"/>
    <cellStyle name="Обычный 21 2 4 3 2 4" xfId="15042"/>
    <cellStyle name="Обычный 21 2 4 3 2 4 2" xfId="15043"/>
    <cellStyle name="Обычный 21 2 4 3 2 5" xfId="15044"/>
    <cellStyle name="Обычный 21 2 4 3 3" xfId="15045"/>
    <cellStyle name="Обычный 21 2 4 3 3 2" xfId="15046"/>
    <cellStyle name="Обычный 21 2 4 3 3 2 2" xfId="15047"/>
    <cellStyle name="Обычный 21 2 4 3 3 2 2 2" xfId="15048"/>
    <cellStyle name="Обычный 21 2 4 3 3 2 3" xfId="15049"/>
    <cellStyle name="Обычный 21 2 4 3 3 3" xfId="15050"/>
    <cellStyle name="Обычный 21 2 4 3 3 3 2" xfId="15051"/>
    <cellStyle name="Обычный 21 2 4 3 3 3 2 2" xfId="15052"/>
    <cellStyle name="Обычный 21 2 4 3 3 3 3" xfId="15053"/>
    <cellStyle name="Обычный 21 2 4 3 3 4" xfId="15054"/>
    <cellStyle name="Обычный 21 2 4 3 3 4 2" xfId="15055"/>
    <cellStyle name="Обычный 21 2 4 3 3 5" xfId="15056"/>
    <cellStyle name="Обычный 21 2 4 3 4" xfId="15057"/>
    <cellStyle name="Обычный 21 2 4 3 4 2" xfId="15058"/>
    <cellStyle name="Обычный 21 2 4 3 4 2 2" xfId="15059"/>
    <cellStyle name="Обычный 21 2 4 3 4 3" xfId="15060"/>
    <cellStyle name="Обычный 21 2 4 3 5" xfId="15061"/>
    <cellStyle name="Обычный 21 2 4 3 5 2" xfId="15062"/>
    <cellStyle name="Обычный 21 2 4 3 5 2 2" xfId="15063"/>
    <cellStyle name="Обычный 21 2 4 3 5 3" xfId="15064"/>
    <cellStyle name="Обычный 21 2 4 3 6" xfId="15065"/>
    <cellStyle name="Обычный 21 2 4 3 6 2" xfId="15066"/>
    <cellStyle name="Обычный 21 2 4 3 7" xfId="15067"/>
    <cellStyle name="Обычный 21 2 4 3 7 2" xfId="15068"/>
    <cellStyle name="Обычный 21 2 4 3 8" xfId="15069"/>
    <cellStyle name="Обычный 21 2 4 4" xfId="15070"/>
    <cellStyle name="Обычный 21 2 4 4 2" xfId="15071"/>
    <cellStyle name="Обычный 21 2 4 4 2 2" xfId="15072"/>
    <cellStyle name="Обычный 21 2 4 4 2 2 2" xfId="15073"/>
    <cellStyle name="Обычный 21 2 4 4 2 3" xfId="15074"/>
    <cellStyle name="Обычный 21 2 4 4 3" xfId="15075"/>
    <cellStyle name="Обычный 21 2 4 4 3 2" xfId="15076"/>
    <cellStyle name="Обычный 21 2 4 4 3 2 2" xfId="15077"/>
    <cellStyle name="Обычный 21 2 4 4 3 3" xfId="15078"/>
    <cellStyle name="Обычный 21 2 4 4 4" xfId="15079"/>
    <cellStyle name="Обычный 21 2 4 4 4 2" xfId="15080"/>
    <cellStyle name="Обычный 21 2 4 4 5" xfId="15081"/>
    <cellStyle name="Обычный 21 2 4 4 5 2" xfId="15082"/>
    <cellStyle name="Обычный 21 2 4 4 6" xfId="15083"/>
    <cellStyle name="Обычный 21 2 4 5" xfId="15084"/>
    <cellStyle name="Обычный 21 2 4 5 2" xfId="15085"/>
    <cellStyle name="Обычный 21 2 4 5 2 2" xfId="15086"/>
    <cellStyle name="Обычный 21 2 4 5 2 2 2" xfId="15087"/>
    <cellStyle name="Обычный 21 2 4 5 2 3" xfId="15088"/>
    <cellStyle name="Обычный 21 2 4 5 3" xfId="15089"/>
    <cellStyle name="Обычный 21 2 4 5 3 2" xfId="15090"/>
    <cellStyle name="Обычный 21 2 4 5 3 2 2" xfId="15091"/>
    <cellStyle name="Обычный 21 2 4 5 3 3" xfId="15092"/>
    <cellStyle name="Обычный 21 2 4 5 4" xfId="15093"/>
    <cellStyle name="Обычный 21 2 4 5 4 2" xfId="15094"/>
    <cellStyle name="Обычный 21 2 4 5 5" xfId="15095"/>
    <cellStyle name="Обычный 21 2 4 6" xfId="15096"/>
    <cellStyle name="Обычный 21 2 4 6 2" xfId="15097"/>
    <cellStyle name="Обычный 21 2 4 6 2 2" xfId="15098"/>
    <cellStyle name="Обычный 21 2 4 6 3" xfId="15099"/>
    <cellStyle name="Обычный 21 2 4 7" xfId="15100"/>
    <cellStyle name="Обычный 21 2 4 7 2" xfId="15101"/>
    <cellStyle name="Обычный 21 2 4 7 2 2" xfId="15102"/>
    <cellStyle name="Обычный 21 2 4 7 3" xfId="15103"/>
    <cellStyle name="Обычный 21 2 4 8" xfId="15104"/>
    <cellStyle name="Обычный 21 2 4 8 2" xfId="15105"/>
    <cellStyle name="Обычный 21 2 4 9" xfId="15106"/>
    <cellStyle name="Обычный 21 2 4 9 2" xfId="15107"/>
    <cellStyle name="Обычный 21 2 5" xfId="15108"/>
    <cellStyle name="Обычный 21 2 5 2" xfId="15109"/>
    <cellStyle name="Обычный 21 2 5 2 2" xfId="15110"/>
    <cellStyle name="Обычный 21 2 5 2 2 2" xfId="15111"/>
    <cellStyle name="Обычный 21 2 5 2 2 2 2" xfId="15112"/>
    <cellStyle name="Обычный 21 2 5 2 2 3" xfId="15113"/>
    <cellStyle name="Обычный 21 2 5 2 2 3 2" xfId="15114"/>
    <cellStyle name="Обычный 21 2 5 2 2 4" xfId="15115"/>
    <cellStyle name="Обычный 21 2 5 2 3" xfId="15116"/>
    <cellStyle name="Обычный 21 2 5 2 3 2" xfId="15117"/>
    <cellStyle name="Обычный 21 2 5 2 3 2 2" xfId="15118"/>
    <cellStyle name="Обычный 21 2 5 2 3 3" xfId="15119"/>
    <cellStyle name="Обычный 21 2 5 2 4" xfId="15120"/>
    <cellStyle name="Обычный 21 2 5 2 4 2" xfId="15121"/>
    <cellStyle name="Обычный 21 2 5 2 5" xfId="15122"/>
    <cellStyle name="Обычный 21 2 5 2 5 2" xfId="15123"/>
    <cellStyle name="Обычный 21 2 5 2 6" xfId="15124"/>
    <cellStyle name="Обычный 21 2 5 3" xfId="15125"/>
    <cellStyle name="Обычный 21 2 5 3 2" xfId="15126"/>
    <cellStyle name="Обычный 21 2 5 3 2 2" xfId="15127"/>
    <cellStyle name="Обычный 21 2 5 3 2 2 2" xfId="15128"/>
    <cellStyle name="Обычный 21 2 5 3 2 3" xfId="15129"/>
    <cellStyle name="Обычный 21 2 5 3 3" xfId="15130"/>
    <cellStyle name="Обычный 21 2 5 3 3 2" xfId="15131"/>
    <cellStyle name="Обычный 21 2 5 3 3 2 2" xfId="15132"/>
    <cellStyle name="Обычный 21 2 5 3 3 3" xfId="15133"/>
    <cellStyle name="Обычный 21 2 5 3 4" xfId="15134"/>
    <cellStyle name="Обычный 21 2 5 3 4 2" xfId="15135"/>
    <cellStyle name="Обычный 21 2 5 3 5" xfId="15136"/>
    <cellStyle name="Обычный 21 2 5 3 5 2" xfId="15137"/>
    <cellStyle name="Обычный 21 2 5 3 6" xfId="15138"/>
    <cellStyle name="Обычный 21 2 5 4" xfId="15139"/>
    <cellStyle name="Обычный 21 2 5 4 2" xfId="15140"/>
    <cellStyle name="Обычный 21 2 5 4 2 2" xfId="15141"/>
    <cellStyle name="Обычный 21 2 5 4 3" xfId="15142"/>
    <cellStyle name="Обычный 21 2 5 4 3 2" xfId="15143"/>
    <cellStyle name="Обычный 21 2 5 4 4" xfId="15144"/>
    <cellStyle name="Обычный 21 2 5 5" xfId="15145"/>
    <cellStyle name="Обычный 21 2 5 5 2" xfId="15146"/>
    <cellStyle name="Обычный 21 2 5 5 2 2" xfId="15147"/>
    <cellStyle name="Обычный 21 2 5 5 3" xfId="15148"/>
    <cellStyle name="Обычный 21 2 5 6" xfId="15149"/>
    <cellStyle name="Обычный 21 2 5 6 2" xfId="15150"/>
    <cellStyle name="Обычный 21 2 5 7" xfId="15151"/>
    <cellStyle name="Обычный 21 2 5 7 2" xfId="15152"/>
    <cellStyle name="Обычный 21 2 5 8" xfId="15153"/>
    <cellStyle name="Обычный 21 2 6" xfId="15154"/>
    <cellStyle name="Обычный 21 2 6 2" xfId="15155"/>
    <cellStyle name="Обычный 21 2 6 2 2" xfId="15156"/>
    <cellStyle name="Обычный 21 2 6 2 2 2" xfId="15157"/>
    <cellStyle name="Обычный 21 2 6 2 2 2 2" xfId="15158"/>
    <cellStyle name="Обычный 21 2 6 2 2 3" xfId="15159"/>
    <cellStyle name="Обычный 21 2 6 2 3" xfId="15160"/>
    <cellStyle name="Обычный 21 2 6 2 3 2" xfId="15161"/>
    <cellStyle name="Обычный 21 2 6 2 3 2 2" xfId="15162"/>
    <cellStyle name="Обычный 21 2 6 2 3 3" xfId="15163"/>
    <cellStyle name="Обычный 21 2 6 2 4" xfId="15164"/>
    <cellStyle name="Обычный 21 2 6 2 4 2" xfId="15165"/>
    <cellStyle name="Обычный 21 2 6 2 5" xfId="15166"/>
    <cellStyle name="Обычный 21 2 6 2 5 2" xfId="15167"/>
    <cellStyle name="Обычный 21 2 6 2 6" xfId="15168"/>
    <cellStyle name="Обычный 21 2 6 3" xfId="15169"/>
    <cellStyle name="Обычный 21 2 6 3 2" xfId="15170"/>
    <cellStyle name="Обычный 21 2 6 3 2 2" xfId="15171"/>
    <cellStyle name="Обычный 21 2 6 3 2 2 2" xfId="15172"/>
    <cellStyle name="Обычный 21 2 6 3 2 3" xfId="15173"/>
    <cellStyle name="Обычный 21 2 6 3 3" xfId="15174"/>
    <cellStyle name="Обычный 21 2 6 3 3 2" xfId="15175"/>
    <cellStyle name="Обычный 21 2 6 3 3 2 2" xfId="15176"/>
    <cellStyle name="Обычный 21 2 6 3 3 3" xfId="15177"/>
    <cellStyle name="Обычный 21 2 6 3 4" xfId="15178"/>
    <cellStyle name="Обычный 21 2 6 3 4 2" xfId="15179"/>
    <cellStyle name="Обычный 21 2 6 3 5" xfId="15180"/>
    <cellStyle name="Обычный 21 2 6 4" xfId="15181"/>
    <cellStyle name="Обычный 21 2 6 4 2" xfId="15182"/>
    <cellStyle name="Обычный 21 2 6 4 2 2" xfId="15183"/>
    <cellStyle name="Обычный 21 2 6 4 3" xfId="15184"/>
    <cellStyle name="Обычный 21 2 6 5" xfId="15185"/>
    <cellStyle name="Обычный 21 2 6 5 2" xfId="15186"/>
    <cellStyle name="Обычный 21 2 6 5 2 2" xfId="15187"/>
    <cellStyle name="Обычный 21 2 6 5 3" xfId="15188"/>
    <cellStyle name="Обычный 21 2 6 6" xfId="15189"/>
    <cellStyle name="Обычный 21 2 6 6 2" xfId="15190"/>
    <cellStyle name="Обычный 21 2 6 7" xfId="15191"/>
    <cellStyle name="Обычный 21 2 6 7 2" xfId="15192"/>
    <cellStyle name="Обычный 21 2 6 8" xfId="15193"/>
    <cellStyle name="Обычный 21 2 7" xfId="15194"/>
    <cellStyle name="Обычный 21 2 7 10" xfId="15195"/>
    <cellStyle name="Обычный 21 2 7 10 2" xfId="15196"/>
    <cellStyle name="Обычный 21 2 7 11" xfId="15197"/>
    <cellStyle name="Обычный 21 2 7 2" xfId="15198"/>
    <cellStyle name="Обычный 21 2 7 2 2" xfId="15199"/>
    <cellStyle name="Обычный 21 2 7 2 2 2" xfId="15200"/>
    <cellStyle name="Обычный 21 2 7 2 2 2 2" xfId="15201"/>
    <cellStyle name="Обычный 21 2 7 2 2 3" xfId="15202"/>
    <cellStyle name="Обычный 21 2 7 2 3" xfId="15203"/>
    <cellStyle name="Обычный 21 2 7 2 3 2" xfId="15204"/>
    <cellStyle name="Обычный 21 2 7 2 3 2 2" xfId="15205"/>
    <cellStyle name="Обычный 21 2 7 2 3 3" xfId="15206"/>
    <cellStyle name="Обычный 21 2 7 2 4" xfId="15207"/>
    <cellStyle name="Обычный 21 2 7 2 4 2" xfId="15208"/>
    <cellStyle name="Обычный 21 2 7 2 5" xfId="15209"/>
    <cellStyle name="Обычный 21 2 7 3" xfId="15210"/>
    <cellStyle name="Обычный 21 2 7 3 2" xfId="15211"/>
    <cellStyle name="Обычный 21 2 7 3 2 2" xfId="15212"/>
    <cellStyle name="Обычный 21 2 7 3 2 2 2" xfId="15213"/>
    <cellStyle name="Обычный 21 2 7 3 2 3" xfId="15214"/>
    <cellStyle name="Обычный 21 2 7 3 3" xfId="15215"/>
    <cellStyle name="Обычный 21 2 7 3 3 2" xfId="15216"/>
    <cellStyle name="Обычный 21 2 7 3 3 2 2" xfId="15217"/>
    <cellStyle name="Обычный 21 2 7 3 3 3" xfId="15218"/>
    <cellStyle name="Обычный 21 2 7 3 4" xfId="15219"/>
    <cellStyle name="Обычный 21 2 7 3 4 2" xfId="15220"/>
    <cellStyle name="Обычный 21 2 7 3 5" xfId="15221"/>
    <cellStyle name="Обычный 21 2 7 4" xfId="15222"/>
    <cellStyle name="Обычный 21 2 7 4 2" xfId="15223"/>
    <cellStyle name="Обычный 21 2 7 4 2 2" xfId="15224"/>
    <cellStyle name="Обычный 21 2 7 4 2 2 2" xfId="15225"/>
    <cellStyle name="Обычный 21 2 7 4 2 3" xfId="15226"/>
    <cellStyle name="Обычный 21 2 7 4 3" xfId="15227"/>
    <cellStyle name="Обычный 21 2 7 4 3 2" xfId="15228"/>
    <cellStyle name="Обычный 21 2 7 4 4" xfId="15229"/>
    <cellStyle name="Обычный 21 2 7 5" xfId="15230"/>
    <cellStyle name="Обычный 21 2 7 5 2" xfId="15231"/>
    <cellStyle name="Обычный 21 2 7 5 2 2" xfId="15232"/>
    <cellStyle name="Обычный 21 2 7 5 2 2 2" xfId="15233"/>
    <cellStyle name="Обычный 21 2 7 5 2 3" xfId="15234"/>
    <cellStyle name="Обычный 21 2 7 5 3" xfId="15235"/>
    <cellStyle name="Обычный 21 2 7 5 3 2" xfId="15236"/>
    <cellStyle name="Обычный 21 2 7 5 4" xfId="15237"/>
    <cellStyle name="Обычный 21 2 7 6" xfId="15238"/>
    <cellStyle name="Обычный 21 2 7 6 2" xfId="15239"/>
    <cellStyle name="Обычный 21 2 7 6 2 2" xfId="15240"/>
    <cellStyle name="Обычный 21 2 7 6 3" xfId="15241"/>
    <cellStyle name="Обычный 21 2 7 7" xfId="15242"/>
    <cellStyle name="Обычный 21 2 7 7 2" xfId="15243"/>
    <cellStyle name="Обычный 21 2 7 7 2 2" xfId="15244"/>
    <cellStyle name="Обычный 21 2 7 7 3" xfId="15245"/>
    <cellStyle name="Обычный 21 2 7 8" xfId="15246"/>
    <cellStyle name="Обычный 21 2 7 8 2" xfId="15247"/>
    <cellStyle name="Обычный 21 2 7 9" xfId="15248"/>
    <cellStyle name="Обычный 21 2 7 9 2" xfId="15249"/>
    <cellStyle name="Обычный 21 2 8" xfId="15250"/>
    <cellStyle name="Обычный 21 2 8 2" xfId="15251"/>
    <cellStyle name="Обычный 21 2 8 2 2" xfId="15252"/>
    <cellStyle name="Обычный 21 2 8 2 2 2" xfId="15253"/>
    <cellStyle name="Обычный 21 2 8 2 2 2 2" xfId="15254"/>
    <cellStyle name="Обычный 21 2 8 2 2 3" xfId="15255"/>
    <cellStyle name="Обычный 21 2 8 2 3" xfId="15256"/>
    <cellStyle name="Обычный 21 2 8 2 3 2" xfId="15257"/>
    <cellStyle name="Обычный 21 2 8 2 3 2 2" xfId="15258"/>
    <cellStyle name="Обычный 21 2 8 2 3 3" xfId="15259"/>
    <cellStyle name="Обычный 21 2 8 2 4" xfId="15260"/>
    <cellStyle name="Обычный 21 2 8 2 4 2" xfId="15261"/>
    <cellStyle name="Обычный 21 2 8 2 5" xfId="15262"/>
    <cellStyle name="Обычный 21 2 8 3" xfId="15263"/>
    <cellStyle name="Обычный 21 2 8 3 2" xfId="15264"/>
    <cellStyle name="Обычный 21 2 8 3 2 2" xfId="15265"/>
    <cellStyle name="Обычный 21 2 8 3 2 2 2" xfId="15266"/>
    <cellStyle name="Обычный 21 2 8 3 2 3" xfId="15267"/>
    <cellStyle name="Обычный 21 2 8 3 3" xfId="15268"/>
    <cellStyle name="Обычный 21 2 8 3 3 2" xfId="15269"/>
    <cellStyle name="Обычный 21 2 8 3 3 2 2" xfId="15270"/>
    <cellStyle name="Обычный 21 2 8 3 3 3" xfId="15271"/>
    <cellStyle name="Обычный 21 2 8 3 4" xfId="15272"/>
    <cellStyle name="Обычный 21 2 8 3 4 2" xfId="15273"/>
    <cellStyle name="Обычный 21 2 8 3 5" xfId="15274"/>
    <cellStyle name="Обычный 21 2 8 4" xfId="15275"/>
    <cellStyle name="Обычный 21 2 8 4 2" xfId="15276"/>
    <cellStyle name="Обычный 21 2 8 4 2 2" xfId="15277"/>
    <cellStyle name="Обычный 21 2 8 4 3" xfId="15278"/>
    <cellStyle name="Обычный 21 2 8 5" xfId="15279"/>
    <cellStyle name="Обычный 21 2 8 5 2" xfId="15280"/>
    <cellStyle name="Обычный 21 2 8 5 2 2" xfId="15281"/>
    <cellStyle name="Обычный 21 2 8 5 3" xfId="15282"/>
    <cellStyle name="Обычный 21 2 8 6" xfId="15283"/>
    <cellStyle name="Обычный 21 2 8 6 2" xfId="15284"/>
    <cellStyle name="Обычный 21 2 8 7" xfId="15285"/>
    <cellStyle name="Обычный 21 2 8 7 2" xfId="15286"/>
    <cellStyle name="Обычный 21 2 8 8" xfId="15287"/>
    <cellStyle name="Обычный 21 2 8 9" xfId="15288"/>
    <cellStyle name="Обычный 21 2 9" xfId="15289"/>
    <cellStyle name="Обычный 21 2 9 2" xfId="15290"/>
    <cellStyle name="Обычный 21 2 9 2 2" xfId="15291"/>
    <cellStyle name="Обычный 21 2 9 2 2 2" xfId="15292"/>
    <cellStyle name="Обычный 21 2 9 2 3" xfId="15293"/>
    <cellStyle name="Обычный 21 2 9 3" xfId="15294"/>
    <cellStyle name="Обычный 21 2 9 3 2" xfId="15295"/>
    <cellStyle name="Обычный 21 2 9 3 2 2" xfId="15296"/>
    <cellStyle name="Обычный 21 2 9 3 3" xfId="15297"/>
    <cellStyle name="Обычный 21 2 9 4" xfId="15298"/>
    <cellStyle name="Обычный 21 2 9 4 2" xfId="15299"/>
    <cellStyle name="Обычный 21 2 9 5" xfId="15300"/>
    <cellStyle name="Обычный 21 2 9 5 2" xfId="15301"/>
    <cellStyle name="Обычный 21 2 9 6" xfId="15302"/>
    <cellStyle name="Обычный 21 20" xfId="15303"/>
    <cellStyle name="Обычный 21 20 10" xfId="15304"/>
    <cellStyle name="Обычный 21 20 10 2" xfId="15305"/>
    <cellStyle name="Обычный 21 20 10 2 2" xfId="15306"/>
    <cellStyle name="Обычный 21 20 10 2 2 2" xfId="15307"/>
    <cellStyle name="Обычный 21 20 10 2 3" xfId="15308"/>
    <cellStyle name="Обычный 21 20 10 3" xfId="15309"/>
    <cellStyle name="Обычный 21 20 10 3 2" xfId="15310"/>
    <cellStyle name="Обычный 21 20 10 3 2 2" xfId="15311"/>
    <cellStyle name="Обычный 21 20 10 3 3" xfId="15312"/>
    <cellStyle name="Обычный 21 20 10 4" xfId="15313"/>
    <cellStyle name="Обычный 21 20 10 4 2" xfId="15314"/>
    <cellStyle name="Обычный 21 20 10 5" xfId="15315"/>
    <cellStyle name="Обычный 21 20 10 5 2" xfId="15316"/>
    <cellStyle name="Обычный 21 20 10 6" xfId="15317"/>
    <cellStyle name="Обычный 21 20 11" xfId="15318"/>
    <cellStyle name="Обычный 21 20 11 2" xfId="15319"/>
    <cellStyle name="Обычный 21 20 11 2 2" xfId="15320"/>
    <cellStyle name="Обычный 21 20 11 2 2 2" xfId="15321"/>
    <cellStyle name="Обычный 21 20 11 2 3" xfId="15322"/>
    <cellStyle name="Обычный 21 20 11 3" xfId="15323"/>
    <cellStyle name="Обычный 21 20 11 3 2" xfId="15324"/>
    <cellStyle name="Обычный 21 20 11 3 2 2" xfId="15325"/>
    <cellStyle name="Обычный 21 20 11 3 3" xfId="15326"/>
    <cellStyle name="Обычный 21 20 11 4" xfId="15327"/>
    <cellStyle name="Обычный 21 20 11 4 2" xfId="15328"/>
    <cellStyle name="Обычный 21 20 11 5" xfId="15329"/>
    <cellStyle name="Обычный 21 20 11 5 2" xfId="15330"/>
    <cellStyle name="Обычный 21 20 11 6" xfId="15331"/>
    <cellStyle name="Обычный 21 20 12" xfId="15332"/>
    <cellStyle name="Обычный 21 20 12 2" xfId="15333"/>
    <cellStyle name="Обычный 21 20 12 2 2" xfId="15334"/>
    <cellStyle name="Обычный 21 20 12 2 2 2" xfId="15335"/>
    <cellStyle name="Обычный 21 20 12 2 3" xfId="15336"/>
    <cellStyle name="Обычный 21 20 12 3" xfId="15337"/>
    <cellStyle name="Обычный 21 20 12 3 2" xfId="15338"/>
    <cellStyle name="Обычный 21 20 12 3 2 2" xfId="15339"/>
    <cellStyle name="Обычный 21 20 12 3 3" xfId="15340"/>
    <cellStyle name="Обычный 21 20 12 4" xfId="15341"/>
    <cellStyle name="Обычный 21 20 12 4 2" xfId="15342"/>
    <cellStyle name="Обычный 21 20 12 5" xfId="15343"/>
    <cellStyle name="Обычный 21 20 12 5 2" xfId="15344"/>
    <cellStyle name="Обычный 21 20 12 6" xfId="15345"/>
    <cellStyle name="Обычный 21 20 13" xfId="15346"/>
    <cellStyle name="Обычный 21 20 13 2" xfId="15347"/>
    <cellStyle name="Обычный 21 20 13 2 2" xfId="15348"/>
    <cellStyle name="Обычный 21 20 13 2 2 2" xfId="15349"/>
    <cellStyle name="Обычный 21 20 13 2 3" xfId="15350"/>
    <cellStyle name="Обычный 21 20 13 3" xfId="15351"/>
    <cellStyle name="Обычный 21 20 13 3 2" xfId="15352"/>
    <cellStyle name="Обычный 21 20 13 3 2 2" xfId="15353"/>
    <cellStyle name="Обычный 21 20 13 3 3" xfId="15354"/>
    <cellStyle name="Обычный 21 20 13 4" xfId="15355"/>
    <cellStyle name="Обычный 21 20 13 4 2" xfId="15356"/>
    <cellStyle name="Обычный 21 20 13 5" xfId="15357"/>
    <cellStyle name="Обычный 21 20 13 5 2" xfId="15358"/>
    <cellStyle name="Обычный 21 20 13 6" xfId="15359"/>
    <cellStyle name="Обычный 21 20 14" xfId="15360"/>
    <cellStyle name="Обычный 21 20 14 2" xfId="15361"/>
    <cellStyle name="Обычный 21 20 14 2 2" xfId="15362"/>
    <cellStyle name="Обычный 21 20 14 2 2 2" xfId="15363"/>
    <cellStyle name="Обычный 21 20 14 2 3" xfId="15364"/>
    <cellStyle name="Обычный 21 20 14 3" xfId="15365"/>
    <cellStyle name="Обычный 21 20 14 3 2" xfId="15366"/>
    <cellStyle name="Обычный 21 20 14 3 2 2" xfId="15367"/>
    <cellStyle name="Обычный 21 20 14 3 3" xfId="15368"/>
    <cellStyle name="Обычный 21 20 14 4" xfId="15369"/>
    <cellStyle name="Обычный 21 20 14 4 2" xfId="15370"/>
    <cellStyle name="Обычный 21 20 14 5" xfId="15371"/>
    <cellStyle name="Обычный 21 20 14 5 2" xfId="15372"/>
    <cellStyle name="Обычный 21 20 14 6" xfId="15373"/>
    <cellStyle name="Обычный 21 20 15" xfId="15374"/>
    <cellStyle name="Обычный 21 20 15 2" xfId="15375"/>
    <cellStyle name="Обычный 21 20 15 2 2" xfId="15376"/>
    <cellStyle name="Обычный 21 20 15 2 2 2" xfId="15377"/>
    <cellStyle name="Обычный 21 20 15 2 3" xfId="15378"/>
    <cellStyle name="Обычный 21 20 15 3" xfId="15379"/>
    <cellStyle name="Обычный 21 20 15 3 2" xfId="15380"/>
    <cellStyle name="Обычный 21 20 15 3 2 2" xfId="15381"/>
    <cellStyle name="Обычный 21 20 15 3 3" xfId="15382"/>
    <cellStyle name="Обычный 21 20 15 4" xfId="15383"/>
    <cellStyle name="Обычный 21 20 15 4 2" xfId="15384"/>
    <cellStyle name="Обычный 21 20 15 5" xfId="15385"/>
    <cellStyle name="Обычный 21 20 15 5 2" xfId="15386"/>
    <cellStyle name="Обычный 21 20 15 6" xfId="15387"/>
    <cellStyle name="Обычный 21 20 16" xfId="15388"/>
    <cellStyle name="Обычный 21 20 16 2" xfId="15389"/>
    <cellStyle name="Обычный 21 20 16 2 2" xfId="15390"/>
    <cellStyle name="Обычный 21 20 16 3" xfId="15391"/>
    <cellStyle name="Обычный 21 20 16 3 2" xfId="15392"/>
    <cellStyle name="Обычный 21 20 16 4" xfId="15393"/>
    <cellStyle name="Обычный 21 20 17" xfId="15394"/>
    <cellStyle name="Обычный 21 20 17 2" xfId="15395"/>
    <cellStyle name="Обычный 21 20 17 2 2" xfId="15396"/>
    <cellStyle name="Обычный 21 20 17 3" xfId="15397"/>
    <cellStyle name="Обычный 21 20 17 3 2" xfId="15398"/>
    <cellStyle name="Обычный 21 20 17 4" xfId="15399"/>
    <cellStyle name="Обычный 21 20 18" xfId="15400"/>
    <cellStyle name="Обычный 21 20 18 2" xfId="15401"/>
    <cellStyle name="Обычный 21 20 19" xfId="15402"/>
    <cellStyle name="Обычный 21 20 19 2" xfId="15403"/>
    <cellStyle name="Обычный 21 20 2" xfId="15404"/>
    <cellStyle name="Обычный 21 20 2 2" xfId="15405"/>
    <cellStyle name="Обычный 21 20 2 2 2" xfId="15406"/>
    <cellStyle name="Обычный 21 20 2 2 2 2" xfId="15407"/>
    <cellStyle name="Обычный 21 20 2 2 2 2 2" xfId="15408"/>
    <cellStyle name="Обычный 21 20 2 2 2 2 2 2" xfId="15409"/>
    <cellStyle name="Обычный 21 20 2 2 2 2 3" xfId="15410"/>
    <cellStyle name="Обычный 21 20 2 2 2 3" xfId="15411"/>
    <cellStyle name="Обычный 21 20 2 2 2 3 2" xfId="15412"/>
    <cellStyle name="Обычный 21 20 2 2 2 3 2 2" xfId="15413"/>
    <cellStyle name="Обычный 21 20 2 2 2 3 3" xfId="15414"/>
    <cellStyle name="Обычный 21 20 2 2 2 4" xfId="15415"/>
    <cellStyle name="Обычный 21 20 2 2 2 4 2" xfId="15416"/>
    <cellStyle name="Обычный 21 20 2 2 2 5" xfId="15417"/>
    <cellStyle name="Обычный 21 20 2 2 2 5 2" xfId="15418"/>
    <cellStyle name="Обычный 21 20 2 2 2 6" xfId="15419"/>
    <cellStyle name="Обычный 21 20 2 2 3" xfId="15420"/>
    <cellStyle name="Обычный 21 20 2 2 3 2" xfId="15421"/>
    <cellStyle name="Обычный 21 20 2 2 3 2 2" xfId="15422"/>
    <cellStyle name="Обычный 21 20 2 2 3 3" xfId="15423"/>
    <cellStyle name="Обычный 21 20 2 2 3 3 2" xfId="15424"/>
    <cellStyle name="Обычный 21 20 2 2 3 4" xfId="15425"/>
    <cellStyle name="Обычный 21 20 2 2 4" xfId="15426"/>
    <cellStyle name="Обычный 21 20 2 2 4 2" xfId="15427"/>
    <cellStyle name="Обычный 21 20 2 2 4 2 2" xfId="15428"/>
    <cellStyle name="Обычный 21 20 2 2 4 3" xfId="15429"/>
    <cellStyle name="Обычный 21 20 2 2 5" xfId="15430"/>
    <cellStyle name="Обычный 21 20 2 2 5 2" xfId="15431"/>
    <cellStyle name="Обычный 21 20 2 2 6" xfId="15432"/>
    <cellStyle name="Обычный 21 20 2 2 6 2" xfId="15433"/>
    <cellStyle name="Обычный 21 20 2 2 7" xfId="15434"/>
    <cellStyle name="Обычный 21 20 2 3" xfId="15435"/>
    <cellStyle name="Обычный 21 20 2 3 2" xfId="15436"/>
    <cellStyle name="Обычный 21 20 2 3 2 2" xfId="15437"/>
    <cellStyle name="Обычный 21 20 2 3 2 2 2" xfId="15438"/>
    <cellStyle name="Обычный 21 20 2 3 2 3" xfId="15439"/>
    <cellStyle name="Обычный 21 20 2 3 3" xfId="15440"/>
    <cellStyle name="Обычный 21 20 2 3 3 2" xfId="15441"/>
    <cellStyle name="Обычный 21 20 2 3 3 2 2" xfId="15442"/>
    <cellStyle name="Обычный 21 20 2 3 3 3" xfId="15443"/>
    <cellStyle name="Обычный 21 20 2 3 4" xfId="15444"/>
    <cellStyle name="Обычный 21 20 2 3 4 2" xfId="15445"/>
    <cellStyle name="Обычный 21 20 2 3 5" xfId="15446"/>
    <cellStyle name="Обычный 21 20 2 3 5 2" xfId="15447"/>
    <cellStyle name="Обычный 21 20 2 3 6" xfId="15448"/>
    <cellStyle name="Обычный 21 20 2 4" xfId="15449"/>
    <cellStyle name="Обычный 21 20 2 4 2" xfId="15450"/>
    <cellStyle name="Обычный 21 20 2 4 2 2" xfId="15451"/>
    <cellStyle name="Обычный 21 20 2 4 3" xfId="15452"/>
    <cellStyle name="Обычный 21 20 2 4 3 2" xfId="15453"/>
    <cellStyle name="Обычный 21 20 2 4 4" xfId="15454"/>
    <cellStyle name="Обычный 21 20 2 5" xfId="15455"/>
    <cellStyle name="Обычный 21 20 2 5 2" xfId="15456"/>
    <cellStyle name="Обычный 21 20 2 5 2 2" xfId="15457"/>
    <cellStyle name="Обычный 21 20 2 5 3" xfId="15458"/>
    <cellStyle name="Обычный 21 20 2 6" xfId="15459"/>
    <cellStyle name="Обычный 21 20 2 6 2" xfId="15460"/>
    <cellStyle name="Обычный 21 20 2 7" xfId="15461"/>
    <cellStyle name="Обычный 21 20 2 7 2" xfId="15462"/>
    <cellStyle name="Обычный 21 20 2 8" xfId="15463"/>
    <cellStyle name="Обычный 21 20 20" xfId="15464"/>
    <cellStyle name="Обычный 21 20 3" xfId="15465"/>
    <cellStyle name="Обычный 21 20 3 2" xfId="15466"/>
    <cellStyle name="Обычный 21 20 3 2 2" xfId="15467"/>
    <cellStyle name="Обычный 21 20 3 2 2 2" xfId="15468"/>
    <cellStyle name="Обычный 21 20 3 2 2 2 2" xfId="15469"/>
    <cellStyle name="Обычный 21 20 3 2 2 2 2 2" xfId="15470"/>
    <cellStyle name="Обычный 21 20 3 2 2 2 3" xfId="15471"/>
    <cellStyle name="Обычный 21 20 3 2 2 3" xfId="15472"/>
    <cellStyle name="Обычный 21 20 3 2 2 3 2" xfId="15473"/>
    <cellStyle name="Обычный 21 20 3 2 2 3 2 2" xfId="15474"/>
    <cellStyle name="Обычный 21 20 3 2 2 3 3" xfId="15475"/>
    <cellStyle name="Обычный 21 20 3 2 2 4" xfId="15476"/>
    <cellStyle name="Обычный 21 20 3 2 2 4 2" xfId="15477"/>
    <cellStyle name="Обычный 21 20 3 2 2 5" xfId="15478"/>
    <cellStyle name="Обычный 21 20 3 2 2 5 2" xfId="15479"/>
    <cellStyle name="Обычный 21 20 3 2 2 6" xfId="15480"/>
    <cellStyle name="Обычный 21 20 3 2 3" xfId="15481"/>
    <cellStyle name="Обычный 21 20 3 2 3 2" xfId="15482"/>
    <cellStyle name="Обычный 21 20 3 2 3 2 2" xfId="15483"/>
    <cellStyle name="Обычный 21 20 3 2 3 3" xfId="15484"/>
    <cellStyle name="Обычный 21 20 3 2 3 3 2" xfId="15485"/>
    <cellStyle name="Обычный 21 20 3 2 3 4" xfId="15486"/>
    <cellStyle name="Обычный 21 20 3 2 4" xfId="15487"/>
    <cellStyle name="Обычный 21 20 3 2 4 2" xfId="15488"/>
    <cellStyle name="Обычный 21 20 3 2 4 2 2" xfId="15489"/>
    <cellStyle name="Обычный 21 20 3 2 4 3" xfId="15490"/>
    <cellStyle name="Обычный 21 20 3 2 5" xfId="15491"/>
    <cellStyle name="Обычный 21 20 3 2 5 2" xfId="15492"/>
    <cellStyle name="Обычный 21 20 3 2 6" xfId="15493"/>
    <cellStyle name="Обычный 21 20 3 2 6 2" xfId="15494"/>
    <cellStyle name="Обычный 21 20 3 2 7" xfId="15495"/>
    <cellStyle name="Обычный 21 20 3 3" xfId="15496"/>
    <cellStyle name="Обычный 21 20 3 3 2" xfId="15497"/>
    <cellStyle name="Обычный 21 20 3 3 2 2" xfId="15498"/>
    <cellStyle name="Обычный 21 20 3 3 2 2 2" xfId="15499"/>
    <cellStyle name="Обычный 21 20 3 3 2 3" xfId="15500"/>
    <cellStyle name="Обычный 21 20 3 3 3" xfId="15501"/>
    <cellStyle name="Обычный 21 20 3 3 3 2" xfId="15502"/>
    <cellStyle name="Обычный 21 20 3 3 3 2 2" xfId="15503"/>
    <cellStyle name="Обычный 21 20 3 3 3 3" xfId="15504"/>
    <cellStyle name="Обычный 21 20 3 3 4" xfId="15505"/>
    <cellStyle name="Обычный 21 20 3 3 4 2" xfId="15506"/>
    <cellStyle name="Обычный 21 20 3 3 5" xfId="15507"/>
    <cellStyle name="Обычный 21 20 3 3 5 2" xfId="15508"/>
    <cellStyle name="Обычный 21 20 3 3 6" xfId="15509"/>
    <cellStyle name="Обычный 21 20 3 4" xfId="15510"/>
    <cellStyle name="Обычный 21 20 3 4 2" xfId="15511"/>
    <cellStyle name="Обычный 21 20 3 4 2 2" xfId="15512"/>
    <cellStyle name="Обычный 21 20 3 4 3" xfId="15513"/>
    <cellStyle name="Обычный 21 20 3 4 3 2" xfId="15514"/>
    <cellStyle name="Обычный 21 20 3 4 4" xfId="15515"/>
    <cellStyle name="Обычный 21 20 3 5" xfId="15516"/>
    <cellStyle name="Обычный 21 20 3 5 2" xfId="15517"/>
    <cellStyle name="Обычный 21 20 3 5 2 2" xfId="15518"/>
    <cellStyle name="Обычный 21 20 3 5 3" xfId="15519"/>
    <cellStyle name="Обычный 21 20 3 6" xfId="15520"/>
    <cellStyle name="Обычный 21 20 3 6 2" xfId="15521"/>
    <cellStyle name="Обычный 21 20 3 7" xfId="15522"/>
    <cellStyle name="Обычный 21 20 3 7 2" xfId="15523"/>
    <cellStyle name="Обычный 21 20 3 8" xfId="15524"/>
    <cellStyle name="Обычный 21 20 4" xfId="15525"/>
    <cellStyle name="Обычный 21 20 4 2" xfId="15526"/>
    <cellStyle name="Обычный 21 20 4 2 2" xfId="15527"/>
    <cellStyle name="Обычный 21 20 4 2 2 2" xfId="15528"/>
    <cellStyle name="Обычный 21 20 4 2 2 2 2" xfId="15529"/>
    <cellStyle name="Обычный 21 20 4 2 2 2 2 2" xfId="15530"/>
    <cellStyle name="Обычный 21 20 4 2 2 2 3" xfId="15531"/>
    <cellStyle name="Обычный 21 20 4 2 2 3" xfId="15532"/>
    <cellStyle name="Обычный 21 20 4 2 2 3 2" xfId="15533"/>
    <cellStyle name="Обычный 21 20 4 2 2 3 2 2" xfId="15534"/>
    <cellStyle name="Обычный 21 20 4 2 2 3 3" xfId="15535"/>
    <cellStyle name="Обычный 21 20 4 2 2 4" xfId="15536"/>
    <cellStyle name="Обычный 21 20 4 2 2 4 2" xfId="15537"/>
    <cellStyle name="Обычный 21 20 4 2 2 5" xfId="15538"/>
    <cellStyle name="Обычный 21 20 4 2 2 5 2" xfId="15539"/>
    <cellStyle name="Обычный 21 20 4 2 2 6" xfId="15540"/>
    <cellStyle name="Обычный 21 20 4 2 3" xfId="15541"/>
    <cellStyle name="Обычный 21 20 4 2 3 2" xfId="15542"/>
    <cellStyle name="Обычный 21 20 4 2 3 2 2" xfId="15543"/>
    <cellStyle name="Обычный 21 20 4 2 3 3" xfId="15544"/>
    <cellStyle name="Обычный 21 20 4 2 3 3 2" xfId="15545"/>
    <cellStyle name="Обычный 21 20 4 2 3 4" xfId="15546"/>
    <cellStyle name="Обычный 21 20 4 2 4" xfId="15547"/>
    <cellStyle name="Обычный 21 20 4 2 4 2" xfId="15548"/>
    <cellStyle name="Обычный 21 20 4 2 4 2 2" xfId="15549"/>
    <cellStyle name="Обычный 21 20 4 2 4 3" xfId="15550"/>
    <cellStyle name="Обычный 21 20 4 2 5" xfId="15551"/>
    <cellStyle name="Обычный 21 20 4 2 5 2" xfId="15552"/>
    <cellStyle name="Обычный 21 20 4 2 6" xfId="15553"/>
    <cellStyle name="Обычный 21 20 4 2 6 2" xfId="15554"/>
    <cellStyle name="Обычный 21 20 4 2 7" xfId="15555"/>
    <cellStyle name="Обычный 21 20 4 3" xfId="15556"/>
    <cellStyle name="Обычный 21 20 4 3 2" xfId="15557"/>
    <cellStyle name="Обычный 21 20 4 3 2 2" xfId="15558"/>
    <cellStyle name="Обычный 21 20 4 3 2 2 2" xfId="15559"/>
    <cellStyle name="Обычный 21 20 4 3 2 3" xfId="15560"/>
    <cellStyle name="Обычный 21 20 4 3 3" xfId="15561"/>
    <cellStyle name="Обычный 21 20 4 3 3 2" xfId="15562"/>
    <cellStyle name="Обычный 21 20 4 3 3 2 2" xfId="15563"/>
    <cellStyle name="Обычный 21 20 4 3 3 3" xfId="15564"/>
    <cellStyle name="Обычный 21 20 4 3 4" xfId="15565"/>
    <cellStyle name="Обычный 21 20 4 3 4 2" xfId="15566"/>
    <cellStyle name="Обычный 21 20 4 3 5" xfId="15567"/>
    <cellStyle name="Обычный 21 20 4 3 5 2" xfId="15568"/>
    <cellStyle name="Обычный 21 20 4 3 6" xfId="15569"/>
    <cellStyle name="Обычный 21 20 4 4" xfId="15570"/>
    <cellStyle name="Обычный 21 20 4 4 2" xfId="15571"/>
    <cellStyle name="Обычный 21 20 4 4 2 2" xfId="15572"/>
    <cellStyle name="Обычный 21 20 4 4 3" xfId="15573"/>
    <cellStyle name="Обычный 21 20 4 4 3 2" xfId="15574"/>
    <cellStyle name="Обычный 21 20 4 4 4" xfId="15575"/>
    <cellStyle name="Обычный 21 20 4 5" xfId="15576"/>
    <cellStyle name="Обычный 21 20 4 5 2" xfId="15577"/>
    <cellStyle name="Обычный 21 20 4 5 2 2" xfId="15578"/>
    <cellStyle name="Обычный 21 20 4 5 3" xfId="15579"/>
    <cellStyle name="Обычный 21 20 4 6" xfId="15580"/>
    <cellStyle name="Обычный 21 20 4 6 2" xfId="15581"/>
    <cellStyle name="Обычный 21 20 4 7" xfId="15582"/>
    <cellStyle name="Обычный 21 20 4 7 2" xfId="15583"/>
    <cellStyle name="Обычный 21 20 4 8" xfId="15584"/>
    <cellStyle name="Обычный 21 20 5" xfId="15585"/>
    <cellStyle name="Обычный 21 20 5 2" xfId="15586"/>
    <cellStyle name="Обычный 21 20 5 2 2" xfId="15587"/>
    <cellStyle name="Обычный 21 20 5 2 2 2" xfId="15588"/>
    <cellStyle name="Обычный 21 20 5 2 2 2 2" xfId="15589"/>
    <cellStyle name="Обычный 21 20 5 2 2 3" xfId="15590"/>
    <cellStyle name="Обычный 21 20 5 2 3" xfId="15591"/>
    <cellStyle name="Обычный 21 20 5 2 3 2" xfId="15592"/>
    <cellStyle name="Обычный 21 20 5 2 3 2 2" xfId="15593"/>
    <cellStyle name="Обычный 21 20 5 2 3 3" xfId="15594"/>
    <cellStyle name="Обычный 21 20 5 2 4" xfId="15595"/>
    <cellStyle name="Обычный 21 20 5 2 4 2" xfId="15596"/>
    <cellStyle name="Обычный 21 20 5 2 5" xfId="15597"/>
    <cellStyle name="Обычный 21 20 5 2 5 2" xfId="15598"/>
    <cellStyle name="Обычный 21 20 5 2 6" xfId="15599"/>
    <cellStyle name="Обычный 21 20 5 3" xfId="15600"/>
    <cellStyle name="Обычный 21 20 5 3 2" xfId="15601"/>
    <cellStyle name="Обычный 21 20 5 3 2 2" xfId="15602"/>
    <cellStyle name="Обычный 21 20 5 3 2 2 2" xfId="15603"/>
    <cellStyle name="Обычный 21 20 5 3 2 3" xfId="15604"/>
    <cellStyle name="Обычный 21 20 5 3 3" xfId="15605"/>
    <cellStyle name="Обычный 21 20 5 3 3 2" xfId="15606"/>
    <cellStyle name="Обычный 21 20 5 3 3 2 2" xfId="15607"/>
    <cellStyle name="Обычный 21 20 5 3 3 3" xfId="15608"/>
    <cellStyle name="Обычный 21 20 5 3 4" xfId="15609"/>
    <cellStyle name="Обычный 21 20 5 3 4 2" xfId="15610"/>
    <cellStyle name="Обычный 21 20 5 3 5" xfId="15611"/>
    <cellStyle name="Обычный 21 20 5 3 5 2" xfId="15612"/>
    <cellStyle name="Обычный 21 20 5 3 6" xfId="15613"/>
    <cellStyle name="Обычный 21 20 5 4" xfId="15614"/>
    <cellStyle name="Обычный 21 20 5 4 2" xfId="15615"/>
    <cellStyle name="Обычный 21 20 5 4 2 2" xfId="15616"/>
    <cellStyle name="Обычный 21 20 5 4 3" xfId="15617"/>
    <cellStyle name="Обычный 21 20 5 4 3 2" xfId="15618"/>
    <cellStyle name="Обычный 21 20 5 4 4" xfId="15619"/>
    <cellStyle name="Обычный 21 20 5 5" xfId="15620"/>
    <cellStyle name="Обычный 21 20 5 5 2" xfId="15621"/>
    <cellStyle name="Обычный 21 20 5 5 2 2" xfId="15622"/>
    <cellStyle name="Обычный 21 20 5 5 3" xfId="15623"/>
    <cellStyle name="Обычный 21 20 5 6" xfId="15624"/>
    <cellStyle name="Обычный 21 20 5 6 2" xfId="15625"/>
    <cellStyle name="Обычный 21 20 5 7" xfId="15626"/>
    <cellStyle name="Обычный 21 20 5 7 2" xfId="15627"/>
    <cellStyle name="Обычный 21 20 5 8" xfId="15628"/>
    <cellStyle name="Обычный 21 20 6" xfId="15629"/>
    <cellStyle name="Обычный 21 20 6 2" xfId="15630"/>
    <cellStyle name="Обычный 21 20 6 2 2" xfId="15631"/>
    <cellStyle name="Обычный 21 20 6 2 2 2" xfId="15632"/>
    <cellStyle name="Обычный 21 20 6 2 2 2 2" xfId="15633"/>
    <cellStyle name="Обычный 21 20 6 2 2 3" xfId="15634"/>
    <cellStyle name="Обычный 21 20 6 2 3" xfId="15635"/>
    <cellStyle name="Обычный 21 20 6 2 3 2" xfId="15636"/>
    <cellStyle name="Обычный 21 20 6 2 3 2 2" xfId="15637"/>
    <cellStyle name="Обычный 21 20 6 2 3 3" xfId="15638"/>
    <cellStyle name="Обычный 21 20 6 2 4" xfId="15639"/>
    <cellStyle name="Обычный 21 20 6 2 4 2" xfId="15640"/>
    <cellStyle name="Обычный 21 20 6 2 5" xfId="15641"/>
    <cellStyle name="Обычный 21 20 6 2 5 2" xfId="15642"/>
    <cellStyle name="Обычный 21 20 6 2 6" xfId="15643"/>
    <cellStyle name="Обычный 21 20 6 3" xfId="15644"/>
    <cellStyle name="Обычный 21 20 6 3 2" xfId="15645"/>
    <cellStyle name="Обычный 21 20 6 3 2 2" xfId="15646"/>
    <cellStyle name="Обычный 21 20 6 3 2 2 2" xfId="15647"/>
    <cellStyle name="Обычный 21 20 6 3 2 3" xfId="15648"/>
    <cellStyle name="Обычный 21 20 6 3 3" xfId="15649"/>
    <cellStyle name="Обычный 21 20 6 3 3 2" xfId="15650"/>
    <cellStyle name="Обычный 21 20 6 3 3 2 2" xfId="15651"/>
    <cellStyle name="Обычный 21 20 6 3 3 3" xfId="15652"/>
    <cellStyle name="Обычный 21 20 6 3 4" xfId="15653"/>
    <cellStyle name="Обычный 21 20 6 3 4 2" xfId="15654"/>
    <cellStyle name="Обычный 21 20 6 3 5" xfId="15655"/>
    <cellStyle name="Обычный 21 20 6 3 5 2" xfId="15656"/>
    <cellStyle name="Обычный 21 20 6 3 6" xfId="15657"/>
    <cellStyle name="Обычный 21 20 6 4" xfId="15658"/>
    <cellStyle name="Обычный 21 20 6 4 2" xfId="15659"/>
    <cellStyle name="Обычный 21 20 6 4 2 2" xfId="15660"/>
    <cellStyle name="Обычный 21 20 6 4 3" xfId="15661"/>
    <cellStyle name="Обычный 21 20 6 4 3 2" xfId="15662"/>
    <cellStyle name="Обычный 21 20 6 4 4" xfId="15663"/>
    <cellStyle name="Обычный 21 20 6 5" xfId="15664"/>
    <cellStyle name="Обычный 21 20 6 5 2" xfId="15665"/>
    <cellStyle name="Обычный 21 20 6 5 2 2" xfId="15666"/>
    <cellStyle name="Обычный 21 20 6 5 3" xfId="15667"/>
    <cellStyle name="Обычный 21 20 6 6" xfId="15668"/>
    <cellStyle name="Обычный 21 20 6 6 2" xfId="15669"/>
    <cellStyle name="Обычный 21 20 6 7" xfId="15670"/>
    <cellStyle name="Обычный 21 20 6 7 2" xfId="15671"/>
    <cellStyle name="Обычный 21 20 6 8" xfId="15672"/>
    <cellStyle name="Обычный 21 20 7" xfId="15673"/>
    <cellStyle name="Обычный 21 20 7 2" xfId="15674"/>
    <cellStyle name="Обычный 21 20 7 2 2" xfId="15675"/>
    <cellStyle name="Обычный 21 20 7 2 2 2" xfId="15676"/>
    <cellStyle name="Обычный 21 20 7 2 2 2 2" xfId="15677"/>
    <cellStyle name="Обычный 21 20 7 2 2 3" xfId="15678"/>
    <cellStyle name="Обычный 21 20 7 2 3" xfId="15679"/>
    <cellStyle name="Обычный 21 20 7 2 3 2" xfId="15680"/>
    <cellStyle name="Обычный 21 20 7 2 3 2 2" xfId="15681"/>
    <cellStyle name="Обычный 21 20 7 2 3 3" xfId="15682"/>
    <cellStyle name="Обычный 21 20 7 2 4" xfId="15683"/>
    <cellStyle name="Обычный 21 20 7 2 4 2" xfId="15684"/>
    <cellStyle name="Обычный 21 20 7 2 5" xfId="15685"/>
    <cellStyle name="Обычный 21 20 7 2 5 2" xfId="15686"/>
    <cellStyle name="Обычный 21 20 7 2 6" xfId="15687"/>
    <cellStyle name="Обычный 21 20 7 3" xfId="15688"/>
    <cellStyle name="Обычный 21 20 7 3 2" xfId="15689"/>
    <cellStyle name="Обычный 21 20 7 3 2 2" xfId="15690"/>
    <cellStyle name="Обычный 21 20 7 3 3" xfId="15691"/>
    <cellStyle name="Обычный 21 20 7 4" xfId="15692"/>
    <cellStyle name="Обычный 21 20 7 4 2" xfId="15693"/>
    <cellStyle name="Обычный 21 20 7 4 2 2" xfId="15694"/>
    <cellStyle name="Обычный 21 20 7 4 3" xfId="15695"/>
    <cellStyle name="Обычный 21 20 7 5" xfId="15696"/>
    <cellStyle name="Обычный 21 20 7 5 2" xfId="15697"/>
    <cellStyle name="Обычный 21 20 7 6" xfId="15698"/>
    <cellStyle name="Обычный 21 20 7 6 2" xfId="15699"/>
    <cellStyle name="Обычный 21 20 7 7" xfId="15700"/>
    <cellStyle name="Обычный 21 20 8" xfId="15701"/>
    <cellStyle name="Обычный 21 20 8 2" xfId="15702"/>
    <cellStyle name="Обычный 21 20 8 2 2" xfId="15703"/>
    <cellStyle name="Обычный 21 20 8 2 2 2" xfId="15704"/>
    <cellStyle name="Обычный 21 20 8 2 2 2 2" xfId="15705"/>
    <cellStyle name="Обычный 21 20 8 2 2 3" xfId="15706"/>
    <cellStyle name="Обычный 21 20 8 2 3" xfId="15707"/>
    <cellStyle name="Обычный 21 20 8 2 3 2" xfId="15708"/>
    <cellStyle name="Обычный 21 20 8 2 3 2 2" xfId="15709"/>
    <cellStyle name="Обычный 21 20 8 2 3 3" xfId="15710"/>
    <cellStyle name="Обычный 21 20 8 2 4" xfId="15711"/>
    <cellStyle name="Обычный 21 20 8 2 4 2" xfId="15712"/>
    <cellStyle name="Обычный 21 20 8 2 5" xfId="15713"/>
    <cellStyle name="Обычный 21 20 8 2 5 2" xfId="15714"/>
    <cellStyle name="Обычный 21 20 8 2 6" xfId="15715"/>
    <cellStyle name="Обычный 21 20 8 3" xfId="15716"/>
    <cellStyle name="Обычный 21 20 8 3 2" xfId="15717"/>
    <cellStyle name="Обычный 21 20 8 3 2 2" xfId="15718"/>
    <cellStyle name="Обычный 21 20 8 3 3" xfId="15719"/>
    <cellStyle name="Обычный 21 20 8 4" xfId="15720"/>
    <cellStyle name="Обычный 21 20 8 4 2" xfId="15721"/>
    <cellStyle name="Обычный 21 20 8 4 2 2" xfId="15722"/>
    <cellStyle name="Обычный 21 20 8 4 3" xfId="15723"/>
    <cellStyle name="Обычный 21 20 8 5" xfId="15724"/>
    <cellStyle name="Обычный 21 20 8 5 2" xfId="15725"/>
    <cellStyle name="Обычный 21 20 8 6" xfId="15726"/>
    <cellStyle name="Обычный 21 20 8 6 2" xfId="15727"/>
    <cellStyle name="Обычный 21 20 8 7" xfId="15728"/>
    <cellStyle name="Обычный 21 20 9" xfId="15729"/>
    <cellStyle name="Обычный 21 20 9 2" xfId="15730"/>
    <cellStyle name="Обычный 21 20 9 2 2" xfId="15731"/>
    <cellStyle name="Обычный 21 20 9 2 2 2" xfId="15732"/>
    <cellStyle name="Обычный 21 20 9 2 3" xfId="15733"/>
    <cellStyle name="Обычный 21 20 9 3" xfId="15734"/>
    <cellStyle name="Обычный 21 20 9 3 2" xfId="15735"/>
    <cellStyle name="Обычный 21 20 9 3 2 2" xfId="15736"/>
    <cellStyle name="Обычный 21 20 9 3 3" xfId="15737"/>
    <cellStyle name="Обычный 21 20 9 4" xfId="15738"/>
    <cellStyle name="Обычный 21 20 9 4 2" xfId="15739"/>
    <cellStyle name="Обычный 21 20 9 5" xfId="15740"/>
    <cellStyle name="Обычный 21 20 9 5 2" xfId="15741"/>
    <cellStyle name="Обычный 21 20 9 6" xfId="15742"/>
    <cellStyle name="Обычный 21 21" xfId="15743"/>
    <cellStyle name="Обычный 21 21 2" xfId="15744"/>
    <cellStyle name="Обычный 21 21 2 2" xfId="15745"/>
    <cellStyle name="Обычный 21 21 2 2 2" xfId="15746"/>
    <cellStyle name="Обычный 21 21 2 2 2 2" xfId="15747"/>
    <cellStyle name="Обычный 21 21 2 2 2 2 2" xfId="15748"/>
    <cellStyle name="Обычный 21 21 2 2 2 3" xfId="15749"/>
    <cellStyle name="Обычный 21 21 2 2 3" xfId="15750"/>
    <cellStyle name="Обычный 21 21 2 2 3 2" xfId="15751"/>
    <cellStyle name="Обычный 21 21 2 2 3 2 2" xfId="15752"/>
    <cellStyle name="Обычный 21 21 2 2 3 3" xfId="15753"/>
    <cellStyle name="Обычный 21 21 2 2 4" xfId="15754"/>
    <cellStyle name="Обычный 21 21 2 2 4 2" xfId="15755"/>
    <cellStyle name="Обычный 21 21 2 2 5" xfId="15756"/>
    <cellStyle name="Обычный 21 21 2 2 5 2" xfId="15757"/>
    <cellStyle name="Обычный 21 21 2 2 6" xfId="15758"/>
    <cellStyle name="Обычный 21 21 2 3" xfId="15759"/>
    <cellStyle name="Обычный 21 21 2 3 2" xfId="15760"/>
    <cellStyle name="Обычный 21 21 2 3 2 2" xfId="15761"/>
    <cellStyle name="Обычный 21 21 2 3 2 2 2" xfId="15762"/>
    <cellStyle name="Обычный 21 21 2 3 2 3" xfId="15763"/>
    <cellStyle name="Обычный 21 21 2 3 3" xfId="15764"/>
    <cellStyle name="Обычный 21 21 2 3 3 2" xfId="15765"/>
    <cellStyle name="Обычный 21 21 2 3 3 2 2" xfId="15766"/>
    <cellStyle name="Обычный 21 21 2 3 3 3" xfId="15767"/>
    <cellStyle name="Обычный 21 21 2 3 4" xfId="15768"/>
    <cellStyle name="Обычный 21 21 2 3 4 2" xfId="15769"/>
    <cellStyle name="Обычный 21 21 2 3 5" xfId="15770"/>
    <cellStyle name="Обычный 21 21 2 3 5 2" xfId="15771"/>
    <cellStyle name="Обычный 21 21 2 3 6" xfId="15772"/>
    <cellStyle name="Обычный 21 21 2 4" xfId="15773"/>
    <cellStyle name="Обычный 21 21 2 4 2" xfId="15774"/>
    <cellStyle name="Обычный 21 21 2 4 2 2" xfId="15775"/>
    <cellStyle name="Обычный 21 21 2 4 3" xfId="15776"/>
    <cellStyle name="Обычный 21 21 2 4 3 2" xfId="15777"/>
    <cellStyle name="Обычный 21 21 2 4 4" xfId="15778"/>
    <cellStyle name="Обычный 21 21 2 5" xfId="15779"/>
    <cellStyle name="Обычный 21 21 2 5 2" xfId="15780"/>
    <cellStyle name="Обычный 21 21 2 5 2 2" xfId="15781"/>
    <cellStyle name="Обычный 21 21 2 5 3" xfId="15782"/>
    <cellStyle name="Обычный 21 21 2 6" xfId="15783"/>
    <cellStyle name="Обычный 21 21 2 6 2" xfId="15784"/>
    <cellStyle name="Обычный 21 21 2 7" xfId="15785"/>
    <cellStyle name="Обычный 21 21 2 7 2" xfId="15786"/>
    <cellStyle name="Обычный 21 21 2 8" xfId="15787"/>
    <cellStyle name="Обычный 21 21 3" xfId="15788"/>
    <cellStyle name="Обычный 21 21 3 2" xfId="15789"/>
    <cellStyle name="Обычный 21 21 3 2 2" xfId="15790"/>
    <cellStyle name="Обычный 21 21 3 2 2 2" xfId="15791"/>
    <cellStyle name="Обычный 21 21 3 2 3" xfId="15792"/>
    <cellStyle name="Обычный 21 21 3 3" xfId="15793"/>
    <cellStyle name="Обычный 21 21 3 3 2" xfId="15794"/>
    <cellStyle name="Обычный 21 21 3 3 2 2" xfId="15795"/>
    <cellStyle name="Обычный 21 21 3 3 3" xfId="15796"/>
    <cellStyle name="Обычный 21 21 3 4" xfId="15797"/>
    <cellStyle name="Обычный 21 21 3 4 2" xfId="15798"/>
    <cellStyle name="Обычный 21 21 3 5" xfId="15799"/>
    <cellStyle name="Обычный 21 21 3 5 2" xfId="15800"/>
    <cellStyle name="Обычный 21 21 3 6" xfId="15801"/>
    <cellStyle name="Обычный 21 21 4" xfId="15802"/>
    <cellStyle name="Обычный 21 21 4 2" xfId="15803"/>
    <cellStyle name="Обычный 21 21 4 2 2" xfId="15804"/>
    <cellStyle name="Обычный 21 21 4 2 2 2" xfId="15805"/>
    <cellStyle name="Обычный 21 21 4 2 3" xfId="15806"/>
    <cellStyle name="Обычный 21 21 4 3" xfId="15807"/>
    <cellStyle name="Обычный 21 21 4 3 2" xfId="15808"/>
    <cellStyle name="Обычный 21 21 4 3 2 2" xfId="15809"/>
    <cellStyle name="Обычный 21 21 4 3 3" xfId="15810"/>
    <cellStyle name="Обычный 21 21 4 4" xfId="15811"/>
    <cellStyle name="Обычный 21 21 4 4 2" xfId="15812"/>
    <cellStyle name="Обычный 21 21 4 5" xfId="15813"/>
    <cellStyle name="Обычный 21 21 4 5 2" xfId="15814"/>
    <cellStyle name="Обычный 21 21 4 6" xfId="15815"/>
    <cellStyle name="Обычный 21 21 5" xfId="15816"/>
    <cellStyle name="Обычный 21 21 5 2" xfId="15817"/>
    <cellStyle name="Обычный 21 21 5 2 2" xfId="15818"/>
    <cellStyle name="Обычный 21 21 5 3" xfId="15819"/>
    <cellStyle name="Обычный 21 21 5 3 2" xfId="15820"/>
    <cellStyle name="Обычный 21 21 5 4" xfId="15821"/>
    <cellStyle name="Обычный 21 21 6" xfId="15822"/>
    <cellStyle name="Обычный 21 21 6 2" xfId="15823"/>
    <cellStyle name="Обычный 21 21 6 2 2" xfId="15824"/>
    <cellStyle name="Обычный 21 21 6 3" xfId="15825"/>
    <cellStyle name="Обычный 21 21 7" xfId="15826"/>
    <cellStyle name="Обычный 21 21 7 2" xfId="15827"/>
    <cellStyle name="Обычный 21 21 8" xfId="15828"/>
    <cellStyle name="Обычный 21 21 8 2" xfId="15829"/>
    <cellStyle name="Обычный 21 21 9" xfId="15830"/>
    <cellStyle name="Обычный 21 22" xfId="15831"/>
    <cellStyle name="Обычный 21 22 2" xfId="15832"/>
    <cellStyle name="Обычный 21 22 2 2" xfId="15833"/>
    <cellStyle name="Обычный 21 22 2 2 2" xfId="15834"/>
    <cellStyle name="Обычный 21 22 2 2 2 2" xfId="15835"/>
    <cellStyle name="Обычный 21 22 2 2 2 2 2" xfId="15836"/>
    <cellStyle name="Обычный 21 22 2 2 2 3" xfId="15837"/>
    <cellStyle name="Обычный 21 22 2 2 3" xfId="15838"/>
    <cellStyle name="Обычный 21 22 2 2 3 2" xfId="15839"/>
    <cellStyle name="Обычный 21 22 2 2 3 2 2" xfId="15840"/>
    <cellStyle name="Обычный 21 22 2 2 3 3" xfId="15841"/>
    <cellStyle name="Обычный 21 22 2 2 4" xfId="15842"/>
    <cellStyle name="Обычный 21 22 2 2 4 2" xfId="15843"/>
    <cellStyle name="Обычный 21 22 2 2 5" xfId="15844"/>
    <cellStyle name="Обычный 21 22 2 2 5 2" xfId="15845"/>
    <cellStyle name="Обычный 21 22 2 2 6" xfId="15846"/>
    <cellStyle name="Обычный 21 22 2 3" xfId="15847"/>
    <cellStyle name="Обычный 21 22 2 3 2" xfId="15848"/>
    <cellStyle name="Обычный 21 22 2 3 2 2" xfId="15849"/>
    <cellStyle name="Обычный 21 22 2 3 3" xfId="15850"/>
    <cellStyle name="Обычный 21 22 2 3 3 2" xfId="15851"/>
    <cellStyle name="Обычный 21 22 2 3 4" xfId="15852"/>
    <cellStyle name="Обычный 21 22 2 4" xfId="15853"/>
    <cellStyle name="Обычный 21 22 2 4 2" xfId="15854"/>
    <cellStyle name="Обычный 21 22 2 4 2 2" xfId="15855"/>
    <cellStyle name="Обычный 21 22 2 4 3" xfId="15856"/>
    <cellStyle name="Обычный 21 22 2 5" xfId="15857"/>
    <cellStyle name="Обычный 21 22 2 5 2" xfId="15858"/>
    <cellStyle name="Обычный 21 22 2 6" xfId="15859"/>
    <cellStyle name="Обычный 21 22 2 6 2" xfId="15860"/>
    <cellStyle name="Обычный 21 22 2 7" xfId="15861"/>
    <cellStyle name="Обычный 21 22 3" xfId="15862"/>
    <cellStyle name="Обычный 21 22 3 2" xfId="15863"/>
    <cellStyle name="Обычный 21 22 3 2 2" xfId="15864"/>
    <cellStyle name="Обычный 21 22 3 2 2 2" xfId="15865"/>
    <cellStyle name="Обычный 21 22 3 2 3" xfId="15866"/>
    <cellStyle name="Обычный 21 22 3 3" xfId="15867"/>
    <cellStyle name="Обычный 21 22 3 3 2" xfId="15868"/>
    <cellStyle name="Обычный 21 22 3 3 2 2" xfId="15869"/>
    <cellStyle name="Обычный 21 22 3 3 3" xfId="15870"/>
    <cellStyle name="Обычный 21 22 3 4" xfId="15871"/>
    <cellStyle name="Обычный 21 22 3 4 2" xfId="15872"/>
    <cellStyle name="Обычный 21 22 3 5" xfId="15873"/>
    <cellStyle name="Обычный 21 22 3 5 2" xfId="15874"/>
    <cellStyle name="Обычный 21 22 3 6" xfId="15875"/>
    <cellStyle name="Обычный 21 22 4" xfId="15876"/>
    <cellStyle name="Обычный 21 22 4 2" xfId="15877"/>
    <cellStyle name="Обычный 21 22 4 2 2" xfId="15878"/>
    <cellStyle name="Обычный 21 22 4 3" xfId="15879"/>
    <cellStyle name="Обычный 21 22 4 3 2" xfId="15880"/>
    <cellStyle name="Обычный 21 22 4 4" xfId="15881"/>
    <cellStyle name="Обычный 21 22 5" xfId="15882"/>
    <cellStyle name="Обычный 21 22 5 2" xfId="15883"/>
    <cellStyle name="Обычный 21 22 5 2 2" xfId="15884"/>
    <cellStyle name="Обычный 21 22 5 3" xfId="15885"/>
    <cellStyle name="Обычный 21 22 6" xfId="15886"/>
    <cellStyle name="Обычный 21 22 6 2" xfId="15887"/>
    <cellStyle name="Обычный 21 22 7" xfId="15888"/>
    <cellStyle name="Обычный 21 22 7 2" xfId="15889"/>
    <cellStyle name="Обычный 21 22 8" xfId="15890"/>
    <cellStyle name="Обычный 21 23" xfId="15891"/>
    <cellStyle name="Обычный 21 23 2" xfId="15892"/>
    <cellStyle name="Обычный 21 23 2 2" xfId="15893"/>
    <cellStyle name="Обычный 21 23 2 2 2" xfId="15894"/>
    <cellStyle name="Обычный 21 23 2 2 2 2" xfId="15895"/>
    <cellStyle name="Обычный 21 23 2 2 2 2 2" xfId="15896"/>
    <cellStyle name="Обычный 21 23 2 2 2 3" xfId="15897"/>
    <cellStyle name="Обычный 21 23 2 2 3" xfId="15898"/>
    <cellStyle name="Обычный 21 23 2 2 3 2" xfId="15899"/>
    <cellStyle name="Обычный 21 23 2 2 3 2 2" xfId="15900"/>
    <cellStyle name="Обычный 21 23 2 2 3 3" xfId="15901"/>
    <cellStyle name="Обычный 21 23 2 2 4" xfId="15902"/>
    <cellStyle name="Обычный 21 23 2 2 4 2" xfId="15903"/>
    <cellStyle name="Обычный 21 23 2 2 5" xfId="15904"/>
    <cellStyle name="Обычный 21 23 2 2 5 2" xfId="15905"/>
    <cellStyle name="Обычный 21 23 2 2 6" xfId="15906"/>
    <cellStyle name="Обычный 21 23 2 3" xfId="15907"/>
    <cellStyle name="Обычный 21 23 2 3 2" xfId="15908"/>
    <cellStyle name="Обычный 21 23 2 3 2 2" xfId="15909"/>
    <cellStyle name="Обычный 21 23 2 3 3" xfId="15910"/>
    <cellStyle name="Обычный 21 23 2 3 3 2" xfId="15911"/>
    <cellStyle name="Обычный 21 23 2 3 4" xfId="15912"/>
    <cellStyle name="Обычный 21 23 2 4" xfId="15913"/>
    <cellStyle name="Обычный 21 23 2 4 2" xfId="15914"/>
    <cellStyle name="Обычный 21 23 2 4 2 2" xfId="15915"/>
    <cellStyle name="Обычный 21 23 2 4 3" xfId="15916"/>
    <cellStyle name="Обычный 21 23 2 5" xfId="15917"/>
    <cellStyle name="Обычный 21 23 2 5 2" xfId="15918"/>
    <cellStyle name="Обычный 21 23 2 6" xfId="15919"/>
    <cellStyle name="Обычный 21 23 2 6 2" xfId="15920"/>
    <cellStyle name="Обычный 21 23 2 7" xfId="15921"/>
    <cellStyle name="Обычный 21 23 3" xfId="15922"/>
    <cellStyle name="Обычный 21 23 3 2" xfId="15923"/>
    <cellStyle name="Обычный 21 23 3 2 2" xfId="15924"/>
    <cellStyle name="Обычный 21 23 3 2 2 2" xfId="15925"/>
    <cellStyle name="Обычный 21 23 3 2 3" xfId="15926"/>
    <cellStyle name="Обычный 21 23 3 3" xfId="15927"/>
    <cellStyle name="Обычный 21 23 3 3 2" xfId="15928"/>
    <cellStyle name="Обычный 21 23 3 3 2 2" xfId="15929"/>
    <cellStyle name="Обычный 21 23 3 3 3" xfId="15930"/>
    <cellStyle name="Обычный 21 23 3 4" xfId="15931"/>
    <cellStyle name="Обычный 21 23 3 4 2" xfId="15932"/>
    <cellStyle name="Обычный 21 23 3 5" xfId="15933"/>
    <cellStyle name="Обычный 21 23 3 5 2" xfId="15934"/>
    <cellStyle name="Обычный 21 23 3 6" xfId="15935"/>
    <cellStyle name="Обычный 21 23 4" xfId="15936"/>
    <cellStyle name="Обычный 21 23 4 2" xfId="15937"/>
    <cellStyle name="Обычный 21 23 4 2 2" xfId="15938"/>
    <cellStyle name="Обычный 21 23 4 3" xfId="15939"/>
    <cellStyle name="Обычный 21 23 4 3 2" xfId="15940"/>
    <cellStyle name="Обычный 21 23 4 4" xfId="15941"/>
    <cellStyle name="Обычный 21 23 5" xfId="15942"/>
    <cellStyle name="Обычный 21 23 5 2" xfId="15943"/>
    <cellStyle name="Обычный 21 23 5 2 2" xfId="15944"/>
    <cellStyle name="Обычный 21 23 5 3" xfId="15945"/>
    <cellStyle name="Обычный 21 23 6" xfId="15946"/>
    <cellStyle name="Обычный 21 23 6 2" xfId="15947"/>
    <cellStyle name="Обычный 21 23 7" xfId="15948"/>
    <cellStyle name="Обычный 21 23 7 2" xfId="15949"/>
    <cellStyle name="Обычный 21 23 8" xfId="15950"/>
    <cellStyle name="Обычный 21 24" xfId="15951"/>
    <cellStyle name="Обычный 21 24 2" xfId="15952"/>
    <cellStyle name="Обычный 21 24 2 2" xfId="15953"/>
    <cellStyle name="Обычный 21 24 2 2 2" xfId="15954"/>
    <cellStyle name="Обычный 21 24 2 2 2 2" xfId="15955"/>
    <cellStyle name="Обычный 21 24 2 2 2 2 2" xfId="15956"/>
    <cellStyle name="Обычный 21 24 2 2 2 3" xfId="15957"/>
    <cellStyle name="Обычный 21 24 2 2 3" xfId="15958"/>
    <cellStyle name="Обычный 21 24 2 2 3 2" xfId="15959"/>
    <cellStyle name="Обычный 21 24 2 2 3 2 2" xfId="15960"/>
    <cellStyle name="Обычный 21 24 2 2 3 3" xfId="15961"/>
    <cellStyle name="Обычный 21 24 2 2 4" xfId="15962"/>
    <cellStyle name="Обычный 21 24 2 2 4 2" xfId="15963"/>
    <cellStyle name="Обычный 21 24 2 2 5" xfId="15964"/>
    <cellStyle name="Обычный 21 24 2 2 5 2" xfId="15965"/>
    <cellStyle name="Обычный 21 24 2 2 6" xfId="15966"/>
    <cellStyle name="Обычный 21 24 2 3" xfId="15967"/>
    <cellStyle name="Обычный 21 24 2 3 2" xfId="15968"/>
    <cellStyle name="Обычный 21 24 2 3 2 2" xfId="15969"/>
    <cellStyle name="Обычный 21 24 2 3 3" xfId="15970"/>
    <cellStyle name="Обычный 21 24 2 3 3 2" xfId="15971"/>
    <cellStyle name="Обычный 21 24 2 3 4" xfId="15972"/>
    <cellStyle name="Обычный 21 24 2 4" xfId="15973"/>
    <cellStyle name="Обычный 21 24 2 4 2" xfId="15974"/>
    <cellStyle name="Обычный 21 24 2 4 2 2" xfId="15975"/>
    <cellStyle name="Обычный 21 24 2 4 3" xfId="15976"/>
    <cellStyle name="Обычный 21 24 2 5" xfId="15977"/>
    <cellStyle name="Обычный 21 24 2 5 2" xfId="15978"/>
    <cellStyle name="Обычный 21 24 2 6" xfId="15979"/>
    <cellStyle name="Обычный 21 24 2 6 2" xfId="15980"/>
    <cellStyle name="Обычный 21 24 2 7" xfId="15981"/>
    <cellStyle name="Обычный 21 24 3" xfId="15982"/>
    <cellStyle name="Обычный 21 24 3 2" xfId="15983"/>
    <cellStyle name="Обычный 21 24 3 2 2" xfId="15984"/>
    <cellStyle name="Обычный 21 24 3 2 2 2" xfId="15985"/>
    <cellStyle name="Обычный 21 24 3 2 3" xfId="15986"/>
    <cellStyle name="Обычный 21 24 3 3" xfId="15987"/>
    <cellStyle name="Обычный 21 24 3 3 2" xfId="15988"/>
    <cellStyle name="Обычный 21 24 3 3 2 2" xfId="15989"/>
    <cellStyle name="Обычный 21 24 3 3 3" xfId="15990"/>
    <cellStyle name="Обычный 21 24 3 4" xfId="15991"/>
    <cellStyle name="Обычный 21 24 3 4 2" xfId="15992"/>
    <cellStyle name="Обычный 21 24 3 5" xfId="15993"/>
    <cellStyle name="Обычный 21 24 3 5 2" xfId="15994"/>
    <cellStyle name="Обычный 21 24 3 6" xfId="15995"/>
    <cellStyle name="Обычный 21 24 4" xfId="15996"/>
    <cellStyle name="Обычный 21 24 4 2" xfId="15997"/>
    <cellStyle name="Обычный 21 24 4 2 2" xfId="15998"/>
    <cellStyle name="Обычный 21 24 4 3" xfId="15999"/>
    <cellStyle name="Обычный 21 24 4 3 2" xfId="16000"/>
    <cellStyle name="Обычный 21 24 4 4" xfId="16001"/>
    <cellStyle name="Обычный 21 24 5" xfId="16002"/>
    <cellStyle name="Обычный 21 24 5 2" xfId="16003"/>
    <cellStyle name="Обычный 21 24 5 2 2" xfId="16004"/>
    <cellStyle name="Обычный 21 24 5 3" xfId="16005"/>
    <cellStyle name="Обычный 21 24 6" xfId="16006"/>
    <cellStyle name="Обычный 21 24 6 2" xfId="16007"/>
    <cellStyle name="Обычный 21 24 7" xfId="16008"/>
    <cellStyle name="Обычный 21 24 7 2" xfId="16009"/>
    <cellStyle name="Обычный 21 24 8" xfId="16010"/>
    <cellStyle name="Обычный 21 25" xfId="16011"/>
    <cellStyle name="Обычный 21 25 2" xfId="16012"/>
    <cellStyle name="Обычный 21 25 2 2" xfId="16013"/>
    <cellStyle name="Обычный 21 25 2 2 2" xfId="16014"/>
    <cellStyle name="Обычный 21 25 2 2 2 2" xfId="16015"/>
    <cellStyle name="Обычный 21 25 2 2 2 2 2" xfId="16016"/>
    <cellStyle name="Обычный 21 25 2 2 2 3" xfId="16017"/>
    <cellStyle name="Обычный 21 25 2 2 3" xfId="16018"/>
    <cellStyle name="Обычный 21 25 2 2 3 2" xfId="16019"/>
    <cellStyle name="Обычный 21 25 2 2 3 2 2" xfId="16020"/>
    <cellStyle name="Обычный 21 25 2 2 3 3" xfId="16021"/>
    <cellStyle name="Обычный 21 25 2 2 4" xfId="16022"/>
    <cellStyle name="Обычный 21 25 2 2 4 2" xfId="16023"/>
    <cellStyle name="Обычный 21 25 2 2 5" xfId="16024"/>
    <cellStyle name="Обычный 21 25 2 2 5 2" xfId="16025"/>
    <cellStyle name="Обычный 21 25 2 2 6" xfId="16026"/>
    <cellStyle name="Обычный 21 25 2 3" xfId="16027"/>
    <cellStyle name="Обычный 21 25 2 3 2" xfId="16028"/>
    <cellStyle name="Обычный 21 25 2 3 2 2" xfId="16029"/>
    <cellStyle name="Обычный 21 25 2 3 2 2 2" xfId="16030"/>
    <cellStyle name="Обычный 21 25 2 3 2 3" xfId="16031"/>
    <cellStyle name="Обычный 21 25 2 3 3" xfId="16032"/>
    <cellStyle name="Обычный 21 25 2 3 3 2" xfId="16033"/>
    <cellStyle name="Обычный 21 25 2 3 3 2 2" xfId="16034"/>
    <cellStyle name="Обычный 21 25 2 3 3 3" xfId="16035"/>
    <cellStyle name="Обычный 21 25 2 3 4" xfId="16036"/>
    <cellStyle name="Обычный 21 25 2 3 4 2" xfId="16037"/>
    <cellStyle name="Обычный 21 25 2 3 5" xfId="16038"/>
    <cellStyle name="Обычный 21 25 2 3 5 2" xfId="16039"/>
    <cellStyle name="Обычный 21 25 2 3 6" xfId="16040"/>
    <cellStyle name="Обычный 21 25 2 4" xfId="16041"/>
    <cellStyle name="Обычный 21 25 2 4 2" xfId="16042"/>
    <cellStyle name="Обычный 21 25 2 4 2 2" xfId="16043"/>
    <cellStyle name="Обычный 21 25 2 4 3" xfId="16044"/>
    <cellStyle name="Обычный 21 25 2 4 3 2" xfId="16045"/>
    <cellStyle name="Обычный 21 25 2 4 4" xfId="16046"/>
    <cellStyle name="Обычный 21 25 2 5" xfId="16047"/>
    <cellStyle name="Обычный 21 25 2 5 2" xfId="16048"/>
    <cellStyle name="Обычный 21 25 2 5 2 2" xfId="16049"/>
    <cellStyle name="Обычный 21 25 2 5 3" xfId="16050"/>
    <cellStyle name="Обычный 21 25 2 6" xfId="16051"/>
    <cellStyle name="Обычный 21 25 2 6 2" xfId="16052"/>
    <cellStyle name="Обычный 21 25 2 7" xfId="16053"/>
    <cellStyle name="Обычный 21 25 2 7 2" xfId="16054"/>
    <cellStyle name="Обычный 21 25 2 8" xfId="16055"/>
    <cellStyle name="Обычный 21 25 3" xfId="16056"/>
    <cellStyle name="Обычный 21 25 3 2" xfId="16057"/>
    <cellStyle name="Обычный 21 25 3 2 2" xfId="16058"/>
    <cellStyle name="Обычный 21 25 3 2 2 2" xfId="16059"/>
    <cellStyle name="Обычный 21 25 3 2 3" xfId="16060"/>
    <cellStyle name="Обычный 21 25 3 3" xfId="16061"/>
    <cellStyle name="Обычный 21 25 3 3 2" xfId="16062"/>
    <cellStyle name="Обычный 21 25 3 3 2 2" xfId="16063"/>
    <cellStyle name="Обычный 21 25 3 3 3" xfId="16064"/>
    <cellStyle name="Обычный 21 25 3 4" xfId="16065"/>
    <cellStyle name="Обычный 21 25 3 4 2" xfId="16066"/>
    <cellStyle name="Обычный 21 25 3 5" xfId="16067"/>
    <cellStyle name="Обычный 21 25 3 5 2" xfId="16068"/>
    <cellStyle name="Обычный 21 25 3 6" xfId="16069"/>
    <cellStyle name="Обычный 21 25 4" xfId="16070"/>
    <cellStyle name="Обычный 21 25 4 2" xfId="16071"/>
    <cellStyle name="Обычный 21 25 4 2 2" xfId="16072"/>
    <cellStyle name="Обычный 21 25 4 2 2 2" xfId="16073"/>
    <cellStyle name="Обычный 21 25 4 2 3" xfId="16074"/>
    <cellStyle name="Обычный 21 25 4 3" xfId="16075"/>
    <cellStyle name="Обычный 21 25 4 3 2" xfId="16076"/>
    <cellStyle name="Обычный 21 25 4 3 2 2" xfId="16077"/>
    <cellStyle name="Обычный 21 25 4 3 3" xfId="16078"/>
    <cellStyle name="Обычный 21 25 4 4" xfId="16079"/>
    <cellStyle name="Обычный 21 25 4 4 2" xfId="16080"/>
    <cellStyle name="Обычный 21 25 4 5" xfId="16081"/>
    <cellStyle name="Обычный 21 25 4 5 2" xfId="16082"/>
    <cellStyle name="Обычный 21 25 4 6" xfId="16083"/>
    <cellStyle name="Обычный 21 25 5" xfId="16084"/>
    <cellStyle name="Обычный 21 25 5 2" xfId="16085"/>
    <cellStyle name="Обычный 21 25 5 2 2" xfId="16086"/>
    <cellStyle name="Обычный 21 25 5 3" xfId="16087"/>
    <cellStyle name="Обычный 21 25 5 3 2" xfId="16088"/>
    <cellStyle name="Обычный 21 25 5 4" xfId="16089"/>
    <cellStyle name="Обычный 21 25 6" xfId="16090"/>
    <cellStyle name="Обычный 21 25 6 2" xfId="16091"/>
    <cellStyle name="Обычный 21 25 6 2 2" xfId="16092"/>
    <cellStyle name="Обычный 21 25 6 3" xfId="16093"/>
    <cellStyle name="Обычный 21 25 7" xfId="16094"/>
    <cellStyle name="Обычный 21 25 7 2" xfId="16095"/>
    <cellStyle name="Обычный 21 25 8" xfId="16096"/>
    <cellStyle name="Обычный 21 25 8 2" xfId="16097"/>
    <cellStyle name="Обычный 21 25 9" xfId="16098"/>
    <cellStyle name="Обычный 21 26" xfId="16099"/>
    <cellStyle name="Обычный 21 26 2" xfId="16100"/>
    <cellStyle name="Обычный 21 26 2 2" xfId="16101"/>
    <cellStyle name="Обычный 21 26 2 2 2" xfId="16102"/>
    <cellStyle name="Обычный 21 26 2 2 2 2" xfId="16103"/>
    <cellStyle name="Обычный 21 26 2 2 2 2 2" xfId="16104"/>
    <cellStyle name="Обычный 21 26 2 2 2 3" xfId="16105"/>
    <cellStyle name="Обычный 21 26 2 2 3" xfId="16106"/>
    <cellStyle name="Обычный 21 26 2 2 3 2" xfId="16107"/>
    <cellStyle name="Обычный 21 26 2 2 3 2 2" xfId="16108"/>
    <cellStyle name="Обычный 21 26 2 2 3 3" xfId="16109"/>
    <cellStyle name="Обычный 21 26 2 2 4" xfId="16110"/>
    <cellStyle name="Обычный 21 26 2 2 4 2" xfId="16111"/>
    <cellStyle name="Обычный 21 26 2 2 5" xfId="16112"/>
    <cellStyle name="Обычный 21 26 2 2 5 2" xfId="16113"/>
    <cellStyle name="Обычный 21 26 2 2 6" xfId="16114"/>
    <cellStyle name="Обычный 21 26 2 3" xfId="16115"/>
    <cellStyle name="Обычный 21 26 2 3 2" xfId="16116"/>
    <cellStyle name="Обычный 21 26 2 3 2 2" xfId="16117"/>
    <cellStyle name="Обычный 21 26 2 3 3" xfId="16118"/>
    <cellStyle name="Обычный 21 26 2 3 3 2" xfId="16119"/>
    <cellStyle name="Обычный 21 26 2 3 4" xfId="16120"/>
    <cellStyle name="Обычный 21 26 2 4" xfId="16121"/>
    <cellStyle name="Обычный 21 26 2 4 2" xfId="16122"/>
    <cellStyle name="Обычный 21 26 2 4 2 2" xfId="16123"/>
    <cellStyle name="Обычный 21 26 2 4 3" xfId="16124"/>
    <cellStyle name="Обычный 21 26 2 5" xfId="16125"/>
    <cellStyle name="Обычный 21 26 2 5 2" xfId="16126"/>
    <cellStyle name="Обычный 21 26 2 6" xfId="16127"/>
    <cellStyle name="Обычный 21 26 2 6 2" xfId="16128"/>
    <cellStyle name="Обычный 21 26 2 7" xfId="16129"/>
    <cellStyle name="Обычный 21 26 3" xfId="16130"/>
    <cellStyle name="Обычный 21 26 3 2" xfId="16131"/>
    <cellStyle name="Обычный 21 26 3 2 2" xfId="16132"/>
    <cellStyle name="Обычный 21 26 3 2 2 2" xfId="16133"/>
    <cellStyle name="Обычный 21 26 3 2 3" xfId="16134"/>
    <cellStyle name="Обычный 21 26 3 3" xfId="16135"/>
    <cellStyle name="Обычный 21 26 3 3 2" xfId="16136"/>
    <cellStyle name="Обычный 21 26 3 3 2 2" xfId="16137"/>
    <cellStyle name="Обычный 21 26 3 3 3" xfId="16138"/>
    <cellStyle name="Обычный 21 26 3 4" xfId="16139"/>
    <cellStyle name="Обычный 21 26 3 4 2" xfId="16140"/>
    <cellStyle name="Обычный 21 26 3 5" xfId="16141"/>
    <cellStyle name="Обычный 21 26 3 5 2" xfId="16142"/>
    <cellStyle name="Обычный 21 26 3 6" xfId="16143"/>
    <cellStyle name="Обычный 21 26 4" xfId="16144"/>
    <cellStyle name="Обычный 21 26 4 2" xfId="16145"/>
    <cellStyle name="Обычный 21 26 4 2 2" xfId="16146"/>
    <cellStyle name="Обычный 21 26 4 3" xfId="16147"/>
    <cellStyle name="Обычный 21 26 4 3 2" xfId="16148"/>
    <cellStyle name="Обычный 21 26 4 4" xfId="16149"/>
    <cellStyle name="Обычный 21 26 5" xfId="16150"/>
    <cellStyle name="Обычный 21 26 5 2" xfId="16151"/>
    <cellStyle name="Обычный 21 26 5 2 2" xfId="16152"/>
    <cellStyle name="Обычный 21 26 5 3" xfId="16153"/>
    <cellStyle name="Обычный 21 26 6" xfId="16154"/>
    <cellStyle name="Обычный 21 26 6 2" xfId="16155"/>
    <cellStyle name="Обычный 21 26 7" xfId="16156"/>
    <cellStyle name="Обычный 21 26 7 2" xfId="16157"/>
    <cellStyle name="Обычный 21 26 8" xfId="16158"/>
    <cellStyle name="Обычный 21 27" xfId="16159"/>
    <cellStyle name="Обычный 21 27 2" xfId="16160"/>
    <cellStyle name="Обычный 21 27 2 2" xfId="16161"/>
    <cellStyle name="Обычный 21 27 2 2 2" xfId="16162"/>
    <cellStyle name="Обычный 21 27 2 2 2 2" xfId="16163"/>
    <cellStyle name="Обычный 21 27 2 2 2 2 2" xfId="16164"/>
    <cellStyle name="Обычный 21 27 2 2 2 3" xfId="16165"/>
    <cellStyle name="Обычный 21 27 2 2 3" xfId="16166"/>
    <cellStyle name="Обычный 21 27 2 2 3 2" xfId="16167"/>
    <cellStyle name="Обычный 21 27 2 2 3 2 2" xfId="16168"/>
    <cellStyle name="Обычный 21 27 2 2 3 3" xfId="16169"/>
    <cellStyle name="Обычный 21 27 2 2 4" xfId="16170"/>
    <cellStyle name="Обычный 21 27 2 2 4 2" xfId="16171"/>
    <cellStyle name="Обычный 21 27 2 2 5" xfId="16172"/>
    <cellStyle name="Обычный 21 27 2 2 5 2" xfId="16173"/>
    <cellStyle name="Обычный 21 27 2 2 6" xfId="16174"/>
    <cellStyle name="Обычный 21 27 2 3" xfId="16175"/>
    <cellStyle name="Обычный 21 27 2 3 2" xfId="16176"/>
    <cellStyle name="Обычный 21 27 2 3 2 2" xfId="16177"/>
    <cellStyle name="Обычный 21 27 2 3 3" xfId="16178"/>
    <cellStyle name="Обычный 21 27 2 3 3 2" xfId="16179"/>
    <cellStyle name="Обычный 21 27 2 3 4" xfId="16180"/>
    <cellStyle name="Обычный 21 27 2 4" xfId="16181"/>
    <cellStyle name="Обычный 21 27 2 4 2" xfId="16182"/>
    <cellStyle name="Обычный 21 27 2 4 2 2" xfId="16183"/>
    <cellStyle name="Обычный 21 27 2 4 3" xfId="16184"/>
    <cellStyle name="Обычный 21 27 2 5" xfId="16185"/>
    <cellStyle name="Обычный 21 27 2 5 2" xfId="16186"/>
    <cellStyle name="Обычный 21 27 2 6" xfId="16187"/>
    <cellStyle name="Обычный 21 27 2 6 2" xfId="16188"/>
    <cellStyle name="Обычный 21 27 2 7" xfId="16189"/>
    <cellStyle name="Обычный 21 27 3" xfId="16190"/>
    <cellStyle name="Обычный 21 27 3 10" xfId="16191"/>
    <cellStyle name="Обычный 21 27 3 2" xfId="16192"/>
    <cellStyle name="Обычный 21 27 3 2 2" xfId="16193"/>
    <cellStyle name="Обычный 21 27 3 2 2 2" xfId="16194"/>
    <cellStyle name="Обычный 21 27 3 2 2 2 2" xfId="16195"/>
    <cellStyle name="Обычный 21 27 3 2 2 2 2 2" xfId="16196"/>
    <cellStyle name="Обычный 21 27 3 2 2 2 3" xfId="16197"/>
    <cellStyle name="Обычный 21 27 3 2 2 3" xfId="16198"/>
    <cellStyle name="Обычный 21 27 3 2 2 3 2" xfId="16199"/>
    <cellStyle name="Обычный 21 27 3 2 2 3 2 2" xfId="16200"/>
    <cellStyle name="Обычный 21 27 3 2 2 3 3" xfId="16201"/>
    <cellStyle name="Обычный 21 27 3 2 2 4" xfId="16202"/>
    <cellStyle name="Обычный 21 27 3 2 2 4 2" xfId="16203"/>
    <cellStyle name="Обычный 21 27 3 2 2 5" xfId="16204"/>
    <cellStyle name="Обычный 21 27 3 2 2 5 2" xfId="16205"/>
    <cellStyle name="Обычный 21 27 3 2 2 6" xfId="16206"/>
    <cellStyle name="Обычный 21 27 3 2 3" xfId="16207"/>
    <cellStyle name="Обычный 21 27 3 2 3 2" xfId="16208"/>
    <cellStyle name="Обычный 21 27 3 2 3 2 2" xfId="16209"/>
    <cellStyle name="Обычный 21 27 3 2 3 3" xfId="16210"/>
    <cellStyle name="Обычный 21 27 3 2 4" xfId="16211"/>
    <cellStyle name="Обычный 21 27 3 2 4 2" xfId="16212"/>
    <cellStyle name="Обычный 21 27 3 2 4 2 2" xfId="16213"/>
    <cellStyle name="Обычный 21 27 3 2 4 3" xfId="16214"/>
    <cellStyle name="Обычный 21 27 3 2 5" xfId="16215"/>
    <cellStyle name="Обычный 21 27 3 2 5 2" xfId="16216"/>
    <cellStyle name="Обычный 21 27 3 2 6" xfId="16217"/>
    <cellStyle name="Обычный 21 27 3 2 6 2" xfId="16218"/>
    <cellStyle name="Обычный 21 27 3 2 7" xfId="16219"/>
    <cellStyle name="Обычный 21 27 3 3" xfId="16220"/>
    <cellStyle name="Обычный 21 27 3 3 2" xfId="16221"/>
    <cellStyle name="Обычный 21 27 3 3 2 2" xfId="16222"/>
    <cellStyle name="Обычный 21 27 3 3 2 2 2" xfId="16223"/>
    <cellStyle name="Обычный 21 27 3 3 2 3" xfId="16224"/>
    <cellStyle name="Обычный 21 27 3 3 3" xfId="16225"/>
    <cellStyle name="Обычный 21 27 3 3 3 2" xfId="16226"/>
    <cellStyle name="Обычный 21 27 3 3 3 2 2" xfId="16227"/>
    <cellStyle name="Обычный 21 27 3 3 3 3" xfId="16228"/>
    <cellStyle name="Обычный 21 27 3 3 4" xfId="16229"/>
    <cellStyle name="Обычный 21 27 3 3 4 2" xfId="16230"/>
    <cellStyle name="Обычный 21 27 3 3 5" xfId="16231"/>
    <cellStyle name="Обычный 21 27 3 3 5 2" xfId="16232"/>
    <cellStyle name="Обычный 21 27 3 3 6" xfId="16233"/>
    <cellStyle name="Обычный 21 27 3 4" xfId="16234"/>
    <cellStyle name="Обычный 21 27 3 4 2" xfId="16235"/>
    <cellStyle name="Обычный 21 27 3 4 2 2" xfId="16236"/>
    <cellStyle name="Обычный 21 27 3 4 2 2 2" xfId="16237"/>
    <cellStyle name="Обычный 21 27 3 4 2 3" xfId="16238"/>
    <cellStyle name="Обычный 21 27 3 4 3" xfId="16239"/>
    <cellStyle name="Обычный 21 27 3 4 3 2" xfId="16240"/>
    <cellStyle name="Обычный 21 27 3 4 3 2 2" xfId="16241"/>
    <cellStyle name="Обычный 21 27 3 4 3 3" xfId="16242"/>
    <cellStyle name="Обычный 21 27 3 4 4" xfId="16243"/>
    <cellStyle name="Обычный 21 27 3 4 4 2" xfId="16244"/>
    <cellStyle name="Обычный 21 27 3 4 5" xfId="16245"/>
    <cellStyle name="Обычный 21 27 3 4 5 2" xfId="16246"/>
    <cellStyle name="Обычный 21 27 3 4 6" xfId="16247"/>
    <cellStyle name="Обычный 21 27 3 5" xfId="16248"/>
    <cellStyle name="Обычный 21 27 3 5 2" xfId="16249"/>
    <cellStyle name="Обычный 21 27 3 5 2 2" xfId="16250"/>
    <cellStyle name="Обычный 21 27 3 5 2 2 2" xfId="16251"/>
    <cellStyle name="Обычный 21 27 3 5 2 3" xfId="16252"/>
    <cellStyle name="Обычный 21 27 3 5 3" xfId="16253"/>
    <cellStyle name="Обычный 21 27 3 5 3 2" xfId="16254"/>
    <cellStyle name="Обычный 21 27 3 5 3 2 2" xfId="16255"/>
    <cellStyle name="Обычный 21 27 3 5 3 3" xfId="16256"/>
    <cellStyle name="Обычный 21 27 3 5 4" xfId="16257"/>
    <cellStyle name="Обычный 21 27 3 5 4 2" xfId="16258"/>
    <cellStyle name="Обычный 21 27 3 5 5" xfId="16259"/>
    <cellStyle name="Обычный 21 27 3 6" xfId="16260"/>
    <cellStyle name="Обычный 21 27 3 6 2" xfId="16261"/>
    <cellStyle name="Обычный 21 27 3 6 2 2" xfId="16262"/>
    <cellStyle name="Обычный 21 27 3 6 3" xfId="16263"/>
    <cellStyle name="Обычный 21 27 3 7" xfId="16264"/>
    <cellStyle name="Обычный 21 27 3 7 2" xfId="16265"/>
    <cellStyle name="Обычный 21 27 3 7 2 2" xfId="16266"/>
    <cellStyle name="Обычный 21 27 3 7 3" xfId="16267"/>
    <cellStyle name="Обычный 21 27 3 8" xfId="16268"/>
    <cellStyle name="Обычный 21 27 3 8 2" xfId="16269"/>
    <cellStyle name="Обычный 21 27 3 9" xfId="16270"/>
    <cellStyle name="Обычный 21 27 3 9 2" xfId="16271"/>
    <cellStyle name="Обычный 21 27 4" xfId="16272"/>
    <cellStyle name="Обычный 21 27 4 2" xfId="16273"/>
    <cellStyle name="Обычный 21 27 4 2 2" xfId="16274"/>
    <cellStyle name="Обычный 21 27 4 2 2 2" xfId="16275"/>
    <cellStyle name="Обычный 21 27 4 2 3" xfId="16276"/>
    <cellStyle name="Обычный 21 27 4 3" xfId="16277"/>
    <cellStyle name="Обычный 21 27 4 3 2" xfId="16278"/>
    <cellStyle name="Обычный 21 27 4 3 2 2" xfId="16279"/>
    <cellStyle name="Обычный 21 27 4 3 3" xfId="16280"/>
    <cellStyle name="Обычный 21 27 4 4" xfId="16281"/>
    <cellStyle name="Обычный 21 27 4 4 2" xfId="16282"/>
    <cellStyle name="Обычный 21 27 4 5" xfId="16283"/>
    <cellStyle name="Обычный 21 27 4 5 2" xfId="16284"/>
    <cellStyle name="Обычный 21 27 4 6" xfId="16285"/>
    <cellStyle name="Обычный 21 27 5" xfId="16286"/>
    <cellStyle name="Обычный 21 27 5 2" xfId="16287"/>
    <cellStyle name="Обычный 21 27 5 2 2" xfId="16288"/>
    <cellStyle name="Обычный 21 27 5 3" xfId="16289"/>
    <cellStyle name="Обычный 21 27 5 3 2" xfId="16290"/>
    <cellStyle name="Обычный 21 27 5 4" xfId="16291"/>
    <cellStyle name="Обычный 21 27 6" xfId="16292"/>
    <cellStyle name="Обычный 21 27 6 2" xfId="16293"/>
    <cellStyle name="Обычный 21 27 6 2 2" xfId="16294"/>
    <cellStyle name="Обычный 21 27 6 3" xfId="16295"/>
    <cellStyle name="Обычный 21 27 7" xfId="16296"/>
    <cellStyle name="Обычный 21 27 7 2" xfId="16297"/>
    <cellStyle name="Обычный 21 27 8" xfId="16298"/>
    <cellStyle name="Обычный 21 27 8 2" xfId="16299"/>
    <cellStyle name="Обычный 21 27 9" xfId="16300"/>
    <cellStyle name="Обычный 21 28" xfId="16301"/>
    <cellStyle name="Обычный 21 28 2" xfId="16302"/>
    <cellStyle name="Обычный 21 28 2 2" xfId="16303"/>
    <cellStyle name="Обычный 21 28 2 2 2" xfId="16304"/>
    <cellStyle name="Обычный 21 28 2 2 2 2" xfId="16305"/>
    <cellStyle name="Обычный 21 28 2 2 3" xfId="16306"/>
    <cellStyle name="Обычный 21 28 2 2 3 2" xfId="16307"/>
    <cellStyle name="Обычный 21 28 2 2 4" xfId="16308"/>
    <cellStyle name="Обычный 21 28 2 3" xfId="16309"/>
    <cellStyle name="Обычный 21 28 2 3 2" xfId="16310"/>
    <cellStyle name="Обычный 21 28 2 3 2 2" xfId="16311"/>
    <cellStyle name="Обычный 21 28 2 3 3" xfId="16312"/>
    <cellStyle name="Обычный 21 28 2 4" xfId="16313"/>
    <cellStyle name="Обычный 21 28 2 4 2" xfId="16314"/>
    <cellStyle name="Обычный 21 28 2 5" xfId="16315"/>
    <cellStyle name="Обычный 21 28 2 5 2" xfId="16316"/>
    <cellStyle name="Обычный 21 28 2 6" xfId="16317"/>
    <cellStyle name="Обычный 21 28 3" xfId="16318"/>
    <cellStyle name="Обычный 21 28 3 2" xfId="16319"/>
    <cellStyle name="Обычный 21 28 3 2 2" xfId="16320"/>
    <cellStyle name="Обычный 21 28 3 2 2 2" xfId="16321"/>
    <cellStyle name="Обычный 21 28 3 2 3" xfId="16322"/>
    <cellStyle name="Обычный 21 28 3 3" xfId="16323"/>
    <cellStyle name="Обычный 21 28 3 3 2" xfId="16324"/>
    <cellStyle name="Обычный 21 28 3 3 2 2" xfId="16325"/>
    <cellStyle name="Обычный 21 28 3 3 3" xfId="16326"/>
    <cellStyle name="Обычный 21 28 3 4" xfId="16327"/>
    <cellStyle name="Обычный 21 28 3 4 2" xfId="16328"/>
    <cellStyle name="Обычный 21 28 3 5" xfId="16329"/>
    <cellStyle name="Обычный 21 28 3 5 2" xfId="16330"/>
    <cellStyle name="Обычный 21 28 3 6" xfId="16331"/>
    <cellStyle name="Обычный 21 28 4" xfId="16332"/>
    <cellStyle name="Обычный 21 28 4 2" xfId="16333"/>
    <cellStyle name="Обычный 21 28 4 2 2" xfId="16334"/>
    <cellStyle name="Обычный 21 28 4 3" xfId="16335"/>
    <cellStyle name="Обычный 21 28 4 3 2" xfId="16336"/>
    <cellStyle name="Обычный 21 28 4 4" xfId="16337"/>
    <cellStyle name="Обычный 21 28 5" xfId="16338"/>
    <cellStyle name="Обычный 21 28 5 2" xfId="16339"/>
    <cellStyle name="Обычный 21 28 5 2 2" xfId="16340"/>
    <cellStyle name="Обычный 21 28 5 3" xfId="16341"/>
    <cellStyle name="Обычный 21 28 6" xfId="16342"/>
    <cellStyle name="Обычный 21 28 6 2" xfId="16343"/>
    <cellStyle name="Обычный 21 28 7" xfId="16344"/>
    <cellStyle name="Обычный 21 28 7 2" xfId="16345"/>
    <cellStyle name="Обычный 21 28 8" xfId="16346"/>
    <cellStyle name="Обычный 21 29" xfId="16347"/>
    <cellStyle name="Обычный 21 29 2" xfId="16348"/>
    <cellStyle name="Обычный 21 29 2 2" xfId="16349"/>
    <cellStyle name="Обычный 21 29 2 2 2" xfId="16350"/>
    <cellStyle name="Обычный 21 29 2 2 2 2" xfId="16351"/>
    <cellStyle name="Обычный 21 29 2 2 3" xfId="16352"/>
    <cellStyle name="Обычный 21 29 2 2 3 2" xfId="16353"/>
    <cellStyle name="Обычный 21 29 2 2 4" xfId="16354"/>
    <cellStyle name="Обычный 21 29 2 3" xfId="16355"/>
    <cellStyle name="Обычный 21 29 2 3 2" xfId="16356"/>
    <cellStyle name="Обычный 21 29 2 3 2 2" xfId="16357"/>
    <cellStyle name="Обычный 21 29 2 3 3" xfId="16358"/>
    <cellStyle name="Обычный 21 29 2 4" xfId="16359"/>
    <cellStyle name="Обычный 21 29 2 4 2" xfId="16360"/>
    <cellStyle name="Обычный 21 29 2 5" xfId="16361"/>
    <cellStyle name="Обычный 21 29 2 5 2" xfId="16362"/>
    <cellStyle name="Обычный 21 29 2 6" xfId="16363"/>
    <cellStyle name="Обычный 21 29 3" xfId="16364"/>
    <cellStyle name="Обычный 21 29 3 2" xfId="16365"/>
    <cellStyle name="Обычный 21 29 3 2 2" xfId="16366"/>
    <cellStyle name="Обычный 21 29 3 2 2 2" xfId="16367"/>
    <cellStyle name="Обычный 21 29 3 2 3" xfId="16368"/>
    <cellStyle name="Обычный 21 29 3 3" xfId="16369"/>
    <cellStyle name="Обычный 21 29 3 3 2" xfId="16370"/>
    <cellStyle name="Обычный 21 29 3 3 2 2" xfId="16371"/>
    <cellStyle name="Обычный 21 29 3 3 3" xfId="16372"/>
    <cellStyle name="Обычный 21 29 3 4" xfId="16373"/>
    <cellStyle name="Обычный 21 29 3 4 2" xfId="16374"/>
    <cellStyle name="Обычный 21 29 3 5" xfId="16375"/>
    <cellStyle name="Обычный 21 29 3 5 2" xfId="16376"/>
    <cellStyle name="Обычный 21 29 3 6" xfId="16377"/>
    <cellStyle name="Обычный 21 29 4" xfId="16378"/>
    <cellStyle name="Обычный 21 29 4 2" xfId="16379"/>
    <cellStyle name="Обычный 21 29 4 2 2" xfId="16380"/>
    <cellStyle name="Обычный 21 29 4 3" xfId="16381"/>
    <cellStyle name="Обычный 21 29 4 3 2" xfId="16382"/>
    <cellStyle name="Обычный 21 29 4 4" xfId="16383"/>
    <cellStyle name="Обычный 21 29 5" xfId="16384"/>
    <cellStyle name="Обычный 21 29 5 2" xfId="16385"/>
    <cellStyle name="Обычный 21 29 5 2 2" xfId="16386"/>
    <cellStyle name="Обычный 21 29 5 3" xfId="16387"/>
    <cellStyle name="Обычный 21 29 6" xfId="16388"/>
    <cellStyle name="Обычный 21 29 6 2" xfId="16389"/>
    <cellStyle name="Обычный 21 29 7" xfId="16390"/>
    <cellStyle name="Обычный 21 29 7 2" xfId="16391"/>
    <cellStyle name="Обычный 21 29 8" xfId="16392"/>
    <cellStyle name="Обычный 21 3" xfId="16393"/>
    <cellStyle name="Обычный 21 3 10" xfId="16394"/>
    <cellStyle name="Обычный 21 3 10 2" xfId="16395"/>
    <cellStyle name="Обычный 21 3 10 2 2" xfId="16396"/>
    <cellStyle name="Обычный 21 3 10 2 2 2" xfId="16397"/>
    <cellStyle name="Обычный 21 3 10 2 3" xfId="16398"/>
    <cellStyle name="Обычный 21 3 10 3" xfId="16399"/>
    <cellStyle name="Обычный 21 3 10 3 2" xfId="16400"/>
    <cellStyle name="Обычный 21 3 10 3 2 2" xfId="16401"/>
    <cellStyle name="Обычный 21 3 10 3 3" xfId="16402"/>
    <cellStyle name="Обычный 21 3 10 4" xfId="16403"/>
    <cellStyle name="Обычный 21 3 10 4 2" xfId="16404"/>
    <cellStyle name="Обычный 21 3 10 5" xfId="16405"/>
    <cellStyle name="Обычный 21 3 10 5 2" xfId="16406"/>
    <cellStyle name="Обычный 21 3 10 6" xfId="16407"/>
    <cellStyle name="Обычный 21 3 11" xfId="16408"/>
    <cellStyle name="Обычный 21 3 11 2" xfId="16409"/>
    <cellStyle name="Обычный 21 3 11 2 2" xfId="16410"/>
    <cellStyle name="Обычный 21 3 11 2 2 2" xfId="16411"/>
    <cellStyle name="Обычный 21 3 11 2 3" xfId="16412"/>
    <cellStyle name="Обычный 21 3 11 3" xfId="16413"/>
    <cellStyle name="Обычный 21 3 11 3 2" xfId="16414"/>
    <cellStyle name="Обычный 21 3 11 3 2 2" xfId="16415"/>
    <cellStyle name="Обычный 21 3 11 3 3" xfId="16416"/>
    <cellStyle name="Обычный 21 3 11 4" xfId="16417"/>
    <cellStyle name="Обычный 21 3 11 4 2" xfId="16418"/>
    <cellStyle name="Обычный 21 3 11 5" xfId="16419"/>
    <cellStyle name="Обычный 21 3 11 5 2" xfId="16420"/>
    <cellStyle name="Обычный 21 3 11 6" xfId="16421"/>
    <cellStyle name="Обычный 21 3 12" xfId="16422"/>
    <cellStyle name="Обычный 21 3 12 2" xfId="16423"/>
    <cellStyle name="Обычный 21 3 12 2 2" xfId="16424"/>
    <cellStyle name="Обычный 21 3 12 2 2 2" xfId="16425"/>
    <cellStyle name="Обычный 21 3 12 2 3" xfId="16426"/>
    <cellStyle name="Обычный 21 3 12 3" xfId="16427"/>
    <cellStyle name="Обычный 21 3 12 3 2" xfId="16428"/>
    <cellStyle name="Обычный 21 3 12 3 2 2" xfId="16429"/>
    <cellStyle name="Обычный 21 3 12 3 3" xfId="16430"/>
    <cellStyle name="Обычный 21 3 12 4" xfId="16431"/>
    <cellStyle name="Обычный 21 3 12 4 2" xfId="16432"/>
    <cellStyle name="Обычный 21 3 12 5" xfId="16433"/>
    <cellStyle name="Обычный 21 3 12 5 2" xfId="16434"/>
    <cellStyle name="Обычный 21 3 12 6" xfId="16435"/>
    <cellStyle name="Обычный 21 3 13" xfId="16436"/>
    <cellStyle name="Обычный 21 3 13 2" xfId="16437"/>
    <cellStyle name="Обычный 21 3 13 2 2" xfId="16438"/>
    <cellStyle name="Обычный 21 3 13 2 2 2" xfId="16439"/>
    <cellStyle name="Обычный 21 3 13 2 3" xfId="16440"/>
    <cellStyle name="Обычный 21 3 13 3" xfId="16441"/>
    <cellStyle name="Обычный 21 3 13 3 2" xfId="16442"/>
    <cellStyle name="Обычный 21 3 13 3 2 2" xfId="16443"/>
    <cellStyle name="Обычный 21 3 13 3 3" xfId="16444"/>
    <cellStyle name="Обычный 21 3 13 4" xfId="16445"/>
    <cellStyle name="Обычный 21 3 13 4 2" xfId="16446"/>
    <cellStyle name="Обычный 21 3 13 5" xfId="16447"/>
    <cellStyle name="Обычный 21 3 13 5 2" xfId="16448"/>
    <cellStyle name="Обычный 21 3 13 6" xfId="16449"/>
    <cellStyle name="Обычный 21 3 14" xfId="16450"/>
    <cellStyle name="Обычный 21 3 14 2" xfId="16451"/>
    <cellStyle name="Обычный 21 3 14 2 2" xfId="16452"/>
    <cellStyle name="Обычный 21 3 14 2 2 2" xfId="16453"/>
    <cellStyle name="Обычный 21 3 14 2 3" xfId="16454"/>
    <cellStyle name="Обычный 21 3 14 3" xfId="16455"/>
    <cellStyle name="Обычный 21 3 14 3 2" xfId="16456"/>
    <cellStyle name="Обычный 21 3 14 3 2 2" xfId="16457"/>
    <cellStyle name="Обычный 21 3 14 3 3" xfId="16458"/>
    <cellStyle name="Обычный 21 3 14 4" xfId="16459"/>
    <cellStyle name="Обычный 21 3 14 4 2" xfId="16460"/>
    <cellStyle name="Обычный 21 3 14 5" xfId="16461"/>
    <cellStyle name="Обычный 21 3 14 5 2" xfId="16462"/>
    <cellStyle name="Обычный 21 3 14 6" xfId="16463"/>
    <cellStyle name="Обычный 21 3 15" xfId="16464"/>
    <cellStyle name="Обычный 21 3 15 2" xfId="16465"/>
    <cellStyle name="Обычный 21 3 15 2 2" xfId="16466"/>
    <cellStyle name="Обычный 21 3 15 2 2 2" xfId="16467"/>
    <cellStyle name="Обычный 21 3 15 2 3" xfId="16468"/>
    <cellStyle name="Обычный 21 3 15 3" xfId="16469"/>
    <cellStyle name="Обычный 21 3 15 3 2" xfId="16470"/>
    <cellStyle name="Обычный 21 3 15 3 2 2" xfId="16471"/>
    <cellStyle name="Обычный 21 3 15 3 3" xfId="16472"/>
    <cellStyle name="Обычный 21 3 15 4" xfId="16473"/>
    <cellStyle name="Обычный 21 3 15 4 2" xfId="16474"/>
    <cellStyle name="Обычный 21 3 15 5" xfId="16475"/>
    <cellStyle name="Обычный 21 3 15 5 2" xfId="16476"/>
    <cellStyle name="Обычный 21 3 15 6" xfId="16477"/>
    <cellStyle name="Обычный 21 3 16" xfId="16478"/>
    <cellStyle name="Обычный 21 3 16 2" xfId="16479"/>
    <cellStyle name="Обычный 21 3 16 2 2" xfId="16480"/>
    <cellStyle name="Обычный 21 3 16 2 2 2" xfId="16481"/>
    <cellStyle name="Обычный 21 3 16 2 3" xfId="16482"/>
    <cellStyle name="Обычный 21 3 16 3" xfId="16483"/>
    <cellStyle name="Обычный 21 3 16 3 2" xfId="16484"/>
    <cellStyle name="Обычный 21 3 16 3 2 2" xfId="16485"/>
    <cellStyle name="Обычный 21 3 16 3 3" xfId="16486"/>
    <cellStyle name="Обычный 21 3 16 4" xfId="16487"/>
    <cellStyle name="Обычный 21 3 16 4 2" xfId="16488"/>
    <cellStyle name="Обычный 21 3 16 5" xfId="16489"/>
    <cellStyle name="Обычный 21 3 16 5 2" xfId="16490"/>
    <cellStyle name="Обычный 21 3 16 6" xfId="16491"/>
    <cellStyle name="Обычный 21 3 17" xfId="16492"/>
    <cellStyle name="Обычный 21 3 17 2" xfId="16493"/>
    <cellStyle name="Обычный 21 3 17 2 2" xfId="16494"/>
    <cellStyle name="Обычный 21 3 17 2 2 2" xfId="16495"/>
    <cellStyle name="Обычный 21 3 17 2 3" xfId="16496"/>
    <cellStyle name="Обычный 21 3 17 3" xfId="16497"/>
    <cellStyle name="Обычный 21 3 17 3 2" xfId="16498"/>
    <cellStyle name="Обычный 21 3 17 3 2 2" xfId="16499"/>
    <cellStyle name="Обычный 21 3 17 3 3" xfId="16500"/>
    <cellStyle name="Обычный 21 3 17 4" xfId="16501"/>
    <cellStyle name="Обычный 21 3 17 4 2" xfId="16502"/>
    <cellStyle name="Обычный 21 3 17 5" xfId="16503"/>
    <cellStyle name="Обычный 21 3 17 5 2" xfId="16504"/>
    <cellStyle name="Обычный 21 3 17 6" xfId="16505"/>
    <cellStyle name="Обычный 21 3 18" xfId="16506"/>
    <cellStyle name="Обычный 21 3 18 2" xfId="16507"/>
    <cellStyle name="Обычный 21 3 18 2 2" xfId="16508"/>
    <cellStyle name="Обычный 21 3 18 3" xfId="16509"/>
    <cellStyle name="Обычный 21 3 18 3 2" xfId="16510"/>
    <cellStyle name="Обычный 21 3 18 4" xfId="16511"/>
    <cellStyle name="Обычный 21 3 19" xfId="16512"/>
    <cellStyle name="Обычный 21 3 19 2" xfId="16513"/>
    <cellStyle name="Обычный 21 3 19 2 2" xfId="16514"/>
    <cellStyle name="Обычный 21 3 19 3" xfId="16515"/>
    <cellStyle name="Обычный 21 3 2" xfId="16516"/>
    <cellStyle name="Обычный 21 3 2 10" xfId="16517"/>
    <cellStyle name="Обычный 21 3 2 2" xfId="16518"/>
    <cellStyle name="Обычный 21 3 2 2 2" xfId="16519"/>
    <cellStyle name="Обычный 21 3 2 2 2 2" xfId="16520"/>
    <cellStyle name="Обычный 21 3 2 2 2 2 2" xfId="16521"/>
    <cellStyle name="Обычный 21 3 2 2 2 2 2 2" xfId="16522"/>
    <cellStyle name="Обычный 21 3 2 2 2 2 3" xfId="16523"/>
    <cellStyle name="Обычный 21 3 2 2 2 3" xfId="16524"/>
    <cellStyle name="Обычный 21 3 2 2 2 3 2" xfId="16525"/>
    <cellStyle name="Обычный 21 3 2 2 2 3 2 2" xfId="16526"/>
    <cellStyle name="Обычный 21 3 2 2 2 3 3" xfId="16527"/>
    <cellStyle name="Обычный 21 3 2 2 2 4" xfId="16528"/>
    <cellStyle name="Обычный 21 3 2 2 2 4 2" xfId="16529"/>
    <cellStyle name="Обычный 21 3 2 2 2 5" xfId="16530"/>
    <cellStyle name="Обычный 21 3 2 2 2 5 2" xfId="16531"/>
    <cellStyle name="Обычный 21 3 2 2 2 6" xfId="16532"/>
    <cellStyle name="Обычный 21 3 2 2 3" xfId="16533"/>
    <cellStyle name="Обычный 21 3 2 2 3 2" xfId="16534"/>
    <cellStyle name="Обычный 21 3 2 2 3 2 2" xfId="16535"/>
    <cellStyle name="Обычный 21 3 2 2 3 2 2 2" xfId="16536"/>
    <cellStyle name="Обычный 21 3 2 2 3 2 3" xfId="16537"/>
    <cellStyle name="Обычный 21 3 2 2 3 3" xfId="16538"/>
    <cellStyle name="Обычный 21 3 2 2 3 3 2" xfId="16539"/>
    <cellStyle name="Обычный 21 3 2 2 3 3 2 2" xfId="16540"/>
    <cellStyle name="Обычный 21 3 2 2 3 3 3" xfId="16541"/>
    <cellStyle name="Обычный 21 3 2 2 3 4" xfId="16542"/>
    <cellStyle name="Обычный 21 3 2 2 3 4 2" xfId="16543"/>
    <cellStyle name="Обычный 21 3 2 2 3 5" xfId="16544"/>
    <cellStyle name="Обычный 21 3 2 2 3 5 2" xfId="16545"/>
    <cellStyle name="Обычный 21 3 2 2 3 6" xfId="16546"/>
    <cellStyle name="Обычный 21 3 2 2 4" xfId="16547"/>
    <cellStyle name="Обычный 21 3 2 2 4 2" xfId="16548"/>
    <cellStyle name="Обычный 21 3 2 2 4 2 2" xfId="16549"/>
    <cellStyle name="Обычный 21 3 2 2 4 3" xfId="16550"/>
    <cellStyle name="Обычный 21 3 2 2 5" xfId="16551"/>
    <cellStyle name="Обычный 21 3 2 2 5 2" xfId="16552"/>
    <cellStyle name="Обычный 21 3 2 2 5 2 2" xfId="16553"/>
    <cellStyle name="Обычный 21 3 2 2 5 3" xfId="16554"/>
    <cellStyle name="Обычный 21 3 2 2 6" xfId="16555"/>
    <cellStyle name="Обычный 21 3 2 2 6 2" xfId="16556"/>
    <cellStyle name="Обычный 21 3 2 2 7" xfId="16557"/>
    <cellStyle name="Обычный 21 3 2 2 7 2" xfId="16558"/>
    <cellStyle name="Обычный 21 3 2 2 8" xfId="16559"/>
    <cellStyle name="Обычный 21 3 2 3" xfId="16560"/>
    <cellStyle name="Обычный 21 3 2 3 2" xfId="16561"/>
    <cellStyle name="Обычный 21 3 2 3 2 2" xfId="16562"/>
    <cellStyle name="Обычный 21 3 2 3 2 2 2" xfId="16563"/>
    <cellStyle name="Обычный 21 3 2 3 2 3" xfId="16564"/>
    <cellStyle name="Обычный 21 3 2 3 2 3 2" xfId="16565"/>
    <cellStyle name="Обычный 21 3 2 3 2 4" xfId="16566"/>
    <cellStyle name="Обычный 21 3 2 3 3" xfId="16567"/>
    <cellStyle name="Обычный 21 3 2 3 3 2" xfId="16568"/>
    <cellStyle name="Обычный 21 3 2 3 3 2 2" xfId="16569"/>
    <cellStyle name="Обычный 21 3 2 3 3 3" xfId="16570"/>
    <cellStyle name="Обычный 21 3 2 3 4" xfId="16571"/>
    <cellStyle name="Обычный 21 3 2 3 4 2" xfId="16572"/>
    <cellStyle name="Обычный 21 3 2 3 5" xfId="16573"/>
    <cellStyle name="Обычный 21 3 2 3 5 2" xfId="16574"/>
    <cellStyle name="Обычный 21 3 2 3 6" xfId="16575"/>
    <cellStyle name="Обычный 21 3 2 4" xfId="16576"/>
    <cellStyle name="Обычный 21 3 2 4 2" xfId="16577"/>
    <cellStyle name="Обычный 21 3 2 4 2 2" xfId="16578"/>
    <cellStyle name="Обычный 21 3 2 4 2 2 2" xfId="16579"/>
    <cellStyle name="Обычный 21 3 2 4 2 3" xfId="16580"/>
    <cellStyle name="Обычный 21 3 2 4 3" xfId="16581"/>
    <cellStyle name="Обычный 21 3 2 4 3 2" xfId="16582"/>
    <cellStyle name="Обычный 21 3 2 4 3 2 2" xfId="16583"/>
    <cellStyle name="Обычный 21 3 2 4 3 3" xfId="16584"/>
    <cellStyle name="Обычный 21 3 2 4 4" xfId="16585"/>
    <cellStyle name="Обычный 21 3 2 4 4 2" xfId="16586"/>
    <cellStyle name="Обычный 21 3 2 4 5" xfId="16587"/>
    <cellStyle name="Обычный 21 3 2 4 5 2" xfId="16588"/>
    <cellStyle name="Обычный 21 3 2 4 6" xfId="16589"/>
    <cellStyle name="Обычный 21 3 2 5" xfId="16590"/>
    <cellStyle name="Обычный 21 3 2 5 2" xfId="16591"/>
    <cellStyle name="Обычный 21 3 2 5 2 2" xfId="16592"/>
    <cellStyle name="Обычный 21 3 2 5 2 2 2" xfId="16593"/>
    <cellStyle name="Обычный 21 3 2 5 2 3" xfId="16594"/>
    <cellStyle name="Обычный 21 3 2 5 3" xfId="16595"/>
    <cellStyle name="Обычный 21 3 2 5 3 2" xfId="16596"/>
    <cellStyle name="Обычный 21 3 2 5 4" xfId="16597"/>
    <cellStyle name="Обычный 21 3 2 6" xfId="16598"/>
    <cellStyle name="Обычный 21 3 2 6 2" xfId="16599"/>
    <cellStyle name="Обычный 21 3 2 6 2 2" xfId="16600"/>
    <cellStyle name="Обычный 21 3 2 6 3" xfId="16601"/>
    <cellStyle name="Обычный 21 3 2 7" xfId="16602"/>
    <cellStyle name="Обычный 21 3 2 7 2" xfId="16603"/>
    <cellStyle name="Обычный 21 3 2 7 2 2" xfId="16604"/>
    <cellStyle name="Обычный 21 3 2 7 3" xfId="16605"/>
    <cellStyle name="Обычный 21 3 2 8" xfId="16606"/>
    <cellStyle name="Обычный 21 3 2 8 2" xfId="16607"/>
    <cellStyle name="Обычный 21 3 2 9" xfId="16608"/>
    <cellStyle name="Обычный 21 3 2 9 2" xfId="16609"/>
    <cellStyle name="Обычный 21 3 20" xfId="16610"/>
    <cellStyle name="Обычный 21 3 20 2" xfId="16611"/>
    <cellStyle name="Обычный 21 3 21" xfId="16612"/>
    <cellStyle name="Обычный 21 3 21 2" xfId="16613"/>
    <cellStyle name="Обычный 21 3 22" xfId="16614"/>
    <cellStyle name="Обычный 21 3 3" xfId="16615"/>
    <cellStyle name="Обычный 21 3 3 2" xfId="16616"/>
    <cellStyle name="Обычный 21 3 3 2 2" xfId="16617"/>
    <cellStyle name="Обычный 21 3 3 2 2 2" xfId="16618"/>
    <cellStyle name="Обычный 21 3 3 2 2 2 2" xfId="16619"/>
    <cellStyle name="Обычный 21 3 3 2 2 3" xfId="16620"/>
    <cellStyle name="Обычный 21 3 3 2 2 3 2" xfId="16621"/>
    <cellStyle name="Обычный 21 3 3 2 2 4" xfId="16622"/>
    <cellStyle name="Обычный 21 3 3 2 3" xfId="16623"/>
    <cellStyle name="Обычный 21 3 3 2 3 2" xfId="16624"/>
    <cellStyle name="Обычный 21 3 3 2 3 2 2" xfId="16625"/>
    <cellStyle name="Обычный 21 3 3 2 3 3" xfId="16626"/>
    <cellStyle name="Обычный 21 3 3 2 4" xfId="16627"/>
    <cellStyle name="Обычный 21 3 3 2 4 2" xfId="16628"/>
    <cellStyle name="Обычный 21 3 3 2 5" xfId="16629"/>
    <cellStyle name="Обычный 21 3 3 2 5 2" xfId="16630"/>
    <cellStyle name="Обычный 21 3 3 2 6" xfId="16631"/>
    <cellStyle name="Обычный 21 3 3 3" xfId="16632"/>
    <cellStyle name="Обычный 21 3 3 3 2" xfId="16633"/>
    <cellStyle name="Обычный 21 3 3 3 2 2" xfId="16634"/>
    <cellStyle name="Обычный 21 3 3 3 2 2 2" xfId="16635"/>
    <cellStyle name="Обычный 21 3 3 3 2 3" xfId="16636"/>
    <cellStyle name="Обычный 21 3 3 3 3" xfId="16637"/>
    <cellStyle name="Обычный 21 3 3 3 3 2" xfId="16638"/>
    <cellStyle name="Обычный 21 3 3 3 3 2 2" xfId="16639"/>
    <cellStyle name="Обычный 21 3 3 3 3 3" xfId="16640"/>
    <cellStyle name="Обычный 21 3 3 3 4" xfId="16641"/>
    <cellStyle name="Обычный 21 3 3 3 4 2" xfId="16642"/>
    <cellStyle name="Обычный 21 3 3 3 5" xfId="16643"/>
    <cellStyle name="Обычный 21 3 3 3 5 2" xfId="16644"/>
    <cellStyle name="Обычный 21 3 3 3 6" xfId="16645"/>
    <cellStyle name="Обычный 21 3 3 4" xfId="16646"/>
    <cellStyle name="Обычный 21 3 3 4 2" xfId="16647"/>
    <cellStyle name="Обычный 21 3 3 4 2 2" xfId="16648"/>
    <cellStyle name="Обычный 21 3 3 4 3" xfId="16649"/>
    <cellStyle name="Обычный 21 3 3 4 3 2" xfId="16650"/>
    <cellStyle name="Обычный 21 3 3 4 4" xfId="16651"/>
    <cellStyle name="Обычный 21 3 3 5" xfId="16652"/>
    <cellStyle name="Обычный 21 3 3 5 2" xfId="16653"/>
    <cellStyle name="Обычный 21 3 3 5 2 2" xfId="16654"/>
    <cellStyle name="Обычный 21 3 3 5 3" xfId="16655"/>
    <cellStyle name="Обычный 21 3 3 6" xfId="16656"/>
    <cellStyle name="Обычный 21 3 3 6 2" xfId="16657"/>
    <cellStyle name="Обычный 21 3 3 7" xfId="16658"/>
    <cellStyle name="Обычный 21 3 3 7 2" xfId="16659"/>
    <cellStyle name="Обычный 21 3 3 8" xfId="16660"/>
    <cellStyle name="Обычный 21 3 4" xfId="16661"/>
    <cellStyle name="Обычный 21 3 4 2" xfId="16662"/>
    <cellStyle name="Обычный 21 3 4 2 2" xfId="16663"/>
    <cellStyle name="Обычный 21 3 4 2 2 2" xfId="16664"/>
    <cellStyle name="Обычный 21 3 4 2 2 2 2" xfId="16665"/>
    <cellStyle name="Обычный 21 3 4 2 2 3" xfId="16666"/>
    <cellStyle name="Обычный 21 3 4 2 2 3 2" xfId="16667"/>
    <cellStyle name="Обычный 21 3 4 2 2 4" xfId="16668"/>
    <cellStyle name="Обычный 21 3 4 2 3" xfId="16669"/>
    <cellStyle name="Обычный 21 3 4 2 3 2" xfId="16670"/>
    <cellStyle name="Обычный 21 3 4 2 3 2 2" xfId="16671"/>
    <cellStyle name="Обычный 21 3 4 2 3 3" xfId="16672"/>
    <cellStyle name="Обычный 21 3 4 2 4" xfId="16673"/>
    <cellStyle name="Обычный 21 3 4 2 4 2" xfId="16674"/>
    <cellStyle name="Обычный 21 3 4 2 5" xfId="16675"/>
    <cellStyle name="Обычный 21 3 4 2 5 2" xfId="16676"/>
    <cellStyle name="Обычный 21 3 4 2 6" xfId="16677"/>
    <cellStyle name="Обычный 21 3 4 3" xfId="16678"/>
    <cellStyle name="Обычный 21 3 4 3 2" xfId="16679"/>
    <cellStyle name="Обычный 21 3 4 3 2 2" xfId="16680"/>
    <cellStyle name="Обычный 21 3 4 3 2 2 2" xfId="16681"/>
    <cellStyle name="Обычный 21 3 4 3 2 3" xfId="16682"/>
    <cellStyle name="Обычный 21 3 4 3 3" xfId="16683"/>
    <cellStyle name="Обычный 21 3 4 3 3 2" xfId="16684"/>
    <cellStyle name="Обычный 21 3 4 3 3 2 2" xfId="16685"/>
    <cellStyle name="Обычный 21 3 4 3 3 3" xfId="16686"/>
    <cellStyle name="Обычный 21 3 4 3 4" xfId="16687"/>
    <cellStyle name="Обычный 21 3 4 3 4 2" xfId="16688"/>
    <cellStyle name="Обычный 21 3 4 3 5" xfId="16689"/>
    <cellStyle name="Обычный 21 3 4 3 5 2" xfId="16690"/>
    <cellStyle name="Обычный 21 3 4 3 6" xfId="16691"/>
    <cellStyle name="Обычный 21 3 4 4" xfId="16692"/>
    <cellStyle name="Обычный 21 3 4 4 2" xfId="16693"/>
    <cellStyle name="Обычный 21 3 4 4 2 2" xfId="16694"/>
    <cellStyle name="Обычный 21 3 4 4 3" xfId="16695"/>
    <cellStyle name="Обычный 21 3 4 5" xfId="16696"/>
    <cellStyle name="Обычный 21 3 4 5 2" xfId="16697"/>
    <cellStyle name="Обычный 21 3 4 5 2 2" xfId="16698"/>
    <cellStyle name="Обычный 21 3 4 5 3" xfId="16699"/>
    <cellStyle name="Обычный 21 3 4 6" xfId="16700"/>
    <cellStyle name="Обычный 21 3 4 6 2" xfId="16701"/>
    <cellStyle name="Обычный 21 3 4 7" xfId="16702"/>
    <cellStyle name="Обычный 21 3 4 7 2" xfId="16703"/>
    <cellStyle name="Обычный 21 3 4 8" xfId="16704"/>
    <cellStyle name="Обычный 21 3 5" xfId="16705"/>
    <cellStyle name="Обычный 21 3 5 2" xfId="16706"/>
    <cellStyle name="Обычный 21 3 5 2 2" xfId="16707"/>
    <cellStyle name="Обычный 21 3 5 2 2 2" xfId="16708"/>
    <cellStyle name="Обычный 21 3 5 2 2 2 2" xfId="16709"/>
    <cellStyle name="Обычный 21 3 5 2 2 3" xfId="16710"/>
    <cellStyle name="Обычный 21 3 5 2 3" xfId="16711"/>
    <cellStyle name="Обычный 21 3 5 2 3 2" xfId="16712"/>
    <cellStyle name="Обычный 21 3 5 2 3 2 2" xfId="16713"/>
    <cellStyle name="Обычный 21 3 5 2 3 3" xfId="16714"/>
    <cellStyle name="Обычный 21 3 5 2 4" xfId="16715"/>
    <cellStyle name="Обычный 21 3 5 2 4 2" xfId="16716"/>
    <cellStyle name="Обычный 21 3 5 2 5" xfId="16717"/>
    <cellStyle name="Обычный 21 3 5 2 5 2" xfId="16718"/>
    <cellStyle name="Обычный 21 3 5 2 6" xfId="16719"/>
    <cellStyle name="Обычный 21 3 5 3" xfId="16720"/>
    <cellStyle name="Обычный 21 3 5 3 2" xfId="16721"/>
    <cellStyle name="Обычный 21 3 5 3 2 2" xfId="16722"/>
    <cellStyle name="Обычный 21 3 5 3 3" xfId="16723"/>
    <cellStyle name="Обычный 21 3 5 3 3 2" xfId="16724"/>
    <cellStyle name="Обычный 21 3 5 3 4" xfId="16725"/>
    <cellStyle name="Обычный 21 3 5 4" xfId="16726"/>
    <cellStyle name="Обычный 21 3 5 4 2" xfId="16727"/>
    <cellStyle name="Обычный 21 3 5 4 2 2" xfId="16728"/>
    <cellStyle name="Обычный 21 3 5 4 3" xfId="16729"/>
    <cellStyle name="Обычный 21 3 5 5" xfId="16730"/>
    <cellStyle name="Обычный 21 3 5 5 2" xfId="16731"/>
    <cellStyle name="Обычный 21 3 5 6" xfId="16732"/>
    <cellStyle name="Обычный 21 3 5 6 2" xfId="16733"/>
    <cellStyle name="Обычный 21 3 5 7" xfId="16734"/>
    <cellStyle name="Обычный 21 3 6" xfId="16735"/>
    <cellStyle name="Обычный 21 3 6 2" xfId="16736"/>
    <cellStyle name="Обычный 21 3 6 2 2" xfId="16737"/>
    <cellStyle name="Обычный 21 3 6 2 2 2" xfId="16738"/>
    <cellStyle name="Обычный 21 3 6 2 2 2 2" xfId="16739"/>
    <cellStyle name="Обычный 21 3 6 2 2 3" xfId="16740"/>
    <cellStyle name="Обычный 21 3 6 2 3" xfId="16741"/>
    <cellStyle name="Обычный 21 3 6 2 3 2" xfId="16742"/>
    <cellStyle name="Обычный 21 3 6 2 3 2 2" xfId="16743"/>
    <cellStyle name="Обычный 21 3 6 2 3 3" xfId="16744"/>
    <cellStyle name="Обычный 21 3 6 2 4" xfId="16745"/>
    <cellStyle name="Обычный 21 3 6 2 4 2" xfId="16746"/>
    <cellStyle name="Обычный 21 3 6 2 5" xfId="16747"/>
    <cellStyle name="Обычный 21 3 6 2 5 2" xfId="16748"/>
    <cellStyle name="Обычный 21 3 6 2 6" xfId="16749"/>
    <cellStyle name="Обычный 21 3 6 3" xfId="16750"/>
    <cellStyle name="Обычный 21 3 6 3 2" xfId="16751"/>
    <cellStyle name="Обычный 21 3 6 3 2 2" xfId="16752"/>
    <cellStyle name="Обычный 21 3 6 3 3" xfId="16753"/>
    <cellStyle name="Обычный 21 3 6 4" xfId="16754"/>
    <cellStyle name="Обычный 21 3 6 4 2" xfId="16755"/>
    <cellStyle name="Обычный 21 3 6 4 2 2" xfId="16756"/>
    <cellStyle name="Обычный 21 3 6 4 3" xfId="16757"/>
    <cellStyle name="Обычный 21 3 6 5" xfId="16758"/>
    <cellStyle name="Обычный 21 3 6 5 2" xfId="16759"/>
    <cellStyle name="Обычный 21 3 6 6" xfId="16760"/>
    <cellStyle name="Обычный 21 3 6 6 2" xfId="16761"/>
    <cellStyle name="Обычный 21 3 6 7" xfId="16762"/>
    <cellStyle name="Обычный 21 3 7" xfId="16763"/>
    <cellStyle name="Обычный 21 3 7 2" xfId="16764"/>
    <cellStyle name="Обычный 21 3 7 2 2" xfId="16765"/>
    <cellStyle name="Обычный 21 3 7 2 2 2" xfId="16766"/>
    <cellStyle name="Обычный 21 3 7 2 3" xfId="16767"/>
    <cellStyle name="Обычный 21 3 7 3" xfId="16768"/>
    <cellStyle name="Обычный 21 3 7 3 2" xfId="16769"/>
    <cellStyle name="Обычный 21 3 7 3 2 2" xfId="16770"/>
    <cellStyle name="Обычный 21 3 7 3 3" xfId="16771"/>
    <cellStyle name="Обычный 21 3 7 4" xfId="16772"/>
    <cellStyle name="Обычный 21 3 7 4 2" xfId="16773"/>
    <cellStyle name="Обычный 21 3 7 5" xfId="16774"/>
    <cellStyle name="Обычный 21 3 7 5 2" xfId="16775"/>
    <cellStyle name="Обычный 21 3 7 6" xfId="16776"/>
    <cellStyle name="Обычный 21 3 8" xfId="16777"/>
    <cellStyle name="Обычный 21 3 8 2" xfId="16778"/>
    <cellStyle name="Обычный 21 3 8 2 2" xfId="16779"/>
    <cellStyle name="Обычный 21 3 8 2 2 2" xfId="16780"/>
    <cellStyle name="Обычный 21 3 8 2 3" xfId="16781"/>
    <cellStyle name="Обычный 21 3 8 3" xfId="16782"/>
    <cellStyle name="Обычный 21 3 8 3 2" xfId="16783"/>
    <cellStyle name="Обычный 21 3 8 3 2 2" xfId="16784"/>
    <cellStyle name="Обычный 21 3 8 3 3" xfId="16785"/>
    <cellStyle name="Обычный 21 3 8 4" xfId="16786"/>
    <cellStyle name="Обычный 21 3 8 4 2" xfId="16787"/>
    <cellStyle name="Обычный 21 3 8 5" xfId="16788"/>
    <cellStyle name="Обычный 21 3 8 5 2" xfId="16789"/>
    <cellStyle name="Обычный 21 3 8 6" xfId="16790"/>
    <cellStyle name="Обычный 21 3 9" xfId="16791"/>
    <cellStyle name="Обычный 21 3 9 2" xfId="16792"/>
    <cellStyle name="Обычный 21 3 9 2 2" xfId="16793"/>
    <cellStyle name="Обычный 21 3 9 2 2 2" xfId="16794"/>
    <cellStyle name="Обычный 21 3 9 2 3" xfId="16795"/>
    <cellStyle name="Обычный 21 3 9 3" xfId="16796"/>
    <cellStyle name="Обычный 21 3 9 3 2" xfId="16797"/>
    <cellStyle name="Обычный 21 3 9 3 2 2" xfId="16798"/>
    <cellStyle name="Обычный 21 3 9 3 3" xfId="16799"/>
    <cellStyle name="Обычный 21 3 9 4" xfId="16800"/>
    <cellStyle name="Обычный 21 3 9 4 2" xfId="16801"/>
    <cellStyle name="Обычный 21 3 9 5" xfId="16802"/>
    <cellStyle name="Обычный 21 3 9 5 2" xfId="16803"/>
    <cellStyle name="Обычный 21 3 9 6" xfId="16804"/>
    <cellStyle name="Обычный 21 30" xfId="16805"/>
    <cellStyle name="Обычный 21 30 2" xfId="16806"/>
    <cellStyle name="Обычный 21 30 2 2" xfId="16807"/>
    <cellStyle name="Обычный 21 30 2 2 2" xfId="16808"/>
    <cellStyle name="Обычный 21 30 2 2 2 2" xfId="16809"/>
    <cellStyle name="Обычный 21 30 2 2 3" xfId="16810"/>
    <cellStyle name="Обычный 21 30 2 2 3 2" xfId="16811"/>
    <cellStyle name="Обычный 21 30 2 2 4" xfId="16812"/>
    <cellStyle name="Обычный 21 30 2 3" xfId="16813"/>
    <cellStyle name="Обычный 21 30 2 3 2" xfId="16814"/>
    <cellStyle name="Обычный 21 30 2 3 2 2" xfId="16815"/>
    <cellStyle name="Обычный 21 30 2 3 3" xfId="16816"/>
    <cellStyle name="Обычный 21 30 2 4" xfId="16817"/>
    <cellStyle name="Обычный 21 30 2 4 2" xfId="16818"/>
    <cellStyle name="Обычный 21 30 2 5" xfId="16819"/>
    <cellStyle name="Обычный 21 30 2 5 2" xfId="16820"/>
    <cellStyle name="Обычный 21 30 2 6" xfId="16821"/>
    <cellStyle name="Обычный 21 30 3" xfId="16822"/>
    <cellStyle name="Обычный 21 30 3 2" xfId="16823"/>
    <cellStyle name="Обычный 21 30 3 2 2" xfId="16824"/>
    <cellStyle name="Обычный 21 30 3 2 2 2" xfId="16825"/>
    <cellStyle name="Обычный 21 30 3 2 3" xfId="16826"/>
    <cellStyle name="Обычный 21 30 3 3" xfId="16827"/>
    <cellStyle name="Обычный 21 30 3 3 2" xfId="16828"/>
    <cellStyle name="Обычный 21 30 3 3 2 2" xfId="16829"/>
    <cellStyle name="Обычный 21 30 3 3 3" xfId="16830"/>
    <cellStyle name="Обычный 21 30 3 4" xfId="16831"/>
    <cellStyle name="Обычный 21 30 3 4 2" xfId="16832"/>
    <cellStyle name="Обычный 21 30 3 5" xfId="16833"/>
    <cellStyle name="Обычный 21 30 3 5 2" xfId="16834"/>
    <cellStyle name="Обычный 21 30 3 6" xfId="16835"/>
    <cellStyle name="Обычный 21 30 4" xfId="16836"/>
    <cellStyle name="Обычный 21 30 4 2" xfId="16837"/>
    <cellStyle name="Обычный 21 30 4 2 2" xfId="16838"/>
    <cellStyle name="Обычный 21 30 4 3" xfId="16839"/>
    <cellStyle name="Обычный 21 30 4 3 2" xfId="16840"/>
    <cellStyle name="Обычный 21 30 4 4" xfId="16841"/>
    <cellStyle name="Обычный 21 30 5" xfId="16842"/>
    <cellStyle name="Обычный 21 30 5 2" xfId="16843"/>
    <cellStyle name="Обычный 21 30 5 2 2" xfId="16844"/>
    <cellStyle name="Обычный 21 30 5 3" xfId="16845"/>
    <cellStyle name="Обычный 21 30 6" xfId="16846"/>
    <cellStyle name="Обычный 21 30 6 2" xfId="16847"/>
    <cellStyle name="Обычный 21 30 7" xfId="16848"/>
    <cellStyle name="Обычный 21 30 7 2" xfId="16849"/>
    <cellStyle name="Обычный 21 30 8" xfId="16850"/>
    <cellStyle name="Обычный 21 31" xfId="16851"/>
    <cellStyle name="Обычный 21 31 2" xfId="16852"/>
    <cellStyle name="Обычный 21 31 2 2" xfId="16853"/>
    <cellStyle name="Обычный 21 31 2 2 2" xfId="16854"/>
    <cellStyle name="Обычный 21 31 2 2 2 2" xfId="16855"/>
    <cellStyle name="Обычный 21 31 2 2 3" xfId="16856"/>
    <cellStyle name="Обычный 21 31 2 2 3 2" xfId="16857"/>
    <cellStyle name="Обычный 21 31 2 2 4" xfId="16858"/>
    <cellStyle name="Обычный 21 31 2 3" xfId="16859"/>
    <cellStyle name="Обычный 21 31 2 3 2" xfId="16860"/>
    <cellStyle name="Обычный 21 31 2 3 2 2" xfId="16861"/>
    <cellStyle name="Обычный 21 31 2 3 3" xfId="16862"/>
    <cellStyle name="Обычный 21 31 2 4" xfId="16863"/>
    <cellStyle name="Обычный 21 31 2 4 2" xfId="16864"/>
    <cellStyle name="Обычный 21 31 2 5" xfId="16865"/>
    <cellStyle name="Обычный 21 31 2 5 2" xfId="16866"/>
    <cellStyle name="Обычный 21 31 2 6" xfId="16867"/>
    <cellStyle name="Обычный 21 31 3" xfId="16868"/>
    <cellStyle name="Обычный 21 31 3 2" xfId="16869"/>
    <cellStyle name="Обычный 21 31 3 2 2" xfId="16870"/>
    <cellStyle name="Обычный 21 31 3 2 2 2" xfId="16871"/>
    <cellStyle name="Обычный 21 31 3 2 3" xfId="16872"/>
    <cellStyle name="Обычный 21 31 3 3" xfId="16873"/>
    <cellStyle name="Обычный 21 31 3 3 2" xfId="16874"/>
    <cellStyle name="Обычный 21 31 3 3 2 2" xfId="16875"/>
    <cellStyle name="Обычный 21 31 3 3 3" xfId="16876"/>
    <cellStyle name="Обычный 21 31 3 4" xfId="16877"/>
    <cellStyle name="Обычный 21 31 3 4 2" xfId="16878"/>
    <cellStyle name="Обычный 21 31 3 5" xfId="16879"/>
    <cellStyle name="Обычный 21 31 3 5 2" xfId="16880"/>
    <cellStyle name="Обычный 21 31 3 6" xfId="16881"/>
    <cellStyle name="Обычный 21 31 4" xfId="16882"/>
    <cellStyle name="Обычный 21 31 4 2" xfId="16883"/>
    <cellStyle name="Обычный 21 31 4 2 2" xfId="16884"/>
    <cellStyle name="Обычный 21 31 4 3" xfId="16885"/>
    <cellStyle name="Обычный 21 31 4 3 2" xfId="16886"/>
    <cellStyle name="Обычный 21 31 4 4" xfId="16887"/>
    <cellStyle name="Обычный 21 31 5" xfId="16888"/>
    <cellStyle name="Обычный 21 31 5 2" xfId="16889"/>
    <cellStyle name="Обычный 21 31 5 2 2" xfId="16890"/>
    <cellStyle name="Обычный 21 31 5 3" xfId="16891"/>
    <cellStyle name="Обычный 21 31 6" xfId="16892"/>
    <cellStyle name="Обычный 21 31 6 2" xfId="16893"/>
    <cellStyle name="Обычный 21 31 7" xfId="16894"/>
    <cellStyle name="Обычный 21 31 7 2" xfId="16895"/>
    <cellStyle name="Обычный 21 31 8" xfId="16896"/>
    <cellStyle name="Обычный 21 32" xfId="16897"/>
    <cellStyle name="Обычный 21 32 2" xfId="16898"/>
    <cellStyle name="Обычный 21 32 2 2" xfId="16899"/>
    <cellStyle name="Обычный 21 32 2 2 2" xfId="16900"/>
    <cellStyle name="Обычный 21 32 2 2 2 2" xfId="16901"/>
    <cellStyle name="Обычный 21 32 2 2 3" xfId="16902"/>
    <cellStyle name="Обычный 21 32 2 2 3 2" xfId="16903"/>
    <cellStyle name="Обычный 21 32 2 2 4" xfId="16904"/>
    <cellStyle name="Обычный 21 32 2 3" xfId="16905"/>
    <cellStyle name="Обычный 21 32 2 3 2" xfId="16906"/>
    <cellStyle name="Обычный 21 32 2 3 2 2" xfId="16907"/>
    <cellStyle name="Обычный 21 32 2 3 3" xfId="16908"/>
    <cellStyle name="Обычный 21 32 2 4" xfId="16909"/>
    <cellStyle name="Обычный 21 32 2 4 2" xfId="16910"/>
    <cellStyle name="Обычный 21 32 2 5" xfId="16911"/>
    <cellStyle name="Обычный 21 32 2 5 2" xfId="16912"/>
    <cellStyle name="Обычный 21 32 2 6" xfId="16913"/>
    <cellStyle name="Обычный 21 32 3" xfId="16914"/>
    <cellStyle name="Обычный 21 32 3 2" xfId="16915"/>
    <cellStyle name="Обычный 21 32 3 2 2" xfId="16916"/>
    <cellStyle name="Обычный 21 32 3 2 2 2" xfId="16917"/>
    <cellStyle name="Обычный 21 32 3 2 3" xfId="16918"/>
    <cellStyle name="Обычный 21 32 3 3" xfId="16919"/>
    <cellStyle name="Обычный 21 32 3 3 2" xfId="16920"/>
    <cellStyle name="Обычный 21 32 3 3 2 2" xfId="16921"/>
    <cellStyle name="Обычный 21 32 3 3 3" xfId="16922"/>
    <cellStyle name="Обычный 21 32 3 4" xfId="16923"/>
    <cellStyle name="Обычный 21 32 3 4 2" xfId="16924"/>
    <cellStyle name="Обычный 21 32 3 5" xfId="16925"/>
    <cellStyle name="Обычный 21 32 3 5 2" xfId="16926"/>
    <cellStyle name="Обычный 21 32 3 6" xfId="16927"/>
    <cellStyle name="Обычный 21 32 4" xfId="16928"/>
    <cellStyle name="Обычный 21 32 4 2" xfId="16929"/>
    <cellStyle name="Обычный 21 32 4 2 2" xfId="16930"/>
    <cellStyle name="Обычный 21 32 4 3" xfId="16931"/>
    <cellStyle name="Обычный 21 32 4 3 2" xfId="16932"/>
    <cellStyle name="Обычный 21 32 4 4" xfId="16933"/>
    <cellStyle name="Обычный 21 32 5" xfId="16934"/>
    <cellStyle name="Обычный 21 32 5 2" xfId="16935"/>
    <cellStyle name="Обычный 21 32 5 2 2" xfId="16936"/>
    <cellStyle name="Обычный 21 32 5 3" xfId="16937"/>
    <cellStyle name="Обычный 21 32 6" xfId="16938"/>
    <cellStyle name="Обычный 21 32 6 2" xfId="16939"/>
    <cellStyle name="Обычный 21 32 7" xfId="16940"/>
    <cellStyle name="Обычный 21 32 7 2" xfId="16941"/>
    <cellStyle name="Обычный 21 32 8" xfId="16942"/>
    <cellStyle name="Обычный 21 33" xfId="16943"/>
    <cellStyle name="Обычный 21 33 2" xfId="16944"/>
    <cellStyle name="Обычный 21 33 2 2" xfId="16945"/>
    <cellStyle name="Обычный 21 33 2 2 2" xfId="16946"/>
    <cellStyle name="Обычный 21 33 2 2 2 2" xfId="16947"/>
    <cellStyle name="Обычный 21 33 2 2 3" xfId="16948"/>
    <cellStyle name="Обычный 21 33 2 2 3 2" xfId="16949"/>
    <cellStyle name="Обычный 21 33 2 2 4" xfId="16950"/>
    <cellStyle name="Обычный 21 33 2 3" xfId="16951"/>
    <cellStyle name="Обычный 21 33 2 3 2" xfId="16952"/>
    <cellStyle name="Обычный 21 33 2 3 2 2" xfId="16953"/>
    <cellStyle name="Обычный 21 33 2 3 3" xfId="16954"/>
    <cellStyle name="Обычный 21 33 2 4" xfId="16955"/>
    <cellStyle name="Обычный 21 33 2 4 2" xfId="16956"/>
    <cellStyle name="Обычный 21 33 2 5" xfId="16957"/>
    <cellStyle name="Обычный 21 33 2 5 2" xfId="16958"/>
    <cellStyle name="Обычный 21 33 2 6" xfId="16959"/>
    <cellStyle name="Обычный 21 33 3" xfId="16960"/>
    <cellStyle name="Обычный 21 33 3 2" xfId="16961"/>
    <cellStyle name="Обычный 21 33 3 2 2" xfId="16962"/>
    <cellStyle name="Обычный 21 33 3 2 2 2" xfId="16963"/>
    <cellStyle name="Обычный 21 33 3 2 3" xfId="16964"/>
    <cellStyle name="Обычный 21 33 3 3" xfId="16965"/>
    <cellStyle name="Обычный 21 33 3 3 2" xfId="16966"/>
    <cellStyle name="Обычный 21 33 3 3 2 2" xfId="16967"/>
    <cellStyle name="Обычный 21 33 3 3 3" xfId="16968"/>
    <cellStyle name="Обычный 21 33 3 4" xfId="16969"/>
    <cellStyle name="Обычный 21 33 3 4 2" xfId="16970"/>
    <cellStyle name="Обычный 21 33 3 5" xfId="16971"/>
    <cellStyle name="Обычный 21 33 3 5 2" xfId="16972"/>
    <cellStyle name="Обычный 21 33 3 6" xfId="16973"/>
    <cellStyle name="Обычный 21 33 4" xfId="16974"/>
    <cellStyle name="Обычный 21 33 4 2" xfId="16975"/>
    <cellStyle name="Обычный 21 33 4 2 2" xfId="16976"/>
    <cellStyle name="Обычный 21 33 4 3" xfId="16977"/>
    <cellStyle name="Обычный 21 33 4 3 2" xfId="16978"/>
    <cellStyle name="Обычный 21 33 4 4" xfId="16979"/>
    <cellStyle name="Обычный 21 33 5" xfId="16980"/>
    <cellStyle name="Обычный 21 33 5 2" xfId="16981"/>
    <cellStyle name="Обычный 21 33 5 2 2" xfId="16982"/>
    <cellStyle name="Обычный 21 33 5 3" xfId="16983"/>
    <cellStyle name="Обычный 21 33 6" xfId="16984"/>
    <cellStyle name="Обычный 21 33 6 2" xfId="16985"/>
    <cellStyle name="Обычный 21 33 7" xfId="16986"/>
    <cellStyle name="Обычный 21 33 7 2" xfId="16987"/>
    <cellStyle name="Обычный 21 33 8" xfId="16988"/>
    <cellStyle name="Обычный 21 34" xfId="16989"/>
    <cellStyle name="Обычный 21 34 2" xfId="16990"/>
    <cellStyle name="Обычный 21 34 2 2" xfId="16991"/>
    <cellStyle name="Обычный 21 34 2 2 2" xfId="16992"/>
    <cellStyle name="Обычный 21 34 2 2 2 2" xfId="16993"/>
    <cellStyle name="Обычный 21 34 2 2 3" xfId="16994"/>
    <cellStyle name="Обычный 21 34 2 2 3 2" xfId="16995"/>
    <cellStyle name="Обычный 21 34 2 2 4" xfId="16996"/>
    <cellStyle name="Обычный 21 34 2 3" xfId="16997"/>
    <cellStyle name="Обычный 21 34 2 3 2" xfId="16998"/>
    <cellStyle name="Обычный 21 34 2 3 2 2" xfId="16999"/>
    <cellStyle name="Обычный 21 34 2 3 3" xfId="17000"/>
    <cellStyle name="Обычный 21 34 2 4" xfId="17001"/>
    <cellStyle name="Обычный 21 34 2 4 2" xfId="17002"/>
    <cellStyle name="Обычный 21 34 2 5" xfId="17003"/>
    <cellStyle name="Обычный 21 34 2 5 2" xfId="17004"/>
    <cellStyle name="Обычный 21 34 2 6" xfId="17005"/>
    <cellStyle name="Обычный 21 34 3" xfId="17006"/>
    <cellStyle name="Обычный 21 34 3 2" xfId="17007"/>
    <cellStyle name="Обычный 21 34 3 2 2" xfId="17008"/>
    <cellStyle name="Обычный 21 34 3 2 2 2" xfId="17009"/>
    <cellStyle name="Обычный 21 34 3 2 3" xfId="17010"/>
    <cellStyle name="Обычный 21 34 3 3" xfId="17011"/>
    <cellStyle name="Обычный 21 34 3 3 2" xfId="17012"/>
    <cellStyle name="Обычный 21 34 3 3 2 2" xfId="17013"/>
    <cellStyle name="Обычный 21 34 3 3 3" xfId="17014"/>
    <cellStyle name="Обычный 21 34 3 4" xfId="17015"/>
    <cellStyle name="Обычный 21 34 3 4 2" xfId="17016"/>
    <cellStyle name="Обычный 21 34 3 5" xfId="17017"/>
    <cellStyle name="Обычный 21 34 3 5 2" xfId="17018"/>
    <cellStyle name="Обычный 21 34 3 6" xfId="17019"/>
    <cellStyle name="Обычный 21 34 4" xfId="17020"/>
    <cellStyle name="Обычный 21 34 4 2" xfId="17021"/>
    <cellStyle name="Обычный 21 34 4 2 2" xfId="17022"/>
    <cellStyle name="Обычный 21 34 4 3" xfId="17023"/>
    <cellStyle name="Обычный 21 34 4 3 2" xfId="17024"/>
    <cellStyle name="Обычный 21 34 4 4" xfId="17025"/>
    <cellStyle name="Обычный 21 34 5" xfId="17026"/>
    <cellStyle name="Обычный 21 34 5 2" xfId="17027"/>
    <cellStyle name="Обычный 21 34 5 2 2" xfId="17028"/>
    <cellStyle name="Обычный 21 34 5 3" xfId="17029"/>
    <cellStyle name="Обычный 21 34 6" xfId="17030"/>
    <cellStyle name="Обычный 21 34 6 2" xfId="17031"/>
    <cellStyle name="Обычный 21 34 7" xfId="17032"/>
    <cellStyle name="Обычный 21 34 7 2" xfId="17033"/>
    <cellStyle name="Обычный 21 34 8" xfId="17034"/>
    <cellStyle name="Обычный 21 35" xfId="17035"/>
    <cellStyle name="Обычный 21 35 2" xfId="17036"/>
    <cellStyle name="Обычный 21 35 2 2" xfId="17037"/>
    <cellStyle name="Обычный 21 35 2 2 2" xfId="17038"/>
    <cellStyle name="Обычный 21 35 2 2 2 2" xfId="17039"/>
    <cellStyle name="Обычный 21 35 2 2 3" xfId="17040"/>
    <cellStyle name="Обычный 21 35 2 2 3 2" xfId="17041"/>
    <cellStyle name="Обычный 21 35 2 2 4" xfId="17042"/>
    <cellStyle name="Обычный 21 35 2 3" xfId="17043"/>
    <cellStyle name="Обычный 21 35 2 3 2" xfId="17044"/>
    <cellStyle name="Обычный 21 35 2 3 2 2" xfId="17045"/>
    <cellStyle name="Обычный 21 35 2 3 3" xfId="17046"/>
    <cellStyle name="Обычный 21 35 2 4" xfId="17047"/>
    <cellStyle name="Обычный 21 35 2 4 2" xfId="17048"/>
    <cellStyle name="Обычный 21 35 2 5" xfId="17049"/>
    <cellStyle name="Обычный 21 35 2 5 2" xfId="17050"/>
    <cellStyle name="Обычный 21 35 2 6" xfId="17051"/>
    <cellStyle name="Обычный 21 35 3" xfId="17052"/>
    <cellStyle name="Обычный 21 35 3 2" xfId="17053"/>
    <cellStyle name="Обычный 21 35 3 2 2" xfId="17054"/>
    <cellStyle name="Обычный 21 35 3 2 2 2" xfId="17055"/>
    <cellStyle name="Обычный 21 35 3 2 3" xfId="17056"/>
    <cellStyle name="Обычный 21 35 3 3" xfId="17057"/>
    <cellStyle name="Обычный 21 35 3 3 2" xfId="17058"/>
    <cellStyle name="Обычный 21 35 3 3 2 2" xfId="17059"/>
    <cellStyle name="Обычный 21 35 3 3 3" xfId="17060"/>
    <cellStyle name="Обычный 21 35 3 4" xfId="17061"/>
    <cellStyle name="Обычный 21 35 3 4 2" xfId="17062"/>
    <cellStyle name="Обычный 21 35 3 5" xfId="17063"/>
    <cellStyle name="Обычный 21 35 3 5 2" xfId="17064"/>
    <cellStyle name="Обычный 21 35 3 6" xfId="17065"/>
    <cellStyle name="Обычный 21 35 4" xfId="17066"/>
    <cellStyle name="Обычный 21 35 4 2" xfId="17067"/>
    <cellStyle name="Обычный 21 35 4 2 2" xfId="17068"/>
    <cellStyle name="Обычный 21 35 4 3" xfId="17069"/>
    <cellStyle name="Обычный 21 35 4 3 2" xfId="17070"/>
    <cellStyle name="Обычный 21 35 4 4" xfId="17071"/>
    <cellStyle name="Обычный 21 35 5" xfId="17072"/>
    <cellStyle name="Обычный 21 35 5 2" xfId="17073"/>
    <cellStyle name="Обычный 21 35 5 2 2" xfId="17074"/>
    <cellStyle name="Обычный 21 35 5 3" xfId="17075"/>
    <cellStyle name="Обычный 21 35 6" xfId="17076"/>
    <cellStyle name="Обычный 21 35 6 2" xfId="17077"/>
    <cellStyle name="Обычный 21 35 7" xfId="17078"/>
    <cellStyle name="Обычный 21 35 7 2" xfId="17079"/>
    <cellStyle name="Обычный 21 35 8" xfId="17080"/>
    <cellStyle name="Обычный 21 36" xfId="17081"/>
    <cellStyle name="Обычный 21 36 2" xfId="17082"/>
    <cellStyle name="Обычный 21 36 2 2" xfId="17083"/>
    <cellStyle name="Обычный 21 36 2 2 2" xfId="17084"/>
    <cellStyle name="Обычный 21 36 2 2 2 2" xfId="17085"/>
    <cellStyle name="Обычный 21 36 2 2 3" xfId="17086"/>
    <cellStyle name="Обычный 21 36 2 2 3 2" xfId="17087"/>
    <cellStyle name="Обычный 21 36 2 2 4" xfId="17088"/>
    <cellStyle name="Обычный 21 36 2 3" xfId="17089"/>
    <cellStyle name="Обычный 21 36 2 3 2" xfId="17090"/>
    <cellStyle name="Обычный 21 36 2 3 2 2" xfId="17091"/>
    <cellStyle name="Обычный 21 36 2 3 3" xfId="17092"/>
    <cellStyle name="Обычный 21 36 2 4" xfId="17093"/>
    <cellStyle name="Обычный 21 36 2 4 2" xfId="17094"/>
    <cellStyle name="Обычный 21 36 2 5" xfId="17095"/>
    <cellStyle name="Обычный 21 36 2 5 2" xfId="17096"/>
    <cellStyle name="Обычный 21 36 2 6" xfId="17097"/>
    <cellStyle name="Обычный 21 36 3" xfId="17098"/>
    <cellStyle name="Обычный 21 36 3 2" xfId="17099"/>
    <cellStyle name="Обычный 21 36 3 2 2" xfId="17100"/>
    <cellStyle name="Обычный 21 36 3 3" xfId="17101"/>
    <cellStyle name="Обычный 21 36 3 3 2" xfId="17102"/>
    <cellStyle name="Обычный 21 36 3 4" xfId="17103"/>
    <cellStyle name="Обычный 21 36 4" xfId="17104"/>
    <cellStyle name="Обычный 21 36 4 2" xfId="17105"/>
    <cellStyle name="Обычный 21 36 4 2 2" xfId="17106"/>
    <cellStyle name="Обычный 21 36 4 3" xfId="17107"/>
    <cellStyle name="Обычный 21 36 5" xfId="17108"/>
    <cellStyle name="Обычный 21 36 5 2" xfId="17109"/>
    <cellStyle name="Обычный 21 36 6" xfId="17110"/>
    <cellStyle name="Обычный 21 36 6 2" xfId="17111"/>
    <cellStyle name="Обычный 21 36 7" xfId="17112"/>
    <cellStyle name="Обычный 21 37" xfId="17113"/>
    <cellStyle name="Обычный 21 37 2" xfId="17114"/>
    <cellStyle name="Обычный 21 37 2 2" xfId="17115"/>
    <cellStyle name="Обычный 21 37 2 2 2" xfId="17116"/>
    <cellStyle name="Обычный 21 37 2 2 2 2" xfId="17117"/>
    <cellStyle name="Обычный 21 37 2 2 3" xfId="17118"/>
    <cellStyle name="Обычный 21 37 2 3" xfId="17119"/>
    <cellStyle name="Обычный 21 37 2 3 2" xfId="17120"/>
    <cellStyle name="Обычный 21 37 2 3 2 2" xfId="17121"/>
    <cellStyle name="Обычный 21 37 2 3 3" xfId="17122"/>
    <cellStyle name="Обычный 21 37 2 4" xfId="17123"/>
    <cellStyle name="Обычный 21 37 2 4 2" xfId="17124"/>
    <cellStyle name="Обычный 21 37 2 5" xfId="17125"/>
    <cellStyle name="Обычный 21 37 2 5 2" xfId="17126"/>
    <cellStyle name="Обычный 21 37 2 6" xfId="17127"/>
    <cellStyle name="Обычный 21 37 3" xfId="17128"/>
    <cellStyle name="Обычный 21 37 3 2" xfId="17129"/>
    <cellStyle name="Обычный 21 37 3 2 2" xfId="17130"/>
    <cellStyle name="Обычный 21 37 3 3" xfId="17131"/>
    <cellStyle name="Обычный 21 37 3 3 2" xfId="17132"/>
    <cellStyle name="Обычный 21 37 3 4" xfId="17133"/>
    <cellStyle name="Обычный 21 37 4" xfId="17134"/>
    <cellStyle name="Обычный 21 37 4 2" xfId="17135"/>
    <cellStyle name="Обычный 21 37 4 2 2" xfId="17136"/>
    <cellStyle name="Обычный 21 37 4 3" xfId="17137"/>
    <cellStyle name="Обычный 21 37 5" xfId="17138"/>
    <cellStyle name="Обычный 21 37 5 2" xfId="17139"/>
    <cellStyle name="Обычный 21 37 6" xfId="17140"/>
    <cellStyle name="Обычный 21 37 6 2" xfId="17141"/>
    <cellStyle name="Обычный 21 37 7" xfId="17142"/>
    <cellStyle name="Обычный 21 38" xfId="17143"/>
    <cellStyle name="Обычный 21 38 2" xfId="17144"/>
    <cellStyle name="Обычный 21 38 2 2" xfId="17145"/>
    <cellStyle name="Обычный 21 38 2 2 2" xfId="17146"/>
    <cellStyle name="Обычный 21 38 2 3" xfId="17147"/>
    <cellStyle name="Обычный 21 38 2 3 2" xfId="17148"/>
    <cellStyle name="Обычный 21 38 2 4" xfId="17149"/>
    <cellStyle name="Обычный 21 38 3" xfId="17150"/>
    <cellStyle name="Обычный 21 38 3 2" xfId="17151"/>
    <cellStyle name="Обычный 21 38 3 2 2" xfId="17152"/>
    <cellStyle name="Обычный 21 38 3 3" xfId="17153"/>
    <cellStyle name="Обычный 21 38 3 3 2" xfId="17154"/>
    <cellStyle name="Обычный 21 38 3 4" xfId="17155"/>
    <cellStyle name="Обычный 21 38 4" xfId="17156"/>
    <cellStyle name="Обычный 21 38 4 2" xfId="17157"/>
    <cellStyle name="Обычный 21 38 5" xfId="17158"/>
    <cellStyle name="Обычный 21 38 5 2" xfId="17159"/>
    <cellStyle name="Обычный 21 38 6" xfId="17160"/>
    <cellStyle name="Обычный 21 39" xfId="17161"/>
    <cellStyle name="Обычный 21 39 2" xfId="17162"/>
    <cellStyle name="Обычный 21 39 2 2" xfId="17163"/>
    <cellStyle name="Обычный 21 39 2 2 2" xfId="17164"/>
    <cellStyle name="Обычный 21 39 2 3" xfId="17165"/>
    <cellStyle name="Обычный 21 39 2 3 2" xfId="17166"/>
    <cellStyle name="Обычный 21 39 2 4" xfId="17167"/>
    <cellStyle name="Обычный 21 39 3" xfId="17168"/>
    <cellStyle name="Обычный 21 39 3 2" xfId="17169"/>
    <cellStyle name="Обычный 21 39 3 2 2" xfId="17170"/>
    <cellStyle name="Обычный 21 39 3 3" xfId="17171"/>
    <cellStyle name="Обычный 21 39 4" xfId="17172"/>
    <cellStyle name="Обычный 21 39 4 2" xfId="17173"/>
    <cellStyle name="Обычный 21 39 5" xfId="17174"/>
    <cellStyle name="Обычный 21 39 5 2" xfId="17175"/>
    <cellStyle name="Обычный 21 39 6" xfId="17176"/>
    <cellStyle name="Обычный 21 4" xfId="17177"/>
    <cellStyle name="Обычный 21 4 10" xfId="17178"/>
    <cellStyle name="Обычный 21 4 10 2" xfId="17179"/>
    <cellStyle name="Обычный 21 4 11" xfId="17180"/>
    <cellStyle name="Обычный 21 4 11 2" xfId="17181"/>
    <cellStyle name="Обычный 21 4 12" xfId="17182"/>
    <cellStyle name="Обычный 21 4 2" xfId="17183"/>
    <cellStyle name="Обычный 21 4 2 2" xfId="17184"/>
    <cellStyle name="Обычный 21 4 2 2 2" xfId="17185"/>
    <cellStyle name="Обычный 21 4 2 2 2 2" xfId="17186"/>
    <cellStyle name="Обычный 21 4 2 2 2 2 2" xfId="17187"/>
    <cellStyle name="Обычный 21 4 2 2 2 2 2 2" xfId="17188"/>
    <cellStyle name="Обычный 21 4 2 2 2 2 3" xfId="17189"/>
    <cellStyle name="Обычный 21 4 2 2 2 3" xfId="17190"/>
    <cellStyle name="Обычный 21 4 2 2 2 3 2" xfId="17191"/>
    <cellStyle name="Обычный 21 4 2 2 2 3 2 2" xfId="17192"/>
    <cellStyle name="Обычный 21 4 2 2 2 3 3" xfId="17193"/>
    <cellStyle name="Обычный 21 4 2 2 2 4" xfId="17194"/>
    <cellStyle name="Обычный 21 4 2 2 2 4 2" xfId="17195"/>
    <cellStyle name="Обычный 21 4 2 2 2 5" xfId="17196"/>
    <cellStyle name="Обычный 21 4 2 2 2 5 2" xfId="17197"/>
    <cellStyle name="Обычный 21 4 2 2 2 6" xfId="17198"/>
    <cellStyle name="Обычный 21 4 2 2 3" xfId="17199"/>
    <cellStyle name="Обычный 21 4 2 2 3 2" xfId="17200"/>
    <cellStyle name="Обычный 21 4 2 2 3 2 2" xfId="17201"/>
    <cellStyle name="Обычный 21 4 2 2 3 2 2 2" xfId="17202"/>
    <cellStyle name="Обычный 21 4 2 2 3 2 3" xfId="17203"/>
    <cellStyle name="Обычный 21 4 2 2 3 3" xfId="17204"/>
    <cellStyle name="Обычный 21 4 2 2 3 3 2" xfId="17205"/>
    <cellStyle name="Обычный 21 4 2 2 3 3 2 2" xfId="17206"/>
    <cellStyle name="Обычный 21 4 2 2 3 3 3" xfId="17207"/>
    <cellStyle name="Обычный 21 4 2 2 3 4" xfId="17208"/>
    <cellStyle name="Обычный 21 4 2 2 3 4 2" xfId="17209"/>
    <cellStyle name="Обычный 21 4 2 2 3 5" xfId="17210"/>
    <cellStyle name="Обычный 21 4 2 2 4" xfId="17211"/>
    <cellStyle name="Обычный 21 4 2 2 4 2" xfId="17212"/>
    <cellStyle name="Обычный 21 4 2 2 4 2 2" xfId="17213"/>
    <cellStyle name="Обычный 21 4 2 2 4 3" xfId="17214"/>
    <cellStyle name="Обычный 21 4 2 2 5" xfId="17215"/>
    <cellStyle name="Обычный 21 4 2 2 5 2" xfId="17216"/>
    <cellStyle name="Обычный 21 4 2 2 5 2 2" xfId="17217"/>
    <cellStyle name="Обычный 21 4 2 2 5 3" xfId="17218"/>
    <cellStyle name="Обычный 21 4 2 2 6" xfId="17219"/>
    <cellStyle name="Обычный 21 4 2 2 6 2" xfId="17220"/>
    <cellStyle name="Обычный 21 4 2 2 7" xfId="17221"/>
    <cellStyle name="Обычный 21 4 2 2 7 2" xfId="17222"/>
    <cellStyle name="Обычный 21 4 2 2 8" xfId="17223"/>
    <cellStyle name="Обычный 21 4 2 3" xfId="17224"/>
    <cellStyle name="Обычный 21 4 2 3 2" xfId="17225"/>
    <cellStyle name="Обычный 21 4 2 3 2 2" xfId="17226"/>
    <cellStyle name="Обычный 21 4 2 3 2 2 2" xfId="17227"/>
    <cellStyle name="Обычный 21 4 2 3 2 3" xfId="17228"/>
    <cellStyle name="Обычный 21 4 2 3 3" xfId="17229"/>
    <cellStyle name="Обычный 21 4 2 3 3 2" xfId="17230"/>
    <cellStyle name="Обычный 21 4 2 3 3 2 2" xfId="17231"/>
    <cellStyle name="Обычный 21 4 2 3 3 3" xfId="17232"/>
    <cellStyle name="Обычный 21 4 2 3 4" xfId="17233"/>
    <cellStyle name="Обычный 21 4 2 3 4 2" xfId="17234"/>
    <cellStyle name="Обычный 21 4 2 3 5" xfId="17235"/>
    <cellStyle name="Обычный 21 4 2 3 5 2" xfId="17236"/>
    <cellStyle name="Обычный 21 4 2 3 6" xfId="17237"/>
    <cellStyle name="Обычный 21 4 2 4" xfId="17238"/>
    <cellStyle name="Обычный 21 4 2 4 2" xfId="17239"/>
    <cellStyle name="Обычный 21 4 2 4 2 2" xfId="17240"/>
    <cellStyle name="Обычный 21 4 2 4 2 2 2" xfId="17241"/>
    <cellStyle name="Обычный 21 4 2 4 2 3" xfId="17242"/>
    <cellStyle name="Обычный 21 4 2 4 3" xfId="17243"/>
    <cellStyle name="Обычный 21 4 2 4 3 2" xfId="17244"/>
    <cellStyle name="Обычный 21 4 2 4 3 2 2" xfId="17245"/>
    <cellStyle name="Обычный 21 4 2 4 3 3" xfId="17246"/>
    <cellStyle name="Обычный 21 4 2 4 4" xfId="17247"/>
    <cellStyle name="Обычный 21 4 2 4 4 2" xfId="17248"/>
    <cellStyle name="Обычный 21 4 2 4 5" xfId="17249"/>
    <cellStyle name="Обычный 21 4 2 4 5 2" xfId="17250"/>
    <cellStyle name="Обычный 21 4 2 4 6" xfId="17251"/>
    <cellStyle name="Обычный 21 4 2 5" xfId="17252"/>
    <cellStyle name="Обычный 21 4 2 5 2" xfId="17253"/>
    <cellStyle name="Обычный 21 4 2 5 2 2" xfId="17254"/>
    <cellStyle name="Обычный 21 4 2 5 3" xfId="17255"/>
    <cellStyle name="Обычный 21 4 2 6" xfId="17256"/>
    <cellStyle name="Обычный 21 4 2 6 2" xfId="17257"/>
    <cellStyle name="Обычный 21 4 2 6 2 2" xfId="17258"/>
    <cellStyle name="Обычный 21 4 2 6 3" xfId="17259"/>
    <cellStyle name="Обычный 21 4 2 7" xfId="17260"/>
    <cellStyle name="Обычный 21 4 2 7 2" xfId="17261"/>
    <cellStyle name="Обычный 21 4 2 8" xfId="17262"/>
    <cellStyle name="Обычный 21 4 2 8 2" xfId="17263"/>
    <cellStyle name="Обычный 21 4 2 9" xfId="17264"/>
    <cellStyle name="Обычный 21 4 3" xfId="17265"/>
    <cellStyle name="Обычный 21 4 3 2" xfId="17266"/>
    <cellStyle name="Обычный 21 4 3 2 2" xfId="17267"/>
    <cellStyle name="Обычный 21 4 3 2 2 2" xfId="17268"/>
    <cellStyle name="Обычный 21 4 3 2 2 2 2" xfId="17269"/>
    <cellStyle name="Обычный 21 4 3 2 2 3" xfId="17270"/>
    <cellStyle name="Обычный 21 4 3 2 2 3 2" xfId="17271"/>
    <cellStyle name="Обычный 21 4 3 2 2 4" xfId="17272"/>
    <cellStyle name="Обычный 21 4 3 2 3" xfId="17273"/>
    <cellStyle name="Обычный 21 4 3 2 3 2" xfId="17274"/>
    <cellStyle name="Обычный 21 4 3 2 3 2 2" xfId="17275"/>
    <cellStyle name="Обычный 21 4 3 2 3 3" xfId="17276"/>
    <cellStyle name="Обычный 21 4 3 2 4" xfId="17277"/>
    <cellStyle name="Обычный 21 4 3 2 4 2" xfId="17278"/>
    <cellStyle name="Обычный 21 4 3 2 5" xfId="17279"/>
    <cellStyle name="Обычный 21 4 3 2 5 2" xfId="17280"/>
    <cellStyle name="Обычный 21 4 3 2 6" xfId="17281"/>
    <cellStyle name="Обычный 21 4 3 3" xfId="17282"/>
    <cellStyle name="Обычный 21 4 3 3 2" xfId="17283"/>
    <cellStyle name="Обычный 21 4 3 3 2 2" xfId="17284"/>
    <cellStyle name="Обычный 21 4 3 3 2 2 2" xfId="17285"/>
    <cellStyle name="Обычный 21 4 3 3 2 3" xfId="17286"/>
    <cellStyle name="Обычный 21 4 3 3 3" xfId="17287"/>
    <cellStyle name="Обычный 21 4 3 3 3 2" xfId="17288"/>
    <cellStyle name="Обычный 21 4 3 3 3 2 2" xfId="17289"/>
    <cellStyle name="Обычный 21 4 3 3 3 3" xfId="17290"/>
    <cellStyle name="Обычный 21 4 3 3 4" xfId="17291"/>
    <cellStyle name="Обычный 21 4 3 3 4 2" xfId="17292"/>
    <cellStyle name="Обычный 21 4 3 3 5" xfId="17293"/>
    <cellStyle name="Обычный 21 4 3 3 5 2" xfId="17294"/>
    <cellStyle name="Обычный 21 4 3 3 6" xfId="17295"/>
    <cellStyle name="Обычный 21 4 3 4" xfId="17296"/>
    <cellStyle name="Обычный 21 4 3 4 2" xfId="17297"/>
    <cellStyle name="Обычный 21 4 3 4 2 2" xfId="17298"/>
    <cellStyle name="Обычный 21 4 3 4 3" xfId="17299"/>
    <cellStyle name="Обычный 21 4 3 4 3 2" xfId="17300"/>
    <cellStyle name="Обычный 21 4 3 4 4" xfId="17301"/>
    <cellStyle name="Обычный 21 4 3 5" xfId="17302"/>
    <cellStyle name="Обычный 21 4 3 5 2" xfId="17303"/>
    <cellStyle name="Обычный 21 4 3 5 2 2" xfId="17304"/>
    <cellStyle name="Обычный 21 4 3 5 3" xfId="17305"/>
    <cellStyle name="Обычный 21 4 3 6" xfId="17306"/>
    <cellStyle name="Обычный 21 4 3 6 2" xfId="17307"/>
    <cellStyle name="Обычный 21 4 3 7" xfId="17308"/>
    <cellStyle name="Обычный 21 4 3 7 2" xfId="17309"/>
    <cellStyle name="Обычный 21 4 3 8" xfId="17310"/>
    <cellStyle name="Обычный 21 4 4" xfId="17311"/>
    <cellStyle name="Обычный 21 4 4 2" xfId="17312"/>
    <cellStyle name="Обычный 21 4 4 2 2" xfId="17313"/>
    <cellStyle name="Обычный 21 4 4 2 2 2" xfId="17314"/>
    <cellStyle name="Обычный 21 4 4 2 2 2 2" xfId="17315"/>
    <cellStyle name="Обычный 21 4 4 2 2 3" xfId="17316"/>
    <cellStyle name="Обычный 21 4 4 2 3" xfId="17317"/>
    <cellStyle name="Обычный 21 4 4 2 3 2" xfId="17318"/>
    <cellStyle name="Обычный 21 4 4 2 3 2 2" xfId="17319"/>
    <cellStyle name="Обычный 21 4 4 2 3 3" xfId="17320"/>
    <cellStyle name="Обычный 21 4 4 2 4" xfId="17321"/>
    <cellStyle name="Обычный 21 4 4 2 4 2" xfId="17322"/>
    <cellStyle name="Обычный 21 4 4 2 5" xfId="17323"/>
    <cellStyle name="Обычный 21 4 4 2 5 2" xfId="17324"/>
    <cellStyle name="Обычный 21 4 4 2 6" xfId="17325"/>
    <cellStyle name="Обычный 21 4 4 3" xfId="17326"/>
    <cellStyle name="Обычный 21 4 4 3 2" xfId="17327"/>
    <cellStyle name="Обычный 21 4 4 3 2 2" xfId="17328"/>
    <cellStyle name="Обычный 21 4 4 3 2 2 2" xfId="17329"/>
    <cellStyle name="Обычный 21 4 4 3 2 3" xfId="17330"/>
    <cellStyle name="Обычный 21 4 4 3 3" xfId="17331"/>
    <cellStyle name="Обычный 21 4 4 3 3 2" xfId="17332"/>
    <cellStyle name="Обычный 21 4 4 3 3 2 2" xfId="17333"/>
    <cellStyle name="Обычный 21 4 4 3 3 3" xfId="17334"/>
    <cellStyle name="Обычный 21 4 4 3 4" xfId="17335"/>
    <cellStyle name="Обычный 21 4 4 3 4 2" xfId="17336"/>
    <cellStyle name="Обычный 21 4 4 3 5" xfId="17337"/>
    <cellStyle name="Обычный 21 4 4 4" xfId="17338"/>
    <cellStyle name="Обычный 21 4 4 4 2" xfId="17339"/>
    <cellStyle name="Обычный 21 4 4 4 2 2" xfId="17340"/>
    <cellStyle name="Обычный 21 4 4 4 3" xfId="17341"/>
    <cellStyle name="Обычный 21 4 4 5" xfId="17342"/>
    <cellStyle name="Обычный 21 4 4 5 2" xfId="17343"/>
    <cellStyle name="Обычный 21 4 4 5 2 2" xfId="17344"/>
    <cellStyle name="Обычный 21 4 4 5 3" xfId="17345"/>
    <cellStyle name="Обычный 21 4 4 6" xfId="17346"/>
    <cellStyle name="Обычный 21 4 4 6 2" xfId="17347"/>
    <cellStyle name="Обычный 21 4 4 7" xfId="17348"/>
    <cellStyle name="Обычный 21 4 4 7 2" xfId="17349"/>
    <cellStyle name="Обычный 21 4 4 8" xfId="17350"/>
    <cellStyle name="Обычный 21 4 5" xfId="17351"/>
    <cellStyle name="Обычный 21 4 5 2" xfId="17352"/>
    <cellStyle name="Обычный 21 4 5 2 2" xfId="17353"/>
    <cellStyle name="Обычный 21 4 5 2 2 2" xfId="17354"/>
    <cellStyle name="Обычный 21 4 5 2 3" xfId="17355"/>
    <cellStyle name="Обычный 21 4 5 3" xfId="17356"/>
    <cellStyle name="Обычный 21 4 5 3 2" xfId="17357"/>
    <cellStyle name="Обычный 21 4 5 3 2 2" xfId="17358"/>
    <cellStyle name="Обычный 21 4 5 3 3" xfId="17359"/>
    <cellStyle name="Обычный 21 4 5 4" xfId="17360"/>
    <cellStyle name="Обычный 21 4 5 4 2" xfId="17361"/>
    <cellStyle name="Обычный 21 4 5 5" xfId="17362"/>
    <cellStyle name="Обычный 21 4 5 5 2" xfId="17363"/>
    <cellStyle name="Обычный 21 4 5 6" xfId="17364"/>
    <cellStyle name="Обычный 21 4 6" xfId="17365"/>
    <cellStyle name="Обычный 21 4 6 2" xfId="17366"/>
    <cellStyle name="Обычный 21 4 6 2 2" xfId="17367"/>
    <cellStyle name="Обычный 21 4 6 2 2 2" xfId="17368"/>
    <cellStyle name="Обычный 21 4 6 2 3" xfId="17369"/>
    <cellStyle name="Обычный 21 4 6 3" xfId="17370"/>
    <cellStyle name="Обычный 21 4 6 3 2" xfId="17371"/>
    <cellStyle name="Обычный 21 4 6 3 2 2" xfId="17372"/>
    <cellStyle name="Обычный 21 4 6 3 3" xfId="17373"/>
    <cellStyle name="Обычный 21 4 6 4" xfId="17374"/>
    <cellStyle name="Обычный 21 4 6 4 2" xfId="17375"/>
    <cellStyle name="Обычный 21 4 6 5" xfId="17376"/>
    <cellStyle name="Обычный 21 4 6 5 2" xfId="17377"/>
    <cellStyle name="Обычный 21 4 6 6" xfId="17378"/>
    <cellStyle name="Обычный 21 4 7" xfId="17379"/>
    <cellStyle name="Обычный 21 4 7 2" xfId="17380"/>
    <cellStyle name="Обычный 21 4 7 2 2" xfId="17381"/>
    <cellStyle name="Обычный 21 4 7 2 2 2" xfId="17382"/>
    <cellStyle name="Обычный 21 4 7 2 3" xfId="17383"/>
    <cellStyle name="Обычный 21 4 7 3" xfId="17384"/>
    <cellStyle name="Обычный 21 4 7 3 2" xfId="17385"/>
    <cellStyle name="Обычный 21 4 7 4" xfId="17386"/>
    <cellStyle name="Обычный 21 4 8" xfId="17387"/>
    <cellStyle name="Обычный 21 4 8 2" xfId="17388"/>
    <cellStyle name="Обычный 21 4 8 2 2" xfId="17389"/>
    <cellStyle name="Обычный 21 4 8 3" xfId="17390"/>
    <cellStyle name="Обычный 21 4 9" xfId="17391"/>
    <cellStyle name="Обычный 21 4 9 2" xfId="17392"/>
    <cellStyle name="Обычный 21 4 9 2 2" xfId="17393"/>
    <cellStyle name="Обычный 21 4 9 3" xfId="17394"/>
    <cellStyle name="Обычный 21 40" xfId="17395"/>
    <cellStyle name="Обычный 21 40 2" xfId="17396"/>
    <cellStyle name="Обычный 21 40 2 2" xfId="17397"/>
    <cellStyle name="Обычный 21 40 2 2 2" xfId="17398"/>
    <cellStyle name="Обычный 21 40 2 3" xfId="17399"/>
    <cellStyle name="Обычный 21 40 3" xfId="17400"/>
    <cellStyle name="Обычный 21 40 3 2" xfId="17401"/>
    <cellStyle name="Обычный 21 40 3 2 2" xfId="17402"/>
    <cellStyle name="Обычный 21 40 3 3" xfId="17403"/>
    <cellStyle name="Обычный 21 40 4" xfId="17404"/>
    <cellStyle name="Обычный 21 40 4 2" xfId="17405"/>
    <cellStyle name="Обычный 21 40 5" xfId="17406"/>
    <cellStyle name="Обычный 21 40 5 2" xfId="17407"/>
    <cellStyle name="Обычный 21 40 6" xfId="17408"/>
    <cellStyle name="Обычный 21 41" xfId="17409"/>
    <cellStyle name="Обычный 21 41 2" xfId="17410"/>
    <cellStyle name="Обычный 21 41 2 2" xfId="17411"/>
    <cellStyle name="Обычный 21 41 2 2 2" xfId="17412"/>
    <cellStyle name="Обычный 21 41 2 3" xfId="17413"/>
    <cellStyle name="Обычный 21 41 3" xfId="17414"/>
    <cellStyle name="Обычный 21 41 3 2" xfId="17415"/>
    <cellStyle name="Обычный 21 41 3 2 2" xfId="17416"/>
    <cellStyle name="Обычный 21 41 3 3" xfId="17417"/>
    <cellStyle name="Обычный 21 41 4" xfId="17418"/>
    <cellStyle name="Обычный 21 41 4 2" xfId="17419"/>
    <cellStyle name="Обычный 21 41 5" xfId="17420"/>
    <cellStyle name="Обычный 21 41 5 2" xfId="17421"/>
    <cellStyle name="Обычный 21 41 6" xfId="17422"/>
    <cellStyle name="Обычный 21 42" xfId="17423"/>
    <cellStyle name="Обычный 21 42 2" xfId="17424"/>
    <cellStyle name="Обычный 21 42 2 2" xfId="17425"/>
    <cellStyle name="Обычный 21 42 2 2 2" xfId="17426"/>
    <cellStyle name="Обычный 21 42 2 2 2 2" xfId="17427"/>
    <cellStyle name="Обычный 21 42 2 2 3" xfId="17428"/>
    <cellStyle name="Обычный 21 42 2 3" xfId="17429"/>
    <cellStyle name="Обычный 21 42 2 3 2" xfId="17430"/>
    <cellStyle name="Обычный 21 42 2 4" xfId="17431"/>
    <cellStyle name="Обычный 21 42 3" xfId="17432"/>
    <cellStyle name="Обычный 21 42 3 2" xfId="17433"/>
    <cellStyle name="Обычный 21 42 3 2 2" xfId="17434"/>
    <cellStyle name="Обычный 21 42 3 2 2 2" xfId="17435"/>
    <cellStyle name="Обычный 21 42 3 2 3" xfId="17436"/>
    <cellStyle name="Обычный 21 42 3 3" xfId="17437"/>
    <cellStyle name="Обычный 21 42 3 3 2" xfId="17438"/>
    <cellStyle name="Обычный 21 42 3 4" xfId="17439"/>
    <cellStyle name="Обычный 21 42 4" xfId="17440"/>
    <cellStyle name="Обычный 21 42 4 2" xfId="17441"/>
    <cellStyle name="Обычный 21 42 4 2 2" xfId="17442"/>
    <cellStyle name="Обычный 21 42 4 3" xfId="17443"/>
    <cellStyle name="Обычный 21 42 5" xfId="17444"/>
    <cellStyle name="Обычный 21 42 5 2" xfId="17445"/>
    <cellStyle name="Обычный 21 42 5 2 2" xfId="17446"/>
    <cellStyle name="Обычный 21 42 5 3" xfId="17447"/>
    <cellStyle name="Обычный 21 42 6" xfId="17448"/>
    <cellStyle name="Обычный 21 42 6 2" xfId="17449"/>
    <cellStyle name="Обычный 21 42 7" xfId="17450"/>
    <cellStyle name="Обычный 21 42 7 2" xfId="17451"/>
    <cellStyle name="Обычный 21 42 8" xfId="17452"/>
    <cellStyle name="Обычный 21 43" xfId="17453"/>
    <cellStyle name="Обычный 21 43 2" xfId="17454"/>
    <cellStyle name="Обычный 21 43 2 2" xfId="17455"/>
    <cellStyle name="Обычный 21 43 2 2 2" xfId="17456"/>
    <cellStyle name="Обычный 21 43 2 2 2 2" xfId="17457"/>
    <cellStyle name="Обычный 21 43 2 2 3" xfId="17458"/>
    <cellStyle name="Обычный 21 43 2 3" xfId="17459"/>
    <cellStyle name="Обычный 21 43 2 3 2" xfId="17460"/>
    <cellStyle name="Обычный 21 43 2 3 2 2" xfId="17461"/>
    <cellStyle name="Обычный 21 43 2 3 3" xfId="17462"/>
    <cellStyle name="Обычный 21 43 2 4" xfId="17463"/>
    <cellStyle name="Обычный 21 43 2 4 2" xfId="17464"/>
    <cellStyle name="Обычный 21 43 2 5" xfId="17465"/>
    <cellStyle name="Обычный 21 43 2 5 2" xfId="17466"/>
    <cellStyle name="Обычный 21 43 2 6" xfId="17467"/>
    <cellStyle name="Обычный 21 43 3" xfId="17468"/>
    <cellStyle name="Обычный 21 43 3 2" xfId="17469"/>
    <cellStyle name="Обычный 21 43 3 2 2" xfId="17470"/>
    <cellStyle name="Обычный 21 43 3 3" xfId="17471"/>
    <cellStyle name="Обычный 21 43 4" xfId="17472"/>
    <cellStyle name="Обычный 21 43 4 2" xfId="17473"/>
    <cellStyle name="Обычный 21 43 4 2 2" xfId="17474"/>
    <cellStyle name="Обычный 21 43 4 3" xfId="17475"/>
    <cellStyle name="Обычный 21 43 5" xfId="17476"/>
    <cellStyle name="Обычный 21 43 5 2" xfId="17477"/>
    <cellStyle name="Обычный 21 43 6" xfId="17478"/>
    <cellStyle name="Обычный 21 43 6 2" xfId="17479"/>
    <cellStyle name="Обычный 21 43 7" xfId="17480"/>
    <cellStyle name="Обычный 21 43 7 2" xfId="17481"/>
    <cellStyle name="Обычный 21 43 8" xfId="17482"/>
    <cellStyle name="Обычный 21 44" xfId="17483"/>
    <cellStyle name="Обычный 21 44 2" xfId="17484"/>
    <cellStyle name="Обычный 21 44 2 2" xfId="17485"/>
    <cellStyle name="Обычный 21 44 2 2 2" xfId="17486"/>
    <cellStyle name="Обычный 21 44 2 3" xfId="17487"/>
    <cellStyle name="Обычный 21 44 3" xfId="17488"/>
    <cellStyle name="Обычный 21 44 3 2" xfId="17489"/>
    <cellStyle name="Обычный 21 44 3 2 2" xfId="17490"/>
    <cellStyle name="Обычный 21 44 3 3" xfId="17491"/>
    <cellStyle name="Обычный 21 44 4" xfId="17492"/>
    <cellStyle name="Обычный 21 44 4 2" xfId="17493"/>
    <cellStyle name="Обычный 21 44 5" xfId="17494"/>
    <cellStyle name="Обычный 21 44 5 2" xfId="17495"/>
    <cellStyle name="Обычный 21 44 6" xfId="17496"/>
    <cellStyle name="Обычный 21 45" xfId="17497"/>
    <cellStyle name="Обычный 21 45 2" xfId="17498"/>
    <cellStyle name="Обычный 21 45 2 2" xfId="17499"/>
    <cellStyle name="Обычный 21 45 2 2 2" xfId="17500"/>
    <cellStyle name="Обычный 21 45 2 3" xfId="17501"/>
    <cellStyle name="Обычный 21 45 3" xfId="17502"/>
    <cellStyle name="Обычный 21 45 3 2" xfId="17503"/>
    <cellStyle name="Обычный 21 45 3 2 2" xfId="17504"/>
    <cellStyle name="Обычный 21 45 3 3" xfId="17505"/>
    <cellStyle name="Обычный 21 45 4" xfId="17506"/>
    <cellStyle name="Обычный 21 45 4 2" xfId="17507"/>
    <cellStyle name="Обычный 21 45 5" xfId="17508"/>
    <cellStyle name="Обычный 21 45 5 2" xfId="17509"/>
    <cellStyle name="Обычный 21 45 6" xfId="17510"/>
    <cellStyle name="Обычный 21 46" xfId="17511"/>
    <cellStyle name="Обычный 21 46 2" xfId="17512"/>
    <cellStyle name="Обычный 21 46 2 2" xfId="17513"/>
    <cellStyle name="Обычный 21 46 2 2 2" xfId="17514"/>
    <cellStyle name="Обычный 21 46 2 3" xfId="17515"/>
    <cellStyle name="Обычный 21 46 3" xfId="17516"/>
    <cellStyle name="Обычный 21 46 3 2" xfId="17517"/>
    <cellStyle name="Обычный 21 46 4" xfId="17518"/>
    <cellStyle name="Обычный 21 46 4 2" xfId="17519"/>
    <cellStyle name="Обычный 21 46 5" xfId="17520"/>
    <cellStyle name="Обычный 21 47" xfId="17521"/>
    <cellStyle name="Обычный 21 47 2" xfId="17522"/>
    <cellStyle name="Обычный 21 47 2 2" xfId="17523"/>
    <cellStyle name="Обычный 21 47 2 2 2" xfId="17524"/>
    <cellStyle name="Обычный 21 47 2 3" xfId="17525"/>
    <cellStyle name="Обычный 21 47 3" xfId="17526"/>
    <cellStyle name="Обычный 21 47 3 2" xfId="17527"/>
    <cellStyle name="Обычный 21 47 4" xfId="17528"/>
    <cellStyle name="Обычный 21 47 4 2" xfId="17529"/>
    <cellStyle name="Обычный 21 47 5" xfId="17530"/>
    <cellStyle name="Обычный 21 48" xfId="17531"/>
    <cellStyle name="Обычный 21 48 2" xfId="17532"/>
    <cellStyle name="Обычный 21 48 2 2" xfId="17533"/>
    <cellStyle name="Обычный 21 48 2 2 2" xfId="17534"/>
    <cellStyle name="Обычный 21 48 2 3" xfId="17535"/>
    <cellStyle name="Обычный 21 48 3" xfId="17536"/>
    <cellStyle name="Обычный 21 48 3 2" xfId="17537"/>
    <cellStyle name="Обычный 21 48 4" xfId="17538"/>
    <cellStyle name="Обычный 21 49" xfId="17539"/>
    <cellStyle name="Обычный 21 49 2" xfId="17540"/>
    <cellStyle name="Обычный 21 49 2 2" xfId="17541"/>
    <cellStyle name="Обычный 21 49 2 2 2" xfId="17542"/>
    <cellStyle name="Обычный 21 49 2 3" xfId="17543"/>
    <cellStyle name="Обычный 21 49 3" xfId="17544"/>
    <cellStyle name="Обычный 21 49 3 2" xfId="17545"/>
    <cellStyle name="Обычный 21 49 4" xfId="17546"/>
    <cellStyle name="Обычный 21 5" xfId="17547"/>
    <cellStyle name="Обычный 21 5 10" xfId="17548"/>
    <cellStyle name="Обычный 21 5 10 2" xfId="17549"/>
    <cellStyle name="Обычный 21 5 11" xfId="17550"/>
    <cellStyle name="Обычный 21 5 2" xfId="17551"/>
    <cellStyle name="Обычный 21 5 2 2" xfId="17552"/>
    <cellStyle name="Обычный 21 5 2 2 2" xfId="17553"/>
    <cellStyle name="Обычный 21 5 2 2 2 2" xfId="17554"/>
    <cellStyle name="Обычный 21 5 2 2 2 2 2" xfId="17555"/>
    <cellStyle name="Обычный 21 5 2 2 2 2 2 2" xfId="17556"/>
    <cellStyle name="Обычный 21 5 2 2 2 2 3" xfId="17557"/>
    <cellStyle name="Обычный 21 5 2 2 2 3" xfId="17558"/>
    <cellStyle name="Обычный 21 5 2 2 2 3 2" xfId="17559"/>
    <cellStyle name="Обычный 21 5 2 2 2 3 2 2" xfId="17560"/>
    <cellStyle name="Обычный 21 5 2 2 2 3 3" xfId="17561"/>
    <cellStyle name="Обычный 21 5 2 2 2 4" xfId="17562"/>
    <cellStyle name="Обычный 21 5 2 2 2 4 2" xfId="17563"/>
    <cellStyle name="Обычный 21 5 2 2 2 5" xfId="17564"/>
    <cellStyle name="Обычный 21 5 2 2 2 5 2" xfId="17565"/>
    <cellStyle name="Обычный 21 5 2 2 2 6" xfId="17566"/>
    <cellStyle name="Обычный 21 5 2 2 3" xfId="17567"/>
    <cellStyle name="Обычный 21 5 2 2 3 2" xfId="17568"/>
    <cellStyle name="Обычный 21 5 2 2 3 2 2" xfId="17569"/>
    <cellStyle name="Обычный 21 5 2 2 3 2 2 2" xfId="17570"/>
    <cellStyle name="Обычный 21 5 2 2 3 2 3" xfId="17571"/>
    <cellStyle name="Обычный 21 5 2 2 3 3" xfId="17572"/>
    <cellStyle name="Обычный 21 5 2 2 3 3 2" xfId="17573"/>
    <cellStyle name="Обычный 21 5 2 2 3 3 2 2" xfId="17574"/>
    <cellStyle name="Обычный 21 5 2 2 3 3 3" xfId="17575"/>
    <cellStyle name="Обычный 21 5 2 2 3 4" xfId="17576"/>
    <cellStyle name="Обычный 21 5 2 2 3 4 2" xfId="17577"/>
    <cellStyle name="Обычный 21 5 2 2 3 5" xfId="17578"/>
    <cellStyle name="Обычный 21 5 2 2 4" xfId="17579"/>
    <cellStyle name="Обычный 21 5 2 2 4 2" xfId="17580"/>
    <cellStyle name="Обычный 21 5 2 2 4 2 2" xfId="17581"/>
    <cellStyle name="Обычный 21 5 2 2 4 3" xfId="17582"/>
    <cellStyle name="Обычный 21 5 2 2 5" xfId="17583"/>
    <cellStyle name="Обычный 21 5 2 2 5 2" xfId="17584"/>
    <cellStyle name="Обычный 21 5 2 2 5 2 2" xfId="17585"/>
    <cellStyle name="Обычный 21 5 2 2 5 3" xfId="17586"/>
    <cellStyle name="Обычный 21 5 2 2 6" xfId="17587"/>
    <cellStyle name="Обычный 21 5 2 2 6 2" xfId="17588"/>
    <cellStyle name="Обычный 21 5 2 2 7" xfId="17589"/>
    <cellStyle name="Обычный 21 5 2 2 7 2" xfId="17590"/>
    <cellStyle name="Обычный 21 5 2 2 8" xfId="17591"/>
    <cellStyle name="Обычный 21 5 2 3" xfId="17592"/>
    <cellStyle name="Обычный 21 5 2 3 2" xfId="17593"/>
    <cellStyle name="Обычный 21 5 2 3 2 2" xfId="17594"/>
    <cellStyle name="Обычный 21 5 2 3 2 2 2" xfId="17595"/>
    <cellStyle name="Обычный 21 5 2 3 2 3" xfId="17596"/>
    <cellStyle name="Обычный 21 5 2 3 3" xfId="17597"/>
    <cellStyle name="Обычный 21 5 2 3 3 2" xfId="17598"/>
    <cellStyle name="Обычный 21 5 2 3 3 2 2" xfId="17599"/>
    <cellStyle name="Обычный 21 5 2 3 3 3" xfId="17600"/>
    <cellStyle name="Обычный 21 5 2 3 4" xfId="17601"/>
    <cellStyle name="Обычный 21 5 2 3 4 2" xfId="17602"/>
    <cellStyle name="Обычный 21 5 2 3 5" xfId="17603"/>
    <cellStyle name="Обычный 21 5 2 3 5 2" xfId="17604"/>
    <cellStyle name="Обычный 21 5 2 3 6" xfId="17605"/>
    <cellStyle name="Обычный 21 5 2 4" xfId="17606"/>
    <cellStyle name="Обычный 21 5 2 4 2" xfId="17607"/>
    <cellStyle name="Обычный 21 5 2 4 2 2" xfId="17608"/>
    <cellStyle name="Обычный 21 5 2 4 2 2 2" xfId="17609"/>
    <cellStyle name="Обычный 21 5 2 4 2 3" xfId="17610"/>
    <cellStyle name="Обычный 21 5 2 4 3" xfId="17611"/>
    <cellStyle name="Обычный 21 5 2 4 3 2" xfId="17612"/>
    <cellStyle name="Обычный 21 5 2 4 3 2 2" xfId="17613"/>
    <cellStyle name="Обычный 21 5 2 4 3 3" xfId="17614"/>
    <cellStyle name="Обычный 21 5 2 4 4" xfId="17615"/>
    <cellStyle name="Обычный 21 5 2 4 4 2" xfId="17616"/>
    <cellStyle name="Обычный 21 5 2 4 5" xfId="17617"/>
    <cellStyle name="Обычный 21 5 2 4 5 2" xfId="17618"/>
    <cellStyle name="Обычный 21 5 2 4 6" xfId="17619"/>
    <cellStyle name="Обычный 21 5 2 5" xfId="17620"/>
    <cellStyle name="Обычный 21 5 2 5 2" xfId="17621"/>
    <cellStyle name="Обычный 21 5 2 5 2 2" xfId="17622"/>
    <cellStyle name="Обычный 21 5 2 5 3" xfId="17623"/>
    <cellStyle name="Обычный 21 5 2 6" xfId="17624"/>
    <cellStyle name="Обычный 21 5 2 6 2" xfId="17625"/>
    <cellStyle name="Обычный 21 5 2 6 2 2" xfId="17626"/>
    <cellStyle name="Обычный 21 5 2 6 3" xfId="17627"/>
    <cellStyle name="Обычный 21 5 2 7" xfId="17628"/>
    <cellStyle name="Обычный 21 5 2 7 2" xfId="17629"/>
    <cellStyle name="Обычный 21 5 2 8" xfId="17630"/>
    <cellStyle name="Обычный 21 5 2 8 2" xfId="17631"/>
    <cellStyle name="Обычный 21 5 2 9" xfId="17632"/>
    <cellStyle name="Обычный 21 5 3" xfId="17633"/>
    <cellStyle name="Обычный 21 5 3 2" xfId="17634"/>
    <cellStyle name="Обычный 21 5 3 2 2" xfId="17635"/>
    <cellStyle name="Обычный 21 5 3 2 2 2" xfId="17636"/>
    <cellStyle name="Обычный 21 5 3 2 2 2 2" xfId="17637"/>
    <cellStyle name="Обычный 21 5 3 2 2 3" xfId="17638"/>
    <cellStyle name="Обычный 21 5 3 2 2 3 2" xfId="17639"/>
    <cellStyle name="Обычный 21 5 3 2 2 4" xfId="17640"/>
    <cellStyle name="Обычный 21 5 3 2 3" xfId="17641"/>
    <cellStyle name="Обычный 21 5 3 2 3 2" xfId="17642"/>
    <cellStyle name="Обычный 21 5 3 2 3 2 2" xfId="17643"/>
    <cellStyle name="Обычный 21 5 3 2 3 3" xfId="17644"/>
    <cellStyle name="Обычный 21 5 3 2 4" xfId="17645"/>
    <cellStyle name="Обычный 21 5 3 2 4 2" xfId="17646"/>
    <cellStyle name="Обычный 21 5 3 2 5" xfId="17647"/>
    <cellStyle name="Обычный 21 5 3 2 5 2" xfId="17648"/>
    <cellStyle name="Обычный 21 5 3 2 6" xfId="17649"/>
    <cellStyle name="Обычный 21 5 3 3" xfId="17650"/>
    <cellStyle name="Обычный 21 5 3 3 2" xfId="17651"/>
    <cellStyle name="Обычный 21 5 3 3 2 2" xfId="17652"/>
    <cellStyle name="Обычный 21 5 3 3 2 2 2" xfId="17653"/>
    <cellStyle name="Обычный 21 5 3 3 2 3" xfId="17654"/>
    <cellStyle name="Обычный 21 5 3 3 3" xfId="17655"/>
    <cellStyle name="Обычный 21 5 3 3 3 2" xfId="17656"/>
    <cellStyle name="Обычный 21 5 3 3 3 2 2" xfId="17657"/>
    <cellStyle name="Обычный 21 5 3 3 3 3" xfId="17658"/>
    <cellStyle name="Обычный 21 5 3 3 4" xfId="17659"/>
    <cellStyle name="Обычный 21 5 3 3 4 2" xfId="17660"/>
    <cellStyle name="Обычный 21 5 3 3 5" xfId="17661"/>
    <cellStyle name="Обычный 21 5 3 3 5 2" xfId="17662"/>
    <cellStyle name="Обычный 21 5 3 3 6" xfId="17663"/>
    <cellStyle name="Обычный 21 5 3 4" xfId="17664"/>
    <cellStyle name="Обычный 21 5 3 4 2" xfId="17665"/>
    <cellStyle name="Обычный 21 5 3 4 2 2" xfId="17666"/>
    <cellStyle name="Обычный 21 5 3 4 3" xfId="17667"/>
    <cellStyle name="Обычный 21 5 3 4 3 2" xfId="17668"/>
    <cellStyle name="Обычный 21 5 3 4 4" xfId="17669"/>
    <cellStyle name="Обычный 21 5 3 5" xfId="17670"/>
    <cellStyle name="Обычный 21 5 3 5 2" xfId="17671"/>
    <cellStyle name="Обычный 21 5 3 5 2 2" xfId="17672"/>
    <cellStyle name="Обычный 21 5 3 5 3" xfId="17673"/>
    <cellStyle name="Обычный 21 5 3 6" xfId="17674"/>
    <cellStyle name="Обычный 21 5 3 6 2" xfId="17675"/>
    <cellStyle name="Обычный 21 5 3 7" xfId="17676"/>
    <cellStyle name="Обычный 21 5 3 7 2" xfId="17677"/>
    <cellStyle name="Обычный 21 5 3 8" xfId="17678"/>
    <cellStyle name="Обычный 21 5 4" xfId="17679"/>
    <cellStyle name="Обычный 21 5 4 2" xfId="17680"/>
    <cellStyle name="Обычный 21 5 4 2 2" xfId="17681"/>
    <cellStyle name="Обычный 21 5 4 2 2 2" xfId="17682"/>
    <cellStyle name="Обычный 21 5 4 2 2 2 2" xfId="17683"/>
    <cellStyle name="Обычный 21 5 4 2 2 3" xfId="17684"/>
    <cellStyle name="Обычный 21 5 4 2 3" xfId="17685"/>
    <cellStyle name="Обычный 21 5 4 2 3 2" xfId="17686"/>
    <cellStyle name="Обычный 21 5 4 2 3 2 2" xfId="17687"/>
    <cellStyle name="Обычный 21 5 4 2 3 3" xfId="17688"/>
    <cellStyle name="Обычный 21 5 4 2 4" xfId="17689"/>
    <cellStyle name="Обычный 21 5 4 2 4 2" xfId="17690"/>
    <cellStyle name="Обычный 21 5 4 2 5" xfId="17691"/>
    <cellStyle name="Обычный 21 5 4 2 5 2" xfId="17692"/>
    <cellStyle name="Обычный 21 5 4 2 6" xfId="17693"/>
    <cellStyle name="Обычный 21 5 4 3" xfId="17694"/>
    <cellStyle name="Обычный 21 5 4 3 2" xfId="17695"/>
    <cellStyle name="Обычный 21 5 4 3 2 2" xfId="17696"/>
    <cellStyle name="Обычный 21 5 4 3 2 2 2" xfId="17697"/>
    <cellStyle name="Обычный 21 5 4 3 2 3" xfId="17698"/>
    <cellStyle name="Обычный 21 5 4 3 3" xfId="17699"/>
    <cellStyle name="Обычный 21 5 4 3 3 2" xfId="17700"/>
    <cellStyle name="Обычный 21 5 4 3 3 2 2" xfId="17701"/>
    <cellStyle name="Обычный 21 5 4 3 3 3" xfId="17702"/>
    <cellStyle name="Обычный 21 5 4 3 4" xfId="17703"/>
    <cellStyle name="Обычный 21 5 4 3 4 2" xfId="17704"/>
    <cellStyle name="Обычный 21 5 4 3 5" xfId="17705"/>
    <cellStyle name="Обычный 21 5 4 4" xfId="17706"/>
    <cellStyle name="Обычный 21 5 4 4 2" xfId="17707"/>
    <cellStyle name="Обычный 21 5 4 4 2 2" xfId="17708"/>
    <cellStyle name="Обычный 21 5 4 4 3" xfId="17709"/>
    <cellStyle name="Обычный 21 5 4 5" xfId="17710"/>
    <cellStyle name="Обычный 21 5 4 5 2" xfId="17711"/>
    <cellStyle name="Обычный 21 5 4 5 2 2" xfId="17712"/>
    <cellStyle name="Обычный 21 5 4 5 3" xfId="17713"/>
    <cellStyle name="Обычный 21 5 4 6" xfId="17714"/>
    <cellStyle name="Обычный 21 5 4 6 2" xfId="17715"/>
    <cellStyle name="Обычный 21 5 4 7" xfId="17716"/>
    <cellStyle name="Обычный 21 5 4 7 2" xfId="17717"/>
    <cellStyle name="Обычный 21 5 4 8" xfId="17718"/>
    <cellStyle name="Обычный 21 5 5" xfId="17719"/>
    <cellStyle name="Обычный 21 5 5 2" xfId="17720"/>
    <cellStyle name="Обычный 21 5 5 2 2" xfId="17721"/>
    <cellStyle name="Обычный 21 5 5 2 2 2" xfId="17722"/>
    <cellStyle name="Обычный 21 5 5 2 3" xfId="17723"/>
    <cellStyle name="Обычный 21 5 5 3" xfId="17724"/>
    <cellStyle name="Обычный 21 5 5 3 2" xfId="17725"/>
    <cellStyle name="Обычный 21 5 5 3 2 2" xfId="17726"/>
    <cellStyle name="Обычный 21 5 5 3 3" xfId="17727"/>
    <cellStyle name="Обычный 21 5 5 4" xfId="17728"/>
    <cellStyle name="Обычный 21 5 5 4 2" xfId="17729"/>
    <cellStyle name="Обычный 21 5 5 5" xfId="17730"/>
    <cellStyle name="Обычный 21 5 5 5 2" xfId="17731"/>
    <cellStyle name="Обычный 21 5 5 6" xfId="17732"/>
    <cellStyle name="Обычный 21 5 6" xfId="17733"/>
    <cellStyle name="Обычный 21 5 6 2" xfId="17734"/>
    <cellStyle name="Обычный 21 5 6 2 2" xfId="17735"/>
    <cellStyle name="Обычный 21 5 6 2 2 2" xfId="17736"/>
    <cellStyle name="Обычный 21 5 6 2 3" xfId="17737"/>
    <cellStyle name="Обычный 21 5 6 3" xfId="17738"/>
    <cellStyle name="Обычный 21 5 6 3 2" xfId="17739"/>
    <cellStyle name="Обычный 21 5 6 3 2 2" xfId="17740"/>
    <cellStyle name="Обычный 21 5 6 3 3" xfId="17741"/>
    <cellStyle name="Обычный 21 5 6 4" xfId="17742"/>
    <cellStyle name="Обычный 21 5 6 4 2" xfId="17743"/>
    <cellStyle name="Обычный 21 5 6 5" xfId="17744"/>
    <cellStyle name="Обычный 21 5 6 5 2" xfId="17745"/>
    <cellStyle name="Обычный 21 5 6 6" xfId="17746"/>
    <cellStyle name="Обычный 21 5 7" xfId="17747"/>
    <cellStyle name="Обычный 21 5 7 2" xfId="17748"/>
    <cellStyle name="Обычный 21 5 7 2 2" xfId="17749"/>
    <cellStyle name="Обычный 21 5 7 3" xfId="17750"/>
    <cellStyle name="Обычный 21 5 8" xfId="17751"/>
    <cellStyle name="Обычный 21 5 8 2" xfId="17752"/>
    <cellStyle name="Обычный 21 5 8 2 2" xfId="17753"/>
    <cellStyle name="Обычный 21 5 8 3" xfId="17754"/>
    <cellStyle name="Обычный 21 5 9" xfId="17755"/>
    <cellStyle name="Обычный 21 5 9 2" xfId="17756"/>
    <cellStyle name="Обычный 21 50" xfId="17757"/>
    <cellStyle name="Обычный 21 50 2" xfId="17758"/>
    <cellStyle name="Обычный 21 50 2 2" xfId="17759"/>
    <cellStyle name="Обычный 21 50 2 2 2" xfId="17760"/>
    <cellStyle name="Обычный 21 50 2 3" xfId="17761"/>
    <cellStyle name="Обычный 21 50 3" xfId="17762"/>
    <cellStyle name="Обычный 21 50 3 2" xfId="17763"/>
    <cellStyle name="Обычный 21 50 4" xfId="17764"/>
    <cellStyle name="Обычный 21 51" xfId="17765"/>
    <cellStyle name="Обычный 21 51 2" xfId="17766"/>
    <cellStyle name="Обычный 21 51 2 2" xfId="17767"/>
    <cellStyle name="Обычный 21 51 2 2 2" xfId="17768"/>
    <cellStyle name="Обычный 21 51 2 3" xfId="17769"/>
    <cellStyle name="Обычный 21 51 3" xfId="17770"/>
    <cellStyle name="Обычный 21 51 3 2" xfId="17771"/>
    <cellStyle name="Обычный 21 51 4" xfId="17772"/>
    <cellStyle name="Обычный 21 52" xfId="17773"/>
    <cellStyle name="Обычный 21 52 2" xfId="17774"/>
    <cellStyle name="Обычный 21 52 2 2" xfId="17775"/>
    <cellStyle name="Обычный 21 52 2 2 2" xfId="17776"/>
    <cellStyle name="Обычный 21 52 2 3" xfId="17777"/>
    <cellStyle name="Обычный 21 52 3" xfId="17778"/>
    <cellStyle name="Обычный 21 52 3 2" xfId="17779"/>
    <cellStyle name="Обычный 21 52 4" xfId="17780"/>
    <cellStyle name="Обычный 21 53" xfId="17781"/>
    <cellStyle name="Обычный 21 53 2" xfId="17782"/>
    <cellStyle name="Обычный 21 53 2 2" xfId="17783"/>
    <cellStyle name="Обычный 21 53 2 2 2" xfId="17784"/>
    <cellStyle name="Обычный 21 53 2 3" xfId="17785"/>
    <cellStyle name="Обычный 21 53 3" xfId="17786"/>
    <cellStyle name="Обычный 21 53 3 2" xfId="17787"/>
    <cellStyle name="Обычный 21 53 4" xfId="17788"/>
    <cellStyle name="Обычный 21 54" xfId="17789"/>
    <cellStyle name="Обычный 21 54 2" xfId="17790"/>
    <cellStyle name="Обычный 21 54 2 2" xfId="17791"/>
    <cellStyle name="Обычный 21 54 2 2 2" xfId="17792"/>
    <cellStyle name="Обычный 21 54 2 3" xfId="17793"/>
    <cellStyle name="Обычный 21 54 3" xfId="17794"/>
    <cellStyle name="Обычный 21 54 3 2" xfId="17795"/>
    <cellStyle name="Обычный 21 54 4" xfId="17796"/>
    <cellStyle name="Обычный 21 55" xfId="17797"/>
    <cellStyle name="Обычный 21 55 2" xfId="17798"/>
    <cellStyle name="Обычный 21 55 2 2" xfId="17799"/>
    <cellStyle name="Обычный 21 55 2 2 2" xfId="17800"/>
    <cellStyle name="Обычный 21 55 2 3" xfId="17801"/>
    <cellStyle name="Обычный 21 55 3" xfId="17802"/>
    <cellStyle name="Обычный 21 55 3 2" xfId="17803"/>
    <cellStyle name="Обычный 21 55 4" xfId="17804"/>
    <cellStyle name="Обычный 21 56" xfId="17805"/>
    <cellStyle name="Обычный 21 56 2" xfId="17806"/>
    <cellStyle name="Обычный 21 56 2 2" xfId="17807"/>
    <cellStyle name="Обычный 21 56 2 2 2" xfId="17808"/>
    <cellStyle name="Обычный 21 56 2 3" xfId="17809"/>
    <cellStyle name="Обычный 21 56 3" xfId="17810"/>
    <cellStyle name="Обычный 21 56 3 2" xfId="17811"/>
    <cellStyle name="Обычный 21 56 4" xfId="17812"/>
    <cellStyle name="Обычный 21 57" xfId="17813"/>
    <cellStyle name="Обычный 21 57 2" xfId="17814"/>
    <cellStyle name="Обычный 21 57 2 2" xfId="17815"/>
    <cellStyle name="Обычный 21 57 2 2 2" xfId="17816"/>
    <cellStyle name="Обычный 21 57 2 3" xfId="17817"/>
    <cellStyle name="Обычный 21 57 3" xfId="17818"/>
    <cellStyle name="Обычный 21 57 3 2" xfId="17819"/>
    <cellStyle name="Обычный 21 57 4" xfId="17820"/>
    <cellStyle name="Обычный 21 58" xfId="17821"/>
    <cellStyle name="Обычный 21 58 2" xfId="17822"/>
    <cellStyle name="Обычный 21 58 2 2" xfId="17823"/>
    <cellStyle name="Обычный 21 58 2 2 2" xfId="17824"/>
    <cellStyle name="Обычный 21 58 2 3" xfId="17825"/>
    <cellStyle name="Обычный 21 58 3" xfId="17826"/>
    <cellStyle name="Обычный 21 58 3 2" xfId="17827"/>
    <cellStyle name="Обычный 21 58 4" xfId="17828"/>
    <cellStyle name="Обычный 21 59" xfId="17829"/>
    <cellStyle name="Обычный 21 59 2" xfId="17830"/>
    <cellStyle name="Обычный 21 59 2 2" xfId="17831"/>
    <cellStyle name="Обычный 21 59 3" xfId="17832"/>
    <cellStyle name="Обычный 21 6" xfId="17833"/>
    <cellStyle name="Обычный 21 6 10" xfId="17834"/>
    <cellStyle name="Обычный 21 6 10 2" xfId="17835"/>
    <cellStyle name="Обычный 21 6 11" xfId="17836"/>
    <cellStyle name="Обычный 21 6 11 2" xfId="17837"/>
    <cellStyle name="Обычный 21 6 12" xfId="17838"/>
    <cellStyle name="Обычный 21 6 2" xfId="17839"/>
    <cellStyle name="Обычный 21 6 2 2" xfId="17840"/>
    <cellStyle name="Обычный 21 6 2 2 2" xfId="17841"/>
    <cellStyle name="Обычный 21 6 2 2 2 2" xfId="17842"/>
    <cellStyle name="Обычный 21 6 2 2 2 2 2" xfId="17843"/>
    <cellStyle name="Обычный 21 6 2 2 2 2 2 2" xfId="17844"/>
    <cellStyle name="Обычный 21 6 2 2 2 2 3" xfId="17845"/>
    <cellStyle name="Обычный 21 6 2 2 2 3" xfId="17846"/>
    <cellStyle name="Обычный 21 6 2 2 2 3 2" xfId="17847"/>
    <cellStyle name="Обычный 21 6 2 2 2 3 2 2" xfId="17848"/>
    <cellStyle name="Обычный 21 6 2 2 2 3 3" xfId="17849"/>
    <cellStyle name="Обычный 21 6 2 2 2 4" xfId="17850"/>
    <cellStyle name="Обычный 21 6 2 2 2 4 2" xfId="17851"/>
    <cellStyle name="Обычный 21 6 2 2 2 5" xfId="17852"/>
    <cellStyle name="Обычный 21 6 2 2 2 5 2" xfId="17853"/>
    <cellStyle name="Обычный 21 6 2 2 2 6" xfId="17854"/>
    <cellStyle name="Обычный 21 6 2 2 3" xfId="17855"/>
    <cellStyle name="Обычный 21 6 2 2 3 2" xfId="17856"/>
    <cellStyle name="Обычный 21 6 2 2 3 2 2" xfId="17857"/>
    <cellStyle name="Обычный 21 6 2 2 3 2 2 2" xfId="17858"/>
    <cellStyle name="Обычный 21 6 2 2 3 2 3" xfId="17859"/>
    <cellStyle name="Обычный 21 6 2 2 3 3" xfId="17860"/>
    <cellStyle name="Обычный 21 6 2 2 3 3 2" xfId="17861"/>
    <cellStyle name="Обычный 21 6 2 2 3 3 2 2" xfId="17862"/>
    <cellStyle name="Обычный 21 6 2 2 3 3 3" xfId="17863"/>
    <cellStyle name="Обычный 21 6 2 2 3 4" xfId="17864"/>
    <cellStyle name="Обычный 21 6 2 2 3 4 2" xfId="17865"/>
    <cellStyle name="Обычный 21 6 2 2 3 5" xfId="17866"/>
    <cellStyle name="Обычный 21 6 2 2 4" xfId="17867"/>
    <cellStyle name="Обычный 21 6 2 2 4 2" xfId="17868"/>
    <cellStyle name="Обычный 21 6 2 2 4 2 2" xfId="17869"/>
    <cellStyle name="Обычный 21 6 2 2 4 3" xfId="17870"/>
    <cellStyle name="Обычный 21 6 2 2 5" xfId="17871"/>
    <cellStyle name="Обычный 21 6 2 2 5 2" xfId="17872"/>
    <cellStyle name="Обычный 21 6 2 2 5 2 2" xfId="17873"/>
    <cellStyle name="Обычный 21 6 2 2 5 3" xfId="17874"/>
    <cellStyle name="Обычный 21 6 2 2 6" xfId="17875"/>
    <cellStyle name="Обычный 21 6 2 2 6 2" xfId="17876"/>
    <cellStyle name="Обычный 21 6 2 2 7" xfId="17877"/>
    <cellStyle name="Обычный 21 6 2 2 7 2" xfId="17878"/>
    <cellStyle name="Обычный 21 6 2 2 8" xfId="17879"/>
    <cellStyle name="Обычный 21 6 2 3" xfId="17880"/>
    <cellStyle name="Обычный 21 6 2 3 2" xfId="17881"/>
    <cellStyle name="Обычный 21 6 2 3 2 2" xfId="17882"/>
    <cellStyle name="Обычный 21 6 2 3 2 2 2" xfId="17883"/>
    <cellStyle name="Обычный 21 6 2 3 2 3" xfId="17884"/>
    <cellStyle name="Обычный 21 6 2 3 3" xfId="17885"/>
    <cellStyle name="Обычный 21 6 2 3 3 2" xfId="17886"/>
    <cellStyle name="Обычный 21 6 2 3 3 2 2" xfId="17887"/>
    <cellStyle name="Обычный 21 6 2 3 3 3" xfId="17888"/>
    <cellStyle name="Обычный 21 6 2 3 4" xfId="17889"/>
    <cellStyle name="Обычный 21 6 2 3 4 2" xfId="17890"/>
    <cellStyle name="Обычный 21 6 2 3 5" xfId="17891"/>
    <cellStyle name="Обычный 21 6 2 3 5 2" xfId="17892"/>
    <cellStyle name="Обычный 21 6 2 3 6" xfId="17893"/>
    <cellStyle name="Обычный 21 6 2 4" xfId="17894"/>
    <cellStyle name="Обычный 21 6 2 4 2" xfId="17895"/>
    <cellStyle name="Обычный 21 6 2 4 2 2" xfId="17896"/>
    <cellStyle name="Обычный 21 6 2 4 2 2 2" xfId="17897"/>
    <cellStyle name="Обычный 21 6 2 4 2 3" xfId="17898"/>
    <cellStyle name="Обычный 21 6 2 4 3" xfId="17899"/>
    <cellStyle name="Обычный 21 6 2 4 3 2" xfId="17900"/>
    <cellStyle name="Обычный 21 6 2 4 3 2 2" xfId="17901"/>
    <cellStyle name="Обычный 21 6 2 4 3 3" xfId="17902"/>
    <cellStyle name="Обычный 21 6 2 4 4" xfId="17903"/>
    <cellStyle name="Обычный 21 6 2 4 4 2" xfId="17904"/>
    <cellStyle name="Обычный 21 6 2 4 5" xfId="17905"/>
    <cellStyle name="Обычный 21 6 2 4 5 2" xfId="17906"/>
    <cellStyle name="Обычный 21 6 2 4 6" xfId="17907"/>
    <cellStyle name="Обычный 21 6 2 5" xfId="17908"/>
    <cellStyle name="Обычный 21 6 2 5 2" xfId="17909"/>
    <cellStyle name="Обычный 21 6 2 5 2 2" xfId="17910"/>
    <cellStyle name="Обычный 21 6 2 5 3" xfId="17911"/>
    <cellStyle name="Обычный 21 6 2 6" xfId="17912"/>
    <cellStyle name="Обычный 21 6 2 6 2" xfId="17913"/>
    <cellStyle name="Обычный 21 6 2 6 2 2" xfId="17914"/>
    <cellStyle name="Обычный 21 6 2 6 3" xfId="17915"/>
    <cellStyle name="Обычный 21 6 2 7" xfId="17916"/>
    <cellStyle name="Обычный 21 6 2 7 2" xfId="17917"/>
    <cellStyle name="Обычный 21 6 2 8" xfId="17918"/>
    <cellStyle name="Обычный 21 6 2 8 2" xfId="17919"/>
    <cellStyle name="Обычный 21 6 2 9" xfId="17920"/>
    <cellStyle name="Обычный 21 6 3" xfId="17921"/>
    <cellStyle name="Обычный 21 6 3 2" xfId="17922"/>
    <cellStyle name="Обычный 21 6 3 2 2" xfId="17923"/>
    <cellStyle name="Обычный 21 6 3 2 2 2" xfId="17924"/>
    <cellStyle name="Обычный 21 6 3 2 2 2 2" xfId="17925"/>
    <cellStyle name="Обычный 21 6 3 2 2 3" xfId="17926"/>
    <cellStyle name="Обычный 21 6 3 2 3" xfId="17927"/>
    <cellStyle name="Обычный 21 6 3 2 3 2" xfId="17928"/>
    <cellStyle name="Обычный 21 6 3 2 3 2 2" xfId="17929"/>
    <cellStyle name="Обычный 21 6 3 2 3 3" xfId="17930"/>
    <cellStyle name="Обычный 21 6 3 2 4" xfId="17931"/>
    <cellStyle name="Обычный 21 6 3 2 4 2" xfId="17932"/>
    <cellStyle name="Обычный 21 6 3 2 5" xfId="17933"/>
    <cellStyle name="Обычный 21 6 3 2 5 2" xfId="17934"/>
    <cellStyle name="Обычный 21 6 3 2 6" xfId="17935"/>
    <cellStyle name="Обычный 21 6 3 3" xfId="17936"/>
    <cellStyle name="Обычный 21 6 3 3 2" xfId="17937"/>
    <cellStyle name="Обычный 21 6 3 3 2 2" xfId="17938"/>
    <cellStyle name="Обычный 21 6 3 3 2 2 2" xfId="17939"/>
    <cellStyle name="Обычный 21 6 3 3 2 3" xfId="17940"/>
    <cellStyle name="Обычный 21 6 3 3 3" xfId="17941"/>
    <cellStyle name="Обычный 21 6 3 3 3 2" xfId="17942"/>
    <cellStyle name="Обычный 21 6 3 3 3 2 2" xfId="17943"/>
    <cellStyle name="Обычный 21 6 3 3 3 3" xfId="17944"/>
    <cellStyle name="Обычный 21 6 3 3 4" xfId="17945"/>
    <cellStyle name="Обычный 21 6 3 3 4 2" xfId="17946"/>
    <cellStyle name="Обычный 21 6 3 3 5" xfId="17947"/>
    <cellStyle name="Обычный 21 6 3 3 5 2" xfId="17948"/>
    <cellStyle name="Обычный 21 6 3 3 6" xfId="17949"/>
    <cellStyle name="Обычный 21 6 3 4" xfId="17950"/>
    <cellStyle name="Обычный 21 6 3 4 2" xfId="17951"/>
    <cellStyle name="Обычный 21 6 3 4 2 2" xfId="17952"/>
    <cellStyle name="Обычный 21 6 3 4 3" xfId="17953"/>
    <cellStyle name="Обычный 21 6 3 4 3 2" xfId="17954"/>
    <cellStyle name="Обычный 21 6 3 4 4" xfId="17955"/>
    <cellStyle name="Обычный 21 6 3 5" xfId="17956"/>
    <cellStyle name="Обычный 21 6 3 5 2" xfId="17957"/>
    <cellStyle name="Обычный 21 6 3 5 2 2" xfId="17958"/>
    <cellStyle name="Обычный 21 6 3 5 3" xfId="17959"/>
    <cellStyle name="Обычный 21 6 3 6" xfId="17960"/>
    <cellStyle name="Обычный 21 6 3 6 2" xfId="17961"/>
    <cellStyle name="Обычный 21 6 3 7" xfId="17962"/>
    <cellStyle name="Обычный 21 6 3 7 2" xfId="17963"/>
    <cellStyle name="Обычный 21 6 3 8" xfId="17964"/>
    <cellStyle name="Обычный 21 6 4" xfId="17965"/>
    <cellStyle name="Обычный 21 6 4 2" xfId="17966"/>
    <cellStyle name="Обычный 21 6 4 2 2" xfId="17967"/>
    <cellStyle name="Обычный 21 6 4 2 2 2" xfId="17968"/>
    <cellStyle name="Обычный 21 6 4 2 2 2 2" xfId="17969"/>
    <cellStyle name="Обычный 21 6 4 2 2 3" xfId="17970"/>
    <cellStyle name="Обычный 21 6 4 2 3" xfId="17971"/>
    <cellStyle name="Обычный 21 6 4 2 3 2" xfId="17972"/>
    <cellStyle name="Обычный 21 6 4 2 3 2 2" xfId="17973"/>
    <cellStyle name="Обычный 21 6 4 2 3 3" xfId="17974"/>
    <cellStyle name="Обычный 21 6 4 2 4" xfId="17975"/>
    <cellStyle name="Обычный 21 6 4 2 4 2" xfId="17976"/>
    <cellStyle name="Обычный 21 6 4 2 5" xfId="17977"/>
    <cellStyle name="Обычный 21 6 4 2 5 2" xfId="17978"/>
    <cellStyle name="Обычный 21 6 4 2 6" xfId="17979"/>
    <cellStyle name="Обычный 21 6 4 3" xfId="17980"/>
    <cellStyle name="Обычный 21 6 4 3 2" xfId="17981"/>
    <cellStyle name="Обычный 21 6 4 3 2 2" xfId="17982"/>
    <cellStyle name="Обычный 21 6 4 3 2 2 2" xfId="17983"/>
    <cellStyle name="Обычный 21 6 4 3 2 3" xfId="17984"/>
    <cellStyle name="Обычный 21 6 4 3 3" xfId="17985"/>
    <cellStyle name="Обычный 21 6 4 3 3 2" xfId="17986"/>
    <cellStyle name="Обычный 21 6 4 3 3 2 2" xfId="17987"/>
    <cellStyle name="Обычный 21 6 4 3 3 3" xfId="17988"/>
    <cellStyle name="Обычный 21 6 4 3 4" xfId="17989"/>
    <cellStyle name="Обычный 21 6 4 3 4 2" xfId="17990"/>
    <cellStyle name="Обычный 21 6 4 3 5" xfId="17991"/>
    <cellStyle name="Обычный 21 6 4 3 5 2" xfId="17992"/>
    <cellStyle name="Обычный 21 6 4 3 6" xfId="17993"/>
    <cellStyle name="Обычный 21 6 4 4" xfId="17994"/>
    <cellStyle name="Обычный 21 6 4 4 2" xfId="17995"/>
    <cellStyle name="Обычный 21 6 4 4 2 2" xfId="17996"/>
    <cellStyle name="Обычный 21 6 4 4 3" xfId="17997"/>
    <cellStyle name="Обычный 21 6 4 5" xfId="17998"/>
    <cellStyle name="Обычный 21 6 4 5 2" xfId="17999"/>
    <cellStyle name="Обычный 21 6 4 5 2 2" xfId="18000"/>
    <cellStyle name="Обычный 21 6 4 5 3" xfId="18001"/>
    <cellStyle name="Обычный 21 6 4 6" xfId="18002"/>
    <cellStyle name="Обычный 21 6 4 6 2" xfId="18003"/>
    <cellStyle name="Обычный 21 6 4 7" xfId="18004"/>
    <cellStyle name="Обычный 21 6 4 7 2" xfId="18005"/>
    <cellStyle name="Обычный 21 6 4 8" xfId="18006"/>
    <cellStyle name="Обычный 21 6 5" xfId="18007"/>
    <cellStyle name="Обычный 21 6 5 2" xfId="18008"/>
    <cellStyle name="Обычный 21 6 5 2 2" xfId="18009"/>
    <cellStyle name="Обычный 21 6 5 2 2 2" xfId="18010"/>
    <cellStyle name="Обычный 21 6 5 2 2 2 2" xfId="18011"/>
    <cellStyle name="Обычный 21 6 5 2 2 3" xfId="18012"/>
    <cellStyle name="Обычный 21 6 5 2 3" xfId="18013"/>
    <cellStyle name="Обычный 21 6 5 2 3 2" xfId="18014"/>
    <cellStyle name="Обычный 21 6 5 2 3 2 2" xfId="18015"/>
    <cellStyle name="Обычный 21 6 5 2 3 3" xfId="18016"/>
    <cellStyle name="Обычный 21 6 5 2 4" xfId="18017"/>
    <cellStyle name="Обычный 21 6 5 2 4 2" xfId="18018"/>
    <cellStyle name="Обычный 21 6 5 2 5" xfId="18019"/>
    <cellStyle name="Обычный 21 6 5 2 5 2" xfId="18020"/>
    <cellStyle name="Обычный 21 6 5 2 6" xfId="18021"/>
    <cellStyle name="Обычный 21 6 5 3" xfId="18022"/>
    <cellStyle name="Обычный 21 6 5 3 2" xfId="18023"/>
    <cellStyle name="Обычный 21 6 5 3 2 2" xfId="18024"/>
    <cellStyle name="Обычный 21 6 5 3 2 2 2" xfId="18025"/>
    <cellStyle name="Обычный 21 6 5 3 2 3" xfId="18026"/>
    <cellStyle name="Обычный 21 6 5 3 3" xfId="18027"/>
    <cellStyle name="Обычный 21 6 5 3 3 2" xfId="18028"/>
    <cellStyle name="Обычный 21 6 5 3 3 2 2" xfId="18029"/>
    <cellStyle name="Обычный 21 6 5 3 3 3" xfId="18030"/>
    <cellStyle name="Обычный 21 6 5 3 4" xfId="18031"/>
    <cellStyle name="Обычный 21 6 5 3 4 2" xfId="18032"/>
    <cellStyle name="Обычный 21 6 5 3 5" xfId="18033"/>
    <cellStyle name="Обычный 21 6 5 3 5 2" xfId="18034"/>
    <cellStyle name="Обычный 21 6 5 3 6" xfId="18035"/>
    <cellStyle name="Обычный 21 6 5 4" xfId="18036"/>
    <cellStyle name="Обычный 21 6 5 4 2" xfId="18037"/>
    <cellStyle name="Обычный 21 6 5 4 2 2" xfId="18038"/>
    <cellStyle name="Обычный 21 6 5 4 3" xfId="18039"/>
    <cellStyle name="Обычный 21 6 5 5" xfId="18040"/>
    <cellStyle name="Обычный 21 6 5 5 2" xfId="18041"/>
    <cellStyle name="Обычный 21 6 5 5 2 2" xfId="18042"/>
    <cellStyle name="Обычный 21 6 5 5 3" xfId="18043"/>
    <cellStyle name="Обычный 21 6 5 6" xfId="18044"/>
    <cellStyle name="Обычный 21 6 5 6 2" xfId="18045"/>
    <cellStyle name="Обычный 21 6 5 7" xfId="18046"/>
    <cellStyle name="Обычный 21 6 5 7 2" xfId="18047"/>
    <cellStyle name="Обычный 21 6 5 8" xfId="18048"/>
    <cellStyle name="Обычный 21 6 6" xfId="18049"/>
    <cellStyle name="Обычный 21 6 6 2" xfId="18050"/>
    <cellStyle name="Обычный 21 6 6 2 2" xfId="18051"/>
    <cellStyle name="Обычный 21 6 6 2 2 2" xfId="18052"/>
    <cellStyle name="Обычный 21 6 6 2 3" xfId="18053"/>
    <cellStyle name="Обычный 21 6 6 3" xfId="18054"/>
    <cellStyle name="Обычный 21 6 6 3 2" xfId="18055"/>
    <cellStyle name="Обычный 21 6 6 3 2 2" xfId="18056"/>
    <cellStyle name="Обычный 21 6 6 3 3" xfId="18057"/>
    <cellStyle name="Обычный 21 6 6 4" xfId="18058"/>
    <cellStyle name="Обычный 21 6 6 4 2" xfId="18059"/>
    <cellStyle name="Обычный 21 6 6 5" xfId="18060"/>
    <cellStyle name="Обычный 21 6 6 5 2" xfId="18061"/>
    <cellStyle name="Обычный 21 6 6 6" xfId="18062"/>
    <cellStyle name="Обычный 21 6 7" xfId="18063"/>
    <cellStyle name="Обычный 21 6 7 2" xfId="18064"/>
    <cellStyle name="Обычный 21 6 7 2 2" xfId="18065"/>
    <cellStyle name="Обычный 21 6 7 2 2 2" xfId="18066"/>
    <cellStyle name="Обычный 21 6 7 2 3" xfId="18067"/>
    <cellStyle name="Обычный 21 6 7 3" xfId="18068"/>
    <cellStyle name="Обычный 21 6 7 3 2" xfId="18069"/>
    <cellStyle name="Обычный 21 6 7 3 2 2" xfId="18070"/>
    <cellStyle name="Обычный 21 6 7 3 3" xfId="18071"/>
    <cellStyle name="Обычный 21 6 7 4" xfId="18072"/>
    <cellStyle name="Обычный 21 6 7 4 2" xfId="18073"/>
    <cellStyle name="Обычный 21 6 7 5" xfId="18074"/>
    <cellStyle name="Обычный 21 6 7 5 2" xfId="18075"/>
    <cellStyle name="Обычный 21 6 7 6" xfId="18076"/>
    <cellStyle name="Обычный 21 6 8" xfId="18077"/>
    <cellStyle name="Обычный 21 6 8 2" xfId="18078"/>
    <cellStyle name="Обычный 21 6 8 2 2" xfId="18079"/>
    <cellStyle name="Обычный 21 6 8 3" xfId="18080"/>
    <cellStyle name="Обычный 21 6 8 3 2" xfId="18081"/>
    <cellStyle name="Обычный 21 6 8 4" xfId="18082"/>
    <cellStyle name="Обычный 21 6 9" xfId="18083"/>
    <cellStyle name="Обычный 21 6 9 2" xfId="18084"/>
    <cellStyle name="Обычный 21 6 9 2 2" xfId="18085"/>
    <cellStyle name="Обычный 21 6 9 3" xfId="18086"/>
    <cellStyle name="Обычный 21 60" xfId="18087"/>
    <cellStyle name="Обычный 21 60 2" xfId="18088"/>
    <cellStyle name="Обычный 21 60 2 2" xfId="18089"/>
    <cellStyle name="Обычный 21 60 3" xfId="18090"/>
    <cellStyle name="Обычный 21 61" xfId="18091"/>
    <cellStyle name="Обычный 21 61 2" xfId="18092"/>
    <cellStyle name="Обычный 21 62" xfId="18093"/>
    <cellStyle name="Обычный 21 62 2" xfId="18094"/>
    <cellStyle name="Обычный 21 63" xfId="18095"/>
    <cellStyle name="Обычный 21 64" xfId="18096"/>
    <cellStyle name="Обычный 21 65" xfId="18097"/>
    <cellStyle name="Обычный 21 7" xfId="18098"/>
    <cellStyle name="Обычный 21 7 10" xfId="18099"/>
    <cellStyle name="Обычный 21 7 2" xfId="18100"/>
    <cellStyle name="Обычный 21 7 2 2" xfId="18101"/>
    <cellStyle name="Обычный 21 7 2 2 2" xfId="18102"/>
    <cellStyle name="Обычный 21 7 2 2 2 2" xfId="18103"/>
    <cellStyle name="Обычный 21 7 2 2 2 2 2" xfId="18104"/>
    <cellStyle name="Обычный 21 7 2 2 2 2 2 2" xfId="18105"/>
    <cellStyle name="Обычный 21 7 2 2 2 2 3" xfId="18106"/>
    <cellStyle name="Обычный 21 7 2 2 2 3" xfId="18107"/>
    <cellStyle name="Обычный 21 7 2 2 2 3 2" xfId="18108"/>
    <cellStyle name="Обычный 21 7 2 2 2 3 2 2" xfId="18109"/>
    <cellStyle name="Обычный 21 7 2 2 2 3 3" xfId="18110"/>
    <cellStyle name="Обычный 21 7 2 2 2 4" xfId="18111"/>
    <cellStyle name="Обычный 21 7 2 2 2 4 2" xfId="18112"/>
    <cellStyle name="Обычный 21 7 2 2 2 5" xfId="18113"/>
    <cellStyle name="Обычный 21 7 2 2 3" xfId="18114"/>
    <cellStyle name="Обычный 21 7 2 2 3 2" xfId="18115"/>
    <cellStyle name="Обычный 21 7 2 2 3 2 2" xfId="18116"/>
    <cellStyle name="Обычный 21 7 2 2 3 2 2 2" xfId="18117"/>
    <cellStyle name="Обычный 21 7 2 2 3 2 3" xfId="18118"/>
    <cellStyle name="Обычный 21 7 2 2 3 3" xfId="18119"/>
    <cellStyle name="Обычный 21 7 2 2 3 3 2" xfId="18120"/>
    <cellStyle name="Обычный 21 7 2 2 3 3 2 2" xfId="18121"/>
    <cellStyle name="Обычный 21 7 2 2 3 3 3" xfId="18122"/>
    <cellStyle name="Обычный 21 7 2 2 3 4" xfId="18123"/>
    <cellStyle name="Обычный 21 7 2 2 3 4 2" xfId="18124"/>
    <cellStyle name="Обычный 21 7 2 2 3 5" xfId="18125"/>
    <cellStyle name="Обычный 21 7 2 2 4" xfId="18126"/>
    <cellStyle name="Обычный 21 7 2 2 4 2" xfId="18127"/>
    <cellStyle name="Обычный 21 7 2 2 4 2 2" xfId="18128"/>
    <cellStyle name="Обычный 21 7 2 2 4 3" xfId="18129"/>
    <cellStyle name="Обычный 21 7 2 2 5" xfId="18130"/>
    <cellStyle name="Обычный 21 7 2 2 5 2" xfId="18131"/>
    <cellStyle name="Обычный 21 7 2 2 5 2 2" xfId="18132"/>
    <cellStyle name="Обычный 21 7 2 2 5 3" xfId="18133"/>
    <cellStyle name="Обычный 21 7 2 2 6" xfId="18134"/>
    <cellStyle name="Обычный 21 7 2 2 6 2" xfId="18135"/>
    <cellStyle name="Обычный 21 7 2 2 7" xfId="18136"/>
    <cellStyle name="Обычный 21 7 2 2 7 2" xfId="18137"/>
    <cellStyle name="Обычный 21 7 2 2 8" xfId="18138"/>
    <cellStyle name="Обычный 21 7 2 3" xfId="18139"/>
    <cellStyle name="Обычный 21 7 2 3 2" xfId="18140"/>
    <cellStyle name="Обычный 21 7 2 3 2 2" xfId="18141"/>
    <cellStyle name="Обычный 21 7 2 3 2 2 2" xfId="18142"/>
    <cellStyle name="Обычный 21 7 2 3 2 3" xfId="18143"/>
    <cellStyle name="Обычный 21 7 2 3 3" xfId="18144"/>
    <cellStyle name="Обычный 21 7 2 3 3 2" xfId="18145"/>
    <cellStyle name="Обычный 21 7 2 3 3 2 2" xfId="18146"/>
    <cellStyle name="Обычный 21 7 2 3 3 3" xfId="18147"/>
    <cellStyle name="Обычный 21 7 2 3 4" xfId="18148"/>
    <cellStyle name="Обычный 21 7 2 3 4 2" xfId="18149"/>
    <cellStyle name="Обычный 21 7 2 3 5" xfId="18150"/>
    <cellStyle name="Обычный 21 7 2 3 6" xfId="18151"/>
    <cellStyle name="Обычный 21 7 2 4" xfId="18152"/>
    <cellStyle name="Обычный 21 7 2 4 2" xfId="18153"/>
    <cellStyle name="Обычный 21 7 2 4 2 2" xfId="18154"/>
    <cellStyle name="Обычный 21 7 2 4 2 2 2" xfId="18155"/>
    <cellStyle name="Обычный 21 7 2 4 2 3" xfId="18156"/>
    <cellStyle name="Обычный 21 7 2 4 3" xfId="18157"/>
    <cellStyle name="Обычный 21 7 2 4 3 2" xfId="18158"/>
    <cellStyle name="Обычный 21 7 2 4 3 2 2" xfId="18159"/>
    <cellStyle name="Обычный 21 7 2 4 3 3" xfId="18160"/>
    <cellStyle name="Обычный 21 7 2 4 4" xfId="18161"/>
    <cellStyle name="Обычный 21 7 2 4 4 2" xfId="18162"/>
    <cellStyle name="Обычный 21 7 2 4 5" xfId="18163"/>
    <cellStyle name="Обычный 21 7 2 5" xfId="18164"/>
    <cellStyle name="Обычный 21 7 2 5 2" xfId="18165"/>
    <cellStyle name="Обычный 21 7 2 5 2 2" xfId="18166"/>
    <cellStyle name="Обычный 21 7 2 5 3" xfId="18167"/>
    <cellStyle name="Обычный 21 7 2 6" xfId="18168"/>
    <cellStyle name="Обычный 21 7 2 6 2" xfId="18169"/>
    <cellStyle name="Обычный 21 7 2 6 2 2" xfId="18170"/>
    <cellStyle name="Обычный 21 7 2 6 3" xfId="18171"/>
    <cellStyle name="Обычный 21 7 2 7" xfId="18172"/>
    <cellStyle name="Обычный 21 7 2 7 2" xfId="18173"/>
    <cellStyle name="Обычный 21 7 2 8" xfId="18174"/>
    <cellStyle name="Обычный 21 7 2 8 2" xfId="18175"/>
    <cellStyle name="Обычный 21 7 2 9" xfId="18176"/>
    <cellStyle name="Обычный 21 7 3" xfId="18177"/>
    <cellStyle name="Обычный 21 7 3 2" xfId="18178"/>
    <cellStyle name="Обычный 21 7 3 2 2" xfId="18179"/>
    <cellStyle name="Обычный 21 7 3 2 2 2" xfId="18180"/>
    <cellStyle name="Обычный 21 7 3 2 2 2 2" xfId="18181"/>
    <cellStyle name="Обычный 21 7 3 2 2 3" xfId="18182"/>
    <cellStyle name="Обычный 21 7 3 2 3" xfId="18183"/>
    <cellStyle name="Обычный 21 7 3 2 3 2" xfId="18184"/>
    <cellStyle name="Обычный 21 7 3 2 3 2 2" xfId="18185"/>
    <cellStyle name="Обычный 21 7 3 2 3 3" xfId="18186"/>
    <cellStyle name="Обычный 21 7 3 2 4" xfId="18187"/>
    <cellStyle name="Обычный 21 7 3 2 4 2" xfId="18188"/>
    <cellStyle name="Обычный 21 7 3 2 5" xfId="18189"/>
    <cellStyle name="Обычный 21 7 3 3" xfId="18190"/>
    <cellStyle name="Обычный 21 7 3 3 2" xfId="18191"/>
    <cellStyle name="Обычный 21 7 3 3 2 2" xfId="18192"/>
    <cellStyle name="Обычный 21 7 3 3 2 2 2" xfId="18193"/>
    <cellStyle name="Обычный 21 7 3 3 2 3" xfId="18194"/>
    <cellStyle name="Обычный 21 7 3 3 3" xfId="18195"/>
    <cellStyle name="Обычный 21 7 3 3 3 2" xfId="18196"/>
    <cellStyle name="Обычный 21 7 3 3 3 2 2" xfId="18197"/>
    <cellStyle name="Обычный 21 7 3 3 3 3" xfId="18198"/>
    <cellStyle name="Обычный 21 7 3 3 4" xfId="18199"/>
    <cellStyle name="Обычный 21 7 3 3 4 2" xfId="18200"/>
    <cellStyle name="Обычный 21 7 3 3 5" xfId="18201"/>
    <cellStyle name="Обычный 21 7 3 4" xfId="18202"/>
    <cellStyle name="Обычный 21 7 3 4 2" xfId="18203"/>
    <cellStyle name="Обычный 21 7 3 4 2 2" xfId="18204"/>
    <cellStyle name="Обычный 21 7 3 4 3" xfId="18205"/>
    <cellStyle name="Обычный 21 7 3 5" xfId="18206"/>
    <cellStyle name="Обычный 21 7 3 5 2" xfId="18207"/>
    <cellStyle name="Обычный 21 7 3 5 2 2" xfId="18208"/>
    <cellStyle name="Обычный 21 7 3 5 3" xfId="18209"/>
    <cellStyle name="Обычный 21 7 3 6" xfId="18210"/>
    <cellStyle name="Обычный 21 7 3 6 2" xfId="18211"/>
    <cellStyle name="Обычный 21 7 3 7" xfId="18212"/>
    <cellStyle name="Обычный 21 7 3 7 2" xfId="18213"/>
    <cellStyle name="Обычный 21 7 3 8" xfId="18214"/>
    <cellStyle name="Обычный 21 7 4" xfId="18215"/>
    <cellStyle name="Обычный 21 7 4 2" xfId="18216"/>
    <cellStyle name="Обычный 21 7 4 2 2" xfId="18217"/>
    <cellStyle name="Обычный 21 7 4 2 2 2" xfId="18218"/>
    <cellStyle name="Обычный 21 7 4 2 3" xfId="18219"/>
    <cellStyle name="Обычный 21 7 4 3" xfId="18220"/>
    <cellStyle name="Обычный 21 7 4 3 2" xfId="18221"/>
    <cellStyle name="Обычный 21 7 4 3 2 2" xfId="18222"/>
    <cellStyle name="Обычный 21 7 4 3 3" xfId="18223"/>
    <cellStyle name="Обычный 21 7 4 4" xfId="18224"/>
    <cellStyle name="Обычный 21 7 4 4 2" xfId="18225"/>
    <cellStyle name="Обычный 21 7 4 5" xfId="18226"/>
    <cellStyle name="Обычный 21 7 4 5 2" xfId="18227"/>
    <cellStyle name="Обычный 21 7 4 6" xfId="18228"/>
    <cellStyle name="Обычный 21 7 5" xfId="18229"/>
    <cellStyle name="Обычный 21 7 5 2" xfId="18230"/>
    <cellStyle name="Обычный 21 7 5 2 2" xfId="18231"/>
    <cellStyle name="Обычный 21 7 5 2 2 2" xfId="18232"/>
    <cellStyle name="Обычный 21 7 5 2 3" xfId="18233"/>
    <cellStyle name="Обычный 21 7 5 3" xfId="18234"/>
    <cellStyle name="Обычный 21 7 5 3 2" xfId="18235"/>
    <cellStyle name="Обычный 21 7 5 3 2 2" xfId="18236"/>
    <cellStyle name="Обычный 21 7 5 3 3" xfId="18237"/>
    <cellStyle name="Обычный 21 7 5 4" xfId="18238"/>
    <cellStyle name="Обычный 21 7 5 4 2" xfId="18239"/>
    <cellStyle name="Обычный 21 7 5 5" xfId="18240"/>
    <cellStyle name="Обычный 21 7 5 5 2" xfId="18241"/>
    <cellStyle name="Обычный 21 7 5 6" xfId="18242"/>
    <cellStyle name="Обычный 21 7 6" xfId="18243"/>
    <cellStyle name="Обычный 21 7 6 2" xfId="18244"/>
    <cellStyle name="Обычный 21 7 6 2 2" xfId="18245"/>
    <cellStyle name="Обычный 21 7 6 3" xfId="18246"/>
    <cellStyle name="Обычный 21 7 7" xfId="18247"/>
    <cellStyle name="Обычный 21 7 7 2" xfId="18248"/>
    <cellStyle name="Обычный 21 7 7 2 2" xfId="18249"/>
    <cellStyle name="Обычный 21 7 7 3" xfId="18250"/>
    <cellStyle name="Обычный 21 7 8" xfId="18251"/>
    <cellStyle name="Обычный 21 7 8 2" xfId="18252"/>
    <cellStyle name="Обычный 21 7 9" xfId="18253"/>
    <cellStyle name="Обычный 21 8" xfId="18254"/>
    <cellStyle name="Обычный 21 8 10" xfId="18255"/>
    <cellStyle name="Обычный 21 8 2" xfId="18256"/>
    <cellStyle name="Обычный 21 8 2 2" xfId="18257"/>
    <cellStyle name="Обычный 21 8 2 2 2" xfId="18258"/>
    <cellStyle name="Обычный 21 8 2 2 2 2" xfId="18259"/>
    <cellStyle name="Обычный 21 8 2 2 2 2 2" xfId="18260"/>
    <cellStyle name="Обычный 21 8 2 2 2 2 2 2" xfId="18261"/>
    <cellStyle name="Обычный 21 8 2 2 2 2 3" xfId="18262"/>
    <cellStyle name="Обычный 21 8 2 2 2 3" xfId="18263"/>
    <cellStyle name="Обычный 21 8 2 2 2 3 2" xfId="18264"/>
    <cellStyle name="Обычный 21 8 2 2 2 3 2 2" xfId="18265"/>
    <cellStyle name="Обычный 21 8 2 2 2 3 3" xfId="18266"/>
    <cellStyle name="Обычный 21 8 2 2 2 4" xfId="18267"/>
    <cellStyle name="Обычный 21 8 2 2 2 4 2" xfId="18268"/>
    <cellStyle name="Обычный 21 8 2 2 2 5" xfId="18269"/>
    <cellStyle name="Обычный 21 8 2 2 2 5 2" xfId="18270"/>
    <cellStyle name="Обычный 21 8 2 2 2 6" xfId="18271"/>
    <cellStyle name="Обычный 21 8 2 2 3" xfId="18272"/>
    <cellStyle name="Обычный 21 8 2 2 3 2" xfId="18273"/>
    <cellStyle name="Обычный 21 8 2 2 3 2 2" xfId="18274"/>
    <cellStyle name="Обычный 21 8 2 2 3 2 2 2" xfId="18275"/>
    <cellStyle name="Обычный 21 8 2 2 3 2 3" xfId="18276"/>
    <cellStyle name="Обычный 21 8 2 2 3 3" xfId="18277"/>
    <cellStyle name="Обычный 21 8 2 2 3 3 2" xfId="18278"/>
    <cellStyle name="Обычный 21 8 2 2 3 3 2 2" xfId="18279"/>
    <cellStyle name="Обычный 21 8 2 2 3 3 3" xfId="18280"/>
    <cellStyle name="Обычный 21 8 2 2 3 4" xfId="18281"/>
    <cellStyle name="Обычный 21 8 2 2 3 4 2" xfId="18282"/>
    <cellStyle name="Обычный 21 8 2 2 3 5" xfId="18283"/>
    <cellStyle name="Обычный 21 8 2 2 4" xfId="18284"/>
    <cellStyle name="Обычный 21 8 2 2 4 2" xfId="18285"/>
    <cellStyle name="Обычный 21 8 2 2 4 2 2" xfId="18286"/>
    <cellStyle name="Обычный 21 8 2 2 4 3" xfId="18287"/>
    <cellStyle name="Обычный 21 8 2 2 5" xfId="18288"/>
    <cellStyle name="Обычный 21 8 2 2 5 2" xfId="18289"/>
    <cellStyle name="Обычный 21 8 2 2 5 2 2" xfId="18290"/>
    <cellStyle name="Обычный 21 8 2 2 5 3" xfId="18291"/>
    <cellStyle name="Обычный 21 8 2 2 6" xfId="18292"/>
    <cellStyle name="Обычный 21 8 2 2 6 2" xfId="18293"/>
    <cellStyle name="Обычный 21 8 2 2 7" xfId="18294"/>
    <cellStyle name="Обычный 21 8 2 2 7 2" xfId="18295"/>
    <cellStyle name="Обычный 21 8 2 2 8" xfId="18296"/>
    <cellStyle name="Обычный 21 8 2 3" xfId="18297"/>
    <cellStyle name="Обычный 21 8 2 3 2" xfId="18298"/>
    <cellStyle name="Обычный 21 8 2 3 2 2" xfId="18299"/>
    <cellStyle name="Обычный 21 8 2 3 2 2 2" xfId="18300"/>
    <cellStyle name="Обычный 21 8 2 3 2 3" xfId="18301"/>
    <cellStyle name="Обычный 21 8 2 3 3" xfId="18302"/>
    <cellStyle name="Обычный 21 8 2 3 3 2" xfId="18303"/>
    <cellStyle name="Обычный 21 8 2 3 3 2 2" xfId="18304"/>
    <cellStyle name="Обычный 21 8 2 3 3 3" xfId="18305"/>
    <cellStyle name="Обычный 21 8 2 3 4" xfId="18306"/>
    <cellStyle name="Обычный 21 8 2 3 4 2" xfId="18307"/>
    <cellStyle name="Обычный 21 8 2 3 5" xfId="18308"/>
    <cellStyle name="Обычный 21 8 2 3 5 2" xfId="18309"/>
    <cellStyle name="Обычный 21 8 2 3 6" xfId="18310"/>
    <cellStyle name="Обычный 21 8 2 4" xfId="18311"/>
    <cellStyle name="Обычный 21 8 2 4 2" xfId="18312"/>
    <cellStyle name="Обычный 21 8 2 4 2 2" xfId="18313"/>
    <cellStyle name="Обычный 21 8 2 4 2 2 2" xfId="18314"/>
    <cellStyle name="Обычный 21 8 2 4 2 3" xfId="18315"/>
    <cellStyle name="Обычный 21 8 2 4 3" xfId="18316"/>
    <cellStyle name="Обычный 21 8 2 4 3 2" xfId="18317"/>
    <cellStyle name="Обычный 21 8 2 4 3 2 2" xfId="18318"/>
    <cellStyle name="Обычный 21 8 2 4 3 3" xfId="18319"/>
    <cellStyle name="Обычный 21 8 2 4 4" xfId="18320"/>
    <cellStyle name="Обычный 21 8 2 4 4 2" xfId="18321"/>
    <cellStyle name="Обычный 21 8 2 4 5" xfId="18322"/>
    <cellStyle name="Обычный 21 8 2 4 5 2" xfId="18323"/>
    <cellStyle name="Обычный 21 8 2 4 6" xfId="18324"/>
    <cellStyle name="Обычный 21 8 2 5" xfId="18325"/>
    <cellStyle name="Обычный 21 8 2 5 2" xfId="18326"/>
    <cellStyle name="Обычный 21 8 2 5 2 2" xfId="18327"/>
    <cellStyle name="Обычный 21 8 2 5 3" xfId="18328"/>
    <cellStyle name="Обычный 21 8 2 6" xfId="18329"/>
    <cellStyle name="Обычный 21 8 2 6 2" xfId="18330"/>
    <cellStyle name="Обычный 21 8 2 6 2 2" xfId="18331"/>
    <cellStyle name="Обычный 21 8 2 6 3" xfId="18332"/>
    <cellStyle name="Обычный 21 8 2 7" xfId="18333"/>
    <cellStyle name="Обычный 21 8 2 7 2" xfId="18334"/>
    <cellStyle name="Обычный 21 8 2 8" xfId="18335"/>
    <cellStyle name="Обычный 21 8 2 8 2" xfId="18336"/>
    <cellStyle name="Обычный 21 8 2 9" xfId="18337"/>
    <cellStyle name="Обычный 21 8 3" xfId="18338"/>
    <cellStyle name="Обычный 21 8 3 2" xfId="18339"/>
    <cellStyle name="Обычный 21 8 3 2 2" xfId="18340"/>
    <cellStyle name="Обычный 21 8 3 2 2 2" xfId="18341"/>
    <cellStyle name="Обычный 21 8 3 2 2 2 2" xfId="18342"/>
    <cellStyle name="Обычный 21 8 3 2 2 3" xfId="18343"/>
    <cellStyle name="Обычный 21 8 3 2 3" xfId="18344"/>
    <cellStyle name="Обычный 21 8 3 2 3 2" xfId="18345"/>
    <cellStyle name="Обычный 21 8 3 2 3 2 2" xfId="18346"/>
    <cellStyle name="Обычный 21 8 3 2 3 3" xfId="18347"/>
    <cellStyle name="Обычный 21 8 3 2 4" xfId="18348"/>
    <cellStyle name="Обычный 21 8 3 2 4 2" xfId="18349"/>
    <cellStyle name="Обычный 21 8 3 2 5" xfId="18350"/>
    <cellStyle name="Обычный 21 8 3 2 5 2" xfId="18351"/>
    <cellStyle name="Обычный 21 8 3 2 6" xfId="18352"/>
    <cellStyle name="Обычный 21 8 3 3" xfId="18353"/>
    <cellStyle name="Обычный 21 8 3 3 2" xfId="18354"/>
    <cellStyle name="Обычный 21 8 3 3 2 2" xfId="18355"/>
    <cellStyle name="Обычный 21 8 3 3 2 2 2" xfId="18356"/>
    <cellStyle name="Обычный 21 8 3 3 2 3" xfId="18357"/>
    <cellStyle name="Обычный 21 8 3 3 3" xfId="18358"/>
    <cellStyle name="Обычный 21 8 3 3 3 2" xfId="18359"/>
    <cellStyle name="Обычный 21 8 3 3 3 2 2" xfId="18360"/>
    <cellStyle name="Обычный 21 8 3 3 3 3" xfId="18361"/>
    <cellStyle name="Обычный 21 8 3 3 4" xfId="18362"/>
    <cellStyle name="Обычный 21 8 3 3 4 2" xfId="18363"/>
    <cellStyle name="Обычный 21 8 3 3 5" xfId="18364"/>
    <cellStyle name="Обычный 21 8 3 3 5 2" xfId="18365"/>
    <cellStyle name="Обычный 21 8 3 3 6" xfId="18366"/>
    <cellStyle name="Обычный 21 8 3 4" xfId="18367"/>
    <cellStyle name="Обычный 21 8 3 4 2" xfId="18368"/>
    <cellStyle name="Обычный 21 8 3 4 2 2" xfId="18369"/>
    <cellStyle name="Обычный 21 8 3 4 3" xfId="18370"/>
    <cellStyle name="Обычный 21 8 3 4 3 2" xfId="18371"/>
    <cellStyle name="Обычный 21 8 3 4 4" xfId="18372"/>
    <cellStyle name="Обычный 21 8 3 5" xfId="18373"/>
    <cellStyle name="Обычный 21 8 3 5 2" xfId="18374"/>
    <cellStyle name="Обычный 21 8 3 5 2 2" xfId="18375"/>
    <cellStyle name="Обычный 21 8 3 5 3" xfId="18376"/>
    <cellStyle name="Обычный 21 8 3 6" xfId="18377"/>
    <cellStyle name="Обычный 21 8 3 6 2" xfId="18378"/>
    <cellStyle name="Обычный 21 8 3 7" xfId="18379"/>
    <cellStyle name="Обычный 21 8 3 7 2" xfId="18380"/>
    <cellStyle name="Обычный 21 8 3 8" xfId="18381"/>
    <cellStyle name="Обычный 21 8 4" xfId="18382"/>
    <cellStyle name="Обычный 21 8 4 2" xfId="18383"/>
    <cellStyle name="Обычный 21 8 4 2 2" xfId="18384"/>
    <cellStyle name="Обычный 21 8 4 2 2 2" xfId="18385"/>
    <cellStyle name="Обычный 21 8 4 2 3" xfId="18386"/>
    <cellStyle name="Обычный 21 8 4 3" xfId="18387"/>
    <cellStyle name="Обычный 21 8 4 3 2" xfId="18388"/>
    <cellStyle name="Обычный 21 8 4 3 2 2" xfId="18389"/>
    <cellStyle name="Обычный 21 8 4 3 3" xfId="18390"/>
    <cellStyle name="Обычный 21 8 4 4" xfId="18391"/>
    <cellStyle name="Обычный 21 8 4 4 2" xfId="18392"/>
    <cellStyle name="Обычный 21 8 4 5" xfId="18393"/>
    <cellStyle name="Обычный 21 8 4 5 2" xfId="18394"/>
    <cellStyle name="Обычный 21 8 4 6" xfId="18395"/>
    <cellStyle name="Обычный 21 8 5" xfId="18396"/>
    <cellStyle name="Обычный 21 8 5 2" xfId="18397"/>
    <cellStyle name="Обычный 21 8 5 2 2" xfId="18398"/>
    <cellStyle name="Обычный 21 8 5 2 2 2" xfId="18399"/>
    <cellStyle name="Обычный 21 8 5 2 3" xfId="18400"/>
    <cellStyle name="Обычный 21 8 5 3" xfId="18401"/>
    <cellStyle name="Обычный 21 8 5 3 2" xfId="18402"/>
    <cellStyle name="Обычный 21 8 5 3 2 2" xfId="18403"/>
    <cellStyle name="Обычный 21 8 5 3 3" xfId="18404"/>
    <cellStyle name="Обычный 21 8 5 4" xfId="18405"/>
    <cellStyle name="Обычный 21 8 5 4 2" xfId="18406"/>
    <cellStyle name="Обычный 21 8 5 5" xfId="18407"/>
    <cellStyle name="Обычный 21 8 5 5 2" xfId="18408"/>
    <cellStyle name="Обычный 21 8 5 6" xfId="18409"/>
    <cellStyle name="Обычный 21 8 6" xfId="18410"/>
    <cellStyle name="Обычный 21 8 6 2" xfId="18411"/>
    <cellStyle name="Обычный 21 8 6 2 2" xfId="18412"/>
    <cellStyle name="Обычный 21 8 6 3" xfId="18413"/>
    <cellStyle name="Обычный 21 8 6 3 2" xfId="18414"/>
    <cellStyle name="Обычный 21 8 6 4" xfId="18415"/>
    <cellStyle name="Обычный 21 8 7" xfId="18416"/>
    <cellStyle name="Обычный 21 8 7 2" xfId="18417"/>
    <cellStyle name="Обычный 21 8 7 2 2" xfId="18418"/>
    <cellStyle name="Обычный 21 8 7 3" xfId="18419"/>
    <cellStyle name="Обычный 21 8 8" xfId="18420"/>
    <cellStyle name="Обычный 21 8 8 2" xfId="18421"/>
    <cellStyle name="Обычный 21 8 9" xfId="18422"/>
    <cellStyle name="Обычный 21 8 9 2" xfId="18423"/>
    <cellStyle name="Обычный 21 9" xfId="18424"/>
    <cellStyle name="Обычный 21 9 10" xfId="18425"/>
    <cellStyle name="Обычный 21 9 2" xfId="18426"/>
    <cellStyle name="Обычный 21 9 2 2" xfId="18427"/>
    <cellStyle name="Обычный 21 9 2 2 2" xfId="18428"/>
    <cellStyle name="Обычный 21 9 2 2 2 2" xfId="18429"/>
    <cellStyle name="Обычный 21 9 2 2 2 2 2" xfId="18430"/>
    <cellStyle name="Обычный 21 9 2 2 2 2 2 2" xfId="18431"/>
    <cellStyle name="Обычный 21 9 2 2 2 2 3" xfId="18432"/>
    <cellStyle name="Обычный 21 9 2 2 2 3" xfId="18433"/>
    <cellStyle name="Обычный 21 9 2 2 2 3 2" xfId="18434"/>
    <cellStyle name="Обычный 21 9 2 2 2 3 2 2" xfId="18435"/>
    <cellStyle name="Обычный 21 9 2 2 2 3 3" xfId="18436"/>
    <cellStyle name="Обычный 21 9 2 2 2 4" xfId="18437"/>
    <cellStyle name="Обычный 21 9 2 2 2 4 2" xfId="18438"/>
    <cellStyle name="Обычный 21 9 2 2 2 5" xfId="18439"/>
    <cellStyle name="Обычный 21 9 2 2 3" xfId="18440"/>
    <cellStyle name="Обычный 21 9 2 2 3 2" xfId="18441"/>
    <cellStyle name="Обычный 21 9 2 2 3 2 2" xfId="18442"/>
    <cellStyle name="Обычный 21 9 2 2 3 2 2 2" xfId="18443"/>
    <cellStyle name="Обычный 21 9 2 2 3 2 3" xfId="18444"/>
    <cellStyle name="Обычный 21 9 2 2 3 3" xfId="18445"/>
    <cellStyle name="Обычный 21 9 2 2 3 3 2" xfId="18446"/>
    <cellStyle name="Обычный 21 9 2 2 3 3 2 2" xfId="18447"/>
    <cellStyle name="Обычный 21 9 2 2 3 3 3" xfId="18448"/>
    <cellStyle name="Обычный 21 9 2 2 3 4" xfId="18449"/>
    <cellStyle name="Обычный 21 9 2 2 3 4 2" xfId="18450"/>
    <cellStyle name="Обычный 21 9 2 2 3 5" xfId="18451"/>
    <cellStyle name="Обычный 21 9 2 2 4" xfId="18452"/>
    <cellStyle name="Обычный 21 9 2 2 4 2" xfId="18453"/>
    <cellStyle name="Обычный 21 9 2 2 4 2 2" xfId="18454"/>
    <cellStyle name="Обычный 21 9 2 2 4 3" xfId="18455"/>
    <cellStyle name="Обычный 21 9 2 2 5" xfId="18456"/>
    <cellStyle name="Обычный 21 9 2 2 5 2" xfId="18457"/>
    <cellStyle name="Обычный 21 9 2 2 5 2 2" xfId="18458"/>
    <cellStyle name="Обычный 21 9 2 2 5 3" xfId="18459"/>
    <cellStyle name="Обычный 21 9 2 2 6" xfId="18460"/>
    <cellStyle name="Обычный 21 9 2 2 6 2" xfId="18461"/>
    <cellStyle name="Обычный 21 9 2 2 7" xfId="18462"/>
    <cellStyle name="Обычный 21 9 2 2 7 2" xfId="18463"/>
    <cellStyle name="Обычный 21 9 2 2 8" xfId="18464"/>
    <cellStyle name="Обычный 21 9 2 3" xfId="18465"/>
    <cellStyle name="Обычный 21 9 2 3 2" xfId="18466"/>
    <cellStyle name="Обычный 21 9 2 3 2 2" xfId="18467"/>
    <cellStyle name="Обычный 21 9 2 3 2 2 2" xfId="18468"/>
    <cellStyle name="Обычный 21 9 2 3 2 3" xfId="18469"/>
    <cellStyle name="Обычный 21 9 2 3 3" xfId="18470"/>
    <cellStyle name="Обычный 21 9 2 3 3 2" xfId="18471"/>
    <cellStyle name="Обычный 21 9 2 3 3 2 2" xfId="18472"/>
    <cellStyle name="Обычный 21 9 2 3 3 3" xfId="18473"/>
    <cellStyle name="Обычный 21 9 2 3 4" xfId="18474"/>
    <cellStyle name="Обычный 21 9 2 3 4 2" xfId="18475"/>
    <cellStyle name="Обычный 21 9 2 3 5" xfId="18476"/>
    <cellStyle name="Обычный 21 9 2 3 5 2" xfId="18477"/>
    <cellStyle name="Обычный 21 9 2 3 6" xfId="18478"/>
    <cellStyle name="Обычный 21 9 2 4" xfId="18479"/>
    <cellStyle name="Обычный 21 9 2 4 2" xfId="18480"/>
    <cellStyle name="Обычный 21 9 2 4 2 2" xfId="18481"/>
    <cellStyle name="Обычный 21 9 2 4 2 2 2" xfId="18482"/>
    <cellStyle name="Обычный 21 9 2 4 2 3" xfId="18483"/>
    <cellStyle name="Обычный 21 9 2 4 3" xfId="18484"/>
    <cellStyle name="Обычный 21 9 2 4 3 2" xfId="18485"/>
    <cellStyle name="Обычный 21 9 2 4 3 2 2" xfId="18486"/>
    <cellStyle name="Обычный 21 9 2 4 3 3" xfId="18487"/>
    <cellStyle name="Обычный 21 9 2 4 4" xfId="18488"/>
    <cellStyle name="Обычный 21 9 2 4 4 2" xfId="18489"/>
    <cellStyle name="Обычный 21 9 2 4 5" xfId="18490"/>
    <cellStyle name="Обычный 21 9 2 4 5 2" xfId="18491"/>
    <cellStyle name="Обычный 21 9 2 4 6" xfId="18492"/>
    <cellStyle name="Обычный 21 9 2 5" xfId="18493"/>
    <cellStyle name="Обычный 21 9 2 5 2" xfId="18494"/>
    <cellStyle name="Обычный 21 9 2 5 2 2" xfId="18495"/>
    <cellStyle name="Обычный 21 9 2 5 3" xfId="18496"/>
    <cellStyle name="Обычный 21 9 2 6" xfId="18497"/>
    <cellStyle name="Обычный 21 9 2 6 2" xfId="18498"/>
    <cellStyle name="Обычный 21 9 2 6 2 2" xfId="18499"/>
    <cellStyle name="Обычный 21 9 2 6 3" xfId="18500"/>
    <cellStyle name="Обычный 21 9 2 7" xfId="18501"/>
    <cellStyle name="Обычный 21 9 2 7 2" xfId="18502"/>
    <cellStyle name="Обычный 21 9 2 8" xfId="18503"/>
    <cellStyle name="Обычный 21 9 2 8 2" xfId="18504"/>
    <cellStyle name="Обычный 21 9 2 9" xfId="18505"/>
    <cellStyle name="Обычный 21 9 3" xfId="18506"/>
    <cellStyle name="Обычный 21 9 3 2" xfId="18507"/>
    <cellStyle name="Обычный 21 9 3 2 2" xfId="18508"/>
    <cellStyle name="Обычный 21 9 3 2 2 2" xfId="18509"/>
    <cellStyle name="Обычный 21 9 3 2 2 2 2" xfId="18510"/>
    <cellStyle name="Обычный 21 9 3 2 2 3" xfId="18511"/>
    <cellStyle name="Обычный 21 9 3 2 3" xfId="18512"/>
    <cellStyle name="Обычный 21 9 3 2 3 2" xfId="18513"/>
    <cellStyle name="Обычный 21 9 3 2 3 2 2" xfId="18514"/>
    <cellStyle name="Обычный 21 9 3 2 3 3" xfId="18515"/>
    <cellStyle name="Обычный 21 9 3 2 4" xfId="18516"/>
    <cellStyle name="Обычный 21 9 3 2 4 2" xfId="18517"/>
    <cellStyle name="Обычный 21 9 3 2 5" xfId="18518"/>
    <cellStyle name="Обычный 21 9 3 3" xfId="18519"/>
    <cellStyle name="Обычный 21 9 3 3 2" xfId="18520"/>
    <cellStyle name="Обычный 21 9 3 3 2 2" xfId="18521"/>
    <cellStyle name="Обычный 21 9 3 3 2 2 2" xfId="18522"/>
    <cellStyle name="Обычный 21 9 3 3 2 3" xfId="18523"/>
    <cellStyle name="Обычный 21 9 3 3 3" xfId="18524"/>
    <cellStyle name="Обычный 21 9 3 3 3 2" xfId="18525"/>
    <cellStyle name="Обычный 21 9 3 3 3 2 2" xfId="18526"/>
    <cellStyle name="Обычный 21 9 3 3 3 3" xfId="18527"/>
    <cellStyle name="Обычный 21 9 3 3 4" xfId="18528"/>
    <cellStyle name="Обычный 21 9 3 3 4 2" xfId="18529"/>
    <cellStyle name="Обычный 21 9 3 3 5" xfId="18530"/>
    <cellStyle name="Обычный 21 9 3 4" xfId="18531"/>
    <cellStyle name="Обычный 21 9 3 4 2" xfId="18532"/>
    <cellStyle name="Обычный 21 9 3 4 2 2" xfId="18533"/>
    <cellStyle name="Обычный 21 9 3 4 3" xfId="18534"/>
    <cellStyle name="Обычный 21 9 3 5" xfId="18535"/>
    <cellStyle name="Обычный 21 9 3 5 2" xfId="18536"/>
    <cellStyle name="Обычный 21 9 3 5 2 2" xfId="18537"/>
    <cellStyle name="Обычный 21 9 3 5 3" xfId="18538"/>
    <cellStyle name="Обычный 21 9 3 6" xfId="18539"/>
    <cellStyle name="Обычный 21 9 3 6 2" xfId="18540"/>
    <cellStyle name="Обычный 21 9 3 7" xfId="18541"/>
    <cellStyle name="Обычный 21 9 3 7 2" xfId="18542"/>
    <cellStyle name="Обычный 21 9 3 8" xfId="18543"/>
    <cellStyle name="Обычный 21 9 4" xfId="18544"/>
    <cellStyle name="Обычный 21 9 4 2" xfId="18545"/>
    <cellStyle name="Обычный 21 9 4 2 2" xfId="18546"/>
    <cellStyle name="Обычный 21 9 4 2 2 2" xfId="18547"/>
    <cellStyle name="Обычный 21 9 4 2 3" xfId="18548"/>
    <cellStyle name="Обычный 21 9 4 3" xfId="18549"/>
    <cellStyle name="Обычный 21 9 4 3 2" xfId="18550"/>
    <cellStyle name="Обычный 21 9 4 3 2 2" xfId="18551"/>
    <cellStyle name="Обычный 21 9 4 3 3" xfId="18552"/>
    <cellStyle name="Обычный 21 9 4 4" xfId="18553"/>
    <cellStyle name="Обычный 21 9 4 4 2" xfId="18554"/>
    <cellStyle name="Обычный 21 9 4 5" xfId="18555"/>
    <cellStyle name="Обычный 21 9 4 5 2" xfId="18556"/>
    <cellStyle name="Обычный 21 9 4 6" xfId="18557"/>
    <cellStyle name="Обычный 21 9 5" xfId="18558"/>
    <cellStyle name="Обычный 21 9 5 2" xfId="18559"/>
    <cellStyle name="Обычный 21 9 5 2 2" xfId="18560"/>
    <cellStyle name="Обычный 21 9 5 2 2 2" xfId="18561"/>
    <cellStyle name="Обычный 21 9 5 2 3" xfId="18562"/>
    <cellStyle name="Обычный 21 9 5 3" xfId="18563"/>
    <cellStyle name="Обычный 21 9 5 3 2" xfId="18564"/>
    <cellStyle name="Обычный 21 9 5 3 2 2" xfId="18565"/>
    <cellStyle name="Обычный 21 9 5 3 3" xfId="18566"/>
    <cellStyle name="Обычный 21 9 5 4" xfId="18567"/>
    <cellStyle name="Обычный 21 9 5 4 2" xfId="18568"/>
    <cellStyle name="Обычный 21 9 5 5" xfId="18569"/>
    <cellStyle name="Обычный 21 9 5 5 2" xfId="18570"/>
    <cellStyle name="Обычный 21 9 5 6" xfId="18571"/>
    <cellStyle name="Обычный 21 9 6" xfId="18572"/>
    <cellStyle name="Обычный 21 9 6 2" xfId="18573"/>
    <cellStyle name="Обычный 21 9 6 2 2" xfId="18574"/>
    <cellStyle name="Обычный 21 9 6 3" xfId="18575"/>
    <cellStyle name="Обычный 21 9 7" xfId="18576"/>
    <cellStyle name="Обычный 21 9 7 2" xfId="18577"/>
    <cellStyle name="Обычный 21 9 7 2 2" xfId="18578"/>
    <cellStyle name="Обычный 21 9 7 3" xfId="18579"/>
    <cellStyle name="Обычный 21 9 8" xfId="18580"/>
    <cellStyle name="Обычный 21 9 8 2" xfId="18581"/>
    <cellStyle name="Обычный 21 9 9" xfId="18582"/>
    <cellStyle name="Обычный 21 9 9 2" xfId="18583"/>
    <cellStyle name="Обычный 210" xfId="18584"/>
    <cellStyle name="Обычный 211" xfId="18585"/>
    <cellStyle name="Обычный 212" xfId="18586"/>
    <cellStyle name="Обычный 213" xfId="18587"/>
    <cellStyle name="Обычный 214" xfId="18588"/>
    <cellStyle name="Обычный 215" xfId="18589"/>
    <cellStyle name="Обычный 216" xfId="18590"/>
    <cellStyle name="Обычный 217" xfId="18591"/>
    <cellStyle name="Обычный 218" xfId="18592"/>
    <cellStyle name="Обычный 219" xfId="18593"/>
    <cellStyle name="Обычный 22" xfId="18594"/>
    <cellStyle name="Обычный 22 10" xfId="18595"/>
    <cellStyle name="Обычный 22 10 2" xfId="18596"/>
    <cellStyle name="Обычный 22 11" xfId="18597"/>
    <cellStyle name="Обычный 22 2" xfId="18598"/>
    <cellStyle name="Обычный 22 2 2" xfId="18599"/>
    <cellStyle name="Обычный 22 2 2 2" xfId="18600"/>
    <cellStyle name="Обычный 22 2 2 2 2" xfId="18601"/>
    <cellStyle name="Обычный 22 2 2 2 2 2" xfId="18602"/>
    <cellStyle name="Обычный 22 2 2 2 2 2 2" xfId="18603"/>
    <cellStyle name="Обычный 22 2 2 2 2 3" xfId="18604"/>
    <cellStyle name="Обычный 22 2 2 2 2 4" xfId="18605"/>
    <cellStyle name="Обычный 22 2 2 2 3" xfId="18606"/>
    <cellStyle name="Обычный 22 2 2 2 3 2" xfId="18607"/>
    <cellStyle name="Обычный 22 2 2 2 3 2 2" xfId="18608"/>
    <cellStyle name="Обычный 22 2 2 2 3 3" xfId="18609"/>
    <cellStyle name="Обычный 22 2 2 2 4" xfId="18610"/>
    <cellStyle name="Обычный 22 2 2 2 4 2" xfId="18611"/>
    <cellStyle name="Обычный 22 2 2 2 5" xfId="18612"/>
    <cellStyle name="Обычный 22 2 2 2 5 2" xfId="18613"/>
    <cellStyle name="Обычный 22 2 2 2 6" xfId="18614"/>
    <cellStyle name="Обычный 22 2 2 3" xfId="18615"/>
    <cellStyle name="Обычный 22 2 2 3 2" xfId="18616"/>
    <cellStyle name="Обычный 22 2 2 3 2 2" xfId="18617"/>
    <cellStyle name="Обычный 22 2 2 3 2 2 2" xfId="18618"/>
    <cellStyle name="Обычный 22 2 2 3 2 3" xfId="18619"/>
    <cellStyle name="Обычный 22 2 2 3 3" xfId="18620"/>
    <cellStyle name="Обычный 22 2 2 3 3 2" xfId="18621"/>
    <cellStyle name="Обычный 22 2 2 3 3 2 2" xfId="18622"/>
    <cellStyle name="Обычный 22 2 2 3 3 3" xfId="18623"/>
    <cellStyle name="Обычный 22 2 2 3 4" xfId="18624"/>
    <cellStyle name="Обычный 22 2 2 3 4 2" xfId="18625"/>
    <cellStyle name="Обычный 22 2 2 3 5" xfId="18626"/>
    <cellStyle name="Обычный 22 2 2 3 5 2" xfId="18627"/>
    <cellStyle name="Обычный 22 2 2 3 6" xfId="18628"/>
    <cellStyle name="Обычный 22 2 2 4" xfId="18629"/>
    <cellStyle name="Обычный 22 2 2 4 2" xfId="18630"/>
    <cellStyle name="Обычный 22 2 2 4 2 2" xfId="18631"/>
    <cellStyle name="Обычный 22 2 2 4 3" xfId="18632"/>
    <cellStyle name="Обычный 22 2 2 5" xfId="18633"/>
    <cellStyle name="Обычный 22 2 2 5 2" xfId="18634"/>
    <cellStyle name="Обычный 22 2 2 5 2 2" xfId="18635"/>
    <cellStyle name="Обычный 22 2 2 5 3" xfId="18636"/>
    <cellStyle name="Обычный 22 2 2 6" xfId="18637"/>
    <cellStyle name="Обычный 22 2 2 6 2" xfId="18638"/>
    <cellStyle name="Обычный 22 2 2 7" xfId="18639"/>
    <cellStyle name="Обычный 22 2 2 7 2" xfId="18640"/>
    <cellStyle name="Обычный 22 2 2 8" xfId="18641"/>
    <cellStyle name="Обычный 22 2 3" xfId="18642"/>
    <cellStyle name="Обычный 22 2 3 2" xfId="18643"/>
    <cellStyle name="Обычный 22 2 3 2 2" xfId="18644"/>
    <cellStyle name="Обычный 22 2 3 2 2 2" xfId="18645"/>
    <cellStyle name="Обычный 22 2 3 2 2 2 2" xfId="18646"/>
    <cellStyle name="Обычный 22 2 3 2 2 2 2 2" xfId="18647"/>
    <cellStyle name="Обычный 22 2 3 2 2 2 2 3" xfId="18648"/>
    <cellStyle name="Обычный 22 2 3 2 2 2 2 4" xfId="18649"/>
    <cellStyle name="Обычный 22 2 3 2 2 2 3" xfId="18650"/>
    <cellStyle name="Обычный 22 2 3 2 2 2 4" xfId="18651"/>
    <cellStyle name="Обычный 22 2 3 2 2 2 5" xfId="18652"/>
    <cellStyle name="Обычный 22 2 3 2 2 3" xfId="18653"/>
    <cellStyle name="Обычный 22 2 3 2 2 3 2" xfId="18654"/>
    <cellStyle name="Обычный 22 2 3 2 2 3 3" xfId="18655"/>
    <cellStyle name="Обычный 22 2 3 2 2 3 4" xfId="18656"/>
    <cellStyle name="Обычный 22 2 3 2 2 4" xfId="18657"/>
    <cellStyle name="Обычный 22 2 3 2 2 5" xfId="18658"/>
    <cellStyle name="Обычный 22 2 3 2 2 6" xfId="18659"/>
    <cellStyle name="Обычный 22 2 3 2 3" xfId="18660"/>
    <cellStyle name="Обычный 22 2 3 2 3 2" xfId="18661"/>
    <cellStyle name="Обычный 22 2 3 2 3 2 2" xfId="18662"/>
    <cellStyle name="Обычный 22 2 3 2 3 2 3" xfId="18663"/>
    <cellStyle name="Обычный 22 2 3 2 3 2 4" xfId="18664"/>
    <cellStyle name="Обычный 22 2 3 2 3 3" xfId="18665"/>
    <cellStyle name="Обычный 22 2 3 2 3 3 2" xfId="18666"/>
    <cellStyle name="Обычный 22 2 3 2 3 3 3" xfId="18667"/>
    <cellStyle name="Обычный 22 2 3 2 3 3 4" xfId="18668"/>
    <cellStyle name="Обычный 22 2 3 2 3 4" xfId="18669"/>
    <cellStyle name="Обычный 22 2 3 2 3 5" xfId="18670"/>
    <cellStyle name="Обычный 22 2 3 2 3 6" xfId="18671"/>
    <cellStyle name="Обычный 22 2 3 2 4" xfId="18672"/>
    <cellStyle name="Обычный 22 2 3 2 4 2" xfId="18673"/>
    <cellStyle name="Обычный 22 2 3 2 4 3" xfId="18674"/>
    <cellStyle name="Обычный 22 2 3 2 4 4" xfId="18675"/>
    <cellStyle name="Обычный 22 2 3 2 5" xfId="18676"/>
    <cellStyle name="Обычный 22 2 3 2 6" xfId="18677"/>
    <cellStyle name="Обычный 22 2 3 2 7" xfId="18678"/>
    <cellStyle name="Обычный 22 2 3 3" xfId="18679"/>
    <cellStyle name="Обычный 22 2 3 3 2" xfId="18680"/>
    <cellStyle name="Обычный 22 2 3 3 2 2" xfId="18681"/>
    <cellStyle name="Обычный 22 2 3 3 2 2 2" xfId="18682"/>
    <cellStyle name="Обычный 22 2 3 3 2 2 3" xfId="18683"/>
    <cellStyle name="Обычный 22 2 3 3 2 2 4" xfId="18684"/>
    <cellStyle name="Обычный 22 2 3 3 2 3" xfId="18685"/>
    <cellStyle name="Обычный 22 2 3 3 2 4" xfId="18686"/>
    <cellStyle name="Обычный 22 2 3 3 2 5" xfId="18687"/>
    <cellStyle name="Обычный 22 2 3 3 3" xfId="18688"/>
    <cellStyle name="Обычный 22 2 3 3 3 2" xfId="18689"/>
    <cellStyle name="Обычный 22 2 3 3 3 3" xfId="18690"/>
    <cellStyle name="Обычный 22 2 3 3 3 4" xfId="18691"/>
    <cellStyle name="Обычный 22 2 3 3 4" xfId="18692"/>
    <cellStyle name="Обычный 22 2 3 3 5" xfId="18693"/>
    <cellStyle name="Обычный 22 2 3 3 6" xfId="18694"/>
    <cellStyle name="Обычный 22 2 3 4" xfId="18695"/>
    <cellStyle name="Обычный 22 2 3 4 2" xfId="18696"/>
    <cellStyle name="Обычный 22 2 3 4 2 2" xfId="18697"/>
    <cellStyle name="Обычный 22 2 3 4 2 2 2" xfId="18698"/>
    <cellStyle name="Обычный 22 2 3 4 2 2 3" xfId="18699"/>
    <cellStyle name="Обычный 22 2 3 4 2 2 4" xfId="18700"/>
    <cellStyle name="Обычный 22 2 3 4 2 3" xfId="18701"/>
    <cellStyle name="Обычный 22 2 3 4 2 4" xfId="18702"/>
    <cellStyle name="Обычный 22 2 3 4 2 5" xfId="18703"/>
    <cellStyle name="Обычный 22 2 3 4 3" xfId="18704"/>
    <cellStyle name="Обычный 22 2 3 4 3 2" xfId="18705"/>
    <cellStyle name="Обычный 22 2 3 4 3 3" xfId="18706"/>
    <cellStyle name="Обычный 22 2 3 4 3 4" xfId="18707"/>
    <cellStyle name="Обычный 22 2 3 4 4" xfId="18708"/>
    <cellStyle name="Обычный 22 2 3 4 4 2" xfId="18709"/>
    <cellStyle name="Обычный 22 2 3 4 4 3" xfId="18710"/>
    <cellStyle name="Обычный 22 2 3 4 4 4" xfId="18711"/>
    <cellStyle name="Обычный 22 2 3 4 5" xfId="18712"/>
    <cellStyle name="Обычный 22 2 3 4 5 2" xfId="18713"/>
    <cellStyle name="Обычный 22 2 3 4 5 3" xfId="18714"/>
    <cellStyle name="Обычный 22 2 3 4 5 4" xfId="18715"/>
    <cellStyle name="Обычный 22 2 3 4 6" xfId="18716"/>
    <cellStyle name="Обычный 22 2 3 4 6 2" xfId="18717"/>
    <cellStyle name="Обычный 22 2 3 4 6 3" xfId="18718"/>
    <cellStyle name="Обычный 22 2 3 4 6 4" xfId="18719"/>
    <cellStyle name="Обычный 22 2 3 4 7" xfId="18720"/>
    <cellStyle name="Обычный 22 2 3 4 8" xfId="18721"/>
    <cellStyle name="Обычный 22 2 3 4 9" xfId="18722"/>
    <cellStyle name="Обычный 22 2 3 5" xfId="18723"/>
    <cellStyle name="Обычный 22 2 3 5 2" xfId="18724"/>
    <cellStyle name="Обычный 22 2 3 5 3" xfId="18725"/>
    <cellStyle name="Обычный 22 2 3 5 4" xfId="18726"/>
    <cellStyle name="Обычный 22 2 3 6" xfId="18727"/>
    <cellStyle name="Обычный 22 2 3 6 2" xfId="18728"/>
    <cellStyle name="Обычный 22 2 3 6 3" xfId="18729"/>
    <cellStyle name="Обычный 22 2 3 6 4" xfId="18730"/>
    <cellStyle name="Обычный 22 2 3 7" xfId="18731"/>
    <cellStyle name="Обычный 22 2 3 8" xfId="18732"/>
    <cellStyle name="Обычный 22 2 3 9" xfId="18733"/>
    <cellStyle name="Обычный 22 2 4" xfId="18734"/>
    <cellStyle name="Обычный 22 2 4 2" xfId="18735"/>
    <cellStyle name="Обычный 22 2 4 2 2" xfId="18736"/>
    <cellStyle name="Обычный 22 2 4 2 2 2" xfId="18737"/>
    <cellStyle name="Обычный 22 2 4 2 3" xfId="18738"/>
    <cellStyle name="Обычный 22 2 4 3" xfId="18739"/>
    <cellStyle name="Обычный 22 2 4 3 2" xfId="18740"/>
    <cellStyle name="Обычный 22 2 4 3 2 2" xfId="18741"/>
    <cellStyle name="Обычный 22 2 4 3 3" xfId="18742"/>
    <cellStyle name="Обычный 22 2 4 4" xfId="18743"/>
    <cellStyle name="Обычный 22 2 4 4 2" xfId="18744"/>
    <cellStyle name="Обычный 22 2 4 5" xfId="18745"/>
    <cellStyle name="Обычный 22 2 4 5 2" xfId="18746"/>
    <cellStyle name="Обычный 22 2 4 6" xfId="18747"/>
    <cellStyle name="Обычный 22 2 5" xfId="18748"/>
    <cellStyle name="Обычный 22 2 5 2" xfId="18749"/>
    <cellStyle name="Обычный 22 2 5 2 2" xfId="18750"/>
    <cellStyle name="Обычный 22 2 5 3" xfId="18751"/>
    <cellStyle name="Обычный 22 2 6" xfId="18752"/>
    <cellStyle name="Обычный 22 2 6 2" xfId="18753"/>
    <cellStyle name="Обычный 22 2 6 2 2" xfId="18754"/>
    <cellStyle name="Обычный 22 2 6 3" xfId="18755"/>
    <cellStyle name="Обычный 22 2 7" xfId="18756"/>
    <cellStyle name="Обычный 22 2 7 2" xfId="18757"/>
    <cellStyle name="Обычный 22 2 8" xfId="18758"/>
    <cellStyle name="Обычный 22 2 8 2" xfId="18759"/>
    <cellStyle name="Обычный 22 2 9" xfId="18760"/>
    <cellStyle name="Обычный 22 3" xfId="18761"/>
    <cellStyle name="Обычный 22 3 2" xfId="18762"/>
    <cellStyle name="Обычный 22 3 2 2" xfId="18763"/>
    <cellStyle name="Обычный 22 3 2 2 2" xfId="18764"/>
    <cellStyle name="Обычный 22 3 2 2 2 2" xfId="18765"/>
    <cellStyle name="Обычный 22 3 2 2 3" xfId="18766"/>
    <cellStyle name="Обычный 22 3 2 2 3 2" xfId="18767"/>
    <cellStyle name="Обычный 22 3 2 2 4" xfId="18768"/>
    <cellStyle name="Обычный 22 3 2 3" xfId="18769"/>
    <cellStyle name="Обычный 22 3 2 3 2" xfId="18770"/>
    <cellStyle name="Обычный 22 3 2 3 2 2" xfId="18771"/>
    <cellStyle name="Обычный 22 3 2 3 3" xfId="18772"/>
    <cellStyle name="Обычный 22 3 2 4" xfId="18773"/>
    <cellStyle name="Обычный 22 3 2 4 2" xfId="18774"/>
    <cellStyle name="Обычный 22 3 2 5" xfId="18775"/>
    <cellStyle name="Обычный 22 3 2 5 2" xfId="18776"/>
    <cellStyle name="Обычный 22 3 2 6" xfId="18777"/>
    <cellStyle name="Обычный 22 3 3" xfId="18778"/>
    <cellStyle name="Обычный 22 3 3 2" xfId="18779"/>
    <cellStyle name="Обычный 22 3 3 2 2" xfId="18780"/>
    <cellStyle name="Обычный 22 3 3 2 2 2" xfId="18781"/>
    <cellStyle name="Обычный 22 3 3 2 3" xfId="18782"/>
    <cellStyle name="Обычный 22 3 3 3" xfId="18783"/>
    <cellStyle name="Обычный 22 3 3 3 2" xfId="18784"/>
    <cellStyle name="Обычный 22 3 3 3 2 2" xfId="18785"/>
    <cellStyle name="Обычный 22 3 3 3 3" xfId="18786"/>
    <cellStyle name="Обычный 22 3 3 4" xfId="18787"/>
    <cellStyle name="Обычный 22 3 3 4 2" xfId="18788"/>
    <cellStyle name="Обычный 22 3 3 5" xfId="18789"/>
    <cellStyle name="Обычный 22 3 3 5 2" xfId="18790"/>
    <cellStyle name="Обычный 22 3 3 6" xfId="18791"/>
    <cellStyle name="Обычный 22 3 4" xfId="18792"/>
    <cellStyle name="Обычный 22 3 4 2" xfId="18793"/>
    <cellStyle name="Обычный 22 3 4 2 2" xfId="18794"/>
    <cellStyle name="Обычный 22 3 4 3" xfId="18795"/>
    <cellStyle name="Обычный 22 3 4 3 2" xfId="18796"/>
    <cellStyle name="Обычный 22 3 4 4" xfId="18797"/>
    <cellStyle name="Обычный 22 3 5" xfId="18798"/>
    <cellStyle name="Обычный 22 3 5 2" xfId="18799"/>
    <cellStyle name="Обычный 22 3 5 2 2" xfId="18800"/>
    <cellStyle name="Обычный 22 3 5 3" xfId="18801"/>
    <cellStyle name="Обычный 22 3 6" xfId="18802"/>
    <cellStyle name="Обычный 22 3 6 2" xfId="18803"/>
    <cellStyle name="Обычный 22 3 7" xfId="18804"/>
    <cellStyle name="Обычный 22 3 7 2" xfId="18805"/>
    <cellStyle name="Обычный 22 3 8" xfId="18806"/>
    <cellStyle name="Обычный 22 4" xfId="18807"/>
    <cellStyle name="Обычный 22 4 2" xfId="18808"/>
    <cellStyle name="Обычный 22 4 2 2" xfId="18809"/>
    <cellStyle name="Обычный 22 4 2 2 2" xfId="18810"/>
    <cellStyle name="Обычный 22 4 2 2 2 2" xfId="18811"/>
    <cellStyle name="Обычный 22 4 2 2 3" xfId="18812"/>
    <cellStyle name="Обычный 22 4 2 3" xfId="18813"/>
    <cellStyle name="Обычный 22 4 2 3 2" xfId="18814"/>
    <cellStyle name="Обычный 22 4 2 3 2 2" xfId="18815"/>
    <cellStyle name="Обычный 22 4 2 3 3" xfId="18816"/>
    <cellStyle name="Обычный 22 4 2 4" xfId="18817"/>
    <cellStyle name="Обычный 22 4 2 4 2" xfId="18818"/>
    <cellStyle name="Обычный 22 4 2 5" xfId="18819"/>
    <cellStyle name="Обычный 22 4 2 5 2" xfId="18820"/>
    <cellStyle name="Обычный 22 4 2 6" xfId="18821"/>
    <cellStyle name="Обычный 22 4 3" xfId="18822"/>
    <cellStyle name="Обычный 22 4 3 2" xfId="18823"/>
    <cellStyle name="Обычный 22 4 3 2 2" xfId="18824"/>
    <cellStyle name="Обычный 22 4 3 2 2 2" xfId="18825"/>
    <cellStyle name="Обычный 22 4 3 2 3" xfId="18826"/>
    <cellStyle name="Обычный 22 4 3 3" xfId="18827"/>
    <cellStyle name="Обычный 22 4 3 3 2" xfId="18828"/>
    <cellStyle name="Обычный 22 4 3 3 2 2" xfId="18829"/>
    <cellStyle name="Обычный 22 4 3 3 3" xfId="18830"/>
    <cellStyle name="Обычный 22 4 3 4" xfId="18831"/>
    <cellStyle name="Обычный 22 4 3 4 2" xfId="18832"/>
    <cellStyle name="Обычный 22 4 3 5" xfId="18833"/>
    <cellStyle name="Обычный 22 4 4" xfId="18834"/>
    <cellStyle name="Обычный 22 4 4 2" xfId="18835"/>
    <cellStyle name="Обычный 22 4 4 2 2" xfId="18836"/>
    <cellStyle name="Обычный 22 4 4 3" xfId="18837"/>
    <cellStyle name="Обычный 22 4 5" xfId="18838"/>
    <cellStyle name="Обычный 22 4 5 2" xfId="18839"/>
    <cellStyle name="Обычный 22 4 5 2 2" xfId="18840"/>
    <cellStyle name="Обычный 22 4 5 3" xfId="18841"/>
    <cellStyle name="Обычный 22 4 6" xfId="18842"/>
    <cellStyle name="Обычный 22 4 6 2" xfId="18843"/>
    <cellStyle name="Обычный 22 4 7" xfId="18844"/>
    <cellStyle name="Обычный 22 4 7 2" xfId="18845"/>
    <cellStyle name="Обычный 22 4 8" xfId="18846"/>
    <cellStyle name="Обычный 22 5" xfId="18847"/>
    <cellStyle name="Обычный 22 5 2" xfId="18848"/>
    <cellStyle name="Обычный 22 5 2 2" xfId="18849"/>
    <cellStyle name="Обычный 22 5 2 2 2" xfId="18850"/>
    <cellStyle name="Обычный 22 5 2 3" xfId="18851"/>
    <cellStyle name="Обычный 22 5 3" xfId="18852"/>
    <cellStyle name="Обычный 22 5 3 2" xfId="18853"/>
    <cellStyle name="Обычный 22 5 3 2 2" xfId="18854"/>
    <cellStyle name="Обычный 22 5 3 3" xfId="18855"/>
    <cellStyle name="Обычный 22 5 4" xfId="18856"/>
    <cellStyle name="Обычный 22 5 4 2" xfId="18857"/>
    <cellStyle name="Обычный 22 5 5" xfId="18858"/>
    <cellStyle name="Обычный 22 5 5 2" xfId="18859"/>
    <cellStyle name="Обычный 22 5 6" xfId="18860"/>
    <cellStyle name="Обычный 22 6" xfId="18861"/>
    <cellStyle name="Обычный 22 6 2" xfId="18862"/>
    <cellStyle name="Обычный 22 6 2 2" xfId="18863"/>
    <cellStyle name="Обычный 22 6 2 2 2" xfId="18864"/>
    <cellStyle name="Обычный 22 6 2 3" xfId="18865"/>
    <cellStyle name="Обычный 22 6 3" xfId="18866"/>
    <cellStyle name="Обычный 22 6 3 2" xfId="18867"/>
    <cellStyle name="Обычный 22 6 3 2 2" xfId="18868"/>
    <cellStyle name="Обычный 22 6 3 3" xfId="18869"/>
    <cellStyle name="Обычный 22 6 4" xfId="18870"/>
    <cellStyle name="Обычный 22 6 4 2" xfId="18871"/>
    <cellStyle name="Обычный 22 6 5" xfId="18872"/>
    <cellStyle name="Обычный 22 6 5 2" xfId="18873"/>
    <cellStyle name="Обычный 22 6 6" xfId="18874"/>
    <cellStyle name="Обычный 22 7" xfId="18875"/>
    <cellStyle name="Обычный 22 7 2" xfId="18876"/>
    <cellStyle name="Обычный 22 7 2 2" xfId="18877"/>
    <cellStyle name="Обычный 22 7 3" xfId="18878"/>
    <cellStyle name="Обычный 22 8" xfId="18879"/>
    <cellStyle name="Обычный 22 8 2" xfId="18880"/>
    <cellStyle name="Обычный 22 8 2 2" xfId="18881"/>
    <cellStyle name="Обычный 22 8 3" xfId="18882"/>
    <cellStyle name="Обычный 22 9" xfId="18883"/>
    <cellStyle name="Обычный 22 9 2" xfId="18884"/>
    <cellStyle name="Обычный 220" xfId="18885"/>
    <cellStyle name="Обычный 221" xfId="18886"/>
    <cellStyle name="Обычный 221 2" xfId="18887"/>
    <cellStyle name="Обычный 222" xfId="18888"/>
    <cellStyle name="Обычный 223" xfId="18889"/>
    <cellStyle name="Обычный 223 2" xfId="18890"/>
    <cellStyle name="Обычный 224" xfId="18891"/>
    <cellStyle name="Обычный 225" xfId="18892"/>
    <cellStyle name="Обычный 226" xfId="18893"/>
    <cellStyle name="Обычный 227" xfId="18894"/>
    <cellStyle name="Обычный 228" xfId="18895"/>
    <cellStyle name="Обычный 229" xfId="18896"/>
    <cellStyle name="Обычный 23" xfId="18897"/>
    <cellStyle name="Обычный 23 10" xfId="18898"/>
    <cellStyle name="Обычный 23 10 2" xfId="18899"/>
    <cellStyle name="Обычный 23 11" xfId="18900"/>
    <cellStyle name="Обычный 23 11 2" xfId="18901"/>
    <cellStyle name="Обычный 23 12" xfId="18902"/>
    <cellStyle name="Обычный 23 2" xfId="18903"/>
    <cellStyle name="Обычный 23 2 10" xfId="18904"/>
    <cellStyle name="Обычный 23 2 10 2" xfId="18905"/>
    <cellStyle name="Обычный 23 2 11" xfId="18906"/>
    <cellStyle name="Обычный 23 2 2" xfId="18907"/>
    <cellStyle name="Обычный 23 2 2 2" xfId="18908"/>
    <cellStyle name="Обычный 23 2 2 2 2" xfId="18909"/>
    <cellStyle name="Обычный 23 2 2 2 2 2" xfId="18910"/>
    <cellStyle name="Обычный 23 2 2 2 2 2 2" xfId="18911"/>
    <cellStyle name="Обычный 23 2 2 2 2 2 2 2" xfId="18912"/>
    <cellStyle name="Обычный 23 2 2 2 2 2 3" xfId="18913"/>
    <cellStyle name="Обычный 23 2 2 2 2 3" xfId="18914"/>
    <cellStyle name="Обычный 23 2 2 2 2 3 2" xfId="18915"/>
    <cellStyle name="Обычный 23 2 2 2 2 3 2 2" xfId="18916"/>
    <cellStyle name="Обычный 23 2 2 2 2 3 3" xfId="18917"/>
    <cellStyle name="Обычный 23 2 2 2 2 4" xfId="18918"/>
    <cellStyle name="Обычный 23 2 2 2 2 4 2" xfId="18919"/>
    <cellStyle name="Обычный 23 2 2 2 2 5" xfId="18920"/>
    <cellStyle name="Обычный 23 2 2 2 2 5 2" xfId="18921"/>
    <cellStyle name="Обычный 23 2 2 2 2 6" xfId="18922"/>
    <cellStyle name="Обычный 23 2 2 2 3" xfId="18923"/>
    <cellStyle name="Обычный 23 2 2 2 3 2" xfId="18924"/>
    <cellStyle name="Обычный 23 2 2 2 3 2 2" xfId="18925"/>
    <cellStyle name="Обычный 23 2 2 2 3 2 2 2" xfId="18926"/>
    <cellStyle name="Обычный 23 2 2 2 3 2 3" xfId="18927"/>
    <cellStyle name="Обычный 23 2 2 2 3 3" xfId="18928"/>
    <cellStyle name="Обычный 23 2 2 2 3 3 2" xfId="18929"/>
    <cellStyle name="Обычный 23 2 2 2 3 3 2 2" xfId="18930"/>
    <cellStyle name="Обычный 23 2 2 2 3 3 3" xfId="18931"/>
    <cellStyle name="Обычный 23 2 2 2 3 4" xfId="18932"/>
    <cellStyle name="Обычный 23 2 2 2 3 4 2" xfId="18933"/>
    <cellStyle name="Обычный 23 2 2 2 3 5" xfId="18934"/>
    <cellStyle name="Обычный 23 2 2 2 4" xfId="18935"/>
    <cellStyle name="Обычный 23 2 2 2 4 2" xfId="18936"/>
    <cellStyle name="Обычный 23 2 2 2 4 2 2" xfId="18937"/>
    <cellStyle name="Обычный 23 2 2 2 4 3" xfId="18938"/>
    <cellStyle name="Обычный 23 2 2 2 5" xfId="18939"/>
    <cellStyle name="Обычный 23 2 2 2 5 2" xfId="18940"/>
    <cellStyle name="Обычный 23 2 2 2 5 2 2" xfId="18941"/>
    <cellStyle name="Обычный 23 2 2 2 5 3" xfId="18942"/>
    <cellStyle name="Обычный 23 2 2 2 6" xfId="18943"/>
    <cellStyle name="Обычный 23 2 2 2 6 2" xfId="18944"/>
    <cellStyle name="Обычный 23 2 2 2 7" xfId="18945"/>
    <cellStyle name="Обычный 23 2 2 2 7 2" xfId="18946"/>
    <cellStyle name="Обычный 23 2 2 2 8" xfId="18947"/>
    <cellStyle name="Обычный 23 2 2 3" xfId="18948"/>
    <cellStyle name="Обычный 23 2 2 3 2" xfId="18949"/>
    <cellStyle name="Обычный 23 2 2 3 2 2" xfId="18950"/>
    <cellStyle name="Обычный 23 2 2 3 2 2 2" xfId="18951"/>
    <cellStyle name="Обычный 23 2 2 3 2 3" xfId="18952"/>
    <cellStyle name="Обычный 23 2 2 3 3" xfId="18953"/>
    <cellStyle name="Обычный 23 2 2 3 3 2" xfId="18954"/>
    <cellStyle name="Обычный 23 2 2 3 3 2 2" xfId="18955"/>
    <cellStyle name="Обычный 23 2 2 3 3 3" xfId="18956"/>
    <cellStyle name="Обычный 23 2 2 3 4" xfId="18957"/>
    <cellStyle name="Обычный 23 2 2 3 4 2" xfId="18958"/>
    <cellStyle name="Обычный 23 2 2 3 5" xfId="18959"/>
    <cellStyle name="Обычный 23 2 2 3 5 2" xfId="18960"/>
    <cellStyle name="Обычный 23 2 2 3 6" xfId="18961"/>
    <cellStyle name="Обычный 23 2 2 4" xfId="18962"/>
    <cellStyle name="Обычный 23 2 2 4 2" xfId="18963"/>
    <cellStyle name="Обычный 23 2 2 4 2 2" xfId="18964"/>
    <cellStyle name="Обычный 23 2 2 4 2 2 2" xfId="18965"/>
    <cellStyle name="Обычный 23 2 2 4 2 3" xfId="18966"/>
    <cellStyle name="Обычный 23 2 2 4 3" xfId="18967"/>
    <cellStyle name="Обычный 23 2 2 4 3 2" xfId="18968"/>
    <cellStyle name="Обычный 23 2 2 4 3 2 2" xfId="18969"/>
    <cellStyle name="Обычный 23 2 2 4 3 3" xfId="18970"/>
    <cellStyle name="Обычный 23 2 2 4 4" xfId="18971"/>
    <cellStyle name="Обычный 23 2 2 4 4 2" xfId="18972"/>
    <cellStyle name="Обычный 23 2 2 4 5" xfId="18973"/>
    <cellStyle name="Обычный 23 2 2 4 5 2" xfId="18974"/>
    <cellStyle name="Обычный 23 2 2 4 6" xfId="18975"/>
    <cellStyle name="Обычный 23 2 2 5" xfId="18976"/>
    <cellStyle name="Обычный 23 2 2 5 2" xfId="18977"/>
    <cellStyle name="Обычный 23 2 2 5 2 2" xfId="18978"/>
    <cellStyle name="Обычный 23 2 2 5 3" xfId="18979"/>
    <cellStyle name="Обычный 23 2 2 6" xfId="18980"/>
    <cellStyle name="Обычный 23 2 2 6 2" xfId="18981"/>
    <cellStyle name="Обычный 23 2 2 6 2 2" xfId="18982"/>
    <cellStyle name="Обычный 23 2 2 6 3" xfId="18983"/>
    <cellStyle name="Обычный 23 2 2 7" xfId="18984"/>
    <cellStyle name="Обычный 23 2 2 7 2" xfId="18985"/>
    <cellStyle name="Обычный 23 2 2 8" xfId="18986"/>
    <cellStyle name="Обычный 23 2 2 8 2" xfId="18987"/>
    <cellStyle name="Обычный 23 2 2 9" xfId="18988"/>
    <cellStyle name="Обычный 23 2 3" xfId="18989"/>
    <cellStyle name="Обычный 23 2 3 2" xfId="18990"/>
    <cellStyle name="Обычный 23 2 3 2 2" xfId="18991"/>
    <cellStyle name="Обычный 23 2 3 2 2 2" xfId="18992"/>
    <cellStyle name="Обычный 23 2 3 2 2 2 2" xfId="18993"/>
    <cellStyle name="Обычный 23 2 3 2 2 3" xfId="18994"/>
    <cellStyle name="Обычный 23 2 3 2 2 3 2" xfId="18995"/>
    <cellStyle name="Обычный 23 2 3 2 2 4" xfId="18996"/>
    <cellStyle name="Обычный 23 2 3 2 3" xfId="18997"/>
    <cellStyle name="Обычный 23 2 3 2 3 2" xfId="18998"/>
    <cellStyle name="Обычный 23 2 3 2 3 2 2" xfId="18999"/>
    <cellStyle name="Обычный 23 2 3 2 3 3" xfId="19000"/>
    <cellStyle name="Обычный 23 2 3 2 4" xfId="19001"/>
    <cellStyle name="Обычный 23 2 3 2 4 2" xfId="19002"/>
    <cellStyle name="Обычный 23 2 3 2 5" xfId="19003"/>
    <cellStyle name="Обычный 23 2 3 2 5 2" xfId="19004"/>
    <cellStyle name="Обычный 23 2 3 2 6" xfId="19005"/>
    <cellStyle name="Обычный 23 2 3 3" xfId="19006"/>
    <cellStyle name="Обычный 23 2 3 3 2" xfId="19007"/>
    <cellStyle name="Обычный 23 2 3 3 2 2" xfId="19008"/>
    <cellStyle name="Обычный 23 2 3 3 2 2 2" xfId="19009"/>
    <cellStyle name="Обычный 23 2 3 3 2 3" xfId="19010"/>
    <cellStyle name="Обычный 23 2 3 3 3" xfId="19011"/>
    <cellStyle name="Обычный 23 2 3 3 3 2" xfId="19012"/>
    <cellStyle name="Обычный 23 2 3 3 3 2 2" xfId="19013"/>
    <cellStyle name="Обычный 23 2 3 3 3 3" xfId="19014"/>
    <cellStyle name="Обычный 23 2 3 3 4" xfId="19015"/>
    <cellStyle name="Обычный 23 2 3 3 4 2" xfId="19016"/>
    <cellStyle name="Обычный 23 2 3 3 5" xfId="19017"/>
    <cellStyle name="Обычный 23 2 3 3 5 2" xfId="19018"/>
    <cellStyle name="Обычный 23 2 3 3 6" xfId="19019"/>
    <cellStyle name="Обычный 23 2 3 4" xfId="19020"/>
    <cellStyle name="Обычный 23 2 3 4 2" xfId="19021"/>
    <cellStyle name="Обычный 23 2 3 4 2 2" xfId="19022"/>
    <cellStyle name="Обычный 23 2 3 4 3" xfId="19023"/>
    <cellStyle name="Обычный 23 2 3 4 3 2" xfId="19024"/>
    <cellStyle name="Обычный 23 2 3 4 4" xfId="19025"/>
    <cellStyle name="Обычный 23 2 3 5" xfId="19026"/>
    <cellStyle name="Обычный 23 2 3 5 2" xfId="19027"/>
    <cellStyle name="Обычный 23 2 3 5 2 2" xfId="19028"/>
    <cellStyle name="Обычный 23 2 3 5 3" xfId="19029"/>
    <cellStyle name="Обычный 23 2 3 6" xfId="19030"/>
    <cellStyle name="Обычный 23 2 3 6 2" xfId="19031"/>
    <cellStyle name="Обычный 23 2 3 7" xfId="19032"/>
    <cellStyle name="Обычный 23 2 3 7 2" xfId="19033"/>
    <cellStyle name="Обычный 23 2 3 8" xfId="19034"/>
    <cellStyle name="Обычный 23 2 4" xfId="19035"/>
    <cellStyle name="Обычный 23 2 4 2" xfId="19036"/>
    <cellStyle name="Обычный 23 2 4 2 2" xfId="19037"/>
    <cellStyle name="Обычный 23 2 4 2 2 2" xfId="19038"/>
    <cellStyle name="Обычный 23 2 4 2 2 2 2" xfId="19039"/>
    <cellStyle name="Обычный 23 2 4 2 2 3" xfId="19040"/>
    <cellStyle name="Обычный 23 2 4 2 3" xfId="19041"/>
    <cellStyle name="Обычный 23 2 4 2 3 2" xfId="19042"/>
    <cellStyle name="Обычный 23 2 4 2 3 2 2" xfId="19043"/>
    <cellStyle name="Обычный 23 2 4 2 3 3" xfId="19044"/>
    <cellStyle name="Обычный 23 2 4 2 4" xfId="19045"/>
    <cellStyle name="Обычный 23 2 4 2 4 2" xfId="19046"/>
    <cellStyle name="Обычный 23 2 4 2 5" xfId="19047"/>
    <cellStyle name="Обычный 23 2 4 2 5 2" xfId="19048"/>
    <cellStyle name="Обычный 23 2 4 2 6" xfId="19049"/>
    <cellStyle name="Обычный 23 2 4 3" xfId="19050"/>
    <cellStyle name="Обычный 23 2 4 3 2" xfId="19051"/>
    <cellStyle name="Обычный 23 2 4 3 2 2" xfId="19052"/>
    <cellStyle name="Обычный 23 2 4 3 2 2 2" xfId="19053"/>
    <cellStyle name="Обычный 23 2 4 3 2 3" xfId="19054"/>
    <cellStyle name="Обычный 23 2 4 3 3" xfId="19055"/>
    <cellStyle name="Обычный 23 2 4 3 3 2" xfId="19056"/>
    <cellStyle name="Обычный 23 2 4 3 3 2 2" xfId="19057"/>
    <cellStyle name="Обычный 23 2 4 3 3 3" xfId="19058"/>
    <cellStyle name="Обычный 23 2 4 3 4" xfId="19059"/>
    <cellStyle name="Обычный 23 2 4 3 4 2" xfId="19060"/>
    <cellStyle name="Обычный 23 2 4 3 5" xfId="19061"/>
    <cellStyle name="Обычный 23 2 4 4" xfId="19062"/>
    <cellStyle name="Обычный 23 2 4 4 2" xfId="19063"/>
    <cellStyle name="Обычный 23 2 4 4 2 2" xfId="19064"/>
    <cellStyle name="Обычный 23 2 4 4 3" xfId="19065"/>
    <cellStyle name="Обычный 23 2 4 5" xfId="19066"/>
    <cellStyle name="Обычный 23 2 4 5 2" xfId="19067"/>
    <cellStyle name="Обычный 23 2 4 5 2 2" xfId="19068"/>
    <cellStyle name="Обычный 23 2 4 5 3" xfId="19069"/>
    <cellStyle name="Обычный 23 2 4 6" xfId="19070"/>
    <cellStyle name="Обычный 23 2 4 6 2" xfId="19071"/>
    <cellStyle name="Обычный 23 2 4 7" xfId="19072"/>
    <cellStyle name="Обычный 23 2 4 7 2" xfId="19073"/>
    <cellStyle name="Обычный 23 2 4 8" xfId="19074"/>
    <cellStyle name="Обычный 23 2 5" xfId="19075"/>
    <cellStyle name="Обычный 23 2 5 2" xfId="19076"/>
    <cellStyle name="Обычный 23 2 5 2 2" xfId="19077"/>
    <cellStyle name="Обычный 23 2 5 2 2 2" xfId="19078"/>
    <cellStyle name="Обычный 23 2 5 2 3" xfId="19079"/>
    <cellStyle name="Обычный 23 2 5 3" xfId="19080"/>
    <cellStyle name="Обычный 23 2 5 3 2" xfId="19081"/>
    <cellStyle name="Обычный 23 2 5 3 2 2" xfId="19082"/>
    <cellStyle name="Обычный 23 2 5 3 3" xfId="19083"/>
    <cellStyle name="Обычный 23 2 5 4" xfId="19084"/>
    <cellStyle name="Обычный 23 2 5 4 2" xfId="19085"/>
    <cellStyle name="Обычный 23 2 5 5" xfId="19086"/>
    <cellStyle name="Обычный 23 2 5 5 2" xfId="19087"/>
    <cellStyle name="Обычный 23 2 5 6" xfId="19088"/>
    <cellStyle name="Обычный 23 2 6" xfId="19089"/>
    <cellStyle name="Обычный 23 2 6 2" xfId="19090"/>
    <cellStyle name="Обычный 23 2 6 2 2" xfId="19091"/>
    <cellStyle name="Обычный 23 2 6 2 2 2" xfId="19092"/>
    <cellStyle name="Обычный 23 2 6 2 3" xfId="19093"/>
    <cellStyle name="Обычный 23 2 6 3" xfId="19094"/>
    <cellStyle name="Обычный 23 2 6 3 2" xfId="19095"/>
    <cellStyle name="Обычный 23 2 6 3 2 2" xfId="19096"/>
    <cellStyle name="Обычный 23 2 6 3 3" xfId="19097"/>
    <cellStyle name="Обычный 23 2 6 4" xfId="19098"/>
    <cellStyle name="Обычный 23 2 6 4 2" xfId="19099"/>
    <cellStyle name="Обычный 23 2 6 5" xfId="19100"/>
    <cellStyle name="Обычный 23 2 6 5 2" xfId="19101"/>
    <cellStyle name="Обычный 23 2 6 6" xfId="19102"/>
    <cellStyle name="Обычный 23 2 7" xfId="19103"/>
    <cellStyle name="Обычный 23 2 7 2" xfId="19104"/>
    <cellStyle name="Обычный 23 2 7 2 2" xfId="19105"/>
    <cellStyle name="Обычный 23 2 7 3" xfId="19106"/>
    <cellStyle name="Обычный 23 2 8" xfId="19107"/>
    <cellStyle name="Обычный 23 2 8 2" xfId="19108"/>
    <cellStyle name="Обычный 23 2 8 2 2" xfId="19109"/>
    <cellStyle name="Обычный 23 2 8 3" xfId="19110"/>
    <cellStyle name="Обычный 23 2 9" xfId="19111"/>
    <cellStyle name="Обычный 23 2 9 2" xfId="19112"/>
    <cellStyle name="Обычный 23 3" xfId="19113"/>
    <cellStyle name="Обычный 23 3 2" xfId="19114"/>
    <cellStyle name="Обычный 23 3 2 2" xfId="19115"/>
    <cellStyle name="Обычный 23 3 2 2 2" xfId="19116"/>
    <cellStyle name="Обычный 23 3 2 2 2 2" xfId="19117"/>
    <cellStyle name="Обычный 23 3 2 2 2 2 2" xfId="19118"/>
    <cellStyle name="Обычный 23 3 2 2 2 3" xfId="19119"/>
    <cellStyle name="Обычный 23 3 2 2 3" xfId="19120"/>
    <cellStyle name="Обычный 23 3 2 2 3 2" xfId="19121"/>
    <cellStyle name="Обычный 23 3 2 2 3 2 2" xfId="19122"/>
    <cellStyle name="Обычный 23 3 2 2 3 3" xfId="19123"/>
    <cellStyle name="Обычный 23 3 2 2 4" xfId="19124"/>
    <cellStyle name="Обычный 23 3 2 2 4 2" xfId="19125"/>
    <cellStyle name="Обычный 23 3 2 2 5" xfId="19126"/>
    <cellStyle name="Обычный 23 3 2 2 5 2" xfId="19127"/>
    <cellStyle name="Обычный 23 3 2 2 6" xfId="19128"/>
    <cellStyle name="Обычный 23 3 2 3" xfId="19129"/>
    <cellStyle name="Обычный 23 3 2 3 2" xfId="19130"/>
    <cellStyle name="Обычный 23 3 2 3 2 2" xfId="19131"/>
    <cellStyle name="Обычный 23 3 2 3 2 2 2" xfId="19132"/>
    <cellStyle name="Обычный 23 3 2 3 2 3" xfId="19133"/>
    <cellStyle name="Обычный 23 3 2 3 3" xfId="19134"/>
    <cellStyle name="Обычный 23 3 2 3 3 2" xfId="19135"/>
    <cellStyle name="Обычный 23 3 2 3 3 2 2" xfId="19136"/>
    <cellStyle name="Обычный 23 3 2 3 3 3" xfId="19137"/>
    <cellStyle name="Обычный 23 3 2 3 4" xfId="19138"/>
    <cellStyle name="Обычный 23 3 2 3 4 2" xfId="19139"/>
    <cellStyle name="Обычный 23 3 2 3 5" xfId="19140"/>
    <cellStyle name="Обычный 23 3 2 4" xfId="19141"/>
    <cellStyle name="Обычный 23 3 2 4 2" xfId="19142"/>
    <cellStyle name="Обычный 23 3 2 4 2 2" xfId="19143"/>
    <cellStyle name="Обычный 23 3 2 4 3" xfId="19144"/>
    <cellStyle name="Обычный 23 3 2 5" xfId="19145"/>
    <cellStyle name="Обычный 23 3 2 5 2" xfId="19146"/>
    <cellStyle name="Обычный 23 3 2 5 2 2" xfId="19147"/>
    <cellStyle name="Обычный 23 3 2 5 3" xfId="19148"/>
    <cellStyle name="Обычный 23 3 2 6" xfId="19149"/>
    <cellStyle name="Обычный 23 3 2 6 2" xfId="19150"/>
    <cellStyle name="Обычный 23 3 2 7" xfId="19151"/>
    <cellStyle name="Обычный 23 3 2 7 2" xfId="19152"/>
    <cellStyle name="Обычный 23 3 2 8" xfId="19153"/>
    <cellStyle name="Обычный 23 3 3" xfId="19154"/>
    <cellStyle name="Обычный 23 3 3 2" xfId="19155"/>
    <cellStyle name="Обычный 23 3 3 2 2" xfId="19156"/>
    <cellStyle name="Обычный 23 3 3 2 2 2" xfId="19157"/>
    <cellStyle name="Обычный 23 3 3 2 3" xfId="19158"/>
    <cellStyle name="Обычный 23 3 3 3" xfId="19159"/>
    <cellStyle name="Обычный 23 3 3 3 2" xfId="19160"/>
    <cellStyle name="Обычный 23 3 3 3 2 2" xfId="19161"/>
    <cellStyle name="Обычный 23 3 3 3 3" xfId="19162"/>
    <cellStyle name="Обычный 23 3 3 4" xfId="19163"/>
    <cellStyle name="Обычный 23 3 3 4 2" xfId="19164"/>
    <cellStyle name="Обычный 23 3 3 5" xfId="19165"/>
    <cellStyle name="Обычный 23 3 3 5 2" xfId="19166"/>
    <cellStyle name="Обычный 23 3 3 6" xfId="19167"/>
    <cellStyle name="Обычный 23 3 4" xfId="19168"/>
    <cellStyle name="Обычный 23 3 4 2" xfId="19169"/>
    <cellStyle name="Обычный 23 3 4 2 2" xfId="19170"/>
    <cellStyle name="Обычный 23 3 4 2 2 2" xfId="19171"/>
    <cellStyle name="Обычный 23 3 4 2 3" xfId="19172"/>
    <cellStyle name="Обычный 23 3 4 3" xfId="19173"/>
    <cellStyle name="Обычный 23 3 4 3 2" xfId="19174"/>
    <cellStyle name="Обычный 23 3 4 3 2 2" xfId="19175"/>
    <cellStyle name="Обычный 23 3 4 3 3" xfId="19176"/>
    <cellStyle name="Обычный 23 3 4 4" xfId="19177"/>
    <cellStyle name="Обычный 23 3 4 4 2" xfId="19178"/>
    <cellStyle name="Обычный 23 3 4 5" xfId="19179"/>
    <cellStyle name="Обычный 23 3 4 5 2" xfId="19180"/>
    <cellStyle name="Обычный 23 3 4 6" xfId="19181"/>
    <cellStyle name="Обычный 23 3 5" xfId="19182"/>
    <cellStyle name="Обычный 23 3 5 2" xfId="19183"/>
    <cellStyle name="Обычный 23 3 5 2 2" xfId="19184"/>
    <cellStyle name="Обычный 23 3 5 3" xfId="19185"/>
    <cellStyle name="Обычный 23 3 6" xfId="19186"/>
    <cellStyle name="Обычный 23 3 6 2" xfId="19187"/>
    <cellStyle name="Обычный 23 3 6 2 2" xfId="19188"/>
    <cellStyle name="Обычный 23 3 6 3" xfId="19189"/>
    <cellStyle name="Обычный 23 3 7" xfId="19190"/>
    <cellStyle name="Обычный 23 3 7 2" xfId="19191"/>
    <cellStyle name="Обычный 23 3 8" xfId="19192"/>
    <cellStyle name="Обычный 23 3 8 2" xfId="19193"/>
    <cellStyle name="Обычный 23 3 9" xfId="19194"/>
    <cellStyle name="Обычный 23 4" xfId="19195"/>
    <cellStyle name="Обычный 23 4 2" xfId="19196"/>
    <cellStyle name="Обычный 23 4 2 2" xfId="19197"/>
    <cellStyle name="Обычный 23 4 2 2 2" xfId="19198"/>
    <cellStyle name="Обычный 23 4 2 2 2 2" xfId="19199"/>
    <cellStyle name="Обычный 23 4 2 2 3" xfId="19200"/>
    <cellStyle name="Обычный 23 4 2 2 3 2" xfId="19201"/>
    <cellStyle name="Обычный 23 4 2 2 4" xfId="19202"/>
    <cellStyle name="Обычный 23 4 2 3" xfId="19203"/>
    <cellStyle name="Обычный 23 4 2 3 2" xfId="19204"/>
    <cellStyle name="Обычный 23 4 2 3 2 2" xfId="19205"/>
    <cellStyle name="Обычный 23 4 2 3 3" xfId="19206"/>
    <cellStyle name="Обычный 23 4 2 4" xfId="19207"/>
    <cellStyle name="Обычный 23 4 2 4 2" xfId="19208"/>
    <cellStyle name="Обычный 23 4 2 5" xfId="19209"/>
    <cellStyle name="Обычный 23 4 2 5 2" xfId="19210"/>
    <cellStyle name="Обычный 23 4 2 6" xfId="19211"/>
    <cellStyle name="Обычный 23 4 3" xfId="19212"/>
    <cellStyle name="Обычный 23 4 3 2" xfId="19213"/>
    <cellStyle name="Обычный 23 4 3 2 2" xfId="19214"/>
    <cellStyle name="Обычный 23 4 3 2 2 2" xfId="19215"/>
    <cellStyle name="Обычный 23 4 3 2 3" xfId="19216"/>
    <cellStyle name="Обычный 23 4 3 3" xfId="19217"/>
    <cellStyle name="Обычный 23 4 3 3 2" xfId="19218"/>
    <cellStyle name="Обычный 23 4 3 3 2 2" xfId="19219"/>
    <cellStyle name="Обычный 23 4 3 3 3" xfId="19220"/>
    <cellStyle name="Обычный 23 4 3 4" xfId="19221"/>
    <cellStyle name="Обычный 23 4 3 4 2" xfId="19222"/>
    <cellStyle name="Обычный 23 4 3 5" xfId="19223"/>
    <cellStyle name="Обычный 23 4 3 5 2" xfId="19224"/>
    <cellStyle name="Обычный 23 4 3 6" xfId="19225"/>
    <cellStyle name="Обычный 23 4 4" xfId="19226"/>
    <cellStyle name="Обычный 23 4 4 2" xfId="19227"/>
    <cellStyle name="Обычный 23 4 4 2 2" xfId="19228"/>
    <cellStyle name="Обычный 23 4 4 3" xfId="19229"/>
    <cellStyle name="Обычный 23 4 4 3 2" xfId="19230"/>
    <cellStyle name="Обычный 23 4 4 4" xfId="19231"/>
    <cellStyle name="Обычный 23 4 5" xfId="19232"/>
    <cellStyle name="Обычный 23 4 5 2" xfId="19233"/>
    <cellStyle name="Обычный 23 4 5 2 2" xfId="19234"/>
    <cellStyle name="Обычный 23 4 5 3" xfId="19235"/>
    <cellStyle name="Обычный 23 4 6" xfId="19236"/>
    <cellStyle name="Обычный 23 4 6 2" xfId="19237"/>
    <cellStyle name="Обычный 23 4 7" xfId="19238"/>
    <cellStyle name="Обычный 23 4 7 2" xfId="19239"/>
    <cellStyle name="Обычный 23 4 8" xfId="19240"/>
    <cellStyle name="Обычный 23 5" xfId="19241"/>
    <cellStyle name="Обычный 23 5 2" xfId="19242"/>
    <cellStyle name="Обычный 23 5 2 2" xfId="19243"/>
    <cellStyle name="Обычный 23 5 2 2 2" xfId="19244"/>
    <cellStyle name="Обычный 23 5 2 2 2 2" xfId="19245"/>
    <cellStyle name="Обычный 23 5 2 2 3" xfId="19246"/>
    <cellStyle name="Обычный 23 5 2 3" xfId="19247"/>
    <cellStyle name="Обычный 23 5 2 3 2" xfId="19248"/>
    <cellStyle name="Обычный 23 5 2 3 2 2" xfId="19249"/>
    <cellStyle name="Обычный 23 5 2 3 3" xfId="19250"/>
    <cellStyle name="Обычный 23 5 2 4" xfId="19251"/>
    <cellStyle name="Обычный 23 5 2 4 2" xfId="19252"/>
    <cellStyle name="Обычный 23 5 2 5" xfId="19253"/>
    <cellStyle name="Обычный 23 5 2 5 2" xfId="19254"/>
    <cellStyle name="Обычный 23 5 2 6" xfId="19255"/>
    <cellStyle name="Обычный 23 5 3" xfId="19256"/>
    <cellStyle name="Обычный 23 5 3 2" xfId="19257"/>
    <cellStyle name="Обычный 23 5 3 2 2" xfId="19258"/>
    <cellStyle name="Обычный 23 5 3 2 2 2" xfId="19259"/>
    <cellStyle name="Обычный 23 5 3 2 3" xfId="19260"/>
    <cellStyle name="Обычный 23 5 3 3" xfId="19261"/>
    <cellStyle name="Обычный 23 5 3 3 2" xfId="19262"/>
    <cellStyle name="Обычный 23 5 3 3 2 2" xfId="19263"/>
    <cellStyle name="Обычный 23 5 3 3 3" xfId="19264"/>
    <cellStyle name="Обычный 23 5 3 4" xfId="19265"/>
    <cellStyle name="Обычный 23 5 3 4 2" xfId="19266"/>
    <cellStyle name="Обычный 23 5 3 5" xfId="19267"/>
    <cellStyle name="Обычный 23 5 4" xfId="19268"/>
    <cellStyle name="Обычный 23 5 4 2" xfId="19269"/>
    <cellStyle name="Обычный 23 5 4 2 2" xfId="19270"/>
    <cellStyle name="Обычный 23 5 4 3" xfId="19271"/>
    <cellStyle name="Обычный 23 5 5" xfId="19272"/>
    <cellStyle name="Обычный 23 5 5 2" xfId="19273"/>
    <cellStyle name="Обычный 23 5 5 2 2" xfId="19274"/>
    <cellStyle name="Обычный 23 5 5 3" xfId="19275"/>
    <cellStyle name="Обычный 23 5 6" xfId="19276"/>
    <cellStyle name="Обычный 23 5 6 2" xfId="19277"/>
    <cellStyle name="Обычный 23 5 7" xfId="19278"/>
    <cellStyle name="Обычный 23 5 7 2" xfId="19279"/>
    <cellStyle name="Обычный 23 5 8" xfId="19280"/>
    <cellStyle name="Обычный 23 6" xfId="19281"/>
    <cellStyle name="Обычный 23 6 2" xfId="19282"/>
    <cellStyle name="Обычный 23 6 2 2" xfId="19283"/>
    <cellStyle name="Обычный 23 6 2 2 2" xfId="19284"/>
    <cellStyle name="Обычный 23 6 2 3" xfId="19285"/>
    <cellStyle name="Обычный 23 6 3" xfId="19286"/>
    <cellStyle name="Обычный 23 6 3 2" xfId="19287"/>
    <cellStyle name="Обычный 23 6 3 2 2" xfId="19288"/>
    <cellStyle name="Обычный 23 6 3 3" xfId="19289"/>
    <cellStyle name="Обычный 23 6 4" xfId="19290"/>
    <cellStyle name="Обычный 23 6 4 2" xfId="19291"/>
    <cellStyle name="Обычный 23 6 5" xfId="19292"/>
    <cellStyle name="Обычный 23 6 5 2" xfId="19293"/>
    <cellStyle name="Обычный 23 6 6" xfId="19294"/>
    <cellStyle name="Обычный 23 7" xfId="19295"/>
    <cellStyle name="Обычный 23 7 2" xfId="19296"/>
    <cellStyle name="Обычный 23 7 2 2" xfId="19297"/>
    <cellStyle name="Обычный 23 7 2 2 2" xfId="19298"/>
    <cellStyle name="Обычный 23 7 2 3" xfId="19299"/>
    <cellStyle name="Обычный 23 7 3" xfId="19300"/>
    <cellStyle name="Обычный 23 7 3 2" xfId="19301"/>
    <cellStyle name="Обычный 23 7 3 2 2" xfId="19302"/>
    <cellStyle name="Обычный 23 7 3 3" xfId="19303"/>
    <cellStyle name="Обычный 23 7 4" xfId="19304"/>
    <cellStyle name="Обычный 23 7 4 2" xfId="19305"/>
    <cellStyle name="Обычный 23 7 5" xfId="19306"/>
    <cellStyle name="Обычный 23 7 5 2" xfId="19307"/>
    <cellStyle name="Обычный 23 7 6" xfId="19308"/>
    <cellStyle name="Обычный 23 8" xfId="19309"/>
    <cellStyle name="Обычный 23 8 2" xfId="19310"/>
    <cellStyle name="Обычный 23 8 2 2" xfId="19311"/>
    <cellStyle name="Обычный 23 8 3" xfId="19312"/>
    <cellStyle name="Обычный 23 9" xfId="19313"/>
    <cellStyle name="Обычный 23 9 2" xfId="19314"/>
    <cellStyle name="Обычный 23 9 2 2" xfId="19315"/>
    <cellStyle name="Обычный 23 9 3" xfId="19316"/>
    <cellStyle name="Обычный 230" xfId="19317"/>
    <cellStyle name="Обычный 231" xfId="19318"/>
    <cellStyle name="Обычный 232" xfId="19319"/>
    <cellStyle name="Обычный 233" xfId="19320"/>
    <cellStyle name="Обычный 234" xfId="19321"/>
    <cellStyle name="Обычный 235" xfId="19322"/>
    <cellStyle name="Обычный 236" xfId="19323"/>
    <cellStyle name="Обычный 237" xfId="19324"/>
    <cellStyle name="Обычный 238" xfId="19325"/>
    <cellStyle name="Обычный 239" xfId="19326"/>
    <cellStyle name="Обычный 24" xfId="19327"/>
    <cellStyle name="Обычный 24 10" xfId="19328"/>
    <cellStyle name="Обычный 24 10 2" xfId="19329"/>
    <cellStyle name="Обычный 24 11" xfId="19330"/>
    <cellStyle name="Обычный 24 2" xfId="19331"/>
    <cellStyle name="Обычный 24 2 2" xfId="19332"/>
    <cellStyle name="Обычный 24 2 2 2" xfId="19333"/>
    <cellStyle name="Обычный 24 2 2 2 2" xfId="19334"/>
    <cellStyle name="Обычный 24 2 2 2 2 2" xfId="19335"/>
    <cellStyle name="Обычный 24 2 2 2 2 2 2" xfId="19336"/>
    <cellStyle name="Обычный 24 2 2 2 2 3" xfId="19337"/>
    <cellStyle name="Обычный 24 2 2 2 3" xfId="19338"/>
    <cellStyle name="Обычный 24 2 2 2 3 2" xfId="19339"/>
    <cellStyle name="Обычный 24 2 2 2 3 2 2" xfId="19340"/>
    <cellStyle name="Обычный 24 2 2 2 3 3" xfId="19341"/>
    <cellStyle name="Обычный 24 2 2 2 4" xfId="19342"/>
    <cellStyle name="Обычный 24 2 2 2 4 2" xfId="19343"/>
    <cellStyle name="Обычный 24 2 2 2 5" xfId="19344"/>
    <cellStyle name="Обычный 24 2 2 2 5 2" xfId="19345"/>
    <cellStyle name="Обычный 24 2 2 2 6" xfId="19346"/>
    <cellStyle name="Обычный 24 2 2 3" xfId="19347"/>
    <cellStyle name="Обычный 24 2 2 3 2" xfId="19348"/>
    <cellStyle name="Обычный 24 2 2 3 2 2" xfId="19349"/>
    <cellStyle name="Обычный 24 2 2 3 2 2 2" xfId="19350"/>
    <cellStyle name="Обычный 24 2 2 3 2 3" xfId="19351"/>
    <cellStyle name="Обычный 24 2 2 3 3" xfId="19352"/>
    <cellStyle name="Обычный 24 2 2 3 3 2" xfId="19353"/>
    <cellStyle name="Обычный 24 2 2 3 3 2 2" xfId="19354"/>
    <cellStyle name="Обычный 24 2 2 3 3 3" xfId="19355"/>
    <cellStyle name="Обычный 24 2 2 3 4" xfId="19356"/>
    <cellStyle name="Обычный 24 2 2 3 4 2" xfId="19357"/>
    <cellStyle name="Обычный 24 2 2 3 5" xfId="19358"/>
    <cellStyle name="Обычный 24 2 2 3 5 2" xfId="19359"/>
    <cellStyle name="Обычный 24 2 2 3 6" xfId="19360"/>
    <cellStyle name="Обычный 24 2 2 4" xfId="19361"/>
    <cellStyle name="Обычный 24 2 2 4 2" xfId="19362"/>
    <cellStyle name="Обычный 24 2 2 4 2 2" xfId="19363"/>
    <cellStyle name="Обычный 24 2 2 4 3" xfId="19364"/>
    <cellStyle name="Обычный 24 2 2 5" xfId="19365"/>
    <cellStyle name="Обычный 24 2 2 5 2" xfId="19366"/>
    <cellStyle name="Обычный 24 2 2 5 2 2" xfId="19367"/>
    <cellStyle name="Обычный 24 2 2 5 3" xfId="19368"/>
    <cellStyle name="Обычный 24 2 2 6" xfId="19369"/>
    <cellStyle name="Обычный 24 2 2 6 2" xfId="19370"/>
    <cellStyle name="Обычный 24 2 2 7" xfId="19371"/>
    <cellStyle name="Обычный 24 2 2 7 2" xfId="19372"/>
    <cellStyle name="Обычный 24 2 2 8" xfId="19373"/>
    <cellStyle name="Обычный 24 2 3" xfId="19374"/>
    <cellStyle name="Обычный 24 2 3 2" xfId="19375"/>
    <cellStyle name="Обычный 24 2 3 2 2" xfId="19376"/>
    <cellStyle name="Обычный 24 2 3 2 2 2" xfId="19377"/>
    <cellStyle name="Обычный 24 2 3 2 3" xfId="19378"/>
    <cellStyle name="Обычный 24 2 3 2 3 2" xfId="19379"/>
    <cellStyle name="Обычный 24 2 3 2 4" xfId="19380"/>
    <cellStyle name="Обычный 24 2 3 3" xfId="19381"/>
    <cellStyle name="Обычный 24 2 3 3 2" xfId="19382"/>
    <cellStyle name="Обычный 24 2 3 3 2 2" xfId="19383"/>
    <cellStyle name="Обычный 24 2 3 3 3" xfId="19384"/>
    <cellStyle name="Обычный 24 2 3 4" xfId="19385"/>
    <cellStyle name="Обычный 24 2 3 4 2" xfId="19386"/>
    <cellStyle name="Обычный 24 2 3 5" xfId="19387"/>
    <cellStyle name="Обычный 24 2 3 5 2" xfId="19388"/>
    <cellStyle name="Обычный 24 2 3 6" xfId="19389"/>
    <cellStyle name="Обычный 24 2 4" xfId="19390"/>
    <cellStyle name="Обычный 24 2 4 2" xfId="19391"/>
    <cellStyle name="Обычный 24 2 4 2 2" xfId="19392"/>
    <cellStyle name="Обычный 24 2 4 2 2 2" xfId="19393"/>
    <cellStyle name="Обычный 24 2 4 2 3" xfId="19394"/>
    <cellStyle name="Обычный 24 2 4 3" xfId="19395"/>
    <cellStyle name="Обычный 24 2 4 3 2" xfId="19396"/>
    <cellStyle name="Обычный 24 2 4 3 2 2" xfId="19397"/>
    <cellStyle name="Обычный 24 2 4 3 3" xfId="19398"/>
    <cellStyle name="Обычный 24 2 4 4" xfId="19399"/>
    <cellStyle name="Обычный 24 2 4 4 2" xfId="19400"/>
    <cellStyle name="Обычный 24 2 4 5" xfId="19401"/>
    <cellStyle name="Обычный 24 2 4 5 2" xfId="19402"/>
    <cellStyle name="Обычный 24 2 4 6" xfId="19403"/>
    <cellStyle name="Обычный 24 2 5" xfId="19404"/>
    <cellStyle name="Обычный 24 2 5 2" xfId="19405"/>
    <cellStyle name="Обычный 24 2 5 2 2" xfId="19406"/>
    <cellStyle name="Обычный 24 2 5 3" xfId="19407"/>
    <cellStyle name="Обычный 24 2 6" xfId="19408"/>
    <cellStyle name="Обычный 24 2 6 2" xfId="19409"/>
    <cellStyle name="Обычный 24 2 6 2 2" xfId="19410"/>
    <cellStyle name="Обычный 24 2 6 3" xfId="19411"/>
    <cellStyle name="Обычный 24 2 7" xfId="19412"/>
    <cellStyle name="Обычный 24 2 7 2" xfId="19413"/>
    <cellStyle name="Обычный 24 2 8" xfId="19414"/>
    <cellStyle name="Обычный 24 2 8 2" xfId="19415"/>
    <cellStyle name="Обычный 24 2 9" xfId="19416"/>
    <cellStyle name="Обычный 24 3" xfId="19417"/>
    <cellStyle name="Обычный 24 3 2" xfId="19418"/>
    <cellStyle name="Обычный 24 3 2 2" xfId="19419"/>
    <cellStyle name="Обычный 24 3 2 2 2" xfId="19420"/>
    <cellStyle name="Обычный 24 3 2 2 2 2" xfId="19421"/>
    <cellStyle name="Обычный 24 3 2 2 3" xfId="19422"/>
    <cellStyle name="Обычный 24 3 2 2 3 2" xfId="19423"/>
    <cellStyle name="Обычный 24 3 2 2 4" xfId="19424"/>
    <cellStyle name="Обычный 24 3 2 3" xfId="19425"/>
    <cellStyle name="Обычный 24 3 2 3 2" xfId="19426"/>
    <cellStyle name="Обычный 24 3 2 3 2 2" xfId="19427"/>
    <cellStyle name="Обычный 24 3 2 3 3" xfId="19428"/>
    <cellStyle name="Обычный 24 3 2 4" xfId="19429"/>
    <cellStyle name="Обычный 24 3 2 4 2" xfId="19430"/>
    <cellStyle name="Обычный 24 3 2 5" xfId="19431"/>
    <cellStyle name="Обычный 24 3 2 5 2" xfId="19432"/>
    <cellStyle name="Обычный 24 3 2 6" xfId="19433"/>
    <cellStyle name="Обычный 24 3 3" xfId="19434"/>
    <cellStyle name="Обычный 24 3 3 2" xfId="19435"/>
    <cellStyle name="Обычный 24 3 3 2 2" xfId="19436"/>
    <cellStyle name="Обычный 24 3 3 2 2 2" xfId="19437"/>
    <cellStyle name="Обычный 24 3 3 2 3" xfId="19438"/>
    <cellStyle name="Обычный 24 3 3 3" xfId="19439"/>
    <cellStyle name="Обычный 24 3 3 3 2" xfId="19440"/>
    <cellStyle name="Обычный 24 3 3 3 2 2" xfId="19441"/>
    <cellStyle name="Обычный 24 3 3 3 3" xfId="19442"/>
    <cellStyle name="Обычный 24 3 3 4" xfId="19443"/>
    <cellStyle name="Обычный 24 3 3 4 2" xfId="19444"/>
    <cellStyle name="Обычный 24 3 3 5" xfId="19445"/>
    <cellStyle name="Обычный 24 3 3 5 2" xfId="19446"/>
    <cellStyle name="Обычный 24 3 3 6" xfId="19447"/>
    <cellStyle name="Обычный 24 3 4" xfId="19448"/>
    <cellStyle name="Обычный 24 3 4 2" xfId="19449"/>
    <cellStyle name="Обычный 24 3 4 2 2" xfId="19450"/>
    <cellStyle name="Обычный 24 3 4 3" xfId="19451"/>
    <cellStyle name="Обычный 24 3 4 3 2" xfId="19452"/>
    <cellStyle name="Обычный 24 3 4 4" xfId="19453"/>
    <cellStyle name="Обычный 24 3 5" xfId="19454"/>
    <cellStyle name="Обычный 24 3 5 2" xfId="19455"/>
    <cellStyle name="Обычный 24 3 5 2 2" xfId="19456"/>
    <cellStyle name="Обычный 24 3 5 3" xfId="19457"/>
    <cellStyle name="Обычный 24 3 6" xfId="19458"/>
    <cellStyle name="Обычный 24 3 6 2" xfId="19459"/>
    <cellStyle name="Обычный 24 3 7" xfId="19460"/>
    <cellStyle name="Обычный 24 3 7 2" xfId="19461"/>
    <cellStyle name="Обычный 24 3 8" xfId="19462"/>
    <cellStyle name="Обычный 24 4" xfId="19463"/>
    <cellStyle name="Обычный 24 4 2" xfId="19464"/>
    <cellStyle name="Обычный 24 4 2 2" xfId="19465"/>
    <cellStyle name="Обычный 24 4 2 2 2" xfId="19466"/>
    <cellStyle name="Обычный 24 4 2 2 2 2" xfId="19467"/>
    <cellStyle name="Обычный 24 4 2 2 3" xfId="19468"/>
    <cellStyle name="Обычный 24 4 2 3" xfId="19469"/>
    <cellStyle name="Обычный 24 4 2 3 2" xfId="19470"/>
    <cellStyle name="Обычный 24 4 2 3 2 2" xfId="19471"/>
    <cellStyle name="Обычный 24 4 2 3 3" xfId="19472"/>
    <cellStyle name="Обычный 24 4 2 4" xfId="19473"/>
    <cellStyle name="Обычный 24 4 2 4 2" xfId="19474"/>
    <cellStyle name="Обычный 24 4 2 5" xfId="19475"/>
    <cellStyle name="Обычный 24 4 2 5 2" xfId="19476"/>
    <cellStyle name="Обычный 24 4 2 6" xfId="19477"/>
    <cellStyle name="Обычный 24 4 3" xfId="19478"/>
    <cellStyle name="Обычный 24 4 3 2" xfId="19479"/>
    <cellStyle name="Обычный 24 4 3 2 2" xfId="19480"/>
    <cellStyle name="Обычный 24 4 3 2 2 2" xfId="19481"/>
    <cellStyle name="Обычный 24 4 3 2 3" xfId="19482"/>
    <cellStyle name="Обычный 24 4 3 3" xfId="19483"/>
    <cellStyle name="Обычный 24 4 3 3 2" xfId="19484"/>
    <cellStyle name="Обычный 24 4 3 3 2 2" xfId="19485"/>
    <cellStyle name="Обычный 24 4 3 3 3" xfId="19486"/>
    <cellStyle name="Обычный 24 4 3 4" xfId="19487"/>
    <cellStyle name="Обычный 24 4 3 4 2" xfId="19488"/>
    <cellStyle name="Обычный 24 4 3 5" xfId="19489"/>
    <cellStyle name="Обычный 24 4 4" xfId="19490"/>
    <cellStyle name="Обычный 24 4 4 2" xfId="19491"/>
    <cellStyle name="Обычный 24 4 4 2 2" xfId="19492"/>
    <cellStyle name="Обычный 24 4 4 3" xfId="19493"/>
    <cellStyle name="Обычный 24 4 5" xfId="19494"/>
    <cellStyle name="Обычный 24 4 5 2" xfId="19495"/>
    <cellStyle name="Обычный 24 4 5 2 2" xfId="19496"/>
    <cellStyle name="Обычный 24 4 5 3" xfId="19497"/>
    <cellStyle name="Обычный 24 4 6" xfId="19498"/>
    <cellStyle name="Обычный 24 4 6 2" xfId="19499"/>
    <cellStyle name="Обычный 24 4 7" xfId="19500"/>
    <cellStyle name="Обычный 24 4 7 2" xfId="19501"/>
    <cellStyle name="Обычный 24 4 8" xfId="19502"/>
    <cellStyle name="Обычный 24 5" xfId="19503"/>
    <cellStyle name="Обычный 24 5 2" xfId="19504"/>
    <cellStyle name="Обычный 24 5 2 2" xfId="19505"/>
    <cellStyle name="Обычный 24 5 2 2 2" xfId="19506"/>
    <cellStyle name="Обычный 24 5 2 3" xfId="19507"/>
    <cellStyle name="Обычный 24 5 3" xfId="19508"/>
    <cellStyle name="Обычный 24 5 3 2" xfId="19509"/>
    <cellStyle name="Обычный 24 5 3 2 2" xfId="19510"/>
    <cellStyle name="Обычный 24 5 3 3" xfId="19511"/>
    <cellStyle name="Обычный 24 5 4" xfId="19512"/>
    <cellStyle name="Обычный 24 5 4 2" xfId="19513"/>
    <cellStyle name="Обычный 24 5 5" xfId="19514"/>
    <cellStyle name="Обычный 24 5 5 2" xfId="19515"/>
    <cellStyle name="Обычный 24 5 6" xfId="19516"/>
    <cellStyle name="Обычный 24 6" xfId="19517"/>
    <cellStyle name="Обычный 24 6 2" xfId="19518"/>
    <cellStyle name="Обычный 24 6 2 2" xfId="19519"/>
    <cellStyle name="Обычный 24 6 2 2 2" xfId="19520"/>
    <cellStyle name="Обычный 24 6 2 3" xfId="19521"/>
    <cellStyle name="Обычный 24 6 3" xfId="19522"/>
    <cellStyle name="Обычный 24 6 3 2" xfId="19523"/>
    <cellStyle name="Обычный 24 6 3 2 2" xfId="19524"/>
    <cellStyle name="Обычный 24 6 3 3" xfId="19525"/>
    <cellStyle name="Обычный 24 6 4" xfId="19526"/>
    <cellStyle name="Обычный 24 6 4 2" xfId="19527"/>
    <cellStyle name="Обычный 24 6 5" xfId="19528"/>
    <cellStyle name="Обычный 24 6 5 2" xfId="19529"/>
    <cellStyle name="Обычный 24 6 6" xfId="19530"/>
    <cellStyle name="Обычный 24 7" xfId="19531"/>
    <cellStyle name="Обычный 24 7 2" xfId="19532"/>
    <cellStyle name="Обычный 24 7 2 2" xfId="19533"/>
    <cellStyle name="Обычный 24 7 3" xfId="19534"/>
    <cellStyle name="Обычный 24 8" xfId="19535"/>
    <cellStyle name="Обычный 24 8 2" xfId="19536"/>
    <cellStyle name="Обычный 24 8 2 2" xfId="19537"/>
    <cellStyle name="Обычный 24 8 3" xfId="19538"/>
    <cellStyle name="Обычный 24 9" xfId="19539"/>
    <cellStyle name="Обычный 24 9 2" xfId="19540"/>
    <cellStyle name="Обычный 240" xfId="19541"/>
    <cellStyle name="Обычный 241" xfId="19542"/>
    <cellStyle name="Обычный 242" xfId="19543"/>
    <cellStyle name="Обычный 243" xfId="19544"/>
    <cellStyle name="Обычный 244" xfId="19545"/>
    <cellStyle name="Обычный 245" xfId="19546"/>
    <cellStyle name="Обычный 25" xfId="19547"/>
    <cellStyle name="Обычный 25 10" xfId="19548"/>
    <cellStyle name="Обычный 25 10 2" xfId="19549"/>
    <cellStyle name="Обычный 25 10 2 2" xfId="19550"/>
    <cellStyle name="Обычный 25 10 2 2 2" xfId="19551"/>
    <cellStyle name="Обычный 25 10 2 3" xfId="19552"/>
    <cellStyle name="Обычный 25 10 3" xfId="19553"/>
    <cellStyle name="Обычный 25 10 3 2" xfId="19554"/>
    <cellStyle name="Обычный 25 10 4" xfId="19555"/>
    <cellStyle name="Обычный 25 11" xfId="19556"/>
    <cellStyle name="Обычный 25 11 2" xfId="19557"/>
    <cellStyle name="Обычный 25 11 2 2" xfId="19558"/>
    <cellStyle name="Обычный 25 11 3" xfId="19559"/>
    <cellStyle name="Обычный 25 12" xfId="19560"/>
    <cellStyle name="Обычный 25 12 2" xfId="19561"/>
    <cellStyle name="Обычный 25 12 2 2" xfId="19562"/>
    <cellStyle name="Обычный 25 12 3" xfId="19563"/>
    <cellStyle name="Обычный 25 13" xfId="19564"/>
    <cellStyle name="Обычный 25 13 2" xfId="19565"/>
    <cellStyle name="Обычный 25 14" xfId="19566"/>
    <cellStyle name="Обычный 25 14 2" xfId="19567"/>
    <cellStyle name="Обычный 25 15" xfId="19568"/>
    <cellStyle name="Обычный 25 16" xfId="19569"/>
    <cellStyle name="Обычный 25 17" xfId="19570"/>
    <cellStyle name="Обычный 25 18" xfId="19571"/>
    <cellStyle name="Обычный 25 19" xfId="19572"/>
    <cellStyle name="Обычный 25 2" xfId="19573"/>
    <cellStyle name="Обычный 25 2 10" xfId="19574"/>
    <cellStyle name="Обычный 25 2 10 2" xfId="19575"/>
    <cellStyle name="Обычный 25 2 11" xfId="19576"/>
    <cellStyle name="Обычный 25 2 11 2" xfId="19577"/>
    <cellStyle name="Обычный 25 2 12" xfId="19578"/>
    <cellStyle name="Обычный 25 2 12 2" xfId="19579"/>
    <cellStyle name="Обычный 25 2 13" xfId="19580"/>
    <cellStyle name="Обычный 25 2 13 2" xfId="19581"/>
    <cellStyle name="Обычный 25 2 14" xfId="19582"/>
    <cellStyle name="Обычный 25 2 14 2" xfId="19583"/>
    <cellStyle name="Обычный 25 2 15" xfId="19584"/>
    <cellStyle name="Обычный 25 2 15 2" xfId="19585"/>
    <cellStyle name="Обычный 25 2 16" xfId="19586"/>
    <cellStyle name="Обычный 25 2 2" xfId="19587"/>
    <cellStyle name="Обычный 25 2 2 10" xfId="19588"/>
    <cellStyle name="Обычный 25 2 2 11" xfId="19589"/>
    <cellStyle name="Обычный 25 2 2 12" xfId="19590"/>
    <cellStyle name="Обычный 25 2 2 13" xfId="19591"/>
    <cellStyle name="Обычный 25 2 2 14" xfId="19592"/>
    <cellStyle name="Обычный 25 2 2 15" xfId="19593"/>
    <cellStyle name="Обычный 25 2 2 16" xfId="19594"/>
    <cellStyle name="Обычный 25 2 2 2" xfId="19595"/>
    <cellStyle name="Обычный 25 2 2 2 2" xfId="19596"/>
    <cellStyle name="Обычный 25 2 2 2 2 2" xfId="19597"/>
    <cellStyle name="Обычный 25 2 2 2 2 2 2" xfId="19598"/>
    <cellStyle name="Обычный 25 2 2 2 2 2 2 2" xfId="19599"/>
    <cellStyle name="Обычный 25 2 2 2 2 2 3" xfId="19600"/>
    <cellStyle name="Обычный 25 2 2 2 2 3" xfId="19601"/>
    <cellStyle name="Обычный 25 2 2 2 2 3 2" xfId="19602"/>
    <cellStyle name="Обычный 25 2 2 2 2 3 2 2" xfId="19603"/>
    <cellStyle name="Обычный 25 2 2 2 2 3 3" xfId="19604"/>
    <cellStyle name="Обычный 25 2 2 2 2 4" xfId="19605"/>
    <cellStyle name="Обычный 25 2 2 2 2 4 2" xfId="19606"/>
    <cellStyle name="Обычный 25 2 2 2 2 5" xfId="19607"/>
    <cellStyle name="Обычный 25 2 2 2 3" xfId="19608"/>
    <cellStyle name="Обычный 25 2 2 2 3 2" xfId="19609"/>
    <cellStyle name="Обычный 25 2 2 2 3 2 2" xfId="19610"/>
    <cellStyle name="Обычный 25 2 2 2 3 2 2 2" xfId="19611"/>
    <cellStyle name="Обычный 25 2 2 2 3 2 3" xfId="19612"/>
    <cellStyle name="Обычный 25 2 2 2 3 3" xfId="19613"/>
    <cellStyle name="Обычный 25 2 2 2 3 3 2" xfId="19614"/>
    <cellStyle name="Обычный 25 2 2 2 3 3 2 2" xfId="19615"/>
    <cellStyle name="Обычный 25 2 2 2 3 3 3" xfId="19616"/>
    <cellStyle name="Обычный 25 2 2 2 3 4" xfId="19617"/>
    <cellStyle name="Обычный 25 2 2 2 3 4 2" xfId="19618"/>
    <cellStyle name="Обычный 25 2 2 2 3 5" xfId="19619"/>
    <cellStyle name="Обычный 25 2 2 2 4" xfId="19620"/>
    <cellStyle name="Обычный 25 2 2 2 4 2" xfId="19621"/>
    <cellStyle name="Обычный 25 2 2 2 4 2 2" xfId="19622"/>
    <cellStyle name="Обычный 25 2 2 2 4 3" xfId="19623"/>
    <cellStyle name="Обычный 25 2 2 2 5" xfId="19624"/>
    <cellStyle name="Обычный 25 2 2 2 5 2" xfId="19625"/>
    <cellStyle name="Обычный 25 2 2 2 5 2 2" xfId="19626"/>
    <cellStyle name="Обычный 25 2 2 2 5 3" xfId="19627"/>
    <cellStyle name="Обычный 25 2 2 2 6" xfId="19628"/>
    <cellStyle name="Обычный 25 2 2 2 6 2" xfId="19629"/>
    <cellStyle name="Обычный 25 2 2 2 7" xfId="19630"/>
    <cellStyle name="Обычный 25 2 2 2 7 2" xfId="19631"/>
    <cellStyle name="Обычный 25 2 2 2 8" xfId="19632"/>
    <cellStyle name="Обычный 25 2 2 3" xfId="19633"/>
    <cellStyle name="Обычный 25 2 2 3 2" xfId="19634"/>
    <cellStyle name="Обычный 25 2 2 3 2 2" xfId="19635"/>
    <cellStyle name="Обычный 25 2 2 3 2 2 2" xfId="19636"/>
    <cellStyle name="Обычный 25 2 2 3 2 3" xfId="19637"/>
    <cellStyle name="Обычный 25 2 2 3 2 4" xfId="19638"/>
    <cellStyle name="Обычный 25 2 2 3 3" xfId="19639"/>
    <cellStyle name="Обычный 25 2 2 3 3 2" xfId="19640"/>
    <cellStyle name="Обычный 25 2 2 3 3 2 2" xfId="19641"/>
    <cellStyle name="Обычный 25 2 2 3 3 3" xfId="19642"/>
    <cellStyle name="Обычный 25 2 2 3 3 4" xfId="19643"/>
    <cellStyle name="Обычный 25 2 2 3 4" xfId="19644"/>
    <cellStyle name="Обычный 25 2 2 3 4 2" xfId="19645"/>
    <cellStyle name="Обычный 25 2 2 3 5" xfId="19646"/>
    <cellStyle name="Обычный 25 2 2 3 5 2" xfId="19647"/>
    <cellStyle name="Обычный 25 2 2 3 6" xfId="19648"/>
    <cellStyle name="Обычный 25 2 2 4" xfId="19649"/>
    <cellStyle name="Обычный 25 2 2 4 2" xfId="19650"/>
    <cellStyle name="Обычный 25 2 2 4 2 2" xfId="19651"/>
    <cellStyle name="Обычный 25 2 2 4 2 2 2" xfId="19652"/>
    <cellStyle name="Обычный 25 2 2 4 2 3" xfId="19653"/>
    <cellStyle name="Обычный 25 2 2 4 3" xfId="19654"/>
    <cellStyle name="Обычный 25 2 2 4 3 2" xfId="19655"/>
    <cellStyle name="Обычный 25 2 2 4 3 2 2" xfId="19656"/>
    <cellStyle name="Обычный 25 2 2 4 3 3" xfId="19657"/>
    <cellStyle name="Обычный 25 2 2 4 4" xfId="19658"/>
    <cellStyle name="Обычный 25 2 2 4 4 2" xfId="19659"/>
    <cellStyle name="Обычный 25 2 2 4 5" xfId="19660"/>
    <cellStyle name="Обычный 25 2 2 4 5 2" xfId="19661"/>
    <cellStyle name="Обычный 25 2 2 4 6" xfId="19662"/>
    <cellStyle name="Обычный 25 2 2 5" xfId="19663"/>
    <cellStyle name="Обычный 25 2 2 5 2" xfId="19664"/>
    <cellStyle name="Обычный 25 2 2 5 2 2" xfId="19665"/>
    <cellStyle name="Обычный 25 2 2 5 2 2 2" xfId="19666"/>
    <cellStyle name="Обычный 25 2 2 5 2 3" xfId="19667"/>
    <cellStyle name="Обычный 25 2 2 5 3" xfId="19668"/>
    <cellStyle name="Обычный 25 2 2 5 3 2" xfId="19669"/>
    <cellStyle name="Обычный 25 2 2 6" xfId="19670"/>
    <cellStyle name="Обычный 25 2 2 6 2" xfId="19671"/>
    <cellStyle name="Обычный 25 2 2 6 2 2" xfId="19672"/>
    <cellStyle name="Обычный 25 2 2 6 3" xfId="19673"/>
    <cellStyle name="Обычный 25 2 2 7" xfId="19674"/>
    <cellStyle name="Обычный 25 2 2 7 2" xfId="19675"/>
    <cellStyle name="Обычный 25 2 2 7 2 2" xfId="19676"/>
    <cellStyle name="Обычный 25 2 2 7 3" xfId="19677"/>
    <cellStyle name="Обычный 25 2 2 8" xfId="19678"/>
    <cellStyle name="Обычный 25 2 2 8 2" xfId="19679"/>
    <cellStyle name="Обычный 25 2 2 9" xfId="19680"/>
    <cellStyle name="Обычный 25 2 3" xfId="19681"/>
    <cellStyle name="Обычный 25 2 3 2" xfId="19682"/>
    <cellStyle name="Обычный 25 2 3 2 2" xfId="19683"/>
    <cellStyle name="Обычный 25 2 3 2 2 2" xfId="19684"/>
    <cellStyle name="Обычный 25 2 3 2 2 2 2" xfId="19685"/>
    <cellStyle name="Обычный 25 2 3 2 2 3" xfId="19686"/>
    <cellStyle name="Обычный 25 2 3 2 3" xfId="19687"/>
    <cellStyle name="Обычный 25 2 3 2 3 2" xfId="19688"/>
    <cellStyle name="Обычный 25 2 3 2 3 2 2" xfId="19689"/>
    <cellStyle name="Обычный 25 2 3 2 3 3" xfId="19690"/>
    <cellStyle name="Обычный 25 2 3 2 4" xfId="19691"/>
    <cellStyle name="Обычный 25 2 3 2 4 2" xfId="19692"/>
    <cellStyle name="Обычный 25 2 3 2 5" xfId="19693"/>
    <cellStyle name="Обычный 25 2 3 3" xfId="19694"/>
    <cellStyle name="Обычный 25 2 3 3 2" xfId="19695"/>
    <cellStyle name="Обычный 25 2 3 3 2 2" xfId="19696"/>
    <cellStyle name="Обычный 25 2 3 3 2 2 2" xfId="19697"/>
    <cellStyle name="Обычный 25 2 3 3 2 3" xfId="19698"/>
    <cellStyle name="Обычный 25 2 3 3 3" xfId="19699"/>
    <cellStyle name="Обычный 25 2 3 3 3 2" xfId="19700"/>
    <cellStyle name="Обычный 25 2 3 3 3 2 2" xfId="19701"/>
    <cellStyle name="Обычный 25 2 3 3 3 3" xfId="19702"/>
    <cellStyle name="Обычный 25 2 3 3 4" xfId="19703"/>
    <cellStyle name="Обычный 25 2 3 3 4 2" xfId="19704"/>
    <cellStyle name="Обычный 25 2 3 3 5" xfId="19705"/>
    <cellStyle name="Обычный 25 2 3 4" xfId="19706"/>
    <cellStyle name="Обычный 25 2 3 4 2" xfId="19707"/>
    <cellStyle name="Обычный 25 2 3 4 2 2" xfId="19708"/>
    <cellStyle name="Обычный 25 2 3 4 3" xfId="19709"/>
    <cellStyle name="Обычный 25 2 3 5" xfId="19710"/>
    <cellStyle name="Обычный 25 2 3 5 2" xfId="19711"/>
    <cellStyle name="Обычный 25 2 3 5 2 2" xfId="19712"/>
    <cellStyle name="Обычный 25 2 3 5 3" xfId="19713"/>
    <cellStyle name="Обычный 25 2 3 6" xfId="19714"/>
    <cellStyle name="Обычный 25 2 3 6 2" xfId="19715"/>
    <cellStyle name="Обычный 25 2 3 7" xfId="19716"/>
    <cellStyle name="Обычный 25 2 3 7 2" xfId="19717"/>
    <cellStyle name="Обычный 25 2 3 8" xfId="19718"/>
    <cellStyle name="Обычный 25 2 4" xfId="19719"/>
    <cellStyle name="Обычный 25 2 4 2" xfId="19720"/>
    <cellStyle name="Обычный 25 2 4 2 2" xfId="19721"/>
    <cellStyle name="Обычный 25 2 4 2 2 2" xfId="19722"/>
    <cellStyle name="Обычный 25 2 4 2 3" xfId="19723"/>
    <cellStyle name="Обычный 25 2 4 3" xfId="19724"/>
    <cellStyle name="Обычный 25 2 4 3 2" xfId="19725"/>
    <cellStyle name="Обычный 25 2 4 3 2 2" xfId="19726"/>
    <cellStyle name="Обычный 25 2 4 3 3" xfId="19727"/>
    <cellStyle name="Обычный 25 2 4 4" xfId="19728"/>
    <cellStyle name="Обычный 25 2 4 4 2" xfId="19729"/>
    <cellStyle name="Обычный 25 2 4 5" xfId="19730"/>
    <cellStyle name="Обычный 25 2 5" xfId="19731"/>
    <cellStyle name="Обычный 25 2 5 2" xfId="19732"/>
    <cellStyle name="Обычный 25 2 5 2 2" xfId="19733"/>
    <cellStyle name="Обычный 25 2 5 2 2 2" xfId="19734"/>
    <cellStyle name="Обычный 25 2 5 2 3" xfId="19735"/>
    <cellStyle name="Обычный 25 2 5 3" xfId="19736"/>
    <cellStyle name="Обычный 25 2 5 3 2" xfId="19737"/>
    <cellStyle name="Обычный 25 2 5 3 2 2" xfId="19738"/>
    <cellStyle name="Обычный 25 2 5 3 3" xfId="19739"/>
    <cellStyle name="Обычный 25 2 5 4" xfId="19740"/>
    <cellStyle name="Обычный 25 2 5 4 2" xfId="19741"/>
    <cellStyle name="Обычный 25 2 5 5" xfId="19742"/>
    <cellStyle name="Обычный 25 2 6" xfId="19743"/>
    <cellStyle name="Обычный 25 2 6 2" xfId="19744"/>
    <cellStyle name="Обычный 25 2 6 2 2" xfId="19745"/>
    <cellStyle name="Обычный 25 2 6 2 2 2" xfId="19746"/>
    <cellStyle name="Обычный 25 2 6 2 3" xfId="19747"/>
    <cellStyle name="Обычный 25 2 6 3" xfId="19748"/>
    <cellStyle name="Обычный 25 2 6 3 2" xfId="19749"/>
    <cellStyle name="Обычный 25 2 6 4" xfId="19750"/>
    <cellStyle name="Обычный 25 2 7" xfId="19751"/>
    <cellStyle name="Обычный 25 2 7 2" xfId="19752"/>
    <cellStyle name="Обычный 25 2 7 2 2" xfId="19753"/>
    <cellStyle name="Обычный 25 2 7 3" xfId="19754"/>
    <cellStyle name="Обычный 25 2 8" xfId="19755"/>
    <cellStyle name="Обычный 25 2 8 2" xfId="19756"/>
    <cellStyle name="Обычный 25 2 8 2 2" xfId="19757"/>
    <cellStyle name="Обычный 25 2 8 3" xfId="19758"/>
    <cellStyle name="Обычный 25 2 9" xfId="19759"/>
    <cellStyle name="Обычный 25 2 9 2" xfId="19760"/>
    <cellStyle name="Обычный 25 3" xfId="19761"/>
    <cellStyle name="Обычный 25 3 10" xfId="19762"/>
    <cellStyle name="Обычный 25 3 2" xfId="19763"/>
    <cellStyle name="Обычный 25 3 2 2" xfId="19764"/>
    <cellStyle name="Обычный 25 3 2 2 2" xfId="19765"/>
    <cellStyle name="Обычный 25 3 2 2 2 2" xfId="19766"/>
    <cellStyle name="Обычный 25 3 2 2 2 2 2" xfId="19767"/>
    <cellStyle name="Обычный 25 3 2 2 2 3" xfId="19768"/>
    <cellStyle name="Обычный 25 3 2 2 3" xfId="19769"/>
    <cellStyle name="Обычный 25 3 2 2 3 2" xfId="19770"/>
    <cellStyle name="Обычный 25 3 2 2 3 2 2" xfId="19771"/>
    <cellStyle name="Обычный 25 3 2 2 3 3" xfId="19772"/>
    <cellStyle name="Обычный 25 3 2 2 4" xfId="19773"/>
    <cellStyle name="Обычный 25 3 2 2 4 2" xfId="19774"/>
    <cellStyle name="Обычный 25 3 2 2 5" xfId="19775"/>
    <cellStyle name="Обычный 25 3 2 3" xfId="19776"/>
    <cellStyle name="Обычный 25 3 2 3 2" xfId="19777"/>
    <cellStyle name="Обычный 25 3 2 3 2 2" xfId="19778"/>
    <cellStyle name="Обычный 25 3 2 3 2 2 2" xfId="19779"/>
    <cellStyle name="Обычный 25 3 2 3 2 3" xfId="19780"/>
    <cellStyle name="Обычный 25 3 2 3 3" xfId="19781"/>
    <cellStyle name="Обычный 25 3 2 3 3 2" xfId="19782"/>
    <cellStyle name="Обычный 25 3 2 3 3 2 2" xfId="19783"/>
    <cellStyle name="Обычный 25 3 2 3 3 3" xfId="19784"/>
    <cellStyle name="Обычный 25 3 2 3 4" xfId="19785"/>
    <cellStyle name="Обычный 25 3 2 3 4 2" xfId="19786"/>
    <cellStyle name="Обычный 25 3 2 3 5" xfId="19787"/>
    <cellStyle name="Обычный 25 3 2 4" xfId="19788"/>
    <cellStyle name="Обычный 25 3 2 4 2" xfId="19789"/>
    <cellStyle name="Обычный 25 3 2 4 2 2" xfId="19790"/>
    <cellStyle name="Обычный 25 3 2 4 3" xfId="19791"/>
    <cellStyle name="Обычный 25 3 2 5" xfId="19792"/>
    <cellStyle name="Обычный 25 3 2 5 2" xfId="19793"/>
    <cellStyle name="Обычный 25 3 2 5 2 2" xfId="19794"/>
    <cellStyle name="Обычный 25 3 2 5 3" xfId="19795"/>
    <cellStyle name="Обычный 25 3 2 6" xfId="19796"/>
    <cellStyle name="Обычный 25 3 2 6 2" xfId="19797"/>
    <cellStyle name="Обычный 25 3 2 7" xfId="19798"/>
    <cellStyle name="Обычный 25 3 2 7 2" xfId="19799"/>
    <cellStyle name="Обычный 25 3 2 8" xfId="19800"/>
    <cellStyle name="Обычный 25 3 3" xfId="19801"/>
    <cellStyle name="Обычный 25 3 3 2" xfId="19802"/>
    <cellStyle name="Обычный 25 3 3 2 2" xfId="19803"/>
    <cellStyle name="Обычный 25 3 3 2 2 2" xfId="19804"/>
    <cellStyle name="Обычный 25 3 3 2 3" xfId="19805"/>
    <cellStyle name="Обычный 25 3 3 3" xfId="19806"/>
    <cellStyle name="Обычный 25 3 3 3 2" xfId="19807"/>
    <cellStyle name="Обычный 25 3 3 3 2 2" xfId="19808"/>
    <cellStyle name="Обычный 25 3 3 3 3" xfId="19809"/>
    <cellStyle name="Обычный 25 3 3 4" xfId="19810"/>
    <cellStyle name="Обычный 25 3 3 4 2" xfId="19811"/>
    <cellStyle name="Обычный 25 3 3 5" xfId="19812"/>
    <cellStyle name="Обычный 25 3 3 5 2" xfId="19813"/>
    <cellStyle name="Обычный 25 3 3 6" xfId="19814"/>
    <cellStyle name="Обычный 25 3 4" xfId="19815"/>
    <cellStyle name="Обычный 25 3 4 2" xfId="19816"/>
    <cellStyle name="Обычный 25 3 4 2 2" xfId="19817"/>
    <cellStyle name="Обычный 25 3 4 2 2 2" xfId="19818"/>
    <cellStyle name="Обычный 25 3 4 2 3" xfId="19819"/>
    <cellStyle name="Обычный 25 3 4 3" xfId="19820"/>
    <cellStyle name="Обычный 25 3 4 3 2" xfId="19821"/>
    <cellStyle name="Обычный 25 3 4 3 2 2" xfId="19822"/>
    <cellStyle name="Обычный 25 3 4 3 3" xfId="19823"/>
    <cellStyle name="Обычный 25 3 4 4" xfId="19824"/>
    <cellStyle name="Обычный 25 3 4 4 2" xfId="19825"/>
    <cellStyle name="Обычный 25 3 4 5" xfId="19826"/>
    <cellStyle name="Обычный 25 3 4 5 2" xfId="19827"/>
    <cellStyle name="Обычный 25 3 4 6" xfId="19828"/>
    <cellStyle name="Обычный 25 3 5" xfId="19829"/>
    <cellStyle name="Обычный 25 3 5 2" xfId="19830"/>
    <cellStyle name="Обычный 25 3 5 2 2" xfId="19831"/>
    <cellStyle name="Обычный 25 3 5 2 2 2" xfId="19832"/>
    <cellStyle name="Обычный 25 3 5 2 3" xfId="19833"/>
    <cellStyle name="Обычный 25 3 5 3" xfId="19834"/>
    <cellStyle name="Обычный 25 3 5 3 2" xfId="19835"/>
    <cellStyle name="Обычный 25 3 5 4" xfId="19836"/>
    <cellStyle name="Обычный 25 3 6" xfId="19837"/>
    <cellStyle name="Обычный 25 3 6 2" xfId="19838"/>
    <cellStyle name="Обычный 25 3 6 2 2" xfId="19839"/>
    <cellStyle name="Обычный 25 3 6 3" xfId="19840"/>
    <cellStyle name="Обычный 25 3 7" xfId="19841"/>
    <cellStyle name="Обычный 25 3 7 2" xfId="19842"/>
    <cellStyle name="Обычный 25 3 7 2 2" xfId="19843"/>
    <cellStyle name="Обычный 25 3 7 3" xfId="19844"/>
    <cellStyle name="Обычный 25 3 8" xfId="19845"/>
    <cellStyle name="Обычный 25 3 8 2" xfId="19846"/>
    <cellStyle name="Обычный 25 3 9" xfId="19847"/>
    <cellStyle name="Обычный 25 4" xfId="19848"/>
    <cellStyle name="Обычный 25 4 2" xfId="19849"/>
    <cellStyle name="Обычный 25 4 2 2" xfId="19850"/>
    <cellStyle name="Обычный 25 4 2 2 2" xfId="19851"/>
    <cellStyle name="Обычный 25 4 2 2 2 2" xfId="19852"/>
    <cellStyle name="Обычный 25 4 2 2 3" xfId="19853"/>
    <cellStyle name="Обычный 25 4 2 2 3 2" xfId="19854"/>
    <cellStyle name="Обычный 25 4 2 2 4" xfId="19855"/>
    <cellStyle name="Обычный 25 4 2 3" xfId="19856"/>
    <cellStyle name="Обычный 25 4 2 3 2" xfId="19857"/>
    <cellStyle name="Обычный 25 4 2 3 2 2" xfId="19858"/>
    <cellStyle name="Обычный 25 4 2 3 3" xfId="19859"/>
    <cellStyle name="Обычный 25 4 2 4" xfId="19860"/>
    <cellStyle name="Обычный 25 4 2 4 2" xfId="19861"/>
    <cellStyle name="Обычный 25 4 2 5" xfId="19862"/>
    <cellStyle name="Обычный 25 4 2 5 2" xfId="19863"/>
    <cellStyle name="Обычный 25 4 2 6" xfId="19864"/>
    <cellStyle name="Обычный 25 4 3" xfId="19865"/>
    <cellStyle name="Обычный 25 4 3 2" xfId="19866"/>
    <cellStyle name="Обычный 25 4 3 2 2" xfId="19867"/>
    <cellStyle name="Обычный 25 4 3 2 2 2" xfId="19868"/>
    <cellStyle name="Обычный 25 4 3 2 3" xfId="19869"/>
    <cellStyle name="Обычный 25 4 3 3" xfId="19870"/>
    <cellStyle name="Обычный 25 4 3 3 2" xfId="19871"/>
    <cellStyle name="Обычный 25 4 3 3 2 2" xfId="19872"/>
    <cellStyle name="Обычный 25 4 3 3 3" xfId="19873"/>
    <cellStyle name="Обычный 25 4 3 4" xfId="19874"/>
    <cellStyle name="Обычный 25 4 3 4 2" xfId="19875"/>
    <cellStyle name="Обычный 25 4 3 5" xfId="19876"/>
    <cellStyle name="Обычный 25 4 3 5 2" xfId="19877"/>
    <cellStyle name="Обычный 25 4 3 6" xfId="19878"/>
    <cellStyle name="Обычный 25 4 4" xfId="19879"/>
    <cellStyle name="Обычный 25 4 4 2" xfId="19880"/>
    <cellStyle name="Обычный 25 4 4 2 2" xfId="19881"/>
    <cellStyle name="Обычный 25 4 4 3" xfId="19882"/>
    <cellStyle name="Обычный 25 4 4 3 2" xfId="19883"/>
    <cellStyle name="Обычный 25 4 4 4" xfId="19884"/>
    <cellStyle name="Обычный 25 4 5" xfId="19885"/>
    <cellStyle name="Обычный 25 4 5 2" xfId="19886"/>
    <cellStyle name="Обычный 25 4 5 2 2" xfId="19887"/>
    <cellStyle name="Обычный 25 4 5 3" xfId="19888"/>
    <cellStyle name="Обычный 25 4 6" xfId="19889"/>
    <cellStyle name="Обычный 25 4 6 2" xfId="19890"/>
    <cellStyle name="Обычный 25 4 7" xfId="19891"/>
    <cellStyle name="Обычный 25 4 7 2" xfId="19892"/>
    <cellStyle name="Обычный 25 4 8" xfId="19893"/>
    <cellStyle name="Обычный 25 5" xfId="19894"/>
    <cellStyle name="Обычный 25 5 2" xfId="19895"/>
    <cellStyle name="Обычный 25 5 2 2" xfId="19896"/>
    <cellStyle name="Обычный 25 5 2 2 2" xfId="19897"/>
    <cellStyle name="Обычный 25 5 2 3" xfId="19898"/>
    <cellStyle name="Обычный 25 5 3" xfId="19899"/>
    <cellStyle name="Обычный 25 5 3 2" xfId="19900"/>
    <cellStyle name="Обычный 25 5 3 2 2" xfId="19901"/>
    <cellStyle name="Обычный 25 5 3 3" xfId="19902"/>
    <cellStyle name="Обычный 25 5 4" xfId="19903"/>
    <cellStyle name="Обычный 25 5 4 2" xfId="19904"/>
    <cellStyle name="Обычный 25 5 4 2 2" xfId="19905"/>
    <cellStyle name="Обычный 25 5 4 3" xfId="19906"/>
    <cellStyle name="Обычный 25 5 5" xfId="19907"/>
    <cellStyle name="Обычный 25 5 5 2" xfId="19908"/>
    <cellStyle name="Обычный 25 5 6" xfId="19909"/>
    <cellStyle name="Обычный 25 5 6 2" xfId="19910"/>
    <cellStyle name="Обычный 25 5 7" xfId="19911"/>
    <cellStyle name="Обычный 25 6" xfId="19912"/>
    <cellStyle name="Обычный 25 6 2" xfId="19913"/>
    <cellStyle name="Обычный 25 6 2 2" xfId="19914"/>
    <cellStyle name="Обычный 25 6 2 2 2" xfId="19915"/>
    <cellStyle name="Обычный 25 6 2 2 2 2" xfId="19916"/>
    <cellStyle name="Обычный 25 6 2 2 3" xfId="19917"/>
    <cellStyle name="Обычный 25 6 2 3" xfId="19918"/>
    <cellStyle name="Обычный 25 6 2 3 2" xfId="19919"/>
    <cellStyle name="Обычный 25 6 2 3 2 2" xfId="19920"/>
    <cellStyle name="Обычный 25 6 2 3 3" xfId="19921"/>
    <cellStyle name="Обычный 25 6 2 4" xfId="19922"/>
    <cellStyle name="Обычный 25 6 2 4 2" xfId="19923"/>
    <cellStyle name="Обычный 25 6 2 5" xfId="19924"/>
    <cellStyle name="Обычный 25 6 3" xfId="19925"/>
    <cellStyle name="Обычный 25 6 3 2" xfId="19926"/>
    <cellStyle name="Обычный 25 6 3 2 2" xfId="19927"/>
    <cellStyle name="Обычный 25 6 3 2 2 2" xfId="19928"/>
    <cellStyle name="Обычный 25 6 3 2 3" xfId="19929"/>
    <cellStyle name="Обычный 25 6 3 3" xfId="19930"/>
    <cellStyle name="Обычный 25 6 3 3 2" xfId="19931"/>
    <cellStyle name="Обычный 25 6 3 3 2 2" xfId="19932"/>
    <cellStyle name="Обычный 25 6 3 3 3" xfId="19933"/>
    <cellStyle name="Обычный 25 6 3 4" xfId="19934"/>
    <cellStyle name="Обычный 25 6 3 4 2" xfId="19935"/>
    <cellStyle name="Обычный 25 6 3 5" xfId="19936"/>
    <cellStyle name="Обычный 25 6 4" xfId="19937"/>
    <cellStyle name="Обычный 25 6 4 2" xfId="19938"/>
    <cellStyle name="Обычный 25 6 4 2 2" xfId="19939"/>
    <cellStyle name="Обычный 25 6 4 3" xfId="19940"/>
    <cellStyle name="Обычный 25 6 5" xfId="19941"/>
    <cellStyle name="Обычный 25 6 5 2" xfId="19942"/>
    <cellStyle name="Обычный 25 6 5 2 2" xfId="19943"/>
    <cellStyle name="Обычный 25 6 5 3" xfId="19944"/>
    <cellStyle name="Обычный 25 6 6" xfId="19945"/>
    <cellStyle name="Обычный 25 6 6 2" xfId="19946"/>
    <cellStyle name="Обычный 25 6 7" xfId="19947"/>
    <cellStyle name="Обычный 25 6 7 2" xfId="19948"/>
    <cellStyle name="Обычный 25 6 8" xfId="19949"/>
    <cellStyle name="Обычный 25 7" xfId="19950"/>
    <cellStyle name="Обычный 25 7 2" xfId="19951"/>
    <cellStyle name="Обычный 25 7 2 2" xfId="19952"/>
    <cellStyle name="Обычный 25 7 2 2 2" xfId="19953"/>
    <cellStyle name="Обычный 25 7 2 3" xfId="19954"/>
    <cellStyle name="Обычный 25 7 3" xfId="19955"/>
    <cellStyle name="Обычный 25 7 3 2" xfId="19956"/>
    <cellStyle name="Обычный 25 7 3 2 2" xfId="19957"/>
    <cellStyle name="Обычный 25 7 3 3" xfId="19958"/>
    <cellStyle name="Обычный 25 7 4" xfId="19959"/>
    <cellStyle name="Обычный 25 7 4 2" xfId="19960"/>
    <cellStyle name="Обычный 25 7 5" xfId="19961"/>
    <cellStyle name="Обычный 25 7 5 2" xfId="19962"/>
    <cellStyle name="Обычный 25 7 6" xfId="19963"/>
    <cellStyle name="Обычный 25 8" xfId="19964"/>
    <cellStyle name="Обычный 25 8 2" xfId="19965"/>
    <cellStyle name="Обычный 25 8 2 2" xfId="19966"/>
    <cellStyle name="Обычный 25 8 2 2 2" xfId="19967"/>
    <cellStyle name="Обычный 25 8 2 3" xfId="19968"/>
    <cellStyle name="Обычный 25 8 3" xfId="19969"/>
    <cellStyle name="Обычный 25 8 3 2" xfId="19970"/>
    <cellStyle name="Обычный 25 8 3 2 2" xfId="19971"/>
    <cellStyle name="Обычный 25 8 3 3" xfId="19972"/>
    <cellStyle name="Обычный 25 8 4" xfId="19973"/>
    <cellStyle name="Обычный 25 8 4 2" xfId="19974"/>
    <cellStyle name="Обычный 25 8 5" xfId="19975"/>
    <cellStyle name="Обычный 25 9" xfId="19976"/>
    <cellStyle name="Обычный 25 9 2" xfId="19977"/>
    <cellStyle name="Обычный 25 9 2 2" xfId="19978"/>
    <cellStyle name="Обычный 25 9 2 2 2" xfId="19979"/>
    <cellStyle name="Обычный 25 9 2 3" xfId="19980"/>
    <cellStyle name="Обычный 25 9 3" xfId="19981"/>
    <cellStyle name="Обычный 25 9 3 2" xfId="19982"/>
    <cellStyle name="Обычный 25 9 4" xfId="19983"/>
    <cellStyle name="Обычный 25_Лист3" xfId="19984"/>
    <cellStyle name="Обычный 26" xfId="19985"/>
    <cellStyle name="Обычный 26 10" xfId="19986"/>
    <cellStyle name="Обычный 26 10 2" xfId="19987"/>
    <cellStyle name="Обычный 26 10 2 2" xfId="19988"/>
    <cellStyle name="Обычный 26 10 3" xfId="19989"/>
    <cellStyle name="Обычный 26 11" xfId="19990"/>
    <cellStyle name="Обычный 26 11 2" xfId="19991"/>
    <cellStyle name="Обычный 26 11 2 2" xfId="19992"/>
    <cellStyle name="Обычный 26 11 3" xfId="19993"/>
    <cellStyle name="Обычный 26 12" xfId="19994"/>
    <cellStyle name="Обычный 26 12 2" xfId="19995"/>
    <cellStyle name="Обычный 26 13" xfId="19996"/>
    <cellStyle name="Обычный 26 13 2" xfId="19997"/>
    <cellStyle name="Обычный 26 14" xfId="19998"/>
    <cellStyle name="Обычный 26 15" xfId="19999"/>
    <cellStyle name="Обычный 26 16" xfId="20000"/>
    <cellStyle name="Обычный 26 17" xfId="20001"/>
    <cellStyle name="Обычный 26 18" xfId="20002"/>
    <cellStyle name="Обычный 26 19" xfId="20003"/>
    <cellStyle name="Обычный 26 2" xfId="15"/>
    <cellStyle name="Обычный 26 2 10" xfId="20004"/>
    <cellStyle name="Обычный 26 2 10 2" xfId="20005"/>
    <cellStyle name="Обычный 26 2 10 2 2" xfId="20006"/>
    <cellStyle name="Обычный 26 2 10 2 2 2" xfId="20007"/>
    <cellStyle name="Обычный 26 2 10 2 2 2 2" xfId="20008"/>
    <cellStyle name="Обычный 26 2 10 2 2 3" xfId="20009"/>
    <cellStyle name="Обычный 26 2 10 2 3" xfId="20010"/>
    <cellStyle name="Обычный 26 2 10 2 3 2" xfId="20011"/>
    <cellStyle name="Обычный 26 2 10 2 3 2 2" xfId="20012"/>
    <cellStyle name="Обычный 26 2 10 2 3 3" xfId="20013"/>
    <cellStyle name="Обычный 26 2 10 2 4" xfId="20014"/>
    <cellStyle name="Обычный 26 2 10 2 4 2" xfId="20015"/>
    <cellStyle name="Обычный 26 2 10 2 5" xfId="20016"/>
    <cellStyle name="Обычный 26 2 10 2 5 2" xfId="20017"/>
    <cellStyle name="Обычный 26 2 10 2 6" xfId="20018"/>
    <cellStyle name="Обычный 26 2 10 3" xfId="20019"/>
    <cellStyle name="Обычный 26 2 10 3 2" xfId="20020"/>
    <cellStyle name="Обычный 26 2 10 3 2 2" xfId="20021"/>
    <cellStyle name="Обычный 26 2 10 3 2 2 2" xfId="20022"/>
    <cellStyle name="Обычный 26 2 10 3 2 3" xfId="20023"/>
    <cellStyle name="Обычный 26 2 10 3 3" xfId="20024"/>
    <cellStyle name="Обычный 26 2 10 3 3 2" xfId="20025"/>
    <cellStyle name="Обычный 26 2 10 3 3 2 2" xfId="20026"/>
    <cellStyle name="Обычный 26 2 10 3 3 3" xfId="20027"/>
    <cellStyle name="Обычный 26 2 10 3 4" xfId="20028"/>
    <cellStyle name="Обычный 26 2 10 3 4 2" xfId="20029"/>
    <cellStyle name="Обычный 26 2 10 3 5" xfId="20030"/>
    <cellStyle name="Обычный 26 2 10 3 5 2" xfId="20031"/>
    <cellStyle name="Обычный 26 2 10 3 6" xfId="20032"/>
    <cellStyle name="Обычный 26 2 10 4" xfId="20033"/>
    <cellStyle name="Обычный 26 2 10 4 2" xfId="20034"/>
    <cellStyle name="Обычный 26 2 10 4 2 2" xfId="20035"/>
    <cellStyle name="Обычный 26 2 10 4 3" xfId="20036"/>
    <cellStyle name="Обычный 26 2 10 5" xfId="20037"/>
    <cellStyle name="Обычный 26 2 10 5 2" xfId="20038"/>
    <cellStyle name="Обычный 26 2 10 5 2 2" xfId="20039"/>
    <cellStyle name="Обычный 26 2 10 5 3" xfId="20040"/>
    <cellStyle name="Обычный 26 2 10 6" xfId="20041"/>
    <cellStyle name="Обычный 26 2 10 6 2" xfId="20042"/>
    <cellStyle name="Обычный 26 2 10 7" xfId="20043"/>
    <cellStyle name="Обычный 26 2 10 7 2" xfId="20044"/>
    <cellStyle name="Обычный 26 2 10 8" xfId="20045"/>
    <cellStyle name="Обычный 26 2 11" xfId="20046"/>
    <cellStyle name="Обычный 26 2 11 2" xfId="20047"/>
    <cellStyle name="Обычный 26 2 11 2 2" xfId="20048"/>
    <cellStyle name="Обычный 26 2 11 2 2 2" xfId="20049"/>
    <cellStyle name="Обычный 26 2 11 2 2 2 2" xfId="20050"/>
    <cellStyle name="Обычный 26 2 11 2 2 3" xfId="20051"/>
    <cellStyle name="Обычный 26 2 11 2 3" xfId="20052"/>
    <cellStyle name="Обычный 26 2 11 2 3 2" xfId="20053"/>
    <cellStyle name="Обычный 26 2 11 2 3 2 2" xfId="20054"/>
    <cellStyle name="Обычный 26 2 11 2 3 3" xfId="20055"/>
    <cellStyle name="Обычный 26 2 11 2 4" xfId="20056"/>
    <cellStyle name="Обычный 26 2 11 2 4 2" xfId="20057"/>
    <cellStyle name="Обычный 26 2 11 2 5" xfId="20058"/>
    <cellStyle name="Обычный 26 2 11 3" xfId="20059"/>
    <cellStyle name="Обычный 26 2 11 3 2" xfId="20060"/>
    <cellStyle name="Обычный 26 2 11 3 2 2" xfId="20061"/>
    <cellStyle name="Обычный 26 2 11 3 2 2 2" xfId="20062"/>
    <cellStyle name="Обычный 26 2 11 3 2 3" xfId="20063"/>
    <cellStyle name="Обычный 26 2 11 3 3" xfId="20064"/>
    <cellStyle name="Обычный 26 2 11 3 3 2" xfId="20065"/>
    <cellStyle name="Обычный 26 2 11 3 3 2 2" xfId="20066"/>
    <cellStyle name="Обычный 26 2 11 3 3 3" xfId="20067"/>
    <cellStyle name="Обычный 26 2 11 3 4" xfId="20068"/>
    <cellStyle name="Обычный 26 2 11 3 4 2" xfId="20069"/>
    <cellStyle name="Обычный 26 2 11 3 5" xfId="20070"/>
    <cellStyle name="Обычный 26 2 11 4" xfId="20071"/>
    <cellStyle name="Обычный 26 2 11 4 2" xfId="20072"/>
    <cellStyle name="Обычный 26 2 11 4 2 2" xfId="20073"/>
    <cellStyle name="Обычный 26 2 11 4 3" xfId="20074"/>
    <cellStyle name="Обычный 26 2 11 5" xfId="20075"/>
    <cellStyle name="Обычный 26 2 11 5 2" xfId="20076"/>
    <cellStyle name="Обычный 26 2 11 5 2 2" xfId="20077"/>
    <cellStyle name="Обычный 26 2 11 5 3" xfId="20078"/>
    <cellStyle name="Обычный 26 2 11 6" xfId="20079"/>
    <cellStyle name="Обычный 26 2 11 6 2" xfId="20080"/>
    <cellStyle name="Обычный 26 2 11 7" xfId="20081"/>
    <cellStyle name="Обычный 26 2 11 7 2" xfId="20082"/>
    <cellStyle name="Обычный 26 2 11 8" xfId="20083"/>
    <cellStyle name="Обычный 26 2 12" xfId="20084"/>
    <cellStyle name="Обычный 26 2 12 2" xfId="20085"/>
    <cellStyle name="Обычный 26 2 12 2 2" xfId="20086"/>
    <cellStyle name="Обычный 26 2 12 2 2 2" xfId="20087"/>
    <cellStyle name="Обычный 26 2 12 2 2 2 2" xfId="20088"/>
    <cellStyle name="Обычный 26 2 12 2 2 3" xfId="20089"/>
    <cellStyle name="Обычный 26 2 12 2 3" xfId="20090"/>
    <cellStyle name="Обычный 26 2 12 2 3 2" xfId="20091"/>
    <cellStyle name="Обычный 26 2 12 2 3 2 2" xfId="20092"/>
    <cellStyle name="Обычный 26 2 12 2 3 3" xfId="20093"/>
    <cellStyle name="Обычный 26 2 12 2 4" xfId="20094"/>
    <cellStyle name="Обычный 26 2 12 2 4 2" xfId="20095"/>
    <cellStyle name="Обычный 26 2 12 2 5" xfId="20096"/>
    <cellStyle name="Обычный 26 2 12 3" xfId="20097"/>
    <cellStyle name="Обычный 26 2 12 3 2" xfId="20098"/>
    <cellStyle name="Обычный 26 2 12 3 2 2" xfId="20099"/>
    <cellStyle name="Обычный 26 2 12 3 2 2 2" xfId="20100"/>
    <cellStyle name="Обычный 26 2 12 3 2 3" xfId="20101"/>
    <cellStyle name="Обычный 26 2 12 3 3" xfId="20102"/>
    <cellStyle name="Обычный 26 2 12 3 3 2" xfId="20103"/>
    <cellStyle name="Обычный 26 2 12 3 3 2 2" xfId="20104"/>
    <cellStyle name="Обычный 26 2 12 3 3 3" xfId="20105"/>
    <cellStyle name="Обычный 26 2 12 3 4" xfId="20106"/>
    <cellStyle name="Обычный 26 2 12 3 4 2" xfId="20107"/>
    <cellStyle name="Обычный 26 2 12 3 5" xfId="20108"/>
    <cellStyle name="Обычный 26 2 12 4" xfId="20109"/>
    <cellStyle name="Обычный 26 2 12 4 2" xfId="20110"/>
    <cellStyle name="Обычный 26 2 12 4 2 2" xfId="20111"/>
    <cellStyle name="Обычный 26 2 12 4 3" xfId="20112"/>
    <cellStyle name="Обычный 26 2 12 5" xfId="20113"/>
    <cellStyle name="Обычный 26 2 12 5 2" xfId="20114"/>
    <cellStyle name="Обычный 26 2 12 5 2 2" xfId="20115"/>
    <cellStyle name="Обычный 26 2 12 5 3" xfId="20116"/>
    <cellStyle name="Обычный 26 2 12 6" xfId="20117"/>
    <cellStyle name="Обычный 26 2 12 6 2" xfId="20118"/>
    <cellStyle name="Обычный 26 2 12 7" xfId="20119"/>
    <cellStyle name="Обычный 26 2 12 7 2" xfId="20120"/>
    <cellStyle name="Обычный 26 2 12 8" xfId="20121"/>
    <cellStyle name="Обычный 26 2 13" xfId="20122"/>
    <cellStyle name="Обычный 26 2 13 2" xfId="20123"/>
    <cellStyle name="Обычный 26 2 13 2 2" xfId="20124"/>
    <cellStyle name="Обычный 26 2 13 2 2 2" xfId="20125"/>
    <cellStyle name="Обычный 26 2 13 2 2 2 2" xfId="20126"/>
    <cellStyle name="Обычный 26 2 13 2 2 3" xfId="20127"/>
    <cellStyle name="Обычный 26 2 13 2 3" xfId="20128"/>
    <cellStyle name="Обычный 26 2 13 2 3 2" xfId="20129"/>
    <cellStyle name="Обычный 26 2 13 2 4" xfId="20130"/>
    <cellStyle name="Обычный 26 2 13 3" xfId="20131"/>
    <cellStyle name="Обычный 26 2 13 3 2" xfId="20132"/>
    <cellStyle name="Обычный 26 2 13 3 2 2" xfId="20133"/>
    <cellStyle name="Обычный 26 2 13 3 3" xfId="20134"/>
    <cellStyle name="Обычный 26 2 13 4" xfId="20135"/>
    <cellStyle name="Обычный 26 2 13 4 2" xfId="20136"/>
    <cellStyle name="Обычный 26 2 13 4 2 2" xfId="20137"/>
    <cellStyle name="Обычный 26 2 13 4 3" xfId="20138"/>
    <cellStyle name="Обычный 26 2 13 5" xfId="20139"/>
    <cellStyle name="Обычный 26 2 13 5 2" xfId="20140"/>
    <cellStyle name="Обычный 26 2 13 6" xfId="20141"/>
    <cellStyle name="Обычный 26 2 13 6 2" xfId="20142"/>
    <cellStyle name="Обычный 26 2 13 7" xfId="20143"/>
    <cellStyle name="Обычный 26 2 14" xfId="20144"/>
    <cellStyle name="Обычный 26 2 14 2" xfId="20145"/>
    <cellStyle name="Обычный 26 2 14 2 2" xfId="20146"/>
    <cellStyle name="Обычный 26 2 14 2 2 2" xfId="20147"/>
    <cellStyle name="Обычный 26 2 14 2 3" xfId="20148"/>
    <cellStyle name="Обычный 26 2 14 3" xfId="20149"/>
    <cellStyle name="Обычный 26 2 14 3 2" xfId="20150"/>
    <cellStyle name="Обычный 26 2 14 3 2 2" xfId="20151"/>
    <cellStyle name="Обычный 26 2 14 3 3" xfId="20152"/>
    <cellStyle name="Обычный 26 2 14 4" xfId="20153"/>
    <cellStyle name="Обычный 26 2 14 4 2" xfId="20154"/>
    <cellStyle name="Обычный 26 2 14 5" xfId="20155"/>
    <cellStyle name="Обычный 26 2 14 5 2" xfId="20156"/>
    <cellStyle name="Обычный 26 2 14 6" xfId="20157"/>
    <cellStyle name="Обычный 26 2 15" xfId="20158"/>
    <cellStyle name="Обычный 26 2 15 2" xfId="20159"/>
    <cellStyle name="Обычный 26 2 15 2 2" xfId="20160"/>
    <cellStyle name="Обычный 26 2 15 2 2 2" xfId="20161"/>
    <cellStyle name="Обычный 26 2 15 2 2 2 2" xfId="20162"/>
    <cellStyle name="Обычный 26 2 15 2 2 3" xfId="20163"/>
    <cellStyle name="Обычный 26 2 15 2 3" xfId="20164"/>
    <cellStyle name="Обычный 26 2 15 2 3 2" xfId="20165"/>
    <cellStyle name="Обычный 26 2 15 2 4" xfId="20166"/>
    <cellStyle name="Обычный 26 2 15 3" xfId="20167"/>
    <cellStyle name="Обычный 26 2 15 3 2" xfId="20168"/>
    <cellStyle name="Обычный 26 2 15 3 2 2" xfId="20169"/>
    <cellStyle name="Обычный 26 2 15 3 3" xfId="20170"/>
    <cellStyle name="Обычный 26 2 15 4" xfId="20171"/>
    <cellStyle name="Обычный 26 2 15 4 2" xfId="20172"/>
    <cellStyle name="Обычный 26 2 15 4 2 2" xfId="20173"/>
    <cellStyle name="Обычный 26 2 15 4 3" xfId="20174"/>
    <cellStyle name="Обычный 26 2 15 5" xfId="20175"/>
    <cellStyle name="Обычный 26 2 15 5 2" xfId="20176"/>
    <cellStyle name="Обычный 26 2 15 6" xfId="20177"/>
    <cellStyle name="Обычный 26 2 15 6 2" xfId="20178"/>
    <cellStyle name="Обычный 26 2 15 7" xfId="20179"/>
    <cellStyle name="Обычный 26 2 16" xfId="20180"/>
    <cellStyle name="Обычный 26 2 16 2" xfId="20181"/>
    <cellStyle name="Обычный 26 2 16 2 2" xfId="20182"/>
    <cellStyle name="Обычный 26 2 16 2 2 2" xfId="20183"/>
    <cellStyle name="Обычный 26 2 16 2 3" xfId="20184"/>
    <cellStyle name="Обычный 26 2 16 3" xfId="20185"/>
    <cellStyle name="Обычный 26 2 16 3 2" xfId="20186"/>
    <cellStyle name="Обычный 26 2 16 3 2 2" xfId="20187"/>
    <cellStyle name="Обычный 26 2 16 3 3" xfId="20188"/>
    <cellStyle name="Обычный 26 2 16 4" xfId="20189"/>
    <cellStyle name="Обычный 26 2 16 4 2" xfId="20190"/>
    <cellStyle name="Обычный 26 2 16 5" xfId="20191"/>
    <cellStyle name="Обычный 26 2 17" xfId="20192"/>
    <cellStyle name="Обычный 26 2 17 2" xfId="20193"/>
    <cellStyle name="Обычный 26 2 17 2 2" xfId="20194"/>
    <cellStyle name="Обычный 26 2 17 2 2 2" xfId="20195"/>
    <cellStyle name="Обычный 26 2 17 2 3" xfId="20196"/>
    <cellStyle name="Обычный 26 2 17 3" xfId="20197"/>
    <cellStyle name="Обычный 26 2 17 3 2" xfId="20198"/>
    <cellStyle name="Обычный 26 2 17 3 2 2" xfId="20199"/>
    <cellStyle name="Обычный 26 2 17 3 3" xfId="20200"/>
    <cellStyle name="Обычный 26 2 17 4" xfId="20201"/>
    <cellStyle name="Обычный 26 2 17 4 2" xfId="20202"/>
    <cellStyle name="Обычный 26 2 17 5" xfId="20203"/>
    <cellStyle name="Обычный 26 2 18" xfId="20204"/>
    <cellStyle name="Обычный 26 2 18 2" xfId="20205"/>
    <cellStyle name="Обычный 26 2 18 2 2" xfId="20206"/>
    <cellStyle name="Обычный 26 2 18 2 2 2" xfId="20207"/>
    <cellStyle name="Обычный 26 2 18 2 3" xfId="20208"/>
    <cellStyle name="Обычный 26 2 18 3" xfId="20209"/>
    <cellStyle name="Обычный 26 2 18 3 2" xfId="20210"/>
    <cellStyle name="Обычный 26 2 18 4" xfId="20211"/>
    <cellStyle name="Обычный 26 2 19" xfId="20212"/>
    <cellStyle name="Обычный 26 2 19 2" xfId="20213"/>
    <cellStyle name="Обычный 26 2 19 2 2" xfId="20214"/>
    <cellStyle name="Обычный 26 2 19 3" xfId="20215"/>
    <cellStyle name="Обычный 26 2 2" xfId="19"/>
    <cellStyle name="Обычный 26 2 2 10" xfId="20216"/>
    <cellStyle name="Обычный 26 2 2 11" xfId="20217"/>
    <cellStyle name="Обычный 26 2 2 12" xfId="20218"/>
    <cellStyle name="Обычный 26 2 2 13" xfId="20219"/>
    <cellStyle name="Обычный 26 2 2 14" xfId="20220"/>
    <cellStyle name="Обычный 26 2 2 15" xfId="20221"/>
    <cellStyle name="Обычный 26 2 2 16" xfId="20222"/>
    <cellStyle name="Обычный 26 2 2 2" xfId="20223"/>
    <cellStyle name="Обычный 26 2 2 2 2" xfId="20224"/>
    <cellStyle name="Обычный 26 2 2 2 2 2" xfId="20225"/>
    <cellStyle name="Обычный 26 2 2 2 2 2 2" xfId="20226"/>
    <cellStyle name="Обычный 26 2 2 2 2 2 2 2" xfId="20227"/>
    <cellStyle name="Обычный 26 2 2 2 2 2 3" xfId="20228"/>
    <cellStyle name="Обычный 26 2 2 2 2 2 3 2" xfId="20229"/>
    <cellStyle name="Обычный 26 2 2 2 2 2 4" xfId="20230"/>
    <cellStyle name="Обычный 26 2 2 2 2 3" xfId="20231"/>
    <cellStyle name="Обычный 26 2 2 2 2 3 2" xfId="20232"/>
    <cellStyle name="Обычный 26 2 2 2 2 3 2 2" xfId="20233"/>
    <cellStyle name="Обычный 26 2 2 2 2 3 3" xfId="20234"/>
    <cellStyle name="Обычный 26 2 2 2 2 4" xfId="20235"/>
    <cellStyle name="Обычный 26 2 2 2 2 4 2" xfId="20236"/>
    <cellStyle name="Обычный 26 2 2 2 2 5" xfId="20237"/>
    <cellStyle name="Обычный 26 2 2 2 2 5 2" xfId="20238"/>
    <cellStyle name="Обычный 26 2 2 2 2 6" xfId="20239"/>
    <cellStyle name="Обычный 26 2 2 2 3" xfId="20240"/>
    <cellStyle name="Обычный 26 2 2 2 3 2" xfId="20241"/>
    <cellStyle name="Обычный 26 2 2 2 3 2 2" xfId="20242"/>
    <cellStyle name="Обычный 26 2 2 2 3 2 2 2" xfId="20243"/>
    <cellStyle name="Обычный 26 2 2 2 3 2 3" xfId="20244"/>
    <cellStyle name="Обычный 26 2 2 2 3 3" xfId="20245"/>
    <cellStyle name="Обычный 26 2 2 2 3 3 2" xfId="20246"/>
    <cellStyle name="Обычный 26 2 2 2 3 3 2 2" xfId="20247"/>
    <cellStyle name="Обычный 26 2 2 2 3 3 3" xfId="20248"/>
    <cellStyle name="Обычный 26 2 2 2 3 4" xfId="20249"/>
    <cellStyle name="Обычный 26 2 2 2 3 4 2" xfId="20250"/>
    <cellStyle name="Обычный 26 2 2 2 3 5" xfId="20251"/>
    <cellStyle name="Обычный 26 2 2 2 3 5 2" xfId="20252"/>
    <cellStyle name="Обычный 26 2 2 2 3 6" xfId="20253"/>
    <cellStyle name="Обычный 26 2 2 2 4" xfId="20254"/>
    <cellStyle name="Обычный 26 2 2 2 4 2" xfId="20255"/>
    <cellStyle name="Обычный 26 2 2 2 4 2 2" xfId="20256"/>
    <cellStyle name="Обычный 26 2 2 2 4 3" xfId="20257"/>
    <cellStyle name="Обычный 26 2 2 2 4 3 2" xfId="20258"/>
    <cellStyle name="Обычный 26 2 2 2 4 4" xfId="20259"/>
    <cellStyle name="Обычный 26 2 2 2 5" xfId="20260"/>
    <cellStyle name="Обычный 26 2 2 2 5 2" xfId="20261"/>
    <cellStyle name="Обычный 26 2 2 2 5 2 2" xfId="20262"/>
    <cellStyle name="Обычный 26 2 2 2 5 3" xfId="20263"/>
    <cellStyle name="Обычный 26 2 2 2 6" xfId="20264"/>
    <cellStyle name="Обычный 26 2 2 2 6 2" xfId="20265"/>
    <cellStyle name="Обычный 26 2 2 2 7" xfId="20266"/>
    <cellStyle name="Обычный 26 2 2 2 7 2" xfId="20267"/>
    <cellStyle name="Обычный 26 2 2 2 8" xfId="20268"/>
    <cellStyle name="Обычный 26 2 2 3" xfId="20269"/>
    <cellStyle name="Обычный 26 2 2 3 2" xfId="20270"/>
    <cellStyle name="Обычный 26 2 2 3 2 2" xfId="20271"/>
    <cellStyle name="Обычный 26 2 2 3 2 2 2" xfId="20272"/>
    <cellStyle name="Обычный 26 2 2 3 2 3" xfId="20273"/>
    <cellStyle name="Обычный 26 2 2 3 2 3 2" xfId="20274"/>
    <cellStyle name="Обычный 26 2 2 3 2 4" xfId="20275"/>
    <cellStyle name="Обычный 26 2 2 3 3" xfId="20276"/>
    <cellStyle name="Обычный 26 2 2 3 3 2" xfId="20277"/>
    <cellStyle name="Обычный 26 2 2 3 3 2 2" xfId="20278"/>
    <cellStyle name="Обычный 26 2 2 3 3 3" xfId="20279"/>
    <cellStyle name="Обычный 26 2 2 3 4" xfId="20280"/>
    <cellStyle name="Обычный 26 2 2 3 4 2" xfId="20281"/>
    <cellStyle name="Обычный 26 2 2 3 5" xfId="20282"/>
    <cellStyle name="Обычный 26 2 2 3 5 2" xfId="20283"/>
    <cellStyle name="Обычный 26 2 2 3 6" xfId="20284"/>
    <cellStyle name="Обычный 26 2 2 4" xfId="20285"/>
    <cellStyle name="Обычный 26 2 2 4 2" xfId="20286"/>
    <cellStyle name="Обычный 26 2 2 4 2 2" xfId="20287"/>
    <cellStyle name="Обычный 26 2 2 4 2 2 2" xfId="20288"/>
    <cellStyle name="Обычный 26 2 2 4 2 3" xfId="20289"/>
    <cellStyle name="Обычный 26 2 2 4 3" xfId="20290"/>
    <cellStyle name="Обычный 26 2 2 4 3 2" xfId="20291"/>
    <cellStyle name="Обычный 26 2 2 4 3 2 2" xfId="20292"/>
    <cellStyle name="Обычный 26 2 2 4 3 3" xfId="20293"/>
    <cellStyle name="Обычный 26 2 2 4 4" xfId="20294"/>
    <cellStyle name="Обычный 26 2 2 4 4 2" xfId="20295"/>
    <cellStyle name="Обычный 26 2 2 4 5" xfId="20296"/>
    <cellStyle name="Обычный 26 2 2 4 5 2" xfId="20297"/>
    <cellStyle name="Обычный 26 2 2 4 6" xfId="20298"/>
    <cellStyle name="Обычный 26 2 2 5" xfId="20299"/>
    <cellStyle name="Обычный 26 2 2 5 2" xfId="20300"/>
    <cellStyle name="Обычный 26 2 2 5 2 2" xfId="20301"/>
    <cellStyle name="Обычный 26 2 2 5 3" xfId="20302"/>
    <cellStyle name="Обычный 26 2 2 5 3 2" xfId="20303"/>
    <cellStyle name="Обычный 26 2 2 5 4" xfId="20304"/>
    <cellStyle name="Обычный 26 2 2 6" xfId="20305"/>
    <cellStyle name="Обычный 26 2 2 6 2" xfId="20306"/>
    <cellStyle name="Обычный 26 2 2 6 2 2" xfId="20307"/>
    <cellStyle name="Обычный 26 2 2 6 3" xfId="20308"/>
    <cellStyle name="Обычный 26 2 2 7" xfId="20309"/>
    <cellStyle name="Обычный 26 2 2 7 2" xfId="20310"/>
    <cellStyle name="Обычный 26 2 2 8" xfId="20311"/>
    <cellStyle name="Обычный 26 2 2 8 2" xfId="20312"/>
    <cellStyle name="Обычный 26 2 2 9" xfId="20313"/>
    <cellStyle name="Обычный 26 2 20" xfId="20314"/>
    <cellStyle name="Обычный 26 2 20 2" xfId="20315"/>
    <cellStyle name="Обычный 26 2 20 2 2" xfId="20316"/>
    <cellStyle name="Обычный 26 2 20 3" xfId="20317"/>
    <cellStyle name="Обычный 26 2 21" xfId="20318"/>
    <cellStyle name="Обычный 26 2 21 2" xfId="20319"/>
    <cellStyle name="Обычный 26 2 22" xfId="20320"/>
    <cellStyle name="Обычный 26 2 22 2" xfId="20321"/>
    <cellStyle name="Обычный 26 2 23" xfId="20322"/>
    <cellStyle name="Обычный 26 2 3" xfId="20323"/>
    <cellStyle name="Обычный 26 2 3 2" xfId="20324"/>
    <cellStyle name="Обычный 26 2 3 2 2" xfId="20325"/>
    <cellStyle name="Обычный 26 2 3 2 2 2" xfId="20326"/>
    <cellStyle name="Обычный 26 2 3 2 2 2 2" xfId="20327"/>
    <cellStyle name="Обычный 26 2 3 2 2 3" xfId="20328"/>
    <cellStyle name="Обычный 26 2 3 2 2 3 2" xfId="20329"/>
    <cellStyle name="Обычный 26 2 3 2 2 4" xfId="20330"/>
    <cellStyle name="Обычный 26 2 3 2 3" xfId="20331"/>
    <cellStyle name="Обычный 26 2 3 2 3 2" xfId="20332"/>
    <cellStyle name="Обычный 26 2 3 2 3 2 2" xfId="20333"/>
    <cellStyle name="Обычный 26 2 3 2 3 3" xfId="20334"/>
    <cellStyle name="Обычный 26 2 3 2 4" xfId="20335"/>
    <cellStyle name="Обычный 26 2 3 2 4 2" xfId="20336"/>
    <cellStyle name="Обычный 26 2 3 2 5" xfId="20337"/>
    <cellStyle name="Обычный 26 2 3 2 5 2" xfId="20338"/>
    <cellStyle name="Обычный 26 2 3 2 6" xfId="20339"/>
    <cellStyle name="Обычный 26 2 3 3" xfId="20340"/>
    <cellStyle name="Обычный 26 2 3 3 2" xfId="20341"/>
    <cellStyle name="Обычный 26 2 3 3 2 2" xfId="20342"/>
    <cellStyle name="Обычный 26 2 3 3 2 2 2" xfId="20343"/>
    <cellStyle name="Обычный 26 2 3 3 2 3" xfId="20344"/>
    <cellStyle name="Обычный 26 2 3 3 3" xfId="20345"/>
    <cellStyle name="Обычный 26 2 3 3 3 2" xfId="20346"/>
    <cellStyle name="Обычный 26 2 3 3 3 2 2" xfId="20347"/>
    <cellStyle name="Обычный 26 2 3 3 3 3" xfId="20348"/>
    <cellStyle name="Обычный 26 2 3 3 4" xfId="20349"/>
    <cellStyle name="Обычный 26 2 3 3 4 2" xfId="20350"/>
    <cellStyle name="Обычный 26 2 3 3 5" xfId="20351"/>
    <cellStyle name="Обычный 26 2 3 3 5 2" xfId="20352"/>
    <cellStyle name="Обычный 26 2 3 3 6" xfId="20353"/>
    <cellStyle name="Обычный 26 2 3 4" xfId="20354"/>
    <cellStyle name="Обычный 26 2 3 4 2" xfId="20355"/>
    <cellStyle name="Обычный 26 2 3 4 2 2" xfId="20356"/>
    <cellStyle name="Обычный 26 2 3 4 3" xfId="20357"/>
    <cellStyle name="Обычный 26 2 3 4 3 2" xfId="20358"/>
    <cellStyle name="Обычный 26 2 3 4 4" xfId="20359"/>
    <cellStyle name="Обычный 26 2 3 5" xfId="20360"/>
    <cellStyle name="Обычный 26 2 3 5 2" xfId="20361"/>
    <cellStyle name="Обычный 26 2 3 5 2 2" xfId="20362"/>
    <cellStyle name="Обычный 26 2 3 5 3" xfId="20363"/>
    <cellStyle name="Обычный 26 2 3 6" xfId="20364"/>
    <cellStyle name="Обычный 26 2 3 6 2" xfId="20365"/>
    <cellStyle name="Обычный 26 2 3 7" xfId="20366"/>
    <cellStyle name="Обычный 26 2 3 7 2" xfId="20367"/>
    <cellStyle name="Обычный 26 2 3 8" xfId="20368"/>
    <cellStyle name="Обычный 26 2 4" xfId="20369"/>
    <cellStyle name="Обычный 26 2 4 2" xfId="20370"/>
    <cellStyle name="Обычный 26 2 4 2 2" xfId="20371"/>
    <cellStyle name="Обычный 26 2 4 2 2 2" xfId="20372"/>
    <cellStyle name="Обычный 26 2 4 2 2 2 2" xfId="20373"/>
    <cellStyle name="Обычный 26 2 4 2 2 3" xfId="20374"/>
    <cellStyle name="Обычный 26 2 4 2 3" xfId="20375"/>
    <cellStyle name="Обычный 26 2 4 2 3 2" xfId="20376"/>
    <cellStyle name="Обычный 26 2 4 2 3 2 2" xfId="20377"/>
    <cellStyle name="Обычный 26 2 4 2 3 3" xfId="20378"/>
    <cellStyle name="Обычный 26 2 4 2 4" xfId="20379"/>
    <cellStyle name="Обычный 26 2 4 2 4 2" xfId="20380"/>
    <cellStyle name="Обычный 26 2 4 2 5" xfId="20381"/>
    <cellStyle name="Обычный 26 2 4 2 5 2" xfId="20382"/>
    <cellStyle name="Обычный 26 2 4 2 6" xfId="20383"/>
    <cellStyle name="Обычный 26 2 4 3" xfId="20384"/>
    <cellStyle name="Обычный 26 2 4 3 2" xfId="20385"/>
    <cellStyle name="Обычный 26 2 4 3 2 2" xfId="20386"/>
    <cellStyle name="Обычный 26 2 4 3 2 2 2" xfId="20387"/>
    <cellStyle name="Обычный 26 2 4 3 2 3" xfId="20388"/>
    <cellStyle name="Обычный 26 2 4 3 3" xfId="20389"/>
    <cellStyle name="Обычный 26 2 4 3 3 2" xfId="20390"/>
    <cellStyle name="Обычный 26 2 4 3 3 2 2" xfId="20391"/>
    <cellStyle name="Обычный 26 2 4 3 3 3" xfId="20392"/>
    <cellStyle name="Обычный 26 2 4 3 4" xfId="20393"/>
    <cellStyle name="Обычный 26 2 4 3 4 2" xfId="20394"/>
    <cellStyle name="Обычный 26 2 4 3 5" xfId="20395"/>
    <cellStyle name="Обычный 26 2 4 4" xfId="20396"/>
    <cellStyle name="Обычный 26 2 4 4 2" xfId="20397"/>
    <cellStyle name="Обычный 26 2 4 4 2 2" xfId="20398"/>
    <cellStyle name="Обычный 26 2 4 4 3" xfId="20399"/>
    <cellStyle name="Обычный 26 2 4 5" xfId="20400"/>
    <cellStyle name="Обычный 26 2 4 5 2" xfId="20401"/>
    <cellStyle name="Обычный 26 2 4 5 2 2" xfId="20402"/>
    <cellStyle name="Обычный 26 2 4 5 3" xfId="20403"/>
    <cellStyle name="Обычный 26 2 4 6" xfId="20404"/>
    <cellStyle name="Обычный 26 2 4 6 2" xfId="20405"/>
    <cellStyle name="Обычный 26 2 4 7" xfId="20406"/>
    <cellStyle name="Обычный 26 2 4 7 2" xfId="20407"/>
    <cellStyle name="Обычный 26 2 4 8" xfId="20408"/>
    <cellStyle name="Обычный 26 2 5" xfId="20409"/>
    <cellStyle name="Обычный 26 2 5 2" xfId="20410"/>
    <cellStyle name="Обычный 26 2 5 2 2" xfId="20411"/>
    <cellStyle name="Обычный 26 2 5 2 2 2" xfId="20412"/>
    <cellStyle name="Обычный 26 2 5 2 2 2 2" xfId="20413"/>
    <cellStyle name="Обычный 26 2 5 2 2 3" xfId="20414"/>
    <cellStyle name="Обычный 26 2 5 2 3" xfId="20415"/>
    <cellStyle name="Обычный 26 2 5 2 3 2" xfId="20416"/>
    <cellStyle name="Обычный 26 2 5 2 3 2 2" xfId="20417"/>
    <cellStyle name="Обычный 26 2 5 2 3 3" xfId="20418"/>
    <cellStyle name="Обычный 26 2 5 2 4" xfId="20419"/>
    <cellStyle name="Обычный 26 2 5 2 4 2" xfId="20420"/>
    <cellStyle name="Обычный 26 2 5 2 5" xfId="20421"/>
    <cellStyle name="Обычный 26 2 5 3" xfId="20422"/>
    <cellStyle name="Обычный 26 2 5 3 2" xfId="20423"/>
    <cellStyle name="Обычный 26 2 5 3 2 2" xfId="20424"/>
    <cellStyle name="Обычный 26 2 5 3 2 2 2" xfId="20425"/>
    <cellStyle name="Обычный 26 2 5 3 2 3" xfId="20426"/>
    <cellStyle name="Обычный 26 2 5 3 3" xfId="20427"/>
    <cellStyle name="Обычный 26 2 5 3 3 2" xfId="20428"/>
    <cellStyle name="Обычный 26 2 5 3 3 2 2" xfId="20429"/>
    <cellStyle name="Обычный 26 2 5 3 3 3" xfId="20430"/>
    <cellStyle name="Обычный 26 2 5 3 4" xfId="20431"/>
    <cellStyle name="Обычный 26 2 5 3 4 2" xfId="20432"/>
    <cellStyle name="Обычный 26 2 5 3 5" xfId="20433"/>
    <cellStyle name="Обычный 26 2 5 4" xfId="20434"/>
    <cellStyle name="Обычный 26 2 5 4 2" xfId="20435"/>
    <cellStyle name="Обычный 26 2 5 4 2 2" xfId="20436"/>
    <cellStyle name="Обычный 26 2 5 4 3" xfId="20437"/>
    <cellStyle name="Обычный 26 2 5 5" xfId="20438"/>
    <cellStyle name="Обычный 26 2 5 5 2" xfId="20439"/>
    <cellStyle name="Обычный 26 2 5 5 2 2" xfId="20440"/>
    <cellStyle name="Обычный 26 2 5 5 3" xfId="20441"/>
    <cellStyle name="Обычный 26 2 5 6" xfId="20442"/>
    <cellStyle name="Обычный 26 2 5 6 2" xfId="20443"/>
    <cellStyle name="Обычный 26 2 5 7" xfId="20444"/>
    <cellStyle name="Обычный 26 2 5 7 2" xfId="20445"/>
    <cellStyle name="Обычный 26 2 5 8" xfId="20446"/>
    <cellStyle name="Обычный 26 2 6" xfId="20447"/>
    <cellStyle name="Обычный 26 2 6 2" xfId="20448"/>
    <cellStyle name="Обычный 26 2 6 2 2" xfId="20449"/>
    <cellStyle name="Обычный 26 2 6 2 2 2" xfId="20450"/>
    <cellStyle name="Обычный 26 2 6 2 2 2 2" xfId="20451"/>
    <cellStyle name="Обычный 26 2 6 2 2 2 2 2" xfId="20452"/>
    <cellStyle name="Обычный 26 2 6 2 2 2 3" xfId="20453"/>
    <cellStyle name="Обычный 26 2 6 2 2 3" xfId="20454"/>
    <cellStyle name="Обычный 26 2 6 2 2 3 2" xfId="20455"/>
    <cellStyle name="Обычный 26 2 6 2 2 3 2 2" xfId="20456"/>
    <cellStyle name="Обычный 26 2 6 2 2 3 3" xfId="20457"/>
    <cellStyle name="Обычный 26 2 6 2 2 4" xfId="20458"/>
    <cellStyle name="Обычный 26 2 6 2 2 4 2" xfId="20459"/>
    <cellStyle name="Обычный 26 2 6 2 2 5" xfId="20460"/>
    <cellStyle name="Обычный 26 2 6 2 3" xfId="20461"/>
    <cellStyle name="Обычный 26 2 6 2 3 2" xfId="20462"/>
    <cellStyle name="Обычный 26 2 6 2 3 2 2" xfId="20463"/>
    <cellStyle name="Обычный 26 2 6 2 3 3" xfId="20464"/>
    <cellStyle name="Обычный 26 2 6 2 4" xfId="20465"/>
    <cellStyle name="Обычный 26 2 6 2 4 2" xfId="20466"/>
    <cellStyle name="Обычный 26 2 6 2 4 2 2" xfId="20467"/>
    <cellStyle name="Обычный 26 2 6 2 4 3" xfId="20468"/>
    <cellStyle name="Обычный 26 2 6 2 5" xfId="20469"/>
    <cellStyle name="Обычный 26 2 6 2 5 2" xfId="20470"/>
    <cellStyle name="Обычный 26 2 6 2 6" xfId="20471"/>
    <cellStyle name="Обычный 26 2 6 2 6 2" xfId="20472"/>
    <cellStyle name="Обычный 26 2 6 2 7" xfId="20473"/>
    <cellStyle name="Обычный 26 2 6 3" xfId="20474"/>
    <cellStyle name="Обычный 26 2 6 3 2" xfId="20475"/>
    <cellStyle name="Обычный 26 2 6 3 2 2" xfId="20476"/>
    <cellStyle name="Обычный 26 2 6 3 2 2 2" xfId="20477"/>
    <cellStyle name="Обычный 26 2 6 3 2 3" xfId="20478"/>
    <cellStyle name="Обычный 26 2 6 3 3" xfId="20479"/>
    <cellStyle name="Обычный 26 2 6 3 3 2" xfId="20480"/>
    <cellStyle name="Обычный 26 2 6 3 3 2 2" xfId="20481"/>
    <cellStyle name="Обычный 26 2 6 3 3 3" xfId="20482"/>
    <cellStyle name="Обычный 26 2 6 3 4" xfId="20483"/>
    <cellStyle name="Обычный 26 2 6 3 4 2" xfId="20484"/>
    <cellStyle name="Обычный 26 2 6 3 5" xfId="20485"/>
    <cellStyle name="Обычный 26 2 6 4" xfId="20486"/>
    <cellStyle name="Обычный 26 2 6 4 2" xfId="20487"/>
    <cellStyle name="Обычный 26 2 6 4 2 2" xfId="20488"/>
    <cellStyle name="Обычный 26 2 6 4 3" xfId="20489"/>
    <cellStyle name="Обычный 26 2 6 5" xfId="20490"/>
    <cellStyle name="Обычный 26 2 6 5 2" xfId="20491"/>
    <cellStyle name="Обычный 26 2 6 5 2 2" xfId="20492"/>
    <cellStyle name="Обычный 26 2 6 5 3" xfId="20493"/>
    <cellStyle name="Обычный 26 2 6 6" xfId="20494"/>
    <cellStyle name="Обычный 26 2 6 6 2" xfId="20495"/>
    <cellStyle name="Обычный 26 2 6 7" xfId="20496"/>
    <cellStyle name="Обычный 26 2 6 7 2" xfId="20497"/>
    <cellStyle name="Обычный 26 2 6 8" xfId="20498"/>
    <cellStyle name="Обычный 26 2 7" xfId="20499"/>
    <cellStyle name="Обычный 26 2 7 2" xfId="20500"/>
    <cellStyle name="Обычный 26 2 7 2 2" xfId="20501"/>
    <cellStyle name="Обычный 26 2 7 2 2 2" xfId="20502"/>
    <cellStyle name="Обычный 26 2 7 2 2 2 2" xfId="20503"/>
    <cellStyle name="Обычный 26 2 7 2 2 2 2 2" xfId="20504"/>
    <cellStyle name="Обычный 26 2 7 2 2 2 3" xfId="20505"/>
    <cellStyle name="Обычный 26 2 7 2 2 3" xfId="20506"/>
    <cellStyle name="Обычный 26 2 7 2 2 3 2" xfId="20507"/>
    <cellStyle name="Обычный 26 2 7 2 2 3 2 2" xfId="20508"/>
    <cellStyle name="Обычный 26 2 7 2 2 3 3" xfId="20509"/>
    <cellStyle name="Обычный 26 2 7 2 2 4" xfId="20510"/>
    <cellStyle name="Обычный 26 2 7 2 2 4 2" xfId="20511"/>
    <cellStyle name="Обычный 26 2 7 2 2 5" xfId="20512"/>
    <cellStyle name="Обычный 26 2 7 2 2 5 2" xfId="20513"/>
    <cellStyle name="Обычный 26 2 7 2 2 6" xfId="20514"/>
    <cellStyle name="Обычный 26 2 7 2 3" xfId="20515"/>
    <cellStyle name="Обычный 26 2 7 2 3 2" xfId="20516"/>
    <cellStyle name="Обычный 26 2 7 2 3 2 2" xfId="20517"/>
    <cellStyle name="Обычный 26 2 7 2 3 2 2 2" xfId="20518"/>
    <cellStyle name="Обычный 26 2 7 2 3 2 3" xfId="20519"/>
    <cellStyle name="Обычный 26 2 7 2 3 3" xfId="20520"/>
    <cellStyle name="Обычный 26 2 7 2 3 3 2" xfId="20521"/>
    <cellStyle name="Обычный 26 2 7 2 3 3 2 2" xfId="20522"/>
    <cellStyle name="Обычный 26 2 7 2 3 3 3" xfId="20523"/>
    <cellStyle name="Обычный 26 2 7 2 3 4" xfId="20524"/>
    <cellStyle name="Обычный 26 2 7 2 3 4 2" xfId="20525"/>
    <cellStyle name="Обычный 26 2 7 2 3 5" xfId="20526"/>
    <cellStyle name="Обычный 26 2 7 2 3 5 2" xfId="20527"/>
    <cellStyle name="Обычный 26 2 7 2 3 6" xfId="20528"/>
    <cellStyle name="Обычный 26 2 7 2 4" xfId="20529"/>
    <cellStyle name="Обычный 26 2 7 2 4 2" xfId="20530"/>
    <cellStyle name="Обычный 26 2 7 2 4 2 2" xfId="20531"/>
    <cellStyle name="Обычный 26 2 7 2 4 3" xfId="20532"/>
    <cellStyle name="Обычный 26 2 7 2 5" xfId="20533"/>
    <cellStyle name="Обычный 26 2 7 2 5 2" xfId="20534"/>
    <cellStyle name="Обычный 26 2 7 2 5 2 2" xfId="20535"/>
    <cellStyle name="Обычный 26 2 7 2 5 3" xfId="20536"/>
    <cellStyle name="Обычный 26 2 7 2 6" xfId="20537"/>
    <cellStyle name="Обычный 26 2 7 2 6 2" xfId="20538"/>
    <cellStyle name="Обычный 26 2 7 2 7" xfId="20539"/>
    <cellStyle name="Обычный 26 2 7 2 7 2" xfId="20540"/>
    <cellStyle name="Обычный 26 2 7 2 8" xfId="20541"/>
    <cellStyle name="Обычный 26 2 7 3" xfId="20542"/>
    <cellStyle name="Обычный 26 2 7 3 2" xfId="20543"/>
    <cellStyle name="Обычный 26 2 7 3 2 2" xfId="20544"/>
    <cellStyle name="Обычный 26 2 7 3 2 2 2" xfId="20545"/>
    <cellStyle name="Обычный 26 2 7 3 2 3" xfId="20546"/>
    <cellStyle name="Обычный 26 2 7 3 3" xfId="20547"/>
    <cellStyle name="Обычный 26 2 7 3 3 2" xfId="20548"/>
    <cellStyle name="Обычный 26 2 7 3 3 2 2" xfId="20549"/>
    <cellStyle name="Обычный 26 2 7 3 3 3" xfId="20550"/>
    <cellStyle name="Обычный 26 2 7 3 4" xfId="20551"/>
    <cellStyle name="Обычный 26 2 7 3 4 2" xfId="20552"/>
    <cellStyle name="Обычный 26 2 7 3 5" xfId="20553"/>
    <cellStyle name="Обычный 26 2 7 4" xfId="20554"/>
    <cellStyle name="Обычный 26 2 7 4 2" xfId="20555"/>
    <cellStyle name="Обычный 26 2 7 4 2 2" xfId="20556"/>
    <cellStyle name="Обычный 26 2 7 4 3" xfId="20557"/>
    <cellStyle name="Обычный 26 2 7 5" xfId="20558"/>
    <cellStyle name="Обычный 26 2 7 5 2" xfId="20559"/>
    <cellStyle name="Обычный 26 2 7 5 2 2" xfId="20560"/>
    <cellStyle name="Обычный 26 2 7 5 3" xfId="20561"/>
    <cellStyle name="Обычный 26 2 7 6" xfId="20562"/>
    <cellStyle name="Обычный 26 2 7 6 2" xfId="20563"/>
    <cellStyle name="Обычный 26 2 7 7" xfId="20564"/>
    <cellStyle name="Обычный 26 2 7 7 2" xfId="20565"/>
    <cellStyle name="Обычный 26 2 7 8" xfId="20566"/>
    <cellStyle name="Обычный 26 2 8" xfId="20567"/>
    <cellStyle name="Обычный 26 2 8 2" xfId="20568"/>
    <cellStyle name="Обычный 26 2 8 2 2" xfId="20569"/>
    <cellStyle name="Обычный 26 2 8 2 2 2" xfId="20570"/>
    <cellStyle name="Обычный 26 2 8 2 2 2 2" xfId="20571"/>
    <cellStyle name="Обычный 26 2 8 2 2 3" xfId="20572"/>
    <cellStyle name="Обычный 26 2 8 2 3" xfId="20573"/>
    <cellStyle name="Обычный 26 2 8 2 3 2" xfId="20574"/>
    <cellStyle name="Обычный 26 2 8 2 3 2 2" xfId="20575"/>
    <cellStyle name="Обычный 26 2 8 2 3 3" xfId="20576"/>
    <cellStyle name="Обычный 26 2 8 2 4" xfId="20577"/>
    <cellStyle name="Обычный 26 2 8 2 4 2" xfId="20578"/>
    <cellStyle name="Обычный 26 2 8 2 5" xfId="20579"/>
    <cellStyle name="Обычный 26 2 8 3" xfId="20580"/>
    <cellStyle name="Обычный 26 2 8 3 2" xfId="20581"/>
    <cellStyle name="Обычный 26 2 8 3 2 2" xfId="20582"/>
    <cellStyle name="Обычный 26 2 8 3 2 2 2" xfId="20583"/>
    <cellStyle name="Обычный 26 2 8 3 2 3" xfId="20584"/>
    <cellStyle name="Обычный 26 2 8 3 3" xfId="20585"/>
    <cellStyle name="Обычный 26 2 8 3 3 2" xfId="20586"/>
    <cellStyle name="Обычный 26 2 8 3 3 2 2" xfId="20587"/>
    <cellStyle name="Обычный 26 2 8 3 3 3" xfId="20588"/>
    <cellStyle name="Обычный 26 2 8 3 4" xfId="20589"/>
    <cellStyle name="Обычный 26 2 8 3 4 2" xfId="20590"/>
    <cellStyle name="Обычный 26 2 8 3 5" xfId="20591"/>
    <cellStyle name="Обычный 26 2 8 4" xfId="20592"/>
    <cellStyle name="Обычный 26 2 8 4 2" xfId="20593"/>
    <cellStyle name="Обычный 26 2 8 4 2 2" xfId="20594"/>
    <cellStyle name="Обычный 26 2 8 4 3" xfId="20595"/>
    <cellStyle name="Обычный 26 2 8 5" xfId="20596"/>
    <cellStyle name="Обычный 26 2 8 5 2" xfId="20597"/>
    <cellStyle name="Обычный 26 2 8 5 2 2" xfId="20598"/>
    <cellStyle name="Обычный 26 2 8 5 3" xfId="20599"/>
    <cellStyle name="Обычный 26 2 8 6" xfId="20600"/>
    <cellStyle name="Обычный 26 2 8 6 2" xfId="20601"/>
    <cellStyle name="Обычный 26 2 8 7" xfId="20602"/>
    <cellStyle name="Обычный 26 2 8 7 2" xfId="20603"/>
    <cellStyle name="Обычный 26 2 8 8" xfId="20604"/>
    <cellStyle name="Обычный 26 2 9" xfId="20605"/>
    <cellStyle name="Обычный 26 2 9 2" xfId="20606"/>
    <cellStyle name="Обычный 26 2 9 2 2" xfId="20607"/>
    <cellStyle name="Обычный 26 2 9 2 2 2" xfId="20608"/>
    <cellStyle name="Обычный 26 2 9 2 2 2 2" xfId="20609"/>
    <cellStyle name="Обычный 26 2 9 2 2 3" xfId="20610"/>
    <cellStyle name="Обычный 26 2 9 2 3" xfId="20611"/>
    <cellStyle name="Обычный 26 2 9 2 3 2" xfId="20612"/>
    <cellStyle name="Обычный 26 2 9 2 3 2 2" xfId="20613"/>
    <cellStyle name="Обычный 26 2 9 2 3 3" xfId="20614"/>
    <cellStyle name="Обычный 26 2 9 2 4" xfId="20615"/>
    <cellStyle name="Обычный 26 2 9 2 4 2" xfId="20616"/>
    <cellStyle name="Обычный 26 2 9 2 5" xfId="20617"/>
    <cellStyle name="Обычный 26 2 9 3" xfId="20618"/>
    <cellStyle name="Обычный 26 2 9 3 2" xfId="20619"/>
    <cellStyle name="Обычный 26 2 9 3 2 2" xfId="20620"/>
    <cellStyle name="Обычный 26 2 9 3 2 2 2" xfId="20621"/>
    <cellStyle name="Обычный 26 2 9 3 2 3" xfId="20622"/>
    <cellStyle name="Обычный 26 2 9 3 3" xfId="20623"/>
    <cellStyle name="Обычный 26 2 9 3 3 2" xfId="20624"/>
    <cellStyle name="Обычный 26 2 9 3 3 2 2" xfId="20625"/>
    <cellStyle name="Обычный 26 2 9 3 3 3" xfId="20626"/>
    <cellStyle name="Обычный 26 2 9 3 4" xfId="20627"/>
    <cellStyle name="Обычный 26 2 9 3 4 2" xfId="20628"/>
    <cellStyle name="Обычный 26 2 9 3 5" xfId="20629"/>
    <cellStyle name="Обычный 26 2 9 4" xfId="20630"/>
    <cellStyle name="Обычный 26 2 9 4 2" xfId="20631"/>
    <cellStyle name="Обычный 26 2 9 4 2 2" xfId="20632"/>
    <cellStyle name="Обычный 26 2 9 4 3" xfId="20633"/>
    <cellStyle name="Обычный 26 2 9 5" xfId="20634"/>
    <cellStyle name="Обычный 26 2 9 5 2" xfId="20635"/>
    <cellStyle name="Обычный 26 2 9 5 2 2" xfId="20636"/>
    <cellStyle name="Обычный 26 2 9 5 3" xfId="20637"/>
    <cellStyle name="Обычный 26 2 9 6" xfId="20638"/>
    <cellStyle name="Обычный 26 2 9 6 2" xfId="20639"/>
    <cellStyle name="Обычный 26 2 9 7" xfId="20640"/>
    <cellStyle name="Обычный 26 2 9 7 2" xfId="20641"/>
    <cellStyle name="Обычный 26 2 9 8" xfId="20642"/>
    <cellStyle name="Обычный 26 3" xfId="20643"/>
    <cellStyle name="Обычный 26 3 10" xfId="20644"/>
    <cellStyle name="Обычный 26 3 10 2" xfId="20645"/>
    <cellStyle name="Обычный 26 3 10 2 2" xfId="20646"/>
    <cellStyle name="Обычный 26 3 10 3" xfId="20647"/>
    <cellStyle name="Обычный 26 3 11" xfId="20648"/>
    <cellStyle name="Обычный 26 3 11 2" xfId="20649"/>
    <cellStyle name="Обычный 26 3 12" xfId="20650"/>
    <cellStyle name="Обычный 26 3 12 2" xfId="20651"/>
    <cellStyle name="Обычный 26 3 13" xfId="20652"/>
    <cellStyle name="Обычный 26 3 2" xfId="20653"/>
    <cellStyle name="Обычный 26 3 2 10" xfId="20654"/>
    <cellStyle name="Обычный 26 3 2 2" xfId="20655"/>
    <cellStyle name="Обычный 26 3 2 2 10" xfId="20656"/>
    <cellStyle name="Обычный 26 3 2 2 2" xfId="20657"/>
    <cellStyle name="Обычный 26 3 2 2 2 2" xfId="20658"/>
    <cellStyle name="Обычный 26 3 2 2 2 2 2" xfId="20659"/>
    <cellStyle name="Обычный 26 3 2 2 2 2 2 2" xfId="20660"/>
    <cellStyle name="Обычный 26 3 2 2 2 2 2 2 2" xfId="20661"/>
    <cellStyle name="Обычный 26 3 2 2 2 2 2 3" xfId="20662"/>
    <cellStyle name="Обычный 26 3 2 2 2 2 3" xfId="20663"/>
    <cellStyle name="Обычный 26 3 2 2 2 2 3 2" xfId="20664"/>
    <cellStyle name="Обычный 26 3 2 2 2 2 3 2 2" xfId="20665"/>
    <cellStyle name="Обычный 26 3 2 2 2 2 3 3" xfId="20666"/>
    <cellStyle name="Обычный 26 3 2 2 2 2 4" xfId="20667"/>
    <cellStyle name="Обычный 26 3 2 2 2 2 4 2" xfId="20668"/>
    <cellStyle name="Обычный 26 3 2 2 2 2 5" xfId="20669"/>
    <cellStyle name="Обычный 26 3 2 2 2 2 5 2" xfId="20670"/>
    <cellStyle name="Обычный 26 3 2 2 2 2 6" xfId="20671"/>
    <cellStyle name="Обычный 26 3 2 2 2 3" xfId="20672"/>
    <cellStyle name="Обычный 26 3 2 2 2 3 2" xfId="20673"/>
    <cellStyle name="Обычный 26 3 2 2 2 3 2 2" xfId="20674"/>
    <cellStyle name="Обычный 26 3 2 2 2 3 2 2 2" xfId="20675"/>
    <cellStyle name="Обычный 26 3 2 2 2 3 2 3" xfId="20676"/>
    <cellStyle name="Обычный 26 3 2 2 2 3 3" xfId="20677"/>
    <cellStyle name="Обычный 26 3 2 2 2 3 3 2" xfId="20678"/>
    <cellStyle name="Обычный 26 3 2 2 2 3 3 2 2" xfId="20679"/>
    <cellStyle name="Обычный 26 3 2 2 2 3 3 3" xfId="20680"/>
    <cellStyle name="Обычный 26 3 2 2 2 3 4" xfId="20681"/>
    <cellStyle name="Обычный 26 3 2 2 2 3 4 2" xfId="20682"/>
    <cellStyle name="Обычный 26 3 2 2 2 3 5" xfId="20683"/>
    <cellStyle name="Обычный 26 3 2 2 2 4" xfId="20684"/>
    <cellStyle name="Обычный 26 3 2 2 2 4 2" xfId="20685"/>
    <cellStyle name="Обычный 26 3 2 2 2 4 2 2" xfId="20686"/>
    <cellStyle name="Обычный 26 3 2 2 2 4 3" xfId="20687"/>
    <cellStyle name="Обычный 26 3 2 2 2 5" xfId="20688"/>
    <cellStyle name="Обычный 26 3 2 2 2 5 2" xfId="20689"/>
    <cellStyle name="Обычный 26 3 2 2 2 5 2 2" xfId="20690"/>
    <cellStyle name="Обычный 26 3 2 2 2 5 3" xfId="20691"/>
    <cellStyle name="Обычный 26 3 2 2 2 6" xfId="20692"/>
    <cellStyle name="Обычный 26 3 2 2 2 6 2" xfId="20693"/>
    <cellStyle name="Обычный 26 3 2 2 2 7" xfId="20694"/>
    <cellStyle name="Обычный 26 3 2 2 2 7 2" xfId="20695"/>
    <cellStyle name="Обычный 26 3 2 2 2 8" xfId="20696"/>
    <cellStyle name="Обычный 26 3 2 2 3" xfId="20697"/>
    <cellStyle name="Обычный 26 3 2 2 3 2" xfId="20698"/>
    <cellStyle name="Обычный 26 3 2 2 3 2 2" xfId="20699"/>
    <cellStyle name="Обычный 26 3 2 2 3 2 2 2" xfId="20700"/>
    <cellStyle name="Обычный 26 3 2 2 3 2 2 2 2" xfId="20701"/>
    <cellStyle name="Обычный 26 3 2 2 3 2 2 3" xfId="20702"/>
    <cellStyle name="Обычный 26 3 2 2 3 2 3" xfId="20703"/>
    <cellStyle name="Обычный 26 3 2 2 3 2 3 2" xfId="20704"/>
    <cellStyle name="Обычный 26 3 2 2 3 2 3 2 2" xfId="20705"/>
    <cellStyle name="Обычный 26 3 2 2 3 2 3 3" xfId="20706"/>
    <cellStyle name="Обычный 26 3 2 2 3 2 4" xfId="20707"/>
    <cellStyle name="Обычный 26 3 2 2 3 2 4 2" xfId="20708"/>
    <cellStyle name="Обычный 26 3 2 2 3 2 5" xfId="20709"/>
    <cellStyle name="Обычный 26 3 2 2 3 3" xfId="20710"/>
    <cellStyle name="Обычный 26 3 2 2 3 3 2" xfId="20711"/>
    <cellStyle name="Обычный 26 3 2 2 3 3 2 2" xfId="20712"/>
    <cellStyle name="Обычный 26 3 2 2 3 3 2 2 2" xfId="20713"/>
    <cellStyle name="Обычный 26 3 2 2 3 3 2 3" xfId="20714"/>
    <cellStyle name="Обычный 26 3 2 2 3 3 3" xfId="20715"/>
    <cellStyle name="Обычный 26 3 2 2 3 3 3 2" xfId="20716"/>
    <cellStyle name="Обычный 26 3 2 2 3 3 3 2 2" xfId="20717"/>
    <cellStyle name="Обычный 26 3 2 2 3 3 3 3" xfId="20718"/>
    <cellStyle name="Обычный 26 3 2 2 3 3 4" xfId="20719"/>
    <cellStyle name="Обычный 26 3 2 2 3 3 4 2" xfId="20720"/>
    <cellStyle name="Обычный 26 3 2 2 3 3 5" xfId="20721"/>
    <cellStyle name="Обычный 26 3 2 2 3 4" xfId="20722"/>
    <cellStyle name="Обычный 26 3 2 2 3 4 2" xfId="20723"/>
    <cellStyle name="Обычный 26 3 2 2 3 4 2 2" xfId="20724"/>
    <cellStyle name="Обычный 26 3 2 2 3 4 3" xfId="20725"/>
    <cellStyle name="Обычный 26 3 2 2 3 5" xfId="20726"/>
    <cellStyle name="Обычный 26 3 2 2 3 5 2" xfId="20727"/>
    <cellStyle name="Обычный 26 3 2 2 3 5 2 2" xfId="20728"/>
    <cellStyle name="Обычный 26 3 2 2 3 5 3" xfId="20729"/>
    <cellStyle name="Обычный 26 3 2 2 3 6" xfId="20730"/>
    <cellStyle name="Обычный 26 3 2 2 3 6 2" xfId="20731"/>
    <cellStyle name="Обычный 26 3 2 2 3 7" xfId="20732"/>
    <cellStyle name="Обычный 26 3 2 2 3 7 2" xfId="20733"/>
    <cellStyle name="Обычный 26 3 2 2 3 8" xfId="20734"/>
    <cellStyle name="Обычный 26 3 2 2 4" xfId="20735"/>
    <cellStyle name="Обычный 26 3 2 2 4 2" xfId="20736"/>
    <cellStyle name="Обычный 26 3 2 2 4 2 2" xfId="20737"/>
    <cellStyle name="Обычный 26 3 2 2 4 2 2 2" xfId="20738"/>
    <cellStyle name="Обычный 26 3 2 2 4 2 3" xfId="20739"/>
    <cellStyle name="Обычный 26 3 2 2 4 3" xfId="20740"/>
    <cellStyle name="Обычный 26 3 2 2 4 3 2" xfId="20741"/>
    <cellStyle name="Обычный 26 3 2 2 4 3 2 2" xfId="20742"/>
    <cellStyle name="Обычный 26 3 2 2 4 3 3" xfId="20743"/>
    <cellStyle name="Обычный 26 3 2 2 4 4" xfId="20744"/>
    <cellStyle name="Обычный 26 3 2 2 4 4 2" xfId="20745"/>
    <cellStyle name="Обычный 26 3 2 2 4 5" xfId="20746"/>
    <cellStyle name="Обычный 26 3 2 2 4 5 2" xfId="20747"/>
    <cellStyle name="Обычный 26 3 2 2 4 6" xfId="20748"/>
    <cellStyle name="Обычный 26 3 2 2 5" xfId="20749"/>
    <cellStyle name="Обычный 26 3 2 2 5 2" xfId="20750"/>
    <cellStyle name="Обычный 26 3 2 2 5 2 2" xfId="20751"/>
    <cellStyle name="Обычный 26 3 2 2 5 2 2 2" xfId="20752"/>
    <cellStyle name="Обычный 26 3 2 2 5 2 3" xfId="20753"/>
    <cellStyle name="Обычный 26 3 2 2 5 3" xfId="20754"/>
    <cellStyle name="Обычный 26 3 2 2 5 3 2" xfId="20755"/>
    <cellStyle name="Обычный 26 3 2 2 5 3 2 2" xfId="20756"/>
    <cellStyle name="Обычный 26 3 2 2 5 3 3" xfId="20757"/>
    <cellStyle name="Обычный 26 3 2 2 5 4" xfId="20758"/>
    <cellStyle name="Обычный 26 3 2 2 5 4 2" xfId="20759"/>
    <cellStyle name="Обычный 26 3 2 2 5 5" xfId="20760"/>
    <cellStyle name="Обычный 26 3 2 2 6" xfId="20761"/>
    <cellStyle name="Обычный 26 3 2 2 6 2" xfId="20762"/>
    <cellStyle name="Обычный 26 3 2 2 6 2 2" xfId="20763"/>
    <cellStyle name="Обычный 26 3 2 2 6 3" xfId="20764"/>
    <cellStyle name="Обычный 26 3 2 2 7" xfId="20765"/>
    <cellStyle name="Обычный 26 3 2 2 7 2" xfId="20766"/>
    <cellStyle name="Обычный 26 3 2 2 7 2 2" xfId="20767"/>
    <cellStyle name="Обычный 26 3 2 2 7 3" xfId="20768"/>
    <cellStyle name="Обычный 26 3 2 2 8" xfId="20769"/>
    <cellStyle name="Обычный 26 3 2 2 8 2" xfId="20770"/>
    <cellStyle name="Обычный 26 3 2 2 9" xfId="20771"/>
    <cellStyle name="Обычный 26 3 2 2 9 2" xfId="20772"/>
    <cellStyle name="Обычный 26 3 2 3" xfId="20773"/>
    <cellStyle name="Обычный 26 3 2 3 2" xfId="20774"/>
    <cellStyle name="Обычный 26 3 2 3 2 2" xfId="20775"/>
    <cellStyle name="Обычный 26 3 2 3 2 2 2" xfId="20776"/>
    <cellStyle name="Обычный 26 3 2 3 2 2 2 2" xfId="20777"/>
    <cellStyle name="Обычный 26 3 2 3 2 2 2 2 2" xfId="20778"/>
    <cellStyle name="Обычный 26 3 2 3 2 2 2 3" xfId="20779"/>
    <cellStyle name="Обычный 26 3 2 3 2 2 3" xfId="20780"/>
    <cellStyle name="Обычный 26 3 2 3 2 2 3 2" xfId="20781"/>
    <cellStyle name="Обычный 26 3 2 3 2 2 3 2 2" xfId="20782"/>
    <cellStyle name="Обычный 26 3 2 3 2 2 3 3" xfId="20783"/>
    <cellStyle name="Обычный 26 3 2 3 2 2 4" xfId="20784"/>
    <cellStyle name="Обычный 26 3 2 3 2 2 4 2" xfId="20785"/>
    <cellStyle name="Обычный 26 3 2 3 2 2 5" xfId="20786"/>
    <cellStyle name="Обычный 26 3 2 3 2 3" xfId="20787"/>
    <cellStyle name="Обычный 26 3 2 3 2 3 2" xfId="20788"/>
    <cellStyle name="Обычный 26 3 2 3 2 3 2 2" xfId="20789"/>
    <cellStyle name="Обычный 26 3 2 3 2 3 2 2 2" xfId="20790"/>
    <cellStyle name="Обычный 26 3 2 3 2 3 2 3" xfId="20791"/>
    <cellStyle name="Обычный 26 3 2 3 2 3 3" xfId="20792"/>
    <cellStyle name="Обычный 26 3 2 3 2 3 3 2" xfId="20793"/>
    <cellStyle name="Обычный 26 3 2 3 2 3 3 2 2" xfId="20794"/>
    <cellStyle name="Обычный 26 3 2 3 2 3 3 3" xfId="20795"/>
    <cellStyle name="Обычный 26 3 2 3 2 3 4" xfId="20796"/>
    <cellStyle name="Обычный 26 3 2 3 2 3 4 2" xfId="20797"/>
    <cellStyle name="Обычный 26 3 2 3 2 3 5" xfId="20798"/>
    <cellStyle name="Обычный 26 3 2 3 2 4" xfId="20799"/>
    <cellStyle name="Обычный 26 3 2 3 2 4 2" xfId="20800"/>
    <cellStyle name="Обычный 26 3 2 3 2 4 2 2" xfId="20801"/>
    <cellStyle name="Обычный 26 3 2 3 2 4 3" xfId="20802"/>
    <cellStyle name="Обычный 26 3 2 3 2 5" xfId="20803"/>
    <cellStyle name="Обычный 26 3 2 3 2 5 2" xfId="20804"/>
    <cellStyle name="Обычный 26 3 2 3 2 5 2 2" xfId="20805"/>
    <cellStyle name="Обычный 26 3 2 3 2 5 3" xfId="20806"/>
    <cellStyle name="Обычный 26 3 2 3 2 6" xfId="20807"/>
    <cellStyle name="Обычный 26 3 2 3 2 6 2" xfId="20808"/>
    <cellStyle name="Обычный 26 3 2 3 2 7" xfId="20809"/>
    <cellStyle name="Обычный 26 3 2 3 2 7 2" xfId="20810"/>
    <cellStyle name="Обычный 26 3 2 3 2 8" xfId="20811"/>
    <cellStyle name="Обычный 26 3 2 3 3" xfId="20812"/>
    <cellStyle name="Обычный 26 3 2 3 3 2" xfId="20813"/>
    <cellStyle name="Обычный 26 3 2 3 3 2 2" xfId="20814"/>
    <cellStyle name="Обычный 26 3 2 3 3 2 2 2" xfId="20815"/>
    <cellStyle name="Обычный 26 3 2 3 3 2 3" xfId="20816"/>
    <cellStyle name="Обычный 26 3 2 3 3 3" xfId="20817"/>
    <cellStyle name="Обычный 26 3 2 3 3 3 2" xfId="20818"/>
    <cellStyle name="Обычный 26 3 2 3 3 3 2 2" xfId="20819"/>
    <cellStyle name="Обычный 26 3 2 3 3 3 3" xfId="20820"/>
    <cellStyle name="Обычный 26 3 2 3 3 4" xfId="20821"/>
    <cellStyle name="Обычный 26 3 2 3 3 4 2" xfId="20822"/>
    <cellStyle name="Обычный 26 3 2 3 3 5" xfId="20823"/>
    <cellStyle name="Обычный 26 3 2 3 4" xfId="20824"/>
    <cellStyle name="Обычный 26 3 2 3 4 2" xfId="20825"/>
    <cellStyle name="Обычный 26 3 2 3 4 2 2" xfId="20826"/>
    <cellStyle name="Обычный 26 3 2 3 4 3" xfId="20827"/>
    <cellStyle name="Обычный 26 3 2 3 5" xfId="20828"/>
    <cellStyle name="Обычный 26 3 2 3 5 2" xfId="20829"/>
    <cellStyle name="Обычный 26 3 2 3 5 2 2" xfId="20830"/>
    <cellStyle name="Обычный 26 3 2 3 5 3" xfId="20831"/>
    <cellStyle name="Обычный 26 3 2 3 6" xfId="20832"/>
    <cellStyle name="Обычный 26 3 2 3 6 2" xfId="20833"/>
    <cellStyle name="Обычный 26 3 2 3 7" xfId="20834"/>
    <cellStyle name="Обычный 26 3 2 3 7 2" xfId="20835"/>
    <cellStyle name="Обычный 26 3 2 3 8" xfId="20836"/>
    <cellStyle name="Обычный 26 3 2 4" xfId="20837"/>
    <cellStyle name="Обычный 26 3 2 4 2" xfId="20838"/>
    <cellStyle name="Обычный 26 3 2 4 2 2" xfId="20839"/>
    <cellStyle name="Обычный 26 3 2 4 2 2 2" xfId="20840"/>
    <cellStyle name="Обычный 26 3 2 4 2 3" xfId="20841"/>
    <cellStyle name="Обычный 26 3 2 4 3" xfId="20842"/>
    <cellStyle name="Обычный 26 3 2 4 3 2" xfId="20843"/>
    <cellStyle name="Обычный 26 3 2 4 3 2 2" xfId="20844"/>
    <cellStyle name="Обычный 26 3 2 4 3 3" xfId="20845"/>
    <cellStyle name="Обычный 26 3 2 4 4" xfId="20846"/>
    <cellStyle name="Обычный 26 3 2 4 4 2" xfId="20847"/>
    <cellStyle name="Обычный 26 3 2 4 5" xfId="20848"/>
    <cellStyle name="Обычный 26 3 2 4 5 2" xfId="20849"/>
    <cellStyle name="Обычный 26 3 2 4 6" xfId="20850"/>
    <cellStyle name="Обычный 26 3 2 5" xfId="20851"/>
    <cellStyle name="Обычный 26 3 2 5 2" xfId="20852"/>
    <cellStyle name="Обычный 26 3 2 5 2 2" xfId="20853"/>
    <cellStyle name="Обычный 26 3 2 5 2 2 2" xfId="20854"/>
    <cellStyle name="Обычный 26 3 2 5 2 3" xfId="20855"/>
    <cellStyle name="Обычный 26 3 2 5 3" xfId="20856"/>
    <cellStyle name="Обычный 26 3 2 5 3 2" xfId="20857"/>
    <cellStyle name="Обычный 26 3 2 5 3 2 2" xfId="20858"/>
    <cellStyle name="Обычный 26 3 2 5 3 3" xfId="20859"/>
    <cellStyle name="Обычный 26 3 2 5 4" xfId="20860"/>
    <cellStyle name="Обычный 26 3 2 5 4 2" xfId="20861"/>
    <cellStyle name="Обычный 26 3 2 5 5" xfId="20862"/>
    <cellStyle name="Обычный 26 3 2 5 5 2" xfId="20863"/>
    <cellStyle name="Обычный 26 3 2 5 6" xfId="20864"/>
    <cellStyle name="Обычный 26 3 2 6" xfId="20865"/>
    <cellStyle name="Обычный 26 3 2 6 2" xfId="20866"/>
    <cellStyle name="Обычный 26 3 2 6 2 2" xfId="20867"/>
    <cellStyle name="Обычный 26 3 2 6 3" xfId="20868"/>
    <cellStyle name="Обычный 26 3 2 7" xfId="20869"/>
    <cellStyle name="Обычный 26 3 2 7 2" xfId="20870"/>
    <cellStyle name="Обычный 26 3 2 7 2 2" xfId="20871"/>
    <cellStyle name="Обычный 26 3 2 7 3" xfId="20872"/>
    <cellStyle name="Обычный 26 3 2 8" xfId="20873"/>
    <cellStyle name="Обычный 26 3 2 8 2" xfId="20874"/>
    <cellStyle name="Обычный 26 3 2 9" xfId="20875"/>
    <cellStyle name="Обычный 26 3 2 9 2" xfId="20876"/>
    <cellStyle name="Обычный 26 3 3" xfId="20877"/>
    <cellStyle name="Обычный 26 3 3 2" xfId="20878"/>
    <cellStyle name="Обычный 26 3 3 2 2" xfId="20879"/>
    <cellStyle name="Обычный 26 3 3 2 2 2" xfId="20880"/>
    <cellStyle name="Обычный 26 3 3 2 2 2 2" xfId="20881"/>
    <cellStyle name="Обычный 26 3 3 2 2 2 2 2" xfId="20882"/>
    <cellStyle name="Обычный 26 3 3 2 2 2 3" xfId="20883"/>
    <cellStyle name="Обычный 26 3 3 2 2 3" xfId="20884"/>
    <cellStyle name="Обычный 26 3 3 2 2 3 2" xfId="20885"/>
    <cellStyle name="Обычный 26 3 3 2 2 3 2 2" xfId="20886"/>
    <cellStyle name="Обычный 26 3 3 2 2 3 3" xfId="20887"/>
    <cellStyle name="Обычный 26 3 3 2 2 4" xfId="20888"/>
    <cellStyle name="Обычный 26 3 3 2 2 4 2" xfId="20889"/>
    <cellStyle name="Обычный 26 3 3 2 2 5" xfId="20890"/>
    <cellStyle name="Обычный 26 3 3 2 2 5 2" xfId="20891"/>
    <cellStyle name="Обычный 26 3 3 2 2 6" xfId="20892"/>
    <cellStyle name="Обычный 26 3 3 2 3" xfId="20893"/>
    <cellStyle name="Обычный 26 3 3 2 3 2" xfId="20894"/>
    <cellStyle name="Обычный 26 3 3 2 3 2 2" xfId="20895"/>
    <cellStyle name="Обычный 26 3 3 2 3 2 2 2" xfId="20896"/>
    <cellStyle name="Обычный 26 3 3 2 3 2 3" xfId="20897"/>
    <cellStyle name="Обычный 26 3 3 2 3 3" xfId="20898"/>
    <cellStyle name="Обычный 26 3 3 2 3 3 2" xfId="20899"/>
    <cellStyle name="Обычный 26 3 3 2 3 3 2 2" xfId="20900"/>
    <cellStyle name="Обычный 26 3 3 2 3 3 3" xfId="20901"/>
    <cellStyle name="Обычный 26 3 3 2 3 4" xfId="20902"/>
    <cellStyle name="Обычный 26 3 3 2 3 4 2" xfId="20903"/>
    <cellStyle name="Обычный 26 3 3 2 3 5" xfId="20904"/>
    <cellStyle name="Обычный 26 3 3 2 4" xfId="20905"/>
    <cellStyle name="Обычный 26 3 3 2 4 2" xfId="20906"/>
    <cellStyle name="Обычный 26 3 3 2 4 2 2" xfId="20907"/>
    <cellStyle name="Обычный 26 3 3 2 4 3" xfId="20908"/>
    <cellStyle name="Обычный 26 3 3 2 5" xfId="20909"/>
    <cellStyle name="Обычный 26 3 3 2 5 2" xfId="20910"/>
    <cellStyle name="Обычный 26 3 3 2 5 2 2" xfId="20911"/>
    <cellStyle name="Обычный 26 3 3 2 5 3" xfId="20912"/>
    <cellStyle name="Обычный 26 3 3 2 6" xfId="20913"/>
    <cellStyle name="Обычный 26 3 3 2 6 2" xfId="20914"/>
    <cellStyle name="Обычный 26 3 3 2 7" xfId="20915"/>
    <cellStyle name="Обычный 26 3 3 2 7 2" xfId="20916"/>
    <cellStyle name="Обычный 26 3 3 2 8" xfId="20917"/>
    <cellStyle name="Обычный 26 3 3 3" xfId="20918"/>
    <cellStyle name="Обычный 26 3 3 3 2" xfId="20919"/>
    <cellStyle name="Обычный 26 3 3 3 2 2" xfId="20920"/>
    <cellStyle name="Обычный 26 3 3 3 2 2 2" xfId="20921"/>
    <cellStyle name="Обычный 26 3 3 3 2 3" xfId="20922"/>
    <cellStyle name="Обычный 26 3 3 3 3" xfId="20923"/>
    <cellStyle name="Обычный 26 3 3 3 3 2" xfId="20924"/>
    <cellStyle name="Обычный 26 3 3 3 3 2 2" xfId="20925"/>
    <cellStyle name="Обычный 26 3 3 3 3 3" xfId="20926"/>
    <cellStyle name="Обычный 26 3 3 3 4" xfId="20927"/>
    <cellStyle name="Обычный 26 3 3 3 4 2" xfId="20928"/>
    <cellStyle name="Обычный 26 3 3 3 5" xfId="20929"/>
    <cellStyle name="Обычный 26 3 3 3 5 2" xfId="20930"/>
    <cellStyle name="Обычный 26 3 3 3 6" xfId="20931"/>
    <cellStyle name="Обычный 26 3 3 4" xfId="20932"/>
    <cellStyle name="Обычный 26 3 3 4 2" xfId="20933"/>
    <cellStyle name="Обычный 26 3 3 4 2 2" xfId="20934"/>
    <cellStyle name="Обычный 26 3 3 4 2 2 2" xfId="20935"/>
    <cellStyle name="Обычный 26 3 3 4 2 3" xfId="20936"/>
    <cellStyle name="Обычный 26 3 3 4 3" xfId="20937"/>
    <cellStyle name="Обычный 26 3 3 4 3 2" xfId="20938"/>
    <cellStyle name="Обычный 26 3 3 4 3 2 2" xfId="20939"/>
    <cellStyle name="Обычный 26 3 3 4 3 3" xfId="20940"/>
    <cellStyle name="Обычный 26 3 3 4 4" xfId="20941"/>
    <cellStyle name="Обычный 26 3 3 4 4 2" xfId="20942"/>
    <cellStyle name="Обычный 26 3 3 4 5" xfId="20943"/>
    <cellStyle name="Обычный 26 3 3 4 5 2" xfId="20944"/>
    <cellStyle name="Обычный 26 3 3 4 6" xfId="20945"/>
    <cellStyle name="Обычный 26 3 3 5" xfId="20946"/>
    <cellStyle name="Обычный 26 3 3 5 2" xfId="20947"/>
    <cellStyle name="Обычный 26 3 3 5 2 2" xfId="20948"/>
    <cellStyle name="Обычный 26 3 3 5 3" xfId="20949"/>
    <cellStyle name="Обычный 26 3 3 6" xfId="20950"/>
    <cellStyle name="Обычный 26 3 3 6 2" xfId="20951"/>
    <cellStyle name="Обычный 26 3 3 6 2 2" xfId="20952"/>
    <cellStyle name="Обычный 26 3 3 6 3" xfId="20953"/>
    <cellStyle name="Обычный 26 3 3 7" xfId="20954"/>
    <cellStyle name="Обычный 26 3 3 7 2" xfId="20955"/>
    <cellStyle name="Обычный 26 3 3 8" xfId="20956"/>
    <cellStyle name="Обычный 26 3 3 8 2" xfId="20957"/>
    <cellStyle name="Обычный 26 3 3 9" xfId="20958"/>
    <cellStyle name="Обычный 26 3 4" xfId="20959"/>
    <cellStyle name="Обычный 26 3 4 10" xfId="20960"/>
    <cellStyle name="Обычный 26 3 4 10 2" xfId="20961"/>
    <cellStyle name="Обычный 26 3 4 11" xfId="20962"/>
    <cellStyle name="Обычный 26 3 4 2" xfId="20963"/>
    <cellStyle name="Обычный 26 3 4 2 2" xfId="20964"/>
    <cellStyle name="Обычный 26 3 4 2 2 2" xfId="20965"/>
    <cellStyle name="Обычный 26 3 4 2 2 2 2" xfId="20966"/>
    <cellStyle name="Обычный 26 3 4 2 2 2 2 2" xfId="20967"/>
    <cellStyle name="Обычный 26 3 4 2 2 2 3" xfId="20968"/>
    <cellStyle name="Обычный 26 3 4 2 2 3" xfId="20969"/>
    <cellStyle name="Обычный 26 3 4 2 2 3 2" xfId="20970"/>
    <cellStyle name="Обычный 26 3 4 2 2 3 2 2" xfId="20971"/>
    <cellStyle name="Обычный 26 3 4 2 2 3 3" xfId="20972"/>
    <cellStyle name="Обычный 26 3 4 2 2 4" xfId="20973"/>
    <cellStyle name="Обычный 26 3 4 2 2 4 2" xfId="20974"/>
    <cellStyle name="Обычный 26 3 4 2 2 5" xfId="20975"/>
    <cellStyle name="Обычный 26 3 4 2 3" xfId="20976"/>
    <cellStyle name="Обычный 26 3 4 2 3 2" xfId="20977"/>
    <cellStyle name="Обычный 26 3 4 2 3 2 2" xfId="20978"/>
    <cellStyle name="Обычный 26 3 4 2 3 2 2 2" xfId="20979"/>
    <cellStyle name="Обычный 26 3 4 2 3 2 3" xfId="20980"/>
    <cellStyle name="Обычный 26 3 4 2 3 3" xfId="20981"/>
    <cellStyle name="Обычный 26 3 4 2 3 3 2" xfId="20982"/>
    <cellStyle name="Обычный 26 3 4 2 3 3 2 2" xfId="20983"/>
    <cellStyle name="Обычный 26 3 4 2 3 3 3" xfId="20984"/>
    <cellStyle name="Обычный 26 3 4 2 3 4" xfId="20985"/>
    <cellStyle name="Обычный 26 3 4 2 3 4 2" xfId="20986"/>
    <cellStyle name="Обычный 26 3 4 2 3 5" xfId="20987"/>
    <cellStyle name="Обычный 26 3 4 2 4" xfId="20988"/>
    <cellStyle name="Обычный 26 3 4 2 4 2" xfId="20989"/>
    <cellStyle name="Обычный 26 3 4 2 4 2 2" xfId="20990"/>
    <cellStyle name="Обычный 26 3 4 2 4 3" xfId="20991"/>
    <cellStyle name="Обычный 26 3 4 2 4 3 2" xfId="20992"/>
    <cellStyle name="Обычный 26 3 4 2 4 4" xfId="20993"/>
    <cellStyle name="Обычный 26 3 4 2 5" xfId="20994"/>
    <cellStyle name="Обычный 26 3 4 2 5 2" xfId="20995"/>
    <cellStyle name="Обычный 26 3 4 2 5 2 2" xfId="20996"/>
    <cellStyle name="Обычный 26 3 4 2 5 3" xfId="20997"/>
    <cellStyle name="Обычный 26 3 4 2 6" xfId="20998"/>
    <cellStyle name="Обычный 26 3 4 2 6 2" xfId="20999"/>
    <cellStyle name="Обычный 26 3 4 2 7" xfId="21000"/>
    <cellStyle name="Обычный 26 3 4 2 7 2" xfId="21001"/>
    <cellStyle name="Обычный 26 3 4 2 8" xfId="21002"/>
    <cellStyle name="Обычный 26 3 4 3" xfId="21003"/>
    <cellStyle name="Обычный 26 3 4 3 2" xfId="21004"/>
    <cellStyle name="Обычный 26 3 4 3 2 2" xfId="21005"/>
    <cellStyle name="Обычный 26 3 4 3 2 2 2" xfId="21006"/>
    <cellStyle name="Обычный 26 3 4 3 2 2 2 2" xfId="21007"/>
    <cellStyle name="Обычный 26 3 4 3 2 2 3" xfId="21008"/>
    <cellStyle name="Обычный 26 3 4 3 2 3" xfId="21009"/>
    <cellStyle name="Обычный 26 3 4 3 2 3 2" xfId="21010"/>
    <cellStyle name="Обычный 26 3 4 3 2 3 2 2" xfId="21011"/>
    <cellStyle name="Обычный 26 3 4 3 2 3 3" xfId="21012"/>
    <cellStyle name="Обычный 26 3 4 3 2 4" xfId="21013"/>
    <cellStyle name="Обычный 26 3 4 3 2 4 2" xfId="21014"/>
    <cellStyle name="Обычный 26 3 4 3 2 5" xfId="21015"/>
    <cellStyle name="Обычный 26 3 4 3 3" xfId="21016"/>
    <cellStyle name="Обычный 26 3 4 3 3 2" xfId="21017"/>
    <cellStyle name="Обычный 26 3 4 3 3 2 2" xfId="21018"/>
    <cellStyle name="Обычный 26 3 4 3 3 2 2 2" xfId="21019"/>
    <cellStyle name="Обычный 26 3 4 3 3 2 3" xfId="21020"/>
    <cellStyle name="Обычный 26 3 4 3 3 3" xfId="21021"/>
    <cellStyle name="Обычный 26 3 4 3 3 3 2" xfId="21022"/>
    <cellStyle name="Обычный 26 3 4 3 3 3 2 2" xfId="21023"/>
    <cellStyle name="Обычный 26 3 4 3 3 3 3" xfId="21024"/>
    <cellStyle name="Обычный 26 3 4 3 3 4" xfId="21025"/>
    <cellStyle name="Обычный 26 3 4 3 3 4 2" xfId="21026"/>
    <cellStyle name="Обычный 26 3 4 3 3 5" xfId="21027"/>
    <cellStyle name="Обычный 26 3 4 3 4" xfId="21028"/>
    <cellStyle name="Обычный 26 3 4 3 4 2" xfId="21029"/>
    <cellStyle name="Обычный 26 3 4 3 4 2 2" xfId="21030"/>
    <cellStyle name="Обычный 26 3 4 3 4 3" xfId="21031"/>
    <cellStyle name="Обычный 26 3 4 3 5" xfId="21032"/>
    <cellStyle name="Обычный 26 3 4 3 5 2" xfId="21033"/>
    <cellStyle name="Обычный 26 3 4 3 5 2 2" xfId="21034"/>
    <cellStyle name="Обычный 26 3 4 3 5 3" xfId="21035"/>
    <cellStyle name="Обычный 26 3 4 3 6" xfId="21036"/>
    <cellStyle name="Обычный 26 3 4 3 6 2" xfId="21037"/>
    <cellStyle name="Обычный 26 3 4 3 7" xfId="21038"/>
    <cellStyle name="Обычный 26 3 4 4" xfId="21039"/>
    <cellStyle name="Обычный 26 3 4 4 2" xfId="21040"/>
    <cellStyle name="Обычный 26 3 4 4 2 2" xfId="21041"/>
    <cellStyle name="Обычный 26 3 4 4 2 2 2" xfId="21042"/>
    <cellStyle name="Обычный 26 3 4 4 2 2 2 2" xfId="21043"/>
    <cellStyle name="Обычный 26 3 4 4 2 2 3" xfId="21044"/>
    <cellStyle name="Обычный 26 3 4 4 2 3" xfId="21045"/>
    <cellStyle name="Обычный 26 3 4 4 2 3 2" xfId="21046"/>
    <cellStyle name="Обычный 26 3 4 4 2 3 2 2" xfId="21047"/>
    <cellStyle name="Обычный 26 3 4 4 2 3 3" xfId="21048"/>
    <cellStyle name="Обычный 26 3 4 4 2 4" xfId="21049"/>
    <cellStyle name="Обычный 26 3 4 4 2 4 2" xfId="21050"/>
    <cellStyle name="Обычный 26 3 4 4 2 5" xfId="21051"/>
    <cellStyle name="Обычный 26 3 4 4 3" xfId="21052"/>
    <cellStyle name="Обычный 26 3 4 4 3 2" xfId="21053"/>
    <cellStyle name="Обычный 26 3 4 4 3 2 2" xfId="21054"/>
    <cellStyle name="Обычный 26 3 4 4 3 2 2 2" xfId="21055"/>
    <cellStyle name="Обычный 26 3 4 4 3 2 3" xfId="21056"/>
    <cellStyle name="Обычный 26 3 4 4 3 3" xfId="21057"/>
    <cellStyle name="Обычный 26 3 4 4 3 3 2" xfId="21058"/>
    <cellStyle name="Обычный 26 3 4 4 3 3 2 2" xfId="21059"/>
    <cellStyle name="Обычный 26 3 4 4 3 3 3" xfId="21060"/>
    <cellStyle name="Обычный 26 3 4 4 3 4" xfId="21061"/>
    <cellStyle name="Обычный 26 3 4 4 3 4 2" xfId="21062"/>
    <cellStyle name="Обычный 26 3 4 4 3 5" xfId="21063"/>
    <cellStyle name="Обычный 26 3 4 4 4" xfId="21064"/>
    <cellStyle name="Обычный 26 3 4 4 4 2" xfId="21065"/>
    <cellStyle name="Обычный 26 3 4 4 4 2 2" xfId="21066"/>
    <cellStyle name="Обычный 26 3 4 4 4 3" xfId="21067"/>
    <cellStyle name="Обычный 26 3 4 4 5" xfId="21068"/>
    <cellStyle name="Обычный 26 3 4 4 5 2" xfId="21069"/>
    <cellStyle name="Обычный 26 3 4 4 5 2 2" xfId="21070"/>
    <cellStyle name="Обычный 26 3 4 4 5 3" xfId="21071"/>
    <cellStyle name="Обычный 26 3 4 4 6" xfId="21072"/>
    <cellStyle name="Обычный 26 3 4 4 6 2" xfId="21073"/>
    <cellStyle name="Обычный 26 3 4 4 7" xfId="21074"/>
    <cellStyle name="Обычный 26 3 4 5" xfId="21075"/>
    <cellStyle name="Обычный 26 3 4 5 2" xfId="21076"/>
    <cellStyle name="Обычный 26 3 4 5 2 2" xfId="21077"/>
    <cellStyle name="Обычный 26 3 4 5 2 2 2" xfId="21078"/>
    <cellStyle name="Обычный 26 3 4 5 2 3" xfId="21079"/>
    <cellStyle name="Обычный 26 3 4 5 3" xfId="21080"/>
    <cellStyle name="Обычный 26 3 4 5 3 2" xfId="21081"/>
    <cellStyle name="Обычный 26 3 4 5 3 2 2" xfId="21082"/>
    <cellStyle name="Обычный 26 3 4 5 3 3" xfId="21083"/>
    <cellStyle name="Обычный 26 3 4 5 4" xfId="21084"/>
    <cellStyle name="Обычный 26 3 4 5 4 2" xfId="21085"/>
    <cellStyle name="Обычный 26 3 4 5 5" xfId="21086"/>
    <cellStyle name="Обычный 26 3 4 6" xfId="21087"/>
    <cellStyle name="Обычный 26 3 4 6 2" xfId="21088"/>
    <cellStyle name="Обычный 26 3 4 6 2 2" xfId="21089"/>
    <cellStyle name="Обычный 26 3 4 6 2 2 2" xfId="21090"/>
    <cellStyle name="Обычный 26 3 4 6 2 3" xfId="21091"/>
    <cellStyle name="Обычный 26 3 4 6 3" xfId="21092"/>
    <cellStyle name="Обычный 26 3 4 6 3 2" xfId="21093"/>
    <cellStyle name="Обычный 26 3 4 6 3 2 2" xfId="21094"/>
    <cellStyle name="Обычный 26 3 4 6 3 3" xfId="21095"/>
    <cellStyle name="Обычный 26 3 4 6 4" xfId="21096"/>
    <cellStyle name="Обычный 26 3 4 6 4 2" xfId="21097"/>
    <cellStyle name="Обычный 26 3 4 6 5" xfId="21098"/>
    <cellStyle name="Обычный 26 3 4 7" xfId="21099"/>
    <cellStyle name="Обычный 26 3 4 7 2" xfId="21100"/>
    <cellStyle name="Обычный 26 3 4 7 2 2" xfId="21101"/>
    <cellStyle name="Обычный 26 3 4 7 3" xfId="21102"/>
    <cellStyle name="Обычный 26 3 4 8" xfId="21103"/>
    <cellStyle name="Обычный 26 3 4 8 2" xfId="21104"/>
    <cellStyle name="Обычный 26 3 4 8 2 2" xfId="21105"/>
    <cellStyle name="Обычный 26 3 4 8 3" xfId="21106"/>
    <cellStyle name="Обычный 26 3 4 9" xfId="21107"/>
    <cellStyle name="Обычный 26 3 4 9 2" xfId="21108"/>
    <cellStyle name="Обычный 26 3 5" xfId="21109"/>
    <cellStyle name="Обычный 26 3 5 2" xfId="21110"/>
    <cellStyle name="Обычный 26 3 5 2 2" xfId="21111"/>
    <cellStyle name="Обычный 26 3 5 2 2 2" xfId="21112"/>
    <cellStyle name="Обычный 26 3 5 2 2 2 2" xfId="21113"/>
    <cellStyle name="Обычный 26 3 5 2 2 2 2 2" xfId="21114"/>
    <cellStyle name="Обычный 26 3 5 2 2 2 3" xfId="21115"/>
    <cellStyle name="Обычный 26 3 5 2 2 3" xfId="21116"/>
    <cellStyle name="Обычный 26 3 5 2 2 3 2" xfId="21117"/>
    <cellStyle name="Обычный 26 3 5 2 2 3 2 2" xfId="21118"/>
    <cellStyle name="Обычный 26 3 5 2 2 3 3" xfId="21119"/>
    <cellStyle name="Обычный 26 3 5 2 2 4" xfId="21120"/>
    <cellStyle name="Обычный 26 3 5 2 2 4 2" xfId="21121"/>
    <cellStyle name="Обычный 26 3 5 2 2 5" xfId="21122"/>
    <cellStyle name="Обычный 26 3 5 2 3" xfId="21123"/>
    <cellStyle name="Обычный 26 3 5 2 3 2" xfId="21124"/>
    <cellStyle name="Обычный 26 3 5 2 3 2 2" xfId="21125"/>
    <cellStyle name="Обычный 26 3 5 2 3 2 2 2" xfId="21126"/>
    <cellStyle name="Обычный 26 3 5 2 3 2 3" xfId="21127"/>
    <cellStyle name="Обычный 26 3 5 2 3 3" xfId="21128"/>
    <cellStyle name="Обычный 26 3 5 2 3 3 2" xfId="21129"/>
    <cellStyle name="Обычный 26 3 5 2 3 3 2 2" xfId="21130"/>
    <cellStyle name="Обычный 26 3 5 2 3 3 3" xfId="21131"/>
    <cellStyle name="Обычный 26 3 5 2 3 4" xfId="21132"/>
    <cellStyle name="Обычный 26 3 5 2 3 4 2" xfId="21133"/>
    <cellStyle name="Обычный 26 3 5 2 3 5" xfId="21134"/>
    <cellStyle name="Обычный 26 3 5 2 4" xfId="21135"/>
    <cellStyle name="Обычный 26 3 5 2 4 2" xfId="21136"/>
    <cellStyle name="Обычный 26 3 5 2 4 2 2" xfId="21137"/>
    <cellStyle name="Обычный 26 3 5 2 4 3" xfId="21138"/>
    <cellStyle name="Обычный 26 3 5 2 5" xfId="21139"/>
    <cellStyle name="Обычный 26 3 5 2 5 2" xfId="21140"/>
    <cellStyle name="Обычный 26 3 5 2 5 2 2" xfId="21141"/>
    <cellStyle name="Обычный 26 3 5 2 5 3" xfId="21142"/>
    <cellStyle name="Обычный 26 3 5 2 6" xfId="21143"/>
    <cellStyle name="Обычный 26 3 5 2 6 2" xfId="21144"/>
    <cellStyle name="Обычный 26 3 5 2 7" xfId="21145"/>
    <cellStyle name="Обычный 26 3 5 3" xfId="21146"/>
    <cellStyle name="Обычный 26 3 5 3 2" xfId="21147"/>
    <cellStyle name="Обычный 26 3 5 3 2 2" xfId="21148"/>
    <cellStyle name="Обычный 26 3 5 3 2 2 2" xfId="21149"/>
    <cellStyle name="Обычный 26 3 5 3 2 3" xfId="21150"/>
    <cellStyle name="Обычный 26 3 5 3 3" xfId="21151"/>
    <cellStyle name="Обычный 26 3 5 3 3 2" xfId="21152"/>
    <cellStyle name="Обычный 26 3 5 3 3 2 2" xfId="21153"/>
    <cellStyle name="Обычный 26 3 5 3 3 3" xfId="21154"/>
    <cellStyle name="Обычный 26 3 5 3 4" xfId="21155"/>
    <cellStyle name="Обычный 26 3 5 3 4 2" xfId="21156"/>
    <cellStyle name="Обычный 26 3 5 3 5" xfId="21157"/>
    <cellStyle name="Обычный 26 3 5 4" xfId="21158"/>
    <cellStyle name="Обычный 26 3 5 4 2" xfId="21159"/>
    <cellStyle name="Обычный 26 3 5 4 2 2" xfId="21160"/>
    <cellStyle name="Обычный 26 3 5 4 2 2 2" xfId="21161"/>
    <cellStyle name="Обычный 26 3 5 4 2 3" xfId="21162"/>
    <cellStyle name="Обычный 26 3 5 4 3" xfId="21163"/>
    <cellStyle name="Обычный 26 3 5 4 3 2" xfId="21164"/>
    <cellStyle name="Обычный 26 3 5 4 3 2 2" xfId="21165"/>
    <cellStyle name="Обычный 26 3 5 4 3 3" xfId="21166"/>
    <cellStyle name="Обычный 26 3 5 4 4" xfId="21167"/>
    <cellStyle name="Обычный 26 3 5 4 4 2" xfId="21168"/>
    <cellStyle name="Обычный 26 3 5 4 5" xfId="21169"/>
    <cellStyle name="Обычный 26 3 5 5" xfId="21170"/>
    <cellStyle name="Обычный 26 3 5 5 2" xfId="21171"/>
    <cellStyle name="Обычный 26 3 5 5 2 2" xfId="21172"/>
    <cellStyle name="Обычный 26 3 5 5 3" xfId="21173"/>
    <cellStyle name="Обычный 26 3 5 6" xfId="21174"/>
    <cellStyle name="Обычный 26 3 5 6 2" xfId="21175"/>
    <cellStyle name="Обычный 26 3 5 6 2 2" xfId="21176"/>
    <cellStyle name="Обычный 26 3 5 6 3" xfId="21177"/>
    <cellStyle name="Обычный 26 3 5 7" xfId="21178"/>
    <cellStyle name="Обычный 26 3 5 7 2" xfId="21179"/>
    <cellStyle name="Обычный 26 3 5 8" xfId="21180"/>
    <cellStyle name="Обычный 26 3 5 8 2" xfId="21181"/>
    <cellStyle name="Обычный 26 3 5 9" xfId="21182"/>
    <cellStyle name="Обычный 26 3 6" xfId="21183"/>
    <cellStyle name="Обычный 26 3 6 2" xfId="21184"/>
    <cellStyle name="Обычный 26 3 6 2 2" xfId="21185"/>
    <cellStyle name="Обычный 26 3 6 2 2 2" xfId="21186"/>
    <cellStyle name="Обычный 26 3 6 2 2 2 2" xfId="21187"/>
    <cellStyle name="Обычный 26 3 6 2 2 3" xfId="21188"/>
    <cellStyle name="Обычный 26 3 6 2 3" xfId="21189"/>
    <cellStyle name="Обычный 26 3 6 2 3 2" xfId="21190"/>
    <cellStyle name="Обычный 26 3 6 2 3 2 2" xfId="21191"/>
    <cellStyle name="Обычный 26 3 6 2 3 3" xfId="21192"/>
    <cellStyle name="Обычный 26 3 6 2 4" xfId="21193"/>
    <cellStyle name="Обычный 26 3 6 2 4 2" xfId="21194"/>
    <cellStyle name="Обычный 26 3 6 2 5" xfId="21195"/>
    <cellStyle name="Обычный 26 3 6 3" xfId="21196"/>
    <cellStyle name="Обычный 26 3 6 3 2" xfId="21197"/>
    <cellStyle name="Обычный 26 3 6 3 2 2" xfId="21198"/>
    <cellStyle name="Обычный 26 3 6 3 2 2 2" xfId="21199"/>
    <cellStyle name="Обычный 26 3 6 3 2 3" xfId="21200"/>
    <cellStyle name="Обычный 26 3 6 3 3" xfId="21201"/>
    <cellStyle name="Обычный 26 3 6 3 3 2" xfId="21202"/>
    <cellStyle name="Обычный 26 3 6 3 3 2 2" xfId="21203"/>
    <cellStyle name="Обычный 26 3 6 3 3 3" xfId="21204"/>
    <cellStyle name="Обычный 26 3 6 3 4" xfId="21205"/>
    <cellStyle name="Обычный 26 3 6 3 4 2" xfId="21206"/>
    <cellStyle name="Обычный 26 3 6 3 5" xfId="21207"/>
    <cellStyle name="Обычный 26 3 6 4" xfId="21208"/>
    <cellStyle name="Обычный 26 3 6 4 2" xfId="21209"/>
    <cellStyle name="Обычный 26 3 6 4 2 2" xfId="21210"/>
    <cellStyle name="Обычный 26 3 6 4 3" xfId="21211"/>
    <cellStyle name="Обычный 26 3 6 5" xfId="21212"/>
    <cellStyle name="Обычный 26 3 6 5 2" xfId="21213"/>
    <cellStyle name="Обычный 26 3 6 5 2 2" xfId="21214"/>
    <cellStyle name="Обычный 26 3 6 5 3" xfId="21215"/>
    <cellStyle name="Обычный 26 3 6 6" xfId="21216"/>
    <cellStyle name="Обычный 26 3 6 6 2" xfId="21217"/>
    <cellStyle name="Обычный 26 3 6 7" xfId="21218"/>
    <cellStyle name="Обычный 26 3 6 7 2" xfId="21219"/>
    <cellStyle name="Обычный 26 3 6 8" xfId="21220"/>
    <cellStyle name="Обычный 26 3 7" xfId="21221"/>
    <cellStyle name="Обычный 26 3 7 2" xfId="21222"/>
    <cellStyle name="Обычный 26 3 7 2 2" xfId="21223"/>
    <cellStyle name="Обычный 26 3 7 2 2 2" xfId="21224"/>
    <cellStyle name="Обычный 26 3 7 2 3" xfId="21225"/>
    <cellStyle name="Обычный 26 3 7 3" xfId="21226"/>
    <cellStyle name="Обычный 26 3 7 3 2" xfId="21227"/>
    <cellStyle name="Обычный 26 3 7 3 2 2" xfId="21228"/>
    <cellStyle name="Обычный 26 3 7 3 3" xfId="21229"/>
    <cellStyle name="Обычный 26 3 7 4" xfId="21230"/>
    <cellStyle name="Обычный 26 3 7 4 2" xfId="21231"/>
    <cellStyle name="Обычный 26 3 7 5" xfId="21232"/>
    <cellStyle name="Обычный 26 3 8" xfId="21233"/>
    <cellStyle name="Обычный 26 3 8 2" xfId="21234"/>
    <cellStyle name="Обычный 26 3 8 2 2" xfId="21235"/>
    <cellStyle name="Обычный 26 3 8 2 2 2" xfId="21236"/>
    <cellStyle name="Обычный 26 3 8 2 3" xfId="21237"/>
    <cellStyle name="Обычный 26 3 8 3" xfId="21238"/>
    <cellStyle name="Обычный 26 3 8 3 2" xfId="21239"/>
    <cellStyle name="Обычный 26 3 8 3 2 2" xfId="21240"/>
    <cellStyle name="Обычный 26 3 8 3 3" xfId="21241"/>
    <cellStyle name="Обычный 26 3 8 4" xfId="21242"/>
    <cellStyle name="Обычный 26 3 8 4 2" xfId="21243"/>
    <cellStyle name="Обычный 26 3 8 5" xfId="21244"/>
    <cellStyle name="Обычный 26 3 9" xfId="21245"/>
    <cellStyle name="Обычный 26 3 9 2" xfId="21246"/>
    <cellStyle name="Обычный 26 3 9 2 2" xfId="21247"/>
    <cellStyle name="Обычный 26 3 9 3" xfId="21248"/>
    <cellStyle name="Обычный 26 4" xfId="21249"/>
    <cellStyle name="Обычный 26 4 10" xfId="21250"/>
    <cellStyle name="Обычный 26 4 10 2" xfId="21251"/>
    <cellStyle name="Обычный 26 4 11" xfId="21252"/>
    <cellStyle name="Обычный 26 4 11 2" xfId="21253"/>
    <cellStyle name="Обычный 26 4 12" xfId="21254"/>
    <cellStyle name="Обычный 26 4 2" xfId="21255"/>
    <cellStyle name="Обычный 26 4 2 10" xfId="21256"/>
    <cellStyle name="Обычный 26 4 2 2" xfId="21257"/>
    <cellStyle name="Обычный 26 4 2 2 10" xfId="21258"/>
    <cellStyle name="Обычный 26 4 2 2 10 2" xfId="21259"/>
    <cellStyle name="Обычный 26 4 2 2 11" xfId="21260"/>
    <cellStyle name="Обычный 26 4 2 2 11 2" xfId="21261"/>
    <cellStyle name="Обычный 26 4 2 2 12" xfId="21262"/>
    <cellStyle name="Обычный 26 4 2 2 2" xfId="21263"/>
    <cellStyle name="Обычный 26 4 2 2 2 2" xfId="21264"/>
    <cellStyle name="Обычный 26 4 2 2 2 2 2" xfId="21265"/>
    <cellStyle name="Обычный 26 4 2 2 2 2 2 2" xfId="21266"/>
    <cellStyle name="Обычный 26 4 2 2 2 2 2 2 2" xfId="21267"/>
    <cellStyle name="Обычный 26 4 2 2 2 2 2 2 2 2" xfId="21268"/>
    <cellStyle name="Обычный 26 4 2 2 2 2 2 2 3" xfId="21269"/>
    <cellStyle name="Обычный 26 4 2 2 2 2 2 3" xfId="21270"/>
    <cellStyle name="Обычный 26 4 2 2 2 2 2 3 2" xfId="21271"/>
    <cellStyle name="Обычный 26 4 2 2 2 2 2 3 2 2" xfId="21272"/>
    <cellStyle name="Обычный 26 4 2 2 2 2 2 3 3" xfId="21273"/>
    <cellStyle name="Обычный 26 4 2 2 2 2 2 4" xfId="21274"/>
    <cellStyle name="Обычный 26 4 2 2 2 2 2 4 2" xfId="21275"/>
    <cellStyle name="Обычный 26 4 2 2 2 2 2 5" xfId="21276"/>
    <cellStyle name="Обычный 26 4 2 2 2 2 3" xfId="21277"/>
    <cellStyle name="Обычный 26 4 2 2 2 2 3 2" xfId="21278"/>
    <cellStyle name="Обычный 26 4 2 2 2 2 3 2 2" xfId="21279"/>
    <cellStyle name="Обычный 26 4 2 2 2 2 3 2 2 2" xfId="21280"/>
    <cellStyle name="Обычный 26 4 2 2 2 2 3 2 3" xfId="21281"/>
    <cellStyle name="Обычный 26 4 2 2 2 2 3 3" xfId="21282"/>
    <cellStyle name="Обычный 26 4 2 2 2 2 3 3 2" xfId="21283"/>
    <cellStyle name="Обычный 26 4 2 2 2 2 3 3 2 2" xfId="21284"/>
    <cellStyle name="Обычный 26 4 2 2 2 2 3 3 3" xfId="21285"/>
    <cellStyle name="Обычный 26 4 2 2 2 2 3 4" xfId="21286"/>
    <cellStyle name="Обычный 26 4 2 2 2 2 3 4 2" xfId="21287"/>
    <cellStyle name="Обычный 26 4 2 2 2 2 3 5" xfId="21288"/>
    <cellStyle name="Обычный 26 4 2 2 2 2 4" xfId="21289"/>
    <cellStyle name="Обычный 26 4 2 2 2 2 4 2" xfId="21290"/>
    <cellStyle name="Обычный 26 4 2 2 2 2 4 2 2" xfId="21291"/>
    <cellStyle name="Обычный 26 4 2 2 2 2 4 3" xfId="21292"/>
    <cellStyle name="Обычный 26 4 2 2 2 2 5" xfId="21293"/>
    <cellStyle name="Обычный 26 4 2 2 2 2 5 2" xfId="21294"/>
    <cellStyle name="Обычный 26 4 2 2 2 2 5 2 2" xfId="21295"/>
    <cellStyle name="Обычный 26 4 2 2 2 2 5 3" xfId="21296"/>
    <cellStyle name="Обычный 26 4 2 2 2 2 6" xfId="21297"/>
    <cellStyle name="Обычный 26 4 2 2 2 2 6 2" xfId="21298"/>
    <cellStyle name="Обычный 26 4 2 2 2 2 7" xfId="21299"/>
    <cellStyle name="Обычный 26 4 2 2 2 2 7 2" xfId="21300"/>
    <cellStyle name="Обычный 26 4 2 2 2 2 8" xfId="21301"/>
    <cellStyle name="Обычный 26 4 2 2 2 3" xfId="21302"/>
    <cellStyle name="Обычный 26 4 2 2 2 3 2" xfId="21303"/>
    <cellStyle name="Обычный 26 4 2 2 2 3 2 2" xfId="21304"/>
    <cellStyle name="Обычный 26 4 2 2 2 3 2 2 2" xfId="21305"/>
    <cellStyle name="Обычный 26 4 2 2 2 3 2 3" xfId="21306"/>
    <cellStyle name="Обычный 26 4 2 2 2 3 3" xfId="21307"/>
    <cellStyle name="Обычный 26 4 2 2 2 3 3 2" xfId="21308"/>
    <cellStyle name="Обычный 26 4 2 2 2 3 3 2 2" xfId="21309"/>
    <cellStyle name="Обычный 26 4 2 2 2 3 3 3" xfId="21310"/>
    <cellStyle name="Обычный 26 4 2 2 2 3 4" xfId="21311"/>
    <cellStyle name="Обычный 26 4 2 2 2 3 4 2" xfId="21312"/>
    <cellStyle name="Обычный 26 4 2 2 2 3 5" xfId="21313"/>
    <cellStyle name="Обычный 26 4 2 2 2 4" xfId="21314"/>
    <cellStyle name="Обычный 26 4 2 2 2 4 2" xfId="21315"/>
    <cellStyle name="Обычный 26 4 2 2 2 4 2 2" xfId="21316"/>
    <cellStyle name="Обычный 26 4 2 2 2 4 2 2 2" xfId="21317"/>
    <cellStyle name="Обычный 26 4 2 2 2 4 2 3" xfId="21318"/>
    <cellStyle name="Обычный 26 4 2 2 2 4 3" xfId="21319"/>
    <cellStyle name="Обычный 26 4 2 2 2 4 3 2" xfId="21320"/>
    <cellStyle name="Обычный 26 4 2 2 2 4 3 2 2" xfId="21321"/>
    <cellStyle name="Обычный 26 4 2 2 2 4 3 3" xfId="21322"/>
    <cellStyle name="Обычный 26 4 2 2 2 4 4" xfId="21323"/>
    <cellStyle name="Обычный 26 4 2 2 2 4 4 2" xfId="21324"/>
    <cellStyle name="Обычный 26 4 2 2 2 4 5" xfId="21325"/>
    <cellStyle name="Обычный 26 4 2 2 2 5" xfId="21326"/>
    <cellStyle name="Обычный 26 4 2 2 2 5 2" xfId="21327"/>
    <cellStyle name="Обычный 26 4 2 2 2 5 2 2" xfId="21328"/>
    <cellStyle name="Обычный 26 4 2 2 2 5 3" xfId="21329"/>
    <cellStyle name="Обычный 26 4 2 2 2 6" xfId="21330"/>
    <cellStyle name="Обычный 26 4 2 2 2 6 2" xfId="21331"/>
    <cellStyle name="Обычный 26 4 2 2 2 6 2 2" xfId="21332"/>
    <cellStyle name="Обычный 26 4 2 2 2 6 3" xfId="21333"/>
    <cellStyle name="Обычный 26 4 2 2 2 7" xfId="21334"/>
    <cellStyle name="Обычный 26 4 2 2 2 7 2" xfId="21335"/>
    <cellStyle name="Обычный 26 4 2 2 2 8" xfId="21336"/>
    <cellStyle name="Обычный 26 4 2 2 2 8 2" xfId="21337"/>
    <cellStyle name="Обычный 26 4 2 2 2 9" xfId="21338"/>
    <cellStyle name="Обычный 26 4 2 2 3" xfId="21339"/>
    <cellStyle name="Обычный 26 4 2 2 3 2" xfId="21340"/>
    <cellStyle name="Обычный 26 4 2 2 3 2 2" xfId="21341"/>
    <cellStyle name="Обычный 26 4 2 2 3 2 2 2" xfId="21342"/>
    <cellStyle name="Обычный 26 4 2 2 3 2 2 2 2" xfId="21343"/>
    <cellStyle name="Обычный 26 4 2 2 3 2 2 3" xfId="21344"/>
    <cellStyle name="Обычный 26 4 2 2 3 2 3" xfId="21345"/>
    <cellStyle name="Обычный 26 4 2 2 3 2 3 2" xfId="21346"/>
    <cellStyle name="Обычный 26 4 2 2 3 2 3 2 2" xfId="21347"/>
    <cellStyle name="Обычный 26 4 2 2 3 2 3 3" xfId="21348"/>
    <cellStyle name="Обычный 26 4 2 2 3 2 4" xfId="21349"/>
    <cellStyle name="Обычный 26 4 2 2 3 2 4 2" xfId="21350"/>
    <cellStyle name="Обычный 26 4 2 2 3 2 5" xfId="21351"/>
    <cellStyle name="Обычный 26 4 2 2 3 3" xfId="21352"/>
    <cellStyle name="Обычный 26 4 2 2 3 3 2" xfId="21353"/>
    <cellStyle name="Обычный 26 4 2 2 3 3 2 2" xfId="21354"/>
    <cellStyle name="Обычный 26 4 2 2 3 3 2 2 2" xfId="21355"/>
    <cellStyle name="Обычный 26 4 2 2 3 3 2 3" xfId="21356"/>
    <cellStyle name="Обычный 26 4 2 2 3 3 3" xfId="21357"/>
    <cellStyle name="Обычный 26 4 2 2 3 3 3 2" xfId="21358"/>
    <cellStyle name="Обычный 26 4 2 2 3 3 3 2 2" xfId="21359"/>
    <cellStyle name="Обычный 26 4 2 2 3 3 3 3" xfId="21360"/>
    <cellStyle name="Обычный 26 4 2 2 3 3 4" xfId="21361"/>
    <cellStyle name="Обычный 26 4 2 2 3 3 4 2" xfId="21362"/>
    <cellStyle name="Обычный 26 4 2 2 3 3 5" xfId="21363"/>
    <cellStyle name="Обычный 26 4 2 2 3 4" xfId="21364"/>
    <cellStyle name="Обычный 26 4 2 2 3 4 2" xfId="21365"/>
    <cellStyle name="Обычный 26 4 2 2 3 4 2 2" xfId="21366"/>
    <cellStyle name="Обычный 26 4 2 2 3 4 3" xfId="21367"/>
    <cellStyle name="Обычный 26 4 2 2 3 5" xfId="21368"/>
    <cellStyle name="Обычный 26 4 2 2 3 5 2" xfId="21369"/>
    <cellStyle name="Обычный 26 4 2 2 3 5 2 2" xfId="21370"/>
    <cellStyle name="Обычный 26 4 2 2 3 5 3" xfId="21371"/>
    <cellStyle name="Обычный 26 4 2 2 3 6" xfId="21372"/>
    <cellStyle name="Обычный 26 4 2 2 3 6 2" xfId="21373"/>
    <cellStyle name="Обычный 26 4 2 2 3 7" xfId="21374"/>
    <cellStyle name="Обычный 26 4 2 2 3 7 2" xfId="21375"/>
    <cellStyle name="Обычный 26 4 2 2 3 8" xfId="21376"/>
    <cellStyle name="Обычный 26 4 2 2 4" xfId="21377"/>
    <cellStyle name="Обычный 26 4 2 2 4 2" xfId="21378"/>
    <cellStyle name="Обычный 26 4 2 2 4 2 2" xfId="21379"/>
    <cellStyle name="Обычный 26 4 2 2 4 2 2 2" xfId="21380"/>
    <cellStyle name="Обычный 26 4 2 2 4 2 2 2 2" xfId="21381"/>
    <cellStyle name="Обычный 26 4 2 2 4 2 2 3" xfId="21382"/>
    <cellStyle name="Обычный 26 4 2 2 4 2 3" xfId="21383"/>
    <cellStyle name="Обычный 26 4 2 2 4 2 3 2" xfId="21384"/>
    <cellStyle name="Обычный 26 4 2 2 4 2 3 2 2" xfId="21385"/>
    <cellStyle name="Обычный 26 4 2 2 4 2 3 3" xfId="21386"/>
    <cellStyle name="Обычный 26 4 2 2 4 2 4" xfId="21387"/>
    <cellStyle name="Обычный 26 4 2 2 4 2 4 2" xfId="21388"/>
    <cellStyle name="Обычный 26 4 2 2 4 2 5" xfId="21389"/>
    <cellStyle name="Обычный 26 4 2 2 4 2 5 2" xfId="21390"/>
    <cellStyle name="Обычный 26 4 2 2 4 2 6" xfId="21391"/>
    <cellStyle name="Обычный 26 4 2 2 4 3" xfId="21392"/>
    <cellStyle name="Обычный 26 4 2 2 4 3 2" xfId="21393"/>
    <cellStyle name="Обычный 26 4 2 2 4 3 2 2" xfId="21394"/>
    <cellStyle name="Обычный 26 4 2 2 4 3 2 2 2" xfId="21395"/>
    <cellStyle name="Обычный 26 4 2 2 4 3 2 2 2 2" xfId="21396"/>
    <cellStyle name="Обычный 26 4 2 2 4 3 2 2 2 2 2" xfId="21397"/>
    <cellStyle name="Обычный 26 4 2 2 4 3 2 2 2 2 2 2" xfId="21398"/>
    <cellStyle name="Обычный 26 4 2 2 4 3 2 2 2 2 3" xfId="21399"/>
    <cellStyle name="Обычный 26 4 2 2 4 3 2 2 2 3" xfId="21400"/>
    <cellStyle name="Обычный 26 4 2 2 4 3 2 2 2 3 2" xfId="21401"/>
    <cellStyle name="Обычный 26 4 2 2 4 3 2 2 2 4" xfId="21402"/>
    <cellStyle name="Обычный 26 4 2 2 4 3 2 2 3" xfId="21403"/>
    <cellStyle name="Обычный 26 4 2 2 4 3 2 2 3 2" xfId="21404"/>
    <cellStyle name="Обычный 26 4 2 2 4 3 2 2 3 2 2" xfId="21405"/>
    <cellStyle name="Обычный 26 4 2 2 4 3 2 2 3 3" xfId="21406"/>
    <cellStyle name="Обычный 26 4 2 2 4 3 2 2 4" xfId="21407"/>
    <cellStyle name="Обычный 26 4 2 2 4 3 2 2 4 2" xfId="21408"/>
    <cellStyle name="Обычный 26 4 2 2 4 3 2 2 4 2 2" xfId="21409"/>
    <cellStyle name="Обычный 26 4 2 2 4 3 2 2 4 3" xfId="21410"/>
    <cellStyle name="Обычный 26 4 2 2 4 3 2 2 5" xfId="21411"/>
    <cellStyle name="Обычный 26 4 2 2 4 3 2 2 5 2" xfId="21412"/>
    <cellStyle name="Обычный 26 4 2 2 4 3 2 2 6" xfId="21413"/>
    <cellStyle name="Обычный 26 4 2 2 4 3 2 2 6 2" xfId="21414"/>
    <cellStyle name="Обычный 26 4 2 2 4 3 2 2 7" xfId="21415"/>
    <cellStyle name="Обычный 26 4 2 2 4 3 2 3" xfId="21416"/>
    <cellStyle name="Обычный 26 4 2 2 4 3 2 3 2" xfId="21417"/>
    <cellStyle name="Обычный 26 4 2 2 4 3 2 3 2 2" xfId="21418"/>
    <cellStyle name="Обычный 26 4 2 2 4 3 2 3 2 2 2" xfId="21419"/>
    <cellStyle name="Обычный 26 4 2 2 4 3 2 3 2 3" xfId="21420"/>
    <cellStyle name="Обычный 26 4 2 2 4 3 2 3 3" xfId="21421"/>
    <cellStyle name="Обычный 26 4 2 2 4 3 2 3 3 2" xfId="21422"/>
    <cellStyle name="Обычный 26 4 2 2 4 3 2 3 3 2 2" xfId="21423"/>
    <cellStyle name="Обычный 26 4 2 2 4 3 2 3 3 3" xfId="21424"/>
    <cellStyle name="Обычный 26 4 2 2 4 3 2 3 4" xfId="21425"/>
    <cellStyle name="Обычный 26 4 2 2 4 3 2 3 4 2" xfId="21426"/>
    <cellStyle name="Обычный 26 4 2 2 4 3 2 3 5" xfId="21427"/>
    <cellStyle name="Обычный 26 4 2 2 4 3 2 4" xfId="21428"/>
    <cellStyle name="Обычный 26 4 2 2 4 3 2 4 2" xfId="21429"/>
    <cellStyle name="Обычный 26 4 2 2 4 3 2 4 2 2" xfId="21430"/>
    <cellStyle name="Обычный 26 4 2 2 4 3 2 4 3" xfId="21431"/>
    <cellStyle name="Обычный 26 4 2 2 4 3 2 5" xfId="21432"/>
    <cellStyle name="Обычный 26 4 2 2 4 3 2 5 2" xfId="21433"/>
    <cellStyle name="Обычный 26 4 2 2 4 3 2 5 2 2" xfId="21434"/>
    <cellStyle name="Обычный 26 4 2 2 4 3 2 5 3" xfId="21435"/>
    <cellStyle name="Обычный 26 4 2 2 4 3 2 6" xfId="21436"/>
    <cellStyle name="Обычный 26 4 2 2 4 3 2 6 2" xfId="21437"/>
    <cellStyle name="Обычный 26 4 2 2 4 3 2 7" xfId="21438"/>
    <cellStyle name="Обычный 26 4 2 2 4 3 2 7 2" xfId="21439"/>
    <cellStyle name="Обычный 26 4 2 2 4 3 2 8" xfId="21440"/>
    <cellStyle name="Обычный 26 4 2 2 4 3 3" xfId="21441"/>
    <cellStyle name="Обычный 26 4 2 2 4 3 3 2" xfId="21442"/>
    <cellStyle name="Обычный 26 4 2 2 4 3 3 2 2" xfId="21443"/>
    <cellStyle name="Обычный 26 4 2 2 4 3 3 3" xfId="21444"/>
    <cellStyle name="Обычный 26 4 2 2 4 3 4" xfId="21445"/>
    <cellStyle name="Обычный 26 4 2 2 4 3 4 2" xfId="21446"/>
    <cellStyle name="Обычный 26 4 2 2 4 3 4 2 2" xfId="21447"/>
    <cellStyle name="Обычный 26 4 2 2 4 3 4 3" xfId="21448"/>
    <cellStyle name="Обычный 26 4 2 2 4 3 5" xfId="21449"/>
    <cellStyle name="Обычный 26 4 2 2 4 3 5 2" xfId="21450"/>
    <cellStyle name="Обычный 26 4 2 2 4 3 6" xfId="21451"/>
    <cellStyle name="Обычный 26 4 2 2 4 3 6 2" xfId="21452"/>
    <cellStyle name="Обычный 26 4 2 2 4 3 7" xfId="21453"/>
    <cellStyle name="Обычный 26 4 2 2 4 4" xfId="21454"/>
    <cellStyle name="Обычный 26 4 2 2 4 4 2" xfId="21455"/>
    <cellStyle name="Обычный 26 4 2 2 4 4 2 2" xfId="21456"/>
    <cellStyle name="Обычный 26 4 2 2 4 4 3" xfId="21457"/>
    <cellStyle name="Обычный 26 4 2 2 4 5" xfId="21458"/>
    <cellStyle name="Обычный 26 4 2 2 4 5 2" xfId="21459"/>
    <cellStyle name="Обычный 26 4 2 2 4 5 2 2" xfId="21460"/>
    <cellStyle name="Обычный 26 4 2 2 4 5 3" xfId="21461"/>
    <cellStyle name="Обычный 26 4 2 2 4 6" xfId="21462"/>
    <cellStyle name="Обычный 26 4 2 2 4 6 2" xfId="21463"/>
    <cellStyle name="Обычный 26 4 2 2 4 7" xfId="21464"/>
    <cellStyle name="Обычный 26 4 2 2 4 7 2" xfId="21465"/>
    <cellStyle name="Обычный 26 4 2 2 4 8" xfId="21466"/>
    <cellStyle name="Обычный 26 4 2 2 5" xfId="21467"/>
    <cellStyle name="Обычный 26 4 2 2 5 2" xfId="21468"/>
    <cellStyle name="Обычный 26 4 2 2 5 2 2" xfId="21469"/>
    <cellStyle name="Обычный 26 4 2 2 5 2 2 2" xfId="21470"/>
    <cellStyle name="Обычный 26 4 2 2 5 2 2 2 2" xfId="21471"/>
    <cellStyle name="Обычный 26 4 2 2 5 2 2 3" xfId="21472"/>
    <cellStyle name="Обычный 26 4 2 2 5 2 3" xfId="21473"/>
    <cellStyle name="Обычный 26 4 2 2 5 2 3 2" xfId="21474"/>
    <cellStyle name="Обычный 26 4 2 2 5 2 3 2 2" xfId="21475"/>
    <cellStyle name="Обычный 26 4 2 2 5 2 3 3" xfId="21476"/>
    <cellStyle name="Обычный 26 4 2 2 5 2 4" xfId="21477"/>
    <cellStyle name="Обычный 26 4 2 2 5 2 4 2" xfId="21478"/>
    <cellStyle name="Обычный 26 4 2 2 5 2 5" xfId="21479"/>
    <cellStyle name="Обычный 26 4 2 2 5 3" xfId="21480"/>
    <cellStyle name="Обычный 26 4 2 2 5 3 2" xfId="21481"/>
    <cellStyle name="Обычный 26 4 2 2 5 3 2 2" xfId="21482"/>
    <cellStyle name="Обычный 26 4 2 2 5 3 2 2 2" xfId="21483"/>
    <cellStyle name="Обычный 26 4 2 2 5 3 2 3" xfId="21484"/>
    <cellStyle name="Обычный 26 4 2 2 5 3 3" xfId="21485"/>
    <cellStyle name="Обычный 26 4 2 2 5 3 3 2" xfId="21486"/>
    <cellStyle name="Обычный 26 4 2 2 5 3 3 2 2" xfId="21487"/>
    <cellStyle name="Обычный 26 4 2 2 5 3 3 3" xfId="21488"/>
    <cellStyle name="Обычный 26 4 2 2 5 3 4" xfId="21489"/>
    <cellStyle name="Обычный 26 4 2 2 5 3 4 2" xfId="21490"/>
    <cellStyle name="Обычный 26 4 2 2 5 3 5" xfId="21491"/>
    <cellStyle name="Обычный 26 4 2 2 5 4" xfId="21492"/>
    <cellStyle name="Обычный 26 4 2 2 5 4 2" xfId="21493"/>
    <cellStyle name="Обычный 26 4 2 2 5 4 2 2" xfId="21494"/>
    <cellStyle name="Обычный 26 4 2 2 5 4 3" xfId="21495"/>
    <cellStyle name="Обычный 26 4 2 2 5 5" xfId="21496"/>
    <cellStyle name="Обычный 26 4 2 2 5 5 2" xfId="21497"/>
    <cellStyle name="Обычный 26 4 2 2 5 5 2 2" xfId="21498"/>
    <cellStyle name="Обычный 26 4 2 2 5 5 3" xfId="21499"/>
    <cellStyle name="Обычный 26 4 2 2 5 6" xfId="21500"/>
    <cellStyle name="Обычный 26 4 2 2 5 6 2" xfId="21501"/>
    <cellStyle name="Обычный 26 4 2 2 5 7" xfId="21502"/>
    <cellStyle name="Обычный 26 4 2 2 6" xfId="21503"/>
    <cellStyle name="Обычный 26 4 2 2 6 2" xfId="21504"/>
    <cellStyle name="Обычный 26 4 2 2 6 2 2" xfId="21505"/>
    <cellStyle name="Обычный 26 4 2 2 6 2 2 2" xfId="21506"/>
    <cellStyle name="Обычный 26 4 2 2 6 2 3" xfId="21507"/>
    <cellStyle name="Обычный 26 4 2 2 6 3" xfId="21508"/>
    <cellStyle name="Обычный 26 4 2 2 6 3 2" xfId="21509"/>
    <cellStyle name="Обычный 26 4 2 2 6 3 2 2" xfId="21510"/>
    <cellStyle name="Обычный 26 4 2 2 6 3 3" xfId="21511"/>
    <cellStyle name="Обычный 26 4 2 2 6 4" xfId="21512"/>
    <cellStyle name="Обычный 26 4 2 2 6 4 2" xfId="21513"/>
    <cellStyle name="Обычный 26 4 2 2 6 5" xfId="21514"/>
    <cellStyle name="Обычный 26 4 2 2 7" xfId="21515"/>
    <cellStyle name="Обычный 26 4 2 2 7 2" xfId="21516"/>
    <cellStyle name="Обычный 26 4 2 2 7 2 2" xfId="21517"/>
    <cellStyle name="Обычный 26 4 2 2 7 2 2 2" xfId="21518"/>
    <cellStyle name="Обычный 26 4 2 2 7 2 3" xfId="21519"/>
    <cellStyle name="Обычный 26 4 2 2 7 3" xfId="21520"/>
    <cellStyle name="Обычный 26 4 2 2 7 3 2" xfId="21521"/>
    <cellStyle name="Обычный 26 4 2 2 7 3 2 2" xfId="21522"/>
    <cellStyle name="Обычный 26 4 2 2 7 3 3" xfId="21523"/>
    <cellStyle name="Обычный 26 4 2 2 7 4" xfId="21524"/>
    <cellStyle name="Обычный 26 4 2 2 7 4 2" xfId="21525"/>
    <cellStyle name="Обычный 26 4 2 2 7 5" xfId="21526"/>
    <cellStyle name="Обычный 26 4 2 2 8" xfId="21527"/>
    <cellStyle name="Обычный 26 4 2 2 8 2" xfId="21528"/>
    <cellStyle name="Обычный 26 4 2 2 8 2 2" xfId="21529"/>
    <cellStyle name="Обычный 26 4 2 2 8 3" xfId="21530"/>
    <cellStyle name="Обычный 26 4 2 2 9" xfId="21531"/>
    <cellStyle name="Обычный 26 4 2 2 9 2" xfId="21532"/>
    <cellStyle name="Обычный 26 4 2 2 9 2 2" xfId="21533"/>
    <cellStyle name="Обычный 26 4 2 2 9 3" xfId="21534"/>
    <cellStyle name="Обычный 26 4 2 3" xfId="21535"/>
    <cellStyle name="Обычный 26 4 2 3 2" xfId="21536"/>
    <cellStyle name="Обычный 26 4 2 3 2 2" xfId="21537"/>
    <cellStyle name="Обычный 26 4 2 3 2 2 2" xfId="21538"/>
    <cellStyle name="Обычный 26 4 2 3 2 2 2 2" xfId="21539"/>
    <cellStyle name="Обычный 26 4 2 3 2 2 3" xfId="21540"/>
    <cellStyle name="Обычный 26 4 2 3 2 3" xfId="21541"/>
    <cellStyle name="Обычный 26 4 2 3 2 3 2" xfId="21542"/>
    <cellStyle name="Обычный 26 4 2 3 2 3 2 2" xfId="21543"/>
    <cellStyle name="Обычный 26 4 2 3 2 3 3" xfId="21544"/>
    <cellStyle name="Обычный 26 4 2 3 2 4" xfId="21545"/>
    <cellStyle name="Обычный 26 4 2 3 2 4 2" xfId="21546"/>
    <cellStyle name="Обычный 26 4 2 3 2 5" xfId="21547"/>
    <cellStyle name="Обычный 26 4 2 3 3" xfId="21548"/>
    <cellStyle name="Обычный 26 4 2 3 3 2" xfId="21549"/>
    <cellStyle name="Обычный 26 4 2 3 3 2 2" xfId="21550"/>
    <cellStyle name="Обычный 26 4 2 3 3 2 2 2" xfId="21551"/>
    <cellStyle name="Обычный 26 4 2 3 3 2 3" xfId="21552"/>
    <cellStyle name="Обычный 26 4 2 3 3 3" xfId="21553"/>
    <cellStyle name="Обычный 26 4 2 3 3 3 2" xfId="21554"/>
    <cellStyle name="Обычный 26 4 2 3 3 3 2 2" xfId="21555"/>
    <cellStyle name="Обычный 26 4 2 3 3 3 3" xfId="21556"/>
    <cellStyle name="Обычный 26 4 2 3 3 4" xfId="21557"/>
    <cellStyle name="Обычный 26 4 2 3 3 4 2" xfId="21558"/>
    <cellStyle name="Обычный 26 4 2 3 3 5" xfId="21559"/>
    <cellStyle name="Обычный 26 4 2 3 4" xfId="21560"/>
    <cellStyle name="Обычный 26 4 2 3 4 2" xfId="21561"/>
    <cellStyle name="Обычный 26 4 2 3 4 2 2" xfId="21562"/>
    <cellStyle name="Обычный 26 4 2 3 4 3" xfId="21563"/>
    <cellStyle name="Обычный 26 4 2 3 5" xfId="21564"/>
    <cellStyle name="Обычный 26 4 2 3 5 2" xfId="21565"/>
    <cellStyle name="Обычный 26 4 2 3 5 2 2" xfId="21566"/>
    <cellStyle name="Обычный 26 4 2 3 5 3" xfId="21567"/>
    <cellStyle name="Обычный 26 4 2 3 6" xfId="21568"/>
    <cellStyle name="Обычный 26 4 2 3 6 2" xfId="21569"/>
    <cellStyle name="Обычный 26 4 2 3 7" xfId="21570"/>
    <cellStyle name="Обычный 26 4 2 3 7 2" xfId="21571"/>
    <cellStyle name="Обычный 26 4 2 3 8" xfId="21572"/>
    <cellStyle name="Обычный 26 4 2 4" xfId="21573"/>
    <cellStyle name="Обычный 26 4 2 4 2" xfId="21574"/>
    <cellStyle name="Обычный 26 4 2 4 2 2" xfId="21575"/>
    <cellStyle name="Обычный 26 4 2 4 2 2 2" xfId="21576"/>
    <cellStyle name="Обычный 26 4 2 4 2 3" xfId="21577"/>
    <cellStyle name="Обычный 26 4 2 4 3" xfId="21578"/>
    <cellStyle name="Обычный 26 4 2 4 3 2" xfId="21579"/>
    <cellStyle name="Обычный 26 4 2 4 3 2 2" xfId="21580"/>
    <cellStyle name="Обычный 26 4 2 4 3 3" xfId="21581"/>
    <cellStyle name="Обычный 26 4 2 4 4" xfId="21582"/>
    <cellStyle name="Обычный 26 4 2 4 4 2" xfId="21583"/>
    <cellStyle name="Обычный 26 4 2 4 5" xfId="21584"/>
    <cellStyle name="Обычный 26 4 2 4 5 2" xfId="21585"/>
    <cellStyle name="Обычный 26 4 2 4 6" xfId="21586"/>
    <cellStyle name="Обычный 26 4 2 5" xfId="21587"/>
    <cellStyle name="Обычный 26 4 2 5 2" xfId="21588"/>
    <cellStyle name="Обычный 26 4 2 5 2 2" xfId="21589"/>
    <cellStyle name="Обычный 26 4 2 5 2 2 2" xfId="21590"/>
    <cellStyle name="Обычный 26 4 2 5 2 3" xfId="21591"/>
    <cellStyle name="Обычный 26 4 2 5 3" xfId="21592"/>
    <cellStyle name="Обычный 26 4 2 5 3 2" xfId="21593"/>
    <cellStyle name="Обычный 26 4 2 5 3 2 2" xfId="21594"/>
    <cellStyle name="Обычный 26 4 2 5 3 3" xfId="21595"/>
    <cellStyle name="Обычный 26 4 2 5 4" xfId="21596"/>
    <cellStyle name="Обычный 26 4 2 5 4 2" xfId="21597"/>
    <cellStyle name="Обычный 26 4 2 5 5" xfId="21598"/>
    <cellStyle name="Обычный 26 4 2 6" xfId="21599"/>
    <cellStyle name="Обычный 26 4 2 6 2" xfId="21600"/>
    <cellStyle name="Обычный 26 4 2 6 2 2" xfId="21601"/>
    <cellStyle name="Обычный 26 4 2 6 3" xfId="21602"/>
    <cellStyle name="Обычный 26 4 2 7" xfId="21603"/>
    <cellStyle name="Обычный 26 4 2 7 2" xfId="21604"/>
    <cellStyle name="Обычный 26 4 2 7 2 2" xfId="21605"/>
    <cellStyle name="Обычный 26 4 2 7 3" xfId="21606"/>
    <cellStyle name="Обычный 26 4 2 8" xfId="21607"/>
    <cellStyle name="Обычный 26 4 2 8 2" xfId="21608"/>
    <cellStyle name="Обычный 26 4 2 9" xfId="21609"/>
    <cellStyle name="Обычный 26 4 2 9 2" xfId="21610"/>
    <cellStyle name="Обычный 26 4 3" xfId="21611"/>
    <cellStyle name="Обычный 26 4 3 2" xfId="21612"/>
    <cellStyle name="Обычный 26 4 3 2 2" xfId="21613"/>
    <cellStyle name="Обычный 26 4 3 2 2 2" xfId="21614"/>
    <cellStyle name="Обычный 26 4 3 2 2 2 2" xfId="21615"/>
    <cellStyle name="Обычный 26 4 3 2 2 3" xfId="21616"/>
    <cellStyle name="Обычный 26 4 3 2 3" xfId="21617"/>
    <cellStyle name="Обычный 26 4 3 2 3 2" xfId="21618"/>
    <cellStyle name="Обычный 26 4 3 2 3 2 2" xfId="21619"/>
    <cellStyle name="Обычный 26 4 3 2 3 3" xfId="21620"/>
    <cellStyle name="Обычный 26 4 3 2 4" xfId="21621"/>
    <cellStyle name="Обычный 26 4 3 2 4 2" xfId="21622"/>
    <cellStyle name="Обычный 26 4 3 2 5" xfId="21623"/>
    <cellStyle name="Обычный 26 4 3 2 5 2" xfId="21624"/>
    <cellStyle name="Обычный 26 4 3 2 6" xfId="21625"/>
    <cellStyle name="Обычный 26 4 3 3" xfId="21626"/>
    <cellStyle name="Обычный 26 4 3 3 2" xfId="21627"/>
    <cellStyle name="Обычный 26 4 3 3 2 2" xfId="21628"/>
    <cellStyle name="Обычный 26 4 3 3 2 2 2" xfId="21629"/>
    <cellStyle name="Обычный 26 4 3 3 2 3" xfId="21630"/>
    <cellStyle name="Обычный 26 4 3 3 3" xfId="21631"/>
    <cellStyle name="Обычный 26 4 3 3 3 2" xfId="21632"/>
    <cellStyle name="Обычный 26 4 3 3 3 2 2" xfId="21633"/>
    <cellStyle name="Обычный 26 4 3 3 3 3" xfId="21634"/>
    <cellStyle name="Обычный 26 4 3 3 4" xfId="21635"/>
    <cellStyle name="Обычный 26 4 3 3 4 2" xfId="21636"/>
    <cellStyle name="Обычный 26 4 3 3 5" xfId="21637"/>
    <cellStyle name="Обычный 26 4 3 3 5 2" xfId="21638"/>
    <cellStyle name="Обычный 26 4 3 3 6" xfId="21639"/>
    <cellStyle name="Обычный 26 4 3 4" xfId="21640"/>
    <cellStyle name="Обычный 26 4 3 4 2" xfId="21641"/>
    <cellStyle name="Обычный 26 4 3 4 2 2" xfId="21642"/>
    <cellStyle name="Обычный 26 4 3 4 3" xfId="21643"/>
    <cellStyle name="Обычный 26 4 3 4 3 2" xfId="21644"/>
    <cellStyle name="Обычный 26 4 3 4 4" xfId="21645"/>
    <cellStyle name="Обычный 26 4 3 5" xfId="21646"/>
    <cellStyle name="Обычный 26 4 3 5 2" xfId="21647"/>
    <cellStyle name="Обычный 26 4 3 5 2 2" xfId="21648"/>
    <cellStyle name="Обычный 26 4 3 5 3" xfId="21649"/>
    <cellStyle name="Обычный 26 4 3 6" xfId="21650"/>
    <cellStyle name="Обычный 26 4 3 6 2" xfId="21651"/>
    <cellStyle name="Обычный 26 4 3 7" xfId="21652"/>
    <cellStyle name="Обычный 26 4 3 7 2" xfId="21653"/>
    <cellStyle name="Обычный 26 4 3 8" xfId="21654"/>
    <cellStyle name="Обычный 26 4 4" xfId="21655"/>
    <cellStyle name="Обычный 26 4 4 10" xfId="21656"/>
    <cellStyle name="Обычный 26 4 4 2" xfId="21657"/>
    <cellStyle name="Обычный 26 4 4 2 2" xfId="21658"/>
    <cellStyle name="Обычный 26 4 4 2 2 2" xfId="21659"/>
    <cellStyle name="Обычный 26 4 4 2 2 2 2" xfId="21660"/>
    <cellStyle name="Обычный 26 4 4 2 2 2 2 2" xfId="21661"/>
    <cellStyle name="Обычный 26 4 4 2 2 2 3" xfId="21662"/>
    <cellStyle name="Обычный 26 4 4 2 2 3" xfId="21663"/>
    <cellStyle name="Обычный 26 4 4 2 2 3 2" xfId="21664"/>
    <cellStyle name="Обычный 26 4 4 2 2 3 2 2" xfId="21665"/>
    <cellStyle name="Обычный 26 4 4 2 2 3 3" xfId="21666"/>
    <cellStyle name="Обычный 26 4 4 2 2 4" xfId="21667"/>
    <cellStyle name="Обычный 26 4 4 2 2 4 2" xfId="21668"/>
    <cellStyle name="Обычный 26 4 4 2 2 5" xfId="21669"/>
    <cellStyle name="Обычный 26 4 4 2 3" xfId="21670"/>
    <cellStyle name="Обычный 26 4 4 2 3 2" xfId="21671"/>
    <cellStyle name="Обычный 26 4 4 2 3 2 2" xfId="21672"/>
    <cellStyle name="Обычный 26 4 4 2 3 2 2 2" xfId="21673"/>
    <cellStyle name="Обычный 26 4 4 2 3 2 3" xfId="21674"/>
    <cellStyle name="Обычный 26 4 4 2 3 3" xfId="21675"/>
    <cellStyle name="Обычный 26 4 4 2 3 3 2" xfId="21676"/>
    <cellStyle name="Обычный 26 4 4 2 3 3 2 2" xfId="21677"/>
    <cellStyle name="Обычный 26 4 4 2 3 3 3" xfId="21678"/>
    <cellStyle name="Обычный 26 4 4 2 3 4" xfId="21679"/>
    <cellStyle name="Обычный 26 4 4 2 3 4 2" xfId="21680"/>
    <cellStyle name="Обычный 26 4 4 2 3 5" xfId="21681"/>
    <cellStyle name="Обычный 26 4 4 2 4" xfId="21682"/>
    <cellStyle name="Обычный 26 4 4 2 4 2" xfId="21683"/>
    <cellStyle name="Обычный 26 4 4 2 4 2 2" xfId="21684"/>
    <cellStyle name="Обычный 26 4 4 2 4 3" xfId="21685"/>
    <cellStyle name="Обычный 26 4 4 2 5" xfId="21686"/>
    <cellStyle name="Обычный 26 4 4 2 5 2" xfId="21687"/>
    <cellStyle name="Обычный 26 4 4 2 5 2 2" xfId="21688"/>
    <cellStyle name="Обычный 26 4 4 2 5 3" xfId="21689"/>
    <cellStyle name="Обычный 26 4 4 2 6" xfId="21690"/>
    <cellStyle name="Обычный 26 4 4 2 6 2" xfId="21691"/>
    <cellStyle name="Обычный 26 4 4 2 7" xfId="21692"/>
    <cellStyle name="Обычный 26 4 4 2 7 2" xfId="21693"/>
    <cellStyle name="Обычный 26 4 4 2 8" xfId="21694"/>
    <cellStyle name="Обычный 26 4 4 3" xfId="21695"/>
    <cellStyle name="Обычный 26 4 4 3 2" xfId="21696"/>
    <cellStyle name="Обычный 26 4 4 3 2 2" xfId="21697"/>
    <cellStyle name="Обычный 26 4 4 3 2 2 2" xfId="21698"/>
    <cellStyle name="Обычный 26 4 4 3 2 2 2 2" xfId="21699"/>
    <cellStyle name="Обычный 26 4 4 3 2 2 2 2 2" xfId="21700"/>
    <cellStyle name="Обычный 26 4 4 3 2 2 2 2 2 2" xfId="21701"/>
    <cellStyle name="Обычный 26 4 4 3 2 2 2 2 2 2 2" xfId="21702"/>
    <cellStyle name="Обычный 26 4 4 3 2 2 2 2 2 3" xfId="21703"/>
    <cellStyle name="Обычный 26 4 4 3 2 2 2 2 3" xfId="21704"/>
    <cellStyle name="Обычный 26 4 4 3 2 2 2 2 3 2" xfId="21705"/>
    <cellStyle name="Обычный 26 4 4 3 2 2 2 2 4" xfId="21706"/>
    <cellStyle name="Обычный 26 4 4 3 2 2 2 3" xfId="21707"/>
    <cellStyle name="Обычный 26 4 4 3 2 2 2 3 2" xfId="21708"/>
    <cellStyle name="Обычный 26 4 4 3 2 2 2 3 2 2" xfId="21709"/>
    <cellStyle name="Обычный 26 4 4 3 2 2 2 3 3" xfId="21710"/>
    <cellStyle name="Обычный 26 4 4 3 2 2 2 4" xfId="21711"/>
    <cellStyle name="Обычный 26 4 4 3 2 2 2 4 2" xfId="21712"/>
    <cellStyle name="Обычный 26 4 4 3 2 2 2 4 2 2" xfId="21713"/>
    <cellStyle name="Обычный 26 4 4 3 2 2 2 4 3" xfId="21714"/>
    <cellStyle name="Обычный 26 4 4 3 2 2 2 5" xfId="21715"/>
    <cellStyle name="Обычный 26 4 4 3 2 2 2 5 2" xfId="21716"/>
    <cellStyle name="Обычный 26 4 4 3 2 2 2 6" xfId="21717"/>
    <cellStyle name="Обычный 26 4 4 3 2 2 2 6 2" xfId="21718"/>
    <cellStyle name="Обычный 26 4 4 3 2 2 2 7" xfId="21719"/>
    <cellStyle name="Обычный 26 4 4 3 2 2 3" xfId="21720"/>
    <cellStyle name="Обычный 26 4 4 3 2 2 3 2" xfId="21721"/>
    <cellStyle name="Обычный 26 4 4 3 2 2 3 2 2" xfId="21722"/>
    <cellStyle name="Обычный 26 4 4 3 2 2 3 2 2 2" xfId="21723"/>
    <cellStyle name="Обычный 26 4 4 3 2 2 3 2 3" xfId="21724"/>
    <cellStyle name="Обычный 26 4 4 3 2 2 3 3" xfId="21725"/>
    <cellStyle name="Обычный 26 4 4 3 2 2 3 3 2" xfId="21726"/>
    <cellStyle name="Обычный 26 4 4 3 2 2 3 3 2 2" xfId="21727"/>
    <cellStyle name="Обычный 26 4 4 3 2 2 3 3 3" xfId="21728"/>
    <cellStyle name="Обычный 26 4 4 3 2 2 3 4" xfId="21729"/>
    <cellStyle name="Обычный 26 4 4 3 2 2 3 4 2" xfId="21730"/>
    <cellStyle name="Обычный 26 4 4 3 2 2 3 5" xfId="21731"/>
    <cellStyle name="Обычный 26 4 4 3 2 2 4" xfId="21732"/>
    <cellStyle name="Обычный 26 4 4 3 2 2 4 2" xfId="21733"/>
    <cellStyle name="Обычный 26 4 4 3 2 2 4 2 2" xfId="21734"/>
    <cellStyle name="Обычный 26 4 4 3 2 2 4 3" xfId="21735"/>
    <cellStyle name="Обычный 26 4 4 3 2 2 5" xfId="21736"/>
    <cellStyle name="Обычный 26 4 4 3 2 2 5 2" xfId="21737"/>
    <cellStyle name="Обычный 26 4 4 3 2 2 5 2 2" xfId="21738"/>
    <cellStyle name="Обычный 26 4 4 3 2 2 5 3" xfId="21739"/>
    <cellStyle name="Обычный 26 4 4 3 2 2 6" xfId="21740"/>
    <cellStyle name="Обычный 26 4 4 3 2 2 6 2" xfId="21741"/>
    <cellStyle name="Обычный 26 4 4 3 2 2 7" xfId="21742"/>
    <cellStyle name="Обычный 26 4 4 3 2 2 7 2" xfId="21743"/>
    <cellStyle name="Обычный 26 4 4 3 2 2 8" xfId="21744"/>
    <cellStyle name="Обычный 26 4 4 3 2 3" xfId="21745"/>
    <cellStyle name="Обычный 26 4 4 3 2 3 2" xfId="21746"/>
    <cellStyle name="Обычный 26 4 4 3 2 3 2 2" xfId="21747"/>
    <cellStyle name="Обычный 26 4 4 3 2 3 3" xfId="21748"/>
    <cellStyle name="Обычный 26 4 4 3 2 4" xfId="21749"/>
    <cellStyle name="Обычный 26 4 4 3 2 4 2" xfId="21750"/>
    <cellStyle name="Обычный 26 4 4 3 2 4 2 2" xfId="21751"/>
    <cellStyle name="Обычный 26 4 4 3 2 4 3" xfId="21752"/>
    <cellStyle name="Обычный 26 4 4 3 2 5" xfId="21753"/>
    <cellStyle name="Обычный 26 4 4 3 2 5 2" xfId="21754"/>
    <cellStyle name="Обычный 26 4 4 3 2 6" xfId="21755"/>
    <cellStyle name="Обычный 26 4 4 3 2 6 2" xfId="21756"/>
    <cellStyle name="Обычный 26 4 4 3 2 7" xfId="21757"/>
    <cellStyle name="Обычный 26 4 4 3 3" xfId="21758"/>
    <cellStyle name="Обычный 26 4 4 3 3 2" xfId="21759"/>
    <cellStyle name="Обычный 26 4 4 3 3 2 2" xfId="21760"/>
    <cellStyle name="Обычный 26 4 4 3 3 2 2 2" xfId="21761"/>
    <cellStyle name="Обычный 26 4 4 3 3 2 3" xfId="21762"/>
    <cellStyle name="Обычный 26 4 4 3 3 3" xfId="21763"/>
    <cellStyle name="Обычный 26 4 4 3 3 3 2" xfId="21764"/>
    <cellStyle name="Обычный 26 4 4 3 3 3 2 2" xfId="21765"/>
    <cellStyle name="Обычный 26 4 4 3 3 3 3" xfId="21766"/>
    <cellStyle name="Обычный 26 4 4 3 3 4" xfId="21767"/>
    <cellStyle name="Обычный 26 4 4 3 3 4 2" xfId="21768"/>
    <cellStyle name="Обычный 26 4 4 3 3 5" xfId="21769"/>
    <cellStyle name="Обычный 26 4 4 3 4" xfId="21770"/>
    <cellStyle name="Обычный 26 4 4 3 4 2" xfId="21771"/>
    <cellStyle name="Обычный 26 4 4 3 4 2 2" xfId="21772"/>
    <cellStyle name="Обычный 26 4 4 3 4 3" xfId="21773"/>
    <cellStyle name="Обычный 26 4 4 3 5" xfId="21774"/>
    <cellStyle name="Обычный 26 4 4 3 5 2" xfId="21775"/>
    <cellStyle name="Обычный 26 4 4 3 5 2 2" xfId="21776"/>
    <cellStyle name="Обычный 26 4 4 3 5 3" xfId="21777"/>
    <cellStyle name="Обычный 26 4 4 3 6" xfId="21778"/>
    <cellStyle name="Обычный 26 4 4 3 6 2" xfId="21779"/>
    <cellStyle name="Обычный 26 4 4 3 7" xfId="21780"/>
    <cellStyle name="Обычный 26 4 4 3 7 2" xfId="21781"/>
    <cellStyle name="Обычный 26 4 4 3 8" xfId="21782"/>
    <cellStyle name="Обычный 26 4 4 4" xfId="21783"/>
    <cellStyle name="Обычный 26 4 4 4 2" xfId="21784"/>
    <cellStyle name="Обычный 26 4 4 4 2 2" xfId="21785"/>
    <cellStyle name="Обычный 26 4 4 4 2 2 2" xfId="21786"/>
    <cellStyle name="Обычный 26 4 4 4 2 3" xfId="21787"/>
    <cellStyle name="Обычный 26 4 4 4 3" xfId="21788"/>
    <cellStyle name="Обычный 26 4 4 4 3 2" xfId="21789"/>
    <cellStyle name="Обычный 26 4 4 4 3 2 2" xfId="21790"/>
    <cellStyle name="Обычный 26 4 4 4 3 3" xfId="21791"/>
    <cellStyle name="Обычный 26 4 4 4 4" xfId="21792"/>
    <cellStyle name="Обычный 26 4 4 4 4 2" xfId="21793"/>
    <cellStyle name="Обычный 26 4 4 4 5" xfId="21794"/>
    <cellStyle name="Обычный 26 4 4 5" xfId="21795"/>
    <cellStyle name="Обычный 26 4 4 5 2" xfId="21796"/>
    <cellStyle name="Обычный 26 4 4 5 2 2" xfId="21797"/>
    <cellStyle name="Обычный 26 4 4 5 2 2 2" xfId="21798"/>
    <cellStyle name="Обычный 26 4 4 5 2 3" xfId="21799"/>
    <cellStyle name="Обычный 26 4 4 5 3" xfId="21800"/>
    <cellStyle name="Обычный 26 4 4 5 3 2" xfId="21801"/>
    <cellStyle name="Обычный 26 4 4 5 3 2 2" xfId="21802"/>
    <cellStyle name="Обычный 26 4 4 5 3 3" xfId="21803"/>
    <cellStyle name="Обычный 26 4 4 5 4" xfId="21804"/>
    <cellStyle name="Обычный 26 4 4 5 4 2" xfId="21805"/>
    <cellStyle name="Обычный 26 4 4 5 5" xfId="21806"/>
    <cellStyle name="Обычный 26 4 4 6" xfId="21807"/>
    <cellStyle name="Обычный 26 4 4 6 2" xfId="21808"/>
    <cellStyle name="Обычный 26 4 4 6 2 2" xfId="21809"/>
    <cellStyle name="Обычный 26 4 4 6 3" xfId="21810"/>
    <cellStyle name="Обычный 26 4 4 7" xfId="21811"/>
    <cellStyle name="Обычный 26 4 4 7 2" xfId="21812"/>
    <cellStyle name="Обычный 26 4 4 7 2 2" xfId="21813"/>
    <cellStyle name="Обычный 26 4 4 7 3" xfId="21814"/>
    <cellStyle name="Обычный 26 4 4 8" xfId="21815"/>
    <cellStyle name="Обычный 26 4 4 8 2" xfId="21816"/>
    <cellStyle name="Обычный 26 4 4 9" xfId="21817"/>
    <cellStyle name="Обычный 26 4 4 9 2" xfId="21818"/>
    <cellStyle name="Обычный 26 4 5" xfId="21819"/>
    <cellStyle name="Обычный 26 4 5 2" xfId="21820"/>
    <cellStyle name="Обычный 26 4 5 2 2" xfId="21821"/>
    <cellStyle name="Обычный 26 4 5 2 2 2" xfId="21822"/>
    <cellStyle name="Обычный 26 4 5 2 2 2 2" xfId="21823"/>
    <cellStyle name="Обычный 26 4 5 2 2 3" xfId="21824"/>
    <cellStyle name="Обычный 26 4 5 2 3" xfId="21825"/>
    <cellStyle name="Обычный 26 4 5 2 3 2" xfId="21826"/>
    <cellStyle name="Обычный 26 4 5 2 3 2 2" xfId="21827"/>
    <cellStyle name="Обычный 26 4 5 2 3 3" xfId="21828"/>
    <cellStyle name="Обычный 26 4 5 2 4" xfId="21829"/>
    <cellStyle name="Обычный 26 4 5 2 4 2" xfId="21830"/>
    <cellStyle name="Обычный 26 4 5 2 5" xfId="21831"/>
    <cellStyle name="Обычный 26 4 5 3" xfId="21832"/>
    <cellStyle name="Обычный 26 4 5 3 2" xfId="21833"/>
    <cellStyle name="Обычный 26 4 5 3 2 2" xfId="21834"/>
    <cellStyle name="Обычный 26 4 5 3 2 2 2" xfId="21835"/>
    <cellStyle name="Обычный 26 4 5 3 2 3" xfId="21836"/>
    <cellStyle name="Обычный 26 4 5 3 3" xfId="21837"/>
    <cellStyle name="Обычный 26 4 5 3 3 2" xfId="21838"/>
    <cellStyle name="Обычный 26 4 5 3 3 2 2" xfId="21839"/>
    <cellStyle name="Обычный 26 4 5 3 3 3" xfId="21840"/>
    <cellStyle name="Обычный 26 4 5 3 4" xfId="21841"/>
    <cellStyle name="Обычный 26 4 5 3 4 2" xfId="21842"/>
    <cellStyle name="Обычный 26 4 5 3 5" xfId="21843"/>
    <cellStyle name="Обычный 26 4 5 4" xfId="21844"/>
    <cellStyle name="Обычный 26 4 5 4 2" xfId="21845"/>
    <cellStyle name="Обычный 26 4 5 4 2 2" xfId="21846"/>
    <cellStyle name="Обычный 26 4 5 4 3" xfId="21847"/>
    <cellStyle name="Обычный 26 4 5 5" xfId="21848"/>
    <cellStyle name="Обычный 26 4 5 5 2" xfId="21849"/>
    <cellStyle name="Обычный 26 4 5 5 2 2" xfId="21850"/>
    <cellStyle name="Обычный 26 4 5 5 3" xfId="21851"/>
    <cellStyle name="Обычный 26 4 5 6" xfId="21852"/>
    <cellStyle name="Обычный 26 4 5 6 2" xfId="21853"/>
    <cellStyle name="Обычный 26 4 5 7" xfId="21854"/>
    <cellStyle name="Обычный 26 4 5 7 2" xfId="21855"/>
    <cellStyle name="Обычный 26 4 5 8" xfId="21856"/>
    <cellStyle name="Обычный 26 4 6" xfId="21857"/>
    <cellStyle name="Обычный 26 4 6 2" xfId="21858"/>
    <cellStyle name="Обычный 26 4 6 2 2" xfId="21859"/>
    <cellStyle name="Обычный 26 4 6 2 2 2" xfId="21860"/>
    <cellStyle name="Обычный 26 4 6 2 3" xfId="21861"/>
    <cellStyle name="Обычный 26 4 6 3" xfId="21862"/>
    <cellStyle name="Обычный 26 4 6 3 2" xfId="21863"/>
    <cellStyle name="Обычный 26 4 6 3 2 2" xfId="21864"/>
    <cellStyle name="Обычный 26 4 6 3 3" xfId="21865"/>
    <cellStyle name="Обычный 26 4 6 4" xfId="21866"/>
    <cellStyle name="Обычный 26 4 6 4 2" xfId="21867"/>
    <cellStyle name="Обычный 26 4 6 5" xfId="21868"/>
    <cellStyle name="Обычный 26 4 6 5 2" xfId="21869"/>
    <cellStyle name="Обычный 26 4 6 6" xfId="21870"/>
    <cellStyle name="Обычный 26 4 7" xfId="21871"/>
    <cellStyle name="Обычный 26 4 7 2" xfId="21872"/>
    <cellStyle name="Обычный 26 4 7 2 2" xfId="21873"/>
    <cellStyle name="Обычный 26 4 7 2 2 2" xfId="21874"/>
    <cellStyle name="Обычный 26 4 7 2 3" xfId="21875"/>
    <cellStyle name="Обычный 26 4 7 3" xfId="21876"/>
    <cellStyle name="Обычный 26 4 7 3 2" xfId="21877"/>
    <cellStyle name="Обычный 26 4 7 3 2 2" xfId="21878"/>
    <cellStyle name="Обычный 26 4 7 3 3" xfId="21879"/>
    <cellStyle name="Обычный 26 4 7 4" xfId="21880"/>
    <cellStyle name="Обычный 26 4 7 4 2" xfId="21881"/>
    <cellStyle name="Обычный 26 4 7 5" xfId="21882"/>
    <cellStyle name="Обычный 26 4 8" xfId="21883"/>
    <cellStyle name="Обычный 26 4 8 2" xfId="21884"/>
    <cellStyle name="Обычный 26 4 8 2 2" xfId="21885"/>
    <cellStyle name="Обычный 26 4 8 3" xfId="21886"/>
    <cellStyle name="Обычный 26 4 9" xfId="21887"/>
    <cellStyle name="Обычный 26 4 9 2" xfId="21888"/>
    <cellStyle name="Обычный 26 4 9 2 2" xfId="21889"/>
    <cellStyle name="Обычный 26 4 9 3" xfId="21890"/>
    <cellStyle name="Обычный 26 5" xfId="21891"/>
    <cellStyle name="Обычный 26 5 2" xfId="21892"/>
    <cellStyle name="Обычный 26 5 2 2" xfId="21893"/>
    <cellStyle name="Обычный 26 5 2 2 2" xfId="21894"/>
    <cellStyle name="Обычный 26 5 2 2 2 2" xfId="21895"/>
    <cellStyle name="Обычный 26 5 2 2 2 2 2" xfId="21896"/>
    <cellStyle name="Обычный 26 5 2 2 2 3" xfId="21897"/>
    <cellStyle name="Обычный 26 5 2 2 3" xfId="21898"/>
    <cellStyle name="Обычный 26 5 2 2 3 2" xfId="21899"/>
    <cellStyle name="Обычный 26 5 2 2 3 2 2" xfId="21900"/>
    <cellStyle name="Обычный 26 5 2 2 3 3" xfId="21901"/>
    <cellStyle name="Обычный 26 5 2 2 4" xfId="21902"/>
    <cellStyle name="Обычный 26 5 2 2 4 2" xfId="21903"/>
    <cellStyle name="Обычный 26 5 2 2 5" xfId="21904"/>
    <cellStyle name="Обычный 26 5 2 2 5 2" xfId="21905"/>
    <cellStyle name="Обычный 26 5 2 2 6" xfId="21906"/>
    <cellStyle name="Обычный 26 5 2 3" xfId="21907"/>
    <cellStyle name="Обычный 26 5 2 3 2" xfId="21908"/>
    <cellStyle name="Обычный 26 5 2 3 2 2" xfId="21909"/>
    <cellStyle name="Обычный 26 5 2 3 2 2 2" xfId="21910"/>
    <cellStyle name="Обычный 26 5 2 3 2 3" xfId="21911"/>
    <cellStyle name="Обычный 26 5 2 3 3" xfId="21912"/>
    <cellStyle name="Обычный 26 5 2 3 3 2" xfId="21913"/>
    <cellStyle name="Обычный 26 5 2 3 3 2 2" xfId="21914"/>
    <cellStyle name="Обычный 26 5 2 3 3 3" xfId="21915"/>
    <cellStyle name="Обычный 26 5 2 3 4" xfId="21916"/>
    <cellStyle name="Обычный 26 5 2 3 4 2" xfId="21917"/>
    <cellStyle name="Обычный 26 5 2 3 5" xfId="21918"/>
    <cellStyle name="Обычный 26 5 2 4" xfId="21919"/>
    <cellStyle name="Обычный 26 5 2 4 2" xfId="21920"/>
    <cellStyle name="Обычный 26 5 2 4 2 2" xfId="21921"/>
    <cellStyle name="Обычный 26 5 2 4 3" xfId="21922"/>
    <cellStyle name="Обычный 26 5 2 5" xfId="21923"/>
    <cellStyle name="Обычный 26 5 2 5 2" xfId="21924"/>
    <cellStyle name="Обычный 26 5 2 5 2 2" xfId="21925"/>
    <cellStyle name="Обычный 26 5 2 5 3" xfId="21926"/>
    <cellStyle name="Обычный 26 5 2 6" xfId="21927"/>
    <cellStyle name="Обычный 26 5 2 6 2" xfId="21928"/>
    <cellStyle name="Обычный 26 5 2 7" xfId="21929"/>
    <cellStyle name="Обычный 26 5 2 7 2" xfId="21930"/>
    <cellStyle name="Обычный 26 5 2 8" xfId="21931"/>
    <cellStyle name="Обычный 26 5 3" xfId="21932"/>
    <cellStyle name="Обычный 26 5 3 2" xfId="21933"/>
    <cellStyle name="Обычный 26 5 3 2 2" xfId="21934"/>
    <cellStyle name="Обычный 26 5 3 2 2 2" xfId="21935"/>
    <cellStyle name="Обычный 26 5 3 2 3" xfId="21936"/>
    <cellStyle name="Обычный 26 5 3 3" xfId="21937"/>
    <cellStyle name="Обычный 26 5 3 3 2" xfId="21938"/>
    <cellStyle name="Обычный 26 5 3 3 2 2" xfId="21939"/>
    <cellStyle name="Обычный 26 5 3 3 3" xfId="21940"/>
    <cellStyle name="Обычный 26 5 3 4" xfId="21941"/>
    <cellStyle name="Обычный 26 5 3 4 2" xfId="21942"/>
    <cellStyle name="Обычный 26 5 3 5" xfId="21943"/>
    <cellStyle name="Обычный 26 5 3 5 2" xfId="21944"/>
    <cellStyle name="Обычный 26 5 3 6" xfId="21945"/>
    <cellStyle name="Обычный 26 5 4" xfId="21946"/>
    <cellStyle name="Обычный 26 5 4 2" xfId="21947"/>
    <cellStyle name="Обычный 26 5 4 2 2" xfId="21948"/>
    <cellStyle name="Обычный 26 5 4 2 2 2" xfId="21949"/>
    <cellStyle name="Обычный 26 5 4 2 3" xfId="21950"/>
    <cellStyle name="Обычный 26 5 4 3" xfId="21951"/>
    <cellStyle name="Обычный 26 5 4 3 2" xfId="21952"/>
    <cellStyle name="Обычный 26 5 4 3 2 2" xfId="21953"/>
    <cellStyle name="Обычный 26 5 4 3 3" xfId="21954"/>
    <cellStyle name="Обычный 26 5 4 4" xfId="21955"/>
    <cellStyle name="Обычный 26 5 4 4 2" xfId="21956"/>
    <cellStyle name="Обычный 26 5 4 5" xfId="21957"/>
    <cellStyle name="Обычный 26 5 4 5 2" xfId="21958"/>
    <cellStyle name="Обычный 26 5 4 6" xfId="21959"/>
    <cellStyle name="Обычный 26 5 5" xfId="21960"/>
    <cellStyle name="Обычный 26 5 5 2" xfId="21961"/>
    <cellStyle name="Обычный 26 5 5 2 2" xfId="21962"/>
    <cellStyle name="Обычный 26 5 5 3" xfId="21963"/>
    <cellStyle name="Обычный 26 5 6" xfId="21964"/>
    <cellStyle name="Обычный 26 5 6 2" xfId="21965"/>
    <cellStyle name="Обычный 26 5 6 2 2" xfId="21966"/>
    <cellStyle name="Обычный 26 5 6 3" xfId="21967"/>
    <cellStyle name="Обычный 26 5 7" xfId="21968"/>
    <cellStyle name="Обычный 26 5 7 2" xfId="21969"/>
    <cellStyle name="Обычный 26 5 8" xfId="21970"/>
    <cellStyle name="Обычный 26 5 8 2" xfId="21971"/>
    <cellStyle name="Обычный 26 5 9" xfId="21972"/>
    <cellStyle name="Обычный 26 6" xfId="21973"/>
    <cellStyle name="Обычный 26 6 2" xfId="21974"/>
    <cellStyle name="Обычный 26 6 2 2" xfId="21975"/>
    <cellStyle name="Обычный 26 6 2 2 2" xfId="21976"/>
    <cellStyle name="Обычный 26 6 2 2 2 2" xfId="21977"/>
    <cellStyle name="Обычный 26 6 2 2 3" xfId="21978"/>
    <cellStyle name="Обычный 26 6 2 3" xfId="21979"/>
    <cellStyle name="Обычный 26 6 2 3 2" xfId="21980"/>
    <cellStyle name="Обычный 26 6 2 3 2 2" xfId="21981"/>
    <cellStyle name="Обычный 26 6 2 3 3" xfId="21982"/>
    <cellStyle name="Обычный 26 6 2 4" xfId="21983"/>
    <cellStyle name="Обычный 26 6 2 4 2" xfId="21984"/>
    <cellStyle name="Обычный 26 6 2 5" xfId="21985"/>
    <cellStyle name="Обычный 26 6 2 5 2" xfId="21986"/>
    <cellStyle name="Обычный 26 6 2 6" xfId="21987"/>
    <cellStyle name="Обычный 26 6 3" xfId="21988"/>
    <cellStyle name="Обычный 26 6 3 2" xfId="21989"/>
    <cellStyle name="Обычный 26 6 3 2 2" xfId="21990"/>
    <cellStyle name="Обычный 26 6 3 2 2 2" xfId="21991"/>
    <cellStyle name="Обычный 26 6 3 2 3" xfId="21992"/>
    <cellStyle name="Обычный 26 6 3 3" xfId="21993"/>
    <cellStyle name="Обычный 26 6 3 3 2" xfId="21994"/>
    <cellStyle name="Обычный 26 6 3 3 2 2" xfId="21995"/>
    <cellStyle name="Обычный 26 6 3 3 3" xfId="21996"/>
    <cellStyle name="Обычный 26 6 3 4" xfId="21997"/>
    <cellStyle name="Обычный 26 6 3 4 2" xfId="21998"/>
    <cellStyle name="Обычный 26 6 3 5" xfId="21999"/>
    <cellStyle name="Обычный 26 6 3 5 2" xfId="22000"/>
    <cellStyle name="Обычный 26 6 3 6" xfId="22001"/>
    <cellStyle name="Обычный 26 6 4" xfId="22002"/>
    <cellStyle name="Обычный 26 6 4 2" xfId="22003"/>
    <cellStyle name="Обычный 26 6 4 2 2" xfId="22004"/>
    <cellStyle name="Обычный 26 6 4 3" xfId="22005"/>
    <cellStyle name="Обычный 26 6 4 3 2" xfId="22006"/>
    <cellStyle name="Обычный 26 6 4 4" xfId="22007"/>
    <cellStyle name="Обычный 26 6 5" xfId="22008"/>
    <cellStyle name="Обычный 26 6 5 2" xfId="22009"/>
    <cellStyle name="Обычный 26 6 5 2 2" xfId="22010"/>
    <cellStyle name="Обычный 26 6 5 3" xfId="22011"/>
    <cellStyle name="Обычный 26 6 6" xfId="22012"/>
    <cellStyle name="Обычный 26 6 6 2" xfId="22013"/>
    <cellStyle name="Обычный 26 6 7" xfId="22014"/>
    <cellStyle name="Обычный 26 6 7 2" xfId="22015"/>
    <cellStyle name="Обычный 26 6 8" xfId="22016"/>
    <cellStyle name="Обычный 26 7" xfId="22017"/>
    <cellStyle name="Обычный 26 7 2" xfId="22018"/>
    <cellStyle name="Обычный 26 7 2 2" xfId="22019"/>
    <cellStyle name="Обычный 26 7 2 2 2" xfId="22020"/>
    <cellStyle name="Обычный 26 7 2 2 2 2" xfId="22021"/>
    <cellStyle name="Обычный 26 7 2 2 3" xfId="22022"/>
    <cellStyle name="Обычный 26 7 2 3" xfId="22023"/>
    <cellStyle name="Обычный 26 7 2 3 2" xfId="22024"/>
    <cellStyle name="Обычный 26 7 2 3 2 2" xfId="22025"/>
    <cellStyle name="Обычный 26 7 2 3 3" xfId="22026"/>
    <cellStyle name="Обычный 26 7 2 4" xfId="22027"/>
    <cellStyle name="Обычный 26 7 2 4 2" xfId="22028"/>
    <cellStyle name="Обычный 26 7 2 5" xfId="22029"/>
    <cellStyle name="Обычный 26 7 3" xfId="22030"/>
    <cellStyle name="Обычный 26 7 3 2" xfId="22031"/>
    <cellStyle name="Обычный 26 7 3 2 2" xfId="22032"/>
    <cellStyle name="Обычный 26 7 3 2 2 2" xfId="22033"/>
    <cellStyle name="Обычный 26 7 3 2 3" xfId="22034"/>
    <cellStyle name="Обычный 26 7 3 3" xfId="22035"/>
    <cellStyle name="Обычный 26 7 3 3 2" xfId="22036"/>
    <cellStyle name="Обычный 26 7 3 3 2 2" xfId="22037"/>
    <cellStyle name="Обычный 26 7 3 3 3" xfId="22038"/>
    <cellStyle name="Обычный 26 7 3 4" xfId="22039"/>
    <cellStyle name="Обычный 26 7 3 4 2" xfId="22040"/>
    <cellStyle name="Обычный 26 7 3 5" xfId="22041"/>
    <cellStyle name="Обычный 26 7 4" xfId="22042"/>
    <cellStyle name="Обычный 26 7 4 2" xfId="22043"/>
    <cellStyle name="Обычный 26 7 4 2 2" xfId="22044"/>
    <cellStyle name="Обычный 26 7 4 3" xfId="22045"/>
    <cellStyle name="Обычный 26 7 5" xfId="22046"/>
    <cellStyle name="Обычный 26 7 5 2" xfId="22047"/>
    <cellStyle name="Обычный 26 7 5 2 2" xfId="22048"/>
    <cellStyle name="Обычный 26 7 5 3" xfId="22049"/>
    <cellStyle name="Обычный 26 7 6" xfId="22050"/>
    <cellStyle name="Обычный 26 7 6 2" xfId="22051"/>
    <cellStyle name="Обычный 26 7 7" xfId="22052"/>
    <cellStyle name="Обычный 26 7 7 2" xfId="22053"/>
    <cellStyle name="Обычный 26 7 8" xfId="22054"/>
    <cellStyle name="Обычный 26 8" xfId="22055"/>
    <cellStyle name="Обычный 26 8 2" xfId="22056"/>
    <cellStyle name="Обычный 26 8 2 2" xfId="22057"/>
    <cellStyle name="Обычный 26 8 2 2 2" xfId="22058"/>
    <cellStyle name="Обычный 26 8 2 3" xfId="22059"/>
    <cellStyle name="Обычный 26 8 3" xfId="22060"/>
    <cellStyle name="Обычный 26 8 3 2" xfId="22061"/>
    <cellStyle name="Обычный 26 8 3 2 2" xfId="22062"/>
    <cellStyle name="Обычный 26 8 3 3" xfId="22063"/>
    <cellStyle name="Обычный 26 8 4" xfId="22064"/>
    <cellStyle name="Обычный 26 8 4 2" xfId="22065"/>
    <cellStyle name="Обычный 26 8 5" xfId="22066"/>
    <cellStyle name="Обычный 26 8 5 2" xfId="22067"/>
    <cellStyle name="Обычный 26 8 6" xfId="22068"/>
    <cellStyle name="Обычный 26 9" xfId="22069"/>
    <cellStyle name="Обычный 26 9 2" xfId="22070"/>
    <cellStyle name="Обычный 26 9 2 2" xfId="22071"/>
    <cellStyle name="Обычный 26 9 2 2 2" xfId="22072"/>
    <cellStyle name="Обычный 26 9 2 3" xfId="22073"/>
    <cellStyle name="Обычный 26 9 3" xfId="22074"/>
    <cellStyle name="Обычный 26 9 3 2" xfId="22075"/>
    <cellStyle name="Обычный 26 9 3 2 2" xfId="22076"/>
    <cellStyle name="Обычный 26 9 3 3" xfId="22077"/>
    <cellStyle name="Обычный 26 9 4" xfId="22078"/>
    <cellStyle name="Обычный 26 9 4 2" xfId="22079"/>
    <cellStyle name="Обычный 26 9 5" xfId="22080"/>
    <cellStyle name="Обычный 26 9 5 2" xfId="22081"/>
    <cellStyle name="Обычный 26 9 6" xfId="22082"/>
    <cellStyle name="Обычный 26_Лист3" xfId="22083"/>
    <cellStyle name="Обычный 27" xfId="22084"/>
    <cellStyle name="Обычный 27 10" xfId="22085"/>
    <cellStyle name="Обычный 27 10 2" xfId="22086"/>
    <cellStyle name="Обычный 27 11" xfId="22087"/>
    <cellStyle name="Обычный 27 2" xfId="22088"/>
    <cellStyle name="Обычный 27 2 10" xfId="22089"/>
    <cellStyle name="Обычный 27 2 2" xfId="22090"/>
    <cellStyle name="Обычный 27 2 2 2" xfId="22091"/>
    <cellStyle name="Обычный 27 2 2 2 2" xfId="22092"/>
    <cellStyle name="Обычный 27 2 2 2 2 2" xfId="22093"/>
    <cellStyle name="Обычный 27 2 2 2 2 2 2" xfId="22094"/>
    <cellStyle name="Обычный 27 2 2 2 2 3" xfId="22095"/>
    <cellStyle name="Обычный 27 2 2 2 3" xfId="22096"/>
    <cellStyle name="Обычный 27 2 2 2 3 2" xfId="22097"/>
    <cellStyle name="Обычный 27 2 2 2 3 2 2" xfId="22098"/>
    <cellStyle name="Обычный 27 2 2 2 3 3" xfId="22099"/>
    <cellStyle name="Обычный 27 2 2 2 4" xfId="22100"/>
    <cellStyle name="Обычный 27 2 2 2 4 2" xfId="22101"/>
    <cellStyle name="Обычный 27 2 2 2 5" xfId="22102"/>
    <cellStyle name="Обычный 27 2 2 2 5 2" xfId="22103"/>
    <cellStyle name="Обычный 27 2 2 2 6" xfId="22104"/>
    <cellStyle name="Обычный 27 2 2 3" xfId="22105"/>
    <cellStyle name="Обычный 27 2 2 3 2" xfId="22106"/>
    <cellStyle name="Обычный 27 2 2 3 2 2" xfId="22107"/>
    <cellStyle name="Обычный 27 2 2 3 2 2 2" xfId="22108"/>
    <cellStyle name="Обычный 27 2 2 3 2 3" xfId="22109"/>
    <cellStyle name="Обычный 27 2 2 3 3" xfId="22110"/>
    <cellStyle name="Обычный 27 2 2 3 3 2" xfId="22111"/>
    <cellStyle name="Обычный 27 2 2 3 3 2 2" xfId="22112"/>
    <cellStyle name="Обычный 27 2 2 3 3 3" xfId="22113"/>
    <cellStyle name="Обычный 27 2 2 3 4" xfId="22114"/>
    <cellStyle name="Обычный 27 2 2 3 4 2" xfId="22115"/>
    <cellStyle name="Обычный 27 2 2 3 5" xfId="22116"/>
    <cellStyle name="Обычный 27 2 2 3 5 2" xfId="22117"/>
    <cellStyle name="Обычный 27 2 2 3 6" xfId="22118"/>
    <cellStyle name="Обычный 27 2 2 4" xfId="22119"/>
    <cellStyle name="Обычный 27 2 2 4 2" xfId="22120"/>
    <cellStyle name="Обычный 27 2 2 4 2 2" xfId="22121"/>
    <cellStyle name="Обычный 27 2 2 4 3" xfId="22122"/>
    <cellStyle name="Обычный 27 2 2 4 3 2" xfId="22123"/>
    <cellStyle name="Обычный 27 2 2 4 4" xfId="22124"/>
    <cellStyle name="Обычный 27 2 2 5" xfId="22125"/>
    <cellStyle name="Обычный 27 2 2 5 2" xfId="22126"/>
    <cellStyle name="Обычный 27 2 2 5 2 2" xfId="22127"/>
    <cellStyle name="Обычный 27 2 2 6" xfId="22128"/>
    <cellStyle name="Обычный 27 2 2 6 2" xfId="22129"/>
    <cellStyle name="Обычный 27 2 2 7" xfId="22130"/>
    <cellStyle name="Обычный 27 2 2 8" xfId="22131"/>
    <cellStyle name="Обычный 27 2 3" xfId="22132"/>
    <cellStyle name="Обычный 27 2 3 2" xfId="22133"/>
    <cellStyle name="Обычный 27 2 3 2 2" xfId="22134"/>
    <cellStyle name="Обычный 27 2 3 2 2 2" xfId="22135"/>
    <cellStyle name="Обычный 27 2 3 2 2 2 2" xfId="22136"/>
    <cellStyle name="Обычный 27 2 3 2 2 3" xfId="22137"/>
    <cellStyle name="Обычный 27 2 3 2 3" xfId="22138"/>
    <cellStyle name="Обычный 27 2 3 2 3 2" xfId="22139"/>
    <cellStyle name="Обычный 27 2 3 2 3 2 2" xfId="22140"/>
    <cellStyle name="Обычный 27 2 3 2 3 3" xfId="22141"/>
    <cellStyle name="Обычный 27 2 3 2 4" xfId="22142"/>
    <cellStyle name="Обычный 27 2 3 2 4 2" xfId="22143"/>
    <cellStyle name="Обычный 27 2 3 2 5" xfId="22144"/>
    <cellStyle name="Обычный 27 2 3 2 5 2" xfId="22145"/>
    <cellStyle name="Обычный 27 2 3 2 6" xfId="22146"/>
    <cellStyle name="Обычный 27 2 3 3" xfId="22147"/>
    <cellStyle name="Обычный 27 2 3 3 2" xfId="22148"/>
    <cellStyle name="Обычный 27 2 3 3 2 2" xfId="22149"/>
    <cellStyle name="Обычный 27 2 3 3 2 2 2" xfId="22150"/>
    <cellStyle name="Обычный 27 2 3 3 2 3" xfId="22151"/>
    <cellStyle name="Обычный 27 2 3 3 3" xfId="22152"/>
    <cellStyle name="Обычный 27 2 3 3 3 2" xfId="22153"/>
    <cellStyle name="Обычный 27 2 3 3 3 2 2" xfId="22154"/>
    <cellStyle name="Обычный 27 2 3 3 3 3" xfId="22155"/>
    <cellStyle name="Обычный 27 2 3 3 4" xfId="22156"/>
    <cellStyle name="Обычный 27 2 3 3 4 2" xfId="22157"/>
    <cellStyle name="Обычный 27 2 3 3 5" xfId="22158"/>
    <cellStyle name="Обычный 27 2 3 4" xfId="22159"/>
    <cellStyle name="Обычный 27 2 3 4 2" xfId="22160"/>
    <cellStyle name="Обычный 27 2 3 4 2 2" xfId="22161"/>
    <cellStyle name="Обычный 27 2 3 4 3" xfId="22162"/>
    <cellStyle name="Обычный 27 2 3 5" xfId="22163"/>
    <cellStyle name="Обычный 27 2 3 5 2" xfId="22164"/>
    <cellStyle name="Обычный 27 2 3 5 2 2" xfId="22165"/>
    <cellStyle name="Обычный 27 2 3 5 3" xfId="22166"/>
    <cellStyle name="Обычный 27 2 3 6" xfId="22167"/>
    <cellStyle name="Обычный 27 2 3 6 2" xfId="22168"/>
    <cellStyle name="Обычный 27 2 3 7" xfId="22169"/>
    <cellStyle name="Обычный 27 2 3 7 2" xfId="22170"/>
    <cellStyle name="Обычный 27 2 3 8" xfId="22171"/>
    <cellStyle name="Обычный 27 2 4" xfId="22172"/>
    <cellStyle name="Обычный 27 2 4 2" xfId="22173"/>
    <cellStyle name="Обычный 27 2 4 2 2" xfId="22174"/>
    <cellStyle name="Обычный 27 2 4 2 2 2" xfId="22175"/>
    <cellStyle name="Обычный 27 2 4 2 3" xfId="22176"/>
    <cellStyle name="Обычный 27 2 4 3" xfId="22177"/>
    <cellStyle name="Обычный 27 2 4 3 2" xfId="22178"/>
    <cellStyle name="Обычный 27 2 4 3 2 2" xfId="22179"/>
    <cellStyle name="Обычный 27 2 4 3 3" xfId="22180"/>
    <cellStyle name="Обычный 27 2 4 4" xfId="22181"/>
    <cellStyle name="Обычный 27 2 4 4 2" xfId="22182"/>
    <cellStyle name="Обычный 27 2 4 5" xfId="22183"/>
    <cellStyle name="Обычный 27 2 4 5 2" xfId="22184"/>
    <cellStyle name="Обычный 27 2 4 6" xfId="22185"/>
    <cellStyle name="Обычный 27 2 5" xfId="22186"/>
    <cellStyle name="Обычный 27 2 5 2" xfId="22187"/>
    <cellStyle name="Обычный 27 2 5 2 2" xfId="22188"/>
    <cellStyle name="Обычный 27 2 5 2 2 2" xfId="22189"/>
    <cellStyle name="Обычный 27 2 5 2 3" xfId="22190"/>
    <cellStyle name="Обычный 27 2 5 3" xfId="22191"/>
    <cellStyle name="Обычный 27 2 5 3 2" xfId="22192"/>
    <cellStyle name="Обычный 27 2 5 3 2 2" xfId="22193"/>
    <cellStyle name="Обычный 27 2 5 3 3" xfId="22194"/>
    <cellStyle name="Обычный 27 2 5 4" xfId="22195"/>
    <cellStyle name="Обычный 27 2 5 4 2" xfId="22196"/>
    <cellStyle name="Обычный 27 2 5 5" xfId="22197"/>
    <cellStyle name="Обычный 27 2 5 5 2" xfId="22198"/>
    <cellStyle name="Обычный 27 2 5 6" xfId="22199"/>
    <cellStyle name="Обычный 27 2 6" xfId="22200"/>
    <cellStyle name="Обычный 27 2 6 2" xfId="22201"/>
    <cellStyle name="Обычный 27 2 6 2 2" xfId="22202"/>
    <cellStyle name="Обычный 27 2 6 3" xfId="22203"/>
    <cellStyle name="Обычный 27 2 7" xfId="22204"/>
    <cellStyle name="Обычный 27 2 7 2" xfId="22205"/>
    <cellStyle name="Обычный 27 2 7 2 2" xfId="22206"/>
    <cellStyle name="Обычный 27 2 7 3" xfId="22207"/>
    <cellStyle name="Обычный 27 2 8" xfId="22208"/>
    <cellStyle name="Обычный 27 2 8 2" xfId="22209"/>
    <cellStyle name="Обычный 27 2 9" xfId="22210"/>
    <cellStyle name="Обычный 27 2 9 2" xfId="22211"/>
    <cellStyle name="Обычный 27 3" xfId="22212"/>
    <cellStyle name="Обычный 27 3 2" xfId="22213"/>
    <cellStyle name="Обычный 27 3 2 2" xfId="22214"/>
    <cellStyle name="Обычный 27 3 2 2 2" xfId="22215"/>
    <cellStyle name="Обычный 27 3 2 2 2 2" xfId="22216"/>
    <cellStyle name="Обычный 27 3 2 2 3" xfId="22217"/>
    <cellStyle name="Обычный 27 3 2 2 3 2" xfId="22218"/>
    <cellStyle name="Обычный 27 3 2 2 4" xfId="22219"/>
    <cellStyle name="Обычный 27 3 2 3" xfId="22220"/>
    <cellStyle name="Обычный 27 3 2 3 2" xfId="22221"/>
    <cellStyle name="Обычный 27 3 2 3 2 2" xfId="22222"/>
    <cellStyle name="Обычный 27 3 2 3 3" xfId="22223"/>
    <cellStyle name="Обычный 27 3 2 4" xfId="22224"/>
    <cellStyle name="Обычный 27 3 2 4 2" xfId="22225"/>
    <cellStyle name="Обычный 27 3 2 5" xfId="22226"/>
    <cellStyle name="Обычный 27 3 2 5 2" xfId="22227"/>
    <cellStyle name="Обычный 27 3 2 6" xfId="22228"/>
    <cellStyle name="Обычный 27 3 3" xfId="22229"/>
    <cellStyle name="Обычный 27 3 3 2" xfId="22230"/>
    <cellStyle name="Обычный 27 3 3 2 2" xfId="22231"/>
    <cellStyle name="Обычный 27 3 3 2 2 2" xfId="22232"/>
    <cellStyle name="Обычный 27 3 3 2 3" xfId="22233"/>
    <cellStyle name="Обычный 27 3 3 3" xfId="22234"/>
    <cellStyle name="Обычный 27 3 3 3 2" xfId="22235"/>
    <cellStyle name="Обычный 27 3 3 3 2 2" xfId="22236"/>
    <cellStyle name="Обычный 27 3 3 3 3" xfId="22237"/>
    <cellStyle name="Обычный 27 3 3 4" xfId="22238"/>
    <cellStyle name="Обычный 27 3 3 4 2" xfId="22239"/>
    <cellStyle name="Обычный 27 3 3 5" xfId="22240"/>
    <cellStyle name="Обычный 27 3 3 5 2" xfId="22241"/>
    <cellStyle name="Обычный 27 3 3 6" xfId="22242"/>
    <cellStyle name="Обычный 27 3 4" xfId="22243"/>
    <cellStyle name="Обычный 27 3 4 2" xfId="22244"/>
    <cellStyle name="Обычный 27 3 4 2 2" xfId="22245"/>
    <cellStyle name="Обычный 27 3 4 3" xfId="22246"/>
    <cellStyle name="Обычный 27 3 4 3 2" xfId="22247"/>
    <cellStyle name="Обычный 27 3 4 4" xfId="22248"/>
    <cellStyle name="Обычный 27 3 5" xfId="22249"/>
    <cellStyle name="Обычный 27 3 5 2" xfId="22250"/>
    <cellStyle name="Обычный 27 3 5 2 2" xfId="22251"/>
    <cellStyle name="Обычный 27 3 5 3" xfId="22252"/>
    <cellStyle name="Обычный 27 3 6" xfId="22253"/>
    <cellStyle name="Обычный 27 3 6 2" xfId="22254"/>
    <cellStyle name="Обычный 27 3 7" xfId="22255"/>
    <cellStyle name="Обычный 27 3 7 2" xfId="22256"/>
    <cellStyle name="Обычный 27 3 8" xfId="22257"/>
    <cellStyle name="Обычный 27 4" xfId="22258"/>
    <cellStyle name="Обычный 27 4 2" xfId="22259"/>
    <cellStyle name="Обычный 27 4 2 2" xfId="22260"/>
    <cellStyle name="Обычный 27 4 2 2 2" xfId="22261"/>
    <cellStyle name="Обычный 27 4 2 2 2 2" xfId="22262"/>
    <cellStyle name="Обычный 27 4 2 2 3" xfId="22263"/>
    <cellStyle name="Обычный 27 4 2 3" xfId="22264"/>
    <cellStyle name="Обычный 27 4 2 3 2" xfId="22265"/>
    <cellStyle name="Обычный 27 4 2 3 2 2" xfId="22266"/>
    <cellStyle name="Обычный 27 4 2 3 3" xfId="22267"/>
    <cellStyle name="Обычный 27 4 2 4" xfId="22268"/>
    <cellStyle name="Обычный 27 4 2 4 2" xfId="22269"/>
    <cellStyle name="Обычный 27 4 2 5" xfId="22270"/>
    <cellStyle name="Обычный 27 4 2 5 2" xfId="22271"/>
    <cellStyle name="Обычный 27 4 2 6" xfId="22272"/>
    <cellStyle name="Обычный 27 4 3" xfId="22273"/>
    <cellStyle name="Обычный 27 4 3 2" xfId="22274"/>
    <cellStyle name="Обычный 27 4 3 2 2" xfId="22275"/>
    <cellStyle name="Обычный 27 4 3 2 2 2" xfId="22276"/>
    <cellStyle name="Обычный 27 4 3 2 3" xfId="22277"/>
    <cellStyle name="Обычный 27 4 3 3" xfId="22278"/>
    <cellStyle name="Обычный 27 4 3 3 2" xfId="22279"/>
    <cellStyle name="Обычный 27 4 3 3 2 2" xfId="22280"/>
    <cellStyle name="Обычный 27 4 3 3 3" xfId="22281"/>
    <cellStyle name="Обычный 27 4 3 4" xfId="22282"/>
    <cellStyle name="Обычный 27 4 3 4 2" xfId="22283"/>
    <cellStyle name="Обычный 27 4 3 5" xfId="22284"/>
    <cellStyle name="Обычный 27 4 4" xfId="22285"/>
    <cellStyle name="Обычный 27 4 4 2" xfId="22286"/>
    <cellStyle name="Обычный 27 4 4 2 2" xfId="22287"/>
    <cellStyle name="Обычный 27 4 4 3" xfId="22288"/>
    <cellStyle name="Обычный 27 4 5" xfId="22289"/>
    <cellStyle name="Обычный 27 4 5 2" xfId="22290"/>
    <cellStyle name="Обычный 27 4 5 2 2" xfId="22291"/>
    <cellStyle name="Обычный 27 4 5 3" xfId="22292"/>
    <cellStyle name="Обычный 27 4 6" xfId="22293"/>
    <cellStyle name="Обычный 27 4 6 2" xfId="22294"/>
    <cellStyle name="Обычный 27 4 7" xfId="22295"/>
    <cellStyle name="Обычный 27 4 7 2" xfId="22296"/>
    <cellStyle name="Обычный 27 4 8" xfId="22297"/>
    <cellStyle name="Обычный 27 5" xfId="22298"/>
    <cellStyle name="Обычный 27 5 2" xfId="22299"/>
    <cellStyle name="Обычный 27 5 2 2" xfId="22300"/>
    <cellStyle name="Обычный 27 5 2 2 2" xfId="22301"/>
    <cellStyle name="Обычный 27 5 2 3" xfId="22302"/>
    <cellStyle name="Обычный 27 5 3" xfId="22303"/>
    <cellStyle name="Обычный 27 5 3 2" xfId="22304"/>
    <cellStyle name="Обычный 27 5 3 2 2" xfId="22305"/>
    <cellStyle name="Обычный 27 5 3 3" xfId="22306"/>
    <cellStyle name="Обычный 27 5 4" xfId="22307"/>
    <cellStyle name="Обычный 27 5 4 2" xfId="22308"/>
    <cellStyle name="Обычный 27 5 5" xfId="22309"/>
    <cellStyle name="Обычный 27 5 5 2" xfId="22310"/>
    <cellStyle name="Обычный 27 5 6" xfId="22311"/>
    <cellStyle name="Обычный 27 6" xfId="22312"/>
    <cellStyle name="Обычный 27 6 2" xfId="22313"/>
    <cellStyle name="Обычный 27 6 2 2" xfId="22314"/>
    <cellStyle name="Обычный 27 6 2 2 2" xfId="22315"/>
    <cellStyle name="Обычный 27 6 2 3" xfId="22316"/>
    <cellStyle name="Обычный 27 6 3" xfId="22317"/>
    <cellStyle name="Обычный 27 6 3 2" xfId="22318"/>
    <cellStyle name="Обычный 27 6 3 2 2" xfId="22319"/>
    <cellStyle name="Обычный 27 6 3 3" xfId="22320"/>
    <cellStyle name="Обычный 27 6 4" xfId="22321"/>
    <cellStyle name="Обычный 27 6 4 2" xfId="22322"/>
    <cellStyle name="Обычный 27 6 5" xfId="22323"/>
    <cellStyle name="Обычный 27 6 5 2" xfId="22324"/>
    <cellStyle name="Обычный 27 6 6" xfId="22325"/>
    <cellStyle name="Обычный 27 7" xfId="22326"/>
    <cellStyle name="Обычный 27 7 2" xfId="22327"/>
    <cellStyle name="Обычный 27 7 2 2" xfId="22328"/>
    <cellStyle name="Обычный 27 7 3" xfId="22329"/>
    <cellStyle name="Обычный 27 8" xfId="22330"/>
    <cellStyle name="Обычный 27 8 2" xfId="22331"/>
    <cellStyle name="Обычный 27 8 2 2" xfId="22332"/>
    <cellStyle name="Обычный 27 8 3" xfId="22333"/>
    <cellStyle name="Обычный 27 9" xfId="22334"/>
    <cellStyle name="Обычный 27 9 2" xfId="22335"/>
    <cellStyle name="Обычный 27_Лист3" xfId="22336"/>
    <cellStyle name="Обычный 28" xfId="22337"/>
    <cellStyle name="Обычный 28 10" xfId="22338"/>
    <cellStyle name="Обычный 28 10 2" xfId="22339"/>
    <cellStyle name="Обычный 28 10 2 2" xfId="22340"/>
    <cellStyle name="Обычный 28 10 2 2 2" xfId="22341"/>
    <cellStyle name="Обычный 28 10 2 3" xfId="22342"/>
    <cellStyle name="Обычный 28 10 3" xfId="22343"/>
    <cellStyle name="Обычный 28 10 3 2" xfId="22344"/>
    <cellStyle name="Обычный 28 10 3 2 2" xfId="22345"/>
    <cellStyle name="Обычный 28 10 3 3" xfId="22346"/>
    <cellStyle name="Обычный 28 10 4" xfId="22347"/>
    <cellStyle name="Обычный 28 10 4 2" xfId="22348"/>
    <cellStyle name="Обычный 28 10 5" xfId="22349"/>
    <cellStyle name="Обычный 28 10 5 2" xfId="22350"/>
    <cellStyle name="Обычный 28 10 6" xfId="22351"/>
    <cellStyle name="Обычный 28 11" xfId="22352"/>
    <cellStyle name="Обычный 28 11 2" xfId="22353"/>
    <cellStyle name="Обычный 28 11 2 2" xfId="22354"/>
    <cellStyle name="Обычный 28 11 2 2 2" xfId="22355"/>
    <cellStyle name="Обычный 28 11 2 3" xfId="22356"/>
    <cellStyle name="Обычный 28 11 3" xfId="22357"/>
    <cellStyle name="Обычный 28 11 3 2" xfId="22358"/>
    <cellStyle name="Обычный 28 11 3 2 2" xfId="22359"/>
    <cellStyle name="Обычный 28 11 3 3" xfId="22360"/>
    <cellStyle name="Обычный 28 11 4" xfId="22361"/>
    <cellStyle name="Обычный 28 11 4 2" xfId="22362"/>
    <cellStyle name="Обычный 28 11 5" xfId="22363"/>
    <cellStyle name="Обычный 28 11 5 2" xfId="22364"/>
    <cellStyle name="Обычный 28 11 6" xfId="22365"/>
    <cellStyle name="Обычный 28 12" xfId="22366"/>
    <cellStyle name="Обычный 28 12 2" xfId="22367"/>
    <cellStyle name="Обычный 28 12 2 2" xfId="22368"/>
    <cellStyle name="Обычный 28 12 2 2 2" xfId="22369"/>
    <cellStyle name="Обычный 28 12 2 3" xfId="22370"/>
    <cellStyle name="Обычный 28 12 3" xfId="22371"/>
    <cellStyle name="Обычный 28 12 3 2" xfId="22372"/>
    <cellStyle name="Обычный 28 12 3 2 2" xfId="22373"/>
    <cellStyle name="Обычный 28 12 3 3" xfId="22374"/>
    <cellStyle name="Обычный 28 12 4" xfId="22375"/>
    <cellStyle name="Обычный 28 12 4 2" xfId="22376"/>
    <cellStyle name="Обычный 28 12 5" xfId="22377"/>
    <cellStyle name="Обычный 28 12 5 2" xfId="22378"/>
    <cellStyle name="Обычный 28 12 6" xfId="22379"/>
    <cellStyle name="Обычный 28 13" xfId="22380"/>
    <cellStyle name="Обычный 28 13 2" xfId="22381"/>
    <cellStyle name="Обычный 28 13 2 2" xfId="22382"/>
    <cellStyle name="Обычный 28 13 3" xfId="22383"/>
    <cellStyle name="Обычный 28 13 3 2" xfId="22384"/>
    <cellStyle name="Обычный 28 13 4" xfId="22385"/>
    <cellStyle name="Обычный 28 14" xfId="22386"/>
    <cellStyle name="Обычный 28 14 2" xfId="22387"/>
    <cellStyle name="Обычный 28 14 2 2" xfId="22388"/>
    <cellStyle name="Обычный 28 14 3" xfId="22389"/>
    <cellStyle name="Обычный 28 15" xfId="22390"/>
    <cellStyle name="Обычный 28 15 2" xfId="22391"/>
    <cellStyle name="Обычный 28 16" xfId="22392"/>
    <cellStyle name="Обычный 28 16 2" xfId="22393"/>
    <cellStyle name="Обычный 28 17" xfId="22394"/>
    <cellStyle name="Обычный 28 2" xfId="22395"/>
    <cellStyle name="Обычный 28 2 2" xfId="22396"/>
    <cellStyle name="Обычный 28 2 3" xfId="22397"/>
    <cellStyle name="Обычный 28 3" xfId="22398"/>
    <cellStyle name="Обычный 28 3 2" xfId="22399"/>
    <cellStyle name="Обычный 28 3 2 2" xfId="22400"/>
    <cellStyle name="Обычный 28 3 2 2 2" xfId="22401"/>
    <cellStyle name="Обычный 28 3 2 2 2 2" xfId="22402"/>
    <cellStyle name="Обычный 28 3 2 2 2 2 2" xfId="22403"/>
    <cellStyle name="Обычный 28 3 2 2 2 3" xfId="22404"/>
    <cellStyle name="Обычный 28 3 2 2 3" xfId="22405"/>
    <cellStyle name="Обычный 28 3 2 2 3 2" xfId="22406"/>
    <cellStyle name="Обычный 28 3 2 2 3 2 2" xfId="22407"/>
    <cellStyle name="Обычный 28 3 2 2 3 3" xfId="22408"/>
    <cellStyle name="Обычный 28 3 2 2 4" xfId="22409"/>
    <cellStyle name="Обычный 28 3 2 2 4 2" xfId="22410"/>
    <cellStyle name="Обычный 28 3 2 2 5" xfId="22411"/>
    <cellStyle name="Обычный 28 3 2 2 5 2" xfId="22412"/>
    <cellStyle name="Обычный 28 3 2 2 6" xfId="22413"/>
    <cellStyle name="Обычный 28 3 2 3" xfId="22414"/>
    <cellStyle name="Обычный 28 3 2 3 2" xfId="22415"/>
    <cellStyle name="Обычный 28 3 2 3 2 2" xfId="22416"/>
    <cellStyle name="Обычный 28 3 2 3 2 2 2" xfId="22417"/>
    <cellStyle name="Обычный 28 3 2 3 2 3" xfId="22418"/>
    <cellStyle name="Обычный 28 3 2 3 3" xfId="22419"/>
    <cellStyle name="Обычный 28 3 2 3 3 2" xfId="22420"/>
    <cellStyle name="Обычный 28 3 2 3 3 2 2" xfId="22421"/>
    <cellStyle name="Обычный 28 3 2 3 3 3" xfId="22422"/>
    <cellStyle name="Обычный 28 3 2 3 4" xfId="22423"/>
    <cellStyle name="Обычный 28 3 2 3 4 2" xfId="22424"/>
    <cellStyle name="Обычный 28 3 2 3 5" xfId="22425"/>
    <cellStyle name="Обычный 28 3 2 4" xfId="22426"/>
    <cellStyle name="Обычный 28 3 2 4 2" xfId="22427"/>
    <cellStyle name="Обычный 28 3 2 4 2 2" xfId="22428"/>
    <cellStyle name="Обычный 28 3 2 4 3" xfId="22429"/>
    <cellStyle name="Обычный 28 3 2 5" xfId="22430"/>
    <cellStyle name="Обычный 28 3 2 5 2" xfId="22431"/>
    <cellStyle name="Обычный 28 3 2 5 2 2" xfId="22432"/>
    <cellStyle name="Обычный 28 3 2 5 3" xfId="22433"/>
    <cellStyle name="Обычный 28 3 2 6" xfId="22434"/>
    <cellStyle name="Обычный 28 3 2 6 2" xfId="22435"/>
    <cellStyle name="Обычный 28 3 2 7" xfId="22436"/>
    <cellStyle name="Обычный 28 3 2 7 2" xfId="22437"/>
    <cellStyle name="Обычный 28 3 2 8" xfId="22438"/>
    <cellStyle name="Обычный 28 3 3" xfId="22439"/>
    <cellStyle name="Обычный 28 3 3 2" xfId="22440"/>
    <cellStyle name="Обычный 28 3 3 2 2" xfId="22441"/>
    <cellStyle name="Обычный 28 3 3 2 2 2" xfId="22442"/>
    <cellStyle name="Обычный 28 3 3 2 3" xfId="22443"/>
    <cellStyle name="Обычный 28 3 3 3" xfId="22444"/>
    <cellStyle name="Обычный 28 3 3 3 2" xfId="22445"/>
    <cellStyle name="Обычный 28 3 3 3 2 2" xfId="22446"/>
    <cellStyle name="Обычный 28 3 3 3 3" xfId="22447"/>
    <cellStyle name="Обычный 28 3 3 4" xfId="22448"/>
    <cellStyle name="Обычный 28 3 3 4 2" xfId="22449"/>
    <cellStyle name="Обычный 28 3 3 5" xfId="22450"/>
    <cellStyle name="Обычный 28 3 3 5 2" xfId="22451"/>
    <cellStyle name="Обычный 28 3 3 6" xfId="22452"/>
    <cellStyle name="Обычный 28 3 4" xfId="22453"/>
    <cellStyle name="Обычный 28 3 4 2" xfId="22454"/>
    <cellStyle name="Обычный 28 3 4 2 2" xfId="22455"/>
    <cellStyle name="Обычный 28 3 4 2 2 2" xfId="22456"/>
    <cellStyle name="Обычный 28 3 4 2 3" xfId="22457"/>
    <cellStyle name="Обычный 28 3 4 3" xfId="22458"/>
    <cellStyle name="Обычный 28 3 4 3 2" xfId="22459"/>
    <cellStyle name="Обычный 28 3 4 3 2 2" xfId="22460"/>
    <cellStyle name="Обычный 28 3 4 3 3" xfId="22461"/>
    <cellStyle name="Обычный 28 3 4 4" xfId="22462"/>
    <cellStyle name="Обычный 28 3 4 4 2" xfId="22463"/>
    <cellStyle name="Обычный 28 3 4 5" xfId="22464"/>
    <cellStyle name="Обычный 28 3 4 5 2" xfId="22465"/>
    <cellStyle name="Обычный 28 3 4 6" xfId="22466"/>
    <cellStyle name="Обычный 28 3 5" xfId="22467"/>
    <cellStyle name="Обычный 28 3 5 2" xfId="22468"/>
    <cellStyle name="Обычный 28 3 5 2 2" xfId="22469"/>
    <cellStyle name="Обычный 28 3 5 3" xfId="22470"/>
    <cellStyle name="Обычный 28 3 6" xfId="22471"/>
    <cellStyle name="Обычный 28 3 6 2" xfId="22472"/>
    <cellStyle name="Обычный 28 3 6 2 2" xfId="22473"/>
    <cellStyle name="Обычный 28 3 6 3" xfId="22474"/>
    <cellStyle name="Обычный 28 3 7" xfId="22475"/>
    <cellStyle name="Обычный 28 3 7 2" xfId="22476"/>
    <cellStyle name="Обычный 28 3 8" xfId="22477"/>
    <cellStyle name="Обычный 28 3 8 2" xfId="22478"/>
    <cellStyle name="Обычный 28 3 9" xfId="22479"/>
    <cellStyle name="Обычный 28 4" xfId="22480"/>
    <cellStyle name="Обычный 28 4 2" xfId="22481"/>
    <cellStyle name="Обычный 28 4 2 2" xfId="22482"/>
    <cellStyle name="Обычный 28 4 2 2 2" xfId="22483"/>
    <cellStyle name="Обычный 28 4 2 2 2 2" xfId="22484"/>
    <cellStyle name="Обычный 28 4 2 2 3" xfId="22485"/>
    <cellStyle name="Обычный 28 4 2 2 3 2" xfId="22486"/>
    <cellStyle name="Обычный 28 4 2 2 4" xfId="22487"/>
    <cellStyle name="Обычный 28 4 2 3" xfId="22488"/>
    <cellStyle name="Обычный 28 4 2 3 2" xfId="22489"/>
    <cellStyle name="Обычный 28 4 2 3 2 2" xfId="22490"/>
    <cellStyle name="Обычный 28 4 2 3 3" xfId="22491"/>
    <cellStyle name="Обычный 28 4 2 4" xfId="22492"/>
    <cellStyle name="Обычный 28 4 2 4 2" xfId="22493"/>
    <cellStyle name="Обычный 28 4 2 5" xfId="22494"/>
    <cellStyle name="Обычный 28 4 2 5 2" xfId="22495"/>
    <cellStyle name="Обычный 28 4 2 6" xfId="22496"/>
    <cellStyle name="Обычный 28 4 3" xfId="22497"/>
    <cellStyle name="Обычный 28 4 3 2" xfId="22498"/>
    <cellStyle name="Обычный 28 4 3 2 2" xfId="22499"/>
    <cellStyle name="Обычный 28 4 3 2 2 2" xfId="22500"/>
    <cellStyle name="Обычный 28 4 3 2 3" xfId="22501"/>
    <cellStyle name="Обычный 28 4 3 3" xfId="22502"/>
    <cellStyle name="Обычный 28 4 3 3 2" xfId="22503"/>
    <cellStyle name="Обычный 28 4 3 3 2 2" xfId="22504"/>
    <cellStyle name="Обычный 28 4 3 3 3" xfId="22505"/>
    <cellStyle name="Обычный 28 4 3 4" xfId="22506"/>
    <cellStyle name="Обычный 28 4 3 4 2" xfId="22507"/>
    <cellStyle name="Обычный 28 4 3 5" xfId="22508"/>
    <cellStyle name="Обычный 28 4 3 5 2" xfId="22509"/>
    <cellStyle name="Обычный 28 4 3 6" xfId="22510"/>
    <cellStyle name="Обычный 28 4 4" xfId="22511"/>
    <cellStyle name="Обычный 28 4 4 2" xfId="22512"/>
    <cellStyle name="Обычный 28 4 4 2 2" xfId="22513"/>
    <cellStyle name="Обычный 28 4 4 3" xfId="22514"/>
    <cellStyle name="Обычный 28 4 4 3 2" xfId="22515"/>
    <cellStyle name="Обычный 28 4 4 4" xfId="22516"/>
    <cellStyle name="Обычный 28 4 5" xfId="22517"/>
    <cellStyle name="Обычный 28 4 5 2" xfId="22518"/>
    <cellStyle name="Обычный 28 4 5 2 2" xfId="22519"/>
    <cellStyle name="Обычный 28 4 5 3" xfId="22520"/>
    <cellStyle name="Обычный 28 4 6" xfId="22521"/>
    <cellStyle name="Обычный 28 4 6 2" xfId="22522"/>
    <cellStyle name="Обычный 28 4 7" xfId="22523"/>
    <cellStyle name="Обычный 28 4 7 2" xfId="22524"/>
    <cellStyle name="Обычный 28 4 8" xfId="22525"/>
    <cellStyle name="Обычный 28 5" xfId="22526"/>
    <cellStyle name="Обычный 28 5 2" xfId="22527"/>
    <cellStyle name="Обычный 28 5 2 2" xfId="22528"/>
    <cellStyle name="Обычный 28 5 2 2 2" xfId="22529"/>
    <cellStyle name="Обычный 28 5 2 2 2 2" xfId="22530"/>
    <cellStyle name="Обычный 28 5 2 2 3" xfId="22531"/>
    <cellStyle name="Обычный 28 5 2 3" xfId="22532"/>
    <cellStyle name="Обычный 28 5 2 3 2" xfId="22533"/>
    <cellStyle name="Обычный 28 5 2 3 2 2" xfId="22534"/>
    <cellStyle name="Обычный 28 5 2 3 3" xfId="22535"/>
    <cellStyle name="Обычный 28 5 2 4" xfId="22536"/>
    <cellStyle name="Обычный 28 5 2 4 2" xfId="22537"/>
    <cellStyle name="Обычный 28 5 2 5" xfId="22538"/>
    <cellStyle name="Обычный 28 5 2 5 2" xfId="22539"/>
    <cellStyle name="Обычный 28 5 2 6" xfId="22540"/>
    <cellStyle name="Обычный 28 5 3" xfId="22541"/>
    <cellStyle name="Обычный 28 5 3 2" xfId="22542"/>
    <cellStyle name="Обычный 28 5 3 2 2" xfId="22543"/>
    <cellStyle name="Обычный 28 5 3 2 2 2" xfId="22544"/>
    <cellStyle name="Обычный 28 5 3 2 3" xfId="22545"/>
    <cellStyle name="Обычный 28 5 3 3" xfId="22546"/>
    <cellStyle name="Обычный 28 5 3 3 2" xfId="22547"/>
    <cellStyle name="Обычный 28 5 3 3 2 2" xfId="22548"/>
    <cellStyle name="Обычный 28 5 3 3 3" xfId="22549"/>
    <cellStyle name="Обычный 28 5 3 4" xfId="22550"/>
    <cellStyle name="Обычный 28 5 3 4 2" xfId="22551"/>
    <cellStyle name="Обычный 28 5 3 5" xfId="22552"/>
    <cellStyle name="Обычный 28 5 4" xfId="22553"/>
    <cellStyle name="Обычный 28 5 4 2" xfId="22554"/>
    <cellStyle name="Обычный 28 5 4 2 2" xfId="22555"/>
    <cellStyle name="Обычный 28 5 4 3" xfId="22556"/>
    <cellStyle name="Обычный 28 5 5" xfId="22557"/>
    <cellStyle name="Обычный 28 5 5 2" xfId="22558"/>
    <cellStyle name="Обычный 28 5 5 2 2" xfId="22559"/>
    <cellStyle name="Обычный 28 5 5 3" xfId="22560"/>
    <cellStyle name="Обычный 28 5 6" xfId="22561"/>
    <cellStyle name="Обычный 28 5 6 2" xfId="22562"/>
    <cellStyle name="Обычный 28 5 7" xfId="22563"/>
    <cellStyle name="Обычный 28 5 7 2" xfId="22564"/>
    <cellStyle name="Обычный 28 5 8" xfId="22565"/>
    <cellStyle name="Обычный 28 6" xfId="22566"/>
    <cellStyle name="Обычный 28 6 2" xfId="22567"/>
    <cellStyle name="Обычный 28 6 2 2" xfId="22568"/>
    <cellStyle name="Обычный 28 6 2 2 2" xfId="22569"/>
    <cellStyle name="Обычный 28 6 2 3" xfId="22570"/>
    <cellStyle name="Обычный 28 6 3" xfId="22571"/>
    <cellStyle name="Обычный 28 6 3 2" xfId="22572"/>
    <cellStyle name="Обычный 28 6 3 2 2" xfId="22573"/>
    <cellStyle name="Обычный 28 6 3 3" xfId="22574"/>
    <cellStyle name="Обычный 28 6 4" xfId="22575"/>
    <cellStyle name="Обычный 28 6 4 2" xfId="22576"/>
    <cellStyle name="Обычный 28 6 5" xfId="22577"/>
    <cellStyle name="Обычный 28 6 5 2" xfId="22578"/>
    <cellStyle name="Обычный 28 6 6" xfId="22579"/>
    <cellStyle name="Обычный 28 7" xfId="22580"/>
    <cellStyle name="Обычный 28 7 2" xfId="22581"/>
    <cellStyle name="Обычный 28 7 2 2" xfId="22582"/>
    <cellStyle name="Обычный 28 7 2 2 2" xfId="22583"/>
    <cellStyle name="Обычный 28 7 2 3" xfId="22584"/>
    <cellStyle name="Обычный 28 7 3" xfId="22585"/>
    <cellStyle name="Обычный 28 7 3 2" xfId="22586"/>
    <cellStyle name="Обычный 28 7 3 2 2" xfId="22587"/>
    <cellStyle name="Обычный 28 7 3 3" xfId="22588"/>
    <cellStyle name="Обычный 28 7 4" xfId="22589"/>
    <cellStyle name="Обычный 28 7 4 2" xfId="22590"/>
    <cellStyle name="Обычный 28 7 5" xfId="22591"/>
    <cellStyle name="Обычный 28 7 5 2" xfId="22592"/>
    <cellStyle name="Обычный 28 7 6" xfId="22593"/>
    <cellStyle name="Обычный 28 8" xfId="22594"/>
    <cellStyle name="Обычный 28 8 2" xfId="22595"/>
    <cellStyle name="Обычный 28 8 2 2" xfId="22596"/>
    <cellStyle name="Обычный 28 8 2 2 2" xfId="22597"/>
    <cellStyle name="Обычный 28 8 2 3" xfId="22598"/>
    <cellStyle name="Обычный 28 8 3" xfId="22599"/>
    <cellStyle name="Обычный 28 8 3 2" xfId="22600"/>
    <cellStyle name="Обычный 28 8 3 2 2" xfId="22601"/>
    <cellStyle name="Обычный 28 8 3 3" xfId="22602"/>
    <cellStyle name="Обычный 28 8 4" xfId="22603"/>
    <cellStyle name="Обычный 28 8 4 2" xfId="22604"/>
    <cellStyle name="Обычный 28 8 5" xfId="22605"/>
    <cellStyle name="Обычный 28 8 5 2" xfId="22606"/>
    <cellStyle name="Обычный 28 8 6" xfId="22607"/>
    <cellStyle name="Обычный 28 9" xfId="22608"/>
    <cellStyle name="Обычный 28 9 2" xfId="22609"/>
    <cellStyle name="Обычный 28 9 2 2" xfId="22610"/>
    <cellStyle name="Обычный 28 9 2 2 2" xfId="22611"/>
    <cellStyle name="Обычный 28 9 2 3" xfId="22612"/>
    <cellStyle name="Обычный 28 9 3" xfId="22613"/>
    <cellStyle name="Обычный 28 9 3 2" xfId="22614"/>
    <cellStyle name="Обычный 28 9 3 2 2" xfId="22615"/>
    <cellStyle name="Обычный 28 9 3 3" xfId="22616"/>
    <cellStyle name="Обычный 28 9 4" xfId="22617"/>
    <cellStyle name="Обычный 28 9 4 2" xfId="22618"/>
    <cellStyle name="Обычный 28 9 5" xfId="22619"/>
    <cellStyle name="Обычный 28 9 5 2" xfId="22620"/>
    <cellStyle name="Обычный 28 9 6" xfId="22621"/>
    <cellStyle name="Обычный 28_Лист3" xfId="22622"/>
    <cellStyle name="Обычный 29" xfId="22623"/>
    <cellStyle name="Обычный 29 10" xfId="22624"/>
    <cellStyle name="Обычный 29 10 2" xfId="22625"/>
    <cellStyle name="Обычный 29 11" xfId="22626"/>
    <cellStyle name="Обычный 29 2" xfId="22627"/>
    <cellStyle name="Обычный 29 2 2" xfId="22628"/>
    <cellStyle name="Обычный 29 2 2 2" xfId="22629"/>
    <cellStyle name="Обычный 29 2 2 2 2" xfId="22630"/>
    <cellStyle name="Обычный 29 2 2 2 2 2" xfId="22631"/>
    <cellStyle name="Обычный 29 2 2 2 2 2 2" xfId="22632"/>
    <cellStyle name="Обычный 29 2 2 2 2 3" xfId="22633"/>
    <cellStyle name="Обычный 29 2 2 2 3" xfId="22634"/>
    <cellStyle name="Обычный 29 2 2 2 3 2" xfId="22635"/>
    <cellStyle name="Обычный 29 2 2 2 3 2 2" xfId="22636"/>
    <cellStyle name="Обычный 29 2 2 2 3 3" xfId="22637"/>
    <cellStyle name="Обычный 29 2 2 2 4" xfId="22638"/>
    <cellStyle name="Обычный 29 2 2 2 4 2" xfId="22639"/>
    <cellStyle name="Обычный 29 2 2 2 5" xfId="22640"/>
    <cellStyle name="Обычный 29 2 2 2 5 2" xfId="22641"/>
    <cellStyle name="Обычный 29 2 2 2 6" xfId="22642"/>
    <cellStyle name="Обычный 29 2 2 3" xfId="22643"/>
    <cellStyle name="Обычный 29 2 2 3 2" xfId="22644"/>
    <cellStyle name="Обычный 29 2 2 3 2 2" xfId="22645"/>
    <cellStyle name="Обычный 29 2 2 3 2 2 2" xfId="22646"/>
    <cellStyle name="Обычный 29 2 2 3 2 3" xfId="22647"/>
    <cellStyle name="Обычный 29 2 2 3 3" xfId="22648"/>
    <cellStyle name="Обычный 29 2 2 3 3 2" xfId="22649"/>
    <cellStyle name="Обычный 29 2 2 3 3 2 2" xfId="22650"/>
    <cellStyle name="Обычный 29 2 2 3 3 3" xfId="22651"/>
    <cellStyle name="Обычный 29 2 2 3 4" xfId="22652"/>
    <cellStyle name="Обычный 29 2 2 3 4 2" xfId="22653"/>
    <cellStyle name="Обычный 29 2 2 3 5" xfId="22654"/>
    <cellStyle name="Обычный 29 2 2 3 5 2" xfId="22655"/>
    <cellStyle name="Обычный 29 2 2 3 6" xfId="22656"/>
    <cellStyle name="Обычный 29 2 2 4" xfId="22657"/>
    <cellStyle name="Обычный 29 2 2 4 2" xfId="22658"/>
    <cellStyle name="Обычный 29 2 2 4 2 2" xfId="22659"/>
    <cellStyle name="Обычный 29 2 2 4 3" xfId="22660"/>
    <cellStyle name="Обычный 29 2 2 5" xfId="22661"/>
    <cellStyle name="Обычный 29 2 2 5 2" xfId="22662"/>
    <cellStyle name="Обычный 29 2 2 5 2 2" xfId="22663"/>
    <cellStyle name="Обычный 29 2 2 5 3" xfId="22664"/>
    <cellStyle name="Обычный 29 2 2 6" xfId="22665"/>
    <cellStyle name="Обычный 29 2 2 6 2" xfId="22666"/>
    <cellStyle name="Обычный 29 2 2 7" xfId="22667"/>
    <cellStyle name="Обычный 29 2 2 7 2" xfId="22668"/>
    <cellStyle name="Обычный 29 2 2 8" xfId="22669"/>
    <cellStyle name="Обычный 29 2 3" xfId="22670"/>
    <cellStyle name="Обычный 29 2 3 2" xfId="22671"/>
    <cellStyle name="Обычный 29 2 3 2 2" xfId="22672"/>
    <cellStyle name="Обычный 29 2 3 2 2 2" xfId="22673"/>
    <cellStyle name="Обычный 29 2 3 2 3" xfId="22674"/>
    <cellStyle name="Обычный 29 2 3 2 3 2" xfId="22675"/>
    <cellStyle name="Обычный 29 2 3 2 4" xfId="22676"/>
    <cellStyle name="Обычный 29 2 3 3" xfId="22677"/>
    <cellStyle name="Обычный 29 2 3 3 2" xfId="22678"/>
    <cellStyle name="Обычный 29 2 3 3 2 2" xfId="22679"/>
    <cellStyle name="Обычный 29 2 3 3 3" xfId="22680"/>
    <cellStyle name="Обычный 29 2 3 4" xfId="22681"/>
    <cellStyle name="Обычный 29 2 3 4 2" xfId="22682"/>
    <cellStyle name="Обычный 29 2 3 5" xfId="22683"/>
    <cellStyle name="Обычный 29 2 3 5 2" xfId="22684"/>
    <cellStyle name="Обычный 29 2 3 6" xfId="22685"/>
    <cellStyle name="Обычный 29 2 4" xfId="22686"/>
    <cellStyle name="Обычный 29 2 4 2" xfId="22687"/>
    <cellStyle name="Обычный 29 2 4 2 2" xfId="22688"/>
    <cellStyle name="Обычный 29 2 4 2 2 2" xfId="22689"/>
    <cellStyle name="Обычный 29 2 4 2 3" xfId="22690"/>
    <cellStyle name="Обычный 29 2 4 3" xfId="22691"/>
    <cellStyle name="Обычный 29 2 4 3 2" xfId="22692"/>
    <cellStyle name="Обычный 29 2 4 3 2 2" xfId="22693"/>
    <cellStyle name="Обычный 29 2 4 3 3" xfId="22694"/>
    <cellStyle name="Обычный 29 2 4 4" xfId="22695"/>
    <cellStyle name="Обычный 29 2 4 4 2" xfId="22696"/>
    <cellStyle name="Обычный 29 2 4 5" xfId="22697"/>
    <cellStyle name="Обычный 29 2 4 5 2" xfId="22698"/>
    <cellStyle name="Обычный 29 2 4 6" xfId="22699"/>
    <cellStyle name="Обычный 29 2 5" xfId="22700"/>
    <cellStyle name="Обычный 29 2 5 2" xfId="22701"/>
    <cellStyle name="Обычный 29 2 5 2 2" xfId="22702"/>
    <cellStyle name="Обычный 29 2 5 3" xfId="22703"/>
    <cellStyle name="Обычный 29 2 6" xfId="22704"/>
    <cellStyle name="Обычный 29 2 6 2" xfId="22705"/>
    <cellStyle name="Обычный 29 2 6 2 2" xfId="22706"/>
    <cellStyle name="Обычный 29 2 6 3" xfId="22707"/>
    <cellStyle name="Обычный 29 2 7" xfId="22708"/>
    <cellStyle name="Обычный 29 2 7 2" xfId="22709"/>
    <cellStyle name="Обычный 29 2 8" xfId="22710"/>
    <cellStyle name="Обычный 29 2 8 2" xfId="22711"/>
    <cellStyle name="Обычный 29 2 9" xfId="22712"/>
    <cellStyle name="Обычный 29 3" xfId="22713"/>
    <cellStyle name="Обычный 29 3 2" xfId="22714"/>
    <cellStyle name="Обычный 29 3 2 2" xfId="22715"/>
    <cellStyle name="Обычный 29 3 2 2 2" xfId="22716"/>
    <cellStyle name="Обычный 29 3 2 2 2 2" xfId="22717"/>
    <cellStyle name="Обычный 29 3 2 2 3" xfId="22718"/>
    <cellStyle name="Обычный 29 3 2 2 3 2" xfId="22719"/>
    <cellStyle name="Обычный 29 3 2 2 4" xfId="22720"/>
    <cellStyle name="Обычный 29 3 2 3" xfId="22721"/>
    <cellStyle name="Обычный 29 3 2 3 2" xfId="22722"/>
    <cellStyle name="Обычный 29 3 2 3 2 2" xfId="22723"/>
    <cellStyle name="Обычный 29 3 2 3 3" xfId="22724"/>
    <cellStyle name="Обычный 29 3 2 4" xfId="22725"/>
    <cellStyle name="Обычный 29 3 2 4 2" xfId="22726"/>
    <cellStyle name="Обычный 29 3 2 5" xfId="22727"/>
    <cellStyle name="Обычный 29 3 2 5 2" xfId="22728"/>
    <cellStyle name="Обычный 29 3 2 6" xfId="22729"/>
    <cellStyle name="Обычный 29 3 3" xfId="22730"/>
    <cellStyle name="Обычный 29 3 3 2" xfId="22731"/>
    <cellStyle name="Обычный 29 3 3 2 2" xfId="22732"/>
    <cellStyle name="Обычный 29 3 3 2 2 2" xfId="22733"/>
    <cellStyle name="Обычный 29 3 3 2 3" xfId="22734"/>
    <cellStyle name="Обычный 29 3 3 3" xfId="22735"/>
    <cellStyle name="Обычный 29 3 3 3 2" xfId="22736"/>
    <cellStyle name="Обычный 29 3 3 3 2 2" xfId="22737"/>
    <cellStyle name="Обычный 29 3 3 3 3" xfId="22738"/>
    <cellStyle name="Обычный 29 3 3 4" xfId="22739"/>
    <cellStyle name="Обычный 29 3 3 4 2" xfId="22740"/>
    <cellStyle name="Обычный 29 3 3 5" xfId="22741"/>
    <cellStyle name="Обычный 29 3 3 5 2" xfId="22742"/>
    <cellStyle name="Обычный 29 3 3 6" xfId="22743"/>
    <cellStyle name="Обычный 29 3 4" xfId="22744"/>
    <cellStyle name="Обычный 29 3 4 2" xfId="22745"/>
    <cellStyle name="Обычный 29 3 4 2 2" xfId="22746"/>
    <cellStyle name="Обычный 29 3 4 3" xfId="22747"/>
    <cellStyle name="Обычный 29 3 4 3 2" xfId="22748"/>
    <cellStyle name="Обычный 29 3 4 4" xfId="22749"/>
    <cellStyle name="Обычный 29 3 5" xfId="22750"/>
    <cellStyle name="Обычный 29 3 5 2" xfId="22751"/>
    <cellStyle name="Обычный 29 3 5 2 2" xfId="22752"/>
    <cellStyle name="Обычный 29 3 5 3" xfId="22753"/>
    <cellStyle name="Обычный 29 3 6" xfId="22754"/>
    <cellStyle name="Обычный 29 3 6 2" xfId="22755"/>
    <cellStyle name="Обычный 29 3 7" xfId="22756"/>
    <cellStyle name="Обычный 29 3 7 2" xfId="22757"/>
    <cellStyle name="Обычный 29 3 8" xfId="22758"/>
    <cellStyle name="Обычный 29 4" xfId="22759"/>
    <cellStyle name="Обычный 29 4 2" xfId="22760"/>
    <cellStyle name="Обычный 29 4 2 2" xfId="22761"/>
    <cellStyle name="Обычный 29 4 2 2 2" xfId="22762"/>
    <cellStyle name="Обычный 29 4 2 2 2 2" xfId="22763"/>
    <cellStyle name="Обычный 29 4 2 2 3" xfId="22764"/>
    <cellStyle name="Обычный 29 4 2 3" xfId="22765"/>
    <cellStyle name="Обычный 29 4 2 3 2" xfId="22766"/>
    <cellStyle name="Обычный 29 4 2 3 2 2" xfId="22767"/>
    <cellStyle name="Обычный 29 4 2 3 3" xfId="22768"/>
    <cellStyle name="Обычный 29 4 2 4" xfId="22769"/>
    <cellStyle name="Обычный 29 4 2 4 2" xfId="22770"/>
    <cellStyle name="Обычный 29 4 2 5" xfId="22771"/>
    <cellStyle name="Обычный 29 4 2 5 2" xfId="22772"/>
    <cellStyle name="Обычный 29 4 2 6" xfId="22773"/>
    <cellStyle name="Обычный 29 4 3" xfId="22774"/>
    <cellStyle name="Обычный 29 4 3 2" xfId="22775"/>
    <cellStyle name="Обычный 29 4 3 2 2" xfId="22776"/>
    <cellStyle name="Обычный 29 4 3 2 2 2" xfId="22777"/>
    <cellStyle name="Обычный 29 4 3 2 3" xfId="22778"/>
    <cellStyle name="Обычный 29 4 3 3" xfId="22779"/>
    <cellStyle name="Обычный 29 4 3 3 2" xfId="22780"/>
    <cellStyle name="Обычный 29 4 3 3 2 2" xfId="22781"/>
    <cellStyle name="Обычный 29 4 3 3 3" xfId="22782"/>
    <cellStyle name="Обычный 29 4 3 4" xfId="22783"/>
    <cellStyle name="Обычный 29 4 3 4 2" xfId="22784"/>
    <cellStyle name="Обычный 29 4 3 5" xfId="22785"/>
    <cellStyle name="Обычный 29 4 4" xfId="22786"/>
    <cellStyle name="Обычный 29 4 4 2" xfId="22787"/>
    <cellStyle name="Обычный 29 4 4 2 2" xfId="22788"/>
    <cellStyle name="Обычный 29 4 4 3" xfId="22789"/>
    <cellStyle name="Обычный 29 4 5" xfId="22790"/>
    <cellStyle name="Обычный 29 4 5 2" xfId="22791"/>
    <cellStyle name="Обычный 29 4 5 2 2" xfId="22792"/>
    <cellStyle name="Обычный 29 4 5 3" xfId="22793"/>
    <cellStyle name="Обычный 29 4 6" xfId="22794"/>
    <cellStyle name="Обычный 29 4 6 2" xfId="22795"/>
    <cellStyle name="Обычный 29 4 7" xfId="22796"/>
    <cellStyle name="Обычный 29 4 7 2" xfId="22797"/>
    <cellStyle name="Обычный 29 4 8" xfId="22798"/>
    <cellStyle name="Обычный 29 5" xfId="22799"/>
    <cellStyle name="Обычный 29 5 2" xfId="22800"/>
    <cellStyle name="Обычный 29 5 2 2" xfId="22801"/>
    <cellStyle name="Обычный 29 5 2 2 2" xfId="22802"/>
    <cellStyle name="Обычный 29 5 2 3" xfId="22803"/>
    <cellStyle name="Обычный 29 5 3" xfId="22804"/>
    <cellStyle name="Обычный 29 5 3 2" xfId="22805"/>
    <cellStyle name="Обычный 29 5 3 2 2" xfId="22806"/>
    <cellStyle name="Обычный 29 5 3 3" xfId="22807"/>
    <cellStyle name="Обычный 29 5 4" xfId="22808"/>
    <cellStyle name="Обычный 29 5 4 2" xfId="22809"/>
    <cellStyle name="Обычный 29 5 5" xfId="22810"/>
    <cellStyle name="Обычный 29 5 5 2" xfId="22811"/>
    <cellStyle name="Обычный 29 5 6" xfId="22812"/>
    <cellStyle name="Обычный 29 6" xfId="22813"/>
    <cellStyle name="Обычный 29 6 2" xfId="22814"/>
    <cellStyle name="Обычный 29 6 2 2" xfId="22815"/>
    <cellStyle name="Обычный 29 6 2 2 2" xfId="22816"/>
    <cellStyle name="Обычный 29 6 2 3" xfId="22817"/>
    <cellStyle name="Обычный 29 6 3" xfId="22818"/>
    <cellStyle name="Обычный 29 6 3 2" xfId="22819"/>
    <cellStyle name="Обычный 29 6 3 2 2" xfId="22820"/>
    <cellStyle name="Обычный 29 6 3 3" xfId="22821"/>
    <cellStyle name="Обычный 29 6 4" xfId="22822"/>
    <cellStyle name="Обычный 29 6 4 2" xfId="22823"/>
    <cellStyle name="Обычный 29 6 5" xfId="22824"/>
    <cellStyle name="Обычный 29 6 5 2" xfId="22825"/>
    <cellStyle name="Обычный 29 6 6" xfId="22826"/>
    <cellStyle name="Обычный 29 7" xfId="22827"/>
    <cellStyle name="Обычный 29 7 2" xfId="22828"/>
    <cellStyle name="Обычный 29 7 2 2" xfId="22829"/>
    <cellStyle name="Обычный 29 7 3" xfId="22830"/>
    <cellStyle name="Обычный 29 8" xfId="22831"/>
    <cellStyle name="Обычный 29 8 2" xfId="22832"/>
    <cellStyle name="Обычный 29 8 2 2" xfId="22833"/>
    <cellStyle name="Обычный 29 8 3" xfId="22834"/>
    <cellStyle name="Обычный 29 9" xfId="22835"/>
    <cellStyle name="Обычный 29 9 2" xfId="22836"/>
    <cellStyle name="Обычный 3" xfId="22837"/>
    <cellStyle name="Обычный 3 10" xfId="22838"/>
    <cellStyle name="Обычный 3 10 10" xfId="22839"/>
    <cellStyle name="Обычный 3 10 10 2" xfId="22840"/>
    <cellStyle name="Обычный 3 10 10 2 2" xfId="22841"/>
    <cellStyle name="Обычный 3 10 10 2 2 2" xfId="22842"/>
    <cellStyle name="Обычный 3 10 10 2 3" xfId="22843"/>
    <cellStyle name="Обычный 3 10 10 3" xfId="22844"/>
    <cellStyle name="Обычный 3 10 10 3 2" xfId="22845"/>
    <cellStyle name="Обычный 3 10 10 3 2 2" xfId="22846"/>
    <cellStyle name="Обычный 3 10 10 3 3" xfId="22847"/>
    <cellStyle name="Обычный 3 10 10 4" xfId="22848"/>
    <cellStyle name="Обычный 3 10 10 4 2" xfId="22849"/>
    <cellStyle name="Обычный 3 10 10 5" xfId="22850"/>
    <cellStyle name="Обычный 3 10 10 5 2" xfId="22851"/>
    <cellStyle name="Обычный 3 10 10 6" xfId="22852"/>
    <cellStyle name="Обычный 3 10 11" xfId="22853"/>
    <cellStyle name="Обычный 3 10 11 2" xfId="22854"/>
    <cellStyle name="Обычный 3 10 11 2 2" xfId="22855"/>
    <cellStyle name="Обычный 3 10 11 3" xfId="22856"/>
    <cellStyle name="Обычный 3 10 12" xfId="22857"/>
    <cellStyle name="Обычный 3 10 12 2" xfId="22858"/>
    <cellStyle name="Обычный 3 10 12 2 2" xfId="22859"/>
    <cellStyle name="Обычный 3 10 12 3" xfId="22860"/>
    <cellStyle name="Обычный 3 10 13" xfId="22861"/>
    <cellStyle name="Обычный 3 10 13 2" xfId="22862"/>
    <cellStyle name="Обычный 3 10 14" xfId="22863"/>
    <cellStyle name="Обычный 3 10 14 2" xfId="22864"/>
    <cellStyle name="Обычный 3 10 15" xfId="22865"/>
    <cellStyle name="Обычный 3 10 2" xfId="22866"/>
    <cellStyle name="Обычный 3 10 2 10" xfId="22867"/>
    <cellStyle name="Обычный 3 10 2 10 2" xfId="22868"/>
    <cellStyle name="Обычный 3 10 2 11" xfId="22869"/>
    <cellStyle name="Обычный 3 10 2 2" xfId="22870"/>
    <cellStyle name="Обычный 3 10 2 2 2" xfId="22871"/>
    <cellStyle name="Обычный 3 10 2 2 2 2" xfId="22872"/>
    <cellStyle name="Обычный 3 10 2 2 2 2 2" xfId="22873"/>
    <cellStyle name="Обычный 3 10 2 2 2 2 2 2" xfId="22874"/>
    <cellStyle name="Обычный 3 10 2 2 2 2 2 2 2" xfId="22875"/>
    <cellStyle name="Обычный 3 10 2 2 2 2 2 3" xfId="22876"/>
    <cellStyle name="Обычный 3 10 2 2 2 2 3" xfId="22877"/>
    <cellStyle name="Обычный 3 10 2 2 2 2 3 2" xfId="22878"/>
    <cellStyle name="Обычный 3 10 2 2 2 2 3 2 2" xfId="22879"/>
    <cellStyle name="Обычный 3 10 2 2 2 2 3 3" xfId="22880"/>
    <cellStyle name="Обычный 3 10 2 2 2 2 4" xfId="22881"/>
    <cellStyle name="Обычный 3 10 2 2 2 2 4 2" xfId="22882"/>
    <cellStyle name="Обычный 3 10 2 2 2 2 5" xfId="22883"/>
    <cellStyle name="Обычный 3 10 2 2 2 2 5 2" xfId="22884"/>
    <cellStyle name="Обычный 3 10 2 2 2 2 6" xfId="22885"/>
    <cellStyle name="Обычный 3 10 2 2 2 3" xfId="22886"/>
    <cellStyle name="Обычный 3 10 2 2 2 3 2" xfId="22887"/>
    <cellStyle name="Обычный 3 10 2 2 2 3 2 2" xfId="22888"/>
    <cellStyle name="Обычный 3 10 2 2 2 3 2 2 2" xfId="22889"/>
    <cellStyle name="Обычный 3 10 2 2 2 3 2 3" xfId="22890"/>
    <cellStyle name="Обычный 3 10 2 2 2 3 3" xfId="22891"/>
    <cellStyle name="Обычный 3 10 2 2 2 3 3 2" xfId="22892"/>
    <cellStyle name="Обычный 3 10 2 2 2 3 3 2 2" xfId="22893"/>
    <cellStyle name="Обычный 3 10 2 2 2 3 3 3" xfId="22894"/>
    <cellStyle name="Обычный 3 10 2 2 2 3 4" xfId="22895"/>
    <cellStyle name="Обычный 3 10 2 2 2 3 4 2" xfId="22896"/>
    <cellStyle name="Обычный 3 10 2 2 2 3 5" xfId="22897"/>
    <cellStyle name="Обычный 3 10 2 2 2 3 5 2" xfId="22898"/>
    <cellStyle name="Обычный 3 10 2 2 2 3 6" xfId="22899"/>
    <cellStyle name="Обычный 3 10 2 2 2 4" xfId="22900"/>
    <cellStyle name="Обычный 3 10 2 2 2 4 2" xfId="22901"/>
    <cellStyle name="Обычный 3 10 2 2 2 4 2 2" xfId="22902"/>
    <cellStyle name="Обычный 3 10 2 2 2 4 3" xfId="22903"/>
    <cellStyle name="Обычный 3 10 2 2 2 5" xfId="22904"/>
    <cellStyle name="Обычный 3 10 2 2 2 5 2" xfId="22905"/>
    <cellStyle name="Обычный 3 10 2 2 2 5 2 2" xfId="22906"/>
    <cellStyle name="Обычный 3 10 2 2 2 5 3" xfId="22907"/>
    <cellStyle name="Обычный 3 10 2 2 2 6" xfId="22908"/>
    <cellStyle name="Обычный 3 10 2 2 2 6 2" xfId="22909"/>
    <cellStyle name="Обычный 3 10 2 2 2 7" xfId="22910"/>
    <cellStyle name="Обычный 3 10 2 2 2 7 2" xfId="22911"/>
    <cellStyle name="Обычный 3 10 2 2 2 8" xfId="22912"/>
    <cellStyle name="Обычный 3 10 2 2 3" xfId="22913"/>
    <cellStyle name="Обычный 3 10 2 2 3 2" xfId="22914"/>
    <cellStyle name="Обычный 3 10 2 2 3 2 2" xfId="22915"/>
    <cellStyle name="Обычный 3 10 2 2 3 2 2 2" xfId="22916"/>
    <cellStyle name="Обычный 3 10 2 2 3 2 3" xfId="22917"/>
    <cellStyle name="Обычный 3 10 2 2 3 2 3 2" xfId="22918"/>
    <cellStyle name="Обычный 3 10 2 2 3 2 4" xfId="22919"/>
    <cellStyle name="Обычный 3 10 2 2 3 3" xfId="22920"/>
    <cellStyle name="Обычный 3 10 2 2 3 3 2" xfId="22921"/>
    <cellStyle name="Обычный 3 10 2 2 3 3 2 2" xfId="22922"/>
    <cellStyle name="Обычный 3 10 2 2 3 3 3" xfId="22923"/>
    <cellStyle name="Обычный 3 10 2 2 3 4" xfId="22924"/>
    <cellStyle name="Обычный 3 10 2 2 3 4 2" xfId="22925"/>
    <cellStyle name="Обычный 3 10 2 2 3 5" xfId="22926"/>
    <cellStyle name="Обычный 3 10 2 2 3 5 2" xfId="22927"/>
    <cellStyle name="Обычный 3 10 2 2 3 6" xfId="22928"/>
    <cellStyle name="Обычный 3 10 2 2 4" xfId="22929"/>
    <cellStyle name="Обычный 3 10 2 2 4 2" xfId="22930"/>
    <cellStyle name="Обычный 3 10 2 2 4 2 2" xfId="22931"/>
    <cellStyle name="Обычный 3 10 2 2 4 2 2 2" xfId="22932"/>
    <cellStyle name="Обычный 3 10 2 2 4 2 3" xfId="22933"/>
    <cellStyle name="Обычный 3 10 2 2 4 3" xfId="22934"/>
    <cellStyle name="Обычный 3 10 2 2 4 3 2" xfId="22935"/>
    <cellStyle name="Обычный 3 10 2 2 4 3 2 2" xfId="22936"/>
    <cellStyle name="Обычный 3 10 2 2 4 3 3" xfId="22937"/>
    <cellStyle name="Обычный 3 10 2 2 4 4" xfId="22938"/>
    <cellStyle name="Обычный 3 10 2 2 4 4 2" xfId="22939"/>
    <cellStyle name="Обычный 3 10 2 2 4 5" xfId="22940"/>
    <cellStyle name="Обычный 3 10 2 2 4 5 2" xfId="22941"/>
    <cellStyle name="Обычный 3 10 2 2 4 6" xfId="22942"/>
    <cellStyle name="Обычный 3 10 2 2 5" xfId="22943"/>
    <cellStyle name="Обычный 3 10 2 2 5 2" xfId="22944"/>
    <cellStyle name="Обычный 3 10 2 2 5 2 2" xfId="22945"/>
    <cellStyle name="Обычный 3 10 2 2 5 3" xfId="22946"/>
    <cellStyle name="Обычный 3 10 2 2 6" xfId="22947"/>
    <cellStyle name="Обычный 3 10 2 2 6 2" xfId="22948"/>
    <cellStyle name="Обычный 3 10 2 2 6 2 2" xfId="22949"/>
    <cellStyle name="Обычный 3 10 2 2 6 3" xfId="22950"/>
    <cellStyle name="Обычный 3 10 2 2 7" xfId="22951"/>
    <cellStyle name="Обычный 3 10 2 2 7 2" xfId="22952"/>
    <cellStyle name="Обычный 3 10 2 2 8" xfId="22953"/>
    <cellStyle name="Обычный 3 10 2 2 8 2" xfId="22954"/>
    <cellStyle name="Обычный 3 10 2 2 9" xfId="22955"/>
    <cellStyle name="Обычный 3 10 2 3" xfId="22956"/>
    <cellStyle name="Обычный 3 10 2 3 2" xfId="22957"/>
    <cellStyle name="Обычный 3 10 2 3 2 2" xfId="22958"/>
    <cellStyle name="Обычный 3 10 2 3 2 2 2" xfId="22959"/>
    <cellStyle name="Обычный 3 10 2 3 2 2 2 2" xfId="22960"/>
    <cellStyle name="Обычный 3 10 2 3 2 2 3" xfId="22961"/>
    <cellStyle name="Обычный 3 10 2 3 2 2 3 2" xfId="22962"/>
    <cellStyle name="Обычный 3 10 2 3 2 2 4" xfId="22963"/>
    <cellStyle name="Обычный 3 10 2 3 2 3" xfId="22964"/>
    <cellStyle name="Обычный 3 10 2 3 2 3 2" xfId="22965"/>
    <cellStyle name="Обычный 3 10 2 3 2 3 2 2" xfId="22966"/>
    <cellStyle name="Обычный 3 10 2 3 2 3 3" xfId="22967"/>
    <cellStyle name="Обычный 3 10 2 3 2 4" xfId="22968"/>
    <cellStyle name="Обычный 3 10 2 3 2 4 2" xfId="22969"/>
    <cellStyle name="Обычный 3 10 2 3 2 5" xfId="22970"/>
    <cellStyle name="Обычный 3 10 2 3 2 5 2" xfId="22971"/>
    <cellStyle name="Обычный 3 10 2 3 2 6" xfId="22972"/>
    <cellStyle name="Обычный 3 10 2 3 3" xfId="22973"/>
    <cellStyle name="Обычный 3 10 2 3 3 2" xfId="22974"/>
    <cellStyle name="Обычный 3 10 2 3 3 2 2" xfId="22975"/>
    <cellStyle name="Обычный 3 10 2 3 3 2 2 2" xfId="22976"/>
    <cellStyle name="Обычный 3 10 2 3 3 2 3" xfId="22977"/>
    <cellStyle name="Обычный 3 10 2 3 3 3" xfId="22978"/>
    <cellStyle name="Обычный 3 10 2 3 3 3 2" xfId="22979"/>
    <cellStyle name="Обычный 3 10 2 3 3 3 2 2" xfId="22980"/>
    <cellStyle name="Обычный 3 10 2 3 3 3 3" xfId="22981"/>
    <cellStyle name="Обычный 3 10 2 3 3 4" xfId="22982"/>
    <cellStyle name="Обычный 3 10 2 3 3 4 2" xfId="22983"/>
    <cellStyle name="Обычный 3 10 2 3 3 5" xfId="22984"/>
    <cellStyle name="Обычный 3 10 2 3 3 5 2" xfId="22985"/>
    <cellStyle name="Обычный 3 10 2 3 3 6" xfId="22986"/>
    <cellStyle name="Обычный 3 10 2 3 4" xfId="22987"/>
    <cellStyle name="Обычный 3 10 2 3 4 2" xfId="22988"/>
    <cellStyle name="Обычный 3 10 2 3 4 2 2" xfId="22989"/>
    <cellStyle name="Обычный 3 10 2 3 4 3" xfId="22990"/>
    <cellStyle name="Обычный 3 10 2 3 4 3 2" xfId="22991"/>
    <cellStyle name="Обычный 3 10 2 3 4 4" xfId="22992"/>
    <cellStyle name="Обычный 3 10 2 3 5" xfId="22993"/>
    <cellStyle name="Обычный 3 10 2 3 5 2" xfId="22994"/>
    <cellStyle name="Обычный 3 10 2 3 5 2 2" xfId="22995"/>
    <cellStyle name="Обычный 3 10 2 3 5 3" xfId="22996"/>
    <cellStyle name="Обычный 3 10 2 3 6" xfId="22997"/>
    <cellStyle name="Обычный 3 10 2 3 6 2" xfId="22998"/>
    <cellStyle name="Обычный 3 10 2 3 7" xfId="22999"/>
    <cellStyle name="Обычный 3 10 2 3 7 2" xfId="23000"/>
    <cellStyle name="Обычный 3 10 2 3 8" xfId="23001"/>
    <cellStyle name="Обычный 3 10 2 4" xfId="23002"/>
    <cellStyle name="Обычный 3 10 2 4 2" xfId="23003"/>
    <cellStyle name="Обычный 3 10 2 4 2 2" xfId="23004"/>
    <cellStyle name="Обычный 3 10 2 4 2 2 2" xfId="23005"/>
    <cellStyle name="Обычный 3 10 2 4 2 2 2 2" xfId="23006"/>
    <cellStyle name="Обычный 3 10 2 4 2 2 3" xfId="23007"/>
    <cellStyle name="Обычный 3 10 2 4 2 3" xfId="23008"/>
    <cellStyle name="Обычный 3 10 2 4 2 3 2" xfId="23009"/>
    <cellStyle name="Обычный 3 10 2 4 2 3 2 2" xfId="23010"/>
    <cellStyle name="Обычный 3 10 2 4 2 3 3" xfId="23011"/>
    <cellStyle name="Обычный 3 10 2 4 2 4" xfId="23012"/>
    <cellStyle name="Обычный 3 10 2 4 2 4 2" xfId="23013"/>
    <cellStyle name="Обычный 3 10 2 4 2 5" xfId="23014"/>
    <cellStyle name="Обычный 3 10 2 4 2 5 2" xfId="23015"/>
    <cellStyle name="Обычный 3 10 2 4 2 6" xfId="23016"/>
    <cellStyle name="Обычный 3 10 2 4 3" xfId="23017"/>
    <cellStyle name="Обычный 3 10 2 4 3 2" xfId="23018"/>
    <cellStyle name="Обычный 3 10 2 4 3 2 2" xfId="23019"/>
    <cellStyle name="Обычный 3 10 2 4 3 2 2 2" xfId="23020"/>
    <cellStyle name="Обычный 3 10 2 4 3 2 3" xfId="23021"/>
    <cellStyle name="Обычный 3 10 2 4 3 3" xfId="23022"/>
    <cellStyle name="Обычный 3 10 2 4 3 3 2" xfId="23023"/>
    <cellStyle name="Обычный 3 10 2 4 3 3 2 2" xfId="23024"/>
    <cellStyle name="Обычный 3 10 2 4 3 3 3" xfId="23025"/>
    <cellStyle name="Обычный 3 10 2 4 3 4" xfId="23026"/>
    <cellStyle name="Обычный 3 10 2 4 3 4 2" xfId="23027"/>
    <cellStyle name="Обычный 3 10 2 4 3 5" xfId="23028"/>
    <cellStyle name="Обычный 3 10 2 4 4" xfId="23029"/>
    <cellStyle name="Обычный 3 10 2 4 4 2" xfId="23030"/>
    <cellStyle name="Обычный 3 10 2 4 4 2 2" xfId="23031"/>
    <cellStyle name="Обычный 3 10 2 4 4 3" xfId="23032"/>
    <cellStyle name="Обычный 3 10 2 4 5" xfId="23033"/>
    <cellStyle name="Обычный 3 10 2 4 5 2" xfId="23034"/>
    <cellStyle name="Обычный 3 10 2 4 5 2 2" xfId="23035"/>
    <cellStyle name="Обычный 3 10 2 4 5 3" xfId="23036"/>
    <cellStyle name="Обычный 3 10 2 4 6" xfId="23037"/>
    <cellStyle name="Обычный 3 10 2 4 6 2" xfId="23038"/>
    <cellStyle name="Обычный 3 10 2 4 7" xfId="23039"/>
    <cellStyle name="Обычный 3 10 2 4 7 2" xfId="23040"/>
    <cellStyle name="Обычный 3 10 2 4 8" xfId="23041"/>
    <cellStyle name="Обычный 3 10 2 5" xfId="23042"/>
    <cellStyle name="Обычный 3 10 2 5 2" xfId="23043"/>
    <cellStyle name="Обычный 3 10 2 5 2 2" xfId="23044"/>
    <cellStyle name="Обычный 3 10 2 5 2 2 2" xfId="23045"/>
    <cellStyle name="Обычный 3 10 2 5 2 3" xfId="23046"/>
    <cellStyle name="Обычный 3 10 2 5 3" xfId="23047"/>
    <cellStyle name="Обычный 3 10 2 5 3 2" xfId="23048"/>
    <cellStyle name="Обычный 3 10 2 5 3 2 2" xfId="23049"/>
    <cellStyle name="Обычный 3 10 2 5 3 3" xfId="23050"/>
    <cellStyle name="Обычный 3 10 2 5 4" xfId="23051"/>
    <cellStyle name="Обычный 3 10 2 5 4 2" xfId="23052"/>
    <cellStyle name="Обычный 3 10 2 5 5" xfId="23053"/>
    <cellStyle name="Обычный 3 10 2 5 5 2" xfId="23054"/>
    <cellStyle name="Обычный 3 10 2 5 6" xfId="23055"/>
    <cellStyle name="Обычный 3 10 2 6" xfId="23056"/>
    <cellStyle name="Обычный 3 10 2 6 2" xfId="23057"/>
    <cellStyle name="Обычный 3 10 2 6 2 2" xfId="23058"/>
    <cellStyle name="Обычный 3 10 2 6 2 2 2" xfId="23059"/>
    <cellStyle name="Обычный 3 10 2 6 2 3" xfId="23060"/>
    <cellStyle name="Обычный 3 10 2 6 3" xfId="23061"/>
    <cellStyle name="Обычный 3 10 2 6 3 2" xfId="23062"/>
    <cellStyle name="Обычный 3 10 2 6 3 2 2" xfId="23063"/>
    <cellStyle name="Обычный 3 10 2 6 3 3" xfId="23064"/>
    <cellStyle name="Обычный 3 10 2 6 4" xfId="23065"/>
    <cellStyle name="Обычный 3 10 2 6 4 2" xfId="23066"/>
    <cellStyle name="Обычный 3 10 2 6 5" xfId="23067"/>
    <cellStyle name="Обычный 3 10 2 6 5 2" xfId="23068"/>
    <cellStyle name="Обычный 3 10 2 6 6" xfId="23069"/>
    <cellStyle name="Обычный 3 10 2 7" xfId="23070"/>
    <cellStyle name="Обычный 3 10 2 7 2" xfId="23071"/>
    <cellStyle name="Обычный 3 10 2 7 2 2" xfId="23072"/>
    <cellStyle name="Обычный 3 10 2 7 3" xfId="23073"/>
    <cellStyle name="Обычный 3 10 2 8" xfId="23074"/>
    <cellStyle name="Обычный 3 10 2 8 2" xfId="23075"/>
    <cellStyle name="Обычный 3 10 2 8 2 2" xfId="23076"/>
    <cellStyle name="Обычный 3 10 2 8 3" xfId="23077"/>
    <cellStyle name="Обычный 3 10 2 9" xfId="23078"/>
    <cellStyle name="Обычный 3 10 2 9 2" xfId="23079"/>
    <cellStyle name="Обычный 3 10 3" xfId="23080"/>
    <cellStyle name="Обычный 3 10 3 10" xfId="23081"/>
    <cellStyle name="Обычный 3 10 3 10 2" xfId="23082"/>
    <cellStyle name="Обычный 3 10 3 11" xfId="23083"/>
    <cellStyle name="Обычный 3 10 3 11 2" xfId="23084"/>
    <cellStyle name="Обычный 3 10 3 12" xfId="23085"/>
    <cellStyle name="Обычный 3 10 3 2" xfId="23086"/>
    <cellStyle name="Обычный 3 10 3 2 10" xfId="23087"/>
    <cellStyle name="Обычный 3 10 3 2 10 2" xfId="23088"/>
    <cellStyle name="Обычный 3 10 3 2 10 2 2" xfId="23089"/>
    <cellStyle name="Обычный 3 10 3 2 10 3" xfId="23090"/>
    <cellStyle name="Обычный 3 10 3 2 11" xfId="23091"/>
    <cellStyle name="Обычный 3 10 3 2 11 2" xfId="23092"/>
    <cellStyle name="Обычный 3 10 3 2 12" xfId="23093"/>
    <cellStyle name="Обычный 3 10 3 2 12 2" xfId="23094"/>
    <cellStyle name="Обычный 3 10 3 2 13" xfId="23095"/>
    <cellStyle name="Обычный 3 10 3 2 2" xfId="23096"/>
    <cellStyle name="Обычный 3 10 3 2 2 10" xfId="23097"/>
    <cellStyle name="Обычный 3 10 3 2 2 10 2" xfId="23098"/>
    <cellStyle name="Обычный 3 10 3 2 2 11" xfId="23099"/>
    <cellStyle name="Обычный 3 10 3 2 2 2" xfId="23100"/>
    <cellStyle name="Обычный 3 10 3 2 2 2 2" xfId="23101"/>
    <cellStyle name="Обычный 3 10 3 2 2 2 2 2" xfId="23102"/>
    <cellStyle name="Обычный 3 10 3 2 2 2 2 2 2" xfId="23103"/>
    <cellStyle name="Обычный 3 10 3 2 2 2 2 2 2 2" xfId="23104"/>
    <cellStyle name="Обычный 3 10 3 2 2 2 2 2 2 2 2" xfId="23105"/>
    <cellStyle name="Обычный 3 10 3 2 2 2 2 2 2 3" xfId="23106"/>
    <cellStyle name="Обычный 3 10 3 2 2 2 2 2 3" xfId="23107"/>
    <cellStyle name="Обычный 3 10 3 2 2 2 2 2 3 2" xfId="23108"/>
    <cellStyle name="Обычный 3 10 3 2 2 2 2 2 3 2 2" xfId="23109"/>
    <cellStyle name="Обычный 3 10 3 2 2 2 2 2 3 3" xfId="23110"/>
    <cellStyle name="Обычный 3 10 3 2 2 2 2 2 4" xfId="23111"/>
    <cellStyle name="Обычный 3 10 3 2 2 2 2 2 4 2" xfId="23112"/>
    <cellStyle name="Обычный 3 10 3 2 2 2 2 2 5" xfId="23113"/>
    <cellStyle name="Обычный 3 10 3 2 2 2 2 2 5 2" xfId="23114"/>
    <cellStyle name="Обычный 3 10 3 2 2 2 2 2 6" xfId="23115"/>
    <cellStyle name="Обычный 3 10 3 2 2 2 2 3" xfId="23116"/>
    <cellStyle name="Обычный 3 10 3 2 2 2 2 3 2" xfId="23117"/>
    <cellStyle name="Обычный 3 10 3 2 2 2 2 3 2 2" xfId="23118"/>
    <cellStyle name="Обычный 3 10 3 2 2 2 2 3 2 2 2" xfId="23119"/>
    <cellStyle name="Обычный 3 10 3 2 2 2 2 3 2 3" xfId="23120"/>
    <cellStyle name="Обычный 3 10 3 2 2 2 2 3 3" xfId="23121"/>
    <cellStyle name="Обычный 3 10 3 2 2 2 2 3 3 2" xfId="23122"/>
    <cellStyle name="Обычный 3 10 3 2 2 2 2 3 3 2 2" xfId="23123"/>
    <cellStyle name="Обычный 3 10 3 2 2 2 2 3 3 3" xfId="23124"/>
    <cellStyle name="Обычный 3 10 3 2 2 2 2 3 4" xfId="23125"/>
    <cellStyle name="Обычный 3 10 3 2 2 2 2 3 4 2" xfId="23126"/>
    <cellStyle name="Обычный 3 10 3 2 2 2 2 3 5" xfId="23127"/>
    <cellStyle name="Обычный 3 10 3 2 2 2 2 4" xfId="23128"/>
    <cellStyle name="Обычный 3 10 3 2 2 2 2 4 2" xfId="23129"/>
    <cellStyle name="Обычный 3 10 3 2 2 2 2 4 2 2" xfId="23130"/>
    <cellStyle name="Обычный 3 10 3 2 2 2 2 4 3" xfId="23131"/>
    <cellStyle name="Обычный 3 10 3 2 2 2 2 5" xfId="23132"/>
    <cellStyle name="Обычный 3 10 3 2 2 2 2 5 2" xfId="23133"/>
    <cellStyle name="Обычный 3 10 3 2 2 2 2 5 2 2" xfId="23134"/>
    <cellStyle name="Обычный 3 10 3 2 2 2 2 5 3" xfId="23135"/>
    <cellStyle name="Обычный 3 10 3 2 2 2 2 6" xfId="23136"/>
    <cellStyle name="Обычный 3 10 3 2 2 2 2 6 2" xfId="23137"/>
    <cellStyle name="Обычный 3 10 3 2 2 2 2 7" xfId="23138"/>
    <cellStyle name="Обычный 3 10 3 2 2 2 2 7 2" xfId="23139"/>
    <cellStyle name="Обычный 3 10 3 2 2 2 2 8" xfId="23140"/>
    <cellStyle name="Обычный 3 10 3 2 2 2 3" xfId="23141"/>
    <cellStyle name="Обычный 3 10 3 2 2 2 3 2" xfId="23142"/>
    <cellStyle name="Обычный 3 10 3 2 2 2 3 2 2" xfId="23143"/>
    <cellStyle name="Обычный 3 10 3 2 2 2 3 2 2 2" xfId="23144"/>
    <cellStyle name="Обычный 3 10 3 2 2 2 3 2 3" xfId="23145"/>
    <cellStyle name="Обычный 3 10 3 2 2 2 3 3" xfId="23146"/>
    <cellStyle name="Обычный 3 10 3 2 2 2 3 3 2" xfId="23147"/>
    <cellStyle name="Обычный 3 10 3 2 2 2 3 3 2 2" xfId="23148"/>
    <cellStyle name="Обычный 3 10 3 2 2 2 3 3 3" xfId="23149"/>
    <cellStyle name="Обычный 3 10 3 2 2 2 3 4" xfId="23150"/>
    <cellStyle name="Обычный 3 10 3 2 2 2 3 4 2" xfId="23151"/>
    <cellStyle name="Обычный 3 10 3 2 2 2 3 5" xfId="23152"/>
    <cellStyle name="Обычный 3 10 3 2 2 2 3 5 2" xfId="23153"/>
    <cellStyle name="Обычный 3 10 3 2 2 2 3 6" xfId="23154"/>
    <cellStyle name="Обычный 3 10 3 2 2 2 4" xfId="23155"/>
    <cellStyle name="Обычный 3 10 3 2 2 2 4 2" xfId="23156"/>
    <cellStyle name="Обычный 3 10 3 2 2 2 4 2 2" xfId="23157"/>
    <cellStyle name="Обычный 3 10 3 2 2 2 4 2 2 2" xfId="23158"/>
    <cellStyle name="Обычный 3 10 3 2 2 2 4 2 3" xfId="23159"/>
    <cellStyle name="Обычный 3 10 3 2 2 2 4 3" xfId="23160"/>
    <cellStyle name="Обычный 3 10 3 2 2 2 4 3 2" xfId="23161"/>
    <cellStyle name="Обычный 3 10 3 2 2 2 4 3 2 2" xfId="23162"/>
    <cellStyle name="Обычный 3 10 3 2 2 2 4 3 3" xfId="23163"/>
    <cellStyle name="Обычный 3 10 3 2 2 2 4 4" xfId="23164"/>
    <cellStyle name="Обычный 3 10 3 2 2 2 4 4 2" xfId="23165"/>
    <cellStyle name="Обычный 3 10 3 2 2 2 4 5" xfId="23166"/>
    <cellStyle name="Обычный 3 10 3 2 2 2 4 5 2" xfId="23167"/>
    <cellStyle name="Обычный 3 10 3 2 2 2 4 6" xfId="23168"/>
    <cellStyle name="Обычный 3 10 3 2 2 2 5" xfId="23169"/>
    <cellStyle name="Обычный 3 10 3 2 2 2 5 2" xfId="23170"/>
    <cellStyle name="Обычный 3 10 3 2 2 2 5 2 2" xfId="23171"/>
    <cellStyle name="Обычный 3 10 3 2 2 2 5 3" xfId="23172"/>
    <cellStyle name="Обычный 3 10 3 2 2 2 6" xfId="23173"/>
    <cellStyle name="Обычный 3 10 3 2 2 2 6 2" xfId="23174"/>
    <cellStyle name="Обычный 3 10 3 2 2 2 6 2 2" xfId="23175"/>
    <cellStyle name="Обычный 3 10 3 2 2 2 6 3" xfId="23176"/>
    <cellStyle name="Обычный 3 10 3 2 2 2 7" xfId="23177"/>
    <cellStyle name="Обычный 3 10 3 2 2 2 7 2" xfId="23178"/>
    <cellStyle name="Обычный 3 10 3 2 2 2 8" xfId="23179"/>
    <cellStyle name="Обычный 3 10 3 2 2 2 8 2" xfId="23180"/>
    <cellStyle name="Обычный 3 10 3 2 2 2 9" xfId="23181"/>
    <cellStyle name="Обычный 3 10 3 2 2 3" xfId="23182"/>
    <cellStyle name="Обычный 3 10 3 2 2 3 2" xfId="23183"/>
    <cellStyle name="Обычный 3 10 3 2 2 3 2 2" xfId="23184"/>
    <cellStyle name="Обычный 3 10 3 2 2 3 2 2 2" xfId="23185"/>
    <cellStyle name="Обычный 3 10 3 2 2 3 2 2 2 2" xfId="23186"/>
    <cellStyle name="Обычный 3 10 3 2 2 3 2 2 3" xfId="23187"/>
    <cellStyle name="Обычный 3 10 3 2 2 3 2 2 3 2" xfId="23188"/>
    <cellStyle name="Обычный 3 10 3 2 2 3 2 2 4" xfId="23189"/>
    <cellStyle name="Обычный 3 10 3 2 2 3 2 3" xfId="23190"/>
    <cellStyle name="Обычный 3 10 3 2 2 3 2 3 2" xfId="23191"/>
    <cellStyle name="Обычный 3 10 3 2 2 3 2 3 2 2" xfId="23192"/>
    <cellStyle name="Обычный 3 10 3 2 2 3 2 3 3" xfId="23193"/>
    <cellStyle name="Обычный 3 10 3 2 2 3 2 4" xfId="23194"/>
    <cellStyle name="Обычный 3 10 3 2 2 3 2 4 2" xfId="23195"/>
    <cellStyle name="Обычный 3 10 3 2 2 3 2 5" xfId="23196"/>
    <cellStyle name="Обычный 3 10 3 2 2 3 2 5 2" xfId="23197"/>
    <cellStyle name="Обычный 3 10 3 2 2 3 2 6" xfId="23198"/>
    <cellStyle name="Обычный 3 10 3 2 2 3 3" xfId="23199"/>
    <cellStyle name="Обычный 3 10 3 2 2 3 3 2" xfId="23200"/>
    <cellStyle name="Обычный 3 10 3 2 2 3 3 2 2" xfId="23201"/>
    <cellStyle name="Обычный 3 10 3 2 2 3 3 2 2 2" xfId="23202"/>
    <cellStyle name="Обычный 3 10 3 2 2 3 3 2 3" xfId="23203"/>
    <cellStyle name="Обычный 3 10 3 2 2 3 3 3" xfId="23204"/>
    <cellStyle name="Обычный 3 10 3 2 2 3 3 3 2" xfId="23205"/>
    <cellStyle name="Обычный 3 10 3 2 2 3 3 3 2 2" xfId="23206"/>
    <cellStyle name="Обычный 3 10 3 2 2 3 3 3 3" xfId="23207"/>
    <cellStyle name="Обычный 3 10 3 2 2 3 3 4" xfId="23208"/>
    <cellStyle name="Обычный 3 10 3 2 2 3 3 4 2" xfId="23209"/>
    <cellStyle name="Обычный 3 10 3 2 2 3 3 5" xfId="23210"/>
    <cellStyle name="Обычный 3 10 3 2 2 3 3 5 2" xfId="23211"/>
    <cellStyle name="Обычный 3 10 3 2 2 3 3 6" xfId="23212"/>
    <cellStyle name="Обычный 3 10 3 2 2 3 4" xfId="23213"/>
    <cellStyle name="Обычный 3 10 3 2 2 3 4 2" xfId="23214"/>
    <cellStyle name="Обычный 3 10 3 2 2 3 4 2 2" xfId="23215"/>
    <cellStyle name="Обычный 3 10 3 2 2 3 4 3" xfId="23216"/>
    <cellStyle name="Обычный 3 10 3 2 2 3 4 3 2" xfId="23217"/>
    <cellStyle name="Обычный 3 10 3 2 2 3 4 4" xfId="23218"/>
    <cellStyle name="Обычный 3 10 3 2 2 3 5" xfId="23219"/>
    <cellStyle name="Обычный 3 10 3 2 2 3 5 2" xfId="23220"/>
    <cellStyle name="Обычный 3 10 3 2 2 3 5 2 2" xfId="23221"/>
    <cellStyle name="Обычный 3 10 3 2 2 3 5 3" xfId="23222"/>
    <cellStyle name="Обычный 3 10 3 2 2 3 6" xfId="23223"/>
    <cellStyle name="Обычный 3 10 3 2 2 3 6 2" xfId="23224"/>
    <cellStyle name="Обычный 3 10 3 2 2 3 7" xfId="23225"/>
    <cellStyle name="Обычный 3 10 3 2 2 3 7 2" xfId="23226"/>
    <cellStyle name="Обычный 3 10 3 2 2 3 8" xfId="23227"/>
    <cellStyle name="Обычный 3 10 3 2 2 4" xfId="23228"/>
    <cellStyle name="Обычный 3 10 3 2 2 4 2" xfId="23229"/>
    <cellStyle name="Обычный 3 10 3 2 2 4 2 2" xfId="23230"/>
    <cellStyle name="Обычный 3 10 3 2 2 4 2 2 2" xfId="23231"/>
    <cellStyle name="Обычный 3 10 3 2 2 4 2 2 2 2" xfId="23232"/>
    <cellStyle name="Обычный 3 10 3 2 2 4 2 2 3" xfId="23233"/>
    <cellStyle name="Обычный 3 10 3 2 2 4 2 3" xfId="23234"/>
    <cellStyle name="Обычный 3 10 3 2 2 4 2 3 2" xfId="23235"/>
    <cellStyle name="Обычный 3 10 3 2 2 4 2 3 2 2" xfId="23236"/>
    <cellStyle name="Обычный 3 10 3 2 2 4 2 3 3" xfId="23237"/>
    <cellStyle name="Обычный 3 10 3 2 2 4 2 4" xfId="23238"/>
    <cellStyle name="Обычный 3 10 3 2 2 4 2 4 2" xfId="23239"/>
    <cellStyle name="Обычный 3 10 3 2 2 4 2 5" xfId="23240"/>
    <cellStyle name="Обычный 3 10 3 2 2 4 2 5 2" xfId="23241"/>
    <cellStyle name="Обычный 3 10 3 2 2 4 2 6" xfId="23242"/>
    <cellStyle name="Обычный 3 10 3 2 2 4 3" xfId="23243"/>
    <cellStyle name="Обычный 3 10 3 2 2 4 3 2" xfId="23244"/>
    <cellStyle name="Обычный 3 10 3 2 2 4 3 2 2" xfId="23245"/>
    <cellStyle name="Обычный 3 10 3 2 2 4 3 2 2 2" xfId="23246"/>
    <cellStyle name="Обычный 3 10 3 2 2 4 3 2 3" xfId="23247"/>
    <cellStyle name="Обычный 3 10 3 2 2 4 3 3" xfId="23248"/>
    <cellStyle name="Обычный 3 10 3 2 2 4 3 3 2" xfId="23249"/>
    <cellStyle name="Обычный 3 10 3 2 2 4 3 3 2 2" xfId="23250"/>
    <cellStyle name="Обычный 3 10 3 2 2 4 3 3 3" xfId="23251"/>
    <cellStyle name="Обычный 3 10 3 2 2 4 3 4" xfId="23252"/>
    <cellStyle name="Обычный 3 10 3 2 2 4 3 4 2" xfId="23253"/>
    <cellStyle name="Обычный 3 10 3 2 2 4 3 5" xfId="23254"/>
    <cellStyle name="Обычный 3 10 3 2 2 4 4" xfId="23255"/>
    <cellStyle name="Обычный 3 10 3 2 2 4 4 2" xfId="23256"/>
    <cellStyle name="Обычный 3 10 3 2 2 4 4 2 2" xfId="23257"/>
    <cellStyle name="Обычный 3 10 3 2 2 4 4 3" xfId="23258"/>
    <cellStyle name="Обычный 3 10 3 2 2 4 5" xfId="23259"/>
    <cellStyle name="Обычный 3 10 3 2 2 4 5 2" xfId="23260"/>
    <cellStyle name="Обычный 3 10 3 2 2 4 5 2 2" xfId="23261"/>
    <cellStyle name="Обычный 3 10 3 2 2 4 5 3" xfId="23262"/>
    <cellStyle name="Обычный 3 10 3 2 2 4 6" xfId="23263"/>
    <cellStyle name="Обычный 3 10 3 2 2 4 6 2" xfId="23264"/>
    <cellStyle name="Обычный 3 10 3 2 2 4 7" xfId="23265"/>
    <cellStyle name="Обычный 3 10 3 2 2 4 7 2" xfId="23266"/>
    <cellStyle name="Обычный 3 10 3 2 2 4 8" xfId="23267"/>
    <cellStyle name="Обычный 3 10 3 2 2 5" xfId="23268"/>
    <cellStyle name="Обычный 3 10 3 2 2 5 2" xfId="23269"/>
    <cellStyle name="Обычный 3 10 3 2 2 5 2 2" xfId="23270"/>
    <cellStyle name="Обычный 3 10 3 2 2 5 2 2 2" xfId="23271"/>
    <cellStyle name="Обычный 3 10 3 2 2 5 2 3" xfId="23272"/>
    <cellStyle name="Обычный 3 10 3 2 2 5 3" xfId="23273"/>
    <cellStyle name="Обычный 3 10 3 2 2 5 3 2" xfId="23274"/>
    <cellStyle name="Обычный 3 10 3 2 2 5 3 2 2" xfId="23275"/>
    <cellStyle name="Обычный 3 10 3 2 2 5 3 3" xfId="23276"/>
    <cellStyle name="Обычный 3 10 3 2 2 5 4" xfId="23277"/>
    <cellStyle name="Обычный 3 10 3 2 2 5 4 2" xfId="23278"/>
    <cellStyle name="Обычный 3 10 3 2 2 5 5" xfId="23279"/>
    <cellStyle name="Обычный 3 10 3 2 2 5 5 2" xfId="23280"/>
    <cellStyle name="Обычный 3 10 3 2 2 5 6" xfId="23281"/>
    <cellStyle name="Обычный 3 10 3 2 2 6" xfId="23282"/>
    <cellStyle name="Обычный 3 10 3 2 2 6 2" xfId="23283"/>
    <cellStyle name="Обычный 3 10 3 2 2 6 2 2" xfId="23284"/>
    <cellStyle name="Обычный 3 10 3 2 2 6 2 2 2" xfId="23285"/>
    <cellStyle name="Обычный 3 10 3 2 2 6 2 3" xfId="23286"/>
    <cellStyle name="Обычный 3 10 3 2 2 6 3" xfId="23287"/>
    <cellStyle name="Обычный 3 10 3 2 2 6 3 2" xfId="23288"/>
    <cellStyle name="Обычный 3 10 3 2 2 6 3 2 2" xfId="23289"/>
    <cellStyle name="Обычный 3 10 3 2 2 6 3 3" xfId="23290"/>
    <cellStyle name="Обычный 3 10 3 2 2 6 4" xfId="23291"/>
    <cellStyle name="Обычный 3 10 3 2 2 6 4 2" xfId="23292"/>
    <cellStyle name="Обычный 3 10 3 2 2 6 5" xfId="23293"/>
    <cellStyle name="Обычный 3 10 3 2 2 6 5 2" xfId="23294"/>
    <cellStyle name="Обычный 3 10 3 2 2 6 6" xfId="23295"/>
    <cellStyle name="Обычный 3 10 3 2 2 7" xfId="23296"/>
    <cellStyle name="Обычный 3 10 3 2 2 7 2" xfId="23297"/>
    <cellStyle name="Обычный 3 10 3 2 2 7 2 2" xfId="23298"/>
    <cellStyle name="Обычный 3 10 3 2 2 7 3" xfId="23299"/>
    <cellStyle name="Обычный 3 10 3 2 2 8" xfId="23300"/>
    <cellStyle name="Обычный 3 10 3 2 2 8 2" xfId="23301"/>
    <cellStyle name="Обычный 3 10 3 2 2 8 2 2" xfId="23302"/>
    <cellStyle name="Обычный 3 10 3 2 2 8 3" xfId="23303"/>
    <cellStyle name="Обычный 3 10 3 2 2 9" xfId="23304"/>
    <cellStyle name="Обычный 3 10 3 2 2 9 2" xfId="23305"/>
    <cellStyle name="Обычный 3 10 3 2 3" xfId="23306"/>
    <cellStyle name="Обычный 3 10 3 2 3 2" xfId="23307"/>
    <cellStyle name="Обычный 3 10 3 2 3 2 2" xfId="23308"/>
    <cellStyle name="Обычный 3 10 3 2 3 2 2 2" xfId="23309"/>
    <cellStyle name="Обычный 3 10 3 2 3 2 2 2 2" xfId="23310"/>
    <cellStyle name="Обычный 3 10 3 2 3 2 2 2 2 2" xfId="23311"/>
    <cellStyle name="Обычный 3 10 3 2 3 2 2 2 3" xfId="23312"/>
    <cellStyle name="Обычный 3 10 3 2 3 2 2 2 3 2" xfId="23313"/>
    <cellStyle name="Обычный 3 10 3 2 3 2 2 2 4" xfId="23314"/>
    <cellStyle name="Обычный 3 10 3 2 3 2 2 3" xfId="23315"/>
    <cellStyle name="Обычный 3 10 3 2 3 2 2 3 2" xfId="23316"/>
    <cellStyle name="Обычный 3 10 3 2 3 2 2 3 2 2" xfId="23317"/>
    <cellStyle name="Обычный 3 10 3 2 3 2 2 3 3" xfId="23318"/>
    <cellStyle name="Обычный 3 10 3 2 3 2 2 4" xfId="23319"/>
    <cellStyle name="Обычный 3 10 3 2 3 2 2 4 2" xfId="23320"/>
    <cellStyle name="Обычный 3 10 3 2 3 2 2 5" xfId="23321"/>
    <cellStyle name="Обычный 3 10 3 2 3 2 2 5 2" xfId="23322"/>
    <cellStyle name="Обычный 3 10 3 2 3 2 2 6" xfId="23323"/>
    <cellStyle name="Обычный 3 10 3 2 3 2 3" xfId="23324"/>
    <cellStyle name="Обычный 3 10 3 2 3 2 3 2" xfId="23325"/>
    <cellStyle name="Обычный 3 10 3 2 3 2 3 2 2" xfId="23326"/>
    <cellStyle name="Обычный 3 10 3 2 3 2 3 2 2 2" xfId="23327"/>
    <cellStyle name="Обычный 3 10 3 2 3 2 3 2 3" xfId="23328"/>
    <cellStyle name="Обычный 3 10 3 2 3 2 3 3" xfId="23329"/>
    <cellStyle name="Обычный 3 10 3 2 3 2 3 3 2" xfId="23330"/>
    <cellStyle name="Обычный 3 10 3 2 3 2 3 3 2 2" xfId="23331"/>
    <cellStyle name="Обычный 3 10 3 2 3 2 3 3 3" xfId="23332"/>
    <cellStyle name="Обычный 3 10 3 2 3 2 3 4" xfId="23333"/>
    <cellStyle name="Обычный 3 10 3 2 3 2 3 4 2" xfId="23334"/>
    <cellStyle name="Обычный 3 10 3 2 3 2 3 5" xfId="23335"/>
    <cellStyle name="Обычный 3 10 3 2 3 2 3 5 2" xfId="23336"/>
    <cellStyle name="Обычный 3 10 3 2 3 2 3 6" xfId="23337"/>
    <cellStyle name="Обычный 3 10 3 2 3 2 4" xfId="23338"/>
    <cellStyle name="Обычный 3 10 3 2 3 2 4 2" xfId="23339"/>
    <cellStyle name="Обычный 3 10 3 2 3 2 4 2 2" xfId="23340"/>
    <cellStyle name="Обычный 3 10 3 2 3 2 4 3" xfId="23341"/>
    <cellStyle name="Обычный 3 10 3 2 3 2 4 3 2" xfId="23342"/>
    <cellStyle name="Обычный 3 10 3 2 3 2 4 4" xfId="23343"/>
    <cellStyle name="Обычный 3 10 3 2 3 2 5" xfId="23344"/>
    <cellStyle name="Обычный 3 10 3 2 3 2 5 2" xfId="23345"/>
    <cellStyle name="Обычный 3 10 3 2 3 2 5 2 2" xfId="23346"/>
    <cellStyle name="Обычный 3 10 3 2 3 2 5 3" xfId="23347"/>
    <cellStyle name="Обычный 3 10 3 2 3 2 6" xfId="23348"/>
    <cellStyle name="Обычный 3 10 3 2 3 2 6 2" xfId="23349"/>
    <cellStyle name="Обычный 3 10 3 2 3 2 7" xfId="23350"/>
    <cellStyle name="Обычный 3 10 3 2 3 2 7 2" xfId="23351"/>
    <cellStyle name="Обычный 3 10 3 2 3 2 8" xfId="23352"/>
    <cellStyle name="Обычный 3 10 3 2 3 3" xfId="23353"/>
    <cellStyle name="Обычный 3 10 3 2 3 3 2" xfId="23354"/>
    <cellStyle name="Обычный 3 10 3 2 3 3 2 2" xfId="23355"/>
    <cellStyle name="Обычный 3 10 3 2 3 3 2 2 2" xfId="23356"/>
    <cellStyle name="Обычный 3 10 3 2 3 3 2 3" xfId="23357"/>
    <cellStyle name="Обычный 3 10 3 2 3 3 2 3 2" xfId="23358"/>
    <cellStyle name="Обычный 3 10 3 2 3 3 2 4" xfId="23359"/>
    <cellStyle name="Обычный 3 10 3 2 3 3 3" xfId="23360"/>
    <cellStyle name="Обычный 3 10 3 2 3 3 3 2" xfId="23361"/>
    <cellStyle name="Обычный 3 10 3 2 3 3 3 2 2" xfId="23362"/>
    <cellStyle name="Обычный 3 10 3 2 3 3 3 3" xfId="23363"/>
    <cellStyle name="Обычный 3 10 3 2 3 3 3 3 2" xfId="23364"/>
    <cellStyle name="Обычный 3 10 3 2 3 3 3 4" xfId="23365"/>
    <cellStyle name="Обычный 3 10 3 2 3 3 4" xfId="23366"/>
    <cellStyle name="Обычный 3 10 3 2 3 3 4 2" xfId="23367"/>
    <cellStyle name="Обычный 3 10 3 2 3 3 5" xfId="23368"/>
    <cellStyle name="Обычный 3 10 3 2 3 3 5 2" xfId="23369"/>
    <cellStyle name="Обычный 3 10 3 2 3 3 6" xfId="23370"/>
    <cellStyle name="Обычный 3 10 3 2 3 4" xfId="23371"/>
    <cellStyle name="Обычный 3 10 3 2 3 4 2" xfId="23372"/>
    <cellStyle name="Обычный 3 10 3 2 3 4 2 2" xfId="23373"/>
    <cellStyle name="Обычный 3 10 3 2 3 4 2 2 2" xfId="23374"/>
    <cellStyle name="Обычный 3 10 3 2 3 4 2 3" xfId="23375"/>
    <cellStyle name="Обычный 3 10 3 2 3 4 2 3 2" xfId="23376"/>
    <cellStyle name="Обычный 3 10 3 2 3 4 2 4" xfId="23377"/>
    <cellStyle name="Обычный 3 10 3 2 3 4 3" xfId="23378"/>
    <cellStyle name="Обычный 3 10 3 2 3 4 3 2" xfId="23379"/>
    <cellStyle name="Обычный 3 10 3 2 3 4 3 2 2" xfId="23380"/>
    <cellStyle name="Обычный 3 10 3 2 3 4 3 3" xfId="23381"/>
    <cellStyle name="Обычный 3 10 3 2 3 4 4" xfId="23382"/>
    <cellStyle name="Обычный 3 10 3 2 3 4 4 2" xfId="23383"/>
    <cellStyle name="Обычный 3 10 3 2 3 4 5" xfId="23384"/>
    <cellStyle name="Обычный 3 10 3 2 3 4 5 2" xfId="23385"/>
    <cellStyle name="Обычный 3 10 3 2 3 4 6" xfId="23386"/>
    <cellStyle name="Обычный 3 10 3 2 3 5" xfId="23387"/>
    <cellStyle name="Обычный 3 10 3 2 3 5 2" xfId="23388"/>
    <cellStyle name="Обычный 3 10 3 2 3 5 2 2" xfId="23389"/>
    <cellStyle name="Обычный 3 10 3 2 3 5 3" xfId="23390"/>
    <cellStyle name="Обычный 3 10 3 2 3 5 3 2" xfId="23391"/>
    <cellStyle name="Обычный 3 10 3 2 3 5 4" xfId="23392"/>
    <cellStyle name="Обычный 3 10 3 2 3 6" xfId="23393"/>
    <cellStyle name="Обычный 3 10 3 2 3 6 2" xfId="23394"/>
    <cellStyle name="Обычный 3 10 3 2 3 6 2 2" xfId="23395"/>
    <cellStyle name="Обычный 3 10 3 2 3 6 3" xfId="23396"/>
    <cellStyle name="Обычный 3 10 3 2 3 7" xfId="23397"/>
    <cellStyle name="Обычный 3 10 3 2 3 7 2" xfId="23398"/>
    <cellStyle name="Обычный 3 10 3 2 3 8" xfId="23399"/>
    <cellStyle name="Обычный 3 10 3 2 3 8 2" xfId="23400"/>
    <cellStyle name="Обычный 3 10 3 2 3 9" xfId="23401"/>
    <cellStyle name="Обычный 3 10 3 2 4" xfId="23402"/>
    <cellStyle name="Обычный 3 10 3 2 4 2" xfId="23403"/>
    <cellStyle name="Обычный 3 10 3 2 4 2 2" xfId="23404"/>
    <cellStyle name="Обычный 3 10 3 2 4 2 2 2" xfId="23405"/>
    <cellStyle name="Обычный 3 10 3 2 4 2 2 2 2" xfId="23406"/>
    <cellStyle name="Обычный 3 10 3 2 4 2 2 2 2 2" xfId="23407"/>
    <cellStyle name="Обычный 3 10 3 2 4 2 2 2 3" xfId="23408"/>
    <cellStyle name="Обычный 3 10 3 2 4 2 2 2 3 2" xfId="23409"/>
    <cellStyle name="Обычный 3 10 3 2 4 2 2 2 4" xfId="23410"/>
    <cellStyle name="Обычный 3 10 3 2 4 2 2 3" xfId="23411"/>
    <cellStyle name="Обычный 3 10 3 2 4 2 2 3 2" xfId="23412"/>
    <cellStyle name="Обычный 3 10 3 2 4 2 2 3 2 2" xfId="23413"/>
    <cellStyle name="Обычный 3 10 3 2 4 2 2 3 3" xfId="23414"/>
    <cellStyle name="Обычный 3 10 3 2 4 2 2 4" xfId="23415"/>
    <cellStyle name="Обычный 3 10 3 2 4 2 2 4 2" xfId="23416"/>
    <cellStyle name="Обычный 3 10 3 2 4 2 2 5" xfId="23417"/>
    <cellStyle name="Обычный 3 10 3 2 4 2 2 5 2" xfId="23418"/>
    <cellStyle name="Обычный 3 10 3 2 4 2 2 6" xfId="23419"/>
    <cellStyle name="Обычный 3 10 3 2 4 2 3" xfId="23420"/>
    <cellStyle name="Обычный 3 10 3 2 4 2 3 2" xfId="23421"/>
    <cellStyle name="Обычный 3 10 3 2 4 2 3 2 2" xfId="23422"/>
    <cellStyle name="Обычный 3 10 3 2 4 2 3 2 2 2" xfId="23423"/>
    <cellStyle name="Обычный 3 10 3 2 4 2 3 2 3" xfId="23424"/>
    <cellStyle name="Обычный 3 10 3 2 4 2 3 3" xfId="23425"/>
    <cellStyle name="Обычный 3 10 3 2 4 2 3 3 2" xfId="23426"/>
    <cellStyle name="Обычный 3 10 3 2 4 2 3 3 2 2" xfId="23427"/>
    <cellStyle name="Обычный 3 10 3 2 4 2 3 3 3" xfId="23428"/>
    <cellStyle name="Обычный 3 10 3 2 4 2 3 4" xfId="23429"/>
    <cellStyle name="Обычный 3 10 3 2 4 2 3 4 2" xfId="23430"/>
    <cellStyle name="Обычный 3 10 3 2 4 2 3 5" xfId="23431"/>
    <cellStyle name="Обычный 3 10 3 2 4 2 3 5 2" xfId="23432"/>
    <cellStyle name="Обычный 3 10 3 2 4 2 3 6" xfId="23433"/>
    <cellStyle name="Обычный 3 10 3 2 4 2 4" xfId="23434"/>
    <cellStyle name="Обычный 3 10 3 2 4 2 4 2" xfId="23435"/>
    <cellStyle name="Обычный 3 10 3 2 4 2 4 2 2" xfId="23436"/>
    <cellStyle name="Обычный 3 10 3 2 4 2 4 3" xfId="23437"/>
    <cellStyle name="Обычный 3 10 3 2 4 2 4 3 2" xfId="23438"/>
    <cellStyle name="Обычный 3 10 3 2 4 2 4 4" xfId="23439"/>
    <cellStyle name="Обычный 3 10 3 2 4 2 5" xfId="23440"/>
    <cellStyle name="Обычный 3 10 3 2 4 2 5 2" xfId="23441"/>
    <cellStyle name="Обычный 3 10 3 2 4 2 5 2 2" xfId="23442"/>
    <cellStyle name="Обычный 3 10 3 2 4 2 5 3" xfId="23443"/>
    <cellStyle name="Обычный 3 10 3 2 4 2 6" xfId="23444"/>
    <cellStyle name="Обычный 3 10 3 2 4 2 6 2" xfId="23445"/>
    <cellStyle name="Обычный 3 10 3 2 4 2 7" xfId="23446"/>
    <cellStyle name="Обычный 3 10 3 2 4 2 7 2" xfId="23447"/>
    <cellStyle name="Обычный 3 10 3 2 4 2 8" xfId="23448"/>
    <cellStyle name="Обычный 3 10 3 2 4 3" xfId="23449"/>
    <cellStyle name="Обычный 3 10 3 2 4 3 2" xfId="23450"/>
    <cellStyle name="Обычный 3 10 3 2 4 3 2 2" xfId="23451"/>
    <cellStyle name="Обычный 3 10 3 2 4 3 2 2 2" xfId="23452"/>
    <cellStyle name="Обычный 3 10 3 2 4 3 2 3" xfId="23453"/>
    <cellStyle name="Обычный 3 10 3 2 4 3 2 3 2" xfId="23454"/>
    <cellStyle name="Обычный 3 10 3 2 4 3 2 4" xfId="23455"/>
    <cellStyle name="Обычный 3 10 3 2 4 3 3" xfId="23456"/>
    <cellStyle name="Обычный 3 10 3 2 4 3 3 2" xfId="23457"/>
    <cellStyle name="Обычный 3 10 3 2 4 3 3 2 2" xfId="23458"/>
    <cellStyle name="Обычный 3 10 3 2 4 3 3 3" xfId="23459"/>
    <cellStyle name="Обычный 3 10 3 2 4 3 4" xfId="23460"/>
    <cellStyle name="Обычный 3 10 3 2 4 3 4 2" xfId="23461"/>
    <cellStyle name="Обычный 3 10 3 2 4 3 5" xfId="23462"/>
    <cellStyle name="Обычный 3 10 3 2 4 3 5 2" xfId="23463"/>
    <cellStyle name="Обычный 3 10 3 2 4 3 6" xfId="23464"/>
    <cellStyle name="Обычный 3 10 3 2 4 4" xfId="23465"/>
    <cellStyle name="Обычный 3 10 3 2 4 4 2" xfId="23466"/>
    <cellStyle name="Обычный 3 10 3 2 4 4 2 2" xfId="23467"/>
    <cellStyle name="Обычный 3 10 3 2 4 4 2 2 2" xfId="23468"/>
    <cellStyle name="Обычный 3 10 3 2 4 4 2 3" xfId="23469"/>
    <cellStyle name="Обычный 3 10 3 2 4 4 3" xfId="23470"/>
    <cellStyle name="Обычный 3 10 3 2 4 4 3 2" xfId="23471"/>
    <cellStyle name="Обычный 3 10 3 2 4 4 3 2 2" xfId="23472"/>
    <cellStyle name="Обычный 3 10 3 2 4 4 3 3" xfId="23473"/>
    <cellStyle name="Обычный 3 10 3 2 4 4 4" xfId="23474"/>
    <cellStyle name="Обычный 3 10 3 2 4 4 4 2" xfId="23475"/>
    <cellStyle name="Обычный 3 10 3 2 4 4 5" xfId="23476"/>
    <cellStyle name="Обычный 3 10 3 2 4 4 5 2" xfId="23477"/>
    <cellStyle name="Обычный 3 10 3 2 4 4 6" xfId="23478"/>
    <cellStyle name="Обычный 3 10 3 2 4 5" xfId="23479"/>
    <cellStyle name="Обычный 3 10 3 2 4 5 2" xfId="23480"/>
    <cellStyle name="Обычный 3 10 3 2 4 5 2 2" xfId="23481"/>
    <cellStyle name="Обычный 3 10 3 2 4 5 3" xfId="23482"/>
    <cellStyle name="Обычный 3 10 3 2 4 5 3 2" xfId="23483"/>
    <cellStyle name="Обычный 3 10 3 2 4 5 4" xfId="23484"/>
    <cellStyle name="Обычный 3 10 3 2 4 6" xfId="23485"/>
    <cellStyle name="Обычный 3 10 3 2 4 6 2" xfId="23486"/>
    <cellStyle name="Обычный 3 10 3 2 4 6 2 2" xfId="23487"/>
    <cellStyle name="Обычный 3 10 3 2 4 6 3" xfId="23488"/>
    <cellStyle name="Обычный 3 10 3 2 4 7" xfId="23489"/>
    <cellStyle name="Обычный 3 10 3 2 4 7 2" xfId="23490"/>
    <cellStyle name="Обычный 3 10 3 2 4 8" xfId="23491"/>
    <cellStyle name="Обычный 3 10 3 2 4 8 2" xfId="23492"/>
    <cellStyle name="Обычный 3 10 3 2 4 9" xfId="23493"/>
    <cellStyle name="Обычный 3 10 3 2 5" xfId="23494"/>
    <cellStyle name="Обычный 3 10 3 2 5 2" xfId="23495"/>
    <cellStyle name="Обычный 3 10 3 2 5 2 2" xfId="23496"/>
    <cellStyle name="Обычный 3 10 3 2 5 2 2 2" xfId="23497"/>
    <cellStyle name="Обычный 3 10 3 2 5 2 2 2 2" xfId="23498"/>
    <cellStyle name="Обычный 3 10 3 2 5 2 2 3" xfId="23499"/>
    <cellStyle name="Обычный 3 10 3 2 5 2 2 3 2" xfId="23500"/>
    <cellStyle name="Обычный 3 10 3 2 5 2 2 4" xfId="23501"/>
    <cellStyle name="Обычный 3 10 3 2 5 2 3" xfId="23502"/>
    <cellStyle name="Обычный 3 10 3 2 5 2 3 2" xfId="23503"/>
    <cellStyle name="Обычный 3 10 3 2 5 2 3 2 2" xfId="23504"/>
    <cellStyle name="Обычный 3 10 3 2 5 2 3 3" xfId="23505"/>
    <cellStyle name="Обычный 3 10 3 2 5 2 3 3 2" xfId="23506"/>
    <cellStyle name="Обычный 3 10 3 2 5 2 3 4" xfId="23507"/>
    <cellStyle name="Обычный 3 10 3 2 5 2 4" xfId="23508"/>
    <cellStyle name="Обычный 3 10 3 2 5 2 4 2" xfId="23509"/>
    <cellStyle name="Обычный 3 10 3 2 5 2 5" xfId="23510"/>
    <cellStyle name="Обычный 3 10 3 2 5 2 5 2" xfId="23511"/>
    <cellStyle name="Обычный 3 10 3 2 5 2 6" xfId="23512"/>
    <cellStyle name="Обычный 3 10 3 2 5 3" xfId="23513"/>
    <cellStyle name="Обычный 3 10 3 2 5 3 2" xfId="23514"/>
    <cellStyle name="Обычный 3 10 3 2 5 3 2 2" xfId="23515"/>
    <cellStyle name="Обычный 3 10 3 2 5 3 2 2 2" xfId="23516"/>
    <cellStyle name="Обычный 3 10 3 2 5 3 2 3" xfId="23517"/>
    <cellStyle name="Обычный 3 10 3 2 5 3 2 3 2" xfId="23518"/>
    <cellStyle name="Обычный 3 10 3 2 5 3 2 4" xfId="23519"/>
    <cellStyle name="Обычный 3 10 3 2 5 3 3" xfId="23520"/>
    <cellStyle name="Обычный 3 10 3 2 5 3 3 2" xfId="23521"/>
    <cellStyle name="Обычный 3 10 3 2 5 3 3 2 2" xfId="23522"/>
    <cellStyle name="Обычный 3 10 3 2 5 3 3 3" xfId="23523"/>
    <cellStyle name="Обычный 3 10 3 2 5 3 4" xfId="23524"/>
    <cellStyle name="Обычный 3 10 3 2 5 3 4 2" xfId="23525"/>
    <cellStyle name="Обычный 3 10 3 2 5 3 5" xfId="23526"/>
    <cellStyle name="Обычный 3 10 3 2 5 3 5 2" xfId="23527"/>
    <cellStyle name="Обычный 3 10 3 2 5 3 6" xfId="23528"/>
    <cellStyle name="Обычный 3 10 3 2 5 4" xfId="23529"/>
    <cellStyle name="Обычный 3 10 3 2 5 4 2" xfId="23530"/>
    <cellStyle name="Обычный 3 10 3 2 5 4 2 2" xfId="23531"/>
    <cellStyle name="Обычный 3 10 3 2 5 4 3" xfId="23532"/>
    <cellStyle name="Обычный 3 10 3 2 5 4 3 2" xfId="23533"/>
    <cellStyle name="Обычный 3 10 3 2 5 4 4" xfId="23534"/>
    <cellStyle name="Обычный 3 10 3 2 5 5" xfId="23535"/>
    <cellStyle name="Обычный 3 10 3 2 5 5 2" xfId="23536"/>
    <cellStyle name="Обычный 3 10 3 2 5 5 2 2" xfId="23537"/>
    <cellStyle name="Обычный 3 10 3 2 5 5 3" xfId="23538"/>
    <cellStyle name="Обычный 3 10 3 2 5 6" xfId="23539"/>
    <cellStyle name="Обычный 3 10 3 2 5 6 2" xfId="23540"/>
    <cellStyle name="Обычный 3 10 3 2 5 7" xfId="23541"/>
    <cellStyle name="Обычный 3 10 3 2 5 7 2" xfId="23542"/>
    <cellStyle name="Обычный 3 10 3 2 5 8" xfId="23543"/>
    <cellStyle name="Обычный 3 10 3 2 6" xfId="23544"/>
    <cellStyle name="Обычный 3 10 3 2 6 2" xfId="23545"/>
    <cellStyle name="Обычный 3 10 3 2 6 2 2" xfId="23546"/>
    <cellStyle name="Обычный 3 10 3 2 6 2 2 2" xfId="23547"/>
    <cellStyle name="Обычный 3 10 3 2 6 2 2 2 2" xfId="23548"/>
    <cellStyle name="Обычный 3 10 3 2 6 2 2 3" xfId="23549"/>
    <cellStyle name="Обычный 3 10 3 2 6 2 2 3 2" xfId="23550"/>
    <cellStyle name="Обычный 3 10 3 2 6 2 2 4" xfId="23551"/>
    <cellStyle name="Обычный 3 10 3 2 6 2 3" xfId="23552"/>
    <cellStyle name="Обычный 3 10 3 2 6 2 3 2" xfId="23553"/>
    <cellStyle name="Обычный 3 10 3 2 6 2 3 2 2" xfId="23554"/>
    <cellStyle name="Обычный 3 10 3 2 6 2 3 3" xfId="23555"/>
    <cellStyle name="Обычный 3 10 3 2 6 2 4" xfId="23556"/>
    <cellStyle name="Обычный 3 10 3 2 6 2 4 2" xfId="23557"/>
    <cellStyle name="Обычный 3 10 3 2 6 2 5" xfId="23558"/>
    <cellStyle name="Обычный 3 10 3 2 6 2 5 2" xfId="23559"/>
    <cellStyle name="Обычный 3 10 3 2 6 2 6" xfId="23560"/>
    <cellStyle name="Обычный 3 10 3 2 6 3" xfId="23561"/>
    <cellStyle name="Обычный 3 10 3 2 6 3 2" xfId="23562"/>
    <cellStyle name="Обычный 3 10 3 2 6 3 2 2" xfId="23563"/>
    <cellStyle name="Обычный 3 10 3 2 6 3 2 2 2" xfId="23564"/>
    <cellStyle name="Обычный 3 10 3 2 6 3 2 3" xfId="23565"/>
    <cellStyle name="Обычный 3 10 3 2 6 3 3" xfId="23566"/>
    <cellStyle name="Обычный 3 10 3 2 6 3 3 2" xfId="23567"/>
    <cellStyle name="Обычный 3 10 3 2 6 3 3 2 2" xfId="23568"/>
    <cellStyle name="Обычный 3 10 3 2 6 3 3 3" xfId="23569"/>
    <cellStyle name="Обычный 3 10 3 2 6 3 4" xfId="23570"/>
    <cellStyle name="Обычный 3 10 3 2 6 3 4 2" xfId="23571"/>
    <cellStyle name="Обычный 3 10 3 2 6 3 5" xfId="23572"/>
    <cellStyle name="Обычный 3 10 3 2 6 3 5 2" xfId="23573"/>
    <cellStyle name="Обычный 3 10 3 2 6 3 6" xfId="23574"/>
    <cellStyle name="Обычный 3 10 3 2 6 4" xfId="23575"/>
    <cellStyle name="Обычный 3 10 3 2 6 4 2" xfId="23576"/>
    <cellStyle name="Обычный 3 10 3 2 6 4 2 2" xfId="23577"/>
    <cellStyle name="Обычный 3 10 3 2 6 4 3" xfId="23578"/>
    <cellStyle name="Обычный 3 10 3 2 6 4 3 2" xfId="23579"/>
    <cellStyle name="Обычный 3 10 3 2 6 4 4" xfId="23580"/>
    <cellStyle name="Обычный 3 10 3 2 6 5" xfId="23581"/>
    <cellStyle name="Обычный 3 10 3 2 6 5 2" xfId="23582"/>
    <cellStyle name="Обычный 3 10 3 2 6 5 2 2" xfId="23583"/>
    <cellStyle name="Обычный 3 10 3 2 6 5 3" xfId="23584"/>
    <cellStyle name="Обычный 3 10 3 2 6 6" xfId="23585"/>
    <cellStyle name="Обычный 3 10 3 2 6 6 2" xfId="23586"/>
    <cellStyle name="Обычный 3 10 3 2 6 7" xfId="23587"/>
    <cellStyle name="Обычный 3 10 3 2 6 7 2" xfId="23588"/>
    <cellStyle name="Обычный 3 10 3 2 6 8" xfId="23589"/>
    <cellStyle name="Обычный 3 10 3 2 7" xfId="23590"/>
    <cellStyle name="Обычный 3 10 3 2 7 2" xfId="23591"/>
    <cellStyle name="Обычный 3 10 3 2 7 2 2" xfId="23592"/>
    <cellStyle name="Обычный 3 10 3 2 7 2 2 2" xfId="23593"/>
    <cellStyle name="Обычный 3 10 3 2 7 2 3" xfId="23594"/>
    <cellStyle name="Обычный 3 10 3 2 7 2 3 2" xfId="23595"/>
    <cellStyle name="Обычный 3 10 3 2 7 2 4" xfId="23596"/>
    <cellStyle name="Обычный 3 10 3 2 7 3" xfId="23597"/>
    <cellStyle name="Обычный 3 10 3 2 7 3 2" xfId="23598"/>
    <cellStyle name="Обычный 3 10 3 2 7 3 2 2" xfId="23599"/>
    <cellStyle name="Обычный 3 10 3 2 7 3 3" xfId="23600"/>
    <cellStyle name="Обычный 3 10 3 2 7 4" xfId="23601"/>
    <cellStyle name="Обычный 3 10 3 2 7 4 2" xfId="23602"/>
    <cellStyle name="Обычный 3 10 3 2 7 5" xfId="23603"/>
    <cellStyle name="Обычный 3 10 3 2 7 5 2" xfId="23604"/>
    <cellStyle name="Обычный 3 10 3 2 7 6" xfId="23605"/>
    <cellStyle name="Обычный 3 10 3 2 8" xfId="23606"/>
    <cellStyle name="Обычный 3 10 3 2 8 2" xfId="23607"/>
    <cellStyle name="Обычный 3 10 3 2 8 2 2" xfId="23608"/>
    <cellStyle name="Обычный 3 10 3 2 8 2 2 2" xfId="23609"/>
    <cellStyle name="Обычный 3 10 3 2 8 2 3" xfId="23610"/>
    <cellStyle name="Обычный 3 10 3 2 8 3" xfId="23611"/>
    <cellStyle name="Обычный 3 10 3 2 8 3 2" xfId="23612"/>
    <cellStyle name="Обычный 3 10 3 2 8 3 2 2" xfId="23613"/>
    <cellStyle name="Обычный 3 10 3 2 8 3 3" xfId="23614"/>
    <cellStyle name="Обычный 3 10 3 2 8 4" xfId="23615"/>
    <cellStyle name="Обычный 3 10 3 2 8 4 2" xfId="23616"/>
    <cellStyle name="Обычный 3 10 3 2 8 5" xfId="23617"/>
    <cellStyle name="Обычный 3 10 3 2 8 5 2" xfId="23618"/>
    <cellStyle name="Обычный 3 10 3 2 8 6" xfId="23619"/>
    <cellStyle name="Обычный 3 10 3 2 9" xfId="23620"/>
    <cellStyle name="Обычный 3 10 3 2 9 2" xfId="23621"/>
    <cellStyle name="Обычный 3 10 3 2 9 2 2" xfId="23622"/>
    <cellStyle name="Обычный 3 10 3 2 9 3" xfId="23623"/>
    <cellStyle name="Обычный 3 10 3 2 9 3 2" xfId="23624"/>
    <cellStyle name="Обычный 3 10 3 2 9 4" xfId="23625"/>
    <cellStyle name="Обычный 3 10 3 3" xfId="23626"/>
    <cellStyle name="Обычный 3 10 3 3 2" xfId="23627"/>
    <cellStyle name="Обычный 3 10 3 3 2 2" xfId="23628"/>
    <cellStyle name="Обычный 3 10 3 3 2 2 2" xfId="23629"/>
    <cellStyle name="Обычный 3 10 3 3 2 2 2 2" xfId="23630"/>
    <cellStyle name="Обычный 3 10 3 3 2 2 2 2 2" xfId="23631"/>
    <cellStyle name="Обычный 3 10 3 3 2 2 2 3" xfId="23632"/>
    <cellStyle name="Обычный 3 10 3 3 2 2 3" xfId="23633"/>
    <cellStyle name="Обычный 3 10 3 3 2 2 3 2" xfId="23634"/>
    <cellStyle name="Обычный 3 10 3 3 2 2 3 2 2" xfId="23635"/>
    <cellStyle name="Обычный 3 10 3 3 2 2 3 3" xfId="23636"/>
    <cellStyle name="Обычный 3 10 3 3 2 2 4" xfId="23637"/>
    <cellStyle name="Обычный 3 10 3 3 2 2 4 2" xfId="23638"/>
    <cellStyle name="Обычный 3 10 3 3 2 2 5" xfId="23639"/>
    <cellStyle name="Обычный 3 10 3 3 2 2 5 2" xfId="23640"/>
    <cellStyle name="Обычный 3 10 3 3 2 2 6" xfId="23641"/>
    <cellStyle name="Обычный 3 10 3 3 2 3" xfId="23642"/>
    <cellStyle name="Обычный 3 10 3 3 2 3 2" xfId="23643"/>
    <cellStyle name="Обычный 3 10 3 3 2 3 2 2" xfId="23644"/>
    <cellStyle name="Обычный 3 10 3 3 2 3 2 2 2" xfId="23645"/>
    <cellStyle name="Обычный 3 10 3 3 2 3 2 3" xfId="23646"/>
    <cellStyle name="Обычный 3 10 3 3 2 3 3" xfId="23647"/>
    <cellStyle name="Обычный 3 10 3 3 2 3 3 2" xfId="23648"/>
    <cellStyle name="Обычный 3 10 3 3 2 3 3 2 2" xfId="23649"/>
    <cellStyle name="Обычный 3 10 3 3 2 3 3 3" xfId="23650"/>
    <cellStyle name="Обычный 3 10 3 3 2 3 4" xfId="23651"/>
    <cellStyle name="Обычный 3 10 3 3 2 3 4 2" xfId="23652"/>
    <cellStyle name="Обычный 3 10 3 3 2 3 5" xfId="23653"/>
    <cellStyle name="Обычный 3 10 3 3 2 3 5 2" xfId="23654"/>
    <cellStyle name="Обычный 3 10 3 3 2 3 6" xfId="23655"/>
    <cellStyle name="Обычный 3 10 3 3 2 4" xfId="23656"/>
    <cellStyle name="Обычный 3 10 3 3 2 4 2" xfId="23657"/>
    <cellStyle name="Обычный 3 10 3 3 2 4 2 2" xfId="23658"/>
    <cellStyle name="Обычный 3 10 3 3 2 4 3" xfId="23659"/>
    <cellStyle name="Обычный 3 10 3 3 2 5" xfId="23660"/>
    <cellStyle name="Обычный 3 10 3 3 2 5 2" xfId="23661"/>
    <cellStyle name="Обычный 3 10 3 3 2 5 2 2" xfId="23662"/>
    <cellStyle name="Обычный 3 10 3 3 2 5 3" xfId="23663"/>
    <cellStyle name="Обычный 3 10 3 3 2 6" xfId="23664"/>
    <cellStyle name="Обычный 3 10 3 3 2 6 2" xfId="23665"/>
    <cellStyle name="Обычный 3 10 3 3 2 7" xfId="23666"/>
    <cellStyle name="Обычный 3 10 3 3 2 7 2" xfId="23667"/>
    <cellStyle name="Обычный 3 10 3 3 2 8" xfId="23668"/>
    <cellStyle name="Обычный 3 10 3 3 3" xfId="23669"/>
    <cellStyle name="Обычный 3 10 3 3 3 2" xfId="23670"/>
    <cellStyle name="Обычный 3 10 3 3 3 2 2" xfId="23671"/>
    <cellStyle name="Обычный 3 10 3 3 3 2 2 2" xfId="23672"/>
    <cellStyle name="Обычный 3 10 3 3 3 2 3" xfId="23673"/>
    <cellStyle name="Обычный 3 10 3 3 3 2 3 2" xfId="23674"/>
    <cellStyle name="Обычный 3 10 3 3 3 2 4" xfId="23675"/>
    <cellStyle name="Обычный 3 10 3 3 3 3" xfId="23676"/>
    <cellStyle name="Обычный 3 10 3 3 3 3 2" xfId="23677"/>
    <cellStyle name="Обычный 3 10 3 3 3 3 2 2" xfId="23678"/>
    <cellStyle name="Обычный 3 10 3 3 3 3 3" xfId="23679"/>
    <cellStyle name="Обычный 3 10 3 3 3 4" xfId="23680"/>
    <cellStyle name="Обычный 3 10 3 3 3 4 2" xfId="23681"/>
    <cellStyle name="Обычный 3 10 3 3 3 5" xfId="23682"/>
    <cellStyle name="Обычный 3 10 3 3 3 5 2" xfId="23683"/>
    <cellStyle name="Обычный 3 10 3 3 3 6" xfId="23684"/>
    <cellStyle name="Обычный 3 10 3 3 4" xfId="23685"/>
    <cellStyle name="Обычный 3 10 3 3 4 2" xfId="23686"/>
    <cellStyle name="Обычный 3 10 3 3 4 2 2" xfId="23687"/>
    <cellStyle name="Обычный 3 10 3 3 4 2 2 2" xfId="23688"/>
    <cellStyle name="Обычный 3 10 3 3 4 2 3" xfId="23689"/>
    <cellStyle name="Обычный 3 10 3 3 4 3" xfId="23690"/>
    <cellStyle name="Обычный 3 10 3 3 4 3 2" xfId="23691"/>
    <cellStyle name="Обычный 3 10 3 3 4 3 2 2" xfId="23692"/>
    <cellStyle name="Обычный 3 10 3 3 4 3 3" xfId="23693"/>
    <cellStyle name="Обычный 3 10 3 3 4 4" xfId="23694"/>
    <cellStyle name="Обычный 3 10 3 3 4 4 2" xfId="23695"/>
    <cellStyle name="Обычный 3 10 3 3 4 5" xfId="23696"/>
    <cellStyle name="Обычный 3 10 3 3 4 5 2" xfId="23697"/>
    <cellStyle name="Обычный 3 10 3 3 4 6" xfId="23698"/>
    <cellStyle name="Обычный 3 10 3 3 5" xfId="23699"/>
    <cellStyle name="Обычный 3 10 3 3 5 2" xfId="23700"/>
    <cellStyle name="Обычный 3 10 3 3 5 2 2" xfId="23701"/>
    <cellStyle name="Обычный 3 10 3 3 5 3" xfId="23702"/>
    <cellStyle name="Обычный 3 10 3 3 6" xfId="23703"/>
    <cellStyle name="Обычный 3 10 3 3 6 2" xfId="23704"/>
    <cellStyle name="Обычный 3 10 3 3 6 2 2" xfId="23705"/>
    <cellStyle name="Обычный 3 10 3 3 6 3" xfId="23706"/>
    <cellStyle name="Обычный 3 10 3 3 7" xfId="23707"/>
    <cellStyle name="Обычный 3 10 3 3 7 2" xfId="23708"/>
    <cellStyle name="Обычный 3 10 3 3 8" xfId="23709"/>
    <cellStyle name="Обычный 3 10 3 3 8 2" xfId="23710"/>
    <cellStyle name="Обычный 3 10 3 3 9" xfId="23711"/>
    <cellStyle name="Обычный 3 10 3 4" xfId="23712"/>
    <cellStyle name="Обычный 3 10 3 4 2" xfId="23713"/>
    <cellStyle name="Обычный 3 10 3 4 2 2" xfId="23714"/>
    <cellStyle name="Обычный 3 10 3 4 2 2 2" xfId="23715"/>
    <cellStyle name="Обычный 3 10 3 4 2 2 2 2" xfId="23716"/>
    <cellStyle name="Обычный 3 10 3 4 2 2 3" xfId="23717"/>
    <cellStyle name="Обычный 3 10 3 4 2 2 3 2" xfId="23718"/>
    <cellStyle name="Обычный 3 10 3 4 2 2 4" xfId="23719"/>
    <cellStyle name="Обычный 3 10 3 4 2 3" xfId="23720"/>
    <cellStyle name="Обычный 3 10 3 4 2 3 2" xfId="23721"/>
    <cellStyle name="Обычный 3 10 3 4 2 3 2 2" xfId="23722"/>
    <cellStyle name="Обычный 3 10 3 4 2 3 3" xfId="23723"/>
    <cellStyle name="Обычный 3 10 3 4 2 4" xfId="23724"/>
    <cellStyle name="Обычный 3 10 3 4 2 4 2" xfId="23725"/>
    <cellStyle name="Обычный 3 10 3 4 2 5" xfId="23726"/>
    <cellStyle name="Обычный 3 10 3 4 2 5 2" xfId="23727"/>
    <cellStyle name="Обычный 3 10 3 4 2 6" xfId="23728"/>
    <cellStyle name="Обычный 3 10 3 4 3" xfId="23729"/>
    <cellStyle name="Обычный 3 10 3 4 3 2" xfId="23730"/>
    <cellStyle name="Обычный 3 10 3 4 3 2 2" xfId="23731"/>
    <cellStyle name="Обычный 3 10 3 4 3 2 2 2" xfId="23732"/>
    <cellStyle name="Обычный 3 10 3 4 3 2 3" xfId="23733"/>
    <cellStyle name="Обычный 3 10 3 4 3 3" xfId="23734"/>
    <cellStyle name="Обычный 3 10 3 4 3 3 2" xfId="23735"/>
    <cellStyle name="Обычный 3 10 3 4 3 3 2 2" xfId="23736"/>
    <cellStyle name="Обычный 3 10 3 4 3 3 3" xfId="23737"/>
    <cellStyle name="Обычный 3 10 3 4 3 4" xfId="23738"/>
    <cellStyle name="Обычный 3 10 3 4 3 4 2" xfId="23739"/>
    <cellStyle name="Обычный 3 10 3 4 3 5" xfId="23740"/>
    <cellStyle name="Обычный 3 10 3 4 3 5 2" xfId="23741"/>
    <cellStyle name="Обычный 3 10 3 4 3 6" xfId="23742"/>
    <cellStyle name="Обычный 3 10 3 4 4" xfId="23743"/>
    <cellStyle name="Обычный 3 10 3 4 4 2" xfId="23744"/>
    <cellStyle name="Обычный 3 10 3 4 4 2 2" xfId="23745"/>
    <cellStyle name="Обычный 3 10 3 4 4 3" xfId="23746"/>
    <cellStyle name="Обычный 3 10 3 4 4 3 2" xfId="23747"/>
    <cellStyle name="Обычный 3 10 3 4 4 4" xfId="23748"/>
    <cellStyle name="Обычный 3 10 3 4 5" xfId="23749"/>
    <cellStyle name="Обычный 3 10 3 4 5 2" xfId="23750"/>
    <cellStyle name="Обычный 3 10 3 4 5 2 2" xfId="23751"/>
    <cellStyle name="Обычный 3 10 3 4 5 3" xfId="23752"/>
    <cellStyle name="Обычный 3 10 3 4 6" xfId="23753"/>
    <cellStyle name="Обычный 3 10 3 4 6 2" xfId="23754"/>
    <cellStyle name="Обычный 3 10 3 4 7" xfId="23755"/>
    <cellStyle name="Обычный 3 10 3 4 7 2" xfId="23756"/>
    <cellStyle name="Обычный 3 10 3 4 8" xfId="23757"/>
    <cellStyle name="Обычный 3 10 3 5" xfId="23758"/>
    <cellStyle name="Обычный 3 10 3 5 2" xfId="23759"/>
    <cellStyle name="Обычный 3 10 3 5 2 2" xfId="23760"/>
    <cellStyle name="Обычный 3 10 3 5 2 2 2" xfId="23761"/>
    <cellStyle name="Обычный 3 10 3 5 2 2 2 2" xfId="23762"/>
    <cellStyle name="Обычный 3 10 3 5 2 2 3" xfId="23763"/>
    <cellStyle name="Обычный 3 10 3 5 2 3" xfId="23764"/>
    <cellStyle name="Обычный 3 10 3 5 2 3 2" xfId="23765"/>
    <cellStyle name="Обычный 3 10 3 5 2 3 2 2" xfId="23766"/>
    <cellStyle name="Обычный 3 10 3 5 2 3 3" xfId="23767"/>
    <cellStyle name="Обычный 3 10 3 5 2 4" xfId="23768"/>
    <cellStyle name="Обычный 3 10 3 5 2 4 2" xfId="23769"/>
    <cellStyle name="Обычный 3 10 3 5 2 5" xfId="23770"/>
    <cellStyle name="Обычный 3 10 3 5 2 5 2" xfId="23771"/>
    <cellStyle name="Обычный 3 10 3 5 2 6" xfId="23772"/>
    <cellStyle name="Обычный 3 10 3 5 3" xfId="23773"/>
    <cellStyle name="Обычный 3 10 3 5 3 2" xfId="23774"/>
    <cellStyle name="Обычный 3 10 3 5 3 2 2" xfId="23775"/>
    <cellStyle name="Обычный 3 10 3 5 3 2 2 2" xfId="23776"/>
    <cellStyle name="Обычный 3 10 3 5 3 2 3" xfId="23777"/>
    <cellStyle name="Обычный 3 10 3 5 3 3" xfId="23778"/>
    <cellStyle name="Обычный 3 10 3 5 3 3 2" xfId="23779"/>
    <cellStyle name="Обычный 3 10 3 5 3 3 2 2" xfId="23780"/>
    <cellStyle name="Обычный 3 10 3 5 3 3 3" xfId="23781"/>
    <cellStyle name="Обычный 3 10 3 5 3 4" xfId="23782"/>
    <cellStyle name="Обычный 3 10 3 5 3 4 2" xfId="23783"/>
    <cellStyle name="Обычный 3 10 3 5 3 5" xfId="23784"/>
    <cellStyle name="Обычный 3 10 3 5 4" xfId="23785"/>
    <cellStyle name="Обычный 3 10 3 5 4 2" xfId="23786"/>
    <cellStyle name="Обычный 3 10 3 5 4 2 2" xfId="23787"/>
    <cellStyle name="Обычный 3 10 3 5 4 3" xfId="23788"/>
    <cellStyle name="Обычный 3 10 3 5 5" xfId="23789"/>
    <cellStyle name="Обычный 3 10 3 5 5 2" xfId="23790"/>
    <cellStyle name="Обычный 3 10 3 5 5 2 2" xfId="23791"/>
    <cellStyle name="Обычный 3 10 3 5 5 3" xfId="23792"/>
    <cellStyle name="Обычный 3 10 3 5 6" xfId="23793"/>
    <cellStyle name="Обычный 3 10 3 5 6 2" xfId="23794"/>
    <cellStyle name="Обычный 3 10 3 5 7" xfId="23795"/>
    <cellStyle name="Обычный 3 10 3 5 7 2" xfId="23796"/>
    <cellStyle name="Обычный 3 10 3 5 8" xfId="23797"/>
    <cellStyle name="Обычный 3 10 3 6" xfId="23798"/>
    <cellStyle name="Обычный 3 10 3 6 2" xfId="23799"/>
    <cellStyle name="Обычный 3 10 3 6 2 2" xfId="23800"/>
    <cellStyle name="Обычный 3 10 3 6 2 2 2" xfId="23801"/>
    <cellStyle name="Обычный 3 10 3 6 2 3" xfId="23802"/>
    <cellStyle name="Обычный 3 10 3 6 3" xfId="23803"/>
    <cellStyle name="Обычный 3 10 3 6 3 2" xfId="23804"/>
    <cellStyle name="Обычный 3 10 3 6 3 2 2" xfId="23805"/>
    <cellStyle name="Обычный 3 10 3 6 3 3" xfId="23806"/>
    <cellStyle name="Обычный 3 10 3 6 4" xfId="23807"/>
    <cellStyle name="Обычный 3 10 3 6 4 2" xfId="23808"/>
    <cellStyle name="Обычный 3 10 3 6 5" xfId="23809"/>
    <cellStyle name="Обычный 3 10 3 6 5 2" xfId="23810"/>
    <cellStyle name="Обычный 3 10 3 6 6" xfId="23811"/>
    <cellStyle name="Обычный 3 10 3 7" xfId="23812"/>
    <cellStyle name="Обычный 3 10 3 7 2" xfId="23813"/>
    <cellStyle name="Обычный 3 10 3 7 2 2" xfId="23814"/>
    <cellStyle name="Обычный 3 10 3 7 2 2 2" xfId="23815"/>
    <cellStyle name="Обычный 3 10 3 7 2 3" xfId="23816"/>
    <cellStyle name="Обычный 3 10 3 7 3" xfId="23817"/>
    <cellStyle name="Обычный 3 10 3 7 3 2" xfId="23818"/>
    <cellStyle name="Обычный 3 10 3 7 3 2 2" xfId="23819"/>
    <cellStyle name="Обычный 3 10 3 7 3 3" xfId="23820"/>
    <cellStyle name="Обычный 3 10 3 7 4" xfId="23821"/>
    <cellStyle name="Обычный 3 10 3 7 4 2" xfId="23822"/>
    <cellStyle name="Обычный 3 10 3 7 5" xfId="23823"/>
    <cellStyle name="Обычный 3 10 3 7 5 2" xfId="23824"/>
    <cellStyle name="Обычный 3 10 3 7 6" xfId="23825"/>
    <cellStyle name="Обычный 3 10 3 8" xfId="23826"/>
    <cellStyle name="Обычный 3 10 3 8 2" xfId="23827"/>
    <cellStyle name="Обычный 3 10 3 8 2 2" xfId="23828"/>
    <cellStyle name="Обычный 3 10 3 8 3" xfId="23829"/>
    <cellStyle name="Обычный 3 10 3 9" xfId="23830"/>
    <cellStyle name="Обычный 3 10 3 9 2" xfId="23831"/>
    <cellStyle name="Обычный 3 10 3 9 2 2" xfId="23832"/>
    <cellStyle name="Обычный 3 10 3 9 3" xfId="23833"/>
    <cellStyle name="Обычный 3 10 4" xfId="23834"/>
    <cellStyle name="Обычный 3 10 4 10" xfId="23835"/>
    <cellStyle name="Обычный 3 10 4 10 2" xfId="23836"/>
    <cellStyle name="Обычный 3 10 4 11" xfId="23837"/>
    <cellStyle name="Обычный 3 10 4 11 2" xfId="23838"/>
    <cellStyle name="Обычный 3 10 4 12" xfId="23839"/>
    <cellStyle name="Обычный 3 10 4 2" xfId="23840"/>
    <cellStyle name="Обычный 3 10 4 2 10" xfId="23841"/>
    <cellStyle name="Обычный 3 10 4 2 10 2" xfId="23842"/>
    <cellStyle name="Обычный 3 10 4 2 11" xfId="23843"/>
    <cellStyle name="Обычный 3 10 4 2 2" xfId="23844"/>
    <cellStyle name="Обычный 3 10 4 2 2 2" xfId="23845"/>
    <cellStyle name="Обычный 3 10 4 2 2 2 2" xfId="23846"/>
    <cellStyle name="Обычный 3 10 4 2 2 2 2 2" xfId="23847"/>
    <cellStyle name="Обычный 3 10 4 2 2 2 2 2 2" xfId="23848"/>
    <cellStyle name="Обычный 3 10 4 2 2 2 2 2 2 2" xfId="23849"/>
    <cellStyle name="Обычный 3 10 4 2 2 2 2 2 3" xfId="23850"/>
    <cellStyle name="Обычный 3 10 4 2 2 2 2 3" xfId="23851"/>
    <cellStyle name="Обычный 3 10 4 2 2 2 2 3 2" xfId="23852"/>
    <cellStyle name="Обычный 3 10 4 2 2 2 2 3 2 2" xfId="23853"/>
    <cellStyle name="Обычный 3 10 4 2 2 2 2 3 3" xfId="23854"/>
    <cellStyle name="Обычный 3 10 4 2 2 2 2 4" xfId="23855"/>
    <cellStyle name="Обычный 3 10 4 2 2 2 2 4 2" xfId="23856"/>
    <cellStyle name="Обычный 3 10 4 2 2 2 2 5" xfId="23857"/>
    <cellStyle name="Обычный 3 10 4 2 2 2 2 5 2" xfId="23858"/>
    <cellStyle name="Обычный 3 10 4 2 2 2 2 6" xfId="23859"/>
    <cellStyle name="Обычный 3 10 4 2 2 2 3" xfId="23860"/>
    <cellStyle name="Обычный 3 10 4 2 2 2 3 2" xfId="23861"/>
    <cellStyle name="Обычный 3 10 4 2 2 2 3 2 2" xfId="23862"/>
    <cellStyle name="Обычный 3 10 4 2 2 2 3 2 2 2" xfId="23863"/>
    <cellStyle name="Обычный 3 10 4 2 2 2 3 2 3" xfId="23864"/>
    <cellStyle name="Обычный 3 10 4 2 2 2 3 3" xfId="23865"/>
    <cellStyle name="Обычный 3 10 4 2 2 2 3 3 2" xfId="23866"/>
    <cellStyle name="Обычный 3 10 4 2 2 2 3 3 2 2" xfId="23867"/>
    <cellStyle name="Обычный 3 10 4 2 2 2 3 3 3" xfId="23868"/>
    <cellStyle name="Обычный 3 10 4 2 2 2 3 4" xfId="23869"/>
    <cellStyle name="Обычный 3 10 4 2 2 2 3 4 2" xfId="23870"/>
    <cellStyle name="Обычный 3 10 4 2 2 2 3 5" xfId="23871"/>
    <cellStyle name="Обычный 3 10 4 2 2 2 3 5 2" xfId="23872"/>
    <cellStyle name="Обычный 3 10 4 2 2 2 3 6" xfId="23873"/>
    <cellStyle name="Обычный 3 10 4 2 2 2 4" xfId="23874"/>
    <cellStyle name="Обычный 3 10 4 2 2 2 4 2" xfId="23875"/>
    <cellStyle name="Обычный 3 10 4 2 2 2 4 2 2" xfId="23876"/>
    <cellStyle name="Обычный 3 10 4 2 2 2 4 3" xfId="23877"/>
    <cellStyle name="Обычный 3 10 4 2 2 2 5" xfId="23878"/>
    <cellStyle name="Обычный 3 10 4 2 2 2 5 2" xfId="23879"/>
    <cellStyle name="Обычный 3 10 4 2 2 2 5 2 2" xfId="23880"/>
    <cellStyle name="Обычный 3 10 4 2 2 2 5 3" xfId="23881"/>
    <cellStyle name="Обычный 3 10 4 2 2 2 6" xfId="23882"/>
    <cellStyle name="Обычный 3 10 4 2 2 2 6 2" xfId="23883"/>
    <cellStyle name="Обычный 3 10 4 2 2 2 7" xfId="23884"/>
    <cellStyle name="Обычный 3 10 4 2 2 2 7 2" xfId="23885"/>
    <cellStyle name="Обычный 3 10 4 2 2 2 8" xfId="23886"/>
    <cellStyle name="Обычный 3 10 4 2 2 3" xfId="23887"/>
    <cellStyle name="Обычный 3 10 4 2 2 3 2" xfId="23888"/>
    <cellStyle name="Обычный 3 10 4 2 2 3 2 2" xfId="23889"/>
    <cellStyle name="Обычный 3 10 4 2 2 3 2 2 2" xfId="23890"/>
    <cellStyle name="Обычный 3 10 4 2 2 3 2 3" xfId="23891"/>
    <cellStyle name="Обычный 3 10 4 2 2 3 2 3 2" xfId="23892"/>
    <cellStyle name="Обычный 3 10 4 2 2 3 2 4" xfId="23893"/>
    <cellStyle name="Обычный 3 10 4 2 2 3 3" xfId="23894"/>
    <cellStyle name="Обычный 3 10 4 2 2 3 3 2" xfId="23895"/>
    <cellStyle name="Обычный 3 10 4 2 2 3 3 2 2" xfId="23896"/>
    <cellStyle name="Обычный 3 10 4 2 2 3 3 3" xfId="23897"/>
    <cellStyle name="Обычный 3 10 4 2 2 3 4" xfId="23898"/>
    <cellStyle name="Обычный 3 10 4 2 2 3 4 2" xfId="23899"/>
    <cellStyle name="Обычный 3 10 4 2 2 3 5" xfId="23900"/>
    <cellStyle name="Обычный 3 10 4 2 2 3 5 2" xfId="23901"/>
    <cellStyle name="Обычный 3 10 4 2 2 3 6" xfId="23902"/>
    <cellStyle name="Обычный 3 10 4 2 2 4" xfId="23903"/>
    <cellStyle name="Обычный 3 10 4 2 2 4 2" xfId="23904"/>
    <cellStyle name="Обычный 3 10 4 2 2 4 2 2" xfId="23905"/>
    <cellStyle name="Обычный 3 10 4 2 2 4 2 2 2" xfId="23906"/>
    <cellStyle name="Обычный 3 10 4 2 2 4 2 3" xfId="23907"/>
    <cellStyle name="Обычный 3 10 4 2 2 4 3" xfId="23908"/>
    <cellStyle name="Обычный 3 10 4 2 2 4 3 2" xfId="23909"/>
    <cellStyle name="Обычный 3 10 4 2 2 4 3 2 2" xfId="23910"/>
    <cellStyle name="Обычный 3 10 4 2 2 4 3 3" xfId="23911"/>
    <cellStyle name="Обычный 3 10 4 2 2 4 4" xfId="23912"/>
    <cellStyle name="Обычный 3 10 4 2 2 4 4 2" xfId="23913"/>
    <cellStyle name="Обычный 3 10 4 2 2 4 5" xfId="23914"/>
    <cellStyle name="Обычный 3 10 4 2 2 4 5 2" xfId="23915"/>
    <cellStyle name="Обычный 3 10 4 2 2 4 6" xfId="23916"/>
    <cellStyle name="Обычный 3 10 4 2 2 5" xfId="23917"/>
    <cellStyle name="Обычный 3 10 4 2 2 5 2" xfId="23918"/>
    <cellStyle name="Обычный 3 10 4 2 2 5 2 2" xfId="23919"/>
    <cellStyle name="Обычный 3 10 4 2 2 5 3" xfId="23920"/>
    <cellStyle name="Обычный 3 10 4 2 2 6" xfId="23921"/>
    <cellStyle name="Обычный 3 10 4 2 2 6 2" xfId="23922"/>
    <cellStyle name="Обычный 3 10 4 2 2 6 2 2" xfId="23923"/>
    <cellStyle name="Обычный 3 10 4 2 2 6 3" xfId="23924"/>
    <cellStyle name="Обычный 3 10 4 2 2 7" xfId="23925"/>
    <cellStyle name="Обычный 3 10 4 2 2 7 2" xfId="23926"/>
    <cellStyle name="Обычный 3 10 4 2 2 8" xfId="23927"/>
    <cellStyle name="Обычный 3 10 4 2 2 8 2" xfId="23928"/>
    <cellStyle name="Обычный 3 10 4 2 2 9" xfId="23929"/>
    <cellStyle name="Обычный 3 10 4 2 3" xfId="23930"/>
    <cellStyle name="Обычный 3 10 4 2 3 2" xfId="23931"/>
    <cellStyle name="Обычный 3 10 4 2 3 2 2" xfId="23932"/>
    <cellStyle name="Обычный 3 10 4 2 3 2 2 2" xfId="23933"/>
    <cellStyle name="Обычный 3 10 4 2 3 2 2 2 2" xfId="23934"/>
    <cellStyle name="Обычный 3 10 4 2 3 2 2 3" xfId="23935"/>
    <cellStyle name="Обычный 3 10 4 2 3 2 2 3 2" xfId="23936"/>
    <cellStyle name="Обычный 3 10 4 2 3 2 2 4" xfId="23937"/>
    <cellStyle name="Обычный 3 10 4 2 3 2 3" xfId="23938"/>
    <cellStyle name="Обычный 3 10 4 2 3 2 3 2" xfId="23939"/>
    <cellStyle name="Обычный 3 10 4 2 3 2 3 2 2" xfId="23940"/>
    <cellStyle name="Обычный 3 10 4 2 3 2 3 3" xfId="23941"/>
    <cellStyle name="Обычный 3 10 4 2 3 2 4" xfId="23942"/>
    <cellStyle name="Обычный 3 10 4 2 3 2 4 2" xfId="23943"/>
    <cellStyle name="Обычный 3 10 4 2 3 2 5" xfId="23944"/>
    <cellStyle name="Обычный 3 10 4 2 3 2 5 2" xfId="23945"/>
    <cellStyle name="Обычный 3 10 4 2 3 2 6" xfId="23946"/>
    <cellStyle name="Обычный 3 10 4 2 3 3" xfId="23947"/>
    <cellStyle name="Обычный 3 10 4 2 3 3 2" xfId="23948"/>
    <cellStyle name="Обычный 3 10 4 2 3 3 2 2" xfId="23949"/>
    <cellStyle name="Обычный 3 10 4 2 3 3 2 2 2" xfId="23950"/>
    <cellStyle name="Обычный 3 10 4 2 3 3 2 3" xfId="23951"/>
    <cellStyle name="Обычный 3 10 4 2 3 3 3" xfId="23952"/>
    <cellStyle name="Обычный 3 10 4 2 3 3 3 2" xfId="23953"/>
    <cellStyle name="Обычный 3 10 4 2 3 3 3 2 2" xfId="23954"/>
    <cellStyle name="Обычный 3 10 4 2 3 3 3 3" xfId="23955"/>
    <cellStyle name="Обычный 3 10 4 2 3 3 4" xfId="23956"/>
    <cellStyle name="Обычный 3 10 4 2 3 3 4 2" xfId="23957"/>
    <cellStyle name="Обычный 3 10 4 2 3 3 5" xfId="23958"/>
    <cellStyle name="Обычный 3 10 4 2 3 3 5 2" xfId="23959"/>
    <cellStyle name="Обычный 3 10 4 2 3 3 6" xfId="23960"/>
    <cellStyle name="Обычный 3 10 4 2 3 4" xfId="23961"/>
    <cellStyle name="Обычный 3 10 4 2 3 4 2" xfId="23962"/>
    <cellStyle name="Обычный 3 10 4 2 3 4 2 2" xfId="23963"/>
    <cellStyle name="Обычный 3 10 4 2 3 4 3" xfId="23964"/>
    <cellStyle name="Обычный 3 10 4 2 3 4 3 2" xfId="23965"/>
    <cellStyle name="Обычный 3 10 4 2 3 4 4" xfId="23966"/>
    <cellStyle name="Обычный 3 10 4 2 3 5" xfId="23967"/>
    <cellStyle name="Обычный 3 10 4 2 3 5 2" xfId="23968"/>
    <cellStyle name="Обычный 3 10 4 2 3 5 2 2" xfId="23969"/>
    <cellStyle name="Обычный 3 10 4 2 3 5 3" xfId="23970"/>
    <cellStyle name="Обычный 3 10 4 2 3 6" xfId="23971"/>
    <cellStyle name="Обычный 3 10 4 2 3 6 2" xfId="23972"/>
    <cellStyle name="Обычный 3 10 4 2 3 7" xfId="23973"/>
    <cellStyle name="Обычный 3 10 4 2 3 7 2" xfId="23974"/>
    <cellStyle name="Обычный 3 10 4 2 3 8" xfId="23975"/>
    <cellStyle name="Обычный 3 10 4 2 4" xfId="23976"/>
    <cellStyle name="Обычный 3 10 4 2 4 2" xfId="23977"/>
    <cellStyle name="Обычный 3 10 4 2 4 2 2" xfId="23978"/>
    <cellStyle name="Обычный 3 10 4 2 4 2 2 2" xfId="23979"/>
    <cellStyle name="Обычный 3 10 4 2 4 2 2 2 2" xfId="23980"/>
    <cellStyle name="Обычный 3 10 4 2 4 2 2 3" xfId="23981"/>
    <cellStyle name="Обычный 3 10 4 2 4 2 3" xfId="23982"/>
    <cellStyle name="Обычный 3 10 4 2 4 2 3 2" xfId="23983"/>
    <cellStyle name="Обычный 3 10 4 2 4 2 3 2 2" xfId="23984"/>
    <cellStyle name="Обычный 3 10 4 2 4 2 3 3" xfId="23985"/>
    <cellStyle name="Обычный 3 10 4 2 4 2 4" xfId="23986"/>
    <cellStyle name="Обычный 3 10 4 2 4 2 4 2" xfId="23987"/>
    <cellStyle name="Обычный 3 10 4 2 4 2 5" xfId="23988"/>
    <cellStyle name="Обычный 3 10 4 2 4 2 5 2" xfId="23989"/>
    <cellStyle name="Обычный 3 10 4 2 4 2 6" xfId="23990"/>
    <cellStyle name="Обычный 3 10 4 2 4 3" xfId="23991"/>
    <cellStyle name="Обычный 3 10 4 2 4 3 2" xfId="23992"/>
    <cellStyle name="Обычный 3 10 4 2 4 3 2 2" xfId="23993"/>
    <cellStyle name="Обычный 3 10 4 2 4 3 2 2 2" xfId="23994"/>
    <cellStyle name="Обычный 3 10 4 2 4 3 2 3" xfId="23995"/>
    <cellStyle name="Обычный 3 10 4 2 4 3 3" xfId="23996"/>
    <cellStyle name="Обычный 3 10 4 2 4 3 3 2" xfId="23997"/>
    <cellStyle name="Обычный 3 10 4 2 4 3 3 2 2" xfId="23998"/>
    <cellStyle name="Обычный 3 10 4 2 4 3 3 3" xfId="23999"/>
    <cellStyle name="Обычный 3 10 4 2 4 3 4" xfId="24000"/>
    <cellStyle name="Обычный 3 10 4 2 4 3 4 2" xfId="24001"/>
    <cellStyle name="Обычный 3 10 4 2 4 3 5" xfId="24002"/>
    <cellStyle name="Обычный 3 10 4 2 4 4" xfId="24003"/>
    <cellStyle name="Обычный 3 10 4 2 4 4 2" xfId="24004"/>
    <cellStyle name="Обычный 3 10 4 2 4 4 2 2" xfId="24005"/>
    <cellStyle name="Обычный 3 10 4 2 4 4 3" xfId="24006"/>
    <cellStyle name="Обычный 3 10 4 2 4 5" xfId="24007"/>
    <cellStyle name="Обычный 3 10 4 2 4 5 2" xfId="24008"/>
    <cellStyle name="Обычный 3 10 4 2 4 5 2 2" xfId="24009"/>
    <cellStyle name="Обычный 3 10 4 2 4 5 3" xfId="24010"/>
    <cellStyle name="Обычный 3 10 4 2 4 6" xfId="24011"/>
    <cellStyle name="Обычный 3 10 4 2 4 6 2" xfId="24012"/>
    <cellStyle name="Обычный 3 10 4 2 4 7" xfId="24013"/>
    <cellStyle name="Обычный 3 10 4 2 4 7 2" xfId="24014"/>
    <cellStyle name="Обычный 3 10 4 2 4 8" xfId="24015"/>
    <cellStyle name="Обычный 3 10 4 2 5" xfId="24016"/>
    <cellStyle name="Обычный 3 10 4 2 5 2" xfId="24017"/>
    <cellStyle name="Обычный 3 10 4 2 5 2 2" xfId="24018"/>
    <cellStyle name="Обычный 3 10 4 2 5 2 2 2" xfId="24019"/>
    <cellStyle name="Обычный 3 10 4 2 5 2 3" xfId="24020"/>
    <cellStyle name="Обычный 3 10 4 2 5 3" xfId="24021"/>
    <cellStyle name="Обычный 3 10 4 2 5 3 2" xfId="24022"/>
    <cellStyle name="Обычный 3 10 4 2 5 3 2 2" xfId="24023"/>
    <cellStyle name="Обычный 3 10 4 2 5 3 3" xfId="24024"/>
    <cellStyle name="Обычный 3 10 4 2 5 4" xfId="24025"/>
    <cellStyle name="Обычный 3 10 4 2 5 4 2" xfId="24026"/>
    <cellStyle name="Обычный 3 10 4 2 5 5" xfId="24027"/>
    <cellStyle name="Обычный 3 10 4 2 5 5 2" xfId="24028"/>
    <cellStyle name="Обычный 3 10 4 2 5 6" xfId="24029"/>
    <cellStyle name="Обычный 3 10 4 2 6" xfId="24030"/>
    <cellStyle name="Обычный 3 10 4 2 6 2" xfId="24031"/>
    <cellStyle name="Обычный 3 10 4 2 6 2 2" xfId="24032"/>
    <cellStyle name="Обычный 3 10 4 2 6 2 2 2" xfId="24033"/>
    <cellStyle name="Обычный 3 10 4 2 6 2 3" xfId="24034"/>
    <cellStyle name="Обычный 3 10 4 2 6 3" xfId="24035"/>
    <cellStyle name="Обычный 3 10 4 2 6 3 2" xfId="24036"/>
    <cellStyle name="Обычный 3 10 4 2 6 3 2 2" xfId="24037"/>
    <cellStyle name="Обычный 3 10 4 2 6 3 3" xfId="24038"/>
    <cellStyle name="Обычный 3 10 4 2 6 4" xfId="24039"/>
    <cellStyle name="Обычный 3 10 4 2 6 4 2" xfId="24040"/>
    <cellStyle name="Обычный 3 10 4 2 6 5" xfId="24041"/>
    <cellStyle name="Обычный 3 10 4 2 6 5 2" xfId="24042"/>
    <cellStyle name="Обычный 3 10 4 2 6 6" xfId="24043"/>
    <cellStyle name="Обычный 3 10 4 2 7" xfId="24044"/>
    <cellStyle name="Обычный 3 10 4 2 7 2" xfId="24045"/>
    <cellStyle name="Обычный 3 10 4 2 7 2 2" xfId="24046"/>
    <cellStyle name="Обычный 3 10 4 2 7 3" xfId="24047"/>
    <cellStyle name="Обычный 3 10 4 2 8" xfId="24048"/>
    <cellStyle name="Обычный 3 10 4 2 8 2" xfId="24049"/>
    <cellStyle name="Обычный 3 10 4 2 8 2 2" xfId="24050"/>
    <cellStyle name="Обычный 3 10 4 2 8 3" xfId="24051"/>
    <cellStyle name="Обычный 3 10 4 2 9" xfId="24052"/>
    <cellStyle name="Обычный 3 10 4 2 9 2" xfId="24053"/>
    <cellStyle name="Обычный 3 10 4 3" xfId="24054"/>
    <cellStyle name="Обычный 3 10 4 3 2" xfId="24055"/>
    <cellStyle name="Обычный 3 10 4 3 2 2" xfId="24056"/>
    <cellStyle name="Обычный 3 10 4 3 2 2 2" xfId="24057"/>
    <cellStyle name="Обычный 3 10 4 3 2 2 2 2" xfId="24058"/>
    <cellStyle name="Обычный 3 10 4 3 2 2 2 2 2" xfId="24059"/>
    <cellStyle name="Обычный 3 10 4 3 2 2 2 3" xfId="24060"/>
    <cellStyle name="Обычный 3 10 4 3 2 2 3" xfId="24061"/>
    <cellStyle name="Обычный 3 10 4 3 2 2 3 2" xfId="24062"/>
    <cellStyle name="Обычный 3 10 4 3 2 2 3 2 2" xfId="24063"/>
    <cellStyle name="Обычный 3 10 4 3 2 2 3 3" xfId="24064"/>
    <cellStyle name="Обычный 3 10 4 3 2 2 4" xfId="24065"/>
    <cellStyle name="Обычный 3 10 4 3 2 2 4 2" xfId="24066"/>
    <cellStyle name="Обычный 3 10 4 3 2 2 5" xfId="24067"/>
    <cellStyle name="Обычный 3 10 4 3 2 2 5 2" xfId="24068"/>
    <cellStyle name="Обычный 3 10 4 3 2 2 6" xfId="24069"/>
    <cellStyle name="Обычный 3 10 4 3 2 3" xfId="24070"/>
    <cellStyle name="Обычный 3 10 4 3 2 3 2" xfId="24071"/>
    <cellStyle name="Обычный 3 10 4 3 2 3 2 2" xfId="24072"/>
    <cellStyle name="Обычный 3 10 4 3 2 3 2 2 2" xfId="24073"/>
    <cellStyle name="Обычный 3 10 4 3 2 3 2 3" xfId="24074"/>
    <cellStyle name="Обычный 3 10 4 3 2 3 3" xfId="24075"/>
    <cellStyle name="Обычный 3 10 4 3 2 3 3 2" xfId="24076"/>
    <cellStyle name="Обычный 3 10 4 3 2 3 3 2 2" xfId="24077"/>
    <cellStyle name="Обычный 3 10 4 3 2 3 3 3" xfId="24078"/>
    <cellStyle name="Обычный 3 10 4 3 2 3 4" xfId="24079"/>
    <cellStyle name="Обычный 3 10 4 3 2 3 4 2" xfId="24080"/>
    <cellStyle name="Обычный 3 10 4 3 2 3 5" xfId="24081"/>
    <cellStyle name="Обычный 3 10 4 3 2 3 5 2" xfId="24082"/>
    <cellStyle name="Обычный 3 10 4 3 2 3 6" xfId="24083"/>
    <cellStyle name="Обычный 3 10 4 3 2 4" xfId="24084"/>
    <cellStyle name="Обычный 3 10 4 3 2 4 2" xfId="24085"/>
    <cellStyle name="Обычный 3 10 4 3 2 4 2 2" xfId="24086"/>
    <cellStyle name="Обычный 3 10 4 3 2 4 3" xfId="24087"/>
    <cellStyle name="Обычный 3 10 4 3 2 5" xfId="24088"/>
    <cellStyle name="Обычный 3 10 4 3 2 5 2" xfId="24089"/>
    <cellStyle name="Обычный 3 10 4 3 2 5 2 2" xfId="24090"/>
    <cellStyle name="Обычный 3 10 4 3 2 5 3" xfId="24091"/>
    <cellStyle name="Обычный 3 10 4 3 2 6" xfId="24092"/>
    <cellStyle name="Обычный 3 10 4 3 2 6 2" xfId="24093"/>
    <cellStyle name="Обычный 3 10 4 3 2 7" xfId="24094"/>
    <cellStyle name="Обычный 3 10 4 3 2 7 2" xfId="24095"/>
    <cellStyle name="Обычный 3 10 4 3 2 8" xfId="24096"/>
    <cellStyle name="Обычный 3 10 4 3 3" xfId="24097"/>
    <cellStyle name="Обычный 3 10 4 3 3 2" xfId="24098"/>
    <cellStyle name="Обычный 3 10 4 3 3 2 2" xfId="24099"/>
    <cellStyle name="Обычный 3 10 4 3 3 2 2 2" xfId="24100"/>
    <cellStyle name="Обычный 3 10 4 3 3 2 3" xfId="24101"/>
    <cellStyle name="Обычный 3 10 4 3 3 2 3 2" xfId="24102"/>
    <cellStyle name="Обычный 3 10 4 3 3 2 4" xfId="24103"/>
    <cellStyle name="Обычный 3 10 4 3 3 3" xfId="24104"/>
    <cellStyle name="Обычный 3 10 4 3 3 3 2" xfId="24105"/>
    <cellStyle name="Обычный 3 10 4 3 3 3 2 2" xfId="24106"/>
    <cellStyle name="Обычный 3 10 4 3 3 3 3" xfId="24107"/>
    <cellStyle name="Обычный 3 10 4 3 3 4" xfId="24108"/>
    <cellStyle name="Обычный 3 10 4 3 3 4 2" xfId="24109"/>
    <cellStyle name="Обычный 3 10 4 3 3 5" xfId="24110"/>
    <cellStyle name="Обычный 3 10 4 3 3 5 2" xfId="24111"/>
    <cellStyle name="Обычный 3 10 4 3 3 6" xfId="24112"/>
    <cellStyle name="Обычный 3 10 4 3 4" xfId="24113"/>
    <cellStyle name="Обычный 3 10 4 3 4 2" xfId="24114"/>
    <cellStyle name="Обычный 3 10 4 3 4 2 2" xfId="24115"/>
    <cellStyle name="Обычный 3 10 4 3 4 2 2 2" xfId="24116"/>
    <cellStyle name="Обычный 3 10 4 3 4 2 3" xfId="24117"/>
    <cellStyle name="Обычный 3 10 4 3 4 3" xfId="24118"/>
    <cellStyle name="Обычный 3 10 4 3 4 3 2" xfId="24119"/>
    <cellStyle name="Обычный 3 10 4 3 4 3 2 2" xfId="24120"/>
    <cellStyle name="Обычный 3 10 4 3 4 3 3" xfId="24121"/>
    <cellStyle name="Обычный 3 10 4 3 4 4" xfId="24122"/>
    <cellStyle name="Обычный 3 10 4 3 4 4 2" xfId="24123"/>
    <cellStyle name="Обычный 3 10 4 3 4 5" xfId="24124"/>
    <cellStyle name="Обычный 3 10 4 3 4 5 2" xfId="24125"/>
    <cellStyle name="Обычный 3 10 4 3 4 6" xfId="24126"/>
    <cellStyle name="Обычный 3 10 4 3 5" xfId="24127"/>
    <cellStyle name="Обычный 3 10 4 3 5 2" xfId="24128"/>
    <cellStyle name="Обычный 3 10 4 3 5 2 2" xfId="24129"/>
    <cellStyle name="Обычный 3 10 4 3 5 3" xfId="24130"/>
    <cellStyle name="Обычный 3 10 4 3 6" xfId="24131"/>
    <cellStyle name="Обычный 3 10 4 3 6 2" xfId="24132"/>
    <cellStyle name="Обычный 3 10 4 3 6 2 2" xfId="24133"/>
    <cellStyle name="Обычный 3 10 4 3 6 3" xfId="24134"/>
    <cellStyle name="Обычный 3 10 4 3 7" xfId="24135"/>
    <cellStyle name="Обычный 3 10 4 3 7 2" xfId="24136"/>
    <cellStyle name="Обычный 3 10 4 3 8" xfId="24137"/>
    <cellStyle name="Обычный 3 10 4 3 8 2" xfId="24138"/>
    <cellStyle name="Обычный 3 10 4 3 9" xfId="24139"/>
    <cellStyle name="Обычный 3 10 4 4" xfId="24140"/>
    <cellStyle name="Обычный 3 10 4 4 2" xfId="24141"/>
    <cellStyle name="Обычный 3 10 4 4 2 2" xfId="24142"/>
    <cellStyle name="Обычный 3 10 4 4 2 2 2" xfId="24143"/>
    <cellStyle name="Обычный 3 10 4 4 2 2 2 2" xfId="24144"/>
    <cellStyle name="Обычный 3 10 4 4 2 2 3" xfId="24145"/>
    <cellStyle name="Обычный 3 10 4 4 2 2 3 2" xfId="24146"/>
    <cellStyle name="Обычный 3 10 4 4 2 2 4" xfId="24147"/>
    <cellStyle name="Обычный 3 10 4 4 2 3" xfId="24148"/>
    <cellStyle name="Обычный 3 10 4 4 2 3 2" xfId="24149"/>
    <cellStyle name="Обычный 3 10 4 4 2 3 2 2" xfId="24150"/>
    <cellStyle name="Обычный 3 10 4 4 2 3 3" xfId="24151"/>
    <cellStyle name="Обычный 3 10 4 4 2 4" xfId="24152"/>
    <cellStyle name="Обычный 3 10 4 4 2 4 2" xfId="24153"/>
    <cellStyle name="Обычный 3 10 4 4 2 5" xfId="24154"/>
    <cellStyle name="Обычный 3 10 4 4 2 5 2" xfId="24155"/>
    <cellStyle name="Обычный 3 10 4 4 2 6" xfId="24156"/>
    <cellStyle name="Обычный 3 10 4 4 3" xfId="24157"/>
    <cellStyle name="Обычный 3 10 4 4 3 2" xfId="24158"/>
    <cellStyle name="Обычный 3 10 4 4 3 2 2" xfId="24159"/>
    <cellStyle name="Обычный 3 10 4 4 3 2 2 2" xfId="24160"/>
    <cellStyle name="Обычный 3 10 4 4 3 2 3" xfId="24161"/>
    <cellStyle name="Обычный 3 10 4 4 3 3" xfId="24162"/>
    <cellStyle name="Обычный 3 10 4 4 3 3 2" xfId="24163"/>
    <cellStyle name="Обычный 3 10 4 4 3 3 2 2" xfId="24164"/>
    <cellStyle name="Обычный 3 10 4 4 3 3 3" xfId="24165"/>
    <cellStyle name="Обычный 3 10 4 4 3 4" xfId="24166"/>
    <cellStyle name="Обычный 3 10 4 4 3 4 2" xfId="24167"/>
    <cellStyle name="Обычный 3 10 4 4 3 5" xfId="24168"/>
    <cellStyle name="Обычный 3 10 4 4 3 5 2" xfId="24169"/>
    <cellStyle name="Обычный 3 10 4 4 3 6" xfId="24170"/>
    <cellStyle name="Обычный 3 10 4 4 4" xfId="24171"/>
    <cellStyle name="Обычный 3 10 4 4 4 2" xfId="24172"/>
    <cellStyle name="Обычный 3 10 4 4 4 2 2" xfId="24173"/>
    <cellStyle name="Обычный 3 10 4 4 4 3" xfId="24174"/>
    <cellStyle name="Обычный 3 10 4 4 4 3 2" xfId="24175"/>
    <cellStyle name="Обычный 3 10 4 4 4 4" xfId="24176"/>
    <cellStyle name="Обычный 3 10 4 4 5" xfId="24177"/>
    <cellStyle name="Обычный 3 10 4 4 5 2" xfId="24178"/>
    <cellStyle name="Обычный 3 10 4 4 5 2 2" xfId="24179"/>
    <cellStyle name="Обычный 3 10 4 4 5 3" xfId="24180"/>
    <cellStyle name="Обычный 3 10 4 4 6" xfId="24181"/>
    <cellStyle name="Обычный 3 10 4 4 6 2" xfId="24182"/>
    <cellStyle name="Обычный 3 10 4 4 7" xfId="24183"/>
    <cellStyle name="Обычный 3 10 4 4 7 2" xfId="24184"/>
    <cellStyle name="Обычный 3 10 4 4 8" xfId="24185"/>
    <cellStyle name="Обычный 3 10 4 5" xfId="24186"/>
    <cellStyle name="Обычный 3 10 4 5 2" xfId="24187"/>
    <cellStyle name="Обычный 3 10 4 5 2 2" xfId="24188"/>
    <cellStyle name="Обычный 3 10 4 5 2 2 2" xfId="24189"/>
    <cellStyle name="Обычный 3 10 4 5 2 2 2 2" xfId="24190"/>
    <cellStyle name="Обычный 3 10 4 5 2 2 3" xfId="24191"/>
    <cellStyle name="Обычный 3 10 4 5 2 3" xfId="24192"/>
    <cellStyle name="Обычный 3 10 4 5 2 3 2" xfId="24193"/>
    <cellStyle name="Обычный 3 10 4 5 2 3 2 2" xfId="24194"/>
    <cellStyle name="Обычный 3 10 4 5 2 3 3" xfId="24195"/>
    <cellStyle name="Обычный 3 10 4 5 2 4" xfId="24196"/>
    <cellStyle name="Обычный 3 10 4 5 2 4 2" xfId="24197"/>
    <cellStyle name="Обычный 3 10 4 5 2 5" xfId="24198"/>
    <cellStyle name="Обычный 3 10 4 5 2 5 2" xfId="24199"/>
    <cellStyle name="Обычный 3 10 4 5 2 6" xfId="24200"/>
    <cellStyle name="Обычный 3 10 4 5 3" xfId="24201"/>
    <cellStyle name="Обычный 3 10 4 5 3 2" xfId="24202"/>
    <cellStyle name="Обычный 3 10 4 5 3 2 2" xfId="24203"/>
    <cellStyle name="Обычный 3 10 4 5 3 2 2 2" xfId="24204"/>
    <cellStyle name="Обычный 3 10 4 5 3 2 3" xfId="24205"/>
    <cellStyle name="Обычный 3 10 4 5 3 3" xfId="24206"/>
    <cellStyle name="Обычный 3 10 4 5 3 3 2" xfId="24207"/>
    <cellStyle name="Обычный 3 10 4 5 3 3 2 2" xfId="24208"/>
    <cellStyle name="Обычный 3 10 4 5 3 3 3" xfId="24209"/>
    <cellStyle name="Обычный 3 10 4 5 3 4" xfId="24210"/>
    <cellStyle name="Обычный 3 10 4 5 3 4 2" xfId="24211"/>
    <cellStyle name="Обычный 3 10 4 5 3 5" xfId="24212"/>
    <cellStyle name="Обычный 3 10 4 5 4" xfId="24213"/>
    <cellStyle name="Обычный 3 10 4 5 4 2" xfId="24214"/>
    <cellStyle name="Обычный 3 10 4 5 4 2 2" xfId="24215"/>
    <cellStyle name="Обычный 3 10 4 5 4 3" xfId="24216"/>
    <cellStyle name="Обычный 3 10 4 5 5" xfId="24217"/>
    <cellStyle name="Обычный 3 10 4 5 5 2" xfId="24218"/>
    <cellStyle name="Обычный 3 10 4 5 5 2 2" xfId="24219"/>
    <cellStyle name="Обычный 3 10 4 5 5 3" xfId="24220"/>
    <cellStyle name="Обычный 3 10 4 5 6" xfId="24221"/>
    <cellStyle name="Обычный 3 10 4 5 6 2" xfId="24222"/>
    <cellStyle name="Обычный 3 10 4 5 7" xfId="24223"/>
    <cellStyle name="Обычный 3 10 4 5 7 2" xfId="24224"/>
    <cellStyle name="Обычный 3 10 4 5 8" xfId="24225"/>
    <cellStyle name="Обычный 3 10 4 6" xfId="24226"/>
    <cellStyle name="Обычный 3 10 4 6 2" xfId="24227"/>
    <cellStyle name="Обычный 3 10 4 6 2 2" xfId="24228"/>
    <cellStyle name="Обычный 3 10 4 6 2 2 2" xfId="24229"/>
    <cellStyle name="Обычный 3 10 4 6 2 3" xfId="24230"/>
    <cellStyle name="Обычный 3 10 4 6 3" xfId="24231"/>
    <cellStyle name="Обычный 3 10 4 6 3 2" xfId="24232"/>
    <cellStyle name="Обычный 3 10 4 6 3 2 2" xfId="24233"/>
    <cellStyle name="Обычный 3 10 4 6 3 3" xfId="24234"/>
    <cellStyle name="Обычный 3 10 4 6 4" xfId="24235"/>
    <cellStyle name="Обычный 3 10 4 6 4 2" xfId="24236"/>
    <cellStyle name="Обычный 3 10 4 6 5" xfId="24237"/>
    <cellStyle name="Обычный 3 10 4 6 5 2" xfId="24238"/>
    <cellStyle name="Обычный 3 10 4 6 6" xfId="24239"/>
    <cellStyle name="Обычный 3 10 4 7" xfId="24240"/>
    <cellStyle name="Обычный 3 10 4 7 2" xfId="24241"/>
    <cellStyle name="Обычный 3 10 4 7 2 2" xfId="24242"/>
    <cellStyle name="Обычный 3 10 4 7 2 2 2" xfId="24243"/>
    <cellStyle name="Обычный 3 10 4 7 2 3" xfId="24244"/>
    <cellStyle name="Обычный 3 10 4 7 3" xfId="24245"/>
    <cellStyle name="Обычный 3 10 4 7 3 2" xfId="24246"/>
    <cellStyle name="Обычный 3 10 4 7 3 2 2" xfId="24247"/>
    <cellStyle name="Обычный 3 10 4 7 3 3" xfId="24248"/>
    <cellStyle name="Обычный 3 10 4 7 4" xfId="24249"/>
    <cellStyle name="Обычный 3 10 4 7 4 2" xfId="24250"/>
    <cellStyle name="Обычный 3 10 4 7 5" xfId="24251"/>
    <cellStyle name="Обычный 3 10 4 7 5 2" xfId="24252"/>
    <cellStyle name="Обычный 3 10 4 7 6" xfId="24253"/>
    <cellStyle name="Обычный 3 10 4 8" xfId="24254"/>
    <cellStyle name="Обычный 3 10 4 8 2" xfId="24255"/>
    <cellStyle name="Обычный 3 10 4 8 2 2" xfId="24256"/>
    <cellStyle name="Обычный 3 10 4 8 3" xfId="24257"/>
    <cellStyle name="Обычный 3 10 4 9" xfId="24258"/>
    <cellStyle name="Обычный 3 10 4 9 2" xfId="24259"/>
    <cellStyle name="Обычный 3 10 4 9 2 2" xfId="24260"/>
    <cellStyle name="Обычный 3 10 4 9 3" xfId="24261"/>
    <cellStyle name="Обычный 3 10 5" xfId="24262"/>
    <cellStyle name="Обычный 3 10 5 10" xfId="24263"/>
    <cellStyle name="Обычный 3 10 5 10 2" xfId="24264"/>
    <cellStyle name="Обычный 3 10 5 10 2 2" xfId="24265"/>
    <cellStyle name="Обычный 3 10 5 10 2 2 2" xfId="24266"/>
    <cellStyle name="Обычный 3 10 5 10 2 3" xfId="24267"/>
    <cellStyle name="Обычный 3 10 5 10 2 3 2" xfId="24268"/>
    <cellStyle name="Обычный 3 10 5 10 2 4" xfId="24269"/>
    <cellStyle name="Обычный 3 10 5 10 3" xfId="24270"/>
    <cellStyle name="Обычный 3 10 5 10 3 2" xfId="24271"/>
    <cellStyle name="Обычный 3 10 5 10 3 2 2" xfId="24272"/>
    <cellStyle name="Обычный 3 10 5 10 3 3" xfId="24273"/>
    <cellStyle name="Обычный 3 10 5 10 4" xfId="24274"/>
    <cellStyle name="Обычный 3 10 5 10 4 2" xfId="24275"/>
    <cellStyle name="Обычный 3 10 5 10 5" xfId="24276"/>
    <cellStyle name="Обычный 3 10 5 10 5 2" xfId="24277"/>
    <cellStyle name="Обычный 3 10 5 10 6" xfId="24278"/>
    <cellStyle name="Обычный 3 10 5 11" xfId="24279"/>
    <cellStyle name="Обычный 3 10 5 11 2" xfId="24280"/>
    <cellStyle name="Обычный 3 10 5 11 2 2" xfId="24281"/>
    <cellStyle name="Обычный 3 10 5 11 3" xfId="24282"/>
    <cellStyle name="Обычный 3 10 5 11 3 2" xfId="24283"/>
    <cellStyle name="Обычный 3 10 5 11 4" xfId="24284"/>
    <cellStyle name="Обычный 3 10 5 12" xfId="24285"/>
    <cellStyle name="Обычный 3 10 5 12 2" xfId="24286"/>
    <cellStyle name="Обычный 3 10 5 12 2 2" xfId="24287"/>
    <cellStyle name="Обычный 3 10 5 12 3" xfId="24288"/>
    <cellStyle name="Обычный 3 10 5 13" xfId="24289"/>
    <cellStyle name="Обычный 3 10 5 13 2" xfId="24290"/>
    <cellStyle name="Обычный 3 10 5 14" xfId="24291"/>
    <cellStyle name="Обычный 3 10 5 14 2" xfId="24292"/>
    <cellStyle name="Обычный 3 10 5 15" xfId="24293"/>
    <cellStyle name="Обычный 3 10 5 2" xfId="24294"/>
    <cellStyle name="Обычный 3 10 5 2 10" xfId="24295"/>
    <cellStyle name="Обычный 3 10 5 2 10 2" xfId="24296"/>
    <cellStyle name="Обычный 3 10 5 2 10 2 2" xfId="24297"/>
    <cellStyle name="Обычный 3 10 5 2 10 3" xfId="24298"/>
    <cellStyle name="Обычный 3 10 5 2 11" xfId="24299"/>
    <cellStyle name="Обычный 3 10 5 2 11 2" xfId="24300"/>
    <cellStyle name="Обычный 3 10 5 2 12" xfId="24301"/>
    <cellStyle name="Обычный 3 10 5 2 12 2" xfId="24302"/>
    <cellStyle name="Обычный 3 10 5 2 13" xfId="24303"/>
    <cellStyle name="Обычный 3 10 5 2 2" xfId="24304"/>
    <cellStyle name="Обычный 3 10 5 2 2 10" xfId="24305"/>
    <cellStyle name="Обычный 3 10 5 2 2 10 2" xfId="24306"/>
    <cellStyle name="Обычный 3 10 5 2 2 11" xfId="24307"/>
    <cellStyle name="Обычный 3 10 5 2 2 11 2" xfId="24308"/>
    <cellStyle name="Обычный 3 10 5 2 2 12" xfId="24309"/>
    <cellStyle name="Обычный 3 10 5 2 2 2" xfId="24310"/>
    <cellStyle name="Обычный 3 10 5 2 2 2 10" xfId="24311"/>
    <cellStyle name="Обычный 3 10 5 2 2 2 10 2" xfId="24312"/>
    <cellStyle name="Обычный 3 10 5 2 2 2 11" xfId="24313"/>
    <cellStyle name="Обычный 3 10 5 2 2 2 11 2" xfId="24314"/>
    <cellStyle name="Обычный 3 10 5 2 2 2 12" xfId="24315"/>
    <cellStyle name="Обычный 3 10 5 2 2 2 2" xfId="24316"/>
    <cellStyle name="Обычный 3 10 5 2 2 2 2 2" xfId="24317"/>
    <cellStyle name="Обычный 3 10 5 2 2 2 2 2 2" xfId="24318"/>
    <cellStyle name="Обычный 3 10 5 2 2 2 2 2 2 2" xfId="24319"/>
    <cellStyle name="Обычный 3 10 5 2 2 2 2 2 2 2 2" xfId="24320"/>
    <cellStyle name="Обычный 3 10 5 2 2 2 2 2 2 2 2 2" xfId="24321"/>
    <cellStyle name="Обычный 3 10 5 2 2 2 2 2 2 2 3" xfId="24322"/>
    <cellStyle name="Обычный 3 10 5 2 2 2 2 2 2 3" xfId="24323"/>
    <cellStyle name="Обычный 3 10 5 2 2 2 2 2 2 3 2" xfId="24324"/>
    <cellStyle name="Обычный 3 10 5 2 2 2 2 2 2 3 2 2" xfId="24325"/>
    <cellStyle name="Обычный 3 10 5 2 2 2 2 2 2 3 3" xfId="24326"/>
    <cellStyle name="Обычный 3 10 5 2 2 2 2 2 2 4" xfId="24327"/>
    <cellStyle name="Обычный 3 10 5 2 2 2 2 2 2 4 2" xfId="24328"/>
    <cellStyle name="Обычный 3 10 5 2 2 2 2 2 2 5" xfId="24329"/>
    <cellStyle name="Обычный 3 10 5 2 2 2 2 2 2 5 2" xfId="24330"/>
    <cellStyle name="Обычный 3 10 5 2 2 2 2 2 2 6" xfId="24331"/>
    <cellStyle name="Обычный 3 10 5 2 2 2 2 2 3" xfId="24332"/>
    <cellStyle name="Обычный 3 10 5 2 2 2 2 2 3 2" xfId="24333"/>
    <cellStyle name="Обычный 3 10 5 2 2 2 2 2 3 2 2" xfId="24334"/>
    <cellStyle name="Обычный 3 10 5 2 2 2 2 2 3 2 2 2" xfId="24335"/>
    <cellStyle name="Обычный 3 10 5 2 2 2 2 2 3 2 3" xfId="24336"/>
    <cellStyle name="Обычный 3 10 5 2 2 2 2 2 3 3" xfId="24337"/>
    <cellStyle name="Обычный 3 10 5 2 2 2 2 2 3 3 2" xfId="24338"/>
    <cellStyle name="Обычный 3 10 5 2 2 2 2 2 3 3 2 2" xfId="24339"/>
    <cellStyle name="Обычный 3 10 5 2 2 2 2 2 3 3 3" xfId="24340"/>
    <cellStyle name="Обычный 3 10 5 2 2 2 2 2 3 4" xfId="24341"/>
    <cellStyle name="Обычный 3 10 5 2 2 2 2 2 3 4 2" xfId="24342"/>
    <cellStyle name="Обычный 3 10 5 2 2 2 2 2 3 5" xfId="24343"/>
    <cellStyle name="Обычный 3 10 5 2 2 2 2 2 4" xfId="24344"/>
    <cellStyle name="Обычный 3 10 5 2 2 2 2 2 4 2" xfId="24345"/>
    <cellStyle name="Обычный 3 10 5 2 2 2 2 2 4 2 2" xfId="24346"/>
    <cellStyle name="Обычный 3 10 5 2 2 2 2 2 4 3" xfId="24347"/>
    <cellStyle name="Обычный 3 10 5 2 2 2 2 2 5" xfId="24348"/>
    <cellStyle name="Обычный 3 10 5 2 2 2 2 2 5 2" xfId="24349"/>
    <cellStyle name="Обычный 3 10 5 2 2 2 2 2 5 2 2" xfId="24350"/>
    <cellStyle name="Обычный 3 10 5 2 2 2 2 2 5 3" xfId="24351"/>
    <cellStyle name="Обычный 3 10 5 2 2 2 2 2 6" xfId="24352"/>
    <cellStyle name="Обычный 3 10 5 2 2 2 2 2 6 2" xfId="24353"/>
    <cellStyle name="Обычный 3 10 5 2 2 2 2 2 7" xfId="24354"/>
    <cellStyle name="Обычный 3 10 5 2 2 2 2 2 7 2" xfId="24355"/>
    <cellStyle name="Обычный 3 10 5 2 2 2 2 2 8" xfId="24356"/>
    <cellStyle name="Обычный 3 10 5 2 2 2 2 3" xfId="24357"/>
    <cellStyle name="Обычный 3 10 5 2 2 2 2 3 2" xfId="24358"/>
    <cellStyle name="Обычный 3 10 5 2 2 2 2 3 2 2" xfId="24359"/>
    <cellStyle name="Обычный 3 10 5 2 2 2 2 3 2 2 2" xfId="24360"/>
    <cellStyle name="Обычный 3 10 5 2 2 2 2 3 2 3" xfId="24361"/>
    <cellStyle name="Обычный 3 10 5 2 2 2 2 3 3" xfId="24362"/>
    <cellStyle name="Обычный 3 10 5 2 2 2 2 3 3 2" xfId="24363"/>
    <cellStyle name="Обычный 3 10 5 2 2 2 2 3 3 2 2" xfId="24364"/>
    <cellStyle name="Обычный 3 10 5 2 2 2 2 3 3 3" xfId="24365"/>
    <cellStyle name="Обычный 3 10 5 2 2 2 2 3 4" xfId="24366"/>
    <cellStyle name="Обычный 3 10 5 2 2 2 2 3 4 2" xfId="24367"/>
    <cellStyle name="Обычный 3 10 5 2 2 2 2 3 5" xfId="24368"/>
    <cellStyle name="Обычный 3 10 5 2 2 2 2 3 5 2" xfId="24369"/>
    <cellStyle name="Обычный 3 10 5 2 2 2 2 3 6" xfId="24370"/>
    <cellStyle name="Обычный 3 10 5 2 2 2 2 4" xfId="24371"/>
    <cellStyle name="Обычный 3 10 5 2 2 2 2 4 2" xfId="24372"/>
    <cellStyle name="Обычный 3 10 5 2 2 2 2 4 2 2" xfId="24373"/>
    <cellStyle name="Обычный 3 10 5 2 2 2 2 4 2 2 2" xfId="24374"/>
    <cellStyle name="Обычный 3 10 5 2 2 2 2 4 2 3" xfId="24375"/>
    <cellStyle name="Обычный 3 10 5 2 2 2 2 4 3" xfId="24376"/>
    <cellStyle name="Обычный 3 10 5 2 2 2 2 4 3 2" xfId="24377"/>
    <cellStyle name="Обычный 3 10 5 2 2 2 2 4 3 2 2" xfId="24378"/>
    <cellStyle name="Обычный 3 10 5 2 2 2 2 4 3 3" xfId="24379"/>
    <cellStyle name="Обычный 3 10 5 2 2 2 2 4 4" xfId="24380"/>
    <cellStyle name="Обычный 3 10 5 2 2 2 2 4 4 2" xfId="24381"/>
    <cellStyle name="Обычный 3 10 5 2 2 2 2 4 5" xfId="24382"/>
    <cellStyle name="Обычный 3 10 5 2 2 2 2 4 5 2" xfId="24383"/>
    <cellStyle name="Обычный 3 10 5 2 2 2 2 4 6" xfId="24384"/>
    <cellStyle name="Обычный 3 10 5 2 2 2 2 5" xfId="24385"/>
    <cellStyle name="Обычный 3 10 5 2 2 2 2 5 2" xfId="24386"/>
    <cellStyle name="Обычный 3 10 5 2 2 2 2 5 2 2" xfId="24387"/>
    <cellStyle name="Обычный 3 10 5 2 2 2 2 5 3" xfId="24388"/>
    <cellStyle name="Обычный 3 10 5 2 2 2 2 6" xfId="24389"/>
    <cellStyle name="Обычный 3 10 5 2 2 2 2 6 2" xfId="24390"/>
    <cellStyle name="Обычный 3 10 5 2 2 2 2 6 2 2" xfId="24391"/>
    <cellStyle name="Обычный 3 10 5 2 2 2 2 6 3" xfId="24392"/>
    <cellStyle name="Обычный 3 10 5 2 2 2 2 7" xfId="24393"/>
    <cellStyle name="Обычный 3 10 5 2 2 2 2 7 2" xfId="24394"/>
    <cellStyle name="Обычный 3 10 5 2 2 2 2 8" xfId="24395"/>
    <cellStyle name="Обычный 3 10 5 2 2 2 2 8 2" xfId="24396"/>
    <cellStyle name="Обычный 3 10 5 2 2 2 2 9" xfId="24397"/>
    <cellStyle name="Обычный 3 10 5 2 2 2 3" xfId="24398"/>
    <cellStyle name="Обычный 3 10 5 2 2 2 3 2" xfId="24399"/>
    <cellStyle name="Обычный 3 10 5 2 2 2 3 2 2" xfId="24400"/>
    <cellStyle name="Обычный 3 10 5 2 2 2 3 2 2 2" xfId="24401"/>
    <cellStyle name="Обычный 3 10 5 2 2 2 3 2 2 2 2" xfId="24402"/>
    <cellStyle name="Обычный 3 10 5 2 2 2 3 2 2 2 2 2" xfId="24403"/>
    <cellStyle name="Обычный 3 10 5 2 2 2 3 2 2 2 3" xfId="24404"/>
    <cellStyle name="Обычный 3 10 5 2 2 2 3 2 2 3" xfId="24405"/>
    <cellStyle name="Обычный 3 10 5 2 2 2 3 2 2 3 2" xfId="24406"/>
    <cellStyle name="Обычный 3 10 5 2 2 2 3 2 2 3 2 2" xfId="24407"/>
    <cellStyle name="Обычный 3 10 5 2 2 2 3 2 2 3 3" xfId="24408"/>
    <cellStyle name="Обычный 3 10 5 2 2 2 3 2 2 4" xfId="24409"/>
    <cellStyle name="Обычный 3 10 5 2 2 2 3 2 2 4 2" xfId="24410"/>
    <cellStyle name="Обычный 3 10 5 2 2 2 3 2 2 5" xfId="24411"/>
    <cellStyle name="Обычный 3 10 5 2 2 2 3 2 3" xfId="24412"/>
    <cellStyle name="Обычный 3 10 5 2 2 2 3 2 3 2" xfId="24413"/>
    <cellStyle name="Обычный 3 10 5 2 2 2 3 2 3 2 2" xfId="24414"/>
    <cellStyle name="Обычный 3 10 5 2 2 2 3 2 3 2 2 2" xfId="24415"/>
    <cellStyle name="Обычный 3 10 5 2 2 2 3 2 3 2 3" xfId="24416"/>
    <cellStyle name="Обычный 3 10 5 2 2 2 3 2 3 3" xfId="24417"/>
    <cellStyle name="Обычный 3 10 5 2 2 2 3 2 3 3 2" xfId="24418"/>
    <cellStyle name="Обычный 3 10 5 2 2 2 3 2 3 3 2 2" xfId="24419"/>
    <cellStyle name="Обычный 3 10 5 2 2 2 3 2 3 3 3" xfId="24420"/>
    <cellStyle name="Обычный 3 10 5 2 2 2 3 2 3 4" xfId="24421"/>
    <cellStyle name="Обычный 3 10 5 2 2 2 3 2 3 4 2" xfId="24422"/>
    <cellStyle name="Обычный 3 10 5 2 2 2 3 2 3 5" xfId="24423"/>
    <cellStyle name="Обычный 3 10 5 2 2 2 3 2 4" xfId="24424"/>
    <cellStyle name="Обычный 3 10 5 2 2 2 3 2 4 2" xfId="24425"/>
    <cellStyle name="Обычный 3 10 5 2 2 2 3 2 4 2 2" xfId="24426"/>
    <cellStyle name="Обычный 3 10 5 2 2 2 3 2 4 3" xfId="24427"/>
    <cellStyle name="Обычный 3 10 5 2 2 2 3 2 5" xfId="24428"/>
    <cellStyle name="Обычный 3 10 5 2 2 2 3 2 5 2" xfId="24429"/>
    <cellStyle name="Обычный 3 10 5 2 2 2 3 2 5 2 2" xfId="24430"/>
    <cellStyle name="Обычный 3 10 5 2 2 2 3 2 5 3" xfId="24431"/>
    <cellStyle name="Обычный 3 10 5 2 2 2 3 2 6" xfId="24432"/>
    <cellStyle name="Обычный 3 10 5 2 2 2 3 2 6 2" xfId="24433"/>
    <cellStyle name="Обычный 3 10 5 2 2 2 3 2 7" xfId="24434"/>
    <cellStyle name="Обычный 3 10 5 2 2 2 3 2 7 2" xfId="24435"/>
    <cellStyle name="Обычный 3 10 5 2 2 2 3 2 8" xfId="24436"/>
    <cellStyle name="Обычный 3 10 5 2 2 2 3 3" xfId="24437"/>
    <cellStyle name="Обычный 3 10 5 2 2 2 3 3 2" xfId="24438"/>
    <cellStyle name="Обычный 3 10 5 2 2 2 3 3 2 2" xfId="24439"/>
    <cellStyle name="Обычный 3 10 5 2 2 2 3 3 2 2 2" xfId="24440"/>
    <cellStyle name="Обычный 3 10 5 2 2 2 3 3 2 3" xfId="24441"/>
    <cellStyle name="Обычный 3 10 5 2 2 2 3 3 3" xfId="24442"/>
    <cellStyle name="Обычный 3 10 5 2 2 2 3 3 3 2" xfId="24443"/>
    <cellStyle name="Обычный 3 10 5 2 2 2 3 3 3 2 2" xfId="24444"/>
    <cellStyle name="Обычный 3 10 5 2 2 2 3 3 3 3" xfId="24445"/>
    <cellStyle name="Обычный 3 10 5 2 2 2 3 3 4" xfId="24446"/>
    <cellStyle name="Обычный 3 10 5 2 2 2 3 3 4 2" xfId="24447"/>
    <cellStyle name="Обычный 3 10 5 2 2 2 3 3 5" xfId="24448"/>
    <cellStyle name="Обычный 3 10 5 2 2 2 3 3 5 2" xfId="24449"/>
    <cellStyle name="Обычный 3 10 5 2 2 2 3 3 6" xfId="24450"/>
    <cellStyle name="Обычный 3 10 5 2 2 2 3 4" xfId="24451"/>
    <cellStyle name="Обычный 3 10 5 2 2 2 3 4 2" xfId="24452"/>
    <cellStyle name="Обычный 3 10 5 2 2 2 3 4 2 2" xfId="24453"/>
    <cellStyle name="Обычный 3 10 5 2 2 2 3 4 2 2 2" xfId="24454"/>
    <cellStyle name="Обычный 3 10 5 2 2 2 3 4 2 3" xfId="24455"/>
    <cellStyle name="Обычный 3 10 5 2 2 2 3 4 3" xfId="24456"/>
    <cellStyle name="Обычный 3 10 5 2 2 2 3 4 3 2" xfId="24457"/>
    <cellStyle name="Обычный 3 10 5 2 2 2 3 4 3 2 2" xfId="24458"/>
    <cellStyle name="Обычный 3 10 5 2 2 2 3 4 3 3" xfId="24459"/>
    <cellStyle name="Обычный 3 10 5 2 2 2 3 4 4" xfId="24460"/>
    <cellStyle name="Обычный 3 10 5 2 2 2 3 4 4 2" xfId="24461"/>
    <cellStyle name="Обычный 3 10 5 2 2 2 3 4 5" xfId="24462"/>
    <cellStyle name="Обычный 3 10 5 2 2 2 3 4 5 2" xfId="24463"/>
    <cellStyle name="Обычный 3 10 5 2 2 2 3 4 6" xfId="24464"/>
    <cellStyle name="Обычный 3 10 5 2 2 2 3 5" xfId="24465"/>
    <cellStyle name="Обычный 3 10 5 2 2 2 3 5 2" xfId="24466"/>
    <cellStyle name="Обычный 3 10 5 2 2 2 3 5 2 2" xfId="24467"/>
    <cellStyle name="Обычный 3 10 5 2 2 2 3 5 3" xfId="24468"/>
    <cellStyle name="Обычный 3 10 5 2 2 2 3 6" xfId="24469"/>
    <cellStyle name="Обычный 3 10 5 2 2 2 3 6 2" xfId="24470"/>
    <cellStyle name="Обычный 3 10 5 2 2 2 3 6 2 2" xfId="24471"/>
    <cellStyle name="Обычный 3 10 5 2 2 2 3 6 3" xfId="24472"/>
    <cellStyle name="Обычный 3 10 5 2 2 2 3 7" xfId="24473"/>
    <cellStyle name="Обычный 3 10 5 2 2 2 3 7 2" xfId="24474"/>
    <cellStyle name="Обычный 3 10 5 2 2 2 3 8" xfId="24475"/>
    <cellStyle name="Обычный 3 10 5 2 2 2 3 8 2" xfId="24476"/>
    <cellStyle name="Обычный 3 10 5 2 2 2 3 9" xfId="24477"/>
    <cellStyle name="Обычный 3 10 5 2 2 2 4" xfId="24478"/>
    <cellStyle name="Обычный 3 10 5 2 2 2 4 2" xfId="24479"/>
    <cellStyle name="Обычный 3 10 5 2 2 2 4 2 2" xfId="24480"/>
    <cellStyle name="Обычный 3 10 5 2 2 2 4 2 2 2" xfId="24481"/>
    <cellStyle name="Обычный 3 10 5 2 2 2 4 2 2 2 2" xfId="24482"/>
    <cellStyle name="Обычный 3 10 5 2 2 2 4 2 2 3" xfId="24483"/>
    <cellStyle name="Обычный 3 10 5 2 2 2 4 2 3" xfId="24484"/>
    <cellStyle name="Обычный 3 10 5 2 2 2 4 2 3 2" xfId="24485"/>
    <cellStyle name="Обычный 3 10 5 2 2 2 4 2 3 2 2" xfId="24486"/>
    <cellStyle name="Обычный 3 10 5 2 2 2 4 2 3 3" xfId="24487"/>
    <cellStyle name="Обычный 3 10 5 2 2 2 4 2 4" xfId="24488"/>
    <cellStyle name="Обычный 3 10 5 2 2 2 4 2 4 2" xfId="24489"/>
    <cellStyle name="Обычный 3 10 5 2 2 2 4 2 5" xfId="24490"/>
    <cellStyle name="Обычный 3 10 5 2 2 2 4 2 5 2" xfId="24491"/>
    <cellStyle name="Обычный 3 10 5 2 2 2 4 2 6" xfId="24492"/>
    <cellStyle name="Обычный 3 10 5 2 2 2 4 3" xfId="24493"/>
    <cellStyle name="Обычный 3 10 5 2 2 2 4 3 2" xfId="24494"/>
    <cellStyle name="Обычный 3 10 5 2 2 2 4 3 2 2" xfId="24495"/>
    <cellStyle name="Обычный 3 10 5 2 2 2 4 3 2 2 2" xfId="24496"/>
    <cellStyle name="Обычный 3 10 5 2 2 2 4 3 2 3" xfId="24497"/>
    <cellStyle name="Обычный 3 10 5 2 2 2 4 3 3" xfId="24498"/>
    <cellStyle name="Обычный 3 10 5 2 2 2 4 3 3 2" xfId="24499"/>
    <cellStyle name="Обычный 3 10 5 2 2 2 4 3 3 2 2" xfId="24500"/>
    <cellStyle name="Обычный 3 10 5 2 2 2 4 3 3 3" xfId="24501"/>
    <cellStyle name="Обычный 3 10 5 2 2 2 4 3 4" xfId="24502"/>
    <cellStyle name="Обычный 3 10 5 2 2 2 4 3 4 2" xfId="24503"/>
    <cellStyle name="Обычный 3 10 5 2 2 2 4 3 5" xfId="24504"/>
    <cellStyle name="Обычный 3 10 5 2 2 2 4 3 5 2" xfId="24505"/>
    <cellStyle name="Обычный 3 10 5 2 2 2 4 3 6" xfId="24506"/>
    <cellStyle name="Обычный 3 10 5 2 2 2 4 4" xfId="24507"/>
    <cellStyle name="Обычный 3 10 5 2 2 2 4 4 2" xfId="24508"/>
    <cellStyle name="Обычный 3 10 5 2 2 2 4 4 2 2" xfId="24509"/>
    <cellStyle name="Обычный 3 10 5 2 2 2 4 4 3" xfId="24510"/>
    <cellStyle name="Обычный 3 10 5 2 2 2 4 5" xfId="24511"/>
    <cellStyle name="Обычный 3 10 5 2 2 2 4 5 2" xfId="24512"/>
    <cellStyle name="Обычный 3 10 5 2 2 2 4 5 2 2" xfId="24513"/>
    <cellStyle name="Обычный 3 10 5 2 2 2 4 5 3" xfId="24514"/>
    <cellStyle name="Обычный 3 10 5 2 2 2 4 6" xfId="24515"/>
    <cellStyle name="Обычный 3 10 5 2 2 2 4 6 2" xfId="24516"/>
    <cellStyle name="Обычный 3 10 5 2 2 2 4 7" xfId="24517"/>
    <cellStyle name="Обычный 3 10 5 2 2 2 4 7 2" xfId="24518"/>
    <cellStyle name="Обычный 3 10 5 2 2 2 4 8" xfId="24519"/>
    <cellStyle name="Обычный 3 10 5 2 2 2 5" xfId="24520"/>
    <cellStyle name="Обычный 3 10 5 2 2 2 5 2" xfId="24521"/>
    <cellStyle name="Обычный 3 10 5 2 2 2 5 2 2" xfId="24522"/>
    <cellStyle name="Обычный 3 10 5 2 2 2 5 2 2 2" xfId="24523"/>
    <cellStyle name="Обычный 3 10 5 2 2 2 5 2 2 2 2" xfId="24524"/>
    <cellStyle name="Обычный 3 10 5 2 2 2 5 2 2 3" xfId="24525"/>
    <cellStyle name="Обычный 3 10 5 2 2 2 5 2 3" xfId="24526"/>
    <cellStyle name="Обычный 3 10 5 2 2 2 5 2 3 2" xfId="24527"/>
    <cellStyle name="Обычный 3 10 5 2 2 2 5 2 3 2 2" xfId="24528"/>
    <cellStyle name="Обычный 3 10 5 2 2 2 5 2 3 3" xfId="24529"/>
    <cellStyle name="Обычный 3 10 5 2 2 2 5 2 4" xfId="24530"/>
    <cellStyle name="Обычный 3 10 5 2 2 2 5 2 4 2" xfId="24531"/>
    <cellStyle name="Обычный 3 10 5 2 2 2 5 2 5" xfId="24532"/>
    <cellStyle name="Обычный 3 10 5 2 2 2 5 3" xfId="24533"/>
    <cellStyle name="Обычный 3 10 5 2 2 2 5 3 2" xfId="24534"/>
    <cellStyle name="Обычный 3 10 5 2 2 2 5 3 2 2" xfId="24535"/>
    <cellStyle name="Обычный 3 10 5 2 2 2 5 3 2 2 2" xfId="24536"/>
    <cellStyle name="Обычный 3 10 5 2 2 2 5 3 2 3" xfId="24537"/>
    <cellStyle name="Обычный 3 10 5 2 2 2 5 3 3" xfId="24538"/>
    <cellStyle name="Обычный 3 10 5 2 2 2 5 3 3 2" xfId="24539"/>
    <cellStyle name="Обычный 3 10 5 2 2 2 5 3 3 2 2" xfId="24540"/>
    <cellStyle name="Обычный 3 10 5 2 2 2 5 3 3 3" xfId="24541"/>
    <cellStyle name="Обычный 3 10 5 2 2 2 5 3 4" xfId="24542"/>
    <cellStyle name="Обычный 3 10 5 2 2 2 5 3 4 2" xfId="24543"/>
    <cellStyle name="Обычный 3 10 5 2 2 2 5 3 5" xfId="24544"/>
    <cellStyle name="Обычный 3 10 5 2 2 2 5 4" xfId="24545"/>
    <cellStyle name="Обычный 3 10 5 2 2 2 5 4 2" xfId="24546"/>
    <cellStyle name="Обычный 3 10 5 2 2 2 5 4 2 2" xfId="24547"/>
    <cellStyle name="Обычный 3 10 5 2 2 2 5 4 3" xfId="24548"/>
    <cellStyle name="Обычный 3 10 5 2 2 2 5 5" xfId="24549"/>
    <cellStyle name="Обычный 3 10 5 2 2 2 5 5 2" xfId="24550"/>
    <cellStyle name="Обычный 3 10 5 2 2 2 5 5 2 2" xfId="24551"/>
    <cellStyle name="Обычный 3 10 5 2 2 2 5 5 3" xfId="24552"/>
    <cellStyle name="Обычный 3 10 5 2 2 2 5 6" xfId="24553"/>
    <cellStyle name="Обычный 3 10 5 2 2 2 5 6 2" xfId="24554"/>
    <cellStyle name="Обычный 3 10 5 2 2 2 5 7" xfId="24555"/>
    <cellStyle name="Обычный 3 10 5 2 2 2 5 7 2" xfId="24556"/>
    <cellStyle name="Обычный 3 10 5 2 2 2 5 8" xfId="24557"/>
    <cellStyle name="Обычный 3 10 5 2 2 2 6" xfId="24558"/>
    <cellStyle name="Обычный 3 10 5 2 2 2 6 2" xfId="24559"/>
    <cellStyle name="Обычный 3 10 5 2 2 2 6 2 2" xfId="24560"/>
    <cellStyle name="Обычный 3 10 5 2 2 2 6 2 2 2" xfId="24561"/>
    <cellStyle name="Обычный 3 10 5 2 2 2 6 2 3" xfId="24562"/>
    <cellStyle name="Обычный 3 10 5 2 2 2 6 3" xfId="24563"/>
    <cellStyle name="Обычный 3 10 5 2 2 2 6 3 2" xfId="24564"/>
    <cellStyle name="Обычный 3 10 5 2 2 2 6 3 2 2" xfId="24565"/>
    <cellStyle name="Обычный 3 10 5 2 2 2 6 3 3" xfId="24566"/>
    <cellStyle name="Обычный 3 10 5 2 2 2 6 4" xfId="24567"/>
    <cellStyle name="Обычный 3 10 5 2 2 2 6 4 2" xfId="24568"/>
    <cellStyle name="Обычный 3 10 5 2 2 2 6 5" xfId="24569"/>
    <cellStyle name="Обычный 3 10 5 2 2 2 6 5 2" xfId="24570"/>
    <cellStyle name="Обычный 3 10 5 2 2 2 6 6" xfId="24571"/>
    <cellStyle name="Обычный 3 10 5 2 2 2 7" xfId="24572"/>
    <cellStyle name="Обычный 3 10 5 2 2 2 7 2" xfId="24573"/>
    <cellStyle name="Обычный 3 10 5 2 2 2 7 2 2" xfId="24574"/>
    <cellStyle name="Обычный 3 10 5 2 2 2 7 2 2 2" xfId="24575"/>
    <cellStyle name="Обычный 3 10 5 2 2 2 7 2 3" xfId="24576"/>
    <cellStyle name="Обычный 3 10 5 2 2 2 7 3" xfId="24577"/>
    <cellStyle name="Обычный 3 10 5 2 2 2 7 3 2" xfId="24578"/>
    <cellStyle name="Обычный 3 10 5 2 2 2 7 3 2 2" xfId="24579"/>
    <cellStyle name="Обычный 3 10 5 2 2 2 7 3 3" xfId="24580"/>
    <cellStyle name="Обычный 3 10 5 2 2 2 7 4" xfId="24581"/>
    <cellStyle name="Обычный 3 10 5 2 2 2 7 4 2" xfId="24582"/>
    <cellStyle name="Обычный 3 10 5 2 2 2 7 5" xfId="24583"/>
    <cellStyle name="Обычный 3 10 5 2 2 2 7 5 2" xfId="24584"/>
    <cellStyle name="Обычный 3 10 5 2 2 2 7 6" xfId="24585"/>
    <cellStyle name="Обычный 3 10 5 2 2 2 8" xfId="24586"/>
    <cellStyle name="Обычный 3 10 5 2 2 2 8 2" xfId="24587"/>
    <cellStyle name="Обычный 3 10 5 2 2 2 8 2 2" xfId="24588"/>
    <cellStyle name="Обычный 3 10 5 2 2 2 8 3" xfId="24589"/>
    <cellStyle name="Обычный 3 10 5 2 2 2 9" xfId="24590"/>
    <cellStyle name="Обычный 3 10 5 2 2 2 9 2" xfId="24591"/>
    <cellStyle name="Обычный 3 10 5 2 2 2 9 2 2" xfId="24592"/>
    <cellStyle name="Обычный 3 10 5 2 2 2 9 3" xfId="24593"/>
    <cellStyle name="Обычный 3 10 5 2 2 3" xfId="24594"/>
    <cellStyle name="Обычный 3 10 5 2 2 3 2" xfId="24595"/>
    <cellStyle name="Обычный 3 10 5 2 2 3 2 2" xfId="24596"/>
    <cellStyle name="Обычный 3 10 5 2 2 3 2 2 2" xfId="24597"/>
    <cellStyle name="Обычный 3 10 5 2 2 3 2 2 2 2" xfId="24598"/>
    <cellStyle name="Обычный 3 10 5 2 2 3 2 2 2 2 2" xfId="24599"/>
    <cellStyle name="Обычный 3 10 5 2 2 3 2 2 2 3" xfId="24600"/>
    <cellStyle name="Обычный 3 10 5 2 2 3 2 2 2 3 2" xfId="24601"/>
    <cellStyle name="Обычный 3 10 5 2 2 3 2 2 2 4" xfId="24602"/>
    <cellStyle name="Обычный 3 10 5 2 2 3 2 2 3" xfId="24603"/>
    <cellStyle name="Обычный 3 10 5 2 2 3 2 2 3 2" xfId="24604"/>
    <cellStyle name="Обычный 3 10 5 2 2 3 2 2 3 2 2" xfId="24605"/>
    <cellStyle name="Обычный 3 10 5 2 2 3 2 2 3 3" xfId="24606"/>
    <cellStyle name="Обычный 3 10 5 2 2 3 2 2 4" xfId="24607"/>
    <cellStyle name="Обычный 3 10 5 2 2 3 2 2 4 2" xfId="24608"/>
    <cellStyle name="Обычный 3 10 5 2 2 3 2 2 5" xfId="24609"/>
    <cellStyle name="Обычный 3 10 5 2 2 3 2 2 5 2" xfId="24610"/>
    <cellStyle name="Обычный 3 10 5 2 2 3 2 2 6" xfId="24611"/>
    <cellStyle name="Обычный 3 10 5 2 2 3 2 3" xfId="24612"/>
    <cellStyle name="Обычный 3 10 5 2 2 3 2 3 2" xfId="24613"/>
    <cellStyle name="Обычный 3 10 5 2 2 3 2 3 2 2" xfId="24614"/>
    <cellStyle name="Обычный 3 10 5 2 2 3 2 3 2 2 2" xfId="24615"/>
    <cellStyle name="Обычный 3 10 5 2 2 3 2 3 2 3" xfId="24616"/>
    <cellStyle name="Обычный 3 10 5 2 2 3 2 3 3" xfId="24617"/>
    <cellStyle name="Обычный 3 10 5 2 2 3 2 3 3 2" xfId="24618"/>
    <cellStyle name="Обычный 3 10 5 2 2 3 2 3 3 2 2" xfId="24619"/>
    <cellStyle name="Обычный 3 10 5 2 2 3 2 3 3 3" xfId="24620"/>
    <cellStyle name="Обычный 3 10 5 2 2 3 2 3 4" xfId="24621"/>
    <cellStyle name="Обычный 3 10 5 2 2 3 2 3 4 2" xfId="24622"/>
    <cellStyle name="Обычный 3 10 5 2 2 3 2 3 5" xfId="24623"/>
    <cellStyle name="Обычный 3 10 5 2 2 3 2 3 5 2" xfId="24624"/>
    <cellStyle name="Обычный 3 10 5 2 2 3 2 3 6" xfId="24625"/>
    <cellStyle name="Обычный 3 10 5 2 2 3 2 4" xfId="24626"/>
    <cellStyle name="Обычный 3 10 5 2 2 3 2 4 2" xfId="24627"/>
    <cellStyle name="Обычный 3 10 5 2 2 3 2 4 2 2" xfId="24628"/>
    <cellStyle name="Обычный 3 10 5 2 2 3 2 4 3" xfId="24629"/>
    <cellStyle name="Обычный 3 10 5 2 2 3 2 4 3 2" xfId="24630"/>
    <cellStyle name="Обычный 3 10 5 2 2 3 2 4 4" xfId="24631"/>
    <cellStyle name="Обычный 3 10 5 2 2 3 2 5" xfId="24632"/>
    <cellStyle name="Обычный 3 10 5 2 2 3 2 5 2" xfId="24633"/>
    <cellStyle name="Обычный 3 10 5 2 2 3 2 5 2 2" xfId="24634"/>
    <cellStyle name="Обычный 3 10 5 2 2 3 2 5 3" xfId="24635"/>
    <cellStyle name="Обычный 3 10 5 2 2 3 2 6" xfId="24636"/>
    <cellStyle name="Обычный 3 10 5 2 2 3 2 6 2" xfId="24637"/>
    <cellStyle name="Обычный 3 10 5 2 2 3 2 7" xfId="24638"/>
    <cellStyle name="Обычный 3 10 5 2 2 3 2 7 2" xfId="24639"/>
    <cellStyle name="Обычный 3 10 5 2 2 3 2 8" xfId="24640"/>
    <cellStyle name="Обычный 3 10 5 2 2 3 3" xfId="24641"/>
    <cellStyle name="Обычный 3 10 5 2 2 3 3 2" xfId="24642"/>
    <cellStyle name="Обычный 3 10 5 2 2 3 3 2 2" xfId="24643"/>
    <cellStyle name="Обычный 3 10 5 2 2 3 3 2 2 2" xfId="24644"/>
    <cellStyle name="Обычный 3 10 5 2 2 3 3 2 3" xfId="24645"/>
    <cellStyle name="Обычный 3 10 5 2 2 3 3 2 3 2" xfId="24646"/>
    <cellStyle name="Обычный 3 10 5 2 2 3 3 2 4" xfId="24647"/>
    <cellStyle name="Обычный 3 10 5 2 2 3 3 3" xfId="24648"/>
    <cellStyle name="Обычный 3 10 5 2 2 3 3 3 2" xfId="24649"/>
    <cellStyle name="Обычный 3 10 5 2 2 3 3 3 2 2" xfId="24650"/>
    <cellStyle name="Обычный 3 10 5 2 2 3 3 3 3" xfId="24651"/>
    <cellStyle name="Обычный 3 10 5 2 2 3 3 4" xfId="24652"/>
    <cellStyle name="Обычный 3 10 5 2 2 3 3 4 2" xfId="24653"/>
    <cellStyle name="Обычный 3 10 5 2 2 3 3 5" xfId="24654"/>
    <cellStyle name="Обычный 3 10 5 2 2 3 3 5 2" xfId="24655"/>
    <cellStyle name="Обычный 3 10 5 2 2 3 3 6" xfId="24656"/>
    <cellStyle name="Обычный 3 10 5 2 2 3 4" xfId="24657"/>
    <cellStyle name="Обычный 3 10 5 2 2 3 4 2" xfId="24658"/>
    <cellStyle name="Обычный 3 10 5 2 2 3 4 2 2" xfId="24659"/>
    <cellStyle name="Обычный 3 10 5 2 2 3 4 2 2 2" xfId="24660"/>
    <cellStyle name="Обычный 3 10 5 2 2 3 4 2 3" xfId="24661"/>
    <cellStyle name="Обычный 3 10 5 2 2 3 4 3" xfId="24662"/>
    <cellStyle name="Обычный 3 10 5 2 2 3 4 3 2" xfId="24663"/>
    <cellStyle name="Обычный 3 10 5 2 2 3 4 3 2 2" xfId="24664"/>
    <cellStyle name="Обычный 3 10 5 2 2 3 4 3 3" xfId="24665"/>
    <cellStyle name="Обычный 3 10 5 2 2 3 4 4" xfId="24666"/>
    <cellStyle name="Обычный 3 10 5 2 2 3 4 4 2" xfId="24667"/>
    <cellStyle name="Обычный 3 10 5 2 2 3 4 5" xfId="24668"/>
    <cellStyle name="Обычный 3 10 5 2 2 3 4 5 2" xfId="24669"/>
    <cellStyle name="Обычный 3 10 5 2 2 3 4 6" xfId="24670"/>
    <cellStyle name="Обычный 3 10 5 2 2 3 5" xfId="24671"/>
    <cellStyle name="Обычный 3 10 5 2 2 3 5 2" xfId="24672"/>
    <cellStyle name="Обычный 3 10 5 2 2 3 5 2 2" xfId="24673"/>
    <cellStyle name="Обычный 3 10 5 2 2 3 5 3" xfId="24674"/>
    <cellStyle name="Обычный 3 10 5 2 2 3 5 3 2" xfId="24675"/>
    <cellStyle name="Обычный 3 10 5 2 2 3 5 4" xfId="24676"/>
    <cellStyle name="Обычный 3 10 5 2 2 3 6" xfId="24677"/>
    <cellStyle name="Обычный 3 10 5 2 2 3 6 2" xfId="24678"/>
    <cellStyle name="Обычный 3 10 5 2 2 3 6 2 2" xfId="24679"/>
    <cellStyle name="Обычный 3 10 5 2 2 3 6 3" xfId="24680"/>
    <cellStyle name="Обычный 3 10 5 2 2 3 7" xfId="24681"/>
    <cellStyle name="Обычный 3 10 5 2 2 3 7 2" xfId="24682"/>
    <cellStyle name="Обычный 3 10 5 2 2 3 8" xfId="24683"/>
    <cellStyle name="Обычный 3 10 5 2 2 3 8 2" xfId="24684"/>
    <cellStyle name="Обычный 3 10 5 2 2 3 9" xfId="24685"/>
    <cellStyle name="Обычный 3 10 5 2 2 4" xfId="24686"/>
    <cellStyle name="Обычный 3 10 5 2 2 4 2" xfId="24687"/>
    <cellStyle name="Обычный 3 10 5 2 2 4 2 2" xfId="24688"/>
    <cellStyle name="Обычный 3 10 5 2 2 4 2 2 2" xfId="24689"/>
    <cellStyle name="Обычный 3 10 5 2 2 4 2 2 2 2" xfId="24690"/>
    <cellStyle name="Обычный 3 10 5 2 2 4 2 2 3" xfId="24691"/>
    <cellStyle name="Обычный 3 10 5 2 2 4 2 2 3 2" xfId="24692"/>
    <cellStyle name="Обычный 3 10 5 2 2 4 2 2 4" xfId="24693"/>
    <cellStyle name="Обычный 3 10 5 2 2 4 2 3" xfId="24694"/>
    <cellStyle name="Обычный 3 10 5 2 2 4 2 3 2" xfId="24695"/>
    <cellStyle name="Обычный 3 10 5 2 2 4 2 3 2 2" xfId="24696"/>
    <cellStyle name="Обычный 3 10 5 2 2 4 2 3 3" xfId="24697"/>
    <cellStyle name="Обычный 3 10 5 2 2 4 2 4" xfId="24698"/>
    <cellStyle name="Обычный 3 10 5 2 2 4 2 4 2" xfId="24699"/>
    <cellStyle name="Обычный 3 10 5 2 2 4 2 5" xfId="24700"/>
    <cellStyle name="Обычный 3 10 5 2 2 4 2 5 2" xfId="24701"/>
    <cellStyle name="Обычный 3 10 5 2 2 4 2 6" xfId="24702"/>
    <cellStyle name="Обычный 3 10 5 2 2 4 3" xfId="24703"/>
    <cellStyle name="Обычный 3 10 5 2 2 4 3 2" xfId="24704"/>
    <cellStyle name="Обычный 3 10 5 2 2 4 3 2 2" xfId="24705"/>
    <cellStyle name="Обычный 3 10 5 2 2 4 3 2 2 2" xfId="24706"/>
    <cellStyle name="Обычный 3 10 5 2 2 4 3 2 3" xfId="24707"/>
    <cellStyle name="Обычный 3 10 5 2 2 4 3 3" xfId="24708"/>
    <cellStyle name="Обычный 3 10 5 2 2 4 3 3 2" xfId="24709"/>
    <cellStyle name="Обычный 3 10 5 2 2 4 3 3 2 2" xfId="24710"/>
    <cellStyle name="Обычный 3 10 5 2 2 4 3 3 3" xfId="24711"/>
    <cellStyle name="Обычный 3 10 5 2 2 4 3 4" xfId="24712"/>
    <cellStyle name="Обычный 3 10 5 2 2 4 3 4 2" xfId="24713"/>
    <cellStyle name="Обычный 3 10 5 2 2 4 3 5" xfId="24714"/>
    <cellStyle name="Обычный 3 10 5 2 2 4 3 5 2" xfId="24715"/>
    <cellStyle name="Обычный 3 10 5 2 2 4 3 6" xfId="24716"/>
    <cellStyle name="Обычный 3 10 5 2 2 4 4" xfId="24717"/>
    <cellStyle name="Обычный 3 10 5 2 2 4 4 2" xfId="24718"/>
    <cellStyle name="Обычный 3 10 5 2 2 4 4 2 2" xfId="24719"/>
    <cellStyle name="Обычный 3 10 5 2 2 4 4 3" xfId="24720"/>
    <cellStyle name="Обычный 3 10 5 2 2 4 4 3 2" xfId="24721"/>
    <cellStyle name="Обычный 3 10 5 2 2 4 4 4" xfId="24722"/>
    <cellStyle name="Обычный 3 10 5 2 2 4 5" xfId="24723"/>
    <cellStyle name="Обычный 3 10 5 2 2 4 5 2" xfId="24724"/>
    <cellStyle name="Обычный 3 10 5 2 2 4 5 2 2" xfId="24725"/>
    <cellStyle name="Обычный 3 10 5 2 2 4 5 3" xfId="24726"/>
    <cellStyle name="Обычный 3 10 5 2 2 4 6" xfId="24727"/>
    <cellStyle name="Обычный 3 10 5 2 2 4 6 2" xfId="24728"/>
    <cellStyle name="Обычный 3 10 5 2 2 4 7" xfId="24729"/>
    <cellStyle name="Обычный 3 10 5 2 2 4 7 2" xfId="24730"/>
    <cellStyle name="Обычный 3 10 5 2 2 4 8" xfId="24731"/>
    <cellStyle name="Обычный 3 10 5 2 2 5" xfId="24732"/>
    <cellStyle name="Обычный 3 10 5 2 2 5 2" xfId="24733"/>
    <cellStyle name="Обычный 3 10 5 2 2 5 2 2" xfId="24734"/>
    <cellStyle name="Обычный 3 10 5 2 2 5 2 2 2" xfId="24735"/>
    <cellStyle name="Обычный 3 10 5 2 2 5 2 2 2 2" xfId="24736"/>
    <cellStyle name="Обычный 3 10 5 2 2 5 2 2 3" xfId="24737"/>
    <cellStyle name="Обычный 3 10 5 2 2 5 2 2 3 2" xfId="24738"/>
    <cellStyle name="Обычный 3 10 5 2 2 5 2 2 4" xfId="24739"/>
    <cellStyle name="Обычный 3 10 5 2 2 5 2 3" xfId="24740"/>
    <cellStyle name="Обычный 3 10 5 2 2 5 2 3 2" xfId="24741"/>
    <cellStyle name="Обычный 3 10 5 2 2 5 2 3 2 2" xfId="24742"/>
    <cellStyle name="Обычный 3 10 5 2 2 5 2 3 3" xfId="24743"/>
    <cellStyle name="Обычный 3 10 5 2 2 5 2 4" xfId="24744"/>
    <cellStyle name="Обычный 3 10 5 2 2 5 2 4 2" xfId="24745"/>
    <cellStyle name="Обычный 3 10 5 2 2 5 2 5" xfId="24746"/>
    <cellStyle name="Обычный 3 10 5 2 2 5 2 5 2" xfId="24747"/>
    <cellStyle name="Обычный 3 10 5 2 2 5 2 6" xfId="24748"/>
    <cellStyle name="Обычный 3 10 5 2 2 5 3" xfId="24749"/>
    <cellStyle name="Обычный 3 10 5 2 2 5 3 2" xfId="24750"/>
    <cellStyle name="Обычный 3 10 5 2 2 5 3 2 2" xfId="24751"/>
    <cellStyle name="Обычный 3 10 5 2 2 5 3 2 2 2" xfId="24752"/>
    <cellStyle name="Обычный 3 10 5 2 2 5 3 2 3" xfId="24753"/>
    <cellStyle name="Обычный 3 10 5 2 2 5 3 3" xfId="24754"/>
    <cellStyle name="Обычный 3 10 5 2 2 5 3 3 2" xfId="24755"/>
    <cellStyle name="Обычный 3 10 5 2 2 5 3 3 2 2" xfId="24756"/>
    <cellStyle name="Обычный 3 10 5 2 2 5 3 3 3" xfId="24757"/>
    <cellStyle name="Обычный 3 10 5 2 2 5 3 4" xfId="24758"/>
    <cellStyle name="Обычный 3 10 5 2 2 5 3 4 2" xfId="24759"/>
    <cellStyle name="Обычный 3 10 5 2 2 5 3 5" xfId="24760"/>
    <cellStyle name="Обычный 3 10 5 2 2 5 3 5 2" xfId="24761"/>
    <cellStyle name="Обычный 3 10 5 2 2 5 3 6" xfId="24762"/>
    <cellStyle name="Обычный 3 10 5 2 2 5 4" xfId="24763"/>
    <cellStyle name="Обычный 3 10 5 2 2 5 4 2" xfId="24764"/>
    <cellStyle name="Обычный 3 10 5 2 2 5 4 2 2" xfId="24765"/>
    <cellStyle name="Обычный 3 10 5 2 2 5 4 3" xfId="24766"/>
    <cellStyle name="Обычный 3 10 5 2 2 5 4 3 2" xfId="24767"/>
    <cellStyle name="Обычный 3 10 5 2 2 5 4 4" xfId="24768"/>
    <cellStyle name="Обычный 3 10 5 2 2 5 5" xfId="24769"/>
    <cellStyle name="Обычный 3 10 5 2 2 5 5 2" xfId="24770"/>
    <cellStyle name="Обычный 3 10 5 2 2 5 5 2 2" xfId="24771"/>
    <cellStyle name="Обычный 3 10 5 2 2 5 5 3" xfId="24772"/>
    <cellStyle name="Обычный 3 10 5 2 2 5 6" xfId="24773"/>
    <cellStyle name="Обычный 3 10 5 2 2 5 6 2" xfId="24774"/>
    <cellStyle name="Обычный 3 10 5 2 2 5 7" xfId="24775"/>
    <cellStyle name="Обычный 3 10 5 2 2 5 7 2" xfId="24776"/>
    <cellStyle name="Обычный 3 10 5 2 2 5 8" xfId="24777"/>
    <cellStyle name="Обычный 3 10 5 2 2 6" xfId="24778"/>
    <cellStyle name="Обычный 3 10 5 2 2 6 2" xfId="24779"/>
    <cellStyle name="Обычный 3 10 5 2 2 6 2 2" xfId="24780"/>
    <cellStyle name="Обычный 3 10 5 2 2 6 2 2 2" xfId="24781"/>
    <cellStyle name="Обычный 3 10 5 2 2 6 2 3" xfId="24782"/>
    <cellStyle name="Обычный 3 10 5 2 2 6 2 3 2" xfId="24783"/>
    <cellStyle name="Обычный 3 10 5 2 2 6 2 4" xfId="24784"/>
    <cellStyle name="Обычный 3 10 5 2 2 6 3" xfId="24785"/>
    <cellStyle name="Обычный 3 10 5 2 2 6 3 2" xfId="24786"/>
    <cellStyle name="Обычный 3 10 5 2 2 6 3 2 2" xfId="24787"/>
    <cellStyle name="Обычный 3 10 5 2 2 6 3 3" xfId="24788"/>
    <cellStyle name="Обычный 3 10 5 2 2 6 4" xfId="24789"/>
    <cellStyle name="Обычный 3 10 5 2 2 6 4 2" xfId="24790"/>
    <cellStyle name="Обычный 3 10 5 2 2 6 5" xfId="24791"/>
    <cellStyle name="Обычный 3 10 5 2 2 6 5 2" xfId="24792"/>
    <cellStyle name="Обычный 3 10 5 2 2 6 6" xfId="24793"/>
    <cellStyle name="Обычный 3 10 5 2 2 7" xfId="24794"/>
    <cellStyle name="Обычный 3 10 5 2 2 7 2" xfId="24795"/>
    <cellStyle name="Обычный 3 10 5 2 2 7 2 2" xfId="24796"/>
    <cellStyle name="Обычный 3 10 5 2 2 7 2 2 2" xfId="24797"/>
    <cellStyle name="Обычный 3 10 5 2 2 7 2 3" xfId="24798"/>
    <cellStyle name="Обычный 3 10 5 2 2 7 3" xfId="24799"/>
    <cellStyle name="Обычный 3 10 5 2 2 7 3 2" xfId="24800"/>
    <cellStyle name="Обычный 3 10 5 2 2 7 3 2 2" xfId="24801"/>
    <cellStyle name="Обычный 3 10 5 2 2 7 3 3" xfId="24802"/>
    <cellStyle name="Обычный 3 10 5 2 2 7 4" xfId="24803"/>
    <cellStyle name="Обычный 3 10 5 2 2 7 4 2" xfId="24804"/>
    <cellStyle name="Обычный 3 10 5 2 2 7 5" xfId="24805"/>
    <cellStyle name="Обычный 3 10 5 2 2 7 5 2" xfId="24806"/>
    <cellStyle name="Обычный 3 10 5 2 2 7 6" xfId="24807"/>
    <cellStyle name="Обычный 3 10 5 2 2 8" xfId="24808"/>
    <cellStyle name="Обычный 3 10 5 2 2 8 2" xfId="24809"/>
    <cellStyle name="Обычный 3 10 5 2 2 8 2 2" xfId="24810"/>
    <cellStyle name="Обычный 3 10 5 2 2 8 3" xfId="24811"/>
    <cellStyle name="Обычный 3 10 5 2 2 8 3 2" xfId="24812"/>
    <cellStyle name="Обычный 3 10 5 2 2 8 4" xfId="24813"/>
    <cellStyle name="Обычный 3 10 5 2 2 9" xfId="24814"/>
    <cellStyle name="Обычный 3 10 5 2 2 9 2" xfId="24815"/>
    <cellStyle name="Обычный 3 10 5 2 2 9 2 2" xfId="24816"/>
    <cellStyle name="Обычный 3 10 5 2 2 9 3" xfId="24817"/>
    <cellStyle name="Обычный 3 10 5 2 3" xfId="24818"/>
    <cellStyle name="Обычный 3 10 5 2 3 10" xfId="24819"/>
    <cellStyle name="Обычный 3 10 5 2 3 10 2" xfId="24820"/>
    <cellStyle name="Обычный 3 10 5 2 3 11" xfId="24821"/>
    <cellStyle name="Обычный 3 10 5 2 3 11 2" xfId="24822"/>
    <cellStyle name="Обычный 3 10 5 2 3 12" xfId="24823"/>
    <cellStyle name="Обычный 3 10 5 2 3 2" xfId="24824"/>
    <cellStyle name="Обычный 3 10 5 2 3 2 10" xfId="24825"/>
    <cellStyle name="Обычный 3 10 5 2 3 2 10 2" xfId="24826"/>
    <cellStyle name="Обычный 3 10 5 2 3 2 10 2 2" xfId="24827"/>
    <cellStyle name="Обычный 3 10 5 2 3 2 10 2 2 2" xfId="24828"/>
    <cellStyle name="Обычный 3 10 5 2 3 2 10 2 2 2 2" xfId="24829"/>
    <cellStyle name="Обычный 3 10 5 2 3 2 10 2 2 3" xfId="24830"/>
    <cellStyle name="Обычный 3 10 5 2 3 2 10 2 3" xfId="24831"/>
    <cellStyle name="Обычный 3 10 5 2 3 2 10 2 3 2" xfId="24832"/>
    <cellStyle name="Обычный 3 10 5 2 3 2 10 2 3 2 2" xfId="24833"/>
    <cellStyle name="Обычный 3 10 5 2 3 2 10 2 3 3" xfId="24834"/>
    <cellStyle name="Обычный 3 10 5 2 3 2 10 2 4" xfId="24835"/>
    <cellStyle name="Обычный 3 10 5 2 3 2 10 2 4 2" xfId="24836"/>
    <cellStyle name="Обычный 3 10 5 2 3 2 10 2 5" xfId="24837"/>
    <cellStyle name="Обычный 3 10 5 2 3 2 10 3" xfId="24838"/>
    <cellStyle name="Обычный 3 10 5 2 3 2 10 3 2" xfId="24839"/>
    <cellStyle name="Обычный 3 10 5 2 3 2 10 3 2 2" xfId="24840"/>
    <cellStyle name="Обычный 3 10 5 2 3 2 10 3 2 2 2" xfId="24841"/>
    <cellStyle name="Обычный 3 10 5 2 3 2 10 3 2 3" xfId="24842"/>
    <cellStyle name="Обычный 3 10 5 2 3 2 10 3 3" xfId="24843"/>
    <cellStyle name="Обычный 3 10 5 2 3 2 10 3 3 2" xfId="24844"/>
    <cellStyle name="Обычный 3 10 5 2 3 2 10 3 3 2 2" xfId="24845"/>
    <cellStyle name="Обычный 3 10 5 2 3 2 10 3 3 3" xfId="24846"/>
    <cellStyle name="Обычный 3 10 5 2 3 2 10 3 4" xfId="24847"/>
    <cellStyle name="Обычный 3 10 5 2 3 2 10 3 4 2" xfId="24848"/>
    <cellStyle name="Обычный 3 10 5 2 3 2 10 3 5" xfId="24849"/>
    <cellStyle name="Обычный 3 10 5 2 3 2 10 4" xfId="24850"/>
    <cellStyle name="Обычный 3 10 5 2 3 2 10 4 2" xfId="24851"/>
    <cellStyle name="Обычный 3 10 5 2 3 2 10 4 2 2" xfId="24852"/>
    <cellStyle name="Обычный 3 10 5 2 3 2 10 4 3" xfId="24853"/>
    <cellStyle name="Обычный 3 10 5 2 3 2 10 5" xfId="24854"/>
    <cellStyle name="Обычный 3 10 5 2 3 2 10 5 2" xfId="24855"/>
    <cellStyle name="Обычный 3 10 5 2 3 2 10 5 2 2" xfId="24856"/>
    <cellStyle name="Обычный 3 10 5 2 3 2 10 5 3" xfId="24857"/>
    <cellStyle name="Обычный 3 10 5 2 3 2 10 6" xfId="24858"/>
    <cellStyle name="Обычный 3 10 5 2 3 2 10 6 2" xfId="24859"/>
    <cellStyle name="Обычный 3 10 5 2 3 2 10 7" xfId="24860"/>
    <cellStyle name="Обычный 3 10 5 2 3 2 10 7 2" xfId="24861"/>
    <cellStyle name="Обычный 3 10 5 2 3 2 10 8" xfId="24862"/>
    <cellStyle name="Обычный 3 10 5 2 3 2 11" xfId="24863"/>
    <cellStyle name="Обычный 3 10 5 2 3 2 11 2" xfId="24864"/>
    <cellStyle name="Обычный 3 10 5 2 3 2 11 2 2" xfId="24865"/>
    <cellStyle name="Обычный 3 10 5 2 3 2 11 2 2 2" xfId="24866"/>
    <cellStyle name="Обычный 3 10 5 2 3 2 11 2 3" xfId="24867"/>
    <cellStyle name="Обычный 3 10 5 2 3 2 11 3" xfId="24868"/>
    <cellStyle name="Обычный 3 10 5 2 3 2 11 3 2" xfId="24869"/>
    <cellStyle name="Обычный 3 10 5 2 3 2 11 3 2 2" xfId="24870"/>
    <cellStyle name="Обычный 3 10 5 2 3 2 11 3 3" xfId="24871"/>
    <cellStyle name="Обычный 3 10 5 2 3 2 11 4" xfId="24872"/>
    <cellStyle name="Обычный 3 10 5 2 3 2 11 4 2" xfId="24873"/>
    <cellStyle name="Обычный 3 10 5 2 3 2 11 5" xfId="24874"/>
    <cellStyle name="Обычный 3 10 5 2 3 2 12" xfId="24875"/>
    <cellStyle name="Обычный 3 10 5 2 3 2 12 2" xfId="24876"/>
    <cellStyle name="Обычный 3 10 5 2 3 2 12 2 2" xfId="24877"/>
    <cellStyle name="Обычный 3 10 5 2 3 2 12 2 2 2" xfId="24878"/>
    <cellStyle name="Обычный 3 10 5 2 3 2 12 2 3" xfId="24879"/>
    <cellStyle name="Обычный 3 10 5 2 3 2 12 3" xfId="24880"/>
    <cellStyle name="Обычный 3 10 5 2 3 2 12 3 2" xfId="24881"/>
    <cellStyle name="Обычный 3 10 5 2 3 2 12 3 2 2" xfId="24882"/>
    <cellStyle name="Обычный 3 10 5 2 3 2 12 3 3" xfId="24883"/>
    <cellStyle name="Обычный 3 10 5 2 3 2 12 4" xfId="24884"/>
    <cellStyle name="Обычный 3 10 5 2 3 2 12 4 2" xfId="24885"/>
    <cellStyle name="Обычный 3 10 5 2 3 2 12 5" xfId="24886"/>
    <cellStyle name="Обычный 3 10 5 2 3 2 13" xfId="24887"/>
    <cellStyle name="Обычный 3 10 5 2 3 2 13 2" xfId="24888"/>
    <cellStyle name="Обычный 3 10 5 2 3 2 13 2 2" xfId="24889"/>
    <cellStyle name="Обычный 3 10 5 2 3 2 13 3" xfId="24890"/>
    <cellStyle name="Обычный 3 10 5 2 3 2 14" xfId="24891"/>
    <cellStyle name="Обычный 3 10 5 2 3 2 14 2" xfId="24892"/>
    <cellStyle name="Обычный 3 10 5 2 3 2 14 2 2" xfId="24893"/>
    <cellStyle name="Обычный 3 10 5 2 3 2 14 3" xfId="24894"/>
    <cellStyle name="Обычный 3 10 5 2 3 2 15" xfId="24895"/>
    <cellStyle name="Обычный 3 10 5 2 3 2 15 2" xfId="24896"/>
    <cellStyle name="Обычный 3 10 5 2 3 2 16" xfId="24897"/>
    <cellStyle name="Обычный 3 10 5 2 3 2 16 2" xfId="24898"/>
    <cellStyle name="Обычный 3 10 5 2 3 2 17" xfId="24899"/>
    <cellStyle name="Обычный 3 10 5 2 3 2 2" xfId="24900"/>
    <cellStyle name="Обычный 3 10 5 2 3 2 2 10" xfId="24901"/>
    <cellStyle name="Обычный 3 10 5 2 3 2 2 10 2" xfId="24902"/>
    <cellStyle name="Обычный 3 10 5 2 3 2 2 11" xfId="24903"/>
    <cellStyle name="Обычный 3 10 5 2 3 2 2 2" xfId="24904"/>
    <cellStyle name="Обычный 3 10 5 2 3 2 2 2 2" xfId="24905"/>
    <cellStyle name="Обычный 3 10 5 2 3 2 2 2 2 2" xfId="24906"/>
    <cellStyle name="Обычный 3 10 5 2 3 2 2 2 2 2 2" xfId="24907"/>
    <cellStyle name="Обычный 3 10 5 2 3 2 2 2 2 2 2 2" xfId="24908"/>
    <cellStyle name="Обычный 3 10 5 2 3 2 2 2 2 2 2 2 2" xfId="24909"/>
    <cellStyle name="Обычный 3 10 5 2 3 2 2 2 2 2 2 2 2 2" xfId="24910"/>
    <cellStyle name="Обычный 3 10 5 2 3 2 2 2 2 2 2 2 3" xfId="24911"/>
    <cellStyle name="Обычный 3 10 5 2 3 2 2 2 2 2 2 3" xfId="24912"/>
    <cellStyle name="Обычный 3 10 5 2 3 2 2 2 2 2 2 3 2" xfId="24913"/>
    <cellStyle name="Обычный 3 10 5 2 3 2 2 2 2 2 2 3 2 2" xfId="24914"/>
    <cellStyle name="Обычный 3 10 5 2 3 2 2 2 2 2 2 3 3" xfId="24915"/>
    <cellStyle name="Обычный 3 10 5 2 3 2 2 2 2 2 2 4" xfId="24916"/>
    <cellStyle name="Обычный 3 10 5 2 3 2 2 2 2 2 2 4 2" xfId="24917"/>
    <cellStyle name="Обычный 3 10 5 2 3 2 2 2 2 2 2 5" xfId="24918"/>
    <cellStyle name="Обычный 3 10 5 2 3 2 2 2 2 2 3" xfId="24919"/>
    <cellStyle name="Обычный 3 10 5 2 3 2 2 2 2 2 3 2" xfId="24920"/>
    <cellStyle name="Обычный 3 10 5 2 3 2 2 2 2 2 3 2 2" xfId="24921"/>
    <cellStyle name="Обычный 3 10 5 2 3 2 2 2 2 2 3 2 2 2" xfId="24922"/>
    <cellStyle name="Обычный 3 10 5 2 3 2 2 2 2 2 3 2 3" xfId="24923"/>
    <cellStyle name="Обычный 3 10 5 2 3 2 2 2 2 2 3 3" xfId="24924"/>
    <cellStyle name="Обычный 3 10 5 2 3 2 2 2 2 2 3 3 2" xfId="24925"/>
    <cellStyle name="Обычный 3 10 5 2 3 2 2 2 2 2 3 3 2 2" xfId="24926"/>
    <cellStyle name="Обычный 3 10 5 2 3 2 2 2 2 2 3 3 3" xfId="24927"/>
    <cellStyle name="Обычный 3 10 5 2 3 2 2 2 2 2 3 4" xfId="24928"/>
    <cellStyle name="Обычный 3 10 5 2 3 2 2 2 2 2 3 4 2" xfId="24929"/>
    <cellStyle name="Обычный 3 10 5 2 3 2 2 2 2 2 3 5" xfId="24930"/>
    <cellStyle name="Обычный 3 10 5 2 3 2 2 2 2 2 4" xfId="24931"/>
    <cellStyle name="Обычный 3 10 5 2 3 2 2 2 2 2 4 2" xfId="24932"/>
    <cellStyle name="Обычный 3 10 5 2 3 2 2 2 2 2 4 2 2" xfId="24933"/>
    <cellStyle name="Обычный 3 10 5 2 3 2 2 2 2 2 4 3" xfId="24934"/>
    <cellStyle name="Обычный 3 10 5 2 3 2 2 2 2 2 5" xfId="24935"/>
    <cellStyle name="Обычный 3 10 5 2 3 2 2 2 2 2 5 2" xfId="24936"/>
    <cellStyle name="Обычный 3 10 5 2 3 2 2 2 2 2 5 2 2" xfId="24937"/>
    <cellStyle name="Обычный 3 10 5 2 3 2 2 2 2 2 5 3" xfId="24938"/>
    <cellStyle name="Обычный 3 10 5 2 3 2 2 2 2 2 6" xfId="24939"/>
    <cellStyle name="Обычный 3 10 5 2 3 2 2 2 2 2 6 2" xfId="24940"/>
    <cellStyle name="Обычный 3 10 5 2 3 2 2 2 2 2 7" xfId="24941"/>
    <cellStyle name="Обычный 3 10 5 2 3 2 2 2 2 2 7 2" xfId="24942"/>
    <cellStyle name="Обычный 3 10 5 2 3 2 2 2 2 2 8" xfId="24943"/>
    <cellStyle name="Обычный 3 10 5 2 3 2 2 2 2 3" xfId="24944"/>
    <cellStyle name="Обычный 3 10 5 2 3 2 2 2 2 3 2" xfId="24945"/>
    <cellStyle name="Обычный 3 10 5 2 3 2 2 2 2 3 2 2" xfId="24946"/>
    <cellStyle name="Обычный 3 10 5 2 3 2 2 2 2 3 2 2 2" xfId="24947"/>
    <cellStyle name="Обычный 3 10 5 2 3 2 2 2 2 3 2 3" xfId="24948"/>
    <cellStyle name="Обычный 3 10 5 2 3 2 2 2 2 3 3" xfId="24949"/>
    <cellStyle name="Обычный 3 10 5 2 3 2 2 2 2 3 3 2" xfId="24950"/>
    <cellStyle name="Обычный 3 10 5 2 3 2 2 2 2 3 3 2 2" xfId="24951"/>
    <cellStyle name="Обычный 3 10 5 2 3 2 2 2 2 3 3 3" xfId="24952"/>
    <cellStyle name="Обычный 3 10 5 2 3 2 2 2 2 3 4" xfId="24953"/>
    <cellStyle name="Обычный 3 10 5 2 3 2 2 2 2 3 4 2" xfId="24954"/>
    <cellStyle name="Обычный 3 10 5 2 3 2 2 2 2 3 5" xfId="24955"/>
    <cellStyle name="Обычный 3 10 5 2 3 2 2 2 2 3 5 2" xfId="24956"/>
    <cellStyle name="Обычный 3 10 5 2 3 2 2 2 2 3 6" xfId="24957"/>
    <cellStyle name="Обычный 3 10 5 2 3 2 2 2 2 4" xfId="24958"/>
    <cellStyle name="Обычный 3 10 5 2 3 2 2 2 2 4 2" xfId="24959"/>
    <cellStyle name="Обычный 3 10 5 2 3 2 2 2 2 4 2 2" xfId="24960"/>
    <cellStyle name="Обычный 3 10 5 2 3 2 2 2 2 4 2 2 2" xfId="24961"/>
    <cellStyle name="Обычный 3 10 5 2 3 2 2 2 2 4 2 3" xfId="24962"/>
    <cellStyle name="Обычный 3 10 5 2 3 2 2 2 2 4 3" xfId="24963"/>
    <cellStyle name="Обычный 3 10 5 2 3 2 2 2 2 4 3 2" xfId="24964"/>
    <cellStyle name="Обычный 3 10 5 2 3 2 2 2 2 4 3 2 2" xfId="24965"/>
    <cellStyle name="Обычный 3 10 5 2 3 2 2 2 2 4 3 3" xfId="24966"/>
    <cellStyle name="Обычный 3 10 5 2 3 2 2 2 2 4 4" xfId="24967"/>
    <cellStyle name="Обычный 3 10 5 2 3 2 2 2 2 4 4 2" xfId="24968"/>
    <cellStyle name="Обычный 3 10 5 2 3 2 2 2 2 4 5" xfId="24969"/>
    <cellStyle name="Обычный 3 10 5 2 3 2 2 2 2 5" xfId="24970"/>
    <cellStyle name="Обычный 3 10 5 2 3 2 2 2 2 5 2" xfId="24971"/>
    <cellStyle name="Обычный 3 10 5 2 3 2 2 2 2 5 2 2" xfId="24972"/>
    <cellStyle name="Обычный 3 10 5 2 3 2 2 2 2 5 3" xfId="24973"/>
    <cellStyle name="Обычный 3 10 5 2 3 2 2 2 2 6" xfId="24974"/>
    <cellStyle name="Обычный 3 10 5 2 3 2 2 2 2 6 2" xfId="24975"/>
    <cellStyle name="Обычный 3 10 5 2 3 2 2 2 2 6 2 2" xfId="24976"/>
    <cellStyle name="Обычный 3 10 5 2 3 2 2 2 2 6 3" xfId="24977"/>
    <cellStyle name="Обычный 3 10 5 2 3 2 2 2 2 7" xfId="24978"/>
    <cellStyle name="Обычный 3 10 5 2 3 2 2 2 2 7 2" xfId="24979"/>
    <cellStyle name="Обычный 3 10 5 2 3 2 2 2 2 8" xfId="24980"/>
    <cellStyle name="Обычный 3 10 5 2 3 2 2 2 2 8 2" xfId="24981"/>
    <cellStyle name="Обычный 3 10 5 2 3 2 2 2 2 9" xfId="24982"/>
    <cellStyle name="Обычный 3 10 5 2 3 2 2 2 3" xfId="24983"/>
    <cellStyle name="Обычный 3 10 5 2 3 2 2 2 3 2" xfId="24984"/>
    <cellStyle name="Обычный 3 10 5 2 3 2 2 2 3 2 2" xfId="24985"/>
    <cellStyle name="Обычный 3 10 5 2 3 2 2 2 3 2 2 2" xfId="24986"/>
    <cellStyle name="Обычный 3 10 5 2 3 2 2 2 3 2 3" xfId="24987"/>
    <cellStyle name="Обычный 3 10 5 2 3 2 2 2 3 3" xfId="24988"/>
    <cellStyle name="Обычный 3 10 5 2 3 2 2 2 3 3 2" xfId="24989"/>
    <cellStyle name="Обычный 3 10 5 2 3 2 2 2 3 3 2 2" xfId="24990"/>
    <cellStyle name="Обычный 3 10 5 2 3 2 2 2 3 3 3" xfId="24991"/>
    <cellStyle name="Обычный 3 10 5 2 3 2 2 2 3 4" xfId="24992"/>
    <cellStyle name="Обычный 3 10 5 2 3 2 2 2 3 4 2" xfId="24993"/>
    <cellStyle name="Обычный 3 10 5 2 3 2 2 2 3 5" xfId="24994"/>
    <cellStyle name="Обычный 3 10 5 2 3 2 2 2 3 5 2" xfId="24995"/>
    <cellStyle name="Обычный 3 10 5 2 3 2 2 2 3 6" xfId="24996"/>
    <cellStyle name="Обычный 3 10 5 2 3 2 2 2 4" xfId="24997"/>
    <cellStyle name="Обычный 3 10 5 2 3 2 2 2 4 2" xfId="24998"/>
    <cellStyle name="Обычный 3 10 5 2 3 2 2 2 4 2 2" xfId="24999"/>
    <cellStyle name="Обычный 3 10 5 2 3 2 2 2 4 2 2 2" xfId="25000"/>
    <cellStyle name="Обычный 3 10 5 2 3 2 2 2 4 2 3" xfId="25001"/>
    <cellStyle name="Обычный 3 10 5 2 3 2 2 2 4 3" xfId="25002"/>
    <cellStyle name="Обычный 3 10 5 2 3 2 2 2 4 3 2" xfId="25003"/>
    <cellStyle name="Обычный 3 10 5 2 3 2 2 2 4 3 2 2" xfId="25004"/>
    <cellStyle name="Обычный 3 10 5 2 3 2 2 2 4 3 3" xfId="25005"/>
    <cellStyle name="Обычный 3 10 5 2 3 2 2 2 4 4" xfId="25006"/>
    <cellStyle name="Обычный 3 10 5 2 3 2 2 2 4 4 2" xfId="25007"/>
    <cellStyle name="Обычный 3 10 5 2 3 2 2 2 4 5" xfId="25008"/>
    <cellStyle name="Обычный 3 10 5 2 3 2 2 2 4 5 2" xfId="25009"/>
    <cellStyle name="Обычный 3 10 5 2 3 2 2 2 4 6" xfId="25010"/>
    <cellStyle name="Обычный 3 10 5 2 3 2 2 2 5" xfId="25011"/>
    <cellStyle name="Обычный 3 10 5 2 3 2 2 2 5 2" xfId="25012"/>
    <cellStyle name="Обычный 3 10 5 2 3 2 2 2 5 2 2" xfId="25013"/>
    <cellStyle name="Обычный 3 10 5 2 3 2 2 2 5 3" xfId="25014"/>
    <cellStyle name="Обычный 3 10 5 2 3 2 2 2 5 3 2" xfId="25015"/>
    <cellStyle name="Обычный 3 10 5 2 3 2 2 2 5 4" xfId="25016"/>
    <cellStyle name="Обычный 3 10 5 2 3 2 2 2 6" xfId="25017"/>
    <cellStyle name="Обычный 3 10 5 2 3 2 2 2 6 2" xfId="25018"/>
    <cellStyle name="Обычный 3 10 5 2 3 2 2 2 6 2 2" xfId="25019"/>
    <cellStyle name="Обычный 3 10 5 2 3 2 2 2 6 3" xfId="25020"/>
    <cellStyle name="Обычный 3 10 5 2 3 2 2 2 7" xfId="25021"/>
    <cellStyle name="Обычный 3 10 5 2 3 2 2 2 7 2" xfId="25022"/>
    <cellStyle name="Обычный 3 10 5 2 3 2 2 2 8" xfId="25023"/>
    <cellStyle name="Обычный 3 10 5 2 3 2 2 2 8 2" xfId="25024"/>
    <cellStyle name="Обычный 3 10 5 2 3 2 2 2 9" xfId="25025"/>
    <cellStyle name="Обычный 3 10 5 2 3 2 2 3" xfId="25026"/>
    <cellStyle name="Обычный 3 10 5 2 3 2 2 3 2" xfId="25027"/>
    <cellStyle name="Обычный 3 10 5 2 3 2 2 3 2 2" xfId="25028"/>
    <cellStyle name="Обычный 3 10 5 2 3 2 2 3 2 2 2" xfId="25029"/>
    <cellStyle name="Обычный 3 10 5 2 3 2 2 3 2 2 2 2" xfId="25030"/>
    <cellStyle name="Обычный 3 10 5 2 3 2 2 3 2 2 2 2 2" xfId="25031"/>
    <cellStyle name="Обычный 3 10 5 2 3 2 2 3 2 2 2 3" xfId="25032"/>
    <cellStyle name="Обычный 3 10 5 2 3 2 2 3 2 2 3" xfId="25033"/>
    <cellStyle name="Обычный 3 10 5 2 3 2 2 3 2 2 3 2" xfId="25034"/>
    <cellStyle name="Обычный 3 10 5 2 3 2 2 3 2 2 3 2 2" xfId="25035"/>
    <cellStyle name="Обычный 3 10 5 2 3 2 2 3 2 2 3 3" xfId="25036"/>
    <cellStyle name="Обычный 3 10 5 2 3 2 2 3 2 2 4" xfId="25037"/>
    <cellStyle name="Обычный 3 10 5 2 3 2 2 3 2 2 4 2" xfId="25038"/>
    <cellStyle name="Обычный 3 10 5 2 3 2 2 3 2 2 5" xfId="25039"/>
    <cellStyle name="Обычный 3 10 5 2 3 2 2 3 2 3" xfId="25040"/>
    <cellStyle name="Обычный 3 10 5 2 3 2 2 3 2 3 2" xfId="25041"/>
    <cellStyle name="Обычный 3 10 5 2 3 2 2 3 2 3 2 2" xfId="25042"/>
    <cellStyle name="Обычный 3 10 5 2 3 2 2 3 2 3 2 2 2" xfId="25043"/>
    <cellStyle name="Обычный 3 10 5 2 3 2 2 3 2 3 2 3" xfId="25044"/>
    <cellStyle name="Обычный 3 10 5 2 3 2 2 3 2 3 3" xfId="25045"/>
    <cellStyle name="Обычный 3 10 5 2 3 2 2 3 2 3 3 2" xfId="25046"/>
    <cellStyle name="Обычный 3 10 5 2 3 2 2 3 2 3 3 2 2" xfId="25047"/>
    <cellStyle name="Обычный 3 10 5 2 3 2 2 3 2 3 3 3" xfId="25048"/>
    <cellStyle name="Обычный 3 10 5 2 3 2 2 3 2 3 4" xfId="25049"/>
    <cellStyle name="Обычный 3 10 5 2 3 2 2 3 2 3 4 2" xfId="25050"/>
    <cellStyle name="Обычный 3 10 5 2 3 2 2 3 2 3 5" xfId="25051"/>
    <cellStyle name="Обычный 3 10 5 2 3 2 2 3 2 4" xfId="25052"/>
    <cellStyle name="Обычный 3 10 5 2 3 2 2 3 2 4 2" xfId="25053"/>
    <cellStyle name="Обычный 3 10 5 2 3 2 2 3 2 4 2 2" xfId="25054"/>
    <cellStyle name="Обычный 3 10 5 2 3 2 2 3 2 4 3" xfId="25055"/>
    <cellStyle name="Обычный 3 10 5 2 3 2 2 3 2 5" xfId="25056"/>
    <cellStyle name="Обычный 3 10 5 2 3 2 2 3 2 5 2" xfId="25057"/>
    <cellStyle name="Обычный 3 10 5 2 3 2 2 3 2 5 2 2" xfId="25058"/>
    <cellStyle name="Обычный 3 10 5 2 3 2 2 3 2 5 3" xfId="25059"/>
    <cellStyle name="Обычный 3 10 5 2 3 2 2 3 2 6" xfId="25060"/>
    <cellStyle name="Обычный 3 10 5 2 3 2 2 3 2 6 2" xfId="25061"/>
    <cellStyle name="Обычный 3 10 5 2 3 2 2 3 2 7" xfId="25062"/>
    <cellStyle name="Обычный 3 10 5 2 3 2 2 3 2 7 2" xfId="25063"/>
    <cellStyle name="Обычный 3 10 5 2 3 2 2 3 2 8" xfId="25064"/>
    <cellStyle name="Обычный 3 10 5 2 3 2 2 3 3" xfId="25065"/>
    <cellStyle name="Обычный 3 10 5 2 3 2 2 3 3 2" xfId="25066"/>
    <cellStyle name="Обычный 3 10 5 2 3 2 2 3 3 2 2" xfId="25067"/>
    <cellStyle name="Обычный 3 10 5 2 3 2 2 3 3 2 2 2" xfId="25068"/>
    <cellStyle name="Обычный 3 10 5 2 3 2 2 3 3 2 2 2 2" xfId="25069"/>
    <cellStyle name="Обычный 3 10 5 2 3 2 2 3 3 2 2 3" xfId="25070"/>
    <cellStyle name="Обычный 3 10 5 2 3 2 2 3 3 2 3" xfId="25071"/>
    <cellStyle name="Обычный 3 10 5 2 3 2 2 3 3 2 3 2" xfId="25072"/>
    <cellStyle name="Обычный 3 10 5 2 3 2 2 3 3 2 4" xfId="25073"/>
    <cellStyle name="Обычный 3 10 5 2 3 2 2 3 3 3" xfId="25074"/>
    <cellStyle name="Обычный 3 10 5 2 3 2 2 3 3 3 2" xfId="25075"/>
    <cellStyle name="Обычный 3 10 5 2 3 2 2 3 3 3 2 2" xfId="25076"/>
    <cellStyle name="Обычный 3 10 5 2 3 2 2 3 3 3 3" xfId="25077"/>
    <cellStyle name="Обычный 3 10 5 2 3 2 2 3 3 4" xfId="25078"/>
    <cellStyle name="Обычный 3 10 5 2 3 2 2 3 3 4 2" xfId="25079"/>
    <cellStyle name="Обычный 3 10 5 2 3 2 2 3 3 4 2 2" xfId="25080"/>
    <cellStyle name="Обычный 3 10 5 2 3 2 2 3 3 4 3" xfId="25081"/>
    <cellStyle name="Обычный 3 10 5 2 3 2 2 3 3 5" xfId="25082"/>
    <cellStyle name="Обычный 3 10 5 2 3 2 2 3 3 5 2" xfId="25083"/>
    <cellStyle name="Обычный 3 10 5 2 3 2 2 3 3 6" xfId="25084"/>
    <cellStyle name="Обычный 3 10 5 2 3 2 2 3 3 6 2" xfId="25085"/>
    <cellStyle name="Обычный 3 10 5 2 3 2 2 3 3 7" xfId="25086"/>
    <cellStyle name="Обычный 3 10 5 2 3 2 2 3 4" xfId="25087"/>
    <cellStyle name="Обычный 3 10 5 2 3 2 2 3 4 2" xfId="25088"/>
    <cellStyle name="Обычный 3 10 5 2 3 2 2 3 4 2 2" xfId="25089"/>
    <cellStyle name="Обычный 3 10 5 2 3 2 2 3 4 2 2 2" xfId="25090"/>
    <cellStyle name="Обычный 3 10 5 2 3 2 2 3 4 2 3" xfId="25091"/>
    <cellStyle name="Обычный 3 10 5 2 3 2 2 3 4 3" xfId="25092"/>
    <cellStyle name="Обычный 3 10 5 2 3 2 2 3 4 3 2" xfId="25093"/>
    <cellStyle name="Обычный 3 10 5 2 3 2 2 3 4 3 2 2" xfId="25094"/>
    <cellStyle name="Обычный 3 10 5 2 3 2 2 3 4 3 3" xfId="25095"/>
    <cellStyle name="Обычный 3 10 5 2 3 2 2 3 4 4" xfId="25096"/>
    <cellStyle name="Обычный 3 10 5 2 3 2 2 3 4 4 2" xfId="25097"/>
    <cellStyle name="Обычный 3 10 5 2 3 2 2 3 4 5" xfId="25098"/>
    <cellStyle name="Обычный 3 10 5 2 3 2 2 3 5" xfId="25099"/>
    <cellStyle name="Обычный 3 10 5 2 3 2 2 3 5 2" xfId="25100"/>
    <cellStyle name="Обычный 3 10 5 2 3 2 2 3 5 2 2" xfId="25101"/>
    <cellStyle name="Обычный 3 10 5 2 3 2 2 3 5 3" xfId="25102"/>
    <cellStyle name="Обычный 3 10 5 2 3 2 2 3 6" xfId="25103"/>
    <cellStyle name="Обычный 3 10 5 2 3 2 2 3 6 2" xfId="25104"/>
    <cellStyle name="Обычный 3 10 5 2 3 2 2 3 6 2 2" xfId="25105"/>
    <cellStyle name="Обычный 3 10 5 2 3 2 2 3 6 3" xfId="25106"/>
    <cellStyle name="Обычный 3 10 5 2 3 2 2 3 7" xfId="25107"/>
    <cellStyle name="Обычный 3 10 5 2 3 2 2 3 7 2" xfId="25108"/>
    <cellStyle name="Обычный 3 10 5 2 3 2 2 3 8" xfId="25109"/>
    <cellStyle name="Обычный 3 10 5 2 3 2 2 3 8 2" xfId="25110"/>
    <cellStyle name="Обычный 3 10 5 2 3 2 2 3 9" xfId="25111"/>
    <cellStyle name="Обычный 3 10 5 2 3 2 2 4" xfId="25112"/>
    <cellStyle name="Обычный 3 10 5 2 3 2 2 4 2" xfId="25113"/>
    <cellStyle name="Обычный 3 10 5 2 3 2 2 4 2 2" xfId="25114"/>
    <cellStyle name="Обычный 3 10 5 2 3 2 2 4 2 2 2" xfId="25115"/>
    <cellStyle name="Обычный 3 10 5 2 3 2 2 4 2 2 2 2" xfId="25116"/>
    <cellStyle name="Обычный 3 10 5 2 3 2 2 4 2 2 3" xfId="25117"/>
    <cellStyle name="Обычный 3 10 5 2 3 2 2 4 2 3" xfId="25118"/>
    <cellStyle name="Обычный 3 10 5 2 3 2 2 4 2 3 2" xfId="25119"/>
    <cellStyle name="Обычный 3 10 5 2 3 2 2 4 2 3 2 2" xfId="25120"/>
    <cellStyle name="Обычный 3 10 5 2 3 2 2 4 2 3 3" xfId="25121"/>
    <cellStyle name="Обычный 3 10 5 2 3 2 2 4 2 4" xfId="25122"/>
    <cellStyle name="Обычный 3 10 5 2 3 2 2 4 2 4 2" xfId="25123"/>
    <cellStyle name="Обычный 3 10 5 2 3 2 2 4 2 5" xfId="25124"/>
    <cellStyle name="Обычный 3 10 5 2 3 2 2 4 3" xfId="25125"/>
    <cellStyle name="Обычный 3 10 5 2 3 2 2 4 3 2" xfId="25126"/>
    <cellStyle name="Обычный 3 10 5 2 3 2 2 4 3 2 2" xfId="25127"/>
    <cellStyle name="Обычный 3 10 5 2 3 2 2 4 3 2 2 2" xfId="25128"/>
    <cellStyle name="Обычный 3 10 5 2 3 2 2 4 3 2 3" xfId="25129"/>
    <cellStyle name="Обычный 3 10 5 2 3 2 2 4 3 3" xfId="25130"/>
    <cellStyle name="Обычный 3 10 5 2 3 2 2 4 3 3 2" xfId="25131"/>
    <cellStyle name="Обычный 3 10 5 2 3 2 2 4 3 3 2 2" xfId="25132"/>
    <cellStyle name="Обычный 3 10 5 2 3 2 2 4 3 3 3" xfId="25133"/>
    <cellStyle name="Обычный 3 10 5 2 3 2 2 4 3 4" xfId="25134"/>
    <cellStyle name="Обычный 3 10 5 2 3 2 2 4 3 4 2" xfId="25135"/>
    <cellStyle name="Обычный 3 10 5 2 3 2 2 4 3 5" xfId="25136"/>
    <cellStyle name="Обычный 3 10 5 2 3 2 2 4 4" xfId="25137"/>
    <cellStyle name="Обычный 3 10 5 2 3 2 2 4 4 2" xfId="25138"/>
    <cellStyle name="Обычный 3 10 5 2 3 2 2 4 4 2 2" xfId="25139"/>
    <cellStyle name="Обычный 3 10 5 2 3 2 2 4 4 3" xfId="25140"/>
    <cellStyle name="Обычный 3 10 5 2 3 2 2 4 5" xfId="25141"/>
    <cellStyle name="Обычный 3 10 5 2 3 2 2 4 5 2" xfId="25142"/>
    <cellStyle name="Обычный 3 10 5 2 3 2 2 4 5 2 2" xfId="25143"/>
    <cellStyle name="Обычный 3 10 5 2 3 2 2 4 5 3" xfId="25144"/>
    <cellStyle name="Обычный 3 10 5 2 3 2 2 4 6" xfId="25145"/>
    <cellStyle name="Обычный 3 10 5 2 3 2 2 4 6 2" xfId="25146"/>
    <cellStyle name="Обычный 3 10 5 2 3 2 2 4 7" xfId="25147"/>
    <cellStyle name="Обычный 3 10 5 2 3 2 2 4 7 2" xfId="25148"/>
    <cellStyle name="Обычный 3 10 5 2 3 2 2 4 8" xfId="25149"/>
    <cellStyle name="Обычный 3 10 5 2 3 2 2 5" xfId="25150"/>
    <cellStyle name="Обычный 3 10 5 2 3 2 2 5 2" xfId="25151"/>
    <cellStyle name="Обычный 3 10 5 2 3 2 2 5 2 2" xfId="25152"/>
    <cellStyle name="Обычный 3 10 5 2 3 2 2 5 2 2 2" xfId="25153"/>
    <cellStyle name="Обычный 3 10 5 2 3 2 2 5 2 3" xfId="25154"/>
    <cellStyle name="Обычный 3 10 5 2 3 2 2 5 3" xfId="25155"/>
    <cellStyle name="Обычный 3 10 5 2 3 2 2 5 3 2" xfId="25156"/>
    <cellStyle name="Обычный 3 10 5 2 3 2 2 5 3 2 2" xfId="25157"/>
    <cellStyle name="Обычный 3 10 5 2 3 2 2 5 3 3" xfId="25158"/>
    <cellStyle name="Обычный 3 10 5 2 3 2 2 5 4" xfId="25159"/>
    <cellStyle name="Обычный 3 10 5 2 3 2 2 5 4 2" xfId="25160"/>
    <cellStyle name="Обычный 3 10 5 2 3 2 2 5 5" xfId="25161"/>
    <cellStyle name="Обычный 3 10 5 2 3 2 2 5 5 2" xfId="25162"/>
    <cellStyle name="Обычный 3 10 5 2 3 2 2 5 6" xfId="25163"/>
    <cellStyle name="Обычный 3 10 5 2 3 2 2 6" xfId="25164"/>
    <cellStyle name="Обычный 3 10 5 2 3 2 2 6 2" xfId="25165"/>
    <cellStyle name="Обычный 3 10 5 2 3 2 2 6 2 2" xfId="25166"/>
    <cellStyle name="Обычный 3 10 5 2 3 2 2 6 2 2 2" xfId="25167"/>
    <cellStyle name="Обычный 3 10 5 2 3 2 2 6 2 3" xfId="25168"/>
    <cellStyle name="Обычный 3 10 5 2 3 2 2 6 3" xfId="25169"/>
    <cellStyle name="Обычный 3 10 5 2 3 2 2 6 3 2" xfId="25170"/>
    <cellStyle name="Обычный 3 10 5 2 3 2 2 6 3 2 2" xfId="25171"/>
    <cellStyle name="Обычный 3 10 5 2 3 2 2 6 3 3" xfId="25172"/>
    <cellStyle name="Обычный 3 10 5 2 3 2 2 6 4" xfId="25173"/>
    <cellStyle name="Обычный 3 10 5 2 3 2 2 6 4 2" xfId="25174"/>
    <cellStyle name="Обычный 3 10 5 2 3 2 2 6 5" xfId="25175"/>
    <cellStyle name="Обычный 3 10 5 2 3 2 2 6 5 2" xfId="25176"/>
    <cellStyle name="Обычный 3 10 5 2 3 2 2 6 6" xfId="25177"/>
    <cellStyle name="Обычный 3 10 5 2 3 2 2 7" xfId="25178"/>
    <cellStyle name="Обычный 3 10 5 2 3 2 2 7 2" xfId="25179"/>
    <cellStyle name="Обычный 3 10 5 2 3 2 2 7 2 2" xfId="25180"/>
    <cellStyle name="Обычный 3 10 5 2 3 2 2 7 3" xfId="25181"/>
    <cellStyle name="Обычный 3 10 5 2 3 2 2 8" xfId="25182"/>
    <cellStyle name="Обычный 3 10 5 2 3 2 2 8 2" xfId="25183"/>
    <cellStyle name="Обычный 3 10 5 2 3 2 2 8 2 2" xfId="25184"/>
    <cellStyle name="Обычный 3 10 5 2 3 2 2 8 3" xfId="25185"/>
    <cellStyle name="Обычный 3 10 5 2 3 2 2 9" xfId="25186"/>
    <cellStyle name="Обычный 3 10 5 2 3 2 2 9 2" xfId="25187"/>
    <cellStyle name="Обычный 3 10 5 2 3 2 3" xfId="25188"/>
    <cellStyle name="Обычный 3 10 5 2 3 2 3 10" xfId="25189"/>
    <cellStyle name="Обычный 3 10 5 2 3 2 3 2" xfId="25190"/>
    <cellStyle name="Обычный 3 10 5 2 3 2 3 2 2" xfId="25191"/>
    <cellStyle name="Обычный 3 10 5 2 3 2 3 2 2 2" xfId="25192"/>
    <cellStyle name="Обычный 3 10 5 2 3 2 3 2 2 2 2" xfId="25193"/>
    <cellStyle name="Обычный 3 10 5 2 3 2 3 2 2 2 2 2" xfId="25194"/>
    <cellStyle name="Обычный 3 10 5 2 3 2 3 2 2 2 3" xfId="25195"/>
    <cellStyle name="Обычный 3 10 5 2 3 2 3 2 2 3" xfId="25196"/>
    <cellStyle name="Обычный 3 10 5 2 3 2 3 2 2 3 2" xfId="25197"/>
    <cellStyle name="Обычный 3 10 5 2 3 2 3 2 2 3 2 2" xfId="25198"/>
    <cellStyle name="Обычный 3 10 5 2 3 2 3 2 2 3 3" xfId="25199"/>
    <cellStyle name="Обычный 3 10 5 2 3 2 3 2 2 4" xfId="25200"/>
    <cellStyle name="Обычный 3 10 5 2 3 2 3 2 2 4 2" xfId="25201"/>
    <cellStyle name="Обычный 3 10 5 2 3 2 3 2 2 5" xfId="25202"/>
    <cellStyle name="Обычный 3 10 5 2 3 2 3 2 2 5 2" xfId="25203"/>
    <cellStyle name="Обычный 3 10 5 2 3 2 3 2 2 6" xfId="25204"/>
    <cellStyle name="Обычный 3 10 5 2 3 2 3 2 3" xfId="25205"/>
    <cellStyle name="Обычный 3 10 5 2 3 2 3 2 3 2" xfId="25206"/>
    <cellStyle name="Обычный 3 10 5 2 3 2 3 2 3 2 2" xfId="25207"/>
    <cellStyle name="Обычный 3 10 5 2 3 2 3 2 3 2 2 2" xfId="25208"/>
    <cellStyle name="Обычный 3 10 5 2 3 2 3 2 3 2 3" xfId="25209"/>
    <cellStyle name="Обычный 3 10 5 2 3 2 3 2 3 3" xfId="25210"/>
    <cellStyle name="Обычный 3 10 5 2 3 2 3 2 3 3 2" xfId="25211"/>
    <cellStyle name="Обычный 3 10 5 2 3 2 3 2 3 3 2 2" xfId="25212"/>
    <cellStyle name="Обычный 3 10 5 2 3 2 3 2 3 3 3" xfId="25213"/>
    <cellStyle name="Обычный 3 10 5 2 3 2 3 2 3 4" xfId="25214"/>
    <cellStyle name="Обычный 3 10 5 2 3 2 3 2 3 4 2" xfId="25215"/>
    <cellStyle name="Обычный 3 10 5 2 3 2 3 2 3 5" xfId="25216"/>
    <cellStyle name="Обычный 3 10 5 2 3 2 3 2 3 5 2" xfId="25217"/>
    <cellStyle name="Обычный 3 10 5 2 3 2 3 2 3 6" xfId="25218"/>
    <cellStyle name="Обычный 3 10 5 2 3 2 3 2 4" xfId="25219"/>
    <cellStyle name="Обычный 3 10 5 2 3 2 3 2 4 2" xfId="25220"/>
    <cellStyle name="Обычный 3 10 5 2 3 2 3 2 4 2 2" xfId="25221"/>
    <cellStyle name="Обычный 3 10 5 2 3 2 3 2 4 3" xfId="25222"/>
    <cellStyle name="Обычный 3 10 5 2 3 2 3 2 4 3 2" xfId="25223"/>
    <cellStyle name="Обычный 3 10 5 2 3 2 3 2 4 4" xfId="25224"/>
    <cellStyle name="Обычный 3 10 5 2 3 2 3 2 5" xfId="25225"/>
    <cellStyle name="Обычный 3 10 5 2 3 2 3 2 5 2" xfId="25226"/>
    <cellStyle name="Обычный 3 10 5 2 3 2 3 2 5 2 2" xfId="25227"/>
    <cellStyle name="Обычный 3 10 5 2 3 2 3 2 5 3" xfId="25228"/>
    <cellStyle name="Обычный 3 10 5 2 3 2 3 2 6" xfId="25229"/>
    <cellStyle name="Обычный 3 10 5 2 3 2 3 2 6 2" xfId="25230"/>
    <cellStyle name="Обычный 3 10 5 2 3 2 3 2 7" xfId="25231"/>
    <cellStyle name="Обычный 3 10 5 2 3 2 3 2 7 2" xfId="25232"/>
    <cellStyle name="Обычный 3 10 5 2 3 2 3 2 8" xfId="25233"/>
    <cellStyle name="Обычный 3 10 5 2 3 2 3 3" xfId="25234"/>
    <cellStyle name="Обычный 3 10 5 2 3 2 3 3 2" xfId="25235"/>
    <cellStyle name="Обычный 3 10 5 2 3 2 3 3 2 2" xfId="25236"/>
    <cellStyle name="Обычный 3 10 5 2 3 2 3 3 2 2 2" xfId="25237"/>
    <cellStyle name="Обычный 3 10 5 2 3 2 3 3 2 2 2 2" xfId="25238"/>
    <cellStyle name="Обычный 3 10 5 2 3 2 3 3 2 2 2 2 2" xfId="25239"/>
    <cellStyle name="Обычный 3 10 5 2 3 2 3 3 2 2 2 3" xfId="25240"/>
    <cellStyle name="Обычный 3 10 5 2 3 2 3 3 2 2 3" xfId="25241"/>
    <cellStyle name="Обычный 3 10 5 2 3 2 3 3 2 2 3 2" xfId="25242"/>
    <cellStyle name="Обычный 3 10 5 2 3 2 3 3 2 2 3 2 2" xfId="25243"/>
    <cellStyle name="Обычный 3 10 5 2 3 2 3 3 2 2 3 3" xfId="25244"/>
    <cellStyle name="Обычный 3 10 5 2 3 2 3 3 2 2 4" xfId="25245"/>
    <cellStyle name="Обычный 3 10 5 2 3 2 3 3 2 2 4 2" xfId="25246"/>
    <cellStyle name="Обычный 3 10 5 2 3 2 3 3 2 2 5" xfId="25247"/>
    <cellStyle name="Обычный 3 10 5 2 3 2 3 3 2 3" xfId="25248"/>
    <cellStyle name="Обычный 3 10 5 2 3 2 3 3 2 3 2" xfId="25249"/>
    <cellStyle name="Обычный 3 10 5 2 3 2 3 3 2 3 2 2" xfId="25250"/>
    <cellStyle name="Обычный 3 10 5 2 3 2 3 3 2 3 2 2 2" xfId="25251"/>
    <cellStyle name="Обычный 3 10 5 2 3 2 3 3 2 3 2 3" xfId="25252"/>
    <cellStyle name="Обычный 3 10 5 2 3 2 3 3 2 3 3" xfId="25253"/>
    <cellStyle name="Обычный 3 10 5 2 3 2 3 3 2 3 3 2" xfId="25254"/>
    <cellStyle name="Обычный 3 10 5 2 3 2 3 3 2 3 3 2 2" xfId="25255"/>
    <cellStyle name="Обычный 3 10 5 2 3 2 3 3 2 3 3 3" xfId="25256"/>
    <cellStyle name="Обычный 3 10 5 2 3 2 3 3 2 3 4" xfId="25257"/>
    <cellStyle name="Обычный 3 10 5 2 3 2 3 3 2 3 4 2" xfId="25258"/>
    <cellStyle name="Обычный 3 10 5 2 3 2 3 3 2 3 5" xfId="25259"/>
    <cellStyle name="Обычный 3 10 5 2 3 2 3 3 2 4" xfId="25260"/>
    <cellStyle name="Обычный 3 10 5 2 3 2 3 3 2 4 2" xfId="25261"/>
    <cellStyle name="Обычный 3 10 5 2 3 2 3 3 2 4 2 2" xfId="25262"/>
    <cellStyle name="Обычный 3 10 5 2 3 2 3 3 2 4 3" xfId="25263"/>
    <cellStyle name="Обычный 3 10 5 2 3 2 3 3 2 5" xfId="25264"/>
    <cellStyle name="Обычный 3 10 5 2 3 2 3 3 2 5 2" xfId="25265"/>
    <cellStyle name="Обычный 3 10 5 2 3 2 3 3 2 5 2 2" xfId="25266"/>
    <cellStyle name="Обычный 3 10 5 2 3 2 3 3 2 5 3" xfId="25267"/>
    <cellStyle name="Обычный 3 10 5 2 3 2 3 3 2 6" xfId="25268"/>
    <cellStyle name="Обычный 3 10 5 2 3 2 3 3 2 6 2" xfId="25269"/>
    <cellStyle name="Обычный 3 10 5 2 3 2 3 3 2 7" xfId="25270"/>
    <cellStyle name="Обычный 3 10 5 2 3 2 3 3 2 7 2" xfId="25271"/>
    <cellStyle name="Обычный 3 10 5 2 3 2 3 3 2 8" xfId="25272"/>
    <cellStyle name="Обычный 3 10 5 2 3 2 3 3 3" xfId="25273"/>
    <cellStyle name="Обычный 3 10 5 2 3 2 3 3 3 2" xfId="25274"/>
    <cellStyle name="Обычный 3 10 5 2 3 2 3 3 3 2 2" xfId="25275"/>
    <cellStyle name="Обычный 3 10 5 2 3 2 3 3 3 2 2 2" xfId="25276"/>
    <cellStyle name="Обычный 3 10 5 2 3 2 3 3 3 2 3" xfId="25277"/>
    <cellStyle name="Обычный 3 10 5 2 3 2 3 3 3 3" xfId="25278"/>
    <cellStyle name="Обычный 3 10 5 2 3 2 3 3 3 3 2" xfId="25279"/>
    <cellStyle name="Обычный 3 10 5 2 3 2 3 3 3 3 2 2" xfId="25280"/>
    <cellStyle name="Обычный 3 10 5 2 3 2 3 3 3 3 3" xfId="25281"/>
    <cellStyle name="Обычный 3 10 5 2 3 2 3 3 3 4" xfId="25282"/>
    <cellStyle name="Обычный 3 10 5 2 3 2 3 3 3 4 2" xfId="25283"/>
    <cellStyle name="Обычный 3 10 5 2 3 2 3 3 3 5" xfId="25284"/>
    <cellStyle name="Обычный 3 10 5 2 3 2 3 3 3 5 2" xfId="25285"/>
    <cellStyle name="Обычный 3 10 5 2 3 2 3 3 3 6" xfId="25286"/>
    <cellStyle name="Обычный 3 10 5 2 3 2 3 3 4" xfId="25287"/>
    <cellStyle name="Обычный 3 10 5 2 3 2 3 3 4 2" xfId="25288"/>
    <cellStyle name="Обычный 3 10 5 2 3 2 3 3 4 2 2" xfId="25289"/>
    <cellStyle name="Обычный 3 10 5 2 3 2 3 3 4 2 2 2" xfId="25290"/>
    <cellStyle name="Обычный 3 10 5 2 3 2 3 3 4 2 3" xfId="25291"/>
    <cellStyle name="Обычный 3 10 5 2 3 2 3 3 4 3" xfId="25292"/>
    <cellStyle name="Обычный 3 10 5 2 3 2 3 3 4 3 2" xfId="25293"/>
    <cellStyle name="Обычный 3 10 5 2 3 2 3 3 4 3 2 2" xfId="25294"/>
    <cellStyle name="Обычный 3 10 5 2 3 2 3 3 4 3 3" xfId="25295"/>
    <cellStyle name="Обычный 3 10 5 2 3 2 3 3 4 4" xfId="25296"/>
    <cellStyle name="Обычный 3 10 5 2 3 2 3 3 4 4 2" xfId="25297"/>
    <cellStyle name="Обычный 3 10 5 2 3 2 3 3 4 5" xfId="25298"/>
    <cellStyle name="Обычный 3 10 5 2 3 2 3 3 5" xfId="25299"/>
    <cellStyle name="Обычный 3 10 5 2 3 2 3 3 5 2" xfId="25300"/>
    <cellStyle name="Обычный 3 10 5 2 3 2 3 3 5 2 2" xfId="25301"/>
    <cellStyle name="Обычный 3 10 5 2 3 2 3 3 5 3" xfId="25302"/>
    <cellStyle name="Обычный 3 10 5 2 3 2 3 3 6" xfId="25303"/>
    <cellStyle name="Обычный 3 10 5 2 3 2 3 3 6 2" xfId="25304"/>
    <cellStyle name="Обычный 3 10 5 2 3 2 3 3 6 2 2" xfId="25305"/>
    <cellStyle name="Обычный 3 10 5 2 3 2 3 3 6 3" xfId="25306"/>
    <cellStyle name="Обычный 3 10 5 2 3 2 3 3 7" xfId="25307"/>
    <cellStyle name="Обычный 3 10 5 2 3 2 3 3 7 2" xfId="25308"/>
    <cellStyle name="Обычный 3 10 5 2 3 2 3 3 8" xfId="25309"/>
    <cellStyle name="Обычный 3 10 5 2 3 2 3 3 8 2" xfId="25310"/>
    <cellStyle name="Обычный 3 10 5 2 3 2 3 3 9" xfId="25311"/>
    <cellStyle name="Обычный 3 10 5 2 3 2 3 4" xfId="25312"/>
    <cellStyle name="Обычный 3 10 5 2 3 2 3 4 2" xfId="25313"/>
    <cellStyle name="Обычный 3 10 5 2 3 2 3 4 2 2" xfId="25314"/>
    <cellStyle name="Обычный 3 10 5 2 3 2 3 4 2 2 2" xfId="25315"/>
    <cellStyle name="Обычный 3 10 5 2 3 2 3 4 2 2 2 2" xfId="25316"/>
    <cellStyle name="Обычный 3 10 5 2 3 2 3 4 2 2 3" xfId="25317"/>
    <cellStyle name="Обычный 3 10 5 2 3 2 3 4 2 3" xfId="25318"/>
    <cellStyle name="Обычный 3 10 5 2 3 2 3 4 2 3 2" xfId="25319"/>
    <cellStyle name="Обычный 3 10 5 2 3 2 3 4 2 3 2 2" xfId="25320"/>
    <cellStyle name="Обычный 3 10 5 2 3 2 3 4 2 3 3" xfId="25321"/>
    <cellStyle name="Обычный 3 10 5 2 3 2 3 4 2 4" xfId="25322"/>
    <cellStyle name="Обычный 3 10 5 2 3 2 3 4 2 4 2" xfId="25323"/>
    <cellStyle name="Обычный 3 10 5 2 3 2 3 4 2 5" xfId="25324"/>
    <cellStyle name="Обычный 3 10 5 2 3 2 3 4 2 5 2" xfId="25325"/>
    <cellStyle name="Обычный 3 10 5 2 3 2 3 4 2 6" xfId="25326"/>
    <cellStyle name="Обычный 3 10 5 2 3 2 3 4 3" xfId="25327"/>
    <cellStyle name="Обычный 3 10 5 2 3 2 3 4 3 2" xfId="25328"/>
    <cellStyle name="Обычный 3 10 5 2 3 2 3 4 3 2 2" xfId="25329"/>
    <cellStyle name="Обычный 3 10 5 2 3 2 3 4 3 2 2 2" xfId="25330"/>
    <cellStyle name="Обычный 3 10 5 2 3 2 3 4 3 2 3" xfId="25331"/>
    <cellStyle name="Обычный 3 10 5 2 3 2 3 4 3 3" xfId="25332"/>
    <cellStyle name="Обычный 3 10 5 2 3 2 3 4 3 3 2" xfId="25333"/>
    <cellStyle name="Обычный 3 10 5 2 3 2 3 4 3 3 2 2" xfId="25334"/>
    <cellStyle name="Обычный 3 10 5 2 3 2 3 4 3 3 3" xfId="25335"/>
    <cellStyle name="Обычный 3 10 5 2 3 2 3 4 3 4" xfId="25336"/>
    <cellStyle name="Обычный 3 10 5 2 3 2 3 4 3 4 2" xfId="25337"/>
    <cellStyle name="Обычный 3 10 5 2 3 2 3 4 3 5" xfId="25338"/>
    <cellStyle name="Обычный 3 10 5 2 3 2 3 4 3 5 2" xfId="25339"/>
    <cellStyle name="Обычный 3 10 5 2 3 2 3 4 3 6" xfId="25340"/>
    <cellStyle name="Обычный 3 10 5 2 3 2 3 4 4" xfId="25341"/>
    <cellStyle name="Обычный 3 10 5 2 3 2 3 4 4 2" xfId="25342"/>
    <cellStyle name="Обычный 3 10 5 2 3 2 3 4 4 2 2" xfId="25343"/>
    <cellStyle name="Обычный 3 10 5 2 3 2 3 4 4 3" xfId="25344"/>
    <cellStyle name="Обычный 3 10 5 2 3 2 3 4 5" xfId="25345"/>
    <cellStyle name="Обычный 3 10 5 2 3 2 3 4 5 2" xfId="25346"/>
    <cellStyle name="Обычный 3 10 5 2 3 2 3 4 5 2 2" xfId="25347"/>
    <cellStyle name="Обычный 3 10 5 2 3 2 3 4 5 3" xfId="25348"/>
    <cellStyle name="Обычный 3 10 5 2 3 2 3 4 6" xfId="25349"/>
    <cellStyle name="Обычный 3 10 5 2 3 2 3 4 6 2" xfId="25350"/>
    <cellStyle name="Обычный 3 10 5 2 3 2 3 4 7" xfId="25351"/>
    <cellStyle name="Обычный 3 10 5 2 3 2 3 4 7 2" xfId="25352"/>
    <cellStyle name="Обычный 3 10 5 2 3 2 3 4 8" xfId="25353"/>
    <cellStyle name="Обычный 3 10 5 2 3 2 3 5" xfId="25354"/>
    <cellStyle name="Обычный 3 10 5 2 3 2 3 5 2" xfId="25355"/>
    <cellStyle name="Обычный 3 10 5 2 3 2 3 5 2 2" xfId="25356"/>
    <cellStyle name="Обычный 3 10 5 2 3 2 3 5 2 2 2" xfId="25357"/>
    <cellStyle name="Обычный 3 10 5 2 3 2 3 5 2 3" xfId="25358"/>
    <cellStyle name="Обычный 3 10 5 2 3 2 3 5 3" xfId="25359"/>
    <cellStyle name="Обычный 3 10 5 2 3 2 3 5 3 2" xfId="25360"/>
    <cellStyle name="Обычный 3 10 5 2 3 2 3 5 3 2 2" xfId="25361"/>
    <cellStyle name="Обычный 3 10 5 2 3 2 3 5 3 3" xfId="25362"/>
    <cellStyle name="Обычный 3 10 5 2 3 2 3 5 4" xfId="25363"/>
    <cellStyle name="Обычный 3 10 5 2 3 2 3 5 4 2" xfId="25364"/>
    <cellStyle name="Обычный 3 10 5 2 3 2 3 5 5" xfId="25365"/>
    <cellStyle name="Обычный 3 10 5 2 3 2 3 5 5 2" xfId="25366"/>
    <cellStyle name="Обычный 3 10 5 2 3 2 3 5 6" xfId="25367"/>
    <cellStyle name="Обычный 3 10 5 2 3 2 3 6" xfId="25368"/>
    <cellStyle name="Обычный 3 10 5 2 3 2 3 6 2" xfId="25369"/>
    <cellStyle name="Обычный 3 10 5 2 3 2 3 6 2 2" xfId="25370"/>
    <cellStyle name="Обычный 3 10 5 2 3 2 3 6 3" xfId="25371"/>
    <cellStyle name="Обычный 3 10 5 2 3 2 3 6 3 2" xfId="25372"/>
    <cellStyle name="Обычный 3 10 5 2 3 2 3 6 4" xfId="25373"/>
    <cellStyle name="Обычный 3 10 5 2 3 2 3 7" xfId="25374"/>
    <cellStyle name="Обычный 3 10 5 2 3 2 3 7 2" xfId="25375"/>
    <cellStyle name="Обычный 3 10 5 2 3 2 3 7 2 2" xfId="25376"/>
    <cellStyle name="Обычный 3 10 5 2 3 2 3 7 3" xfId="25377"/>
    <cellStyle name="Обычный 3 10 5 2 3 2 3 8" xfId="25378"/>
    <cellStyle name="Обычный 3 10 5 2 3 2 3 8 2" xfId="25379"/>
    <cellStyle name="Обычный 3 10 5 2 3 2 3 9" xfId="25380"/>
    <cellStyle name="Обычный 3 10 5 2 3 2 3 9 2" xfId="25381"/>
    <cellStyle name="Обычный 3 10 5 2 3 2 4" xfId="25382"/>
    <cellStyle name="Обычный 3 10 5 2 3 2 4 2" xfId="25383"/>
    <cellStyle name="Обычный 3 10 5 2 3 2 4 2 2" xfId="25384"/>
    <cellStyle name="Обычный 3 10 5 2 3 2 4 2 2 2" xfId="25385"/>
    <cellStyle name="Обычный 3 10 5 2 3 2 4 2 2 2 2" xfId="25386"/>
    <cellStyle name="Обычный 3 10 5 2 3 2 4 2 2 3" xfId="25387"/>
    <cellStyle name="Обычный 3 10 5 2 3 2 4 2 2 3 2" xfId="25388"/>
    <cellStyle name="Обычный 3 10 5 2 3 2 4 2 2 4" xfId="25389"/>
    <cellStyle name="Обычный 3 10 5 2 3 2 4 2 3" xfId="25390"/>
    <cellStyle name="Обычный 3 10 5 2 3 2 4 2 3 2" xfId="25391"/>
    <cellStyle name="Обычный 3 10 5 2 3 2 4 2 3 2 2" xfId="25392"/>
    <cellStyle name="Обычный 3 10 5 2 3 2 4 2 3 3" xfId="25393"/>
    <cellStyle name="Обычный 3 10 5 2 3 2 4 2 4" xfId="25394"/>
    <cellStyle name="Обычный 3 10 5 2 3 2 4 2 4 2" xfId="25395"/>
    <cellStyle name="Обычный 3 10 5 2 3 2 4 2 5" xfId="25396"/>
    <cellStyle name="Обычный 3 10 5 2 3 2 4 2 5 2" xfId="25397"/>
    <cellStyle name="Обычный 3 10 5 2 3 2 4 2 6" xfId="25398"/>
    <cellStyle name="Обычный 3 10 5 2 3 2 4 3" xfId="25399"/>
    <cellStyle name="Обычный 3 10 5 2 3 2 4 3 2" xfId="25400"/>
    <cellStyle name="Обычный 3 10 5 2 3 2 4 3 2 2" xfId="25401"/>
    <cellStyle name="Обычный 3 10 5 2 3 2 4 3 2 2 2" xfId="25402"/>
    <cellStyle name="Обычный 3 10 5 2 3 2 4 3 2 3" xfId="25403"/>
    <cellStyle name="Обычный 3 10 5 2 3 2 4 3 3" xfId="25404"/>
    <cellStyle name="Обычный 3 10 5 2 3 2 4 3 3 2" xfId="25405"/>
    <cellStyle name="Обычный 3 10 5 2 3 2 4 3 3 2 2" xfId="25406"/>
    <cellStyle name="Обычный 3 10 5 2 3 2 4 3 3 3" xfId="25407"/>
    <cellStyle name="Обычный 3 10 5 2 3 2 4 3 4" xfId="25408"/>
    <cellStyle name="Обычный 3 10 5 2 3 2 4 3 4 2" xfId="25409"/>
    <cellStyle name="Обычный 3 10 5 2 3 2 4 3 5" xfId="25410"/>
    <cellStyle name="Обычный 3 10 5 2 3 2 4 3 5 2" xfId="25411"/>
    <cellStyle name="Обычный 3 10 5 2 3 2 4 3 6" xfId="25412"/>
    <cellStyle name="Обычный 3 10 5 2 3 2 4 4" xfId="25413"/>
    <cellStyle name="Обычный 3 10 5 2 3 2 4 4 2" xfId="25414"/>
    <cellStyle name="Обычный 3 10 5 2 3 2 4 4 2 2" xfId="25415"/>
    <cellStyle name="Обычный 3 10 5 2 3 2 4 4 3" xfId="25416"/>
    <cellStyle name="Обычный 3 10 5 2 3 2 4 4 3 2" xfId="25417"/>
    <cellStyle name="Обычный 3 10 5 2 3 2 4 4 4" xfId="25418"/>
    <cellStyle name="Обычный 3 10 5 2 3 2 4 5" xfId="25419"/>
    <cellStyle name="Обычный 3 10 5 2 3 2 4 5 2" xfId="25420"/>
    <cellStyle name="Обычный 3 10 5 2 3 2 4 5 2 2" xfId="25421"/>
    <cellStyle name="Обычный 3 10 5 2 3 2 4 5 3" xfId="25422"/>
    <cellStyle name="Обычный 3 10 5 2 3 2 4 6" xfId="25423"/>
    <cellStyle name="Обычный 3 10 5 2 3 2 4 6 2" xfId="25424"/>
    <cellStyle name="Обычный 3 10 5 2 3 2 4 7" xfId="25425"/>
    <cellStyle name="Обычный 3 10 5 2 3 2 4 7 2" xfId="25426"/>
    <cellStyle name="Обычный 3 10 5 2 3 2 4 8" xfId="25427"/>
    <cellStyle name="Обычный 3 10 5 2 3 2 5" xfId="25428"/>
    <cellStyle name="Обычный 3 10 5 2 3 2 5 2" xfId="25429"/>
    <cellStyle name="Обычный 3 10 5 2 3 2 5 2 2" xfId="25430"/>
    <cellStyle name="Обычный 3 10 5 2 3 2 5 2 2 2" xfId="25431"/>
    <cellStyle name="Обычный 3 10 5 2 3 2 5 2 2 2 2" xfId="25432"/>
    <cellStyle name="Обычный 3 10 5 2 3 2 5 2 2 3" xfId="25433"/>
    <cellStyle name="Обычный 3 10 5 2 3 2 5 2 3" xfId="25434"/>
    <cellStyle name="Обычный 3 10 5 2 3 2 5 2 3 2" xfId="25435"/>
    <cellStyle name="Обычный 3 10 5 2 3 2 5 2 3 2 2" xfId="25436"/>
    <cellStyle name="Обычный 3 10 5 2 3 2 5 2 3 3" xfId="25437"/>
    <cellStyle name="Обычный 3 10 5 2 3 2 5 2 4" xfId="25438"/>
    <cellStyle name="Обычный 3 10 5 2 3 2 5 2 4 2" xfId="25439"/>
    <cellStyle name="Обычный 3 10 5 2 3 2 5 2 5" xfId="25440"/>
    <cellStyle name="Обычный 3 10 5 2 3 2 5 2 5 2" xfId="25441"/>
    <cellStyle name="Обычный 3 10 5 2 3 2 5 2 6" xfId="25442"/>
    <cellStyle name="Обычный 3 10 5 2 3 2 5 3" xfId="25443"/>
    <cellStyle name="Обычный 3 10 5 2 3 2 5 3 2" xfId="25444"/>
    <cellStyle name="Обычный 3 10 5 2 3 2 5 3 2 2" xfId="25445"/>
    <cellStyle name="Обычный 3 10 5 2 3 2 5 3 2 2 2" xfId="25446"/>
    <cellStyle name="Обычный 3 10 5 2 3 2 5 3 2 3" xfId="25447"/>
    <cellStyle name="Обычный 3 10 5 2 3 2 5 3 3" xfId="25448"/>
    <cellStyle name="Обычный 3 10 5 2 3 2 5 3 3 2" xfId="25449"/>
    <cellStyle name="Обычный 3 10 5 2 3 2 5 3 3 2 2" xfId="25450"/>
    <cellStyle name="Обычный 3 10 5 2 3 2 5 3 3 3" xfId="25451"/>
    <cellStyle name="Обычный 3 10 5 2 3 2 5 3 4" xfId="25452"/>
    <cellStyle name="Обычный 3 10 5 2 3 2 5 3 4 2" xfId="25453"/>
    <cellStyle name="Обычный 3 10 5 2 3 2 5 3 5" xfId="25454"/>
    <cellStyle name="Обычный 3 10 5 2 3 2 5 3 5 2" xfId="25455"/>
    <cellStyle name="Обычный 3 10 5 2 3 2 5 3 6" xfId="25456"/>
    <cellStyle name="Обычный 3 10 5 2 3 2 5 4" xfId="25457"/>
    <cellStyle name="Обычный 3 10 5 2 3 2 5 4 2" xfId="25458"/>
    <cellStyle name="Обычный 3 10 5 2 3 2 5 4 2 2" xfId="25459"/>
    <cellStyle name="Обычный 3 10 5 2 3 2 5 4 3" xfId="25460"/>
    <cellStyle name="Обычный 3 10 5 2 3 2 5 4 3 2" xfId="25461"/>
    <cellStyle name="Обычный 3 10 5 2 3 2 5 4 4" xfId="25462"/>
    <cellStyle name="Обычный 3 10 5 2 3 2 5 5" xfId="25463"/>
    <cellStyle name="Обычный 3 10 5 2 3 2 5 5 2" xfId="25464"/>
    <cellStyle name="Обычный 3 10 5 2 3 2 5 5 2 2" xfId="25465"/>
    <cellStyle name="Обычный 3 10 5 2 3 2 5 5 3" xfId="25466"/>
    <cellStyle name="Обычный 3 10 5 2 3 2 5 6" xfId="25467"/>
    <cellStyle name="Обычный 3 10 5 2 3 2 5 6 2" xfId="25468"/>
    <cellStyle name="Обычный 3 10 5 2 3 2 5 7" xfId="25469"/>
    <cellStyle name="Обычный 3 10 5 2 3 2 5 7 2" xfId="25470"/>
    <cellStyle name="Обычный 3 10 5 2 3 2 5 8" xfId="25471"/>
    <cellStyle name="Обычный 3 10 5 2 3 2 6" xfId="25472"/>
    <cellStyle name="Обычный 3 10 5 2 3 2 6 2" xfId="25473"/>
    <cellStyle name="Обычный 3 10 5 2 3 2 6 2 2" xfId="25474"/>
    <cellStyle name="Обычный 3 10 5 2 3 2 6 2 2 2" xfId="25475"/>
    <cellStyle name="Обычный 3 10 5 2 3 2 6 2 2 2 2" xfId="25476"/>
    <cellStyle name="Обычный 3 10 5 2 3 2 6 2 2 3" xfId="25477"/>
    <cellStyle name="Обычный 3 10 5 2 3 2 6 2 3" xfId="25478"/>
    <cellStyle name="Обычный 3 10 5 2 3 2 6 2 3 2" xfId="25479"/>
    <cellStyle name="Обычный 3 10 5 2 3 2 6 2 3 2 2" xfId="25480"/>
    <cellStyle name="Обычный 3 10 5 2 3 2 6 2 3 3" xfId="25481"/>
    <cellStyle name="Обычный 3 10 5 2 3 2 6 2 4" xfId="25482"/>
    <cellStyle name="Обычный 3 10 5 2 3 2 6 2 4 2" xfId="25483"/>
    <cellStyle name="Обычный 3 10 5 2 3 2 6 2 5" xfId="25484"/>
    <cellStyle name="Обычный 3 10 5 2 3 2 6 3" xfId="25485"/>
    <cellStyle name="Обычный 3 10 5 2 3 2 6 3 2" xfId="25486"/>
    <cellStyle name="Обычный 3 10 5 2 3 2 6 3 2 2" xfId="25487"/>
    <cellStyle name="Обычный 3 10 5 2 3 2 6 3 2 2 2" xfId="25488"/>
    <cellStyle name="Обычный 3 10 5 2 3 2 6 3 2 3" xfId="25489"/>
    <cellStyle name="Обычный 3 10 5 2 3 2 6 3 3" xfId="25490"/>
    <cellStyle name="Обычный 3 10 5 2 3 2 6 3 3 2" xfId="25491"/>
    <cellStyle name="Обычный 3 10 5 2 3 2 6 3 3 2 2" xfId="25492"/>
    <cellStyle name="Обычный 3 10 5 2 3 2 6 3 3 3" xfId="25493"/>
    <cellStyle name="Обычный 3 10 5 2 3 2 6 3 4" xfId="25494"/>
    <cellStyle name="Обычный 3 10 5 2 3 2 6 3 4 2" xfId="25495"/>
    <cellStyle name="Обычный 3 10 5 2 3 2 6 3 5" xfId="25496"/>
    <cellStyle name="Обычный 3 10 5 2 3 2 6 4" xfId="25497"/>
    <cellStyle name="Обычный 3 10 5 2 3 2 6 4 2" xfId="25498"/>
    <cellStyle name="Обычный 3 10 5 2 3 2 6 4 2 2" xfId="25499"/>
    <cellStyle name="Обычный 3 10 5 2 3 2 6 4 3" xfId="25500"/>
    <cellStyle name="Обычный 3 10 5 2 3 2 6 5" xfId="25501"/>
    <cellStyle name="Обычный 3 10 5 2 3 2 6 5 2" xfId="25502"/>
    <cellStyle name="Обычный 3 10 5 2 3 2 6 5 2 2" xfId="25503"/>
    <cellStyle name="Обычный 3 10 5 2 3 2 6 5 3" xfId="25504"/>
    <cellStyle name="Обычный 3 10 5 2 3 2 6 6" xfId="25505"/>
    <cellStyle name="Обычный 3 10 5 2 3 2 6 6 2" xfId="25506"/>
    <cellStyle name="Обычный 3 10 5 2 3 2 6 7" xfId="25507"/>
    <cellStyle name="Обычный 3 10 5 2 3 2 6 7 2" xfId="25508"/>
    <cellStyle name="Обычный 3 10 5 2 3 2 6 8" xfId="25509"/>
    <cellStyle name="Обычный 3 10 5 2 3 2 7" xfId="25510"/>
    <cellStyle name="Обычный 3 10 5 2 3 2 7 2" xfId="25511"/>
    <cellStyle name="Обычный 3 10 5 2 3 2 7 2 2" xfId="25512"/>
    <cellStyle name="Обычный 3 10 5 2 3 2 7 2 2 2" xfId="25513"/>
    <cellStyle name="Обычный 3 10 5 2 3 2 7 2 2 2 2" xfId="25514"/>
    <cellStyle name="Обычный 3 10 5 2 3 2 7 2 2 3" xfId="25515"/>
    <cellStyle name="Обычный 3 10 5 2 3 2 7 2 3" xfId="25516"/>
    <cellStyle name="Обычный 3 10 5 2 3 2 7 2 3 2" xfId="25517"/>
    <cellStyle name="Обычный 3 10 5 2 3 2 7 2 3 2 2" xfId="25518"/>
    <cellStyle name="Обычный 3 10 5 2 3 2 7 2 3 3" xfId="25519"/>
    <cellStyle name="Обычный 3 10 5 2 3 2 7 2 4" xfId="25520"/>
    <cellStyle name="Обычный 3 10 5 2 3 2 7 2 4 2" xfId="25521"/>
    <cellStyle name="Обычный 3 10 5 2 3 2 7 2 5" xfId="25522"/>
    <cellStyle name="Обычный 3 10 5 2 3 2 7 3" xfId="25523"/>
    <cellStyle name="Обычный 3 10 5 2 3 2 7 3 2" xfId="25524"/>
    <cellStyle name="Обычный 3 10 5 2 3 2 7 3 2 2" xfId="25525"/>
    <cellStyle name="Обычный 3 10 5 2 3 2 7 3 2 2 2" xfId="25526"/>
    <cellStyle name="Обычный 3 10 5 2 3 2 7 3 2 3" xfId="25527"/>
    <cellStyle name="Обычный 3 10 5 2 3 2 7 3 3" xfId="25528"/>
    <cellStyle name="Обычный 3 10 5 2 3 2 7 3 3 2" xfId="25529"/>
    <cellStyle name="Обычный 3 10 5 2 3 2 7 3 3 2 2" xfId="25530"/>
    <cellStyle name="Обычный 3 10 5 2 3 2 7 3 3 3" xfId="25531"/>
    <cellStyle name="Обычный 3 10 5 2 3 2 7 3 4" xfId="25532"/>
    <cellStyle name="Обычный 3 10 5 2 3 2 7 3 4 2" xfId="25533"/>
    <cellStyle name="Обычный 3 10 5 2 3 2 7 3 5" xfId="25534"/>
    <cellStyle name="Обычный 3 10 5 2 3 2 7 4" xfId="25535"/>
    <cellStyle name="Обычный 3 10 5 2 3 2 7 4 2" xfId="25536"/>
    <cellStyle name="Обычный 3 10 5 2 3 2 7 4 2 2" xfId="25537"/>
    <cellStyle name="Обычный 3 10 5 2 3 2 7 4 3" xfId="25538"/>
    <cellStyle name="Обычный 3 10 5 2 3 2 7 5" xfId="25539"/>
    <cellStyle name="Обычный 3 10 5 2 3 2 7 5 2" xfId="25540"/>
    <cellStyle name="Обычный 3 10 5 2 3 2 7 5 2 2" xfId="25541"/>
    <cellStyle name="Обычный 3 10 5 2 3 2 7 5 3" xfId="25542"/>
    <cellStyle name="Обычный 3 10 5 2 3 2 7 6" xfId="25543"/>
    <cellStyle name="Обычный 3 10 5 2 3 2 7 6 2" xfId="25544"/>
    <cellStyle name="Обычный 3 10 5 2 3 2 7 7" xfId="25545"/>
    <cellStyle name="Обычный 3 10 5 2 3 2 7 7 2" xfId="25546"/>
    <cellStyle name="Обычный 3 10 5 2 3 2 7 8" xfId="25547"/>
    <cellStyle name="Обычный 3 10 5 2 3 2 8" xfId="25548"/>
    <cellStyle name="Обычный 3 10 5 2 3 2 8 2" xfId="25549"/>
    <cellStyle name="Обычный 3 10 5 2 3 2 8 2 2" xfId="25550"/>
    <cellStyle name="Обычный 3 10 5 2 3 2 8 2 2 2" xfId="25551"/>
    <cellStyle name="Обычный 3 10 5 2 3 2 8 2 2 2 2" xfId="25552"/>
    <cellStyle name="Обычный 3 10 5 2 3 2 8 2 2 3" xfId="25553"/>
    <cellStyle name="Обычный 3 10 5 2 3 2 8 2 3" xfId="25554"/>
    <cellStyle name="Обычный 3 10 5 2 3 2 8 2 3 2" xfId="25555"/>
    <cellStyle name="Обычный 3 10 5 2 3 2 8 2 3 2 2" xfId="25556"/>
    <cellStyle name="Обычный 3 10 5 2 3 2 8 2 3 3" xfId="25557"/>
    <cellStyle name="Обычный 3 10 5 2 3 2 8 2 4" xfId="25558"/>
    <cellStyle name="Обычный 3 10 5 2 3 2 8 2 4 2" xfId="25559"/>
    <cellStyle name="Обычный 3 10 5 2 3 2 8 2 5" xfId="25560"/>
    <cellStyle name="Обычный 3 10 5 2 3 2 8 3" xfId="25561"/>
    <cellStyle name="Обычный 3 10 5 2 3 2 8 3 2" xfId="25562"/>
    <cellStyle name="Обычный 3 10 5 2 3 2 8 3 2 2" xfId="25563"/>
    <cellStyle name="Обычный 3 10 5 2 3 2 8 3 2 2 2" xfId="25564"/>
    <cellStyle name="Обычный 3 10 5 2 3 2 8 3 2 3" xfId="25565"/>
    <cellStyle name="Обычный 3 10 5 2 3 2 8 3 3" xfId="25566"/>
    <cellStyle name="Обычный 3 10 5 2 3 2 8 3 3 2" xfId="25567"/>
    <cellStyle name="Обычный 3 10 5 2 3 2 8 3 3 2 2" xfId="25568"/>
    <cellStyle name="Обычный 3 10 5 2 3 2 8 3 3 3" xfId="25569"/>
    <cellStyle name="Обычный 3 10 5 2 3 2 8 3 4" xfId="25570"/>
    <cellStyle name="Обычный 3 10 5 2 3 2 8 3 4 2" xfId="25571"/>
    <cellStyle name="Обычный 3 10 5 2 3 2 8 3 5" xfId="25572"/>
    <cellStyle name="Обычный 3 10 5 2 3 2 8 4" xfId="25573"/>
    <cellStyle name="Обычный 3 10 5 2 3 2 8 4 2" xfId="25574"/>
    <cellStyle name="Обычный 3 10 5 2 3 2 8 4 2 2" xfId="25575"/>
    <cellStyle name="Обычный 3 10 5 2 3 2 8 4 3" xfId="25576"/>
    <cellStyle name="Обычный 3 10 5 2 3 2 8 5" xfId="25577"/>
    <cellStyle name="Обычный 3 10 5 2 3 2 8 5 2" xfId="25578"/>
    <cellStyle name="Обычный 3 10 5 2 3 2 8 5 2 2" xfId="25579"/>
    <cellStyle name="Обычный 3 10 5 2 3 2 8 5 3" xfId="25580"/>
    <cellStyle name="Обычный 3 10 5 2 3 2 8 6" xfId="25581"/>
    <cellStyle name="Обычный 3 10 5 2 3 2 8 6 2" xfId="25582"/>
    <cellStyle name="Обычный 3 10 5 2 3 2 8 7" xfId="25583"/>
    <cellStyle name="Обычный 3 10 5 2 3 2 8 7 2" xfId="25584"/>
    <cellStyle name="Обычный 3 10 5 2 3 2 8 8" xfId="25585"/>
    <cellStyle name="Обычный 3 10 5 2 3 2 9" xfId="25586"/>
    <cellStyle name="Обычный 3 10 5 2 3 2 9 10" xfId="25587"/>
    <cellStyle name="Обычный 3 10 5 2 3 2 9 2" xfId="25588"/>
    <cellStyle name="Обычный 3 10 5 2 3 2 9 2 2" xfId="25589"/>
    <cellStyle name="Обычный 3 10 5 2 3 2 9 2 2 2" xfId="25590"/>
    <cellStyle name="Обычный 3 10 5 2 3 2 9 2 2 2 2" xfId="25591"/>
    <cellStyle name="Обычный 3 10 5 2 3 2 9 2 2 2 2 2" xfId="25592"/>
    <cellStyle name="Обычный 3 10 5 2 3 2 9 2 2 2 3" xfId="25593"/>
    <cellStyle name="Обычный 3 10 5 2 3 2 9 2 2 3" xfId="25594"/>
    <cellStyle name="Обычный 3 10 5 2 3 2 9 2 2 3 2" xfId="25595"/>
    <cellStyle name="Обычный 3 10 5 2 3 2 9 2 2 3 2 2" xfId="25596"/>
    <cellStyle name="Обычный 3 10 5 2 3 2 9 2 2 3 3" xfId="25597"/>
    <cellStyle name="Обычный 3 10 5 2 3 2 9 2 2 4" xfId="25598"/>
    <cellStyle name="Обычный 3 10 5 2 3 2 9 2 2 4 2" xfId="25599"/>
    <cellStyle name="Обычный 3 10 5 2 3 2 9 2 2 5" xfId="25600"/>
    <cellStyle name="Обычный 3 10 5 2 3 2 9 2 3" xfId="25601"/>
    <cellStyle name="Обычный 3 10 5 2 3 2 9 2 3 2" xfId="25602"/>
    <cellStyle name="Обычный 3 10 5 2 3 2 9 2 3 2 2" xfId="25603"/>
    <cellStyle name="Обычный 3 10 5 2 3 2 9 2 3 2 2 2" xfId="25604"/>
    <cellStyle name="Обычный 3 10 5 2 3 2 9 2 3 2 3" xfId="25605"/>
    <cellStyle name="Обычный 3 10 5 2 3 2 9 2 3 3" xfId="25606"/>
    <cellStyle name="Обычный 3 10 5 2 3 2 9 2 3 3 2" xfId="25607"/>
    <cellStyle name="Обычный 3 10 5 2 3 2 9 2 3 3 2 2" xfId="25608"/>
    <cellStyle name="Обычный 3 10 5 2 3 2 9 2 3 3 3" xfId="25609"/>
    <cellStyle name="Обычный 3 10 5 2 3 2 9 2 3 4" xfId="25610"/>
    <cellStyle name="Обычный 3 10 5 2 3 2 9 2 3 4 2" xfId="25611"/>
    <cellStyle name="Обычный 3 10 5 2 3 2 9 2 3 5" xfId="25612"/>
    <cellStyle name="Обычный 3 10 5 2 3 2 9 2 4" xfId="25613"/>
    <cellStyle name="Обычный 3 10 5 2 3 2 9 2 4 2" xfId="25614"/>
    <cellStyle name="Обычный 3 10 5 2 3 2 9 2 4 2 2" xfId="25615"/>
    <cellStyle name="Обычный 3 10 5 2 3 2 9 2 4 3" xfId="25616"/>
    <cellStyle name="Обычный 3 10 5 2 3 2 9 2 5" xfId="25617"/>
    <cellStyle name="Обычный 3 10 5 2 3 2 9 2 5 2" xfId="25618"/>
    <cellStyle name="Обычный 3 10 5 2 3 2 9 2 5 2 2" xfId="25619"/>
    <cellStyle name="Обычный 3 10 5 2 3 2 9 2 5 3" xfId="25620"/>
    <cellStyle name="Обычный 3 10 5 2 3 2 9 2 6" xfId="25621"/>
    <cellStyle name="Обычный 3 10 5 2 3 2 9 2 6 2" xfId="25622"/>
    <cellStyle name="Обычный 3 10 5 2 3 2 9 2 7" xfId="25623"/>
    <cellStyle name="Обычный 3 10 5 2 3 2 9 3" xfId="25624"/>
    <cellStyle name="Обычный 3 10 5 2 3 2 9 3 2" xfId="25625"/>
    <cellStyle name="Обычный 3 10 5 2 3 2 9 3 2 2" xfId="25626"/>
    <cellStyle name="Обычный 3 10 5 2 3 2 9 3 2 2 2" xfId="25627"/>
    <cellStyle name="Обычный 3 10 5 2 3 2 9 3 2 3" xfId="25628"/>
    <cellStyle name="Обычный 3 10 5 2 3 2 9 3 3" xfId="25629"/>
    <cellStyle name="Обычный 3 10 5 2 3 2 9 3 3 2" xfId="25630"/>
    <cellStyle name="Обычный 3 10 5 2 3 2 9 3 3 2 2" xfId="25631"/>
    <cellStyle name="Обычный 3 10 5 2 3 2 9 3 3 3" xfId="25632"/>
    <cellStyle name="Обычный 3 10 5 2 3 2 9 3 4" xfId="25633"/>
    <cellStyle name="Обычный 3 10 5 2 3 2 9 3 4 2" xfId="25634"/>
    <cellStyle name="Обычный 3 10 5 2 3 2 9 3 5" xfId="25635"/>
    <cellStyle name="Обычный 3 10 5 2 3 2 9 4" xfId="25636"/>
    <cellStyle name="Обычный 3 10 5 2 3 2 9 4 2" xfId="25637"/>
    <cellStyle name="Обычный 3 10 5 2 3 2 9 4 2 2" xfId="25638"/>
    <cellStyle name="Обычный 3 10 5 2 3 2 9 4 2 2 2" xfId="25639"/>
    <cellStyle name="Обычный 3 10 5 2 3 2 9 4 2 3" xfId="25640"/>
    <cellStyle name="Обычный 3 10 5 2 3 2 9 4 3" xfId="25641"/>
    <cellStyle name="Обычный 3 10 5 2 3 2 9 4 3 2" xfId="25642"/>
    <cellStyle name="Обычный 3 10 5 2 3 2 9 4 3 2 2" xfId="25643"/>
    <cellStyle name="Обычный 3 10 5 2 3 2 9 4 3 3" xfId="25644"/>
    <cellStyle name="Обычный 3 10 5 2 3 2 9 4 4" xfId="25645"/>
    <cellStyle name="Обычный 3 10 5 2 3 2 9 4 4 2" xfId="25646"/>
    <cellStyle name="Обычный 3 10 5 2 3 2 9 4 5" xfId="25647"/>
    <cellStyle name="Обычный 3 10 5 2 3 2 9 5" xfId="25648"/>
    <cellStyle name="Обычный 3 10 5 2 3 2 9 5 2" xfId="25649"/>
    <cellStyle name="Обычный 3 10 5 2 3 2 9 5 2 2" xfId="25650"/>
    <cellStyle name="Обычный 3 10 5 2 3 2 9 5 2 2 2" xfId="25651"/>
    <cellStyle name="Обычный 3 10 5 2 3 2 9 5 2 3" xfId="25652"/>
    <cellStyle name="Обычный 3 10 5 2 3 2 9 5 3" xfId="25653"/>
    <cellStyle name="Обычный 3 10 5 2 3 2 9 5 3 2" xfId="25654"/>
    <cellStyle name="Обычный 3 10 5 2 3 2 9 5 4" xfId="25655"/>
    <cellStyle name="Обычный 3 10 5 2 3 2 9 6" xfId="25656"/>
    <cellStyle name="Обычный 3 10 5 2 3 2 9 6 2" xfId="25657"/>
    <cellStyle name="Обычный 3 10 5 2 3 2 9 6 2 2" xfId="25658"/>
    <cellStyle name="Обычный 3 10 5 2 3 2 9 6 3" xfId="25659"/>
    <cellStyle name="Обычный 3 10 5 2 3 2 9 7" xfId="25660"/>
    <cellStyle name="Обычный 3 10 5 2 3 2 9 7 2" xfId="25661"/>
    <cellStyle name="Обычный 3 10 5 2 3 2 9 7 2 2" xfId="25662"/>
    <cellStyle name="Обычный 3 10 5 2 3 2 9 7 3" xfId="25663"/>
    <cellStyle name="Обычный 3 10 5 2 3 2 9 8" xfId="25664"/>
    <cellStyle name="Обычный 3 10 5 2 3 2 9 8 2" xfId="25665"/>
    <cellStyle name="Обычный 3 10 5 2 3 2 9 9" xfId="25666"/>
    <cellStyle name="Обычный 3 10 5 2 3 2 9 9 2" xfId="25667"/>
    <cellStyle name="Обычный 3 10 5 2 3 3" xfId="25668"/>
    <cellStyle name="Обычный 3 10 5 2 3 3 10" xfId="25669"/>
    <cellStyle name="Обычный 3 10 5 2 3 3 2" xfId="25670"/>
    <cellStyle name="Обычный 3 10 5 2 3 3 2 2" xfId="25671"/>
    <cellStyle name="Обычный 3 10 5 2 3 3 2 2 2" xfId="25672"/>
    <cellStyle name="Обычный 3 10 5 2 3 3 2 2 2 2" xfId="25673"/>
    <cellStyle name="Обычный 3 10 5 2 3 3 2 2 2 2 2" xfId="25674"/>
    <cellStyle name="Обычный 3 10 5 2 3 3 2 2 2 3" xfId="25675"/>
    <cellStyle name="Обычный 3 10 5 2 3 3 2 2 3" xfId="25676"/>
    <cellStyle name="Обычный 3 10 5 2 3 3 2 2 3 2" xfId="25677"/>
    <cellStyle name="Обычный 3 10 5 2 3 3 2 2 3 2 2" xfId="25678"/>
    <cellStyle name="Обычный 3 10 5 2 3 3 2 2 3 3" xfId="25679"/>
    <cellStyle name="Обычный 3 10 5 2 3 3 2 2 4" xfId="25680"/>
    <cellStyle name="Обычный 3 10 5 2 3 3 2 2 4 2" xfId="25681"/>
    <cellStyle name="Обычный 3 10 5 2 3 3 2 2 5" xfId="25682"/>
    <cellStyle name="Обычный 3 10 5 2 3 3 2 2 5 2" xfId="25683"/>
    <cellStyle name="Обычный 3 10 5 2 3 3 2 2 6" xfId="25684"/>
    <cellStyle name="Обычный 3 10 5 2 3 3 2 3" xfId="25685"/>
    <cellStyle name="Обычный 3 10 5 2 3 3 2 3 2" xfId="25686"/>
    <cellStyle name="Обычный 3 10 5 2 3 3 2 3 2 2" xfId="25687"/>
    <cellStyle name="Обычный 3 10 5 2 3 3 2 3 2 2 2" xfId="25688"/>
    <cellStyle name="Обычный 3 10 5 2 3 3 2 3 2 3" xfId="25689"/>
    <cellStyle name="Обычный 3 10 5 2 3 3 2 3 3" xfId="25690"/>
    <cellStyle name="Обычный 3 10 5 2 3 3 2 3 3 2" xfId="25691"/>
    <cellStyle name="Обычный 3 10 5 2 3 3 2 3 3 2 2" xfId="25692"/>
    <cellStyle name="Обычный 3 10 5 2 3 3 2 3 3 3" xfId="25693"/>
    <cellStyle name="Обычный 3 10 5 2 3 3 2 3 4" xfId="25694"/>
    <cellStyle name="Обычный 3 10 5 2 3 3 2 3 4 2" xfId="25695"/>
    <cellStyle name="Обычный 3 10 5 2 3 3 2 3 5" xfId="25696"/>
    <cellStyle name="Обычный 3 10 5 2 3 3 2 3 5 2" xfId="25697"/>
    <cellStyle name="Обычный 3 10 5 2 3 3 2 3 6" xfId="25698"/>
    <cellStyle name="Обычный 3 10 5 2 3 3 2 4" xfId="25699"/>
    <cellStyle name="Обычный 3 10 5 2 3 3 2 4 2" xfId="25700"/>
    <cellStyle name="Обычный 3 10 5 2 3 3 2 4 2 2" xfId="25701"/>
    <cellStyle name="Обычный 3 10 5 2 3 3 2 4 3" xfId="25702"/>
    <cellStyle name="Обычный 3 10 5 2 3 3 2 4 3 2" xfId="25703"/>
    <cellStyle name="Обычный 3 10 5 2 3 3 2 4 4" xfId="25704"/>
    <cellStyle name="Обычный 3 10 5 2 3 3 2 5" xfId="25705"/>
    <cellStyle name="Обычный 3 10 5 2 3 3 2 5 2" xfId="25706"/>
    <cellStyle name="Обычный 3 10 5 2 3 3 2 5 2 2" xfId="25707"/>
    <cellStyle name="Обычный 3 10 5 2 3 3 2 5 3" xfId="25708"/>
    <cellStyle name="Обычный 3 10 5 2 3 3 2 6" xfId="25709"/>
    <cellStyle name="Обычный 3 10 5 2 3 3 2 6 2" xfId="25710"/>
    <cellStyle name="Обычный 3 10 5 2 3 3 2 7" xfId="25711"/>
    <cellStyle name="Обычный 3 10 5 2 3 3 2 7 2" xfId="25712"/>
    <cellStyle name="Обычный 3 10 5 2 3 3 2 8" xfId="25713"/>
    <cellStyle name="Обычный 3 10 5 2 3 3 3" xfId="25714"/>
    <cellStyle name="Обычный 3 10 5 2 3 3 3 2" xfId="25715"/>
    <cellStyle name="Обычный 3 10 5 2 3 3 3 2 2" xfId="25716"/>
    <cellStyle name="Обычный 3 10 5 2 3 3 3 2 2 2" xfId="25717"/>
    <cellStyle name="Обычный 3 10 5 2 3 3 3 2 2 2 2" xfId="25718"/>
    <cellStyle name="Обычный 3 10 5 2 3 3 3 2 2 3" xfId="25719"/>
    <cellStyle name="Обычный 3 10 5 2 3 3 3 2 3" xfId="25720"/>
    <cellStyle name="Обычный 3 10 5 2 3 3 3 2 3 2" xfId="25721"/>
    <cellStyle name="Обычный 3 10 5 2 3 3 3 2 3 2 2" xfId="25722"/>
    <cellStyle name="Обычный 3 10 5 2 3 3 3 2 3 3" xfId="25723"/>
    <cellStyle name="Обычный 3 10 5 2 3 3 3 2 4" xfId="25724"/>
    <cellStyle name="Обычный 3 10 5 2 3 3 3 2 4 2" xfId="25725"/>
    <cellStyle name="Обычный 3 10 5 2 3 3 3 2 5" xfId="25726"/>
    <cellStyle name="Обычный 3 10 5 2 3 3 3 3" xfId="25727"/>
    <cellStyle name="Обычный 3 10 5 2 3 3 3 3 2" xfId="25728"/>
    <cellStyle name="Обычный 3 10 5 2 3 3 3 3 2 2" xfId="25729"/>
    <cellStyle name="Обычный 3 10 5 2 3 3 3 3 2 2 2" xfId="25730"/>
    <cellStyle name="Обычный 3 10 5 2 3 3 3 3 2 3" xfId="25731"/>
    <cellStyle name="Обычный 3 10 5 2 3 3 3 3 3" xfId="25732"/>
    <cellStyle name="Обычный 3 10 5 2 3 3 3 3 3 2" xfId="25733"/>
    <cellStyle name="Обычный 3 10 5 2 3 3 3 3 3 2 2" xfId="25734"/>
    <cellStyle name="Обычный 3 10 5 2 3 3 3 3 3 3" xfId="25735"/>
    <cellStyle name="Обычный 3 10 5 2 3 3 3 3 4" xfId="25736"/>
    <cellStyle name="Обычный 3 10 5 2 3 3 3 3 4 2" xfId="25737"/>
    <cellStyle name="Обычный 3 10 5 2 3 3 3 3 5" xfId="25738"/>
    <cellStyle name="Обычный 3 10 5 2 3 3 3 4" xfId="25739"/>
    <cellStyle name="Обычный 3 10 5 2 3 3 3 4 2" xfId="25740"/>
    <cellStyle name="Обычный 3 10 5 2 3 3 3 4 2 2" xfId="25741"/>
    <cellStyle name="Обычный 3 10 5 2 3 3 3 4 3" xfId="25742"/>
    <cellStyle name="Обычный 3 10 5 2 3 3 3 5" xfId="25743"/>
    <cellStyle name="Обычный 3 10 5 2 3 3 3 5 2" xfId="25744"/>
    <cellStyle name="Обычный 3 10 5 2 3 3 3 5 2 2" xfId="25745"/>
    <cellStyle name="Обычный 3 10 5 2 3 3 3 5 3" xfId="25746"/>
    <cellStyle name="Обычный 3 10 5 2 3 3 3 6" xfId="25747"/>
    <cellStyle name="Обычный 3 10 5 2 3 3 3 6 2" xfId="25748"/>
    <cellStyle name="Обычный 3 10 5 2 3 3 3 7" xfId="25749"/>
    <cellStyle name="Обычный 3 10 5 2 3 3 3 7 2" xfId="25750"/>
    <cellStyle name="Обычный 3 10 5 2 3 3 3 8" xfId="25751"/>
    <cellStyle name="Обычный 3 10 5 2 3 3 4" xfId="25752"/>
    <cellStyle name="Обычный 3 10 5 2 3 3 4 2" xfId="25753"/>
    <cellStyle name="Обычный 3 10 5 2 3 3 4 2 2" xfId="25754"/>
    <cellStyle name="Обычный 3 10 5 2 3 3 4 2 2 2" xfId="25755"/>
    <cellStyle name="Обычный 3 10 5 2 3 3 4 2 3" xfId="25756"/>
    <cellStyle name="Обычный 3 10 5 2 3 3 4 3" xfId="25757"/>
    <cellStyle name="Обычный 3 10 5 2 3 3 4 3 2" xfId="25758"/>
    <cellStyle name="Обычный 3 10 5 2 3 3 4 3 2 2" xfId="25759"/>
    <cellStyle name="Обычный 3 10 5 2 3 3 4 3 3" xfId="25760"/>
    <cellStyle name="Обычный 3 10 5 2 3 3 4 4" xfId="25761"/>
    <cellStyle name="Обычный 3 10 5 2 3 3 4 4 2" xfId="25762"/>
    <cellStyle name="Обычный 3 10 5 2 3 3 4 5" xfId="25763"/>
    <cellStyle name="Обычный 3 10 5 2 3 3 4 5 2" xfId="25764"/>
    <cellStyle name="Обычный 3 10 5 2 3 3 4 6" xfId="25765"/>
    <cellStyle name="Обычный 3 10 5 2 3 3 5" xfId="25766"/>
    <cellStyle name="Обычный 3 10 5 2 3 3 5 2" xfId="25767"/>
    <cellStyle name="Обычный 3 10 5 2 3 3 5 2 2" xfId="25768"/>
    <cellStyle name="Обычный 3 10 5 2 3 3 5 2 2 2" xfId="25769"/>
    <cellStyle name="Обычный 3 10 5 2 3 3 5 2 3" xfId="25770"/>
    <cellStyle name="Обычный 3 10 5 2 3 3 5 3" xfId="25771"/>
    <cellStyle name="Обычный 3 10 5 2 3 3 5 3 2" xfId="25772"/>
    <cellStyle name="Обычный 3 10 5 2 3 3 5 3 2 2" xfId="25773"/>
    <cellStyle name="Обычный 3 10 5 2 3 3 5 3 3" xfId="25774"/>
    <cellStyle name="Обычный 3 10 5 2 3 3 5 4" xfId="25775"/>
    <cellStyle name="Обычный 3 10 5 2 3 3 5 4 2" xfId="25776"/>
    <cellStyle name="Обычный 3 10 5 2 3 3 5 5" xfId="25777"/>
    <cellStyle name="Обычный 3 10 5 2 3 3 5 5 2" xfId="25778"/>
    <cellStyle name="Обычный 3 10 5 2 3 3 5 6" xfId="25779"/>
    <cellStyle name="Обычный 3 10 5 2 3 3 6" xfId="25780"/>
    <cellStyle name="Обычный 3 10 5 2 3 3 6 2" xfId="25781"/>
    <cellStyle name="Обычный 3 10 5 2 3 3 6 2 2" xfId="25782"/>
    <cellStyle name="Обычный 3 10 5 2 3 3 6 3" xfId="25783"/>
    <cellStyle name="Обычный 3 10 5 2 3 3 7" xfId="25784"/>
    <cellStyle name="Обычный 3 10 5 2 3 3 7 2" xfId="25785"/>
    <cellStyle name="Обычный 3 10 5 2 3 3 7 2 2" xfId="25786"/>
    <cellStyle name="Обычный 3 10 5 2 3 3 7 3" xfId="25787"/>
    <cellStyle name="Обычный 3 10 5 2 3 3 8" xfId="25788"/>
    <cellStyle name="Обычный 3 10 5 2 3 3 8 2" xfId="25789"/>
    <cellStyle name="Обычный 3 10 5 2 3 3 9" xfId="25790"/>
    <cellStyle name="Обычный 3 10 5 2 3 3 9 2" xfId="25791"/>
    <cellStyle name="Обычный 3 10 5 2 3 4" xfId="25792"/>
    <cellStyle name="Обычный 3 10 5 2 3 4 2" xfId="25793"/>
    <cellStyle name="Обычный 3 10 5 2 3 4 2 2" xfId="25794"/>
    <cellStyle name="Обычный 3 10 5 2 3 4 2 2 2" xfId="25795"/>
    <cellStyle name="Обычный 3 10 5 2 3 4 2 2 2 2" xfId="25796"/>
    <cellStyle name="Обычный 3 10 5 2 3 4 2 2 3" xfId="25797"/>
    <cellStyle name="Обычный 3 10 5 2 3 4 2 2 3 2" xfId="25798"/>
    <cellStyle name="Обычный 3 10 5 2 3 4 2 2 4" xfId="25799"/>
    <cellStyle name="Обычный 3 10 5 2 3 4 2 3" xfId="25800"/>
    <cellStyle name="Обычный 3 10 5 2 3 4 2 3 2" xfId="25801"/>
    <cellStyle name="Обычный 3 10 5 2 3 4 2 3 2 2" xfId="25802"/>
    <cellStyle name="Обычный 3 10 5 2 3 4 2 3 3" xfId="25803"/>
    <cellStyle name="Обычный 3 10 5 2 3 4 2 4" xfId="25804"/>
    <cellStyle name="Обычный 3 10 5 2 3 4 2 4 2" xfId="25805"/>
    <cellStyle name="Обычный 3 10 5 2 3 4 2 5" xfId="25806"/>
    <cellStyle name="Обычный 3 10 5 2 3 4 2 5 2" xfId="25807"/>
    <cellStyle name="Обычный 3 10 5 2 3 4 2 6" xfId="25808"/>
    <cellStyle name="Обычный 3 10 5 2 3 4 3" xfId="25809"/>
    <cellStyle name="Обычный 3 10 5 2 3 4 3 2" xfId="25810"/>
    <cellStyle name="Обычный 3 10 5 2 3 4 3 2 2" xfId="25811"/>
    <cellStyle name="Обычный 3 10 5 2 3 4 3 2 2 2" xfId="25812"/>
    <cellStyle name="Обычный 3 10 5 2 3 4 3 2 3" xfId="25813"/>
    <cellStyle name="Обычный 3 10 5 2 3 4 3 3" xfId="25814"/>
    <cellStyle name="Обычный 3 10 5 2 3 4 3 3 2" xfId="25815"/>
    <cellStyle name="Обычный 3 10 5 2 3 4 3 3 2 2" xfId="25816"/>
    <cellStyle name="Обычный 3 10 5 2 3 4 3 3 3" xfId="25817"/>
    <cellStyle name="Обычный 3 10 5 2 3 4 3 4" xfId="25818"/>
    <cellStyle name="Обычный 3 10 5 2 3 4 3 4 2" xfId="25819"/>
    <cellStyle name="Обычный 3 10 5 2 3 4 3 5" xfId="25820"/>
    <cellStyle name="Обычный 3 10 5 2 3 4 3 5 2" xfId="25821"/>
    <cellStyle name="Обычный 3 10 5 2 3 4 3 6" xfId="25822"/>
    <cellStyle name="Обычный 3 10 5 2 3 4 4" xfId="25823"/>
    <cellStyle name="Обычный 3 10 5 2 3 4 4 2" xfId="25824"/>
    <cellStyle name="Обычный 3 10 5 2 3 4 4 2 2" xfId="25825"/>
    <cellStyle name="Обычный 3 10 5 2 3 4 4 3" xfId="25826"/>
    <cellStyle name="Обычный 3 10 5 2 3 4 4 3 2" xfId="25827"/>
    <cellStyle name="Обычный 3 10 5 2 3 4 4 4" xfId="25828"/>
    <cellStyle name="Обычный 3 10 5 2 3 4 5" xfId="25829"/>
    <cellStyle name="Обычный 3 10 5 2 3 4 5 2" xfId="25830"/>
    <cellStyle name="Обычный 3 10 5 2 3 4 5 2 2" xfId="25831"/>
    <cellStyle name="Обычный 3 10 5 2 3 4 5 3" xfId="25832"/>
    <cellStyle name="Обычный 3 10 5 2 3 4 6" xfId="25833"/>
    <cellStyle name="Обычный 3 10 5 2 3 4 6 2" xfId="25834"/>
    <cellStyle name="Обычный 3 10 5 2 3 4 7" xfId="25835"/>
    <cellStyle name="Обычный 3 10 5 2 3 4 7 2" xfId="25836"/>
    <cellStyle name="Обычный 3 10 5 2 3 4 8" xfId="25837"/>
    <cellStyle name="Обычный 3 10 5 2 3 5" xfId="25838"/>
    <cellStyle name="Обычный 3 10 5 2 3 5 2" xfId="25839"/>
    <cellStyle name="Обычный 3 10 5 2 3 5 2 2" xfId="25840"/>
    <cellStyle name="Обычный 3 10 5 2 3 5 2 2 2" xfId="25841"/>
    <cellStyle name="Обычный 3 10 5 2 3 5 2 2 2 2" xfId="25842"/>
    <cellStyle name="Обычный 3 10 5 2 3 5 2 2 2 2 2" xfId="25843"/>
    <cellStyle name="Обычный 3 10 5 2 3 5 2 2 2 3" xfId="25844"/>
    <cellStyle name="Обычный 3 10 5 2 3 5 2 2 3" xfId="25845"/>
    <cellStyle name="Обычный 3 10 5 2 3 5 2 2 3 2" xfId="25846"/>
    <cellStyle name="Обычный 3 10 5 2 3 5 2 2 3 2 2" xfId="25847"/>
    <cellStyle name="Обычный 3 10 5 2 3 5 2 2 3 3" xfId="25848"/>
    <cellStyle name="Обычный 3 10 5 2 3 5 2 2 4" xfId="25849"/>
    <cellStyle name="Обычный 3 10 5 2 3 5 2 2 4 2" xfId="25850"/>
    <cellStyle name="Обычный 3 10 5 2 3 5 2 2 5" xfId="25851"/>
    <cellStyle name="Обычный 3 10 5 2 3 5 2 3" xfId="25852"/>
    <cellStyle name="Обычный 3 10 5 2 3 5 2 3 2" xfId="25853"/>
    <cellStyle name="Обычный 3 10 5 2 3 5 2 3 2 2" xfId="25854"/>
    <cellStyle name="Обычный 3 10 5 2 3 5 2 3 3" xfId="25855"/>
    <cellStyle name="Обычный 3 10 5 2 3 5 2 4" xfId="25856"/>
    <cellStyle name="Обычный 3 10 5 2 3 5 2 4 2" xfId="25857"/>
    <cellStyle name="Обычный 3 10 5 2 3 5 2 4 2 2" xfId="25858"/>
    <cellStyle name="Обычный 3 10 5 2 3 5 2 4 3" xfId="25859"/>
    <cellStyle name="Обычный 3 10 5 2 3 5 2 5" xfId="25860"/>
    <cellStyle name="Обычный 3 10 5 2 3 5 2 5 2" xfId="25861"/>
    <cellStyle name="Обычный 3 10 5 2 3 5 2 6" xfId="25862"/>
    <cellStyle name="Обычный 3 10 5 2 3 5 2 6 2" xfId="25863"/>
    <cellStyle name="Обычный 3 10 5 2 3 5 2 7" xfId="25864"/>
    <cellStyle name="Обычный 3 10 5 2 3 5 3" xfId="25865"/>
    <cellStyle name="Обычный 3 10 5 2 3 5 3 2" xfId="25866"/>
    <cellStyle name="Обычный 3 10 5 2 3 5 3 2 2" xfId="25867"/>
    <cellStyle name="Обычный 3 10 5 2 3 5 3 2 2 2" xfId="25868"/>
    <cellStyle name="Обычный 3 10 5 2 3 5 3 2 3" xfId="25869"/>
    <cellStyle name="Обычный 3 10 5 2 3 5 3 3" xfId="25870"/>
    <cellStyle name="Обычный 3 10 5 2 3 5 3 3 2" xfId="25871"/>
    <cellStyle name="Обычный 3 10 5 2 3 5 3 3 2 2" xfId="25872"/>
    <cellStyle name="Обычный 3 10 5 2 3 5 3 3 3" xfId="25873"/>
    <cellStyle name="Обычный 3 10 5 2 3 5 3 4" xfId="25874"/>
    <cellStyle name="Обычный 3 10 5 2 3 5 3 4 2" xfId="25875"/>
    <cellStyle name="Обычный 3 10 5 2 3 5 3 5" xfId="25876"/>
    <cellStyle name="Обычный 3 10 5 2 3 5 4" xfId="25877"/>
    <cellStyle name="Обычный 3 10 5 2 3 5 4 2" xfId="25878"/>
    <cellStyle name="Обычный 3 10 5 2 3 5 4 2 2" xfId="25879"/>
    <cellStyle name="Обычный 3 10 5 2 3 5 4 3" xfId="25880"/>
    <cellStyle name="Обычный 3 10 5 2 3 5 5" xfId="25881"/>
    <cellStyle name="Обычный 3 10 5 2 3 5 5 2" xfId="25882"/>
    <cellStyle name="Обычный 3 10 5 2 3 5 5 2 2" xfId="25883"/>
    <cellStyle name="Обычный 3 10 5 2 3 5 5 3" xfId="25884"/>
    <cellStyle name="Обычный 3 10 5 2 3 5 6" xfId="25885"/>
    <cellStyle name="Обычный 3 10 5 2 3 5 6 2" xfId="25886"/>
    <cellStyle name="Обычный 3 10 5 2 3 5 7" xfId="25887"/>
    <cellStyle name="Обычный 3 10 5 2 3 5 7 2" xfId="25888"/>
    <cellStyle name="Обычный 3 10 5 2 3 5 8" xfId="25889"/>
    <cellStyle name="Обычный 3 10 5 2 3 6" xfId="25890"/>
    <cellStyle name="Обычный 3 10 5 2 3 6 2" xfId="25891"/>
    <cellStyle name="Обычный 3 10 5 2 3 6 2 2" xfId="25892"/>
    <cellStyle name="Обычный 3 10 5 2 3 6 2 2 2" xfId="25893"/>
    <cellStyle name="Обычный 3 10 5 2 3 6 2 3" xfId="25894"/>
    <cellStyle name="Обычный 3 10 5 2 3 6 3" xfId="25895"/>
    <cellStyle name="Обычный 3 10 5 2 3 6 3 2" xfId="25896"/>
    <cellStyle name="Обычный 3 10 5 2 3 6 3 2 2" xfId="25897"/>
    <cellStyle name="Обычный 3 10 5 2 3 6 3 3" xfId="25898"/>
    <cellStyle name="Обычный 3 10 5 2 3 6 4" xfId="25899"/>
    <cellStyle name="Обычный 3 10 5 2 3 6 4 2" xfId="25900"/>
    <cellStyle name="Обычный 3 10 5 2 3 6 5" xfId="25901"/>
    <cellStyle name="Обычный 3 10 5 2 3 6 5 2" xfId="25902"/>
    <cellStyle name="Обычный 3 10 5 2 3 6 6" xfId="25903"/>
    <cellStyle name="Обычный 3 10 5 2 3 7" xfId="25904"/>
    <cellStyle name="Обычный 3 10 5 2 3 7 2" xfId="25905"/>
    <cellStyle name="Обычный 3 10 5 2 3 7 2 2" xfId="25906"/>
    <cellStyle name="Обычный 3 10 5 2 3 7 2 2 2" xfId="25907"/>
    <cellStyle name="Обычный 3 10 5 2 3 7 2 3" xfId="25908"/>
    <cellStyle name="Обычный 3 10 5 2 3 7 3" xfId="25909"/>
    <cellStyle name="Обычный 3 10 5 2 3 7 3 2" xfId="25910"/>
    <cellStyle name="Обычный 3 10 5 2 3 7 3 2 2" xfId="25911"/>
    <cellStyle name="Обычный 3 10 5 2 3 7 3 3" xfId="25912"/>
    <cellStyle name="Обычный 3 10 5 2 3 7 4" xfId="25913"/>
    <cellStyle name="Обычный 3 10 5 2 3 7 4 2" xfId="25914"/>
    <cellStyle name="Обычный 3 10 5 2 3 7 5" xfId="25915"/>
    <cellStyle name="Обычный 3 10 5 2 3 7 5 2" xfId="25916"/>
    <cellStyle name="Обычный 3 10 5 2 3 7 6" xfId="25917"/>
    <cellStyle name="Обычный 3 10 5 2 3 8" xfId="25918"/>
    <cellStyle name="Обычный 3 10 5 2 3 8 2" xfId="25919"/>
    <cellStyle name="Обычный 3 10 5 2 3 8 2 2" xfId="25920"/>
    <cellStyle name="Обычный 3 10 5 2 3 8 3" xfId="25921"/>
    <cellStyle name="Обычный 3 10 5 2 3 9" xfId="25922"/>
    <cellStyle name="Обычный 3 10 5 2 3 9 2" xfId="25923"/>
    <cellStyle name="Обычный 3 10 5 2 3 9 2 2" xfId="25924"/>
    <cellStyle name="Обычный 3 10 5 2 3 9 3" xfId="25925"/>
    <cellStyle name="Обычный 3 10 5 2 4" xfId="25926"/>
    <cellStyle name="Обычный 3 10 5 2 4 10" xfId="25927"/>
    <cellStyle name="Обычный 3 10 5 2 4 10 2" xfId="25928"/>
    <cellStyle name="Обычный 3 10 5 2 4 11" xfId="25929"/>
    <cellStyle name="Обычный 3 10 5 2 4 2" xfId="25930"/>
    <cellStyle name="Обычный 3 10 5 2 4 2 2" xfId="25931"/>
    <cellStyle name="Обычный 3 10 5 2 4 2 2 2" xfId="25932"/>
    <cellStyle name="Обычный 3 10 5 2 4 2 2 2 2" xfId="25933"/>
    <cellStyle name="Обычный 3 10 5 2 4 2 2 2 2 2" xfId="25934"/>
    <cellStyle name="Обычный 3 10 5 2 4 2 2 2 3" xfId="25935"/>
    <cellStyle name="Обычный 3 10 5 2 4 2 2 3" xfId="25936"/>
    <cellStyle name="Обычный 3 10 5 2 4 2 2 3 2" xfId="25937"/>
    <cellStyle name="Обычный 3 10 5 2 4 2 2 3 2 2" xfId="25938"/>
    <cellStyle name="Обычный 3 10 5 2 4 2 2 3 3" xfId="25939"/>
    <cellStyle name="Обычный 3 10 5 2 4 2 2 4" xfId="25940"/>
    <cellStyle name="Обычный 3 10 5 2 4 2 2 4 2" xfId="25941"/>
    <cellStyle name="Обычный 3 10 5 2 4 2 2 5" xfId="25942"/>
    <cellStyle name="Обычный 3 10 5 2 4 2 2 5 2" xfId="25943"/>
    <cellStyle name="Обычный 3 10 5 2 4 2 2 6" xfId="25944"/>
    <cellStyle name="Обычный 3 10 5 2 4 2 3" xfId="25945"/>
    <cellStyle name="Обычный 3 10 5 2 4 2 3 2" xfId="25946"/>
    <cellStyle name="Обычный 3 10 5 2 4 2 3 2 2" xfId="25947"/>
    <cellStyle name="Обычный 3 10 5 2 4 2 3 2 2 2" xfId="25948"/>
    <cellStyle name="Обычный 3 10 5 2 4 2 3 2 3" xfId="25949"/>
    <cellStyle name="Обычный 3 10 5 2 4 2 3 3" xfId="25950"/>
    <cellStyle name="Обычный 3 10 5 2 4 2 3 3 2" xfId="25951"/>
    <cellStyle name="Обычный 3 10 5 2 4 2 3 3 2 2" xfId="25952"/>
    <cellStyle name="Обычный 3 10 5 2 4 2 3 3 3" xfId="25953"/>
    <cellStyle name="Обычный 3 10 5 2 4 2 3 4" xfId="25954"/>
    <cellStyle name="Обычный 3 10 5 2 4 2 3 4 2" xfId="25955"/>
    <cellStyle name="Обычный 3 10 5 2 4 2 3 5" xfId="25956"/>
    <cellStyle name="Обычный 3 10 5 2 4 2 3 5 2" xfId="25957"/>
    <cellStyle name="Обычный 3 10 5 2 4 2 3 6" xfId="25958"/>
    <cellStyle name="Обычный 3 10 5 2 4 2 4" xfId="25959"/>
    <cellStyle name="Обычный 3 10 5 2 4 2 4 2" xfId="25960"/>
    <cellStyle name="Обычный 3 10 5 2 4 2 4 2 2" xfId="25961"/>
    <cellStyle name="Обычный 3 10 5 2 4 2 4 3" xfId="25962"/>
    <cellStyle name="Обычный 3 10 5 2 4 2 5" xfId="25963"/>
    <cellStyle name="Обычный 3 10 5 2 4 2 5 2" xfId="25964"/>
    <cellStyle name="Обычный 3 10 5 2 4 2 5 2 2" xfId="25965"/>
    <cellStyle name="Обычный 3 10 5 2 4 2 5 3" xfId="25966"/>
    <cellStyle name="Обычный 3 10 5 2 4 2 6" xfId="25967"/>
    <cellStyle name="Обычный 3 10 5 2 4 2 6 2" xfId="25968"/>
    <cellStyle name="Обычный 3 10 5 2 4 2 7" xfId="25969"/>
    <cellStyle name="Обычный 3 10 5 2 4 2 7 2" xfId="25970"/>
    <cellStyle name="Обычный 3 10 5 2 4 2 8" xfId="25971"/>
    <cellStyle name="Обычный 3 10 5 2 4 3" xfId="25972"/>
    <cellStyle name="Обычный 3 10 5 2 4 3 2" xfId="25973"/>
    <cellStyle name="Обычный 3 10 5 2 4 3 2 2" xfId="25974"/>
    <cellStyle name="Обычный 3 10 5 2 4 3 2 2 2" xfId="25975"/>
    <cellStyle name="Обычный 3 10 5 2 4 3 2 2 2 2" xfId="25976"/>
    <cellStyle name="Обычный 3 10 5 2 4 3 2 2 2 2 2" xfId="25977"/>
    <cellStyle name="Обычный 3 10 5 2 4 3 2 2 2 2 2 2" xfId="25978"/>
    <cellStyle name="Обычный 3 10 5 2 4 3 2 2 2 2 3" xfId="25979"/>
    <cellStyle name="Обычный 3 10 5 2 4 3 2 2 2 3" xfId="25980"/>
    <cellStyle name="Обычный 3 10 5 2 4 3 2 2 2 3 2" xfId="25981"/>
    <cellStyle name="Обычный 3 10 5 2 4 3 2 2 2 4" xfId="25982"/>
    <cellStyle name="Обычный 3 10 5 2 4 3 2 2 3" xfId="25983"/>
    <cellStyle name="Обычный 3 10 5 2 4 3 2 2 3 2" xfId="25984"/>
    <cellStyle name="Обычный 3 10 5 2 4 3 2 2 3 2 2" xfId="25985"/>
    <cellStyle name="Обычный 3 10 5 2 4 3 2 2 3 3" xfId="25986"/>
    <cellStyle name="Обычный 3 10 5 2 4 3 2 2 4" xfId="25987"/>
    <cellStyle name="Обычный 3 10 5 2 4 3 2 2 4 2" xfId="25988"/>
    <cellStyle name="Обычный 3 10 5 2 4 3 2 2 4 2 2" xfId="25989"/>
    <cellStyle name="Обычный 3 10 5 2 4 3 2 2 4 3" xfId="25990"/>
    <cellStyle name="Обычный 3 10 5 2 4 3 2 2 5" xfId="25991"/>
    <cellStyle name="Обычный 3 10 5 2 4 3 2 2 5 2" xfId="25992"/>
    <cellStyle name="Обычный 3 10 5 2 4 3 2 2 6" xfId="25993"/>
    <cellStyle name="Обычный 3 10 5 2 4 3 2 3" xfId="25994"/>
    <cellStyle name="Обычный 3 10 5 2 4 3 2 3 2" xfId="25995"/>
    <cellStyle name="Обычный 3 10 5 2 4 3 2 3 2 2" xfId="25996"/>
    <cellStyle name="Обычный 3 10 5 2 4 3 2 3 2 2 2" xfId="25997"/>
    <cellStyle name="Обычный 3 10 5 2 4 3 2 3 2 3" xfId="25998"/>
    <cellStyle name="Обычный 3 10 5 2 4 3 2 3 3" xfId="25999"/>
    <cellStyle name="Обычный 3 10 5 2 4 3 2 3 3 2" xfId="26000"/>
    <cellStyle name="Обычный 3 10 5 2 4 3 2 3 3 2 2" xfId="26001"/>
    <cellStyle name="Обычный 3 10 5 2 4 3 2 3 3 3" xfId="26002"/>
    <cellStyle name="Обычный 3 10 5 2 4 3 2 3 4" xfId="26003"/>
    <cellStyle name="Обычный 3 10 5 2 4 3 2 3 4 2" xfId="26004"/>
    <cellStyle name="Обычный 3 10 5 2 4 3 2 3 5" xfId="26005"/>
    <cellStyle name="Обычный 3 10 5 2 4 3 2 4" xfId="26006"/>
    <cellStyle name="Обычный 3 10 5 2 4 3 2 4 2" xfId="26007"/>
    <cellStyle name="Обычный 3 10 5 2 4 3 2 4 2 2" xfId="26008"/>
    <cellStyle name="Обычный 3 10 5 2 4 3 2 4 3" xfId="26009"/>
    <cellStyle name="Обычный 3 10 5 2 4 3 2 5" xfId="26010"/>
    <cellStyle name="Обычный 3 10 5 2 4 3 2 5 2" xfId="26011"/>
    <cellStyle name="Обычный 3 10 5 2 4 3 2 5 2 2" xfId="26012"/>
    <cellStyle name="Обычный 3 10 5 2 4 3 2 5 3" xfId="26013"/>
    <cellStyle name="Обычный 3 10 5 2 4 3 2 6" xfId="26014"/>
    <cellStyle name="Обычный 3 10 5 2 4 3 2 6 2" xfId="26015"/>
    <cellStyle name="Обычный 3 10 5 2 4 3 2 7" xfId="26016"/>
    <cellStyle name="Обычный 3 10 5 2 4 3 2 7 2" xfId="26017"/>
    <cellStyle name="Обычный 3 10 5 2 4 3 2 8" xfId="26018"/>
    <cellStyle name="Обычный 3 10 5 2 4 3 3" xfId="26019"/>
    <cellStyle name="Обычный 3 10 5 2 4 3 3 2" xfId="26020"/>
    <cellStyle name="Обычный 3 10 5 2 4 3 3 2 2" xfId="26021"/>
    <cellStyle name="Обычный 3 10 5 2 4 3 3 2 2 2" xfId="26022"/>
    <cellStyle name="Обычный 3 10 5 2 4 3 3 2 3" xfId="26023"/>
    <cellStyle name="Обычный 3 10 5 2 4 3 3 3" xfId="26024"/>
    <cellStyle name="Обычный 3 10 5 2 4 3 3 3 2" xfId="26025"/>
    <cellStyle name="Обычный 3 10 5 2 4 3 3 3 2 2" xfId="26026"/>
    <cellStyle name="Обычный 3 10 5 2 4 3 3 3 3" xfId="26027"/>
    <cellStyle name="Обычный 3 10 5 2 4 3 3 4" xfId="26028"/>
    <cellStyle name="Обычный 3 10 5 2 4 3 3 4 2" xfId="26029"/>
    <cellStyle name="Обычный 3 10 5 2 4 3 3 5" xfId="26030"/>
    <cellStyle name="Обычный 3 10 5 2 4 3 4" xfId="26031"/>
    <cellStyle name="Обычный 3 10 5 2 4 3 4 2" xfId="26032"/>
    <cellStyle name="Обычный 3 10 5 2 4 3 4 2 2" xfId="26033"/>
    <cellStyle name="Обычный 3 10 5 2 4 3 4 2 2 2" xfId="26034"/>
    <cellStyle name="Обычный 3 10 5 2 4 3 4 2 3" xfId="26035"/>
    <cellStyle name="Обычный 3 10 5 2 4 3 4 3" xfId="26036"/>
    <cellStyle name="Обычный 3 10 5 2 4 3 4 3 2" xfId="26037"/>
    <cellStyle name="Обычный 3 10 5 2 4 3 4 3 2 2" xfId="26038"/>
    <cellStyle name="Обычный 3 10 5 2 4 3 4 3 3" xfId="26039"/>
    <cellStyle name="Обычный 3 10 5 2 4 3 4 4" xfId="26040"/>
    <cellStyle name="Обычный 3 10 5 2 4 3 4 4 2" xfId="26041"/>
    <cellStyle name="Обычный 3 10 5 2 4 3 4 5" xfId="26042"/>
    <cellStyle name="Обычный 3 10 5 2 4 3 5" xfId="26043"/>
    <cellStyle name="Обычный 3 10 5 2 4 3 5 2" xfId="26044"/>
    <cellStyle name="Обычный 3 10 5 2 4 3 5 2 2" xfId="26045"/>
    <cellStyle name="Обычный 3 10 5 2 4 3 5 3" xfId="26046"/>
    <cellStyle name="Обычный 3 10 5 2 4 3 6" xfId="26047"/>
    <cellStyle name="Обычный 3 10 5 2 4 3 6 2" xfId="26048"/>
    <cellStyle name="Обычный 3 10 5 2 4 3 6 2 2" xfId="26049"/>
    <cellStyle name="Обычный 3 10 5 2 4 3 6 3" xfId="26050"/>
    <cellStyle name="Обычный 3 10 5 2 4 3 7" xfId="26051"/>
    <cellStyle name="Обычный 3 10 5 2 4 3 7 2" xfId="26052"/>
    <cellStyle name="Обычный 3 10 5 2 4 3 8" xfId="26053"/>
    <cellStyle name="Обычный 3 10 5 2 4 3 8 2" xfId="26054"/>
    <cellStyle name="Обычный 3 10 5 2 4 3 9" xfId="26055"/>
    <cellStyle name="Обычный 3 10 5 2 4 4" xfId="26056"/>
    <cellStyle name="Обычный 3 10 5 2 4 4 2" xfId="26057"/>
    <cellStyle name="Обычный 3 10 5 2 4 4 2 2" xfId="26058"/>
    <cellStyle name="Обычный 3 10 5 2 4 4 2 2 2" xfId="26059"/>
    <cellStyle name="Обычный 3 10 5 2 4 4 2 2 2 2" xfId="26060"/>
    <cellStyle name="Обычный 3 10 5 2 4 4 2 2 3" xfId="26061"/>
    <cellStyle name="Обычный 3 10 5 2 4 4 2 3" xfId="26062"/>
    <cellStyle name="Обычный 3 10 5 2 4 4 2 3 2" xfId="26063"/>
    <cellStyle name="Обычный 3 10 5 2 4 4 2 3 2 2" xfId="26064"/>
    <cellStyle name="Обычный 3 10 5 2 4 4 2 3 3" xfId="26065"/>
    <cellStyle name="Обычный 3 10 5 2 4 4 2 4" xfId="26066"/>
    <cellStyle name="Обычный 3 10 5 2 4 4 2 4 2" xfId="26067"/>
    <cellStyle name="Обычный 3 10 5 2 4 4 2 5" xfId="26068"/>
    <cellStyle name="Обычный 3 10 5 2 4 4 3" xfId="26069"/>
    <cellStyle name="Обычный 3 10 5 2 4 4 3 2" xfId="26070"/>
    <cellStyle name="Обычный 3 10 5 2 4 4 3 2 2" xfId="26071"/>
    <cellStyle name="Обычный 3 10 5 2 4 4 3 2 2 2" xfId="26072"/>
    <cellStyle name="Обычный 3 10 5 2 4 4 3 2 3" xfId="26073"/>
    <cellStyle name="Обычный 3 10 5 2 4 4 3 3" xfId="26074"/>
    <cellStyle name="Обычный 3 10 5 2 4 4 3 3 2" xfId="26075"/>
    <cellStyle name="Обычный 3 10 5 2 4 4 3 3 2 2" xfId="26076"/>
    <cellStyle name="Обычный 3 10 5 2 4 4 3 3 3" xfId="26077"/>
    <cellStyle name="Обычный 3 10 5 2 4 4 3 4" xfId="26078"/>
    <cellStyle name="Обычный 3 10 5 2 4 4 3 4 2" xfId="26079"/>
    <cellStyle name="Обычный 3 10 5 2 4 4 3 5" xfId="26080"/>
    <cellStyle name="Обычный 3 10 5 2 4 4 4" xfId="26081"/>
    <cellStyle name="Обычный 3 10 5 2 4 4 4 2" xfId="26082"/>
    <cellStyle name="Обычный 3 10 5 2 4 4 4 2 2" xfId="26083"/>
    <cellStyle name="Обычный 3 10 5 2 4 4 4 3" xfId="26084"/>
    <cellStyle name="Обычный 3 10 5 2 4 4 5" xfId="26085"/>
    <cellStyle name="Обычный 3 10 5 2 4 4 5 2" xfId="26086"/>
    <cellStyle name="Обычный 3 10 5 2 4 4 5 2 2" xfId="26087"/>
    <cellStyle name="Обычный 3 10 5 2 4 4 5 3" xfId="26088"/>
    <cellStyle name="Обычный 3 10 5 2 4 4 6" xfId="26089"/>
    <cellStyle name="Обычный 3 10 5 2 4 4 6 2" xfId="26090"/>
    <cellStyle name="Обычный 3 10 5 2 4 4 7" xfId="26091"/>
    <cellStyle name="Обычный 3 10 5 2 4 4 7 2" xfId="26092"/>
    <cellStyle name="Обычный 3 10 5 2 4 4 8" xfId="26093"/>
    <cellStyle name="Обычный 3 10 5 2 4 5" xfId="26094"/>
    <cellStyle name="Обычный 3 10 5 2 4 5 2" xfId="26095"/>
    <cellStyle name="Обычный 3 10 5 2 4 5 2 2" xfId="26096"/>
    <cellStyle name="Обычный 3 10 5 2 4 5 2 2 2" xfId="26097"/>
    <cellStyle name="Обычный 3 10 5 2 4 5 2 3" xfId="26098"/>
    <cellStyle name="Обычный 3 10 5 2 4 5 3" xfId="26099"/>
    <cellStyle name="Обычный 3 10 5 2 4 5 3 2" xfId="26100"/>
    <cellStyle name="Обычный 3 10 5 2 4 5 3 2 2" xfId="26101"/>
    <cellStyle name="Обычный 3 10 5 2 4 5 3 3" xfId="26102"/>
    <cellStyle name="Обычный 3 10 5 2 4 5 4" xfId="26103"/>
    <cellStyle name="Обычный 3 10 5 2 4 5 4 2" xfId="26104"/>
    <cellStyle name="Обычный 3 10 5 2 4 5 5" xfId="26105"/>
    <cellStyle name="Обычный 3 10 5 2 4 6" xfId="26106"/>
    <cellStyle name="Обычный 3 10 5 2 4 6 2" xfId="26107"/>
    <cellStyle name="Обычный 3 10 5 2 4 6 2 2" xfId="26108"/>
    <cellStyle name="Обычный 3 10 5 2 4 6 2 2 2" xfId="26109"/>
    <cellStyle name="Обычный 3 10 5 2 4 6 2 3" xfId="26110"/>
    <cellStyle name="Обычный 3 10 5 2 4 6 3" xfId="26111"/>
    <cellStyle name="Обычный 3 10 5 2 4 6 3 2" xfId="26112"/>
    <cellStyle name="Обычный 3 10 5 2 4 6 3 2 2" xfId="26113"/>
    <cellStyle name="Обычный 3 10 5 2 4 6 3 3" xfId="26114"/>
    <cellStyle name="Обычный 3 10 5 2 4 6 4" xfId="26115"/>
    <cellStyle name="Обычный 3 10 5 2 4 6 4 2" xfId="26116"/>
    <cellStyle name="Обычный 3 10 5 2 4 6 5" xfId="26117"/>
    <cellStyle name="Обычный 3 10 5 2 4 7" xfId="26118"/>
    <cellStyle name="Обычный 3 10 5 2 4 7 2" xfId="26119"/>
    <cellStyle name="Обычный 3 10 5 2 4 7 2 2" xfId="26120"/>
    <cellStyle name="Обычный 3 10 5 2 4 7 3" xfId="26121"/>
    <cellStyle name="Обычный 3 10 5 2 4 8" xfId="26122"/>
    <cellStyle name="Обычный 3 10 5 2 4 8 2" xfId="26123"/>
    <cellStyle name="Обычный 3 10 5 2 4 8 2 2" xfId="26124"/>
    <cellStyle name="Обычный 3 10 5 2 4 8 3" xfId="26125"/>
    <cellStyle name="Обычный 3 10 5 2 4 9" xfId="26126"/>
    <cellStyle name="Обычный 3 10 5 2 4 9 2" xfId="26127"/>
    <cellStyle name="Обычный 3 10 5 2 5" xfId="26128"/>
    <cellStyle name="Обычный 3 10 5 2 5 2" xfId="26129"/>
    <cellStyle name="Обычный 3 10 5 2 5 2 2" xfId="26130"/>
    <cellStyle name="Обычный 3 10 5 2 5 2 2 2" xfId="26131"/>
    <cellStyle name="Обычный 3 10 5 2 5 2 2 2 2" xfId="26132"/>
    <cellStyle name="Обычный 3 10 5 2 5 2 2 3" xfId="26133"/>
    <cellStyle name="Обычный 3 10 5 2 5 2 2 3 2" xfId="26134"/>
    <cellStyle name="Обычный 3 10 5 2 5 2 2 4" xfId="26135"/>
    <cellStyle name="Обычный 3 10 5 2 5 2 3" xfId="26136"/>
    <cellStyle name="Обычный 3 10 5 2 5 2 3 2" xfId="26137"/>
    <cellStyle name="Обычный 3 10 5 2 5 2 3 2 2" xfId="26138"/>
    <cellStyle name="Обычный 3 10 5 2 5 2 3 3" xfId="26139"/>
    <cellStyle name="Обычный 3 10 5 2 5 2 4" xfId="26140"/>
    <cellStyle name="Обычный 3 10 5 2 5 2 4 2" xfId="26141"/>
    <cellStyle name="Обычный 3 10 5 2 5 2 5" xfId="26142"/>
    <cellStyle name="Обычный 3 10 5 2 5 2 5 2" xfId="26143"/>
    <cellStyle name="Обычный 3 10 5 2 5 2 6" xfId="26144"/>
    <cellStyle name="Обычный 3 10 5 2 5 3" xfId="26145"/>
    <cellStyle name="Обычный 3 10 5 2 5 3 2" xfId="26146"/>
    <cellStyle name="Обычный 3 10 5 2 5 3 2 2" xfId="26147"/>
    <cellStyle name="Обычный 3 10 5 2 5 3 2 2 2" xfId="26148"/>
    <cellStyle name="Обычный 3 10 5 2 5 3 2 3" xfId="26149"/>
    <cellStyle name="Обычный 3 10 5 2 5 3 3" xfId="26150"/>
    <cellStyle name="Обычный 3 10 5 2 5 3 3 2" xfId="26151"/>
    <cellStyle name="Обычный 3 10 5 2 5 3 3 2 2" xfId="26152"/>
    <cellStyle name="Обычный 3 10 5 2 5 3 3 3" xfId="26153"/>
    <cellStyle name="Обычный 3 10 5 2 5 3 4" xfId="26154"/>
    <cellStyle name="Обычный 3 10 5 2 5 3 4 2" xfId="26155"/>
    <cellStyle name="Обычный 3 10 5 2 5 3 5" xfId="26156"/>
    <cellStyle name="Обычный 3 10 5 2 5 3 5 2" xfId="26157"/>
    <cellStyle name="Обычный 3 10 5 2 5 3 6" xfId="26158"/>
    <cellStyle name="Обычный 3 10 5 2 5 4" xfId="26159"/>
    <cellStyle name="Обычный 3 10 5 2 5 4 2" xfId="26160"/>
    <cellStyle name="Обычный 3 10 5 2 5 4 2 2" xfId="26161"/>
    <cellStyle name="Обычный 3 10 5 2 5 4 3" xfId="26162"/>
    <cellStyle name="Обычный 3 10 5 2 5 4 3 2" xfId="26163"/>
    <cellStyle name="Обычный 3 10 5 2 5 4 4" xfId="26164"/>
    <cellStyle name="Обычный 3 10 5 2 5 5" xfId="26165"/>
    <cellStyle name="Обычный 3 10 5 2 5 5 2" xfId="26166"/>
    <cellStyle name="Обычный 3 10 5 2 5 5 2 2" xfId="26167"/>
    <cellStyle name="Обычный 3 10 5 2 5 5 3" xfId="26168"/>
    <cellStyle name="Обычный 3 10 5 2 5 6" xfId="26169"/>
    <cellStyle name="Обычный 3 10 5 2 5 6 2" xfId="26170"/>
    <cellStyle name="Обычный 3 10 5 2 5 7" xfId="26171"/>
    <cellStyle name="Обычный 3 10 5 2 5 7 2" xfId="26172"/>
    <cellStyle name="Обычный 3 10 5 2 5 8" xfId="26173"/>
    <cellStyle name="Обычный 3 10 5 2 6" xfId="26174"/>
    <cellStyle name="Обычный 3 10 5 2 6 2" xfId="26175"/>
    <cellStyle name="Обычный 3 10 5 2 6 2 2" xfId="26176"/>
    <cellStyle name="Обычный 3 10 5 2 6 2 2 2" xfId="26177"/>
    <cellStyle name="Обычный 3 10 5 2 6 2 2 2 2" xfId="26178"/>
    <cellStyle name="Обычный 3 10 5 2 6 2 2 3" xfId="26179"/>
    <cellStyle name="Обычный 3 10 5 2 6 2 3" xfId="26180"/>
    <cellStyle name="Обычный 3 10 5 2 6 2 3 2" xfId="26181"/>
    <cellStyle name="Обычный 3 10 5 2 6 2 3 2 2" xfId="26182"/>
    <cellStyle name="Обычный 3 10 5 2 6 2 3 3" xfId="26183"/>
    <cellStyle name="Обычный 3 10 5 2 6 2 4" xfId="26184"/>
    <cellStyle name="Обычный 3 10 5 2 6 2 4 2" xfId="26185"/>
    <cellStyle name="Обычный 3 10 5 2 6 2 5" xfId="26186"/>
    <cellStyle name="Обычный 3 10 5 2 6 2 5 2" xfId="26187"/>
    <cellStyle name="Обычный 3 10 5 2 6 2 6" xfId="26188"/>
    <cellStyle name="Обычный 3 10 5 2 6 3" xfId="26189"/>
    <cellStyle name="Обычный 3 10 5 2 6 3 2" xfId="26190"/>
    <cellStyle name="Обычный 3 10 5 2 6 3 2 2" xfId="26191"/>
    <cellStyle name="Обычный 3 10 5 2 6 3 2 2 2" xfId="26192"/>
    <cellStyle name="Обычный 3 10 5 2 6 3 2 3" xfId="26193"/>
    <cellStyle name="Обычный 3 10 5 2 6 3 3" xfId="26194"/>
    <cellStyle name="Обычный 3 10 5 2 6 3 3 2" xfId="26195"/>
    <cellStyle name="Обычный 3 10 5 2 6 3 3 2 2" xfId="26196"/>
    <cellStyle name="Обычный 3 10 5 2 6 3 3 3" xfId="26197"/>
    <cellStyle name="Обычный 3 10 5 2 6 3 4" xfId="26198"/>
    <cellStyle name="Обычный 3 10 5 2 6 3 4 2" xfId="26199"/>
    <cellStyle name="Обычный 3 10 5 2 6 3 5" xfId="26200"/>
    <cellStyle name="Обычный 3 10 5 2 6 4" xfId="26201"/>
    <cellStyle name="Обычный 3 10 5 2 6 4 2" xfId="26202"/>
    <cellStyle name="Обычный 3 10 5 2 6 4 2 2" xfId="26203"/>
    <cellStyle name="Обычный 3 10 5 2 6 4 3" xfId="26204"/>
    <cellStyle name="Обычный 3 10 5 2 6 5" xfId="26205"/>
    <cellStyle name="Обычный 3 10 5 2 6 5 2" xfId="26206"/>
    <cellStyle name="Обычный 3 10 5 2 6 5 2 2" xfId="26207"/>
    <cellStyle name="Обычный 3 10 5 2 6 5 3" xfId="26208"/>
    <cellStyle name="Обычный 3 10 5 2 6 6" xfId="26209"/>
    <cellStyle name="Обычный 3 10 5 2 6 6 2" xfId="26210"/>
    <cellStyle name="Обычный 3 10 5 2 6 7" xfId="26211"/>
    <cellStyle name="Обычный 3 10 5 2 6 7 2" xfId="26212"/>
    <cellStyle name="Обычный 3 10 5 2 6 8" xfId="26213"/>
    <cellStyle name="Обычный 3 10 5 2 7" xfId="26214"/>
    <cellStyle name="Обычный 3 10 5 2 7 2" xfId="26215"/>
    <cellStyle name="Обычный 3 10 5 2 7 2 2" xfId="26216"/>
    <cellStyle name="Обычный 3 10 5 2 7 2 2 2" xfId="26217"/>
    <cellStyle name="Обычный 3 10 5 2 7 2 3" xfId="26218"/>
    <cellStyle name="Обычный 3 10 5 2 7 3" xfId="26219"/>
    <cellStyle name="Обычный 3 10 5 2 7 3 2" xfId="26220"/>
    <cellStyle name="Обычный 3 10 5 2 7 3 2 2" xfId="26221"/>
    <cellStyle name="Обычный 3 10 5 2 7 3 3" xfId="26222"/>
    <cellStyle name="Обычный 3 10 5 2 7 4" xfId="26223"/>
    <cellStyle name="Обычный 3 10 5 2 7 4 2" xfId="26224"/>
    <cellStyle name="Обычный 3 10 5 2 7 5" xfId="26225"/>
    <cellStyle name="Обычный 3 10 5 2 7 5 2" xfId="26226"/>
    <cellStyle name="Обычный 3 10 5 2 7 6" xfId="26227"/>
    <cellStyle name="Обычный 3 10 5 2 8" xfId="26228"/>
    <cellStyle name="Обычный 3 10 5 2 8 2" xfId="26229"/>
    <cellStyle name="Обычный 3 10 5 2 8 2 2" xfId="26230"/>
    <cellStyle name="Обычный 3 10 5 2 8 2 2 2" xfId="26231"/>
    <cellStyle name="Обычный 3 10 5 2 8 2 3" xfId="26232"/>
    <cellStyle name="Обычный 3 10 5 2 8 3" xfId="26233"/>
    <cellStyle name="Обычный 3 10 5 2 8 3 2" xfId="26234"/>
    <cellStyle name="Обычный 3 10 5 2 8 3 2 2" xfId="26235"/>
    <cellStyle name="Обычный 3 10 5 2 8 3 3" xfId="26236"/>
    <cellStyle name="Обычный 3 10 5 2 8 4" xfId="26237"/>
    <cellStyle name="Обычный 3 10 5 2 8 4 2" xfId="26238"/>
    <cellStyle name="Обычный 3 10 5 2 8 5" xfId="26239"/>
    <cellStyle name="Обычный 3 10 5 2 8 5 2" xfId="26240"/>
    <cellStyle name="Обычный 3 10 5 2 8 6" xfId="26241"/>
    <cellStyle name="Обычный 3 10 5 2 9" xfId="26242"/>
    <cellStyle name="Обычный 3 10 5 2 9 2" xfId="26243"/>
    <cellStyle name="Обычный 3 10 5 2 9 2 2" xfId="26244"/>
    <cellStyle name="Обычный 3 10 5 2 9 3" xfId="26245"/>
    <cellStyle name="Обычный 3 10 5 3" xfId="26246"/>
    <cellStyle name="Обычный 3 10 5 3 10" xfId="26247"/>
    <cellStyle name="Обычный 3 10 5 3 10 2" xfId="26248"/>
    <cellStyle name="Обычный 3 10 5 3 11" xfId="26249"/>
    <cellStyle name="Обычный 3 10 5 3 2" xfId="26250"/>
    <cellStyle name="Обычный 3 10 5 3 2 10" xfId="26251"/>
    <cellStyle name="Обычный 3 10 5 3 2 2" xfId="26252"/>
    <cellStyle name="Обычный 3 10 5 3 2 2 2" xfId="26253"/>
    <cellStyle name="Обычный 3 10 5 3 2 2 2 2" xfId="26254"/>
    <cellStyle name="Обычный 3 10 5 3 2 2 2 2 2" xfId="26255"/>
    <cellStyle name="Обычный 3 10 5 3 2 2 2 2 2 2" xfId="26256"/>
    <cellStyle name="Обычный 3 10 5 3 2 2 2 2 3" xfId="26257"/>
    <cellStyle name="Обычный 3 10 5 3 2 2 2 2 3 2" xfId="26258"/>
    <cellStyle name="Обычный 3 10 5 3 2 2 2 2 4" xfId="26259"/>
    <cellStyle name="Обычный 3 10 5 3 2 2 2 3" xfId="26260"/>
    <cellStyle name="Обычный 3 10 5 3 2 2 2 3 2" xfId="26261"/>
    <cellStyle name="Обычный 3 10 5 3 2 2 2 3 2 2" xfId="26262"/>
    <cellStyle name="Обычный 3 10 5 3 2 2 2 3 3" xfId="26263"/>
    <cellStyle name="Обычный 3 10 5 3 2 2 2 4" xfId="26264"/>
    <cellStyle name="Обычный 3 10 5 3 2 2 2 4 2" xfId="26265"/>
    <cellStyle name="Обычный 3 10 5 3 2 2 2 5" xfId="26266"/>
    <cellStyle name="Обычный 3 10 5 3 2 2 2 5 2" xfId="26267"/>
    <cellStyle name="Обычный 3 10 5 3 2 2 2 6" xfId="26268"/>
    <cellStyle name="Обычный 3 10 5 3 2 2 3" xfId="26269"/>
    <cellStyle name="Обычный 3 10 5 3 2 2 3 2" xfId="26270"/>
    <cellStyle name="Обычный 3 10 5 3 2 2 3 2 2" xfId="26271"/>
    <cellStyle name="Обычный 3 10 5 3 2 2 3 2 2 2" xfId="26272"/>
    <cellStyle name="Обычный 3 10 5 3 2 2 3 2 3" xfId="26273"/>
    <cellStyle name="Обычный 3 10 5 3 2 2 3 3" xfId="26274"/>
    <cellStyle name="Обычный 3 10 5 3 2 2 3 3 2" xfId="26275"/>
    <cellStyle name="Обычный 3 10 5 3 2 2 3 3 2 2" xfId="26276"/>
    <cellStyle name="Обычный 3 10 5 3 2 2 3 3 3" xfId="26277"/>
    <cellStyle name="Обычный 3 10 5 3 2 2 3 4" xfId="26278"/>
    <cellStyle name="Обычный 3 10 5 3 2 2 3 4 2" xfId="26279"/>
    <cellStyle name="Обычный 3 10 5 3 2 2 3 5" xfId="26280"/>
    <cellStyle name="Обычный 3 10 5 3 2 2 3 5 2" xfId="26281"/>
    <cellStyle name="Обычный 3 10 5 3 2 2 3 6" xfId="26282"/>
    <cellStyle name="Обычный 3 10 5 3 2 2 4" xfId="26283"/>
    <cellStyle name="Обычный 3 10 5 3 2 2 4 2" xfId="26284"/>
    <cellStyle name="Обычный 3 10 5 3 2 2 4 2 2" xfId="26285"/>
    <cellStyle name="Обычный 3 10 5 3 2 2 4 3" xfId="26286"/>
    <cellStyle name="Обычный 3 10 5 3 2 2 4 3 2" xfId="26287"/>
    <cellStyle name="Обычный 3 10 5 3 2 2 4 4" xfId="26288"/>
    <cellStyle name="Обычный 3 10 5 3 2 2 5" xfId="26289"/>
    <cellStyle name="Обычный 3 10 5 3 2 2 5 2" xfId="26290"/>
    <cellStyle name="Обычный 3 10 5 3 2 2 5 2 2" xfId="26291"/>
    <cellStyle name="Обычный 3 10 5 3 2 2 5 3" xfId="26292"/>
    <cellStyle name="Обычный 3 10 5 3 2 2 6" xfId="26293"/>
    <cellStyle name="Обычный 3 10 5 3 2 2 6 2" xfId="26294"/>
    <cellStyle name="Обычный 3 10 5 3 2 2 7" xfId="26295"/>
    <cellStyle name="Обычный 3 10 5 3 2 2 7 2" xfId="26296"/>
    <cellStyle name="Обычный 3 10 5 3 2 2 8" xfId="26297"/>
    <cellStyle name="Обычный 3 10 5 3 2 3" xfId="26298"/>
    <cellStyle name="Обычный 3 10 5 3 2 3 2" xfId="26299"/>
    <cellStyle name="Обычный 3 10 5 3 2 3 2 2" xfId="26300"/>
    <cellStyle name="Обычный 3 10 5 3 2 3 2 2 2" xfId="26301"/>
    <cellStyle name="Обычный 3 10 5 3 2 3 2 2 2 2" xfId="26302"/>
    <cellStyle name="Обычный 3 10 5 3 2 3 2 2 3" xfId="26303"/>
    <cellStyle name="Обычный 3 10 5 3 2 3 2 3" xfId="26304"/>
    <cellStyle name="Обычный 3 10 5 3 2 3 2 3 2" xfId="26305"/>
    <cellStyle name="Обычный 3 10 5 3 2 3 2 3 2 2" xfId="26306"/>
    <cellStyle name="Обычный 3 10 5 3 2 3 2 3 3" xfId="26307"/>
    <cellStyle name="Обычный 3 10 5 3 2 3 2 4" xfId="26308"/>
    <cellStyle name="Обычный 3 10 5 3 2 3 2 4 2" xfId="26309"/>
    <cellStyle name="Обычный 3 10 5 3 2 3 2 5" xfId="26310"/>
    <cellStyle name="Обычный 3 10 5 3 2 3 2 5 2" xfId="26311"/>
    <cellStyle name="Обычный 3 10 5 3 2 3 2 6" xfId="26312"/>
    <cellStyle name="Обычный 3 10 5 3 2 3 3" xfId="26313"/>
    <cellStyle name="Обычный 3 10 5 3 2 3 3 2" xfId="26314"/>
    <cellStyle name="Обычный 3 10 5 3 2 3 3 2 2" xfId="26315"/>
    <cellStyle name="Обычный 3 10 5 3 2 3 3 2 2 2" xfId="26316"/>
    <cellStyle name="Обычный 3 10 5 3 2 3 3 2 3" xfId="26317"/>
    <cellStyle name="Обычный 3 10 5 3 2 3 3 3" xfId="26318"/>
    <cellStyle name="Обычный 3 10 5 3 2 3 3 3 2" xfId="26319"/>
    <cellStyle name="Обычный 3 10 5 3 2 3 3 3 2 2" xfId="26320"/>
    <cellStyle name="Обычный 3 10 5 3 2 3 3 3 3" xfId="26321"/>
    <cellStyle name="Обычный 3 10 5 3 2 3 3 4" xfId="26322"/>
    <cellStyle name="Обычный 3 10 5 3 2 3 3 4 2" xfId="26323"/>
    <cellStyle name="Обычный 3 10 5 3 2 3 3 5" xfId="26324"/>
    <cellStyle name="Обычный 3 10 5 3 2 3 4" xfId="26325"/>
    <cellStyle name="Обычный 3 10 5 3 2 3 4 2" xfId="26326"/>
    <cellStyle name="Обычный 3 10 5 3 2 3 4 2 2" xfId="26327"/>
    <cellStyle name="Обычный 3 10 5 3 2 3 4 3" xfId="26328"/>
    <cellStyle name="Обычный 3 10 5 3 2 3 5" xfId="26329"/>
    <cellStyle name="Обычный 3 10 5 3 2 3 5 2" xfId="26330"/>
    <cellStyle name="Обычный 3 10 5 3 2 3 5 2 2" xfId="26331"/>
    <cellStyle name="Обычный 3 10 5 3 2 3 5 3" xfId="26332"/>
    <cellStyle name="Обычный 3 10 5 3 2 3 6" xfId="26333"/>
    <cellStyle name="Обычный 3 10 5 3 2 3 6 2" xfId="26334"/>
    <cellStyle name="Обычный 3 10 5 3 2 3 7" xfId="26335"/>
    <cellStyle name="Обычный 3 10 5 3 2 3 7 2" xfId="26336"/>
    <cellStyle name="Обычный 3 10 5 3 2 3 8" xfId="26337"/>
    <cellStyle name="Обычный 3 10 5 3 2 4" xfId="26338"/>
    <cellStyle name="Обычный 3 10 5 3 2 4 2" xfId="26339"/>
    <cellStyle name="Обычный 3 10 5 3 2 4 2 2" xfId="26340"/>
    <cellStyle name="Обычный 3 10 5 3 2 4 2 2 2" xfId="26341"/>
    <cellStyle name="Обычный 3 10 5 3 2 4 2 3" xfId="26342"/>
    <cellStyle name="Обычный 3 10 5 3 2 4 3" xfId="26343"/>
    <cellStyle name="Обычный 3 10 5 3 2 4 3 2" xfId="26344"/>
    <cellStyle name="Обычный 3 10 5 3 2 4 3 2 2" xfId="26345"/>
    <cellStyle name="Обычный 3 10 5 3 2 4 3 3" xfId="26346"/>
    <cellStyle name="Обычный 3 10 5 3 2 4 4" xfId="26347"/>
    <cellStyle name="Обычный 3 10 5 3 2 4 4 2" xfId="26348"/>
    <cellStyle name="Обычный 3 10 5 3 2 4 5" xfId="26349"/>
    <cellStyle name="Обычный 3 10 5 3 2 4 5 2" xfId="26350"/>
    <cellStyle name="Обычный 3 10 5 3 2 4 6" xfId="26351"/>
    <cellStyle name="Обычный 3 10 5 3 2 5" xfId="26352"/>
    <cellStyle name="Обычный 3 10 5 3 2 5 2" xfId="26353"/>
    <cellStyle name="Обычный 3 10 5 3 2 5 2 2" xfId="26354"/>
    <cellStyle name="Обычный 3 10 5 3 2 5 2 2 2" xfId="26355"/>
    <cellStyle name="Обычный 3 10 5 3 2 5 2 3" xfId="26356"/>
    <cellStyle name="Обычный 3 10 5 3 2 5 3" xfId="26357"/>
    <cellStyle name="Обычный 3 10 5 3 2 5 3 2" xfId="26358"/>
    <cellStyle name="Обычный 3 10 5 3 2 5 3 2 2" xfId="26359"/>
    <cellStyle name="Обычный 3 10 5 3 2 5 3 3" xfId="26360"/>
    <cellStyle name="Обычный 3 10 5 3 2 5 4" xfId="26361"/>
    <cellStyle name="Обычный 3 10 5 3 2 5 4 2" xfId="26362"/>
    <cellStyle name="Обычный 3 10 5 3 2 5 5" xfId="26363"/>
    <cellStyle name="Обычный 3 10 5 3 2 5 5 2" xfId="26364"/>
    <cellStyle name="Обычный 3 10 5 3 2 5 6" xfId="26365"/>
    <cellStyle name="Обычный 3 10 5 3 2 6" xfId="26366"/>
    <cellStyle name="Обычный 3 10 5 3 2 6 2" xfId="26367"/>
    <cellStyle name="Обычный 3 10 5 3 2 6 2 2" xfId="26368"/>
    <cellStyle name="Обычный 3 10 5 3 2 6 3" xfId="26369"/>
    <cellStyle name="Обычный 3 10 5 3 2 7" xfId="26370"/>
    <cellStyle name="Обычный 3 10 5 3 2 7 2" xfId="26371"/>
    <cellStyle name="Обычный 3 10 5 3 2 7 2 2" xfId="26372"/>
    <cellStyle name="Обычный 3 10 5 3 2 7 3" xfId="26373"/>
    <cellStyle name="Обычный 3 10 5 3 2 8" xfId="26374"/>
    <cellStyle name="Обычный 3 10 5 3 2 8 2" xfId="26375"/>
    <cellStyle name="Обычный 3 10 5 3 2 9" xfId="26376"/>
    <cellStyle name="Обычный 3 10 5 3 2 9 2" xfId="26377"/>
    <cellStyle name="Обычный 3 10 5 3 3" xfId="26378"/>
    <cellStyle name="Обычный 3 10 5 3 3 2" xfId="26379"/>
    <cellStyle name="Обычный 3 10 5 3 3 2 2" xfId="26380"/>
    <cellStyle name="Обычный 3 10 5 3 3 2 2 2" xfId="26381"/>
    <cellStyle name="Обычный 3 10 5 3 3 2 2 2 2" xfId="26382"/>
    <cellStyle name="Обычный 3 10 5 3 3 2 2 3" xfId="26383"/>
    <cellStyle name="Обычный 3 10 5 3 3 2 2 3 2" xfId="26384"/>
    <cellStyle name="Обычный 3 10 5 3 3 2 2 4" xfId="26385"/>
    <cellStyle name="Обычный 3 10 5 3 3 2 3" xfId="26386"/>
    <cellStyle name="Обычный 3 10 5 3 3 2 3 2" xfId="26387"/>
    <cellStyle name="Обычный 3 10 5 3 3 2 3 2 2" xfId="26388"/>
    <cellStyle name="Обычный 3 10 5 3 3 2 3 3" xfId="26389"/>
    <cellStyle name="Обычный 3 10 5 3 3 2 4" xfId="26390"/>
    <cellStyle name="Обычный 3 10 5 3 3 2 4 2" xfId="26391"/>
    <cellStyle name="Обычный 3 10 5 3 3 2 5" xfId="26392"/>
    <cellStyle name="Обычный 3 10 5 3 3 2 5 2" xfId="26393"/>
    <cellStyle name="Обычный 3 10 5 3 3 2 6" xfId="26394"/>
    <cellStyle name="Обычный 3 10 5 3 3 3" xfId="26395"/>
    <cellStyle name="Обычный 3 10 5 3 3 3 2" xfId="26396"/>
    <cellStyle name="Обычный 3 10 5 3 3 3 2 2" xfId="26397"/>
    <cellStyle name="Обычный 3 10 5 3 3 3 2 2 2" xfId="26398"/>
    <cellStyle name="Обычный 3 10 5 3 3 3 2 3" xfId="26399"/>
    <cellStyle name="Обычный 3 10 5 3 3 3 3" xfId="26400"/>
    <cellStyle name="Обычный 3 10 5 3 3 3 3 2" xfId="26401"/>
    <cellStyle name="Обычный 3 10 5 3 3 3 3 2 2" xfId="26402"/>
    <cellStyle name="Обычный 3 10 5 3 3 3 3 3" xfId="26403"/>
    <cellStyle name="Обычный 3 10 5 3 3 3 4" xfId="26404"/>
    <cellStyle name="Обычный 3 10 5 3 3 3 4 2" xfId="26405"/>
    <cellStyle name="Обычный 3 10 5 3 3 3 5" xfId="26406"/>
    <cellStyle name="Обычный 3 10 5 3 3 3 5 2" xfId="26407"/>
    <cellStyle name="Обычный 3 10 5 3 3 3 6" xfId="26408"/>
    <cellStyle name="Обычный 3 10 5 3 3 4" xfId="26409"/>
    <cellStyle name="Обычный 3 10 5 3 3 4 2" xfId="26410"/>
    <cellStyle name="Обычный 3 10 5 3 3 4 2 2" xfId="26411"/>
    <cellStyle name="Обычный 3 10 5 3 3 4 3" xfId="26412"/>
    <cellStyle name="Обычный 3 10 5 3 3 4 3 2" xfId="26413"/>
    <cellStyle name="Обычный 3 10 5 3 3 4 4" xfId="26414"/>
    <cellStyle name="Обычный 3 10 5 3 3 5" xfId="26415"/>
    <cellStyle name="Обычный 3 10 5 3 3 5 2" xfId="26416"/>
    <cellStyle name="Обычный 3 10 5 3 3 5 2 2" xfId="26417"/>
    <cellStyle name="Обычный 3 10 5 3 3 5 3" xfId="26418"/>
    <cellStyle name="Обычный 3 10 5 3 3 6" xfId="26419"/>
    <cellStyle name="Обычный 3 10 5 3 3 6 2" xfId="26420"/>
    <cellStyle name="Обычный 3 10 5 3 3 7" xfId="26421"/>
    <cellStyle name="Обычный 3 10 5 3 3 7 2" xfId="26422"/>
    <cellStyle name="Обычный 3 10 5 3 3 8" xfId="26423"/>
    <cellStyle name="Обычный 3 10 5 3 4" xfId="26424"/>
    <cellStyle name="Обычный 3 10 5 3 4 2" xfId="26425"/>
    <cellStyle name="Обычный 3 10 5 3 4 2 2" xfId="26426"/>
    <cellStyle name="Обычный 3 10 5 3 4 2 2 2" xfId="26427"/>
    <cellStyle name="Обычный 3 10 5 3 4 2 2 2 2" xfId="26428"/>
    <cellStyle name="Обычный 3 10 5 3 4 2 2 3" xfId="26429"/>
    <cellStyle name="Обычный 3 10 5 3 4 2 3" xfId="26430"/>
    <cellStyle name="Обычный 3 10 5 3 4 2 3 2" xfId="26431"/>
    <cellStyle name="Обычный 3 10 5 3 4 2 3 2 2" xfId="26432"/>
    <cellStyle name="Обычный 3 10 5 3 4 2 3 3" xfId="26433"/>
    <cellStyle name="Обычный 3 10 5 3 4 2 4" xfId="26434"/>
    <cellStyle name="Обычный 3 10 5 3 4 2 4 2" xfId="26435"/>
    <cellStyle name="Обычный 3 10 5 3 4 2 5" xfId="26436"/>
    <cellStyle name="Обычный 3 10 5 3 4 2 5 2" xfId="26437"/>
    <cellStyle name="Обычный 3 10 5 3 4 2 6" xfId="26438"/>
    <cellStyle name="Обычный 3 10 5 3 4 3" xfId="26439"/>
    <cellStyle name="Обычный 3 10 5 3 4 3 2" xfId="26440"/>
    <cellStyle name="Обычный 3 10 5 3 4 3 2 2" xfId="26441"/>
    <cellStyle name="Обычный 3 10 5 3 4 3 2 2 2" xfId="26442"/>
    <cellStyle name="Обычный 3 10 5 3 4 3 2 3" xfId="26443"/>
    <cellStyle name="Обычный 3 10 5 3 4 3 3" xfId="26444"/>
    <cellStyle name="Обычный 3 10 5 3 4 3 3 2" xfId="26445"/>
    <cellStyle name="Обычный 3 10 5 3 4 3 3 2 2" xfId="26446"/>
    <cellStyle name="Обычный 3 10 5 3 4 3 3 3" xfId="26447"/>
    <cellStyle name="Обычный 3 10 5 3 4 3 4" xfId="26448"/>
    <cellStyle name="Обычный 3 10 5 3 4 3 4 2" xfId="26449"/>
    <cellStyle name="Обычный 3 10 5 3 4 3 5" xfId="26450"/>
    <cellStyle name="Обычный 3 10 5 3 4 4" xfId="26451"/>
    <cellStyle name="Обычный 3 10 5 3 4 4 2" xfId="26452"/>
    <cellStyle name="Обычный 3 10 5 3 4 4 2 2" xfId="26453"/>
    <cellStyle name="Обычный 3 10 5 3 4 4 3" xfId="26454"/>
    <cellStyle name="Обычный 3 10 5 3 4 5" xfId="26455"/>
    <cellStyle name="Обычный 3 10 5 3 4 5 2" xfId="26456"/>
    <cellStyle name="Обычный 3 10 5 3 4 5 2 2" xfId="26457"/>
    <cellStyle name="Обычный 3 10 5 3 4 5 3" xfId="26458"/>
    <cellStyle name="Обычный 3 10 5 3 4 6" xfId="26459"/>
    <cellStyle name="Обычный 3 10 5 3 4 6 2" xfId="26460"/>
    <cellStyle name="Обычный 3 10 5 3 4 7" xfId="26461"/>
    <cellStyle name="Обычный 3 10 5 3 4 7 2" xfId="26462"/>
    <cellStyle name="Обычный 3 10 5 3 4 8" xfId="26463"/>
    <cellStyle name="Обычный 3 10 5 3 5" xfId="26464"/>
    <cellStyle name="Обычный 3 10 5 3 5 2" xfId="26465"/>
    <cellStyle name="Обычный 3 10 5 3 5 2 2" xfId="26466"/>
    <cellStyle name="Обычный 3 10 5 3 5 2 2 2" xfId="26467"/>
    <cellStyle name="Обычный 3 10 5 3 5 2 3" xfId="26468"/>
    <cellStyle name="Обычный 3 10 5 3 5 3" xfId="26469"/>
    <cellStyle name="Обычный 3 10 5 3 5 3 2" xfId="26470"/>
    <cellStyle name="Обычный 3 10 5 3 5 3 2 2" xfId="26471"/>
    <cellStyle name="Обычный 3 10 5 3 5 3 3" xfId="26472"/>
    <cellStyle name="Обычный 3 10 5 3 5 4" xfId="26473"/>
    <cellStyle name="Обычный 3 10 5 3 5 4 2" xfId="26474"/>
    <cellStyle name="Обычный 3 10 5 3 5 5" xfId="26475"/>
    <cellStyle name="Обычный 3 10 5 3 5 5 2" xfId="26476"/>
    <cellStyle name="Обычный 3 10 5 3 5 6" xfId="26477"/>
    <cellStyle name="Обычный 3 10 5 3 6" xfId="26478"/>
    <cellStyle name="Обычный 3 10 5 3 6 2" xfId="26479"/>
    <cellStyle name="Обычный 3 10 5 3 6 2 2" xfId="26480"/>
    <cellStyle name="Обычный 3 10 5 3 6 2 2 2" xfId="26481"/>
    <cellStyle name="Обычный 3 10 5 3 6 2 3" xfId="26482"/>
    <cellStyle name="Обычный 3 10 5 3 6 3" xfId="26483"/>
    <cellStyle name="Обычный 3 10 5 3 6 3 2" xfId="26484"/>
    <cellStyle name="Обычный 3 10 5 3 6 3 2 2" xfId="26485"/>
    <cellStyle name="Обычный 3 10 5 3 6 3 3" xfId="26486"/>
    <cellStyle name="Обычный 3 10 5 3 6 4" xfId="26487"/>
    <cellStyle name="Обычный 3 10 5 3 6 4 2" xfId="26488"/>
    <cellStyle name="Обычный 3 10 5 3 6 5" xfId="26489"/>
    <cellStyle name="Обычный 3 10 5 3 6 5 2" xfId="26490"/>
    <cellStyle name="Обычный 3 10 5 3 6 6" xfId="26491"/>
    <cellStyle name="Обычный 3 10 5 3 7" xfId="26492"/>
    <cellStyle name="Обычный 3 10 5 3 7 2" xfId="26493"/>
    <cellStyle name="Обычный 3 10 5 3 7 2 2" xfId="26494"/>
    <cellStyle name="Обычный 3 10 5 3 7 3" xfId="26495"/>
    <cellStyle name="Обычный 3 10 5 3 8" xfId="26496"/>
    <cellStyle name="Обычный 3 10 5 3 8 2" xfId="26497"/>
    <cellStyle name="Обычный 3 10 5 3 8 2 2" xfId="26498"/>
    <cellStyle name="Обычный 3 10 5 3 8 3" xfId="26499"/>
    <cellStyle name="Обычный 3 10 5 3 9" xfId="26500"/>
    <cellStyle name="Обычный 3 10 5 3 9 2" xfId="26501"/>
    <cellStyle name="Обычный 3 10 5 4" xfId="26502"/>
    <cellStyle name="Обычный 3 10 5 4 10" xfId="26503"/>
    <cellStyle name="Обычный 3 10 5 4 10 2" xfId="26504"/>
    <cellStyle name="Обычный 3 10 5 4 10 2 2" xfId="26505"/>
    <cellStyle name="Обычный 3 10 5 4 10 2 2 2" xfId="26506"/>
    <cellStyle name="Обычный 3 10 5 4 10 2 2 2 2" xfId="26507"/>
    <cellStyle name="Обычный 3 10 5 4 10 2 2 2 2 2" xfId="26508"/>
    <cellStyle name="Обычный 3 10 5 4 10 2 2 2 3" xfId="26509"/>
    <cellStyle name="Обычный 3 10 5 4 10 2 2 3" xfId="26510"/>
    <cellStyle name="Обычный 3 10 5 4 10 2 2 3 2" xfId="26511"/>
    <cellStyle name="Обычный 3 10 5 4 10 2 2 4" xfId="26512"/>
    <cellStyle name="Обычный 3 10 5 4 10 2 3" xfId="26513"/>
    <cellStyle name="Обычный 3 10 5 4 10 2 3 2" xfId="26514"/>
    <cellStyle name="Обычный 3 10 5 4 10 2 3 2 2" xfId="26515"/>
    <cellStyle name="Обычный 3 10 5 4 10 2 3 3" xfId="26516"/>
    <cellStyle name="Обычный 3 10 5 4 10 2 4" xfId="26517"/>
    <cellStyle name="Обычный 3 10 5 4 10 2 4 2" xfId="26518"/>
    <cellStyle name="Обычный 3 10 5 4 10 2 4 2 2" xfId="26519"/>
    <cellStyle name="Обычный 3 10 5 4 10 2 4 3" xfId="26520"/>
    <cellStyle name="Обычный 3 10 5 4 10 2 5" xfId="26521"/>
    <cellStyle name="Обычный 3 10 5 4 10 2 5 2" xfId="26522"/>
    <cellStyle name="Обычный 3 10 5 4 10 2 6" xfId="26523"/>
    <cellStyle name="Обычный 3 10 5 4 10 3" xfId="26524"/>
    <cellStyle name="Обычный 3 10 5 4 10 3 2" xfId="26525"/>
    <cellStyle name="Обычный 3 10 5 4 10 3 2 2" xfId="26526"/>
    <cellStyle name="Обычный 3 10 5 4 10 3 2 2 2" xfId="26527"/>
    <cellStyle name="Обычный 3 10 5 4 10 3 2 3" xfId="26528"/>
    <cellStyle name="Обычный 3 10 5 4 10 3 3" xfId="26529"/>
    <cellStyle name="Обычный 3 10 5 4 10 3 3 2" xfId="26530"/>
    <cellStyle name="Обычный 3 10 5 4 10 3 3 2 2" xfId="26531"/>
    <cellStyle name="Обычный 3 10 5 4 10 3 3 3" xfId="26532"/>
    <cellStyle name="Обычный 3 10 5 4 10 3 4" xfId="26533"/>
    <cellStyle name="Обычный 3 10 5 4 10 3 4 2" xfId="26534"/>
    <cellStyle name="Обычный 3 10 5 4 10 3 5" xfId="26535"/>
    <cellStyle name="Обычный 3 10 5 4 10 4" xfId="26536"/>
    <cellStyle name="Обычный 3 10 5 4 10 4 2" xfId="26537"/>
    <cellStyle name="Обычный 3 10 5 4 10 4 2 2" xfId="26538"/>
    <cellStyle name="Обычный 3 10 5 4 10 4 3" xfId="26539"/>
    <cellStyle name="Обычный 3 10 5 4 10 5" xfId="26540"/>
    <cellStyle name="Обычный 3 10 5 4 10 5 2" xfId="26541"/>
    <cellStyle name="Обычный 3 10 5 4 10 5 2 2" xfId="26542"/>
    <cellStyle name="Обычный 3 10 5 4 10 5 3" xfId="26543"/>
    <cellStyle name="Обычный 3 10 5 4 10 6" xfId="26544"/>
    <cellStyle name="Обычный 3 10 5 4 10 6 2" xfId="26545"/>
    <cellStyle name="Обычный 3 10 5 4 10 7" xfId="26546"/>
    <cellStyle name="Обычный 3 10 5 4 10 7 2" xfId="26547"/>
    <cellStyle name="Обычный 3 10 5 4 10 8" xfId="26548"/>
    <cellStyle name="Обычный 3 10 5 4 11" xfId="26549"/>
    <cellStyle name="Обычный 3 10 5 4 11 2" xfId="26550"/>
    <cellStyle name="Обычный 3 10 5 4 11 2 2" xfId="26551"/>
    <cellStyle name="Обычный 3 10 5 4 11 2 2 2" xfId="26552"/>
    <cellStyle name="Обычный 3 10 5 4 11 2 3" xfId="26553"/>
    <cellStyle name="Обычный 3 10 5 4 11 3" xfId="26554"/>
    <cellStyle name="Обычный 3 10 5 4 11 3 2" xfId="26555"/>
    <cellStyle name="Обычный 3 10 5 4 11 3 2 2" xfId="26556"/>
    <cellStyle name="Обычный 3 10 5 4 11 3 3" xfId="26557"/>
    <cellStyle name="Обычный 3 10 5 4 11 4" xfId="26558"/>
    <cellStyle name="Обычный 3 10 5 4 11 4 2" xfId="26559"/>
    <cellStyle name="Обычный 3 10 5 4 11 5" xfId="26560"/>
    <cellStyle name="Обычный 3 10 5 4 11 5 2" xfId="26561"/>
    <cellStyle name="Обычный 3 10 5 4 11 6" xfId="26562"/>
    <cellStyle name="Обычный 3 10 5 4 12" xfId="26563"/>
    <cellStyle name="Обычный 3 10 5 4 12 2" xfId="26564"/>
    <cellStyle name="Обычный 3 10 5 4 12 2 2" xfId="26565"/>
    <cellStyle name="Обычный 3 10 5 4 12 2 2 2" xfId="26566"/>
    <cellStyle name="Обычный 3 10 5 4 12 2 3" xfId="26567"/>
    <cellStyle name="Обычный 3 10 5 4 12 3" xfId="26568"/>
    <cellStyle name="Обычный 3 10 5 4 12 3 2" xfId="26569"/>
    <cellStyle name="Обычный 3 10 5 4 12 3 2 2" xfId="26570"/>
    <cellStyle name="Обычный 3 10 5 4 12 3 3" xfId="26571"/>
    <cellStyle name="Обычный 3 10 5 4 12 4" xfId="26572"/>
    <cellStyle name="Обычный 3 10 5 4 12 4 2" xfId="26573"/>
    <cellStyle name="Обычный 3 10 5 4 12 5" xfId="26574"/>
    <cellStyle name="Обычный 3 10 5 4 12 5 2" xfId="26575"/>
    <cellStyle name="Обычный 3 10 5 4 12 6" xfId="26576"/>
    <cellStyle name="Обычный 3 10 5 4 13" xfId="26577"/>
    <cellStyle name="Обычный 3 10 5 4 13 2" xfId="26578"/>
    <cellStyle name="Обычный 3 10 5 4 13 2 2" xfId="26579"/>
    <cellStyle name="Обычный 3 10 5 4 13 3" xfId="26580"/>
    <cellStyle name="Обычный 3 10 5 4 13 3 2" xfId="26581"/>
    <cellStyle name="Обычный 3 10 5 4 13 4" xfId="26582"/>
    <cellStyle name="Обычный 3 10 5 4 14" xfId="26583"/>
    <cellStyle name="Обычный 3 10 5 4 14 2" xfId="26584"/>
    <cellStyle name="Обычный 3 10 5 4 14 2 2" xfId="26585"/>
    <cellStyle name="Обычный 3 10 5 4 14 3" xfId="26586"/>
    <cellStyle name="Обычный 3 10 5 4 15" xfId="26587"/>
    <cellStyle name="Обычный 3 10 5 4 15 2" xfId="26588"/>
    <cellStyle name="Обычный 3 10 5 4 16" xfId="26589"/>
    <cellStyle name="Обычный 3 10 5 4 16 2" xfId="26590"/>
    <cellStyle name="Обычный 3 10 5 4 17" xfId="26591"/>
    <cellStyle name="Обычный 3 10 5 4 2" xfId="26592"/>
    <cellStyle name="Обычный 3 10 5 4 2 10" xfId="26593"/>
    <cellStyle name="Обычный 3 10 5 4 2 10 10" xfId="26594"/>
    <cellStyle name="Обычный 3 10 5 4 2 10 2" xfId="26595"/>
    <cellStyle name="Обычный 3 10 5 4 2 10 2 2" xfId="26596"/>
    <cellStyle name="Обычный 3 10 5 4 2 10 2 2 2" xfId="26597"/>
    <cellStyle name="Обычный 3 10 5 4 2 10 2 2 2 2" xfId="26598"/>
    <cellStyle name="Обычный 3 10 5 4 2 10 2 2 2 2 2" xfId="26599"/>
    <cellStyle name="Обычный 3 10 5 4 2 10 2 2 2 3" xfId="26600"/>
    <cellStyle name="Обычный 3 10 5 4 2 10 2 2 3" xfId="26601"/>
    <cellStyle name="Обычный 3 10 5 4 2 10 2 2 3 2" xfId="26602"/>
    <cellStyle name="Обычный 3 10 5 4 2 10 2 2 3 2 2" xfId="26603"/>
    <cellStyle name="Обычный 3 10 5 4 2 10 2 2 3 3" xfId="26604"/>
    <cellStyle name="Обычный 3 10 5 4 2 10 2 2 4" xfId="26605"/>
    <cellStyle name="Обычный 3 10 5 4 2 10 2 2 4 2" xfId="26606"/>
    <cellStyle name="Обычный 3 10 5 4 2 10 2 2 5" xfId="26607"/>
    <cellStyle name="Обычный 3 10 5 4 2 10 2 2 5 2" xfId="26608"/>
    <cellStyle name="Обычный 3 10 5 4 2 10 2 2 6" xfId="26609"/>
    <cellStyle name="Обычный 3 10 5 4 2 10 2 3" xfId="26610"/>
    <cellStyle name="Обычный 3 10 5 4 2 10 2 3 2" xfId="26611"/>
    <cellStyle name="Обычный 3 10 5 4 2 10 2 3 2 2" xfId="26612"/>
    <cellStyle name="Обычный 3 10 5 4 2 10 2 3 2 2 2" xfId="26613"/>
    <cellStyle name="Обычный 3 10 5 4 2 10 2 3 2 3" xfId="26614"/>
    <cellStyle name="Обычный 3 10 5 4 2 10 2 3 3" xfId="26615"/>
    <cellStyle name="Обычный 3 10 5 4 2 10 2 3 3 2" xfId="26616"/>
    <cellStyle name="Обычный 3 10 5 4 2 10 2 3 3 2 2" xfId="26617"/>
    <cellStyle name="Обычный 3 10 5 4 2 10 2 3 3 3" xfId="26618"/>
    <cellStyle name="Обычный 3 10 5 4 2 10 2 3 4" xfId="26619"/>
    <cellStyle name="Обычный 3 10 5 4 2 10 2 3 4 2" xfId="26620"/>
    <cellStyle name="Обычный 3 10 5 4 2 10 2 3 5" xfId="26621"/>
    <cellStyle name="Обычный 3 10 5 4 2 10 2 4" xfId="26622"/>
    <cellStyle name="Обычный 3 10 5 4 2 10 2 4 2" xfId="26623"/>
    <cellStyle name="Обычный 3 10 5 4 2 10 2 4 2 2" xfId="26624"/>
    <cellStyle name="Обычный 3 10 5 4 2 10 2 4 3" xfId="26625"/>
    <cellStyle name="Обычный 3 10 5 4 2 10 2 5" xfId="26626"/>
    <cellStyle name="Обычный 3 10 5 4 2 10 2 5 2" xfId="26627"/>
    <cellStyle name="Обычный 3 10 5 4 2 10 2 5 2 2" xfId="26628"/>
    <cellStyle name="Обычный 3 10 5 4 2 10 2 5 3" xfId="26629"/>
    <cellStyle name="Обычный 3 10 5 4 2 10 2 6" xfId="26630"/>
    <cellStyle name="Обычный 3 10 5 4 2 10 2 6 2" xfId="26631"/>
    <cellStyle name="Обычный 3 10 5 4 2 10 2 7" xfId="26632"/>
    <cellStyle name="Обычный 3 10 5 4 2 10 2 7 2" xfId="26633"/>
    <cellStyle name="Обычный 3 10 5 4 2 10 2 8" xfId="26634"/>
    <cellStyle name="Обычный 3 10 5 4 2 10 3" xfId="26635"/>
    <cellStyle name="Обычный 3 10 5 4 2 10 3 2" xfId="26636"/>
    <cellStyle name="Обычный 3 10 5 4 2 10 3 2 2" xfId="26637"/>
    <cellStyle name="Обычный 3 10 5 4 2 10 3 2 2 2" xfId="26638"/>
    <cellStyle name="Обычный 3 10 5 4 2 10 3 2 3" xfId="26639"/>
    <cellStyle name="Обычный 3 10 5 4 2 10 3 3" xfId="26640"/>
    <cellStyle name="Обычный 3 10 5 4 2 10 3 3 2" xfId="26641"/>
    <cellStyle name="Обычный 3 10 5 4 2 10 3 3 2 2" xfId="26642"/>
    <cellStyle name="Обычный 3 10 5 4 2 10 3 3 3" xfId="26643"/>
    <cellStyle name="Обычный 3 10 5 4 2 10 3 4" xfId="26644"/>
    <cellStyle name="Обычный 3 10 5 4 2 10 3 4 2" xfId="26645"/>
    <cellStyle name="Обычный 3 10 5 4 2 10 3 5" xfId="26646"/>
    <cellStyle name="Обычный 3 10 5 4 2 10 3 5 2" xfId="26647"/>
    <cellStyle name="Обычный 3 10 5 4 2 10 3 6" xfId="26648"/>
    <cellStyle name="Обычный 3 10 5 4 2 10 4" xfId="26649"/>
    <cellStyle name="Обычный 3 10 5 4 2 10 4 2" xfId="26650"/>
    <cellStyle name="Обычный 3 10 5 4 2 10 4 2 2" xfId="26651"/>
    <cellStyle name="Обычный 3 10 5 4 2 10 4 2 2 2" xfId="26652"/>
    <cellStyle name="Обычный 3 10 5 4 2 10 4 2 3" xfId="26653"/>
    <cellStyle name="Обычный 3 10 5 4 2 10 4 3" xfId="26654"/>
    <cellStyle name="Обычный 3 10 5 4 2 10 4 3 2" xfId="26655"/>
    <cellStyle name="Обычный 3 10 5 4 2 10 4 3 2 2" xfId="26656"/>
    <cellStyle name="Обычный 3 10 5 4 2 10 4 3 3" xfId="26657"/>
    <cellStyle name="Обычный 3 10 5 4 2 10 4 4" xfId="26658"/>
    <cellStyle name="Обычный 3 10 5 4 2 10 4 4 2" xfId="26659"/>
    <cellStyle name="Обычный 3 10 5 4 2 10 4 5" xfId="26660"/>
    <cellStyle name="Обычный 3 10 5 4 2 10 5" xfId="26661"/>
    <cellStyle name="Обычный 3 10 5 4 2 10 5 2" xfId="26662"/>
    <cellStyle name="Обычный 3 10 5 4 2 10 5 2 2" xfId="26663"/>
    <cellStyle name="Обычный 3 10 5 4 2 10 5 2 2 2" xfId="26664"/>
    <cellStyle name="Обычный 3 10 5 4 2 10 5 2 3" xfId="26665"/>
    <cellStyle name="Обычный 3 10 5 4 2 10 5 3" xfId="26666"/>
    <cellStyle name="Обычный 3 10 5 4 2 10 5 3 2" xfId="26667"/>
    <cellStyle name="Обычный 3 10 5 4 2 10 5 4" xfId="26668"/>
    <cellStyle name="Обычный 3 10 5 4 2 10 6" xfId="26669"/>
    <cellStyle name="Обычный 3 10 5 4 2 10 6 2" xfId="26670"/>
    <cellStyle name="Обычный 3 10 5 4 2 10 6 2 2" xfId="26671"/>
    <cellStyle name="Обычный 3 10 5 4 2 10 6 3" xfId="26672"/>
    <cellStyle name="Обычный 3 10 5 4 2 10 7" xfId="26673"/>
    <cellStyle name="Обычный 3 10 5 4 2 10 7 2" xfId="26674"/>
    <cellStyle name="Обычный 3 10 5 4 2 10 7 2 2" xfId="26675"/>
    <cellStyle name="Обычный 3 10 5 4 2 10 7 3" xfId="26676"/>
    <cellStyle name="Обычный 3 10 5 4 2 10 8" xfId="26677"/>
    <cellStyle name="Обычный 3 10 5 4 2 10 8 2" xfId="26678"/>
    <cellStyle name="Обычный 3 10 5 4 2 10 9" xfId="26679"/>
    <cellStyle name="Обычный 3 10 5 4 2 10 9 2" xfId="26680"/>
    <cellStyle name="Обычный 3 10 5 4 2 11" xfId="26681"/>
    <cellStyle name="Обычный 3 10 5 4 2 11 2" xfId="26682"/>
    <cellStyle name="Обычный 3 10 5 4 2 11 2 2" xfId="26683"/>
    <cellStyle name="Обычный 3 10 5 4 2 11 2 2 2" xfId="26684"/>
    <cellStyle name="Обычный 3 10 5 4 2 11 2 2 2 2" xfId="26685"/>
    <cellStyle name="Обычный 3 10 5 4 2 11 2 2 3" xfId="26686"/>
    <cellStyle name="Обычный 3 10 5 4 2 11 2 3" xfId="26687"/>
    <cellStyle name="Обычный 3 10 5 4 2 11 2 3 2" xfId="26688"/>
    <cellStyle name="Обычный 3 10 5 4 2 11 2 3 2 2" xfId="26689"/>
    <cellStyle name="Обычный 3 10 5 4 2 11 2 3 3" xfId="26690"/>
    <cellStyle name="Обычный 3 10 5 4 2 11 2 4" xfId="26691"/>
    <cellStyle name="Обычный 3 10 5 4 2 11 2 4 2" xfId="26692"/>
    <cellStyle name="Обычный 3 10 5 4 2 11 2 5" xfId="26693"/>
    <cellStyle name="Обычный 3 10 5 4 2 11 3" xfId="26694"/>
    <cellStyle name="Обычный 3 10 5 4 2 11 3 2" xfId="26695"/>
    <cellStyle name="Обычный 3 10 5 4 2 11 3 2 2" xfId="26696"/>
    <cellStyle name="Обычный 3 10 5 4 2 11 3 2 2 2" xfId="26697"/>
    <cellStyle name="Обычный 3 10 5 4 2 11 3 2 3" xfId="26698"/>
    <cellStyle name="Обычный 3 10 5 4 2 11 3 3" xfId="26699"/>
    <cellStyle name="Обычный 3 10 5 4 2 11 3 3 2" xfId="26700"/>
    <cellStyle name="Обычный 3 10 5 4 2 11 3 3 2 2" xfId="26701"/>
    <cellStyle name="Обычный 3 10 5 4 2 11 3 3 3" xfId="26702"/>
    <cellStyle name="Обычный 3 10 5 4 2 11 3 4" xfId="26703"/>
    <cellStyle name="Обычный 3 10 5 4 2 11 3 4 2" xfId="26704"/>
    <cellStyle name="Обычный 3 10 5 4 2 11 3 5" xfId="26705"/>
    <cellStyle name="Обычный 3 10 5 4 2 11 4" xfId="26706"/>
    <cellStyle name="Обычный 3 10 5 4 2 11 4 2" xfId="26707"/>
    <cellStyle name="Обычный 3 10 5 4 2 11 4 2 2" xfId="26708"/>
    <cellStyle name="Обычный 3 10 5 4 2 11 4 3" xfId="26709"/>
    <cellStyle name="Обычный 3 10 5 4 2 11 5" xfId="26710"/>
    <cellStyle name="Обычный 3 10 5 4 2 11 5 2" xfId="26711"/>
    <cellStyle name="Обычный 3 10 5 4 2 11 5 2 2" xfId="26712"/>
    <cellStyle name="Обычный 3 10 5 4 2 11 5 3" xfId="26713"/>
    <cellStyle name="Обычный 3 10 5 4 2 11 6" xfId="26714"/>
    <cellStyle name="Обычный 3 10 5 4 2 11 6 2" xfId="26715"/>
    <cellStyle name="Обычный 3 10 5 4 2 11 7" xfId="26716"/>
    <cellStyle name="Обычный 3 10 5 4 2 11 7 2" xfId="26717"/>
    <cellStyle name="Обычный 3 10 5 4 2 11 8" xfId="26718"/>
    <cellStyle name="Обычный 3 10 5 4 2 12" xfId="26719"/>
    <cellStyle name="Обычный 3 10 5 4 2 12 2" xfId="26720"/>
    <cellStyle name="Обычный 3 10 5 4 2 12 2 2" xfId="26721"/>
    <cellStyle name="Обычный 3 10 5 4 2 12 2 2 2" xfId="26722"/>
    <cellStyle name="Обычный 3 10 5 4 2 12 2 3" xfId="26723"/>
    <cellStyle name="Обычный 3 10 5 4 2 12 3" xfId="26724"/>
    <cellStyle name="Обычный 3 10 5 4 2 12 3 2" xfId="26725"/>
    <cellStyle name="Обычный 3 10 5 4 2 12 3 2 2" xfId="26726"/>
    <cellStyle name="Обычный 3 10 5 4 2 12 3 3" xfId="26727"/>
    <cellStyle name="Обычный 3 10 5 4 2 12 4" xfId="26728"/>
    <cellStyle name="Обычный 3 10 5 4 2 12 4 2" xfId="26729"/>
    <cellStyle name="Обычный 3 10 5 4 2 12 5" xfId="26730"/>
    <cellStyle name="Обычный 3 10 5 4 2 13" xfId="26731"/>
    <cellStyle name="Обычный 3 10 5 4 2 13 2" xfId="26732"/>
    <cellStyle name="Обычный 3 10 5 4 2 13 2 2" xfId="26733"/>
    <cellStyle name="Обычный 3 10 5 4 2 13 2 2 2" xfId="26734"/>
    <cellStyle name="Обычный 3 10 5 4 2 13 2 3" xfId="26735"/>
    <cellStyle name="Обычный 3 10 5 4 2 13 3" xfId="26736"/>
    <cellStyle name="Обычный 3 10 5 4 2 13 3 2" xfId="26737"/>
    <cellStyle name="Обычный 3 10 5 4 2 13 3 2 2" xfId="26738"/>
    <cellStyle name="Обычный 3 10 5 4 2 13 3 3" xfId="26739"/>
    <cellStyle name="Обычный 3 10 5 4 2 13 4" xfId="26740"/>
    <cellStyle name="Обычный 3 10 5 4 2 13 4 2" xfId="26741"/>
    <cellStyle name="Обычный 3 10 5 4 2 13 5" xfId="26742"/>
    <cellStyle name="Обычный 3 10 5 4 2 14" xfId="26743"/>
    <cellStyle name="Обычный 3 10 5 4 2 14 2" xfId="26744"/>
    <cellStyle name="Обычный 3 10 5 4 2 14 2 2" xfId="26745"/>
    <cellStyle name="Обычный 3 10 5 4 2 14 3" xfId="26746"/>
    <cellStyle name="Обычный 3 10 5 4 2 15" xfId="26747"/>
    <cellStyle name="Обычный 3 10 5 4 2 15 2" xfId="26748"/>
    <cellStyle name="Обычный 3 10 5 4 2 15 2 2" xfId="26749"/>
    <cellStyle name="Обычный 3 10 5 4 2 15 3" xfId="26750"/>
    <cellStyle name="Обычный 3 10 5 4 2 16" xfId="26751"/>
    <cellStyle name="Обычный 3 10 5 4 2 16 2" xfId="26752"/>
    <cellStyle name="Обычный 3 10 5 4 2 17" xfId="26753"/>
    <cellStyle name="Обычный 3 10 5 4 2 17 2" xfId="26754"/>
    <cellStyle name="Обычный 3 10 5 4 2 18" xfId="26755"/>
    <cellStyle name="Обычный 3 10 5 4 2 2" xfId="26756"/>
    <cellStyle name="Обычный 3 10 5 4 2 2 10" xfId="26757"/>
    <cellStyle name="Обычный 3 10 5 4 2 2 10 2" xfId="26758"/>
    <cellStyle name="Обычный 3 10 5 4 2 2 10 2 2" xfId="26759"/>
    <cellStyle name="Обычный 3 10 5 4 2 2 10 3" xfId="26760"/>
    <cellStyle name="Обычный 3 10 5 4 2 2 11" xfId="26761"/>
    <cellStyle name="Обычный 3 10 5 4 2 2 11 2" xfId="26762"/>
    <cellStyle name="Обычный 3 10 5 4 2 2 12" xfId="26763"/>
    <cellStyle name="Обычный 3 10 5 4 2 2 12 2" xfId="26764"/>
    <cellStyle name="Обычный 3 10 5 4 2 2 13" xfId="26765"/>
    <cellStyle name="Обычный 3 10 5 4 2 2 2" xfId="26766"/>
    <cellStyle name="Обычный 3 10 5 4 2 2 2 2" xfId="26767"/>
    <cellStyle name="Обычный 3 10 5 4 2 2 2 2 2" xfId="26768"/>
    <cellStyle name="Обычный 3 10 5 4 2 2 2 2 2 2" xfId="26769"/>
    <cellStyle name="Обычный 3 10 5 4 2 2 2 2 2 2 2" xfId="26770"/>
    <cellStyle name="Обычный 3 10 5 4 2 2 2 2 2 2 2 2" xfId="26771"/>
    <cellStyle name="Обычный 3 10 5 4 2 2 2 2 2 2 3" xfId="26772"/>
    <cellStyle name="Обычный 3 10 5 4 2 2 2 2 2 3" xfId="26773"/>
    <cellStyle name="Обычный 3 10 5 4 2 2 2 2 2 3 2" xfId="26774"/>
    <cellStyle name="Обычный 3 10 5 4 2 2 2 2 2 3 2 2" xfId="26775"/>
    <cellStyle name="Обычный 3 10 5 4 2 2 2 2 2 3 3" xfId="26776"/>
    <cellStyle name="Обычный 3 10 5 4 2 2 2 2 2 4" xfId="26777"/>
    <cellStyle name="Обычный 3 10 5 4 2 2 2 2 2 4 2" xfId="26778"/>
    <cellStyle name="Обычный 3 10 5 4 2 2 2 2 2 5" xfId="26779"/>
    <cellStyle name="Обычный 3 10 5 4 2 2 2 2 3" xfId="26780"/>
    <cellStyle name="Обычный 3 10 5 4 2 2 2 2 3 2" xfId="26781"/>
    <cellStyle name="Обычный 3 10 5 4 2 2 2 2 3 2 2" xfId="26782"/>
    <cellStyle name="Обычный 3 10 5 4 2 2 2 2 3 2 2 2" xfId="26783"/>
    <cellStyle name="Обычный 3 10 5 4 2 2 2 2 3 2 3" xfId="26784"/>
    <cellStyle name="Обычный 3 10 5 4 2 2 2 2 3 3" xfId="26785"/>
    <cellStyle name="Обычный 3 10 5 4 2 2 2 2 3 3 2" xfId="26786"/>
    <cellStyle name="Обычный 3 10 5 4 2 2 2 2 3 3 2 2" xfId="26787"/>
    <cellStyle name="Обычный 3 10 5 4 2 2 2 2 3 3 3" xfId="26788"/>
    <cellStyle name="Обычный 3 10 5 4 2 2 2 2 3 4" xfId="26789"/>
    <cellStyle name="Обычный 3 10 5 4 2 2 2 2 3 4 2" xfId="26790"/>
    <cellStyle name="Обычный 3 10 5 4 2 2 2 2 3 5" xfId="26791"/>
    <cellStyle name="Обычный 3 10 5 4 2 2 2 2 4" xfId="26792"/>
    <cellStyle name="Обычный 3 10 5 4 2 2 2 2 4 2" xfId="26793"/>
    <cellStyle name="Обычный 3 10 5 4 2 2 2 2 4 2 2" xfId="26794"/>
    <cellStyle name="Обычный 3 10 5 4 2 2 2 2 4 3" xfId="26795"/>
    <cellStyle name="Обычный 3 10 5 4 2 2 2 2 5" xfId="26796"/>
    <cellStyle name="Обычный 3 10 5 4 2 2 2 2 5 2" xfId="26797"/>
    <cellStyle name="Обычный 3 10 5 4 2 2 2 2 5 2 2" xfId="26798"/>
    <cellStyle name="Обычный 3 10 5 4 2 2 2 2 5 3" xfId="26799"/>
    <cellStyle name="Обычный 3 10 5 4 2 2 2 2 6" xfId="26800"/>
    <cellStyle name="Обычный 3 10 5 4 2 2 2 2 6 2" xfId="26801"/>
    <cellStyle name="Обычный 3 10 5 4 2 2 2 2 7" xfId="26802"/>
    <cellStyle name="Обычный 3 10 5 4 2 2 2 2 7 2" xfId="26803"/>
    <cellStyle name="Обычный 3 10 5 4 2 2 2 2 8" xfId="26804"/>
    <cellStyle name="Обычный 3 10 5 4 2 2 2 3" xfId="26805"/>
    <cellStyle name="Обычный 3 10 5 4 2 2 2 3 2" xfId="26806"/>
    <cellStyle name="Обычный 3 10 5 4 2 2 2 3 2 2" xfId="26807"/>
    <cellStyle name="Обычный 3 10 5 4 2 2 2 3 2 2 2" xfId="26808"/>
    <cellStyle name="Обычный 3 10 5 4 2 2 2 3 2 3" xfId="26809"/>
    <cellStyle name="Обычный 3 10 5 4 2 2 2 3 3" xfId="26810"/>
    <cellStyle name="Обычный 3 10 5 4 2 2 2 3 3 2" xfId="26811"/>
    <cellStyle name="Обычный 3 10 5 4 2 2 2 3 3 2 2" xfId="26812"/>
    <cellStyle name="Обычный 3 10 5 4 2 2 2 3 3 3" xfId="26813"/>
    <cellStyle name="Обычный 3 10 5 4 2 2 2 3 4" xfId="26814"/>
    <cellStyle name="Обычный 3 10 5 4 2 2 2 3 4 2" xfId="26815"/>
    <cellStyle name="Обычный 3 10 5 4 2 2 2 3 5" xfId="26816"/>
    <cellStyle name="Обычный 3 10 5 4 2 2 2 3 5 2" xfId="26817"/>
    <cellStyle name="Обычный 3 10 5 4 2 2 2 3 6" xfId="26818"/>
    <cellStyle name="Обычный 3 10 5 4 2 2 2 4" xfId="26819"/>
    <cellStyle name="Обычный 3 10 5 4 2 2 2 4 2" xfId="26820"/>
    <cellStyle name="Обычный 3 10 5 4 2 2 2 4 2 2" xfId="26821"/>
    <cellStyle name="Обычный 3 10 5 4 2 2 2 4 2 2 2" xfId="26822"/>
    <cellStyle name="Обычный 3 10 5 4 2 2 2 4 2 3" xfId="26823"/>
    <cellStyle name="Обычный 3 10 5 4 2 2 2 4 3" xfId="26824"/>
    <cellStyle name="Обычный 3 10 5 4 2 2 2 4 3 2" xfId="26825"/>
    <cellStyle name="Обычный 3 10 5 4 2 2 2 4 3 2 2" xfId="26826"/>
    <cellStyle name="Обычный 3 10 5 4 2 2 2 4 3 3" xfId="26827"/>
    <cellStyle name="Обычный 3 10 5 4 2 2 2 4 4" xfId="26828"/>
    <cellStyle name="Обычный 3 10 5 4 2 2 2 4 4 2" xfId="26829"/>
    <cellStyle name="Обычный 3 10 5 4 2 2 2 4 5" xfId="26830"/>
    <cellStyle name="Обычный 3 10 5 4 2 2 2 4 5 2" xfId="26831"/>
    <cellStyle name="Обычный 3 10 5 4 2 2 2 4 6" xfId="26832"/>
    <cellStyle name="Обычный 3 10 5 4 2 2 2 5" xfId="26833"/>
    <cellStyle name="Обычный 3 10 5 4 2 2 2 5 2" xfId="26834"/>
    <cellStyle name="Обычный 3 10 5 4 2 2 2 5 2 2" xfId="26835"/>
    <cellStyle name="Обычный 3 10 5 4 2 2 2 5 3" xfId="26836"/>
    <cellStyle name="Обычный 3 10 5 4 2 2 2 6" xfId="26837"/>
    <cellStyle name="Обычный 3 10 5 4 2 2 2 6 2" xfId="26838"/>
    <cellStyle name="Обычный 3 10 5 4 2 2 2 6 2 2" xfId="26839"/>
    <cellStyle name="Обычный 3 10 5 4 2 2 2 6 3" xfId="26840"/>
    <cellStyle name="Обычный 3 10 5 4 2 2 2 7" xfId="26841"/>
    <cellStyle name="Обычный 3 10 5 4 2 2 2 7 2" xfId="26842"/>
    <cellStyle name="Обычный 3 10 5 4 2 2 2 8" xfId="26843"/>
    <cellStyle name="Обычный 3 10 5 4 2 2 2 8 2" xfId="26844"/>
    <cellStyle name="Обычный 3 10 5 4 2 2 2 9" xfId="26845"/>
    <cellStyle name="Обычный 3 10 5 4 2 2 3" xfId="26846"/>
    <cellStyle name="Обычный 3 10 5 4 2 2 3 10" xfId="26847"/>
    <cellStyle name="Обычный 3 10 5 4 2 2 3 2" xfId="26848"/>
    <cellStyle name="Обычный 3 10 5 4 2 2 3 2 2" xfId="26849"/>
    <cellStyle name="Обычный 3 10 5 4 2 2 3 2 2 2" xfId="26850"/>
    <cellStyle name="Обычный 3 10 5 4 2 2 3 2 2 2 2" xfId="26851"/>
    <cellStyle name="Обычный 3 10 5 4 2 2 3 2 2 2 2 2" xfId="26852"/>
    <cellStyle name="Обычный 3 10 5 4 2 2 3 2 2 2 2 2 2" xfId="26853"/>
    <cellStyle name="Обычный 3 10 5 4 2 2 3 2 2 2 2 3" xfId="26854"/>
    <cellStyle name="Обычный 3 10 5 4 2 2 3 2 2 2 3" xfId="26855"/>
    <cellStyle name="Обычный 3 10 5 4 2 2 3 2 2 2 3 2" xfId="26856"/>
    <cellStyle name="Обычный 3 10 5 4 2 2 3 2 2 2 3 2 2" xfId="26857"/>
    <cellStyle name="Обычный 3 10 5 4 2 2 3 2 2 2 3 3" xfId="26858"/>
    <cellStyle name="Обычный 3 10 5 4 2 2 3 2 2 2 4" xfId="26859"/>
    <cellStyle name="Обычный 3 10 5 4 2 2 3 2 2 2 4 2" xfId="26860"/>
    <cellStyle name="Обычный 3 10 5 4 2 2 3 2 2 2 5" xfId="26861"/>
    <cellStyle name="Обычный 3 10 5 4 2 2 3 2 2 3" xfId="26862"/>
    <cellStyle name="Обычный 3 10 5 4 2 2 3 2 2 3 2" xfId="26863"/>
    <cellStyle name="Обычный 3 10 5 4 2 2 3 2 2 3 2 2" xfId="26864"/>
    <cellStyle name="Обычный 3 10 5 4 2 2 3 2 2 3 2 2 2" xfId="26865"/>
    <cellStyle name="Обычный 3 10 5 4 2 2 3 2 2 3 2 3" xfId="26866"/>
    <cellStyle name="Обычный 3 10 5 4 2 2 3 2 2 3 3" xfId="26867"/>
    <cellStyle name="Обычный 3 10 5 4 2 2 3 2 2 3 3 2" xfId="26868"/>
    <cellStyle name="Обычный 3 10 5 4 2 2 3 2 2 3 3 2 2" xfId="26869"/>
    <cellStyle name="Обычный 3 10 5 4 2 2 3 2 2 3 3 3" xfId="26870"/>
    <cellStyle name="Обычный 3 10 5 4 2 2 3 2 2 3 4" xfId="26871"/>
    <cellStyle name="Обычный 3 10 5 4 2 2 3 2 2 3 4 2" xfId="26872"/>
    <cellStyle name="Обычный 3 10 5 4 2 2 3 2 2 3 5" xfId="26873"/>
    <cellStyle name="Обычный 3 10 5 4 2 2 3 2 2 4" xfId="26874"/>
    <cellStyle name="Обычный 3 10 5 4 2 2 3 2 2 4 2" xfId="26875"/>
    <cellStyle name="Обычный 3 10 5 4 2 2 3 2 2 4 2 2" xfId="26876"/>
    <cellStyle name="Обычный 3 10 5 4 2 2 3 2 2 4 3" xfId="26877"/>
    <cellStyle name="Обычный 3 10 5 4 2 2 3 2 2 5" xfId="26878"/>
    <cellStyle name="Обычный 3 10 5 4 2 2 3 2 2 5 2" xfId="26879"/>
    <cellStyle name="Обычный 3 10 5 4 2 2 3 2 2 5 2 2" xfId="26880"/>
    <cellStyle name="Обычный 3 10 5 4 2 2 3 2 2 5 3" xfId="26881"/>
    <cellStyle name="Обычный 3 10 5 4 2 2 3 2 2 6" xfId="26882"/>
    <cellStyle name="Обычный 3 10 5 4 2 2 3 2 2 6 2" xfId="26883"/>
    <cellStyle name="Обычный 3 10 5 4 2 2 3 2 2 7" xfId="26884"/>
    <cellStyle name="Обычный 3 10 5 4 2 2 3 2 2 7 2" xfId="26885"/>
    <cellStyle name="Обычный 3 10 5 4 2 2 3 2 2 8" xfId="26886"/>
    <cellStyle name="Обычный 3 10 5 4 2 2 3 2 3" xfId="26887"/>
    <cellStyle name="Обычный 3 10 5 4 2 2 3 2 3 2" xfId="26888"/>
    <cellStyle name="Обычный 3 10 5 4 2 2 3 2 3 2 2" xfId="26889"/>
    <cellStyle name="Обычный 3 10 5 4 2 2 3 2 3 2 2 2" xfId="26890"/>
    <cellStyle name="Обычный 3 10 5 4 2 2 3 2 3 2 3" xfId="26891"/>
    <cellStyle name="Обычный 3 10 5 4 2 2 3 2 3 3" xfId="26892"/>
    <cellStyle name="Обычный 3 10 5 4 2 2 3 2 3 3 2" xfId="26893"/>
    <cellStyle name="Обычный 3 10 5 4 2 2 3 2 3 3 2 2" xfId="26894"/>
    <cellStyle name="Обычный 3 10 5 4 2 2 3 2 3 3 3" xfId="26895"/>
    <cellStyle name="Обычный 3 10 5 4 2 2 3 2 3 4" xfId="26896"/>
    <cellStyle name="Обычный 3 10 5 4 2 2 3 2 3 4 2" xfId="26897"/>
    <cellStyle name="Обычный 3 10 5 4 2 2 3 2 3 5" xfId="26898"/>
    <cellStyle name="Обычный 3 10 5 4 2 2 3 2 4" xfId="26899"/>
    <cellStyle name="Обычный 3 10 5 4 2 2 3 2 4 2" xfId="26900"/>
    <cellStyle name="Обычный 3 10 5 4 2 2 3 2 4 2 2" xfId="26901"/>
    <cellStyle name="Обычный 3 10 5 4 2 2 3 2 4 2 2 2" xfId="26902"/>
    <cellStyle name="Обычный 3 10 5 4 2 2 3 2 4 2 3" xfId="26903"/>
    <cellStyle name="Обычный 3 10 5 4 2 2 3 2 4 3" xfId="26904"/>
    <cellStyle name="Обычный 3 10 5 4 2 2 3 2 4 3 2" xfId="26905"/>
    <cellStyle name="Обычный 3 10 5 4 2 2 3 2 4 3 2 2" xfId="26906"/>
    <cellStyle name="Обычный 3 10 5 4 2 2 3 2 4 3 3" xfId="26907"/>
    <cellStyle name="Обычный 3 10 5 4 2 2 3 2 4 4" xfId="26908"/>
    <cellStyle name="Обычный 3 10 5 4 2 2 3 2 4 4 2" xfId="26909"/>
    <cellStyle name="Обычный 3 10 5 4 2 2 3 2 4 5" xfId="26910"/>
    <cellStyle name="Обычный 3 10 5 4 2 2 3 2 5" xfId="26911"/>
    <cellStyle name="Обычный 3 10 5 4 2 2 3 2 5 2" xfId="26912"/>
    <cellStyle name="Обычный 3 10 5 4 2 2 3 2 5 2 2" xfId="26913"/>
    <cellStyle name="Обычный 3 10 5 4 2 2 3 2 5 3" xfId="26914"/>
    <cellStyle name="Обычный 3 10 5 4 2 2 3 2 6" xfId="26915"/>
    <cellStyle name="Обычный 3 10 5 4 2 2 3 2 6 2" xfId="26916"/>
    <cellStyle name="Обычный 3 10 5 4 2 2 3 2 6 2 2" xfId="26917"/>
    <cellStyle name="Обычный 3 10 5 4 2 2 3 2 6 3" xfId="26918"/>
    <cellStyle name="Обычный 3 10 5 4 2 2 3 2 7" xfId="26919"/>
    <cellStyle name="Обычный 3 10 5 4 2 2 3 2 7 2" xfId="26920"/>
    <cellStyle name="Обычный 3 10 5 4 2 2 3 2 8" xfId="26921"/>
    <cellStyle name="Обычный 3 10 5 4 2 2 3 2 8 2" xfId="26922"/>
    <cellStyle name="Обычный 3 10 5 4 2 2 3 2 9" xfId="26923"/>
    <cellStyle name="Обычный 3 10 5 4 2 2 3 3" xfId="26924"/>
    <cellStyle name="Обычный 3 10 5 4 2 2 3 3 2" xfId="26925"/>
    <cellStyle name="Обычный 3 10 5 4 2 2 3 3 2 2" xfId="26926"/>
    <cellStyle name="Обычный 3 10 5 4 2 2 3 3 2 2 2" xfId="26927"/>
    <cellStyle name="Обычный 3 10 5 4 2 2 3 3 2 2 2 2" xfId="26928"/>
    <cellStyle name="Обычный 3 10 5 4 2 2 3 3 2 2 3" xfId="26929"/>
    <cellStyle name="Обычный 3 10 5 4 2 2 3 3 2 3" xfId="26930"/>
    <cellStyle name="Обычный 3 10 5 4 2 2 3 3 2 3 2" xfId="26931"/>
    <cellStyle name="Обычный 3 10 5 4 2 2 3 3 2 3 2 2" xfId="26932"/>
    <cellStyle name="Обычный 3 10 5 4 2 2 3 3 2 3 3" xfId="26933"/>
    <cellStyle name="Обычный 3 10 5 4 2 2 3 3 2 4" xfId="26934"/>
    <cellStyle name="Обычный 3 10 5 4 2 2 3 3 2 4 2" xfId="26935"/>
    <cellStyle name="Обычный 3 10 5 4 2 2 3 3 2 5" xfId="26936"/>
    <cellStyle name="Обычный 3 10 5 4 2 2 3 3 3" xfId="26937"/>
    <cellStyle name="Обычный 3 10 5 4 2 2 3 3 3 2" xfId="26938"/>
    <cellStyle name="Обычный 3 10 5 4 2 2 3 3 3 2 2" xfId="26939"/>
    <cellStyle name="Обычный 3 10 5 4 2 2 3 3 3 2 2 2" xfId="26940"/>
    <cellStyle name="Обычный 3 10 5 4 2 2 3 3 3 2 3" xfId="26941"/>
    <cellStyle name="Обычный 3 10 5 4 2 2 3 3 3 3" xfId="26942"/>
    <cellStyle name="Обычный 3 10 5 4 2 2 3 3 3 3 2" xfId="26943"/>
    <cellStyle name="Обычный 3 10 5 4 2 2 3 3 3 3 2 2" xfId="26944"/>
    <cellStyle name="Обычный 3 10 5 4 2 2 3 3 3 3 3" xfId="26945"/>
    <cellStyle name="Обычный 3 10 5 4 2 2 3 3 3 4" xfId="26946"/>
    <cellStyle name="Обычный 3 10 5 4 2 2 3 3 3 4 2" xfId="26947"/>
    <cellStyle name="Обычный 3 10 5 4 2 2 3 3 3 5" xfId="26948"/>
    <cellStyle name="Обычный 3 10 5 4 2 2 3 3 4" xfId="26949"/>
    <cellStyle name="Обычный 3 10 5 4 2 2 3 3 4 2" xfId="26950"/>
    <cellStyle name="Обычный 3 10 5 4 2 2 3 3 4 2 2" xfId="26951"/>
    <cellStyle name="Обычный 3 10 5 4 2 2 3 3 4 3" xfId="26952"/>
    <cellStyle name="Обычный 3 10 5 4 2 2 3 3 5" xfId="26953"/>
    <cellStyle name="Обычный 3 10 5 4 2 2 3 3 5 2" xfId="26954"/>
    <cellStyle name="Обычный 3 10 5 4 2 2 3 3 5 2 2" xfId="26955"/>
    <cellStyle name="Обычный 3 10 5 4 2 2 3 3 5 3" xfId="26956"/>
    <cellStyle name="Обычный 3 10 5 4 2 2 3 3 6" xfId="26957"/>
    <cellStyle name="Обычный 3 10 5 4 2 2 3 3 6 2" xfId="26958"/>
    <cellStyle name="Обычный 3 10 5 4 2 2 3 3 7" xfId="26959"/>
    <cellStyle name="Обычный 3 10 5 4 2 2 3 3 7 2" xfId="26960"/>
    <cellStyle name="Обычный 3 10 5 4 2 2 3 3 8" xfId="26961"/>
    <cellStyle name="Обычный 3 10 5 4 2 2 3 4" xfId="26962"/>
    <cellStyle name="Обычный 3 10 5 4 2 2 3 4 2" xfId="26963"/>
    <cellStyle name="Обычный 3 10 5 4 2 2 3 4 2 2" xfId="26964"/>
    <cellStyle name="Обычный 3 10 5 4 2 2 3 4 2 2 2" xfId="26965"/>
    <cellStyle name="Обычный 3 10 5 4 2 2 3 4 2 3" xfId="26966"/>
    <cellStyle name="Обычный 3 10 5 4 2 2 3 4 3" xfId="26967"/>
    <cellStyle name="Обычный 3 10 5 4 2 2 3 4 3 2" xfId="26968"/>
    <cellStyle name="Обычный 3 10 5 4 2 2 3 4 3 2 2" xfId="26969"/>
    <cellStyle name="Обычный 3 10 5 4 2 2 3 4 3 3" xfId="26970"/>
    <cellStyle name="Обычный 3 10 5 4 2 2 3 4 4" xfId="26971"/>
    <cellStyle name="Обычный 3 10 5 4 2 2 3 4 4 2" xfId="26972"/>
    <cellStyle name="Обычный 3 10 5 4 2 2 3 4 5" xfId="26973"/>
    <cellStyle name="Обычный 3 10 5 4 2 2 3 5" xfId="26974"/>
    <cellStyle name="Обычный 3 10 5 4 2 2 3 5 2" xfId="26975"/>
    <cellStyle name="Обычный 3 10 5 4 2 2 3 5 2 2" xfId="26976"/>
    <cellStyle name="Обычный 3 10 5 4 2 2 3 5 2 2 2" xfId="26977"/>
    <cellStyle name="Обычный 3 10 5 4 2 2 3 5 2 3" xfId="26978"/>
    <cellStyle name="Обычный 3 10 5 4 2 2 3 5 3" xfId="26979"/>
    <cellStyle name="Обычный 3 10 5 4 2 2 3 5 3 2" xfId="26980"/>
    <cellStyle name="Обычный 3 10 5 4 2 2 3 5 3 2 2" xfId="26981"/>
    <cellStyle name="Обычный 3 10 5 4 2 2 3 5 3 3" xfId="26982"/>
    <cellStyle name="Обычный 3 10 5 4 2 2 3 5 4" xfId="26983"/>
    <cellStyle name="Обычный 3 10 5 4 2 2 3 5 4 2" xfId="26984"/>
    <cellStyle name="Обычный 3 10 5 4 2 2 3 5 5" xfId="26985"/>
    <cellStyle name="Обычный 3 10 5 4 2 2 3 6" xfId="26986"/>
    <cellStyle name="Обычный 3 10 5 4 2 2 3 6 2" xfId="26987"/>
    <cellStyle name="Обычный 3 10 5 4 2 2 3 6 2 2" xfId="26988"/>
    <cellStyle name="Обычный 3 10 5 4 2 2 3 6 3" xfId="26989"/>
    <cellStyle name="Обычный 3 10 5 4 2 2 3 7" xfId="26990"/>
    <cellStyle name="Обычный 3 10 5 4 2 2 3 7 2" xfId="26991"/>
    <cellStyle name="Обычный 3 10 5 4 2 2 3 7 2 2" xfId="26992"/>
    <cellStyle name="Обычный 3 10 5 4 2 2 3 7 3" xfId="26993"/>
    <cellStyle name="Обычный 3 10 5 4 2 2 3 8" xfId="26994"/>
    <cellStyle name="Обычный 3 10 5 4 2 2 3 8 2" xfId="26995"/>
    <cellStyle name="Обычный 3 10 5 4 2 2 3 9" xfId="26996"/>
    <cellStyle name="Обычный 3 10 5 4 2 2 3 9 2" xfId="26997"/>
    <cellStyle name="Обычный 3 10 5 4 2 2 4" xfId="26998"/>
    <cellStyle name="Обычный 3 10 5 4 2 2 4 2" xfId="26999"/>
    <cellStyle name="Обычный 3 10 5 4 2 2 4 2 2" xfId="27000"/>
    <cellStyle name="Обычный 3 10 5 4 2 2 4 2 2 2" xfId="27001"/>
    <cellStyle name="Обычный 3 10 5 4 2 2 4 2 2 2 2" xfId="27002"/>
    <cellStyle name="Обычный 3 10 5 4 2 2 4 2 2 2 2 2" xfId="27003"/>
    <cellStyle name="Обычный 3 10 5 4 2 2 4 2 2 2 3" xfId="27004"/>
    <cellStyle name="Обычный 3 10 5 4 2 2 4 2 2 3" xfId="27005"/>
    <cellStyle name="Обычный 3 10 5 4 2 2 4 2 2 3 2" xfId="27006"/>
    <cellStyle name="Обычный 3 10 5 4 2 2 4 2 2 3 2 2" xfId="27007"/>
    <cellStyle name="Обычный 3 10 5 4 2 2 4 2 2 3 3" xfId="27008"/>
    <cellStyle name="Обычный 3 10 5 4 2 2 4 2 2 4" xfId="27009"/>
    <cellStyle name="Обычный 3 10 5 4 2 2 4 2 2 4 2" xfId="27010"/>
    <cellStyle name="Обычный 3 10 5 4 2 2 4 2 2 5" xfId="27011"/>
    <cellStyle name="Обычный 3 10 5 4 2 2 4 2 3" xfId="27012"/>
    <cellStyle name="Обычный 3 10 5 4 2 2 4 2 3 2" xfId="27013"/>
    <cellStyle name="Обычный 3 10 5 4 2 2 4 2 3 2 2" xfId="27014"/>
    <cellStyle name="Обычный 3 10 5 4 2 2 4 2 3 2 2 2" xfId="27015"/>
    <cellStyle name="Обычный 3 10 5 4 2 2 4 2 3 2 3" xfId="27016"/>
    <cellStyle name="Обычный 3 10 5 4 2 2 4 2 3 3" xfId="27017"/>
    <cellStyle name="Обычный 3 10 5 4 2 2 4 2 3 3 2" xfId="27018"/>
    <cellStyle name="Обычный 3 10 5 4 2 2 4 2 3 3 2 2" xfId="27019"/>
    <cellStyle name="Обычный 3 10 5 4 2 2 4 2 3 3 3" xfId="27020"/>
    <cellStyle name="Обычный 3 10 5 4 2 2 4 2 3 4" xfId="27021"/>
    <cellStyle name="Обычный 3 10 5 4 2 2 4 2 3 4 2" xfId="27022"/>
    <cellStyle name="Обычный 3 10 5 4 2 2 4 2 3 5" xfId="27023"/>
    <cellStyle name="Обычный 3 10 5 4 2 2 4 2 4" xfId="27024"/>
    <cellStyle name="Обычный 3 10 5 4 2 2 4 2 4 2" xfId="27025"/>
    <cellStyle name="Обычный 3 10 5 4 2 2 4 2 4 2 2" xfId="27026"/>
    <cellStyle name="Обычный 3 10 5 4 2 2 4 2 4 3" xfId="27027"/>
    <cellStyle name="Обычный 3 10 5 4 2 2 4 2 5" xfId="27028"/>
    <cellStyle name="Обычный 3 10 5 4 2 2 4 2 5 2" xfId="27029"/>
    <cellStyle name="Обычный 3 10 5 4 2 2 4 2 5 2 2" xfId="27030"/>
    <cellStyle name="Обычный 3 10 5 4 2 2 4 2 5 3" xfId="27031"/>
    <cellStyle name="Обычный 3 10 5 4 2 2 4 2 6" xfId="27032"/>
    <cellStyle name="Обычный 3 10 5 4 2 2 4 2 6 2" xfId="27033"/>
    <cellStyle name="Обычный 3 10 5 4 2 2 4 2 7" xfId="27034"/>
    <cellStyle name="Обычный 3 10 5 4 2 2 4 2 7 2" xfId="27035"/>
    <cellStyle name="Обычный 3 10 5 4 2 2 4 2 8" xfId="27036"/>
    <cellStyle name="Обычный 3 10 5 4 2 2 4 3" xfId="27037"/>
    <cellStyle name="Обычный 3 10 5 4 2 2 4 3 2" xfId="27038"/>
    <cellStyle name="Обычный 3 10 5 4 2 2 4 3 2 2" xfId="27039"/>
    <cellStyle name="Обычный 3 10 5 4 2 2 4 3 2 2 2" xfId="27040"/>
    <cellStyle name="Обычный 3 10 5 4 2 2 4 3 2 2 2 2" xfId="27041"/>
    <cellStyle name="Обычный 3 10 5 4 2 2 4 3 2 2 3" xfId="27042"/>
    <cellStyle name="Обычный 3 10 5 4 2 2 4 3 2 3" xfId="27043"/>
    <cellStyle name="Обычный 3 10 5 4 2 2 4 3 2 3 2" xfId="27044"/>
    <cellStyle name="Обычный 3 10 5 4 2 2 4 3 2 3 2 2" xfId="27045"/>
    <cellStyle name="Обычный 3 10 5 4 2 2 4 3 2 3 3" xfId="27046"/>
    <cellStyle name="Обычный 3 10 5 4 2 2 4 3 2 4" xfId="27047"/>
    <cellStyle name="Обычный 3 10 5 4 2 2 4 3 2 4 2" xfId="27048"/>
    <cellStyle name="Обычный 3 10 5 4 2 2 4 3 2 5" xfId="27049"/>
    <cellStyle name="Обычный 3 10 5 4 2 2 4 3 3" xfId="27050"/>
    <cellStyle name="Обычный 3 10 5 4 2 2 4 3 3 2" xfId="27051"/>
    <cellStyle name="Обычный 3 10 5 4 2 2 4 3 3 2 2" xfId="27052"/>
    <cellStyle name="Обычный 3 10 5 4 2 2 4 3 3 2 2 2" xfId="27053"/>
    <cellStyle name="Обычный 3 10 5 4 2 2 4 3 3 2 3" xfId="27054"/>
    <cellStyle name="Обычный 3 10 5 4 2 2 4 3 3 3" xfId="27055"/>
    <cellStyle name="Обычный 3 10 5 4 2 2 4 3 3 3 2" xfId="27056"/>
    <cellStyle name="Обычный 3 10 5 4 2 2 4 3 3 3 2 2" xfId="27057"/>
    <cellStyle name="Обычный 3 10 5 4 2 2 4 3 3 3 3" xfId="27058"/>
    <cellStyle name="Обычный 3 10 5 4 2 2 4 3 3 4" xfId="27059"/>
    <cellStyle name="Обычный 3 10 5 4 2 2 4 3 3 4 2" xfId="27060"/>
    <cellStyle name="Обычный 3 10 5 4 2 2 4 3 3 5" xfId="27061"/>
    <cellStyle name="Обычный 3 10 5 4 2 2 4 3 4" xfId="27062"/>
    <cellStyle name="Обычный 3 10 5 4 2 2 4 3 4 2" xfId="27063"/>
    <cellStyle name="Обычный 3 10 5 4 2 2 4 3 4 2 2" xfId="27064"/>
    <cellStyle name="Обычный 3 10 5 4 2 2 4 3 4 3" xfId="27065"/>
    <cellStyle name="Обычный 3 10 5 4 2 2 4 3 5" xfId="27066"/>
    <cellStyle name="Обычный 3 10 5 4 2 2 4 3 5 2" xfId="27067"/>
    <cellStyle name="Обычный 3 10 5 4 2 2 4 3 5 2 2" xfId="27068"/>
    <cellStyle name="Обычный 3 10 5 4 2 2 4 3 5 3" xfId="27069"/>
    <cellStyle name="Обычный 3 10 5 4 2 2 4 3 6" xfId="27070"/>
    <cellStyle name="Обычный 3 10 5 4 2 2 4 3 6 2" xfId="27071"/>
    <cellStyle name="Обычный 3 10 5 4 2 2 4 3 7" xfId="27072"/>
    <cellStyle name="Обычный 3 10 5 4 2 2 4 3 7 2" xfId="27073"/>
    <cellStyle name="Обычный 3 10 5 4 2 2 4 3 8" xfId="27074"/>
    <cellStyle name="Обычный 3 10 5 4 2 2 4 4" xfId="27075"/>
    <cellStyle name="Обычный 3 10 5 4 2 2 4 4 2" xfId="27076"/>
    <cellStyle name="Обычный 3 10 5 4 2 2 4 4 2 2" xfId="27077"/>
    <cellStyle name="Обычный 3 10 5 4 2 2 4 4 2 2 2" xfId="27078"/>
    <cellStyle name="Обычный 3 10 5 4 2 2 4 4 2 3" xfId="27079"/>
    <cellStyle name="Обычный 3 10 5 4 2 2 4 4 3" xfId="27080"/>
    <cellStyle name="Обычный 3 10 5 4 2 2 4 4 3 2" xfId="27081"/>
    <cellStyle name="Обычный 3 10 5 4 2 2 4 4 3 2 2" xfId="27082"/>
    <cellStyle name="Обычный 3 10 5 4 2 2 4 4 3 3" xfId="27083"/>
    <cellStyle name="Обычный 3 10 5 4 2 2 4 4 4" xfId="27084"/>
    <cellStyle name="Обычный 3 10 5 4 2 2 4 4 4 2" xfId="27085"/>
    <cellStyle name="Обычный 3 10 5 4 2 2 4 4 5" xfId="27086"/>
    <cellStyle name="Обычный 3 10 5 4 2 2 4 5" xfId="27087"/>
    <cellStyle name="Обычный 3 10 5 4 2 2 4 5 2" xfId="27088"/>
    <cellStyle name="Обычный 3 10 5 4 2 2 4 5 2 2" xfId="27089"/>
    <cellStyle name="Обычный 3 10 5 4 2 2 4 5 3" xfId="27090"/>
    <cellStyle name="Обычный 3 10 5 4 2 2 4 6" xfId="27091"/>
    <cellStyle name="Обычный 3 10 5 4 2 2 4 6 2" xfId="27092"/>
    <cellStyle name="Обычный 3 10 5 4 2 2 4 6 2 2" xfId="27093"/>
    <cellStyle name="Обычный 3 10 5 4 2 2 4 6 3" xfId="27094"/>
    <cellStyle name="Обычный 3 10 5 4 2 2 4 7" xfId="27095"/>
    <cellStyle name="Обычный 3 10 5 4 2 2 4 7 2" xfId="27096"/>
    <cellStyle name="Обычный 3 10 5 4 2 2 4 8" xfId="27097"/>
    <cellStyle name="Обычный 3 10 5 4 2 2 4 8 2" xfId="27098"/>
    <cellStyle name="Обычный 3 10 5 4 2 2 4 9" xfId="27099"/>
    <cellStyle name="Обычный 3 10 5 4 2 2 5" xfId="27100"/>
    <cellStyle name="Обычный 3 10 5 4 2 2 5 2" xfId="27101"/>
    <cellStyle name="Обычный 3 10 5 4 2 2 5 2 2" xfId="27102"/>
    <cellStyle name="Обычный 3 10 5 4 2 2 5 2 2 2" xfId="27103"/>
    <cellStyle name="Обычный 3 10 5 4 2 2 5 2 2 2 2" xfId="27104"/>
    <cellStyle name="Обычный 3 10 5 4 2 2 5 2 2 3" xfId="27105"/>
    <cellStyle name="Обычный 3 10 5 4 2 2 5 2 3" xfId="27106"/>
    <cellStyle name="Обычный 3 10 5 4 2 2 5 2 3 2" xfId="27107"/>
    <cellStyle name="Обычный 3 10 5 4 2 2 5 2 3 2 2" xfId="27108"/>
    <cellStyle name="Обычный 3 10 5 4 2 2 5 2 3 3" xfId="27109"/>
    <cellStyle name="Обычный 3 10 5 4 2 2 5 2 4" xfId="27110"/>
    <cellStyle name="Обычный 3 10 5 4 2 2 5 2 4 2" xfId="27111"/>
    <cellStyle name="Обычный 3 10 5 4 2 2 5 2 5" xfId="27112"/>
    <cellStyle name="Обычный 3 10 5 4 2 2 5 3" xfId="27113"/>
    <cellStyle name="Обычный 3 10 5 4 2 2 5 3 2" xfId="27114"/>
    <cellStyle name="Обычный 3 10 5 4 2 2 5 3 2 2" xfId="27115"/>
    <cellStyle name="Обычный 3 10 5 4 2 2 5 3 2 2 2" xfId="27116"/>
    <cellStyle name="Обычный 3 10 5 4 2 2 5 3 2 3" xfId="27117"/>
    <cellStyle name="Обычный 3 10 5 4 2 2 5 3 3" xfId="27118"/>
    <cellStyle name="Обычный 3 10 5 4 2 2 5 3 3 2" xfId="27119"/>
    <cellStyle name="Обычный 3 10 5 4 2 2 5 3 3 2 2" xfId="27120"/>
    <cellStyle name="Обычный 3 10 5 4 2 2 5 3 3 3" xfId="27121"/>
    <cellStyle name="Обычный 3 10 5 4 2 2 5 3 4" xfId="27122"/>
    <cellStyle name="Обычный 3 10 5 4 2 2 5 3 4 2" xfId="27123"/>
    <cellStyle name="Обычный 3 10 5 4 2 2 5 3 5" xfId="27124"/>
    <cellStyle name="Обычный 3 10 5 4 2 2 5 4" xfId="27125"/>
    <cellStyle name="Обычный 3 10 5 4 2 2 5 4 2" xfId="27126"/>
    <cellStyle name="Обычный 3 10 5 4 2 2 5 4 2 2" xfId="27127"/>
    <cellStyle name="Обычный 3 10 5 4 2 2 5 4 3" xfId="27128"/>
    <cellStyle name="Обычный 3 10 5 4 2 2 5 5" xfId="27129"/>
    <cellStyle name="Обычный 3 10 5 4 2 2 5 5 2" xfId="27130"/>
    <cellStyle name="Обычный 3 10 5 4 2 2 5 5 2 2" xfId="27131"/>
    <cellStyle name="Обычный 3 10 5 4 2 2 5 5 3" xfId="27132"/>
    <cellStyle name="Обычный 3 10 5 4 2 2 5 6" xfId="27133"/>
    <cellStyle name="Обычный 3 10 5 4 2 2 5 6 2" xfId="27134"/>
    <cellStyle name="Обычный 3 10 5 4 2 2 5 7" xfId="27135"/>
    <cellStyle name="Обычный 3 10 5 4 2 2 5 7 2" xfId="27136"/>
    <cellStyle name="Обычный 3 10 5 4 2 2 5 8" xfId="27137"/>
    <cellStyle name="Обычный 3 10 5 4 2 2 6" xfId="27138"/>
    <cellStyle name="Обычный 3 10 5 4 2 2 6 2" xfId="27139"/>
    <cellStyle name="Обычный 3 10 5 4 2 2 6 2 2" xfId="27140"/>
    <cellStyle name="Обычный 3 10 5 4 2 2 6 2 2 2" xfId="27141"/>
    <cellStyle name="Обычный 3 10 5 4 2 2 6 2 2 2 2" xfId="27142"/>
    <cellStyle name="Обычный 3 10 5 4 2 2 6 2 2 3" xfId="27143"/>
    <cellStyle name="Обычный 3 10 5 4 2 2 6 2 3" xfId="27144"/>
    <cellStyle name="Обычный 3 10 5 4 2 2 6 2 3 2" xfId="27145"/>
    <cellStyle name="Обычный 3 10 5 4 2 2 6 2 3 2 2" xfId="27146"/>
    <cellStyle name="Обычный 3 10 5 4 2 2 6 2 3 3" xfId="27147"/>
    <cellStyle name="Обычный 3 10 5 4 2 2 6 2 4" xfId="27148"/>
    <cellStyle name="Обычный 3 10 5 4 2 2 6 2 4 2" xfId="27149"/>
    <cellStyle name="Обычный 3 10 5 4 2 2 6 2 5" xfId="27150"/>
    <cellStyle name="Обычный 3 10 5 4 2 2 6 3" xfId="27151"/>
    <cellStyle name="Обычный 3 10 5 4 2 2 6 3 2" xfId="27152"/>
    <cellStyle name="Обычный 3 10 5 4 2 2 6 3 2 2" xfId="27153"/>
    <cellStyle name="Обычный 3 10 5 4 2 2 6 3 2 2 2" xfId="27154"/>
    <cellStyle name="Обычный 3 10 5 4 2 2 6 3 2 3" xfId="27155"/>
    <cellStyle name="Обычный 3 10 5 4 2 2 6 3 3" xfId="27156"/>
    <cellStyle name="Обычный 3 10 5 4 2 2 6 3 3 2" xfId="27157"/>
    <cellStyle name="Обычный 3 10 5 4 2 2 6 3 3 2 2" xfId="27158"/>
    <cellStyle name="Обычный 3 10 5 4 2 2 6 3 3 3" xfId="27159"/>
    <cellStyle name="Обычный 3 10 5 4 2 2 6 3 4" xfId="27160"/>
    <cellStyle name="Обычный 3 10 5 4 2 2 6 3 4 2" xfId="27161"/>
    <cellStyle name="Обычный 3 10 5 4 2 2 6 3 5" xfId="27162"/>
    <cellStyle name="Обычный 3 10 5 4 2 2 6 4" xfId="27163"/>
    <cellStyle name="Обычный 3 10 5 4 2 2 6 4 2" xfId="27164"/>
    <cellStyle name="Обычный 3 10 5 4 2 2 6 4 2 2" xfId="27165"/>
    <cellStyle name="Обычный 3 10 5 4 2 2 6 4 3" xfId="27166"/>
    <cellStyle name="Обычный 3 10 5 4 2 2 6 5" xfId="27167"/>
    <cellStyle name="Обычный 3 10 5 4 2 2 6 5 2" xfId="27168"/>
    <cellStyle name="Обычный 3 10 5 4 2 2 6 5 2 2" xfId="27169"/>
    <cellStyle name="Обычный 3 10 5 4 2 2 6 5 3" xfId="27170"/>
    <cellStyle name="Обычный 3 10 5 4 2 2 6 6" xfId="27171"/>
    <cellStyle name="Обычный 3 10 5 4 2 2 6 6 2" xfId="27172"/>
    <cellStyle name="Обычный 3 10 5 4 2 2 6 7" xfId="27173"/>
    <cellStyle name="Обычный 3 10 5 4 2 2 6 7 2" xfId="27174"/>
    <cellStyle name="Обычный 3 10 5 4 2 2 6 8" xfId="27175"/>
    <cellStyle name="Обычный 3 10 5 4 2 2 7" xfId="27176"/>
    <cellStyle name="Обычный 3 10 5 4 2 2 7 2" xfId="27177"/>
    <cellStyle name="Обычный 3 10 5 4 2 2 7 2 2" xfId="27178"/>
    <cellStyle name="Обычный 3 10 5 4 2 2 7 2 2 2" xfId="27179"/>
    <cellStyle name="Обычный 3 10 5 4 2 2 7 2 3" xfId="27180"/>
    <cellStyle name="Обычный 3 10 5 4 2 2 7 3" xfId="27181"/>
    <cellStyle name="Обычный 3 10 5 4 2 2 7 3 2" xfId="27182"/>
    <cellStyle name="Обычный 3 10 5 4 2 2 7 3 2 2" xfId="27183"/>
    <cellStyle name="Обычный 3 10 5 4 2 2 7 3 3" xfId="27184"/>
    <cellStyle name="Обычный 3 10 5 4 2 2 7 4" xfId="27185"/>
    <cellStyle name="Обычный 3 10 5 4 2 2 7 4 2" xfId="27186"/>
    <cellStyle name="Обычный 3 10 5 4 2 2 7 5" xfId="27187"/>
    <cellStyle name="Обычный 3 10 5 4 2 2 8" xfId="27188"/>
    <cellStyle name="Обычный 3 10 5 4 2 2 8 2" xfId="27189"/>
    <cellStyle name="Обычный 3 10 5 4 2 2 8 2 2" xfId="27190"/>
    <cellStyle name="Обычный 3 10 5 4 2 2 8 2 2 2" xfId="27191"/>
    <cellStyle name="Обычный 3 10 5 4 2 2 8 2 3" xfId="27192"/>
    <cellStyle name="Обычный 3 10 5 4 2 2 8 3" xfId="27193"/>
    <cellStyle name="Обычный 3 10 5 4 2 2 8 3 2" xfId="27194"/>
    <cellStyle name="Обычный 3 10 5 4 2 2 8 3 2 2" xfId="27195"/>
    <cellStyle name="Обычный 3 10 5 4 2 2 8 3 3" xfId="27196"/>
    <cellStyle name="Обычный 3 10 5 4 2 2 8 4" xfId="27197"/>
    <cellStyle name="Обычный 3 10 5 4 2 2 8 4 2" xfId="27198"/>
    <cellStyle name="Обычный 3 10 5 4 2 2 8 5" xfId="27199"/>
    <cellStyle name="Обычный 3 10 5 4 2 2 9" xfId="27200"/>
    <cellStyle name="Обычный 3 10 5 4 2 2 9 2" xfId="27201"/>
    <cellStyle name="Обычный 3 10 5 4 2 2 9 2 2" xfId="27202"/>
    <cellStyle name="Обычный 3 10 5 4 2 2 9 3" xfId="27203"/>
    <cellStyle name="Обычный 3 10 5 4 2 3" xfId="27204"/>
    <cellStyle name="Обычный 3 10 5 4 2 3 10" xfId="27205"/>
    <cellStyle name="Обычный 3 10 5 4 2 3 10 2" xfId="27206"/>
    <cellStyle name="Обычный 3 10 5 4 2 3 10 2 2" xfId="27207"/>
    <cellStyle name="Обычный 3 10 5 4 2 3 10 3" xfId="27208"/>
    <cellStyle name="Обычный 3 10 5 4 2 3 11" xfId="27209"/>
    <cellStyle name="Обычный 3 10 5 4 2 3 11 2" xfId="27210"/>
    <cellStyle name="Обычный 3 10 5 4 2 3 12" xfId="27211"/>
    <cellStyle name="Обычный 3 10 5 4 2 3 12 2" xfId="27212"/>
    <cellStyle name="Обычный 3 10 5 4 2 3 13" xfId="27213"/>
    <cellStyle name="Обычный 3 10 5 4 2 3 2" xfId="27214"/>
    <cellStyle name="Обычный 3 10 5 4 2 3 2 2" xfId="27215"/>
    <cellStyle name="Обычный 3 10 5 4 2 3 2 2 2" xfId="27216"/>
    <cellStyle name="Обычный 3 10 5 4 2 3 2 2 2 2" xfId="27217"/>
    <cellStyle name="Обычный 3 10 5 4 2 3 2 2 2 2 2" xfId="27218"/>
    <cellStyle name="Обычный 3 10 5 4 2 3 2 2 2 3" xfId="27219"/>
    <cellStyle name="Обычный 3 10 5 4 2 3 2 2 3" xfId="27220"/>
    <cellStyle name="Обычный 3 10 5 4 2 3 2 2 3 2" xfId="27221"/>
    <cellStyle name="Обычный 3 10 5 4 2 3 2 2 3 2 2" xfId="27222"/>
    <cellStyle name="Обычный 3 10 5 4 2 3 2 2 3 3" xfId="27223"/>
    <cellStyle name="Обычный 3 10 5 4 2 3 2 2 4" xfId="27224"/>
    <cellStyle name="Обычный 3 10 5 4 2 3 2 2 4 2" xfId="27225"/>
    <cellStyle name="Обычный 3 10 5 4 2 3 2 2 5" xfId="27226"/>
    <cellStyle name="Обычный 3 10 5 4 2 3 2 2 5 2" xfId="27227"/>
    <cellStyle name="Обычный 3 10 5 4 2 3 2 2 6" xfId="27228"/>
    <cellStyle name="Обычный 3 10 5 4 2 3 2 3" xfId="27229"/>
    <cellStyle name="Обычный 3 10 5 4 2 3 2 3 2" xfId="27230"/>
    <cellStyle name="Обычный 3 10 5 4 2 3 2 3 2 2" xfId="27231"/>
    <cellStyle name="Обычный 3 10 5 4 2 3 2 3 2 2 2" xfId="27232"/>
    <cellStyle name="Обычный 3 10 5 4 2 3 2 3 2 3" xfId="27233"/>
    <cellStyle name="Обычный 3 10 5 4 2 3 2 3 3" xfId="27234"/>
    <cellStyle name="Обычный 3 10 5 4 2 3 2 3 3 2" xfId="27235"/>
    <cellStyle name="Обычный 3 10 5 4 2 3 2 3 3 2 2" xfId="27236"/>
    <cellStyle name="Обычный 3 10 5 4 2 3 2 3 3 3" xfId="27237"/>
    <cellStyle name="Обычный 3 10 5 4 2 3 2 3 4" xfId="27238"/>
    <cellStyle name="Обычный 3 10 5 4 2 3 2 3 4 2" xfId="27239"/>
    <cellStyle name="Обычный 3 10 5 4 2 3 2 3 5" xfId="27240"/>
    <cellStyle name="Обычный 3 10 5 4 2 3 2 3 5 2" xfId="27241"/>
    <cellStyle name="Обычный 3 10 5 4 2 3 2 3 6" xfId="27242"/>
    <cellStyle name="Обычный 3 10 5 4 2 3 2 4" xfId="27243"/>
    <cellStyle name="Обычный 3 10 5 4 2 3 2 4 2" xfId="27244"/>
    <cellStyle name="Обычный 3 10 5 4 2 3 2 4 2 2" xfId="27245"/>
    <cellStyle name="Обычный 3 10 5 4 2 3 2 4 3" xfId="27246"/>
    <cellStyle name="Обычный 3 10 5 4 2 3 2 4 3 2" xfId="27247"/>
    <cellStyle name="Обычный 3 10 5 4 2 3 2 4 4" xfId="27248"/>
    <cellStyle name="Обычный 3 10 5 4 2 3 2 5" xfId="27249"/>
    <cellStyle name="Обычный 3 10 5 4 2 3 2 5 2" xfId="27250"/>
    <cellStyle name="Обычный 3 10 5 4 2 3 2 5 2 2" xfId="27251"/>
    <cellStyle name="Обычный 3 10 5 4 2 3 2 5 3" xfId="27252"/>
    <cellStyle name="Обычный 3 10 5 4 2 3 2 6" xfId="27253"/>
    <cellStyle name="Обычный 3 10 5 4 2 3 2 6 2" xfId="27254"/>
    <cellStyle name="Обычный 3 10 5 4 2 3 2 7" xfId="27255"/>
    <cellStyle name="Обычный 3 10 5 4 2 3 2 7 2" xfId="27256"/>
    <cellStyle name="Обычный 3 10 5 4 2 3 2 8" xfId="27257"/>
    <cellStyle name="Обычный 3 10 5 4 2 3 3" xfId="27258"/>
    <cellStyle name="Обычный 3 10 5 4 2 3 3 2" xfId="27259"/>
    <cellStyle name="Обычный 3 10 5 4 2 3 3 2 2" xfId="27260"/>
    <cellStyle name="Обычный 3 10 5 4 2 3 3 2 2 2" xfId="27261"/>
    <cellStyle name="Обычный 3 10 5 4 2 3 3 2 2 2 2" xfId="27262"/>
    <cellStyle name="Обычный 3 10 5 4 2 3 3 2 2 3" xfId="27263"/>
    <cellStyle name="Обычный 3 10 5 4 2 3 3 2 3" xfId="27264"/>
    <cellStyle name="Обычный 3 10 5 4 2 3 3 2 3 2" xfId="27265"/>
    <cellStyle name="Обычный 3 10 5 4 2 3 3 2 3 2 2" xfId="27266"/>
    <cellStyle name="Обычный 3 10 5 4 2 3 3 2 3 3" xfId="27267"/>
    <cellStyle name="Обычный 3 10 5 4 2 3 3 2 4" xfId="27268"/>
    <cellStyle name="Обычный 3 10 5 4 2 3 3 2 4 2" xfId="27269"/>
    <cellStyle name="Обычный 3 10 5 4 2 3 3 2 5" xfId="27270"/>
    <cellStyle name="Обычный 3 10 5 4 2 3 3 3" xfId="27271"/>
    <cellStyle name="Обычный 3 10 5 4 2 3 3 3 2" xfId="27272"/>
    <cellStyle name="Обычный 3 10 5 4 2 3 3 3 2 2" xfId="27273"/>
    <cellStyle name="Обычный 3 10 5 4 2 3 3 3 2 2 2" xfId="27274"/>
    <cellStyle name="Обычный 3 10 5 4 2 3 3 3 2 3" xfId="27275"/>
    <cellStyle name="Обычный 3 10 5 4 2 3 3 3 3" xfId="27276"/>
    <cellStyle name="Обычный 3 10 5 4 2 3 3 3 3 2" xfId="27277"/>
    <cellStyle name="Обычный 3 10 5 4 2 3 3 3 3 2 2" xfId="27278"/>
    <cellStyle name="Обычный 3 10 5 4 2 3 3 3 3 3" xfId="27279"/>
    <cellStyle name="Обычный 3 10 5 4 2 3 3 3 4" xfId="27280"/>
    <cellStyle name="Обычный 3 10 5 4 2 3 3 3 4 2" xfId="27281"/>
    <cellStyle name="Обычный 3 10 5 4 2 3 3 3 5" xfId="27282"/>
    <cellStyle name="Обычный 3 10 5 4 2 3 3 4" xfId="27283"/>
    <cellStyle name="Обычный 3 10 5 4 2 3 3 4 2" xfId="27284"/>
    <cellStyle name="Обычный 3 10 5 4 2 3 3 4 2 2" xfId="27285"/>
    <cellStyle name="Обычный 3 10 5 4 2 3 3 4 3" xfId="27286"/>
    <cellStyle name="Обычный 3 10 5 4 2 3 3 5" xfId="27287"/>
    <cellStyle name="Обычный 3 10 5 4 2 3 3 5 2" xfId="27288"/>
    <cellStyle name="Обычный 3 10 5 4 2 3 3 5 2 2" xfId="27289"/>
    <cellStyle name="Обычный 3 10 5 4 2 3 3 5 3" xfId="27290"/>
    <cellStyle name="Обычный 3 10 5 4 2 3 3 6" xfId="27291"/>
    <cellStyle name="Обычный 3 10 5 4 2 3 3 6 2" xfId="27292"/>
    <cellStyle name="Обычный 3 10 5 4 2 3 3 7" xfId="27293"/>
    <cellStyle name="Обычный 3 10 5 4 2 3 3 7 2" xfId="27294"/>
    <cellStyle name="Обычный 3 10 5 4 2 3 3 8" xfId="27295"/>
    <cellStyle name="Обычный 3 10 5 4 2 3 4" xfId="27296"/>
    <cellStyle name="Обычный 3 10 5 4 2 3 4 2" xfId="27297"/>
    <cellStyle name="Обычный 3 10 5 4 2 3 4 2 2" xfId="27298"/>
    <cellStyle name="Обычный 3 10 5 4 2 3 4 2 2 2" xfId="27299"/>
    <cellStyle name="Обычный 3 10 5 4 2 3 4 2 2 2 2" xfId="27300"/>
    <cellStyle name="Обычный 3 10 5 4 2 3 4 2 2 2 2 2" xfId="27301"/>
    <cellStyle name="Обычный 3 10 5 4 2 3 4 2 2 2 3" xfId="27302"/>
    <cellStyle name="Обычный 3 10 5 4 2 3 4 2 2 3" xfId="27303"/>
    <cellStyle name="Обычный 3 10 5 4 2 3 4 2 2 3 2" xfId="27304"/>
    <cellStyle name="Обычный 3 10 5 4 2 3 4 2 2 3 2 2" xfId="27305"/>
    <cellStyle name="Обычный 3 10 5 4 2 3 4 2 2 3 3" xfId="27306"/>
    <cellStyle name="Обычный 3 10 5 4 2 3 4 2 2 4" xfId="27307"/>
    <cellStyle name="Обычный 3 10 5 4 2 3 4 2 2 4 2" xfId="27308"/>
    <cellStyle name="Обычный 3 10 5 4 2 3 4 2 2 5" xfId="27309"/>
    <cellStyle name="Обычный 3 10 5 4 2 3 4 2 3" xfId="27310"/>
    <cellStyle name="Обычный 3 10 5 4 2 3 4 2 3 2" xfId="27311"/>
    <cellStyle name="Обычный 3 10 5 4 2 3 4 2 3 2 2" xfId="27312"/>
    <cellStyle name="Обычный 3 10 5 4 2 3 4 2 3 2 2 2" xfId="27313"/>
    <cellStyle name="Обычный 3 10 5 4 2 3 4 2 3 2 3" xfId="27314"/>
    <cellStyle name="Обычный 3 10 5 4 2 3 4 2 3 3" xfId="27315"/>
    <cellStyle name="Обычный 3 10 5 4 2 3 4 2 3 3 2" xfId="27316"/>
    <cellStyle name="Обычный 3 10 5 4 2 3 4 2 3 3 2 2" xfId="27317"/>
    <cellStyle name="Обычный 3 10 5 4 2 3 4 2 3 3 3" xfId="27318"/>
    <cellStyle name="Обычный 3 10 5 4 2 3 4 2 3 4" xfId="27319"/>
    <cellStyle name="Обычный 3 10 5 4 2 3 4 2 3 4 2" xfId="27320"/>
    <cellStyle name="Обычный 3 10 5 4 2 3 4 2 3 5" xfId="27321"/>
    <cellStyle name="Обычный 3 10 5 4 2 3 4 2 4" xfId="27322"/>
    <cellStyle name="Обычный 3 10 5 4 2 3 4 2 4 2" xfId="27323"/>
    <cellStyle name="Обычный 3 10 5 4 2 3 4 2 4 2 2" xfId="27324"/>
    <cellStyle name="Обычный 3 10 5 4 2 3 4 2 4 3" xfId="27325"/>
    <cellStyle name="Обычный 3 10 5 4 2 3 4 2 5" xfId="27326"/>
    <cellStyle name="Обычный 3 10 5 4 2 3 4 2 5 2" xfId="27327"/>
    <cellStyle name="Обычный 3 10 5 4 2 3 4 2 5 2 2" xfId="27328"/>
    <cellStyle name="Обычный 3 10 5 4 2 3 4 2 5 3" xfId="27329"/>
    <cellStyle name="Обычный 3 10 5 4 2 3 4 2 6" xfId="27330"/>
    <cellStyle name="Обычный 3 10 5 4 2 3 4 2 6 2" xfId="27331"/>
    <cellStyle name="Обычный 3 10 5 4 2 3 4 2 7" xfId="27332"/>
    <cellStyle name="Обычный 3 10 5 4 2 3 4 2 7 2" xfId="27333"/>
    <cellStyle name="Обычный 3 10 5 4 2 3 4 2 8" xfId="27334"/>
    <cellStyle name="Обычный 3 10 5 4 2 3 4 3" xfId="27335"/>
    <cellStyle name="Обычный 3 10 5 4 2 3 4 3 2" xfId="27336"/>
    <cellStyle name="Обычный 3 10 5 4 2 3 4 3 2 2" xfId="27337"/>
    <cellStyle name="Обычный 3 10 5 4 2 3 4 3 2 2 2" xfId="27338"/>
    <cellStyle name="Обычный 3 10 5 4 2 3 4 3 2 2 2 2" xfId="27339"/>
    <cellStyle name="Обычный 3 10 5 4 2 3 4 3 2 2 3" xfId="27340"/>
    <cellStyle name="Обычный 3 10 5 4 2 3 4 3 2 3" xfId="27341"/>
    <cellStyle name="Обычный 3 10 5 4 2 3 4 3 2 3 2" xfId="27342"/>
    <cellStyle name="Обычный 3 10 5 4 2 3 4 3 2 3 2 2" xfId="27343"/>
    <cellStyle name="Обычный 3 10 5 4 2 3 4 3 2 3 3" xfId="27344"/>
    <cellStyle name="Обычный 3 10 5 4 2 3 4 3 2 4" xfId="27345"/>
    <cellStyle name="Обычный 3 10 5 4 2 3 4 3 2 4 2" xfId="27346"/>
    <cellStyle name="Обычный 3 10 5 4 2 3 4 3 2 5" xfId="27347"/>
    <cellStyle name="Обычный 3 10 5 4 2 3 4 3 3" xfId="27348"/>
    <cellStyle name="Обычный 3 10 5 4 2 3 4 3 3 2" xfId="27349"/>
    <cellStyle name="Обычный 3 10 5 4 2 3 4 3 3 2 2" xfId="27350"/>
    <cellStyle name="Обычный 3 10 5 4 2 3 4 3 3 3" xfId="27351"/>
    <cellStyle name="Обычный 3 10 5 4 2 3 4 3 4" xfId="27352"/>
    <cellStyle name="Обычный 3 10 5 4 2 3 4 3 4 2" xfId="27353"/>
    <cellStyle name="Обычный 3 10 5 4 2 3 4 3 4 2 2" xfId="27354"/>
    <cellStyle name="Обычный 3 10 5 4 2 3 4 3 4 3" xfId="27355"/>
    <cellStyle name="Обычный 3 10 5 4 2 3 4 3 5" xfId="27356"/>
    <cellStyle name="Обычный 3 10 5 4 2 3 4 3 5 2" xfId="27357"/>
    <cellStyle name="Обычный 3 10 5 4 2 3 4 3 6" xfId="27358"/>
    <cellStyle name="Обычный 3 10 5 4 2 3 4 4" xfId="27359"/>
    <cellStyle name="Обычный 3 10 5 4 2 3 4 4 2" xfId="27360"/>
    <cellStyle name="Обычный 3 10 5 4 2 3 4 4 2 2" xfId="27361"/>
    <cellStyle name="Обычный 3 10 5 4 2 3 4 4 2 2 2" xfId="27362"/>
    <cellStyle name="Обычный 3 10 5 4 2 3 4 4 2 3" xfId="27363"/>
    <cellStyle name="Обычный 3 10 5 4 2 3 4 4 3" xfId="27364"/>
    <cellStyle name="Обычный 3 10 5 4 2 3 4 4 3 2" xfId="27365"/>
    <cellStyle name="Обычный 3 10 5 4 2 3 4 4 3 2 2" xfId="27366"/>
    <cellStyle name="Обычный 3 10 5 4 2 3 4 4 3 3" xfId="27367"/>
    <cellStyle name="Обычный 3 10 5 4 2 3 4 4 4" xfId="27368"/>
    <cellStyle name="Обычный 3 10 5 4 2 3 4 4 4 2" xfId="27369"/>
    <cellStyle name="Обычный 3 10 5 4 2 3 4 4 5" xfId="27370"/>
    <cellStyle name="Обычный 3 10 5 4 2 3 4 5" xfId="27371"/>
    <cellStyle name="Обычный 3 10 5 4 2 3 4 5 2" xfId="27372"/>
    <cellStyle name="Обычный 3 10 5 4 2 3 4 5 2 2" xfId="27373"/>
    <cellStyle name="Обычный 3 10 5 4 2 3 4 5 3" xfId="27374"/>
    <cellStyle name="Обычный 3 10 5 4 2 3 4 6" xfId="27375"/>
    <cellStyle name="Обычный 3 10 5 4 2 3 4 6 2" xfId="27376"/>
    <cellStyle name="Обычный 3 10 5 4 2 3 4 6 2 2" xfId="27377"/>
    <cellStyle name="Обычный 3 10 5 4 2 3 4 6 3" xfId="27378"/>
    <cellStyle name="Обычный 3 10 5 4 2 3 4 7" xfId="27379"/>
    <cellStyle name="Обычный 3 10 5 4 2 3 4 7 2" xfId="27380"/>
    <cellStyle name="Обычный 3 10 5 4 2 3 4 8" xfId="27381"/>
    <cellStyle name="Обычный 3 10 5 4 2 3 4 8 2" xfId="27382"/>
    <cellStyle name="Обычный 3 10 5 4 2 3 4 9" xfId="27383"/>
    <cellStyle name="Обычный 3 10 5 4 2 3 5" xfId="27384"/>
    <cellStyle name="Обычный 3 10 5 4 2 3 5 2" xfId="27385"/>
    <cellStyle name="Обычный 3 10 5 4 2 3 5 2 2" xfId="27386"/>
    <cellStyle name="Обычный 3 10 5 4 2 3 5 2 2 2" xfId="27387"/>
    <cellStyle name="Обычный 3 10 5 4 2 3 5 2 2 2 2" xfId="27388"/>
    <cellStyle name="Обычный 3 10 5 4 2 3 5 2 2 2 2 2" xfId="27389"/>
    <cellStyle name="Обычный 3 10 5 4 2 3 5 2 2 2 3" xfId="27390"/>
    <cellStyle name="Обычный 3 10 5 4 2 3 5 2 2 3" xfId="27391"/>
    <cellStyle name="Обычный 3 10 5 4 2 3 5 2 2 3 2" xfId="27392"/>
    <cellStyle name="Обычный 3 10 5 4 2 3 5 2 2 3 2 2" xfId="27393"/>
    <cellStyle name="Обычный 3 10 5 4 2 3 5 2 2 3 3" xfId="27394"/>
    <cellStyle name="Обычный 3 10 5 4 2 3 5 2 2 4" xfId="27395"/>
    <cellStyle name="Обычный 3 10 5 4 2 3 5 2 2 4 2" xfId="27396"/>
    <cellStyle name="Обычный 3 10 5 4 2 3 5 2 2 5" xfId="27397"/>
    <cellStyle name="Обычный 3 10 5 4 2 3 5 2 3" xfId="27398"/>
    <cellStyle name="Обычный 3 10 5 4 2 3 5 2 3 2" xfId="27399"/>
    <cellStyle name="Обычный 3 10 5 4 2 3 5 2 3 2 2" xfId="27400"/>
    <cellStyle name="Обычный 3 10 5 4 2 3 5 2 3 2 2 2" xfId="27401"/>
    <cellStyle name="Обычный 3 10 5 4 2 3 5 2 3 2 3" xfId="27402"/>
    <cellStyle name="Обычный 3 10 5 4 2 3 5 2 3 3" xfId="27403"/>
    <cellStyle name="Обычный 3 10 5 4 2 3 5 2 3 3 2" xfId="27404"/>
    <cellStyle name="Обычный 3 10 5 4 2 3 5 2 3 3 2 2" xfId="27405"/>
    <cellStyle name="Обычный 3 10 5 4 2 3 5 2 3 3 3" xfId="27406"/>
    <cellStyle name="Обычный 3 10 5 4 2 3 5 2 3 4" xfId="27407"/>
    <cellStyle name="Обычный 3 10 5 4 2 3 5 2 3 4 2" xfId="27408"/>
    <cellStyle name="Обычный 3 10 5 4 2 3 5 2 3 5" xfId="27409"/>
    <cellStyle name="Обычный 3 10 5 4 2 3 5 2 4" xfId="27410"/>
    <cellStyle name="Обычный 3 10 5 4 2 3 5 2 4 2" xfId="27411"/>
    <cellStyle name="Обычный 3 10 5 4 2 3 5 2 4 2 2" xfId="27412"/>
    <cellStyle name="Обычный 3 10 5 4 2 3 5 2 4 3" xfId="27413"/>
    <cellStyle name="Обычный 3 10 5 4 2 3 5 2 5" xfId="27414"/>
    <cellStyle name="Обычный 3 10 5 4 2 3 5 2 5 2" xfId="27415"/>
    <cellStyle name="Обычный 3 10 5 4 2 3 5 2 5 2 2" xfId="27416"/>
    <cellStyle name="Обычный 3 10 5 4 2 3 5 2 5 3" xfId="27417"/>
    <cellStyle name="Обычный 3 10 5 4 2 3 5 2 6" xfId="27418"/>
    <cellStyle name="Обычный 3 10 5 4 2 3 5 2 6 2" xfId="27419"/>
    <cellStyle name="Обычный 3 10 5 4 2 3 5 2 7" xfId="27420"/>
    <cellStyle name="Обычный 3 10 5 4 2 3 5 2 7 2" xfId="27421"/>
    <cellStyle name="Обычный 3 10 5 4 2 3 5 2 8" xfId="27422"/>
    <cellStyle name="Обычный 3 10 5 4 2 3 5 3" xfId="27423"/>
    <cellStyle name="Обычный 3 10 5 4 2 3 5 3 2" xfId="27424"/>
    <cellStyle name="Обычный 3 10 5 4 2 3 5 3 2 2" xfId="27425"/>
    <cellStyle name="Обычный 3 10 5 4 2 3 5 3 2 2 2" xfId="27426"/>
    <cellStyle name="Обычный 3 10 5 4 2 3 5 3 2 3" xfId="27427"/>
    <cellStyle name="Обычный 3 10 5 4 2 3 5 3 3" xfId="27428"/>
    <cellStyle name="Обычный 3 10 5 4 2 3 5 3 3 2" xfId="27429"/>
    <cellStyle name="Обычный 3 10 5 4 2 3 5 3 3 2 2" xfId="27430"/>
    <cellStyle name="Обычный 3 10 5 4 2 3 5 3 3 3" xfId="27431"/>
    <cellStyle name="Обычный 3 10 5 4 2 3 5 3 4" xfId="27432"/>
    <cellStyle name="Обычный 3 10 5 4 2 3 5 3 4 2" xfId="27433"/>
    <cellStyle name="Обычный 3 10 5 4 2 3 5 3 5" xfId="27434"/>
    <cellStyle name="Обычный 3 10 5 4 2 3 5 4" xfId="27435"/>
    <cellStyle name="Обычный 3 10 5 4 2 3 5 4 2" xfId="27436"/>
    <cellStyle name="Обычный 3 10 5 4 2 3 5 4 2 2" xfId="27437"/>
    <cellStyle name="Обычный 3 10 5 4 2 3 5 4 2 2 2" xfId="27438"/>
    <cellStyle name="Обычный 3 10 5 4 2 3 5 4 2 3" xfId="27439"/>
    <cellStyle name="Обычный 3 10 5 4 2 3 5 4 3" xfId="27440"/>
    <cellStyle name="Обычный 3 10 5 4 2 3 5 4 3 2" xfId="27441"/>
    <cellStyle name="Обычный 3 10 5 4 2 3 5 4 3 2 2" xfId="27442"/>
    <cellStyle name="Обычный 3 10 5 4 2 3 5 4 3 3" xfId="27443"/>
    <cellStyle name="Обычный 3 10 5 4 2 3 5 4 4" xfId="27444"/>
    <cellStyle name="Обычный 3 10 5 4 2 3 5 4 4 2" xfId="27445"/>
    <cellStyle name="Обычный 3 10 5 4 2 3 5 4 5" xfId="27446"/>
    <cellStyle name="Обычный 3 10 5 4 2 3 5 5" xfId="27447"/>
    <cellStyle name="Обычный 3 10 5 4 2 3 5 5 2" xfId="27448"/>
    <cellStyle name="Обычный 3 10 5 4 2 3 5 5 2 2" xfId="27449"/>
    <cellStyle name="Обычный 3 10 5 4 2 3 5 5 3" xfId="27450"/>
    <cellStyle name="Обычный 3 10 5 4 2 3 5 6" xfId="27451"/>
    <cellStyle name="Обычный 3 10 5 4 2 3 5 6 2" xfId="27452"/>
    <cellStyle name="Обычный 3 10 5 4 2 3 5 6 2 2" xfId="27453"/>
    <cellStyle name="Обычный 3 10 5 4 2 3 5 6 3" xfId="27454"/>
    <cellStyle name="Обычный 3 10 5 4 2 3 5 7" xfId="27455"/>
    <cellStyle name="Обычный 3 10 5 4 2 3 5 7 2" xfId="27456"/>
    <cellStyle name="Обычный 3 10 5 4 2 3 5 8" xfId="27457"/>
    <cellStyle name="Обычный 3 10 5 4 2 3 5 8 2" xfId="27458"/>
    <cellStyle name="Обычный 3 10 5 4 2 3 5 9" xfId="27459"/>
    <cellStyle name="Обычный 3 10 5 4 2 3 6" xfId="27460"/>
    <cellStyle name="Обычный 3 10 5 4 2 3 6 2" xfId="27461"/>
    <cellStyle name="Обычный 3 10 5 4 2 3 6 2 2" xfId="27462"/>
    <cellStyle name="Обычный 3 10 5 4 2 3 6 2 2 2" xfId="27463"/>
    <cellStyle name="Обычный 3 10 5 4 2 3 6 2 2 2 2" xfId="27464"/>
    <cellStyle name="Обычный 3 10 5 4 2 3 6 2 2 3" xfId="27465"/>
    <cellStyle name="Обычный 3 10 5 4 2 3 6 2 3" xfId="27466"/>
    <cellStyle name="Обычный 3 10 5 4 2 3 6 2 3 2" xfId="27467"/>
    <cellStyle name="Обычный 3 10 5 4 2 3 6 2 3 2 2" xfId="27468"/>
    <cellStyle name="Обычный 3 10 5 4 2 3 6 2 3 3" xfId="27469"/>
    <cellStyle name="Обычный 3 10 5 4 2 3 6 2 4" xfId="27470"/>
    <cellStyle name="Обычный 3 10 5 4 2 3 6 2 4 2" xfId="27471"/>
    <cellStyle name="Обычный 3 10 5 4 2 3 6 2 5" xfId="27472"/>
    <cellStyle name="Обычный 3 10 5 4 2 3 6 2 5 2" xfId="27473"/>
    <cellStyle name="Обычный 3 10 5 4 2 3 6 2 6" xfId="27474"/>
    <cellStyle name="Обычный 3 10 5 4 2 3 6 3" xfId="27475"/>
    <cellStyle name="Обычный 3 10 5 4 2 3 6 3 2" xfId="27476"/>
    <cellStyle name="Обычный 3 10 5 4 2 3 6 3 2 2" xfId="27477"/>
    <cellStyle name="Обычный 3 10 5 4 2 3 6 3 2 2 2" xfId="27478"/>
    <cellStyle name="Обычный 3 10 5 4 2 3 6 3 2 3" xfId="27479"/>
    <cellStyle name="Обычный 3 10 5 4 2 3 6 3 3" xfId="27480"/>
    <cellStyle name="Обычный 3 10 5 4 2 3 6 3 3 2" xfId="27481"/>
    <cellStyle name="Обычный 3 10 5 4 2 3 6 3 3 2 2" xfId="27482"/>
    <cellStyle name="Обычный 3 10 5 4 2 3 6 3 3 3" xfId="27483"/>
    <cellStyle name="Обычный 3 10 5 4 2 3 6 3 4" xfId="27484"/>
    <cellStyle name="Обычный 3 10 5 4 2 3 6 3 4 2" xfId="27485"/>
    <cellStyle name="Обычный 3 10 5 4 2 3 6 3 5" xfId="27486"/>
    <cellStyle name="Обычный 3 10 5 4 2 3 6 3 5 2" xfId="27487"/>
    <cellStyle name="Обычный 3 10 5 4 2 3 6 3 6" xfId="27488"/>
    <cellStyle name="Обычный 3 10 5 4 2 3 6 4" xfId="27489"/>
    <cellStyle name="Обычный 3 10 5 4 2 3 6 4 2" xfId="27490"/>
    <cellStyle name="Обычный 3 10 5 4 2 3 6 4 2 2" xfId="27491"/>
    <cellStyle name="Обычный 3 10 5 4 2 3 6 4 3" xfId="27492"/>
    <cellStyle name="Обычный 3 10 5 4 2 3 6 5" xfId="27493"/>
    <cellStyle name="Обычный 3 10 5 4 2 3 6 5 2" xfId="27494"/>
    <cellStyle name="Обычный 3 10 5 4 2 3 6 5 2 2" xfId="27495"/>
    <cellStyle name="Обычный 3 10 5 4 2 3 6 5 3" xfId="27496"/>
    <cellStyle name="Обычный 3 10 5 4 2 3 6 6" xfId="27497"/>
    <cellStyle name="Обычный 3 10 5 4 2 3 6 6 2" xfId="27498"/>
    <cellStyle name="Обычный 3 10 5 4 2 3 6 7" xfId="27499"/>
    <cellStyle name="Обычный 3 10 5 4 2 3 6 7 2" xfId="27500"/>
    <cellStyle name="Обычный 3 10 5 4 2 3 6 8" xfId="27501"/>
    <cellStyle name="Обычный 3 10 5 4 2 3 7" xfId="27502"/>
    <cellStyle name="Обычный 3 10 5 4 2 3 7 2" xfId="27503"/>
    <cellStyle name="Обычный 3 10 5 4 2 3 7 2 2" xfId="27504"/>
    <cellStyle name="Обычный 3 10 5 4 2 3 7 2 2 2" xfId="27505"/>
    <cellStyle name="Обычный 3 10 5 4 2 3 7 2 3" xfId="27506"/>
    <cellStyle name="Обычный 3 10 5 4 2 3 7 3" xfId="27507"/>
    <cellStyle name="Обычный 3 10 5 4 2 3 7 3 2" xfId="27508"/>
    <cellStyle name="Обычный 3 10 5 4 2 3 7 3 2 2" xfId="27509"/>
    <cellStyle name="Обычный 3 10 5 4 2 3 7 3 3" xfId="27510"/>
    <cellStyle name="Обычный 3 10 5 4 2 3 7 4" xfId="27511"/>
    <cellStyle name="Обычный 3 10 5 4 2 3 7 4 2" xfId="27512"/>
    <cellStyle name="Обычный 3 10 5 4 2 3 7 5" xfId="27513"/>
    <cellStyle name="Обычный 3 10 5 4 2 3 7 5 2" xfId="27514"/>
    <cellStyle name="Обычный 3 10 5 4 2 3 7 6" xfId="27515"/>
    <cellStyle name="Обычный 3 10 5 4 2 3 8" xfId="27516"/>
    <cellStyle name="Обычный 3 10 5 4 2 3 8 2" xfId="27517"/>
    <cellStyle name="Обычный 3 10 5 4 2 3 8 2 2" xfId="27518"/>
    <cellStyle name="Обычный 3 10 5 4 2 3 8 2 2 2" xfId="27519"/>
    <cellStyle name="Обычный 3 10 5 4 2 3 8 2 3" xfId="27520"/>
    <cellStyle name="Обычный 3 10 5 4 2 3 8 3" xfId="27521"/>
    <cellStyle name="Обычный 3 10 5 4 2 3 8 3 2" xfId="27522"/>
    <cellStyle name="Обычный 3 10 5 4 2 3 8 3 2 2" xfId="27523"/>
    <cellStyle name="Обычный 3 10 5 4 2 3 8 3 3" xfId="27524"/>
    <cellStyle name="Обычный 3 10 5 4 2 3 8 4" xfId="27525"/>
    <cellStyle name="Обычный 3 10 5 4 2 3 8 4 2" xfId="27526"/>
    <cellStyle name="Обычный 3 10 5 4 2 3 8 5" xfId="27527"/>
    <cellStyle name="Обычный 3 10 5 4 2 3 9" xfId="27528"/>
    <cellStyle name="Обычный 3 10 5 4 2 3 9 2" xfId="27529"/>
    <cellStyle name="Обычный 3 10 5 4 2 3 9 2 2" xfId="27530"/>
    <cellStyle name="Обычный 3 10 5 4 2 3 9 3" xfId="27531"/>
    <cellStyle name="Обычный 3 10 5 4 2 4" xfId="27532"/>
    <cellStyle name="Обычный 3 10 5 4 2 4 10" xfId="27533"/>
    <cellStyle name="Обычный 3 10 5 4 2 4 2" xfId="27534"/>
    <cellStyle name="Обычный 3 10 5 4 2 4 2 10" xfId="27535"/>
    <cellStyle name="Обычный 3 10 5 4 2 4 2 2" xfId="27536"/>
    <cellStyle name="Обычный 3 10 5 4 2 4 2 2 2" xfId="27537"/>
    <cellStyle name="Обычный 3 10 5 4 2 4 2 2 2 2" xfId="27538"/>
    <cellStyle name="Обычный 3 10 5 4 2 4 2 2 2 2 2" xfId="27539"/>
    <cellStyle name="Обычный 3 10 5 4 2 4 2 2 2 2 2 2" xfId="27540"/>
    <cellStyle name="Обычный 3 10 5 4 2 4 2 2 2 2 3" xfId="27541"/>
    <cellStyle name="Обычный 3 10 5 4 2 4 2 2 2 3" xfId="27542"/>
    <cellStyle name="Обычный 3 10 5 4 2 4 2 2 2 3 2" xfId="27543"/>
    <cellStyle name="Обычный 3 10 5 4 2 4 2 2 2 3 2 2" xfId="27544"/>
    <cellStyle name="Обычный 3 10 5 4 2 4 2 2 2 3 3" xfId="27545"/>
    <cellStyle name="Обычный 3 10 5 4 2 4 2 2 2 4" xfId="27546"/>
    <cellStyle name="Обычный 3 10 5 4 2 4 2 2 2 4 2" xfId="27547"/>
    <cellStyle name="Обычный 3 10 5 4 2 4 2 2 2 5" xfId="27548"/>
    <cellStyle name="Обычный 3 10 5 4 2 4 2 2 3" xfId="27549"/>
    <cellStyle name="Обычный 3 10 5 4 2 4 2 2 3 2" xfId="27550"/>
    <cellStyle name="Обычный 3 10 5 4 2 4 2 2 3 2 2" xfId="27551"/>
    <cellStyle name="Обычный 3 10 5 4 2 4 2 2 3 2 2 2" xfId="27552"/>
    <cellStyle name="Обычный 3 10 5 4 2 4 2 2 3 2 3" xfId="27553"/>
    <cellStyle name="Обычный 3 10 5 4 2 4 2 2 3 3" xfId="27554"/>
    <cellStyle name="Обычный 3 10 5 4 2 4 2 2 3 3 2" xfId="27555"/>
    <cellStyle name="Обычный 3 10 5 4 2 4 2 2 3 3 2 2" xfId="27556"/>
    <cellStyle name="Обычный 3 10 5 4 2 4 2 2 3 3 3" xfId="27557"/>
    <cellStyle name="Обычный 3 10 5 4 2 4 2 2 3 4" xfId="27558"/>
    <cellStyle name="Обычный 3 10 5 4 2 4 2 2 3 4 2" xfId="27559"/>
    <cellStyle name="Обычный 3 10 5 4 2 4 2 2 3 5" xfId="27560"/>
    <cellStyle name="Обычный 3 10 5 4 2 4 2 2 4" xfId="27561"/>
    <cellStyle name="Обычный 3 10 5 4 2 4 2 2 4 2" xfId="27562"/>
    <cellStyle name="Обычный 3 10 5 4 2 4 2 2 4 2 2" xfId="27563"/>
    <cellStyle name="Обычный 3 10 5 4 2 4 2 2 4 3" xfId="27564"/>
    <cellStyle name="Обычный 3 10 5 4 2 4 2 2 5" xfId="27565"/>
    <cellStyle name="Обычный 3 10 5 4 2 4 2 2 5 2" xfId="27566"/>
    <cellStyle name="Обычный 3 10 5 4 2 4 2 2 5 2 2" xfId="27567"/>
    <cellStyle name="Обычный 3 10 5 4 2 4 2 2 5 3" xfId="27568"/>
    <cellStyle name="Обычный 3 10 5 4 2 4 2 2 6" xfId="27569"/>
    <cellStyle name="Обычный 3 10 5 4 2 4 2 2 6 2" xfId="27570"/>
    <cellStyle name="Обычный 3 10 5 4 2 4 2 2 7" xfId="27571"/>
    <cellStyle name="Обычный 3 10 5 4 2 4 2 2 7 2" xfId="27572"/>
    <cellStyle name="Обычный 3 10 5 4 2 4 2 2 8" xfId="27573"/>
    <cellStyle name="Обычный 3 10 5 4 2 4 2 3" xfId="27574"/>
    <cellStyle name="Обычный 3 10 5 4 2 4 2 3 2" xfId="27575"/>
    <cellStyle name="Обычный 3 10 5 4 2 4 2 3 2 2" xfId="27576"/>
    <cellStyle name="Обычный 3 10 5 4 2 4 2 3 2 2 2" xfId="27577"/>
    <cellStyle name="Обычный 3 10 5 4 2 4 2 3 2 3" xfId="27578"/>
    <cellStyle name="Обычный 3 10 5 4 2 4 2 3 3" xfId="27579"/>
    <cellStyle name="Обычный 3 10 5 4 2 4 2 3 3 2" xfId="27580"/>
    <cellStyle name="Обычный 3 10 5 4 2 4 2 3 3 2 2" xfId="27581"/>
    <cellStyle name="Обычный 3 10 5 4 2 4 2 3 3 3" xfId="27582"/>
    <cellStyle name="Обычный 3 10 5 4 2 4 2 3 4" xfId="27583"/>
    <cellStyle name="Обычный 3 10 5 4 2 4 2 3 4 2" xfId="27584"/>
    <cellStyle name="Обычный 3 10 5 4 2 4 2 3 5" xfId="27585"/>
    <cellStyle name="Обычный 3 10 5 4 2 4 2 4" xfId="27586"/>
    <cellStyle name="Обычный 3 10 5 4 2 4 2 4 2" xfId="27587"/>
    <cellStyle name="Обычный 3 10 5 4 2 4 2 4 2 2" xfId="27588"/>
    <cellStyle name="Обычный 3 10 5 4 2 4 2 4 2 2 2" xfId="27589"/>
    <cellStyle name="Обычный 3 10 5 4 2 4 2 4 2 3" xfId="27590"/>
    <cellStyle name="Обычный 3 10 5 4 2 4 2 4 3" xfId="27591"/>
    <cellStyle name="Обычный 3 10 5 4 2 4 2 4 3 2" xfId="27592"/>
    <cellStyle name="Обычный 3 10 5 4 2 4 2 4 3 2 2" xfId="27593"/>
    <cellStyle name="Обычный 3 10 5 4 2 4 2 4 3 3" xfId="27594"/>
    <cellStyle name="Обычный 3 10 5 4 2 4 2 4 4" xfId="27595"/>
    <cellStyle name="Обычный 3 10 5 4 2 4 2 4 4 2" xfId="27596"/>
    <cellStyle name="Обычный 3 10 5 4 2 4 2 4 5" xfId="27597"/>
    <cellStyle name="Обычный 3 10 5 4 2 4 2 5" xfId="27598"/>
    <cellStyle name="Обычный 3 10 5 4 2 4 2 5 2" xfId="27599"/>
    <cellStyle name="Обычный 3 10 5 4 2 4 2 5 2 2" xfId="27600"/>
    <cellStyle name="Обычный 3 10 5 4 2 4 2 5 2 2 2" xfId="27601"/>
    <cellStyle name="Обычный 3 10 5 4 2 4 2 5 2 3" xfId="27602"/>
    <cellStyle name="Обычный 3 10 5 4 2 4 2 5 3" xfId="27603"/>
    <cellStyle name="Обычный 3 10 5 4 2 4 2 5 3 2" xfId="27604"/>
    <cellStyle name="Обычный 3 10 5 4 2 4 2 5 4" xfId="27605"/>
    <cellStyle name="Обычный 3 10 5 4 2 4 2 6" xfId="27606"/>
    <cellStyle name="Обычный 3 10 5 4 2 4 2 6 2" xfId="27607"/>
    <cellStyle name="Обычный 3 10 5 4 2 4 2 6 2 2" xfId="27608"/>
    <cellStyle name="Обычный 3 10 5 4 2 4 2 6 3" xfId="27609"/>
    <cellStyle name="Обычный 3 10 5 4 2 4 2 7" xfId="27610"/>
    <cellStyle name="Обычный 3 10 5 4 2 4 2 7 2" xfId="27611"/>
    <cellStyle name="Обычный 3 10 5 4 2 4 2 7 2 2" xfId="27612"/>
    <cellStyle name="Обычный 3 10 5 4 2 4 2 7 3" xfId="27613"/>
    <cellStyle name="Обычный 3 10 5 4 2 4 2 8" xfId="27614"/>
    <cellStyle name="Обычный 3 10 5 4 2 4 2 8 2" xfId="27615"/>
    <cellStyle name="Обычный 3 10 5 4 2 4 2 9" xfId="27616"/>
    <cellStyle name="Обычный 3 10 5 4 2 4 2 9 2" xfId="27617"/>
    <cellStyle name="Обычный 3 10 5 4 2 4 3" xfId="27618"/>
    <cellStyle name="Обычный 3 10 5 4 2 4 3 2" xfId="27619"/>
    <cellStyle name="Обычный 3 10 5 4 2 4 3 2 2" xfId="27620"/>
    <cellStyle name="Обычный 3 10 5 4 2 4 3 2 2 2" xfId="27621"/>
    <cellStyle name="Обычный 3 10 5 4 2 4 3 2 2 2 2" xfId="27622"/>
    <cellStyle name="Обычный 3 10 5 4 2 4 3 2 2 3" xfId="27623"/>
    <cellStyle name="Обычный 3 10 5 4 2 4 3 2 3" xfId="27624"/>
    <cellStyle name="Обычный 3 10 5 4 2 4 3 2 3 2" xfId="27625"/>
    <cellStyle name="Обычный 3 10 5 4 2 4 3 2 3 2 2" xfId="27626"/>
    <cellStyle name="Обычный 3 10 5 4 2 4 3 2 3 3" xfId="27627"/>
    <cellStyle name="Обычный 3 10 5 4 2 4 3 2 4" xfId="27628"/>
    <cellStyle name="Обычный 3 10 5 4 2 4 3 2 4 2" xfId="27629"/>
    <cellStyle name="Обычный 3 10 5 4 2 4 3 2 5" xfId="27630"/>
    <cellStyle name="Обычный 3 10 5 4 2 4 3 3" xfId="27631"/>
    <cellStyle name="Обычный 3 10 5 4 2 4 3 3 2" xfId="27632"/>
    <cellStyle name="Обычный 3 10 5 4 2 4 3 3 2 2" xfId="27633"/>
    <cellStyle name="Обычный 3 10 5 4 2 4 3 3 2 2 2" xfId="27634"/>
    <cellStyle name="Обычный 3 10 5 4 2 4 3 3 2 3" xfId="27635"/>
    <cellStyle name="Обычный 3 10 5 4 2 4 3 3 3" xfId="27636"/>
    <cellStyle name="Обычный 3 10 5 4 2 4 3 3 3 2" xfId="27637"/>
    <cellStyle name="Обычный 3 10 5 4 2 4 3 3 3 2 2" xfId="27638"/>
    <cellStyle name="Обычный 3 10 5 4 2 4 3 3 3 3" xfId="27639"/>
    <cellStyle name="Обычный 3 10 5 4 2 4 3 3 4" xfId="27640"/>
    <cellStyle name="Обычный 3 10 5 4 2 4 3 3 4 2" xfId="27641"/>
    <cellStyle name="Обычный 3 10 5 4 2 4 3 3 5" xfId="27642"/>
    <cellStyle name="Обычный 3 10 5 4 2 4 3 4" xfId="27643"/>
    <cellStyle name="Обычный 3 10 5 4 2 4 3 4 2" xfId="27644"/>
    <cellStyle name="Обычный 3 10 5 4 2 4 3 4 2 2" xfId="27645"/>
    <cellStyle name="Обычный 3 10 5 4 2 4 3 4 3" xfId="27646"/>
    <cellStyle name="Обычный 3 10 5 4 2 4 3 5" xfId="27647"/>
    <cellStyle name="Обычный 3 10 5 4 2 4 3 5 2" xfId="27648"/>
    <cellStyle name="Обычный 3 10 5 4 2 4 3 5 2 2" xfId="27649"/>
    <cellStyle name="Обычный 3 10 5 4 2 4 3 5 3" xfId="27650"/>
    <cellStyle name="Обычный 3 10 5 4 2 4 3 6" xfId="27651"/>
    <cellStyle name="Обычный 3 10 5 4 2 4 3 6 2" xfId="27652"/>
    <cellStyle name="Обычный 3 10 5 4 2 4 3 7" xfId="27653"/>
    <cellStyle name="Обычный 3 10 5 4 2 4 3 7 2" xfId="27654"/>
    <cellStyle name="Обычный 3 10 5 4 2 4 3 8" xfId="27655"/>
    <cellStyle name="Обычный 3 10 5 4 2 4 4" xfId="27656"/>
    <cellStyle name="Обычный 3 10 5 4 2 4 4 2" xfId="27657"/>
    <cellStyle name="Обычный 3 10 5 4 2 4 4 2 2" xfId="27658"/>
    <cellStyle name="Обычный 3 10 5 4 2 4 4 2 2 2" xfId="27659"/>
    <cellStyle name="Обычный 3 10 5 4 2 4 4 2 3" xfId="27660"/>
    <cellStyle name="Обычный 3 10 5 4 2 4 4 3" xfId="27661"/>
    <cellStyle name="Обычный 3 10 5 4 2 4 4 3 2" xfId="27662"/>
    <cellStyle name="Обычный 3 10 5 4 2 4 4 3 2 2" xfId="27663"/>
    <cellStyle name="Обычный 3 10 5 4 2 4 4 3 3" xfId="27664"/>
    <cellStyle name="Обычный 3 10 5 4 2 4 4 4" xfId="27665"/>
    <cellStyle name="Обычный 3 10 5 4 2 4 4 4 2" xfId="27666"/>
    <cellStyle name="Обычный 3 10 5 4 2 4 4 5" xfId="27667"/>
    <cellStyle name="Обычный 3 10 5 4 2 4 4 5 2" xfId="27668"/>
    <cellStyle name="Обычный 3 10 5 4 2 4 4 6" xfId="27669"/>
    <cellStyle name="Обычный 3 10 5 4 2 4 5" xfId="27670"/>
    <cellStyle name="Обычный 3 10 5 4 2 4 5 2" xfId="27671"/>
    <cellStyle name="Обычный 3 10 5 4 2 4 5 2 2" xfId="27672"/>
    <cellStyle name="Обычный 3 10 5 4 2 4 5 2 2 2" xfId="27673"/>
    <cellStyle name="Обычный 3 10 5 4 2 4 5 2 3" xfId="27674"/>
    <cellStyle name="Обычный 3 10 5 4 2 4 5 3" xfId="27675"/>
    <cellStyle name="Обычный 3 10 5 4 2 4 5 3 2" xfId="27676"/>
    <cellStyle name="Обычный 3 10 5 4 2 4 5 3 2 2" xfId="27677"/>
    <cellStyle name="Обычный 3 10 5 4 2 4 5 3 3" xfId="27678"/>
    <cellStyle name="Обычный 3 10 5 4 2 4 5 4" xfId="27679"/>
    <cellStyle name="Обычный 3 10 5 4 2 4 5 4 2" xfId="27680"/>
    <cellStyle name="Обычный 3 10 5 4 2 4 5 5" xfId="27681"/>
    <cellStyle name="Обычный 3 10 5 4 2 4 6" xfId="27682"/>
    <cellStyle name="Обычный 3 10 5 4 2 4 6 2" xfId="27683"/>
    <cellStyle name="Обычный 3 10 5 4 2 4 6 2 2" xfId="27684"/>
    <cellStyle name="Обычный 3 10 5 4 2 4 6 3" xfId="27685"/>
    <cellStyle name="Обычный 3 10 5 4 2 4 7" xfId="27686"/>
    <cellStyle name="Обычный 3 10 5 4 2 4 7 2" xfId="27687"/>
    <cellStyle name="Обычный 3 10 5 4 2 4 7 2 2" xfId="27688"/>
    <cellStyle name="Обычный 3 10 5 4 2 4 7 3" xfId="27689"/>
    <cellStyle name="Обычный 3 10 5 4 2 4 8" xfId="27690"/>
    <cellStyle name="Обычный 3 10 5 4 2 4 8 2" xfId="27691"/>
    <cellStyle name="Обычный 3 10 5 4 2 4 9" xfId="27692"/>
    <cellStyle name="Обычный 3 10 5 4 2 4 9 2" xfId="27693"/>
    <cellStyle name="Обычный 3 10 5 4 2 5" xfId="27694"/>
    <cellStyle name="Обычный 3 10 5 4 2 5 2" xfId="27695"/>
    <cellStyle name="Обычный 3 10 5 4 2 5 2 2" xfId="27696"/>
    <cellStyle name="Обычный 3 10 5 4 2 5 2 2 2" xfId="27697"/>
    <cellStyle name="Обычный 3 10 5 4 2 5 2 2 2 2" xfId="27698"/>
    <cellStyle name="Обычный 3 10 5 4 2 5 2 2 2 2 2" xfId="27699"/>
    <cellStyle name="Обычный 3 10 5 4 2 5 2 2 2 2 2 2" xfId="27700"/>
    <cellStyle name="Обычный 3 10 5 4 2 5 2 2 2 2 3" xfId="27701"/>
    <cellStyle name="Обычный 3 10 5 4 2 5 2 2 2 3" xfId="27702"/>
    <cellStyle name="Обычный 3 10 5 4 2 5 2 2 2 3 2" xfId="27703"/>
    <cellStyle name="Обычный 3 10 5 4 2 5 2 2 2 3 2 2" xfId="27704"/>
    <cellStyle name="Обычный 3 10 5 4 2 5 2 2 2 3 3" xfId="27705"/>
    <cellStyle name="Обычный 3 10 5 4 2 5 2 2 2 4" xfId="27706"/>
    <cellStyle name="Обычный 3 10 5 4 2 5 2 2 2 4 2" xfId="27707"/>
    <cellStyle name="Обычный 3 10 5 4 2 5 2 2 2 5" xfId="27708"/>
    <cellStyle name="Обычный 3 10 5 4 2 5 2 2 3" xfId="27709"/>
    <cellStyle name="Обычный 3 10 5 4 2 5 2 2 3 2" xfId="27710"/>
    <cellStyle name="Обычный 3 10 5 4 2 5 2 2 3 2 2" xfId="27711"/>
    <cellStyle name="Обычный 3 10 5 4 2 5 2 2 3 2 2 2" xfId="27712"/>
    <cellStyle name="Обычный 3 10 5 4 2 5 2 2 3 2 3" xfId="27713"/>
    <cellStyle name="Обычный 3 10 5 4 2 5 2 2 3 3" xfId="27714"/>
    <cellStyle name="Обычный 3 10 5 4 2 5 2 2 3 3 2" xfId="27715"/>
    <cellStyle name="Обычный 3 10 5 4 2 5 2 2 3 3 2 2" xfId="27716"/>
    <cellStyle name="Обычный 3 10 5 4 2 5 2 2 3 3 3" xfId="27717"/>
    <cellStyle name="Обычный 3 10 5 4 2 5 2 2 3 4" xfId="27718"/>
    <cellStyle name="Обычный 3 10 5 4 2 5 2 2 3 4 2" xfId="27719"/>
    <cellStyle name="Обычный 3 10 5 4 2 5 2 2 3 5" xfId="27720"/>
    <cellStyle name="Обычный 3 10 5 4 2 5 2 2 4" xfId="27721"/>
    <cellStyle name="Обычный 3 10 5 4 2 5 2 2 4 2" xfId="27722"/>
    <cellStyle name="Обычный 3 10 5 4 2 5 2 2 4 2 2" xfId="27723"/>
    <cellStyle name="Обычный 3 10 5 4 2 5 2 2 4 3" xfId="27724"/>
    <cellStyle name="Обычный 3 10 5 4 2 5 2 2 5" xfId="27725"/>
    <cellStyle name="Обычный 3 10 5 4 2 5 2 2 5 2" xfId="27726"/>
    <cellStyle name="Обычный 3 10 5 4 2 5 2 2 5 2 2" xfId="27727"/>
    <cellStyle name="Обычный 3 10 5 4 2 5 2 2 5 3" xfId="27728"/>
    <cellStyle name="Обычный 3 10 5 4 2 5 2 2 6" xfId="27729"/>
    <cellStyle name="Обычный 3 10 5 4 2 5 2 2 6 2" xfId="27730"/>
    <cellStyle name="Обычный 3 10 5 4 2 5 2 2 7" xfId="27731"/>
    <cellStyle name="Обычный 3 10 5 4 2 5 2 2 7 2" xfId="27732"/>
    <cellStyle name="Обычный 3 10 5 4 2 5 2 2 8" xfId="27733"/>
    <cellStyle name="Обычный 3 10 5 4 2 5 2 3" xfId="27734"/>
    <cellStyle name="Обычный 3 10 5 4 2 5 2 3 2" xfId="27735"/>
    <cellStyle name="Обычный 3 10 5 4 2 5 2 3 2 2" xfId="27736"/>
    <cellStyle name="Обычный 3 10 5 4 2 5 2 3 2 2 2" xfId="27737"/>
    <cellStyle name="Обычный 3 10 5 4 2 5 2 3 2 3" xfId="27738"/>
    <cellStyle name="Обычный 3 10 5 4 2 5 2 3 3" xfId="27739"/>
    <cellStyle name="Обычный 3 10 5 4 2 5 2 3 3 2" xfId="27740"/>
    <cellStyle name="Обычный 3 10 5 4 2 5 2 3 3 2 2" xfId="27741"/>
    <cellStyle name="Обычный 3 10 5 4 2 5 2 3 3 3" xfId="27742"/>
    <cellStyle name="Обычный 3 10 5 4 2 5 2 3 4" xfId="27743"/>
    <cellStyle name="Обычный 3 10 5 4 2 5 2 3 4 2" xfId="27744"/>
    <cellStyle name="Обычный 3 10 5 4 2 5 2 3 5" xfId="27745"/>
    <cellStyle name="Обычный 3 10 5 4 2 5 2 4" xfId="27746"/>
    <cellStyle name="Обычный 3 10 5 4 2 5 2 4 2" xfId="27747"/>
    <cellStyle name="Обычный 3 10 5 4 2 5 2 4 2 2" xfId="27748"/>
    <cellStyle name="Обычный 3 10 5 4 2 5 2 4 2 2 2" xfId="27749"/>
    <cellStyle name="Обычный 3 10 5 4 2 5 2 4 2 3" xfId="27750"/>
    <cellStyle name="Обычный 3 10 5 4 2 5 2 4 3" xfId="27751"/>
    <cellStyle name="Обычный 3 10 5 4 2 5 2 4 3 2" xfId="27752"/>
    <cellStyle name="Обычный 3 10 5 4 2 5 2 4 3 2 2" xfId="27753"/>
    <cellStyle name="Обычный 3 10 5 4 2 5 2 4 3 3" xfId="27754"/>
    <cellStyle name="Обычный 3 10 5 4 2 5 2 4 4" xfId="27755"/>
    <cellStyle name="Обычный 3 10 5 4 2 5 2 4 4 2" xfId="27756"/>
    <cellStyle name="Обычный 3 10 5 4 2 5 2 4 5" xfId="27757"/>
    <cellStyle name="Обычный 3 10 5 4 2 5 2 5" xfId="27758"/>
    <cellStyle name="Обычный 3 10 5 4 2 5 2 5 2" xfId="27759"/>
    <cellStyle name="Обычный 3 10 5 4 2 5 2 5 2 2" xfId="27760"/>
    <cellStyle name="Обычный 3 10 5 4 2 5 2 5 3" xfId="27761"/>
    <cellStyle name="Обычный 3 10 5 4 2 5 2 6" xfId="27762"/>
    <cellStyle name="Обычный 3 10 5 4 2 5 2 6 2" xfId="27763"/>
    <cellStyle name="Обычный 3 10 5 4 2 5 2 6 2 2" xfId="27764"/>
    <cellStyle name="Обычный 3 10 5 4 2 5 2 6 3" xfId="27765"/>
    <cellStyle name="Обычный 3 10 5 4 2 5 2 7" xfId="27766"/>
    <cellStyle name="Обычный 3 10 5 4 2 5 2 7 2" xfId="27767"/>
    <cellStyle name="Обычный 3 10 5 4 2 5 2 8" xfId="27768"/>
    <cellStyle name="Обычный 3 10 5 4 2 5 2 8 2" xfId="27769"/>
    <cellStyle name="Обычный 3 10 5 4 2 5 2 9" xfId="27770"/>
    <cellStyle name="Обычный 3 10 5 4 2 5 3" xfId="27771"/>
    <cellStyle name="Обычный 3 10 5 4 2 5 3 2" xfId="27772"/>
    <cellStyle name="Обычный 3 10 5 4 2 5 3 2 2" xfId="27773"/>
    <cellStyle name="Обычный 3 10 5 4 2 5 3 2 2 2" xfId="27774"/>
    <cellStyle name="Обычный 3 10 5 4 2 5 3 2 3" xfId="27775"/>
    <cellStyle name="Обычный 3 10 5 4 2 5 3 3" xfId="27776"/>
    <cellStyle name="Обычный 3 10 5 4 2 5 3 3 2" xfId="27777"/>
    <cellStyle name="Обычный 3 10 5 4 2 5 3 3 2 2" xfId="27778"/>
    <cellStyle name="Обычный 3 10 5 4 2 5 3 3 3" xfId="27779"/>
    <cellStyle name="Обычный 3 10 5 4 2 5 3 4" xfId="27780"/>
    <cellStyle name="Обычный 3 10 5 4 2 5 3 4 2" xfId="27781"/>
    <cellStyle name="Обычный 3 10 5 4 2 5 3 5" xfId="27782"/>
    <cellStyle name="Обычный 3 10 5 4 2 5 3 5 2" xfId="27783"/>
    <cellStyle name="Обычный 3 10 5 4 2 5 3 6" xfId="27784"/>
    <cellStyle name="Обычный 3 10 5 4 2 5 4" xfId="27785"/>
    <cellStyle name="Обычный 3 10 5 4 2 5 4 2" xfId="27786"/>
    <cellStyle name="Обычный 3 10 5 4 2 5 4 2 2" xfId="27787"/>
    <cellStyle name="Обычный 3 10 5 4 2 5 4 2 2 2" xfId="27788"/>
    <cellStyle name="Обычный 3 10 5 4 2 5 4 2 3" xfId="27789"/>
    <cellStyle name="Обычный 3 10 5 4 2 5 4 3" xfId="27790"/>
    <cellStyle name="Обычный 3 10 5 4 2 5 4 3 2" xfId="27791"/>
    <cellStyle name="Обычный 3 10 5 4 2 5 4 3 2 2" xfId="27792"/>
    <cellStyle name="Обычный 3 10 5 4 2 5 4 3 3" xfId="27793"/>
    <cellStyle name="Обычный 3 10 5 4 2 5 4 4" xfId="27794"/>
    <cellStyle name="Обычный 3 10 5 4 2 5 4 4 2" xfId="27795"/>
    <cellStyle name="Обычный 3 10 5 4 2 5 4 5" xfId="27796"/>
    <cellStyle name="Обычный 3 10 5 4 2 5 4 5 2" xfId="27797"/>
    <cellStyle name="Обычный 3 10 5 4 2 5 4 6" xfId="27798"/>
    <cellStyle name="Обычный 3 10 5 4 2 5 5" xfId="27799"/>
    <cellStyle name="Обычный 3 10 5 4 2 5 5 2" xfId="27800"/>
    <cellStyle name="Обычный 3 10 5 4 2 5 5 2 2" xfId="27801"/>
    <cellStyle name="Обычный 3 10 5 4 2 5 5 3" xfId="27802"/>
    <cellStyle name="Обычный 3 10 5 4 2 5 6" xfId="27803"/>
    <cellStyle name="Обычный 3 10 5 4 2 5 6 2" xfId="27804"/>
    <cellStyle name="Обычный 3 10 5 4 2 5 6 2 2" xfId="27805"/>
    <cellStyle name="Обычный 3 10 5 4 2 5 6 3" xfId="27806"/>
    <cellStyle name="Обычный 3 10 5 4 2 5 7" xfId="27807"/>
    <cellStyle name="Обычный 3 10 5 4 2 5 7 2" xfId="27808"/>
    <cellStyle name="Обычный 3 10 5 4 2 5 8" xfId="27809"/>
    <cellStyle name="Обычный 3 10 5 4 2 5 8 2" xfId="27810"/>
    <cellStyle name="Обычный 3 10 5 4 2 5 9" xfId="27811"/>
    <cellStyle name="Обычный 3 10 5 4 2 6" xfId="27812"/>
    <cellStyle name="Обычный 3 10 5 4 2 6 10" xfId="27813"/>
    <cellStyle name="Обычный 3 10 5 4 2 6 2" xfId="27814"/>
    <cellStyle name="Обычный 3 10 5 4 2 6 2 2" xfId="27815"/>
    <cellStyle name="Обычный 3 10 5 4 2 6 2 2 2" xfId="27816"/>
    <cellStyle name="Обычный 3 10 5 4 2 6 2 2 2 2" xfId="27817"/>
    <cellStyle name="Обычный 3 10 5 4 2 6 2 2 2 2 2" xfId="27818"/>
    <cellStyle name="Обычный 3 10 5 4 2 6 2 2 2 3" xfId="27819"/>
    <cellStyle name="Обычный 3 10 5 4 2 6 2 2 3" xfId="27820"/>
    <cellStyle name="Обычный 3 10 5 4 2 6 2 2 3 2" xfId="27821"/>
    <cellStyle name="Обычный 3 10 5 4 2 6 2 2 3 2 2" xfId="27822"/>
    <cellStyle name="Обычный 3 10 5 4 2 6 2 2 3 3" xfId="27823"/>
    <cellStyle name="Обычный 3 10 5 4 2 6 2 2 4" xfId="27824"/>
    <cellStyle name="Обычный 3 10 5 4 2 6 2 2 4 2" xfId="27825"/>
    <cellStyle name="Обычный 3 10 5 4 2 6 2 2 5" xfId="27826"/>
    <cellStyle name="Обычный 3 10 5 4 2 6 2 2 5 2" xfId="27827"/>
    <cellStyle name="Обычный 3 10 5 4 2 6 2 2 6" xfId="27828"/>
    <cellStyle name="Обычный 3 10 5 4 2 6 2 3" xfId="27829"/>
    <cellStyle name="Обычный 3 10 5 4 2 6 2 3 2" xfId="27830"/>
    <cellStyle name="Обычный 3 10 5 4 2 6 2 3 2 2" xfId="27831"/>
    <cellStyle name="Обычный 3 10 5 4 2 6 2 3 2 2 2" xfId="27832"/>
    <cellStyle name="Обычный 3 10 5 4 2 6 2 3 2 3" xfId="27833"/>
    <cellStyle name="Обычный 3 10 5 4 2 6 2 3 3" xfId="27834"/>
    <cellStyle name="Обычный 3 10 5 4 2 6 2 3 3 2" xfId="27835"/>
    <cellStyle name="Обычный 3 10 5 4 2 6 2 3 3 2 2" xfId="27836"/>
    <cellStyle name="Обычный 3 10 5 4 2 6 2 3 3 3" xfId="27837"/>
    <cellStyle name="Обычный 3 10 5 4 2 6 2 3 4" xfId="27838"/>
    <cellStyle name="Обычный 3 10 5 4 2 6 2 3 4 2" xfId="27839"/>
    <cellStyle name="Обычный 3 10 5 4 2 6 2 3 5" xfId="27840"/>
    <cellStyle name="Обычный 3 10 5 4 2 6 2 4" xfId="27841"/>
    <cellStyle name="Обычный 3 10 5 4 2 6 2 4 2" xfId="27842"/>
    <cellStyle name="Обычный 3 10 5 4 2 6 2 4 2 2" xfId="27843"/>
    <cellStyle name="Обычный 3 10 5 4 2 6 2 4 2 2 2" xfId="27844"/>
    <cellStyle name="Обычный 3 10 5 4 2 6 2 4 2 3" xfId="27845"/>
    <cellStyle name="Обычный 3 10 5 4 2 6 2 4 3" xfId="27846"/>
    <cellStyle name="Обычный 3 10 5 4 2 6 2 4 3 2" xfId="27847"/>
    <cellStyle name="Обычный 3 10 5 4 2 6 2 4 3 2 2" xfId="27848"/>
    <cellStyle name="Обычный 3 10 5 4 2 6 2 4 3 3" xfId="27849"/>
    <cellStyle name="Обычный 3 10 5 4 2 6 2 4 4" xfId="27850"/>
    <cellStyle name="Обычный 3 10 5 4 2 6 2 4 4 2" xfId="27851"/>
    <cellStyle name="Обычный 3 10 5 4 2 6 2 4 5" xfId="27852"/>
    <cellStyle name="Обычный 3 10 5 4 2 6 2 5" xfId="27853"/>
    <cellStyle name="Обычный 3 10 5 4 2 6 2 5 2" xfId="27854"/>
    <cellStyle name="Обычный 3 10 5 4 2 6 2 5 2 2" xfId="27855"/>
    <cellStyle name="Обычный 3 10 5 4 2 6 2 5 3" xfId="27856"/>
    <cellStyle name="Обычный 3 10 5 4 2 6 2 6" xfId="27857"/>
    <cellStyle name="Обычный 3 10 5 4 2 6 2 6 2" xfId="27858"/>
    <cellStyle name="Обычный 3 10 5 4 2 6 2 6 2 2" xfId="27859"/>
    <cellStyle name="Обычный 3 10 5 4 2 6 2 6 3" xfId="27860"/>
    <cellStyle name="Обычный 3 10 5 4 2 6 2 7" xfId="27861"/>
    <cellStyle name="Обычный 3 10 5 4 2 6 2 7 2" xfId="27862"/>
    <cellStyle name="Обычный 3 10 5 4 2 6 2 8" xfId="27863"/>
    <cellStyle name="Обычный 3 10 5 4 2 6 2 8 2" xfId="27864"/>
    <cellStyle name="Обычный 3 10 5 4 2 6 2 9" xfId="27865"/>
    <cellStyle name="Обычный 3 10 5 4 2 6 3" xfId="27866"/>
    <cellStyle name="Обычный 3 10 5 4 2 6 3 2" xfId="27867"/>
    <cellStyle name="Обычный 3 10 5 4 2 6 3 2 2" xfId="27868"/>
    <cellStyle name="Обычный 3 10 5 4 2 6 3 2 2 2" xfId="27869"/>
    <cellStyle name="Обычный 3 10 5 4 2 6 3 2 2 2 2" xfId="27870"/>
    <cellStyle name="Обычный 3 10 5 4 2 6 3 2 2 3" xfId="27871"/>
    <cellStyle name="Обычный 3 10 5 4 2 6 3 2 3" xfId="27872"/>
    <cellStyle name="Обычный 3 10 5 4 2 6 3 2 3 2" xfId="27873"/>
    <cellStyle name="Обычный 3 10 5 4 2 6 3 2 3 2 2" xfId="27874"/>
    <cellStyle name="Обычный 3 10 5 4 2 6 3 2 3 3" xfId="27875"/>
    <cellStyle name="Обычный 3 10 5 4 2 6 3 2 4" xfId="27876"/>
    <cellStyle name="Обычный 3 10 5 4 2 6 3 2 4 2" xfId="27877"/>
    <cellStyle name="Обычный 3 10 5 4 2 6 3 2 5" xfId="27878"/>
    <cellStyle name="Обычный 3 10 5 4 2 6 3 3" xfId="27879"/>
    <cellStyle name="Обычный 3 10 5 4 2 6 3 3 2" xfId="27880"/>
    <cellStyle name="Обычный 3 10 5 4 2 6 3 3 2 2" xfId="27881"/>
    <cellStyle name="Обычный 3 10 5 4 2 6 3 3 2 2 2" xfId="27882"/>
    <cellStyle name="Обычный 3 10 5 4 2 6 3 3 2 3" xfId="27883"/>
    <cellStyle name="Обычный 3 10 5 4 2 6 3 3 3" xfId="27884"/>
    <cellStyle name="Обычный 3 10 5 4 2 6 3 3 3 2" xfId="27885"/>
    <cellStyle name="Обычный 3 10 5 4 2 6 3 3 3 2 2" xfId="27886"/>
    <cellStyle name="Обычный 3 10 5 4 2 6 3 3 3 3" xfId="27887"/>
    <cellStyle name="Обычный 3 10 5 4 2 6 3 3 4" xfId="27888"/>
    <cellStyle name="Обычный 3 10 5 4 2 6 3 3 4 2" xfId="27889"/>
    <cellStyle name="Обычный 3 10 5 4 2 6 3 3 5" xfId="27890"/>
    <cellStyle name="Обычный 3 10 5 4 2 6 3 4" xfId="27891"/>
    <cellStyle name="Обычный 3 10 5 4 2 6 3 4 2" xfId="27892"/>
    <cellStyle name="Обычный 3 10 5 4 2 6 3 4 2 2" xfId="27893"/>
    <cellStyle name="Обычный 3 10 5 4 2 6 3 4 3" xfId="27894"/>
    <cellStyle name="Обычный 3 10 5 4 2 6 3 5" xfId="27895"/>
    <cellStyle name="Обычный 3 10 5 4 2 6 3 5 2" xfId="27896"/>
    <cellStyle name="Обычный 3 10 5 4 2 6 3 5 2 2" xfId="27897"/>
    <cellStyle name="Обычный 3 10 5 4 2 6 3 5 3" xfId="27898"/>
    <cellStyle name="Обычный 3 10 5 4 2 6 3 6" xfId="27899"/>
    <cellStyle name="Обычный 3 10 5 4 2 6 3 6 2" xfId="27900"/>
    <cellStyle name="Обычный 3 10 5 4 2 6 3 7" xfId="27901"/>
    <cellStyle name="Обычный 3 10 5 4 2 6 3 7 2" xfId="27902"/>
    <cellStyle name="Обычный 3 10 5 4 2 6 3 8" xfId="27903"/>
    <cellStyle name="Обычный 3 10 5 4 2 6 4" xfId="27904"/>
    <cellStyle name="Обычный 3 10 5 4 2 6 4 2" xfId="27905"/>
    <cellStyle name="Обычный 3 10 5 4 2 6 4 2 2" xfId="27906"/>
    <cellStyle name="Обычный 3 10 5 4 2 6 4 2 2 2" xfId="27907"/>
    <cellStyle name="Обычный 3 10 5 4 2 6 4 2 3" xfId="27908"/>
    <cellStyle name="Обычный 3 10 5 4 2 6 4 3" xfId="27909"/>
    <cellStyle name="Обычный 3 10 5 4 2 6 4 3 2" xfId="27910"/>
    <cellStyle name="Обычный 3 10 5 4 2 6 4 3 2 2" xfId="27911"/>
    <cellStyle name="Обычный 3 10 5 4 2 6 4 3 3" xfId="27912"/>
    <cellStyle name="Обычный 3 10 5 4 2 6 4 4" xfId="27913"/>
    <cellStyle name="Обычный 3 10 5 4 2 6 4 4 2" xfId="27914"/>
    <cellStyle name="Обычный 3 10 5 4 2 6 4 5" xfId="27915"/>
    <cellStyle name="Обычный 3 10 5 4 2 6 5" xfId="27916"/>
    <cellStyle name="Обычный 3 10 5 4 2 6 5 2" xfId="27917"/>
    <cellStyle name="Обычный 3 10 5 4 2 6 5 2 2" xfId="27918"/>
    <cellStyle name="Обычный 3 10 5 4 2 6 5 2 2 2" xfId="27919"/>
    <cellStyle name="Обычный 3 10 5 4 2 6 5 2 3" xfId="27920"/>
    <cellStyle name="Обычный 3 10 5 4 2 6 5 3" xfId="27921"/>
    <cellStyle name="Обычный 3 10 5 4 2 6 5 3 2" xfId="27922"/>
    <cellStyle name="Обычный 3 10 5 4 2 6 5 3 2 2" xfId="27923"/>
    <cellStyle name="Обычный 3 10 5 4 2 6 5 3 3" xfId="27924"/>
    <cellStyle name="Обычный 3 10 5 4 2 6 5 4" xfId="27925"/>
    <cellStyle name="Обычный 3 10 5 4 2 6 5 4 2" xfId="27926"/>
    <cellStyle name="Обычный 3 10 5 4 2 6 5 5" xfId="27927"/>
    <cellStyle name="Обычный 3 10 5 4 2 6 6" xfId="27928"/>
    <cellStyle name="Обычный 3 10 5 4 2 6 6 2" xfId="27929"/>
    <cellStyle name="Обычный 3 10 5 4 2 6 6 2 2" xfId="27930"/>
    <cellStyle name="Обычный 3 10 5 4 2 6 6 3" xfId="27931"/>
    <cellStyle name="Обычный 3 10 5 4 2 6 7" xfId="27932"/>
    <cellStyle name="Обычный 3 10 5 4 2 6 7 2" xfId="27933"/>
    <cellStyle name="Обычный 3 10 5 4 2 6 7 2 2" xfId="27934"/>
    <cellStyle name="Обычный 3 10 5 4 2 6 7 3" xfId="27935"/>
    <cellStyle name="Обычный 3 10 5 4 2 6 8" xfId="27936"/>
    <cellStyle name="Обычный 3 10 5 4 2 6 8 2" xfId="27937"/>
    <cellStyle name="Обычный 3 10 5 4 2 6 9" xfId="27938"/>
    <cellStyle name="Обычный 3 10 5 4 2 6 9 2" xfId="27939"/>
    <cellStyle name="Обычный 3 10 5 4 2 7" xfId="27940"/>
    <cellStyle name="Обычный 3 10 5 4 2 7 2" xfId="27941"/>
    <cellStyle name="Обычный 3 10 5 4 2 7 2 2" xfId="27942"/>
    <cellStyle name="Обычный 3 10 5 4 2 7 2 2 2" xfId="27943"/>
    <cellStyle name="Обычный 3 10 5 4 2 7 2 2 2 2" xfId="27944"/>
    <cellStyle name="Обычный 3 10 5 4 2 7 2 2 3" xfId="27945"/>
    <cellStyle name="Обычный 3 10 5 4 2 7 2 3" xfId="27946"/>
    <cellStyle name="Обычный 3 10 5 4 2 7 2 3 2" xfId="27947"/>
    <cellStyle name="Обычный 3 10 5 4 2 7 2 3 2 2" xfId="27948"/>
    <cellStyle name="Обычный 3 10 5 4 2 7 2 3 3" xfId="27949"/>
    <cellStyle name="Обычный 3 10 5 4 2 7 2 4" xfId="27950"/>
    <cellStyle name="Обычный 3 10 5 4 2 7 2 4 2" xfId="27951"/>
    <cellStyle name="Обычный 3 10 5 4 2 7 2 5" xfId="27952"/>
    <cellStyle name="Обычный 3 10 5 4 2 7 2 5 2" xfId="27953"/>
    <cellStyle name="Обычный 3 10 5 4 2 7 2 6" xfId="27954"/>
    <cellStyle name="Обычный 3 10 5 4 2 7 3" xfId="27955"/>
    <cellStyle name="Обычный 3 10 5 4 2 7 3 2" xfId="27956"/>
    <cellStyle name="Обычный 3 10 5 4 2 7 3 2 2" xfId="27957"/>
    <cellStyle name="Обычный 3 10 5 4 2 7 3 2 2 2" xfId="27958"/>
    <cellStyle name="Обычный 3 10 5 4 2 7 3 2 3" xfId="27959"/>
    <cellStyle name="Обычный 3 10 5 4 2 7 3 3" xfId="27960"/>
    <cellStyle name="Обычный 3 10 5 4 2 7 3 3 2" xfId="27961"/>
    <cellStyle name="Обычный 3 10 5 4 2 7 3 3 2 2" xfId="27962"/>
    <cellStyle name="Обычный 3 10 5 4 2 7 3 3 3" xfId="27963"/>
    <cellStyle name="Обычный 3 10 5 4 2 7 3 4" xfId="27964"/>
    <cellStyle name="Обычный 3 10 5 4 2 7 3 4 2" xfId="27965"/>
    <cellStyle name="Обычный 3 10 5 4 2 7 3 5" xfId="27966"/>
    <cellStyle name="Обычный 3 10 5 4 2 7 4" xfId="27967"/>
    <cellStyle name="Обычный 3 10 5 4 2 7 4 2" xfId="27968"/>
    <cellStyle name="Обычный 3 10 5 4 2 7 4 2 2" xfId="27969"/>
    <cellStyle name="Обычный 3 10 5 4 2 7 4 3" xfId="27970"/>
    <cellStyle name="Обычный 3 10 5 4 2 7 5" xfId="27971"/>
    <cellStyle name="Обычный 3 10 5 4 2 7 5 2" xfId="27972"/>
    <cellStyle name="Обычный 3 10 5 4 2 7 5 2 2" xfId="27973"/>
    <cellStyle name="Обычный 3 10 5 4 2 7 5 3" xfId="27974"/>
    <cellStyle name="Обычный 3 10 5 4 2 7 6" xfId="27975"/>
    <cellStyle name="Обычный 3 10 5 4 2 7 6 2" xfId="27976"/>
    <cellStyle name="Обычный 3 10 5 4 2 7 7" xfId="27977"/>
    <cellStyle name="Обычный 3 10 5 4 2 7 7 2" xfId="27978"/>
    <cellStyle name="Обычный 3 10 5 4 2 7 8" xfId="27979"/>
    <cellStyle name="Обычный 3 10 5 4 2 8" xfId="27980"/>
    <cellStyle name="Обычный 3 10 5 4 2 8 2" xfId="27981"/>
    <cellStyle name="Обычный 3 10 5 4 2 8 2 2" xfId="27982"/>
    <cellStyle name="Обычный 3 10 5 4 2 8 2 2 2" xfId="27983"/>
    <cellStyle name="Обычный 3 10 5 4 2 8 2 2 2 2" xfId="27984"/>
    <cellStyle name="Обычный 3 10 5 4 2 8 2 2 3" xfId="27985"/>
    <cellStyle name="Обычный 3 10 5 4 2 8 2 3" xfId="27986"/>
    <cellStyle name="Обычный 3 10 5 4 2 8 2 3 2" xfId="27987"/>
    <cellStyle name="Обычный 3 10 5 4 2 8 2 3 2 2" xfId="27988"/>
    <cellStyle name="Обычный 3 10 5 4 2 8 2 3 3" xfId="27989"/>
    <cellStyle name="Обычный 3 10 5 4 2 8 2 4" xfId="27990"/>
    <cellStyle name="Обычный 3 10 5 4 2 8 2 4 2" xfId="27991"/>
    <cellStyle name="Обычный 3 10 5 4 2 8 2 5" xfId="27992"/>
    <cellStyle name="Обычный 3 10 5 4 2 8 3" xfId="27993"/>
    <cellStyle name="Обычный 3 10 5 4 2 8 3 2" xfId="27994"/>
    <cellStyle name="Обычный 3 10 5 4 2 8 3 2 2" xfId="27995"/>
    <cellStyle name="Обычный 3 10 5 4 2 8 3 2 2 2" xfId="27996"/>
    <cellStyle name="Обычный 3 10 5 4 2 8 3 2 3" xfId="27997"/>
    <cellStyle name="Обычный 3 10 5 4 2 8 3 3" xfId="27998"/>
    <cellStyle name="Обычный 3 10 5 4 2 8 3 3 2" xfId="27999"/>
    <cellStyle name="Обычный 3 10 5 4 2 8 3 3 2 2" xfId="28000"/>
    <cellStyle name="Обычный 3 10 5 4 2 8 3 3 3" xfId="28001"/>
    <cellStyle name="Обычный 3 10 5 4 2 8 3 4" xfId="28002"/>
    <cellStyle name="Обычный 3 10 5 4 2 8 3 4 2" xfId="28003"/>
    <cellStyle name="Обычный 3 10 5 4 2 8 3 5" xfId="28004"/>
    <cellStyle name="Обычный 3 10 5 4 2 8 4" xfId="28005"/>
    <cellStyle name="Обычный 3 10 5 4 2 8 4 2" xfId="28006"/>
    <cellStyle name="Обычный 3 10 5 4 2 8 4 2 2" xfId="28007"/>
    <cellStyle name="Обычный 3 10 5 4 2 8 4 3" xfId="28008"/>
    <cellStyle name="Обычный 3 10 5 4 2 8 5" xfId="28009"/>
    <cellStyle name="Обычный 3 10 5 4 2 8 5 2" xfId="28010"/>
    <cellStyle name="Обычный 3 10 5 4 2 8 5 2 2" xfId="28011"/>
    <cellStyle name="Обычный 3 10 5 4 2 8 5 3" xfId="28012"/>
    <cellStyle name="Обычный 3 10 5 4 2 8 6" xfId="28013"/>
    <cellStyle name="Обычный 3 10 5 4 2 8 6 2" xfId="28014"/>
    <cellStyle name="Обычный 3 10 5 4 2 8 7" xfId="28015"/>
    <cellStyle name="Обычный 3 10 5 4 2 8 7 2" xfId="28016"/>
    <cellStyle name="Обычный 3 10 5 4 2 8 8" xfId="28017"/>
    <cellStyle name="Обычный 3 10 5 4 2 9" xfId="28018"/>
    <cellStyle name="Обычный 3 10 5 4 2 9 10" xfId="28019"/>
    <cellStyle name="Обычный 3 10 5 4 2 9 2" xfId="28020"/>
    <cellStyle name="Обычный 3 10 5 4 2 9 2 10" xfId="28021"/>
    <cellStyle name="Обычный 3 10 5 4 2 9 2 2" xfId="28022"/>
    <cellStyle name="Обычный 3 10 5 4 2 9 2 2 2" xfId="28023"/>
    <cellStyle name="Обычный 3 10 5 4 2 9 2 2 2 2" xfId="28024"/>
    <cellStyle name="Обычный 3 10 5 4 2 9 2 2 2 2 2" xfId="28025"/>
    <cellStyle name="Обычный 3 10 5 4 2 9 2 2 2 2 2 2" xfId="28026"/>
    <cellStyle name="Обычный 3 10 5 4 2 9 2 2 2 2 3" xfId="28027"/>
    <cellStyle name="Обычный 3 10 5 4 2 9 2 2 2 3" xfId="28028"/>
    <cellStyle name="Обычный 3 10 5 4 2 9 2 2 2 3 2" xfId="28029"/>
    <cellStyle name="Обычный 3 10 5 4 2 9 2 2 2 3 2 2" xfId="28030"/>
    <cellStyle name="Обычный 3 10 5 4 2 9 2 2 2 3 3" xfId="28031"/>
    <cellStyle name="Обычный 3 10 5 4 2 9 2 2 2 4" xfId="28032"/>
    <cellStyle name="Обычный 3 10 5 4 2 9 2 2 2 4 2" xfId="28033"/>
    <cellStyle name="Обычный 3 10 5 4 2 9 2 2 2 5" xfId="28034"/>
    <cellStyle name="Обычный 3 10 5 4 2 9 2 2 3" xfId="28035"/>
    <cellStyle name="Обычный 3 10 5 4 2 9 2 2 3 2" xfId="28036"/>
    <cellStyle name="Обычный 3 10 5 4 2 9 2 2 3 2 2" xfId="28037"/>
    <cellStyle name="Обычный 3 10 5 4 2 9 2 2 3 3" xfId="28038"/>
    <cellStyle name="Обычный 3 10 5 4 2 9 2 2 4" xfId="28039"/>
    <cellStyle name="Обычный 3 10 5 4 2 9 2 2 4 2" xfId="28040"/>
    <cellStyle name="Обычный 3 10 5 4 2 9 2 2 4 2 2" xfId="28041"/>
    <cellStyle name="Обычный 3 10 5 4 2 9 2 2 4 3" xfId="28042"/>
    <cellStyle name="Обычный 3 10 5 4 2 9 2 2 5" xfId="28043"/>
    <cellStyle name="Обычный 3 10 5 4 2 9 2 2 5 2" xfId="28044"/>
    <cellStyle name="Обычный 3 10 5 4 2 9 2 2 6" xfId="28045"/>
    <cellStyle name="Обычный 3 10 5 4 2 9 2 3" xfId="28046"/>
    <cellStyle name="Обычный 3 10 5 4 2 9 2 3 2" xfId="28047"/>
    <cellStyle name="Обычный 3 10 5 4 2 9 2 3 2 2" xfId="28048"/>
    <cellStyle name="Обычный 3 10 5 4 2 9 2 3 2 2 2" xfId="28049"/>
    <cellStyle name="Обычный 3 10 5 4 2 9 2 3 2 3" xfId="28050"/>
    <cellStyle name="Обычный 3 10 5 4 2 9 2 3 3" xfId="28051"/>
    <cellStyle name="Обычный 3 10 5 4 2 9 2 3 3 2" xfId="28052"/>
    <cellStyle name="Обычный 3 10 5 4 2 9 2 3 3 2 2" xfId="28053"/>
    <cellStyle name="Обычный 3 10 5 4 2 9 2 3 3 3" xfId="28054"/>
    <cellStyle name="Обычный 3 10 5 4 2 9 2 3 4" xfId="28055"/>
    <cellStyle name="Обычный 3 10 5 4 2 9 2 3 4 2" xfId="28056"/>
    <cellStyle name="Обычный 3 10 5 4 2 9 2 3 5" xfId="28057"/>
    <cellStyle name="Обычный 3 10 5 4 2 9 2 4" xfId="28058"/>
    <cellStyle name="Обычный 3 10 5 4 2 9 2 4 2" xfId="28059"/>
    <cellStyle name="Обычный 3 10 5 4 2 9 2 4 2 2" xfId="28060"/>
    <cellStyle name="Обычный 3 10 5 4 2 9 2 4 2 2 2" xfId="28061"/>
    <cellStyle name="Обычный 3 10 5 4 2 9 2 4 2 3" xfId="28062"/>
    <cellStyle name="Обычный 3 10 5 4 2 9 2 4 3" xfId="28063"/>
    <cellStyle name="Обычный 3 10 5 4 2 9 2 4 3 2" xfId="28064"/>
    <cellStyle name="Обычный 3 10 5 4 2 9 2 4 3 2 2" xfId="28065"/>
    <cellStyle name="Обычный 3 10 5 4 2 9 2 4 3 3" xfId="28066"/>
    <cellStyle name="Обычный 3 10 5 4 2 9 2 4 4" xfId="28067"/>
    <cellStyle name="Обычный 3 10 5 4 2 9 2 4 4 2" xfId="28068"/>
    <cellStyle name="Обычный 3 10 5 4 2 9 2 4 5" xfId="28069"/>
    <cellStyle name="Обычный 3 10 5 4 2 9 2 5" xfId="28070"/>
    <cellStyle name="Обычный 3 10 5 4 2 9 2 5 2" xfId="28071"/>
    <cellStyle name="Обычный 3 10 5 4 2 9 2 5 2 2" xfId="28072"/>
    <cellStyle name="Обычный 3 10 5 4 2 9 2 5 2 2 2" xfId="28073"/>
    <cellStyle name="Обычный 3 10 5 4 2 9 2 5 2 3" xfId="28074"/>
    <cellStyle name="Обычный 3 10 5 4 2 9 2 5 3" xfId="28075"/>
    <cellStyle name="Обычный 3 10 5 4 2 9 2 5 3 2" xfId="28076"/>
    <cellStyle name="Обычный 3 10 5 4 2 9 2 5 3 2 2" xfId="28077"/>
    <cellStyle name="Обычный 3 10 5 4 2 9 2 5 3 3" xfId="28078"/>
    <cellStyle name="Обычный 3 10 5 4 2 9 2 5 4" xfId="28079"/>
    <cellStyle name="Обычный 3 10 5 4 2 9 2 5 4 2" xfId="28080"/>
    <cellStyle name="Обычный 3 10 5 4 2 9 2 5 5" xfId="28081"/>
    <cellStyle name="Обычный 3 10 5 4 2 9 2 5 5 2" xfId="28082"/>
    <cellStyle name="Обычный 3 10 5 4 2 9 2 5 6" xfId="28083"/>
    <cellStyle name="Обычный 3 10 5 4 2 9 2 6" xfId="28084"/>
    <cellStyle name="Обычный 3 10 5 4 2 9 2 6 2" xfId="28085"/>
    <cellStyle name="Обычный 3 10 5 4 2 9 2 6 2 2" xfId="28086"/>
    <cellStyle name="Обычный 3 10 5 4 2 9 2 6 3" xfId="28087"/>
    <cellStyle name="Обычный 3 10 5 4 2 9 2 7" xfId="28088"/>
    <cellStyle name="Обычный 3 10 5 4 2 9 2 7 2" xfId="28089"/>
    <cellStyle name="Обычный 3 10 5 4 2 9 2 7 2 2" xfId="28090"/>
    <cellStyle name="Обычный 3 10 5 4 2 9 2 7 3" xfId="28091"/>
    <cellStyle name="Обычный 3 10 5 4 2 9 2 8" xfId="28092"/>
    <cellStyle name="Обычный 3 10 5 4 2 9 2 8 2" xfId="28093"/>
    <cellStyle name="Обычный 3 10 5 4 2 9 2 9" xfId="28094"/>
    <cellStyle name="Обычный 3 10 5 4 2 9 2 9 2" xfId="28095"/>
    <cellStyle name="Обычный 3 10 5 4 2 9 3" xfId="28096"/>
    <cellStyle name="Обычный 3 10 5 4 2 9 3 2" xfId="28097"/>
    <cellStyle name="Обычный 3 10 5 4 2 9 3 2 2" xfId="28098"/>
    <cellStyle name="Обычный 3 10 5 4 2 9 3 2 2 2" xfId="28099"/>
    <cellStyle name="Обычный 3 10 5 4 2 9 3 2 3" xfId="28100"/>
    <cellStyle name="Обычный 3 10 5 4 2 9 3 3" xfId="28101"/>
    <cellStyle name="Обычный 3 10 5 4 2 9 3 3 2" xfId="28102"/>
    <cellStyle name="Обычный 3 10 5 4 2 9 3 3 2 2" xfId="28103"/>
    <cellStyle name="Обычный 3 10 5 4 2 9 3 3 3" xfId="28104"/>
    <cellStyle name="Обычный 3 10 5 4 2 9 3 4" xfId="28105"/>
    <cellStyle name="Обычный 3 10 5 4 2 9 3 4 2" xfId="28106"/>
    <cellStyle name="Обычный 3 10 5 4 2 9 3 5" xfId="28107"/>
    <cellStyle name="Обычный 3 10 5 4 2 9 4" xfId="28108"/>
    <cellStyle name="Обычный 3 10 5 4 2 9 4 2" xfId="28109"/>
    <cellStyle name="Обычный 3 10 5 4 2 9 4 2 2" xfId="28110"/>
    <cellStyle name="Обычный 3 10 5 4 2 9 4 2 2 2" xfId="28111"/>
    <cellStyle name="Обычный 3 10 5 4 2 9 4 2 3" xfId="28112"/>
    <cellStyle name="Обычный 3 10 5 4 2 9 4 2 3 2" xfId="28113"/>
    <cellStyle name="Обычный 3 10 5 4 2 9 4 2 4" xfId="28114"/>
    <cellStyle name="Обычный 3 10 5 4 2 9 4 3" xfId="28115"/>
    <cellStyle name="Обычный 3 10 5 4 2 9 4 3 2" xfId="28116"/>
    <cellStyle name="Обычный 3 10 5 4 2 9 4 3 2 2" xfId="28117"/>
    <cellStyle name="Обычный 3 10 5 4 2 9 4 3 3" xfId="28118"/>
    <cellStyle name="Обычный 3 10 5 4 2 9 4 4" xfId="28119"/>
    <cellStyle name="Обычный 3 10 5 4 2 9 4 4 2" xfId="28120"/>
    <cellStyle name="Обычный 3 10 5 4 2 9 4 5" xfId="28121"/>
    <cellStyle name="Обычный 3 10 5 4 2 9 5" xfId="28122"/>
    <cellStyle name="Обычный 3 10 5 4 2 9 5 2" xfId="28123"/>
    <cellStyle name="Обычный 3 10 5 4 2 9 5 2 2" xfId="28124"/>
    <cellStyle name="Обычный 3 10 5 4 2 9 5 2 2 2" xfId="28125"/>
    <cellStyle name="Обычный 3 10 5 4 2 9 5 2 3" xfId="28126"/>
    <cellStyle name="Обычный 3 10 5 4 2 9 5 3" xfId="28127"/>
    <cellStyle name="Обычный 3 10 5 4 2 9 5 3 2" xfId="28128"/>
    <cellStyle name="Обычный 3 10 5 4 2 9 5 4" xfId="28129"/>
    <cellStyle name="Обычный 3 10 5 4 2 9 6" xfId="28130"/>
    <cellStyle name="Обычный 3 10 5 4 2 9 6 2" xfId="28131"/>
    <cellStyle name="Обычный 3 10 5 4 2 9 6 2 2" xfId="28132"/>
    <cellStyle name="Обычный 3 10 5 4 2 9 6 3" xfId="28133"/>
    <cellStyle name="Обычный 3 10 5 4 2 9 7" xfId="28134"/>
    <cellStyle name="Обычный 3 10 5 4 2 9 7 2" xfId="28135"/>
    <cellStyle name="Обычный 3 10 5 4 2 9 7 2 2" xfId="28136"/>
    <cellStyle name="Обычный 3 10 5 4 2 9 7 3" xfId="28137"/>
    <cellStyle name="Обычный 3 10 5 4 2 9 8" xfId="28138"/>
    <cellStyle name="Обычный 3 10 5 4 2 9 8 2" xfId="28139"/>
    <cellStyle name="Обычный 3 10 5 4 2 9 9" xfId="28140"/>
    <cellStyle name="Обычный 3 10 5 4 2 9 9 2" xfId="28141"/>
    <cellStyle name="Обычный 3 10 5 4 3" xfId="28142"/>
    <cellStyle name="Обычный 3 10 5 4 3 10" xfId="28143"/>
    <cellStyle name="Обычный 3 10 5 4 3 10 2" xfId="28144"/>
    <cellStyle name="Обычный 3 10 5 4 3 10 2 2" xfId="28145"/>
    <cellStyle name="Обычный 3 10 5 4 3 10 3" xfId="28146"/>
    <cellStyle name="Обычный 3 10 5 4 3 11" xfId="28147"/>
    <cellStyle name="Обычный 3 10 5 4 3 11 2" xfId="28148"/>
    <cellStyle name="Обычный 3 10 5 4 3 11 2 2" xfId="28149"/>
    <cellStyle name="Обычный 3 10 5 4 3 11 3" xfId="28150"/>
    <cellStyle name="Обычный 3 10 5 4 3 12" xfId="28151"/>
    <cellStyle name="Обычный 3 10 5 4 3 12 2" xfId="28152"/>
    <cellStyle name="Обычный 3 10 5 4 3 13" xfId="28153"/>
    <cellStyle name="Обычный 3 10 5 4 3 13 2" xfId="28154"/>
    <cellStyle name="Обычный 3 10 5 4 3 14" xfId="28155"/>
    <cellStyle name="Обычный 3 10 5 4 3 2" xfId="28156"/>
    <cellStyle name="Обычный 3 10 5 4 3 2 10" xfId="28157"/>
    <cellStyle name="Обычный 3 10 5 4 3 2 10 2" xfId="28158"/>
    <cellStyle name="Обычный 3 10 5 4 3 2 11" xfId="28159"/>
    <cellStyle name="Обычный 3 10 5 4 3 2 2" xfId="28160"/>
    <cellStyle name="Обычный 3 10 5 4 3 2 2 10" xfId="28161"/>
    <cellStyle name="Обычный 3 10 5 4 3 2 2 2" xfId="28162"/>
    <cellStyle name="Обычный 3 10 5 4 3 2 2 2 2" xfId="28163"/>
    <cellStyle name="Обычный 3 10 5 4 3 2 2 2 2 2" xfId="28164"/>
    <cellStyle name="Обычный 3 10 5 4 3 2 2 2 2 2 2" xfId="28165"/>
    <cellStyle name="Обычный 3 10 5 4 3 2 2 2 2 2 2 2" xfId="28166"/>
    <cellStyle name="Обычный 3 10 5 4 3 2 2 2 2 2 3" xfId="28167"/>
    <cellStyle name="Обычный 3 10 5 4 3 2 2 2 2 3" xfId="28168"/>
    <cellStyle name="Обычный 3 10 5 4 3 2 2 2 2 3 2" xfId="28169"/>
    <cellStyle name="Обычный 3 10 5 4 3 2 2 2 2 3 2 2" xfId="28170"/>
    <cellStyle name="Обычный 3 10 5 4 3 2 2 2 2 3 3" xfId="28171"/>
    <cellStyle name="Обычный 3 10 5 4 3 2 2 2 2 4" xfId="28172"/>
    <cellStyle name="Обычный 3 10 5 4 3 2 2 2 2 4 2" xfId="28173"/>
    <cellStyle name="Обычный 3 10 5 4 3 2 2 2 2 5" xfId="28174"/>
    <cellStyle name="Обычный 3 10 5 4 3 2 2 2 3" xfId="28175"/>
    <cellStyle name="Обычный 3 10 5 4 3 2 2 2 3 2" xfId="28176"/>
    <cellStyle name="Обычный 3 10 5 4 3 2 2 2 3 2 2" xfId="28177"/>
    <cellStyle name="Обычный 3 10 5 4 3 2 2 2 3 2 2 2" xfId="28178"/>
    <cellStyle name="Обычный 3 10 5 4 3 2 2 2 3 2 3" xfId="28179"/>
    <cellStyle name="Обычный 3 10 5 4 3 2 2 2 3 3" xfId="28180"/>
    <cellStyle name="Обычный 3 10 5 4 3 2 2 2 3 3 2" xfId="28181"/>
    <cellStyle name="Обычный 3 10 5 4 3 2 2 2 3 3 2 2" xfId="28182"/>
    <cellStyle name="Обычный 3 10 5 4 3 2 2 2 3 3 3" xfId="28183"/>
    <cellStyle name="Обычный 3 10 5 4 3 2 2 2 3 4" xfId="28184"/>
    <cellStyle name="Обычный 3 10 5 4 3 2 2 2 3 4 2" xfId="28185"/>
    <cellStyle name="Обычный 3 10 5 4 3 2 2 2 3 5" xfId="28186"/>
    <cellStyle name="Обычный 3 10 5 4 3 2 2 2 4" xfId="28187"/>
    <cellStyle name="Обычный 3 10 5 4 3 2 2 2 4 2" xfId="28188"/>
    <cellStyle name="Обычный 3 10 5 4 3 2 2 2 4 2 2" xfId="28189"/>
    <cellStyle name="Обычный 3 10 5 4 3 2 2 2 4 3" xfId="28190"/>
    <cellStyle name="Обычный 3 10 5 4 3 2 2 2 5" xfId="28191"/>
    <cellStyle name="Обычный 3 10 5 4 3 2 2 2 5 2" xfId="28192"/>
    <cellStyle name="Обычный 3 10 5 4 3 2 2 2 5 2 2" xfId="28193"/>
    <cellStyle name="Обычный 3 10 5 4 3 2 2 2 5 3" xfId="28194"/>
    <cellStyle name="Обычный 3 10 5 4 3 2 2 2 6" xfId="28195"/>
    <cellStyle name="Обычный 3 10 5 4 3 2 2 2 6 2" xfId="28196"/>
    <cellStyle name="Обычный 3 10 5 4 3 2 2 2 7" xfId="28197"/>
    <cellStyle name="Обычный 3 10 5 4 3 2 2 2 7 2" xfId="28198"/>
    <cellStyle name="Обычный 3 10 5 4 3 2 2 2 8" xfId="28199"/>
    <cellStyle name="Обычный 3 10 5 4 3 2 2 3" xfId="28200"/>
    <cellStyle name="Обычный 3 10 5 4 3 2 2 3 2" xfId="28201"/>
    <cellStyle name="Обычный 3 10 5 4 3 2 2 3 2 2" xfId="28202"/>
    <cellStyle name="Обычный 3 10 5 4 3 2 2 3 2 2 2" xfId="28203"/>
    <cellStyle name="Обычный 3 10 5 4 3 2 2 3 2 2 2 2" xfId="28204"/>
    <cellStyle name="Обычный 3 10 5 4 3 2 2 3 2 2 3" xfId="28205"/>
    <cellStyle name="Обычный 3 10 5 4 3 2 2 3 2 3" xfId="28206"/>
    <cellStyle name="Обычный 3 10 5 4 3 2 2 3 2 3 2" xfId="28207"/>
    <cellStyle name="Обычный 3 10 5 4 3 2 2 3 2 3 2 2" xfId="28208"/>
    <cellStyle name="Обычный 3 10 5 4 3 2 2 3 2 3 3" xfId="28209"/>
    <cellStyle name="Обычный 3 10 5 4 3 2 2 3 2 4" xfId="28210"/>
    <cellStyle name="Обычный 3 10 5 4 3 2 2 3 2 4 2" xfId="28211"/>
    <cellStyle name="Обычный 3 10 5 4 3 2 2 3 2 5" xfId="28212"/>
    <cellStyle name="Обычный 3 10 5 4 3 2 2 3 3" xfId="28213"/>
    <cellStyle name="Обычный 3 10 5 4 3 2 2 3 3 2" xfId="28214"/>
    <cellStyle name="Обычный 3 10 5 4 3 2 2 3 3 2 2" xfId="28215"/>
    <cellStyle name="Обычный 3 10 5 4 3 2 2 3 3 2 2 2" xfId="28216"/>
    <cellStyle name="Обычный 3 10 5 4 3 2 2 3 3 2 3" xfId="28217"/>
    <cellStyle name="Обычный 3 10 5 4 3 2 2 3 3 3" xfId="28218"/>
    <cellStyle name="Обычный 3 10 5 4 3 2 2 3 3 3 2" xfId="28219"/>
    <cellStyle name="Обычный 3 10 5 4 3 2 2 3 3 3 2 2" xfId="28220"/>
    <cellStyle name="Обычный 3 10 5 4 3 2 2 3 3 3 3" xfId="28221"/>
    <cellStyle name="Обычный 3 10 5 4 3 2 2 3 3 4" xfId="28222"/>
    <cellStyle name="Обычный 3 10 5 4 3 2 2 3 3 4 2" xfId="28223"/>
    <cellStyle name="Обычный 3 10 5 4 3 2 2 3 3 5" xfId="28224"/>
    <cellStyle name="Обычный 3 10 5 4 3 2 2 3 4" xfId="28225"/>
    <cellStyle name="Обычный 3 10 5 4 3 2 2 3 4 2" xfId="28226"/>
    <cellStyle name="Обычный 3 10 5 4 3 2 2 3 4 2 2" xfId="28227"/>
    <cellStyle name="Обычный 3 10 5 4 3 2 2 3 4 3" xfId="28228"/>
    <cellStyle name="Обычный 3 10 5 4 3 2 2 3 5" xfId="28229"/>
    <cellStyle name="Обычный 3 10 5 4 3 2 2 3 5 2" xfId="28230"/>
    <cellStyle name="Обычный 3 10 5 4 3 2 2 3 5 2 2" xfId="28231"/>
    <cellStyle name="Обычный 3 10 5 4 3 2 2 3 5 3" xfId="28232"/>
    <cellStyle name="Обычный 3 10 5 4 3 2 2 3 6" xfId="28233"/>
    <cellStyle name="Обычный 3 10 5 4 3 2 2 3 6 2" xfId="28234"/>
    <cellStyle name="Обычный 3 10 5 4 3 2 2 3 7" xfId="28235"/>
    <cellStyle name="Обычный 3 10 5 4 3 2 2 3 7 2" xfId="28236"/>
    <cellStyle name="Обычный 3 10 5 4 3 2 2 3 8" xfId="28237"/>
    <cellStyle name="Обычный 3 10 5 4 3 2 2 4" xfId="28238"/>
    <cellStyle name="Обычный 3 10 5 4 3 2 2 4 2" xfId="28239"/>
    <cellStyle name="Обычный 3 10 5 4 3 2 2 4 2 2" xfId="28240"/>
    <cellStyle name="Обычный 3 10 5 4 3 2 2 4 2 2 2" xfId="28241"/>
    <cellStyle name="Обычный 3 10 5 4 3 2 2 4 2 3" xfId="28242"/>
    <cellStyle name="Обычный 3 10 5 4 3 2 2 4 3" xfId="28243"/>
    <cellStyle name="Обычный 3 10 5 4 3 2 2 4 3 2" xfId="28244"/>
    <cellStyle name="Обычный 3 10 5 4 3 2 2 4 3 2 2" xfId="28245"/>
    <cellStyle name="Обычный 3 10 5 4 3 2 2 4 3 3" xfId="28246"/>
    <cellStyle name="Обычный 3 10 5 4 3 2 2 4 4" xfId="28247"/>
    <cellStyle name="Обычный 3 10 5 4 3 2 2 4 4 2" xfId="28248"/>
    <cellStyle name="Обычный 3 10 5 4 3 2 2 4 5" xfId="28249"/>
    <cellStyle name="Обычный 3 10 5 4 3 2 2 4 5 2" xfId="28250"/>
    <cellStyle name="Обычный 3 10 5 4 3 2 2 4 6" xfId="28251"/>
    <cellStyle name="Обычный 3 10 5 4 3 2 2 5" xfId="28252"/>
    <cellStyle name="Обычный 3 10 5 4 3 2 2 5 2" xfId="28253"/>
    <cellStyle name="Обычный 3 10 5 4 3 2 2 5 2 2" xfId="28254"/>
    <cellStyle name="Обычный 3 10 5 4 3 2 2 5 2 2 2" xfId="28255"/>
    <cellStyle name="Обычный 3 10 5 4 3 2 2 5 2 3" xfId="28256"/>
    <cellStyle name="Обычный 3 10 5 4 3 2 2 5 3" xfId="28257"/>
    <cellStyle name="Обычный 3 10 5 4 3 2 2 5 3 2" xfId="28258"/>
    <cellStyle name="Обычный 3 10 5 4 3 2 2 5 3 2 2" xfId="28259"/>
    <cellStyle name="Обычный 3 10 5 4 3 2 2 5 3 3" xfId="28260"/>
    <cellStyle name="Обычный 3 10 5 4 3 2 2 5 4" xfId="28261"/>
    <cellStyle name="Обычный 3 10 5 4 3 2 2 5 4 2" xfId="28262"/>
    <cellStyle name="Обычный 3 10 5 4 3 2 2 5 5" xfId="28263"/>
    <cellStyle name="Обычный 3 10 5 4 3 2 2 6" xfId="28264"/>
    <cellStyle name="Обычный 3 10 5 4 3 2 2 6 2" xfId="28265"/>
    <cellStyle name="Обычный 3 10 5 4 3 2 2 6 2 2" xfId="28266"/>
    <cellStyle name="Обычный 3 10 5 4 3 2 2 6 3" xfId="28267"/>
    <cellStyle name="Обычный 3 10 5 4 3 2 2 7" xfId="28268"/>
    <cellStyle name="Обычный 3 10 5 4 3 2 2 7 2" xfId="28269"/>
    <cellStyle name="Обычный 3 10 5 4 3 2 2 7 2 2" xfId="28270"/>
    <cellStyle name="Обычный 3 10 5 4 3 2 2 7 3" xfId="28271"/>
    <cellStyle name="Обычный 3 10 5 4 3 2 2 8" xfId="28272"/>
    <cellStyle name="Обычный 3 10 5 4 3 2 2 8 2" xfId="28273"/>
    <cellStyle name="Обычный 3 10 5 4 3 2 2 9" xfId="28274"/>
    <cellStyle name="Обычный 3 10 5 4 3 2 2 9 2" xfId="28275"/>
    <cellStyle name="Обычный 3 10 5 4 3 2 3" xfId="28276"/>
    <cellStyle name="Обычный 3 10 5 4 3 2 3 2" xfId="28277"/>
    <cellStyle name="Обычный 3 10 5 4 3 2 3 2 2" xfId="28278"/>
    <cellStyle name="Обычный 3 10 5 4 3 2 3 2 2 2" xfId="28279"/>
    <cellStyle name="Обычный 3 10 5 4 3 2 3 2 2 2 2" xfId="28280"/>
    <cellStyle name="Обычный 3 10 5 4 3 2 3 2 2 2 2 2" xfId="28281"/>
    <cellStyle name="Обычный 3 10 5 4 3 2 3 2 2 2 3" xfId="28282"/>
    <cellStyle name="Обычный 3 10 5 4 3 2 3 2 2 3" xfId="28283"/>
    <cellStyle name="Обычный 3 10 5 4 3 2 3 2 2 3 2" xfId="28284"/>
    <cellStyle name="Обычный 3 10 5 4 3 2 3 2 2 3 2 2" xfId="28285"/>
    <cellStyle name="Обычный 3 10 5 4 3 2 3 2 2 3 3" xfId="28286"/>
    <cellStyle name="Обычный 3 10 5 4 3 2 3 2 2 4" xfId="28287"/>
    <cellStyle name="Обычный 3 10 5 4 3 2 3 2 2 4 2" xfId="28288"/>
    <cellStyle name="Обычный 3 10 5 4 3 2 3 2 2 5" xfId="28289"/>
    <cellStyle name="Обычный 3 10 5 4 3 2 3 2 3" xfId="28290"/>
    <cellStyle name="Обычный 3 10 5 4 3 2 3 2 3 2" xfId="28291"/>
    <cellStyle name="Обычный 3 10 5 4 3 2 3 2 3 2 2" xfId="28292"/>
    <cellStyle name="Обычный 3 10 5 4 3 2 3 2 3 2 2 2" xfId="28293"/>
    <cellStyle name="Обычный 3 10 5 4 3 2 3 2 3 2 3" xfId="28294"/>
    <cellStyle name="Обычный 3 10 5 4 3 2 3 2 3 3" xfId="28295"/>
    <cellStyle name="Обычный 3 10 5 4 3 2 3 2 3 3 2" xfId="28296"/>
    <cellStyle name="Обычный 3 10 5 4 3 2 3 2 3 3 2 2" xfId="28297"/>
    <cellStyle name="Обычный 3 10 5 4 3 2 3 2 3 3 3" xfId="28298"/>
    <cellStyle name="Обычный 3 10 5 4 3 2 3 2 3 4" xfId="28299"/>
    <cellStyle name="Обычный 3 10 5 4 3 2 3 2 3 4 2" xfId="28300"/>
    <cellStyle name="Обычный 3 10 5 4 3 2 3 2 3 5" xfId="28301"/>
    <cellStyle name="Обычный 3 10 5 4 3 2 3 2 4" xfId="28302"/>
    <cellStyle name="Обычный 3 10 5 4 3 2 3 2 4 2" xfId="28303"/>
    <cellStyle name="Обычный 3 10 5 4 3 2 3 2 4 2 2" xfId="28304"/>
    <cellStyle name="Обычный 3 10 5 4 3 2 3 2 4 3" xfId="28305"/>
    <cellStyle name="Обычный 3 10 5 4 3 2 3 2 5" xfId="28306"/>
    <cellStyle name="Обычный 3 10 5 4 3 2 3 2 5 2" xfId="28307"/>
    <cellStyle name="Обычный 3 10 5 4 3 2 3 2 5 2 2" xfId="28308"/>
    <cellStyle name="Обычный 3 10 5 4 3 2 3 2 5 3" xfId="28309"/>
    <cellStyle name="Обычный 3 10 5 4 3 2 3 2 6" xfId="28310"/>
    <cellStyle name="Обычный 3 10 5 4 3 2 3 2 6 2" xfId="28311"/>
    <cellStyle name="Обычный 3 10 5 4 3 2 3 2 7" xfId="28312"/>
    <cellStyle name="Обычный 3 10 5 4 3 2 3 2 7 2" xfId="28313"/>
    <cellStyle name="Обычный 3 10 5 4 3 2 3 2 8" xfId="28314"/>
    <cellStyle name="Обычный 3 10 5 4 3 2 3 3" xfId="28315"/>
    <cellStyle name="Обычный 3 10 5 4 3 2 3 3 2" xfId="28316"/>
    <cellStyle name="Обычный 3 10 5 4 3 2 3 3 2 2" xfId="28317"/>
    <cellStyle name="Обычный 3 10 5 4 3 2 3 3 2 2 2" xfId="28318"/>
    <cellStyle name="Обычный 3 10 5 4 3 2 3 3 2 3" xfId="28319"/>
    <cellStyle name="Обычный 3 10 5 4 3 2 3 3 3" xfId="28320"/>
    <cellStyle name="Обычный 3 10 5 4 3 2 3 3 3 2" xfId="28321"/>
    <cellStyle name="Обычный 3 10 5 4 3 2 3 3 3 2 2" xfId="28322"/>
    <cellStyle name="Обычный 3 10 5 4 3 2 3 3 3 3" xfId="28323"/>
    <cellStyle name="Обычный 3 10 5 4 3 2 3 3 4" xfId="28324"/>
    <cellStyle name="Обычный 3 10 5 4 3 2 3 3 4 2" xfId="28325"/>
    <cellStyle name="Обычный 3 10 5 4 3 2 3 3 5" xfId="28326"/>
    <cellStyle name="Обычный 3 10 5 4 3 2 3 3 5 2" xfId="28327"/>
    <cellStyle name="Обычный 3 10 5 4 3 2 3 3 6" xfId="28328"/>
    <cellStyle name="Обычный 3 10 5 4 3 2 3 4" xfId="28329"/>
    <cellStyle name="Обычный 3 10 5 4 3 2 3 4 2" xfId="28330"/>
    <cellStyle name="Обычный 3 10 5 4 3 2 3 4 2 2" xfId="28331"/>
    <cellStyle name="Обычный 3 10 5 4 3 2 3 4 2 2 2" xfId="28332"/>
    <cellStyle name="Обычный 3 10 5 4 3 2 3 4 2 3" xfId="28333"/>
    <cellStyle name="Обычный 3 10 5 4 3 2 3 4 3" xfId="28334"/>
    <cellStyle name="Обычный 3 10 5 4 3 2 3 4 3 2" xfId="28335"/>
    <cellStyle name="Обычный 3 10 5 4 3 2 3 4 3 2 2" xfId="28336"/>
    <cellStyle name="Обычный 3 10 5 4 3 2 3 4 3 3" xfId="28337"/>
    <cellStyle name="Обычный 3 10 5 4 3 2 3 4 4" xfId="28338"/>
    <cellStyle name="Обычный 3 10 5 4 3 2 3 4 4 2" xfId="28339"/>
    <cellStyle name="Обычный 3 10 5 4 3 2 3 4 5" xfId="28340"/>
    <cellStyle name="Обычный 3 10 5 4 3 2 3 5" xfId="28341"/>
    <cellStyle name="Обычный 3 10 5 4 3 2 3 5 2" xfId="28342"/>
    <cellStyle name="Обычный 3 10 5 4 3 2 3 5 2 2" xfId="28343"/>
    <cellStyle name="Обычный 3 10 5 4 3 2 3 5 3" xfId="28344"/>
    <cellStyle name="Обычный 3 10 5 4 3 2 3 6" xfId="28345"/>
    <cellStyle name="Обычный 3 10 5 4 3 2 3 6 2" xfId="28346"/>
    <cellStyle name="Обычный 3 10 5 4 3 2 3 6 2 2" xfId="28347"/>
    <cellStyle name="Обычный 3 10 5 4 3 2 3 6 3" xfId="28348"/>
    <cellStyle name="Обычный 3 10 5 4 3 2 3 7" xfId="28349"/>
    <cellStyle name="Обычный 3 10 5 4 3 2 3 7 2" xfId="28350"/>
    <cellStyle name="Обычный 3 10 5 4 3 2 3 8" xfId="28351"/>
    <cellStyle name="Обычный 3 10 5 4 3 2 3 8 2" xfId="28352"/>
    <cellStyle name="Обычный 3 10 5 4 3 2 3 9" xfId="28353"/>
    <cellStyle name="Обычный 3 10 5 4 3 2 4" xfId="28354"/>
    <cellStyle name="Обычный 3 10 5 4 3 2 4 2" xfId="28355"/>
    <cellStyle name="Обычный 3 10 5 4 3 2 4 2 2" xfId="28356"/>
    <cellStyle name="Обычный 3 10 5 4 3 2 4 2 2 2" xfId="28357"/>
    <cellStyle name="Обычный 3 10 5 4 3 2 4 2 2 2 2" xfId="28358"/>
    <cellStyle name="Обычный 3 10 5 4 3 2 4 2 2 3" xfId="28359"/>
    <cellStyle name="Обычный 3 10 5 4 3 2 4 2 3" xfId="28360"/>
    <cellStyle name="Обычный 3 10 5 4 3 2 4 2 3 2" xfId="28361"/>
    <cellStyle name="Обычный 3 10 5 4 3 2 4 2 3 2 2" xfId="28362"/>
    <cellStyle name="Обычный 3 10 5 4 3 2 4 2 3 3" xfId="28363"/>
    <cellStyle name="Обычный 3 10 5 4 3 2 4 2 4" xfId="28364"/>
    <cellStyle name="Обычный 3 10 5 4 3 2 4 2 4 2" xfId="28365"/>
    <cellStyle name="Обычный 3 10 5 4 3 2 4 2 5" xfId="28366"/>
    <cellStyle name="Обычный 3 10 5 4 3 2 4 3" xfId="28367"/>
    <cellStyle name="Обычный 3 10 5 4 3 2 4 3 2" xfId="28368"/>
    <cellStyle name="Обычный 3 10 5 4 3 2 4 3 2 2" xfId="28369"/>
    <cellStyle name="Обычный 3 10 5 4 3 2 4 3 2 2 2" xfId="28370"/>
    <cellStyle name="Обычный 3 10 5 4 3 2 4 3 2 3" xfId="28371"/>
    <cellStyle name="Обычный 3 10 5 4 3 2 4 3 3" xfId="28372"/>
    <cellStyle name="Обычный 3 10 5 4 3 2 4 3 3 2" xfId="28373"/>
    <cellStyle name="Обычный 3 10 5 4 3 2 4 3 3 2 2" xfId="28374"/>
    <cellStyle name="Обычный 3 10 5 4 3 2 4 3 3 3" xfId="28375"/>
    <cellStyle name="Обычный 3 10 5 4 3 2 4 3 4" xfId="28376"/>
    <cellStyle name="Обычный 3 10 5 4 3 2 4 3 4 2" xfId="28377"/>
    <cellStyle name="Обычный 3 10 5 4 3 2 4 3 5" xfId="28378"/>
    <cellStyle name="Обычный 3 10 5 4 3 2 4 4" xfId="28379"/>
    <cellStyle name="Обычный 3 10 5 4 3 2 4 4 2" xfId="28380"/>
    <cellStyle name="Обычный 3 10 5 4 3 2 4 4 2 2" xfId="28381"/>
    <cellStyle name="Обычный 3 10 5 4 3 2 4 4 3" xfId="28382"/>
    <cellStyle name="Обычный 3 10 5 4 3 2 4 5" xfId="28383"/>
    <cellStyle name="Обычный 3 10 5 4 3 2 4 5 2" xfId="28384"/>
    <cellStyle name="Обычный 3 10 5 4 3 2 4 5 2 2" xfId="28385"/>
    <cellStyle name="Обычный 3 10 5 4 3 2 4 5 3" xfId="28386"/>
    <cellStyle name="Обычный 3 10 5 4 3 2 4 6" xfId="28387"/>
    <cellStyle name="Обычный 3 10 5 4 3 2 4 6 2" xfId="28388"/>
    <cellStyle name="Обычный 3 10 5 4 3 2 4 7" xfId="28389"/>
    <cellStyle name="Обычный 3 10 5 4 3 2 4 7 2" xfId="28390"/>
    <cellStyle name="Обычный 3 10 5 4 3 2 4 8" xfId="28391"/>
    <cellStyle name="Обычный 3 10 5 4 3 2 5" xfId="28392"/>
    <cellStyle name="Обычный 3 10 5 4 3 2 5 2" xfId="28393"/>
    <cellStyle name="Обычный 3 10 5 4 3 2 5 2 2" xfId="28394"/>
    <cellStyle name="Обычный 3 10 5 4 3 2 5 2 2 2" xfId="28395"/>
    <cellStyle name="Обычный 3 10 5 4 3 2 5 2 3" xfId="28396"/>
    <cellStyle name="Обычный 3 10 5 4 3 2 5 3" xfId="28397"/>
    <cellStyle name="Обычный 3 10 5 4 3 2 5 3 2" xfId="28398"/>
    <cellStyle name="Обычный 3 10 5 4 3 2 5 3 2 2" xfId="28399"/>
    <cellStyle name="Обычный 3 10 5 4 3 2 5 3 3" xfId="28400"/>
    <cellStyle name="Обычный 3 10 5 4 3 2 5 4" xfId="28401"/>
    <cellStyle name="Обычный 3 10 5 4 3 2 5 4 2" xfId="28402"/>
    <cellStyle name="Обычный 3 10 5 4 3 2 5 5" xfId="28403"/>
    <cellStyle name="Обычный 3 10 5 4 3 2 5 5 2" xfId="28404"/>
    <cellStyle name="Обычный 3 10 5 4 3 2 5 6" xfId="28405"/>
    <cellStyle name="Обычный 3 10 5 4 3 2 6" xfId="28406"/>
    <cellStyle name="Обычный 3 10 5 4 3 2 6 2" xfId="28407"/>
    <cellStyle name="Обычный 3 10 5 4 3 2 6 2 2" xfId="28408"/>
    <cellStyle name="Обычный 3 10 5 4 3 2 6 2 2 2" xfId="28409"/>
    <cellStyle name="Обычный 3 10 5 4 3 2 6 2 3" xfId="28410"/>
    <cellStyle name="Обычный 3 10 5 4 3 2 6 3" xfId="28411"/>
    <cellStyle name="Обычный 3 10 5 4 3 2 6 3 2" xfId="28412"/>
    <cellStyle name="Обычный 3 10 5 4 3 2 6 3 2 2" xfId="28413"/>
    <cellStyle name="Обычный 3 10 5 4 3 2 6 3 3" xfId="28414"/>
    <cellStyle name="Обычный 3 10 5 4 3 2 6 4" xfId="28415"/>
    <cellStyle name="Обычный 3 10 5 4 3 2 6 4 2" xfId="28416"/>
    <cellStyle name="Обычный 3 10 5 4 3 2 6 5" xfId="28417"/>
    <cellStyle name="Обычный 3 10 5 4 3 2 6 5 2" xfId="28418"/>
    <cellStyle name="Обычный 3 10 5 4 3 2 6 6" xfId="28419"/>
    <cellStyle name="Обычный 3 10 5 4 3 2 7" xfId="28420"/>
    <cellStyle name="Обычный 3 10 5 4 3 2 7 2" xfId="28421"/>
    <cellStyle name="Обычный 3 10 5 4 3 2 7 2 2" xfId="28422"/>
    <cellStyle name="Обычный 3 10 5 4 3 2 7 3" xfId="28423"/>
    <cellStyle name="Обычный 3 10 5 4 3 2 8" xfId="28424"/>
    <cellStyle name="Обычный 3 10 5 4 3 2 8 2" xfId="28425"/>
    <cellStyle name="Обычный 3 10 5 4 3 2 8 2 2" xfId="28426"/>
    <cellStyle name="Обычный 3 10 5 4 3 2 8 3" xfId="28427"/>
    <cellStyle name="Обычный 3 10 5 4 3 2 9" xfId="28428"/>
    <cellStyle name="Обычный 3 10 5 4 3 2 9 2" xfId="28429"/>
    <cellStyle name="Обычный 3 10 5 4 3 3" xfId="28430"/>
    <cellStyle name="Обычный 3 10 5 4 3 3 2" xfId="28431"/>
    <cellStyle name="Обычный 3 10 5 4 3 3 2 2" xfId="28432"/>
    <cellStyle name="Обычный 3 10 5 4 3 3 2 2 2" xfId="28433"/>
    <cellStyle name="Обычный 3 10 5 4 3 3 2 2 2 2" xfId="28434"/>
    <cellStyle name="Обычный 3 10 5 4 3 3 2 2 2 2 2" xfId="28435"/>
    <cellStyle name="Обычный 3 10 5 4 3 3 2 2 2 3" xfId="28436"/>
    <cellStyle name="Обычный 3 10 5 4 3 3 2 2 3" xfId="28437"/>
    <cellStyle name="Обычный 3 10 5 4 3 3 2 2 3 2" xfId="28438"/>
    <cellStyle name="Обычный 3 10 5 4 3 3 2 2 3 2 2" xfId="28439"/>
    <cellStyle name="Обычный 3 10 5 4 3 3 2 2 3 3" xfId="28440"/>
    <cellStyle name="Обычный 3 10 5 4 3 3 2 2 4" xfId="28441"/>
    <cellStyle name="Обычный 3 10 5 4 3 3 2 2 4 2" xfId="28442"/>
    <cellStyle name="Обычный 3 10 5 4 3 3 2 2 5" xfId="28443"/>
    <cellStyle name="Обычный 3 10 5 4 3 3 2 2 5 2" xfId="28444"/>
    <cellStyle name="Обычный 3 10 5 4 3 3 2 2 6" xfId="28445"/>
    <cellStyle name="Обычный 3 10 5 4 3 3 2 3" xfId="28446"/>
    <cellStyle name="Обычный 3 10 5 4 3 3 2 3 2" xfId="28447"/>
    <cellStyle name="Обычный 3 10 5 4 3 3 2 3 2 2" xfId="28448"/>
    <cellStyle name="Обычный 3 10 5 4 3 3 2 3 2 2 2" xfId="28449"/>
    <cellStyle name="Обычный 3 10 5 4 3 3 2 3 2 3" xfId="28450"/>
    <cellStyle name="Обычный 3 10 5 4 3 3 2 3 3" xfId="28451"/>
    <cellStyle name="Обычный 3 10 5 4 3 3 2 3 3 2" xfId="28452"/>
    <cellStyle name="Обычный 3 10 5 4 3 3 2 3 3 2 2" xfId="28453"/>
    <cellStyle name="Обычный 3 10 5 4 3 3 2 3 3 3" xfId="28454"/>
    <cellStyle name="Обычный 3 10 5 4 3 3 2 3 4" xfId="28455"/>
    <cellStyle name="Обычный 3 10 5 4 3 3 2 3 4 2" xfId="28456"/>
    <cellStyle name="Обычный 3 10 5 4 3 3 2 3 5" xfId="28457"/>
    <cellStyle name="Обычный 3 10 5 4 3 3 2 4" xfId="28458"/>
    <cellStyle name="Обычный 3 10 5 4 3 3 2 4 2" xfId="28459"/>
    <cellStyle name="Обычный 3 10 5 4 3 3 2 4 2 2" xfId="28460"/>
    <cellStyle name="Обычный 3 10 5 4 3 3 2 4 3" xfId="28461"/>
    <cellStyle name="Обычный 3 10 5 4 3 3 2 5" xfId="28462"/>
    <cellStyle name="Обычный 3 10 5 4 3 3 2 5 2" xfId="28463"/>
    <cellStyle name="Обычный 3 10 5 4 3 3 2 5 2 2" xfId="28464"/>
    <cellStyle name="Обычный 3 10 5 4 3 3 2 5 3" xfId="28465"/>
    <cellStyle name="Обычный 3 10 5 4 3 3 2 6" xfId="28466"/>
    <cellStyle name="Обычный 3 10 5 4 3 3 2 6 2" xfId="28467"/>
    <cellStyle name="Обычный 3 10 5 4 3 3 2 7" xfId="28468"/>
    <cellStyle name="Обычный 3 10 5 4 3 3 2 7 2" xfId="28469"/>
    <cellStyle name="Обычный 3 10 5 4 3 3 2 8" xfId="28470"/>
    <cellStyle name="Обычный 3 10 5 4 3 3 3" xfId="28471"/>
    <cellStyle name="Обычный 3 10 5 4 3 3 3 2" xfId="28472"/>
    <cellStyle name="Обычный 3 10 5 4 3 3 3 2 2" xfId="28473"/>
    <cellStyle name="Обычный 3 10 5 4 3 3 3 2 2 2" xfId="28474"/>
    <cellStyle name="Обычный 3 10 5 4 3 3 3 2 3" xfId="28475"/>
    <cellStyle name="Обычный 3 10 5 4 3 3 3 3" xfId="28476"/>
    <cellStyle name="Обычный 3 10 5 4 3 3 3 3 2" xfId="28477"/>
    <cellStyle name="Обычный 3 10 5 4 3 3 3 3 2 2" xfId="28478"/>
    <cellStyle name="Обычный 3 10 5 4 3 3 3 3 3" xfId="28479"/>
    <cellStyle name="Обычный 3 10 5 4 3 3 3 4" xfId="28480"/>
    <cellStyle name="Обычный 3 10 5 4 3 3 3 4 2" xfId="28481"/>
    <cellStyle name="Обычный 3 10 5 4 3 3 3 5" xfId="28482"/>
    <cellStyle name="Обычный 3 10 5 4 3 3 3 5 2" xfId="28483"/>
    <cellStyle name="Обычный 3 10 5 4 3 3 3 6" xfId="28484"/>
    <cellStyle name="Обычный 3 10 5 4 3 3 4" xfId="28485"/>
    <cellStyle name="Обычный 3 10 5 4 3 3 4 2" xfId="28486"/>
    <cellStyle name="Обычный 3 10 5 4 3 3 4 2 2" xfId="28487"/>
    <cellStyle name="Обычный 3 10 5 4 3 3 4 2 2 2" xfId="28488"/>
    <cellStyle name="Обычный 3 10 5 4 3 3 4 2 3" xfId="28489"/>
    <cellStyle name="Обычный 3 10 5 4 3 3 4 3" xfId="28490"/>
    <cellStyle name="Обычный 3 10 5 4 3 3 4 3 2" xfId="28491"/>
    <cellStyle name="Обычный 3 10 5 4 3 3 4 3 2 2" xfId="28492"/>
    <cellStyle name="Обычный 3 10 5 4 3 3 4 3 3" xfId="28493"/>
    <cellStyle name="Обычный 3 10 5 4 3 3 4 4" xfId="28494"/>
    <cellStyle name="Обычный 3 10 5 4 3 3 4 4 2" xfId="28495"/>
    <cellStyle name="Обычный 3 10 5 4 3 3 4 5" xfId="28496"/>
    <cellStyle name="Обычный 3 10 5 4 3 3 4 5 2" xfId="28497"/>
    <cellStyle name="Обычный 3 10 5 4 3 3 4 6" xfId="28498"/>
    <cellStyle name="Обычный 3 10 5 4 3 3 5" xfId="28499"/>
    <cellStyle name="Обычный 3 10 5 4 3 3 5 2" xfId="28500"/>
    <cellStyle name="Обычный 3 10 5 4 3 3 5 2 2" xfId="28501"/>
    <cellStyle name="Обычный 3 10 5 4 3 3 5 3" xfId="28502"/>
    <cellStyle name="Обычный 3 10 5 4 3 3 6" xfId="28503"/>
    <cellStyle name="Обычный 3 10 5 4 3 3 6 2" xfId="28504"/>
    <cellStyle name="Обычный 3 10 5 4 3 3 6 2 2" xfId="28505"/>
    <cellStyle name="Обычный 3 10 5 4 3 3 6 3" xfId="28506"/>
    <cellStyle name="Обычный 3 10 5 4 3 3 7" xfId="28507"/>
    <cellStyle name="Обычный 3 10 5 4 3 3 7 2" xfId="28508"/>
    <cellStyle name="Обычный 3 10 5 4 3 3 8" xfId="28509"/>
    <cellStyle name="Обычный 3 10 5 4 3 3 8 2" xfId="28510"/>
    <cellStyle name="Обычный 3 10 5 4 3 3 9" xfId="28511"/>
    <cellStyle name="Обычный 3 10 5 4 3 4" xfId="28512"/>
    <cellStyle name="Обычный 3 10 5 4 3 4 10" xfId="28513"/>
    <cellStyle name="Обычный 3 10 5 4 3 4 10 2" xfId="28514"/>
    <cellStyle name="Обычный 3 10 5 4 3 4 11" xfId="28515"/>
    <cellStyle name="Обычный 3 10 5 4 3 4 11 2" xfId="28516"/>
    <cellStyle name="Обычный 3 10 5 4 3 4 12" xfId="28517"/>
    <cellStyle name="Обычный 3 10 5 4 3 4 2" xfId="28518"/>
    <cellStyle name="Обычный 3 10 5 4 3 4 2 2" xfId="28519"/>
    <cellStyle name="Обычный 3 10 5 4 3 4 2 2 2" xfId="28520"/>
    <cellStyle name="Обычный 3 10 5 4 3 4 2 2 2 2" xfId="28521"/>
    <cellStyle name="Обычный 3 10 5 4 3 4 2 2 2 2 2" xfId="28522"/>
    <cellStyle name="Обычный 3 10 5 4 3 4 2 2 2 2 2 2" xfId="28523"/>
    <cellStyle name="Обычный 3 10 5 4 3 4 2 2 2 2 3" xfId="28524"/>
    <cellStyle name="Обычный 3 10 5 4 3 4 2 2 2 3" xfId="28525"/>
    <cellStyle name="Обычный 3 10 5 4 3 4 2 2 2 3 2" xfId="28526"/>
    <cellStyle name="Обычный 3 10 5 4 3 4 2 2 2 3 2 2" xfId="28527"/>
    <cellStyle name="Обычный 3 10 5 4 3 4 2 2 2 3 3" xfId="28528"/>
    <cellStyle name="Обычный 3 10 5 4 3 4 2 2 2 4" xfId="28529"/>
    <cellStyle name="Обычный 3 10 5 4 3 4 2 2 2 4 2" xfId="28530"/>
    <cellStyle name="Обычный 3 10 5 4 3 4 2 2 2 5" xfId="28531"/>
    <cellStyle name="Обычный 3 10 5 4 3 4 2 2 2 5 2" xfId="28532"/>
    <cellStyle name="Обычный 3 10 5 4 3 4 2 2 2 6" xfId="28533"/>
    <cellStyle name="Обычный 3 10 5 4 3 4 2 2 3" xfId="28534"/>
    <cellStyle name="Обычный 3 10 5 4 3 4 2 2 3 2" xfId="28535"/>
    <cellStyle name="Обычный 3 10 5 4 3 4 2 2 3 2 2" xfId="28536"/>
    <cellStyle name="Обычный 3 10 5 4 3 4 2 2 3 2 2 2" xfId="28537"/>
    <cellStyle name="Обычный 3 10 5 4 3 4 2 2 3 2 3" xfId="28538"/>
    <cellStyle name="Обычный 3 10 5 4 3 4 2 2 3 3" xfId="28539"/>
    <cellStyle name="Обычный 3 10 5 4 3 4 2 2 3 3 2" xfId="28540"/>
    <cellStyle name="Обычный 3 10 5 4 3 4 2 2 3 3 2 2" xfId="28541"/>
    <cellStyle name="Обычный 3 10 5 4 3 4 2 2 3 3 3" xfId="28542"/>
    <cellStyle name="Обычный 3 10 5 4 3 4 2 2 3 4" xfId="28543"/>
    <cellStyle name="Обычный 3 10 5 4 3 4 2 2 3 4 2" xfId="28544"/>
    <cellStyle name="Обычный 3 10 5 4 3 4 2 2 3 5" xfId="28545"/>
    <cellStyle name="Обычный 3 10 5 4 3 4 2 2 4" xfId="28546"/>
    <cellStyle name="Обычный 3 10 5 4 3 4 2 2 4 2" xfId="28547"/>
    <cellStyle name="Обычный 3 10 5 4 3 4 2 2 4 2 2" xfId="28548"/>
    <cellStyle name="Обычный 3 10 5 4 3 4 2 2 4 3" xfId="28549"/>
    <cellStyle name="Обычный 3 10 5 4 3 4 2 2 5" xfId="28550"/>
    <cellStyle name="Обычный 3 10 5 4 3 4 2 2 5 2" xfId="28551"/>
    <cellStyle name="Обычный 3 10 5 4 3 4 2 2 5 2 2" xfId="28552"/>
    <cellStyle name="Обычный 3 10 5 4 3 4 2 2 5 3" xfId="28553"/>
    <cellStyle name="Обычный 3 10 5 4 3 4 2 2 6" xfId="28554"/>
    <cellStyle name="Обычный 3 10 5 4 3 4 2 2 6 2" xfId="28555"/>
    <cellStyle name="Обычный 3 10 5 4 3 4 2 2 7" xfId="28556"/>
    <cellStyle name="Обычный 3 10 5 4 3 4 2 2 7 2" xfId="28557"/>
    <cellStyle name="Обычный 3 10 5 4 3 4 2 2 8" xfId="28558"/>
    <cellStyle name="Обычный 3 10 5 4 3 4 2 3" xfId="28559"/>
    <cellStyle name="Обычный 3 10 5 4 3 4 2 3 2" xfId="28560"/>
    <cellStyle name="Обычный 3 10 5 4 3 4 2 3 2 2" xfId="28561"/>
    <cellStyle name="Обычный 3 10 5 4 3 4 2 3 2 2 2" xfId="28562"/>
    <cellStyle name="Обычный 3 10 5 4 3 4 2 3 2 3" xfId="28563"/>
    <cellStyle name="Обычный 3 10 5 4 3 4 2 3 3" xfId="28564"/>
    <cellStyle name="Обычный 3 10 5 4 3 4 2 3 3 2" xfId="28565"/>
    <cellStyle name="Обычный 3 10 5 4 3 4 2 3 3 2 2" xfId="28566"/>
    <cellStyle name="Обычный 3 10 5 4 3 4 2 3 3 3" xfId="28567"/>
    <cellStyle name="Обычный 3 10 5 4 3 4 2 3 4" xfId="28568"/>
    <cellStyle name="Обычный 3 10 5 4 3 4 2 3 4 2" xfId="28569"/>
    <cellStyle name="Обычный 3 10 5 4 3 4 2 3 5" xfId="28570"/>
    <cellStyle name="Обычный 3 10 5 4 3 4 2 3 5 2" xfId="28571"/>
    <cellStyle name="Обычный 3 10 5 4 3 4 2 3 6" xfId="28572"/>
    <cellStyle name="Обычный 3 10 5 4 3 4 2 4" xfId="28573"/>
    <cellStyle name="Обычный 3 10 5 4 3 4 2 4 2" xfId="28574"/>
    <cellStyle name="Обычный 3 10 5 4 3 4 2 4 2 2" xfId="28575"/>
    <cellStyle name="Обычный 3 10 5 4 3 4 2 4 2 2 2" xfId="28576"/>
    <cellStyle name="Обычный 3 10 5 4 3 4 2 4 2 3" xfId="28577"/>
    <cellStyle name="Обычный 3 10 5 4 3 4 2 4 3" xfId="28578"/>
    <cellStyle name="Обычный 3 10 5 4 3 4 2 4 3 2" xfId="28579"/>
    <cellStyle name="Обычный 3 10 5 4 3 4 2 4 3 2 2" xfId="28580"/>
    <cellStyle name="Обычный 3 10 5 4 3 4 2 4 3 3" xfId="28581"/>
    <cellStyle name="Обычный 3 10 5 4 3 4 2 4 4" xfId="28582"/>
    <cellStyle name="Обычный 3 10 5 4 3 4 2 4 4 2" xfId="28583"/>
    <cellStyle name="Обычный 3 10 5 4 3 4 2 4 5" xfId="28584"/>
    <cellStyle name="Обычный 3 10 5 4 3 4 2 4 5 2" xfId="28585"/>
    <cellStyle name="Обычный 3 10 5 4 3 4 2 4 6" xfId="28586"/>
    <cellStyle name="Обычный 3 10 5 4 3 4 2 5" xfId="28587"/>
    <cellStyle name="Обычный 3 10 5 4 3 4 2 5 2" xfId="28588"/>
    <cellStyle name="Обычный 3 10 5 4 3 4 2 5 2 2" xfId="28589"/>
    <cellStyle name="Обычный 3 10 5 4 3 4 2 5 3" xfId="28590"/>
    <cellStyle name="Обычный 3 10 5 4 3 4 2 6" xfId="28591"/>
    <cellStyle name="Обычный 3 10 5 4 3 4 2 6 2" xfId="28592"/>
    <cellStyle name="Обычный 3 10 5 4 3 4 2 6 2 2" xfId="28593"/>
    <cellStyle name="Обычный 3 10 5 4 3 4 2 6 3" xfId="28594"/>
    <cellStyle name="Обычный 3 10 5 4 3 4 2 7" xfId="28595"/>
    <cellStyle name="Обычный 3 10 5 4 3 4 2 7 2" xfId="28596"/>
    <cellStyle name="Обычный 3 10 5 4 3 4 2 8" xfId="28597"/>
    <cellStyle name="Обычный 3 10 5 4 3 4 2 8 2" xfId="28598"/>
    <cellStyle name="Обычный 3 10 5 4 3 4 2 9" xfId="28599"/>
    <cellStyle name="Обычный 3 10 5 4 3 4 3" xfId="28600"/>
    <cellStyle name="Обычный 3 10 5 4 3 4 3 2" xfId="28601"/>
    <cellStyle name="Обычный 3 10 5 4 3 4 3 2 2" xfId="28602"/>
    <cellStyle name="Обычный 3 10 5 4 3 4 3 2 2 2" xfId="28603"/>
    <cellStyle name="Обычный 3 10 5 4 3 4 3 2 2 2 2" xfId="28604"/>
    <cellStyle name="Обычный 3 10 5 4 3 4 3 2 2 3" xfId="28605"/>
    <cellStyle name="Обычный 3 10 5 4 3 4 3 2 3" xfId="28606"/>
    <cellStyle name="Обычный 3 10 5 4 3 4 3 2 3 2" xfId="28607"/>
    <cellStyle name="Обычный 3 10 5 4 3 4 3 2 4" xfId="28608"/>
    <cellStyle name="Обычный 3 10 5 4 3 4 3 2 4 2" xfId="28609"/>
    <cellStyle name="Обычный 3 10 5 4 3 4 3 2 5" xfId="28610"/>
    <cellStyle name="Обычный 3 10 5 4 3 4 3 3" xfId="28611"/>
    <cellStyle name="Обычный 3 10 5 4 3 4 3 3 2" xfId="28612"/>
    <cellStyle name="Обычный 3 10 5 4 3 4 3 3 2 2" xfId="28613"/>
    <cellStyle name="Обычный 3 10 5 4 3 4 3 3 3" xfId="28614"/>
    <cellStyle name="Обычный 3 10 5 4 3 4 3 4" xfId="28615"/>
    <cellStyle name="Обычный 3 10 5 4 3 4 3 4 2" xfId="28616"/>
    <cellStyle name="Обычный 3 10 5 4 3 4 3 4 2 2" xfId="28617"/>
    <cellStyle name="Обычный 3 10 5 4 3 4 3 4 3" xfId="28618"/>
    <cellStyle name="Обычный 3 10 5 4 3 4 3 5" xfId="28619"/>
    <cellStyle name="Обычный 3 10 5 4 3 4 3 5 2" xfId="28620"/>
    <cellStyle name="Обычный 3 10 5 4 3 4 3 6" xfId="28621"/>
    <cellStyle name="Обычный 3 10 5 4 3 4 3 6 2" xfId="28622"/>
    <cellStyle name="Обычный 3 10 5 4 3 4 3 7" xfId="28623"/>
    <cellStyle name="Обычный 3 10 5 4 3 4 4" xfId="28624"/>
    <cellStyle name="Обычный 3 10 5 4 3 4 4 2" xfId="28625"/>
    <cellStyle name="Обычный 3 10 5 4 3 4 4 2 2" xfId="28626"/>
    <cellStyle name="Обычный 3 10 5 4 3 4 4 2 2 2" xfId="28627"/>
    <cellStyle name="Обычный 3 10 5 4 3 4 4 2 2 2 2" xfId="28628"/>
    <cellStyle name="Обычный 3 10 5 4 3 4 4 2 2 3" xfId="28629"/>
    <cellStyle name="Обычный 3 10 5 4 3 4 4 2 3" xfId="28630"/>
    <cellStyle name="Обычный 3 10 5 4 3 4 4 2 3 2" xfId="28631"/>
    <cellStyle name="Обычный 3 10 5 4 3 4 4 2 4" xfId="28632"/>
    <cellStyle name="Обычный 3 10 5 4 3 4 4 3" xfId="28633"/>
    <cellStyle name="Обычный 3 10 5 4 3 4 4 3 2" xfId="28634"/>
    <cellStyle name="Обычный 3 10 5 4 3 4 4 3 2 2" xfId="28635"/>
    <cellStyle name="Обычный 3 10 5 4 3 4 4 3 3" xfId="28636"/>
    <cellStyle name="Обычный 3 10 5 4 3 4 4 4" xfId="28637"/>
    <cellStyle name="Обычный 3 10 5 4 3 4 4 4 2" xfId="28638"/>
    <cellStyle name="Обычный 3 10 5 4 3 4 4 4 2 2" xfId="28639"/>
    <cellStyle name="Обычный 3 10 5 4 3 4 4 4 3" xfId="28640"/>
    <cellStyle name="Обычный 3 10 5 4 3 4 4 5" xfId="28641"/>
    <cellStyle name="Обычный 3 10 5 4 3 4 4 5 2" xfId="28642"/>
    <cellStyle name="Обычный 3 10 5 4 3 4 4 6" xfId="28643"/>
    <cellStyle name="Обычный 3 10 5 4 3 4 4 6 2" xfId="28644"/>
    <cellStyle name="Обычный 3 10 5 4 3 4 4 7" xfId="28645"/>
    <cellStyle name="Обычный 3 10 5 4 3 4 5" xfId="28646"/>
    <cellStyle name="Обычный 3 10 5 4 3 4 5 2" xfId="28647"/>
    <cellStyle name="Обычный 3 10 5 4 3 4 5 2 2" xfId="28648"/>
    <cellStyle name="Обычный 3 10 5 4 3 4 5 2 2 2" xfId="28649"/>
    <cellStyle name="Обычный 3 10 5 4 3 4 5 2 3" xfId="28650"/>
    <cellStyle name="Обычный 3 10 5 4 3 4 5 3" xfId="28651"/>
    <cellStyle name="Обычный 3 10 5 4 3 4 5 3 2" xfId="28652"/>
    <cellStyle name="Обычный 3 10 5 4 3 4 5 3 2 2" xfId="28653"/>
    <cellStyle name="Обычный 3 10 5 4 3 4 5 3 3" xfId="28654"/>
    <cellStyle name="Обычный 3 10 5 4 3 4 5 4" xfId="28655"/>
    <cellStyle name="Обычный 3 10 5 4 3 4 5 4 2" xfId="28656"/>
    <cellStyle name="Обычный 3 10 5 4 3 4 5 5" xfId="28657"/>
    <cellStyle name="Обычный 3 10 5 4 3 4 5 5 2" xfId="28658"/>
    <cellStyle name="Обычный 3 10 5 4 3 4 5 6" xfId="28659"/>
    <cellStyle name="Обычный 3 10 5 4 3 4 6" xfId="28660"/>
    <cellStyle name="Обычный 3 10 5 4 3 4 6 2" xfId="28661"/>
    <cellStyle name="Обычный 3 10 5 4 3 4 6 2 2" xfId="28662"/>
    <cellStyle name="Обычный 3 10 5 4 3 4 6 2 2 2" xfId="28663"/>
    <cellStyle name="Обычный 3 10 5 4 3 4 6 2 3" xfId="28664"/>
    <cellStyle name="Обычный 3 10 5 4 3 4 6 3" xfId="28665"/>
    <cellStyle name="Обычный 3 10 5 4 3 4 6 3 2" xfId="28666"/>
    <cellStyle name="Обычный 3 10 5 4 3 4 6 4" xfId="28667"/>
    <cellStyle name="Обычный 3 10 5 4 3 4 7" xfId="28668"/>
    <cellStyle name="Обычный 3 10 5 4 3 4 7 2" xfId="28669"/>
    <cellStyle name="Обычный 3 10 5 4 3 4 7 2 2" xfId="28670"/>
    <cellStyle name="Обычный 3 10 5 4 3 4 7 2 2 2" xfId="28671"/>
    <cellStyle name="Обычный 3 10 5 4 3 4 7 2 3" xfId="28672"/>
    <cellStyle name="Обычный 3 10 5 4 3 4 7 3" xfId="28673"/>
    <cellStyle name="Обычный 3 10 5 4 3 4 7 3 2" xfId="28674"/>
    <cellStyle name="Обычный 3 10 5 4 3 4 7 4" xfId="28675"/>
    <cellStyle name="Обычный 3 10 5 4 3 4 8" xfId="28676"/>
    <cellStyle name="Обычный 3 10 5 4 3 4 8 2" xfId="28677"/>
    <cellStyle name="Обычный 3 10 5 4 3 4 8 2 2" xfId="28678"/>
    <cellStyle name="Обычный 3 10 5 4 3 4 8 3" xfId="28679"/>
    <cellStyle name="Обычный 3 10 5 4 3 4 9" xfId="28680"/>
    <cellStyle name="Обычный 3 10 5 4 3 4 9 2" xfId="28681"/>
    <cellStyle name="Обычный 3 10 5 4 3 4 9 2 2" xfId="28682"/>
    <cellStyle name="Обычный 3 10 5 4 3 4 9 3" xfId="28683"/>
    <cellStyle name="Обычный 3 10 5 4 3 5" xfId="28684"/>
    <cellStyle name="Обычный 3 10 5 4 3 5 2" xfId="28685"/>
    <cellStyle name="Обычный 3 10 5 4 3 5 2 2" xfId="28686"/>
    <cellStyle name="Обычный 3 10 5 4 3 5 2 2 2" xfId="28687"/>
    <cellStyle name="Обычный 3 10 5 4 3 5 2 2 2 2" xfId="28688"/>
    <cellStyle name="Обычный 3 10 5 4 3 5 2 2 2 2 2" xfId="28689"/>
    <cellStyle name="Обычный 3 10 5 4 3 5 2 2 2 3" xfId="28690"/>
    <cellStyle name="Обычный 3 10 5 4 3 5 2 2 3" xfId="28691"/>
    <cellStyle name="Обычный 3 10 5 4 3 5 2 2 3 2" xfId="28692"/>
    <cellStyle name="Обычный 3 10 5 4 3 5 2 2 4" xfId="28693"/>
    <cellStyle name="Обычный 3 10 5 4 3 5 2 2 4 2" xfId="28694"/>
    <cellStyle name="Обычный 3 10 5 4 3 5 2 2 5" xfId="28695"/>
    <cellStyle name="Обычный 3 10 5 4 3 5 2 3" xfId="28696"/>
    <cellStyle name="Обычный 3 10 5 4 3 5 2 3 2" xfId="28697"/>
    <cellStyle name="Обычный 3 10 5 4 3 5 2 3 2 2" xfId="28698"/>
    <cellStyle name="Обычный 3 10 5 4 3 5 2 3 3" xfId="28699"/>
    <cellStyle name="Обычный 3 10 5 4 3 5 2 4" xfId="28700"/>
    <cellStyle name="Обычный 3 10 5 4 3 5 2 4 2" xfId="28701"/>
    <cellStyle name="Обычный 3 10 5 4 3 5 2 4 2 2" xfId="28702"/>
    <cellStyle name="Обычный 3 10 5 4 3 5 2 4 3" xfId="28703"/>
    <cellStyle name="Обычный 3 10 5 4 3 5 2 5" xfId="28704"/>
    <cellStyle name="Обычный 3 10 5 4 3 5 2 5 2" xfId="28705"/>
    <cellStyle name="Обычный 3 10 5 4 3 5 2 6" xfId="28706"/>
    <cellStyle name="Обычный 3 10 5 4 3 5 2 6 2" xfId="28707"/>
    <cellStyle name="Обычный 3 10 5 4 3 5 2 7" xfId="28708"/>
    <cellStyle name="Обычный 3 10 5 4 3 5 3" xfId="28709"/>
    <cellStyle name="Обычный 3 10 5 4 3 5 3 2" xfId="28710"/>
    <cellStyle name="Обычный 3 10 5 4 3 5 3 2 2" xfId="28711"/>
    <cellStyle name="Обычный 3 10 5 4 3 5 3 2 2 2" xfId="28712"/>
    <cellStyle name="Обычный 3 10 5 4 3 5 3 2 3" xfId="28713"/>
    <cellStyle name="Обычный 3 10 5 4 3 5 3 3" xfId="28714"/>
    <cellStyle name="Обычный 3 10 5 4 3 5 3 3 2" xfId="28715"/>
    <cellStyle name="Обычный 3 10 5 4 3 5 3 3 2 2" xfId="28716"/>
    <cellStyle name="Обычный 3 10 5 4 3 5 3 3 3" xfId="28717"/>
    <cellStyle name="Обычный 3 10 5 4 3 5 3 4" xfId="28718"/>
    <cellStyle name="Обычный 3 10 5 4 3 5 3 4 2" xfId="28719"/>
    <cellStyle name="Обычный 3 10 5 4 3 5 3 5" xfId="28720"/>
    <cellStyle name="Обычный 3 10 5 4 3 5 3 5 2" xfId="28721"/>
    <cellStyle name="Обычный 3 10 5 4 3 5 3 6" xfId="28722"/>
    <cellStyle name="Обычный 3 10 5 4 3 5 4" xfId="28723"/>
    <cellStyle name="Обычный 3 10 5 4 3 5 4 2" xfId="28724"/>
    <cellStyle name="Обычный 3 10 5 4 3 5 4 2 2" xfId="28725"/>
    <cellStyle name="Обычный 3 10 5 4 3 5 4 3" xfId="28726"/>
    <cellStyle name="Обычный 3 10 5 4 3 5 4 3 2" xfId="28727"/>
    <cellStyle name="Обычный 3 10 5 4 3 5 4 4" xfId="28728"/>
    <cellStyle name="Обычный 3 10 5 4 3 5 5" xfId="28729"/>
    <cellStyle name="Обычный 3 10 5 4 3 5 5 2" xfId="28730"/>
    <cellStyle name="Обычный 3 10 5 4 3 5 5 2 2" xfId="28731"/>
    <cellStyle name="Обычный 3 10 5 4 3 5 5 3" xfId="28732"/>
    <cellStyle name="Обычный 3 10 5 4 3 5 6" xfId="28733"/>
    <cellStyle name="Обычный 3 10 5 4 3 5 6 2" xfId="28734"/>
    <cellStyle name="Обычный 3 10 5 4 3 5 7" xfId="28735"/>
    <cellStyle name="Обычный 3 10 5 4 3 5 7 2" xfId="28736"/>
    <cellStyle name="Обычный 3 10 5 4 3 5 8" xfId="28737"/>
    <cellStyle name="Обычный 3 10 5 4 3 6" xfId="28738"/>
    <cellStyle name="Обычный 3 10 5 4 3 6 2" xfId="28739"/>
    <cellStyle name="Обычный 3 10 5 4 3 6 2 2" xfId="28740"/>
    <cellStyle name="Обычный 3 10 5 4 3 6 2 2 2" xfId="28741"/>
    <cellStyle name="Обычный 3 10 5 4 3 6 2 2 2 2" xfId="28742"/>
    <cellStyle name="Обычный 3 10 5 4 3 6 2 2 3" xfId="28743"/>
    <cellStyle name="Обычный 3 10 5 4 3 6 2 3" xfId="28744"/>
    <cellStyle name="Обычный 3 10 5 4 3 6 2 3 2" xfId="28745"/>
    <cellStyle name="Обычный 3 10 5 4 3 6 2 3 2 2" xfId="28746"/>
    <cellStyle name="Обычный 3 10 5 4 3 6 2 3 3" xfId="28747"/>
    <cellStyle name="Обычный 3 10 5 4 3 6 2 4" xfId="28748"/>
    <cellStyle name="Обычный 3 10 5 4 3 6 2 4 2" xfId="28749"/>
    <cellStyle name="Обычный 3 10 5 4 3 6 2 5" xfId="28750"/>
    <cellStyle name="Обычный 3 10 5 4 3 6 2 5 2" xfId="28751"/>
    <cellStyle name="Обычный 3 10 5 4 3 6 2 6" xfId="28752"/>
    <cellStyle name="Обычный 3 10 5 4 3 6 3" xfId="28753"/>
    <cellStyle name="Обычный 3 10 5 4 3 6 3 2" xfId="28754"/>
    <cellStyle name="Обычный 3 10 5 4 3 6 3 2 2" xfId="28755"/>
    <cellStyle name="Обычный 3 10 5 4 3 6 3 2 2 2" xfId="28756"/>
    <cellStyle name="Обычный 3 10 5 4 3 6 3 2 3" xfId="28757"/>
    <cellStyle name="Обычный 3 10 5 4 3 6 3 3" xfId="28758"/>
    <cellStyle name="Обычный 3 10 5 4 3 6 3 3 2" xfId="28759"/>
    <cellStyle name="Обычный 3 10 5 4 3 6 3 3 2 2" xfId="28760"/>
    <cellStyle name="Обычный 3 10 5 4 3 6 3 3 3" xfId="28761"/>
    <cellStyle name="Обычный 3 10 5 4 3 6 3 4" xfId="28762"/>
    <cellStyle name="Обычный 3 10 5 4 3 6 3 4 2" xfId="28763"/>
    <cellStyle name="Обычный 3 10 5 4 3 6 3 5" xfId="28764"/>
    <cellStyle name="Обычный 3 10 5 4 3 6 3 5 2" xfId="28765"/>
    <cellStyle name="Обычный 3 10 5 4 3 6 3 6" xfId="28766"/>
    <cellStyle name="Обычный 3 10 5 4 3 6 4" xfId="28767"/>
    <cellStyle name="Обычный 3 10 5 4 3 6 4 2" xfId="28768"/>
    <cellStyle name="Обычный 3 10 5 4 3 6 4 2 2" xfId="28769"/>
    <cellStyle name="Обычный 3 10 5 4 3 6 4 2 2 2" xfId="28770"/>
    <cellStyle name="Обычный 3 10 5 4 3 6 4 2 3" xfId="28771"/>
    <cellStyle name="Обычный 3 10 5 4 3 6 4 3" xfId="28772"/>
    <cellStyle name="Обычный 3 10 5 4 3 6 4 3 2" xfId="28773"/>
    <cellStyle name="Обычный 3 10 5 4 3 6 4 3 2 2" xfId="28774"/>
    <cellStyle name="Обычный 3 10 5 4 3 6 4 3 3" xfId="28775"/>
    <cellStyle name="Обычный 3 10 5 4 3 6 4 4" xfId="28776"/>
    <cellStyle name="Обычный 3 10 5 4 3 6 4 4 2" xfId="28777"/>
    <cellStyle name="Обычный 3 10 5 4 3 6 4 5" xfId="28778"/>
    <cellStyle name="Обычный 3 10 5 4 3 6 5" xfId="28779"/>
    <cellStyle name="Обычный 3 10 5 4 3 6 5 2" xfId="28780"/>
    <cellStyle name="Обычный 3 10 5 4 3 6 5 2 2" xfId="28781"/>
    <cellStyle name="Обычный 3 10 5 4 3 6 5 3" xfId="28782"/>
    <cellStyle name="Обычный 3 10 5 4 3 6 6" xfId="28783"/>
    <cellStyle name="Обычный 3 10 5 4 3 6 6 2" xfId="28784"/>
    <cellStyle name="Обычный 3 10 5 4 3 6 6 2 2" xfId="28785"/>
    <cellStyle name="Обычный 3 10 5 4 3 6 6 3" xfId="28786"/>
    <cellStyle name="Обычный 3 10 5 4 3 6 7" xfId="28787"/>
    <cellStyle name="Обычный 3 10 5 4 3 6 7 2" xfId="28788"/>
    <cellStyle name="Обычный 3 10 5 4 3 6 8" xfId="28789"/>
    <cellStyle name="Обычный 3 10 5 4 3 6 8 2" xfId="28790"/>
    <cellStyle name="Обычный 3 10 5 4 3 6 9" xfId="28791"/>
    <cellStyle name="Обычный 3 10 5 4 3 7" xfId="28792"/>
    <cellStyle name="Обычный 3 10 5 4 3 7 2" xfId="28793"/>
    <cellStyle name="Обычный 3 10 5 4 3 7 2 2" xfId="28794"/>
    <cellStyle name="Обычный 3 10 5 4 3 7 2 2 2" xfId="28795"/>
    <cellStyle name="Обычный 3 10 5 4 3 7 2 2 2 2" xfId="28796"/>
    <cellStyle name="Обычный 3 10 5 4 3 7 2 2 2 2 2" xfId="28797"/>
    <cellStyle name="Обычный 3 10 5 4 3 7 2 2 2 3" xfId="28798"/>
    <cellStyle name="Обычный 3 10 5 4 3 7 2 2 3" xfId="28799"/>
    <cellStyle name="Обычный 3 10 5 4 3 7 2 2 3 2" xfId="28800"/>
    <cellStyle name="Обычный 3 10 5 4 3 7 2 2 3 2 2" xfId="28801"/>
    <cellStyle name="Обычный 3 10 5 4 3 7 2 2 3 3" xfId="28802"/>
    <cellStyle name="Обычный 3 10 5 4 3 7 2 2 4" xfId="28803"/>
    <cellStyle name="Обычный 3 10 5 4 3 7 2 2 4 2" xfId="28804"/>
    <cellStyle name="Обычный 3 10 5 4 3 7 2 2 5" xfId="28805"/>
    <cellStyle name="Обычный 3 10 5 4 3 7 2 3" xfId="28806"/>
    <cellStyle name="Обычный 3 10 5 4 3 7 2 3 2" xfId="28807"/>
    <cellStyle name="Обычный 3 10 5 4 3 7 2 3 2 2" xfId="28808"/>
    <cellStyle name="Обычный 3 10 5 4 3 7 2 3 2 2 2" xfId="28809"/>
    <cellStyle name="Обычный 3 10 5 4 3 7 2 3 2 3" xfId="28810"/>
    <cellStyle name="Обычный 3 10 5 4 3 7 2 3 3" xfId="28811"/>
    <cellStyle name="Обычный 3 10 5 4 3 7 2 3 3 2" xfId="28812"/>
    <cellStyle name="Обычный 3 10 5 4 3 7 2 3 3 2 2" xfId="28813"/>
    <cellStyle name="Обычный 3 10 5 4 3 7 2 3 3 3" xfId="28814"/>
    <cellStyle name="Обычный 3 10 5 4 3 7 2 3 4" xfId="28815"/>
    <cellStyle name="Обычный 3 10 5 4 3 7 2 3 4 2" xfId="28816"/>
    <cellStyle name="Обычный 3 10 5 4 3 7 2 3 5" xfId="28817"/>
    <cellStyle name="Обычный 3 10 5 4 3 7 2 4" xfId="28818"/>
    <cellStyle name="Обычный 3 10 5 4 3 7 2 4 2" xfId="28819"/>
    <cellStyle name="Обычный 3 10 5 4 3 7 2 4 2 2" xfId="28820"/>
    <cellStyle name="Обычный 3 10 5 4 3 7 2 4 3" xfId="28821"/>
    <cellStyle name="Обычный 3 10 5 4 3 7 2 5" xfId="28822"/>
    <cellStyle name="Обычный 3 10 5 4 3 7 2 5 2" xfId="28823"/>
    <cellStyle name="Обычный 3 10 5 4 3 7 2 5 2 2" xfId="28824"/>
    <cellStyle name="Обычный 3 10 5 4 3 7 2 5 3" xfId="28825"/>
    <cellStyle name="Обычный 3 10 5 4 3 7 2 6" xfId="28826"/>
    <cellStyle name="Обычный 3 10 5 4 3 7 2 6 2" xfId="28827"/>
    <cellStyle name="Обычный 3 10 5 4 3 7 2 7" xfId="28828"/>
    <cellStyle name="Обычный 3 10 5 4 3 7 2 7 2" xfId="28829"/>
    <cellStyle name="Обычный 3 10 5 4 3 7 2 8" xfId="28830"/>
    <cellStyle name="Обычный 3 10 5 4 3 7 3" xfId="28831"/>
    <cellStyle name="Обычный 3 10 5 4 3 7 3 2" xfId="28832"/>
    <cellStyle name="Обычный 3 10 5 4 3 7 3 2 2" xfId="28833"/>
    <cellStyle name="Обычный 3 10 5 4 3 7 3 2 2 2" xfId="28834"/>
    <cellStyle name="Обычный 3 10 5 4 3 7 3 2 3" xfId="28835"/>
    <cellStyle name="Обычный 3 10 5 4 3 7 3 3" xfId="28836"/>
    <cellStyle name="Обычный 3 10 5 4 3 7 3 3 2" xfId="28837"/>
    <cellStyle name="Обычный 3 10 5 4 3 7 3 3 2 2" xfId="28838"/>
    <cellStyle name="Обычный 3 10 5 4 3 7 3 3 3" xfId="28839"/>
    <cellStyle name="Обычный 3 10 5 4 3 7 3 4" xfId="28840"/>
    <cellStyle name="Обычный 3 10 5 4 3 7 3 4 2" xfId="28841"/>
    <cellStyle name="Обычный 3 10 5 4 3 7 3 5" xfId="28842"/>
    <cellStyle name="Обычный 3 10 5 4 3 7 3 5 2" xfId="28843"/>
    <cellStyle name="Обычный 3 10 5 4 3 7 3 6" xfId="28844"/>
    <cellStyle name="Обычный 3 10 5 4 3 7 4" xfId="28845"/>
    <cellStyle name="Обычный 3 10 5 4 3 7 4 2" xfId="28846"/>
    <cellStyle name="Обычный 3 10 5 4 3 7 4 2 2" xfId="28847"/>
    <cellStyle name="Обычный 3 10 5 4 3 7 4 3" xfId="28848"/>
    <cellStyle name="Обычный 3 10 5 4 3 7 5" xfId="28849"/>
    <cellStyle name="Обычный 3 10 5 4 3 7 5 2" xfId="28850"/>
    <cellStyle name="Обычный 3 10 5 4 3 7 5 2 2" xfId="28851"/>
    <cellStyle name="Обычный 3 10 5 4 3 7 5 3" xfId="28852"/>
    <cellStyle name="Обычный 3 10 5 4 3 7 6" xfId="28853"/>
    <cellStyle name="Обычный 3 10 5 4 3 7 6 2" xfId="28854"/>
    <cellStyle name="Обычный 3 10 5 4 3 7 7" xfId="28855"/>
    <cellStyle name="Обычный 3 10 5 4 3 7 7 2" xfId="28856"/>
    <cellStyle name="Обычный 3 10 5 4 3 7 8" xfId="28857"/>
    <cellStyle name="Обычный 3 10 5 4 3 8" xfId="28858"/>
    <cellStyle name="Обычный 3 10 5 4 3 8 2" xfId="28859"/>
    <cellStyle name="Обычный 3 10 5 4 3 8 2 2" xfId="28860"/>
    <cellStyle name="Обычный 3 10 5 4 3 8 2 2 2" xfId="28861"/>
    <cellStyle name="Обычный 3 10 5 4 3 8 2 3" xfId="28862"/>
    <cellStyle name="Обычный 3 10 5 4 3 8 3" xfId="28863"/>
    <cellStyle name="Обычный 3 10 5 4 3 8 3 2" xfId="28864"/>
    <cellStyle name="Обычный 3 10 5 4 3 8 3 2 2" xfId="28865"/>
    <cellStyle name="Обычный 3 10 5 4 3 8 3 3" xfId="28866"/>
    <cellStyle name="Обычный 3 10 5 4 3 8 4" xfId="28867"/>
    <cellStyle name="Обычный 3 10 5 4 3 8 4 2" xfId="28868"/>
    <cellStyle name="Обычный 3 10 5 4 3 8 5" xfId="28869"/>
    <cellStyle name="Обычный 3 10 5 4 3 8 5 2" xfId="28870"/>
    <cellStyle name="Обычный 3 10 5 4 3 8 6" xfId="28871"/>
    <cellStyle name="Обычный 3 10 5 4 3 9" xfId="28872"/>
    <cellStyle name="Обычный 3 10 5 4 3 9 2" xfId="28873"/>
    <cellStyle name="Обычный 3 10 5 4 3 9 2 2" xfId="28874"/>
    <cellStyle name="Обычный 3 10 5 4 3 9 2 2 2" xfId="28875"/>
    <cellStyle name="Обычный 3 10 5 4 3 9 2 3" xfId="28876"/>
    <cellStyle name="Обычный 3 10 5 4 3 9 3" xfId="28877"/>
    <cellStyle name="Обычный 3 10 5 4 3 9 3 2" xfId="28878"/>
    <cellStyle name="Обычный 3 10 5 4 3 9 3 2 2" xfId="28879"/>
    <cellStyle name="Обычный 3 10 5 4 3 9 3 3" xfId="28880"/>
    <cellStyle name="Обычный 3 10 5 4 3 9 4" xfId="28881"/>
    <cellStyle name="Обычный 3 10 5 4 3 9 4 2" xfId="28882"/>
    <cellStyle name="Обычный 3 10 5 4 3 9 5" xfId="28883"/>
    <cellStyle name="Обычный 3 10 5 4 3 9 5 2" xfId="28884"/>
    <cellStyle name="Обычный 3 10 5 4 3 9 6" xfId="28885"/>
    <cellStyle name="Обычный 3 10 5 4 4" xfId="28886"/>
    <cellStyle name="Обычный 3 10 5 4 4 10" xfId="28887"/>
    <cellStyle name="Обычный 3 10 5 4 4 10 2" xfId="28888"/>
    <cellStyle name="Обычный 3 10 5 4 4 10 2 2" xfId="28889"/>
    <cellStyle name="Обычный 3 10 5 4 4 10 3" xfId="28890"/>
    <cellStyle name="Обычный 3 10 5 4 4 11" xfId="28891"/>
    <cellStyle name="Обычный 3 10 5 4 4 11 2" xfId="28892"/>
    <cellStyle name="Обычный 3 10 5 4 4 12" xfId="28893"/>
    <cellStyle name="Обычный 3 10 5 4 4 12 2" xfId="28894"/>
    <cellStyle name="Обычный 3 10 5 4 4 13" xfId="28895"/>
    <cellStyle name="Обычный 3 10 5 4 4 2" xfId="28896"/>
    <cellStyle name="Обычный 3 10 5 4 4 2 10" xfId="28897"/>
    <cellStyle name="Обычный 3 10 5 4 4 2 10 2" xfId="28898"/>
    <cellStyle name="Обычный 3 10 5 4 4 2 11" xfId="28899"/>
    <cellStyle name="Обычный 3 10 5 4 4 2 2" xfId="28900"/>
    <cellStyle name="Обычный 3 10 5 4 4 2 2 2" xfId="28901"/>
    <cellStyle name="Обычный 3 10 5 4 4 2 2 2 2" xfId="28902"/>
    <cellStyle name="Обычный 3 10 5 4 4 2 2 2 2 2" xfId="28903"/>
    <cellStyle name="Обычный 3 10 5 4 4 2 2 2 2 2 2" xfId="28904"/>
    <cellStyle name="Обычный 3 10 5 4 4 2 2 2 2 2 2 2" xfId="28905"/>
    <cellStyle name="Обычный 3 10 5 4 4 2 2 2 2 2 3" xfId="28906"/>
    <cellStyle name="Обычный 3 10 5 4 4 2 2 2 2 3" xfId="28907"/>
    <cellStyle name="Обычный 3 10 5 4 4 2 2 2 2 3 2" xfId="28908"/>
    <cellStyle name="Обычный 3 10 5 4 4 2 2 2 2 3 2 2" xfId="28909"/>
    <cellStyle name="Обычный 3 10 5 4 4 2 2 2 2 3 3" xfId="28910"/>
    <cellStyle name="Обычный 3 10 5 4 4 2 2 2 2 4" xfId="28911"/>
    <cellStyle name="Обычный 3 10 5 4 4 2 2 2 2 4 2" xfId="28912"/>
    <cellStyle name="Обычный 3 10 5 4 4 2 2 2 2 5" xfId="28913"/>
    <cellStyle name="Обычный 3 10 5 4 4 2 2 2 3" xfId="28914"/>
    <cellStyle name="Обычный 3 10 5 4 4 2 2 2 3 2" xfId="28915"/>
    <cellStyle name="Обычный 3 10 5 4 4 2 2 2 3 2 2" xfId="28916"/>
    <cellStyle name="Обычный 3 10 5 4 4 2 2 2 3 2 2 2" xfId="28917"/>
    <cellStyle name="Обычный 3 10 5 4 4 2 2 2 3 2 3" xfId="28918"/>
    <cellStyle name="Обычный 3 10 5 4 4 2 2 2 3 3" xfId="28919"/>
    <cellStyle name="Обычный 3 10 5 4 4 2 2 2 3 3 2" xfId="28920"/>
    <cellStyle name="Обычный 3 10 5 4 4 2 2 2 3 3 2 2" xfId="28921"/>
    <cellStyle name="Обычный 3 10 5 4 4 2 2 2 3 3 3" xfId="28922"/>
    <cellStyle name="Обычный 3 10 5 4 4 2 2 2 3 4" xfId="28923"/>
    <cellStyle name="Обычный 3 10 5 4 4 2 2 2 3 4 2" xfId="28924"/>
    <cellStyle name="Обычный 3 10 5 4 4 2 2 2 3 5" xfId="28925"/>
    <cellStyle name="Обычный 3 10 5 4 4 2 2 2 4" xfId="28926"/>
    <cellStyle name="Обычный 3 10 5 4 4 2 2 2 4 2" xfId="28927"/>
    <cellStyle name="Обычный 3 10 5 4 4 2 2 2 4 2 2" xfId="28928"/>
    <cellStyle name="Обычный 3 10 5 4 4 2 2 2 4 3" xfId="28929"/>
    <cellStyle name="Обычный 3 10 5 4 4 2 2 2 5" xfId="28930"/>
    <cellStyle name="Обычный 3 10 5 4 4 2 2 2 5 2" xfId="28931"/>
    <cellStyle name="Обычный 3 10 5 4 4 2 2 2 5 2 2" xfId="28932"/>
    <cellStyle name="Обычный 3 10 5 4 4 2 2 2 5 3" xfId="28933"/>
    <cellStyle name="Обычный 3 10 5 4 4 2 2 2 6" xfId="28934"/>
    <cellStyle name="Обычный 3 10 5 4 4 2 2 2 6 2" xfId="28935"/>
    <cellStyle name="Обычный 3 10 5 4 4 2 2 2 7" xfId="28936"/>
    <cellStyle name="Обычный 3 10 5 4 4 2 2 2 7 2" xfId="28937"/>
    <cellStyle name="Обычный 3 10 5 4 4 2 2 2 8" xfId="28938"/>
    <cellStyle name="Обычный 3 10 5 4 4 2 2 3" xfId="28939"/>
    <cellStyle name="Обычный 3 10 5 4 4 2 2 3 2" xfId="28940"/>
    <cellStyle name="Обычный 3 10 5 4 4 2 2 3 2 2" xfId="28941"/>
    <cellStyle name="Обычный 3 10 5 4 4 2 2 3 2 2 2" xfId="28942"/>
    <cellStyle name="Обычный 3 10 5 4 4 2 2 3 2 3" xfId="28943"/>
    <cellStyle name="Обычный 3 10 5 4 4 2 2 3 3" xfId="28944"/>
    <cellStyle name="Обычный 3 10 5 4 4 2 2 3 3 2" xfId="28945"/>
    <cellStyle name="Обычный 3 10 5 4 4 2 2 3 3 2 2" xfId="28946"/>
    <cellStyle name="Обычный 3 10 5 4 4 2 2 3 3 3" xfId="28947"/>
    <cellStyle name="Обычный 3 10 5 4 4 2 2 3 4" xfId="28948"/>
    <cellStyle name="Обычный 3 10 5 4 4 2 2 3 4 2" xfId="28949"/>
    <cellStyle name="Обычный 3 10 5 4 4 2 2 3 5" xfId="28950"/>
    <cellStyle name="Обычный 3 10 5 4 4 2 2 3 5 2" xfId="28951"/>
    <cellStyle name="Обычный 3 10 5 4 4 2 2 3 6" xfId="28952"/>
    <cellStyle name="Обычный 3 10 5 4 4 2 2 4" xfId="28953"/>
    <cellStyle name="Обычный 3 10 5 4 4 2 2 4 2" xfId="28954"/>
    <cellStyle name="Обычный 3 10 5 4 4 2 2 4 2 2" xfId="28955"/>
    <cellStyle name="Обычный 3 10 5 4 4 2 2 4 2 2 2" xfId="28956"/>
    <cellStyle name="Обычный 3 10 5 4 4 2 2 4 2 3" xfId="28957"/>
    <cellStyle name="Обычный 3 10 5 4 4 2 2 4 3" xfId="28958"/>
    <cellStyle name="Обычный 3 10 5 4 4 2 2 4 3 2" xfId="28959"/>
    <cellStyle name="Обычный 3 10 5 4 4 2 2 4 3 2 2" xfId="28960"/>
    <cellStyle name="Обычный 3 10 5 4 4 2 2 4 3 3" xfId="28961"/>
    <cellStyle name="Обычный 3 10 5 4 4 2 2 4 4" xfId="28962"/>
    <cellStyle name="Обычный 3 10 5 4 4 2 2 4 4 2" xfId="28963"/>
    <cellStyle name="Обычный 3 10 5 4 4 2 2 4 5" xfId="28964"/>
    <cellStyle name="Обычный 3 10 5 4 4 2 2 4 5 2" xfId="28965"/>
    <cellStyle name="Обычный 3 10 5 4 4 2 2 4 6" xfId="28966"/>
    <cellStyle name="Обычный 3 10 5 4 4 2 2 5" xfId="28967"/>
    <cellStyle name="Обычный 3 10 5 4 4 2 2 5 2" xfId="28968"/>
    <cellStyle name="Обычный 3 10 5 4 4 2 2 5 2 2" xfId="28969"/>
    <cellStyle name="Обычный 3 10 5 4 4 2 2 5 3" xfId="28970"/>
    <cellStyle name="Обычный 3 10 5 4 4 2 2 6" xfId="28971"/>
    <cellStyle name="Обычный 3 10 5 4 4 2 2 6 2" xfId="28972"/>
    <cellStyle name="Обычный 3 10 5 4 4 2 2 6 2 2" xfId="28973"/>
    <cellStyle name="Обычный 3 10 5 4 4 2 2 6 3" xfId="28974"/>
    <cellStyle name="Обычный 3 10 5 4 4 2 2 7" xfId="28975"/>
    <cellStyle name="Обычный 3 10 5 4 4 2 2 7 2" xfId="28976"/>
    <cellStyle name="Обычный 3 10 5 4 4 2 2 8" xfId="28977"/>
    <cellStyle name="Обычный 3 10 5 4 4 2 2 8 2" xfId="28978"/>
    <cellStyle name="Обычный 3 10 5 4 4 2 2 9" xfId="28979"/>
    <cellStyle name="Обычный 3 10 5 4 4 2 3" xfId="28980"/>
    <cellStyle name="Обычный 3 10 5 4 4 2 3 2" xfId="28981"/>
    <cellStyle name="Обычный 3 10 5 4 4 2 3 2 2" xfId="28982"/>
    <cellStyle name="Обычный 3 10 5 4 4 2 3 2 2 2" xfId="28983"/>
    <cellStyle name="Обычный 3 10 5 4 4 2 3 2 2 2 2" xfId="28984"/>
    <cellStyle name="Обычный 3 10 5 4 4 2 3 2 2 3" xfId="28985"/>
    <cellStyle name="Обычный 3 10 5 4 4 2 3 2 3" xfId="28986"/>
    <cellStyle name="Обычный 3 10 5 4 4 2 3 2 3 2" xfId="28987"/>
    <cellStyle name="Обычный 3 10 5 4 4 2 3 2 3 2 2" xfId="28988"/>
    <cellStyle name="Обычный 3 10 5 4 4 2 3 2 3 3" xfId="28989"/>
    <cellStyle name="Обычный 3 10 5 4 4 2 3 2 4" xfId="28990"/>
    <cellStyle name="Обычный 3 10 5 4 4 2 3 2 4 2" xfId="28991"/>
    <cellStyle name="Обычный 3 10 5 4 4 2 3 2 5" xfId="28992"/>
    <cellStyle name="Обычный 3 10 5 4 4 2 3 3" xfId="28993"/>
    <cellStyle name="Обычный 3 10 5 4 4 2 3 3 2" xfId="28994"/>
    <cellStyle name="Обычный 3 10 5 4 4 2 3 3 2 2" xfId="28995"/>
    <cellStyle name="Обычный 3 10 5 4 4 2 3 3 2 2 2" xfId="28996"/>
    <cellStyle name="Обычный 3 10 5 4 4 2 3 3 2 3" xfId="28997"/>
    <cellStyle name="Обычный 3 10 5 4 4 2 3 3 3" xfId="28998"/>
    <cellStyle name="Обычный 3 10 5 4 4 2 3 3 3 2" xfId="28999"/>
    <cellStyle name="Обычный 3 10 5 4 4 2 3 3 3 2 2" xfId="29000"/>
    <cellStyle name="Обычный 3 10 5 4 4 2 3 3 3 3" xfId="29001"/>
    <cellStyle name="Обычный 3 10 5 4 4 2 3 3 4" xfId="29002"/>
    <cellStyle name="Обычный 3 10 5 4 4 2 3 3 4 2" xfId="29003"/>
    <cellStyle name="Обычный 3 10 5 4 4 2 3 3 5" xfId="29004"/>
    <cellStyle name="Обычный 3 10 5 4 4 2 3 4" xfId="29005"/>
    <cellStyle name="Обычный 3 10 5 4 4 2 3 4 2" xfId="29006"/>
    <cellStyle name="Обычный 3 10 5 4 4 2 3 4 2 2" xfId="29007"/>
    <cellStyle name="Обычный 3 10 5 4 4 2 3 4 3" xfId="29008"/>
    <cellStyle name="Обычный 3 10 5 4 4 2 3 5" xfId="29009"/>
    <cellStyle name="Обычный 3 10 5 4 4 2 3 5 2" xfId="29010"/>
    <cellStyle name="Обычный 3 10 5 4 4 2 3 5 2 2" xfId="29011"/>
    <cellStyle name="Обычный 3 10 5 4 4 2 3 5 3" xfId="29012"/>
    <cellStyle name="Обычный 3 10 5 4 4 2 3 6" xfId="29013"/>
    <cellStyle name="Обычный 3 10 5 4 4 2 3 6 2" xfId="29014"/>
    <cellStyle name="Обычный 3 10 5 4 4 2 3 7" xfId="29015"/>
    <cellStyle name="Обычный 3 10 5 4 4 2 3 7 2" xfId="29016"/>
    <cellStyle name="Обычный 3 10 5 4 4 2 3 8" xfId="29017"/>
    <cellStyle name="Обычный 3 10 5 4 4 2 4" xfId="29018"/>
    <cellStyle name="Обычный 3 10 5 4 4 2 4 2" xfId="29019"/>
    <cellStyle name="Обычный 3 10 5 4 4 2 4 2 2" xfId="29020"/>
    <cellStyle name="Обычный 3 10 5 4 4 2 4 2 2 2" xfId="29021"/>
    <cellStyle name="Обычный 3 10 5 4 4 2 4 2 2 2 2" xfId="29022"/>
    <cellStyle name="Обычный 3 10 5 4 4 2 4 2 2 3" xfId="29023"/>
    <cellStyle name="Обычный 3 10 5 4 4 2 4 2 3" xfId="29024"/>
    <cellStyle name="Обычный 3 10 5 4 4 2 4 2 3 2" xfId="29025"/>
    <cellStyle name="Обычный 3 10 5 4 4 2 4 2 3 2 2" xfId="29026"/>
    <cellStyle name="Обычный 3 10 5 4 4 2 4 2 3 3" xfId="29027"/>
    <cellStyle name="Обычный 3 10 5 4 4 2 4 2 4" xfId="29028"/>
    <cellStyle name="Обычный 3 10 5 4 4 2 4 2 4 2" xfId="29029"/>
    <cellStyle name="Обычный 3 10 5 4 4 2 4 2 5" xfId="29030"/>
    <cellStyle name="Обычный 3 10 5 4 4 2 4 3" xfId="29031"/>
    <cellStyle name="Обычный 3 10 5 4 4 2 4 3 2" xfId="29032"/>
    <cellStyle name="Обычный 3 10 5 4 4 2 4 3 2 2" xfId="29033"/>
    <cellStyle name="Обычный 3 10 5 4 4 2 4 3 2 2 2" xfId="29034"/>
    <cellStyle name="Обычный 3 10 5 4 4 2 4 3 2 3" xfId="29035"/>
    <cellStyle name="Обычный 3 10 5 4 4 2 4 3 3" xfId="29036"/>
    <cellStyle name="Обычный 3 10 5 4 4 2 4 3 3 2" xfId="29037"/>
    <cellStyle name="Обычный 3 10 5 4 4 2 4 3 3 2 2" xfId="29038"/>
    <cellStyle name="Обычный 3 10 5 4 4 2 4 3 3 3" xfId="29039"/>
    <cellStyle name="Обычный 3 10 5 4 4 2 4 3 4" xfId="29040"/>
    <cellStyle name="Обычный 3 10 5 4 4 2 4 3 4 2" xfId="29041"/>
    <cellStyle name="Обычный 3 10 5 4 4 2 4 3 5" xfId="29042"/>
    <cellStyle name="Обычный 3 10 5 4 4 2 4 4" xfId="29043"/>
    <cellStyle name="Обычный 3 10 5 4 4 2 4 4 2" xfId="29044"/>
    <cellStyle name="Обычный 3 10 5 4 4 2 4 4 2 2" xfId="29045"/>
    <cellStyle name="Обычный 3 10 5 4 4 2 4 4 3" xfId="29046"/>
    <cellStyle name="Обычный 3 10 5 4 4 2 4 5" xfId="29047"/>
    <cellStyle name="Обычный 3 10 5 4 4 2 4 5 2" xfId="29048"/>
    <cellStyle name="Обычный 3 10 5 4 4 2 4 5 2 2" xfId="29049"/>
    <cellStyle name="Обычный 3 10 5 4 4 2 4 5 3" xfId="29050"/>
    <cellStyle name="Обычный 3 10 5 4 4 2 4 6" xfId="29051"/>
    <cellStyle name="Обычный 3 10 5 4 4 2 4 6 2" xfId="29052"/>
    <cellStyle name="Обычный 3 10 5 4 4 2 4 7" xfId="29053"/>
    <cellStyle name="Обычный 3 10 5 4 4 2 4 7 2" xfId="29054"/>
    <cellStyle name="Обычный 3 10 5 4 4 2 4 8" xfId="29055"/>
    <cellStyle name="Обычный 3 10 5 4 4 2 5" xfId="29056"/>
    <cellStyle name="Обычный 3 10 5 4 4 2 5 2" xfId="29057"/>
    <cellStyle name="Обычный 3 10 5 4 4 2 5 2 2" xfId="29058"/>
    <cellStyle name="Обычный 3 10 5 4 4 2 5 2 2 2" xfId="29059"/>
    <cellStyle name="Обычный 3 10 5 4 4 2 5 2 3" xfId="29060"/>
    <cellStyle name="Обычный 3 10 5 4 4 2 5 3" xfId="29061"/>
    <cellStyle name="Обычный 3 10 5 4 4 2 5 3 2" xfId="29062"/>
    <cellStyle name="Обычный 3 10 5 4 4 2 5 3 2 2" xfId="29063"/>
    <cellStyle name="Обычный 3 10 5 4 4 2 5 3 3" xfId="29064"/>
    <cellStyle name="Обычный 3 10 5 4 4 2 5 4" xfId="29065"/>
    <cellStyle name="Обычный 3 10 5 4 4 2 5 4 2" xfId="29066"/>
    <cellStyle name="Обычный 3 10 5 4 4 2 5 5" xfId="29067"/>
    <cellStyle name="Обычный 3 10 5 4 4 2 5 5 2" xfId="29068"/>
    <cellStyle name="Обычный 3 10 5 4 4 2 5 6" xfId="29069"/>
    <cellStyle name="Обычный 3 10 5 4 4 2 6" xfId="29070"/>
    <cellStyle name="Обычный 3 10 5 4 4 2 6 2" xfId="29071"/>
    <cellStyle name="Обычный 3 10 5 4 4 2 6 2 2" xfId="29072"/>
    <cellStyle name="Обычный 3 10 5 4 4 2 6 2 2 2" xfId="29073"/>
    <cellStyle name="Обычный 3 10 5 4 4 2 6 2 3" xfId="29074"/>
    <cellStyle name="Обычный 3 10 5 4 4 2 6 3" xfId="29075"/>
    <cellStyle name="Обычный 3 10 5 4 4 2 6 3 2" xfId="29076"/>
    <cellStyle name="Обычный 3 10 5 4 4 2 6 3 2 2" xfId="29077"/>
    <cellStyle name="Обычный 3 10 5 4 4 2 6 3 3" xfId="29078"/>
    <cellStyle name="Обычный 3 10 5 4 4 2 6 4" xfId="29079"/>
    <cellStyle name="Обычный 3 10 5 4 4 2 6 4 2" xfId="29080"/>
    <cellStyle name="Обычный 3 10 5 4 4 2 6 5" xfId="29081"/>
    <cellStyle name="Обычный 3 10 5 4 4 2 7" xfId="29082"/>
    <cellStyle name="Обычный 3 10 5 4 4 2 7 2" xfId="29083"/>
    <cellStyle name="Обычный 3 10 5 4 4 2 7 2 2" xfId="29084"/>
    <cellStyle name="Обычный 3 10 5 4 4 2 7 3" xfId="29085"/>
    <cellStyle name="Обычный 3 10 5 4 4 2 8" xfId="29086"/>
    <cellStyle name="Обычный 3 10 5 4 4 2 8 2" xfId="29087"/>
    <cellStyle name="Обычный 3 10 5 4 4 2 8 2 2" xfId="29088"/>
    <cellStyle name="Обычный 3 10 5 4 4 2 8 3" xfId="29089"/>
    <cellStyle name="Обычный 3 10 5 4 4 2 9" xfId="29090"/>
    <cellStyle name="Обычный 3 10 5 4 4 2 9 2" xfId="29091"/>
    <cellStyle name="Обычный 3 10 5 4 4 3" xfId="29092"/>
    <cellStyle name="Обычный 3 10 5 4 4 3 10" xfId="29093"/>
    <cellStyle name="Обычный 3 10 5 4 4 3 10 2" xfId="29094"/>
    <cellStyle name="Обычный 3 10 5 4 4 3 11" xfId="29095"/>
    <cellStyle name="Обычный 3 10 5 4 4 3 2" xfId="29096"/>
    <cellStyle name="Обычный 3 10 5 4 4 3 2 10" xfId="29097"/>
    <cellStyle name="Обычный 3 10 5 4 4 3 2 10 2" xfId="29098"/>
    <cellStyle name="Обычный 3 10 5 4 4 3 2 11" xfId="29099"/>
    <cellStyle name="Обычный 3 10 5 4 4 3 2 2" xfId="29100"/>
    <cellStyle name="Обычный 3 10 5 4 4 3 2 2 2" xfId="29101"/>
    <cellStyle name="Обычный 3 10 5 4 4 3 2 2 2 2" xfId="29102"/>
    <cellStyle name="Обычный 3 10 5 4 4 3 2 2 2 2 2" xfId="29103"/>
    <cellStyle name="Обычный 3 10 5 4 4 3 2 2 2 2 2 2" xfId="29104"/>
    <cellStyle name="Обычный 3 10 5 4 4 3 2 2 2 2 3" xfId="29105"/>
    <cellStyle name="Обычный 3 10 5 4 4 3 2 2 2 3" xfId="29106"/>
    <cellStyle name="Обычный 3 10 5 4 4 3 2 2 2 3 2" xfId="29107"/>
    <cellStyle name="Обычный 3 10 5 4 4 3 2 2 2 3 2 2" xfId="29108"/>
    <cellStyle name="Обычный 3 10 5 4 4 3 2 2 2 3 3" xfId="29109"/>
    <cellStyle name="Обычный 3 10 5 4 4 3 2 2 2 4" xfId="29110"/>
    <cellStyle name="Обычный 3 10 5 4 4 3 2 2 2 4 2" xfId="29111"/>
    <cellStyle name="Обычный 3 10 5 4 4 3 2 2 2 5" xfId="29112"/>
    <cellStyle name="Обычный 3 10 5 4 4 3 2 2 3" xfId="29113"/>
    <cellStyle name="Обычный 3 10 5 4 4 3 2 2 3 2" xfId="29114"/>
    <cellStyle name="Обычный 3 10 5 4 4 3 2 2 3 2 2" xfId="29115"/>
    <cellStyle name="Обычный 3 10 5 4 4 3 2 2 3 2 2 2" xfId="29116"/>
    <cellStyle name="Обычный 3 10 5 4 4 3 2 2 3 2 3" xfId="29117"/>
    <cellStyle name="Обычный 3 10 5 4 4 3 2 2 3 3" xfId="29118"/>
    <cellStyle name="Обычный 3 10 5 4 4 3 2 2 3 3 2" xfId="29119"/>
    <cellStyle name="Обычный 3 10 5 4 4 3 2 2 3 3 2 2" xfId="29120"/>
    <cellStyle name="Обычный 3 10 5 4 4 3 2 2 3 3 3" xfId="29121"/>
    <cellStyle name="Обычный 3 10 5 4 4 3 2 2 3 4" xfId="29122"/>
    <cellStyle name="Обычный 3 10 5 4 4 3 2 2 3 4 2" xfId="29123"/>
    <cellStyle name="Обычный 3 10 5 4 4 3 2 2 3 5" xfId="29124"/>
    <cellStyle name="Обычный 3 10 5 4 4 3 2 2 4" xfId="29125"/>
    <cellStyle name="Обычный 3 10 5 4 4 3 2 2 4 2" xfId="29126"/>
    <cellStyle name="Обычный 3 10 5 4 4 3 2 2 4 2 2" xfId="29127"/>
    <cellStyle name="Обычный 3 10 5 4 4 3 2 2 4 3" xfId="29128"/>
    <cellStyle name="Обычный 3 10 5 4 4 3 2 2 5" xfId="29129"/>
    <cellStyle name="Обычный 3 10 5 4 4 3 2 2 5 2" xfId="29130"/>
    <cellStyle name="Обычный 3 10 5 4 4 3 2 2 5 2 2" xfId="29131"/>
    <cellStyle name="Обычный 3 10 5 4 4 3 2 2 5 3" xfId="29132"/>
    <cellStyle name="Обычный 3 10 5 4 4 3 2 2 6" xfId="29133"/>
    <cellStyle name="Обычный 3 10 5 4 4 3 2 2 6 2" xfId="29134"/>
    <cellStyle name="Обычный 3 10 5 4 4 3 2 2 7" xfId="29135"/>
    <cellStyle name="Обычный 3 10 5 4 4 3 2 2 7 2" xfId="29136"/>
    <cellStyle name="Обычный 3 10 5 4 4 3 2 2 8" xfId="29137"/>
    <cellStyle name="Обычный 3 10 5 4 4 3 2 3" xfId="29138"/>
    <cellStyle name="Обычный 3 10 5 4 4 3 2 3 2" xfId="29139"/>
    <cellStyle name="Обычный 3 10 5 4 4 3 2 3 2 2" xfId="29140"/>
    <cellStyle name="Обычный 3 10 5 4 4 3 2 3 2 2 2" xfId="29141"/>
    <cellStyle name="Обычный 3 10 5 4 4 3 2 3 2 2 2 2" xfId="29142"/>
    <cellStyle name="Обычный 3 10 5 4 4 3 2 3 2 2 3" xfId="29143"/>
    <cellStyle name="Обычный 3 10 5 4 4 3 2 3 2 3" xfId="29144"/>
    <cellStyle name="Обычный 3 10 5 4 4 3 2 3 2 3 2" xfId="29145"/>
    <cellStyle name="Обычный 3 10 5 4 4 3 2 3 2 3 2 2" xfId="29146"/>
    <cellStyle name="Обычный 3 10 5 4 4 3 2 3 2 3 3" xfId="29147"/>
    <cellStyle name="Обычный 3 10 5 4 4 3 2 3 2 4" xfId="29148"/>
    <cellStyle name="Обычный 3 10 5 4 4 3 2 3 2 4 2" xfId="29149"/>
    <cellStyle name="Обычный 3 10 5 4 4 3 2 3 2 5" xfId="29150"/>
    <cellStyle name="Обычный 3 10 5 4 4 3 2 3 3" xfId="29151"/>
    <cellStyle name="Обычный 3 10 5 4 4 3 2 3 3 2" xfId="29152"/>
    <cellStyle name="Обычный 3 10 5 4 4 3 2 3 3 2 2" xfId="29153"/>
    <cellStyle name="Обычный 3 10 5 4 4 3 2 3 3 2 2 2" xfId="29154"/>
    <cellStyle name="Обычный 3 10 5 4 4 3 2 3 3 2 2 2 2" xfId="29155"/>
    <cellStyle name="Обычный 3 10 5 4 4 3 2 3 3 2 2 3" xfId="29156"/>
    <cellStyle name="Обычный 3 10 5 4 4 3 2 3 3 2 3" xfId="29157"/>
    <cellStyle name="Обычный 3 10 5 4 4 3 2 3 3 2 3 2" xfId="29158"/>
    <cellStyle name="Обычный 3 10 5 4 4 3 2 3 3 2 3 2 2" xfId="29159"/>
    <cellStyle name="Обычный 3 10 5 4 4 3 2 3 3 2 3 3" xfId="29160"/>
    <cellStyle name="Обычный 3 10 5 4 4 3 2 3 3 2 4" xfId="29161"/>
    <cellStyle name="Обычный 3 10 5 4 4 3 2 3 3 2 4 2" xfId="29162"/>
    <cellStyle name="Обычный 3 10 5 4 4 3 2 3 3 2 5" xfId="29163"/>
    <cellStyle name="Обычный 3 10 5 4 4 3 2 3 3 3" xfId="29164"/>
    <cellStyle name="Обычный 3 10 5 4 4 3 2 3 3 3 2" xfId="29165"/>
    <cellStyle name="Обычный 3 10 5 4 4 3 2 3 3 3 2 2" xfId="29166"/>
    <cellStyle name="Обычный 3 10 5 4 4 3 2 3 3 3 3" xfId="29167"/>
    <cellStyle name="Обычный 3 10 5 4 4 3 2 3 3 4" xfId="29168"/>
    <cellStyle name="Обычный 3 10 5 4 4 3 2 3 3 4 2" xfId="29169"/>
    <cellStyle name="Обычный 3 10 5 4 4 3 2 3 3 4 2 2" xfId="29170"/>
    <cellStyle name="Обычный 3 10 5 4 4 3 2 3 3 4 3" xfId="29171"/>
    <cellStyle name="Обычный 3 10 5 4 4 3 2 3 3 5" xfId="29172"/>
    <cellStyle name="Обычный 3 10 5 4 4 3 2 3 3 5 2" xfId="29173"/>
    <cellStyle name="Обычный 3 10 5 4 4 3 2 3 3 6" xfId="29174"/>
    <cellStyle name="Обычный 3 10 5 4 4 3 2 3 4" xfId="29175"/>
    <cellStyle name="Обычный 3 10 5 4 4 3 2 3 4 2" xfId="29176"/>
    <cellStyle name="Обычный 3 10 5 4 4 3 2 3 4 2 2" xfId="29177"/>
    <cellStyle name="Обычный 3 10 5 4 4 3 2 3 4 2 2 2" xfId="29178"/>
    <cellStyle name="Обычный 3 10 5 4 4 3 2 3 4 2 3" xfId="29179"/>
    <cellStyle name="Обычный 3 10 5 4 4 3 2 3 4 3" xfId="29180"/>
    <cellStyle name="Обычный 3 10 5 4 4 3 2 3 4 3 2" xfId="29181"/>
    <cellStyle name="Обычный 3 10 5 4 4 3 2 3 4 3 2 2" xfId="29182"/>
    <cellStyle name="Обычный 3 10 5 4 4 3 2 3 4 3 3" xfId="29183"/>
    <cellStyle name="Обычный 3 10 5 4 4 3 2 3 4 4" xfId="29184"/>
    <cellStyle name="Обычный 3 10 5 4 4 3 2 3 4 4 2" xfId="29185"/>
    <cellStyle name="Обычный 3 10 5 4 4 3 2 3 4 5" xfId="29186"/>
    <cellStyle name="Обычный 3 10 5 4 4 3 2 3 5" xfId="29187"/>
    <cellStyle name="Обычный 3 10 5 4 4 3 2 3 5 2" xfId="29188"/>
    <cellStyle name="Обычный 3 10 5 4 4 3 2 3 5 2 2" xfId="29189"/>
    <cellStyle name="Обычный 3 10 5 4 4 3 2 3 5 3" xfId="29190"/>
    <cellStyle name="Обычный 3 10 5 4 4 3 2 3 6" xfId="29191"/>
    <cellStyle name="Обычный 3 10 5 4 4 3 2 3 6 2" xfId="29192"/>
    <cellStyle name="Обычный 3 10 5 4 4 3 2 3 6 2 2" xfId="29193"/>
    <cellStyle name="Обычный 3 10 5 4 4 3 2 3 6 3" xfId="29194"/>
    <cellStyle name="Обычный 3 10 5 4 4 3 2 3 7" xfId="29195"/>
    <cellStyle name="Обычный 3 10 5 4 4 3 2 3 7 2" xfId="29196"/>
    <cellStyle name="Обычный 3 10 5 4 4 3 2 3 8" xfId="29197"/>
    <cellStyle name="Обычный 3 10 5 4 4 3 2 3 8 2" xfId="29198"/>
    <cellStyle name="Обычный 3 10 5 4 4 3 2 3 9" xfId="29199"/>
    <cellStyle name="Обычный 3 10 5 4 4 3 2 4" xfId="29200"/>
    <cellStyle name="Обычный 3 10 5 4 4 3 2 4 2" xfId="29201"/>
    <cellStyle name="Обычный 3 10 5 4 4 3 2 4 2 2" xfId="29202"/>
    <cellStyle name="Обычный 3 10 5 4 4 3 2 4 2 2 2" xfId="29203"/>
    <cellStyle name="Обычный 3 10 5 4 4 3 2 4 2 2 2 2" xfId="29204"/>
    <cellStyle name="Обычный 3 10 5 4 4 3 2 4 2 2 3" xfId="29205"/>
    <cellStyle name="Обычный 3 10 5 4 4 3 2 4 2 3" xfId="29206"/>
    <cellStyle name="Обычный 3 10 5 4 4 3 2 4 2 3 2" xfId="29207"/>
    <cellStyle name="Обычный 3 10 5 4 4 3 2 4 2 3 2 2" xfId="29208"/>
    <cellStyle name="Обычный 3 10 5 4 4 3 2 4 2 3 3" xfId="29209"/>
    <cellStyle name="Обычный 3 10 5 4 4 3 2 4 2 4" xfId="29210"/>
    <cellStyle name="Обычный 3 10 5 4 4 3 2 4 2 4 2" xfId="29211"/>
    <cellStyle name="Обычный 3 10 5 4 4 3 2 4 2 5" xfId="29212"/>
    <cellStyle name="Обычный 3 10 5 4 4 3 2 4 3" xfId="29213"/>
    <cellStyle name="Обычный 3 10 5 4 4 3 2 4 3 2" xfId="29214"/>
    <cellStyle name="Обычный 3 10 5 4 4 3 2 4 3 2 2" xfId="29215"/>
    <cellStyle name="Обычный 3 10 5 4 4 3 2 4 3 2 2 2" xfId="29216"/>
    <cellStyle name="Обычный 3 10 5 4 4 3 2 4 3 2 3" xfId="29217"/>
    <cellStyle name="Обычный 3 10 5 4 4 3 2 4 3 3" xfId="29218"/>
    <cellStyle name="Обычный 3 10 5 4 4 3 2 4 3 3 2" xfId="29219"/>
    <cellStyle name="Обычный 3 10 5 4 4 3 2 4 3 3 2 2" xfId="29220"/>
    <cellStyle name="Обычный 3 10 5 4 4 3 2 4 3 3 3" xfId="29221"/>
    <cellStyle name="Обычный 3 10 5 4 4 3 2 4 3 4" xfId="29222"/>
    <cellStyle name="Обычный 3 10 5 4 4 3 2 4 3 4 2" xfId="29223"/>
    <cellStyle name="Обычный 3 10 5 4 4 3 2 4 3 5" xfId="29224"/>
    <cellStyle name="Обычный 3 10 5 4 4 3 2 4 4" xfId="29225"/>
    <cellStyle name="Обычный 3 10 5 4 4 3 2 4 4 2" xfId="29226"/>
    <cellStyle name="Обычный 3 10 5 4 4 3 2 4 4 2 2" xfId="29227"/>
    <cellStyle name="Обычный 3 10 5 4 4 3 2 4 4 3" xfId="29228"/>
    <cellStyle name="Обычный 3 10 5 4 4 3 2 4 5" xfId="29229"/>
    <cellStyle name="Обычный 3 10 5 4 4 3 2 4 5 2" xfId="29230"/>
    <cellStyle name="Обычный 3 10 5 4 4 3 2 4 5 2 2" xfId="29231"/>
    <cellStyle name="Обычный 3 10 5 4 4 3 2 4 5 3" xfId="29232"/>
    <cellStyle name="Обычный 3 10 5 4 4 3 2 4 6" xfId="29233"/>
    <cellStyle name="Обычный 3 10 5 4 4 3 2 4 6 2" xfId="29234"/>
    <cellStyle name="Обычный 3 10 5 4 4 3 2 4 7" xfId="29235"/>
    <cellStyle name="Обычный 3 10 5 4 4 3 2 4 7 2" xfId="29236"/>
    <cellStyle name="Обычный 3 10 5 4 4 3 2 4 8" xfId="29237"/>
    <cellStyle name="Обычный 3 10 5 4 4 3 2 5" xfId="29238"/>
    <cellStyle name="Обычный 3 10 5 4 4 3 2 5 2" xfId="29239"/>
    <cellStyle name="Обычный 3 10 5 4 4 3 2 5 2 2" xfId="29240"/>
    <cellStyle name="Обычный 3 10 5 4 4 3 2 5 2 2 2" xfId="29241"/>
    <cellStyle name="Обычный 3 10 5 4 4 3 2 5 2 3" xfId="29242"/>
    <cellStyle name="Обычный 3 10 5 4 4 3 2 5 3" xfId="29243"/>
    <cellStyle name="Обычный 3 10 5 4 4 3 2 5 3 2" xfId="29244"/>
    <cellStyle name="Обычный 3 10 5 4 4 3 2 5 3 2 2" xfId="29245"/>
    <cellStyle name="Обычный 3 10 5 4 4 3 2 5 3 3" xfId="29246"/>
    <cellStyle name="Обычный 3 10 5 4 4 3 2 5 4" xfId="29247"/>
    <cellStyle name="Обычный 3 10 5 4 4 3 2 5 4 2" xfId="29248"/>
    <cellStyle name="Обычный 3 10 5 4 4 3 2 5 5" xfId="29249"/>
    <cellStyle name="Обычный 3 10 5 4 4 3 2 6" xfId="29250"/>
    <cellStyle name="Обычный 3 10 5 4 4 3 2 6 2" xfId="29251"/>
    <cellStyle name="Обычный 3 10 5 4 4 3 2 6 2 2" xfId="29252"/>
    <cellStyle name="Обычный 3 10 5 4 4 3 2 6 2 2 2" xfId="29253"/>
    <cellStyle name="Обычный 3 10 5 4 4 3 2 6 2 3" xfId="29254"/>
    <cellStyle name="Обычный 3 10 5 4 4 3 2 6 3" xfId="29255"/>
    <cellStyle name="Обычный 3 10 5 4 4 3 2 6 3 2" xfId="29256"/>
    <cellStyle name="Обычный 3 10 5 4 4 3 2 6 3 2 2" xfId="29257"/>
    <cellStyle name="Обычный 3 10 5 4 4 3 2 6 3 3" xfId="29258"/>
    <cellStyle name="Обычный 3 10 5 4 4 3 2 6 4" xfId="29259"/>
    <cellStyle name="Обычный 3 10 5 4 4 3 2 6 4 2" xfId="29260"/>
    <cellStyle name="Обычный 3 10 5 4 4 3 2 6 5" xfId="29261"/>
    <cellStyle name="Обычный 3 10 5 4 4 3 2 7" xfId="29262"/>
    <cellStyle name="Обычный 3 10 5 4 4 3 2 7 2" xfId="29263"/>
    <cellStyle name="Обычный 3 10 5 4 4 3 2 7 2 2" xfId="29264"/>
    <cellStyle name="Обычный 3 10 5 4 4 3 2 7 3" xfId="29265"/>
    <cellStyle name="Обычный 3 10 5 4 4 3 2 8" xfId="29266"/>
    <cellStyle name="Обычный 3 10 5 4 4 3 2 8 2" xfId="29267"/>
    <cellStyle name="Обычный 3 10 5 4 4 3 2 8 2 2" xfId="29268"/>
    <cellStyle name="Обычный 3 10 5 4 4 3 2 8 3" xfId="29269"/>
    <cellStyle name="Обычный 3 10 5 4 4 3 2 9" xfId="29270"/>
    <cellStyle name="Обычный 3 10 5 4 4 3 2 9 2" xfId="29271"/>
    <cellStyle name="Обычный 3 10 5 4 4 3 3" xfId="29272"/>
    <cellStyle name="Обычный 3 10 5 4 4 3 3 2" xfId="29273"/>
    <cellStyle name="Обычный 3 10 5 4 4 3 3 2 2" xfId="29274"/>
    <cellStyle name="Обычный 3 10 5 4 4 3 3 2 2 2" xfId="29275"/>
    <cellStyle name="Обычный 3 10 5 4 4 3 3 2 2 2 2" xfId="29276"/>
    <cellStyle name="Обычный 3 10 5 4 4 3 3 2 2 2 2 2" xfId="29277"/>
    <cellStyle name="Обычный 3 10 5 4 4 3 3 2 2 2 2 2 2" xfId="29278"/>
    <cellStyle name="Обычный 3 10 5 4 4 3 3 2 2 2 2 3" xfId="29279"/>
    <cellStyle name="Обычный 3 10 5 4 4 3 3 2 2 2 3" xfId="29280"/>
    <cellStyle name="Обычный 3 10 5 4 4 3 3 2 2 2 3 2" xfId="29281"/>
    <cellStyle name="Обычный 3 10 5 4 4 3 3 2 2 2 4" xfId="29282"/>
    <cellStyle name="Обычный 3 10 5 4 4 3 3 2 2 3" xfId="29283"/>
    <cellStyle name="Обычный 3 10 5 4 4 3 3 2 2 3 2" xfId="29284"/>
    <cellStyle name="Обычный 3 10 5 4 4 3 3 2 2 3 2 2" xfId="29285"/>
    <cellStyle name="Обычный 3 10 5 4 4 3 3 2 2 3 3" xfId="29286"/>
    <cellStyle name="Обычный 3 10 5 4 4 3 3 2 2 4" xfId="29287"/>
    <cellStyle name="Обычный 3 10 5 4 4 3 3 2 2 4 2" xfId="29288"/>
    <cellStyle name="Обычный 3 10 5 4 4 3 3 2 2 4 2 2" xfId="29289"/>
    <cellStyle name="Обычный 3 10 5 4 4 3 3 2 2 4 3" xfId="29290"/>
    <cellStyle name="Обычный 3 10 5 4 4 3 3 2 2 5" xfId="29291"/>
    <cellStyle name="Обычный 3 10 5 4 4 3 3 2 2 5 2" xfId="29292"/>
    <cellStyle name="Обычный 3 10 5 4 4 3 3 2 2 6" xfId="29293"/>
    <cellStyle name="Обычный 3 10 5 4 4 3 3 2 3" xfId="29294"/>
    <cellStyle name="Обычный 3 10 5 4 4 3 3 2 3 2" xfId="29295"/>
    <cellStyle name="Обычный 3 10 5 4 4 3 3 2 3 2 2" xfId="29296"/>
    <cellStyle name="Обычный 3 10 5 4 4 3 3 2 3 2 2 2" xfId="29297"/>
    <cellStyle name="Обычный 3 10 5 4 4 3 3 2 3 2 3" xfId="29298"/>
    <cellStyle name="Обычный 3 10 5 4 4 3 3 2 3 3" xfId="29299"/>
    <cellStyle name="Обычный 3 10 5 4 4 3 3 2 3 3 2" xfId="29300"/>
    <cellStyle name="Обычный 3 10 5 4 4 3 3 2 3 3 2 2" xfId="29301"/>
    <cellStyle name="Обычный 3 10 5 4 4 3 3 2 3 3 3" xfId="29302"/>
    <cellStyle name="Обычный 3 10 5 4 4 3 3 2 3 4" xfId="29303"/>
    <cellStyle name="Обычный 3 10 5 4 4 3 3 2 3 4 2" xfId="29304"/>
    <cellStyle name="Обычный 3 10 5 4 4 3 3 2 3 5" xfId="29305"/>
    <cellStyle name="Обычный 3 10 5 4 4 3 3 2 4" xfId="29306"/>
    <cellStyle name="Обычный 3 10 5 4 4 3 3 2 4 2" xfId="29307"/>
    <cellStyle name="Обычный 3 10 5 4 4 3 3 2 4 2 2" xfId="29308"/>
    <cellStyle name="Обычный 3 10 5 4 4 3 3 2 4 3" xfId="29309"/>
    <cellStyle name="Обычный 3 10 5 4 4 3 3 2 5" xfId="29310"/>
    <cellStyle name="Обычный 3 10 5 4 4 3 3 2 5 2" xfId="29311"/>
    <cellStyle name="Обычный 3 10 5 4 4 3 3 2 5 2 2" xfId="29312"/>
    <cellStyle name="Обычный 3 10 5 4 4 3 3 2 5 3" xfId="29313"/>
    <cellStyle name="Обычный 3 10 5 4 4 3 3 2 6" xfId="29314"/>
    <cellStyle name="Обычный 3 10 5 4 4 3 3 2 6 2" xfId="29315"/>
    <cellStyle name="Обычный 3 10 5 4 4 3 3 2 7" xfId="29316"/>
    <cellStyle name="Обычный 3 10 5 4 4 3 3 2 7 2" xfId="29317"/>
    <cellStyle name="Обычный 3 10 5 4 4 3 3 2 8" xfId="29318"/>
    <cellStyle name="Обычный 3 10 5 4 4 3 3 3" xfId="29319"/>
    <cellStyle name="Обычный 3 10 5 4 4 3 3 3 2" xfId="29320"/>
    <cellStyle name="Обычный 3 10 5 4 4 3 3 3 2 2" xfId="29321"/>
    <cellStyle name="Обычный 3 10 5 4 4 3 3 3 2 2 2" xfId="29322"/>
    <cellStyle name="Обычный 3 10 5 4 4 3 3 3 2 2 2 2" xfId="29323"/>
    <cellStyle name="Обычный 3 10 5 4 4 3 3 3 2 2 3" xfId="29324"/>
    <cellStyle name="Обычный 3 10 5 4 4 3 3 3 2 3" xfId="29325"/>
    <cellStyle name="Обычный 3 10 5 4 4 3 3 3 2 3 2" xfId="29326"/>
    <cellStyle name="Обычный 3 10 5 4 4 3 3 3 2 3 2 2" xfId="29327"/>
    <cellStyle name="Обычный 3 10 5 4 4 3 3 3 2 3 3" xfId="29328"/>
    <cellStyle name="Обычный 3 10 5 4 4 3 3 3 2 4" xfId="29329"/>
    <cellStyle name="Обычный 3 10 5 4 4 3 3 3 2 4 2" xfId="29330"/>
    <cellStyle name="Обычный 3 10 5 4 4 3 3 3 2 5" xfId="29331"/>
    <cellStyle name="Обычный 3 10 5 4 4 3 3 3 3" xfId="29332"/>
    <cellStyle name="Обычный 3 10 5 4 4 3 3 3 3 2" xfId="29333"/>
    <cellStyle name="Обычный 3 10 5 4 4 3 3 3 3 2 2" xfId="29334"/>
    <cellStyle name="Обычный 3 10 5 4 4 3 3 3 3 3" xfId="29335"/>
    <cellStyle name="Обычный 3 10 5 4 4 3 3 3 4" xfId="29336"/>
    <cellStyle name="Обычный 3 10 5 4 4 3 3 3 4 2" xfId="29337"/>
    <cellStyle name="Обычный 3 10 5 4 4 3 3 3 4 2 2" xfId="29338"/>
    <cellStyle name="Обычный 3 10 5 4 4 3 3 3 4 3" xfId="29339"/>
    <cellStyle name="Обычный 3 10 5 4 4 3 3 3 5" xfId="29340"/>
    <cellStyle name="Обычный 3 10 5 4 4 3 3 3 5 2" xfId="29341"/>
    <cellStyle name="Обычный 3 10 5 4 4 3 3 3 6" xfId="29342"/>
    <cellStyle name="Обычный 3 10 5 4 4 3 3 4" xfId="29343"/>
    <cellStyle name="Обычный 3 10 5 4 4 3 3 4 2" xfId="29344"/>
    <cellStyle name="Обычный 3 10 5 4 4 3 3 4 2 2" xfId="29345"/>
    <cellStyle name="Обычный 3 10 5 4 4 3 3 4 2 2 2" xfId="29346"/>
    <cellStyle name="Обычный 3 10 5 4 4 3 3 4 2 3" xfId="29347"/>
    <cellStyle name="Обычный 3 10 5 4 4 3 3 4 3" xfId="29348"/>
    <cellStyle name="Обычный 3 10 5 4 4 3 3 4 3 2" xfId="29349"/>
    <cellStyle name="Обычный 3 10 5 4 4 3 3 4 3 2 2" xfId="29350"/>
    <cellStyle name="Обычный 3 10 5 4 4 3 3 4 3 3" xfId="29351"/>
    <cellStyle name="Обычный 3 10 5 4 4 3 3 4 4" xfId="29352"/>
    <cellStyle name="Обычный 3 10 5 4 4 3 3 4 4 2" xfId="29353"/>
    <cellStyle name="Обычный 3 10 5 4 4 3 3 4 5" xfId="29354"/>
    <cellStyle name="Обычный 3 10 5 4 4 3 3 5" xfId="29355"/>
    <cellStyle name="Обычный 3 10 5 4 4 3 3 5 2" xfId="29356"/>
    <cellStyle name="Обычный 3 10 5 4 4 3 3 5 2 2" xfId="29357"/>
    <cellStyle name="Обычный 3 10 5 4 4 3 3 5 3" xfId="29358"/>
    <cellStyle name="Обычный 3 10 5 4 4 3 3 6" xfId="29359"/>
    <cellStyle name="Обычный 3 10 5 4 4 3 3 6 2" xfId="29360"/>
    <cellStyle name="Обычный 3 10 5 4 4 3 3 6 2 2" xfId="29361"/>
    <cellStyle name="Обычный 3 10 5 4 4 3 3 6 3" xfId="29362"/>
    <cellStyle name="Обычный 3 10 5 4 4 3 3 7" xfId="29363"/>
    <cellStyle name="Обычный 3 10 5 4 4 3 3 7 2" xfId="29364"/>
    <cellStyle name="Обычный 3 10 5 4 4 3 3 8" xfId="29365"/>
    <cellStyle name="Обычный 3 10 5 4 4 3 3 8 2" xfId="29366"/>
    <cellStyle name="Обычный 3 10 5 4 4 3 3 9" xfId="29367"/>
    <cellStyle name="Обычный 3 10 5 4 4 3 4" xfId="29368"/>
    <cellStyle name="Обычный 3 10 5 4 4 3 4 2" xfId="29369"/>
    <cellStyle name="Обычный 3 10 5 4 4 3 4 2 2" xfId="29370"/>
    <cellStyle name="Обычный 3 10 5 4 4 3 4 2 2 2" xfId="29371"/>
    <cellStyle name="Обычный 3 10 5 4 4 3 4 2 2 2 2" xfId="29372"/>
    <cellStyle name="Обычный 3 10 5 4 4 3 4 2 2 3" xfId="29373"/>
    <cellStyle name="Обычный 3 10 5 4 4 3 4 2 3" xfId="29374"/>
    <cellStyle name="Обычный 3 10 5 4 4 3 4 2 3 2" xfId="29375"/>
    <cellStyle name="Обычный 3 10 5 4 4 3 4 2 3 2 2" xfId="29376"/>
    <cellStyle name="Обычный 3 10 5 4 4 3 4 2 3 3" xfId="29377"/>
    <cellStyle name="Обычный 3 10 5 4 4 3 4 2 4" xfId="29378"/>
    <cellStyle name="Обычный 3 10 5 4 4 3 4 2 4 2" xfId="29379"/>
    <cellStyle name="Обычный 3 10 5 4 4 3 4 2 5" xfId="29380"/>
    <cellStyle name="Обычный 3 10 5 4 4 3 4 3" xfId="29381"/>
    <cellStyle name="Обычный 3 10 5 4 4 3 4 3 2" xfId="29382"/>
    <cellStyle name="Обычный 3 10 5 4 4 3 4 3 2 2" xfId="29383"/>
    <cellStyle name="Обычный 3 10 5 4 4 3 4 3 2 2 2" xfId="29384"/>
    <cellStyle name="Обычный 3 10 5 4 4 3 4 3 2 3" xfId="29385"/>
    <cellStyle name="Обычный 3 10 5 4 4 3 4 3 3" xfId="29386"/>
    <cellStyle name="Обычный 3 10 5 4 4 3 4 3 3 2" xfId="29387"/>
    <cellStyle name="Обычный 3 10 5 4 4 3 4 3 3 2 2" xfId="29388"/>
    <cellStyle name="Обычный 3 10 5 4 4 3 4 3 3 3" xfId="29389"/>
    <cellStyle name="Обычный 3 10 5 4 4 3 4 3 4" xfId="29390"/>
    <cellStyle name="Обычный 3 10 5 4 4 3 4 3 4 2" xfId="29391"/>
    <cellStyle name="Обычный 3 10 5 4 4 3 4 3 5" xfId="29392"/>
    <cellStyle name="Обычный 3 10 5 4 4 3 4 4" xfId="29393"/>
    <cellStyle name="Обычный 3 10 5 4 4 3 4 4 2" xfId="29394"/>
    <cellStyle name="Обычный 3 10 5 4 4 3 4 4 2 2" xfId="29395"/>
    <cellStyle name="Обычный 3 10 5 4 4 3 4 4 3" xfId="29396"/>
    <cellStyle name="Обычный 3 10 5 4 4 3 4 5" xfId="29397"/>
    <cellStyle name="Обычный 3 10 5 4 4 3 4 5 2" xfId="29398"/>
    <cellStyle name="Обычный 3 10 5 4 4 3 4 5 2 2" xfId="29399"/>
    <cellStyle name="Обычный 3 10 5 4 4 3 4 5 3" xfId="29400"/>
    <cellStyle name="Обычный 3 10 5 4 4 3 4 6" xfId="29401"/>
    <cellStyle name="Обычный 3 10 5 4 4 3 4 6 2" xfId="29402"/>
    <cellStyle name="Обычный 3 10 5 4 4 3 4 7" xfId="29403"/>
    <cellStyle name="Обычный 3 10 5 4 4 3 4 7 2" xfId="29404"/>
    <cellStyle name="Обычный 3 10 5 4 4 3 4 8" xfId="29405"/>
    <cellStyle name="Обычный 3 10 5 4 4 3 5" xfId="29406"/>
    <cellStyle name="Обычный 3 10 5 4 4 3 5 2" xfId="29407"/>
    <cellStyle name="Обычный 3 10 5 4 4 3 5 2 2" xfId="29408"/>
    <cellStyle name="Обычный 3 10 5 4 4 3 5 2 2 2" xfId="29409"/>
    <cellStyle name="Обычный 3 10 5 4 4 3 5 2 3" xfId="29410"/>
    <cellStyle name="Обычный 3 10 5 4 4 3 5 3" xfId="29411"/>
    <cellStyle name="Обычный 3 10 5 4 4 3 5 3 2" xfId="29412"/>
    <cellStyle name="Обычный 3 10 5 4 4 3 5 3 2 2" xfId="29413"/>
    <cellStyle name="Обычный 3 10 5 4 4 3 5 3 3" xfId="29414"/>
    <cellStyle name="Обычный 3 10 5 4 4 3 5 4" xfId="29415"/>
    <cellStyle name="Обычный 3 10 5 4 4 3 5 4 2" xfId="29416"/>
    <cellStyle name="Обычный 3 10 5 4 4 3 5 5" xfId="29417"/>
    <cellStyle name="Обычный 3 10 5 4 4 3 5 5 2" xfId="29418"/>
    <cellStyle name="Обычный 3 10 5 4 4 3 5 6" xfId="29419"/>
    <cellStyle name="Обычный 3 10 5 4 4 3 6" xfId="29420"/>
    <cellStyle name="Обычный 3 10 5 4 4 3 6 2" xfId="29421"/>
    <cellStyle name="Обычный 3 10 5 4 4 3 6 2 2" xfId="29422"/>
    <cellStyle name="Обычный 3 10 5 4 4 3 6 2 2 2" xfId="29423"/>
    <cellStyle name="Обычный 3 10 5 4 4 3 6 2 3" xfId="29424"/>
    <cellStyle name="Обычный 3 10 5 4 4 3 6 3" xfId="29425"/>
    <cellStyle name="Обычный 3 10 5 4 4 3 6 3 2" xfId="29426"/>
    <cellStyle name="Обычный 3 10 5 4 4 3 6 3 2 2" xfId="29427"/>
    <cellStyle name="Обычный 3 10 5 4 4 3 6 3 3" xfId="29428"/>
    <cellStyle name="Обычный 3 10 5 4 4 3 6 4" xfId="29429"/>
    <cellStyle name="Обычный 3 10 5 4 4 3 6 4 2" xfId="29430"/>
    <cellStyle name="Обычный 3 10 5 4 4 3 6 5" xfId="29431"/>
    <cellStyle name="Обычный 3 10 5 4 4 3 7" xfId="29432"/>
    <cellStyle name="Обычный 3 10 5 4 4 3 7 2" xfId="29433"/>
    <cellStyle name="Обычный 3 10 5 4 4 3 7 2 2" xfId="29434"/>
    <cellStyle name="Обычный 3 10 5 4 4 3 7 3" xfId="29435"/>
    <cellStyle name="Обычный 3 10 5 4 4 3 8" xfId="29436"/>
    <cellStyle name="Обычный 3 10 5 4 4 3 8 2" xfId="29437"/>
    <cellStyle name="Обычный 3 10 5 4 4 3 8 2 2" xfId="29438"/>
    <cellStyle name="Обычный 3 10 5 4 4 3 8 3" xfId="29439"/>
    <cellStyle name="Обычный 3 10 5 4 4 3 9" xfId="29440"/>
    <cellStyle name="Обычный 3 10 5 4 4 3 9 2" xfId="29441"/>
    <cellStyle name="Обычный 3 10 5 4 4 4" xfId="29442"/>
    <cellStyle name="Обычный 3 10 5 4 4 4 2" xfId="29443"/>
    <cellStyle name="Обычный 3 10 5 4 4 4 2 2" xfId="29444"/>
    <cellStyle name="Обычный 3 10 5 4 4 4 2 2 2" xfId="29445"/>
    <cellStyle name="Обычный 3 10 5 4 4 4 2 2 2 2" xfId="29446"/>
    <cellStyle name="Обычный 3 10 5 4 4 4 2 2 2 2 2" xfId="29447"/>
    <cellStyle name="Обычный 3 10 5 4 4 4 2 2 2 3" xfId="29448"/>
    <cellStyle name="Обычный 3 10 5 4 4 4 2 2 3" xfId="29449"/>
    <cellStyle name="Обычный 3 10 5 4 4 4 2 2 3 2" xfId="29450"/>
    <cellStyle name="Обычный 3 10 5 4 4 4 2 2 3 2 2" xfId="29451"/>
    <cellStyle name="Обычный 3 10 5 4 4 4 2 2 3 3" xfId="29452"/>
    <cellStyle name="Обычный 3 10 5 4 4 4 2 2 4" xfId="29453"/>
    <cellStyle name="Обычный 3 10 5 4 4 4 2 2 4 2" xfId="29454"/>
    <cellStyle name="Обычный 3 10 5 4 4 4 2 2 5" xfId="29455"/>
    <cellStyle name="Обычный 3 10 5 4 4 4 2 2 5 2" xfId="29456"/>
    <cellStyle name="Обычный 3 10 5 4 4 4 2 2 6" xfId="29457"/>
    <cellStyle name="Обычный 3 10 5 4 4 4 2 3" xfId="29458"/>
    <cellStyle name="Обычный 3 10 5 4 4 4 2 3 2" xfId="29459"/>
    <cellStyle name="Обычный 3 10 5 4 4 4 2 3 2 2" xfId="29460"/>
    <cellStyle name="Обычный 3 10 5 4 4 4 2 3 2 2 2" xfId="29461"/>
    <cellStyle name="Обычный 3 10 5 4 4 4 2 3 2 3" xfId="29462"/>
    <cellStyle name="Обычный 3 10 5 4 4 4 2 3 3" xfId="29463"/>
    <cellStyle name="Обычный 3 10 5 4 4 4 2 3 3 2" xfId="29464"/>
    <cellStyle name="Обычный 3 10 5 4 4 4 2 3 3 2 2" xfId="29465"/>
    <cellStyle name="Обычный 3 10 5 4 4 4 2 3 3 3" xfId="29466"/>
    <cellStyle name="Обычный 3 10 5 4 4 4 2 3 4" xfId="29467"/>
    <cellStyle name="Обычный 3 10 5 4 4 4 2 3 4 2" xfId="29468"/>
    <cellStyle name="Обычный 3 10 5 4 4 4 2 3 5" xfId="29469"/>
    <cellStyle name="Обычный 3 10 5 4 4 4 2 4" xfId="29470"/>
    <cellStyle name="Обычный 3 10 5 4 4 4 2 4 2" xfId="29471"/>
    <cellStyle name="Обычный 3 10 5 4 4 4 2 4 2 2" xfId="29472"/>
    <cellStyle name="Обычный 3 10 5 4 4 4 2 4 3" xfId="29473"/>
    <cellStyle name="Обычный 3 10 5 4 4 4 2 5" xfId="29474"/>
    <cellStyle name="Обычный 3 10 5 4 4 4 2 5 2" xfId="29475"/>
    <cellStyle name="Обычный 3 10 5 4 4 4 2 5 2 2" xfId="29476"/>
    <cellStyle name="Обычный 3 10 5 4 4 4 2 5 3" xfId="29477"/>
    <cellStyle name="Обычный 3 10 5 4 4 4 2 6" xfId="29478"/>
    <cellStyle name="Обычный 3 10 5 4 4 4 2 6 2" xfId="29479"/>
    <cellStyle name="Обычный 3 10 5 4 4 4 2 7" xfId="29480"/>
    <cellStyle name="Обычный 3 10 5 4 4 4 2 7 2" xfId="29481"/>
    <cellStyle name="Обычный 3 10 5 4 4 4 2 8" xfId="29482"/>
    <cellStyle name="Обычный 3 10 5 4 4 4 3" xfId="29483"/>
    <cellStyle name="Обычный 3 10 5 4 4 4 3 2" xfId="29484"/>
    <cellStyle name="Обычный 3 10 5 4 4 4 3 2 2" xfId="29485"/>
    <cellStyle name="Обычный 3 10 5 4 4 4 3 2 2 2" xfId="29486"/>
    <cellStyle name="Обычный 3 10 5 4 4 4 3 2 3" xfId="29487"/>
    <cellStyle name="Обычный 3 10 5 4 4 4 3 3" xfId="29488"/>
    <cellStyle name="Обычный 3 10 5 4 4 4 3 3 2" xfId="29489"/>
    <cellStyle name="Обычный 3 10 5 4 4 4 3 3 2 2" xfId="29490"/>
    <cellStyle name="Обычный 3 10 5 4 4 4 3 3 3" xfId="29491"/>
    <cellStyle name="Обычный 3 10 5 4 4 4 3 4" xfId="29492"/>
    <cellStyle name="Обычный 3 10 5 4 4 4 3 4 2" xfId="29493"/>
    <cellStyle name="Обычный 3 10 5 4 4 4 3 5" xfId="29494"/>
    <cellStyle name="Обычный 3 10 5 4 4 4 3 5 2" xfId="29495"/>
    <cellStyle name="Обычный 3 10 5 4 4 4 3 6" xfId="29496"/>
    <cellStyle name="Обычный 3 10 5 4 4 4 4" xfId="29497"/>
    <cellStyle name="Обычный 3 10 5 4 4 4 4 2" xfId="29498"/>
    <cellStyle name="Обычный 3 10 5 4 4 4 4 2 2" xfId="29499"/>
    <cellStyle name="Обычный 3 10 5 4 4 4 4 2 2 2" xfId="29500"/>
    <cellStyle name="Обычный 3 10 5 4 4 4 4 2 3" xfId="29501"/>
    <cellStyle name="Обычный 3 10 5 4 4 4 4 3" xfId="29502"/>
    <cellStyle name="Обычный 3 10 5 4 4 4 4 3 2" xfId="29503"/>
    <cellStyle name="Обычный 3 10 5 4 4 4 4 3 2 2" xfId="29504"/>
    <cellStyle name="Обычный 3 10 5 4 4 4 4 3 3" xfId="29505"/>
    <cellStyle name="Обычный 3 10 5 4 4 4 4 4" xfId="29506"/>
    <cellStyle name="Обычный 3 10 5 4 4 4 4 4 2" xfId="29507"/>
    <cellStyle name="Обычный 3 10 5 4 4 4 4 5" xfId="29508"/>
    <cellStyle name="Обычный 3 10 5 4 4 4 4 5 2" xfId="29509"/>
    <cellStyle name="Обычный 3 10 5 4 4 4 4 6" xfId="29510"/>
    <cellStyle name="Обычный 3 10 5 4 4 4 5" xfId="29511"/>
    <cellStyle name="Обычный 3 10 5 4 4 4 5 2" xfId="29512"/>
    <cellStyle name="Обычный 3 10 5 4 4 4 5 2 2" xfId="29513"/>
    <cellStyle name="Обычный 3 10 5 4 4 4 5 3" xfId="29514"/>
    <cellStyle name="Обычный 3 10 5 4 4 4 6" xfId="29515"/>
    <cellStyle name="Обычный 3 10 5 4 4 4 6 2" xfId="29516"/>
    <cellStyle name="Обычный 3 10 5 4 4 4 6 2 2" xfId="29517"/>
    <cellStyle name="Обычный 3 10 5 4 4 4 6 3" xfId="29518"/>
    <cellStyle name="Обычный 3 10 5 4 4 4 7" xfId="29519"/>
    <cellStyle name="Обычный 3 10 5 4 4 4 7 2" xfId="29520"/>
    <cellStyle name="Обычный 3 10 5 4 4 4 8" xfId="29521"/>
    <cellStyle name="Обычный 3 10 5 4 4 4 8 2" xfId="29522"/>
    <cellStyle name="Обычный 3 10 5 4 4 4 9" xfId="29523"/>
    <cellStyle name="Обычный 3 10 5 4 4 5" xfId="29524"/>
    <cellStyle name="Обычный 3 10 5 4 4 5 10" xfId="29525"/>
    <cellStyle name="Обычный 3 10 5 4 4 5 10 2" xfId="29526"/>
    <cellStyle name="Обычный 3 10 5 4 4 5 11" xfId="29527"/>
    <cellStyle name="Обычный 3 10 5 4 4 5 2" xfId="29528"/>
    <cellStyle name="Обычный 3 10 5 4 4 5 2 2" xfId="29529"/>
    <cellStyle name="Обычный 3 10 5 4 4 5 2 2 2" xfId="29530"/>
    <cellStyle name="Обычный 3 10 5 4 4 5 2 2 2 2" xfId="29531"/>
    <cellStyle name="Обычный 3 10 5 4 4 5 2 2 2 2 2" xfId="29532"/>
    <cellStyle name="Обычный 3 10 5 4 4 5 2 2 2 2 2 2" xfId="29533"/>
    <cellStyle name="Обычный 3 10 5 4 4 5 2 2 2 2 3" xfId="29534"/>
    <cellStyle name="Обычный 3 10 5 4 4 5 2 2 2 3" xfId="29535"/>
    <cellStyle name="Обычный 3 10 5 4 4 5 2 2 2 3 2" xfId="29536"/>
    <cellStyle name="Обычный 3 10 5 4 4 5 2 2 2 3 2 2" xfId="29537"/>
    <cellStyle name="Обычный 3 10 5 4 4 5 2 2 2 3 3" xfId="29538"/>
    <cellStyle name="Обычный 3 10 5 4 4 5 2 2 2 4" xfId="29539"/>
    <cellStyle name="Обычный 3 10 5 4 4 5 2 2 2 4 2" xfId="29540"/>
    <cellStyle name="Обычный 3 10 5 4 4 5 2 2 2 5" xfId="29541"/>
    <cellStyle name="Обычный 3 10 5 4 4 5 2 2 3" xfId="29542"/>
    <cellStyle name="Обычный 3 10 5 4 4 5 2 2 3 2" xfId="29543"/>
    <cellStyle name="Обычный 3 10 5 4 4 5 2 2 3 2 2" xfId="29544"/>
    <cellStyle name="Обычный 3 10 5 4 4 5 2 2 3 2 2 2" xfId="29545"/>
    <cellStyle name="Обычный 3 10 5 4 4 5 2 2 3 2 3" xfId="29546"/>
    <cellStyle name="Обычный 3 10 5 4 4 5 2 2 3 3" xfId="29547"/>
    <cellStyle name="Обычный 3 10 5 4 4 5 2 2 3 3 2" xfId="29548"/>
    <cellStyle name="Обычный 3 10 5 4 4 5 2 2 3 3 2 2" xfId="29549"/>
    <cellStyle name="Обычный 3 10 5 4 4 5 2 2 3 3 3" xfId="29550"/>
    <cellStyle name="Обычный 3 10 5 4 4 5 2 2 3 4" xfId="29551"/>
    <cellStyle name="Обычный 3 10 5 4 4 5 2 2 3 4 2" xfId="29552"/>
    <cellStyle name="Обычный 3 10 5 4 4 5 2 2 3 5" xfId="29553"/>
    <cellStyle name="Обычный 3 10 5 4 4 5 2 2 4" xfId="29554"/>
    <cellStyle name="Обычный 3 10 5 4 4 5 2 2 4 2" xfId="29555"/>
    <cellStyle name="Обычный 3 10 5 4 4 5 2 2 4 2 2" xfId="29556"/>
    <cellStyle name="Обычный 3 10 5 4 4 5 2 2 4 3" xfId="29557"/>
    <cellStyle name="Обычный 3 10 5 4 4 5 2 2 5" xfId="29558"/>
    <cellStyle name="Обычный 3 10 5 4 4 5 2 2 5 2" xfId="29559"/>
    <cellStyle name="Обычный 3 10 5 4 4 5 2 2 5 2 2" xfId="29560"/>
    <cellStyle name="Обычный 3 10 5 4 4 5 2 2 5 3" xfId="29561"/>
    <cellStyle name="Обычный 3 10 5 4 4 5 2 2 6" xfId="29562"/>
    <cellStyle name="Обычный 3 10 5 4 4 5 2 2 6 2" xfId="29563"/>
    <cellStyle name="Обычный 3 10 5 4 4 5 2 2 7" xfId="29564"/>
    <cellStyle name="Обычный 3 10 5 4 4 5 2 2 7 2" xfId="29565"/>
    <cellStyle name="Обычный 3 10 5 4 4 5 2 2 8" xfId="29566"/>
    <cellStyle name="Обычный 3 10 5 4 4 5 2 3" xfId="29567"/>
    <cellStyle name="Обычный 3 10 5 4 4 5 2 3 2" xfId="29568"/>
    <cellStyle name="Обычный 3 10 5 4 4 5 2 3 2 2" xfId="29569"/>
    <cellStyle name="Обычный 3 10 5 4 4 5 2 3 2 2 2" xfId="29570"/>
    <cellStyle name="Обычный 3 10 5 4 4 5 2 3 2 3" xfId="29571"/>
    <cellStyle name="Обычный 3 10 5 4 4 5 2 3 3" xfId="29572"/>
    <cellStyle name="Обычный 3 10 5 4 4 5 2 3 3 2" xfId="29573"/>
    <cellStyle name="Обычный 3 10 5 4 4 5 2 3 3 2 2" xfId="29574"/>
    <cellStyle name="Обычный 3 10 5 4 4 5 2 3 3 3" xfId="29575"/>
    <cellStyle name="Обычный 3 10 5 4 4 5 2 3 4" xfId="29576"/>
    <cellStyle name="Обычный 3 10 5 4 4 5 2 3 4 2" xfId="29577"/>
    <cellStyle name="Обычный 3 10 5 4 4 5 2 3 5" xfId="29578"/>
    <cellStyle name="Обычный 3 10 5 4 4 5 2 4" xfId="29579"/>
    <cellStyle name="Обычный 3 10 5 4 4 5 2 4 2" xfId="29580"/>
    <cellStyle name="Обычный 3 10 5 4 4 5 2 4 2 2" xfId="29581"/>
    <cellStyle name="Обычный 3 10 5 4 4 5 2 4 2 2 2" xfId="29582"/>
    <cellStyle name="Обычный 3 10 5 4 4 5 2 4 2 3" xfId="29583"/>
    <cellStyle name="Обычный 3 10 5 4 4 5 2 4 3" xfId="29584"/>
    <cellStyle name="Обычный 3 10 5 4 4 5 2 4 3 2" xfId="29585"/>
    <cellStyle name="Обычный 3 10 5 4 4 5 2 4 3 2 2" xfId="29586"/>
    <cellStyle name="Обычный 3 10 5 4 4 5 2 4 3 3" xfId="29587"/>
    <cellStyle name="Обычный 3 10 5 4 4 5 2 4 4" xfId="29588"/>
    <cellStyle name="Обычный 3 10 5 4 4 5 2 4 4 2" xfId="29589"/>
    <cellStyle name="Обычный 3 10 5 4 4 5 2 4 5" xfId="29590"/>
    <cellStyle name="Обычный 3 10 5 4 4 5 2 5" xfId="29591"/>
    <cellStyle name="Обычный 3 10 5 4 4 5 2 5 2" xfId="29592"/>
    <cellStyle name="Обычный 3 10 5 4 4 5 2 5 2 2" xfId="29593"/>
    <cellStyle name="Обычный 3 10 5 4 4 5 2 5 3" xfId="29594"/>
    <cellStyle name="Обычный 3 10 5 4 4 5 2 6" xfId="29595"/>
    <cellStyle name="Обычный 3 10 5 4 4 5 2 6 2" xfId="29596"/>
    <cellStyle name="Обычный 3 10 5 4 4 5 2 6 2 2" xfId="29597"/>
    <cellStyle name="Обычный 3 10 5 4 4 5 2 6 3" xfId="29598"/>
    <cellStyle name="Обычный 3 10 5 4 4 5 2 7" xfId="29599"/>
    <cellStyle name="Обычный 3 10 5 4 4 5 2 7 2" xfId="29600"/>
    <cellStyle name="Обычный 3 10 5 4 4 5 2 8" xfId="29601"/>
    <cellStyle name="Обычный 3 10 5 4 4 5 2 8 2" xfId="29602"/>
    <cellStyle name="Обычный 3 10 5 4 4 5 2 9" xfId="29603"/>
    <cellStyle name="Обычный 3 10 5 4 4 5 3" xfId="29604"/>
    <cellStyle name="Обычный 3 10 5 4 4 5 3 2" xfId="29605"/>
    <cellStyle name="Обычный 3 10 5 4 4 5 3 2 2" xfId="29606"/>
    <cellStyle name="Обычный 3 10 5 4 4 5 3 2 2 2" xfId="29607"/>
    <cellStyle name="Обычный 3 10 5 4 4 5 3 2 2 2 2" xfId="29608"/>
    <cellStyle name="Обычный 3 10 5 4 4 5 3 2 2 3" xfId="29609"/>
    <cellStyle name="Обычный 3 10 5 4 4 5 3 2 3" xfId="29610"/>
    <cellStyle name="Обычный 3 10 5 4 4 5 3 2 3 2" xfId="29611"/>
    <cellStyle name="Обычный 3 10 5 4 4 5 3 2 3 2 2" xfId="29612"/>
    <cellStyle name="Обычный 3 10 5 4 4 5 3 2 3 3" xfId="29613"/>
    <cellStyle name="Обычный 3 10 5 4 4 5 3 2 4" xfId="29614"/>
    <cellStyle name="Обычный 3 10 5 4 4 5 3 2 4 2" xfId="29615"/>
    <cellStyle name="Обычный 3 10 5 4 4 5 3 2 5" xfId="29616"/>
    <cellStyle name="Обычный 3 10 5 4 4 5 3 3" xfId="29617"/>
    <cellStyle name="Обычный 3 10 5 4 4 5 3 3 2" xfId="29618"/>
    <cellStyle name="Обычный 3 10 5 4 4 5 3 3 2 2" xfId="29619"/>
    <cellStyle name="Обычный 3 10 5 4 4 5 3 3 2 2 2" xfId="29620"/>
    <cellStyle name="Обычный 3 10 5 4 4 5 3 3 2 3" xfId="29621"/>
    <cellStyle name="Обычный 3 10 5 4 4 5 3 3 3" xfId="29622"/>
    <cellStyle name="Обычный 3 10 5 4 4 5 3 3 3 2" xfId="29623"/>
    <cellStyle name="Обычный 3 10 5 4 4 5 3 3 3 2 2" xfId="29624"/>
    <cellStyle name="Обычный 3 10 5 4 4 5 3 3 3 3" xfId="29625"/>
    <cellStyle name="Обычный 3 10 5 4 4 5 3 3 4" xfId="29626"/>
    <cellStyle name="Обычный 3 10 5 4 4 5 3 3 4 2" xfId="29627"/>
    <cellStyle name="Обычный 3 10 5 4 4 5 3 3 5" xfId="29628"/>
    <cellStyle name="Обычный 3 10 5 4 4 5 3 4" xfId="29629"/>
    <cellStyle name="Обычный 3 10 5 4 4 5 3 4 2" xfId="29630"/>
    <cellStyle name="Обычный 3 10 5 4 4 5 3 4 2 2" xfId="29631"/>
    <cellStyle name="Обычный 3 10 5 4 4 5 3 4 3" xfId="29632"/>
    <cellStyle name="Обычный 3 10 5 4 4 5 3 5" xfId="29633"/>
    <cellStyle name="Обычный 3 10 5 4 4 5 3 5 2" xfId="29634"/>
    <cellStyle name="Обычный 3 10 5 4 4 5 3 5 2 2" xfId="29635"/>
    <cellStyle name="Обычный 3 10 5 4 4 5 3 5 3" xfId="29636"/>
    <cellStyle name="Обычный 3 10 5 4 4 5 3 6" xfId="29637"/>
    <cellStyle name="Обычный 3 10 5 4 4 5 3 6 2" xfId="29638"/>
    <cellStyle name="Обычный 3 10 5 4 4 5 3 7" xfId="29639"/>
    <cellStyle name="Обычный 3 10 5 4 4 5 3 7 2" xfId="29640"/>
    <cellStyle name="Обычный 3 10 5 4 4 5 3 8" xfId="29641"/>
    <cellStyle name="Обычный 3 10 5 4 4 5 4" xfId="29642"/>
    <cellStyle name="Обычный 3 10 5 4 4 5 4 2" xfId="29643"/>
    <cellStyle name="Обычный 3 10 5 4 4 5 4 2 2" xfId="29644"/>
    <cellStyle name="Обычный 3 10 5 4 4 5 4 2 2 2" xfId="29645"/>
    <cellStyle name="Обычный 3 10 5 4 4 5 4 2 3" xfId="29646"/>
    <cellStyle name="Обычный 3 10 5 4 4 5 4 3" xfId="29647"/>
    <cellStyle name="Обычный 3 10 5 4 4 5 4 3 2" xfId="29648"/>
    <cellStyle name="Обычный 3 10 5 4 4 5 4 3 2 2" xfId="29649"/>
    <cellStyle name="Обычный 3 10 5 4 4 5 4 3 3" xfId="29650"/>
    <cellStyle name="Обычный 3 10 5 4 4 5 4 4" xfId="29651"/>
    <cellStyle name="Обычный 3 10 5 4 4 5 4 4 2" xfId="29652"/>
    <cellStyle name="Обычный 3 10 5 4 4 5 4 5" xfId="29653"/>
    <cellStyle name="Обычный 3 10 5 4 4 5 5" xfId="29654"/>
    <cellStyle name="Обычный 3 10 5 4 4 5 5 2" xfId="29655"/>
    <cellStyle name="Обычный 3 10 5 4 4 5 5 2 2" xfId="29656"/>
    <cellStyle name="Обычный 3 10 5 4 4 5 5 2 2 2" xfId="29657"/>
    <cellStyle name="Обычный 3 10 5 4 4 5 5 2 3" xfId="29658"/>
    <cellStyle name="Обычный 3 10 5 4 4 5 5 3" xfId="29659"/>
    <cellStyle name="Обычный 3 10 5 4 4 5 5 3 2" xfId="29660"/>
    <cellStyle name="Обычный 3 10 5 4 4 5 5 3 2 2" xfId="29661"/>
    <cellStyle name="Обычный 3 10 5 4 4 5 5 3 3" xfId="29662"/>
    <cellStyle name="Обычный 3 10 5 4 4 5 5 4" xfId="29663"/>
    <cellStyle name="Обычный 3 10 5 4 4 5 5 4 2" xfId="29664"/>
    <cellStyle name="Обычный 3 10 5 4 4 5 5 5" xfId="29665"/>
    <cellStyle name="Обычный 3 10 5 4 4 5 6" xfId="29666"/>
    <cellStyle name="Обычный 3 10 5 4 4 5 6 2" xfId="29667"/>
    <cellStyle name="Обычный 3 10 5 4 4 5 6 2 2" xfId="29668"/>
    <cellStyle name="Обычный 3 10 5 4 4 5 6 2 2 2" xfId="29669"/>
    <cellStyle name="Обычный 3 10 5 4 4 5 6 2 3" xfId="29670"/>
    <cellStyle name="Обычный 3 10 5 4 4 5 6 3" xfId="29671"/>
    <cellStyle name="Обычный 3 10 5 4 4 5 6 3 2" xfId="29672"/>
    <cellStyle name="Обычный 3 10 5 4 4 5 6 4" xfId="29673"/>
    <cellStyle name="Обычный 3 10 5 4 4 5 7" xfId="29674"/>
    <cellStyle name="Обычный 3 10 5 4 4 5 7 2" xfId="29675"/>
    <cellStyle name="Обычный 3 10 5 4 4 5 7 2 2" xfId="29676"/>
    <cellStyle name="Обычный 3 10 5 4 4 5 7 3" xfId="29677"/>
    <cellStyle name="Обычный 3 10 5 4 4 5 8" xfId="29678"/>
    <cellStyle name="Обычный 3 10 5 4 4 5 8 2" xfId="29679"/>
    <cellStyle name="Обычный 3 10 5 4 4 5 8 2 2" xfId="29680"/>
    <cellStyle name="Обычный 3 10 5 4 4 5 8 3" xfId="29681"/>
    <cellStyle name="Обычный 3 10 5 4 4 5 9" xfId="29682"/>
    <cellStyle name="Обычный 3 10 5 4 4 5 9 2" xfId="29683"/>
    <cellStyle name="Обычный 3 10 5 4 4 6" xfId="29684"/>
    <cellStyle name="Обычный 3 10 5 4 4 6 2" xfId="29685"/>
    <cellStyle name="Обычный 3 10 5 4 4 6 2 2" xfId="29686"/>
    <cellStyle name="Обычный 3 10 5 4 4 6 2 2 2" xfId="29687"/>
    <cellStyle name="Обычный 3 10 5 4 4 6 2 2 2 2" xfId="29688"/>
    <cellStyle name="Обычный 3 10 5 4 4 6 2 2 3" xfId="29689"/>
    <cellStyle name="Обычный 3 10 5 4 4 6 2 3" xfId="29690"/>
    <cellStyle name="Обычный 3 10 5 4 4 6 2 3 2" xfId="29691"/>
    <cellStyle name="Обычный 3 10 5 4 4 6 2 3 2 2" xfId="29692"/>
    <cellStyle name="Обычный 3 10 5 4 4 6 2 3 3" xfId="29693"/>
    <cellStyle name="Обычный 3 10 5 4 4 6 2 4" xfId="29694"/>
    <cellStyle name="Обычный 3 10 5 4 4 6 2 4 2" xfId="29695"/>
    <cellStyle name="Обычный 3 10 5 4 4 6 2 5" xfId="29696"/>
    <cellStyle name="Обычный 3 10 5 4 4 6 3" xfId="29697"/>
    <cellStyle name="Обычный 3 10 5 4 4 6 3 2" xfId="29698"/>
    <cellStyle name="Обычный 3 10 5 4 4 6 3 2 2" xfId="29699"/>
    <cellStyle name="Обычный 3 10 5 4 4 6 3 2 2 2" xfId="29700"/>
    <cellStyle name="Обычный 3 10 5 4 4 6 3 2 3" xfId="29701"/>
    <cellStyle name="Обычный 3 10 5 4 4 6 3 3" xfId="29702"/>
    <cellStyle name="Обычный 3 10 5 4 4 6 3 3 2" xfId="29703"/>
    <cellStyle name="Обычный 3 10 5 4 4 6 3 3 2 2" xfId="29704"/>
    <cellStyle name="Обычный 3 10 5 4 4 6 3 3 3" xfId="29705"/>
    <cellStyle name="Обычный 3 10 5 4 4 6 3 4" xfId="29706"/>
    <cellStyle name="Обычный 3 10 5 4 4 6 3 4 2" xfId="29707"/>
    <cellStyle name="Обычный 3 10 5 4 4 6 3 5" xfId="29708"/>
    <cellStyle name="Обычный 3 10 5 4 4 6 4" xfId="29709"/>
    <cellStyle name="Обычный 3 10 5 4 4 6 4 2" xfId="29710"/>
    <cellStyle name="Обычный 3 10 5 4 4 6 4 2 2" xfId="29711"/>
    <cellStyle name="Обычный 3 10 5 4 4 6 4 2 2 2" xfId="29712"/>
    <cellStyle name="Обычный 3 10 5 4 4 6 4 2 3" xfId="29713"/>
    <cellStyle name="Обычный 3 10 5 4 4 6 4 3" xfId="29714"/>
    <cellStyle name="Обычный 3 10 5 4 4 6 4 3 2" xfId="29715"/>
    <cellStyle name="Обычный 3 10 5 4 4 6 4 4" xfId="29716"/>
    <cellStyle name="Обычный 3 10 5 4 4 6 5" xfId="29717"/>
    <cellStyle name="Обычный 3 10 5 4 4 6 5 2" xfId="29718"/>
    <cellStyle name="Обычный 3 10 5 4 4 6 5 2 2" xfId="29719"/>
    <cellStyle name="Обычный 3 10 5 4 4 6 5 3" xfId="29720"/>
    <cellStyle name="Обычный 3 10 5 4 4 6 6" xfId="29721"/>
    <cellStyle name="Обычный 3 10 5 4 4 6 6 2" xfId="29722"/>
    <cellStyle name="Обычный 3 10 5 4 4 6 6 2 2" xfId="29723"/>
    <cellStyle name="Обычный 3 10 5 4 4 6 6 3" xfId="29724"/>
    <cellStyle name="Обычный 3 10 5 4 4 6 7" xfId="29725"/>
    <cellStyle name="Обычный 3 10 5 4 4 6 7 2" xfId="29726"/>
    <cellStyle name="Обычный 3 10 5 4 4 6 8" xfId="29727"/>
    <cellStyle name="Обычный 3 10 5 4 4 6 8 2" xfId="29728"/>
    <cellStyle name="Обычный 3 10 5 4 4 6 9" xfId="29729"/>
    <cellStyle name="Обычный 3 10 5 4 4 7" xfId="29730"/>
    <cellStyle name="Обычный 3 10 5 4 4 7 2" xfId="29731"/>
    <cellStyle name="Обычный 3 10 5 4 4 7 2 2" xfId="29732"/>
    <cellStyle name="Обычный 3 10 5 4 4 7 2 2 2" xfId="29733"/>
    <cellStyle name="Обычный 3 10 5 4 4 7 2 3" xfId="29734"/>
    <cellStyle name="Обычный 3 10 5 4 4 7 3" xfId="29735"/>
    <cellStyle name="Обычный 3 10 5 4 4 7 3 2" xfId="29736"/>
    <cellStyle name="Обычный 3 10 5 4 4 7 3 2 2" xfId="29737"/>
    <cellStyle name="Обычный 3 10 5 4 4 7 3 3" xfId="29738"/>
    <cellStyle name="Обычный 3 10 5 4 4 7 4" xfId="29739"/>
    <cellStyle name="Обычный 3 10 5 4 4 7 4 2" xfId="29740"/>
    <cellStyle name="Обычный 3 10 5 4 4 7 5" xfId="29741"/>
    <cellStyle name="Обычный 3 10 5 4 4 7 5 2" xfId="29742"/>
    <cellStyle name="Обычный 3 10 5 4 4 7 6" xfId="29743"/>
    <cellStyle name="Обычный 3 10 5 4 4 8" xfId="29744"/>
    <cellStyle name="Обычный 3 10 5 4 4 8 2" xfId="29745"/>
    <cellStyle name="Обычный 3 10 5 4 4 8 2 2" xfId="29746"/>
    <cellStyle name="Обычный 3 10 5 4 4 8 2 2 2" xfId="29747"/>
    <cellStyle name="Обычный 3 10 5 4 4 8 2 3" xfId="29748"/>
    <cellStyle name="Обычный 3 10 5 4 4 8 3" xfId="29749"/>
    <cellStyle name="Обычный 3 10 5 4 4 8 3 2" xfId="29750"/>
    <cellStyle name="Обычный 3 10 5 4 4 8 3 2 2" xfId="29751"/>
    <cellStyle name="Обычный 3 10 5 4 4 8 3 3" xfId="29752"/>
    <cellStyle name="Обычный 3 10 5 4 4 8 4" xfId="29753"/>
    <cellStyle name="Обычный 3 10 5 4 4 8 4 2" xfId="29754"/>
    <cellStyle name="Обычный 3 10 5 4 4 8 5" xfId="29755"/>
    <cellStyle name="Обычный 3 10 5 4 4 9" xfId="29756"/>
    <cellStyle name="Обычный 3 10 5 4 4 9 2" xfId="29757"/>
    <cellStyle name="Обычный 3 10 5 4 4 9 2 2" xfId="29758"/>
    <cellStyle name="Обычный 3 10 5 4 4 9 3" xfId="29759"/>
    <cellStyle name="Обычный 3 10 5 4 5" xfId="29760"/>
    <cellStyle name="Обычный 3 10 5 4 5 10" xfId="29761"/>
    <cellStyle name="Обычный 3 10 5 4 5 10 2" xfId="29762"/>
    <cellStyle name="Обычный 3 10 5 4 5 11" xfId="29763"/>
    <cellStyle name="Обычный 3 10 5 4 5 2" xfId="29764"/>
    <cellStyle name="Обычный 3 10 5 4 5 2 10" xfId="29765"/>
    <cellStyle name="Обычный 3 10 5 4 5 2 2" xfId="29766"/>
    <cellStyle name="Обычный 3 10 5 4 5 2 2 2" xfId="29767"/>
    <cellStyle name="Обычный 3 10 5 4 5 2 2 2 2" xfId="29768"/>
    <cellStyle name="Обычный 3 10 5 4 5 2 2 2 2 2" xfId="29769"/>
    <cellStyle name="Обычный 3 10 5 4 5 2 2 2 2 2 2" xfId="29770"/>
    <cellStyle name="Обычный 3 10 5 4 5 2 2 2 2 3" xfId="29771"/>
    <cellStyle name="Обычный 3 10 5 4 5 2 2 2 3" xfId="29772"/>
    <cellStyle name="Обычный 3 10 5 4 5 2 2 2 3 2" xfId="29773"/>
    <cellStyle name="Обычный 3 10 5 4 5 2 2 2 3 2 2" xfId="29774"/>
    <cellStyle name="Обычный 3 10 5 4 5 2 2 2 3 3" xfId="29775"/>
    <cellStyle name="Обычный 3 10 5 4 5 2 2 2 4" xfId="29776"/>
    <cellStyle name="Обычный 3 10 5 4 5 2 2 2 4 2" xfId="29777"/>
    <cellStyle name="Обычный 3 10 5 4 5 2 2 2 5" xfId="29778"/>
    <cellStyle name="Обычный 3 10 5 4 5 2 2 2 5 2" xfId="29779"/>
    <cellStyle name="Обычный 3 10 5 4 5 2 2 2 6" xfId="29780"/>
    <cellStyle name="Обычный 3 10 5 4 5 2 2 3" xfId="29781"/>
    <cellStyle name="Обычный 3 10 5 4 5 2 2 3 2" xfId="29782"/>
    <cellStyle name="Обычный 3 10 5 4 5 2 2 3 2 2" xfId="29783"/>
    <cellStyle name="Обычный 3 10 5 4 5 2 2 3 2 2 2" xfId="29784"/>
    <cellStyle name="Обычный 3 10 5 4 5 2 2 3 2 3" xfId="29785"/>
    <cellStyle name="Обычный 3 10 5 4 5 2 2 3 3" xfId="29786"/>
    <cellStyle name="Обычный 3 10 5 4 5 2 2 3 3 2" xfId="29787"/>
    <cellStyle name="Обычный 3 10 5 4 5 2 2 3 3 2 2" xfId="29788"/>
    <cellStyle name="Обычный 3 10 5 4 5 2 2 3 3 3" xfId="29789"/>
    <cellStyle name="Обычный 3 10 5 4 5 2 2 3 4" xfId="29790"/>
    <cellStyle name="Обычный 3 10 5 4 5 2 2 3 4 2" xfId="29791"/>
    <cellStyle name="Обычный 3 10 5 4 5 2 2 3 5" xfId="29792"/>
    <cellStyle name="Обычный 3 10 5 4 5 2 2 4" xfId="29793"/>
    <cellStyle name="Обычный 3 10 5 4 5 2 2 4 2" xfId="29794"/>
    <cellStyle name="Обычный 3 10 5 4 5 2 2 4 2 2" xfId="29795"/>
    <cellStyle name="Обычный 3 10 5 4 5 2 2 4 3" xfId="29796"/>
    <cellStyle name="Обычный 3 10 5 4 5 2 2 5" xfId="29797"/>
    <cellStyle name="Обычный 3 10 5 4 5 2 2 5 2" xfId="29798"/>
    <cellStyle name="Обычный 3 10 5 4 5 2 2 5 2 2" xfId="29799"/>
    <cellStyle name="Обычный 3 10 5 4 5 2 2 5 3" xfId="29800"/>
    <cellStyle name="Обычный 3 10 5 4 5 2 2 6" xfId="29801"/>
    <cellStyle name="Обычный 3 10 5 4 5 2 2 6 2" xfId="29802"/>
    <cellStyle name="Обычный 3 10 5 4 5 2 2 7" xfId="29803"/>
    <cellStyle name="Обычный 3 10 5 4 5 2 2 7 2" xfId="29804"/>
    <cellStyle name="Обычный 3 10 5 4 5 2 2 8" xfId="29805"/>
    <cellStyle name="Обычный 3 10 5 4 5 2 3" xfId="29806"/>
    <cellStyle name="Обычный 3 10 5 4 5 2 3 2" xfId="29807"/>
    <cellStyle name="Обычный 3 10 5 4 5 2 3 2 2" xfId="29808"/>
    <cellStyle name="Обычный 3 10 5 4 5 2 3 2 2 2" xfId="29809"/>
    <cellStyle name="Обычный 3 10 5 4 5 2 3 2 2 2 2" xfId="29810"/>
    <cellStyle name="Обычный 3 10 5 4 5 2 3 2 2 3" xfId="29811"/>
    <cellStyle name="Обычный 3 10 5 4 5 2 3 2 3" xfId="29812"/>
    <cellStyle name="Обычный 3 10 5 4 5 2 3 2 3 2" xfId="29813"/>
    <cellStyle name="Обычный 3 10 5 4 5 2 3 2 3 2 2" xfId="29814"/>
    <cellStyle name="Обычный 3 10 5 4 5 2 3 2 3 3" xfId="29815"/>
    <cellStyle name="Обычный 3 10 5 4 5 2 3 2 4" xfId="29816"/>
    <cellStyle name="Обычный 3 10 5 4 5 2 3 2 4 2" xfId="29817"/>
    <cellStyle name="Обычный 3 10 5 4 5 2 3 2 5" xfId="29818"/>
    <cellStyle name="Обычный 3 10 5 4 5 2 3 3" xfId="29819"/>
    <cellStyle name="Обычный 3 10 5 4 5 2 3 3 2" xfId="29820"/>
    <cellStyle name="Обычный 3 10 5 4 5 2 3 3 2 2" xfId="29821"/>
    <cellStyle name="Обычный 3 10 5 4 5 2 3 3 2 2 2" xfId="29822"/>
    <cellStyle name="Обычный 3 10 5 4 5 2 3 3 2 3" xfId="29823"/>
    <cellStyle name="Обычный 3 10 5 4 5 2 3 3 3" xfId="29824"/>
    <cellStyle name="Обычный 3 10 5 4 5 2 3 3 3 2" xfId="29825"/>
    <cellStyle name="Обычный 3 10 5 4 5 2 3 3 3 2 2" xfId="29826"/>
    <cellStyle name="Обычный 3 10 5 4 5 2 3 3 3 3" xfId="29827"/>
    <cellStyle name="Обычный 3 10 5 4 5 2 3 3 4" xfId="29828"/>
    <cellStyle name="Обычный 3 10 5 4 5 2 3 3 4 2" xfId="29829"/>
    <cellStyle name="Обычный 3 10 5 4 5 2 3 3 5" xfId="29830"/>
    <cellStyle name="Обычный 3 10 5 4 5 2 3 4" xfId="29831"/>
    <cellStyle name="Обычный 3 10 5 4 5 2 3 4 2" xfId="29832"/>
    <cellStyle name="Обычный 3 10 5 4 5 2 3 4 2 2" xfId="29833"/>
    <cellStyle name="Обычный 3 10 5 4 5 2 3 4 3" xfId="29834"/>
    <cellStyle name="Обычный 3 10 5 4 5 2 3 5" xfId="29835"/>
    <cellStyle name="Обычный 3 10 5 4 5 2 3 5 2" xfId="29836"/>
    <cellStyle name="Обычный 3 10 5 4 5 2 3 5 2 2" xfId="29837"/>
    <cellStyle name="Обычный 3 10 5 4 5 2 3 5 3" xfId="29838"/>
    <cellStyle name="Обычный 3 10 5 4 5 2 3 6" xfId="29839"/>
    <cellStyle name="Обычный 3 10 5 4 5 2 3 6 2" xfId="29840"/>
    <cellStyle name="Обычный 3 10 5 4 5 2 3 7" xfId="29841"/>
    <cellStyle name="Обычный 3 10 5 4 5 2 3 7 2" xfId="29842"/>
    <cellStyle name="Обычный 3 10 5 4 5 2 3 8" xfId="29843"/>
    <cellStyle name="Обычный 3 10 5 4 5 2 4" xfId="29844"/>
    <cellStyle name="Обычный 3 10 5 4 5 2 4 2" xfId="29845"/>
    <cellStyle name="Обычный 3 10 5 4 5 2 4 2 2" xfId="29846"/>
    <cellStyle name="Обычный 3 10 5 4 5 2 4 2 2 2" xfId="29847"/>
    <cellStyle name="Обычный 3 10 5 4 5 2 4 2 3" xfId="29848"/>
    <cellStyle name="Обычный 3 10 5 4 5 2 4 3" xfId="29849"/>
    <cellStyle name="Обычный 3 10 5 4 5 2 4 3 2" xfId="29850"/>
    <cellStyle name="Обычный 3 10 5 4 5 2 4 3 2 2" xfId="29851"/>
    <cellStyle name="Обычный 3 10 5 4 5 2 4 3 3" xfId="29852"/>
    <cellStyle name="Обычный 3 10 5 4 5 2 4 4" xfId="29853"/>
    <cellStyle name="Обычный 3 10 5 4 5 2 4 4 2" xfId="29854"/>
    <cellStyle name="Обычный 3 10 5 4 5 2 4 5" xfId="29855"/>
    <cellStyle name="Обычный 3 10 5 4 5 2 4 5 2" xfId="29856"/>
    <cellStyle name="Обычный 3 10 5 4 5 2 4 6" xfId="29857"/>
    <cellStyle name="Обычный 3 10 5 4 5 2 5" xfId="29858"/>
    <cellStyle name="Обычный 3 10 5 4 5 2 5 2" xfId="29859"/>
    <cellStyle name="Обычный 3 10 5 4 5 2 5 2 2" xfId="29860"/>
    <cellStyle name="Обычный 3 10 5 4 5 2 5 2 2 2" xfId="29861"/>
    <cellStyle name="Обычный 3 10 5 4 5 2 5 2 3" xfId="29862"/>
    <cellStyle name="Обычный 3 10 5 4 5 2 5 3" xfId="29863"/>
    <cellStyle name="Обычный 3 10 5 4 5 2 5 3 2" xfId="29864"/>
    <cellStyle name="Обычный 3 10 5 4 5 2 5 3 2 2" xfId="29865"/>
    <cellStyle name="Обычный 3 10 5 4 5 2 5 3 3" xfId="29866"/>
    <cellStyle name="Обычный 3 10 5 4 5 2 5 4" xfId="29867"/>
    <cellStyle name="Обычный 3 10 5 4 5 2 5 4 2" xfId="29868"/>
    <cellStyle name="Обычный 3 10 5 4 5 2 5 5" xfId="29869"/>
    <cellStyle name="Обычный 3 10 5 4 5 2 6" xfId="29870"/>
    <cellStyle name="Обычный 3 10 5 4 5 2 6 2" xfId="29871"/>
    <cellStyle name="Обычный 3 10 5 4 5 2 6 2 2" xfId="29872"/>
    <cellStyle name="Обычный 3 10 5 4 5 2 6 3" xfId="29873"/>
    <cellStyle name="Обычный 3 10 5 4 5 2 7" xfId="29874"/>
    <cellStyle name="Обычный 3 10 5 4 5 2 7 2" xfId="29875"/>
    <cellStyle name="Обычный 3 10 5 4 5 2 7 2 2" xfId="29876"/>
    <cellStyle name="Обычный 3 10 5 4 5 2 7 3" xfId="29877"/>
    <cellStyle name="Обычный 3 10 5 4 5 2 8" xfId="29878"/>
    <cellStyle name="Обычный 3 10 5 4 5 2 8 2" xfId="29879"/>
    <cellStyle name="Обычный 3 10 5 4 5 2 9" xfId="29880"/>
    <cellStyle name="Обычный 3 10 5 4 5 2 9 2" xfId="29881"/>
    <cellStyle name="Обычный 3 10 5 4 5 3" xfId="29882"/>
    <cellStyle name="Обычный 3 10 5 4 5 3 2" xfId="29883"/>
    <cellStyle name="Обычный 3 10 5 4 5 3 2 2" xfId="29884"/>
    <cellStyle name="Обычный 3 10 5 4 5 3 2 2 2" xfId="29885"/>
    <cellStyle name="Обычный 3 10 5 4 5 3 2 2 2 2" xfId="29886"/>
    <cellStyle name="Обычный 3 10 5 4 5 3 2 2 2 2 2" xfId="29887"/>
    <cellStyle name="Обычный 3 10 5 4 5 3 2 2 2 2 2 2" xfId="29888"/>
    <cellStyle name="Обычный 3 10 5 4 5 3 2 2 2 2 3" xfId="29889"/>
    <cellStyle name="Обычный 3 10 5 4 5 3 2 2 2 3" xfId="29890"/>
    <cellStyle name="Обычный 3 10 5 4 5 3 2 2 2 3 2" xfId="29891"/>
    <cellStyle name="Обычный 3 10 5 4 5 3 2 2 2 3 2 2" xfId="29892"/>
    <cellStyle name="Обычный 3 10 5 4 5 3 2 2 2 3 3" xfId="29893"/>
    <cellStyle name="Обычный 3 10 5 4 5 3 2 2 2 4" xfId="29894"/>
    <cellStyle name="Обычный 3 10 5 4 5 3 2 2 2 4 2" xfId="29895"/>
    <cellStyle name="Обычный 3 10 5 4 5 3 2 2 2 5" xfId="29896"/>
    <cellStyle name="Обычный 3 10 5 4 5 3 2 2 3" xfId="29897"/>
    <cellStyle name="Обычный 3 10 5 4 5 3 2 2 3 2" xfId="29898"/>
    <cellStyle name="Обычный 3 10 5 4 5 3 2 2 3 2 2" xfId="29899"/>
    <cellStyle name="Обычный 3 10 5 4 5 3 2 2 3 2 2 2" xfId="29900"/>
    <cellStyle name="Обычный 3 10 5 4 5 3 2 2 3 2 3" xfId="29901"/>
    <cellStyle name="Обычный 3 10 5 4 5 3 2 2 3 3" xfId="29902"/>
    <cellStyle name="Обычный 3 10 5 4 5 3 2 2 3 3 2" xfId="29903"/>
    <cellStyle name="Обычный 3 10 5 4 5 3 2 2 3 3 2 2" xfId="29904"/>
    <cellStyle name="Обычный 3 10 5 4 5 3 2 2 3 3 3" xfId="29905"/>
    <cellStyle name="Обычный 3 10 5 4 5 3 2 2 3 4" xfId="29906"/>
    <cellStyle name="Обычный 3 10 5 4 5 3 2 2 3 4 2" xfId="29907"/>
    <cellStyle name="Обычный 3 10 5 4 5 3 2 2 3 5" xfId="29908"/>
    <cellStyle name="Обычный 3 10 5 4 5 3 2 2 4" xfId="29909"/>
    <cellStyle name="Обычный 3 10 5 4 5 3 2 2 4 2" xfId="29910"/>
    <cellStyle name="Обычный 3 10 5 4 5 3 2 2 4 2 2" xfId="29911"/>
    <cellStyle name="Обычный 3 10 5 4 5 3 2 2 4 3" xfId="29912"/>
    <cellStyle name="Обычный 3 10 5 4 5 3 2 2 5" xfId="29913"/>
    <cellStyle name="Обычный 3 10 5 4 5 3 2 2 5 2" xfId="29914"/>
    <cellStyle name="Обычный 3 10 5 4 5 3 2 2 5 2 2" xfId="29915"/>
    <cellStyle name="Обычный 3 10 5 4 5 3 2 2 5 3" xfId="29916"/>
    <cellStyle name="Обычный 3 10 5 4 5 3 2 2 6" xfId="29917"/>
    <cellStyle name="Обычный 3 10 5 4 5 3 2 2 6 2" xfId="29918"/>
    <cellStyle name="Обычный 3 10 5 4 5 3 2 2 7" xfId="29919"/>
    <cellStyle name="Обычный 3 10 5 4 5 3 2 2 7 2" xfId="29920"/>
    <cellStyle name="Обычный 3 10 5 4 5 3 2 2 8" xfId="29921"/>
    <cellStyle name="Обычный 3 10 5 4 5 3 2 3" xfId="29922"/>
    <cellStyle name="Обычный 3 10 5 4 5 3 2 3 2" xfId="29923"/>
    <cellStyle name="Обычный 3 10 5 4 5 3 2 3 2 2" xfId="29924"/>
    <cellStyle name="Обычный 3 10 5 4 5 3 2 3 2 2 2" xfId="29925"/>
    <cellStyle name="Обычный 3 10 5 4 5 3 2 3 2 2 2 2" xfId="29926"/>
    <cellStyle name="Обычный 3 10 5 4 5 3 2 3 2 2 3" xfId="29927"/>
    <cellStyle name="Обычный 3 10 5 4 5 3 2 3 2 3" xfId="29928"/>
    <cellStyle name="Обычный 3 10 5 4 5 3 2 3 2 3 2" xfId="29929"/>
    <cellStyle name="Обычный 3 10 5 4 5 3 2 3 2 3 2 2" xfId="29930"/>
    <cellStyle name="Обычный 3 10 5 4 5 3 2 3 2 3 3" xfId="29931"/>
    <cellStyle name="Обычный 3 10 5 4 5 3 2 3 2 4" xfId="29932"/>
    <cellStyle name="Обычный 3 10 5 4 5 3 2 3 2 4 2" xfId="29933"/>
    <cellStyle name="Обычный 3 10 5 4 5 3 2 3 2 5" xfId="29934"/>
    <cellStyle name="Обычный 3 10 5 4 5 3 2 3 3" xfId="29935"/>
    <cellStyle name="Обычный 3 10 5 4 5 3 2 3 3 2" xfId="29936"/>
    <cellStyle name="Обычный 3 10 5 4 5 3 2 3 3 2 2" xfId="29937"/>
    <cellStyle name="Обычный 3 10 5 4 5 3 2 3 3 3" xfId="29938"/>
    <cellStyle name="Обычный 3 10 5 4 5 3 2 3 4" xfId="29939"/>
    <cellStyle name="Обычный 3 10 5 4 5 3 2 3 4 2" xfId="29940"/>
    <cellStyle name="Обычный 3 10 5 4 5 3 2 3 4 2 2" xfId="29941"/>
    <cellStyle name="Обычный 3 10 5 4 5 3 2 3 4 3" xfId="29942"/>
    <cellStyle name="Обычный 3 10 5 4 5 3 2 3 5" xfId="29943"/>
    <cellStyle name="Обычный 3 10 5 4 5 3 2 3 5 2" xfId="29944"/>
    <cellStyle name="Обычный 3 10 5 4 5 3 2 3 6" xfId="29945"/>
    <cellStyle name="Обычный 3 10 5 4 5 3 2 3 6 2" xfId="29946"/>
    <cellStyle name="Обычный 3 10 5 4 5 3 2 3 7" xfId="29947"/>
    <cellStyle name="Обычный 3 10 5 4 5 3 2 4" xfId="29948"/>
    <cellStyle name="Обычный 3 10 5 4 5 3 2 4 2" xfId="29949"/>
    <cellStyle name="Обычный 3 10 5 4 5 3 2 4 2 2" xfId="29950"/>
    <cellStyle name="Обычный 3 10 5 4 5 3 2 4 2 2 2" xfId="29951"/>
    <cellStyle name="Обычный 3 10 5 4 5 3 2 4 2 3" xfId="29952"/>
    <cellStyle name="Обычный 3 10 5 4 5 3 2 4 3" xfId="29953"/>
    <cellStyle name="Обычный 3 10 5 4 5 3 2 4 3 2" xfId="29954"/>
    <cellStyle name="Обычный 3 10 5 4 5 3 2 4 3 2 2" xfId="29955"/>
    <cellStyle name="Обычный 3 10 5 4 5 3 2 4 3 3" xfId="29956"/>
    <cellStyle name="Обычный 3 10 5 4 5 3 2 4 4" xfId="29957"/>
    <cellStyle name="Обычный 3 10 5 4 5 3 2 4 4 2" xfId="29958"/>
    <cellStyle name="Обычный 3 10 5 4 5 3 2 4 5" xfId="29959"/>
    <cellStyle name="Обычный 3 10 5 4 5 3 2 5" xfId="29960"/>
    <cellStyle name="Обычный 3 10 5 4 5 3 2 5 2" xfId="29961"/>
    <cellStyle name="Обычный 3 10 5 4 5 3 2 5 2 2" xfId="29962"/>
    <cellStyle name="Обычный 3 10 5 4 5 3 2 5 3" xfId="29963"/>
    <cellStyle name="Обычный 3 10 5 4 5 3 2 6" xfId="29964"/>
    <cellStyle name="Обычный 3 10 5 4 5 3 2 6 2" xfId="29965"/>
    <cellStyle name="Обычный 3 10 5 4 5 3 2 6 2 2" xfId="29966"/>
    <cellStyle name="Обычный 3 10 5 4 5 3 2 6 3" xfId="29967"/>
    <cellStyle name="Обычный 3 10 5 4 5 3 2 7" xfId="29968"/>
    <cellStyle name="Обычный 3 10 5 4 5 3 2 7 2" xfId="29969"/>
    <cellStyle name="Обычный 3 10 5 4 5 3 2 8" xfId="29970"/>
    <cellStyle name="Обычный 3 10 5 4 5 3 2 8 2" xfId="29971"/>
    <cellStyle name="Обычный 3 10 5 4 5 3 2 9" xfId="29972"/>
    <cellStyle name="Обычный 3 10 5 4 5 3 3" xfId="29973"/>
    <cellStyle name="Обычный 3 10 5 4 5 3 3 2" xfId="29974"/>
    <cellStyle name="Обычный 3 10 5 4 5 3 3 2 2" xfId="29975"/>
    <cellStyle name="Обычный 3 10 5 4 5 3 3 2 2 2" xfId="29976"/>
    <cellStyle name="Обычный 3 10 5 4 5 3 3 2 3" xfId="29977"/>
    <cellStyle name="Обычный 3 10 5 4 5 3 3 3" xfId="29978"/>
    <cellStyle name="Обычный 3 10 5 4 5 3 3 3 2" xfId="29979"/>
    <cellStyle name="Обычный 3 10 5 4 5 3 3 3 2 2" xfId="29980"/>
    <cellStyle name="Обычный 3 10 5 4 5 3 3 3 3" xfId="29981"/>
    <cellStyle name="Обычный 3 10 5 4 5 3 3 4" xfId="29982"/>
    <cellStyle name="Обычный 3 10 5 4 5 3 3 4 2" xfId="29983"/>
    <cellStyle name="Обычный 3 10 5 4 5 3 3 5" xfId="29984"/>
    <cellStyle name="Обычный 3 10 5 4 5 3 3 5 2" xfId="29985"/>
    <cellStyle name="Обычный 3 10 5 4 5 3 3 6" xfId="29986"/>
    <cellStyle name="Обычный 3 10 5 4 5 3 4" xfId="29987"/>
    <cellStyle name="Обычный 3 10 5 4 5 3 4 2" xfId="29988"/>
    <cellStyle name="Обычный 3 10 5 4 5 3 4 2 2" xfId="29989"/>
    <cellStyle name="Обычный 3 10 5 4 5 3 4 2 2 2" xfId="29990"/>
    <cellStyle name="Обычный 3 10 5 4 5 3 4 2 3" xfId="29991"/>
    <cellStyle name="Обычный 3 10 5 4 5 3 4 3" xfId="29992"/>
    <cellStyle name="Обычный 3 10 5 4 5 3 4 3 2" xfId="29993"/>
    <cellStyle name="Обычный 3 10 5 4 5 3 4 3 2 2" xfId="29994"/>
    <cellStyle name="Обычный 3 10 5 4 5 3 4 3 3" xfId="29995"/>
    <cellStyle name="Обычный 3 10 5 4 5 3 4 4" xfId="29996"/>
    <cellStyle name="Обычный 3 10 5 4 5 3 4 4 2" xfId="29997"/>
    <cellStyle name="Обычный 3 10 5 4 5 3 4 5" xfId="29998"/>
    <cellStyle name="Обычный 3 10 5 4 5 3 4 5 2" xfId="29999"/>
    <cellStyle name="Обычный 3 10 5 4 5 3 4 6" xfId="30000"/>
    <cellStyle name="Обычный 3 10 5 4 5 3 5" xfId="30001"/>
    <cellStyle name="Обычный 3 10 5 4 5 3 5 2" xfId="30002"/>
    <cellStyle name="Обычный 3 10 5 4 5 3 5 2 2" xfId="30003"/>
    <cellStyle name="Обычный 3 10 5 4 5 3 5 3" xfId="30004"/>
    <cellStyle name="Обычный 3 10 5 4 5 3 6" xfId="30005"/>
    <cellStyle name="Обычный 3 10 5 4 5 3 6 2" xfId="30006"/>
    <cellStyle name="Обычный 3 10 5 4 5 3 6 2 2" xfId="30007"/>
    <cellStyle name="Обычный 3 10 5 4 5 3 6 3" xfId="30008"/>
    <cellStyle name="Обычный 3 10 5 4 5 3 7" xfId="30009"/>
    <cellStyle name="Обычный 3 10 5 4 5 3 7 2" xfId="30010"/>
    <cellStyle name="Обычный 3 10 5 4 5 3 8" xfId="30011"/>
    <cellStyle name="Обычный 3 10 5 4 5 3 8 2" xfId="30012"/>
    <cellStyle name="Обычный 3 10 5 4 5 3 9" xfId="30013"/>
    <cellStyle name="Обычный 3 10 5 4 5 4" xfId="30014"/>
    <cellStyle name="Обычный 3 10 5 4 5 4 2" xfId="30015"/>
    <cellStyle name="Обычный 3 10 5 4 5 4 2 2" xfId="30016"/>
    <cellStyle name="Обычный 3 10 5 4 5 4 2 2 2" xfId="30017"/>
    <cellStyle name="Обычный 3 10 5 4 5 4 2 2 2 2" xfId="30018"/>
    <cellStyle name="Обычный 3 10 5 4 5 4 2 2 3" xfId="30019"/>
    <cellStyle name="Обычный 3 10 5 4 5 4 2 3" xfId="30020"/>
    <cellStyle name="Обычный 3 10 5 4 5 4 2 3 2" xfId="30021"/>
    <cellStyle name="Обычный 3 10 5 4 5 4 2 3 2 2" xfId="30022"/>
    <cellStyle name="Обычный 3 10 5 4 5 4 2 3 3" xfId="30023"/>
    <cellStyle name="Обычный 3 10 5 4 5 4 2 4" xfId="30024"/>
    <cellStyle name="Обычный 3 10 5 4 5 4 2 4 2" xfId="30025"/>
    <cellStyle name="Обычный 3 10 5 4 5 4 2 5" xfId="30026"/>
    <cellStyle name="Обычный 3 10 5 4 5 4 2 5 2" xfId="30027"/>
    <cellStyle name="Обычный 3 10 5 4 5 4 2 6" xfId="30028"/>
    <cellStyle name="Обычный 3 10 5 4 5 4 3" xfId="30029"/>
    <cellStyle name="Обычный 3 10 5 4 5 4 3 2" xfId="30030"/>
    <cellStyle name="Обычный 3 10 5 4 5 4 3 2 2" xfId="30031"/>
    <cellStyle name="Обычный 3 10 5 4 5 4 3 2 2 2" xfId="30032"/>
    <cellStyle name="Обычный 3 10 5 4 5 4 3 2 3" xfId="30033"/>
    <cellStyle name="Обычный 3 10 5 4 5 4 3 3" xfId="30034"/>
    <cellStyle name="Обычный 3 10 5 4 5 4 3 3 2" xfId="30035"/>
    <cellStyle name="Обычный 3 10 5 4 5 4 3 3 2 2" xfId="30036"/>
    <cellStyle name="Обычный 3 10 5 4 5 4 3 3 3" xfId="30037"/>
    <cellStyle name="Обычный 3 10 5 4 5 4 3 4" xfId="30038"/>
    <cellStyle name="Обычный 3 10 5 4 5 4 3 4 2" xfId="30039"/>
    <cellStyle name="Обычный 3 10 5 4 5 4 3 5" xfId="30040"/>
    <cellStyle name="Обычный 3 10 5 4 5 4 3 5 2" xfId="30041"/>
    <cellStyle name="Обычный 3 10 5 4 5 4 3 6" xfId="30042"/>
    <cellStyle name="Обычный 3 10 5 4 5 4 4" xfId="30043"/>
    <cellStyle name="Обычный 3 10 5 4 5 4 4 2" xfId="30044"/>
    <cellStyle name="Обычный 3 10 5 4 5 4 4 2 2" xfId="30045"/>
    <cellStyle name="Обычный 3 10 5 4 5 4 4 3" xfId="30046"/>
    <cellStyle name="Обычный 3 10 5 4 5 4 5" xfId="30047"/>
    <cellStyle name="Обычный 3 10 5 4 5 4 5 2" xfId="30048"/>
    <cellStyle name="Обычный 3 10 5 4 5 4 5 2 2" xfId="30049"/>
    <cellStyle name="Обычный 3 10 5 4 5 4 5 3" xfId="30050"/>
    <cellStyle name="Обычный 3 10 5 4 5 4 6" xfId="30051"/>
    <cellStyle name="Обычный 3 10 5 4 5 4 6 2" xfId="30052"/>
    <cellStyle name="Обычный 3 10 5 4 5 4 7" xfId="30053"/>
    <cellStyle name="Обычный 3 10 5 4 5 4 7 2" xfId="30054"/>
    <cellStyle name="Обычный 3 10 5 4 5 4 8" xfId="30055"/>
    <cellStyle name="Обычный 3 10 5 4 5 5" xfId="30056"/>
    <cellStyle name="Обычный 3 10 5 4 5 5 2" xfId="30057"/>
    <cellStyle name="Обычный 3 10 5 4 5 5 2 2" xfId="30058"/>
    <cellStyle name="Обычный 3 10 5 4 5 5 2 2 2" xfId="30059"/>
    <cellStyle name="Обычный 3 10 5 4 5 5 2 2 2 2" xfId="30060"/>
    <cellStyle name="Обычный 3 10 5 4 5 5 2 2 2 2 2" xfId="30061"/>
    <cellStyle name="Обычный 3 10 5 4 5 5 2 2 2 3" xfId="30062"/>
    <cellStyle name="Обычный 3 10 5 4 5 5 2 2 3" xfId="30063"/>
    <cellStyle name="Обычный 3 10 5 4 5 5 2 2 3 2" xfId="30064"/>
    <cellStyle name="Обычный 3 10 5 4 5 5 2 2 3 2 2" xfId="30065"/>
    <cellStyle name="Обычный 3 10 5 4 5 5 2 2 3 3" xfId="30066"/>
    <cellStyle name="Обычный 3 10 5 4 5 5 2 2 4" xfId="30067"/>
    <cellStyle name="Обычный 3 10 5 4 5 5 2 2 4 2" xfId="30068"/>
    <cellStyle name="Обычный 3 10 5 4 5 5 2 2 5" xfId="30069"/>
    <cellStyle name="Обычный 3 10 5 4 5 5 2 3" xfId="30070"/>
    <cellStyle name="Обычный 3 10 5 4 5 5 2 3 2" xfId="30071"/>
    <cellStyle name="Обычный 3 10 5 4 5 5 2 3 2 2" xfId="30072"/>
    <cellStyle name="Обычный 3 10 5 4 5 5 2 3 2 2 2" xfId="30073"/>
    <cellStyle name="Обычный 3 10 5 4 5 5 2 3 2 3" xfId="30074"/>
    <cellStyle name="Обычный 3 10 5 4 5 5 2 3 3" xfId="30075"/>
    <cellStyle name="Обычный 3 10 5 4 5 5 2 3 3 2" xfId="30076"/>
    <cellStyle name="Обычный 3 10 5 4 5 5 2 3 3 2 2" xfId="30077"/>
    <cellStyle name="Обычный 3 10 5 4 5 5 2 3 3 3" xfId="30078"/>
    <cellStyle name="Обычный 3 10 5 4 5 5 2 3 4" xfId="30079"/>
    <cellStyle name="Обычный 3 10 5 4 5 5 2 3 4 2" xfId="30080"/>
    <cellStyle name="Обычный 3 10 5 4 5 5 2 3 5" xfId="30081"/>
    <cellStyle name="Обычный 3 10 5 4 5 5 2 4" xfId="30082"/>
    <cellStyle name="Обычный 3 10 5 4 5 5 2 4 2" xfId="30083"/>
    <cellStyle name="Обычный 3 10 5 4 5 5 2 4 2 2" xfId="30084"/>
    <cellStyle name="Обычный 3 10 5 4 5 5 2 4 3" xfId="30085"/>
    <cellStyle name="Обычный 3 10 5 4 5 5 2 5" xfId="30086"/>
    <cellStyle name="Обычный 3 10 5 4 5 5 2 5 2" xfId="30087"/>
    <cellStyle name="Обычный 3 10 5 4 5 5 2 5 2 2" xfId="30088"/>
    <cellStyle name="Обычный 3 10 5 4 5 5 2 5 3" xfId="30089"/>
    <cellStyle name="Обычный 3 10 5 4 5 5 2 6" xfId="30090"/>
    <cellStyle name="Обычный 3 10 5 4 5 5 2 6 2" xfId="30091"/>
    <cellStyle name="Обычный 3 10 5 4 5 5 2 7" xfId="30092"/>
    <cellStyle name="Обычный 3 10 5 4 5 5 2 7 2" xfId="30093"/>
    <cellStyle name="Обычный 3 10 5 4 5 5 2 8" xfId="30094"/>
    <cellStyle name="Обычный 3 10 5 4 5 5 3" xfId="30095"/>
    <cellStyle name="Обычный 3 10 5 4 5 5 3 2" xfId="30096"/>
    <cellStyle name="Обычный 3 10 5 4 5 5 3 2 2" xfId="30097"/>
    <cellStyle name="Обычный 3 10 5 4 5 5 3 2 2 2" xfId="30098"/>
    <cellStyle name="Обычный 3 10 5 4 5 5 3 2 3" xfId="30099"/>
    <cellStyle name="Обычный 3 10 5 4 5 5 3 3" xfId="30100"/>
    <cellStyle name="Обычный 3 10 5 4 5 5 3 3 2" xfId="30101"/>
    <cellStyle name="Обычный 3 10 5 4 5 5 3 3 2 2" xfId="30102"/>
    <cellStyle name="Обычный 3 10 5 4 5 5 3 3 3" xfId="30103"/>
    <cellStyle name="Обычный 3 10 5 4 5 5 3 4" xfId="30104"/>
    <cellStyle name="Обычный 3 10 5 4 5 5 3 4 2" xfId="30105"/>
    <cellStyle name="Обычный 3 10 5 4 5 5 3 5" xfId="30106"/>
    <cellStyle name="Обычный 3 10 5 4 5 5 4" xfId="30107"/>
    <cellStyle name="Обычный 3 10 5 4 5 5 4 2" xfId="30108"/>
    <cellStyle name="Обычный 3 10 5 4 5 5 4 2 2" xfId="30109"/>
    <cellStyle name="Обычный 3 10 5 4 5 5 4 3" xfId="30110"/>
    <cellStyle name="Обычный 3 10 5 4 5 5 5" xfId="30111"/>
    <cellStyle name="Обычный 3 10 5 4 5 5 5 2" xfId="30112"/>
    <cellStyle name="Обычный 3 10 5 4 5 5 5 2 2" xfId="30113"/>
    <cellStyle name="Обычный 3 10 5 4 5 5 5 3" xfId="30114"/>
    <cellStyle name="Обычный 3 10 5 4 5 5 6" xfId="30115"/>
    <cellStyle name="Обычный 3 10 5 4 5 5 6 2" xfId="30116"/>
    <cellStyle name="Обычный 3 10 5 4 5 5 7" xfId="30117"/>
    <cellStyle name="Обычный 3 10 5 4 5 5 7 2" xfId="30118"/>
    <cellStyle name="Обычный 3 10 5 4 5 5 8" xfId="30119"/>
    <cellStyle name="Обычный 3 10 5 4 5 6" xfId="30120"/>
    <cellStyle name="Обычный 3 10 5 4 5 6 2" xfId="30121"/>
    <cellStyle name="Обычный 3 10 5 4 5 6 2 2" xfId="30122"/>
    <cellStyle name="Обычный 3 10 5 4 5 6 2 2 2" xfId="30123"/>
    <cellStyle name="Обычный 3 10 5 4 5 6 2 3" xfId="30124"/>
    <cellStyle name="Обычный 3 10 5 4 5 6 3" xfId="30125"/>
    <cellStyle name="Обычный 3 10 5 4 5 6 3 2" xfId="30126"/>
    <cellStyle name="Обычный 3 10 5 4 5 6 3 2 2" xfId="30127"/>
    <cellStyle name="Обычный 3 10 5 4 5 6 3 3" xfId="30128"/>
    <cellStyle name="Обычный 3 10 5 4 5 6 4" xfId="30129"/>
    <cellStyle name="Обычный 3 10 5 4 5 6 4 2" xfId="30130"/>
    <cellStyle name="Обычный 3 10 5 4 5 6 5" xfId="30131"/>
    <cellStyle name="Обычный 3 10 5 4 5 6 5 2" xfId="30132"/>
    <cellStyle name="Обычный 3 10 5 4 5 6 6" xfId="30133"/>
    <cellStyle name="Обычный 3 10 5 4 5 7" xfId="30134"/>
    <cellStyle name="Обычный 3 10 5 4 5 7 2" xfId="30135"/>
    <cellStyle name="Обычный 3 10 5 4 5 7 2 2" xfId="30136"/>
    <cellStyle name="Обычный 3 10 5 4 5 7 3" xfId="30137"/>
    <cellStyle name="Обычный 3 10 5 4 5 8" xfId="30138"/>
    <cellStyle name="Обычный 3 10 5 4 5 8 2" xfId="30139"/>
    <cellStyle name="Обычный 3 10 5 4 5 8 2 2" xfId="30140"/>
    <cellStyle name="Обычный 3 10 5 4 5 8 3" xfId="30141"/>
    <cellStyle name="Обычный 3 10 5 4 5 9" xfId="30142"/>
    <cellStyle name="Обычный 3 10 5 4 5 9 2" xfId="30143"/>
    <cellStyle name="Обычный 3 10 5 4 6" xfId="30144"/>
    <cellStyle name="Обычный 3 10 5 4 6 10" xfId="30145"/>
    <cellStyle name="Обычный 3 10 5 4 6 10 2" xfId="30146"/>
    <cellStyle name="Обычный 3 10 5 4 6 11" xfId="30147"/>
    <cellStyle name="Обычный 3 10 5 4 6 2" xfId="30148"/>
    <cellStyle name="Обычный 3 10 5 4 6 2 2" xfId="30149"/>
    <cellStyle name="Обычный 3 10 5 4 6 2 2 2" xfId="30150"/>
    <cellStyle name="Обычный 3 10 5 4 6 2 2 2 2" xfId="30151"/>
    <cellStyle name="Обычный 3 10 5 4 6 2 2 2 2 2" xfId="30152"/>
    <cellStyle name="Обычный 3 10 5 4 6 2 2 2 3" xfId="30153"/>
    <cellStyle name="Обычный 3 10 5 4 6 2 2 3" xfId="30154"/>
    <cellStyle name="Обычный 3 10 5 4 6 2 2 3 2" xfId="30155"/>
    <cellStyle name="Обычный 3 10 5 4 6 2 2 3 2 2" xfId="30156"/>
    <cellStyle name="Обычный 3 10 5 4 6 2 2 3 3" xfId="30157"/>
    <cellStyle name="Обычный 3 10 5 4 6 2 2 4" xfId="30158"/>
    <cellStyle name="Обычный 3 10 5 4 6 2 2 4 2" xfId="30159"/>
    <cellStyle name="Обычный 3 10 5 4 6 2 2 5" xfId="30160"/>
    <cellStyle name="Обычный 3 10 5 4 6 2 2 5 2" xfId="30161"/>
    <cellStyle name="Обычный 3 10 5 4 6 2 2 6" xfId="30162"/>
    <cellStyle name="Обычный 3 10 5 4 6 2 3" xfId="30163"/>
    <cellStyle name="Обычный 3 10 5 4 6 2 3 2" xfId="30164"/>
    <cellStyle name="Обычный 3 10 5 4 6 2 3 2 2" xfId="30165"/>
    <cellStyle name="Обычный 3 10 5 4 6 2 3 2 2 2" xfId="30166"/>
    <cellStyle name="Обычный 3 10 5 4 6 2 3 2 3" xfId="30167"/>
    <cellStyle name="Обычный 3 10 5 4 6 2 3 3" xfId="30168"/>
    <cellStyle name="Обычный 3 10 5 4 6 2 3 3 2" xfId="30169"/>
    <cellStyle name="Обычный 3 10 5 4 6 2 3 3 2 2" xfId="30170"/>
    <cellStyle name="Обычный 3 10 5 4 6 2 3 3 3" xfId="30171"/>
    <cellStyle name="Обычный 3 10 5 4 6 2 3 4" xfId="30172"/>
    <cellStyle name="Обычный 3 10 5 4 6 2 3 4 2" xfId="30173"/>
    <cellStyle name="Обычный 3 10 5 4 6 2 3 5" xfId="30174"/>
    <cellStyle name="Обычный 3 10 5 4 6 2 4" xfId="30175"/>
    <cellStyle name="Обычный 3 10 5 4 6 2 4 2" xfId="30176"/>
    <cellStyle name="Обычный 3 10 5 4 6 2 4 2 2" xfId="30177"/>
    <cellStyle name="Обычный 3 10 5 4 6 2 4 3" xfId="30178"/>
    <cellStyle name="Обычный 3 10 5 4 6 2 5" xfId="30179"/>
    <cellStyle name="Обычный 3 10 5 4 6 2 5 2" xfId="30180"/>
    <cellStyle name="Обычный 3 10 5 4 6 2 5 2 2" xfId="30181"/>
    <cellStyle name="Обычный 3 10 5 4 6 2 5 3" xfId="30182"/>
    <cellStyle name="Обычный 3 10 5 4 6 2 6" xfId="30183"/>
    <cellStyle name="Обычный 3 10 5 4 6 2 6 2" xfId="30184"/>
    <cellStyle name="Обычный 3 10 5 4 6 2 7" xfId="30185"/>
    <cellStyle name="Обычный 3 10 5 4 6 2 7 2" xfId="30186"/>
    <cellStyle name="Обычный 3 10 5 4 6 2 8" xfId="30187"/>
    <cellStyle name="Обычный 3 10 5 4 6 3" xfId="30188"/>
    <cellStyle name="Обычный 3 10 5 4 6 3 2" xfId="30189"/>
    <cellStyle name="Обычный 3 10 5 4 6 3 2 2" xfId="30190"/>
    <cellStyle name="Обычный 3 10 5 4 6 3 2 2 2" xfId="30191"/>
    <cellStyle name="Обычный 3 10 5 4 6 3 2 2 2 2" xfId="30192"/>
    <cellStyle name="Обычный 3 10 5 4 6 3 2 2 3" xfId="30193"/>
    <cellStyle name="Обычный 3 10 5 4 6 3 2 3" xfId="30194"/>
    <cellStyle name="Обычный 3 10 5 4 6 3 2 3 2" xfId="30195"/>
    <cellStyle name="Обычный 3 10 5 4 6 3 2 3 2 2" xfId="30196"/>
    <cellStyle name="Обычный 3 10 5 4 6 3 2 3 3" xfId="30197"/>
    <cellStyle name="Обычный 3 10 5 4 6 3 2 4" xfId="30198"/>
    <cellStyle name="Обычный 3 10 5 4 6 3 2 4 2" xfId="30199"/>
    <cellStyle name="Обычный 3 10 5 4 6 3 2 5" xfId="30200"/>
    <cellStyle name="Обычный 3 10 5 4 6 3 3" xfId="30201"/>
    <cellStyle name="Обычный 3 10 5 4 6 3 3 2" xfId="30202"/>
    <cellStyle name="Обычный 3 10 5 4 6 3 3 2 2" xfId="30203"/>
    <cellStyle name="Обычный 3 10 5 4 6 3 3 2 2 2" xfId="30204"/>
    <cellStyle name="Обычный 3 10 5 4 6 3 3 2 3" xfId="30205"/>
    <cellStyle name="Обычный 3 10 5 4 6 3 3 3" xfId="30206"/>
    <cellStyle name="Обычный 3 10 5 4 6 3 3 3 2" xfId="30207"/>
    <cellStyle name="Обычный 3 10 5 4 6 3 3 3 2 2" xfId="30208"/>
    <cellStyle name="Обычный 3 10 5 4 6 3 3 3 3" xfId="30209"/>
    <cellStyle name="Обычный 3 10 5 4 6 3 3 4" xfId="30210"/>
    <cellStyle name="Обычный 3 10 5 4 6 3 3 4 2" xfId="30211"/>
    <cellStyle name="Обычный 3 10 5 4 6 3 3 5" xfId="30212"/>
    <cellStyle name="Обычный 3 10 5 4 6 3 4" xfId="30213"/>
    <cellStyle name="Обычный 3 10 5 4 6 3 4 2" xfId="30214"/>
    <cellStyle name="Обычный 3 10 5 4 6 3 4 2 2" xfId="30215"/>
    <cellStyle name="Обычный 3 10 5 4 6 3 4 3" xfId="30216"/>
    <cellStyle name="Обычный 3 10 5 4 6 3 5" xfId="30217"/>
    <cellStyle name="Обычный 3 10 5 4 6 3 5 2" xfId="30218"/>
    <cellStyle name="Обычный 3 10 5 4 6 3 5 2 2" xfId="30219"/>
    <cellStyle name="Обычный 3 10 5 4 6 3 5 3" xfId="30220"/>
    <cellStyle name="Обычный 3 10 5 4 6 3 6" xfId="30221"/>
    <cellStyle name="Обычный 3 10 5 4 6 3 6 2" xfId="30222"/>
    <cellStyle name="Обычный 3 10 5 4 6 3 7" xfId="30223"/>
    <cellStyle name="Обычный 3 10 5 4 6 3 7 2" xfId="30224"/>
    <cellStyle name="Обычный 3 10 5 4 6 3 8" xfId="30225"/>
    <cellStyle name="Обычный 3 10 5 4 6 4" xfId="30226"/>
    <cellStyle name="Обычный 3 10 5 4 6 4 2" xfId="30227"/>
    <cellStyle name="Обычный 3 10 5 4 6 4 2 2" xfId="30228"/>
    <cellStyle name="Обычный 3 10 5 4 6 4 2 2 2" xfId="30229"/>
    <cellStyle name="Обычный 3 10 5 4 6 4 2 2 2 2" xfId="30230"/>
    <cellStyle name="Обычный 3 10 5 4 6 4 2 2 3" xfId="30231"/>
    <cellStyle name="Обычный 3 10 5 4 6 4 2 3" xfId="30232"/>
    <cellStyle name="Обычный 3 10 5 4 6 4 2 3 2" xfId="30233"/>
    <cellStyle name="Обычный 3 10 5 4 6 4 2 3 2 2" xfId="30234"/>
    <cellStyle name="Обычный 3 10 5 4 6 4 2 3 3" xfId="30235"/>
    <cellStyle name="Обычный 3 10 5 4 6 4 2 4" xfId="30236"/>
    <cellStyle name="Обычный 3 10 5 4 6 4 2 4 2" xfId="30237"/>
    <cellStyle name="Обычный 3 10 5 4 6 4 2 5" xfId="30238"/>
    <cellStyle name="Обычный 3 10 5 4 6 4 3" xfId="30239"/>
    <cellStyle name="Обычный 3 10 5 4 6 4 3 2" xfId="30240"/>
    <cellStyle name="Обычный 3 10 5 4 6 4 3 2 2" xfId="30241"/>
    <cellStyle name="Обычный 3 10 5 4 6 4 3 2 2 2" xfId="30242"/>
    <cellStyle name="Обычный 3 10 5 4 6 4 3 2 3" xfId="30243"/>
    <cellStyle name="Обычный 3 10 5 4 6 4 3 3" xfId="30244"/>
    <cellStyle name="Обычный 3 10 5 4 6 4 3 3 2" xfId="30245"/>
    <cellStyle name="Обычный 3 10 5 4 6 4 3 3 2 2" xfId="30246"/>
    <cellStyle name="Обычный 3 10 5 4 6 4 3 3 3" xfId="30247"/>
    <cellStyle name="Обычный 3 10 5 4 6 4 3 4" xfId="30248"/>
    <cellStyle name="Обычный 3 10 5 4 6 4 3 4 2" xfId="30249"/>
    <cellStyle name="Обычный 3 10 5 4 6 4 3 5" xfId="30250"/>
    <cellStyle name="Обычный 3 10 5 4 6 4 4" xfId="30251"/>
    <cellStyle name="Обычный 3 10 5 4 6 4 4 2" xfId="30252"/>
    <cellStyle name="Обычный 3 10 5 4 6 4 4 2 2" xfId="30253"/>
    <cellStyle name="Обычный 3 10 5 4 6 4 4 2 2 2" xfId="30254"/>
    <cellStyle name="Обычный 3 10 5 4 6 4 4 2 3" xfId="30255"/>
    <cellStyle name="Обычный 3 10 5 4 6 4 4 3" xfId="30256"/>
    <cellStyle name="Обычный 3 10 5 4 6 4 4 3 2" xfId="30257"/>
    <cellStyle name="Обычный 3 10 5 4 6 4 4 4" xfId="30258"/>
    <cellStyle name="Обычный 3 10 5 4 6 4 5" xfId="30259"/>
    <cellStyle name="Обычный 3 10 5 4 6 4 5 2" xfId="30260"/>
    <cellStyle name="Обычный 3 10 5 4 6 4 5 2 2" xfId="30261"/>
    <cellStyle name="Обычный 3 10 5 4 6 4 5 3" xfId="30262"/>
    <cellStyle name="Обычный 3 10 5 4 6 4 6" xfId="30263"/>
    <cellStyle name="Обычный 3 10 5 4 6 4 6 2" xfId="30264"/>
    <cellStyle name="Обычный 3 10 5 4 6 4 6 2 2" xfId="30265"/>
    <cellStyle name="Обычный 3 10 5 4 6 4 6 3" xfId="30266"/>
    <cellStyle name="Обычный 3 10 5 4 6 4 7" xfId="30267"/>
    <cellStyle name="Обычный 3 10 5 4 6 4 7 2" xfId="30268"/>
    <cellStyle name="Обычный 3 10 5 4 6 4 8" xfId="30269"/>
    <cellStyle name="Обычный 3 10 5 4 6 4 8 2" xfId="30270"/>
    <cellStyle name="Обычный 3 10 5 4 6 4 9" xfId="30271"/>
    <cellStyle name="Обычный 3 10 5 4 6 5" xfId="30272"/>
    <cellStyle name="Обычный 3 10 5 4 6 5 2" xfId="30273"/>
    <cellStyle name="Обычный 3 10 5 4 6 5 2 2" xfId="30274"/>
    <cellStyle name="Обычный 3 10 5 4 6 5 2 2 2" xfId="30275"/>
    <cellStyle name="Обычный 3 10 5 4 6 5 2 3" xfId="30276"/>
    <cellStyle name="Обычный 3 10 5 4 6 5 3" xfId="30277"/>
    <cellStyle name="Обычный 3 10 5 4 6 5 3 2" xfId="30278"/>
    <cellStyle name="Обычный 3 10 5 4 6 5 3 2 2" xfId="30279"/>
    <cellStyle name="Обычный 3 10 5 4 6 5 3 3" xfId="30280"/>
    <cellStyle name="Обычный 3 10 5 4 6 5 4" xfId="30281"/>
    <cellStyle name="Обычный 3 10 5 4 6 5 4 2" xfId="30282"/>
    <cellStyle name="Обычный 3 10 5 4 6 5 5" xfId="30283"/>
    <cellStyle name="Обычный 3 10 5 4 6 6" xfId="30284"/>
    <cellStyle name="Обычный 3 10 5 4 6 6 2" xfId="30285"/>
    <cellStyle name="Обычный 3 10 5 4 6 6 2 2" xfId="30286"/>
    <cellStyle name="Обычный 3 10 5 4 6 6 2 2 2" xfId="30287"/>
    <cellStyle name="Обычный 3 10 5 4 6 6 2 3" xfId="30288"/>
    <cellStyle name="Обычный 3 10 5 4 6 6 3" xfId="30289"/>
    <cellStyle name="Обычный 3 10 5 4 6 6 3 2" xfId="30290"/>
    <cellStyle name="Обычный 3 10 5 4 6 6 3 2 2" xfId="30291"/>
    <cellStyle name="Обычный 3 10 5 4 6 6 3 3" xfId="30292"/>
    <cellStyle name="Обычный 3 10 5 4 6 6 4" xfId="30293"/>
    <cellStyle name="Обычный 3 10 5 4 6 6 4 2" xfId="30294"/>
    <cellStyle name="Обычный 3 10 5 4 6 6 5" xfId="30295"/>
    <cellStyle name="Обычный 3 10 5 4 6 7" xfId="30296"/>
    <cellStyle name="Обычный 3 10 5 4 6 7 2" xfId="30297"/>
    <cellStyle name="Обычный 3 10 5 4 6 7 2 2" xfId="30298"/>
    <cellStyle name="Обычный 3 10 5 4 6 7 3" xfId="30299"/>
    <cellStyle name="Обычный 3 10 5 4 6 8" xfId="30300"/>
    <cellStyle name="Обычный 3 10 5 4 6 8 2" xfId="30301"/>
    <cellStyle name="Обычный 3 10 5 4 6 8 2 2" xfId="30302"/>
    <cellStyle name="Обычный 3 10 5 4 6 8 3" xfId="30303"/>
    <cellStyle name="Обычный 3 10 5 4 6 9" xfId="30304"/>
    <cellStyle name="Обычный 3 10 5 4 6 9 2" xfId="30305"/>
    <cellStyle name="Обычный 3 10 5 4 7" xfId="30306"/>
    <cellStyle name="Обычный 3 10 5 4 7 2" xfId="30307"/>
    <cellStyle name="Обычный 3 10 5 4 7 2 2" xfId="30308"/>
    <cellStyle name="Обычный 3 10 5 4 7 2 2 2" xfId="30309"/>
    <cellStyle name="Обычный 3 10 5 4 7 2 2 2 2" xfId="30310"/>
    <cellStyle name="Обычный 3 10 5 4 7 2 2 3" xfId="30311"/>
    <cellStyle name="Обычный 3 10 5 4 7 2 2 3 2" xfId="30312"/>
    <cellStyle name="Обычный 3 10 5 4 7 2 2 4" xfId="30313"/>
    <cellStyle name="Обычный 3 10 5 4 7 2 3" xfId="30314"/>
    <cellStyle name="Обычный 3 10 5 4 7 2 3 2" xfId="30315"/>
    <cellStyle name="Обычный 3 10 5 4 7 2 3 2 2" xfId="30316"/>
    <cellStyle name="Обычный 3 10 5 4 7 2 3 3" xfId="30317"/>
    <cellStyle name="Обычный 3 10 5 4 7 2 4" xfId="30318"/>
    <cellStyle name="Обычный 3 10 5 4 7 2 4 2" xfId="30319"/>
    <cellStyle name="Обычный 3 10 5 4 7 2 5" xfId="30320"/>
    <cellStyle name="Обычный 3 10 5 4 7 2 5 2" xfId="30321"/>
    <cellStyle name="Обычный 3 10 5 4 7 2 6" xfId="30322"/>
    <cellStyle name="Обычный 3 10 5 4 7 3" xfId="30323"/>
    <cellStyle name="Обычный 3 10 5 4 7 3 2" xfId="30324"/>
    <cellStyle name="Обычный 3 10 5 4 7 3 2 2" xfId="30325"/>
    <cellStyle name="Обычный 3 10 5 4 7 3 2 2 2" xfId="30326"/>
    <cellStyle name="Обычный 3 10 5 4 7 3 2 3" xfId="30327"/>
    <cellStyle name="Обычный 3 10 5 4 7 3 3" xfId="30328"/>
    <cellStyle name="Обычный 3 10 5 4 7 3 3 2" xfId="30329"/>
    <cellStyle name="Обычный 3 10 5 4 7 3 3 2 2" xfId="30330"/>
    <cellStyle name="Обычный 3 10 5 4 7 3 3 3" xfId="30331"/>
    <cellStyle name="Обычный 3 10 5 4 7 3 4" xfId="30332"/>
    <cellStyle name="Обычный 3 10 5 4 7 3 4 2" xfId="30333"/>
    <cellStyle name="Обычный 3 10 5 4 7 3 5" xfId="30334"/>
    <cellStyle name="Обычный 3 10 5 4 7 3 5 2" xfId="30335"/>
    <cellStyle name="Обычный 3 10 5 4 7 3 6" xfId="30336"/>
    <cellStyle name="Обычный 3 10 5 4 7 4" xfId="30337"/>
    <cellStyle name="Обычный 3 10 5 4 7 4 2" xfId="30338"/>
    <cellStyle name="Обычный 3 10 5 4 7 4 2 2" xfId="30339"/>
    <cellStyle name="Обычный 3 10 5 4 7 4 3" xfId="30340"/>
    <cellStyle name="Обычный 3 10 5 4 7 4 3 2" xfId="30341"/>
    <cellStyle name="Обычный 3 10 5 4 7 4 4" xfId="30342"/>
    <cellStyle name="Обычный 3 10 5 4 7 5" xfId="30343"/>
    <cellStyle name="Обычный 3 10 5 4 7 5 2" xfId="30344"/>
    <cellStyle name="Обычный 3 10 5 4 7 5 2 2" xfId="30345"/>
    <cellStyle name="Обычный 3 10 5 4 7 5 3" xfId="30346"/>
    <cellStyle name="Обычный 3 10 5 4 7 6" xfId="30347"/>
    <cellStyle name="Обычный 3 10 5 4 7 6 2" xfId="30348"/>
    <cellStyle name="Обычный 3 10 5 4 7 7" xfId="30349"/>
    <cellStyle name="Обычный 3 10 5 4 7 7 2" xfId="30350"/>
    <cellStyle name="Обычный 3 10 5 4 7 8" xfId="30351"/>
    <cellStyle name="Обычный 3 10 5 4 8" xfId="30352"/>
    <cellStyle name="Обычный 3 10 5 4 8 2" xfId="30353"/>
    <cellStyle name="Обычный 3 10 5 4 8 2 2" xfId="30354"/>
    <cellStyle name="Обычный 3 10 5 4 8 2 2 2" xfId="30355"/>
    <cellStyle name="Обычный 3 10 5 4 8 2 2 2 2" xfId="30356"/>
    <cellStyle name="Обычный 3 10 5 4 8 2 2 3" xfId="30357"/>
    <cellStyle name="Обычный 3 10 5 4 8 2 3" xfId="30358"/>
    <cellStyle name="Обычный 3 10 5 4 8 2 3 2" xfId="30359"/>
    <cellStyle name="Обычный 3 10 5 4 8 2 3 2 2" xfId="30360"/>
    <cellStyle name="Обычный 3 10 5 4 8 2 3 3" xfId="30361"/>
    <cellStyle name="Обычный 3 10 5 4 8 2 4" xfId="30362"/>
    <cellStyle name="Обычный 3 10 5 4 8 2 4 2" xfId="30363"/>
    <cellStyle name="Обычный 3 10 5 4 8 2 5" xfId="30364"/>
    <cellStyle name="Обычный 3 10 5 4 8 2 5 2" xfId="30365"/>
    <cellStyle name="Обычный 3 10 5 4 8 2 6" xfId="30366"/>
    <cellStyle name="Обычный 3 10 5 4 8 3" xfId="30367"/>
    <cellStyle name="Обычный 3 10 5 4 8 3 2" xfId="30368"/>
    <cellStyle name="Обычный 3 10 5 4 8 3 2 2" xfId="30369"/>
    <cellStyle name="Обычный 3 10 5 4 8 3 2 2 2" xfId="30370"/>
    <cellStyle name="Обычный 3 10 5 4 8 3 2 3" xfId="30371"/>
    <cellStyle name="Обычный 3 10 5 4 8 3 3" xfId="30372"/>
    <cellStyle name="Обычный 3 10 5 4 8 3 3 2" xfId="30373"/>
    <cellStyle name="Обычный 3 10 5 4 8 3 3 2 2" xfId="30374"/>
    <cellStyle name="Обычный 3 10 5 4 8 3 3 3" xfId="30375"/>
    <cellStyle name="Обычный 3 10 5 4 8 3 4" xfId="30376"/>
    <cellStyle name="Обычный 3 10 5 4 8 3 4 2" xfId="30377"/>
    <cellStyle name="Обычный 3 10 5 4 8 3 5" xfId="30378"/>
    <cellStyle name="Обычный 3 10 5 4 8 4" xfId="30379"/>
    <cellStyle name="Обычный 3 10 5 4 8 4 2" xfId="30380"/>
    <cellStyle name="Обычный 3 10 5 4 8 4 2 2" xfId="30381"/>
    <cellStyle name="Обычный 3 10 5 4 8 4 3" xfId="30382"/>
    <cellStyle name="Обычный 3 10 5 4 8 5" xfId="30383"/>
    <cellStyle name="Обычный 3 10 5 4 8 5 2" xfId="30384"/>
    <cellStyle name="Обычный 3 10 5 4 8 5 2 2" xfId="30385"/>
    <cellStyle name="Обычный 3 10 5 4 8 5 3" xfId="30386"/>
    <cellStyle name="Обычный 3 10 5 4 8 6" xfId="30387"/>
    <cellStyle name="Обычный 3 10 5 4 8 6 2" xfId="30388"/>
    <cellStyle name="Обычный 3 10 5 4 8 7" xfId="30389"/>
    <cellStyle name="Обычный 3 10 5 4 8 7 2" xfId="30390"/>
    <cellStyle name="Обычный 3 10 5 4 8 8" xfId="30391"/>
    <cellStyle name="Обычный 3 10 5 4 9" xfId="30392"/>
    <cellStyle name="Обычный 3 10 5 4 9 2" xfId="30393"/>
    <cellStyle name="Обычный 3 10 5 4 9 2 2" xfId="30394"/>
    <cellStyle name="Обычный 3 10 5 4 9 2 2 2" xfId="30395"/>
    <cellStyle name="Обычный 3 10 5 4 9 2 2 2 2" xfId="30396"/>
    <cellStyle name="Обычный 3 10 5 4 9 2 2 3" xfId="30397"/>
    <cellStyle name="Обычный 3 10 5 4 9 2 3" xfId="30398"/>
    <cellStyle name="Обычный 3 10 5 4 9 2 3 2" xfId="30399"/>
    <cellStyle name="Обычный 3 10 5 4 9 2 3 2 2" xfId="30400"/>
    <cellStyle name="Обычный 3 10 5 4 9 2 3 3" xfId="30401"/>
    <cellStyle name="Обычный 3 10 5 4 9 2 4" xfId="30402"/>
    <cellStyle name="Обычный 3 10 5 4 9 2 4 2" xfId="30403"/>
    <cellStyle name="Обычный 3 10 5 4 9 2 5" xfId="30404"/>
    <cellStyle name="Обычный 3 10 5 4 9 3" xfId="30405"/>
    <cellStyle name="Обычный 3 10 5 4 9 3 2" xfId="30406"/>
    <cellStyle name="Обычный 3 10 5 4 9 3 2 2" xfId="30407"/>
    <cellStyle name="Обычный 3 10 5 4 9 3 2 2 2" xfId="30408"/>
    <cellStyle name="Обычный 3 10 5 4 9 3 2 3" xfId="30409"/>
    <cellStyle name="Обычный 3 10 5 4 9 3 3" xfId="30410"/>
    <cellStyle name="Обычный 3 10 5 4 9 3 3 2" xfId="30411"/>
    <cellStyle name="Обычный 3 10 5 4 9 3 3 2 2" xfId="30412"/>
    <cellStyle name="Обычный 3 10 5 4 9 3 3 3" xfId="30413"/>
    <cellStyle name="Обычный 3 10 5 4 9 3 4" xfId="30414"/>
    <cellStyle name="Обычный 3 10 5 4 9 3 4 2" xfId="30415"/>
    <cellStyle name="Обычный 3 10 5 4 9 3 5" xfId="30416"/>
    <cellStyle name="Обычный 3 10 5 4 9 4" xfId="30417"/>
    <cellStyle name="Обычный 3 10 5 4 9 4 2" xfId="30418"/>
    <cellStyle name="Обычный 3 10 5 4 9 4 2 2" xfId="30419"/>
    <cellStyle name="Обычный 3 10 5 4 9 4 3" xfId="30420"/>
    <cellStyle name="Обычный 3 10 5 4 9 5" xfId="30421"/>
    <cellStyle name="Обычный 3 10 5 4 9 5 2" xfId="30422"/>
    <cellStyle name="Обычный 3 10 5 4 9 5 2 2" xfId="30423"/>
    <cellStyle name="Обычный 3 10 5 4 9 5 3" xfId="30424"/>
    <cellStyle name="Обычный 3 10 5 4 9 6" xfId="30425"/>
    <cellStyle name="Обычный 3 10 5 4 9 6 2" xfId="30426"/>
    <cellStyle name="Обычный 3 10 5 4 9 7" xfId="30427"/>
    <cellStyle name="Обычный 3 10 5 4 9 7 2" xfId="30428"/>
    <cellStyle name="Обычный 3 10 5 4 9 8" xfId="30429"/>
    <cellStyle name="Обычный 3 10 5 5" xfId="30430"/>
    <cellStyle name="Обычный 3 10 5 5 10" xfId="30431"/>
    <cellStyle name="Обычный 3 10 5 5 10 2" xfId="30432"/>
    <cellStyle name="Обычный 3 10 5 5 11" xfId="30433"/>
    <cellStyle name="Обычный 3 10 5 5 2" xfId="30434"/>
    <cellStyle name="Обычный 3 10 5 5 2 2" xfId="30435"/>
    <cellStyle name="Обычный 3 10 5 5 2 2 2" xfId="30436"/>
    <cellStyle name="Обычный 3 10 5 5 2 2 2 2" xfId="30437"/>
    <cellStyle name="Обычный 3 10 5 5 2 2 2 2 2" xfId="30438"/>
    <cellStyle name="Обычный 3 10 5 5 2 2 2 2 2 2" xfId="30439"/>
    <cellStyle name="Обычный 3 10 5 5 2 2 2 2 3" xfId="30440"/>
    <cellStyle name="Обычный 3 10 5 5 2 2 2 3" xfId="30441"/>
    <cellStyle name="Обычный 3 10 5 5 2 2 2 3 2" xfId="30442"/>
    <cellStyle name="Обычный 3 10 5 5 2 2 2 3 2 2" xfId="30443"/>
    <cellStyle name="Обычный 3 10 5 5 2 2 2 3 3" xfId="30444"/>
    <cellStyle name="Обычный 3 10 5 5 2 2 2 4" xfId="30445"/>
    <cellStyle name="Обычный 3 10 5 5 2 2 2 4 2" xfId="30446"/>
    <cellStyle name="Обычный 3 10 5 5 2 2 2 5" xfId="30447"/>
    <cellStyle name="Обычный 3 10 5 5 2 2 2 5 2" xfId="30448"/>
    <cellStyle name="Обычный 3 10 5 5 2 2 2 6" xfId="30449"/>
    <cellStyle name="Обычный 3 10 5 5 2 2 3" xfId="30450"/>
    <cellStyle name="Обычный 3 10 5 5 2 2 3 2" xfId="30451"/>
    <cellStyle name="Обычный 3 10 5 5 2 2 3 2 2" xfId="30452"/>
    <cellStyle name="Обычный 3 10 5 5 2 2 3 2 2 2" xfId="30453"/>
    <cellStyle name="Обычный 3 10 5 5 2 2 3 2 3" xfId="30454"/>
    <cellStyle name="Обычный 3 10 5 5 2 2 3 3" xfId="30455"/>
    <cellStyle name="Обычный 3 10 5 5 2 2 3 3 2" xfId="30456"/>
    <cellStyle name="Обычный 3 10 5 5 2 2 3 3 2 2" xfId="30457"/>
    <cellStyle name="Обычный 3 10 5 5 2 2 3 3 3" xfId="30458"/>
    <cellStyle name="Обычный 3 10 5 5 2 2 3 4" xfId="30459"/>
    <cellStyle name="Обычный 3 10 5 5 2 2 3 4 2" xfId="30460"/>
    <cellStyle name="Обычный 3 10 5 5 2 2 3 5" xfId="30461"/>
    <cellStyle name="Обычный 3 10 5 5 2 2 4" xfId="30462"/>
    <cellStyle name="Обычный 3 10 5 5 2 2 4 2" xfId="30463"/>
    <cellStyle name="Обычный 3 10 5 5 2 2 4 2 2" xfId="30464"/>
    <cellStyle name="Обычный 3 10 5 5 2 2 4 3" xfId="30465"/>
    <cellStyle name="Обычный 3 10 5 5 2 2 5" xfId="30466"/>
    <cellStyle name="Обычный 3 10 5 5 2 2 5 2" xfId="30467"/>
    <cellStyle name="Обычный 3 10 5 5 2 2 5 2 2" xfId="30468"/>
    <cellStyle name="Обычный 3 10 5 5 2 2 5 3" xfId="30469"/>
    <cellStyle name="Обычный 3 10 5 5 2 2 6" xfId="30470"/>
    <cellStyle name="Обычный 3 10 5 5 2 2 6 2" xfId="30471"/>
    <cellStyle name="Обычный 3 10 5 5 2 2 7" xfId="30472"/>
    <cellStyle name="Обычный 3 10 5 5 2 2 7 2" xfId="30473"/>
    <cellStyle name="Обычный 3 10 5 5 2 2 8" xfId="30474"/>
    <cellStyle name="Обычный 3 10 5 5 2 3" xfId="30475"/>
    <cellStyle name="Обычный 3 10 5 5 2 3 2" xfId="30476"/>
    <cellStyle name="Обычный 3 10 5 5 2 3 2 2" xfId="30477"/>
    <cellStyle name="Обычный 3 10 5 5 2 3 2 2 2" xfId="30478"/>
    <cellStyle name="Обычный 3 10 5 5 2 3 2 3" xfId="30479"/>
    <cellStyle name="Обычный 3 10 5 5 2 3 3" xfId="30480"/>
    <cellStyle name="Обычный 3 10 5 5 2 3 3 2" xfId="30481"/>
    <cellStyle name="Обычный 3 10 5 5 2 3 3 2 2" xfId="30482"/>
    <cellStyle name="Обычный 3 10 5 5 2 3 3 3" xfId="30483"/>
    <cellStyle name="Обычный 3 10 5 5 2 3 4" xfId="30484"/>
    <cellStyle name="Обычный 3 10 5 5 2 3 4 2" xfId="30485"/>
    <cellStyle name="Обычный 3 10 5 5 2 3 5" xfId="30486"/>
    <cellStyle name="Обычный 3 10 5 5 2 3 5 2" xfId="30487"/>
    <cellStyle name="Обычный 3 10 5 5 2 3 6" xfId="30488"/>
    <cellStyle name="Обычный 3 10 5 5 2 4" xfId="30489"/>
    <cellStyle name="Обычный 3 10 5 5 2 4 2" xfId="30490"/>
    <cellStyle name="Обычный 3 10 5 5 2 4 2 2" xfId="30491"/>
    <cellStyle name="Обычный 3 10 5 5 2 4 2 2 2" xfId="30492"/>
    <cellStyle name="Обычный 3 10 5 5 2 4 2 3" xfId="30493"/>
    <cellStyle name="Обычный 3 10 5 5 2 4 3" xfId="30494"/>
    <cellStyle name="Обычный 3 10 5 5 2 4 3 2" xfId="30495"/>
    <cellStyle name="Обычный 3 10 5 5 2 4 3 2 2" xfId="30496"/>
    <cellStyle name="Обычный 3 10 5 5 2 4 3 3" xfId="30497"/>
    <cellStyle name="Обычный 3 10 5 5 2 4 4" xfId="30498"/>
    <cellStyle name="Обычный 3 10 5 5 2 4 4 2" xfId="30499"/>
    <cellStyle name="Обычный 3 10 5 5 2 4 5" xfId="30500"/>
    <cellStyle name="Обычный 3 10 5 5 2 4 5 2" xfId="30501"/>
    <cellStyle name="Обычный 3 10 5 5 2 4 6" xfId="30502"/>
    <cellStyle name="Обычный 3 10 5 5 2 5" xfId="30503"/>
    <cellStyle name="Обычный 3 10 5 5 2 5 2" xfId="30504"/>
    <cellStyle name="Обычный 3 10 5 5 2 5 2 2" xfId="30505"/>
    <cellStyle name="Обычный 3 10 5 5 2 5 3" xfId="30506"/>
    <cellStyle name="Обычный 3 10 5 5 2 6" xfId="30507"/>
    <cellStyle name="Обычный 3 10 5 5 2 6 2" xfId="30508"/>
    <cellStyle name="Обычный 3 10 5 5 2 6 2 2" xfId="30509"/>
    <cellStyle name="Обычный 3 10 5 5 2 6 3" xfId="30510"/>
    <cellStyle name="Обычный 3 10 5 5 2 7" xfId="30511"/>
    <cellStyle name="Обычный 3 10 5 5 2 7 2" xfId="30512"/>
    <cellStyle name="Обычный 3 10 5 5 2 8" xfId="30513"/>
    <cellStyle name="Обычный 3 10 5 5 2 8 2" xfId="30514"/>
    <cellStyle name="Обычный 3 10 5 5 2 9" xfId="30515"/>
    <cellStyle name="Обычный 3 10 5 5 3" xfId="30516"/>
    <cellStyle name="Обычный 3 10 5 5 3 2" xfId="30517"/>
    <cellStyle name="Обычный 3 10 5 5 3 2 2" xfId="30518"/>
    <cellStyle name="Обычный 3 10 5 5 3 2 2 2" xfId="30519"/>
    <cellStyle name="Обычный 3 10 5 5 3 2 2 2 2" xfId="30520"/>
    <cellStyle name="Обычный 3 10 5 5 3 2 2 3" xfId="30521"/>
    <cellStyle name="Обычный 3 10 5 5 3 2 2 3 2" xfId="30522"/>
    <cellStyle name="Обычный 3 10 5 5 3 2 2 4" xfId="30523"/>
    <cellStyle name="Обычный 3 10 5 5 3 2 3" xfId="30524"/>
    <cellStyle name="Обычный 3 10 5 5 3 2 3 2" xfId="30525"/>
    <cellStyle name="Обычный 3 10 5 5 3 2 3 2 2" xfId="30526"/>
    <cellStyle name="Обычный 3 10 5 5 3 2 3 3" xfId="30527"/>
    <cellStyle name="Обычный 3 10 5 5 3 2 4" xfId="30528"/>
    <cellStyle name="Обычный 3 10 5 5 3 2 4 2" xfId="30529"/>
    <cellStyle name="Обычный 3 10 5 5 3 2 5" xfId="30530"/>
    <cellStyle name="Обычный 3 10 5 5 3 2 5 2" xfId="30531"/>
    <cellStyle name="Обычный 3 10 5 5 3 2 6" xfId="30532"/>
    <cellStyle name="Обычный 3 10 5 5 3 3" xfId="30533"/>
    <cellStyle name="Обычный 3 10 5 5 3 3 2" xfId="30534"/>
    <cellStyle name="Обычный 3 10 5 5 3 3 2 2" xfId="30535"/>
    <cellStyle name="Обычный 3 10 5 5 3 3 2 2 2" xfId="30536"/>
    <cellStyle name="Обычный 3 10 5 5 3 3 2 3" xfId="30537"/>
    <cellStyle name="Обычный 3 10 5 5 3 3 3" xfId="30538"/>
    <cellStyle name="Обычный 3 10 5 5 3 3 3 2" xfId="30539"/>
    <cellStyle name="Обычный 3 10 5 5 3 3 3 2 2" xfId="30540"/>
    <cellStyle name="Обычный 3 10 5 5 3 3 3 3" xfId="30541"/>
    <cellStyle name="Обычный 3 10 5 5 3 3 4" xfId="30542"/>
    <cellStyle name="Обычный 3 10 5 5 3 3 4 2" xfId="30543"/>
    <cellStyle name="Обычный 3 10 5 5 3 3 5" xfId="30544"/>
    <cellStyle name="Обычный 3 10 5 5 3 3 5 2" xfId="30545"/>
    <cellStyle name="Обычный 3 10 5 5 3 3 6" xfId="30546"/>
    <cellStyle name="Обычный 3 10 5 5 3 4" xfId="30547"/>
    <cellStyle name="Обычный 3 10 5 5 3 4 2" xfId="30548"/>
    <cellStyle name="Обычный 3 10 5 5 3 4 2 2" xfId="30549"/>
    <cellStyle name="Обычный 3 10 5 5 3 4 3" xfId="30550"/>
    <cellStyle name="Обычный 3 10 5 5 3 4 3 2" xfId="30551"/>
    <cellStyle name="Обычный 3 10 5 5 3 4 4" xfId="30552"/>
    <cellStyle name="Обычный 3 10 5 5 3 5" xfId="30553"/>
    <cellStyle name="Обычный 3 10 5 5 3 5 2" xfId="30554"/>
    <cellStyle name="Обычный 3 10 5 5 3 5 2 2" xfId="30555"/>
    <cellStyle name="Обычный 3 10 5 5 3 5 3" xfId="30556"/>
    <cellStyle name="Обычный 3 10 5 5 3 6" xfId="30557"/>
    <cellStyle name="Обычный 3 10 5 5 3 6 2" xfId="30558"/>
    <cellStyle name="Обычный 3 10 5 5 3 7" xfId="30559"/>
    <cellStyle name="Обычный 3 10 5 5 3 7 2" xfId="30560"/>
    <cellStyle name="Обычный 3 10 5 5 3 8" xfId="30561"/>
    <cellStyle name="Обычный 3 10 5 5 4" xfId="30562"/>
    <cellStyle name="Обычный 3 10 5 5 4 2" xfId="30563"/>
    <cellStyle name="Обычный 3 10 5 5 4 2 2" xfId="30564"/>
    <cellStyle name="Обычный 3 10 5 5 4 2 2 2" xfId="30565"/>
    <cellStyle name="Обычный 3 10 5 5 4 2 2 2 2" xfId="30566"/>
    <cellStyle name="Обычный 3 10 5 5 4 2 2 3" xfId="30567"/>
    <cellStyle name="Обычный 3 10 5 5 4 2 3" xfId="30568"/>
    <cellStyle name="Обычный 3 10 5 5 4 2 3 2" xfId="30569"/>
    <cellStyle name="Обычный 3 10 5 5 4 2 3 2 2" xfId="30570"/>
    <cellStyle name="Обычный 3 10 5 5 4 2 3 3" xfId="30571"/>
    <cellStyle name="Обычный 3 10 5 5 4 2 4" xfId="30572"/>
    <cellStyle name="Обычный 3 10 5 5 4 2 4 2" xfId="30573"/>
    <cellStyle name="Обычный 3 10 5 5 4 2 5" xfId="30574"/>
    <cellStyle name="Обычный 3 10 5 5 4 2 5 2" xfId="30575"/>
    <cellStyle name="Обычный 3 10 5 5 4 2 6" xfId="30576"/>
    <cellStyle name="Обычный 3 10 5 5 4 3" xfId="30577"/>
    <cellStyle name="Обычный 3 10 5 5 4 3 2" xfId="30578"/>
    <cellStyle name="Обычный 3 10 5 5 4 3 2 2" xfId="30579"/>
    <cellStyle name="Обычный 3 10 5 5 4 3 2 2 2" xfId="30580"/>
    <cellStyle name="Обычный 3 10 5 5 4 3 2 3" xfId="30581"/>
    <cellStyle name="Обычный 3 10 5 5 4 3 3" xfId="30582"/>
    <cellStyle name="Обычный 3 10 5 5 4 3 3 2" xfId="30583"/>
    <cellStyle name="Обычный 3 10 5 5 4 3 3 2 2" xfId="30584"/>
    <cellStyle name="Обычный 3 10 5 5 4 3 3 3" xfId="30585"/>
    <cellStyle name="Обычный 3 10 5 5 4 3 4" xfId="30586"/>
    <cellStyle name="Обычный 3 10 5 5 4 3 4 2" xfId="30587"/>
    <cellStyle name="Обычный 3 10 5 5 4 3 5" xfId="30588"/>
    <cellStyle name="Обычный 3 10 5 5 4 4" xfId="30589"/>
    <cellStyle name="Обычный 3 10 5 5 4 4 2" xfId="30590"/>
    <cellStyle name="Обычный 3 10 5 5 4 4 2 2" xfId="30591"/>
    <cellStyle name="Обычный 3 10 5 5 4 4 3" xfId="30592"/>
    <cellStyle name="Обычный 3 10 5 5 4 5" xfId="30593"/>
    <cellStyle name="Обычный 3 10 5 5 4 5 2" xfId="30594"/>
    <cellStyle name="Обычный 3 10 5 5 4 5 2 2" xfId="30595"/>
    <cellStyle name="Обычный 3 10 5 5 4 5 3" xfId="30596"/>
    <cellStyle name="Обычный 3 10 5 5 4 6" xfId="30597"/>
    <cellStyle name="Обычный 3 10 5 5 4 6 2" xfId="30598"/>
    <cellStyle name="Обычный 3 10 5 5 4 7" xfId="30599"/>
    <cellStyle name="Обычный 3 10 5 5 4 7 2" xfId="30600"/>
    <cellStyle name="Обычный 3 10 5 5 4 8" xfId="30601"/>
    <cellStyle name="Обычный 3 10 5 5 5" xfId="30602"/>
    <cellStyle name="Обычный 3 10 5 5 5 2" xfId="30603"/>
    <cellStyle name="Обычный 3 10 5 5 5 2 2" xfId="30604"/>
    <cellStyle name="Обычный 3 10 5 5 5 2 2 2" xfId="30605"/>
    <cellStyle name="Обычный 3 10 5 5 5 2 3" xfId="30606"/>
    <cellStyle name="Обычный 3 10 5 5 5 3" xfId="30607"/>
    <cellStyle name="Обычный 3 10 5 5 5 3 2" xfId="30608"/>
    <cellStyle name="Обычный 3 10 5 5 5 3 2 2" xfId="30609"/>
    <cellStyle name="Обычный 3 10 5 5 5 3 3" xfId="30610"/>
    <cellStyle name="Обычный 3 10 5 5 5 4" xfId="30611"/>
    <cellStyle name="Обычный 3 10 5 5 5 4 2" xfId="30612"/>
    <cellStyle name="Обычный 3 10 5 5 5 5" xfId="30613"/>
    <cellStyle name="Обычный 3 10 5 5 5 5 2" xfId="30614"/>
    <cellStyle name="Обычный 3 10 5 5 5 6" xfId="30615"/>
    <cellStyle name="Обычный 3 10 5 5 6" xfId="30616"/>
    <cellStyle name="Обычный 3 10 5 5 6 2" xfId="30617"/>
    <cellStyle name="Обычный 3 10 5 5 6 2 2" xfId="30618"/>
    <cellStyle name="Обычный 3 10 5 5 6 2 2 2" xfId="30619"/>
    <cellStyle name="Обычный 3 10 5 5 6 2 3" xfId="30620"/>
    <cellStyle name="Обычный 3 10 5 5 6 3" xfId="30621"/>
    <cellStyle name="Обычный 3 10 5 5 6 3 2" xfId="30622"/>
    <cellStyle name="Обычный 3 10 5 5 6 3 2 2" xfId="30623"/>
    <cellStyle name="Обычный 3 10 5 5 6 3 3" xfId="30624"/>
    <cellStyle name="Обычный 3 10 5 5 6 4" xfId="30625"/>
    <cellStyle name="Обычный 3 10 5 5 6 4 2" xfId="30626"/>
    <cellStyle name="Обычный 3 10 5 5 6 5" xfId="30627"/>
    <cellStyle name="Обычный 3 10 5 5 6 5 2" xfId="30628"/>
    <cellStyle name="Обычный 3 10 5 5 6 6" xfId="30629"/>
    <cellStyle name="Обычный 3 10 5 5 7" xfId="30630"/>
    <cellStyle name="Обычный 3 10 5 5 7 2" xfId="30631"/>
    <cellStyle name="Обычный 3 10 5 5 7 2 2" xfId="30632"/>
    <cellStyle name="Обычный 3 10 5 5 7 3" xfId="30633"/>
    <cellStyle name="Обычный 3 10 5 5 8" xfId="30634"/>
    <cellStyle name="Обычный 3 10 5 5 8 2" xfId="30635"/>
    <cellStyle name="Обычный 3 10 5 5 8 2 2" xfId="30636"/>
    <cellStyle name="Обычный 3 10 5 5 8 3" xfId="30637"/>
    <cellStyle name="Обычный 3 10 5 5 9" xfId="30638"/>
    <cellStyle name="Обычный 3 10 5 5 9 2" xfId="30639"/>
    <cellStyle name="Обычный 3 10 5 6" xfId="30640"/>
    <cellStyle name="Обычный 3 10 5 6 10" xfId="30641"/>
    <cellStyle name="Обычный 3 10 5 6 10 2" xfId="30642"/>
    <cellStyle name="Обычный 3 10 5 6 11" xfId="30643"/>
    <cellStyle name="Обычный 3 10 5 6 2" xfId="30644"/>
    <cellStyle name="Обычный 3 10 5 6 2 2" xfId="30645"/>
    <cellStyle name="Обычный 3 10 5 6 2 2 2" xfId="30646"/>
    <cellStyle name="Обычный 3 10 5 6 2 2 2 2" xfId="30647"/>
    <cellStyle name="Обычный 3 10 5 6 2 2 2 2 2" xfId="30648"/>
    <cellStyle name="Обычный 3 10 5 6 2 2 2 2 2 2" xfId="30649"/>
    <cellStyle name="Обычный 3 10 5 6 2 2 2 2 3" xfId="30650"/>
    <cellStyle name="Обычный 3 10 5 6 2 2 2 2 3 2" xfId="30651"/>
    <cellStyle name="Обычный 3 10 5 6 2 2 2 2 4" xfId="30652"/>
    <cellStyle name="Обычный 3 10 5 6 2 2 2 3" xfId="30653"/>
    <cellStyle name="Обычный 3 10 5 6 2 2 2 3 2" xfId="30654"/>
    <cellStyle name="Обычный 3 10 5 6 2 2 2 3 2 2" xfId="30655"/>
    <cellStyle name="Обычный 3 10 5 6 2 2 2 3 3" xfId="30656"/>
    <cellStyle name="Обычный 3 10 5 6 2 2 2 4" xfId="30657"/>
    <cellStyle name="Обычный 3 10 5 6 2 2 2 4 2" xfId="30658"/>
    <cellStyle name="Обычный 3 10 5 6 2 2 2 5" xfId="30659"/>
    <cellStyle name="Обычный 3 10 5 6 2 2 2 5 2" xfId="30660"/>
    <cellStyle name="Обычный 3 10 5 6 2 2 2 6" xfId="30661"/>
    <cellStyle name="Обычный 3 10 5 6 2 2 3" xfId="30662"/>
    <cellStyle name="Обычный 3 10 5 6 2 2 3 2" xfId="30663"/>
    <cellStyle name="Обычный 3 10 5 6 2 2 3 2 2" xfId="30664"/>
    <cellStyle name="Обычный 3 10 5 6 2 2 3 2 2 2" xfId="30665"/>
    <cellStyle name="Обычный 3 10 5 6 2 2 3 2 3" xfId="30666"/>
    <cellStyle name="Обычный 3 10 5 6 2 2 3 3" xfId="30667"/>
    <cellStyle name="Обычный 3 10 5 6 2 2 3 3 2" xfId="30668"/>
    <cellStyle name="Обычный 3 10 5 6 2 2 3 3 2 2" xfId="30669"/>
    <cellStyle name="Обычный 3 10 5 6 2 2 3 3 3" xfId="30670"/>
    <cellStyle name="Обычный 3 10 5 6 2 2 3 4" xfId="30671"/>
    <cellStyle name="Обычный 3 10 5 6 2 2 3 4 2" xfId="30672"/>
    <cellStyle name="Обычный 3 10 5 6 2 2 3 5" xfId="30673"/>
    <cellStyle name="Обычный 3 10 5 6 2 2 3 5 2" xfId="30674"/>
    <cellStyle name="Обычный 3 10 5 6 2 2 3 6" xfId="30675"/>
    <cellStyle name="Обычный 3 10 5 6 2 2 4" xfId="30676"/>
    <cellStyle name="Обычный 3 10 5 6 2 2 4 2" xfId="30677"/>
    <cellStyle name="Обычный 3 10 5 6 2 2 4 2 2" xfId="30678"/>
    <cellStyle name="Обычный 3 10 5 6 2 2 4 3" xfId="30679"/>
    <cellStyle name="Обычный 3 10 5 6 2 2 4 3 2" xfId="30680"/>
    <cellStyle name="Обычный 3 10 5 6 2 2 4 4" xfId="30681"/>
    <cellStyle name="Обычный 3 10 5 6 2 2 5" xfId="30682"/>
    <cellStyle name="Обычный 3 10 5 6 2 2 5 2" xfId="30683"/>
    <cellStyle name="Обычный 3 10 5 6 2 2 5 2 2" xfId="30684"/>
    <cellStyle name="Обычный 3 10 5 6 2 2 5 3" xfId="30685"/>
    <cellStyle name="Обычный 3 10 5 6 2 2 6" xfId="30686"/>
    <cellStyle name="Обычный 3 10 5 6 2 2 6 2" xfId="30687"/>
    <cellStyle name="Обычный 3 10 5 6 2 2 7" xfId="30688"/>
    <cellStyle name="Обычный 3 10 5 6 2 2 7 2" xfId="30689"/>
    <cellStyle name="Обычный 3 10 5 6 2 2 8" xfId="30690"/>
    <cellStyle name="Обычный 3 10 5 6 2 3" xfId="30691"/>
    <cellStyle name="Обычный 3 10 5 6 2 3 2" xfId="30692"/>
    <cellStyle name="Обычный 3 10 5 6 2 3 2 2" xfId="30693"/>
    <cellStyle name="Обычный 3 10 5 6 2 3 2 2 2" xfId="30694"/>
    <cellStyle name="Обычный 3 10 5 6 2 3 2 3" xfId="30695"/>
    <cellStyle name="Обычный 3 10 5 6 2 3 2 3 2" xfId="30696"/>
    <cellStyle name="Обычный 3 10 5 6 2 3 2 4" xfId="30697"/>
    <cellStyle name="Обычный 3 10 5 6 2 3 3" xfId="30698"/>
    <cellStyle name="Обычный 3 10 5 6 2 3 3 2" xfId="30699"/>
    <cellStyle name="Обычный 3 10 5 6 2 3 3 2 2" xfId="30700"/>
    <cellStyle name="Обычный 3 10 5 6 2 3 3 3" xfId="30701"/>
    <cellStyle name="Обычный 3 10 5 6 2 3 4" xfId="30702"/>
    <cellStyle name="Обычный 3 10 5 6 2 3 4 2" xfId="30703"/>
    <cellStyle name="Обычный 3 10 5 6 2 3 5" xfId="30704"/>
    <cellStyle name="Обычный 3 10 5 6 2 3 5 2" xfId="30705"/>
    <cellStyle name="Обычный 3 10 5 6 2 3 6" xfId="30706"/>
    <cellStyle name="Обычный 3 10 5 6 2 4" xfId="30707"/>
    <cellStyle name="Обычный 3 10 5 6 2 4 2" xfId="30708"/>
    <cellStyle name="Обычный 3 10 5 6 2 4 2 2" xfId="30709"/>
    <cellStyle name="Обычный 3 10 5 6 2 4 2 2 2" xfId="30710"/>
    <cellStyle name="Обычный 3 10 5 6 2 4 2 3" xfId="30711"/>
    <cellStyle name="Обычный 3 10 5 6 2 4 3" xfId="30712"/>
    <cellStyle name="Обычный 3 10 5 6 2 4 3 2" xfId="30713"/>
    <cellStyle name="Обычный 3 10 5 6 2 4 3 2 2" xfId="30714"/>
    <cellStyle name="Обычный 3 10 5 6 2 4 3 3" xfId="30715"/>
    <cellStyle name="Обычный 3 10 5 6 2 4 4" xfId="30716"/>
    <cellStyle name="Обычный 3 10 5 6 2 4 4 2" xfId="30717"/>
    <cellStyle name="Обычный 3 10 5 6 2 4 5" xfId="30718"/>
    <cellStyle name="Обычный 3 10 5 6 2 4 5 2" xfId="30719"/>
    <cellStyle name="Обычный 3 10 5 6 2 4 6" xfId="30720"/>
    <cellStyle name="Обычный 3 10 5 6 2 5" xfId="30721"/>
    <cellStyle name="Обычный 3 10 5 6 2 5 2" xfId="30722"/>
    <cellStyle name="Обычный 3 10 5 6 2 5 2 2" xfId="30723"/>
    <cellStyle name="Обычный 3 10 5 6 2 5 3" xfId="30724"/>
    <cellStyle name="Обычный 3 10 5 6 2 5 3 2" xfId="30725"/>
    <cellStyle name="Обычный 3 10 5 6 2 5 4" xfId="30726"/>
    <cellStyle name="Обычный 3 10 5 6 2 6" xfId="30727"/>
    <cellStyle name="Обычный 3 10 5 6 2 6 2" xfId="30728"/>
    <cellStyle name="Обычный 3 10 5 6 2 6 2 2" xfId="30729"/>
    <cellStyle name="Обычный 3 10 5 6 2 6 3" xfId="30730"/>
    <cellStyle name="Обычный 3 10 5 6 2 7" xfId="30731"/>
    <cellStyle name="Обычный 3 10 5 6 2 7 2" xfId="30732"/>
    <cellStyle name="Обычный 3 10 5 6 2 8" xfId="30733"/>
    <cellStyle name="Обычный 3 10 5 6 2 8 2" xfId="30734"/>
    <cellStyle name="Обычный 3 10 5 6 2 9" xfId="30735"/>
    <cellStyle name="Обычный 3 10 5 6 3" xfId="30736"/>
    <cellStyle name="Обычный 3 10 5 6 3 2" xfId="30737"/>
    <cellStyle name="Обычный 3 10 5 6 3 2 2" xfId="30738"/>
    <cellStyle name="Обычный 3 10 5 6 3 2 2 2" xfId="30739"/>
    <cellStyle name="Обычный 3 10 5 6 3 2 2 2 2" xfId="30740"/>
    <cellStyle name="Обычный 3 10 5 6 3 2 2 3" xfId="30741"/>
    <cellStyle name="Обычный 3 10 5 6 3 2 2 3 2" xfId="30742"/>
    <cellStyle name="Обычный 3 10 5 6 3 2 2 4" xfId="30743"/>
    <cellStyle name="Обычный 3 10 5 6 3 2 3" xfId="30744"/>
    <cellStyle name="Обычный 3 10 5 6 3 2 3 2" xfId="30745"/>
    <cellStyle name="Обычный 3 10 5 6 3 2 3 2 2" xfId="30746"/>
    <cellStyle name="Обычный 3 10 5 6 3 2 3 3" xfId="30747"/>
    <cellStyle name="Обычный 3 10 5 6 3 2 4" xfId="30748"/>
    <cellStyle name="Обычный 3 10 5 6 3 2 4 2" xfId="30749"/>
    <cellStyle name="Обычный 3 10 5 6 3 2 5" xfId="30750"/>
    <cellStyle name="Обычный 3 10 5 6 3 2 5 2" xfId="30751"/>
    <cellStyle name="Обычный 3 10 5 6 3 2 6" xfId="30752"/>
    <cellStyle name="Обычный 3 10 5 6 3 3" xfId="30753"/>
    <cellStyle name="Обычный 3 10 5 6 3 3 2" xfId="30754"/>
    <cellStyle name="Обычный 3 10 5 6 3 3 2 2" xfId="30755"/>
    <cellStyle name="Обычный 3 10 5 6 3 3 2 2 2" xfId="30756"/>
    <cellStyle name="Обычный 3 10 5 6 3 3 2 3" xfId="30757"/>
    <cellStyle name="Обычный 3 10 5 6 3 3 3" xfId="30758"/>
    <cellStyle name="Обычный 3 10 5 6 3 3 3 2" xfId="30759"/>
    <cellStyle name="Обычный 3 10 5 6 3 3 3 2 2" xfId="30760"/>
    <cellStyle name="Обычный 3 10 5 6 3 3 3 3" xfId="30761"/>
    <cellStyle name="Обычный 3 10 5 6 3 3 4" xfId="30762"/>
    <cellStyle name="Обычный 3 10 5 6 3 3 4 2" xfId="30763"/>
    <cellStyle name="Обычный 3 10 5 6 3 3 5" xfId="30764"/>
    <cellStyle name="Обычный 3 10 5 6 3 3 5 2" xfId="30765"/>
    <cellStyle name="Обычный 3 10 5 6 3 3 6" xfId="30766"/>
    <cellStyle name="Обычный 3 10 5 6 3 4" xfId="30767"/>
    <cellStyle name="Обычный 3 10 5 6 3 4 2" xfId="30768"/>
    <cellStyle name="Обычный 3 10 5 6 3 4 2 2" xfId="30769"/>
    <cellStyle name="Обычный 3 10 5 6 3 4 3" xfId="30770"/>
    <cellStyle name="Обычный 3 10 5 6 3 4 3 2" xfId="30771"/>
    <cellStyle name="Обычный 3 10 5 6 3 4 4" xfId="30772"/>
    <cellStyle name="Обычный 3 10 5 6 3 5" xfId="30773"/>
    <cellStyle name="Обычный 3 10 5 6 3 5 2" xfId="30774"/>
    <cellStyle name="Обычный 3 10 5 6 3 5 2 2" xfId="30775"/>
    <cellStyle name="Обычный 3 10 5 6 3 5 3" xfId="30776"/>
    <cellStyle name="Обычный 3 10 5 6 3 6" xfId="30777"/>
    <cellStyle name="Обычный 3 10 5 6 3 6 2" xfId="30778"/>
    <cellStyle name="Обычный 3 10 5 6 3 7" xfId="30779"/>
    <cellStyle name="Обычный 3 10 5 6 3 7 2" xfId="30780"/>
    <cellStyle name="Обычный 3 10 5 6 3 8" xfId="30781"/>
    <cellStyle name="Обычный 3 10 5 6 4" xfId="30782"/>
    <cellStyle name="Обычный 3 10 5 6 4 2" xfId="30783"/>
    <cellStyle name="Обычный 3 10 5 6 4 2 2" xfId="30784"/>
    <cellStyle name="Обычный 3 10 5 6 4 2 2 2" xfId="30785"/>
    <cellStyle name="Обычный 3 10 5 6 4 2 2 2 2" xfId="30786"/>
    <cellStyle name="Обычный 3 10 5 6 4 2 2 3" xfId="30787"/>
    <cellStyle name="Обычный 3 10 5 6 4 2 3" xfId="30788"/>
    <cellStyle name="Обычный 3 10 5 6 4 2 3 2" xfId="30789"/>
    <cellStyle name="Обычный 3 10 5 6 4 2 3 2 2" xfId="30790"/>
    <cellStyle name="Обычный 3 10 5 6 4 2 3 3" xfId="30791"/>
    <cellStyle name="Обычный 3 10 5 6 4 2 4" xfId="30792"/>
    <cellStyle name="Обычный 3 10 5 6 4 2 4 2" xfId="30793"/>
    <cellStyle name="Обычный 3 10 5 6 4 2 5" xfId="30794"/>
    <cellStyle name="Обычный 3 10 5 6 4 2 5 2" xfId="30795"/>
    <cellStyle name="Обычный 3 10 5 6 4 2 6" xfId="30796"/>
    <cellStyle name="Обычный 3 10 5 6 4 3" xfId="30797"/>
    <cellStyle name="Обычный 3 10 5 6 4 3 2" xfId="30798"/>
    <cellStyle name="Обычный 3 10 5 6 4 3 2 2" xfId="30799"/>
    <cellStyle name="Обычный 3 10 5 6 4 3 2 2 2" xfId="30800"/>
    <cellStyle name="Обычный 3 10 5 6 4 3 2 3" xfId="30801"/>
    <cellStyle name="Обычный 3 10 5 6 4 3 3" xfId="30802"/>
    <cellStyle name="Обычный 3 10 5 6 4 3 3 2" xfId="30803"/>
    <cellStyle name="Обычный 3 10 5 6 4 3 3 2 2" xfId="30804"/>
    <cellStyle name="Обычный 3 10 5 6 4 3 3 3" xfId="30805"/>
    <cellStyle name="Обычный 3 10 5 6 4 3 4" xfId="30806"/>
    <cellStyle name="Обычный 3 10 5 6 4 3 4 2" xfId="30807"/>
    <cellStyle name="Обычный 3 10 5 6 4 3 5" xfId="30808"/>
    <cellStyle name="Обычный 3 10 5 6 4 4" xfId="30809"/>
    <cellStyle name="Обычный 3 10 5 6 4 4 2" xfId="30810"/>
    <cellStyle name="Обычный 3 10 5 6 4 4 2 2" xfId="30811"/>
    <cellStyle name="Обычный 3 10 5 6 4 4 3" xfId="30812"/>
    <cellStyle name="Обычный 3 10 5 6 4 5" xfId="30813"/>
    <cellStyle name="Обычный 3 10 5 6 4 5 2" xfId="30814"/>
    <cellStyle name="Обычный 3 10 5 6 4 5 2 2" xfId="30815"/>
    <cellStyle name="Обычный 3 10 5 6 4 5 3" xfId="30816"/>
    <cellStyle name="Обычный 3 10 5 6 4 6" xfId="30817"/>
    <cellStyle name="Обычный 3 10 5 6 4 6 2" xfId="30818"/>
    <cellStyle name="Обычный 3 10 5 6 4 7" xfId="30819"/>
    <cellStyle name="Обычный 3 10 5 6 4 7 2" xfId="30820"/>
    <cellStyle name="Обычный 3 10 5 6 4 8" xfId="30821"/>
    <cellStyle name="Обычный 3 10 5 6 5" xfId="30822"/>
    <cellStyle name="Обычный 3 10 5 6 5 2" xfId="30823"/>
    <cellStyle name="Обычный 3 10 5 6 5 2 2" xfId="30824"/>
    <cellStyle name="Обычный 3 10 5 6 5 2 2 2" xfId="30825"/>
    <cellStyle name="Обычный 3 10 5 6 5 2 3" xfId="30826"/>
    <cellStyle name="Обычный 3 10 5 6 5 3" xfId="30827"/>
    <cellStyle name="Обычный 3 10 5 6 5 3 2" xfId="30828"/>
    <cellStyle name="Обычный 3 10 5 6 5 3 2 2" xfId="30829"/>
    <cellStyle name="Обычный 3 10 5 6 5 3 3" xfId="30830"/>
    <cellStyle name="Обычный 3 10 5 6 5 4" xfId="30831"/>
    <cellStyle name="Обычный 3 10 5 6 5 4 2" xfId="30832"/>
    <cellStyle name="Обычный 3 10 5 6 5 5" xfId="30833"/>
    <cellStyle name="Обычный 3 10 5 6 5 5 2" xfId="30834"/>
    <cellStyle name="Обычный 3 10 5 6 5 6" xfId="30835"/>
    <cellStyle name="Обычный 3 10 5 6 6" xfId="30836"/>
    <cellStyle name="Обычный 3 10 5 6 6 2" xfId="30837"/>
    <cellStyle name="Обычный 3 10 5 6 6 2 2" xfId="30838"/>
    <cellStyle name="Обычный 3 10 5 6 6 2 2 2" xfId="30839"/>
    <cellStyle name="Обычный 3 10 5 6 6 2 3" xfId="30840"/>
    <cellStyle name="Обычный 3 10 5 6 6 3" xfId="30841"/>
    <cellStyle name="Обычный 3 10 5 6 6 3 2" xfId="30842"/>
    <cellStyle name="Обычный 3 10 5 6 6 3 2 2" xfId="30843"/>
    <cellStyle name="Обычный 3 10 5 6 6 3 3" xfId="30844"/>
    <cellStyle name="Обычный 3 10 5 6 6 4" xfId="30845"/>
    <cellStyle name="Обычный 3 10 5 6 6 4 2" xfId="30846"/>
    <cellStyle name="Обычный 3 10 5 6 6 5" xfId="30847"/>
    <cellStyle name="Обычный 3 10 5 6 6 5 2" xfId="30848"/>
    <cellStyle name="Обычный 3 10 5 6 6 6" xfId="30849"/>
    <cellStyle name="Обычный 3 10 5 6 7" xfId="30850"/>
    <cellStyle name="Обычный 3 10 5 6 7 2" xfId="30851"/>
    <cellStyle name="Обычный 3 10 5 6 7 2 2" xfId="30852"/>
    <cellStyle name="Обычный 3 10 5 6 7 3" xfId="30853"/>
    <cellStyle name="Обычный 3 10 5 6 8" xfId="30854"/>
    <cellStyle name="Обычный 3 10 5 6 8 2" xfId="30855"/>
    <cellStyle name="Обычный 3 10 5 6 8 2 2" xfId="30856"/>
    <cellStyle name="Обычный 3 10 5 6 8 3" xfId="30857"/>
    <cellStyle name="Обычный 3 10 5 6 9" xfId="30858"/>
    <cellStyle name="Обычный 3 10 5 6 9 2" xfId="30859"/>
    <cellStyle name="Обычный 3 10 5 7" xfId="30860"/>
    <cellStyle name="Обычный 3 10 5 7 2" xfId="30861"/>
    <cellStyle name="Обычный 3 10 5 7 2 2" xfId="30862"/>
    <cellStyle name="Обычный 3 10 5 7 2 2 2" xfId="30863"/>
    <cellStyle name="Обычный 3 10 5 7 2 2 2 2" xfId="30864"/>
    <cellStyle name="Обычный 3 10 5 7 2 2 2 2 2" xfId="30865"/>
    <cellStyle name="Обычный 3 10 5 7 2 2 2 3" xfId="30866"/>
    <cellStyle name="Обычный 3 10 5 7 2 2 2 3 2" xfId="30867"/>
    <cellStyle name="Обычный 3 10 5 7 2 2 2 4" xfId="30868"/>
    <cellStyle name="Обычный 3 10 5 7 2 2 3" xfId="30869"/>
    <cellStyle name="Обычный 3 10 5 7 2 2 3 2" xfId="30870"/>
    <cellStyle name="Обычный 3 10 5 7 2 2 3 2 2" xfId="30871"/>
    <cellStyle name="Обычный 3 10 5 7 2 2 3 3" xfId="30872"/>
    <cellStyle name="Обычный 3 10 5 7 2 2 4" xfId="30873"/>
    <cellStyle name="Обычный 3 10 5 7 2 2 4 2" xfId="30874"/>
    <cellStyle name="Обычный 3 10 5 7 2 2 5" xfId="30875"/>
    <cellStyle name="Обычный 3 10 5 7 2 2 5 2" xfId="30876"/>
    <cellStyle name="Обычный 3 10 5 7 2 2 6" xfId="30877"/>
    <cellStyle name="Обычный 3 10 5 7 2 3" xfId="30878"/>
    <cellStyle name="Обычный 3 10 5 7 2 3 2" xfId="30879"/>
    <cellStyle name="Обычный 3 10 5 7 2 3 2 2" xfId="30880"/>
    <cellStyle name="Обычный 3 10 5 7 2 3 2 2 2" xfId="30881"/>
    <cellStyle name="Обычный 3 10 5 7 2 3 2 3" xfId="30882"/>
    <cellStyle name="Обычный 3 10 5 7 2 3 3" xfId="30883"/>
    <cellStyle name="Обычный 3 10 5 7 2 3 3 2" xfId="30884"/>
    <cellStyle name="Обычный 3 10 5 7 2 3 3 2 2" xfId="30885"/>
    <cellStyle name="Обычный 3 10 5 7 2 3 3 3" xfId="30886"/>
    <cellStyle name="Обычный 3 10 5 7 2 3 4" xfId="30887"/>
    <cellStyle name="Обычный 3 10 5 7 2 3 4 2" xfId="30888"/>
    <cellStyle name="Обычный 3 10 5 7 2 3 5" xfId="30889"/>
    <cellStyle name="Обычный 3 10 5 7 2 3 5 2" xfId="30890"/>
    <cellStyle name="Обычный 3 10 5 7 2 3 6" xfId="30891"/>
    <cellStyle name="Обычный 3 10 5 7 2 4" xfId="30892"/>
    <cellStyle name="Обычный 3 10 5 7 2 4 2" xfId="30893"/>
    <cellStyle name="Обычный 3 10 5 7 2 4 2 2" xfId="30894"/>
    <cellStyle name="Обычный 3 10 5 7 2 4 3" xfId="30895"/>
    <cellStyle name="Обычный 3 10 5 7 2 4 3 2" xfId="30896"/>
    <cellStyle name="Обычный 3 10 5 7 2 4 4" xfId="30897"/>
    <cellStyle name="Обычный 3 10 5 7 2 5" xfId="30898"/>
    <cellStyle name="Обычный 3 10 5 7 2 5 2" xfId="30899"/>
    <cellStyle name="Обычный 3 10 5 7 2 5 2 2" xfId="30900"/>
    <cellStyle name="Обычный 3 10 5 7 2 5 3" xfId="30901"/>
    <cellStyle name="Обычный 3 10 5 7 2 6" xfId="30902"/>
    <cellStyle name="Обычный 3 10 5 7 2 6 2" xfId="30903"/>
    <cellStyle name="Обычный 3 10 5 7 2 7" xfId="30904"/>
    <cellStyle name="Обычный 3 10 5 7 2 7 2" xfId="30905"/>
    <cellStyle name="Обычный 3 10 5 7 2 8" xfId="30906"/>
    <cellStyle name="Обычный 3 10 5 7 3" xfId="30907"/>
    <cellStyle name="Обычный 3 10 5 7 3 2" xfId="30908"/>
    <cellStyle name="Обычный 3 10 5 7 3 2 2" xfId="30909"/>
    <cellStyle name="Обычный 3 10 5 7 3 2 2 2" xfId="30910"/>
    <cellStyle name="Обычный 3 10 5 7 3 2 3" xfId="30911"/>
    <cellStyle name="Обычный 3 10 5 7 3 2 3 2" xfId="30912"/>
    <cellStyle name="Обычный 3 10 5 7 3 2 4" xfId="30913"/>
    <cellStyle name="Обычный 3 10 5 7 3 3" xfId="30914"/>
    <cellStyle name="Обычный 3 10 5 7 3 3 2" xfId="30915"/>
    <cellStyle name="Обычный 3 10 5 7 3 3 2 2" xfId="30916"/>
    <cellStyle name="Обычный 3 10 5 7 3 3 3" xfId="30917"/>
    <cellStyle name="Обычный 3 10 5 7 3 4" xfId="30918"/>
    <cellStyle name="Обычный 3 10 5 7 3 4 2" xfId="30919"/>
    <cellStyle name="Обычный 3 10 5 7 3 5" xfId="30920"/>
    <cellStyle name="Обычный 3 10 5 7 3 5 2" xfId="30921"/>
    <cellStyle name="Обычный 3 10 5 7 3 6" xfId="30922"/>
    <cellStyle name="Обычный 3 10 5 7 4" xfId="30923"/>
    <cellStyle name="Обычный 3 10 5 7 4 2" xfId="30924"/>
    <cellStyle name="Обычный 3 10 5 7 4 2 2" xfId="30925"/>
    <cellStyle name="Обычный 3 10 5 7 4 2 2 2" xfId="30926"/>
    <cellStyle name="Обычный 3 10 5 7 4 2 3" xfId="30927"/>
    <cellStyle name="Обычный 3 10 5 7 4 3" xfId="30928"/>
    <cellStyle name="Обычный 3 10 5 7 4 3 2" xfId="30929"/>
    <cellStyle name="Обычный 3 10 5 7 4 3 2 2" xfId="30930"/>
    <cellStyle name="Обычный 3 10 5 7 4 3 3" xfId="30931"/>
    <cellStyle name="Обычный 3 10 5 7 4 4" xfId="30932"/>
    <cellStyle name="Обычный 3 10 5 7 4 4 2" xfId="30933"/>
    <cellStyle name="Обычный 3 10 5 7 4 5" xfId="30934"/>
    <cellStyle name="Обычный 3 10 5 7 4 5 2" xfId="30935"/>
    <cellStyle name="Обычный 3 10 5 7 4 6" xfId="30936"/>
    <cellStyle name="Обычный 3 10 5 7 5" xfId="30937"/>
    <cellStyle name="Обычный 3 10 5 7 5 2" xfId="30938"/>
    <cellStyle name="Обычный 3 10 5 7 5 2 2" xfId="30939"/>
    <cellStyle name="Обычный 3 10 5 7 5 3" xfId="30940"/>
    <cellStyle name="Обычный 3 10 5 7 5 3 2" xfId="30941"/>
    <cellStyle name="Обычный 3 10 5 7 5 4" xfId="30942"/>
    <cellStyle name="Обычный 3 10 5 7 6" xfId="30943"/>
    <cellStyle name="Обычный 3 10 5 7 6 2" xfId="30944"/>
    <cellStyle name="Обычный 3 10 5 7 6 2 2" xfId="30945"/>
    <cellStyle name="Обычный 3 10 5 7 6 3" xfId="30946"/>
    <cellStyle name="Обычный 3 10 5 7 7" xfId="30947"/>
    <cellStyle name="Обычный 3 10 5 7 7 2" xfId="30948"/>
    <cellStyle name="Обычный 3 10 5 7 8" xfId="30949"/>
    <cellStyle name="Обычный 3 10 5 7 8 2" xfId="30950"/>
    <cellStyle name="Обычный 3 10 5 7 9" xfId="30951"/>
    <cellStyle name="Обычный 3 10 5 8" xfId="30952"/>
    <cellStyle name="Обычный 3 10 5 8 2" xfId="30953"/>
    <cellStyle name="Обычный 3 10 5 8 2 2" xfId="30954"/>
    <cellStyle name="Обычный 3 10 5 8 2 2 2" xfId="30955"/>
    <cellStyle name="Обычный 3 10 5 8 2 2 2 2" xfId="30956"/>
    <cellStyle name="Обычный 3 10 5 8 2 2 3" xfId="30957"/>
    <cellStyle name="Обычный 3 10 5 8 2 2 3 2" xfId="30958"/>
    <cellStyle name="Обычный 3 10 5 8 2 2 4" xfId="30959"/>
    <cellStyle name="Обычный 3 10 5 8 2 3" xfId="30960"/>
    <cellStyle name="Обычный 3 10 5 8 2 3 2" xfId="30961"/>
    <cellStyle name="Обычный 3 10 5 8 2 3 2 2" xfId="30962"/>
    <cellStyle name="Обычный 3 10 5 8 2 3 3" xfId="30963"/>
    <cellStyle name="Обычный 3 10 5 8 2 4" xfId="30964"/>
    <cellStyle name="Обычный 3 10 5 8 2 4 2" xfId="30965"/>
    <cellStyle name="Обычный 3 10 5 8 2 5" xfId="30966"/>
    <cellStyle name="Обычный 3 10 5 8 2 5 2" xfId="30967"/>
    <cellStyle name="Обычный 3 10 5 8 2 6" xfId="30968"/>
    <cellStyle name="Обычный 3 10 5 8 3" xfId="30969"/>
    <cellStyle name="Обычный 3 10 5 8 3 2" xfId="30970"/>
    <cellStyle name="Обычный 3 10 5 8 3 2 2" xfId="30971"/>
    <cellStyle name="Обычный 3 10 5 8 3 2 2 2" xfId="30972"/>
    <cellStyle name="Обычный 3 10 5 8 3 2 3" xfId="30973"/>
    <cellStyle name="Обычный 3 10 5 8 3 3" xfId="30974"/>
    <cellStyle name="Обычный 3 10 5 8 3 3 2" xfId="30975"/>
    <cellStyle name="Обычный 3 10 5 8 3 3 2 2" xfId="30976"/>
    <cellStyle name="Обычный 3 10 5 8 3 3 3" xfId="30977"/>
    <cellStyle name="Обычный 3 10 5 8 3 4" xfId="30978"/>
    <cellStyle name="Обычный 3 10 5 8 3 4 2" xfId="30979"/>
    <cellStyle name="Обычный 3 10 5 8 3 5" xfId="30980"/>
    <cellStyle name="Обычный 3 10 5 8 3 5 2" xfId="30981"/>
    <cellStyle name="Обычный 3 10 5 8 3 6" xfId="30982"/>
    <cellStyle name="Обычный 3 10 5 8 4" xfId="30983"/>
    <cellStyle name="Обычный 3 10 5 8 4 2" xfId="30984"/>
    <cellStyle name="Обычный 3 10 5 8 4 2 2" xfId="30985"/>
    <cellStyle name="Обычный 3 10 5 8 4 3" xfId="30986"/>
    <cellStyle name="Обычный 3 10 5 8 4 3 2" xfId="30987"/>
    <cellStyle name="Обычный 3 10 5 8 4 4" xfId="30988"/>
    <cellStyle name="Обычный 3 10 5 8 5" xfId="30989"/>
    <cellStyle name="Обычный 3 10 5 8 5 2" xfId="30990"/>
    <cellStyle name="Обычный 3 10 5 8 5 2 2" xfId="30991"/>
    <cellStyle name="Обычный 3 10 5 8 5 3" xfId="30992"/>
    <cellStyle name="Обычный 3 10 5 8 6" xfId="30993"/>
    <cellStyle name="Обычный 3 10 5 8 6 2" xfId="30994"/>
    <cellStyle name="Обычный 3 10 5 8 7" xfId="30995"/>
    <cellStyle name="Обычный 3 10 5 8 7 2" xfId="30996"/>
    <cellStyle name="Обычный 3 10 5 8 8" xfId="30997"/>
    <cellStyle name="Обычный 3 10 5 9" xfId="30998"/>
    <cellStyle name="Обычный 3 10 5 9 2" xfId="30999"/>
    <cellStyle name="Обычный 3 10 5 9 2 2" xfId="31000"/>
    <cellStyle name="Обычный 3 10 5 9 2 2 2" xfId="31001"/>
    <cellStyle name="Обычный 3 10 5 9 2 3" xfId="31002"/>
    <cellStyle name="Обычный 3 10 5 9 2 3 2" xfId="31003"/>
    <cellStyle name="Обычный 3 10 5 9 2 4" xfId="31004"/>
    <cellStyle name="Обычный 3 10 5 9 3" xfId="31005"/>
    <cellStyle name="Обычный 3 10 5 9 3 2" xfId="31006"/>
    <cellStyle name="Обычный 3 10 5 9 3 2 2" xfId="31007"/>
    <cellStyle name="Обычный 3 10 5 9 3 3" xfId="31008"/>
    <cellStyle name="Обычный 3 10 5 9 3 3 2" xfId="31009"/>
    <cellStyle name="Обычный 3 10 5 9 3 4" xfId="31010"/>
    <cellStyle name="Обычный 3 10 5 9 4" xfId="31011"/>
    <cellStyle name="Обычный 3 10 5 9 4 2" xfId="31012"/>
    <cellStyle name="Обычный 3 10 5 9 5" xfId="31013"/>
    <cellStyle name="Обычный 3 10 5 9 5 2" xfId="31014"/>
    <cellStyle name="Обычный 3 10 5 9 6" xfId="31015"/>
    <cellStyle name="Обычный 3 10 6" xfId="31016"/>
    <cellStyle name="Обычный 3 10 6 2" xfId="31017"/>
    <cellStyle name="Обычный 3 10 6 2 2" xfId="31018"/>
    <cellStyle name="Обычный 3 10 6 2 2 2" xfId="31019"/>
    <cellStyle name="Обычный 3 10 6 2 2 2 2" xfId="31020"/>
    <cellStyle name="Обычный 3 10 6 2 2 2 2 2" xfId="31021"/>
    <cellStyle name="Обычный 3 10 6 2 2 2 3" xfId="31022"/>
    <cellStyle name="Обычный 3 10 6 2 2 3" xfId="31023"/>
    <cellStyle name="Обычный 3 10 6 2 2 3 2" xfId="31024"/>
    <cellStyle name="Обычный 3 10 6 2 2 3 2 2" xfId="31025"/>
    <cellStyle name="Обычный 3 10 6 2 2 3 3" xfId="31026"/>
    <cellStyle name="Обычный 3 10 6 2 2 4" xfId="31027"/>
    <cellStyle name="Обычный 3 10 6 2 2 4 2" xfId="31028"/>
    <cellStyle name="Обычный 3 10 6 2 2 5" xfId="31029"/>
    <cellStyle name="Обычный 3 10 6 2 2 5 2" xfId="31030"/>
    <cellStyle name="Обычный 3 10 6 2 2 6" xfId="31031"/>
    <cellStyle name="Обычный 3 10 6 2 3" xfId="31032"/>
    <cellStyle name="Обычный 3 10 6 2 3 2" xfId="31033"/>
    <cellStyle name="Обычный 3 10 6 2 3 2 2" xfId="31034"/>
    <cellStyle name="Обычный 3 10 6 2 3 2 2 2" xfId="31035"/>
    <cellStyle name="Обычный 3 10 6 2 3 2 3" xfId="31036"/>
    <cellStyle name="Обычный 3 10 6 2 3 3" xfId="31037"/>
    <cellStyle name="Обычный 3 10 6 2 3 3 2" xfId="31038"/>
    <cellStyle name="Обычный 3 10 6 2 3 3 2 2" xfId="31039"/>
    <cellStyle name="Обычный 3 10 6 2 3 3 3" xfId="31040"/>
    <cellStyle name="Обычный 3 10 6 2 3 4" xfId="31041"/>
    <cellStyle name="Обычный 3 10 6 2 3 4 2" xfId="31042"/>
    <cellStyle name="Обычный 3 10 6 2 3 5" xfId="31043"/>
    <cellStyle name="Обычный 3 10 6 2 3 5 2" xfId="31044"/>
    <cellStyle name="Обычный 3 10 6 2 3 6" xfId="31045"/>
    <cellStyle name="Обычный 3 10 6 2 4" xfId="31046"/>
    <cellStyle name="Обычный 3 10 6 2 4 2" xfId="31047"/>
    <cellStyle name="Обычный 3 10 6 2 4 2 2" xfId="31048"/>
    <cellStyle name="Обычный 3 10 6 2 4 3" xfId="31049"/>
    <cellStyle name="Обычный 3 10 6 2 5" xfId="31050"/>
    <cellStyle name="Обычный 3 10 6 2 5 2" xfId="31051"/>
    <cellStyle name="Обычный 3 10 6 2 5 2 2" xfId="31052"/>
    <cellStyle name="Обычный 3 10 6 2 5 3" xfId="31053"/>
    <cellStyle name="Обычный 3 10 6 2 6" xfId="31054"/>
    <cellStyle name="Обычный 3 10 6 2 6 2" xfId="31055"/>
    <cellStyle name="Обычный 3 10 6 2 7" xfId="31056"/>
    <cellStyle name="Обычный 3 10 6 2 7 2" xfId="31057"/>
    <cellStyle name="Обычный 3 10 6 2 8" xfId="31058"/>
    <cellStyle name="Обычный 3 10 6 3" xfId="31059"/>
    <cellStyle name="Обычный 3 10 6 3 2" xfId="31060"/>
    <cellStyle name="Обычный 3 10 6 3 2 2" xfId="31061"/>
    <cellStyle name="Обычный 3 10 6 3 2 2 2" xfId="31062"/>
    <cellStyle name="Обычный 3 10 6 3 2 3" xfId="31063"/>
    <cellStyle name="Обычный 3 10 6 3 2 3 2" xfId="31064"/>
    <cellStyle name="Обычный 3 10 6 3 2 4" xfId="31065"/>
    <cellStyle name="Обычный 3 10 6 3 3" xfId="31066"/>
    <cellStyle name="Обычный 3 10 6 3 3 2" xfId="31067"/>
    <cellStyle name="Обычный 3 10 6 3 3 2 2" xfId="31068"/>
    <cellStyle name="Обычный 3 10 6 3 3 3" xfId="31069"/>
    <cellStyle name="Обычный 3 10 6 3 4" xfId="31070"/>
    <cellStyle name="Обычный 3 10 6 3 4 2" xfId="31071"/>
    <cellStyle name="Обычный 3 10 6 3 5" xfId="31072"/>
    <cellStyle name="Обычный 3 10 6 3 5 2" xfId="31073"/>
    <cellStyle name="Обычный 3 10 6 3 6" xfId="31074"/>
    <cellStyle name="Обычный 3 10 6 4" xfId="31075"/>
    <cellStyle name="Обычный 3 10 6 4 2" xfId="31076"/>
    <cellStyle name="Обычный 3 10 6 4 2 2" xfId="31077"/>
    <cellStyle name="Обычный 3 10 6 4 2 2 2" xfId="31078"/>
    <cellStyle name="Обычный 3 10 6 4 2 3" xfId="31079"/>
    <cellStyle name="Обычный 3 10 6 4 3" xfId="31080"/>
    <cellStyle name="Обычный 3 10 6 4 3 2" xfId="31081"/>
    <cellStyle name="Обычный 3 10 6 4 3 2 2" xfId="31082"/>
    <cellStyle name="Обычный 3 10 6 4 3 3" xfId="31083"/>
    <cellStyle name="Обычный 3 10 6 4 4" xfId="31084"/>
    <cellStyle name="Обычный 3 10 6 4 4 2" xfId="31085"/>
    <cellStyle name="Обычный 3 10 6 4 5" xfId="31086"/>
    <cellStyle name="Обычный 3 10 6 4 5 2" xfId="31087"/>
    <cellStyle name="Обычный 3 10 6 4 6" xfId="31088"/>
    <cellStyle name="Обычный 3 10 6 5" xfId="31089"/>
    <cellStyle name="Обычный 3 10 6 5 2" xfId="31090"/>
    <cellStyle name="Обычный 3 10 6 5 2 2" xfId="31091"/>
    <cellStyle name="Обычный 3 10 6 5 3" xfId="31092"/>
    <cellStyle name="Обычный 3 10 6 6" xfId="31093"/>
    <cellStyle name="Обычный 3 10 6 6 2" xfId="31094"/>
    <cellStyle name="Обычный 3 10 6 6 2 2" xfId="31095"/>
    <cellStyle name="Обычный 3 10 6 6 3" xfId="31096"/>
    <cellStyle name="Обычный 3 10 6 7" xfId="31097"/>
    <cellStyle name="Обычный 3 10 6 7 2" xfId="31098"/>
    <cellStyle name="Обычный 3 10 6 8" xfId="31099"/>
    <cellStyle name="Обычный 3 10 6 8 2" xfId="31100"/>
    <cellStyle name="Обычный 3 10 6 9" xfId="31101"/>
    <cellStyle name="Обычный 3 10 7" xfId="31102"/>
    <cellStyle name="Обычный 3 10 7 2" xfId="31103"/>
    <cellStyle name="Обычный 3 10 7 2 2" xfId="31104"/>
    <cellStyle name="Обычный 3 10 7 2 2 2" xfId="31105"/>
    <cellStyle name="Обычный 3 10 7 2 2 2 2" xfId="31106"/>
    <cellStyle name="Обычный 3 10 7 2 2 3" xfId="31107"/>
    <cellStyle name="Обычный 3 10 7 2 2 3 2" xfId="31108"/>
    <cellStyle name="Обычный 3 10 7 2 2 4" xfId="31109"/>
    <cellStyle name="Обычный 3 10 7 2 3" xfId="31110"/>
    <cellStyle name="Обычный 3 10 7 2 3 2" xfId="31111"/>
    <cellStyle name="Обычный 3 10 7 2 3 2 2" xfId="31112"/>
    <cellStyle name="Обычный 3 10 7 2 3 3" xfId="31113"/>
    <cellStyle name="Обычный 3 10 7 2 4" xfId="31114"/>
    <cellStyle name="Обычный 3 10 7 2 4 2" xfId="31115"/>
    <cellStyle name="Обычный 3 10 7 2 5" xfId="31116"/>
    <cellStyle name="Обычный 3 10 7 2 5 2" xfId="31117"/>
    <cellStyle name="Обычный 3 10 7 2 6" xfId="31118"/>
    <cellStyle name="Обычный 3 10 7 3" xfId="31119"/>
    <cellStyle name="Обычный 3 10 7 3 2" xfId="31120"/>
    <cellStyle name="Обычный 3 10 7 3 2 2" xfId="31121"/>
    <cellStyle name="Обычный 3 10 7 3 2 2 2" xfId="31122"/>
    <cellStyle name="Обычный 3 10 7 3 2 3" xfId="31123"/>
    <cellStyle name="Обычный 3 10 7 3 3" xfId="31124"/>
    <cellStyle name="Обычный 3 10 7 3 3 2" xfId="31125"/>
    <cellStyle name="Обычный 3 10 7 3 3 2 2" xfId="31126"/>
    <cellStyle name="Обычный 3 10 7 3 3 3" xfId="31127"/>
    <cellStyle name="Обычный 3 10 7 3 4" xfId="31128"/>
    <cellStyle name="Обычный 3 10 7 3 4 2" xfId="31129"/>
    <cellStyle name="Обычный 3 10 7 3 5" xfId="31130"/>
    <cellStyle name="Обычный 3 10 7 3 5 2" xfId="31131"/>
    <cellStyle name="Обычный 3 10 7 3 6" xfId="31132"/>
    <cellStyle name="Обычный 3 10 7 4" xfId="31133"/>
    <cellStyle name="Обычный 3 10 7 4 2" xfId="31134"/>
    <cellStyle name="Обычный 3 10 7 4 2 2" xfId="31135"/>
    <cellStyle name="Обычный 3 10 7 4 3" xfId="31136"/>
    <cellStyle name="Обычный 3 10 7 4 3 2" xfId="31137"/>
    <cellStyle name="Обычный 3 10 7 4 4" xfId="31138"/>
    <cellStyle name="Обычный 3 10 7 5" xfId="31139"/>
    <cellStyle name="Обычный 3 10 7 5 2" xfId="31140"/>
    <cellStyle name="Обычный 3 10 7 5 2 2" xfId="31141"/>
    <cellStyle name="Обычный 3 10 7 5 3" xfId="31142"/>
    <cellStyle name="Обычный 3 10 7 6" xfId="31143"/>
    <cellStyle name="Обычный 3 10 7 6 2" xfId="31144"/>
    <cellStyle name="Обычный 3 10 7 7" xfId="31145"/>
    <cellStyle name="Обычный 3 10 7 7 2" xfId="31146"/>
    <cellStyle name="Обычный 3 10 7 8" xfId="31147"/>
    <cellStyle name="Обычный 3 10 8" xfId="31148"/>
    <cellStyle name="Обычный 3 10 8 2" xfId="31149"/>
    <cellStyle name="Обычный 3 10 8 2 2" xfId="31150"/>
    <cellStyle name="Обычный 3 10 8 2 2 2" xfId="31151"/>
    <cellStyle name="Обычный 3 10 8 2 2 2 2" xfId="31152"/>
    <cellStyle name="Обычный 3 10 8 2 2 3" xfId="31153"/>
    <cellStyle name="Обычный 3 10 8 2 3" xfId="31154"/>
    <cellStyle name="Обычный 3 10 8 2 3 2" xfId="31155"/>
    <cellStyle name="Обычный 3 10 8 2 3 2 2" xfId="31156"/>
    <cellStyle name="Обычный 3 10 8 2 3 3" xfId="31157"/>
    <cellStyle name="Обычный 3 10 8 2 4" xfId="31158"/>
    <cellStyle name="Обычный 3 10 8 2 4 2" xfId="31159"/>
    <cellStyle name="Обычный 3 10 8 2 5" xfId="31160"/>
    <cellStyle name="Обычный 3 10 8 2 5 2" xfId="31161"/>
    <cellStyle name="Обычный 3 10 8 2 6" xfId="31162"/>
    <cellStyle name="Обычный 3 10 8 3" xfId="31163"/>
    <cellStyle name="Обычный 3 10 8 3 2" xfId="31164"/>
    <cellStyle name="Обычный 3 10 8 3 2 2" xfId="31165"/>
    <cellStyle name="Обычный 3 10 8 3 2 2 2" xfId="31166"/>
    <cellStyle name="Обычный 3 10 8 3 2 3" xfId="31167"/>
    <cellStyle name="Обычный 3 10 8 3 3" xfId="31168"/>
    <cellStyle name="Обычный 3 10 8 3 3 2" xfId="31169"/>
    <cellStyle name="Обычный 3 10 8 3 3 2 2" xfId="31170"/>
    <cellStyle name="Обычный 3 10 8 3 3 3" xfId="31171"/>
    <cellStyle name="Обычный 3 10 8 3 4" xfId="31172"/>
    <cellStyle name="Обычный 3 10 8 3 4 2" xfId="31173"/>
    <cellStyle name="Обычный 3 10 8 3 5" xfId="31174"/>
    <cellStyle name="Обычный 3 10 8 4" xfId="31175"/>
    <cellStyle name="Обычный 3 10 8 4 2" xfId="31176"/>
    <cellStyle name="Обычный 3 10 8 4 2 2" xfId="31177"/>
    <cellStyle name="Обычный 3 10 8 4 3" xfId="31178"/>
    <cellStyle name="Обычный 3 10 8 5" xfId="31179"/>
    <cellStyle name="Обычный 3 10 8 5 2" xfId="31180"/>
    <cellStyle name="Обычный 3 10 8 5 2 2" xfId="31181"/>
    <cellStyle name="Обычный 3 10 8 5 3" xfId="31182"/>
    <cellStyle name="Обычный 3 10 8 6" xfId="31183"/>
    <cellStyle name="Обычный 3 10 8 6 2" xfId="31184"/>
    <cellStyle name="Обычный 3 10 8 7" xfId="31185"/>
    <cellStyle name="Обычный 3 10 8 7 2" xfId="31186"/>
    <cellStyle name="Обычный 3 10 8 8" xfId="31187"/>
    <cellStyle name="Обычный 3 10 9" xfId="31188"/>
    <cellStyle name="Обычный 3 10 9 2" xfId="31189"/>
    <cellStyle name="Обычный 3 10 9 2 2" xfId="31190"/>
    <cellStyle name="Обычный 3 10 9 2 2 2" xfId="31191"/>
    <cellStyle name="Обычный 3 10 9 2 3" xfId="31192"/>
    <cellStyle name="Обычный 3 10 9 3" xfId="31193"/>
    <cellStyle name="Обычный 3 10 9 3 2" xfId="31194"/>
    <cellStyle name="Обычный 3 10 9 3 2 2" xfId="31195"/>
    <cellStyle name="Обычный 3 10 9 3 3" xfId="31196"/>
    <cellStyle name="Обычный 3 10 9 4" xfId="31197"/>
    <cellStyle name="Обычный 3 10 9 4 2" xfId="31198"/>
    <cellStyle name="Обычный 3 10 9 5" xfId="31199"/>
    <cellStyle name="Обычный 3 10 9 5 2" xfId="31200"/>
    <cellStyle name="Обычный 3 10 9 6" xfId="31201"/>
    <cellStyle name="Обычный 3 11" xfId="31202"/>
    <cellStyle name="Обычный 3 11 10" xfId="31203"/>
    <cellStyle name="Обычный 3 11 10 2" xfId="31204"/>
    <cellStyle name="Обычный 3 11 11" xfId="31205"/>
    <cellStyle name="Обычный 3 11 11 2" xfId="31206"/>
    <cellStyle name="Обычный 3 11 12" xfId="31207"/>
    <cellStyle name="Обычный 3 11 2" xfId="31208"/>
    <cellStyle name="Обычный 3 11 2 2" xfId="31209"/>
    <cellStyle name="Обычный 3 11 3" xfId="31210"/>
    <cellStyle name="Обычный 3 11 3 2" xfId="31211"/>
    <cellStyle name="Обычный 3 11 3 2 2" xfId="31212"/>
    <cellStyle name="Обычный 3 11 3 2 2 2" xfId="31213"/>
    <cellStyle name="Обычный 3 11 3 2 2 2 2" xfId="31214"/>
    <cellStyle name="Обычный 3 11 3 2 2 2 2 2" xfId="31215"/>
    <cellStyle name="Обычный 3 11 3 2 2 2 3" xfId="31216"/>
    <cellStyle name="Обычный 3 11 3 2 2 3" xfId="31217"/>
    <cellStyle name="Обычный 3 11 3 2 2 3 2" xfId="31218"/>
    <cellStyle name="Обычный 3 11 3 2 2 3 2 2" xfId="31219"/>
    <cellStyle name="Обычный 3 11 3 2 2 3 3" xfId="31220"/>
    <cellStyle name="Обычный 3 11 3 2 2 4" xfId="31221"/>
    <cellStyle name="Обычный 3 11 3 2 2 4 2" xfId="31222"/>
    <cellStyle name="Обычный 3 11 3 2 2 5" xfId="31223"/>
    <cellStyle name="Обычный 3 11 3 2 2 5 2" xfId="31224"/>
    <cellStyle name="Обычный 3 11 3 2 2 6" xfId="31225"/>
    <cellStyle name="Обычный 3 11 3 2 3" xfId="31226"/>
    <cellStyle name="Обычный 3 11 3 2 3 2" xfId="31227"/>
    <cellStyle name="Обычный 3 11 3 2 3 2 2" xfId="31228"/>
    <cellStyle name="Обычный 3 11 3 2 3 2 2 2" xfId="31229"/>
    <cellStyle name="Обычный 3 11 3 2 3 2 3" xfId="31230"/>
    <cellStyle name="Обычный 3 11 3 2 3 3" xfId="31231"/>
    <cellStyle name="Обычный 3 11 3 2 3 3 2" xfId="31232"/>
    <cellStyle name="Обычный 3 11 3 2 3 3 2 2" xfId="31233"/>
    <cellStyle name="Обычный 3 11 3 2 3 3 3" xfId="31234"/>
    <cellStyle name="Обычный 3 11 3 2 3 4" xfId="31235"/>
    <cellStyle name="Обычный 3 11 3 2 3 4 2" xfId="31236"/>
    <cellStyle name="Обычный 3 11 3 2 3 5" xfId="31237"/>
    <cellStyle name="Обычный 3 11 3 2 4" xfId="31238"/>
    <cellStyle name="Обычный 3 11 3 2 4 2" xfId="31239"/>
    <cellStyle name="Обычный 3 11 3 2 4 2 2" xfId="31240"/>
    <cellStyle name="Обычный 3 11 3 2 4 3" xfId="31241"/>
    <cellStyle name="Обычный 3 11 3 2 5" xfId="31242"/>
    <cellStyle name="Обычный 3 11 3 2 5 2" xfId="31243"/>
    <cellStyle name="Обычный 3 11 3 2 5 2 2" xfId="31244"/>
    <cellStyle name="Обычный 3 11 3 2 5 3" xfId="31245"/>
    <cellStyle name="Обычный 3 11 3 2 6" xfId="31246"/>
    <cellStyle name="Обычный 3 11 3 2 6 2" xfId="31247"/>
    <cellStyle name="Обычный 3 11 3 2 7" xfId="31248"/>
    <cellStyle name="Обычный 3 11 3 2 7 2" xfId="31249"/>
    <cellStyle name="Обычный 3 11 3 2 8" xfId="31250"/>
    <cellStyle name="Обычный 3 11 3 3" xfId="31251"/>
    <cellStyle name="Обычный 3 11 3 3 2" xfId="31252"/>
    <cellStyle name="Обычный 3 11 3 3 2 2" xfId="31253"/>
    <cellStyle name="Обычный 3 11 3 3 2 2 2" xfId="31254"/>
    <cellStyle name="Обычный 3 11 3 3 2 3" xfId="31255"/>
    <cellStyle name="Обычный 3 11 3 3 3" xfId="31256"/>
    <cellStyle name="Обычный 3 11 3 3 3 2" xfId="31257"/>
    <cellStyle name="Обычный 3 11 3 3 3 2 2" xfId="31258"/>
    <cellStyle name="Обычный 3 11 3 3 3 3" xfId="31259"/>
    <cellStyle name="Обычный 3 11 3 3 4" xfId="31260"/>
    <cellStyle name="Обычный 3 11 3 3 4 2" xfId="31261"/>
    <cellStyle name="Обычный 3 11 3 3 5" xfId="31262"/>
    <cellStyle name="Обычный 3 11 3 3 5 2" xfId="31263"/>
    <cellStyle name="Обычный 3 11 3 3 6" xfId="31264"/>
    <cellStyle name="Обычный 3 11 3 4" xfId="31265"/>
    <cellStyle name="Обычный 3 11 3 4 2" xfId="31266"/>
    <cellStyle name="Обычный 3 11 3 4 2 2" xfId="31267"/>
    <cellStyle name="Обычный 3 11 3 4 2 2 2" xfId="31268"/>
    <cellStyle name="Обычный 3 11 3 4 2 3" xfId="31269"/>
    <cellStyle name="Обычный 3 11 3 4 3" xfId="31270"/>
    <cellStyle name="Обычный 3 11 3 4 3 2" xfId="31271"/>
    <cellStyle name="Обычный 3 11 3 4 3 2 2" xfId="31272"/>
    <cellStyle name="Обычный 3 11 3 4 3 3" xfId="31273"/>
    <cellStyle name="Обычный 3 11 3 4 4" xfId="31274"/>
    <cellStyle name="Обычный 3 11 3 4 4 2" xfId="31275"/>
    <cellStyle name="Обычный 3 11 3 4 5" xfId="31276"/>
    <cellStyle name="Обычный 3 11 3 4 5 2" xfId="31277"/>
    <cellStyle name="Обычный 3 11 3 4 6" xfId="31278"/>
    <cellStyle name="Обычный 3 11 3 5" xfId="31279"/>
    <cellStyle name="Обычный 3 11 3 5 2" xfId="31280"/>
    <cellStyle name="Обычный 3 11 3 5 2 2" xfId="31281"/>
    <cellStyle name="Обычный 3 11 3 5 3" xfId="31282"/>
    <cellStyle name="Обычный 3 11 3 6" xfId="31283"/>
    <cellStyle name="Обычный 3 11 3 6 2" xfId="31284"/>
    <cellStyle name="Обычный 3 11 3 6 2 2" xfId="31285"/>
    <cellStyle name="Обычный 3 11 3 6 3" xfId="31286"/>
    <cellStyle name="Обычный 3 11 3 7" xfId="31287"/>
    <cellStyle name="Обычный 3 11 3 7 2" xfId="31288"/>
    <cellStyle name="Обычный 3 11 3 8" xfId="31289"/>
    <cellStyle name="Обычный 3 11 3 8 2" xfId="31290"/>
    <cellStyle name="Обычный 3 11 3 9" xfId="31291"/>
    <cellStyle name="Обычный 3 11 4" xfId="31292"/>
    <cellStyle name="Обычный 3 11 4 2" xfId="31293"/>
    <cellStyle name="Обычный 3 11 4 2 2" xfId="31294"/>
    <cellStyle name="Обычный 3 11 4 2 2 2" xfId="31295"/>
    <cellStyle name="Обычный 3 11 4 2 2 2 2" xfId="31296"/>
    <cellStyle name="Обычный 3 11 4 2 2 3" xfId="31297"/>
    <cellStyle name="Обычный 3 11 4 2 2 3 2" xfId="31298"/>
    <cellStyle name="Обычный 3 11 4 2 2 4" xfId="31299"/>
    <cellStyle name="Обычный 3 11 4 2 3" xfId="31300"/>
    <cellStyle name="Обычный 3 11 4 2 3 2" xfId="31301"/>
    <cellStyle name="Обычный 3 11 4 2 3 2 2" xfId="31302"/>
    <cellStyle name="Обычный 3 11 4 2 3 3" xfId="31303"/>
    <cellStyle name="Обычный 3 11 4 2 4" xfId="31304"/>
    <cellStyle name="Обычный 3 11 4 2 4 2" xfId="31305"/>
    <cellStyle name="Обычный 3 11 4 2 5" xfId="31306"/>
    <cellStyle name="Обычный 3 11 4 2 5 2" xfId="31307"/>
    <cellStyle name="Обычный 3 11 4 2 6" xfId="31308"/>
    <cellStyle name="Обычный 3 11 4 3" xfId="31309"/>
    <cellStyle name="Обычный 3 11 4 3 2" xfId="31310"/>
    <cellStyle name="Обычный 3 11 4 3 2 2" xfId="31311"/>
    <cellStyle name="Обычный 3 11 4 3 2 2 2" xfId="31312"/>
    <cellStyle name="Обычный 3 11 4 3 2 3" xfId="31313"/>
    <cellStyle name="Обычный 3 11 4 3 3" xfId="31314"/>
    <cellStyle name="Обычный 3 11 4 3 3 2" xfId="31315"/>
    <cellStyle name="Обычный 3 11 4 3 3 2 2" xfId="31316"/>
    <cellStyle name="Обычный 3 11 4 3 3 3" xfId="31317"/>
    <cellStyle name="Обычный 3 11 4 3 4" xfId="31318"/>
    <cellStyle name="Обычный 3 11 4 3 4 2" xfId="31319"/>
    <cellStyle name="Обычный 3 11 4 3 5" xfId="31320"/>
    <cellStyle name="Обычный 3 11 4 3 5 2" xfId="31321"/>
    <cellStyle name="Обычный 3 11 4 3 6" xfId="31322"/>
    <cellStyle name="Обычный 3 11 4 4" xfId="31323"/>
    <cellStyle name="Обычный 3 11 4 4 2" xfId="31324"/>
    <cellStyle name="Обычный 3 11 4 4 2 2" xfId="31325"/>
    <cellStyle name="Обычный 3 11 4 4 3" xfId="31326"/>
    <cellStyle name="Обычный 3 11 4 4 3 2" xfId="31327"/>
    <cellStyle name="Обычный 3 11 4 4 4" xfId="31328"/>
    <cellStyle name="Обычный 3 11 4 5" xfId="31329"/>
    <cellStyle name="Обычный 3 11 4 5 2" xfId="31330"/>
    <cellStyle name="Обычный 3 11 4 5 2 2" xfId="31331"/>
    <cellStyle name="Обычный 3 11 4 5 3" xfId="31332"/>
    <cellStyle name="Обычный 3 11 4 6" xfId="31333"/>
    <cellStyle name="Обычный 3 11 4 6 2" xfId="31334"/>
    <cellStyle name="Обычный 3 11 4 7" xfId="31335"/>
    <cellStyle name="Обычный 3 11 4 7 2" xfId="31336"/>
    <cellStyle name="Обычный 3 11 4 8" xfId="31337"/>
    <cellStyle name="Обычный 3 11 5" xfId="31338"/>
    <cellStyle name="Обычный 3 11 5 2" xfId="31339"/>
    <cellStyle name="Обычный 3 11 5 2 2" xfId="31340"/>
    <cellStyle name="Обычный 3 11 5 2 2 2" xfId="31341"/>
    <cellStyle name="Обычный 3 11 5 2 2 2 2" xfId="31342"/>
    <cellStyle name="Обычный 3 11 5 2 2 3" xfId="31343"/>
    <cellStyle name="Обычный 3 11 5 2 3" xfId="31344"/>
    <cellStyle name="Обычный 3 11 5 2 3 2" xfId="31345"/>
    <cellStyle name="Обычный 3 11 5 2 3 2 2" xfId="31346"/>
    <cellStyle name="Обычный 3 11 5 2 3 3" xfId="31347"/>
    <cellStyle name="Обычный 3 11 5 2 4" xfId="31348"/>
    <cellStyle name="Обычный 3 11 5 2 4 2" xfId="31349"/>
    <cellStyle name="Обычный 3 11 5 2 5" xfId="31350"/>
    <cellStyle name="Обычный 3 11 5 2 5 2" xfId="31351"/>
    <cellStyle name="Обычный 3 11 5 2 6" xfId="31352"/>
    <cellStyle name="Обычный 3 11 5 3" xfId="31353"/>
    <cellStyle name="Обычный 3 11 5 3 2" xfId="31354"/>
    <cellStyle name="Обычный 3 11 5 3 2 2" xfId="31355"/>
    <cellStyle name="Обычный 3 11 5 3 2 2 2" xfId="31356"/>
    <cellStyle name="Обычный 3 11 5 3 2 3" xfId="31357"/>
    <cellStyle name="Обычный 3 11 5 3 3" xfId="31358"/>
    <cellStyle name="Обычный 3 11 5 3 3 2" xfId="31359"/>
    <cellStyle name="Обычный 3 11 5 3 3 2 2" xfId="31360"/>
    <cellStyle name="Обычный 3 11 5 3 3 3" xfId="31361"/>
    <cellStyle name="Обычный 3 11 5 3 4" xfId="31362"/>
    <cellStyle name="Обычный 3 11 5 3 4 2" xfId="31363"/>
    <cellStyle name="Обычный 3 11 5 3 5" xfId="31364"/>
    <cellStyle name="Обычный 3 11 5 4" xfId="31365"/>
    <cellStyle name="Обычный 3 11 5 4 2" xfId="31366"/>
    <cellStyle name="Обычный 3 11 5 4 2 2" xfId="31367"/>
    <cellStyle name="Обычный 3 11 5 4 3" xfId="31368"/>
    <cellStyle name="Обычный 3 11 5 5" xfId="31369"/>
    <cellStyle name="Обычный 3 11 5 5 2" xfId="31370"/>
    <cellStyle name="Обычный 3 11 5 5 2 2" xfId="31371"/>
    <cellStyle name="Обычный 3 11 5 5 3" xfId="31372"/>
    <cellStyle name="Обычный 3 11 5 6" xfId="31373"/>
    <cellStyle name="Обычный 3 11 5 6 2" xfId="31374"/>
    <cellStyle name="Обычный 3 11 5 7" xfId="31375"/>
    <cellStyle name="Обычный 3 11 5 7 2" xfId="31376"/>
    <cellStyle name="Обычный 3 11 5 8" xfId="31377"/>
    <cellStyle name="Обычный 3 11 6" xfId="31378"/>
    <cellStyle name="Обычный 3 11 6 2" xfId="31379"/>
    <cellStyle name="Обычный 3 11 6 2 2" xfId="31380"/>
    <cellStyle name="Обычный 3 11 6 2 2 2" xfId="31381"/>
    <cellStyle name="Обычный 3 11 6 2 3" xfId="31382"/>
    <cellStyle name="Обычный 3 11 6 3" xfId="31383"/>
    <cellStyle name="Обычный 3 11 6 3 2" xfId="31384"/>
    <cellStyle name="Обычный 3 11 6 3 2 2" xfId="31385"/>
    <cellStyle name="Обычный 3 11 6 3 3" xfId="31386"/>
    <cellStyle name="Обычный 3 11 6 4" xfId="31387"/>
    <cellStyle name="Обычный 3 11 6 4 2" xfId="31388"/>
    <cellStyle name="Обычный 3 11 6 5" xfId="31389"/>
    <cellStyle name="Обычный 3 11 6 5 2" xfId="31390"/>
    <cellStyle name="Обычный 3 11 6 6" xfId="31391"/>
    <cellStyle name="Обычный 3 11 7" xfId="31392"/>
    <cellStyle name="Обычный 3 11 7 2" xfId="31393"/>
    <cellStyle name="Обычный 3 11 7 2 2" xfId="31394"/>
    <cellStyle name="Обычный 3 11 7 2 2 2" xfId="31395"/>
    <cellStyle name="Обычный 3 11 7 2 3" xfId="31396"/>
    <cellStyle name="Обычный 3 11 7 3" xfId="31397"/>
    <cellStyle name="Обычный 3 11 7 3 2" xfId="31398"/>
    <cellStyle name="Обычный 3 11 7 3 2 2" xfId="31399"/>
    <cellStyle name="Обычный 3 11 7 3 3" xfId="31400"/>
    <cellStyle name="Обычный 3 11 7 4" xfId="31401"/>
    <cellStyle name="Обычный 3 11 7 4 2" xfId="31402"/>
    <cellStyle name="Обычный 3 11 7 5" xfId="31403"/>
    <cellStyle name="Обычный 3 11 7 5 2" xfId="31404"/>
    <cellStyle name="Обычный 3 11 7 6" xfId="31405"/>
    <cellStyle name="Обычный 3 11 8" xfId="31406"/>
    <cellStyle name="Обычный 3 11 8 2" xfId="31407"/>
    <cellStyle name="Обычный 3 11 8 2 2" xfId="31408"/>
    <cellStyle name="Обычный 3 11 8 3" xfId="31409"/>
    <cellStyle name="Обычный 3 11 9" xfId="31410"/>
    <cellStyle name="Обычный 3 11 9 2" xfId="31411"/>
    <cellStyle name="Обычный 3 11 9 2 2" xfId="31412"/>
    <cellStyle name="Обычный 3 11 9 3" xfId="31413"/>
    <cellStyle name="Обычный 3 12" xfId="31414"/>
    <cellStyle name="Обычный 3 12 2" xfId="31415"/>
    <cellStyle name="Обычный 3 12 2 2" xfId="31416"/>
    <cellStyle name="Обычный 3 12 2 2 2" xfId="31417"/>
    <cellStyle name="Обычный 3 12 2 2 2 2" xfId="31418"/>
    <cellStyle name="Обычный 3 12 2 2 2 2 2" xfId="31419"/>
    <cellStyle name="Обычный 3 12 2 2 2 3" xfId="31420"/>
    <cellStyle name="Обычный 3 12 2 2 3" xfId="31421"/>
    <cellStyle name="Обычный 3 12 2 2 3 2" xfId="31422"/>
    <cellStyle name="Обычный 3 12 2 2 3 2 2" xfId="31423"/>
    <cellStyle name="Обычный 3 12 2 2 3 3" xfId="31424"/>
    <cellStyle name="Обычный 3 12 2 2 4" xfId="31425"/>
    <cellStyle name="Обычный 3 12 2 2 4 2" xfId="31426"/>
    <cellStyle name="Обычный 3 12 2 2 5" xfId="31427"/>
    <cellStyle name="Обычный 3 12 2 2 5 2" xfId="31428"/>
    <cellStyle name="Обычный 3 12 2 2 6" xfId="31429"/>
    <cellStyle name="Обычный 3 12 2 3" xfId="31430"/>
    <cellStyle name="Обычный 3 12 2 3 2" xfId="31431"/>
    <cellStyle name="Обычный 3 12 2 3 2 2" xfId="31432"/>
    <cellStyle name="Обычный 3 12 2 3 2 2 2" xfId="31433"/>
    <cellStyle name="Обычный 3 12 2 3 2 3" xfId="31434"/>
    <cellStyle name="Обычный 3 12 2 3 3" xfId="31435"/>
    <cellStyle name="Обычный 3 12 2 3 3 2" xfId="31436"/>
    <cellStyle name="Обычный 3 12 2 3 3 2 2" xfId="31437"/>
    <cellStyle name="Обычный 3 12 2 3 3 3" xfId="31438"/>
    <cellStyle name="Обычный 3 12 2 3 4" xfId="31439"/>
    <cellStyle name="Обычный 3 12 2 3 4 2" xfId="31440"/>
    <cellStyle name="Обычный 3 12 2 3 5" xfId="31441"/>
    <cellStyle name="Обычный 3 12 2 4" xfId="31442"/>
    <cellStyle name="Обычный 3 12 2 4 2" xfId="31443"/>
    <cellStyle name="Обычный 3 12 2 4 2 2" xfId="31444"/>
    <cellStyle name="Обычный 3 12 2 4 3" xfId="31445"/>
    <cellStyle name="Обычный 3 12 2 5" xfId="31446"/>
    <cellStyle name="Обычный 3 12 2 5 2" xfId="31447"/>
    <cellStyle name="Обычный 3 12 2 5 2 2" xfId="31448"/>
    <cellStyle name="Обычный 3 12 2 5 3" xfId="31449"/>
    <cellStyle name="Обычный 3 12 2 6" xfId="31450"/>
    <cellStyle name="Обычный 3 12 2 6 2" xfId="31451"/>
    <cellStyle name="Обычный 3 12 2 7" xfId="31452"/>
    <cellStyle name="Обычный 3 12 2 7 2" xfId="31453"/>
    <cellStyle name="Обычный 3 12 2 8" xfId="31454"/>
    <cellStyle name="Обычный 3 12 3" xfId="31455"/>
    <cellStyle name="Обычный 3 12 3 2" xfId="31456"/>
    <cellStyle name="Обычный 3 12 3 2 2" xfId="31457"/>
    <cellStyle name="Обычный 3 12 3 2 2 2" xfId="31458"/>
    <cellStyle name="Обычный 3 12 3 2 3" xfId="31459"/>
    <cellStyle name="Обычный 3 12 3 3" xfId="31460"/>
    <cellStyle name="Обычный 3 12 3 3 2" xfId="31461"/>
    <cellStyle name="Обычный 3 12 3 3 2 2" xfId="31462"/>
    <cellStyle name="Обычный 3 12 3 3 3" xfId="31463"/>
    <cellStyle name="Обычный 3 12 3 4" xfId="31464"/>
    <cellStyle name="Обычный 3 12 3 4 2" xfId="31465"/>
    <cellStyle name="Обычный 3 12 3 5" xfId="31466"/>
    <cellStyle name="Обычный 3 12 3 5 2" xfId="31467"/>
    <cellStyle name="Обычный 3 12 3 6" xfId="31468"/>
    <cellStyle name="Обычный 3 12 4" xfId="31469"/>
    <cellStyle name="Обычный 3 12 4 2" xfId="31470"/>
    <cellStyle name="Обычный 3 12 4 2 2" xfId="31471"/>
    <cellStyle name="Обычный 3 12 4 2 2 2" xfId="31472"/>
    <cellStyle name="Обычный 3 12 4 2 3" xfId="31473"/>
    <cellStyle name="Обычный 3 12 4 3" xfId="31474"/>
    <cellStyle name="Обычный 3 12 4 3 2" xfId="31475"/>
    <cellStyle name="Обычный 3 12 4 3 2 2" xfId="31476"/>
    <cellStyle name="Обычный 3 12 4 3 3" xfId="31477"/>
    <cellStyle name="Обычный 3 12 4 4" xfId="31478"/>
    <cellStyle name="Обычный 3 12 4 4 2" xfId="31479"/>
    <cellStyle name="Обычный 3 12 4 5" xfId="31480"/>
    <cellStyle name="Обычный 3 12 4 5 2" xfId="31481"/>
    <cellStyle name="Обычный 3 12 4 6" xfId="31482"/>
    <cellStyle name="Обычный 3 12 5" xfId="31483"/>
    <cellStyle name="Обычный 3 12 5 2" xfId="31484"/>
    <cellStyle name="Обычный 3 12 5 2 2" xfId="31485"/>
    <cellStyle name="Обычный 3 12 5 3" xfId="31486"/>
    <cellStyle name="Обычный 3 12 6" xfId="31487"/>
    <cellStyle name="Обычный 3 12 6 2" xfId="31488"/>
    <cellStyle name="Обычный 3 12 6 2 2" xfId="31489"/>
    <cellStyle name="Обычный 3 12 6 3" xfId="31490"/>
    <cellStyle name="Обычный 3 12 7" xfId="31491"/>
    <cellStyle name="Обычный 3 12 7 2" xfId="31492"/>
    <cellStyle name="Обычный 3 12 8" xfId="31493"/>
    <cellStyle name="Обычный 3 12 8 2" xfId="31494"/>
    <cellStyle name="Обычный 3 12 9" xfId="31495"/>
    <cellStyle name="Обычный 3 13" xfId="31496"/>
    <cellStyle name="Обычный 3 13 2" xfId="31497"/>
    <cellStyle name="Обычный 3 13 2 2" xfId="31498"/>
    <cellStyle name="Обычный 3 13 2 2 2" xfId="31499"/>
    <cellStyle name="Обычный 3 13 2 2 2 2" xfId="31500"/>
    <cellStyle name="Обычный 3 13 2 2 3" xfId="31501"/>
    <cellStyle name="Обычный 3 13 2 2 3 2" xfId="31502"/>
    <cellStyle name="Обычный 3 13 2 2 4" xfId="31503"/>
    <cellStyle name="Обычный 3 13 2 3" xfId="31504"/>
    <cellStyle name="Обычный 3 13 2 3 2" xfId="31505"/>
    <cellStyle name="Обычный 3 13 2 3 2 2" xfId="31506"/>
    <cellStyle name="Обычный 3 13 2 3 3" xfId="31507"/>
    <cellStyle name="Обычный 3 13 2 4" xfId="31508"/>
    <cellStyle name="Обычный 3 13 2 4 2" xfId="31509"/>
    <cellStyle name="Обычный 3 13 2 5" xfId="31510"/>
    <cellStyle name="Обычный 3 13 2 5 2" xfId="31511"/>
    <cellStyle name="Обычный 3 13 2 6" xfId="31512"/>
    <cellStyle name="Обычный 3 13 3" xfId="31513"/>
    <cellStyle name="Обычный 3 13 3 2" xfId="31514"/>
    <cellStyle name="Обычный 3 13 3 2 2" xfId="31515"/>
    <cellStyle name="Обычный 3 13 3 2 2 2" xfId="31516"/>
    <cellStyle name="Обычный 3 13 3 2 3" xfId="31517"/>
    <cellStyle name="Обычный 3 13 3 3" xfId="31518"/>
    <cellStyle name="Обычный 3 13 3 3 2" xfId="31519"/>
    <cellStyle name="Обычный 3 13 3 3 2 2" xfId="31520"/>
    <cellStyle name="Обычный 3 13 3 3 3" xfId="31521"/>
    <cellStyle name="Обычный 3 13 3 4" xfId="31522"/>
    <cellStyle name="Обычный 3 13 3 4 2" xfId="31523"/>
    <cellStyle name="Обычный 3 13 3 5" xfId="31524"/>
    <cellStyle name="Обычный 3 13 3 5 2" xfId="31525"/>
    <cellStyle name="Обычный 3 13 3 6" xfId="31526"/>
    <cellStyle name="Обычный 3 13 4" xfId="31527"/>
    <cellStyle name="Обычный 3 13 4 2" xfId="31528"/>
    <cellStyle name="Обычный 3 13 4 2 2" xfId="31529"/>
    <cellStyle name="Обычный 3 13 4 3" xfId="31530"/>
    <cellStyle name="Обычный 3 13 4 3 2" xfId="31531"/>
    <cellStyle name="Обычный 3 13 4 4" xfId="31532"/>
    <cellStyle name="Обычный 3 13 5" xfId="31533"/>
    <cellStyle name="Обычный 3 13 5 2" xfId="31534"/>
    <cellStyle name="Обычный 3 13 5 2 2" xfId="31535"/>
    <cellStyle name="Обычный 3 13 5 3" xfId="31536"/>
    <cellStyle name="Обычный 3 13 6" xfId="31537"/>
    <cellStyle name="Обычный 3 13 6 2" xfId="31538"/>
    <cellStyle name="Обычный 3 13 7" xfId="31539"/>
    <cellStyle name="Обычный 3 13 7 2" xfId="31540"/>
    <cellStyle name="Обычный 3 13 8" xfId="31541"/>
    <cellStyle name="Обычный 3 14" xfId="31542"/>
    <cellStyle name="Обычный 3 14 2" xfId="31543"/>
    <cellStyle name="Обычный 3 14 2 2" xfId="31544"/>
    <cellStyle name="Обычный 3 14 2 2 2" xfId="31545"/>
    <cellStyle name="Обычный 3 14 2 3" xfId="31546"/>
    <cellStyle name="Обычный 3 14 3" xfId="31547"/>
    <cellStyle name="Обычный 3 14 3 2" xfId="31548"/>
    <cellStyle name="Обычный 3 14 3 2 2" xfId="31549"/>
    <cellStyle name="Обычный 3 14 4" xfId="31550"/>
    <cellStyle name="Обычный 3 14 4 2" xfId="31551"/>
    <cellStyle name="Обычный 3 14 4 2 2" xfId="31552"/>
    <cellStyle name="Обычный 3 14 5" xfId="31553"/>
    <cellStyle name="Обычный 3 14 5 2" xfId="31554"/>
    <cellStyle name="Обычный 3 14 6" xfId="31555"/>
    <cellStyle name="Обычный 3 14 7" xfId="31556"/>
    <cellStyle name="Обычный 3 15" xfId="31557"/>
    <cellStyle name="Обычный 3 15 2" xfId="31558"/>
    <cellStyle name="Обычный 3 15 2 2" xfId="31559"/>
    <cellStyle name="Обычный 3 15 2 2 2" xfId="31560"/>
    <cellStyle name="Обычный 3 15 2 2 2 2" xfId="31561"/>
    <cellStyle name="Обычный 3 15 2 2 3" xfId="31562"/>
    <cellStyle name="Обычный 3 15 2 3" xfId="31563"/>
    <cellStyle name="Обычный 3 15 2 3 2" xfId="31564"/>
    <cellStyle name="Обычный 3 15 2 3 2 2" xfId="31565"/>
    <cellStyle name="Обычный 3 15 2 3 3" xfId="31566"/>
    <cellStyle name="Обычный 3 15 2 4" xfId="31567"/>
    <cellStyle name="Обычный 3 15 2 4 2" xfId="31568"/>
    <cellStyle name="Обычный 3 15 2 5" xfId="31569"/>
    <cellStyle name="Обычный 3 15 3" xfId="31570"/>
    <cellStyle name="Обычный 3 15 3 2" xfId="31571"/>
    <cellStyle name="Обычный 3 15 3 2 2" xfId="31572"/>
    <cellStyle name="Обычный 3 15 3 2 2 2" xfId="31573"/>
    <cellStyle name="Обычный 3 15 3 2 3" xfId="31574"/>
    <cellStyle name="Обычный 3 15 3 3" xfId="31575"/>
    <cellStyle name="Обычный 3 15 3 3 2" xfId="31576"/>
    <cellStyle name="Обычный 3 15 3 3 2 2" xfId="31577"/>
    <cellStyle name="Обычный 3 15 3 3 3" xfId="31578"/>
    <cellStyle name="Обычный 3 15 3 4" xfId="31579"/>
    <cellStyle name="Обычный 3 15 3 4 2" xfId="31580"/>
    <cellStyle name="Обычный 3 15 3 5" xfId="31581"/>
    <cellStyle name="Обычный 3 15 4" xfId="31582"/>
    <cellStyle name="Обычный 3 15 4 2" xfId="31583"/>
    <cellStyle name="Обычный 3 15 4 2 2" xfId="31584"/>
    <cellStyle name="Обычный 3 15 4 3" xfId="31585"/>
    <cellStyle name="Обычный 3 15 5" xfId="31586"/>
    <cellStyle name="Обычный 3 15 5 2" xfId="31587"/>
    <cellStyle name="Обычный 3 15 5 2 2" xfId="31588"/>
    <cellStyle name="Обычный 3 15 5 3" xfId="31589"/>
    <cellStyle name="Обычный 3 15 6" xfId="31590"/>
    <cellStyle name="Обычный 3 15 6 2" xfId="31591"/>
    <cellStyle name="Обычный 3 15 7" xfId="31592"/>
    <cellStyle name="Обычный 3 15 7 2" xfId="31593"/>
    <cellStyle name="Обычный 3 15 8" xfId="31594"/>
    <cellStyle name="Обычный 3 16" xfId="31595"/>
    <cellStyle name="Обычный 3 16 2" xfId="31596"/>
    <cellStyle name="Обычный 3 16 2 2" xfId="31597"/>
    <cellStyle name="Обычный 3 16 2 2 2" xfId="31598"/>
    <cellStyle name="Обычный 3 16 2 3" xfId="31599"/>
    <cellStyle name="Обычный 3 16 3" xfId="31600"/>
    <cellStyle name="Обычный 3 16 3 2" xfId="31601"/>
    <cellStyle name="Обычный 3 16 3 2 2" xfId="31602"/>
    <cellStyle name="Обычный 3 16 3 3" xfId="31603"/>
    <cellStyle name="Обычный 3 16 4" xfId="31604"/>
    <cellStyle name="Обычный 3 16 4 2" xfId="31605"/>
    <cellStyle name="Обычный 3 16 5" xfId="31606"/>
    <cellStyle name="Обычный 3 16 5 2" xfId="31607"/>
    <cellStyle name="Обычный 3 16 6" xfId="31608"/>
    <cellStyle name="Обычный 3 17" xfId="31609"/>
    <cellStyle name="Обычный 3 17 2" xfId="31610"/>
    <cellStyle name="Обычный 3 17 2 2" xfId="31611"/>
    <cellStyle name="Обычный 3 17 2 2 2" xfId="31612"/>
    <cellStyle name="Обычный 3 17 2 3" xfId="31613"/>
    <cellStyle name="Обычный 3 17 3" xfId="31614"/>
    <cellStyle name="Обычный 3 17 3 2" xfId="31615"/>
    <cellStyle name="Обычный 3 17 3 2 2" xfId="31616"/>
    <cellStyle name="Обычный 3 17 3 3" xfId="31617"/>
    <cellStyle name="Обычный 3 17 4" xfId="31618"/>
    <cellStyle name="Обычный 3 17 4 2" xfId="31619"/>
    <cellStyle name="Обычный 3 17 5" xfId="31620"/>
    <cellStyle name="Обычный 3 18" xfId="31621"/>
    <cellStyle name="Обычный 3 18 2" xfId="31622"/>
    <cellStyle name="Обычный 3 18 2 2" xfId="31623"/>
    <cellStyle name="Обычный 3 18 3" xfId="31624"/>
    <cellStyle name="Обычный 3 19" xfId="31625"/>
    <cellStyle name="Обычный 3 19 2" xfId="31626"/>
    <cellStyle name="Обычный 3 19 2 2" xfId="31627"/>
    <cellStyle name="Обычный 3 19 3" xfId="31628"/>
    <cellStyle name="Обычный 3 2" xfId="31629"/>
    <cellStyle name="Обычный 3 2 2" xfId="31630"/>
    <cellStyle name="Обычный 3 2 2 2" xfId="31631"/>
    <cellStyle name="Обычный 3 2 2 2 2" xfId="31632"/>
    <cellStyle name="Обычный 3 2 2 2 2 2" xfId="31633"/>
    <cellStyle name="Обычный 3 2 2 2 2 2 2" xfId="31634"/>
    <cellStyle name="Обычный 3 2 2 2 2 2 2 2" xfId="31635"/>
    <cellStyle name="Обычный 3 2 2 2 2 2 2 2 2" xfId="31636"/>
    <cellStyle name="Обычный 3 2 2 2 2 2 2 2 2 2" xfId="31637"/>
    <cellStyle name="Обычный 3 2 2 2 2 2 2 2 3" xfId="31638"/>
    <cellStyle name="Обычный 3 2 2 2 2 2 2 3" xfId="31639"/>
    <cellStyle name="Обычный 3 2 2 2 2 2 3" xfId="31640"/>
    <cellStyle name="Обычный 3 2 2 2 2 3" xfId="31641"/>
    <cellStyle name="Обычный 3 2 2 2 3" xfId="31642"/>
    <cellStyle name="Обычный 3 2 2 2 3 2" xfId="31643"/>
    <cellStyle name="Обычный 3 2 2 2 3 2 2" xfId="31644"/>
    <cellStyle name="Обычный 3 2 2 2 3 2 2 2" xfId="31645"/>
    <cellStyle name="Обычный 3 2 2 2 3 2 2 2 2" xfId="31646"/>
    <cellStyle name="Обычный 3 2 2 2 3 2 2 2 2 2" xfId="31647"/>
    <cellStyle name="Обычный 3 2 2 2 3 2 2 2 2 2 2" xfId="31648"/>
    <cellStyle name="Обычный 3 2 2 2 3 2 2 2 2 2 2 2" xfId="31649"/>
    <cellStyle name="Обычный 3 2 2 2 3 2 2 2 2 2 2 2 2" xfId="31650"/>
    <cellStyle name="Обычный 3 2 2 2 3 2 2 2 2 2 2 2 2 2" xfId="31651"/>
    <cellStyle name="Обычный 3 2 2 2 3 2 2 2 2 2 2 2 2 2 2" xfId="31652"/>
    <cellStyle name="Обычный 3 2 2 2 3 2 2 2 2 2 2 2 2 2 2 2" xfId="31653"/>
    <cellStyle name="Обычный 3 2 2 2 3 2 2 2 2 2 2 2 2 2 2 2 2" xfId="31654"/>
    <cellStyle name="Обычный 3 2 2 2 3 2 2 2 2 2 2 2 2 2 2 3" xfId="31655"/>
    <cellStyle name="Обычный 3 2 2 2 3 2 2 2 2 2 2 2 2 2 2 3 2" xfId="31656"/>
    <cellStyle name="Обычный 3 2 2 2 3 2 2 2 2 2 2 2 2 2 2 4" xfId="31657"/>
    <cellStyle name="Обычный 3 2 2 2 3 2 2 2 2 2 2 2 2 2 3" xfId="31658"/>
    <cellStyle name="Обычный 3 2 2 2 3 2 2 2 2 2 2 2 2 3" xfId="31659"/>
    <cellStyle name="Обычный 3 2 2 2 3 2 2 2 2 2 2 2 3" xfId="31660"/>
    <cellStyle name="Обычный 3 2 2 2 3 2 2 2 2 2 2 3" xfId="31661"/>
    <cellStyle name="Обычный 3 2 2 2 3 2 2 2 2 2 3" xfId="31662"/>
    <cellStyle name="Обычный 3 2 2 2 3 2 2 2 2 3" xfId="31663"/>
    <cellStyle name="Обычный 3 2 2 2 3 2 2 2 3" xfId="31664"/>
    <cellStyle name="Обычный 3 2 2 2 3 2 2 3" xfId="31665"/>
    <cellStyle name="Обычный 3 2 2 2 3 2 3" xfId="31666"/>
    <cellStyle name="Обычный 3 2 2 2 3 3" xfId="31667"/>
    <cellStyle name="Обычный 3 2 2 2 4" xfId="31668"/>
    <cellStyle name="Обычный 3 2 2 3" xfId="31669"/>
    <cellStyle name="Обычный 3 2 2 3 2" xfId="31670"/>
    <cellStyle name="Обычный 3 2 2 3 2 2" xfId="31671"/>
    <cellStyle name="Обычный 3 2 2 3 3" xfId="31672"/>
    <cellStyle name="Обычный 3 2 2 4" xfId="31673"/>
    <cellStyle name="Обычный 3 2 2 4 2" xfId="31674"/>
    <cellStyle name="Обычный 3 2 2 5" xfId="31675"/>
    <cellStyle name="Обычный 3 2 3" xfId="31676"/>
    <cellStyle name="Обычный 3 2 3 2" xfId="31677"/>
    <cellStyle name="Обычный 3 2 3 2 2" xfId="31678"/>
    <cellStyle name="Обычный 3 2 3 3" xfId="31679"/>
    <cellStyle name="Обычный 3 2 3 4" xfId="31680"/>
    <cellStyle name="Обычный 3 2 4" xfId="31681"/>
    <cellStyle name="Обычный 3 2 4 2" xfId="31682"/>
    <cellStyle name="Обычный 3 2 5" xfId="31683"/>
    <cellStyle name="Обычный 3 2 6" xfId="31684"/>
    <cellStyle name="Обычный 3 20" xfId="31685"/>
    <cellStyle name="Обычный 3 20 2" xfId="31686"/>
    <cellStyle name="Обычный 3 21" xfId="31687"/>
    <cellStyle name="Обычный 3 22" xfId="31688"/>
    <cellStyle name="Обычный 3 23" xfId="31689"/>
    <cellStyle name="Обычный 3 24" xfId="31690"/>
    <cellStyle name="Обычный 3 25" xfId="31691"/>
    <cellStyle name="Обычный 3 26" xfId="31692"/>
    <cellStyle name="Обычный 3 27" xfId="31693"/>
    <cellStyle name="Обычный 3 28" xfId="31694"/>
    <cellStyle name="Обычный 3 29" xfId="31695"/>
    <cellStyle name="Обычный 3 29 2" xfId="31696"/>
    <cellStyle name="Обычный 3 3" xfId="31697"/>
    <cellStyle name="Обычный 3 3 2" xfId="31698"/>
    <cellStyle name="Обычный 3 3 2 2" xfId="31699"/>
    <cellStyle name="Обычный 3 3 2 2 2" xfId="31700"/>
    <cellStyle name="Обычный 3 3 2 2 3" xfId="31701"/>
    <cellStyle name="Обычный 3 3 2 2 4" xfId="31702"/>
    <cellStyle name="Обычный 3 3 2 3" xfId="31703"/>
    <cellStyle name="Обычный 3 3 2 4" xfId="31704"/>
    <cellStyle name="Обычный 3 3 2 5" xfId="31705"/>
    <cellStyle name="Обычный 3 3 3" xfId="31706"/>
    <cellStyle name="Обычный 3 3 3 2" xfId="31707"/>
    <cellStyle name="Обычный 3 3 3 3" xfId="31708"/>
    <cellStyle name="Обычный 3 3 3 4" xfId="31709"/>
    <cellStyle name="Обычный 3 3 4" xfId="31710"/>
    <cellStyle name="Обычный 3 3 5" xfId="31711"/>
    <cellStyle name="Обычный 3 3 6" xfId="31712"/>
    <cellStyle name="Обычный 3 30" xfId="31713"/>
    <cellStyle name="Обычный 3 4" xfId="31714"/>
    <cellStyle name="Обычный 3 4 2" xfId="31715"/>
    <cellStyle name="Обычный 3 4 2 2" xfId="31716"/>
    <cellStyle name="Обычный 3 4 2 2 2" xfId="31717"/>
    <cellStyle name="Обычный 3 4 2 2 2 10" xfId="31718"/>
    <cellStyle name="Обычный 3 4 2 2 2 2" xfId="31719"/>
    <cellStyle name="Обычный 3 4 2 2 2 2 2" xfId="31720"/>
    <cellStyle name="Обычный 3 4 2 2 2 2 2 2" xfId="31721"/>
    <cellStyle name="Обычный 3 4 2 2 2 2 2 2 2" xfId="31722"/>
    <cellStyle name="Обычный 3 4 2 2 2 2 2 2 3" xfId="31723"/>
    <cellStyle name="Обычный 3 4 2 2 2 2 2 2 4" xfId="31724"/>
    <cellStyle name="Обычный 3 4 2 2 2 2 2 3" xfId="31725"/>
    <cellStyle name="Обычный 3 4 2 2 2 2 2 4" xfId="31726"/>
    <cellStyle name="Обычный 3 4 2 2 2 2 2 5" xfId="31727"/>
    <cellStyle name="Обычный 3 4 2 2 2 2 3" xfId="31728"/>
    <cellStyle name="Обычный 3 4 2 2 2 2 3 2" xfId="31729"/>
    <cellStyle name="Обычный 3 4 2 2 2 2 3 3" xfId="31730"/>
    <cellStyle name="Обычный 3 4 2 2 2 2 3 4" xfId="31731"/>
    <cellStyle name="Обычный 3 4 2 2 2 2 4" xfId="31732"/>
    <cellStyle name="Обычный 3 4 2 2 2 2 5" xfId="31733"/>
    <cellStyle name="Обычный 3 4 2 2 2 2 6" xfId="31734"/>
    <cellStyle name="Обычный 3 4 2 2 2 3" xfId="31735"/>
    <cellStyle name="Обычный 3 4 2 2 2 3 2" xfId="31736"/>
    <cellStyle name="Обычный 3 4 2 2 2 3 2 2" xfId="31737"/>
    <cellStyle name="Обычный 3 4 2 2 2 3 2 2 2" xfId="31738"/>
    <cellStyle name="Обычный 3 4 2 2 2 3 2 2 3" xfId="31739"/>
    <cellStyle name="Обычный 3 4 2 2 2 3 2 2 4" xfId="31740"/>
    <cellStyle name="Обычный 3 4 2 2 2 3 2 3" xfId="31741"/>
    <cellStyle name="Обычный 3 4 2 2 2 3 2 4" xfId="31742"/>
    <cellStyle name="Обычный 3 4 2 2 2 3 2 5" xfId="31743"/>
    <cellStyle name="Обычный 3 4 2 2 2 3 3" xfId="31744"/>
    <cellStyle name="Обычный 3 4 2 2 2 3 3 2" xfId="31745"/>
    <cellStyle name="Обычный 3 4 2 2 2 3 3 3" xfId="31746"/>
    <cellStyle name="Обычный 3 4 2 2 2 3 3 4" xfId="31747"/>
    <cellStyle name="Обычный 3 4 2 2 2 3 4" xfId="31748"/>
    <cellStyle name="Обычный 3 4 2 2 2 3 5" xfId="31749"/>
    <cellStyle name="Обычный 3 4 2 2 2 3 6" xfId="31750"/>
    <cellStyle name="Обычный 3 4 2 2 2 4" xfId="31751"/>
    <cellStyle name="Обычный 3 4 2 2 2 4 2" xfId="31752"/>
    <cellStyle name="Обычный 3 4 2 2 2 4 2 2" xfId="31753"/>
    <cellStyle name="Обычный 3 4 2 2 2 4 2 2 2" xfId="31754"/>
    <cellStyle name="Обычный 3 4 2 2 2 4 2 2 3" xfId="31755"/>
    <cellStyle name="Обычный 3 4 2 2 2 4 2 2 4" xfId="31756"/>
    <cellStyle name="Обычный 3 4 2 2 2 4 2 3" xfId="31757"/>
    <cellStyle name="Обычный 3 4 2 2 2 4 2 4" xfId="31758"/>
    <cellStyle name="Обычный 3 4 2 2 2 4 2 5" xfId="31759"/>
    <cellStyle name="Обычный 3 4 2 2 2 4 3" xfId="31760"/>
    <cellStyle name="Обычный 3 4 2 2 2 4 3 2" xfId="31761"/>
    <cellStyle name="Обычный 3 4 2 2 2 4 3 3" xfId="31762"/>
    <cellStyle name="Обычный 3 4 2 2 2 4 3 4" xfId="31763"/>
    <cellStyle name="Обычный 3 4 2 2 2 4 4" xfId="31764"/>
    <cellStyle name="Обычный 3 4 2 2 2 4 5" xfId="31765"/>
    <cellStyle name="Обычный 3 4 2 2 2 4 6" xfId="31766"/>
    <cellStyle name="Обычный 3 4 2 2 2 5" xfId="31767"/>
    <cellStyle name="Обычный 3 4 2 2 2 5 2" xfId="31768"/>
    <cellStyle name="Обычный 3 4 2 2 2 5 2 2" xfId="31769"/>
    <cellStyle name="Обычный 3 4 2 2 2 5 2 2 2" xfId="31770"/>
    <cellStyle name="Обычный 3 4 2 2 2 5 2 2 2 2" xfId="31771"/>
    <cellStyle name="Обычный 3 4 2 2 2 5 2 2 2 2 2" xfId="31772"/>
    <cellStyle name="Обычный 3 4 2 2 2 5 2 2 2 2 3" xfId="31773"/>
    <cellStyle name="Обычный 3 4 2 2 2 5 2 2 2 2 4" xfId="31774"/>
    <cellStyle name="Обычный 3 4 2 2 2 5 2 2 2 3" xfId="31775"/>
    <cellStyle name="Обычный 3 4 2 2 2 5 2 2 2 4" xfId="31776"/>
    <cellStyle name="Обычный 3 4 2 2 2 5 2 2 2 5" xfId="31777"/>
    <cellStyle name="Обычный 3 4 2 2 2 5 2 2 3" xfId="31778"/>
    <cellStyle name="Обычный 3 4 2 2 2 5 2 2 3 2" xfId="31779"/>
    <cellStyle name="Обычный 3 4 2 2 2 5 2 2 3 3" xfId="31780"/>
    <cellStyle name="Обычный 3 4 2 2 2 5 2 2 3 4" xfId="31781"/>
    <cellStyle name="Обычный 3 4 2 2 2 5 2 2 4" xfId="31782"/>
    <cellStyle name="Обычный 3 4 2 2 2 5 2 2 5" xfId="31783"/>
    <cellStyle name="Обычный 3 4 2 2 2 5 2 2 6" xfId="31784"/>
    <cellStyle name="Обычный 3 4 2 2 2 5 2 3" xfId="31785"/>
    <cellStyle name="Обычный 3 4 2 2 2 5 2 3 2" xfId="31786"/>
    <cellStyle name="Обычный 3 4 2 2 2 5 2 3 2 2" xfId="31787"/>
    <cellStyle name="Обычный 3 4 2 2 2 5 2 3 2 2 2" xfId="31788"/>
    <cellStyle name="Обычный 3 4 2 2 2 5 2 3 2 2 2 2" xfId="31789"/>
    <cellStyle name="Обычный 3 4 2 2 2 5 2 3 2 2 2 2 2" xfId="31790"/>
    <cellStyle name="Обычный 3 4 2 2 2 5 2 3 2 2 2 2 3" xfId="31791"/>
    <cellStyle name="Обычный 3 4 2 2 2 5 2 3 2 2 2 2 4" xfId="31792"/>
    <cellStyle name="Обычный 3 4 2 2 2 5 2 3 2 2 2 3" xfId="31793"/>
    <cellStyle name="Обычный 3 4 2 2 2 5 2 3 2 2 2 4" xfId="31794"/>
    <cellStyle name="Обычный 3 4 2 2 2 5 2 3 2 2 2 5" xfId="31795"/>
    <cellStyle name="Обычный 3 4 2 2 2 5 2 3 2 2 3" xfId="31796"/>
    <cellStyle name="Обычный 3 4 2 2 2 5 2 3 2 2 3 2" xfId="31797"/>
    <cellStyle name="Обычный 3 4 2 2 2 5 2 3 2 2 3 3" xfId="31798"/>
    <cellStyle name="Обычный 3 4 2 2 2 5 2 3 2 2 3 4" xfId="31799"/>
    <cellStyle name="Обычный 3 4 2 2 2 5 2 3 2 2 4" xfId="31800"/>
    <cellStyle name="Обычный 3 4 2 2 2 5 2 3 2 2 5" xfId="31801"/>
    <cellStyle name="Обычный 3 4 2 2 2 5 2 3 2 2 6" xfId="31802"/>
    <cellStyle name="Обычный 3 4 2 2 2 5 2 3 2 3" xfId="31803"/>
    <cellStyle name="Обычный 3 4 2 2 2 5 2 3 2 3 2" xfId="31804"/>
    <cellStyle name="Обычный 3 4 2 2 2 5 2 3 2 3 2 2" xfId="31805"/>
    <cellStyle name="Обычный 3 4 2 2 2 5 2 3 2 3 2 2 2" xfId="31806"/>
    <cellStyle name="Обычный 3 4 2 2 2 5 2 3 2 3 2 2 2 2" xfId="31807"/>
    <cellStyle name="Обычный 3 4 2 2 2 5 2 3 2 3 2 2 2 2 2" xfId="31808"/>
    <cellStyle name="Обычный 3 4 2 2 2 5 2 3 2 3 2 2 2 2 3" xfId="31809"/>
    <cellStyle name="Обычный 3 4 2 2 2 5 2 3 2 3 2 2 2 2 4" xfId="31810"/>
    <cellStyle name="Обычный 3 4 2 2 2 5 2 3 2 3 2 2 2 3" xfId="31811"/>
    <cellStyle name="Обычный 3 4 2 2 2 5 2 3 2 3 2 2 2 4" xfId="31812"/>
    <cellStyle name="Обычный 3 4 2 2 2 5 2 3 2 3 2 2 2 5" xfId="31813"/>
    <cellStyle name="Обычный 3 4 2 2 2 5 2 3 2 3 2 2 3" xfId="31814"/>
    <cellStyle name="Обычный 3 4 2 2 2 5 2 3 2 3 2 2 3 2" xfId="31815"/>
    <cellStyle name="Обычный 3 4 2 2 2 5 2 3 2 3 2 2 3 3" xfId="31816"/>
    <cellStyle name="Обычный 3 4 2 2 2 5 2 3 2 3 2 2 3 4" xfId="31817"/>
    <cellStyle name="Обычный 3 4 2 2 2 5 2 3 2 3 2 2 4" xfId="31818"/>
    <cellStyle name="Обычный 3 4 2 2 2 5 2 3 2 3 2 2 5" xfId="31819"/>
    <cellStyle name="Обычный 3 4 2 2 2 5 2 3 2 3 2 2 6" xfId="31820"/>
    <cellStyle name="Обычный 3 4 2 2 2 5 2 3 2 3 2 3" xfId="31821"/>
    <cellStyle name="Обычный 3 4 2 2 2 5 2 3 2 3 2 3 2" xfId="31822"/>
    <cellStyle name="Обычный 3 4 2 2 2 5 2 3 2 3 2 3 2 2" xfId="31823"/>
    <cellStyle name="Обычный 3 4 2 2 2 5 2 3 2 3 2 3 2 3" xfId="31824"/>
    <cellStyle name="Обычный 3 4 2 2 2 5 2 3 2 3 2 3 2 4" xfId="31825"/>
    <cellStyle name="Обычный 3 4 2 2 2 5 2 3 2 3 2 3 3" xfId="31826"/>
    <cellStyle name="Обычный 3 4 2 2 2 5 2 3 2 3 2 3 4" xfId="31827"/>
    <cellStyle name="Обычный 3 4 2 2 2 5 2 3 2 3 2 3 5" xfId="31828"/>
    <cellStyle name="Обычный 3 4 2 2 2 5 2 3 2 3 2 4" xfId="31829"/>
    <cellStyle name="Обычный 3 4 2 2 2 5 2 3 2 3 2 4 2" xfId="31830"/>
    <cellStyle name="Обычный 3 4 2 2 2 5 2 3 2 3 2 4 3" xfId="31831"/>
    <cellStyle name="Обычный 3 4 2 2 2 5 2 3 2 3 2 4 4" xfId="31832"/>
    <cellStyle name="Обычный 3 4 2 2 2 5 2 3 2 3 2 5" xfId="31833"/>
    <cellStyle name="Обычный 3 4 2 2 2 5 2 3 2 3 2 5 2" xfId="31834"/>
    <cellStyle name="Обычный 3 4 2 2 2 5 2 3 2 3 2 5 3" xfId="31835"/>
    <cellStyle name="Обычный 3 4 2 2 2 5 2 3 2 3 2 5 4" xfId="31836"/>
    <cellStyle name="Обычный 3 4 2 2 2 5 2 3 2 3 2 6" xfId="31837"/>
    <cellStyle name="Обычный 3 4 2 2 2 5 2 3 2 3 2 7" xfId="31838"/>
    <cellStyle name="Обычный 3 4 2 2 2 5 2 3 2 3 2 8" xfId="31839"/>
    <cellStyle name="Обычный 3 4 2 2 2 5 2 3 2 3 3" xfId="31840"/>
    <cellStyle name="Обычный 3 4 2 2 2 5 2 3 2 3 3 2" xfId="31841"/>
    <cellStyle name="Обычный 3 4 2 2 2 5 2 3 2 3 3 2 2" xfId="31842"/>
    <cellStyle name="Обычный 3 4 2 2 2 5 2 3 2 3 3 2 3" xfId="31843"/>
    <cellStyle name="Обычный 3 4 2 2 2 5 2 3 2 3 3 2 4" xfId="31844"/>
    <cellStyle name="Обычный 3 4 2 2 2 5 2 3 2 3 3 3" xfId="31845"/>
    <cellStyle name="Обычный 3 4 2 2 2 5 2 3 2 3 3 4" xfId="31846"/>
    <cellStyle name="Обычный 3 4 2 2 2 5 2 3 2 3 3 5" xfId="31847"/>
    <cellStyle name="Обычный 3 4 2 2 2 5 2 3 2 3 4" xfId="31848"/>
    <cellStyle name="Обычный 3 4 2 2 2 5 2 3 2 3 4 2" xfId="31849"/>
    <cellStyle name="Обычный 3 4 2 2 2 5 2 3 2 3 4 3" xfId="31850"/>
    <cellStyle name="Обычный 3 4 2 2 2 5 2 3 2 3 4 4" xfId="31851"/>
    <cellStyle name="Обычный 3 4 2 2 2 5 2 3 2 3 5" xfId="31852"/>
    <cellStyle name="Обычный 3 4 2 2 2 5 2 3 2 3 6" xfId="31853"/>
    <cellStyle name="Обычный 3 4 2 2 2 5 2 3 2 3 7" xfId="31854"/>
    <cellStyle name="Обычный 3 4 2 2 2 5 2 3 2 4" xfId="31855"/>
    <cellStyle name="Обычный 3 4 2 2 2 5 2 3 2 4 2" xfId="31856"/>
    <cellStyle name="Обычный 3 4 2 2 2 5 2 3 2 4 2 2" xfId="31857"/>
    <cellStyle name="Обычный 3 4 2 2 2 5 2 3 2 4 2 3" xfId="31858"/>
    <cellStyle name="Обычный 3 4 2 2 2 5 2 3 2 4 2 4" xfId="31859"/>
    <cellStyle name="Обычный 3 4 2 2 2 5 2 3 2 4 3" xfId="31860"/>
    <cellStyle name="Обычный 3 4 2 2 2 5 2 3 2 4 4" xfId="31861"/>
    <cellStyle name="Обычный 3 4 2 2 2 5 2 3 2 4 5" xfId="31862"/>
    <cellStyle name="Обычный 3 4 2 2 2 5 2 3 2 5" xfId="31863"/>
    <cellStyle name="Обычный 3 4 2 2 2 5 2 3 2 5 2" xfId="31864"/>
    <cellStyle name="Обычный 3 4 2 2 2 5 2 3 2 5 3" xfId="31865"/>
    <cellStyle name="Обычный 3 4 2 2 2 5 2 3 2 5 4" xfId="31866"/>
    <cellStyle name="Обычный 3 4 2 2 2 5 2 3 2 6" xfId="31867"/>
    <cellStyle name="Обычный 3 4 2 2 2 5 2 3 2 7" xfId="31868"/>
    <cellStyle name="Обычный 3 4 2 2 2 5 2 3 2 8" xfId="31869"/>
    <cellStyle name="Обычный 3 4 2 2 2 5 2 3 3" xfId="31870"/>
    <cellStyle name="Обычный 3 4 2 2 2 5 2 3 3 2" xfId="31871"/>
    <cellStyle name="Обычный 3 4 2 2 2 5 2 3 3 2 2" xfId="31872"/>
    <cellStyle name="Обычный 3 4 2 2 2 5 2 3 3 2 2 2" xfId="31873"/>
    <cellStyle name="Обычный 3 4 2 2 2 5 2 3 3 2 2 2 2" xfId="31874"/>
    <cellStyle name="Обычный 3 4 2 2 2 5 2 3 3 2 2 2 2 2" xfId="31875"/>
    <cellStyle name="Обычный 3 4 2 2 2 5 2 3 3 2 2 2 2 3" xfId="31876"/>
    <cellStyle name="Обычный 3 4 2 2 2 5 2 3 3 2 2 2 2 4" xfId="31877"/>
    <cellStyle name="Обычный 3 4 2 2 2 5 2 3 3 2 2 2 3" xfId="31878"/>
    <cellStyle name="Обычный 3 4 2 2 2 5 2 3 3 2 2 2 4" xfId="31879"/>
    <cellStyle name="Обычный 3 4 2 2 2 5 2 3 3 2 2 2 5" xfId="31880"/>
    <cellStyle name="Обычный 3 4 2 2 2 5 2 3 3 2 2 3" xfId="31881"/>
    <cellStyle name="Обычный 3 4 2 2 2 5 2 3 3 2 2 3 2" xfId="31882"/>
    <cellStyle name="Обычный 3 4 2 2 2 5 2 3 3 2 2 3 3" xfId="31883"/>
    <cellStyle name="Обычный 3 4 2 2 2 5 2 3 3 2 2 3 4" xfId="31884"/>
    <cellStyle name="Обычный 3 4 2 2 2 5 2 3 3 2 2 4" xfId="31885"/>
    <cellStyle name="Обычный 3 4 2 2 2 5 2 3 3 2 2 5" xfId="31886"/>
    <cellStyle name="Обычный 3 4 2 2 2 5 2 3 3 2 2 6" xfId="31887"/>
    <cellStyle name="Обычный 3 4 2 2 2 5 2 3 3 2 3" xfId="31888"/>
    <cellStyle name="Обычный 3 4 2 2 2 5 2 3 3 2 3 2" xfId="31889"/>
    <cellStyle name="Обычный 3 4 2 2 2 5 2 3 3 2 3 2 2" xfId="31890"/>
    <cellStyle name="Обычный 3 4 2 2 2 5 2 3 3 2 3 2 3" xfId="31891"/>
    <cellStyle name="Обычный 3 4 2 2 2 5 2 3 3 2 3 2 4" xfId="31892"/>
    <cellStyle name="Обычный 3 4 2 2 2 5 2 3 3 2 3 3" xfId="31893"/>
    <cellStyle name="Обычный 3 4 2 2 2 5 2 3 3 2 3 4" xfId="31894"/>
    <cellStyle name="Обычный 3 4 2 2 2 5 2 3 3 2 3 5" xfId="31895"/>
    <cellStyle name="Обычный 3 4 2 2 2 5 2 3 3 2 4" xfId="31896"/>
    <cellStyle name="Обычный 3 4 2 2 2 5 2 3 3 2 4 2" xfId="31897"/>
    <cellStyle name="Обычный 3 4 2 2 2 5 2 3 3 2 4 3" xfId="31898"/>
    <cellStyle name="Обычный 3 4 2 2 2 5 2 3 3 2 4 4" xfId="31899"/>
    <cellStyle name="Обычный 3 4 2 2 2 5 2 3 3 2 5" xfId="31900"/>
    <cellStyle name="Обычный 3 4 2 2 2 5 2 3 3 2 5 2" xfId="31901"/>
    <cellStyle name="Обычный 3 4 2 2 2 5 2 3 3 2 5 3" xfId="31902"/>
    <cellStyle name="Обычный 3 4 2 2 2 5 2 3 3 2 5 4" xfId="31903"/>
    <cellStyle name="Обычный 3 4 2 2 2 5 2 3 3 2 6" xfId="31904"/>
    <cellStyle name="Обычный 3 4 2 2 2 5 2 3 3 2 7" xfId="31905"/>
    <cellStyle name="Обычный 3 4 2 2 2 5 2 3 3 2 8" xfId="31906"/>
    <cellStyle name="Обычный 3 4 2 2 2 5 2 3 3 3" xfId="31907"/>
    <cellStyle name="Обычный 3 4 2 2 2 5 2 3 3 3 2" xfId="31908"/>
    <cellStyle name="Обычный 3 4 2 2 2 5 2 3 3 3 2 2" xfId="31909"/>
    <cellStyle name="Обычный 3 4 2 2 2 5 2 3 3 3 2 3" xfId="31910"/>
    <cellStyle name="Обычный 3 4 2 2 2 5 2 3 3 3 2 4" xfId="31911"/>
    <cellStyle name="Обычный 3 4 2 2 2 5 2 3 3 3 3" xfId="31912"/>
    <cellStyle name="Обычный 3 4 2 2 2 5 2 3 3 3 4" xfId="31913"/>
    <cellStyle name="Обычный 3 4 2 2 2 5 2 3 3 3 5" xfId="31914"/>
    <cellStyle name="Обычный 3 4 2 2 2 5 2 3 3 4" xfId="31915"/>
    <cellStyle name="Обычный 3 4 2 2 2 5 2 3 3 4 2" xfId="31916"/>
    <cellStyle name="Обычный 3 4 2 2 2 5 2 3 3 4 3" xfId="31917"/>
    <cellStyle name="Обычный 3 4 2 2 2 5 2 3 3 4 4" xfId="31918"/>
    <cellStyle name="Обычный 3 4 2 2 2 5 2 3 3 5" xfId="31919"/>
    <cellStyle name="Обычный 3 4 2 2 2 5 2 3 3 6" xfId="31920"/>
    <cellStyle name="Обычный 3 4 2 2 2 5 2 3 3 7" xfId="31921"/>
    <cellStyle name="Обычный 3 4 2 2 2 5 2 3 4" xfId="31922"/>
    <cellStyle name="Обычный 3 4 2 2 2 5 2 3 4 2" xfId="31923"/>
    <cellStyle name="Обычный 3 4 2 2 2 5 2 3 4 2 2" xfId="31924"/>
    <cellStyle name="Обычный 3 4 2 2 2 5 2 3 4 2 2 2" xfId="31925"/>
    <cellStyle name="Обычный 3 4 2 2 2 5 2 3 4 2 2 2 2" xfId="31926"/>
    <cellStyle name="Обычный 3 4 2 2 2 5 2 3 4 2 2 2 2 2" xfId="31927"/>
    <cellStyle name="Обычный 3 4 2 2 2 5 2 3 4 2 2 2 2 3" xfId="31928"/>
    <cellStyle name="Обычный 3 4 2 2 2 5 2 3 4 2 2 2 2 4" xfId="31929"/>
    <cellStyle name="Обычный 3 4 2 2 2 5 2 3 4 2 2 2 3" xfId="31930"/>
    <cellStyle name="Обычный 3 4 2 2 2 5 2 3 4 2 2 2 4" xfId="31931"/>
    <cellStyle name="Обычный 3 4 2 2 2 5 2 3 4 2 2 2 5" xfId="31932"/>
    <cellStyle name="Обычный 3 4 2 2 2 5 2 3 4 2 2 3" xfId="31933"/>
    <cellStyle name="Обычный 3 4 2 2 2 5 2 3 4 2 2 3 2" xfId="31934"/>
    <cellStyle name="Обычный 3 4 2 2 2 5 2 3 4 2 2 3 3" xfId="31935"/>
    <cellStyle name="Обычный 3 4 2 2 2 5 2 3 4 2 2 3 4" xfId="31936"/>
    <cellStyle name="Обычный 3 4 2 2 2 5 2 3 4 2 2 4" xfId="31937"/>
    <cellStyle name="Обычный 3 4 2 2 2 5 2 3 4 2 2 5" xfId="31938"/>
    <cellStyle name="Обычный 3 4 2 2 2 5 2 3 4 2 2 6" xfId="31939"/>
    <cellStyle name="Обычный 3 4 2 2 2 5 2 3 4 2 3" xfId="31940"/>
    <cellStyle name="Обычный 3 4 2 2 2 5 2 3 4 2 3 2" xfId="31941"/>
    <cellStyle name="Обычный 3 4 2 2 2 5 2 3 4 2 3 2 2" xfId="31942"/>
    <cellStyle name="Обычный 3 4 2 2 2 5 2 3 4 2 3 2 3" xfId="31943"/>
    <cellStyle name="Обычный 3 4 2 2 2 5 2 3 4 2 3 2 4" xfId="31944"/>
    <cellStyle name="Обычный 3 4 2 2 2 5 2 3 4 2 3 3" xfId="31945"/>
    <cellStyle name="Обычный 3 4 2 2 2 5 2 3 4 2 3 4" xfId="31946"/>
    <cellStyle name="Обычный 3 4 2 2 2 5 2 3 4 2 3 5" xfId="31947"/>
    <cellStyle name="Обычный 3 4 2 2 2 5 2 3 4 2 4" xfId="31948"/>
    <cellStyle name="Обычный 3 4 2 2 2 5 2 3 4 2 4 2" xfId="31949"/>
    <cellStyle name="Обычный 3 4 2 2 2 5 2 3 4 2 4 3" xfId="31950"/>
    <cellStyle name="Обычный 3 4 2 2 2 5 2 3 4 2 4 4" xfId="31951"/>
    <cellStyle name="Обычный 3 4 2 2 2 5 2 3 4 2 5" xfId="31952"/>
    <cellStyle name="Обычный 3 4 2 2 2 5 2 3 4 2 5 2" xfId="31953"/>
    <cellStyle name="Обычный 3 4 2 2 2 5 2 3 4 2 5 3" xfId="31954"/>
    <cellStyle name="Обычный 3 4 2 2 2 5 2 3 4 2 5 4" xfId="31955"/>
    <cellStyle name="Обычный 3 4 2 2 2 5 2 3 4 2 6" xfId="31956"/>
    <cellStyle name="Обычный 3 4 2 2 2 5 2 3 4 2 7" xfId="31957"/>
    <cellStyle name="Обычный 3 4 2 2 2 5 2 3 4 2 8" xfId="31958"/>
    <cellStyle name="Обычный 3 4 2 2 2 5 2 3 4 3" xfId="31959"/>
    <cellStyle name="Обычный 3 4 2 2 2 5 2 3 4 3 2" xfId="31960"/>
    <cellStyle name="Обычный 3 4 2 2 2 5 2 3 4 3 2 2" xfId="31961"/>
    <cellStyle name="Обычный 3 4 2 2 2 5 2 3 4 3 2 3" xfId="31962"/>
    <cellStyle name="Обычный 3 4 2 2 2 5 2 3 4 3 2 4" xfId="31963"/>
    <cellStyle name="Обычный 3 4 2 2 2 5 2 3 4 3 3" xfId="31964"/>
    <cellStyle name="Обычный 3 4 2 2 2 5 2 3 4 3 4" xfId="31965"/>
    <cellStyle name="Обычный 3 4 2 2 2 5 2 3 4 3 5" xfId="31966"/>
    <cellStyle name="Обычный 3 4 2 2 2 5 2 3 4 4" xfId="31967"/>
    <cellStyle name="Обычный 3 4 2 2 2 5 2 3 4 4 2" xfId="31968"/>
    <cellStyle name="Обычный 3 4 2 2 2 5 2 3 4 4 3" xfId="31969"/>
    <cellStyle name="Обычный 3 4 2 2 2 5 2 3 4 4 4" xfId="31970"/>
    <cellStyle name="Обычный 3 4 2 2 2 5 2 3 4 5" xfId="31971"/>
    <cellStyle name="Обычный 3 4 2 2 2 5 2 3 4 6" xfId="31972"/>
    <cellStyle name="Обычный 3 4 2 2 2 5 2 3 4 7" xfId="31973"/>
    <cellStyle name="Обычный 3 4 2 2 2 5 2 3 5" xfId="31974"/>
    <cellStyle name="Обычный 3 4 2 2 2 5 2 3 5 2" xfId="31975"/>
    <cellStyle name="Обычный 3 4 2 2 2 5 2 3 5 2 2" xfId="31976"/>
    <cellStyle name="Обычный 3 4 2 2 2 5 2 3 5 2 3" xfId="31977"/>
    <cellStyle name="Обычный 3 4 2 2 2 5 2 3 5 2 4" xfId="31978"/>
    <cellStyle name="Обычный 3 4 2 2 2 5 2 3 5 3" xfId="31979"/>
    <cellStyle name="Обычный 3 4 2 2 2 5 2 3 5 4" xfId="31980"/>
    <cellStyle name="Обычный 3 4 2 2 2 5 2 3 5 5" xfId="31981"/>
    <cellStyle name="Обычный 3 4 2 2 2 5 2 3 6" xfId="31982"/>
    <cellStyle name="Обычный 3 4 2 2 2 5 2 3 6 2" xfId="31983"/>
    <cellStyle name="Обычный 3 4 2 2 2 5 2 3 6 3" xfId="31984"/>
    <cellStyle name="Обычный 3 4 2 2 2 5 2 3 6 4" xfId="31985"/>
    <cellStyle name="Обычный 3 4 2 2 2 5 2 3 7" xfId="31986"/>
    <cellStyle name="Обычный 3 4 2 2 2 5 2 3 8" xfId="31987"/>
    <cellStyle name="Обычный 3 4 2 2 2 5 2 3 9" xfId="31988"/>
    <cellStyle name="Обычный 3 4 2 2 2 5 2 4" xfId="31989"/>
    <cellStyle name="Обычный 3 4 2 2 2 5 2 4 2" xfId="31990"/>
    <cellStyle name="Обычный 3 4 2 2 2 5 2 4 2 2" xfId="31991"/>
    <cellStyle name="Обычный 3 4 2 2 2 5 2 4 2 3" xfId="31992"/>
    <cellStyle name="Обычный 3 4 2 2 2 5 2 4 2 4" xfId="31993"/>
    <cellStyle name="Обычный 3 4 2 2 2 5 2 4 3" xfId="31994"/>
    <cellStyle name="Обычный 3 4 2 2 2 5 2 4 4" xfId="31995"/>
    <cellStyle name="Обычный 3 4 2 2 2 5 2 4 5" xfId="31996"/>
    <cellStyle name="Обычный 3 4 2 2 2 5 2 5" xfId="31997"/>
    <cellStyle name="Обычный 3 4 2 2 2 5 2 5 2" xfId="31998"/>
    <cellStyle name="Обычный 3 4 2 2 2 5 2 5 3" xfId="31999"/>
    <cellStyle name="Обычный 3 4 2 2 2 5 2 5 4" xfId="32000"/>
    <cellStyle name="Обычный 3 4 2 2 2 5 2 6" xfId="32001"/>
    <cellStyle name="Обычный 3 4 2 2 2 5 2 7" xfId="32002"/>
    <cellStyle name="Обычный 3 4 2 2 2 5 2 8" xfId="32003"/>
    <cellStyle name="Обычный 3 4 2 2 2 5 3" xfId="32004"/>
    <cellStyle name="Обычный 3 4 2 2 2 5 3 2" xfId="32005"/>
    <cellStyle name="Обычный 3 4 2 2 2 5 3 2 2" xfId="32006"/>
    <cellStyle name="Обычный 3 4 2 2 2 5 3 2 3" xfId="32007"/>
    <cellStyle name="Обычный 3 4 2 2 2 5 3 2 4" xfId="32008"/>
    <cellStyle name="Обычный 3 4 2 2 2 5 3 3" xfId="32009"/>
    <cellStyle name="Обычный 3 4 2 2 2 5 3 4" xfId="32010"/>
    <cellStyle name="Обычный 3 4 2 2 2 5 3 5" xfId="32011"/>
    <cellStyle name="Обычный 3 4 2 2 2 5 4" xfId="32012"/>
    <cellStyle name="Обычный 3 4 2 2 2 5 4 2" xfId="32013"/>
    <cellStyle name="Обычный 3 4 2 2 2 5 4 3" xfId="32014"/>
    <cellStyle name="Обычный 3 4 2 2 2 5 4 4" xfId="32015"/>
    <cellStyle name="Обычный 3 4 2 2 2 5 5" xfId="32016"/>
    <cellStyle name="Обычный 3 4 2 2 2 5 6" xfId="32017"/>
    <cellStyle name="Обычный 3 4 2 2 2 5 7" xfId="32018"/>
    <cellStyle name="Обычный 3 4 2 2 2 6" xfId="32019"/>
    <cellStyle name="Обычный 3 4 2 2 2 6 2" xfId="32020"/>
    <cellStyle name="Обычный 3 4 2 2 2 6 2 2" xfId="32021"/>
    <cellStyle name="Обычный 3 4 2 2 2 6 2 3" xfId="32022"/>
    <cellStyle name="Обычный 3 4 2 2 2 6 2 4" xfId="32023"/>
    <cellStyle name="Обычный 3 4 2 2 2 6 3" xfId="32024"/>
    <cellStyle name="Обычный 3 4 2 2 2 6 4" xfId="32025"/>
    <cellStyle name="Обычный 3 4 2 2 2 6 5" xfId="32026"/>
    <cellStyle name="Обычный 3 4 2 2 2 7" xfId="32027"/>
    <cellStyle name="Обычный 3 4 2 2 2 7 2" xfId="32028"/>
    <cellStyle name="Обычный 3 4 2 2 2 7 3" xfId="32029"/>
    <cellStyle name="Обычный 3 4 2 2 2 7 4" xfId="32030"/>
    <cellStyle name="Обычный 3 4 2 2 2 8" xfId="32031"/>
    <cellStyle name="Обычный 3 4 2 2 2 9" xfId="32032"/>
    <cellStyle name="Обычный 3 4 2 2 2____________ KPI 2012-2 ________" xfId="32033"/>
    <cellStyle name="Обычный 3 4 2 2 3" xfId="32034"/>
    <cellStyle name="Обычный 3 4 2 2 3 2" xfId="32035"/>
    <cellStyle name="Обычный 3 4 2 2 3 2 2" xfId="32036"/>
    <cellStyle name="Обычный 3 4 2 2 3 2 3" xfId="32037"/>
    <cellStyle name="Обычный 3 4 2 2 3 2 4" xfId="32038"/>
    <cellStyle name="Обычный 3 4 2 2 3 3" xfId="32039"/>
    <cellStyle name="Обычный 3 4 2 2 3 4" xfId="32040"/>
    <cellStyle name="Обычный 3 4 2 2 3 5" xfId="32041"/>
    <cellStyle name="Обычный 3 4 2 2 4" xfId="32042"/>
    <cellStyle name="Обычный 3 4 2 2 4 2" xfId="32043"/>
    <cellStyle name="Обычный 3 4 2 2 4 3" xfId="32044"/>
    <cellStyle name="Обычный 3 4 2 2 4 4" xfId="32045"/>
    <cellStyle name="Обычный 3 4 2 2 5" xfId="32046"/>
    <cellStyle name="Обычный 3 4 2 2 6" xfId="32047"/>
    <cellStyle name="Обычный 3 4 2 2 7" xfId="32048"/>
    <cellStyle name="Обычный 3 4 2 2____________ KPI 2012-2 ________" xfId="32049"/>
    <cellStyle name="Обычный 3 4 2 3" xfId="32050"/>
    <cellStyle name="Обычный 3 4 2 3 2" xfId="32051"/>
    <cellStyle name="Обычный 3 4 2 3 2 2" xfId="32052"/>
    <cellStyle name="Обычный 3 4 2 3 2 2 2" xfId="32053"/>
    <cellStyle name="Обычный 3 4 2 3 2 2 3" xfId="32054"/>
    <cellStyle name="Обычный 3 4 2 3 2 2 4" xfId="32055"/>
    <cellStyle name="Обычный 3 4 2 3 2 3" xfId="32056"/>
    <cellStyle name="Обычный 3 4 2 3 2 4" xfId="32057"/>
    <cellStyle name="Обычный 3 4 2 3 2 5" xfId="32058"/>
    <cellStyle name="Обычный 3 4 2 3 3" xfId="32059"/>
    <cellStyle name="Обычный 3 4 2 3 3 2" xfId="32060"/>
    <cellStyle name="Обычный 3 4 2 3 3 3" xfId="32061"/>
    <cellStyle name="Обычный 3 4 2 3 3 4" xfId="32062"/>
    <cellStyle name="Обычный 3 4 2 3 4" xfId="32063"/>
    <cellStyle name="Обычный 3 4 2 3 5" xfId="32064"/>
    <cellStyle name="Обычный 3 4 2 3 6" xfId="32065"/>
    <cellStyle name="Обычный 3 4 2 4" xfId="32066"/>
    <cellStyle name="Обычный 3 4 2 4 2" xfId="32067"/>
    <cellStyle name="Обычный 3 4 2 4 2 2" xfId="32068"/>
    <cellStyle name="Обычный 3 4 2 4 2 3" xfId="32069"/>
    <cellStyle name="Обычный 3 4 2 4 2 4" xfId="32070"/>
    <cellStyle name="Обычный 3 4 2 4 3" xfId="32071"/>
    <cellStyle name="Обычный 3 4 2 4 4" xfId="32072"/>
    <cellStyle name="Обычный 3 4 2 4 5" xfId="32073"/>
    <cellStyle name="Обычный 3 4 2 5" xfId="32074"/>
    <cellStyle name="Обычный 3 4 2 5 2" xfId="32075"/>
    <cellStyle name="Обычный 3 4 2 5 3" xfId="32076"/>
    <cellStyle name="Обычный 3 4 2 5 4" xfId="32077"/>
    <cellStyle name="Обычный 3 4 2 6" xfId="32078"/>
    <cellStyle name="Обычный 3 4 2 7" xfId="32079"/>
    <cellStyle name="Обычный 3 4 2 8" xfId="32080"/>
    <cellStyle name="Обычный 3 4 2____________ KPI 2012-2 ________" xfId="32081"/>
    <cellStyle name="Обычный 3 4 3" xfId="32082"/>
    <cellStyle name="Обычный 3 4 3 2" xfId="32083"/>
    <cellStyle name="Обычный 3 4 3 2 2" xfId="32084"/>
    <cellStyle name="Обычный 3 4 3 2 3" xfId="32085"/>
    <cellStyle name="Обычный 3 4 3 2 4" xfId="32086"/>
    <cellStyle name="Обычный 3 4 3 3" xfId="32087"/>
    <cellStyle name="Обычный 3 4 3 4" xfId="32088"/>
    <cellStyle name="Обычный 3 4 3 5" xfId="32089"/>
    <cellStyle name="Обычный 3 4 4" xfId="32090"/>
    <cellStyle name="Обычный 3 4 4 2" xfId="32091"/>
    <cellStyle name="Обычный 3 4 4 3" xfId="32092"/>
    <cellStyle name="Обычный 3 4 4 4" xfId="32093"/>
    <cellStyle name="Обычный 3 4 5" xfId="32094"/>
    <cellStyle name="Обычный 3 4 6" xfId="32095"/>
    <cellStyle name="Обычный 3 4 7" xfId="32096"/>
    <cellStyle name="Обычный 3 4____________ KPI 2012-2 ________" xfId="32097"/>
    <cellStyle name="Обычный 3 5" xfId="32098"/>
    <cellStyle name="Обычный 3 5 2" xfId="32099"/>
    <cellStyle name="Обычный 3 6" xfId="32100"/>
    <cellStyle name="Обычный 3 6 2" xfId="32101"/>
    <cellStyle name="Обычный 3 6 2 2" xfId="32102"/>
    <cellStyle name="Обычный 3 6 2 3" xfId="32103"/>
    <cellStyle name="Обычный 3 6 2 4" xfId="32104"/>
    <cellStyle name="Обычный 3 6 3" xfId="32105"/>
    <cellStyle name="Обычный 3 6 4" xfId="32106"/>
    <cellStyle name="Обычный 3 6 5" xfId="32107"/>
    <cellStyle name="Обычный 3 7" xfId="32108"/>
    <cellStyle name="Обычный 3 7 2" xfId="32109"/>
    <cellStyle name="Обычный 3 7 3" xfId="32110"/>
    <cellStyle name="Обычный 3 7 4" xfId="32111"/>
    <cellStyle name="Обычный 3 8" xfId="32112"/>
    <cellStyle name="Обычный 3 9" xfId="32113"/>
    <cellStyle name="Обычный 3____________ KPI 2012-2 ________" xfId="32114"/>
    <cellStyle name="Обычный 30" xfId="32115"/>
    <cellStyle name="Обычный 30 10" xfId="32116"/>
    <cellStyle name="Обычный 30 10 2" xfId="32117"/>
    <cellStyle name="Обычный 30 10 2 2" xfId="32118"/>
    <cellStyle name="Обычный 30 10 2 2 2" xfId="32119"/>
    <cellStyle name="Обычный 30 10 2 3" xfId="32120"/>
    <cellStyle name="Обычный 30 10 3" xfId="32121"/>
    <cellStyle name="Обычный 30 10 3 2" xfId="32122"/>
    <cellStyle name="Обычный 30 10 3 2 2" xfId="32123"/>
    <cellStyle name="Обычный 30 10 3 3" xfId="32124"/>
    <cellStyle name="Обычный 30 10 4" xfId="32125"/>
    <cellStyle name="Обычный 30 10 4 2" xfId="32126"/>
    <cellStyle name="Обычный 30 10 5" xfId="32127"/>
    <cellStyle name="Обычный 30 11" xfId="32128"/>
    <cellStyle name="Обычный 30 11 2" xfId="32129"/>
    <cellStyle name="Обычный 30 11 2 2" xfId="32130"/>
    <cellStyle name="Обычный 30 11 2 2 2" xfId="32131"/>
    <cellStyle name="Обычный 30 11 2 3" xfId="32132"/>
    <cellStyle name="Обычный 30 11 3" xfId="32133"/>
    <cellStyle name="Обычный 30 11 3 2" xfId="32134"/>
    <cellStyle name="Обычный 30 11 3 2 2" xfId="32135"/>
    <cellStyle name="Обычный 30 11 3 3" xfId="32136"/>
    <cellStyle name="Обычный 30 11 4" xfId="32137"/>
    <cellStyle name="Обычный 30 11 4 2" xfId="32138"/>
    <cellStyle name="Обычный 30 11 5" xfId="32139"/>
    <cellStyle name="Обычный 30 12" xfId="32140"/>
    <cellStyle name="Обычный 30 12 2" xfId="32141"/>
    <cellStyle name="Обычный 30 12 2 2" xfId="32142"/>
    <cellStyle name="Обычный 30 12 2 2 2" xfId="32143"/>
    <cellStyle name="Обычный 30 12 2 3" xfId="32144"/>
    <cellStyle name="Обычный 30 12 3" xfId="32145"/>
    <cellStyle name="Обычный 30 12 3 2" xfId="32146"/>
    <cellStyle name="Обычный 30 12 3 2 2" xfId="32147"/>
    <cellStyle name="Обычный 30 12 3 3" xfId="32148"/>
    <cellStyle name="Обычный 30 12 4" xfId="32149"/>
    <cellStyle name="Обычный 30 12 4 2" xfId="32150"/>
    <cellStyle name="Обычный 30 12 5" xfId="32151"/>
    <cellStyle name="Обычный 30 13" xfId="32152"/>
    <cellStyle name="Обычный 30 13 2" xfId="32153"/>
    <cellStyle name="Обычный 30 13 2 2" xfId="32154"/>
    <cellStyle name="Обычный 30 13 2 2 2" xfId="32155"/>
    <cellStyle name="Обычный 30 13 2 3" xfId="32156"/>
    <cellStyle name="Обычный 30 13 3" xfId="32157"/>
    <cellStyle name="Обычный 30 13 3 2" xfId="32158"/>
    <cellStyle name="Обычный 30 13 3 2 2" xfId="32159"/>
    <cellStyle name="Обычный 30 13 3 3" xfId="32160"/>
    <cellStyle name="Обычный 30 13 4" xfId="32161"/>
    <cellStyle name="Обычный 30 13 4 2" xfId="32162"/>
    <cellStyle name="Обычный 30 13 5" xfId="32163"/>
    <cellStyle name="Обычный 30 14" xfId="32164"/>
    <cellStyle name="Обычный 30 14 2" xfId="32165"/>
    <cellStyle name="Обычный 30 14 2 2" xfId="32166"/>
    <cellStyle name="Обычный 30 14 2 2 2" xfId="32167"/>
    <cellStyle name="Обычный 30 14 2 3" xfId="32168"/>
    <cellStyle name="Обычный 30 14 3" xfId="32169"/>
    <cellStyle name="Обычный 30 14 3 2" xfId="32170"/>
    <cellStyle name="Обычный 30 14 3 2 2" xfId="32171"/>
    <cellStyle name="Обычный 30 14 3 3" xfId="32172"/>
    <cellStyle name="Обычный 30 14 4" xfId="32173"/>
    <cellStyle name="Обычный 30 14 4 2" xfId="32174"/>
    <cellStyle name="Обычный 30 14 5" xfId="32175"/>
    <cellStyle name="Обычный 30 15" xfId="32176"/>
    <cellStyle name="Обычный 30 15 2" xfId="32177"/>
    <cellStyle name="Обычный 30 15 2 2" xfId="32178"/>
    <cellStyle name="Обычный 30 15 2 2 2" xfId="32179"/>
    <cellStyle name="Обычный 30 15 2 3" xfId="32180"/>
    <cellStyle name="Обычный 30 15 3" xfId="32181"/>
    <cellStyle name="Обычный 30 15 3 2" xfId="32182"/>
    <cellStyle name="Обычный 30 15 3 2 2" xfId="32183"/>
    <cellStyle name="Обычный 30 15 3 3" xfId="32184"/>
    <cellStyle name="Обычный 30 15 4" xfId="32185"/>
    <cellStyle name="Обычный 30 15 4 2" xfId="32186"/>
    <cellStyle name="Обычный 30 15 5" xfId="32187"/>
    <cellStyle name="Обычный 30 16" xfId="32188"/>
    <cellStyle name="Обычный 30 16 2" xfId="32189"/>
    <cellStyle name="Обычный 30 16 2 2" xfId="32190"/>
    <cellStyle name="Обычный 30 16 2 2 2" xfId="32191"/>
    <cellStyle name="Обычный 30 16 2 3" xfId="32192"/>
    <cellStyle name="Обычный 30 16 3" xfId="32193"/>
    <cellStyle name="Обычный 30 16 3 2" xfId="32194"/>
    <cellStyle name="Обычный 30 16 3 2 2" xfId="32195"/>
    <cellStyle name="Обычный 30 16 3 3" xfId="32196"/>
    <cellStyle name="Обычный 30 16 4" xfId="32197"/>
    <cellStyle name="Обычный 30 16 4 2" xfId="32198"/>
    <cellStyle name="Обычный 30 16 5" xfId="32199"/>
    <cellStyle name="Обычный 30 17" xfId="32200"/>
    <cellStyle name="Обычный 30 17 2" xfId="32201"/>
    <cellStyle name="Обычный 30 17 2 2" xfId="32202"/>
    <cellStyle name="Обычный 30 17 2 2 2" xfId="32203"/>
    <cellStyle name="Обычный 30 17 2 3" xfId="32204"/>
    <cellStyle name="Обычный 30 17 3" xfId="32205"/>
    <cellStyle name="Обычный 30 17 3 2" xfId="32206"/>
    <cellStyle name="Обычный 30 17 3 2 2" xfId="32207"/>
    <cellStyle name="Обычный 30 17 3 3" xfId="32208"/>
    <cellStyle name="Обычный 30 17 4" xfId="32209"/>
    <cellStyle name="Обычный 30 17 4 2" xfId="32210"/>
    <cellStyle name="Обычный 30 17 5" xfId="32211"/>
    <cellStyle name="Обычный 30 18" xfId="32212"/>
    <cellStyle name="Обычный 30 18 2" xfId="32213"/>
    <cellStyle name="Обычный 30 18 2 2" xfId="32214"/>
    <cellStyle name="Обычный 30 18 2 2 2" xfId="32215"/>
    <cellStyle name="Обычный 30 18 2 3" xfId="32216"/>
    <cellStyle name="Обычный 30 18 3" xfId="32217"/>
    <cellStyle name="Обычный 30 18 3 2" xfId="32218"/>
    <cellStyle name="Обычный 30 18 3 2 2" xfId="32219"/>
    <cellStyle name="Обычный 30 18 3 3" xfId="32220"/>
    <cellStyle name="Обычный 30 18 4" xfId="32221"/>
    <cellStyle name="Обычный 30 18 4 2" xfId="32222"/>
    <cellStyle name="Обычный 30 18 5" xfId="32223"/>
    <cellStyle name="Обычный 30 19" xfId="32224"/>
    <cellStyle name="Обычный 30 19 2" xfId="32225"/>
    <cellStyle name="Обычный 30 19 2 2" xfId="32226"/>
    <cellStyle name="Обычный 30 19 2 2 2" xfId="32227"/>
    <cellStyle name="Обычный 30 19 2 3" xfId="32228"/>
    <cellStyle name="Обычный 30 19 3" xfId="32229"/>
    <cellStyle name="Обычный 30 19 3 2" xfId="32230"/>
    <cellStyle name="Обычный 30 19 3 2 2" xfId="32231"/>
    <cellStyle name="Обычный 30 19 3 3" xfId="32232"/>
    <cellStyle name="Обычный 30 19 4" xfId="32233"/>
    <cellStyle name="Обычный 30 19 4 2" xfId="32234"/>
    <cellStyle name="Обычный 30 19 5" xfId="32235"/>
    <cellStyle name="Обычный 30 2" xfId="32236"/>
    <cellStyle name="Обычный 30 2 2" xfId="32237"/>
    <cellStyle name="Обычный 30 2 2 2" xfId="32238"/>
    <cellStyle name="Обычный 30 2 2 2 2" xfId="32239"/>
    <cellStyle name="Обычный 30 2 2 2 2 2" xfId="32240"/>
    <cellStyle name="Обычный 30 2 2 2 2 2 2" xfId="32241"/>
    <cellStyle name="Обычный 30 2 2 2 2 3" xfId="32242"/>
    <cellStyle name="Обычный 30 2 2 2 3" xfId="32243"/>
    <cellStyle name="Обычный 30 2 2 2 3 2" xfId="32244"/>
    <cellStyle name="Обычный 30 2 2 2 3 2 2" xfId="32245"/>
    <cellStyle name="Обычный 30 2 2 2 3 3" xfId="32246"/>
    <cellStyle name="Обычный 30 2 2 2 4" xfId="32247"/>
    <cellStyle name="Обычный 30 2 2 2 4 2" xfId="32248"/>
    <cellStyle name="Обычный 30 2 2 2 5" xfId="32249"/>
    <cellStyle name="Обычный 30 2 2 2 5 2" xfId="32250"/>
    <cellStyle name="Обычный 30 2 2 2 6" xfId="32251"/>
    <cellStyle name="Обычный 30 2 2 3" xfId="32252"/>
    <cellStyle name="Обычный 30 2 2 3 2" xfId="32253"/>
    <cellStyle name="Обычный 30 2 2 3 2 2" xfId="32254"/>
    <cellStyle name="Обычный 30 2 2 3 2 2 2" xfId="32255"/>
    <cellStyle name="Обычный 30 2 2 3 2 3" xfId="32256"/>
    <cellStyle name="Обычный 30 2 2 3 3" xfId="32257"/>
    <cellStyle name="Обычный 30 2 2 3 3 2" xfId="32258"/>
    <cellStyle name="Обычный 30 2 2 3 3 2 2" xfId="32259"/>
    <cellStyle name="Обычный 30 2 2 3 3 3" xfId="32260"/>
    <cellStyle name="Обычный 30 2 2 3 4" xfId="32261"/>
    <cellStyle name="Обычный 30 2 2 3 4 2" xfId="32262"/>
    <cellStyle name="Обычный 30 2 2 3 5" xfId="32263"/>
    <cellStyle name="Обычный 30 2 2 3 5 2" xfId="32264"/>
    <cellStyle name="Обычный 30 2 2 3 6" xfId="32265"/>
    <cellStyle name="Обычный 30 2 2 4" xfId="32266"/>
    <cellStyle name="Обычный 30 2 2 4 2" xfId="32267"/>
    <cellStyle name="Обычный 30 2 2 4 2 2" xfId="32268"/>
    <cellStyle name="Обычный 30 2 2 4 3" xfId="32269"/>
    <cellStyle name="Обычный 30 2 2 5" xfId="32270"/>
    <cellStyle name="Обычный 30 2 2 5 2" xfId="32271"/>
    <cellStyle name="Обычный 30 2 2 5 2 2" xfId="32272"/>
    <cellStyle name="Обычный 30 2 2 5 3" xfId="32273"/>
    <cellStyle name="Обычный 30 2 2 6" xfId="32274"/>
    <cellStyle name="Обычный 30 2 2 6 2" xfId="32275"/>
    <cellStyle name="Обычный 30 2 2 7" xfId="32276"/>
    <cellStyle name="Обычный 30 2 2 7 2" xfId="32277"/>
    <cellStyle name="Обычный 30 2 2 8" xfId="32278"/>
    <cellStyle name="Обычный 30 2 3" xfId="32279"/>
    <cellStyle name="Обычный 30 2 3 2" xfId="32280"/>
    <cellStyle name="Обычный 30 2 3 2 2" xfId="32281"/>
    <cellStyle name="Обычный 30 2 3 2 2 2" xfId="32282"/>
    <cellStyle name="Обычный 30 2 3 2 3" xfId="32283"/>
    <cellStyle name="Обычный 30 2 3 2 3 2" xfId="32284"/>
    <cellStyle name="Обычный 30 2 3 2 4" xfId="32285"/>
    <cellStyle name="Обычный 30 2 3 3" xfId="32286"/>
    <cellStyle name="Обычный 30 2 3 3 2" xfId="32287"/>
    <cellStyle name="Обычный 30 2 3 3 2 2" xfId="32288"/>
    <cellStyle name="Обычный 30 2 3 3 3" xfId="32289"/>
    <cellStyle name="Обычный 30 2 3 4" xfId="32290"/>
    <cellStyle name="Обычный 30 2 3 4 2" xfId="32291"/>
    <cellStyle name="Обычный 30 2 3 5" xfId="32292"/>
    <cellStyle name="Обычный 30 2 3 5 2" xfId="32293"/>
    <cellStyle name="Обычный 30 2 3 6" xfId="32294"/>
    <cellStyle name="Обычный 30 2 4" xfId="32295"/>
    <cellStyle name="Обычный 30 2 4 2" xfId="32296"/>
    <cellStyle name="Обычный 30 2 4 2 2" xfId="32297"/>
    <cellStyle name="Обычный 30 2 4 2 2 2" xfId="32298"/>
    <cellStyle name="Обычный 30 2 4 2 3" xfId="32299"/>
    <cellStyle name="Обычный 30 2 4 3" xfId="32300"/>
    <cellStyle name="Обычный 30 2 4 3 2" xfId="32301"/>
    <cellStyle name="Обычный 30 2 4 3 2 2" xfId="32302"/>
    <cellStyle name="Обычный 30 2 4 3 3" xfId="32303"/>
    <cellStyle name="Обычный 30 2 4 4" xfId="32304"/>
    <cellStyle name="Обычный 30 2 4 4 2" xfId="32305"/>
    <cellStyle name="Обычный 30 2 4 5" xfId="32306"/>
    <cellStyle name="Обычный 30 2 4 5 2" xfId="32307"/>
    <cellStyle name="Обычный 30 2 4 6" xfId="32308"/>
    <cellStyle name="Обычный 30 2 5" xfId="32309"/>
    <cellStyle name="Обычный 30 2 5 2" xfId="32310"/>
    <cellStyle name="Обычный 30 2 5 2 2" xfId="32311"/>
    <cellStyle name="Обычный 30 2 5 3" xfId="32312"/>
    <cellStyle name="Обычный 30 2 6" xfId="32313"/>
    <cellStyle name="Обычный 30 2 6 2" xfId="32314"/>
    <cellStyle name="Обычный 30 2 6 2 2" xfId="32315"/>
    <cellStyle name="Обычный 30 2 6 3" xfId="32316"/>
    <cellStyle name="Обычный 30 2 7" xfId="32317"/>
    <cellStyle name="Обычный 30 2 7 2" xfId="32318"/>
    <cellStyle name="Обычный 30 2 8" xfId="32319"/>
    <cellStyle name="Обычный 30 2 8 2" xfId="32320"/>
    <cellStyle name="Обычный 30 2 9" xfId="32321"/>
    <cellStyle name="Обычный 30 20" xfId="32322"/>
    <cellStyle name="Обычный 30 20 2" xfId="32323"/>
    <cellStyle name="Обычный 30 20 2 2" xfId="32324"/>
    <cellStyle name="Обычный 30 20 2 2 2" xfId="32325"/>
    <cellStyle name="Обычный 30 20 2 3" xfId="32326"/>
    <cellStyle name="Обычный 30 20 3" xfId="32327"/>
    <cellStyle name="Обычный 30 20 3 2" xfId="32328"/>
    <cellStyle name="Обычный 30 20 3 2 2" xfId="32329"/>
    <cellStyle name="Обычный 30 20 3 3" xfId="32330"/>
    <cellStyle name="Обычный 30 20 4" xfId="32331"/>
    <cellStyle name="Обычный 30 20 4 2" xfId="32332"/>
    <cellStyle name="Обычный 30 20 5" xfId="32333"/>
    <cellStyle name="Обычный 30 21" xfId="32334"/>
    <cellStyle name="Обычный 30 21 2" xfId="32335"/>
    <cellStyle name="Обычный 30 21 2 2" xfId="32336"/>
    <cellStyle name="Обычный 30 21 2 2 2" xfId="32337"/>
    <cellStyle name="Обычный 30 21 2 3" xfId="32338"/>
    <cellStyle name="Обычный 30 21 3" xfId="32339"/>
    <cellStyle name="Обычный 30 21 3 2" xfId="32340"/>
    <cellStyle name="Обычный 30 21 3 2 2" xfId="32341"/>
    <cellStyle name="Обычный 30 21 3 3" xfId="32342"/>
    <cellStyle name="Обычный 30 21 4" xfId="32343"/>
    <cellStyle name="Обычный 30 21 4 2" xfId="32344"/>
    <cellStyle name="Обычный 30 21 5" xfId="32345"/>
    <cellStyle name="Обычный 30 22" xfId="32346"/>
    <cellStyle name="Обычный 30 22 2" xfId="32347"/>
    <cellStyle name="Обычный 30 22 2 2" xfId="32348"/>
    <cellStyle name="Обычный 30 22 2 2 2" xfId="32349"/>
    <cellStyle name="Обычный 30 22 2 3" xfId="32350"/>
    <cellStyle name="Обычный 30 22 3" xfId="32351"/>
    <cellStyle name="Обычный 30 22 3 2" xfId="32352"/>
    <cellStyle name="Обычный 30 22 3 2 2" xfId="32353"/>
    <cellStyle name="Обычный 30 22 3 3" xfId="32354"/>
    <cellStyle name="Обычный 30 22 4" xfId="32355"/>
    <cellStyle name="Обычный 30 22 4 2" xfId="32356"/>
    <cellStyle name="Обычный 30 22 5" xfId="32357"/>
    <cellStyle name="Обычный 30 23" xfId="32358"/>
    <cellStyle name="Обычный 30 23 2" xfId="32359"/>
    <cellStyle name="Обычный 30 23 2 2" xfId="32360"/>
    <cellStyle name="Обычный 30 23 2 2 2" xfId="32361"/>
    <cellStyle name="Обычный 30 23 2 3" xfId="32362"/>
    <cellStyle name="Обычный 30 23 3" xfId="32363"/>
    <cellStyle name="Обычный 30 23 3 2" xfId="32364"/>
    <cellStyle name="Обычный 30 23 3 2 2" xfId="32365"/>
    <cellStyle name="Обычный 30 23 3 3" xfId="32366"/>
    <cellStyle name="Обычный 30 23 4" xfId="32367"/>
    <cellStyle name="Обычный 30 23 4 2" xfId="32368"/>
    <cellStyle name="Обычный 30 23 5" xfId="32369"/>
    <cellStyle name="Обычный 30 24" xfId="32370"/>
    <cellStyle name="Обычный 30 24 2" xfId="32371"/>
    <cellStyle name="Обычный 30 24 2 2" xfId="32372"/>
    <cellStyle name="Обычный 30 24 2 2 2" xfId="32373"/>
    <cellStyle name="Обычный 30 24 2 3" xfId="32374"/>
    <cellStyle name="Обычный 30 24 3" xfId="32375"/>
    <cellStyle name="Обычный 30 24 3 2" xfId="32376"/>
    <cellStyle name="Обычный 30 24 3 2 2" xfId="32377"/>
    <cellStyle name="Обычный 30 24 3 3" xfId="32378"/>
    <cellStyle name="Обычный 30 24 4" xfId="32379"/>
    <cellStyle name="Обычный 30 24 4 2" xfId="32380"/>
    <cellStyle name="Обычный 30 24 5" xfId="32381"/>
    <cellStyle name="Обычный 30 25" xfId="32382"/>
    <cellStyle name="Обычный 30 25 2" xfId="32383"/>
    <cellStyle name="Обычный 30 25 2 2" xfId="32384"/>
    <cellStyle name="Обычный 30 25 2 2 2" xfId="32385"/>
    <cellStyle name="Обычный 30 25 2 3" xfId="32386"/>
    <cellStyle name="Обычный 30 25 3" xfId="32387"/>
    <cellStyle name="Обычный 30 25 3 2" xfId="32388"/>
    <cellStyle name="Обычный 30 25 3 2 2" xfId="32389"/>
    <cellStyle name="Обычный 30 25 3 3" xfId="32390"/>
    <cellStyle name="Обычный 30 25 4" xfId="32391"/>
    <cellStyle name="Обычный 30 25 4 2" xfId="32392"/>
    <cellStyle name="Обычный 30 25 5" xfId="32393"/>
    <cellStyle name="Обычный 30 26" xfId="32394"/>
    <cellStyle name="Обычный 30 26 2" xfId="32395"/>
    <cellStyle name="Обычный 30 26 2 2" xfId="32396"/>
    <cellStyle name="Обычный 30 26 2 2 2" xfId="32397"/>
    <cellStyle name="Обычный 30 26 2 3" xfId="32398"/>
    <cellStyle name="Обычный 30 26 3" xfId="32399"/>
    <cellStyle name="Обычный 30 26 3 2" xfId="32400"/>
    <cellStyle name="Обычный 30 26 3 2 2" xfId="32401"/>
    <cellStyle name="Обычный 30 26 3 3" xfId="32402"/>
    <cellStyle name="Обычный 30 26 4" xfId="32403"/>
    <cellStyle name="Обычный 30 26 4 2" xfId="32404"/>
    <cellStyle name="Обычный 30 26 5" xfId="32405"/>
    <cellStyle name="Обычный 30 27" xfId="32406"/>
    <cellStyle name="Обычный 30 27 2" xfId="32407"/>
    <cellStyle name="Обычный 30 27 2 2" xfId="32408"/>
    <cellStyle name="Обычный 30 27 2 2 2" xfId="32409"/>
    <cellStyle name="Обычный 30 27 2 3" xfId="32410"/>
    <cellStyle name="Обычный 30 27 3" xfId="32411"/>
    <cellStyle name="Обычный 30 27 3 2" xfId="32412"/>
    <cellStyle name="Обычный 30 27 3 2 2" xfId="32413"/>
    <cellStyle name="Обычный 30 27 3 3" xfId="32414"/>
    <cellStyle name="Обычный 30 27 4" xfId="32415"/>
    <cellStyle name="Обычный 30 27 4 2" xfId="32416"/>
    <cellStyle name="Обычный 30 27 5" xfId="32417"/>
    <cellStyle name="Обычный 30 28" xfId="32418"/>
    <cellStyle name="Обычный 30 28 2" xfId="32419"/>
    <cellStyle name="Обычный 30 28 2 2" xfId="32420"/>
    <cellStyle name="Обычный 30 28 2 2 2" xfId="32421"/>
    <cellStyle name="Обычный 30 28 2 3" xfId="32422"/>
    <cellStyle name="Обычный 30 28 3" xfId="32423"/>
    <cellStyle name="Обычный 30 28 3 2" xfId="32424"/>
    <cellStyle name="Обычный 30 28 3 2 2" xfId="32425"/>
    <cellStyle name="Обычный 30 28 3 3" xfId="32426"/>
    <cellStyle name="Обычный 30 28 4" xfId="32427"/>
    <cellStyle name="Обычный 30 28 4 2" xfId="32428"/>
    <cellStyle name="Обычный 30 28 5" xfId="32429"/>
    <cellStyle name="Обычный 30 29" xfId="32430"/>
    <cellStyle name="Обычный 30 29 2" xfId="32431"/>
    <cellStyle name="Обычный 30 29 2 2" xfId="32432"/>
    <cellStyle name="Обычный 30 29 2 2 2" xfId="32433"/>
    <cellStyle name="Обычный 30 29 2 3" xfId="32434"/>
    <cellStyle name="Обычный 30 29 3" xfId="32435"/>
    <cellStyle name="Обычный 30 29 3 2" xfId="32436"/>
    <cellStyle name="Обычный 30 29 3 2 2" xfId="32437"/>
    <cellStyle name="Обычный 30 29 3 3" xfId="32438"/>
    <cellStyle name="Обычный 30 29 4" xfId="32439"/>
    <cellStyle name="Обычный 30 29 4 2" xfId="32440"/>
    <cellStyle name="Обычный 30 29 5" xfId="32441"/>
    <cellStyle name="Обычный 30 3" xfId="32442"/>
    <cellStyle name="Обычный 30 3 2" xfId="32443"/>
    <cellStyle name="Обычный 30 3 2 2" xfId="32444"/>
    <cellStyle name="Обычный 30 3 2 2 2" xfId="32445"/>
    <cellStyle name="Обычный 30 3 2 2 2 2" xfId="32446"/>
    <cellStyle name="Обычный 30 3 2 2 3" xfId="32447"/>
    <cellStyle name="Обычный 30 3 2 2 3 2" xfId="32448"/>
    <cellStyle name="Обычный 30 3 2 2 4" xfId="32449"/>
    <cellStyle name="Обычный 30 3 2 3" xfId="32450"/>
    <cellStyle name="Обычный 30 3 2 3 2" xfId="32451"/>
    <cellStyle name="Обычный 30 3 2 3 2 2" xfId="32452"/>
    <cellStyle name="Обычный 30 3 2 3 3" xfId="32453"/>
    <cellStyle name="Обычный 30 3 2 4" xfId="32454"/>
    <cellStyle name="Обычный 30 3 2 4 2" xfId="32455"/>
    <cellStyle name="Обычный 30 3 2 5" xfId="32456"/>
    <cellStyle name="Обычный 30 3 2 5 2" xfId="32457"/>
    <cellStyle name="Обычный 30 3 2 6" xfId="32458"/>
    <cellStyle name="Обычный 30 3 3" xfId="32459"/>
    <cellStyle name="Обычный 30 3 3 2" xfId="32460"/>
    <cellStyle name="Обычный 30 3 3 2 2" xfId="32461"/>
    <cellStyle name="Обычный 30 3 3 2 2 2" xfId="32462"/>
    <cellStyle name="Обычный 30 3 3 2 3" xfId="32463"/>
    <cellStyle name="Обычный 30 3 3 3" xfId="32464"/>
    <cellStyle name="Обычный 30 3 3 3 2" xfId="32465"/>
    <cellStyle name="Обычный 30 3 3 3 2 2" xfId="32466"/>
    <cellStyle name="Обычный 30 3 3 3 3" xfId="32467"/>
    <cellStyle name="Обычный 30 3 3 4" xfId="32468"/>
    <cellStyle name="Обычный 30 3 3 4 2" xfId="32469"/>
    <cellStyle name="Обычный 30 3 3 5" xfId="32470"/>
    <cellStyle name="Обычный 30 3 3 5 2" xfId="32471"/>
    <cellStyle name="Обычный 30 3 3 6" xfId="32472"/>
    <cellStyle name="Обычный 30 3 4" xfId="32473"/>
    <cellStyle name="Обычный 30 3 4 2" xfId="32474"/>
    <cellStyle name="Обычный 30 3 4 2 2" xfId="32475"/>
    <cellStyle name="Обычный 30 3 4 3" xfId="32476"/>
    <cellStyle name="Обычный 30 3 4 3 2" xfId="32477"/>
    <cellStyle name="Обычный 30 3 4 4" xfId="32478"/>
    <cellStyle name="Обычный 30 3 5" xfId="32479"/>
    <cellStyle name="Обычный 30 3 5 2" xfId="32480"/>
    <cellStyle name="Обычный 30 3 5 2 2" xfId="32481"/>
    <cellStyle name="Обычный 30 3 5 3" xfId="32482"/>
    <cellStyle name="Обычный 30 3 6" xfId="32483"/>
    <cellStyle name="Обычный 30 3 6 2" xfId="32484"/>
    <cellStyle name="Обычный 30 3 7" xfId="32485"/>
    <cellStyle name="Обычный 30 3 7 2" xfId="32486"/>
    <cellStyle name="Обычный 30 3 8" xfId="32487"/>
    <cellStyle name="Обычный 30 30" xfId="32488"/>
    <cellStyle name="Обычный 30 30 2" xfId="32489"/>
    <cellStyle name="Обычный 30 30 2 2" xfId="32490"/>
    <cellStyle name="Обычный 30 30 2 2 2" xfId="32491"/>
    <cellStyle name="Обычный 30 30 2 3" xfId="32492"/>
    <cellStyle name="Обычный 30 30 3" xfId="32493"/>
    <cellStyle name="Обычный 30 30 3 2" xfId="32494"/>
    <cellStyle name="Обычный 30 30 3 2 2" xfId="32495"/>
    <cellStyle name="Обычный 30 30 3 3" xfId="32496"/>
    <cellStyle name="Обычный 30 30 4" xfId="32497"/>
    <cellStyle name="Обычный 30 30 4 2" xfId="32498"/>
    <cellStyle name="Обычный 30 30 5" xfId="32499"/>
    <cellStyle name="Обычный 30 31" xfId="32500"/>
    <cellStyle name="Обычный 30 31 2" xfId="32501"/>
    <cellStyle name="Обычный 30 31 2 2" xfId="32502"/>
    <cellStyle name="Обычный 30 31 2 2 2" xfId="32503"/>
    <cellStyle name="Обычный 30 31 2 3" xfId="32504"/>
    <cellStyle name="Обычный 30 31 3" xfId="32505"/>
    <cellStyle name="Обычный 30 31 3 2" xfId="32506"/>
    <cellStyle name="Обычный 30 31 3 2 2" xfId="32507"/>
    <cellStyle name="Обычный 30 31 3 3" xfId="32508"/>
    <cellStyle name="Обычный 30 31 4" xfId="32509"/>
    <cellStyle name="Обычный 30 31 4 2" xfId="32510"/>
    <cellStyle name="Обычный 30 31 5" xfId="32511"/>
    <cellStyle name="Обычный 30 32" xfId="32512"/>
    <cellStyle name="Обычный 30 32 2" xfId="32513"/>
    <cellStyle name="Обычный 30 32 2 2" xfId="32514"/>
    <cellStyle name="Обычный 30 32 2 2 2" xfId="32515"/>
    <cellStyle name="Обычный 30 32 2 3" xfId="32516"/>
    <cellStyle name="Обычный 30 32 3" xfId="32517"/>
    <cellStyle name="Обычный 30 32 3 2" xfId="32518"/>
    <cellStyle name="Обычный 30 32 3 2 2" xfId="32519"/>
    <cellStyle name="Обычный 30 32 3 3" xfId="32520"/>
    <cellStyle name="Обычный 30 32 4" xfId="32521"/>
    <cellStyle name="Обычный 30 32 4 2" xfId="32522"/>
    <cellStyle name="Обычный 30 32 5" xfId="32523"/>
    <cellStyle name="Обычный 30 33" xfId="32524"/>
    <cellStyle name="Обычный 30 33 2" xfId="32525"/>
    <cellStyle name="Обычный 30 33 2 2" xfId="32526"/>
    <cellStyle name="Обычный 30 33 2 2 2" xfId="32527"/>
    <cellStyle name="Обычный 30 33 2 3" xfId="32528"/>
    <cellStyle name="Обычный 30 33 3" xfId="32529"/>
    <cellStyle name="Обычный 30 33 3 2" xfId="32530"/>
    <cellStyle name="Обычный 30 33 3 2 2" xfId="32531"/>
    <cellStyle name="Обычный 30 33 3 3" xfId="32532"/>
    <cellStyle name="Обычный 30 33 4" xfId="32533"/>
    <cellStyle name="Обычный 30 33 4 2" xfId="32534"/>
    <cellStyle name="Обычный 30 33 5" xfId="32535"/>
    <cellStyle name="Обычный 30 34" xfId="32536"/>
    <cellStyle name="Обычный 30 34 2" xfId="32537"/>
    <cellStyle name="Обычный 30 34 2 2" xfId="32538"/>
    <cellStyle name="Обычный 30 34 2 2 2" xfId="32539"/>
    <cellStyle name="Обычный 30 34 2 3" xfId="32540"/>
    <cellStyle name="Обычный 30 34 3" xfId="32541"/>
    <cellStyle name="Обычный 30 34 3 2" xfId="32542"/>
    <cellStyle name="Обычный 30 34 3 2 2" xfId="32543"/>
    <cellStyle name="Обычный 30 34 3 3" xfId="32544"/>
    <cellStyle name="Обычный 30 34 4" xfId="32545"/>
    <cellStyle name="Обычный 30 34 4 2" xfId="32546"/>
    <cellStyle name="Обычный 30 34 5" xfId="32547"/>
    <cellStyle name="Обычный 30 35" xfId="32548"/>
    <cellStyle name="Обычный 30 35 2" xfId="32549"/>
    <cellStyle name="Обычный 30 35 2 2" xfId="32550"/>
    <cellStyle name="Обычный 30 35 2 2 2" xfId="32551"/>
    <cellStyle name="Обычный 30 35 2 3" xfId="32552"/>
    <cellStyle name="Обычный 30 35 3" xfId="32553"/>
    <cellStyle name="Обычный 30 35 3 2" xfId="32554"/>
    <cellStyle name="Обычный 30 35 3 2 2" xfId="32555"/>
    <cellStyle name="Обычный 30 35 3 3" xfId="32556"/>
    <cellStyle name="Обычный 30 35 4" xfId="32557"/>
    <cellStyle name="Обычный 30 35 4 2" xfId="32558"/>
    <cellStyle name="Обычный 30 35 5" xfId="32559"/>
    <cellStyle name="Обычный 30 36" xfId="32560"/>
    <cellStyle name="Обычный 30 36 2" xfId="32561"/>
    <cellStyle name="Обычный 30 36 2 2" xfId="32562"/>
    <cellStyle name="Обычный 30 36 2 2 2" xfId="32563"/>
    <cellStyle name="Обычный 30 36 2 3" xfId="32564"/>
    <cellStyle name="Обычный 30 36 3" xfId="32565"/>
    <cellStyle name="Обычный 30 36 3 2" xfId="32566"/>
    <cellStyle name="Обычный 30 36 3 2 2" xfId="32567"/>
    <cellStyle name="Обычный 30 36 3 3" xfId="32568"/>
    <cellStyle name="Обычный 30 36 4" xfId="32569"/>
    <cellStyle name="Обычный 30 36 4 2" xfId="32570"/>
    <cellStyle name="Обычный 30 36 5" xfId="32571"/>
    <cellStyle name="Обычный 30 37" xfId="32572"/>
    <cellStyle name="Обычный 30 37 2" xfId="32573"/>
    <cellStyle name="Обычный 30 37 2 2" xfId="32574"/>
    <cellStyle name="Обычный 30 37 2 2 2" xfId="32575"/>
    <cellStyle name="Обычный 30 37 2 3" xfId="32576"/>
    <cellStyle name="Обычный 30 37 3" xfId="32577"/>
    <cellStyle name="Обычный 30 37 3 2" xfId="32578"/>
    <cellStyle name="Обычный 30 37 3 2 2" xfId="32579"/>
    <cellStyle name="Обычный 30 37 3 3" xfId="32580"/>
    <cellStyle name="Обычный 30 37 4" xfId="32581"/>
    <cellStyle name="Обычный 30 37 4 2" xfId="32582"/>
    <cellStyle name="Обычный 30 37 5" xfId="32583"/>
    <cellStyle name="Обычный 30 38" xfId="32584"/>
    <cellStyle name="Обычный 30 38 2" xfId="32585"/>
    <cellStyle name="Обычный 30 38 2 2" xfId="32586"/>
    <cellStyle name="Обычный 30 38 2 2 2" xfId="32587"/>
    <cellStyle name="Обычный 30 38 2 3" xfId="32588"/>
    <cellStyle name="Обычный 30 38 3" xfId="32589"/>
    <cellStyle name="Обычный 30 38 3 2" xfId="32590"/>
    <cellStyle name="Обычный 30 38 3 2 2" xfId="32591"/>
    <cellStyle name="Обычный 30 38 3 3" xfId="32592"/>
    <cellStyle name="Обычный 30 38 4" xfId="32593"/>
    <cellStyle name="Обычный 30 38 4 2" xfId="32594"/>
    <cellStyle name="Обычный 30 38 5" xfId="32595"/>
    <cellStyle name="Обычный 30 39" xfId="32596"/>
    <cellStyle name="Обычный 30 39 2" xfId="32597"/>
    <cellStyle name="Обычный 30 39 2 2" xfId="32598"/>
    <cellStyle name="Обычный 30 39 2 2 2" xfId="32599"/>
    <cellStyle name="Обычный 30 39 2 3" xfId="32600"/>
    <cellStyle name="Обычный 30 39 3" xfId="32601"/>
    <cellStyle name="Обычный 30 39 3 2" xfId="32602"/>
    <cellStyle name="Обычный 30 39 3 2 2" xfId="32603"/>
    <cellStyle name="Обычный 30 39 3 3" xfId="32604"/>
    <cellStyle name="Обычный 30 39 4" xfId="32605"/>
    <cellStyle name="Обычный 30 39 4 2" xfId="32606"/>
    <cellStyle name="Обычный 30 39 5" xfId="32607"/>
    <cellStyle name="Обычный 30 4" xfId="32608"/>
    <cellStyle name="Обычный 30 4 2" xfId="32609"/>
    <cellStyle name="Обычный 30 4 2 2" xfId="32610"/>
    <cellStyle name="Обычный 30 4 2 2 2" xfId="32611"/>
    <cellStyle name="Обычный 30 4 2 2 2 2" xfId="32612"/>
    <cellStyle name="Обычный 30 4 2 2 3" xfId="32613"/>
    <cellStyle name="Обычный 30 4 2 3" xfId="32614"/>
    <cellStyle name="Обычный 30 4 2 3 2" xfId="32615"/>
    <cellStyle name="Обычный 30 4 2 3 2 2" xfId="32616"/>
    <cellStyle name="Обычный 30 4 2 3 3" xfId="32617"/>
    <cellStyle name="Обычный 30 4 2 4" xfId="32618"/>
    <cellStyle name="Обычный 30 4 2 4 2" xfId="32619"/>
    <cellStyle name="Обычный 30 4 2 5" xfId="32620"/>
    <cellStyle name="Обычный 30 4 2 5 2" xfId="32621"/>
    <cellStyle name="Обычный 30 4 2 6" xfId="32622"/>
    <cellStyle name="Обычный 30 4 3" xfId="32623"/>
    <cellStyle name="Обычный 30 4 3 2" xfId="32624"/>
    <cellStyle name="Обычный 30 4 3 2 2" xfId="32625"/>
    <cellStyle name="Обычный 30 4 3 2 2 2" xfId="32626"/>
    <cellStyle name="Обычный 30 4 3 2 3" xfId="32627"/>
    <cellStyle name="Обычный 30 4 3 3" xfId="32628"/>
    <cellStyle name="Обычный 30 4 3 3 2" xfId="32629"/>
    <cellStyle name="Обычный 30 4 3 3 2 2" xfId="32630"/>
    <cellStyle name="Обычный 30 4 3 3 3" xfId="32631"/>
    <cellStyle name="Обычный 30 4 3 4" xfId="32632"/>
    <cellStyle name="Обычный 30 4 3 4 2" xfId="32633"/>
    <cellStyle name="Обычный 30 4 3 5" xfId="32634"/>
    <cellStyle name="Обычный 30 4 4" xfId="32635"/>
    <cellStyle name="Обычный 30 4 4 2" xfId="32636"/>
    <cellStyle name="Обычный 30 4 4 2 2" xfId="32637"/>
    <cellStyle name="Обычный 30 4 4 3" xfId="32638"/>
    <cellStyle name="Обычный 30 4 5" xfId="32639"/>
    <cellStyle name="Обычный 30 4 5 2" xfId="32640"/>
    <cellStyle name="Обычный 30 4 5 2 2" xfId="32641"/>
    <cellStyle name="Обычный 30 4 5 3" xfId="32642"/>
    <cellStyle name="Обычный 30 4 6" xfId="32643"/>
    <cellStyle name="Обычный 30 4 6 2" xfId="32644"/>
    <cellStyle name="Обычный 30 4 7" xfId="32645"/>
    <cellStyle name="Обычный 30 4 7 2" xfId="32646"/>
    <cellStyle name="Обычный 30 4 8" xfId="32647"/>
    <cellStyle name="Обычный 30 40" xfId="32648"/>
    <cellStyle name="Обычный 30 40 2" xfId="32649"/>
    <cellStyle name="Обычный 30 40 2 2" xfId="32650"/>
    <cellStyle name="Обычный 30 40 2 2 2" xfId="32651"/>
    <cellStyle name="Обычный 30 40 2 3" xfId="32652"/>
    <cellStyle name="Обычный 30 40 3" xfId="32653"/>
    <cellStyle name="Обычный 30 40 3 2" xfId="32654"/>
    <cellStyle name="Обычный 30 40 3 2 2" xfId="32655"/>
    <cellStyle name="Обычный 30 40 3 3" xfId="32656"/>
    <cellStyle name="Обычный 30 40 4" xfId="32657"/>
    <cellStyle name="Обычный 30 40 4 2" xfId="32658"/>
    <cellStyle name="Обычный 30 40 5" xfId="32659"/>
    <cellStyle name="Обычный 30 41" xfId="32660"/>
    <cellStyle name="Обычный 30 41 2" xfId="32661"/>
    <cellStyle name="Обычный 30 41 2 2" xfId="32662"/>
    <cellStyle name="Обычный 30 41 2 2 2" xfId="32663"/>
    <cellStyle name="Обычный 30 41 2 3" xfId="32664"/>
    <cellStyle name="Обычный 30 41 3" xfId="32665"/>
    <cellStyle name="Обычный 30 41 3 2" xfId="32666"/>
    <cellStyle name="Обычный 30 41 3 2 2" xfId="32667"/>
    <cellStyle name="Обычный 30 41 3 3" xfId="32668"/>
    <cellStyle name="Обычный 30 41 4" xfId="32669"/>
    <cellStyle name="Обычный 30 41 4 2" xfId="32670"/>
    <cellStyle name="Обычный 30 41 5" xfId="32671"/>
    <cellStyle name="Обычный 30 42" xfId="32672"/>
    <cellStyle name="Обычный 30 42 2" xfId="32673"/>
    <cellStyle name="Обычный 30 42 2 2" xfId="32674"/>
    <cellStyle name="Обычный 30 42 2 2 2" xfId="32675"/>
    <cellStyle name="Обычный 30 42 2 3" xfId="32676"/>
    <cellStyle name="Обычный 30 42 3" xfId="32677"/>
    <cellStyle name="Обычный 30 42 3 2" xfId="32678"/>
    <cellStyle name="Обычный 30 42 3 2 2" xfId="32679"/>
    <cellStyle name="Обычный 30 42 3 3" xfId="32680"/>
    <cellStyle name="Обычный 30 42 4" xfId="32681"/>
    <cellStyle name="Обычный 30 42 4 2" xfId="32682"/>
    <cellStyle name="Обычный 30 42 5" xfId="32683"/>
    <cellStyle name="Обычный 30 43" xfId="32684"/>
    <cellStyle name="Обычный 30 43 2" xfId="32685"/>
    <cellStyle name="Обычный 30 43 2 2" xfId="32686"/>
    <cellStyle name="Обычный 30 43 2 2 2" xfId="32687"/>
    <cellStyle name="Обычный 30 43 2 3" xfId="32688"/>
    <cellStyle name="Обычный 30 43 3" xfId="32689"/>
    <cellStyle name="Обычный 30 43 3 2" xfId="32690"/>
    <cellStyle name="Обычный 30 43 3 2 2" xfId="32691"/>
    <cellStyle name="Обычный 30 43 3 3" xfId="32692"/>
    <cellStyle name="Обычный 30 43 4" xfId="32693"/>
    <cellStyle name="Обычный 30 43 4 2" xfId="32694"/>
    <cellStyle name="Обычный 30 43 5" xfId="32695"/>
    <cellStyle name="Обычный 30 44" xfId="32696"/>
    <cellStyle name="Обычный 30 44 2" xfId="32697"/>
    <cellStyle name="Обычный 30 44 2 2" xfId="32698"/>
    <cellStyle name="Обычный 30 44 2 2 2" xfId="32699"/>
    <cellStyle name="Обычный 30 44 2 3" xfId="32700"/>
    <cellStyle name="Обычный 30 44 3" xfId="32701"/>
    <cellStyle name="Обычный 30 44 3 2" xfId="32702"/>
    <cellStyle name="Обычный 30 44 3 2 2" xfId="32703"/>
    <cellStyle name="Обычный 30 44 3 3" xfId="32704"/>
    <cellStyle name="Обычный 30 44 4" xfId="32705"/>
    <cellStyle name="Обычный 30 44 4 2" xfId="32706"/>
    <cellStyle name="Обычный 30 44 5" xfId="32707"/>
    <cellStyle name="Обычный 30 45" xfId="32708"/>
    <cellStyle name="Обычный 30 45 2" xfId="32709"/>
    <cellStyle name="Обычный 30 45 2 2" xfId="32710"/>
    <cellStyle name="Обычный 30 45 2 2 2" xfId="32711"/>
    <cellStyle name="Обычный 30 45 2 3" xfId="32712"/>
    <cellStyle name="Обычный 30 45 3" xfId="32713"/>
    <cellStyle name="Обычный 30 45 3 2" xfId="32714"/>
    <cellStyle name="Обычный 30 45 3 2 2" xfId="32715"/>
    <cellStyle name="Обычный 30 45 3 3" xfId="32716"/>
    <cellStyle name="Обычный 30 45 4" xfId="32717"/>
    <cellStyle name="Обычный 30 45 4 2" xfId="32718"/>
    <cellStyle name="Обычный 30 45 5" xfId="32719"/>
    <cellStyle name="Обычный 30 46" xfId="32720"/>
    <cellStyle name="Обычный 30 46 2" xfId="32721"/>
    <cellStyle name="Обычный 30 46 2 2" xfId="32722"/>
    <cellStyle name="Обычный 30 46 2 2 2" xfId="32723"/>
    <cellStyle name="Обычный 30 46 2 3" xfId="32724"/>
    <cellStyle name="Обычный 30 46 3" xfId="32725"/>
    <cellStyle name="Обычный 30 46 3 2" xfId="32726"/>
    <cellStyle name="Обычный 30 46 3 2 2" xfId="32727"/>
    <cellStyle name="Обычный 30 46 3 3" xfId="32728"/>
    <cellStyle name="Обычный 30 46 4" xfId="32729"/>
    <cellStyle name="Обычный 30 46 4 2" xfId="32730"/>
    <cellStyle name="Обычный 30 46 5" xfId="32731"/>
    <cellStyle name="Обычный 30 47" xfId="32732"/>
    <cellStyle name="Обычный 30 47 2" xfId="32733"/>
    <cellStyle name="Обычный 30 47 2 2" xfId="32734"/>
    <cellStyle name="Обычный 30 47 2 2 2" xfId="32735"/>
    <cellStyle name="Обычный 30 47 2 3" xfId="32736"/>
    <cellStyle name="Обычный 30 47 3" xfId="32737"/>
    <cellStyle name="Обычный 30 47 3 2" xfId="32738"/>
    <cellStyle name="Обычный 30 47 3 2 2" xfId="32739"/>
    <cellStyle name="Обычный 30 47 3 3" xfId="32740"/>
    <cellStyle name="Обычный 30 47 4" xfId="32741"/>
    <cellStyle name="Обычный 30 47 4 2" xfId="32742"/>
    <cellStyle name="Обычный 30 47 5" xfId="32743"/>
    <cellStyle name="Обычный 30 48" xfId="32744"/>
    <cellStyle name="Обычный 30 48 2" xfId="32745"/>
    <cellStyle name="Обычный 30 48 2 2" xfId="32746"/>
    <cellStyle name="Обычный 30 48 2 2 2" xfId="32747"/>
    <cellStyle name="Обычный 30 48 2 3" xfId="32748"/>
    <cellStyle name="Обычный 30 48 3" xfId="32749"/>
    <cellStyle name="Обычный 30 48 3 2" xfId="32750"/>
    <cellStyle name="Обычный 30 48 3 2 2" xfId="32751"/>
    <cellStyle name="Обычный 30 48 3 3" xfId="32752"/>
    <cellStyle name="Обычный 30 48 4" xfId="32753"/>
    <cellStyle name="Обычный 30 48 4 2" xfId="32754"/>
    <cellStyle name="Обычный 30 48 5" xfId="32755"/>
    <cellStyle name="Обычный 30 49" xfId="32756"/>
    <cellStyle name="Обычный 30 49 2" xfId="32757"/>
    <cellStyle name="Обычный 30 49 2 2" xfId="32758"/>
    <cellStyle name="Обычный 30 49 2 2 2" xfId="32759"/>
    <cellStyle name="Обычный 30 49 2 3" xfId="32760"/>
    <cellStyle name="Обычный 30 49 3" xfId="32761"/>
    <cellStyle name="Обычный 30 49 3 2" xfId="32762"/>
    <cellStyle name="Обычный 30 49 3 2 2" xfId="32763"/>
    <cellStyle name="Обычный 30 49 3 3" xfId="32764"/>
    <cellStyle name="Обычный 30 49 4" xfId="32765"/>
    <cellStyle name="Обычный 30 49 4 2" xfId="32766"/>
    <cellStyle name="Обычный 30 49 5" xfId="32767"/>
    <cellStyle name="Обычный 30 5" xfId="32768"/>
    <cellStyle name="Обычный 30 5 2" xfId="32769"/>
    <cellStyle name="Обычный 30 5 2 2" xfId="32770"/>
    <cellStyle name="Обычный 30 5 2 2 2" xfId="32771"/>
    <cellStyle name="Обычный 30 5 2 3" xfId="32772"/>
    <cellStyle name="Обычный 30 5 3" xfId="32773"/>
    <cellStyle name="Обычный 30 5 3 2" xfId="32774"/>
    <cellStyle name="Обычный 30 5 3 2 2" xfId="32775"/>
    <cellStyle name="Обычный 30 5 3 3" xfId="32776"/>
    <cellStyle name="Обычный 30 5 4" xfId="32777"/>
    <cellStyle name="Обычный 30 5 4 2" xfId="32778"/>
    <cellStyle name="Обычный 30 5 5" xfId="32779"/>
    <cellStyle name="Обычный 30 5 5 2" xfId="32780"/>
    <cellStyle name="Обычный 30 5 6" xfId="32781"/>
    <cellStyle name="Обычный 30 50" xfId="32782"/>
    <cellStyle name="Обычный 30 50 2" xfId="32783"/>
    <cellStyle name="Обычный 30 50 2 2" xfId="32784"/>
    <cellStyle name="Обычный 30 50 2 2 2" xfId="32785"/>
    <cellStyle name="Обычный 30 50 2 3" xfId="32786"/>
    <cellStyle name="Обычный 30 50 3" xfId="32787"/>
    <cellStyle name="Обычный 30 50 3 2" xfId="32788"/>
    <cellStyle name="Обычный 30 50 3 2 2" xfId="32789"/>
    <cellStyle name="Обычный 30 50 3 3" xfId="32790"/>
    <cellStyle name="Обычный 30 50 4" xfId="32791"/>
    <cellStyle name="Обычный 30 50 4 2" xfId="32792"/>
    <cellStyle name="Обычный 30 50 5" xfId="32793"/>
    <cellStyle name="Обычный 30 51" xfId="32794"/>
    <cellStyle name="Обычный 30 51 2" xfId="32795"/>
    <cellStyle name="Обычный 30 51 2 2" xfId="32796"/>
    <cellStyle name="Обычный 30 51 2 2 2" xfId="32797"/>
    <cellStyle name="Обычный 30 51 2 3" xfId="32798"/>
    <cellStyle name="Обычный 30 51 3" xfId="32799"/>
    <cellStyle name="Обычный 30 51 3 2" xfId="32800"/>
    <cellStyle name="Обычный 30 51 3 2 2" xfId="32801"/>
    <cellStyle name="Обычный 30 51 3 3" xfId="32802"/>
    <cellStyle name="Обычный 30 51 4" xfId="32803"/>
    <cellStyle name="Обычный 30 51 4 2" xfId="32804"/>
    <cellStyle name="Обычный 30 51 5" xfId="32805"/>
    <cellStyle name="Обычный 30 52" xfId="32806"/>
    <cellStyle name="Обычный 30 52 2" xfId="32807"/>
    <cellStyle name="Обычный 30 52 2 2" xfId="32808"/>
    <cellStyle name="Обычный 30 52 2 2 2" xfId="32809"/>
    <cellStyle name="Обычный 30 52 2 3" xfId="32810"/>
    <cellStyle name="Обычный 30 52 3" xfId="32811"/>
    <cellStyle name="Обычный 30 52 3 2" xfId="32812"/>
    <cellStyle name="Обычный 30 52 3 2 2" xfId="32813"/>
    <cellStyle name="Обычный 30 52 3 3" xfId="32814"/>
    <cellStyle name="Обычный 30 52 4" xfId="32815"/>
    <cellStyle name="Обычный 30 52 4 2" xfId="32816"/>
    <cellStyle name="Обычный 30 52 5" xfId="32817"/>
    <cellStyle name="Обычный 30 53" xfId="32818"/>
    <cellStyle name="Обычный 30 53 2" xfId="32819"/>
    <cellStyle name="Обычный 30 53 2 2" xfId="32820"/>
    <cellStyle name="Обычный 30 53 2 2 2" xfId="32821"/>
    <cellStyle name="Обычный 30 53 2 3" xfId="32822"/>
    <cellStyle name="Обычный 30 53 3" xfId="32823"/>
    <cellStyle name="Обычный 30 53 3 2" xfId="32824"/>
    <cellStyle name="Обычный 30 53 3 2 2" xfId="32825"/>
    <cellStyle name="Обычный 30 53 3 3" xfId="32826"/>
    <cellStyle name="Обычный 30 53 4" xfId="32827"/>
    <cellStyle name="Обычный 30 53 4 2" xfId="32828"/>
    <cellStyle name="Обычный 30 53 5" xfId="32829"/>
    <cellStyle name="Обычный 30 54" xfId="32830"/>
    <cellStyle name="Обычный 30 54 2" xfId="32831"/>
    <cellStyle name="Обычный 30 54 2 2" xfId="32832"/>
    <cellStyle name="Обычный 30 54 2 2 2" xfId="32833"/>
    <cellStyle name="Обычный 30 54 2 3" xfId="32834"/>
    <cellStyle name="Обычный 30 54 3" xfId="32835"/>
    <cellStyle name="Обычный 30 54 3 2" xfId="32836"/>
    <cellStyle name="Обычный 30 54 3 2 2" xfId="32837"/>
    <cellStyle name="Обычный 30 54 3 3" xfId="32838"/>
    <cellStyle name="Обычный 30 54 4" xfId="32839"/>
    <cellStyle name="Обычный 30 54 4 2" xfId="32840"/>
    <cellStyle name="Обычный 30 54 5" xfId="32841"/>
    <cellStyle name="Обычный 30 55" xfId="32842"/>
    <cellStyle name="Обычный 30 55 2" xfId="32843"/>
    <cellStyle name="Обычный 30 55 2 2" xfId="32844"/>
    <cellStyle name="Обычный 30 55 2 2 2" xfId="32845"/>
    <cellStyle name="Обычный 30 55 2 3" xfId="32846"/>
    <cellStyle name="Обычный 30 55 3" xfId="32847"/>
    <cellStyle name="Обычный 30 55 3 2" xfId="32848"/>
    <cellStyle name="Обычный 30 55 3 2 2" xfId="32849"/>
    <cellStyle name="Обычный 30 55 3 3" xfId="32850"/>
    <cellStyle name="Обычный 30 55 4" xfId="32851"/>
    <cellStyle name="Обычный 30 55 4 2" xfId="32852"/>
    <cellStyle name="Обычный 30 55 5" xfId="32853"/>
    <cellStyle name="Обычный 30 56" xfId="32854"/>
    <cellStyle name="Обычный 30 56 2" xfId="32855"/>
    <cellStyle name="Обычный 30 56 2 2" xfId="32856"/>
    <cellStyle name="Обычный 30 56 2 2 2" xfId="32857"/>
    <cellStyle name="Обычный 30 56 2 3" xfId="32858"/>
    <cellStyle name="Обычный 30 56 3" xfId="32859"/>
    <cellStyle name="Обычный 30 56 3 2" xfId="32860"/>
    <cellStyle name="Обычный 30 56 3 2 2" xfId="32861"/>
    <cellStyle name="Обычный 30 56 3 3" xfId="32862"/>
    <cellStyle name="Обычный 30 56 4" xfId="32863"/>
    <cellStyle name="Обычный 30 56 4 2" xfId="32864"/>
    <cellStyle name="Обычный 30 56 5" xfId="32865"/>
    <cellStyle name="Обычный 30 57" xfId="32866"/>
    <cellStyle name="Обычный 30 57 2" xfId="32867"/>
    <cellStyle name="Обычный 30 57 2 2" xfId="32868"/>
    <cellStyle name="Обычный 30 57 2 2 2" xfId="32869"/>
    <cellStyle name="Обычный 30 57 2 3" xfId="32870"/>
    <cellStyle name="Обычный 30 57 3" xfId="32871"/>
    <cellStyle name="Обычный 30 57 3 2" xfId="32872"/>
    <cellStyle name="Обычный 30 57 3 2 2" xfId="32873"/>
    <cellStyle name="Обычный 30 57 3 3" xfId="32874"/>
    <cellStyle name="Обычный 30 57 4" xfId="32875"/>
    <cellStyle name="Обычный 30 57 4 2" xfId="32876"/>
    <cellStyle name="Обычный 30 57 5" xfId="32877"/>
    <cellStyle name="Обычный 30 58" xfId="32878"/>
    <cellStyle name="Обычный 30 58 2" xfId="32879"/>
    <cellStyle name="Обычный 30 58 2 2" xfId="32880"/>
    <cellStyle name="Обычный 30 58 2 2 2" xfId="32881"/>
    <cellStyle name="Обычный 30 58 2 3" xfId="32882"/>
    <cellStyle name="Обычный 30 58 3" xfId="32883"/>
    <cellStyle name="Обычный 30 58 3 2" xfId="32884"/>
    <cellStyle name="Обычный 30 58 3 2 2" xfId="32885"/>
    <cellStyle name="Обычный 30 58 3 3" xfId="32886"/>
    <cellStyle name="Обычный 30 58 4" xfId="32887"/>
    <cellStyle name="Обычный 30 58 4 2" xfId="32888"/>
    <cellStyle name="Обычный 30 58 5" xfId="32889"/>
    <cellStyle name="Обычный 30 59" xfId="32890"/>
    <cellStyle name="Обычный 30 59 2" xfId="32891"/>
    <cellStyle name="Обычный 30 59 2 2" xfId="32892"/>
    <cellStyle name="Обычный 30 59 2 2 2" xfId="32893"/>
    <cellStyle name="Обычный 30 59 2 3" xfId="32894"/>
    <cellStyle name="Обычный 30 59 3" xfId="32895"/>
    <cellStyle name="Обычный 30 59 3 2" xfId="32896"/>
    <cellStyle name="Обычный 30 59 3 2 2" xfId="32897"/>
    <cellStyle name="Обычный 30 59 3 3" xfId="32898"/>
    <cellStyle name="Обычный 30 59 4" xfId="32899"/>
    <cellStyle name="Обычный 30 59 4 2" xfId="32900"/>
    <cellStyle name="Обычный 30 59 5" xfId="32901"/>
    <cellStyle name="Обычный 30 6" xfId="32902"/>
    <cellStyle name="Обычный 30 6 2" xfId="32903"/>
    <cellStyle name="Обычный 30 6 2 2" xfId="32904"/>
    <cellStyle name="Обычный 30 6 2 2 2" xfId="32905"/>
    <cellStyle name="Обычный 30 6 2 3" xfId="32906"/>
    <cellStyle name="Обычный 30 6 3" xfId="32907"/>
    <cellStyle name="Обычный 30 6 3 2" xfId="32908"/>
    <cellStyle name="Обычный 30 6 3 2 2" xfId="32909"/>
    <cellStyle name="Обычный 30 6 3 3" xfId="32910"/>
    <cellStyle name="Обычный 30 6 4" xfId="32911"/>
    <cellStyle name="Обычный 30 6 4 2" xfId="32912"/>
    <cellStyle name="Обычный 30 6 5" xfId="32913"/>
    <cellStyle name="Обычный 30 6 5 2" xfId="32914"/>
    <cellStyle name="Обычный 30 6 6" xfId="32915"/>
    <cellStyle name="Обычный 30 60" xfId="32916"/>
    <cellStyle name="Обычный 30 60 2" xfId="32917"/>
    <cellStyle name="Обычный 30 60 2 2" xfId="32918"/>
    <cellStyle name="Обычный 30 60 2 2 2" xfId="32919"/>
    <cellStyle name="Обычный 30 60 2 3" xfId="32920"/>
    <cellStyle name="Обычный 30 60 3" xfId="32921"/>
    <cellStyle name="Обычный 30 60 3 2" xfId="32922"/>
    <cellStyle name="Обычный 30 60 3 2 2" xfId="32923"/>
    <cellStyle name="Обычный 30 60 3 3" xfId="32924"/>
    <cellStyle name="Обычный 30 60 4" xfId="32925"/>
    <cellStyle name="Обычный 30 60 4 2" xfId="32926"/>
    <cellStyle name="Обычный 30 60 5" xfId="32927"/>
    <cellStyle name="Обычный 30 61" xfId="32928"/>
    <cellStyle name="Обычный 30 61 2" xfId="32929"/>
    <cellStyle name="Обычный 30 61 2 2" xfId="32930"/>
    <cellStyle name="Обычный 30 61 2 2 2" xfId="32931"/>
    <cellStyle name="Обычный 30 61 2 3" xfId="32932"/>
    <cellStyle name="Обычный 30 61 3" xfId="32933"/>
    <cellStyle name="Обычный 30 61 3 2" xfId="32934"/>
    <cellStyle name="Обычный 30 61 3 2 2" xfId="32935"/>
    <cellStyle name="Обычный 30 61 3 3" xfId="32936"/>
    <cellStyle name="Обычный 30 61 4" xfId="32937"/>
    <cellStyle name="Обычный 30 61 4 2" xfId="32938"/>
    <cellStyle name="Обычный 30 61 5" xfId="32939"/>
    <cellStyle name="Обычный 30 62" xfId="32940"/>
    <cellStyle name="Обычный 30 62 2" xfId="32941"/>
    <cellStyle name="Обычный 30 62 2 2" xfId="32942"/>
    <cellStyle name="Обычный 30 62 2 2 2" xfId="32943"/>
    <cellStyle name="Обычный 30 62 2 3" xfId="32944"/>
    <cellStyle name="Обычный 30 62 3" xfId="32945"/>
    <cellStyle name="Обычный 30 62 3 2" xfId="32946"/>
    <cellStyle name="Обычный 30 62 3 2 2" xfId="32947"/>
    <cellStyle name="Обычный 30 62 3 3" xfId="32948"/>
    <cellStyle name="Обычный 30 62 4" xfId="32949"/>
    <cellStyle name="Обычный 30 62 4 2" xfId="32950"/>
    <cellStyle name="Обычный 30 62 5" xfId="32951"/>
    <cellStyle name="Обычный 30 63" xfId="32952"/>
    <cellStyle name="Обычный 30 63 2" xfId="32953"/>
    <cellStyle name="Обычный 30 63 2 2" xfId="32954"/>
    <cellStyle name="Обычный 30 63 2 2 2" xfId="32955"/>
    <cellStyle name="Обычный 30 63 2 3" xfId="32956"/>
    <cellStyle name="Обычный 30 63 3" xfId="32957"/>
    <cellStyle name="Обычный 30 63 3 2" xfId="32958"/>
    <cellStyle name="Обычный 30 63 3 2 2" xfId="32959"/>
    <cellStyle name="Обычный 30 63 3 3" xfId="32960"/>
    <cellStyle name="Обычный 30 63 4" xfId="32961"/>
    <cellStyle name="Обычный 30 63 4 2" xfId="32962"/>
    <cellStyle name="Обычный 30 63 5" xfId="32963"/>
    <cellStyle name="Обычный 30 64" xfId="32964"/>
    <cellStyle name="Обычный 30 64 2" xfId="32965"/>
    <cellStyle name="Обычный 30 64 2 2" xfId="32966"/>
    <cellStyle name="Обычный 30 64 2 2 2" xfId="32967"/>
    <cellStyle name="Обычный 30 64 2 3" xfId="32968"/>
    <cellStyle name="Обычный 30 64 3" xfId="32969"/>
    <cellStyle name="Обычный 30 64 3 2" xfId="32970"/>
    <cellStyle name="Обычный 30 64 3 2 2" xfId="32971"/>
    <cellStyle name="Обычный 30 64 3 3" xfId="32972"/>
    <cellStyle name="Обычный 30 64 4" xfId="32973"/>
    <cellStyle name="Обычный 30 64 4 2" xfId="32974"/>
    <cellStyle name="Обычный 30 64 5" xfId="32975"/>
    <cellStyle name="Обычный 30 65" xfId="32976"/>
    <cellStyle name="Обычный 30 65 2" xfId="32977"/>
    <cellStyle name="Обычный 30 65 2 2" xfId="32978"/>
    <cellStyle name="Обычный 30 65 2 2 2" xfId="32979"/>
    <cellStyle name="Обычный 30 65 2 3" xfId="32980"/>
    <cellStyle name="Обычный 30 65 3" xfId="32981"/>
    <cellStyle name="Обычный 30 65 3 2" xfId="32982"/>
    <cellStyle name="Обычный 30 65 3 2 2" xfId="32983"/>
    <cellStyle name="Обычный 30 65 3 3" xfId="32984"/>
    <cellStyle name="Обычный 30 65 4" xfId="32985"/>
    <cellStyle name="Обычный 30 65 4 2" xfId="32986"/>
    <cellStyle name="Обычный 30 65 5" xfId="32987"/>
    <cellStyle name="Обычный 30 66" xfId="32988"/>
    <cellStyle name="Обычный 30 66 2" xfId="32989"/>
    <cellStyle name="Обычный 30 66 2 2" xfId="32990"/>
    <cellStyle name="Обычный 30 66 2 2 2" xfId="32991"/>
    <cellStyle name="Обычный 30 66 2 3" xfId="32992"/>
    <cellStyle name="Обычный 30 66 3" xfId="32993"/>
    <cellStyle name="Обычный 30 66 3 2" xfId="32994"/>
    <cellStyle name="Обычный 30 66 3 2 2" xfId="32995"/>
    <cellStyle name="Обычный 30 66 3 3" xfId="32996"/>
    <cellStyle name="Обычный 30 66 4" xfId="32997"/>
    <cellStyle name="Обычный 30 66 4 2" xfId="32998"/>
    <cellStyle name="Обычный 30 66 5" xfId="32999"/>
    <cellStyle name="Обычный 30 67" xfId="33000"/>
    <cellStyle name="Обычный 30 67 2" xfId="33001"/>
    <cellStyle name="Обычный 30 67 2 2" xfId="33002"/>
    <cellStyle name="Обычный 30 67 2 2 2" xfId="33003"/>
    <cellStyle name="Обычный 30 67 2 3" xfId="33004"/>
    <cellStyle name="Обычный 30 67 3" xfId="33005"/>
    <cellStyle name="Обычный 30 67 3 2" xfId="33006"/>
    <cellStyle name="Обычный 30 67 3 2 2" xfId="33007"/>
    <cellStyle name="Обычный 30 67 3 3" xfId="33008"/>
    <cellStyle name="Обычный 30 67 4" xfId="33009"/>
    <cellStyle name="Обычный 30 67 4 2" xfId="33010"/>
    <cellStyle name="Обычный 30 67 5" xfId="33011"/>
    <cellStyle name="Обычный 30 68" xfId="33012"/>
    <cellStyle name="Обычный 30 68 2" xfId="33013"/>
    <cellStyle name="Обычный 30 68 2 2" xfId="33014"/>
    <cellStyle name="Обычный 30 68 2 2 2" xfId="33015"/>
    <cellStyle name="Обычный 30 68 2 3" xfId="33016"/>
    <cellStyle name="Обычный 30 68 3" xfId="33017"/>
    <cellStyle name="Обычный 30 68 3 2" xfId="33018"/>
    <cellStyle name="Обычный 30 68 3 2 2" xfId="33019"/>
    <cellStyle name="Обычный 30 68 3 3" xfId="33020"/>
    <cellStyle name="Обычный 30 68 4" xfId="33021"/>
    <cellStyle name="Обычный 30 68 4 2" xfId="33022"/>
    <cellStyle name="Обычный 30 68 5" xfId="33023"/>
    <cellStyle name="Обычный 30 69" xfId="33024"/>
    <cellStyle name="Обычный 30 69 2" xfId="33025"/>
    <cellStyle name="Обычный 30 69 2 2" xfId="33026"/>
    <cellStyle name="Обычный 30 69 2 2 2" xfId="33027"/>
    <cellStyle name="Обычный 30 69 2 3" xfId="33028"/>
    <cellStyle name="Обычный 30 69 3" xfId="33029"/>
    <cellStyle name="Обычный 30 69 3 2" xfId="33030"/>
    <cellStyle name="Обычный 30 69 3 2 2" xfId="33031"/>
    <cellStyle name="Обычный 30 69 3 3" xfId="33032"/>
    <cellStyle name="Обычный 30 69 4" xfId="33033"/>
    <cellStyle name="Обычный 30 69 4 2" xfId="33034"/>
    <cellStyle name="Обычный 30 69 5" xfId="33035"/>
    <cellStyle name="Обычный 30 7" xfId="33036"/>
    <cellStyle name="Обычный 30 7 2" xfId="33037"/>
    <cellStyle name="Обычный 30 7 2 2" xfId="33038"/>
    <cellStyle name="Обычный 30 7 2 2 2" xfId="33039"/>
    <cellStyle name="Обычный 30 7 2 3" xfId="33040"/>
    <cellStyle name="Обычный 30 7 3" xfId="33041"/>
    <cellStyle name="Обычный 30 7 3 2" xfId="33042"/>
    <cellStyle name="Обычный 30 7 3 2 2" xfId="33043"/>
    <cellStyle name="Обычный 30 7 3 3" xfId="33044"/>
    <cellStyle name="Обычный 30 7 4" xfId="33045"/>
    <cellStyle name="Обычный 30 7 4 2" xfId="33046"/>
    <cellStyle name="Обычный 30 7 5" xfId="33047"/>
    <cellStyle name="Обычный 30 70" xfId="33048"/>
    <cellStyle name="Обычный 30 70 2" xfId="33049"/>
    <cellStyle name="Обычный 30 70 2 2" xfId="33050"/>
    <cellStyle name="Обычный 30 70 2 2 2" xfId="33051"/>
    <cellStyle name="Обычный 30 70 2 3" xfId="33052"/>
    <cellStyle name="Обычный 30 70 3" xfId="33053"/>
    <cellStyle name="Обычный 30 70 3 2" xfId="33054"/>
    <cellStyle name="Обычный 30 70 3 2 2" xfId="33055"/>
    <cellStyle name="Обычный 30 70 3 3" xfId="33056"/>
    <cellStyle name="Обычный 30 70 4" xfId="33057"/>
    <cellStyle name="Обычный 30 70 4 2" xfId="33058"/>
    <cellStyle name="Обычный 30 70 5" xfId="33059"/>
    <cellStyle name="Обычный 30 71" xfId="33060"/>
    <cellStyle name="Обычный 30 71 2" xfId="33061"/>
    <cellStyle name="Обычный 30 71 2 2" xfId="33062"/>
    <cellStyle name="Обычный 30 71 2 2 2" xfId="33063"/>
    <cellStyle name="Обычный 30 71 2 3" xfId="33064"/>
    <cellStyle name="Обычный 30 71 3" xfId="33065"/>
    <cellStyle name="Обычный 30 71 3 2" xfId="33066"/>
    <cellStyle name="Обычный 30 71 3 2 2" xfId="33067"/>
    <cellStyle name="Обычный 30 71 3 3" xfId="33068"/>
    <cellStyle name="Обычный 30 71 4" xfId="33069"/>
    <cellStyle name="Обычный 30 71 4 2" xfId="33070"/>
    <cellStyle name="Обычный 30 71 5" xfId="33071"/>
    <cellStyle name="Обычный 30 72" xfId="33072"/>
    <cellStyle name="Обычный 30 72 2" xfId="33073"/>
    <cellStyle name="Обычный 30 72 2 2" xfId="33074"/>
    <cellStyle name="Обычный 30 72 2 2 2" xfId="33075"/>
    <cellStyle name="Обычный 30 72 2 3" xfId="33076"/>
    <cellStyle name="Обычный 30 72 3" xfId="33077"/>
    <cellStyle name="Обычный 30 72 3 2" xfId="33078"/>
    <cellStyle name="Обычный 30 72 3 2 2" xfId="33079"/>
    <cellStyle name="Обычный 30 72 3 3" xfId="33080"/>
    <cellStyle name="Обычный 30 72 4" xfId="33081"/>
    <cellStyle name="Обычный 30 72 4 2" xfId="33082"/>
    <cellStyle name="Обычный 30 72 5" xfId="33083"/>
    <cellStyle name="Обычный 30 73" xfId="33084"/>
    <cellStyle name="Обычный 30 73 2" xfId="33085"/>
    <cellStyle name="Обычный 30 73 2 2" xfId="33086"/>
    <cellStyle name="Обычный 30 73 2 2 2" xfId="33087"/>
    <cellStyle name="Обычный 30 73 2 3" xfId="33088"/>
    <cellStyle name="Обычный 30 73 3" xfId="33089"/>
    <cellStyle name="Обычный 30 73 3 2" xfId="33090"/>
    <cellStyle name="Обычный 30 73 3 2 2" xfId="33091"/>
    <cellStyle name="Обычный 30 73 3 3" xfId="33092"/>
    <cellStyle name="Обычный 30 73 4" xfId="33093"/>
    <cellStyle name="Обычный 30 73 4 2" xfId="33094"/>
    <cellStyle name="Обычный 30 73 5" xfId="33095"/>
    <cellStyle name="Обычный 30 74" xfId="33096"/>
    <cellStyle name="Обычный 30 74 2" xfId="33097"/>
    <cellStyle name="Обычный 30 74 2 2" xfId="33098"/>
    <cellStyle name="Обычный 30 74 2 2 2" xfId="33099"/>
    <cellStyle name="Обычный 30 74 2 3" xfId="33100"/>
    <cellStyle name="Обычный 30 74 3" xfId="33101"/>
    <cellStyle name="Обычный 30 74 3 2" xfId="33102"/>
    <cellStyle name="Обычный 30 74 3 2 2" xfId="33103"/>
    <cellStyle name="Обычный 30 74 3 3" xfId="33104"/>
    <cellStyle name="Обычный 30 74 4" xfId="33105"/>
    <cellStyle name="Обычный 30 74 4 2" xfId="33106"/>
    <cellStyle name="Обычный 30 74 5" xfId="33107"/>
    <cellStyle name="Обычный 30 75" xfId="33108"/>
    <cellStyle name="Обычный 30 75 2" xfId="33109"/>
    <cellStyle name="Обычный 30 75 2 2" xfId="33110"/>
    <cellStyle name="Обычный 30 75 2 2 2" xfId="33111"/>
    <cellStyle name="Обычный 30 75 2 3" xfId="33112"/>
    <cellStyle name="Обычный 30 75 3" xfId="33113"/>
    <cellStyle name="Обычный 30 75 3 2" xfId="33114"/>
    <cellStyle name="Обычный 30 75 3 2 2" xfId="33115"/>
    <cellStyle name="Обычный 30 75 3 3" xfId="33116"/>
    <cellStyle name="Обычный 30 75 4" xfId="33117"/>
    <cellStyle name="Обычный 30 75 4 2" xfId="33118"/>
    <cellStyle name="Обычный 30 75 5" xfId="33119"/>
    <cellStyle name="Обычный 30 76" xfId="33120"/>
    <cellStyle name="Обычный 30 76 2" xfId="33121"/>
    <cellStyle name="Обычный 30 76 2 2" xfId="33122"/>
    <cellStyle name="Обычный 30 76 2 2 2" xfId="33123"/>
    <cellStyle name="Обычный 30 76 2 3" xfId="33124"/>
    <cellStyle name="Обычный 30 76 3" xfId="33125"/>
    <cellStyle name="Обычный 30 76 3 2" xfId="33126"/>
    <cellStyle name="Обычный 30 76 3 2 2" xfId="33127"/>
    <cellStyle name="Обычный 30 76 3 3" xfId="33128"/>
    <cellStyle name="Обычный 30 76 4" xfId="33129"/>
    <cellStyle name="Обычный 30 76 4 2" xfId="33130"/>
    <cellStyle name="Обычный 30 76 5" xfId="33131"/>
    <cellStyle name="Обычный 30 77" xfId="33132"/>
    <cellStyle name="Обычный 30 77 2" xfId="33133"/>
    <cellStyle name="Обычный 30 77 2 2" xfId="33134"/>
    <cellStyle name="Обычный 30 77 2 2 2" xfId="33135"/>
    <cellStyle name="Обычный 30 77 2 3" xfId="33136"/>
    <cellStyle name="Обычный 30 77 3" xfId="33137"/>
    <cellStyle name="Обычный 30 77 3 2" xfId="33138"/>
    <cellStyle name="Обычный 30 77 3 2 2" xfId="33139"/>
    <cellStyle name="Обычный 30 77 3 3" xfId="33140"/>
    <cellStyle name="Обычный 30 77 4" xfId="33141"/>
    <cellStyle name="Обычный 30 77 4 2" xfId="33142"/>
    <cellStyle name="Обычный 30 77 5" xfId="33143"/>
    <cellStyle name="Обычный 30 78" xfId="33144"/>
    <cellStyle name="Обычный 30 78 2" xfId="33145"/>
    <cellStyle name="Обычный 30 78 2 2" xfId="33146"/>
    <cellStyle name="Обычный 30 78 2 2 2" xfId="33147"/>
    <cellStyle name="Обычный 30 78 2 3" xfId="33148"/>
    <cellStyle name="Обычный 30 78 3" xfId="33149"/>
    <cellStyle name="Обычный 30 78 3 2" xfId="33150"/>
    <cellStyle name="Обычный 30 78 3 2 2" xfId="33151"/>
    <cellStyle name="Обычный 30 78 3 3" xfId="33152"/>
    <cellStyle name="Обычный 30 78 4" xfId="33153"/>
    <cellStyle name="Обычный 30 78 4 2" xfId="33154"/>
    <cellStyle name="Обычный 30 78 5" xfId="33155"/>
    <cellStyle name="Обычный 30 8" xfId="33156"/>
    <cellStyle name="Обычный 30 8 2" xfId="33157"/>
    <cellStyle name="Обычный 30 8 2 2" xfId="33158"/>
    <cellStyle name="Обычный 30 8 2 2 2" xfId="33159"/>
    <cellStyle name="Обычный 30 8 2 3" xfId="33160"/>
    <cellStyle name="Обычный 30 8 3" xfId="33161"/>
    <cellStyle name="Обычный 30 8 3 2" xfId="33162"/>
    <cellStyle name="Обычный 30 8 3 2 2" xfId="33163"/>
    <cellStyle name="Обычный 30 8 3 3" xfId="33164"/>
    <cellStyle name="Обычный 30 8 4" xfId="33165"/>
    <cellStyle name="Обычный 30 8 4 2" xfId="33166"/>
    <cellStyle name="Обычный 30 8 5" xfId="33167"/>
    <cellStyle name="Обычный 30 9" xfId="33168"/>
    <cellStyle name="Обычный 30 9 2" xfId="33169"/>
    <cellStyle name="Обычный 30 9 2 2" xfId="33170"/>
    <cellStyle name="Обычный 30 9 2 2 2" xfId="33171"/>
    <cellStyle name="Обычный 30 9 2 3" xfId="33172"/>
    <cellStyle name="Обычный 30 9 3" xfId="33173"/>
    <cellStyle name="Обычный 30 9 3 2" xfId="33174"/>
    <cellStyle name="Обычный 30 9 3 2 2" xfId="33175"/>
    <cellStyle name="Обычный 30 9 3 3" xfId="33176"/>
    <cellStyle name="Обычный 30 9 4" xfId="33177"/>
    <cellStyle name="Обычный 30 9 4 2" xfId="33178"/>
    <cellStyle name="Обычный 30 9 5" xfId="33179"/>
    <cellStyle name="Обычный 31" xfId="33180"/>
    <cellStyle name="Обычный 31 10" xfId="33181"/>
    <cellStyle name="Обычный 31 10 2" xfId="33182"/>
    <cellStyle name="Обычный 31 10 2 2" xfId="33183"/>
    <cellStyle name="Обычный 31 10 2 2 2" xfId="33184"/>
    <cellStyle name="Обычный 31 10 2 2 2 2" xfId="33185"/>
    <cellStyle name="Обычный 31 10 2 2 3" xfId="33186"/>
    <cellStyle name="Обычный 31 10 2 3" xfId="33187"/>
    <cellStyle name="Обычный 31 10 2 3 2" xfId="33188"/>
    <cellStyle name="Обычный 31 10 2 3 2 2" xfId="33189"/>
    <cellStyle name="Обычный 31 10 2 3 3" xfId="33190"/>
    <cellStyle name="Обычный 31 10 2 4" xfId="33191"/>
    <cellStyle name="Обычный 31 10 2 4 2" xfId="33192"/>
    <cellStyle name="Обычный 31 10 2 5" xfId="33193"/>
    <cellStyle name="Обычный 31 10 2 5 2" xfId="33194"/>
    <cellStyle name="Обычный 31 10 2 6" xfId="33195"/>
    <cellStyle name="Обычный 31 10 3" xfId="33196"/>
    <cellStyle name="Обычный 31 10 3 2" xfId="33197"/>
    <cellStyle name="Обычный 31 10 3 2 2" xfId="33198"/>
    <cellStyle name="Обычный 31 10 3 2 2 2" xfId="33199"/>
    <cellStyle name="Обычный 31 10 3 2 3" xfId="33200"/>
    <cellStyle name="Обычный 31 10 3 3" xfId="33201"/>
    <cellStyle name="Обычный 31 10 3 3 2" xfId="33202"/>
    <cellStyle name="Обычный 31 10 3 3 2 2" xfId="33203"/>
    <cellStyle name="Обычный 31 10 3 3 3" xfId="33204"/>
    <cellStyle name="Обычный 31 10 3 4" xfId="33205"/>
    <cellStyle name="Обычный 31 10 3 4 2" xfId="33206"/>
    <cellStyle name="Обычный 31 10 3 5" xfId="33207"/>
    <cellStyle name="Обычный 31 10 3 5 2" xfId="33208"/>
    <cellStyle name="Обычный 31 10 3 6" xfId="33209"/>
    <cellStyle name="Обычный 31 10 4" xfId="33210"/>
    <cellStyle name="Обычный 31 10 4 2" xfId="33211"/>
    <cellStyle name="Обычный 31 10 4 2 2" xfId="33212"/>
    <cellStyle name="Обычный 31 10 4 3" xfId="33213"/>
    <cellStyle name="Обычный 31 10 4 3 2" xfId="33214"/>
    <cellStyle name="Обычный 31 10 4 4" xfId="33215"/>
    <cellStyle name="Обычный 31 10 5" xfId="33216"/>
    <cellStyle name="Обычный 31 10 5 2" xfId="33217"/>
    <cellStyle name="Обычный 31 10 5 2 2" xfId="33218"/>
    <cellStyle name="Обычный 31 10 6" xfId="33219"/>
    <cellStyle name="Обычный 31 10 6 2" xfId="33220"/>
    <cellStyle name="Обычный 31 10 7" xfId="33221"/>
    <cellStyle name="Обычный 31 10 8" xfId="33222"/>
    <cellStyle name="Обычный 31 11" xfId="33223"/>
    <cellStyle name="Обычный 31 11 2" xfId="33224"/>
    <cellStyle name="Обычный 31 11 2 2" xfId="33225"/>
    <cellStyle name="Обычный 31 11 2 2 2" xfId="33226"/>
    <cellStyle name="Обычный 31 11 2 2 2 2" xfId="33227"/>
    <cellStyle name="Обычный 31 11 2 2 3" xfId="33228"/>
    <cellStyle name="Обычный 31 11 2 3" xfId="33229"/>
    <cellStyle name="Обычный 31 11 2 3 2" xfId="33230"/>
    <cellStyle name="Обычный 31 11 2 3 2 2" xfId="33231"/>
    <cellStyle name="Обычный 31 11 2 3 3" xfId="33232"/>
    <cellStyle name="Обычный 31 11 2 4" xfId="33233"/>
    <cellStyle name="Обычный 31 11 2 4 2" xfId="33234"/>
    <cellStyle name="Обычный 31 11 2 5" xfId="33235"/>
    <cellStyle name="Обычный 31 11 2 5 2" xfId="33236"/>
    <cellStyle name="Обычный 31 11 2 6" xfId="33237"/>
    <cellStyle name="Обычный 31 11 3" xfId="33238"/>
    <cellStyle name="Обычный 31 11 3 2" xfId="33239"/>
    <cellStyle name="Обычный 31 11 3 2 2" xfId="33240"/>
    <cellStyle name="Обычный 31 11 3 2 2 2" xfId="33241"/>
    <cellStyle name="Обычный 31 11 3 2 3" xfId="33242"/>
    <cellStyle name="Обычный 31 11 3 3" xfId="33243"/>
    <cellStyle name="Обычный 31 11 3 3 2" xfId="33244"/>
    <cellStyle name="Обычный 31 11 3 3 2 2" xfId="33245"/>
    <cellStyle name="Обычный 31 11 3 3 3" xfId="33246"/>
    <cellStyle name="Обычный 31 11 3 4" xfId="33247"/>
    <cellStyle name="Обычный 31 11 3 4 2" xfId="33248"/>
    <cellStyle name="Обычный 31 11 3 5" xfId="33249"/>
    <cellStyle name="Обычный 31 11 3 5 2" xfId="33250"/>
    <cellStyle name="Обычный 31 11 3 6" xfId="33251"/>
    <cellStyle name="Обычный 31 11 4" xfId="33252"/>
    <cellStyle name="Обычный 31 11 4 2" xfId="33253"/>
    <cellStyle name="Обычный 31 11 4 2 2" xfId="33254"/>
    <cellStyle name="Обычный 31 11 4 3" xfId="33255"/>
    <cellStyle name="Обычный 31 11 5" xfId="33256"/>
    <cellStyle name="Обычный 31 11 5 2" xfId="33257"/>
    <cellStyle name="Обычный 31 11 5 2 2" xfId="33258"/>
    <cellStyle name="Обычный 31 11 5 3" xfId="33259"/>
    <cellStyle name="Обычный 31 11 6" xfId="33260"/>
    <cellStyle name="Обычный 31 11 6 2" xfId="33261"/>
    <cellStyle name="Обычный 31 11 7" xfId="33262"/>
    <cellStyle name="Обычный 31 11 7 2" xfId="33263"/>
    <cellStyle name="Обычный 31 11 8" xfId="33264"/>
    <cellStyle name="Обычный 31 12" xfId="33265"/>
    <cellStyle name="Обычный 31 12 2" xfId="33266"/>
    <cellStyle name="Обычный 31 12 2 2" xfId="33267"/>
    <cellStyle name="Обычный 31 12 2 2 2" xfId="33268"/>
    <cellStyle name="Обычный 31 12 2 3" xfId="33269"/>
    <cellStyle name="Обычный 31 12 3" xfId="33270"/>
    <cellStyle name="Обычный 31 12 3 2" xfId="33271"/>
    <cellStyle name="Обычный 31 12 3 2 2" xfId="33272"/>
    <cellStyle name="Обычный 31 12 3 3" xfId="33273"/>
    <cellStyle name="Обычный 31 12 4" xfId="33274"/>
    <cellStyle name="Обычный 31 12 4 2" xfId="33275"/>
    <cellStyle name="Обычный 31 12 5" xfId="33276"/>
    <cellStyle name="Обычный 31 12 5 2" xfId="33277"/>
    <cellStyle name="Обычный 31 12 6" xfId="33278"/>
    <cellStyle name="Обычный 31 13" xfId="33279"/>
    <cellStyle name="Обычный 31 13 2" xfId="33280"/>
    <cellStyle name="Обычный 31 13 2 2" xfId="33281"/>
    <cellStyle name="Обычный 31 13 2 2 2" xfId="33282"/>
    <cellStyle name="Обычный 31 13 2 2 2 2" xfId="33283"/>
    <cellStyle name="Обычный 31 13 2 2 3" xfId="33284"/>
    <cellStyle name="Обычный 31 13 2 3" xfId="33285"/>
    <cellStyle name="Обычный 31 13 2 3 2" xfId="33286"/>
    <cellStyle name="Обычный 31 13 2 4" xfId="33287"/>
    <cellStyle name="Обычный 31 13 3" xfId="33288"/>
    <cellStyle name="Обычный 31 13 4" xfId="33289"/>
    <cellStyle name="Обычный 31 13 4 2" xfId="33290"/>
    <cellStyle name="Обычный 31 13 5" xfId="33291"/>
    <cellStyle name="Обычный 31 14" xfId="33292"/>
    <cellStyle name="Обычный 31 14 2" xfId="33293"/>
    <cellStyle name="Обычный 31 14 3" xfId="33294"/>
    <cellStyle name="Обычный 31 14 3 2" xfId="33295"/>
    <cellStyle name="Обычный 31 14 3 2 2" xfId="33296"/>
    <cellStyle name="Обычный 31 14 3 3" xfId="33297"/>
    <cellStyle name="Обычный 31 14 4" xfId="33298"/>
    <cellStyle name="Обычный 31 14 4 2" xfId="33299"/>
    <cellStyle name="Обычный 31 14 4 2 2" xfId="33300"/>
    <cellStyle name="Обычный 31 14 4 3" xfId="33301"/>
    <cellStyle name="Обычный 31 14 5" xfId="33302"/>
    <cellStyle name="Обычный 31 14 5 2" xfId="33303"/>
    <cellStyle name="Обычный 31 14 6" xfId="33304"/>
    <cellStyle name="Обычный 31 14 6 2" xfId="33305"/>
    <cellStyle name="Обычный 31 15" xfId="33306"/>
    <cellStyle name="Обычный 31 15 2" xfId="33307"/>
    <cellStyle name="Обычный 31 15 2 2" xfId="33308"/>
    <cellStyle name="Обычный 31 15 2 2 2" xfId="33309"/>
    <cellStyle name="Обычный 31 15 2 3" xfId="33310"/>
    <cellStyle name="Обычный 31 15 3" xfId="33311"/>
    <cellStyle name="Обычный 31 15 3 2" xfId="33312"/>
    <cellStyle name="Обычный 31 15 3 2 2" xfId="33313"/>
    <cellStyle name="Обычный 31 15 3 3" xfId="33314"/>
    <cellStyle name="Обычный 31 15 4" xfId="33315"/>
    <cellStyle name="Обычный 31 15 4 2" xfId="33316"/>
    <cellStyle name="Обычный 31 15 5" xfId="33317"/>
    <cellStyle name="Обычный 31 15 5 2" xfId="33318"/>
    <cellStyle name="Обычный 31 15 6" xfId="33319"/>
    <cellStyle name="Обычный 31 16" xfId="33320"/>
    <cellStyle name="Обычный 31 16 2" xfId="33321"/>
    <cellStyle name="Обычный 31 16 2 2" xfId="33322"/>
    <cellStyle name="Обычный 31 16 2 2 2" xfId="33323"/>
    <cellStyle name="Обычный 31 16 2 3" xfId="33324"/>
    <cellStyle name="Обычный 31 16 3" xfId="33325"/>
    <cellStyle name="Обычный 31 16 3 2" xfId="33326"/>
    <cellStyle name="Обычный 31 16 3 2 2" xfId="33327"/>
    <cellStyle name="Обычный 31 16 3 3" xfId="33328"/>
    <cellStyle name="Обычный 31 16 4" xfId="33329"/>
    <cellStyle name="Обычный 31 16 4 2" xfId="33330"/>
    <cellStyle name="Обычный 31 16 5" xfId="33331"/>
    <cellStyle name="Обычный 31 16 5 2" xfId="33332"/>
    <cellStyle name="Обычный 31 16 6" xfId="33333"/>
    <cellStyle name="Обычный 31 17" xfId="33334"/>
    <cellStyle name="Обычный 31 18" xfId="33335"/>
    <cellStyle name="Обычный 31 18 2" xfId="33336"/>
    <cellStyle name="Обычный 31 18 2 2" xfId="33337"/>
    <cellStyle name="Обычный 31 18 2 2 2" xfId="33338"/>
    <cellStyle name="Обычный 31 18 2 3" xfId="33339"/>
    <cellStyle name="Обычный 31 18 3" xfId="33340"/>
    <cellStyle name="Обычный 31 18 3 2" xfId="33341"/>
    <cellStyle name="Обычный 31 18 3 2 2" xfId="33342"/>
    <cellStyle name="Обычный 31 18 3 3" xfId="33343"/>
    <cellStyle name="Обычный 31 18 4" xfId="33344"/>
    <cellStyle name="Обычный 31 18 4 2" xfId="33345"/>
    <cellStyle name="Обычный 31 18 5" xfId="33346"/>
    <cellStyle name="Обычный 31 18 5 2" xfId="33347"/>
    <cellStyle name="Обычный 31 18 6" xfId="33348"/>
    <cellStyle name="Обычный 31 19" xfId="33349"/>
    <cellStyle name="Обычный 31 19 2" xfId="33350"/>
    <cellStyle name="Обычный 31 19 3" xfId="33351"/>
    <cellStyle name="Обычный 31 19 3 2" xfId="33352"/>
    <cellStyle name="Обычный 31 19 4" xfId="33353"/>
    <cellStyle name="Обычный 31 2" xfId="33354"/>
    <cellStyle name="Обычный 31 2 2" xfId="33355"/>
    <cellStyle name="Обычный 31 2 2 2" xfId="33356"/>
    <cellStyle name="Обычный 31 2 2 2 2" xfId="33357"/>
    <cellStyle name="Обычный 31 2 2 2 2 2" xfId="33358"/>
    <cellStyle name="Обычный 31 2 2 2 2 2 2" xfId="33359"/>
    <cellStyle name="Обычный 31 2 2 2 2 3" xfId="33360"/>
    <cellStyle name="Обычный 31 2 2 2 3" xfId="33361"/>
    <cellStyle name="Обычный 31 2 2 2 3 2" xfId="33362"/>
    <cellStyle name="Обычный 31 2 2 2 3 2 2" xfId="33363"/>
    <cellStyle name="Обычный 31 2 2 2 3 3" xfId="33364"/>
    <cellStyle name="Обычный 31 2 2 2 4" xfId="33365"/>
    <cellStyle name="Обычный 31 2 2 2 4 2" xfId="33366"/>
    <cellStyle name="Обычный 31 2 2 2 5" xfId="33367"/>
    <cellStyle name="Обычный 31 2 2 2 5 2" xfId="33368"/>
    <cellStyle name="Обычный 31 2 2 2 6" xfId="33369"/>
    <cellStyle name="Обычный 31 2 2 3" xfId="33370"/>
    <cellStyle name="Обычный 31 2 2 3 2" xfId="33371"/>
    <cellStyle name="Обычный 31 2 2 3 2 2" xfId="33372"/>
    <cellStyle name="Обычный 31 2 2 3 3" xfId="33373"/>
    <cellStyle name="Обычный 31 2 2 4" xfId="33374"/>
    <cellStyle name="Обычный 31 2 2 4 2" xfId="33375"/>
    <cellStyle name="Обычный 31 2 2 4 2 2" xfId="33376"/>
    <cellStyle name="Обычный 31 2 2 4 3" xfId="33377"/>
    <cellStyle name="Обычный 31 2 2 5" xfId="33378"/>
    <cellStyle name="Обычный 31 2 2 5 2" xfId="33379"/>
    <cellStyle name="Обычный 31 2 2 6" xfId="33380"/>
    <cellStyle name="Обычный 31 2 2 6 2" xfId="33381"/>
    <cellStyle name="Обычный 31 2 2 7" xfId="33382"/>
    <cellStyle name="Обычный 31 2 3" xfId="33383"/>
    <cellStyle name="Обычный 31 2 3 2" xfId="33384"/>
    <cellStyle name="Обычный 31 20" xfId="33385"/>
    <cellStyle name="Обычный 31 20 2" xfId="33386"/>
    <cellStyle name="Обычный 31 20 2 2" xfId="33387"/>
    <cellStyle name="Обычный 31 20 2 2 2" xfId="33388"/>
    <cellStyle name="Обычный 31 20 2 3" xfId="33389"/>
    <cellStyle name="Обычный 31 20 3" xfId="33390"/>
    <cellStyle name="Обычный 31 20 3 2" xfId="33391"/>
    <cellStyle name="Обычный 31 20 3 2 2" xfId="33392"/>
    <cellStyle name="Обычный 31 20 3 3" xfId="33393"/>
    <cellStyle name="Обычный 31 20 4" xfId="33394"/>
    <cellStyle name="Обычный 31 20 4 2" xfId="33395"/>
    <cellStyle name="Обычный 31 20 5" xfId="33396"/>
    <cellStyle name="Обычный 31 20 5 2" xfId="33397"/>
    <cellStyle name="Обычный 31 20 6" xfId="33398"/>
    <cellStyle name="Обычный 31 21" xfId="33399"/>
    <cellStyle name="Обычный 31 21 2" xfId="33400"/>
    <cellStyle name="Обычный 31 21 2 2" xfId="33401"/>
    <cellStyle name="Обычный 31 21 2 2 2" xfId="33402"/>
    <cellStyle name="Обычный 31 21 2 3" xfId="33403"/>
    <cellStyle name="Обычный 31 21 3" xfId="33404"/>
    <cellStyle name="Обычный 31 21 3 2" xfId="33405"/>
    <cellStyle name="Обычный 31 21 4" xfId="33406"/>
    <cellStyle name="Обычный 31 21 4 2" xfId="33407"/>
    <cellStyle name="Обычный 31 21 5" xfId="33408"/>
    <cellStyle name="Обычный 31 22" xfId="33409"/>
    <cellStyle name="Обычный 31 22 2" xfId="33410"/>
    <cellStyle name="Обычный 31 22 2 2" xfId="33411"/>
    <cellStyle name="Обычный 31 22 2 2 2" xfId="33412"/>
    <cellStyle name="Обычный 31 22 2 3" xfId="33413"/>
    <cellStyle name="Обычный 31 22 3" xfId="33414"/>
    <cellStyle name="Обычный 31 22 3 2" xfId="33415"/>
    <cellStyle name="Обычный 31 23" xfId="33416"/>
    <cellStyle name="Обычный 31 23 2" xfId="33417"/>
    <cellStyle name="Обычный 31 23 2 2" xfId="33418"/>
    <cellStyle name="Обычный 31 23 2 2 2" xfId="33419"/>
    <cellStyle name="Обычный 31 23 2 3" xfId="33420"/>
    <cellStyle name="Обычный 31 23 3" xfId="33421"/>
    <cellStyle name="Обычный 31 23 3 2" xfId="33422"/>
    <cellStyle name="Обычный 31 23 4" xfId="33423"/>
    <cellStyle name="Обычный 31 24" xfId="33424"/>
    <cellStyle name="Обычный 31 24 2" xfId="33425"/>
    <cellStyle name="Обычный 31 24 2 2" xfId="33426"/>
    <cellStyle name="Обычный 31 24 2 2 2" xfId="33427"/>
    <cellStyle name="Обычный 31 24 2 3" xfId="33428"/>
    <cellStyle name="Обычный 31 24 3" xfId="33429"/>
    <cellStyle name="Обычный 31 24 3 2" xfId="33430"/>
    <cellStyle name="Обычный 31 24 4" xfId="33431"/>
    <cellStyle name="Обычный 31 25" xfId="33432"/>
    <cellStyle name="Обычный 31 25 2" xfId="33433"/>
    <cellStyle name="Обычный 31 25 2 2" xfId="33434"/>
    <cellStyle name="Обычный 31 25 2 2 2" xfId="33435"/>
    <cellStyle name="Обычный 31 25 2 3" xfId="33436"/>
    <cellStyle name="Обычный 31 25 3" xfId="33437"/>
    <cellStyle name="Обычный 31 25 3 2" xfId="33438"/>
    <cellStyle name="Обычный 31 25 4" xfId="33439"/>
    <cellStyle name="Обычный 31 26" xfId="33440"/>
    <cellStyle name="Обычный 31 26 2" xfId="33441"/>
    <cellStyle name="Обычный 31 26 2 2" xfId="33442"/>
    <cellStyle name="Обычный 31 26 2 2 2" xfId="33443"/>
    <cellStyle name="Обычный 31 26 2 3" xfId="33444"/>
    <cellStyle name="Обычный 31 26 3" xfId="33445"/>
    <cellStyle name="Обычный 31 26 3 2" xfId="33446"/>
    <cellStyle name="Обычный 31 26 4" xfId="33447"/>
    <cellStyle name="Обычный 31 27" xfId="33448"/>
    <cellStyle name="Обычный 31 27 2" xfId="33449"/>
    <cellStyle name="Обычный 31 27 2 2" xfId="33450"/>
    <cellStyle name="Обычный 31 27 2 2 2" xfId="33451"/>
    <cellStyle name="Обычный 31 27 2 3" xfId="33452"/>
    <cellStyle name="Обычный 31 27 3" xfId="33453"/>
    <cellStyle name="Обычный 31 27 3 2" xfId="33454"/>
    <cellStyle name="Обычный 31 27 4" xfId="33455"/>
    <cellStyle name="Обычный 31 28" xfId="33456"/>
    <cellStyle name="Обычный 31 28 2" xfId="33457"/>
    <cellStyle name="Обычный 31 28 2 2" xfId="33458"/>
    <cellStyle name="Обычный 31 28 3" xfId="33459"/>
    <cellStyle name="Обычный 31 29" xfId="33460"/>
    <cellStyle name="Обычный 31 29 2" xfId="33461"/>
    <cellStyle name="Обычный 31 29 2 2" xfId="33462"/>
    <cellStyle name="Обычный 31 29 3" xfId="33463"/>
    <cellStyle name="Обычный 31 3" xfId="33464"/>
    <cellStyle name="Обычный 31 3 2" xfId="33465"/>
    <cellStyle name="Обычный 31 3 2 2" xfId="33466"/>
    <cellStyle name="Обычный 31 3 2 2 2" xfId="33467"/>
    <cellStyle name="Обычный 31 3 2 2 2 2" xfId="33468"/>
    <cellStyle name="Обычный 31 3 2 2 2 2 2" xfId="33469"/>
    <cellStyle name="Обычный 31 3 2 2 2 3" xfId="33470"/>
    <cellStyle name="Обычный 31 3 2 2 3" xfId="33471"/>
    <cellStyle name="Обычный 31 3 2 2 3 2" xfId="33472"/>
    <cellStyle name="Обычный 31 3 2 2 3 2 2" xfId="33473"/>
    <cellStyle name="Обычный 31 3 2 2 3 3" xfId="33474"/>
    <cellStyle name="Обычный 31 3 2 2 4" xfId="33475"/>
    <cellStyle name="Обычный 31 3 2 2 4 2" xfId="33476"/>
    <cellStyle name="Обычный 31 3 2 2 5" xfId="33477"/>
    <cellStyle name="Обычный 31 3 2 2 5 2" xfId="33478"/>
    <cellStyle name="Обычный 31 3 2 2 6" xfId="33479"/>
    <cellStyle name="Обычный 31 3 2 3" xfId="33480"/>
    <cellStyle name="Обычный 31 3 2 3 2" xfId="33481"/>
    <cellStyle name="Обычный 31 3 2 3 2 2" xfId="33482"/>
    <cellStyle name="Обычный 31 3 2 3 3" xfId="33483"/>
    <cellStyle name="Обычный 31 3 2 4" xfId="33484"/>
    <cellStyle name="Обычный 31 3 2 4 2" xfId="33485"/>
    <cellStyle name="Обычный 31 3 2 4 2 2" xfId="33486"/>
    <cellStyle name="Обычный 31 3 2 4 3" xfId="33487"/>
    <cellStyle name="Обычный 31 3 2 5" xfId="33488"/>
    <cellStyle name="Обычный 31 3 2 5 2" xfId="33489"/>
    <cellStyle name="Обычный 31 3 2 6" xfId="33490"/>
    <cellStyle name="Обычный 31 3 2 6 2" xfId="33491"/>
    <cellStyle name="Обычный 31 3 2 7" xfId="33492"/>
    <cellStyle name="Обычный 31 3 3" xfId="33493"/>
    <cellStyle name="Обычный 31 3 3 2" xfId="33494"/>
    <cellStyle name="Обычный 31 3 3 2 2" xfId="33495"/>
    <cellStyle name="Обычный 31 3 3 2 2 2" xfId="33496"/>
    <cellStyle name="Обычный 31 3 3 2 3" xfId="33497"/>
    <cellStyle name="Обычный 31 3 3 3" xfId="33498"/>
    <cellStyle name="Обычный 31 3 3 3 2" xfId="33499"/>
    <cellStyle name="Обычный 31 3 3 3 2 2" xfId="33500"/>
    <cellStyle name="Обычный 31 3 3 3 3" xfId="33501"/>
    <cellStyle name="Обычный 31 3 3 4" xfId="33502"/>
    <cellStyle name="Обычный 31 3 3 4 2" xfId="33503"/>
    <cellStyle name="Обычный 31 3 3 5" xfId="33504"/>
    <cellStyle name="Обычный 31 3 3 5 2" xfId="33505"/>
    <cellStyle name="Обычный 31 3 3 6" xfId="33506"/>
    <cellStyle name="Обычный 31 30" xfId="33507"/>
    <cellStyle name="Обычный 31 30 2" xfId="33508"/>
    <cellStyle name="Обычный 31 31" xfId="33509"/>
    <cellStyle name="Обычный 31 31 2" xfId="33510"/>
    <cellStyle name="Обычный 31 32" xfId="33511"/>
    <cellStyle name="Обычный 31 33" xfId="33512"/>
    <cellStyle name="Обычный 31 34" xfId="33513"/>
    <cellStyle name="Обычный 31 4" xfId="33514"/>
    <cellStyle name="Обычный 31 4 2" xfId="33515"/>
    <cellStyle name="Обычный 31 5" xfId="33516"/>
    <cellStyle name="Обычный 31 5 2" xfId="33517"/>
    <cellStyle name="Обычный 31 5 2 2" xfId="33518"/>
    <cellStyle name="Обычный 31 5 2 2 2" xfId="33519"/>
    <cellStyle name="Обычный 31 5 2 2 2 2" xfId="33520"/>
    <cellStyle name="Обычный 31 5 2 2 2 2 2" xfId="33521"/>
    <cellStyle name="Обычный 31 5 2 2 2 3" xfId="33522"/>
    <cellStyle name="Обычный 31 5 2 2 3" xfId="33523"/>
    <cellStyle name="Обычный 31 5 2 2 3 2" xfId="33524"/>
    <cellStyle name="Обычный 31 5 2 2 3 2 2" xfId="33525"/>
    <cellStyle name="Обычный 31 5 2 2 3 3" xfId="33526"/>
    <cellStyle name="Обычный 31 5 2 2 4" xfId="33527"/>
    <cellStyle name="Обычный 31 5 2 2 4 2" xfId="33528"/>
    <cellStyle name="Обычный 31 5 2 2 5" xfId="33529"/>
    <cellStyle name="Обычный 31 5 2 2 5 2" xfId="33530"/>
    <cellStyle name="Обычный 31 5 2 2 6" xfId="33531"/>
    <cellStyle name="Обычный 31 5 2 3" xfId="33532"/>
    <cellStyle name="Обычный 31 5 2 3 2" xfId="33533"/>
    <cellStyle name="Обычный 31 5 2 3 2 2" xfId="33534"/>
    <cellStyle name="Обычный 31 5 2 3 3" xfId="33535"/>
    <cellStyle name="Обычный 31 5 2 4" xfId="33536"/>
    <cellStyle name="Обычный 31 5 2 4 2" xfId="33537"/>
    <cellStyle name="Обычный 31 5 2 4 2 2" xfId="33538"/>
    <cellStyle name="Обычный 31 5 2 4 3" xfId="33539"/>
    <cellStyle name="Обычный 31 5 2 5" xfId="33540"/>
    <cellStyle name="Обычный 31 5 2 5 2" xfId="33541"/>
    <cellStyle name="Обычный 31 5 2 6" xfId="33542"/>
    <cellStyle name="Обычный 31 5 2 6 2" xfId="33543"/>
    <cellStyle name="Обычный 31 5 2 7" xfId="33544"/>
    <cellStyle name="Обычный 31 5 3" xfId="33545"/>
    <cellStyle name="Обычный 31 5 3 2" xfId="33546"/>
    <cellStyle name="Обычный 31 5 3 2 2" xfId="33547"/>
    <cellStyle name="Обычный 31 5 3 2 2 2" xfId="33548"/>
    <cellStyle name="Обычный 31 5 3 2 3" xfId="33549"/>
    <cellStyle name="Обычный 31 5 3 3" xfId="33550"/>
    <cellStyle name="Обычный 31 5 3 3 2" xfId="33551"/>
    <cellStyle name="Обычный 31 5 3 3 2 2" xfId="33552"/>
    <cellStyle name="Обычный 31 5 3 3 3" xfId="33553"/>
    <cellStyle name="Обычный 31 5 3 4" xfId="33554"/>
    <cellStyle name="Обычный 31 5 3 4 2" xfId="33555"/>
    <cellStyle name="Обычный 31 5 3 5" xfId="33556"/>
    <cellStyle name="Обычный 31 5 3 5 2" xfId="33557"/>
    <cellStyle name="Обычный 31 5 3 6" xfId="33558"/>
    <cellStyle name="Обычный 31 6" xfId="33559"/>
    <cellStyle name="Обычный 31 6 2" xfId="33560"/>
    <cellStyle name="Обычный 31 6 2 2" xfId="33561"/>
    <cellStyle name="Обычный 31 6 2 2 2" xfId="33562"/>
    <cellStyle name="Обычный 31 6 2 2 2 2" xfId="33563"/>
    <cellStyle name="Обычный 31 6 2 2 2 2 2" xfId="33564"/>
    <cellStyle name="Обычный 31 6 2 2 2 3" xfId="33565"/>
    <cellStyle name="Обычный 31 6 2 2 3" xfId="33566"/>
    <cellStyle name="Обычный 31 6 2 2 3 2" xfId="33567"/>
    <cellStyle name="Обычный 31 6 2 2 3 2 2" xfId="33568"/>
    <cellStyle name="Обычный 31 6 2 2 3 3" xfId="33569"/>
    <cellStyle name="Обычный 31 6 2 2 4" xfId="33570"/>
    <cellStyle name="Обычный 31 6 2 2 4 2" xfId="33571"/>
    <cellStyle name="Обычный 31 6 2 2 5" xfId="33572"/>
    <cellStyle name="Обычный 31 6 2 2 5 2" xfId="33573"/>
    <cellStyle name="Обычный 31 6 2 2 6" xfId="33574"/>
    <cellStyle name="Обычный 31 6 2 3" xfId="33575"/>
    <cellStyle name="Обычный 31 6 2 3 2" xfId="33576"/>
    <cellStyle name="Обычный 31 6 2 3 2 2" xfId="33577"/>
    <cellStyle name="Обычный 31 6 2 3 3" xfId="33578"/>
    <cellStyle name="Обычный 31 6 2 4" xfId="33579"/>
    <cellStyle name="Обычный 31 6 2 4 2" xfId="33580"/>
    <cellStyle name="Обычный 31 6 2 4 2 2" xfId="33581"/>
    <cellStyle name="Обычный 31 6 2 4 3" xfId="33582"/>
    <cellStyle name="Обычный 31 6 2 5" xfId="33583"/>
    <cellStyle name="Обычный 31 6 2 5 2" xfId="33584"/>
    <cellStyle name="Обычный 31 6 2 6" xfId="33585"/>
    <cellStyle name="Обычный 31 6 2 6 2" xfId="33586"/>
    <cellStyle name="Обычный 31 6 2 7" xfId="33587"/>
    <cellStyle name="Обычный 31 6 3" xfId="33588"/>
    <cellStyle name="Обычный 31 6 3 2" xfId="33589"/>
    <cellStyle name="Обычный 31 6 3 2 2" xfId="33590"/>
    <cellStyle name="Обычный 31 6 3 2 2 2" xfId="33591"/>
    <cellStyle name="Обычный 31 6 3 2 3" xfId="33592"/>
    <cellStyle name="Обычный 31 6 3 3" xfId="33593"/>
    <cellStyle name="Обычный 31 6 3 3 2" xfId="33594"/>
    <cellStyle name="Обычный 31 6 3 3 2 2" xfId="33595"/>
    <cellStyle name="Обычный 31 6 3 3 3" xfId="33596"/>
    <cellStyle name="Обычный 31 6 3 4" xfId="33597"/>
    <cellStyle name="Обычный 31 6 3 4 2" xfId="33598"/>
    <cellStyle name="Обычный 31 6 3 5" xfId="33599"/>
    <cellStyle name="Обычный 31 6 3 5 2" xfId="33600"/>
    <cellStyle name="Обычный 31 6 3 6" xfId="33601"/>
    <cellStyle name="Обычный 31 7" xfId="33602"/>
    <cellStyle name="Обычный 31 7 2" xfId="33603"/>
    <cellStyle name="Обычный 31 7 2 2" xfId="33604"/>
    <cellStyle name="Обычный 31 7 2 2 2" xfId="33605"/>
    <cellStyle name="Обычный 31 7 2 2 2 2" xfId="33606"/>
    <cellStyle name="Обычный 31 7 2 2 3" xfId="33607"/>
    <cellStyle name="Обычный 31 7 2 3" xfId="33608"/>
    <cellStyle name="Обычный 31 7 2 3 2" xfId="33609"/>
    <cellStyle name="Обычный 31 7 2 3 2 2" xfId="33610"/>
    <cellStyle name="Обычный 31 7 2 3 3" xfId="33611"/>
    <cellStyle name="Обычный 31 7 2 4" xfId="33612"/>
    <cellStyle name="Обычный 31 7 2 4 2" xfId="33613"/>
    <cellStyle name="Обычный 31 7 2 5" xfId="33614"/>
    <cellStyle name="Обычный 31 7 2 5 2" xfId="33615"/>
    <cellStyle name="Обычный 31 7 2 6" xfId="33616"/>
    <cellStyle name="Обычный 31 8" xfId="33617"/>
    <cellStyle name="Обычный 31 8 2" xfId="33618"/>
    <cellStyle name="Обычный 31 8 2 2" xfId="33619"/>
    <cellStyle name="Обычный 31 8 2 2 2" xfId="33620"/>
    <cellStyle name="Обычный 31 8 2 2 2 2" xfId="33621"/>
    <cellStyle name="Обычный 31 8 2 2 2 2 2" xfId="33622"/>
    <cellStyle name="Обычный 31 8 2 2 2 3" xfId="33623"/>
    <cellStyle name="Обычный 31 8 2 2 3" xfId="33624"/>
    <cellStyle name="Обычный 31 8 2 2 3 2" xfId="33625"/>
    <cellStyle name="Обычный 31 8 2 2 3 2 2" xfId="33626"/>
    <cellStyle name="Обычный 31 8 2 2 3 3" xfId="33627"/>
    <cellStyle name="Обычный 31 8 2 2 4" xfId="33628"/>
    <cellStyle name="Обычный 31 8 2 2 4 2" xfId="33629"/>
    <cellStyle name="Обычный 31 8 2 2 5" xfId="33630"/>
    <cellStyle name="Обычный 31 8 2 2 5 2" xfId="33631"/>
    <cellStyle name="Обычный 31 8 2 2 6" xfId="33632"/>
    <cellStyle name="Обычный 31 8 2 3" xfId="33633"/>
    <cellStyle name="Обычный 31 8 2 3 2" xfId="33634"/>
    <cellStyle name="Обычный 31 8 2 3 2 2" xfId="33635"/>
    <cellStyle name="Обычный 31 8 2 3 2 2 2" xfId="33636"/>
    <cellStyle name="Обычный 31 8 2 3 2 3" xfId="33637"/>
    <cellStyle name="Обычный 31 8 2 3 3" xfId="33638"/>
    <cellStyle name="Обычный 31 8 2 3 3 2" xfId="33639"/>
    <cellStyle name="Обычный 31 8 2 3 3 2 2" xfId="33640"/>
    <cellStyle name="Обычный 31 8 2 3 3 3" xfId="33641"/>
    <cellStyle name="Обычный 31 8 2 3 4" xfId="33642"/>
    <cellStyle name="Обычный 31 8 2 3 4 2" xfId="33643"/>
    <cellStyle name="Обычный 31 8 2 3 5" xfId="33644"/>
    <cellStyle name="Обычный 31 8 2 3 5 2" xfId="33645"/>
    <cellStyle name="Обычный 31 8 2 3 6" xfId="33646"/>
    <cellStyle name="Обычный 31 8 2 4" xfId="33647"/>
    <cellStyle name="Обычный 31 8 2 4 2" xfId="33648"/>
    <cellStyle name="Обычный 31 8 2 4 2 2" xfId="33649"/>
    <cellStyle name="Обычный 31 8 2 4 3" xfId="33650"/>
    <cellStyle name="Обычный 31 8 2 4 3 2" xfId="33651"/>
    <cellStyle name="Обычный 31 8 2 4 4" xfId="33652"/>
    <cellStyle name="Обычный 31 8 2 5" xfId="33653"/>
    <cellStyle name="Обычный 31 8 2 5 2" xfId="33654"/>
    <cellStyle name="Обычный 31 8 2 5 2 2" xfId="33655"/>
    <cellStyle name="Обычный 31 8 2 5 3" xfId="33656"/>
    <cellStyle name="Обычный 31 8 2 6" xfId="33657"/>
    <cellStyle name="Обычный 31 8 2 6 2" xfId="33658"/>
    <cellStyle name="Обычный 31 8 2 7" xfId="33659"/>
    <cellStyle name="Обычный 31 8 2 7 2" xfId="33660"/>
    <cellStyle name="Обычный 31 8 2 8" xfId="33661"/>
    <cellStyle name="Обычный 31 8 3" xfId="33662"/>
    <cellStyle name="Обычный 31 8 3 2" xfId="33663"/>
    <cellStyle name="Обычный 31 8 3 2 2" xfId="33664"/>
    <cellStyle name="Обычный 31 8 3 2 2 2" xfId="33665"/>
    <cellStyle name="Обычный 31 8 3 2 3" xfId="33666"/>
    <cellStyle name="Обычный 31 8 3 2 3 2" xfId="33667"/>
    <cellStyle name="Обычный 31 8 3 2 4" xfId="33668"/>
    <cellStyle name="Обычный 31 8 3 3" xfId="33669"/>
    <cellStyle name="Обычный 31 8 3 3 2" xfId="33670"/>
    <cellStyle name="Обычный 31 8 3 3 2 2" xfId="33671"/>
    <cellStyle name="Обычный 31 8 3 3 3" xfId="33672"/>
    <cellStyle name="Обычный 31 8 3 4" xfId="33673"/>
    <cellStyle name="Обычный 31 8 3 4 2" xfId="33674"/>
    <cellStyle name="Обычный 31 8 3 5" xfId="33675"/>
    <cellStyle name="Обычный 31 8 3 5 2" xfId="33676"/>
    <cellStyle name="Обычный 31 8 3 6" xfId="33677"/>
    <cellStyle name="Обычный 31 8 4" xfId="33678"/>
    <cellStyle name="Обычный 31 8 4 2" xfId="33679"/>
    <cellStyle name="Обычный 31 8 4 2 2" xfId="33680"/>
    <cellStyle name="Обычный 31 8 4 2 2 2" xfId="33681"/>
    <cellStyle name="Обычный 31 8 4 2 3" xfId="33682"/>
    <cellStyle name="Обычный 31 8 4 3" xfId="33683"/>
    <cellStyle name="Обычный 31 8 4 3 2" xfId="33684"/>
    <cellStyle name="Обычный 31 8 4 3 2 2" xfId="33685"/>
    <cellStyle name="Обычный 31 8 4 3 3" xfId="33686"/>
    <cellStyle name="Обычный 31 8 4 4" xfId="33687"/>
    <cellStyle name="Обычный 31 8 4 4 2" xfId="33688"/>
    <cellStyle name="Обычный 31 8 4 5" xfId="33689"/>
    <cellStyle name="Обычный 31 8 4 5 2" xfId="33690"/>
    <cellStyle name="Обычный 31 8 4 6" xfId="33691"/>
    <cellStyle name="Обычный 31 8 5" xfId="33692"/>
    <cellStyle name="Обычный 31 8 5 2" xfId="33693"/>
    <cellStyle name="Обычный 31 8 5 2 2" xfId="33694"/>
    <cellStyle name="Обычный 31 8 5 3" xfId="33695"/>
    <cellStyle name="Обычный 31 8 5 3 2" xfId="33696"/>
    <cellStyle name="Обычный 31 8 5 4" xfId="33697"/>
    <cellStyle name="Обычный 31 8 6" xfId="33698"/>
    <cellStyle name="Обычный 31 8 6 2" xfId="33699"/>
    <cellStyle name="Обычный 31 8 6 2 2" xfId="33700"/>
    <cellStyle name="Обычный 31 8 6 3" xfId="33701"/>
    <cellStyle name="Обычный 31 8 7" xfId="33702"/>
    <cellStyle name="Обычный 31 8 7 2" xfId="33703"/>
    <cellStyle name="Обычный 31 8 8" xfId="33704"/>
    <cellStyle name="Обычный 31 8 8 2" xfId="33705"/>
    <cellStyle name="Обычный 31 8 9" xfId="33706"/>
    <cellStyle name="Обычный 31 9" xfId="33707"/>
    <cellStyle name="Обычный 31 9 2" xfId="33708"/>
    <cellStyle name="Обычный 31 9 2 2" xfId="33709"/>
    <cellStyle name="Обычный 31 9 2 2 2" xfId="33710"/>
    <cellStyle name="Обычный 31 9 2 2 2 2" xfId="33711"/>
    <cellStyle name="Обычный 31 9 2 2 3" xfId="33712"/>
    <cellStyle name="Обычный 31 9 2 2 3 2" xfId="33713"/>
    <cellStyle name="Обычный 31 9 2 2 4" xfId="33714"/>
    <cellStyle name="Обычный 31 9 2 3" xfId="33715"/>
    <cellStyle name="Обычный 31 9 2 3 2" xfId="33716"/>
    <cellStyle name="Обычный 31 9 2 3 2 2" xfId="33717"/>
    <cellStyle name="Обычный 31 9 2 3 3" xfId="33718"/>
    <cellStyle name="Обычный 31 9 2 4" xfId="33719"/>
    <cellStyle name="Обычный 31 9 2 4 2" xfId="33720"/>
    <cellStyle name="Обычный 31 9 2 5" xfId="33721"/>
    <cellStyle name="Обычный 31 9 2 5 2" xfId="33722"/>
    <cellStyle name="Обычный 31 9 2 6" xfId="33723"/>
    <cellStyle name="Обычный 31 9 3" xfId="33724"/>
    <cellStyle name="Обычный 31 9 3 2" xfId="33725"/>
    <cellStyle name="Обычный 31 9 3 2 2" xfId="33726"/>
    <cellStyle name="Обычный 31 9 3 2 2 2" xfId="33727"/>
    <cellStyle name="Обычный 31 9 3 2 3" xfId="33728"/>
    <cellStyle name="Обычный 31 9 3 3" xfId="33729"/>
    <cellStyle name="Обычный 31 9 3 3 2" xfId="33730"/>
    <cellStyle name="Обычный 31 9 3 3 2 2" xfId="33731"/>
    <cellStyle name="Обычный 31 9 3 3 3" xfId="33732"/>
    <cellStyle name="Обычный 31 9 3 4" xfId="33733"/>
    <cellStyle name="Обычный 31 9 3 4 2" xfId="33734"/>
    <cellStyle name="Обычный 31 9 3 5" xfId="33735"/>
    <cellStyle name="Обычный 31 9 3 5 2" xfId="33736"/>
    <cellStyle name="Обычный 31 9 3 6" xfId="33737"/>
    <cellStyle name="Обычный 31 9 4" xfId="33738"/>
    <cellStyle name="Обычный 31 9 4 2" xfId="33739"/>
    <cellStyle name="Обычный 31 9 4 2 2" xfId="33740"/>
    <cellStyle name="Обычный 31 9 4 3" xfId="33741"/>
    <cellStyle name="Обычный 31 9 4 3 2" xfId="33742"/>
    <cellStyle name="Обычный 31 9 4 4" xfId="33743"/>
    <cellStyle name="Обычный 31 9 5" xfId="33744"/>
    <cellStyle name="Обычный 31 9 5 2" xfId="33745"/>
    <cellStyle name="Обычный 31 9 5 2 2" xfId="33746"/>
    <cellStyle name="Обычный 31 9 5 3" xfId="33747"/>
    <cellStyle name="Обычный 31 9 6" xfId="33748"/>
    <cellStyle name="Обычный 31 9 6 2" xfId="33749"/>
    <cellStyle name="Обычный 31 9 7" xfId="33750"/>
    <cellStyle name="Обычный 31 9 7 2" xfId="33751"/>
    <cellStyle name="Обычный 31 9 8" xfId="33752"/>
    <cellStyle name="Обычный 32" xfId="33753"/>
    <cellStyle name="Обычный 32 10" xfId="33754"/>
    <cellStyle name="Обычный 32 10 2" xfId="33755"/>
    <cellStyle name="Обычный 32 11" xfId="33756"/>
    <cellStyle name="Обычный 32 11 2" xfId="33757"/>
    <cellStyle name="Обычный 32 12" xfId="33758"/>
    <cellStyle name="Обычный 32 2" xfId="33759"/>
    <cellStyle name="Обычный 32 2 2" xfId="33760"/>
    <cellStyle name="Обычный 32 2 2 2" xfId="33761"/>
    <cellStyle name="Обычный 32 2 2 2 2" xfId="33762"/>
    <cellStyle name="Обычный 32 2 2 2 2 2" xfId="33763"/>
    <cellStyle name="Обычный 32 2 2 2 2 2 2" xfId="33764"/>
    <cellStyle name="Обычный 32 2 2 2 2 3" xfId="33765"/>
    <cellStyle name="Обычный 32 2 2 2 3" xfId="33766"/>
    <cellStyle name="Обычный 32 2 2 2 3 2" xfId="33767"/>
    <cellStyle name="Обычный 32 2 2 2 3 2 2" xfId="33768"/>
    <cellStyle name="Обычный 32 2 2 2 3 3" xfId="33769"/>
    <cellStyle name="Обычный 32 2 2 2 4" xfId="33770"/>
    <cellStyle name="Обычный 32 2 2 2 4 2" xfId="33771"/>
    <cellStyle name="Обычный 32 2 2 2 5" xfId="33772"/>
    <cellStyle name="Обычный 32 2 2 2 5 2" xfId="33773"/>
    <cellStyle name="Обычный 32 2 2 2 6" xfId="33774"/>
    <cellStyle name="Обычный 32 2 2 3" xfId="33775"/>
    <cellStyle name="Обычный 32 2 2 3 2" xfId="33776"/>
    <cellStyle name="Обычный 32 2 2 3 2 2" xfId="33777"/>
    <cellStyle name="Обычный 32 2 2 3 2 2 2" xfId="33778"/>
    <cellStyle name="Обычный 32 2 2 3 2 3" xfId="33779"/>
    <cellStyle name="Обычный 32 2 2 3 3" xfId="33780"/>
    <cellStyle name="Обычный 32 2 2 3 3 2" xfId="33781"/>
    <cellStyle name="Обычный 32 2 2 3 3 2 2" xfId="33782"/>
    <cellStyle name="Обычный 32 2 2 3 3 3" xfId="33783"/>
    <cellStyle name="Обычный 32 2 2 3 4" xfId="33784"/>
    <cellStyle name="Обычный 32 2 2 3 4 2" xfId="33785"/>
    <cellStyle name="Обычный 32 2 2 3 5" xfId="33786"/>
    <cellStyle name="Обычный 32 2 2 4" xfId="33787"/>
    <cellStyle name="Обычный 32 2 2 4 2" xfId="33788"/>
    <cellStyle name="Обычный 32 2 2 4 2 2" xfId="33789"/>
    <cellStyle name="Обычный 32 2 2 4 3" xfId="33790"/>
    <cellStyle name="Обычный 32 2 2 5" xfId="33791"/>
    <cellStyle name="Обычный 32 2 2 5 2" xfId="33792"/>
    <cellStyle name="Обычный 32 2 2 5 2 2" xfId="33793"/>
    <cellStyle name="Обычный 32 2 2 5 3" xfId="33794"/>
    <cellStyle name="Обычный 32 2 2 6" xfId="33795"/>
    <cellStyle name="Обычный 32 2 2 6 2" xfId="33796"/>
    <cellStyle name="Обычный 32 2 2 7" xfId="33797"/>
    <cellStyle name="Обычный 32 2 2 7 2" xfId="33798"/>
    <cellStyle name="Обычный 32 2 2 8" xfId="33799"/>
    <cellStyle name="Обычный 32 2 3" xfId="33800"/>
    <cellStyle name="Обычный 32 2 3 2" xfId="33801"/>
    <cellStyle name="Обычный 32 2 3 2 2" xfId="33802"/>
    <cellStyle name="Обычный 32 2 3 2 2 2" xfId="33803"/>
    <cellStyle name="Обычный 32 2 3 2 3" xfId="33804"/>
    <cellStyle name="Обычный 32 2 3 2 3 2" xfId="33805"/>
    <cellStyle name="Обычный 32 2 3 2 4" xfId="33806"/>
    <cellStyle name="Обычный 32 2 3 3" xfId="33807"/>
    <cellStyle name="Обычный 32 2 3 3 2" xfId="33808"/>
    <cellStyle name="Обычный 32 2 3 3 2 2" xfId="33809"/>
    <cellStyle name="Обычный 32 2 3 3 3" xfId="33810"/>
    <cellStyle name="Обычный 32 2 3 4" xfId="33811"/>
    <cellStyle name="Обычный 32 2 3 4 2" xfId="33812"/>
    <cellStyle name="Обычный 32 2 3 5" xfId="33813"/>
    <cellStyle name="Обычный 32 2 3 5 2" xfId="33814"/>
    <cellStyle name="Обычный 32 2 3 6" xfId="33815"/>
    <cellStyle name="Обычный 32 2 4" xfId="33816"/>
    <cellStyle name="Обычный 32 2 4 2" xfId="33817"/>
    <cellStyle name="Обычный 32 2 4 2 2" xfId="33818"/>
    <cellStyle name="Обычный 32 2 4 2 2 2" xfId="33819"/>
    <cellStyle name="Обычный 32 2 4 2 3" xfId="33820"/>
    <cellStyle name="Обычный 32 2 4 3" xfId="33821"/>
    <cellStyle name="Обычный 32 2 4 3 2" xfId="33822"/>
    <cellStyle name="Обычный 32 2 4 3 2 2" xfId="33823"/>
    <cellStyle name="Обычный 32 2 4 3 3" xfId="33824"/>
    <cellStyle name="Обычный 32 2 4 4" xfId="33825"/>
    <cellStyle name="Обычный 32 2 4 4 2" xfId="33826"/>
    <cellStyle name="Обычный 32 2 4 5" xfId="33827"/>
    <cellStyle name="Обычный 32 2 4 5 2" xfId="33828"/>
    <cellStyle name="Обычный 32 2 4 6" xfId="33829"/>
    <cellStyle name="Обычный 32 2 5" xfId="33830"/>
    <cellStyle name="Обычный 32 2 5 2" xfId="33831"/>
    <cellStyle name="Обычный 32 2 5 2 2" xfId="33832"/>
    <cellStyle name="Обычный 32 2 5 3" xfId="33833"/>
    <cellStyle name="Обычный 32 2 6" xfId="33834"/>
    <cellStyle name="Обычный 32 2 6 2" xfId="33835"/>
    <cellStyle name="Обычный 32 2 6 2 2" xfId="33836"/>
    <cellStyle name="Обычный 32 2 6 3" xfId="33837"/>
    <cellStyle name="Обычный 32 2 7" xfId="33838"/>
    <cellStyle name="Обычный 32 2 7 2" xfId="33839"/>
    <cellStyle name="Обычный 32 2 8" xfId="33840"/>
    <cellStyle name="Обычный 32 2 8 2" xfId="33841"/>
    <cellStyle name="Обычный 32 2 9" xfId="33842"/>
    <cellStyle name="Обычный 32 3" xfId="33843"/>
    <cellStyle name="Обычный 32 3 2" xfId="33844"/>
    <cellStyle name="Обычный 32 3 2 2" xfId="33845"/>
    <cellStyle name="Обычный 32 3 3" xfId="33846"/>
    <cellStyle name="Обычный 32 3 3 2" xfId="33847"/>
    <cellStyle name="Обычный 32 3 3 2 2" xfId="33848"/>
    <cellStyle name="Обычный 32 3 3 2 2 2" xfId="33849"/>
    <cellStyle name="Обычный 32 3 3 2 3" xfId="33850"/>
    <cellStyle name="Обычный 32 3 3 3" xfId="33851"/>
    <cellStyle name="Обычный 32 3 3 3 2" xfId="33852"/>
    <cellStyle name="Обычный 32 3 3 3 2 2" xfId="33853"/>
    <cellStyle name="Обычный 32 3 3 3 3" xfId="33854"/>
    <cellStyle name="Обычный 32 3 3 4" xfId="33855"/>
    <cellStyle name="Обычный 32 3 3 4 2" xfId="33856"/>
    <cellStyle name="Обычный 32 3 4" xfId="33857"/>
    <cellStyle name="Обычный 32 3 4 2" xfId="33858"/>
    <cellStyle name="Обычный 32 3 4 2 2" xfId="33859"/>
    <cellStyle name="Обычный 32 3 4 2 2 2" xfId="33860"/>
    <cellStyle name="Обычный 32 3 4 2 3" xfId="33861"/>
    <cellStyle name="Обычный 32 3 4 3" xfId="33862"/>
    <cellStyle name="Обычный 32 3 4 3 2" xfId="33863"/>
    <cellStyle name="Обычный 32 3 4 3 2 2" xfId="33864"/>
    <cellStyle name="Обычный 32 3 4 3 3" xfId="33865"/>
    <cellStyle name="Обычный 32 3 4 4" xfId="33866"/>
    <cellStyle name="Обычный 32 3 4 4 2" xfId="33867"/>
    <cellStyle name="Обычный 32 3 4 5" xfId="33868"/>
    <cellStyle name="Обычный 32 3 5" xfId="33869"/>
    <cellStyle name="Обычный 32 3 5 2" xfId="33870"/>
    <cellStyle name="Обычный 32 3 5 2 2" xfId="33871"/>
    <cellStyle name="Обычный 32 3 5 3" xfId="33872"/>
    <cellStyle name="Обычный 32 3 6" xfId="33873"/>
    <cellStyle name="Обычный 32 3 6 2" xfId="33874"/>
    <cellStyle name="Обычный 32 3 6 2 2" xfId="33875"/>
    <cellStyle name="Обычный 32 3 6 3" xfId="33876"/>
    <cellStyle name="Обычный 32 3 7" xfId="33877"/>
    <cellStyle name="Обычный 32 3 7 2" xfId="33878"/>
    <cellStyle name="Обычный 32 3 8" xfId="33879"/>
    <cellStyle name="Обычный 32 4" xfId="33880"/>
    <cellStyle name="Обычный 32 4 2" xfId="33881"/>
    <cellStyle name="Обычный 32 4 2 2" xfId="33882"/>
    <cellStyle name="Обычный 32 4 2 3" xfId="33883"/>
    <cellStyle name="Обычный 32 4 3" xfId="33884"/>
    <cellStyle name="Обычный 32 4 3 2" xfId="33885"/>
    <cellStyle name="Обычный 32 4 3 2 2" xfId="33886"/>
    <cellStyle name="Обычный 32 4 3 3" xfId="33887"/>
    <cellStyle name="Обычный 32 4 3 3 2" xfId="33888"/>
    <cellStyle name="Обычный 32 4 3 4" xfId="33889"/>
    <cellStyle name="Обычный 32 4 4" xfId="33890"/>
    <cellStyle name="Обычный 32 4 4 2" xfId="33891"/>
    <cellStyle name="Обычный 32 4 4 2 2" xfId="33892"/>
    <cellStyle name="Обычный 32 4 5" xfId="33893"/>
    <cellStyle name="Обычный 32 4 5 2" xfId="33894"/>
    <cellStyle name="Обычный 32 4 6" xfId="33895"/>
    <cellStyle name="Обычный 32 4 6 2" xfId="33896"/>
    <cellStyle name="Обычный 32 5" xfId="33897"/>
    <cellStyle name="Обычный 32 5 2" xfId="33898"/>
    <cellStyle name="Обычный 32 5 2 2" xfId="33899"/>
    <cellStyle name="Обычный 32 5 2 2 2" xfId="33900"/>
    <cellStyle name="Обычный 32 5 2 2 2 2" xfId="33901"/>
    <cellStyle name="Обычный 32 5 2 2 3" xfId="33902"/>
    <cellStyle name="Обычный 32 5 2 3" xfId="33903"/>
    <cellStyle name="Обычный 32 5 2 3 2" xfId="33904"/>
    <cellStyle name="Обычный 32 5 2 3 2 2" xfId="33905"/>
    <cellStyle name="Обычный 32 5 2 3 3" xfId="33906"/>
    <cellStyle name="Обычный 32 5 2 4" xfId="33907"/>
    <cellStyle name="Обычный 32 5 2 4 2" xfId="33908"/>
    <cellStyle name="Обычный 32 5 2 5" xfId="33909"/>
    <cellStyle name="Обычный 32 5 3" xfId="33910"/>
    <cellStyle name="Обычный 32 5 3 2" xfId="33911"/>
    <cellStyle name="Обычный 32 5 3 2 2" xfId="33912"/>
    <cellStyle name="Обычный 32 5 3 2 2 2" xfId="33913"/>
    <cellStyle name="Обычный 32 5 3 2 3" xfId="33914"/>
    <cellStyle name="Обычный 32 5 3 3" xfId="33915"/>
    <cellStyle name="Обычный 32 5 3 3 2" xfId="33916"/>
    <cellStyle name="Обычный 32 5 3 3 2 2" xfId="33917"/>
    <cellStyle name="Обычный 32 5 3 3 3" xfId="33918"/>
    <cellStyle name="Обычный 32 5 3 4" xfId="33919"/>
    <cellStyle name="Обычный 32 5 3 4 2" xfId="33920"/>
    <cellStyle name="Обычный 32 5 3 5" xfId="33921"/>
    <cellStyle name="Обычный 32 5 4" xfId="33922"/>
    <cellStyle name="Обычный 32 5 4 2" xfId="33923"/>
    <cellStyle name="Обычный 32 5 4 2 2" xfId="33924"/>
    <cellStyle name="Обычный 32 5 4 3" xfId="33925"/>
    <cellStyle name="Обычный 32 5 5" xfId="33926"/>
    <cellStyle name="Обычный 32 5 5 2" xfId="33927"/>
    <cellStyle name="Обычный 32 5 5 2 2" xfId="33928"/>
    <cellStyle name="Обычный 32 5 5 3" xfId="33929"/>
    <cellStyle name="Обычный 32 5 6" xfId="33930"/>
    <cellStyle name="Обычный 32 5 6 2" xfId="33931"/>
    <cellStyle name="Обычный 32 5 7" xfId="33932"/>
    <cellStyle name="Обычный 32 5 7 2" xfId="33933"/>
    <cellStyle name="Обычный 32 5 8" xfId="33934"/>
    <cellStyle name="Обычный 32 6" xfId="33935"/>
    <cellStyle name="Обычный 32 6 2" xfId="33936"/>
    <cellStyle name="Обычный 32 6 2 2" xfId="33937"/>
    <cellStyle name="Обычный 32 6 2 2 2" xfId="33938"/>
    <cellStyle name="Обычный 32 6 2 3" xfId="33939"/>
    <cellStyle name="Обычный 32 6 3" xfId="33940"/>
    <cellStyle name="Обычный 32 6 3 2" xfId="33941"/>
    <cellStyle name="Обычный 32 6 3 2 2" xfId="33942"/>
    <cellStyle name="Обычный 32 6 3 3" xfId="33943"/>
    <cellStyle name="Обычный 32 6 4" xfId="33944"/>
    <cellStyle name="Обычный 32 6 4 2" xfId="33945"/>
    <cellStyle name="Обычный 32 6 5" xfId="33946"/>
    <cellStyle name="Обычный 32 6 5 2" xfId="33947"/>
    <cellStyle name="Обычный 32 6 6" xfId="33948"/>
    <cellStyle name="Обычный 32 7" xfId="33949"/>
    <cellStyle name="Обычный 32 7 2" xfId="33950"/>
    <cellStyle name="Обычный 32 7 2 2" xfId="33951"/>
    <cellStyle name="Обычный 32 7 2 2 2" xfId="33952"/>
    <cellStyle name="Обычный 32 7 2 3" xfId="33953"/>
    <cellStyle name="Обычный 32 7 3" xfId="33954"/>
    <cellStyle name="Обычный 32 7 3 2" xfId="33955"/>
    <cellStyle name="Обычный 32 7 3 2 2" xfId="33956"/>
    <cellStyle name="Обычный 32 7 3 3" xfId="33957"/>
    <cellStyle name="Обычный 32 7 4" xfId="33958"/>
    <cellStyle name="Обычный 32 7 4 2" xfId="33959"/>
    <cellStyle name="Обычный 32 7 5" xfId="33960"/>
    <cellStyle name="Обычный 32 7 5 2" xfId="33961"/>
    <cellStyle name="Обычный 32 7 6" xfId="33962"/>
    <cellStyle name="Обычный 32 8" xfId="33963"/>
    <cellStyle name="Обычный 32 8 2" xfId="33964"/>
    <cellStyle name="Обычный 32 8 2 2" xfId="33965"/>
    <cellStyle name="Обычный 32 8 3" xfId="33966"/>
    <cellStyle name="Обычный 32 8 3 2" xfId="33967"/>
    <cellStyle name="Обычный 32 8 4" xfId="33968"/>
    <cellStyle name="Обычный 32 9" xfId="33969"/>
    <cellStyle name="Обычный 32 9 2" xfId="33970"/>
    <cellStyle name="Обычный 32 9 2 2" xfId="33971"/>
    <cellStyle name="Обычный 32 9 3" xfId="33972"/>
    <cellStyle name="Обычный 33" xfId="33973"/>
    <cellStyle name="Обычный 33 10" xfId="33974"/>
    <cellStyle name="Обычный 33 2" xfId="33975"/>
    <cellStyle name="Обычный 33 2 2" xfId="33976"/>
    <cellStyle name="Обычный 33 2 2 2" xfId="33977"/>
    <cellStyle name="Обычный 33 2 2 2 2" xfId="33978"/>
    <cellStyle name="Обычный 33 2 2 2 2 2" xfId="33979"/>
    <cellStyle name="Обычный 33 2 2 2 2 2 2" xfId="33980"/>
    <cellStyle name="Обычный 33 2 2 2 2 3" xfId="33981"/>
    <cellStyle name="Обычный 33 2 2 2 2 3 2" xfId="33982"/>
    <cellStyle name="Обычный 33 2 2 2 2 4" xfId="33983"/>
    <cellStyle name="Обычный 33 2 2 2 3" xfId="33984"/>
    <cellStyle name="Обычный 33 2 2 2 3 2" xfId="33985"/>
    <cellStyle name="Обычный 33 2 2 2 3 2 2" xfId="33986"/>
    <cellStyle name="Обычный 33 2 2 2 3 3" xfId="33987"/>
    <cellStyle name="Обычный 33 2 2 2 4" xfId="33988"/>
    <cellStyle name="Обычный 33 2 2 2 4 2" xfId="33989"/>
    <cellStyle name="Обычный 33 2 2 2 5" xfId="33990"/>
    <cellStyle name="Обычный 33 2 2 2 5 2" xfId="33991"/>
    <cellStyle name="Обычный 33 2 2 2 6" xfId="33992"/>
    <cellStyle name="Обычный 33 2 2 3" xfId="33993"/>
    <cellStyle name="Обычный 33 2 2 3 2" xfId="33994"/>
    <cellStyle name="Обычный 33 2 2 3 2 2" xfId="33995"/>
    <cellStyle name="Обычный 33 2 2 3 2 2 2" xfId="33996"/>
    <cellStyle name="Обычный 33 2 2 3 2 3" xfId="33997"/>
    <cellStyle name="Обычный 33 2 2 3 3" xfId="33998"/>
    <cellStyle name="Обычный 33 2 2 3 3 2" xfId="33999"/>
    <cellStyle name="Обычный 33 2 2 3 3 2 2" xfId="34000"/>
    <cellStyle name="Обычный 33 2 2 3 3 3" xfId="34001"/>
    <cellStyle name="Обычный 33 2 2 3 4" xfId="34002"/>
    <cellStyle name="Обычный 33 2 2 3 4 2" xfId="34003"/>
    <cellStyle name="Обычный 33 2 2 3 5" xfId="34004"/>
    <cellStyle name="Обычный 33 2 2 3 5 2" xfId="34005"/>
    <cellStyle name="Обычный 33 2 2 3 6" xfId="34006"/>
    <cellStyle name="Обычный 33 2 2 4" xfId="34007"/>
    <cellStyle name="Обычный 33 2 2 4 2" xfId="34008"/>
    <cellStyle name="Обычный 33 2 2 4 2 2" xfId="34009"/>
    <cellStyle name="Обычный 33 2 2 4 3" xfId="34010"/>
    <cellStyle name="Обычный 33 2 2 4 3 2" xfId="34011"/>
    <cellStyle name="Обычный 33 2 2 4 4" xfId="34012"/>
    <cellStyle name="Обычный 33 2 2 5" xfId="34013"/>
    <cellStyle name="Обычный 33 2 2 5 2" xfId="34014"/>
    <cellStyle name="Обычный 33 2 2 5 2 2" xfId="34015"/>
    <cellStyle name="Обычный 33 2 2 5 3" xfId="34016"/>
    <cellStyle name="Обычный 33 2 2 6" xfId="34017"/>
    <cellStyle name="Обычный 33 2 2 6 2" xfId="34018"/>
    <cellStyle name="Обычный 33 2 2 7" xfId="34019"/>
    <cellStyle name="Обычный 33 2 2 7 2" xfId="34020"/>
    <cellStyle name="Обычный 33 2 2 8" xfId="34021"/>
    <cellStyle name="Обычный 33 2 3" xfId="34022"/>
    <cellStyle name="Обычный 33 2 3 2" xfId="34023"/>
    <cellStyle name="Обычный 33 2 3 2 2" xfId="34024"/>
    <cellStyle name="Обычный 33 2 3 2 2 2" xfId="34025"/>
    <cellStyle name="Обычный 33 2 3 2 3" xfId="34026"/>
    <cellStyle name="Обычный 33 2 3 3" xfId="34027"/>
    <cellStyle name="Обычный 33 2 3 3 2" xfId="34028"/>
    <cellStyle name="Обычный 33 2 3 3 2 2" xfId="34029"/>
    <cellStyle name="Обычный 33 2 3 3 3" xfId="34030"/>
    <cellStyle name="Обычный 33 2 3 4" xfId="34031"/>
    <cellStyle name="Обычный 33 2 3 4 2" xfId="34032"/>
    <cellStyle name="Обычный 33 2 3 5" xfId="34033"/>
    <cellStyle name="Обычный 33 2 3 5 2" xfId="34034"/>
    <cellStyle name="Обычный 33 2 3 6" xfId="34035"/>
    <cellStyle name="Обычный 33 2 4" xfId="34036"/>
    <cellStyle name="Обычный 33 2 4 2" xfId="34037"/>
    <cellStyle name="Обычный 33 2 4 2 2" xfId="34038"/>
    <cellStyle name="Обычный 33 2 4 2 2 2" xfId="34039"/>
    <cellStyle name="Обычный 33 2 4 2 3" xfId="34040"/>
    <cellStyle name="Обычный 33 2 4 3" xfId="34041"/>
    <cellStyle name="Обычный 33 2 4 3 2" xfId="34042"/>
    <cellStyle name="Обычный 33 2 4 3 2 2" xfId="34043"/>
    <cellStyle name="Обычный 33 2 4 3 3" xfId="34044"/>
    <cellStyle name="Обычный 33 2 4 4" xfId="34045"/>
    <cellStyle name="Обычный 33 2 4 4 2" xfId="34046"/>
    <cellStyle name="Обычный 33 2 4 5" xfId="34047"/>
    <cellStyle name="Обычный 33 2 4 5 2" xfId="34048"/>
    <cellStyle name="Обычный 33 2 4 6" xfId="34049"/>
    <cellStyle name="Обычный 33 2 5" xfId="34050"/>
    <cellStyle name="Обычный 33 2 5 2" xfId="34051"/>
    <cellStyle name="Обычный 33 2 5 2 2" xfId="34052"/>
    <cellStyle name="Обычный 33 2 5 3" xfId="34053"/>
    <cellStyle name="Обычный 33 2 5 3 2" xfId="34054"/>
    <cellStyle name="Обычный 33 2 5 4" xfId="34055"/>
    <cellStyle name="Обычный 33 2 6" xfId="34056"/>
    <cellStyle name="Обычный 33 2 6 2" xfId="34057"/>
    <cellStyle name="Обычный 33 2 6 2 2" xfId="34058"/>
    <cellStyle name="Обычный 33 2 7" xfId="34059"/>
    <cellStyle name="Обычный 33 2 7 2" xfId="34060"/>
    <cellStyle name="Обычный 33 2 8" xfId="34061"/>
    <cellStyle name="Обычный 33 2 9" xfId="34062"/>
    <cellStyle name="Обычный 33 3" xfId="34063"/>
    <cellStyle name="Обычный 33 3 2" xfId="34064"/>
    <cellStyle name="Обычный 33 3 2 2" xfId="34065"/>
    <cellStyle name="Обычный 33 3 2 2 2" xfId="34066"/>
    <cellStyle name="Обычный 33 3 2 2 2 2" xfId="34067"/>
    <cellStyle name="Обычный 33 3 2 2 3" xfId="34068"/>
    <cellStyle name="Обычный 33 3 2 2 3 2" xfId="34069"/>
    <cellStyle name="Обычный 33 3 2 2 4" xfId="34070"/>
    <cellStyle name="Обычный 33 3 2 3" xfId="34071"/>
    <cellStyle name="Обычный 33 3 2 3 2" xfId="34072"/>
    <cellStyle name="Обычный 33 3 2 3 2 2" xfId="34073"/>
    <cellStyle name="Обычный 33 3 2 3 3" xfId="34074"/>
    <cellStyle name="Обычный 33 3 2 4" xfId="34075"/>
    <cellStyle name="Обычный 33 3 2 4 2" xfId="34076"/>
    <cellStyle name="Обычный 33 3 2 5" xfId="34077"/>
    <cellStyle name="Обычный 33 3 2 6" xfId="34078"/>
    <cellStyle name="Обычный 33 3 3" xfId="34079"/>
    <cellStyle name="Обычный 33 3 3 2" xfId="34080"/>
    <cellStyle name="Обычный 33 3 3 2 2" xfId="34081"/>
    <cellStyle name="Обычный 33 3 3 2 2 2" xfId="34082"/>
    <cellStyle name="Обычный 33 3 3 2 3" xfId="34083"/>
    <cellStyle name="Обычный 33 3 3 2 3 2" xfId="34084"/>
    <cellStyle name="Обычный 33 3 3 2 4" xfId="34085"/>
    <cellStyle name="Обычный 33 3 3 3" xfId="34086"/>
    <cellStyle name="Обычный 33 3 3 3 2" xfId="34087"/>
    <cellStyle name="Обычный 33 3 3 3 2 2" xfId="34088"/>
    <cellStyle name="Обычный 33 3 3 3 3" xfId="34089"/>
    <cellStyle name="Обычный 33 3 3 4" xfId="34090"/>
    <cellStyle name="Обычный 33 3 3 4 2" xfId="34091"/>
    <cellStyle name="Обычный 33 3 3 5" xfId="34092"/>
    <cellStyle name="Обычный 33 3 3 5 2" xfId="34093"/>
    <cellStyle name="Обычный 33 3 3 6" xfId="34094"/>
    <cellStyle name="Обычный 33 3 4" xfId="34095"/>
    <cellStyle name="Обычный 33 3 4 2" xfId="34096"/>
    <cellStyle name="Обычный 33 3 4 2 2" xfId="34097"/>
    <cellStyle name="Обычный 33 3 4 3" xfId="34098"/>
    <cellStyle name="Обычный 33 3 4 3 2" xfId="34099"/>
    <cellStyle name="Обычный 33 3 4 4" xfId="34100"/>
    <cellStyle name="Обычный 33 3 5" xfId="34101"/>
    <cellStyle name="Обычный 33 3 5 2" xfId="34102"/>
    <cellStyle name="Обычный 33 3 5 2 2" xfId="34103"/>
    <cellStyle name="Обычный 33 3 5 3" xfId="34104"/>
    <cellStyle name="Обычный 33 3 6" xfId="34105"/>
    <cellStyle name="Обычный 33 3 6 2" xfId="34106"/>
    <cellStyle name="Обычный 33 3 7" xfId="34107"/>
    <cellStyle name="Обычный 33 3 7 2" xfId="34108"/>
    <cellStyle name="Обычный 33 3 8" xfId="34109"/>
    <cellStyle name="Обычный 33 4" xfId="34110"/>
    <cellStyle name="Обычный 33 4 2" xfId="34111"/>
    <cellStyle name="Обычный 33 4 2 2" xfId="34112"/>
    <cellStyle name="Обычный 33 4 2 2 2" xfId="34113"/>
    <cellStyle name="Обычный 33 4 2 2 2 2" xfId="34114"/>
    <cellStyle name="Обычный 33 4 2 2 3" xfId="34115"/>
    <cellStyle name="Обычный 33 4 2 3" xfId="34116"/>
    <cellStyle name="Обычный 33 4 2 3 2" xfId="34117"/>
    <cellStyle name="Обычный 33 4 2 3 2 2" xfId="34118"/>
    <cellStyle name="Обычный 33 4 2 3 3" xfId="34119"/>
    <cellStyle name="Обычный 33 4 2 4" xfId="34120"/>
    <cellStyle name="Обычный 33 4 2 4 2" xfId="34121"/>
    <cellStyle name="Обычный 33 4 2 5" xfId="34122"/>
    <cellStyle name="Обычный 33 4 3" xfId="34123"/>
    <cellStyle name="Обычный 33 4 3 2" xfId="34124"/>
    <cellStyle name="Обычный 33 4 3 2 2" xfId="34125"/>
    <cellStyle name="Обычный 33 4 3 2 2 2" xfId="34126"/>
    <cellStyle name="Обычный 33 4 3 2 3" xfId="34127"/>
    <cellStyle name="Обычный 33 4 3 3" xfId="34128"/>
    <cellStyle name="Обычный 33 4 3 3 2" xfId="34129"/>
    <cellStyle name="Обычный 33 4 3 3 2 2" xfId="34130"/>
    <cellStyle name="Обычный 33 4 3 3 3" xfId="34131"/>
    <cellStyle name="Обычный 33 4 3 4" xfId="34132"/>
    <cellStyle name="Обычный 33 4 3 4 2" xfId="34133"/>
    <cellStyle name="Обычный 33 4 3 5" xfId="34134"/>
    <cellStyle name="Обычный 33 4 4" xfId="34135"/>
    <cellStyle name="Обычный 33 4 4 2" xfId="34136"/>
    <cellStyle name="Обычный 33 4 4 2 2" xfId="34137"/>
    <cellStyle name="Обычный 33 4 4 3" xfId="34138"/>
    <cellStyle name="Обычный 33 4 5" xfId="34139"/>
    <cellStyle name="Обычный 33 4 5 2" xfId="34140"/>
    <cellStyle name="Обычный 33 4 5 2 2" xfId="34141"/>
    <cellStyle name="Обычный 33 4 5 3" xfId="34142"/>
    <cellStyle name="Обычный 33 4 6" xfId="34143"/>
    <cellStyle name="Обычный 33 4 6 2" xfId="34144"/>
    <cellStyle name="Обычный 33 4 7" xfId="34145"/>
    <cellStyle name="Обычный 33 4 7 2" xfId="34146"/>
    <cellStyle name="Обычный 33 4 8" xfId="34147"/>
    <cellStyle name="Обычный 33 5" xfId="34148"/>
    <cellStyle name="Обычный 33 5 2" xfId="34149"/>
    <cellStyle name="Обычный 33 5 2 2" xfId="34150"/>
    <cellStyle name="Обычный 33 5 2 2 2" xfId="34151"/>
    <cellStyle name="Обычный 33 5 2 3" xfId="34152"/>
    <cellStyle name="Обычный 33 5 3" xfId="34153"/>
    <cellStyle name="Обычный 33 5 3 2" xfId="34154"/>
    <cellStyle name="Обычный 33 5 3 2 2" xfId="34155"/>
    <cellStyle name="Обычный 33 5 3 3" xfId="34156"/>
    <cellStyle name="Обычный 33 5 4" xfId="34157"/>
    <cellStyle name="Обычный 33 5 4 2" xfId="34158"/>
    <cellStyle name="Обычный 33 6" xfId="34159"/>
    <cellStyle name="Обычный 33 6 2" xfId="34160"/>
    <cellStyle name="Обычный 33 6 2 2" xfId="34161"/>
    <cellStyle name="Обычный 33 6 2 2 2" xfId="34162"/>
    <cellStyle name="Обычный 33 6 2 3" xfId="34163"/>
    <cellStyle name="Обычный 33 6 3" xfId="34164"/>
    <cellStyle name="Обычный 33 6 3 2" xfId="34165"/>
    <cellStyle name="Обычный 33 6 3 2 2" xfId="34166"/>
    <cellStyle name="Обычный 33 6 3 3" xfId="34167"/>
    <cellStyle name="Обычный 33 6 4" xfId="34168"/>
    <cellStyle name="Обычный 33 6 4 2" xfId="34169"/>
    <cellStyle name="Обычный 33 6 5" xfId="34170"/>
    <cellStyle name="Обычный 33 7" xfId="34171"/>
    <cellStyle name="Обычный 33 7 2" xfId="34172"/>
    <cellStyle name="Обычный 33 7 2 2" xfId="34173"/>
    <cellStyle name="Обычный 33 8" xfId="34174"/>
    <cellStyle name="Обычный 33 8 2" xfId="34175"/>
    <cellStyle name="Обычный 33 8 2 2" xfId="34176"/>
    <cellStyle name="Обычный 33 8 3" xfId="34177"/>
    <cellStyle name="Обычный 33 9" xfId="34178"/>
    <cellStyle name="Обычный 33 9 2" xfId="34179"/>
    <cellStyle name="Обычный 34" xfId="34180"/>
    <cellStyle name="Обычный 34 10" xfId="34181"/>
    <cellStyle name="Обычный 34 10 2" xfId="34182"/>
    <cellStyle name="Обычный 34 10 2 2" xfId="34183"/>
    <cellStyle name="Обычный 34 10 2 2 2" xfId="34184"/>
    <cellStyle name="Обычный 34 10 2 2 2 2" xfId="34185"/>
    <cellStyle name="Обычный 34 10 2 2 3" xfId="34186"/>
    <cellStyle name="Обычный 34 10 2 2 3 2" xfId="34187"/>
    <cellStyle name="Обычный 34 10 2 2 4" xfId="34188"/>
    <cellStyle name="Обычный 34 10 2 3" xfId="34189"/>
    <cellStyle name="Обычный 34 10 2 3 2" xfId="34190"/>
    <cellStyle name="Обычный 34 10 2 3 2 2" xfId="34191"/>
    <cellStyle name="Обычный 34 10 2 3 3" xfId="34192"/>
    <cellStyle name="Обычный 34 10 2 4" xfId="34193"/>
    <cellStyle name="Обычный 34 10 2 4 2" xfId="34194"/>
    <cellStyle name="Обычный 34 10 2 5" xfId="34195"/>
    <cellStyle name="Обычный 34 10 2 5 2" xfId="34196"/>
    <cellStyle name="Обычный 34 10 2 6" xfId="34197"/>
    <cellStyle name="Обычный 34 10 3" xfId="34198"/>
    <cellStyle name="Обычный 34 10 3 2" xfId="34199"/>
    <cellStyle name="Обычный 34 10 3 2 2" xfId="34200"/>
    <cellStyle name="Обычный 34 10 3 2 2 2" xfId="34201"/>
    <cellStyle name="Обычный 34 10 3 2 3" xfId="34202"/>
    <cellStyle name="Обычный 34 10 3 3" xfId="34203"/>
    <cellStyle name="Обычный 34 10 3 3 2" xfId="34204"/>
    <cellStyle name="Обычный 34 10 3 3 2 2" xfId="34205"/>
    <cellStyle name="Обычный 34 10 3 3 3" xfId="34206"/>
    <cellStyle name="Обычный 34 10 3 4" xfId="34207"/>
    <cellStyle name="Обычный 34 10 3 4 2" xfId="34208"/>
    <cellStyle name="Обычный 34 10 3 5" xfId="34209"/>
    <cellStyle name="Обычный 34 10 3 5 2" xfId="34210"/>
    <cellStyle name="Обычный 34 10 3 6" xfId="34211"/>
    <cellStyle name="Обычный 34 10 4" xfId="34212"/>
    <cellStyle name="Обычный 34 10 4 2" xfId="34213"/>
    <cellStyle name="Обычный 34 10 4 2 2" xfId="34214"/>
    <cellStyle name="Обычный 34 10 4 3" xfId="34215"/>
    <cellStyle name="Обычный 34 10 4 3 2" xfId="34216"/>
    <cellStyle name="Обычный 34 10 4 4" xfId="34217"/>
    <cellStyle name="Обычный 34 10 5" xfId="34218"/>
    <cellStyle name="Обычный 34 10 5 2" xfId="34219"/>
    <cellStyle name="Обычный 34 10 5 2 2" xfId="34220"/>
    <cellStyle name="Обычный 34 10 5 3" xfId="34221"/>
    <cellStyle name="Обычный 34 10 6" xfId="34222"/>
    <cellStyle name="Обычный 34 10 6 2" xfId="34223"/>
    <cellStyle name="Обычный 34 10 7" xfId="34224"/>
    <cellStyle name="Обычный 34 10 7 2" xfId="34225"/>
    <cellStyle name="Обычный 34 10 8" xfId="34226"/>
    <cellStyle name="Обычный 34 11" xfId="34227"/>
    <cellStyle name="Обычный 34 11 2" xfId="34228"/>
    <cellStyle name="Обычный 34 11 2 2" xfId="34229"/>
    <cellStyle name="Обычный 34 11 2 2 2" xfId="34230"/>
    <cellStyle name="Обычный 34 11 2 2 2 2" xfId="34231"/>
    <cellStyle name="Обычный 34 11 2 2 3" xfId="34232"/>
    <cellStyle name="Обычный 34 11 2 2 3 2" xfId="34233"/>
    <cellStyle name="Обычный 34 11 2 2 4" xfId="34234"/>
    <cellStyle name="Обычный 34 11 2 3" xfId="34235"/>
    <cellStyle name="Обычный 34 11 2 3 2" xfId="34236"/>
    <cellStyle name="Обычный 34 11 2 3 2 2" xfId="34237"/>
    <cellStyle name="Обычный 34 11 2 3 3" xfId="34238"/>
    <cellStyle name="Обычный 34 11 2 4" xfId="34239"/>
    <cellStyle name="Обычный 34 11 2 4 2" xfId="34240"/>
    <cellStyle name="Обычный 34 11 2 5" xfId="34241"/>
    <cellStyle name="Обычный 34 11 2 5 2" xfId="34242"/>
    <cellStyle name="Обычный 34 11 2 6" xfId="34243"/>
    <cellStyle name="Обычный 34 11 3" xfId="34244"/>
    <cellStyle name="Обычный 34 11 3 2" xfId="34245"/>
    <cellStyle name="Обычный 34 11 3 2 2" xfId="34246"/>
    <cellStyle name="Обычный 34 11 3 2 2 2" xfId="34247"/>
    <cellStyle name="Обычный 34 11 3 2 3" xfId="34248"/>
    <cellStyle name="Обычный 34 11 3 3" xfId="34249"/>
    <cellStyle name="Обычный 34 11 3 3 2" xfId="34250"/>
    <cellStyle name="Обычный 34 11 3 3 2 2" xfId="34251"/>
    <cellStyle name="Обычный 34 11 3 3 3" xfId="34252"/>
    <cellStyle name="Обычный 34 11 3 4" xfId="34253"/>
    <cellStyle name="Обычный 34 11 3 4 2" xfId="34254"/>
    <cellStyle name="Обычный 34 11 3 5" xfId="34255"/>
    <cellStyle name="Обычный 34 11 3 5 2" xfId="34256"/>
    <cellStyle name="Обычный 34 11 3 6" xfId="34257"/>
    <cellStyle name="Обычный 34 11 4" xfId="34258"/>
    <cellStyle name="Обычный 34 11 4 2" xfId="34259"/>
    <cellStyle name="Обычный 34 11 4 2 2" xfId="34260"/>
    <cellStyle name="Обычный 34 11 4 3" xfId="34261"/>
    <cellStyle name="Обычный 34 11 4 3 2" xfId="34262"/>
    <cellStyle name="Обычный 34 11 4 4" xfId="34263"/>
    <cellStyle name="Обычный 34 11 5" xfId="34264"/>
    <cellStyle name="Обычный 34 11 5 2" xfId="34265"/>
    <cellStyle name="Обычный 34 11 5 2 2" xfId="34266"/>
    <cellStyle name="Обычный 34 11 5 3" xfId="34267"/>
    <cellStyle name="Обычный 34 11 6" xfId="34268"/>
    <cellStyle name="Обычный 34 11 6 2" xfId="34269"/>
    <cellStyle name="Обычный 34 11 7" xfId="34270"/>
    <cellStyle name="Обычный 34 11 7 2" xfId="34271"/>
    <cellStyle name="Обычный 34 11 8" xfId="34272"/>
    <cellStyle name="Обычный 34 12" xfId="34273"/>
    <cellStyle name="Обычный 34 12 2" xfId="34274"/>
    <cellStyle name="Обычный 34 12 2 2" xfId="34275"/>
    <cellStyle name="Обычный 34 12 2 2 2" xfId="34276"/>
    <cellStyle name="Обычный 34 12 2 2 2 2" xfId="34277"/>
    <cellStyle name="Обычный 34 12 2 2 3" xfId="34278"/>
    <cellStyle name="Обычный 34 12 2 2 3 2" xfId="34279"/>
    <cellStyle name="Обычный 34 12 2 2 4" xfId="34280"/>
    <cellStyle name="Обычный 34 12 2 3" xfId="34281"/>
    <cellStyle name="Обычный 34 12 2 3 2" xfId="34282"/>
    <cellStyle name="Обычный 34 12 2 3 2 2" xfId="34283"/>
    <cellStyle name="Обычный 34 12 2 3 3" xfId="34284"/>
    <cellStyle name="Обычный 34 12 2 4" xfId="34285"/>
    <cellStyle name="Обычный 34 12 2 4 2" xfId="34286"/>
    <cellStyle name="Обычный 34 12 2 5" xfId="34287"/>
    <cellStyle name="Обычный 34 12 2 5 2" xfId="34288"/>
    <cellStyle name="Обычный 34 12 2 6" xfId="34289"/>
    <cellStyle name="Обычный 34 12 3" xfId="34290"/>
    <cellStyle name="Обычный 34 12 3 2" xfId="34291"/>
    <cellStyle name="Обычный 34 12 3 2 2" xfId="34292"/>
    <cellStyle name="Обычный 34 12 3 2 2 2" xfId="34293"/>
    <cellStyle name="Обычный 34 12 3 2 3" xfId="34294"/>
    <cellStyle name="Обычный 34 12 3 3" xfId="34295"/>
    <cellStyle name="Обычный 34 12 3 3 2" xfId="34296"/>
    <cellStyle name="Обычный 34 12 3 3 2 2" xfId="34297"/>
    <cellStyle name="Обычный 34 12 3 3 3" xfId="34298"/>
    <cellStyle name="Обычный 34 12 3 4" xfId="34299"/>
    <cellStyle name="Обычный 34 12 3 4 2" xfId="34300"/>
    <cellStyle name="Обычный 34 12 3 5" xfId="34301"/>
    <cellStyle name="Обычный 34 12 3 5 2" xfId="34302"/>
    <cellStyle name="Обычный 34 12 3 6" xfId="34303"/>
    <cellStyle name="Обычный 34 12 4" xfId="34304"/>
    <cellStyle name="Обычный 34 12 4 2" xfId="34305"/>
    <cellStyle name="Обычный 34 12 4 2 2" xfId="34306"/>
    <cellStyle name="Обычный 34 12 4 3" xfId="34307"/>
    <cellStyle name="Обычный 34 12 4 3 2" xfId="34308"/>
    <cellStyle name="Обычный 34 12 4 4" xfId="34309"/>
    <cellStyle name="Обычный 34 12 5" xfId="34310"/>
    <cellStyle name="Обычный 34 12 5 2" xfId="34311"/>
    <cellStyle name="Обычный 34 12 5 2 2" xfId="34312"/>
    <cellStyle name="Обычный 34 12 5 3" xfId="34313"/>
    <cellStyle name="Обычный 34 12 6" xfId="34314"/>
    <cellStyle name="Обычный 34 12 6 2" xfId="34315"/>
    <cellStyle name="Обычный 34 12 7" xfId="34316"/>
    <cellStyle name="Обычный 34 12 7 2" xfId="34317"/>
    <cellStyle name="Обычный 34 12 8" xfId="34318"/>
    <cellStyle name="Обычный 34 13" xfId="34319"/>
    <cellStyle name="Обычный 34 13 2" xfId="34320"/>
    <cellStyle name="Обычный 34 13 2 2" xfId="34321"/>
    <cellStyle name="Обычный 34 13 2 2 2" xfId="34322"/>
    <cellStyle name="Обычный 34 13 2 3" xfId="34323"/>
    <cellStyle name="Обычный 34 13 2 3 2" xfId="34324"/>
    <cellStyle name="Обычный 34 13 2 4" xfId="34325"/>
    <cellStyle name="Обычный 34 13 3" xfId="34326"/>
    <cellStyle name="Обычный 34 13 3 2" xfId="34327"/>
    <cellStyle name="Обычный 34 13 3 2 2" xfId="34328"/>
    <cellStyle name="Обычный 34 13 3 3" xfId="34329"/>
    <cellStyle name="Обычный 34 13 3 3 2" xfId="34330"/>
    <cellStyle name="Обычный 34 13 3 4" xfId="34331"/>
    <cellStyle name="Обычный 34 13 4" xfId="34332"/>
    <cellStyle name="Обычный 34 13 4 2" xfId="34333"/>
    <cellStyle name="Обычный 34 13 5" xfId="34334"/>
    <cellStyle name="Обычный 34 13 5 2" xfId="34335"/>
    <cellStyle name="Обычный 34 13 6" xfId="34336"/>
    <cellStyle name="Обычный 34 14" xfId="34337"/>
    <cellStyle name="Обычный 34 14 2" xfId="34338"/>
    <cellStyle name="Обычный 34 14 2 2" xfId="34339"/>
    <cellStyle name="Обычный 34 14 2 2 2" xfId="34340"/>
    <cellStyle name="Обычный 34 14 2 3" xfId="34341"/>
    <cellStyle name="Обычный 34 14 2 3 2" xfId="34342"/>
    <cellStyle name="Обычный 34 14 2 4" xfId="34343"/>
    <cellStyle name="Обычный 34 14 3" xfId="34344"/>
    <cellStyle name="Обычный 34 14 3 2" xfId="34345"/>
    <cellStyle name="Обычный 34 14 3 2 2" xfId="34346"/>
    <cellStyle name="Обычный 34 14 3 3" xfId="34347"/>
    <cellStyle name="Обычный 34 14 4" xfId="34348"/>
    <cellStyle name="Обычный 34 14 4 2" xfId="34349"/>
    <cellStyle name="Обычный 34 14 5" xfId="34350"/>
    <cellStyle name="Обычный 34 14 5 2" xfId="34351"/>
    <cellStyle name="Обычный 34 14 6" xfId="34352"/>
    <cellStyle name="Обычный 34 15" xfId="34353"/>
    <cellStyle name="Обычный 34 15 2" xfId="34354"/>
    <cellStyle name="Обычный 34 15 2 2" xfId="34355"/>
    <cellStyle name="Обычный 34 15 3" xfId="34356"/>
    <cellStyle name="Обычный 34 15 3 2" xfId="34357"/>
    <cellStyle name="Обычный 34 15 4" xfId="34358"/>
    <cellStyle name="Обычный 34 16" xfId="34359"/>
    <cellStyle name="Обычный 34 16 2" xfId="34360"/>
    <cellStyle name="Обычный 34 16 2 2" xfId="34361"/>
    <cellStyle name="Обычный 34 16 3" xfId="34362"/>
    <cellStyle name="Обычный 34 16 3 2" xfId="34363"/>
    <cellStyle name="Обычный 34 16 4" xfId="34364"/>
    <cellStyle name="Обычный 34 17" xfId="34365"/>
    <cellStyle name="Обычный 34 17 2" xfId="34366"/>
    <cellStyle name="Обычный 34 17 2 2" xfId="34367"/>
    <cellStyle name="Обычный 34 17 3" xfId="34368"/>
    <cellStyle name="Обычный 34 17 3 2" xfId="34369"/>
    <cellStyle name="Обычный 34 17 4" xfId="34370"/>
    <cellStyle name="Обычный 34 18" xfId="34371"/>
    <cellStyle name="Обычный 34 18 2" xfId="34372"/>
    <cellStyle name="Обычный 34 18 2 2" xfId="34373"/>
    <cellStyle name="Обычный 34 18 3" xfId="34374"/>
    <cellStyle name="Обычный 34 18 3 2" xfId="34375"/>
    <cellStyle name="Обычный 34 18 4" xfId="34376"/>
    <cellStyle name="Обычный 34 19" xfId="34377"/>
    <cellStyle name="Обычный 34 19 2" xfId="34378"/>
    <cellStyle name="Обычный 34 19 2 2" xfId="34379"/>
    <cellStyle name="Обычный 34 19 3" xfId="34380"/>
    <cellStyle name="Обычный 34 19 3 2" xfId="34381"/>
    <cellStyle name="Обычный 34 19 4" xfId="34382"/>
    <cellStyle name="Обычный 34 2" xfId="34383"/>
    <cellStyle name="Обычный 34 2 10" xfId="34384"/>
    <cellStyle name="Обычный 34 2 10 2" xfId="34385"/>
    <cellStyle name="Обычный 34 2 11" xfId="34386"/>
    <cellStyle name="Обычный 34 2 2" xfId="34387"/>
    <cellStyle name="Обычный 34 2 2 2" xfId="34388"/>
    <cellStyle name="Обычный 34 2 2 2 2" xfId="34389"/>
    <cellStyle name="Обычный 34 2 2 2 2 2" xfId="34390"/>
    <cellStyle name="Обычный 34 2 2 2 2 2 2" xfId="34391"/>
    <cellStyle name="Обычный 34 2 2 2 2 2 2 2" xfId="34392"/>
    <cellStyle name="Обычный 34 2 2 2 2 2 3" xfId="34393"/>
    <cellStyle name="Обычный 34 2 2 2 2 3" xfId="34394"/>
    <cellStyle name="Обычный 34 2 2 2 2 3 2" xfId="34395"/>
    <cellStyle name="Обычный 34 2 2 2 2 3 2 2" xfId="34396"/>
    <cellStyle name="Обычный 34 2 2 2 2 3 3" xfId="34397"/>
    <cellStyle name="Обычный 34 2 2 2 2 4" xfId="34398"/>
    <cellStyle name="Обычный 34 2 2 2 2 4 2" xfId="34399"/>
    <cellStyle name="Обычный 34 2 2 2 2 5" xfId="34400"/>
    <cellStyle name="Обычный 34 2 2 2 2 5 2" xfId="34401"/>
    <cellStyle name="Обычный 34 2 2 2 2 6" xfId="34402"/>
    <cellStyle name="Обычный 34 2 2 2 3" xfId="34403"/>
    <cellStyle name="Обычный 34 2 2 2 3 2" xfId="34404"/>
    <cellStyle name="Обычный 34 2 2 2 3 2 2" xfId="34405"/>
    <cellStyle name="Обычный 34 2 2 2 3 2 2 2" xfId="34406"/>
    <cellStyle name="Обычный 34 2 2 2 3 2 3" xfId="34407"/>
    <cellStyle name="Обычный 34 2 2 2 3 3" xfId="34408"/>
    <cellStyle name="Обычный 34 2 2 2 3 3 2" xfId="34409"/>
    <cellStyle name="Обычный 34 2 2 2 3 3 2 2" xfId="34410"/>
    <cellStyle name="Обычный 34 2 2 2 3 3 3" xfId="34411"/>
    <cellStyle name="Обычный 34 2 2 2 3 4" xfId="34412"/>
    <cellStyle name="Обычный 34 2 2 2 3 4 2" xfId="34413"/>
    <cellStyle name="Обычный 34 2 2 2 3 5" xfId="34414"/>
    <cellStyle name="Обычный 34 2 2 2 4" xfId="34415"/>
    <cellStyle name="Обычный 34 2 2 2 4 2" xfId="34416"/>
    <cellStyle name="Обычный 34 2 2 2 4 2 2" xfId="34417"/>
    <cellStyle name="Обычный 34 2 2 2 4 3" xfId="34418"/>
    <cellStyle name="Обычный 34 2 2 2 5" xfId="34419"/>
    <cellStyle name="Обычный 34 2 2 2 5 2" xfId="34420"/>
    <cellStyle name="Обычный 34 2 2 2 5 2 2" xfId="34421"/>
    <cellStyle name="Обычный 34 2 2 2 5 3" xfId="34422"/>
    <cellStyle name="Обычный 34 2 2 2 6" xfId="34423"/>
    <cellStyle name="Обычный 34 2 2 2 6 2" xfId="34424"/>
    <cellStyle name="Обычный 34 2 2 2 7" xfId="34425"/>
    <cellStyle name="Обычный 34 2 2 2 7 2" xfId="34426"/>
    <cellStyle name="Обычный 34 2 2 2 8" xfId="34427"/>
    <cellStyle name="Обычный 34 2 2 3" xfId="34428"/>
    <cellStyle name="Обычный 34 2 2 3 2" xfId="34429"/>
    <cellStyle name="Обычный 34 2 2 3 2 2" xfId="34430"/>
    <cellStyle name="Обычный 34 2 2 3 2 2 2" xfId="34431"/>
    <cellStyle name="Обычный 34 2 2 3 2 3" xfId="34432"/>
    <cellStyle name="Обычный 34 2 2 3 3" xfId="34433"/>
    <cellStyle name="Обычный 34 2 2 3 3 2" xfId="34434"/>
    <cellStyle name="Обычный 34 2 2 3 3 2 2" xfId="34435"/>
    <cellStyle name="Обычный 34 2 2 3 3 3" xfId="34436"/>
    <cellStyle name="Обычный 34 2 2 3 4" xfId="34437"/>
    <cellStyle name="Обычный 34 2 2 3 4 2" xfId="34438"/>
    <cellStyle name="Обычный 34 2 2 3 5" xfId="34439"/>
    <cellStyle name="Обычный 34 2 2 3 5 2" xfId="34440"/>
    <cellStyle name="Обычный 34 2 2 3 6" xfId="34441"/>
    <cellStyle name="Обычный 34 2 2 4" xfId="34442"/>
    <cellStyle name="Обычный 34 2 2 4 2" xfId="34443"/>
    <cellStyle name="Обычный 34 2 2 4 2 2" xfId="34444"/>
    <cellStyle name="Обычный 34 2 2 4 2 2 2" xfId="34445"/>
    <cellStyle name="Обычный 34 2 2 4 2 3" xfId="34446"/>
    <cellStyle name="Обычный 34 2 2 4 3" xfId="34447"/>
    <cellStyle name="Обычный 34 2 2 4 3 2" xfId="34448"/>
    <cellStyle name="Обычный 34 2 2 4 3 2 2" xfId="34449"/>
    <cellStyle name="Обычный 34 2 2 4 3 3" xfId="34450"/>
    <cellStyle name="Обычный 34 2 2 4 4" xfId="34451"/>
    <cellStyle name="Обычный 34 2 2 4 4 2" xfId="34452"/>
    <cellStyle name="Обычный 34 2 2 4 5" xfId="34453"/>
    <cellStyle name="Обычный 34 2 2 4 5 2" xfId="34454"/>
    <cellStyle name="Обычный 34 2 2 4 6" xfId="34455"/>
    <cellStyle name="Обычный 34 2 2 5" xfId="34456"/>
    <cellStyle name="Обычный 34 2 2 5 2" xfId="34457"/>
    <cellStyle name="Обычный 34 2 2 5 2 2" xfId="34458"/>
    <cellStyle name="Обычный 34 2 2 5 3" xfId="34459"/>
    <cellStyle name="Обычный 34 2 2 6" xfId="34460"/>
    <cellStyle name="Обычный 34 2 2 6 2" xfId="34461"/>
    <cellStyle name="Обычный 34 2 2 6 2 2" xfId="34462"/>
    <cellStyle name="Обычный 34 2 2 6 3" xfId="34463"/>
    <cellStyle name="Обычный 34 2 2 7" xfId="34464"/>
    <cellStyle name="Обычный 34 2 2 7 2" xfId="34465"/>
    <cellStyle name="Обычный 34 2 2 8" xfId="34466"/>
    <cellStyle name="Обычный 34 2 2 8 2" xfId="34467"/>
    <cellStyle name="Обычный 34 2 2 9" xfId="34468"/>
    <cellStyle name="Обычный 34 2 3" xfId="34469"/>
    <cellStyle name="Обычный 34 2 3 2" xfId="34470"/>
    <cellStyle name="Обычный 34 2 3 2 2" xfId="34471"/>
    <cellStyle name="Обычный 34 2 3 2 2 2" xfId="34472"/>
    <cellStyle name="Обычный 34 2 3 2 2 2 2" xfId="34473"/>
    <cellStyle name="Обычный 34 2 3 2 2 3" xfId="34474"/>
    <cellStyle name="Обычный 34 2 3 2 2 3 2" xfId="34475"/>
    <cellStyle name="Обычный 34 2 3 2 2 4" xfId="34476"/>
    <cellStyle name="Обычный 34 2 3 2 3" xfId="34477"/>
    <cellStyle name="Обычный 34 2 3 2 3 2" xfId="34478"/>
    <cellStyle name="Обычный 34 2 3 2 3 2 2" xfId="34479"/>
    <cellStyle name="Обычный 34 2 3 2 3 3" xfId="34480"/>
    <cellStyle name="Обычный 34 2 3 2 4" xfId="34481"/>
    <cellStyle name="Обычный 34 2 3 2 4 2" xfId="34482"/>
    <cellStyle name="Обычный 34 2 3 2 5" xfId="34483"/>
    <cellStyle name="Обычный 34 2 3 2 5 2" xfId="34484"/>
    <cellStyle name="Обычный 34 2 3 2 6" xfId="34485"/>
    <cellStyle name="Обычный 34 2 3 3" xfId="34486"/>
    <cellStyle name="Обычный 34 2 3 3 2" xfId="34487"/>
    <cellStyle name="Обычный 34 2 3 3 2 2" xfId="34488"/>
    <cellStyle name="Обычный 34 2 3 3 2 2 2" xfId="34489"/>
    <cellStyle name="Обычный 34 2 3 3 2 3" xfId="34490"/>
    <cellStyle name="Обычный 34 2 3 3 3" xfId="34491"/>
    <cellStyle name="Обычный 34 2 3 3 3 2" xfId="34492"/>
    <cellStyle name="Обычный 34 2 3 3 3 2 2" xfId="34493"/>
    <cellStyle name="Обычный 34 2 3 3 3 3" xfId="34494"/>
    <cellStyle name="Обычный 34 2 3 3 4" xfId="34495"/>
    <cellStyle name="Обычный 34 2 3 3 4 2" xfId="34496"/>
    <cellStyle name="Обычный 34 2 3 3 5" xfId="34497"/>
    <cellStyle name="Обычный 34 2 3 3 5 2" xfId="34498"/>
    <cellStyle name="Обычный 34 2 3 3 6" xfId="34499"/>
    <cellStyle name="Обычный 34 2 3 4" xfId="34500"/>
    <cellStyle name="Обычный 34 2 3 4 2" xfId="34501"/>
    <cellStyle name="Обычный 34 2 3 4 2 2" xfId="34502"/>
    <cellStyle name="Обычный 34 2 3 4 3" xfId="34503"/>
    <cellStyle name="Обычный 34 2 3 4 3 2" xfId="34504"/>
    <cellStyle name="Обычный 34 2 3 4 4" xfId="34505"/>
    <cellStyle name="Обычный 34 2 3 5" xfId="34506"/>
    <cellStyle name="Обычный 34 2 3 5 2" xfId="34507"/>
    <cellStyle name="Обычный 34 2 3 5 2 2" xfId="34508"/>
    <cellStyle name="Обычный 34 2 3 5 3" xfId="34509"/>
    <cellStyle name="Обычный 34 2 3 6" xfId="34510"/>
    <cellStyle name="Обычный 34 2 3 6 2" xfId="34511"/>
    <cellStyle name="Обычный 34 2 3 7" xfId="34512"/>
    <cellStyle name="Обычный 34 2 3 7 2" xfId="34513"/>
    <cellStyle name="Обычный 34 2 3 8" xfId="34514"/>
    <cellStyle name="Обычный 34 2 4" xfId="34515"/>
    <cellStyle name="Обычный 34 2 4 2" xfId="34516"/>
    <cellStyle name="Обычный 34 2 4 2 2" xfId="34517"/>
    <cellStyle name="Обычный 34 2 4 2 2 2" xfId="34518"/>
    <cellStyle name="Обычный 34 2 4 2 2 2 2" xfId="34519"/>
    <cellStyle name="Обычный 34 2 4 2 2 3" xfId="34520"/>
    <cellStyle name="Обычный 34 2 4 2 3" xfId="34521"/>
    <cellStyle name="Обычный 34 2 4 2 3 2" xfId="34522"/>
    <cellStyle name="Обычный 34 2 4 2 3 2 2" xfId="34523"/>
    <cellStyle name="Обычный 34 2 4 2 3 3" xfId="34524"/>
    <cellStyle name="Обычный 34 2 4 2 4" xfId="34525"/>
    <cellStyle name="Обычный 34 2 4 2 4 2" xfId="34526"/>
    <cellStyle name="Обычный 34 2 4 2 5" xfId="34527"/>
    <cellStyle name="Обычный 34 2 4 2 5 2" xfId="34528"/>
    <cellStyle name="Обычный 34 2 4 2 6" xfId="34529"/>
    <cellStyle name="Обычный 34 2 4 3" xfId="34530"/>
    <cellStyle name="Обычный 34 2 4 3 2" xfId="34531"/>
    <cellStyle name="Обычный 34 2 4 3 2 2" xfId="34532"/>
    <cellStyle name="Обычный 34 2 4 3 2 2 2" xfId="34533"/>
    <cellStyle name="Обычный 34 2 4 3 2 3" xfId="34534"/>
    <cellStyle name="Обычный 34 2 4 3 3" xfId="34535"/>
    <cellStyle name="Обычный 34 2 4 3 3 2" xfId="34536"/>
    <cellStyle name="Обычный 34 2 4 3 3 2 2" xfId="34537"/>
    <cellStyle name="Обычный 34 2 4 3 3 3" xfId="34538"/>
    <cellStyle name="Обычный 34 2 4 3 4" xfId="34539"/>
    <cellStyle name="Обычный 34 2 4 3 4 2" xfId="34540"/>
    <cellStyle name="Обычный 34 2 4 3 5" xfId="34541"/>
    <cellStyle name="Обычный 34 2 4 4" xfId="34542"/>
    <cellStyle name="Обычный 34 2 4 4 2" xfId="34543"/>
    <cellStyle name="Обычный 34 2 4 4 2 2" xfId="34544"/>
    <cellStyle name="Обычный 34 2 4 4 3" xfId="34545"/>
    <cellStyle name="Обычный 34 2 4 5" xfId="34546"/>
    <cellStyle name="Обычный 34 2 4 5 2" xfId="34547"/>
    <cellStyle name="Обычный 34 2 4 5 2 2" xfId="34548"/>
    <cellStyle name="Обычный 34 2 4 5 3" xfId="34549"/>
    <cellStyle name="Обычный 34 2 4 6" xfId="34550"/>
    <cellStyle name="Обычный 34 2 4 6 2" xfId="34551"/>
    <cellStyle name="Обычный 34 2 4 7" xfId="34552"/>
    <cellStyle name="Обычный 34 2 4 7 2" xfId="34553"/>
    <cellStyle name="Обычный 34 2 4 8" xfId="34554"/>
    <cellStyle name="Обычный 34 2 5" xfId="34555"/>
    <cellStyle name="Обычный 34 2 5 2" xfId="34556"/>
    <cellStyle name="Обычный 34 2 5 2 2" xfId="34557"/>
    <cellStyle name="Обычный 34 2 5 2 2 2" xfId="34558"/>
    <cellStyle name="Обычный 34 2 5 2 3" xfId="34559"/>
    <cellStyle name="Обычный 34 2 5 3" xfId="34560"/>
    <cellStyle name="Обычный 34 2 5 3 2" xfId="34561"/>
    <cellStyle name="Обычный 34 2 5 3 2 2" xfId="34562"/>
    <cellStyle name="Обычный 34 2 5 3 3" xfId="34563"/>
    <cellStyle name="Обычный 34 2 5 4" xfId="34564"/>
    <cellStyle name="Обычный 34 2 5 4 2" xfId="34565"/>
    <cellStyle name="Обычный 34 2 5 5" xfId="34566"/>
    <cellStyle name="Обычный 34 2 5 5 2" xfId="34567"/>
    <cellStyle name="Обычный 34 2 5 6" xfId="34568"/>
    <cellStyle name="Обычный 34 2 6" xfId="34569"/>
    <cellStyle name="Обычный 34 2 6 2" xfId="34570"/>
    <cellStyle name="Обычный 34 2 6 2 2" xfId="34571"/>
    <cellStyle name="Обычный 34 2 6 2 2 2" xfId="34572"/>
    <cellStyle name="Обычный 34 2 6 2 3" xfId="34573"/>
    <cellStyle name="Обычный 34 2 6 3" xfId="34574"/>
    <cellStyle name="Обычный 34 2 6 3 2" xfId="34575"/>
    <cellStyle name="Обычный 34 2 6 3 2 2" xfId="34576"/>
    <cellStyle name="Обычный 34 2 6 3 3" xfId="34577"/>
    <cellStyle name="Обычный 34 2 6 4" xfId="34578"/>
    <cellStyle name="Обычный 34 2 6 4 2" xfId="34579"/>
    <cellStyle name="Обычный 34 2 6 5" xfId="34580"/>
    <cellStyle name="Обычный 34 2 6 5 2" xfId="34581"/>
    <cellStyle name="Обычный 34 2 6 6" xfId="34582"/>
    <cellStyle name="Обычный 34 2 7" xfId="34583"/>
    <cellStyle name="Обычный 34 2 7 2" xfId="34584"/>
    <cellStyle name="Обычный 34 2 7 2 2" xfId="34585"/>
    <cellStyle name="Обычный 34 2 7 3" xfId="34586"/>
    <cellStyle name="Обычный 34 2 8" xfId="34587"/>
    <cellStyle name="Обычный 34 2 8 2" xfId="34588"/>
    <cellStyle name="Обычный 34 2 8 2 2" xfId="34589"/>
    <cellStyle name="Обычный 34 2 8 3" xfId="34590"/>
    <cellStyle name="Обычный 34 2 9" xfId="34591"/>
    <cellStyle name="Обычный 34 2 9 2" xfId="34592"/>
    <cellStyle name="Обычный 34 20" xfId="34593"/>
    <cellStyle name="Обычный 34 20 2" xfId="34594"/>
    <cellStyle name="Обычный 34 20 2 2" xfId="34595"/>
    <cellStyle name="Обычный 34 20 3" xfId="34596"/>
    <cellStyle name="Обычный 34 20 3 2" xfId="34597"/>
    <cellStyle name="Обычный 34 20 4" xfId="34598"/>
    <cellStyle name="Обычный 34 21" xfId="34599"/>
    <cellStyle name="Обычный 34 21 2" xfId="34600"/>
    <cellStyle name="Обычный 34 21 2 2" xfId="34601"/>
    <cellStyle name="Обычный 34 21 3" xfId="34602"/>
    <cellStyle name="Обычный 34 21 3 2" xfId="34603"/>
    <cellStyle name="Обычный 34 21 4" xfId="34604"/>
    <cellStyle name="Обычный 34 22" xfId="34605"/>
    <cellStyle name="Обычный 34 22 2" xfId="34606"/>
    <cellStyle name="Обычный 34 22 2 2" xfId="34607"/>
    <cellStyle name="Обычный 34 22 3" xfId="34608"/>
    <cellStyle name="Обычный 34 22 3 2" xfId="34609"/>
    <cellStyle name="Обычный 34 22 4" xfId="34610"/>
    <cellStyle name="Обычный 34 23" xfId="34611"/>
    <cellStyle name="Обычный 34 23 2" xfId="34612"/>
    <cellStyle name="Обычный 34 23 2 2" xfId="34613"/>
    <cellStyle name="Обычный 34 23 3" xfId="34614"/>
    <cellStyle name="Обычный 34 23 3 2" xfId="34615"/>
    <cellStyle name="Обычный 34 23 4" xfId="34616"/>
    <cellStyle name="Обычный 34 24" xfId="34617"/>
    <cellStyle name="Обычный 34 24 2" xfId="34618"/>
    <cellStyle name="Обычный 34 24 2 2" xfId="34619"/>
    <cellStyle name="Обычный 34 24 3" xfId="34620"/>
    <cellStyle name="Обычный 34 24 3 2" xfId="34621"/>
    <cellStyle name="Обычный 34 24 4" xfId="34622"/>
    <cellStyle name="Обычный 34 25" xfId="34623"/>
    <cellStyle name="Обычный 34 25 2" xfId="34624"/>
    <cellStyle name="Обычный 34 25 2 2" xfId="34625"/>
    <cellStyle name="Обычный 34 25 3" xfId="34626"/>
    <cellStyle name="Обычный 34 25 3 2" xfId="34627"/>
    <cellStyle name="Обычный 34 25 4" xfId="34628"/>
    <cellStyle name="Обычный 34 26" xfId="34629"/>
    <cellStyle name="Обычный 34 26 2" xfId="34630"/>
    <cellStyle name="Обычный 34 26 2 2" xfId="34631"/>
    <cellStyle name="Обычный 34 26 3" xfId="34632"/>
    <cellStyle name="Обычный 34 26 3 2" xfId="34633"/>
    <cellStyle name="Обычный 34 26 4" xfId="34634"/>
    <cellStyle name="Обычный 34 27" xfId="34635"/>
    <cellStyle name="Обычный 34 27 2" xfId="34636"/>
    <cellStyle name="Обычный 34 27 2 2" xfId="34637"/>
    <cellStyle name="Обычный 34 27 3" xfId="34638"/>
    <cellStyle name="Обычный 34 27 3 2" xfId="34639"/>
    <cellStyle name="Обычный 34 27 4" xfId="34640"/>
    <cellStyle name="Обычный 34 28" xfId="34641"/>
    <cellStyle name="Обычный 34 29" xfId="34642"/>
    <cellStyle name="Обычный 34 3" xfId="34643"/>
    <cellStyle name="Обычный 34 3 2" xfId="34644"/>
    <cellStyle name="Обычный 34 3 2 2" xfId="34645"/>
    <cellStyle name="Обычный 34 3 2 2 2" xfId="34646"/>
    <cellStyle name="Обычный 34 3 2 2 2 2" xfId="34647"/>
    <cellStyle name="Обычный 34 3 2 2 2 2 2" xfId="34648"/>
    <cellStyle name="Обычный 34 3 2 2 2 3" xfId="34649"/>
    <cellStyle name="Обычный 34 3 2 2 2 3 2" xfId="34650"/>
    <cellStyle name="Обычный 34 3 2 2 2 4" xfId="34651"/>
    <cellStyle name="Обычный 34 3 2 2 3" xfId="34652"/>
    <cellStyle name="Обычный 34 3 2 2 3 2" xfId="34653"/>
    <cellStyle name="Обычный 34 3 2 2 3 2 2" xfId="34654"/>
    <cellStyle name="Обычный 34 3 2 2 3 3" xfId="34655"/>
    <cellStyle name="Обычный 34 3 2 2 4" xfId="34656"/>
    <cellStyle name="Обычный 34 3 2 2 4 2" xfId="34657"/>
    <cellStyle name="Обычный 34 3 2 2 5" xfId="34658"/>
    <cellStyle name="Обычный 34 3 2 2 5 2" xfId="34659"/>
    <cellStyle name="Обычный 34 3 2 2 6" xfId="34660"/>
    <cellStyle name="Обычный 34 3 2 3" xfId="34661"/>
    <cellStyle name="Обычный 34 3 2 3 2" xfId="34662"/>
    <cellStyle name="Обычный 34 3 2 3 2 2" xfId="34663"/>
    <cellStyle name="Обычный 34 3 2 3 2 2 2" xfId="34664"/>
    <cellStyle name="Обычный 34 3 2 3 2 3" xfId="34665"/>
    <cellStyle name="Обычный 34 3 2 3 3" xfId="34666"/>
    <cellStyle name="Обычный 34 3 2 3 3 2" xfId="34667"/>
    <cellStyle name="Обычный 34 3 2 3 3 2 2" xfId="34668"/>
    <cellStyle name="Обычный 34 3 2 3 3 3" xfId="34669"/>
    <cellStyle name="Обычный 34 3 2 3 4" xfId="34670"/>
    <cellStyle name="Обычный 34 3 2 3 4 2" xfId="34671"/>
    <cellStyle name="Обычный 34 3 2 3 5" xfId="34672"/>
    <cellStyle name="Обычный 34 3 2 3 5 2" xfId="34673"/>
    <cellStyle name="Обычный 34 3 2 3 6" xfId="34674"/>
    <cellStyle name="Обычный 34 3 2 4" xfId="34675"/>
    <cellStyle name="Обычный 34 3 2 4 2" xfId="34676"/>
    <cellStyle name="Обычный 34 3 2 4 2 2" xfId="34677"/>
    <cellStyle name="Обычный 34 3 2 4 3" xfId="34678"/>
    <cellStyle name="Обычный 34 3 2 4 3 2" xfId="34679"/>
    <cellStyle name="Обычный 34 3 2 4 4" xfId="34680"/>
    <cellStyle name="Обычный 34 3 2 5" xfId="34681"/>
    <cellStyle name="Обычный 34 3 2 5 2" xfId="34682"/>
    <cellStyle name="Обычный 34 3 2 5 2 2" xfId="34683"/>
    <cellStyle name="Обычный 34 3 2 5 3" xfId="34684"/>
    <cellStyle name="Обычный 34 3 2 6" xfId="34685"/>
    <cellStyle name="Обычный 34 3 2 6 2" xfId="34686"/>
    <cellStyle name="Обычный 34 3 2 7" xfId="34687"/>
    <cellStyle name="Обычный 34 3 2 7 2" xfId="34688"/>
    <cellStyle name="Обычный 34 3 2 8" xfId="34689"/>
    <cellStyle name="Обычный 34 3 3" xfId="34690"/>
    <cellStyle name="Обычный 34 3 3 2" xfId="34691"/>
    <cellStyle name="Обычный 34 3 3 2 2" xfId="34692"/>
    <cellStyle name="Обычный 34 3 3 2 2 2" xfId="34693"/>
    <cellStyle name="Обычный 34 3 3 2 3" xfId="34694"/>
    <cellStyle name="Обычный 34 3 3 2 3 2" xfId="34695"/>
    <cellStyle name="Обычный 34 3 3 2 4" xfId="34696"/>
    <cellStyle name="Обычный 34 3 3 3" xfId="34697"/>
    <cellStyle name="Обычный 34 3 3 3 2" xfId="34698"/>
    <cellStyle name="Обычный 34 3 3 3 2 2" xfId="34699"/>
    <cellStyle name="Обычный 34 3 3 3 3" xfId="34700"/>
    <cellStyle name="Обычный 34 3 3 4" xfId="34701"/>
    <cellStyle name="Обычный 34 3 3 4 2" xfId="34702"/>
    <cellStyle name="Обычный 34 3 3 5" xfId="34703"/>
    <cellStyle name="Обычный 34 3 3 5 2" xfId="34704"/>
    <cellStyle name="Обычный 34 3 3 6" xfId="34705"/>
    <cellStyle name="Обычный 34 3 4" xfId="34706"/>
    <cellStyle name="Обычный 34 3 4 2" xfId="34707"/>
    <cellStyle name="Обычный 34 3 4 2 2" xfId="34708"/>
    <cellStyle name="Обычный 34 3 4 2 2 2" xfId="34709"/>
    <cellStyle name="Обычный 34 3 4 2 3" xfId="34710"/>
    <cellStyle name="Обычный 34 3 4 3" xfId="34711"/>
    <cellStyle name="Обычный 34 3 4 3 2" xfId="34712"/>
    <cellStyle name="Обычный 34 3 4 3 2 2" xfId="34713"/>
    <cellStyle name="Обычный 34 3 4 3 3" xfId="34714"/>
    <cellStyle name="Обычный 34 3 4 4" xfId="34715"/>
    <cellStyle name="Обычный 34 3 4 4 2" xfId="34716"/>
    <cellStyle name="Обычный 34 3 4 5" xfId="34717"/>
    <cellStyle name="Обычный 34 3 4 5 2" xfId="34718"/>
    <cellStyle name="Обычный 34 3 4 6" xfId="34719"/>
    <cellStyle name="Обычный 34 3 5" xfId="34720"/>
    <cellStyle name="Обычный 34 3 5 2" xfId="34721"/>
    <cellStyle name="Обычный 34 3 5 2 2" xfId="34722"/>
    <cellStyle name="Обычный 34 3 5 3" xfId="34723"/>
    <cellStyle name="Обычный 34 3 5 3 2" xfId="34724"/>
    <cellStyle name="Обычный 34 3 5 4" xfId="34725"/>
    <cellStyle name="Обычный 34 3 6" xfId="34726"/>
    <cellStyle name="Обычный 34 3 6 2" xfId="34727"/>
    <cellStyle name="Обычный 34 3 6 2 2" xfId="34728"/>
    <cellStyle name="Обычный 34 3 6 3" xfId="34729"/>
    <cellStyle name="Обычный 34 3 7" xfId="34730"/>
    <cellStyle name="Обычный 34 3 7 2" xfId="34731"/>
    <cellStyle name="Обычный 34 3 8" xfId="34732"/>
    <cellStyle name="Обычный 34 3 8 2" xfId="34733"/>
    <cellStyle name="Обычный 34 3 9" xfId="34734"/>
    <cellStyle name="Обычный 34 30" xfId="34735"/>
    <cellStyle name="Обычный 34 4" xfId="34736"/>
    <cellStyle name="Обычный 34 4 2" xfId="34737"/>
    <cellStyle name="Обычный 34 4 2 2" xfId="34738"/>
    <cellStyle name="Обычный 34 4 2 2 2" xfId="34739"/>
    <cellStyle name="Обычный 34 4 2 2 2 2" xfId="34740"/>
    <cellStyle name="Обычный 34 4 2 2 2 2 2" xfId="34741"/>
    <cellStyle name="Обычный 34 4 2 2 2 3" xfId="34742"/>
    <cellStyle name="Обычный 34 4 2 2 3" xfId="34743"/>
    <cellStyle name="Обычный 34 4 2 2 3 2" xfId="34744"/>
    <cellStyle name="Обычный 34 4 2 2 3 2 2" xfId="34745"/>
    <cellStyle name="Обычный 34 4 2 2 3 3" xfId="34746"/>
    <cellStyle name="Обычный 34 4 2 2 4" xfId="34747"/>
    <cellStyle name="Обычный 34 4 2 2 4 2" xfId="34748"/>
    <cellStyle name="Обычный 34 4 2 2 5" xfId="34749"/>
    <cellStyle name="Обычный 34 4 2 2 5 2" xfId="34750"/>
    <cellStyle name="Обычный 34 4 2 2 6" xfId="34751"/>
    <cellStyle name="Обычный 34 4 2 3" xfId="34752"/>
    <cellStyle name="Обычный 34 4 2 3 2" xfId="34753"/>
    <cellStyle name="Обычный 34 4 2 3 2 2" xfId="34754"/>
    <cellStyle name="Обычный 34 4 2 3 2 2 2" xfId="34755"/>
    <cellStyle name="Обычный 34 4 2 3 2 3" xfId="34756"/>
    <cellStyle name="Обычный 34 4 2 3 3" xfId="34757"/>
    <cellStyle name="Обычный 34 4 2 3 3 2" xfId="34758"/>
    <cellStyle name="Обычный 34 4 2 3 3 2 2" xfId="34759"/>
    <cellStyle name="Обычный 34 4 2 3 3 3" xfId="34760"/>
    <cellStyle name="Обычный 34 4 2 3 4" xfId="34761"/>
    <cellStyle name="Обычный 34 4 2 3 4 2" xfId="34762"/>
    <cellStyle name="Обычный 34 4 2 3 5" xfId="34763"/>
    <cellStyle name="Обычный 34 4 2 3 5 2" xfId="34764"/>
    <cellStyle name="Обычный 34 4 2 3 6" xfId="34765"/>
    <cellStyle name="Обычный 34 4 2 4" xfId="34766"/>
    <cellStyle name="Обычный 34 4 2 4 2" xfId="34767"/>
    <cellStyle name="Обычный 34 4 2 4 2 2" xfId="34768"/>
    <cellStyle name="Обычный 34 4 2 4 3" xfId="34769"/>
    <cellStyle name="Обычный 34 4 2 4 3 2" xfId="34770"/>
    <cellStyle name="Обычный 34 4 2 4 4" xfId="34771"/>
    <cellStyle name="Обычный 34 4 2 5" xfId="34772"/>
    <cellStyle name="Обычный 34 4 2 5 2" xfId="34773"/>
    <cellStyle name="Обычный 34 4 2 5 2 2" xfId="34774"/>
    <cellStyle name="Обычный 34 4 2 5 3" xfId="34775"/>
    <cellStyle name="Обычный 34 4 2 6" xfId="34776"/>
    <cellStyle name="Обычный 34 4 2 6 2" xfId="34777"/>
    <cellStyle name="Обычный 34 4 2 7" xfId="34778"/>
    <cellStyle name="Обычный 34 4 2 7 2" xfId="34779"/>
    <cellStyle name="Обычный 34 4 2 8" xfId="34780"/>
    <cellStyle name="Обычный 34 4 3" xfId="34781"/>
    <cellStyle name="Обычный 34 4 3 2" xfId="34782"/>
    <cellStyle name="Обычный 34 4 3 2 2" xfId="34783"/>
    <cellStyle name="Обычный 34 4 3 2 2 2" xfId="34784"/>
    <cellStyle name="Обычный 34 4 3 2 3" xfId="34785"/>
    <cellStyle name="Обычный 34 4 3 3" xfId="34786"/>
    <cellStyle name="Обычный 34 4 3 3 2" xfId="34787"/>
    <cellStyle name="Обычный 34 4 3 3 2 2" xfId="34788"/>
    <cellStyle name="Обычный 34 4 3 3 3" xfId="34789"/>
    <cellStyle name="Обычный 34 4 3 4" xfId="34790"/>
    <cellStyle name="Обычный 34 4 3 4 2" xfId="34791"/>
    <cellStyle name="Обычный 34 4 3 5" xfId="34792"/>
    <cellStyle name="Обычный 34 4 3 5 2" xfId="34793"/>
    <cellStyle name="Обычный 34 4 3 6" xfId="34794"/>
    <cellStyle name="Обычный 34 4 4" xfId="34795"/>
    <cellStyle name="Обычный 34 4 4 2" xfId="34796"/>
    <cellStyle name="Обычный 34 4 4 2 2" xfId="34797"/>
    <cellStyle name="Обычный 34 4 4 2 2 2" xfId="34798"/>
    <cellStyle name="Обычный 34 4 4 2 3" xfId="34799"/>
    <cellStyle name="Обычный 34 4 4 3" xfId="34800"/>
    <cellStyle name="Обычный 34 4 4 3 2" xfId="34801"/>
    <cellStyle name="Обычный 34 4 4 3 2 2" xfId="34802"/>
    <cellStyle name="Обычный 34 4 4 3 3" xfId="34803"/>
    <cellStyle name="Обычный 34 4 4 4" xfId="34804"/>
    <cellStyle name="Обычный 34 4 4 4 2" xfId="34805"/>
    <cellStyle name="Обычный 34 4 4 5" xfId="34806"/>
    <cellStyle name="Обычный 34 4 4 5 2" xfId="34807"/>
    <cellStyle name="Обычный 34 4 4 6" xfId="34808"/>
    <cellStyle name="Обычный 34 4 5" xfId="34809"/>
    <cellStyle name="Обычный 34 4 5 2" xfId="34810"/>
    <cellStyle name="Обычный 34 4 5 2 2" xfId="34811"/>
    <cellStyle name="Обычный 34 4 5 3" xfId="34812"/>
    <cellStyle name="Обычный 34 4 5 3 2" xfId="34813"/>
    <cellStyle name="Обычный 34 4 5 4" xfId="34814"/>
    <cellStyle name="Обычный 34 4 6" xfId="34815"/>
    <cellStyle name="Обычный 34 4 6 2" xfId="34816"/>
    <cellStyle name="Обычный 34 4 6 2 2" xfId="34817"/>
    <cellStyle name="Обычный 34 4 6 3" xfId="34818"/>
    <cellStyle name="Обычный 34 4 7" xfId="34819"/>
    <cellStyle name="Обычный 34 4 7 2" xfId="34820"/>
    <cellStyle name="Обычный 34 4 8" xfId="34821"/>
    <cellStyle name="Обычный 34 4 8 2" xfId="34822"/>
    <cellStyle name="Обычный 34 4 9" xfId="34823"/>
    <cellStyle name="Обычный 34 5" xfId="34824"/>
    <cellStyle name="Обычный 34 5 2" xfId="34825"/>
    <cellStyle name="Обычный 34 5 2 2" xfId="34826"/>
    <cellStyle name="Обычный 34 5 2 2 2" xfId="34827"/>
    <cellStyle name="Обычный 34 5 2 2 2 2" xfId="34828"/>
    <cellStyle name="Обычный 34 5 2 2 3" xfId="34829"/>
    <cellStyle name="Обычный 34 5 2 2 3 2" xfId="34830"/>
    <cellStyle name="Обычный 34 5 2 2 4" xfId="34831"/>
    <cellStyle name="Обычный 34 5 2 3" xfId="34832"/>
    <cellStyle name="Обычный 34 5 2 3 2" xfId="34833"/>
    <cellStyle name="Обычный 34 5 2 3 2 2" xfId="34834"/>
    <cellStyle name="Обычный 34 5 2 3 3" xfId="34835"/>
    <cellStyle name="Обычный 34 5 2 4" xfId="34836"/>
    <cellStyle name="Обычный 34 5 2 4 2" xfId="34837"/>
    <cellStyle name="Обычный 34 5 2 5" xfId="34838"/>
    <cellStyle name="Обычный 34 5 2 5 2" xfId="34839"/>
    <cellStyle name="Обычный 34 5 2 6" xfId="34840"/>
    <cellStyle name="Обычный 34 5 3" xfId="34841"/>
    <cellStyle name="Обычный 34 5 3 2" xfId="34842"/>
    <cellStyle name="Обычный 34 5 3 2 2" xfId="34843"/>
    <cellStyle name="Обычный 34 5 3 2 2 2" xfId="34844"/>
    <cellStyle name="Обычный 34 5 3 2 3" xfId="34845"/>
    <cellStyle name="Обычный 34 5 3 3" xfId="34846"/>
    <cellStyle name="Обычный 34 5 3 3 2" xfId="34847"/>
    <cellStyle name="Обычный 34 5 3 3 2 2" xfId="34848"/>
    <cellStyle name="Обычный 34 5 3 3 3" xfId="34849"/>
    <cellStyle name="Обычный 34 5 3 4" xfId="34850"/>
    <cellStyle name="Обычный 34 5 3 4 2" xfId="34851"/>
    <cellStyle name="Обычный 34 5 3 5" xfId="34852"/>
    <cellStyle name="Обычный 34 5 3 5 2" xfId="34853"/>
    <cellStyle name="Обычный 34 5 3 6" xfId="34854"/>
    <cellStyle name="Обычный 34 5 4" xfId="34855"/>
    <cellStyle name="Обычный 34 5 4 2" xfId="34856"/>
    <cellStyle name="Обычный 34 5 4 2 2" xfId="34857"/>
    <cellStyle name="Обычный 34 5 4 3" xfId="34858"/>
    <cellStyle name="Обычный 34 5 4 3 2" xfId="34859"/>
    <cellStyle name="Обычный 34 5 4 4" xfId="34860"/>
    <cellStyle name="Обычный 34 5 5" xfId="34861"/>
    <cellStyle name="Обычный 34 5 5 2" xfId="34862"/>
    <cellStyle name="Обычный 34 5 5 2 2" xfId="34863"/>
    <cellStyle name="Обычный 34 5 5 3" xfId="34864"/>
    <cellStyle name="Обычный 34 5 6" xfId="34865"/>
    <cellStyle name="Обычный 34 5 6 2" xfId="34866"/>
    <cellStyle name="Обычный 34 5 7" xfId="34867"/>
    <cellStyle name="Обычный 34 5 7 2" xfId="34868"/>
    <cellStyle name="Обычный 34 5 8" xfId="34869"/>
    <cellStyle name="Обычный 34 6" xfId="34870"/>
    <cellStyle name="Обычный 34 6 2" xfId="34871"/>
    <cellStyle name="Обычный 34 6 2 2" xfId="34872"/>
    <cellStyle name="Обычный 34 6 2 2 2" xfId="34873"/>
    <cellStyle name="Обычный 34 6 2 2 2 2" xfId="34874"/>
    <cellStyle name="Обычный 34 6 2 2 3" xfId="34875"/>
    <cellStyle name="Обычный 34 6 2 2 3 2" xfId="34876"/>
    <cellStyle name="Обычный 34 6 2 2 4" xfId="34877"/>
    <cellStyle name="Обычный 34 6 2 3" xfId="34878"/>
    <cellStyle name="Обычный 34 6 2 3 2" xfId="34879"/>
    <cellStyle name="Обычный 34 6 2 3 2 2" xfId="34880"/>
    <cellStyle name="Обычный 34 6 2 3 3" xfId="34881"/>
    <cellStyle name="Обычный 34 6 2 4" xfId="34882"/>
    <cellStyle name="Обычный 34 6 2 4 2" xfId="34883"/>
    <cellStyle name="Обычный 34 6 2 5" xfId="34884"/>
    <cellStyle name="Обычный 34 6 2 5 2" xfId="34885"/>
    <cellStyle name="Обычный 34 6 2 6" xfId="34886"/>
    <cellStyle name="Обычный 34 6 3" xfId="34887"/>
    <cellStyle name="Обычный 34 6 3 2" xfId="34888"/>
    <cellStyle name="Обычный 34 6 3 2 2" xfId="34889"/>
    <cellStyle name="Обычный 34 6 3 2 2 2" xfId="34890"/>
    <cellStyle name="Обычный 34 6 3 2 3" xfId="34891"/>
    <cellStyle name="Обычный 34 6 3 3" xfId="34892"/>
    <cellStyle name="Обычный 34 6 3 3 2" xfId="34893"/>
    <cellStyle name="Обычный 34 6 3 3 2 2" xfId="34894"/>
    <cellStyle name="Обычный 34 6 3 3 3" xfId="34895"/>
    <cellStyle name="Обычный 34 6 3 4" xfId="34896"/>
    <cellStyle name="Обычный 34 6 3 4 2" xfId="34897"/>
    <cellStyle name="Обычный 34 6 3 5" xfId="34898"/>
    <cellStyle name="Обычный 34 6 3 5 2" xfId="34899"/>
    <cellStyle name="Обычный 34 6 3 6" xfId="34900"/>
    <cellStyle name="Обычный 34 6 4" xfId="34901"/>
    <cellStyle name="Обычный 34 6 4 2" xfId="34902"/>
    <cellStyle name="Обычный 34 6 4 2 2" xfId="34903"/>
    <cellStyle name="Обычный 34 6 4 3" xfId="34904"/>
    <cellStyle name="Обычный 34 6 4 3 2" xfId="34905"/>
    <cellStyle name="Обычный 34 6 4 4" xfId="34906"/>
    <cellStyle name="Обычный 34 6 5" xfId="34907"/>
    <cellStyle name="Обычный 34 6 5 2" xfId="34908"/>
    <cellStyle name="Обычный 34 6 5 2 2" xfId="34909"/>
    <cellStyle name="Обычный 34 6 5 3" xfId="34910"/>
    <cellStyle name="Обычный 34 6 6" xfId="34911"/>
    <cellStyle name="Обычный 34 6 6 2" xfId="34912"/>
    <cellStyle name="Обычный 34 6 7" xfId="34913"/>
    <cellStyle name="Обычный 34 6 7 2" xfId="34914"/>
    <cellStyle name="Обычный 34 6 8" xfId="34915"/>
    <cellStyle name="Обычный 34 7" xfId="34916"/>
    <cellStyle name="Обычный 34 7 2" xfId="34917"/>
    <cellStyle name="Обычный 34 7 2 2" xfId="34918"/>
    <cellStyle name="Обычный 34 7 2 2 2" xfId="34919"/>
    <cellStyle name="Обычный 34 7 2 2 2 2" xfId="34920"/>
    <cellStyle name="Обычный 34 7 2 2 3" xfId="34921"/>
    <cellStyle name="Обычный 34 7 2 2 3 2" xfId="34922"/>
    <cellStyle name="Обычный 34 7 2 2 4" xfId="34923"/>
    <cellStyle name="Обычный 34 7 2 3" xfId="34924"/>
    <cellStyle name="Обычный 34 7 2 3 2" xfId="34925"/>
    <cellStyle name="Обычный 34 7 2 3 2 2" xfId="34926"/>
    <cellStyle name="Обычный 34 7 2 3 3" xfId="34927"/>
    <cellStyle name="Обычный 34 7 2 4" xfId="34928"/>
    <cellStyle name="Обычный 34 7 2 4 2" xfId="34929"/>
    <cellStyle name="Обычный 34 7 2 5" xfId="34930"/>
    <cellStyle name="Обычный 34 7 2 5 2" xfId="34931"/>
    <cellStyle name="Обычный 34 7 2 6" xfId="34932"/>
    <cellStyle name="Обычный 34 7 3" xfId="34933"/>
    <cellStyle name="Обычный 34 7 3 2" xfId="34934"/>
    <cellStyle name="Обычный 34 7 3 2 2" xfId="34935"/>
    <cellStyle name="Обычный 34 7 3 2 2 2" xfId="34936"/>
    <cellStyle name="Обычный 34 7 3 2 3" xfId="34937"/>
    <cellStyle name="Обычный 34 7 3 3" xfId="34938"/>
    <cellStyle name="Обычный 34 7 3 3 2" xfId="34939"/>
    <cellStyle name="Обычный 34 7 3 3 2 2" xfId="34940"/>
    <cellStyle name="Обычный 34 7 3 3 3" xfId="34941"/>
    <cellStyle name="Обычный 34 7 3 4" xfId="34942"/>
    <cellStyle name="Обычный 34 7 3 4 2" xfId="34943"/>
    <cellStyle name="Обычный 34 7 3 5" xfId="34944"/>
    <cellStyle name="Обычный 34 7 3 5 2" xfId="34945"/>
    <cellStyle name="Обычный 34 7 3 6" xfId="34946"/>
    <cellStyle name="Обычный 34 7 4" xfId="34947"/>
    <cellStyle name="Обычный 34 7 4 2" xfId="34948"/>
    <cellStyle name="Обычный 34 7 4 2 2" xfId="34949"/>
    <cellStyle name="Обычный 34 7 4 3" xfId="34950"/>
    <cellStyle name="Обычный 34 7 4 3 2" xfId="34951"/>
    <cellStyle name="Обычный 34 7 4 4" xfId="34952"/>
    <cellStyle name="Обычный 34 7 5" xfId="34953"/>
    <cellStyle name="Обычный 34 7 5 2" xfId="34954"/>
    <cellStyle name="Обычный 34 7 5 2 2" xfId="34955"/>
    <cellStyle name="Обычный 34 7 5 3" xfId="34956"/>
    <cellStyle name="Обычный 34 7 6" xfId="34957"/>
    <cellStyle name="Обычный 34 7 6 2" xfId="34958"/>
    <cellStyle name="Обычный 34 7 7" xfId="34959"/>
    <cellStyle name="Обычный 34 7 7 2" xfId="34960"/>
    <cellStyle name="Обычный 34 7 8" xfId="34961"/>
    <cellStyle name="Обычный 34 8" xfId="34962"/>
    <cellStyle name="Обычный 34 8 2" xfId="34963"/>
    <cellStyle name="Обычный 34 8 2 2" xfId="34964"/>
    <cellStyle name="Обычный 34 8 2 2 2" xfId="34965"/>
    <cellStyle name="Обычный 34 8 2 2 2 2" xfId="34966"/>
    <cellStyle name="Обычный 34 8 2 2 3" xfId="34967"/>
    <cellStyle name="Обычный 34 8 2 2 3 2" xfId="34968"/>
    <cellStyle name="Обычный 34 8 2 2 4" xfId="34969"/>
    <cellStyle name="Обычный 34 8 2 3" xfId="34970"/>
    <cellStyle name="Обычный 34 8 2 3 2" xfId="34971"/>
    <cellStyle name="Обычный 34 8 2 3 2 2" xfId="34972"/>
    <cellStyle name="Обычный 34 8 2 3 3" xfId="34973"/>
    <cellStyle name="Обычный 34 8 2 4" xfId="34974"/>
    <cellStyle name="Обычный 34 8 2 4 2" xfId="34975"/>
    <cellStyle name="Обычный 34 8 2 5" xfId="34976"/>
    <cellStyle name="Обычный 34 8 2 5 2" xfId="34977"/>
    <cellStyle name="Обычный 34 8 2 6" xfId="34978"/>
    <cellStyle name="Обычный 34 8 3" xfId="34979"/>
    <cellStyle name="Обычный 34 8 3 2" xfId="34980"/>
    <cellStyle name="Обычный 34 8 3 2 2" xfId="34981"/>
    <cellStyle name="Обычный 34 8 3 2 2 2" xfId="34982"/>
    <cellStyle name="Обычный 34 8 3 2 3" xfId="34983"/>
    <cellStyle name="Обычный 34 8 3 3" xfId="34984"/>
    <cellStyle name="Обычный 34 8 3 3 2" xfId="34985"/>
    <cellStyle name="Обычный 34 8 3 3 2 2" xfId="34986"/>
    <cellStyle name="Обычный 34 8 3 3 3" xfId="34987"/>
    <cellStyle name="Обычный 34 8 3 4" xfId="34988"/>
    <cellStyle name="Обычный 34 8 3 4 2" xfId="34989"/>
    <cellStyle name="Обычный 34 8 3 5" xfId="34990"/>
    <cellStyle name="Обычный 34 8 3 5 2" xfId="34991"/>
    <cellStyle name="Обычный 34 8 3 6" xfId="34992"/>
    <cellStyle name="Обычный 34 8 4" xfId="34993"/>
    <cellStyle name="Обычный 34 8 4 2" xfId="34994"/>
    <cellStyle name="Обычный 34 8 4 2 2" xfId="34995"/>
    <cellStyle name="Обычный 34 8 4 3" xfId="34996"/>
    <cellStyle name="Обычный 34 8 4 3 2" xfId="34997"/>
    <cellStyle name="Обычный 34 8 4 4" xfId="34998"/>
    <cellStyle name="Обычный 34 8 5" xfId="34999"/>
    <cellStyle name="Обычный 34 8 5 2" xfId="35000"/>
    <cellStyle name="Обычный 34 8 5 2 2" xfId="35001"/>
    <cellStyle name="Обычный 34 8 5 3" xfId="35002"/>
    <cellStyle name="Обычный 34 8 6" xfId="35003"/>
    <cellStyle name="Обычный 34 8 6 2" xfId="35004"/>
    <cellStyle name="Обычный 34 8 7" xfId="35005"/>
    <cellStyle name="Обычный 34 8 7 2" xfId="35006"/>
    <cellStyle name="Обычный 34 8 8" xfId="35007"/>
    <cellStyle name="Обычный 34 9" xfId="35008"/>
    <cellStyle name="Обычный 34 9 2" xfId="35009"/>
    <cellStyle name="Обычный 34 9 2 2" xfId="35010"/>
    <cellStyle name="Обычный 34 9 2 2 2" xfId="35011"/>
    <cellStyle name="Обычный 34 9 2 2 2 2" xfId="35012"/>
    <cellStyle name="Обычный 34 9 2 2 3" xfId="35013"/>
    <cellStyle name="Обычный 34 9 2 2 3 2" xfId="35014"/>
    <cellStyle name="Обычный 34 9 2 2 4" xfId="35015"/>
    <cellStyle name="Обычный 34 9 2 3" xfId="35016"/>
    <cellStyle name="Обычный 34 9 2 3 2" xfId="35017"/>
    <cellStyle name="Обычный 34 9 2 3 2 2" xfId="35018"/>
    <cellStyle name="Обычный 34 9 2 3 3" xfId="35019"/>
    <cellStyle name="Обычный 34 9 2 4" xfId="35020"/>
    <cellStyle name="Обычный 34 9 2 4 2" xfId="35021"/>
    <cellStyle name="Обычный 34 9 2 5" xfId="35022"/>
    <cellStyle name="Обычный 34 9 2 5 2" xfId="35023"/>
    <cellStyle name="Обычный 34 9 2 6" xfId="35024"/>
    <cellStyle name="Обычный 34 9 3" xfId="35025"/>
    <cellStyle name="Обычный 34 9 3 2" xfId="35026"/>
    <cellStyle name="Обычный 34 9 3 2 2" xfId="35027"/>
    <cellStyle name="Обычный 34 9 3 2 2 2" xfId="35028"/>
    <cellStyle name="Обычный 34 9 3 2 3" xfId="35029"/>
    <cellStyle name="Обычный 34 9 3 3" xfId="35030"/>
    <cellStyle name="Обычный 34 9 3 3 2" xfId="35031"/>
    <cellStyle name="Обычный 34 9 3 3 2 2" xfId="35032"/>
    <cellStyle name="Обычный 34 9 3 3 3" xfId="35033"/>
    <cellStyle name="Обычный 34 9 3 4" xfId="35034"/>
    <cellStyle name="Обычный 34 9 3 4 2" xfId="35035"/>
    <cellStyle name="Обычный 34 9 3 5" xfId="35036"/>
    <cellStyle name="Обычный 34 9 3 5 2" xfId="35037"/>
    <cellStyle name="Обычный 34 9 3 6" xfId="35038"/>
    <cellStyle name="Обычный 34 9 4" xfId="35039"/>
    <cellStyle name="Обычный 34 9 4 2" xfId="35040"/>
    <cellStyle name="Обычный 34 9 4 2 2" xfId="35041"/>
    <cellStyle name="Обычный 34 9 4 3" xfId="35042"/>
    <cellStyle name="Обычный 34 9 4 3 2" xfId="35043"/>
    <cellStyle name="Обычный 34 9 4 4" xfId="35044"/>
    <cellStyle name="Обычный 34 9 5" xfId="35045"/>
    <cellStyle name="Обычный 34 9 5 2" xfId="35046"/>
    <cellStyle name="Обычный 34 9 5 2 2" xfId="35047"/>
    <cellStyle name="Обычный 34 9 5 3" xfId="35048"/>
    <cellStyle name="Обычный 34 9 6" xfId="35049"/>
    <cellStyle name="Обычный 34 9 6 2" xfId="35050"/>
    <cellStyle name="Обычный 34 9 7" xfId="35051"/>
    <cellStyle name="Обычный 34 9 7 2" xfId="35052"/>
    <cellStyle name="Обычный 34 9 8" xfId="35053"/>
    <cellStyle name="Обычный 35" xfId="35054"/>
    <cellStyle name="Обычный 35 10" xfId="35055"/>
    <cellStyle name="Обычный 35 10 2" xfId="35056"/>
    <cellStyle name="Обычный 35 11" xfId="35057"/>
    <cellStyle name="Обычный 35 11 2" xfId="35058"/>
    <cellStyle name="Обычный 35 12" xfId="35059"/>
    <cellStyle name="Обычный 35 2" xfId="35060"/>
    <cellStyle name="Обычный 35 2 2" xfId="35061"/>
    <cellStyle name="Обычный 35 2 2 2" xfId="35062"/>
    <cellStyle name="Обычный 35 2 2 2 2" xfId="35063"/>
    <cellStyle name="Обычный 35 2 2 2 2 2" xfId="35064"/>
    <cellStyle name="Обычный 35 2 2 2 2 2 2" xfId="35065"/>
    <cellStyle name="Обычный 35 2 2 2 2 3" xfId="35066"/>
    <cellStyle name="Обычный 35 2 2 2 2 3 2" xfId="35067"/>
    <cellStyle name="Обычный 35 2 2 2 2 4" xfId="35068"/>
    <cellStyle name="Обычный 35 2 2 2 3" xfId="35069"/>
    <cellStyle name="Обычный 35 2 2 2 3 2" xfId="35070"/>
    <cellStyle name="Обычный 35 2 2 2 3 2 2" xfId="35071"/>
    <cellStyle name="Обычный 35 2 2 2 3 3" xfId="35072"/>
    <cellStyle name="Обычный 35 2 2 2 4" xfId="35073"/>
    <cellStyle name="Обычный 35 2 2 2 4 2" xfId="35074"/>
    <cellStyle name="Обычный 35 2 2 2 5" xfId="35075"/>
    <cellStyle name="Обычный 35 2 2 2 5 2" xfId="35076"/>
    <cellStyle name="Обычный 35 2 2 2 6" xfId="35077"/>
    <cellStyle name="Обычный 35 2 2 3" xfId="35078"/>
    <cellStyle name="Обычный 35 2 2 3 2" xfId="35079"/>
    <cellStyle name="Обычный 35 2 2 3 2 2" xfId="35080"/>
    <cellStyle name="Обычный 35 2 2 3 2 2 2" xfId="35081"/>
    <cellStyle name="Обычный 35 2 2 3 2 3" xfId="35082"/>
    <cellStyle name="Обычный 35 2 2 3 3" xfId="35083"/>
    <cellStyle name="Обычный 35 2 2 3 3 2" xfId="35084"/>
    <cellStyle name="Обычный 35 2 2 3 3 2 2" xfId="35085"/>
    <cellStyle name="Обычный 35 2 2 3 3 3" xfId="35086"/>
    <cellStyle name="Обычный 35 2 2 3 4" xfId="35087"/>
    <cellStyle name="Обычный 35 2 2 3 4 2" xfId="35088"/>
    <cellStyle name="Обычный 35 2 2 3 5" xfId="35089"/>
    <cellStyle name="Обычный 35 2 2 3 5 2" xfId="35090"/>
    <cellStyle name="Обычный 35 2 2 3 6" xfId="35091"/>
    <cellStyle name="Обычный 35 2 2 4" xfId="35092"/>
    <cellStyle name="Обычный 35 2 2 4 2" xfId="35093"/>
    <cellStyle name="Обычный 35 2 2 4 2 2" xfId="35094"/>
    <cellStyle name="Обычный 35 2 2 4 3" xfId="35095"/>
    <cellStyle name="Обычный 35 2 2 4 3 2" xfId="35096"/>
    <cellStyle name="Обычный 35 2 2 4 4" xfId="35097"/>
    <cellStyle name="Обычный 35 2 2 5" xfId="35098"/>
    <cellStyle name="Обычный 35 2 2 5 2" xfId="35099"/>
    <cellStyle name="Обычный 35 2 2 5 2 2" xfId="35100"/>
    <cellStyle name="Обычный 35 2 2 5 3" xfId="35101"/>
    <cellStyle name="Обычный 35 2 2 6" xfId="35102"/>
    <cellStyle name="Обычный 35 2 2 6 2" xfId="35103"/>
    <cellStyle name="Обычный 35 2 2 7" xfId="35104"/>
    <cellStyle name="Обычный 35 2 2 7 2" xfId="35105"/>
    <cellStyle name="Обычный 35 2 2 8" xfId="35106"/>
    <cellStyle name="Обычный 35 2 3" xfId="35107"/>
    <cellStyle name="Обычный 35 2 3 2" xfId="35108"/>
    <cellStyle name="Обычный 35 2 3 2 2" xfId="35109"/>
    <cellStyle name="Обычный 35 2 3 2 2 2" xfId="35110"/>
    <cellStyle name="Обычный 35 2 3 2 3" xfId="35111"/>
    <cellStyle name="Обычный 35 2 3 2 3 2" xfId="35112"/>
    <cellStyle name="Обычный 35 2 3 2 4" xfId="35113"/>
    <cellStyle name="Обычный 35 2 3 3" xfId="35114"/>
    <cellStyle name="Обычный 35 2 3 3 2" xfId="35115"/>
    <cellStyle name="Обычный 35 2 3 3 2 2" xfId="35116"/>
    <cellStyle name="Обычный 35 2 3 3 3" xfId="35117"/>
    <cellStyle name="Обычный 35 2 3 4" xfId="35118"/>
    <cellStyle name="Обычный 35 2 3 4 2" xfId="35119"/>
    <cellStyle name="Обычный 35 2 3 5" xfId="35120"/>
    <cellStyle name="Обычный 35 2 3 5 2" xfId="35121"/>
    <cellStyle name="Обычный 35 2 3 6" xfId="35122"/>
    <cellStyle name="Обычный 35 2 4" xfId="35123"/>
    <cellStyle name="Обычный 35 2 4 2" xfId="35124"/>
    <cellStyle name="Обычный 35 2 4 2 2" xfId="35125"/>
    <cellStyle name="Обычный 35 2 4 2 2 2" xfId="35126"/>
    <cellStyle name="Обычный 35 2 4 2 3" xfId="35127"/>
    <cellStyle name="Обычный 35 2 4 3" xfId="35128"/>
    <cellStyle name="Обычный 35 2 4 3 2" xfId="35129"/>
    <cellStyle name="Обычный 35 2 4 3 2 2" xfId="35130"/>
    <cellStyle name="Обычный 35 2 4 3 3" xfId="35131"/>
    <cellStyle name="Обычный 35 2 4 4" xfId="35132"/>
    <cellStyle name="Обычный 35 2 4 4 2" xfId="35133"/>
    <cellStyle name="Обычный 35 2 4 5" xfId="35134"/>
    <cellStyle name="Обычный 35 2 4 5 2" xfId="35135"/>
    <cellStyle name="Обычный 35 2 4 6" xfId="35136"/>
    <cellStyle name="Обычный 35 2 5" xfId="35137"/>
    <cellStyle name="Обычный 35 2 5 2" xfId="35138"/>
    <cellStyle name="Обычный 35 2 5 2 2" xfId="35139"/>
    <cellStyle name="Обычный 35 2 5 3" xfId="35140"/>
    <cellStyle name="Обычный 35 2 6" xfId="35141"/>
    <cellStyle name="Обычный 35 2 6 2" xfId="35142"/>
    <cellStyle name="Обычный 35 2 7" xfId="35143"/>
    <cellStyle name="Обычный 35 3" xfId="35144"/>
    <cellStyle name="Обычный 35 3 2" xfId="35145"/>
    <cellStyle name="Обычный 35 3 2 2" xfId="35146"/>
    <cellStyle name="Обычный 35 3 2 2 2" xfId="35147"/>
    <cellStyle name="Обычный 35 3 2 2 2 2" xfId="35148"/>
    <cellStyle name="Обычный 35 3 2 2 3" xfId="35149"/>
    <cellStyle name="Обычный 35 3 2 2 3 2" xfId="35150"/>
    <cellStyle name="Обычный 35 3 2 2 4" xfId="35151"/>
    <cellStyle name="Обычный 35 3 2 3" xfId="35152"/>
    <cellStyle name="Обычный 35 3 2 3 2" xfId="35153"/>
    <cellStyle name="Обычный 35 3 2 3 2 2" xfId="35154"/>
    <cellStyle name="Обычный 35 3 2 3 3" xfId="35155"/>
    <cellStyle name="Обычный 35 3 2 4" xfId="35156"/>
    <cellStyle name="Обычный 35 3 2 4 2" xfId="35157"/>
    <cellStyle name="Обычный 35 3 2 5" xfId="35158"/>
    <cellStyle name="Обычный 35 3 2 5 2" xfId="35159"/>
    <cellStyle name="Обычный 35 3 2 6" xfId="35160"/>
    <cellStyle name="Обычный 35 3 3" xfId="35161"/>
    <cellStyle name="Обычный 35 3 3 2" xfId="35162"/>
    <cellStyle name="Обычный 35 3 3 2 2" xfId="35163"/>
    <cellStyle name="Обычный 35 3 3 2 2 2" xfId="35164"/>
    <cellStyle name="Обычный 35 3 3 2 3" xfId="35165"/>
    <cellStyle name="Обычный 35 3 3 3" xfId="35166"/>
    <cellStyle name="Обычный 35 3 3 3 2" xfId="35167"/>
    <cellStyle name="Обычный 35 3 3 3 2 2" xfId="35168"/>
    <cellStyle name="Обычный 35 3 3 3 3" xfId="35169"/>
    <cellStyle name="Обычный 35 3 3 4" xfId="35170"/>
    <cellStyle name="Обычный 35 3 3 4 2" xfId="35171"/>
    <cellStyle name="Обычный 35 3 3 5" xfId="35172"/>
    <cellStyle name="Обычный 35 3 3 5 2" xfId="35173"/>
    <cellStyle name="Обычный 35 3 3 6" xfId="35174"/>
    <cellStyle name="Обычный 35 3 4" xfId="35175"/>
    <cellStyle name="Обычный 35 3 4 2" xfId="35176"/>
    <cellStyle name="Обычный 35 3 4 2 2" xfId="35177"/>
    <cellStyle name="Обычный 35 3 4 3" xfId="35178"/>
    <cellStyle name="Обычный 35 3 4 3 2" xfId="35179"/>
    <cellStyle name="Обычный 35 3 4 4" xfId="35180"/>
    <cellStyle name="Обычный 35 3 5" xfId="35181"/>
    <cellStyle name="Обычный 35 3 5 2" xfId="35182"/>
    <cellStyle name="Обычный 35 3 5 2 2" xfId="35183"/>
    <cellStyle name="Обычный 35 3 5 3" xfId="35184"/>
    <cellStyle name="Обычный 35 3 6" xfId="35185"/>
    <cellStyle name="Обычный 35 3 6 2" xfId="35186"/>
    <cellStyle name="Обычный 35 3 7" xfId="35187"/>
    <cellStyle name="Обычный 35 3 7 2" xfId="35188"/>
    <cellStyle name="Обычный 35 3 8" xfId="35189"/>
    <cellStyle name="Обычный 35 4" xfId="35190"/>
    <cellStyle name="Обычный 35 4 2" xfId="35191"/>
    <cellStyle name="Обычный 35 4 2 2" xfId="35192"/>
    <cellStyle name="Обычный 35 4 2 2 2" xfId="35193"/>
    <cellStyle name="Обычный 35 4 2 2 2 2" xfId="35194"/>
    <cellStyle name="Обычный 35 4 2 2 3" xfId="35195"/>
    <cellStyle name="Обычный 35 4 2 3" xfId="35196"/>
    <cellStyle name="Обычный 35 4 2 3 2" xfId="35197"/>
    <cellStyle name="Обычный 35 4 2 3 2 2" xfId="35198"/>
    <cellStyle name="Обычный 35 4 2 3 3" xfId="35199"/>
    <cellStyle name="Обычный 35 4 2 4" xfId="35200"/>
    <cellStyle name="Обычный 35 4 2 4 2" xfId="35201"/>
    <cellStyle name="Обычный 35 4 2 5" xfId="35202"/>
    <cellStyle name="Обычный 35 4 2 5 2" xfId="35203"/>
    <cellStyle name="Обычный 35 4 2 6" xfId="35204"/>
    <cellStyle name="Обычный 35 4 3" xfId="35205"/>
    <cellStyle name="Обычный 35 4 3 2" xfId="35206"/>
    <cellStyle name="Обычный 35 4 3 2 2" xfId="35207"/>
    <cellStyle name="Обычный 35 4 3 2 2 2" xfId="35208"/>
    <cellStyle name="Обычный 35 4 3 2 3" xfId="35209"/>
    <cellStyle name="Обычный 35 4 3 3" xfId="35210"/>
    <cellStyle name="Обычный 35 4 3 3 2" xfId="35211"/>
    <cellStyle name="Обычный 35 4 3 3 2 2" xfId="35212"/>
    <cellStyle name="Обычный 35 4 3 3 3" xfId="35213"/>
    <cellStyle name="Обычный 35 4 3 4" xfId="35214"/>
    <cellStyle name="Обычный 35 4 3 4 2" xfId="35215"/>
    <cellStyle name="Обычный 35 4 3 5" xfId="35216"/>
    <cellStyle name="Обычный 35 4 3 5 2" xfId="35217"/>
    <cellStyle name="Обычный 35 4 3 6" xfId="35218"/>
    <cellStyle name="Обычный 35 4 4" xfId="35219"/>
    <cellStyle name="Обычный 35 4 4 2" xfId="35220"/>
    <cellStyle name="Обычный 35 4 4 2 2" xfId="35221"/>
    <cellStyle name="Обычный 35 4 4 3" xfId="35222"/>
    <cellStyle name="Обычный 35 4 5" xfId="35223"/>
    <cellStyle name="Обычный 35 4 5 2" xfId="35224"/>
    <cellStyle name="Обычный 35 4 5 2 2" xfId="35225"/>
    <cellStyle name="Обычный 35 4 5 3" xfId="35226"/>
    <cellStyle name="Обычный 35 4 6" xfId="35227"/>
    <cellStyle name="Обычный 35 4 6 2" xfId="35228"/>
    <cellStyle name="Обычный 35 4 6 2 2" xfId="35229"/>
    <cellStyle name="Обычный 35 4 6 3" xfId="35230"/>
    <cellStyle name="Обычный 35 4 7" xfId="35231"/>
    <cellStyle name="Обычный 35 4 7 2" xfId="35232"/>
    <cellStyle name="Обычный 35 4 8" xfId="35233"/>
    <cellStyle name="Обычный 35 4 8 2" xfId="35234"/>
    <cellStyle name="Обычный 35 4 9" xfId="35235"/>
    <cellStyle name="Обычный 35 5" xfId="35236"/>
    <cellStyle name="Обычный 35 5 2" xfId="35237"/>
    <cellStyle name="Обычный 35 5 3" xfId="35238"/>
    <cellStyle name="Обычный 35 5 3 2" xfId="35239"/>
    <cellStyle name="Обычный 35 5 3 2 2" xfId="35240"/>
    <cellStyle name="Обычный 35 5 3 3" xfId="35241"/>
    <cellStyle name="Обычный 35 5 4" xfId="35242"/>
    <cellStyle name="Обычный 35 5 4 2" xfId="35243"/>
    <cellStyle name="Обычный 35 5 4 2 2" xfId="35244"/>
    <cellStyle name="Обычный 35 5 4 3" xfId="35245"/>
    <cellStyle name="Обычный 35 5 5" xfId="35246"/>
    <cellStyle name="Обычный 35 5 5 2" xfId="35247"/>
    <cellStyle name="Обычный 35 5 6" xfId="35248"/>
    <cellStyle name="Обычный 35 5 6 2" xfId="35249"/>
    <cellStyle name="Обычный 35 6" xfId="35250"/>
    <cellStyle name="Обычный 35 6 2" xfId="35251"/>
    <cellStyle name="Обычный 35 6 2 2" xfId="35252"/>
    <cellStyle name="Обычный 35 6 2 2 2" xfId="35253"/>
    <cellStyle name="Обычный 35 6 2 3" xfId="35254"/>
    <cellStyle name="Обычный 35 6 3" xfId="35255"/>
    <cellStyle name="Обычный 35 6 3 2" xfId="35256"/>
    <cellStyle name="Обычный 35 6 3 2 2" xfId="35257"/>
    <cellStyle name="Обычный 35 6 3 3" xfId="35258"/>
    <cellStyle name="Обычный 35 6 4" xfId="35259"/>
    <cellStyle name="Обычный 35 6 4 2" xfId="35260"/>
    <cellStyle name="Обычный 35 6 5" xfId="35261"/>
    <cellStyle name="Обычный 35 6 5 2" xfId="35262"/>
    <cellStyle name="Обычный 35 6 6" xfId="35263"/>
    <cellStyle name="Обычный 35 7" xfId="35264"/>
    <cellStyle name="Обычный 35 7 2" xfId="35265"/>
    <cellStyle name="Обычный 35 8" xfId="35266"/>
    <cellStyle name="Обычный 35 8 2" xfId="35267"/>
    <cellStyle name="Обычный 35 8 2 2" xfId="35268"/>
    <cellStyle name="Обычный 35 8 3" xfId="35269"/>
    <cellStyle name="Обычный 35 8 3 2" xfId="35270"/>
    <cellStyle name="Обычный 35 8 4" xfId="35271"/>
    <cellStyle name="Обычный 35 9" xfId="35272"/>
    <cellStyle name="Обычный 35 9 2" xfId="35273"/>
    <cellStyle name="Обычный 35 9 2 2" xfId="35274"/>
    <cellStyle name="Обычный 35 9 3" xfId="35275"/>
    <cellStyle name="Обычный 36" xfId="35276"/>
    <cellStyle name="Обычный 36 10" xfId="35277"/>
    <cellStyle name="Обычный 36 10 2" xfId="35278"/>
    <cellStyle name="Обычный 36 10 2 2" xfId="35279"/>
    <cellStyle name="Обычный 36 10 2 2 2" xfId="35280"/>
    <cellStyle name="Обычный 36 10 2 2 2 2" xfId="35281"/>
    <cellStyle name="Обычный 36 10 2 2 3" xfId="35282"/>
    <cellStyle name="Обычный 36 10 2 3" xfId="35283"/>
    <cellStyle name="Обычный 36 10 2 3 2" xfId="35284"/>
    <cellStyle name="Обычный 36 10 2 3 2 2" xfId="35285"/>
    <cellStyle name="Обычный 36 10 2 3 3" xfId="35286"/>
    <cellStyle name="Обычный 36 10 2 4" xfId="35287"/>
    <cellStyle name="Обычный 36 10 2 4 2" xfId="35288"/>
    <cellStyle name="Обычный 36 10 2 5" xfId="35289"/>
    <cellStyle name="Обычный 36 10 3" xfId="35290"/>
    <cellStyle name="Обычный 36 10 3 2" xfId="35291"/>
    <cellStyle name="Обычный 36 10 3 2 2" xfId="35292"/>
    <cellStyle name="Обычный 36 10 3 2 2 2" xfId="35293"/>
    <cellStyle name="Обычный 36 10 3 2 3" xfId="35294"/>
    <cellStyle name="Обычный 36 10 3 3" xfId="35295"/>
    <cellStyle name="Обычный 36 10 3 3 2" xfId="35296"/>
    <cellStyle name="Обычный 36 10 3 3 2 2" xfId="35297"/>
    <cellStyle name="Обычный 36 10 3 3 3" xfId="35298"/>
    <cellStyle name="Обычный 36 10 3 4" xfId="35299"/>
    <cellStyle name="Обычный 36 10 3 4 2" xfId="35300"/>
    <cellStyle name="Обычный 36 10 3 5" xfId="35301"/>
    <cellStyle name="Обычный 36 10 4" xfId="35302"/>
    <cellStyle name="Обычный 36 10 4 2" xfId="35303"/>
    <cellStyle name="Обычный 36 10 4 2 2" xfId="35304"/>
    <cellStyle name="Обычный 36 10 4 3" xfId="35305"/>
    <cellStyle name="Обычный 36 10 5" xfId="35306"/>
    <cellStyle name="Обычный 36 10 5 2" xfId="35307"/>
    <cellStyle name="Обычный 36 10 5 2 2" xfId="35308"/>
    <cellStyle name="Обычный 36 10 5 3" xfId="35309"/>
    <cellStyle name="Обычный 36 10 6" xfId="35310"/>
    <cellStyle name="Обычный 36 10 6 2" xfId="35311"/>
    <cellStyle name="Обычный 36 10 7" xfId="35312"/>
    <cellStyle name="Обычный 36 11" xfId="35313"/>
    <cellStyle name="Обычный 36 11 2" xfId="35314"/>
    <cellStyle name="Обычный 36 11 2 2" xfId="35315"/>
    <cellStyle name="Обычный 36 11 2 2 2" xfId="35316"/>
    <cellStyle name="Обычный 36 11 2 3" xfId="35317"/>
    <cellStyle name="Обычный 36 11 3" xfId="35318"/>
    <cellStyle name="Обычный 36 11 3 2" xfId="35319"/>
    <cellStyle name="Обычный 36 11 3 2 2" xfId="35320"/>
    <cellStyle name="Обычный 36 11 3 3" xfId="35321"/>
    <cellStyle name="Обычный 36 11 4" xfId="35322"/>
    <cellStyle name="Обычный 36 11 4 2" xfId="35323"/>
    <cellStyle name="Обычный 36 11 5" xfId="35324"/>
    <cellStyle name="Обычный 36 12" xfId="35325"/>
    <cellStyle name="Обычный 36 12 2" xfId="35326"/>
    <cellStyle name="Обычный 36 12 2 2" xfId="35327"/>
    <cellStyle name="Обычный 36 12 2 2 2" xfId="35328"/>
    <cellStyle name="Обычный 36 12 2 3" xfId="35329"/>
    <cellStyle name="Обычный 36 12 3" xfId="35330"/>
    <cellStyle name="Обычный 36 12 3 2" xfId="35331"/>
    <cellStyle name="Обычный 36 12 3 2 2" xfId="35332"/>
    <cellStyle name="Обычный 36 12 3 3" xfId="35333"/>
    <cellStyle name="Обычный 36 12 4" xfId="35334"/>
    <cellStyle name="Обычный 36 12 4 2" xfId="35335"/>
    <cellStyle name="Обычный 36 12 5" xfId="35336"/>
    <cellStyle name="Обычный 36 13" xfId="35337"/>
    <cellStyle name="Обычный 36 13 2" xfId="35338"/>
    <cellStyle name="Обычный 36 13 2 2" xfId="35339"/>
    <cellStyle name="Обычный 36 13 3" xfId="35340"/>
    <cellStyle name="Обычный 36 14" xfId="35341"/>
    <cellStyle name="Обычный 36 14 2" xfId="35342"/>
    <cellStyle name="Обычный 36 14 2 2" xfId="35343"/>
    <cellStyle name="Обычный 36 14 3" xfId="35344"/>
    <cellStyle name="Обычный 36 15" xfId="35345"/>
    <cellStyle name="Обычный 36 15 2" xfId="35346"/>
    <cellStyle name="Обычный 36 16" xfId="35347"/>
    <cellStyle name="Обычный 36 16 2" xfId="35348"/>
    <cellStyle name="Обычный 36 17" xfId="35349"/>
    <cellStyle name="Обычный 36 2" xfId="35350"/>
    <cellStyle name="Обычный 36 2 10" xfId="35351"/>
    <cellStyle name="Обычный 36 2 2" xfId="35352"/>
    <cellStyle name="Обычный 36 2 2 2" xfId="35353"/>
    <cellStyle name="Обычный 36 2 2 2 2" xfId="35354"/>
    <cellStyle name="Обычный 36 2 2 2 2 2" xfId="35355"/>
    <cellStyle name="Обычный 36 2 2 2 2 2 2" xfId="35356"/>
    <cellStyle name="Обычный 36 2 2 2 2 2 2 2" xfId="35357"/>
    <cellStyle name="Обычный 36 2 2 2 2 2 3" xfId="35358"/>
    <cellStyle name="Обычный 36 2 2 2 2 3" xfId="35359"/>
    <cellStyle name="Обычный 36 2 2 2 2 3 2" xfId="35360"/>
    <cellStyle name="Обычный 36 2 2 2 2 3 2 2" xfId="35361"/>
    <cellStyle name="Обычный 36 2 2 2 2 3 3" xfId="35362"/>
    <cellStyle name="Обычный 36 2 2 2 2 4" xfId="35363"/>
    <cellStyle name="Обычный 36 2 2 2 2 4 2" xfId="35364"/>
    <cellStyle name="Обычный 36 2 2 2 2 5" xfId="35365"/>
    <cellStyle name="Обычный 36 2 2 2 3" xfId="35366"/>
    <cellStyle name="Обычный 36 2 2 2 3 2" xfId="35367"/>
    <cellStyle name="Обычный 36 2 2 2 3 2 2" xfId="35368"/>
    <cellStyle name="Обычный 36 2 2 2 3 2 2 2" xfId="35369"/>
    <cellStyle name="Обычный 36 2 2 2 3 2 3" xfId="35370"/>
    <cellStyle name="Обычный 36 2 2 2 3 3" xfId="35371"/>
    <cellStyle name="Обычный 36 2 2 2 3 3 2" xfId="35372"/>
    <cellStyle name="Обычный 36 2 2 2 3 3 2 2" xfId="35373"/>
    <cellStyle name="Обычный 36 2 2 2 3 3 3" xfId="35374"/>
    <cellStyle name="Обычный 36 2 2 2 3 4" xfId="35375"/>
    <cellStyle name="Обычный 36 2 2 2 3 4 2" xfId="35376"/>
    <cellStyle name="Обычный 36 2 2 2 3 5" xfId="35377"/>
    <cellStyle name="Обычный 36 2 2 2 4" xfId="35378"/>
    <cellStyle name="Обычный 36 2 2 2 4 2" xfId="35379"/>
    <cellStyle name="Обычный 36 2 2 2 4 2 2" xfId="35380"/>
    <cellStyle name="Обычный 36 2 2 2 4 3" xfId="35381"/>
    <cellStyle name="Обычный 36 2 2 2 5" xfId="35382"/>
    <cellStyle name="Обычный 36 2 2 2 5 2" xfId="35383"/>
    <cellStyle name="Обычный 36 2 2 2 5 2 2" xfId="35384"/>
    <cellStyle name="Обычный 36 2 2 2 5 3" xfId="35385"/>
    <cellStyle name="Обычный 36 2 2 2 6" xfId="35386"/>
    <cellStyle name="Обычный 36 2 2 2 6 2" xfId="35387"/>
    <cellStyle name="Обычный 36 2 2 2 7" xfId="35388"/>
    <cellStyle name="Обычный 36 2 2 2 7 2" xfId="35389"/>
    <cellStyle name="Обычный 36 2 2 2 8" xfId="35390"/>
    <cellStyle name="Обычный 36 2 2 3" xfId="35391"/>
    <cellStyle name="Обычный 36 2 2 3 2" xfId="35392"/>
    <cellStyle name="Обычный 36 2 2 3 2 2" xfId="35393"/>
    <cellStyle name="Обычный 36 2 2 3 2 2 2" xfId="35394"/>
    <cellStyle name="Обычный 36 2 2 3 2 3" xfId="35395"/>
    <cellStyle name="Обычный 36 2 2 3 3" xfId="35396"/>
    <cellStyle name="Обычный 36 2 2 3 3 2" xfId="35397"/>
    <cellStyle name="Обычный 36 2 2 3 3 2 2" xfId="35398"/>
    <cellStyle name="Обычный 36 2 2 3 3 3" xfId="35399"/>
    <cellStyle name="Обычный 36 2 2 3 4" xfId="35400"/>
    <cellStyle name="Обычный 36 2 2 3 4 2" xfId="35401"/>
    <cellStyle name="Обычный 36 2 2 3 5" xfId="35402"/>
    <cellStyle name="Обычный 36 2 2 3 5 2" xfId="35403"/>
    <cellStyle name="Обычный 36 2 2 3 6" xfId="35404"/>
    <cellStyle name="Обычный 36 2 2 4" xfId="35405"/>
    <cellStyle name="Обычный 36 2 2 4 2" xfId="35406"/>
    <cellStyle name="Обычный 36 2 2 4 2 2" xfId="35407"/>
    <cellStyle name="Обычный 36 2 2 4 2 2 2" xfId="35408"/>
    <cellStyle name="Обычный 36 2 2 4 2 3" xfId="35409"/>
    <cellStyle name="Обычный 36 2 2 4 3" xfId="35410"/>
    <cellStyle name="Обычный 36 2 2 4 3 2" xfId="35411"/>
    <cellStyle name="Обычный 36 2 2 4 3 2 2" xfId="35412"/>
    <cellStyle name="Обычный 36 2 2 4 3 3" xfId="35413"/>
    <cellStyle name="Обычный 36 2 2 4 4" xfId="35414"/>
    <cellStyle name="Обычный 36 2 2 4 4 2" xfId="35415"/>
    <cellStyle name="Обычный 36 2 2 4 5" xfId="35416"/>
    <cellStyle name="Обычный 36 2 2 4 5 2" xfId="35417"/>
    <cellStyle name="Обычный 36 2 2 4 6" xfId="35418"/>
    <cellStyle name="Обычный 36 2 2 5" xfId="35419"/>
    <cellStyle name="Обычный 36 2 2 5 2" xfId="35420"/>
    <cellStyle name="Обычный 36 2 2 5 2 2" xfId="35421"/>
    <cellStyle name="Обычный 36 2 2 5 3" xfId="35422"/>
    <cellStyle name="Обычный 36 2 2 6" xfId="35423"/>
    <cellStyle name="Обычный 36 2 2 6 2" xfId="35424"/>
    <cellStyle name="Обычный 36 2 2 6 2 2" xfId="35425"/>
    <cellStyle name="Обычный 36 2 2 6 3" xfId="35426"/>
    <cellStyle name="Обычный 36 2 2 7" xfId="35427"/>
    <cellStyle name="Обычный 36 2 2 7 2" xfId="35428"/>
    <cellStyle name="Обычный 36 2 2 8" xfId="35429"/>
    <cellStyle name="Обычный 36 2 2 8 2" xfId="35430"/>
    <cellStyle name="Обычный 36 2 2 9" xfId="35431"/>
    <cellStyle name="Обычный 36 2 3" xfId="35432"/>
    <cellStyle name="Обычный 36 2 3 2" xfId="35433"/>
    <cellStyle name="Обычный 36 2 3 2 2" xfId="35434"/>
    <cellStyle name="Обычный 36 2 3 2 2 2" xfId="35435"/>
    <cellStyle name="Обычный 36 2 3 2 2 2 2" xfId="35436"/>
    <cellStyle name="Обычный 36 2 3 2 2 3" xfId="35437"/>
    <cellStyle name="Обычный 36 2 3 2 3" xfId="35438"/>
    <cellStyle name="Обычный 36 2 3 2 3 2" xfId="35439"/>
    <cellStyle name="Обычный 36 2 3 2 3 2 2" xfId="35440"/>
    <cellStyle name="Обычный 36 2 3 2 3 3" xfId="35441"/>
    <cellStyle name="Обычный 36 2 3 2 4" xfId="35442"/>
    <cellStyle name="Обычный 36 2 3 2 4 2" xfId="35443"/>
    <cellStyle name="Обычный 36 2 3 2 5" xfId="35444"/>
    <cellStyle name="Обычный 36 2 3 3" xfId="35445"/>
    <cellStyle name="Обычный 36 2 3 3 2" xfId="35446"/>
    <cellStyle name="Обычный 36 2 3 3 2 2" xfId="35447"/>
    <cellStyle name="Обычный 36 2 3 3 2 2 2" xfId="35448"/>
    <cellStyle name="Обычный 36 2 3 3 2 3" xfId="35449"/>
    <cellStyle name="Обычный 36 2 3 3 3" xfId="35450"/>
    <cellStyle name="Обычный 36 2 3 3 3 2" xfId="35451"/>
    <cellStyle name="Обычный 36 2 3 3 3 2 2" xfId="35452"/>
    <cellStyle name="Обычный 36 2 3 3 3 3" xfId="35453"/>
    <cellStyle name="Обычный 36 2 3 3 4" xfId="35454"/>
    <cellStyle name="Обычный 36 2 3 3 4 2" xfId="35455"/>
    <cellStyle name="Обычный 36 2 3 3 5" xfId="35456"/>
    <cellStyle name="Обычный 36 2 3 4" xfId="35457"/>
    <cellStyle name="Обычный 36 2 3 4 2" xfId="35458"/>
    <cellStyle name="Обычный 36 2 3 4 2 2" xfId="35459"/>
    <cellStyle name="Обычный 36 2 3 4 3" xfId="35460"/>
    <cellStyle name="Обычный 36 2 3 5" xfId="35461"/>
    <cellStyle name="Обычный 36 2 3 5 2" xfId="35462"/>
    <cellStyle name="Обычный 36 2 3 5 2 2" xfId="35463"/>
    <cellStyle name="Обычный 36 2 3 5 3" xfId="35464"/>
    <cellStyle name="Обычный 36 2 3 6" xfId="35465"/>
    <cellStyle name="Обычный 36 2 3 6 2" xfId="35466"/>
    <cellStyle name="Обычный 36 2 3 7" xfId="35467"/>
    <cellStyle name="Обычный 36 2 3 7 2" xfId="35468"/>
    <cellStyle name="Обычный 36 2 3 8" xfId="35469"/>
    <cellStyle name="Обычный 36 2 4" xfId="35470"/>
    <cellStyle name="Обычный 36 2 4 2" xfId="35471"/>
    <cellStyle name="Обычный 36 2 4 2 2" xfId="35472"/>
    <cellStyle name="Обычный 36 2 4 2 2 2" xfId="35473"/>
    <cellStyle name="Обычный 36 2 4 2 3" xfId="35474"/>
    <cellStyle name="Обычный 36 2 4 3" xfId="35475"/>
    <cellStyle name="Обычный 36 2 4 3 2" xfId="35476"/>
    <cellStyle name="Обычный 36 2 4 3 2 2" xfId="35477"/>
    <cellStyle name="Обычный 36 2 4 3 3" xfId="35478"/>
    <cellStyle name="Обычный 36 2 4 4" xfId="35479"/>
    <cellStyle name="Обычный 36 2 4 4 2" xfId="35480"/>
    <cellStyle name="Обычный 36 2 4 5" xfId="35481"/>
    <cellStyle name="Обычный 36 2 4 5 2" xfId="35482"/>
    <cellStyle name="Обычный 36 2 4 6" xfId="35483"/>
    <cellStyle name="Обычный 36 2 5" xfId="35484"/>
    <cellStyle name="Обычный 36 2 5 2" xfId="35485"/>
    <cellStyle name="Обычный 36 2 5 2 2" xfId="35486"/>
    <cellStyle name="Обычный 36 2 5 2 2 2" xfId="35487"/>
    <cellStyle name="Обычный 36 2 5 2 3" xfId="35488"/>
    <cellStyle name="Обычный 36 2 5 3" xfId="35489"/>
    <cellStyle name="Обычный 36 2 5 3 2" xfId="35490"/>
    <cellStyle name="Обычный 36 2 5 3 2 2" xfId="35491"/>
    <cellStyle name="Обычный 36 2 5 3 3" xfId="35492"/>
    <cellStyle name="Обычный 36 2 5 4" xfId="35493"/>
    <cellStyle name="Обычный 36 2 5 4 2" xfId="35494"/>
    <cellStyle name="Обычный 36 2 5 5" xfId="35495"/>
    <cellStyle name="Обычный 36 2 5 5 2" xfId="35496"/>
    <cellStyle name="Обычный 36 2 5 6" xfId="35497"/>
    <cellStyle name="Обычный 36 2 6" xfId="35498"/>
    <cellStyle name="Обычный 36 2 6 2" xfId="35499"/>
    <cellStyle name="Обычный 36 2 6 2 2" xfId="35500"/>
    <cellStyle name="Обычный 36 2 6 3" xfId="35501"/>
    <cellStyle name="Обычный 36 2 7" xfId="35502"/>
    <cellStyle name="Обычный 36 2 7 2" xfId="35503"/>
    <cellStyle name="Обычный 36 2 7 2 2" xfId="35504"/>
    <cellStyle name="Обычный 36 2 7 3" xfId="35505"/>
    <cellStyle name="Обычный 36 2 8" xfId="35506"/>
    <cellStyle name="Обычный 36 2 8 2" xfId="35507"/>
    <cellStyle name="Обычный 36 2 9" xfId="35508"/>
    <cellStyle name="Обычный 36 2 9 2" xfId="35509"/>
    <cellStyle name="Обычный 36 3" xfId="35510"/>
    <cellStyle name="Обычный 36 3 2" xfId="35511"/>
    <cellStyle name="Обычный 36 3 2 10" xfId="35512"/>
    <cellStyle name="Обычный 36 3 2 2" xfId="35513"/>
    <cellStyle name="Обычный 36 3 2 2 2" xfId="35514"/>
    <cellStyle name="Обычный 36 3 2 2 2 2" xfId="35515"/>
    <cellStyle name="Обычный 36 3 2 2 2 2 2" xfId="35516"/>
    <cellStyle name="Обычный 36 3 2 2 2 2 2 2" xfId="35517"/>
    <cellStyle name="Обычный 36 3 2 2 2 2 3" xfId="35518"/>
    <cellStyle name="Обычный 36 3 2 2 2 3" xfId="35519"/>
    <cellStyle name="Обычный 36 3 2 2 2 3 2" xfId="35520"/>
    <cellStyle name="Обычный 36 3 2 2 2 3 2 2" xfId="35521"/>
    <cellStyle name="Обычный 36 3 2 2 2 3 3" xfId="35522"/>
    <cellStyle name="Обычный 36 3 2 2 2 4" xfId="35523"/>
    <cellStyle name="Обычный 36 3 2 2 2 4 2" xfId="35524"/>
    <cellStyle name="Обычный 36 3 2 2 2 5" xfId="35525"/>
    <cellStyle name="Обычный 36 3 2 2 3" xfId="35526"/>
    <cellStyle name="Обычный 36 3 2 2 3 2" xfId="35527"/>
    <cellStyle name="Обычный 36 3 2 2 3 2 2" xfId="35528"/>
    <cellStyle name="Обычный 36 3 2 2 3 2 2 2" xfId="35529"/>
    <cellStyle name="Обычный 36 3 2 2 3 2 3" xfId="35530"/>
    <cellStyle name="Обычный 36 3 2 2 3 3" xfId="35531"/>
    <cellStyle name="Обычный 36 3 2 2 3 3 2" xfId="35532"/>
    <cellStyle name="Обычный 36 3 2 2 3 3 2 2" xfId="35533"/>
    <cellStyle name="Обычный 36 3 2 2 3 3 3" xfId="35534"/>
    <cellStyle name="Обычный 36 3 2 2 3 4" xfId="35535"/>
    <cellStyle name="Обычный 36 3 2 2 3 4 2" xfId="35536"/>
    <cellStyle name="Обычный 36 3 2 2 3 5" xfId="35537"/>
    <cellStyle name="Обычный 36 3 2 2 4" xfId="35538"/>
    <cellStyle name="Обычный 36 3 2 2 4 2" xfId="35539"/>
    <cellStyle name="Обычный 36 3 2 2 4 2 2" xfId="35540"/>
    <cellStyle name="Обычный 36 3 2 2 4 3" xfId="35541"/>
    <cellStyle name="Обычный 36 3 2 2 5" xfId="35542"/>
    <cellStyle name="Обычный 36 3 2 2 5 2" xfId="35543"/>
    <cellStyle name="Обычный 36 3 2 2 5 2 2" xfId="35544"/>
    <cellStyle name="Обычный 36 3 2 2 5 3" xfId="35545"/>
    <cellStyle name="Обычный 36 3 2 2 6" xfId="35546"/>
    <cellStyle name="Обычный 36 3 2 2 6 2" xfId="35547"/>
    <cellStyle name="Обычный 36 3 2 2 7" xfId="35548"/>
    <cellStyle name="Обычный 36 3 2 2 7 2" xfId="35549"/>
    <cellStyle name="Обычный 36 3 2 2 8" xfId="35550"/>
    <cellStyle name="Обычный 36 3 2 3" xfId="35551"/>
    <cellStyle name="Обычный 36 3 2 3 2" xfId="35552"/>
    <cellStyle name="Обычный 36 3 2 3 2 2" xfId="35553"/>
    <cellStyle name="Обычный 36 3 2 3 2 2 2" xfId="35554"/>
    <cellStyle name="Обычный 36 3 2 3 2 2 2 2" xfId="35555"/>
    <cellStyle name="Обычный 36 3 2 3 2 2 3" xfId="35556"/>
    <cellStyle name="Обычный 36 3 2 3 2 3" xfId="35557"/>
    <cellStyle name="Обычный 36 3 2 3 2 3 2" xfId="35558"/>
    <cellStyle name="Обычный 36 3 2 3 2 3 2 2" xfId="35559"/>
    <cellStyle name="Обычный 36 3 2 3 2 3 3" xfId="35560"/>
    <cellStyle name="Обычный 36 3 2 3 2 4" xfId="35561"/>
    <cellStyle name="Обычный 36 3 2 3 2 4 2" xfId="35562"/>
    <cellStyle name="Обычный 36 3 2 3 2 5" xfId="35563"/>
    <cellStyle name="Обычный 36 3 2 3 3" xfId="35564"/>
    <cellStyle name="Обычный 36 3 2 3 3 2" xfId="35565"/>
    <cellStyle name="Обычный 36 3 2 3 3 2 2" xfId="35566"/>
    <cellStyle name="Обычный 36 3 2 3 3 2 2 2" xfId="35567"/>
    <cellStyle name="Обычный 36 3 2 3 3 2 3" xfId="35568"/>
    <cellStyle name="Обычный 36 3 2 3 3 3" xfId="35569"/>
    <cellStyle name="Обычный 36 3 2 3 3 3 2" xfId="35570"/>
    <cellStyle name="Обычный 36 3 2 3 3 3 2 2" xfId="35571"/>
    <cellStyle name="Обычный 36 3 2 3 3 3 3" xfId="35572"/>
    <cellStyle name="Обычный 36 3 2 3 3 4" xfId="35573"/>
    <cellStyle name="Обычный 36 3 2 3 3 4 2" xfId="35574"/>
    <cellStyle name="Обычный 36 3 2 3 3 5" xfId="35575"/>
    <cellStyle name="Обычный 36 3 2 3 4" xfId="35576"/>
    <cellStyle name="Обычный 36 3 2 3 4 2" xfId="35577"/>
    <cellStyle name="Обычный 36 3 2 3 4 2 2" xfId="35578"/>
    <cellStyle name="Обычный 36 3 2 3 4 2 2 2" xfId="35579"/>
    <cellStyle name="Обычный 36 3 2 3 4 2 3" xfId="35580"/>
    <cellStyle name="Обычный 36 3 2 3 4 3" xfId="35581"/>
    <cellStyle name="Обычный 36 3 2 3 4 3 2" xfId="35582"/>
    <cellStyle name="Обычный 36 3 2 3 4 4" xfId="35583"/>
    <cellStyle name="Обычный 36 3 2 3 5" xfId="35584"/>
    <cellStyle name="Обычный 36 3 2 3 5 2" xfId="35585"/>
    <cellStyle name="Обычный 36 3 2 3 5 2 2" xfId="35586"/>
    <cellStyle name="Обычный 36 3 2 3 5 3" xfId="35587"/>
    <cellStyle name="Обычный 36 3 2 3 6" xfId="35588"/>
    <cellStyle name="Обычный 36 3 2 3 6 2" xfId="35589"/>
    <cellStyle name="Обычный 36 3 2 3 6 2 2" xfId="35590"/>
    <cellStyle name="Обычный 36 3 2 3 6 3" xfId="35591"/>
    <cellStyle name="Обычный 36 3 2 3 7" xfId="35592"/>
    <cellStyle name="Обычный 36 3 2 3 7 2" xfId="35593"/>
    <cellStyle name="Обычный 36 3 2 3 8" xfId="35594"/>
    <cellStyle name="Обычный 36 3 2 3 8 2" xfId="35595"/>
    <cellStyle name="Обычный 36 3 2 3 9" xfId="35596"/>
    <cellStyle name="Обычный 36 3 2 4" xfId="35597"/>
    <cellStyle name="Обычный 36 3 2 4 2" xfId="35598"/>
    <cellStyle name="Обычный 36 3 2 4 2 2" xfId="35599"/>
    <cellStyle name="Обычный 36 3 2 4 2 2 2" xfId="35600"/>
    <cellStyle name="Обычный 36 3 2 4 2 3" xfId="35601"/>
    <cellStyle name="Обычный 36 3 2 4 3" xfId="35602"/>
    <cellStyle name="Обычный 36 3 2 4 3 2" xfId="35603"/>
    <cellStyle name="Обычный 36 3 2 4 3 2 2" xfId="35604"/>
    <cellStyle name="Обычный 36 3 2 4 3 3" xfId="35605"/>
    <cellStyle name="Обычный 36 3 2 4 4" xfId="35606"/>
    <cellStyle name="Обычный 36 3 2 4 4 2" xfId="35607"/>
    <cellStyle name="Обычный 36 3 2 4 5" xfId="35608"/>
    <cellStyle name="Обычный 36 3 2 5" xfId="35609"/>
    <cellStyle name="Обычный 36 3 2 5 2" xfId="35610"/>
    <cellStyle name="Обычный 36 3 2 5 2 2" xfId="35611"/>
    <cellStyle name="Обычный 36 3 2 5 2 2 2" xfId="35612"/>
    <cellStyle name="Обычный 36 3 2 5 2 3" xfId="35613"/>
    <cellStyle name="Обычный 36 3 2 5 3" xfId="35614"/>
    <cellStyle name="Обычный 36 3 2 5 3 2" xfId="35615"/>
    <cellStyle name="Обычный 36 3 2 5 3 2 2" xfId="35616"/>
    <cellStyle name="Обычный 36 3 2 5 3 3" xfId="35617"/>
    <cellStyle name="Обычный 36 3 2 5 4" xfId="35618"/>
    <cellStyle name="Обычный 36 3 2 5 4 2" xfId="35619"/>
    <cellStyle name="Обычный 36 3 2 5 5" xfId="35620"/>
    <cellStyle name="Обычный 36 3 2 6" xfId="35621"/>
    <cellStyle name="Обычный 36 3 2 6 2" xfId="35622"/>
    <cellStyle name="Обычный 36 3 2 6 2 2" xfId="35623"/>
    <cellStyle name="Обычный 36 3 2 6 3" xfId="35624"/>
    <cellStyle name="Обычный 36 3 2 7" xfId="35625"/>
    <cellStyle name="Обычный 36 3 2 7 2" xfId="35626"/>
    <cellStyle name="Обычный 36 3 2 7 2 2" xfId="35627"/>
    <cellStyle name="Обычный 36 3 2 7 3" xfId="35628"/>
    <cellStyle name="Обычный 36 3 2 8" xfId="35629"/>
    <cellStyle name="Обычный 36 3 2 8 2" xfId="35630"/>
    <cellStyle name="Обычный 36 3 2 9" xfId="35631"/>
    <cellStyle name="Обычный 36 3 2 9 2" xfId="35632"/>
    <cellStyle name="Обычный 36 3 3" xfId="35633"/>
    <cellStyle name="Обычный 36 3 3 2" xfId="35634"/>
    <cellStyle name="Обычный 36 3 3 2 2" xfId="35635"/>
    <cellStyle name="Обычный 36 3 3 2 2 2" xfId="35636"/>
    <cellStyle name="Обычный 36 3 3 2 2 2 2" xfId="35637"/>
    <cellStyle name="Обычный 36 3 3 2 2 2 2 2" xfId="35638"/>
    <cellStyle name="Обычный 36 3 3 2 2 2 3" xfId="35639"/>
    <cellStyle name="Обычный 36 3 3 2 2 3" xfId="35640"/>
    <cellStyle name="Обычный 36 3 3 2 2 3 2" xfId="35641"/>
    <cellStyle name="Обычный 36 3 3 2 2 3 2 2" xfId="35642"/>
    <cellStyle name="Обычный 36 3 3 2 2 3 3" xfId="35643"/>
    <cellStyle name="Обычный 36 3 3 2 2 4" xfId="35644"/>
    <cellStyle name="Обычный 36 3 3 2 2 4 2" xfId="35645"/>
    <cellStyle name="Обычный 36 3 3 2 2 5" xfId="35646"/>
    <cellStyle name="Обычный 36 3 3 2 3" xfId="35647"/>
    <cellStyle name="Обычный 36 3 3 2 3 2" xfId="35648"/>
    <cellStyle name="Обычный 36 3 3 2 3 2 2" xfId="35649"/>
    <cellStyle name="Обычный 36 3 3 2 3 2 2 2" xfId="35650"/>
    <cellStyle name="Обычный 36 3 3 2 3 2 3" xfId="35651"/>
    <cellStyle name="Обычный 36 3 3 2 3 3" xfId="35652"/>
    <cellStyle name="Обычный 36 3 3 2 3 3 2" xfId="35653"/>
    <cellStyle name="Обычный 36 3 3 2 3 3 2 2" xfId="35654"/>
    <cellStyle name="Обычный 36 3 3 2 3 3 3" xfId="35655"/>
    <cellStyle name="Обычный 36 3 3 2 3 4" xfId="35656"/>
    <cellStyle name="Обычный 36 3 3 2 3 4 2" xfId="35657"/>
    <cellStyle name="Обычный 36 3 3 2 3 5" xfId="35658"/>
    <cellStyle name="Обычный 36 3 3 2 4" xfId="35659"/>
    <cellStyle name="Обычный 36 3 3 2 4 2" xfId="35660"/>
    <cellStyle name="Обычный 36 3 3 2 4 2 2" xfId="35661"/>
    <cellStyle name="Обычный 36 3 3 2 4 3" xfId="35662"/>
    <cellStyle name="Обычный 36 3 3 2 5" xfId="35663"/>
    <cellStyle name="Обычный 36 3 3 2 5 2" xfId="35664"/>
    <cellStyle name="Обычный 36 3 3 2 5 2 2" xfId="35665"/>
    <cellStyle name="Обычный 36 3 3 2 5 3" xfId="35666"/>
    <cellStyle name="Обычный 36 3 3 2 6" xfId="35667"/>
    <cellStyle name="Обычный 36 3 3 2 6 2" xfId="35668"/>
    <cellStyle name="Обычный 36 3 3 2 7" xfId="35669"/>
    <cellStyle name="Обычный 36 3 3 2 7 2" xfId="35670"/>
    <cellStyle name="Обычный 36 3 3 2 8" xfId="35671"/>
    <cellStyle name="Обычный 36 3 3 3" xfId="35672"/>
    <cellStyle name="Обычный 36 3 3 3 2" xfId="35673"/>
    <cellStyle name="Обычный 36 3 3 3 2 2" xfId="35674"/>
    <cellStyle name="Обычный 36 3 3 3 2 2 2" xfId="35675"/>
    <cellStyle name="Обычный 36 3 3 3 2 3" xfId="35676"/>
    <cellStyle name="Обычный 36 3 3 3 3" xfId="35677"/>
    <cellStyle name="Обычный 36 3 3 3 3 2" xfId="35678"/>
    <cellStyle name="Обычный 36 3 3 3 3 2 2" xfId="35679"/>
    <cellStyle name="Обычный 36 3 3 3 3 3" xfId="35680"/>
    <cellStyle name="Обычный 36 3 3 3 4" xfId="35681"/>
    <cellStyle name="Обычный 36 3 3 3 4 2" xfId="35682"/>
    <cellStyle name="Обычный 36 3 3 3 5" xfId="35683"/>
    <cellStyle name="Обычный 36 3 3 4" xfId="35684"/>
    <cellStyle name="Обычный 36 3 3 4 2" xfId="35685"/>
    <cellStyle name="Обычный 36 3 3 4 2 2" xfId="35686"/>
    <cellStyle name="Обычный 36 3 3 4 2 2 2" xfId="35687"/>
    <cellStyle name="Обычный 36 3 3 4 2 3" xfId="35688"/>
    <cellStyle name="Обычный 36 3 3 4 3" xfId="35689"/>
    <cellStyle name="Обычный 36 3 3 4 3 2" xfId="35690"/>
    <cellStyle name="Обычный 36 3 3 4 3 2 2" xfId="35691"/>
    <cellStyle name="Обычный 36 3 3 4 3 3" xfId="35692"/>
    <cellStyle name="Обычный 36 3 3 4 4" xfId="35693"/>
    <cellStyle name="Обычный 36 3 3 4 4 2" xfId="35694"/>
    <cellStyle name="Обычный 36 3 3 4 5" xfId="35695"/>
    <cellStyle name="Обычный 36 3 3 5" xfId="35696"/>
    <cellStyle name="Обычный 36 3 3 5 2" xfId="35697"/>
    <cellStyle name="Обычный 36 3 3 5 2 2" xfId="35698"/>
    <cellStyle name="Обычный 36 3 3 5 3" xfId="35699"/>
    <cellStyle name="Обычный 36 3 3 6" xfId="35700"/>
    <cellStyle name="Обычный 36 3 3 6 2" xfId="35701"/>
    <cellStyle name="Обычный 36 3 3 6 2 2" xfId="35702"/>
    <cellStyle name="Обычный 36 3 3 6 3" xfId="35703"/>
    <cellStyle name="Обычный 36 3 3 7" xfId="35704"/>
    <cellStyle name="Обычный 36 3 3 7 2" xfId="35705"/>
    <cellStyle name="Обычный 36 3 3 8" xfId="35706"/>
    <cellStyle name="Обычный 36 3 3 8 2" xfId="35707"/>
    <cellStyle name="Обычный 36 3 3 9" xfId="35708"/>
    <cellStyle name="Обычный 36 3 4" xfId="35709"/>
    <cellStyle name="Обычный 36 3 4 2" xfId="35710"/>
    <cellStyle name="Обычный 36 3 4 2 2" xfId="35711"/>
    <cellStyle name="Обычный 36 3 4 2 2 2" xfId="35712"/>
    <cellStyle name="Обычный 36 3 4 2 2 2 2" xfId="35713"/>
    <cellStyle name="Обычный 36 3 4 2 2 3" xfId="35714"/>
    <cellStyle name="Обычный 36 3 4 2 3" xfId="35715"/>
    <cellStyle name="Обычный 36 3 4 2 3 2" xfId="35716"/>
    <cellStyle name="Обычный 36 3 4 2 3 2 2" xfId="35717"/>
    <cellStyle name="Обычный 36 3 4 2 3 3" xfId="35718"/>
    <cellStyle name="Обычный 36 3 4 2 4" xfId="35719"/>
    <cellStyle name="Обычный 36 3 4 2 4 2" xfId="35720"/>
    <cellStyle name="Обычный 36 3 4 2 5" xfId="35721"/>
    <cellStyle name="Обычный 36 3 4 3" xfId="35722"/>
    <cellStyle name="Обычный 36 3 4 3 2" xfId="35723"/>
    <cellStyle name="Обычный 36 3 4 3 2 2" xfId="35724"/>
    <cellStyle name="Обычный 36 3 4 3 2 2 2" xfId="35725"/>
    <cellStyle name="Обычный 36 3 4 3 2 3" xfId="35726"/>
    <cellStyle name="Обычный 36 3 4 3 3" xfId="35727"/>
    <cellStyle name="Обычный 36 3 4 3 3 2" xfId="35728"/>
    <cellStyle name="Обычный 36 3 4 3 3 2 2" xfId="35729"/>
    <cellStyle name="Обычный 36 3 4 3 3 3" xfId="35730"/>
    <cellStyle name="Обычный 36 3 4 3 4" xfId="35731"/>
    <cellStyle name="Обычный 36 3 4 3 4 2" xfId="35732"/>
    <cellStyle name="Обычный 36 3 4 3 5" xfId="35733"/>
    <cellStyle name="Обычный 36 3 4 4" xfId="35734"/>
    <cellStyle name="Обычный 36 3 4 4 2" xfId="35735"/>
    <cellStyle name="Обычный 36 3 4 4 2 2" xfId="35736"/>
    <cellStyle name="Обычный 36 3 4 4 3" xfId="35737"/>
    <cellStyle name="Обычный 36 3 4 5" xfId="35738"/>
    <cellStyle name="Обычный 36 3 4 5 2" xfId="35739"/>
    <cellStyle name="Обычный 36 3 4 5 2 2" xfId="35740"/>
    <cellStyle name="Обычный 36 3 4 5 3" xfId="35741"/>
    <cellStyle name="Обычный 36 3 4 6" xfId="35742"/>
    <cellStyle name="Обычный 36 3 4 6 2" xfId="35743"/>
    <cellStyle name="Обычный 36 3 4 7" xfId="35744"/>
    <cellStyle name="Обычный 36 3 4 7 2" xfId="35745"/>
    <cellStyle name="Обычный 36 3 4 8" xfId="35746"/>
    <cellStyle name="Обычный 36 3 5" xfId="35747"/>
    <cellStyle name="Обычный 36 3 5 2" xfId="35748"/>
    <cellStyle name="Обычный 36 3 5 2 2" xfId="35749"/>
    <cellStyle name="Обычный 36 3 5 2 2 2" xfId="35750"/>
    <cellStyle name="Обычный 36 3 5 2 3" xfId="35751"/>
    <cellStyle name="Обычный 36 3 5 3" xfId="35752"/>
    <cellStyle name="Обычный 36 3 5 3 2" xfId="35753"/>
    <cellStyle name="Обычный 36 3 5 3 2 2" xfId="35754"/>
    <cellStyle name="Обычный 36 3 5 3 3" xfId="35755"/>
    <cellStyle name="Обычный 36 3 5 4" xfId="35756"/>
    <cellStyle name="Обычный 36 3 5 4 2" xfId="35757"/>
    <cellStyle name="Обычный 36 3 5 5" xfId="35758"/>
    <cellStyle name="Обычный 36 3 6" xfId="35759"/>
    <cellStyle name="Обычный 36 3 6 2" xfId="35760"/>
    <cellStyle name="Обычный 36 3 6 2 2" xfId="35761"/>
    <cellStyle name="Обычный 36 3 6 2 2 2" xfId="35762"/>
    <cellStyle name="Обычный 36 3 6 2 3" xfId="35763"/>
    <cellStyle name="Обычный 36 3 6 3" xfId="35764"/>
    <cellStyle name="Обычный 36 3 6 3 2" xfId="35765"/>
    <cellStyle name="Обычный 36 3 6 3 2 2" xfId="35766"/>
    <cellStyle name="Обычный 36 3 6 3 3" xfId="35767"/>
    <cellStyle name="Обычный 36 3 6 4" xfId="35768"/>
    <cellStyle name="Обычный 36 3 6 4 2" xfId="35769"/>
    <cellStyle name="Обычный 36 3 6 5" xfId="35770"/>
    <cellStyle name="Обычный 36 3 7" xfId="35771"/>
    <cellStyle name="Обычный 36 3 7 2" xfId="35772"/>
    <cellStyle name="Обычный 36 3 8" xfId="35773"/>
    <cellStyle name="Обычный 36 3 8 2" xfId="35774"/>
    <cellStyle name="Обычный 36 3 9" xfId="35775"/>
    <cellStyle name="Обычный 36 4" xfId="35776"/>
    <cellStyle name="Обычный 36 4 2" xfId="35777"/>
    <cellStyle name="Обычный 36 4 2 2" xfId="35778"/>
    <cellStyle name="Обычный 36 4 2 2 2" xfId="35779"/>
    <cellStyle name="Обычный 36 4 2 2 2 2" xfId="35780"/>
    <cellStyle name="Обычный 36 4 2 2 3" xfId="35781"/>
    <cellStyle name="Обычный 36 4 2 3" xfId="35782"/>
    <cellStyle name="Обычный 36 4 2 3 2" xfId="35783"/>
    <cellStyle name="Обычный 36 4 2 3 2 2" xfId="35784"/>
    <cellStyle name="Обычный 36 4 2 3 3" xfId="35785"/>
    <cellStyle name="Обычный 36 4 2 4" xfId="35786"/>
    <cellStyle name="Обычный 36 4 2 4 2" xfId="35787"/>
    <cellStyle name="Обычный 36 4 2 5" xfId="35788"/>
    <cellStyle name="Обычный 36 4 2 5 2" xfId="35789"/>
    <cellStyle name="Обычный 36 4 2 6" xfId="35790"/>
    <cellStyle name="Обычный 36 4 3" xfId="35791"/>
    <cellStyle name="Обычный 36 4 3 2" xfId="35792"/>
    <cellStyle name="Обычный 36 4 3 2 2" xfId="35793"/>
    <cellStyle name="Обычный 36 4 3 2 2 2" xfId="35794"/>
    <cellStyle name="Обычный 36 4 3 2 3" xfId="35795"/>
    <cellStyle name="Обычный 36 4 3 3" xfId="35796"/>
    <cellStyle name="Обычный 36 4 3 3 2" xfId="35797"/>
    <cellStyle name="Обычный 36 4 3 3 2 2" xfId="35798"/>
    <cellStyle name="Обычный 36 4 3 3 3" xfId="35799"/>
    <cellStyle name="Обычный 36 4 3 4" xfId="35800"/>
    <cellStyle name="Обычный 36 4 3 4 2" xfId="35801"/>
    <cellStyle name="Обычный 36 4 3 5" xfId="35802"/>
    <cellStyle name="Обычный 36 4 3 5 2" xfId="35803"/>
    <cellStyle name="Обычный 36 4 3 6" xfId="35804"/>
    <cellStyle name="Обычный 36 4 4" xfId="35805"/>
    <cellStyle name="Обычный 36 4 4 2" xfId="35806"/>
    <cellStyle name="Обычный 36 4 4 2 2" xfId="35807"/>
    <cellStyle name="Обычный 36 4 4 3" xfId="35808"/>
    <cellStyle name="Обычный 36 4 5" xfId="35809"/>
    <cellStyle name="Обычный 36 4 5 2" xfId="35810"/>
    <cellStyle name="Обычный 36 4 5 2 2" xfId="35811"/>
    <cellStyle name="Обычный 36 4 5 3" xfId="35812"/>
    <cellStyle name="Обычный 36 4 6" xfId="35813"/>
    <cellStyle name="Обычный 36 4 6 2" xfId="35814"/>
    <cellStyle name="Обычный 36 4 7" xfId="35815"/>
    <cellStyle name="Обычный 36 4 7 2" xfId="35816"/>
    <cellStyle name="Обычный 36 4 8" xfId="35817"/>
    <cellStyle name="Обычный 36 5" xfId="35818"/>
    <cellStyle name="Обычный 36 5 2" xfId="35819"/>
    <cellStyle name="Обычный 36 5 2 2" xfId="35820"/>
    <cellStyle name="Обычный 36 5 2 2 2" xfId="35821"/>
    <cellStyle name="Обычный 36 5 2 2 2 2" xfId="35822"/>
    <cellStyle name="Обычный 36 5 2 2 3" xfId="35823"/>
    <cellStyle name="Обычный 36 5 2 2 3 2" xfId="35824"/>
    <cellStyle name="Обычный 36 5 2 2 4" xfId="35825"/>
    <cellStyle name="Обычный 36 5 2 3" xfId="35826"/>
    <cellStyle name="Обычный 36 5 2 3 2" xfId="35827"/>
    <cellStyle name="Обычный 36 5 2 3 2 2" xfId="35828"/>
    <cellStyle name="Обычный 36 5 2 3 3" xfId="35829"/>
    <cellStyle name="Обычный 36 5 2 4" xfId="35830"/>
    <cellStyle name="Обычный 36 5 2 4 2" xfId="35831"/>
    <cellStyle name="Обычный 36 5 2 5" xfId="35832"/>
    <cellStyle name="Обычный 36 5 2 5 2" xfId="35833"/>
    <cellStyle name="Обычный 36 5 2 6" xfId="35834"/>
    <cellStyle name="Обычный 36 5 3" xfId="35835"/>
    <cellStyle name="Обычный 36 5 3 2" xfId="35836"/>
    <cellStyle name="Обычный 36 5 3 2 2" xfId="35837"/>
    <cellStyle name="Обычный 36 5 3 2 2 2" xfId="35838"/>
    <cellStyle name="Обычный 36 5 3 2 3" xfId="35839"/>
    <cellStyle name="Обычный 36 5 3 3" xfId="35840"/>
    <cellStyle name="Обычный 36 5 3 3 2" xfId="35841"/>
    <cellStyle name="Обычный 36 5 3 3 2 2" xfId="35842"/>
    <cellStyle name="Обычный 36 5 3 3 3" xfId="35843"/>
    <cellStyle name="Обычный 36 5 3 4" xfId="35844"/>
    <cellStyle name="Обычный 36 5 3 4 2" xfId="35845"/>
    <cellStyle name="Обычный 36 5 3 5" xfId="35846"/>
    <cellStyle name="Обычный 36 5 3 5 2" xfId="35847"/>
    <cellStyle name="Обычный 36 5 3 6" xfId="35848"/>
    <cellStyle name="Обычный 36 5 4" xfId="35849"/>
    <cellStyle name="Обычный 36 5 4 2" xfId="35850"/>
    <cellStyle name="Обычный 36 5 4 2 2" xfId="35851"/>
    <cellStyle name="Обычный 36 5 4 3" xfId="35852"/>
    <cellStyle name="Обычный 36 5 5" xfId="35853"/>
    <cellStyle name="Обычный 36 5 5 2" xfId="35854"/>
    <cellStyle name="Обычный 36 5 5 2 2" xfId="35855"/>
    <cellStyle name="Обычный 36 5 5 3" xfId="35856"/>
    <cellStyle name="Обычный 36 5 6" xfId="35857"/>
    <cellStyle name="Обычный 36 5 6 2" xfId="35858"/>
    <cellStyle name="Обычный 36 5 7" xfId="35859"/>
    <cellStyle name="Обычный 36 5 7 2" xfId="35860"/>
    <cellStyle name="Обычный 36 5 8" xfId="35861"/>
    <cellStyle name="Обычный 36 6" xfId="35862"/>
    <cellStyle name="Обычный 36 6 2" xfId="35863"/>
    <cellStyle name="Обычный 36 6 2 2" xfId="35864"/>
    <cellStyle name="Обычный 36 6 2 2 2" xfId="35865"/>
    <cellStyle name="Обычный 36 6 2 2 2 2" xfId="35866"/>
    <cellStyle name="Обычный 36 6 2 2 3" xfId="35867"/>
    <cellStyle name="Обычный 36 6 2 3" xfId="35868"/>
    <cellStyle name="Обычный 36 6 2 3 2" xfId="35869"/>
    <cellStyle name="Обычный 36 6 2 3 2 2" xfId="35870"/>
    <cellStyle name="Обычный 36 6 2 3 3" xfId="35871"/>
    <cellStyle name="Обычный 36 6 2 4" xfId="35872"/>
    <cellStyle name="Обычный 36 6 2 4 2" xfId="35873"/>
    <cellStyle name="Обычный 36 6 2 5" xfId="35874"/>
    <cellStyle name="Обычный 36 6 2 5 2" xfId="35875"/>
    <cellStyle name="Обычный 36 6 2 6" xfId="35876"/>
    <cellStyle name="Обычный 36 6 3" xfId="35877"/>
    <cellStyle name="Обычный 36 6 3 2" xfId="35878"/>
    <cellStyle name="Обычный 36 6 3 2 2" xfId="35879"/>
    <cellStyle name="Обычный 36 6 3 2 2 2" xfId="35880"/>
    <cellStyle name="Обычный 36 6 3 2 3" xfId="35881"/>
    <cellStyle name="Обычный 36 6 3 3" xfId="35882"/>
    <cellStyle name="Обычный 36 6 3 3 2" xfId="35883"/>
    <cellStyle name="Обычный 36 6 3 3 2 2" xfId="35884"/>
    <cellStyle name="Обычный 36 6 3 3 3" xfId="35885"/>
    <cellStyle name="Обычный 36 6 3 4" xfId="35886"/>
    <cellStyle name="Обычный 36 6 3 4 2" xfId="35887"/>
    <cellStyle name="Обычный 36 6 3 5" xfId="35888"/>
    <cellStyle name="Обычный 36 6 4" xfId="35889"/>
    <cellStyle name="Обычный 36 6 4 2" xfId="35890"/>
    <cellStyle name="Обычный 36 6 4 2 2" xfId="35891"/>
    <cellStyle name="Обычный 36 6 4 3" xfId="35892"/>
    <cellStyle name="Обычный 36 6 5" xfId="35893"/>
    <cellStyle name="Обычный 36 6 5 2" xfId="35894"/>
    <cellStyle name="Обычный 36 6 5 2 2" xfId="35895"/>
    <cellStyle name="Обычный 36 6 5 3" xfId="35896"/>
    <cellStyle name="Обычный 36 6 6" xfId="35897"/>
    <cellStyle name="Обычный 36 6 6 2" xfId="35898"/>
    <cellStyle name="Обычный 36 6 7" xfId="35899"/>
    <cellStyle name="Обычный 36 6 7 2" xfId="35900"/>
    <cellStyle name="Обычный 36 6 8" xfId="35901"/>
    <cellStyle name="Обычный 36 7" xfId="35902"/>
    <cellStyle name="Обычный 36 7 2" xfId="35903"/>
    <cellStyle name="Обычный 36 7 2 2" xfId="35904"/>
    <cellStyle name="Обычный 36 7 2 2 2" xfId="35905"/>
    <cellStyle name="Обычный 36 7 2 2 2 2" xfId="35906"/>
    <cellStyle name="Обычный 36 7 2 2 3" xfId="35907"/>
    <cellStyle name="Обычный 36 7 2 3" xfId="35908"/>
    <cellStyle name="Обычный 36 7 2 3 2" xfId="35909"/>
    <cellStyle name="Обычный 36 7 2 3 2 2" xfId="35910"/>
    <cellStyle name="Обычный 36 7 2 3 3" xfId="35911"/>
    <cellStyle name="Обычный 36 7 2 4" xfId="35912"/>
    <cellStyle name="Обычный 36 7 2 4 2" xfId="35913"/>
    <cellStyle name="Обычный 36 7 2 5" xfId="35914"/>
    <cellStyle name="Обычный 36 7 3" xfId="35915"/>
    <cellStyle name="Обычный 36 7 3 2" xfId="35916"/>
    <cellStyle name="Обычный 36 7 3 2 2" xfId="35917"/>
    <cellStyle name="Обычный 36 7 3 2 2 2" xfId="35918"/>
    <cellStyle name="Обычный 36 7 3 2 3" xfId="35919"/>
    <cellStyle name="Обычный 36 7 3 3" xfId="35920"/>
    <cellStyle name="Обычный 36 7 3 3 2" xfId="35921"/>
    <cellStyle name="Обычный 36 7 3 3 2 2" xfId="35922"/>
    <cellStyle name="Обычный 36 7 3 3 3" xfId="35923"/>
    <cellStyle name="Обычный 36 7 3 4" xfId="35924"/>
    <cellStyle name="Обычный 36 7 3 4 2" xfId="35925"/>
    <cellStyle name="Обычный 36 7 3 5" xfId="35926"/>
    <cellStyle name="Обычный 36 7 4" xfId="35927"/>
    <cellStyle name="Обычный 36 7 4 2" xfId="35928"/>
    <cellStyle name="Обычный 36 7 4 2 2" xfId="35929"/>
    <cellStyle name="Обычный 36 7 4 3" xfId="35930"/>
    <cellStyle name="Обычный 36 7 5" xfId="35931"/>
    <cellStyle name="Обычный 36 7 5 2" xfId="35932"/>
    <cellStyle name="Обычный 36 7 5 2 2" xfId="35933"/>
    <cellStyle name="Обычный 36 7 5 3" xfId="35934"/>
    <cellStyle name="Обычный 36 7 6" xfId="35935"/>
    <cellStyle name="Обычный 36 7 6 2" xfId="35936"/>
    <cellStyle name="Обычный 36 7 7" xfId="35937"/>
    <cellStyle name="Обычный 36 7 7 2" xfId="35938"/>
    <cellStyle name="Обычный 36 7 8" xfId="35939"/>
    <cellStyle name="Обычный 36 8" xfId="35940"/>
    <cellStyle name="Обычный 36 8 2" xfId="35941"/>
    <cellStyle name="Обычный 36 8 2 2" xfId="35942"/>
    <cellStyle name="Обычный 36 8 2 2 2" xfId="35943"/>
    <cellStyle name="Обычный 36 8 2 2 2 2" xfId="35944"/>
    <cellStyle name="Обычный 36 8 2 2 3" xfId="35945"/>
    <cellStyle name="Обычный 36 8 2 3" xfId="35946"/>
    <cellStyle name="Обычный 36 8 2 3 2" xfId="35947"/>
    <cellStyle name="Обычный 36 8 2 3 2 2" xfId="35948"/>
    <cellStyle name="Обычный 36 8 2 3 3" xfId="35949"/>
    <cellStyle name="Обычный 36 8 2 4" xfId="35950"/>
    <cellStyle name="Обычный 36 8 2 4 2" xfId="35951"/>
    <cellStyle name="Обычный 36 8 2 5" xfId="35952"/>
    <cellStyle name="Обычный 36 8 3" xfId="35953"/>
    <cellStyle name="Обычный 36 8 3 2" xfId="35954"/>
    <cellStyle name="Обычный 36 8 3 2 2" xfId="35955"/>
    <cellStyle name="Обычный 36 8 3 2 2 2" xfId="35956"/>
    <cellStyle name="Обычный 36 8 3 2 3" xfId="35957"/>
    <cellStyle name="Обычный 36 8 3 3" xfId="35958"/>
    <cellStyle name="Обычный 36 8 3 3 2" xfId="35959"/>
    <cellStyle name="Обычный 36 8 3 3 2 2" xfId="35960"/>
    <cellStyle name="Обычный 36 8 3 3 3" xfId="35961"/>
    <cellStyle name="Обычный 36 8 3 4" xfId="35962"/>
    <cellStyle name="Обычный 36 8 3 4 2" xfId="35963"/>
    <cellStyle name="Обычный 36 8 3 5" xfId="35964"/>
    <cellStyle name="Обычный 36 8 4" xfId="35965"/>
    <cellStyle name="Обычный 36 8 4 2" xfId="35966"/>
    <cellStyle name="Обычный 36 8 4 2 2" xfId="35967"/>
    <cellStyle name="Обычный 36 8 4 3" xfId="35968"/>
    <cellStyle name="Обычный 36 8 5" xfId="35969"/>
    <cellStyle name="Обычный 36 8 5 2" xfId="35970"/>
    <cellStyle name="Обычный 36 8 5 2 2" xfId="35971"/>
    <cellStyle name="Обычный 36 8 5 3" xfId="35972"/>
    <cellStyle name="Обычный 36 8 6" xfId="35973"/>
    <cellStyle name="Обычный 36 8 6 2" xfId="35974"/>
    <cellStyle name="Обычный 36 8 7" xfId="35975"/>
    <cellStyle name="Обычный 36 8 7 2" xfId="35976"/>
    <cellStyle name="Обычный 36 8 8" xfId="35977"/>
    <cellStyle name="Обычный 36 9" xfId="35978"/>
    <cellStyle name="Обычный 36 9 2" xfId="35979"/>
    <cellStyle name="Обычный 36 9 2 2" xfId="35980"/>
    <cellStyle name="Обычный 36 9 2 2 2" xfId="35981"/>
    <cellStyle name="Обычный 36 9 2 2 2 2" xfId="35982"/>
    <cellStyle name="Обычный 36 9 2 2 2 2 2" xfId="35983"/>
    <cellStyle name="Обычный 36 9 2 2 2 3" xfId="35984"/>
    <cellStyle name="Обычный 36 9 2 2 3" xfId="35985"/>
    <cellStyle name="Обычный 36 9 2 2 3 2" xfId="35986"/>
    <cellStyle name="Обычный 36 9 2 2 3 2 2" xfId="35987"/>
    <cellStyle name="Обычный 36 9 2 2 3 3" xfId="35988"/>
    <cellStyle name="Обычный 36 9 2 2 4" xfId="35989"/>
    <cellStyle name="Обычный 36 9 2 2 4 2" xfId="35990"/>
    <cellStyle name="Обычный 36 9 2 2 5" xfId="35991"/>
    <cellStyle name="Обычный 36 9 2 3" xfId="35992"/>
    <cellStyle name="Обычный 36 9 2 3 2" xfId="35993"/>
    <cellStyle name="Обычный 36 9 2 3 2 2" xfId="35994"/>
    <cellStyle name="Обычный 36 9 2 3 2 2 2" xfId="35995"/>
    <cellStyle name="Обычный 36 9 2 3 2 3" xfId="35996"/>
    <cellStyle name="Обычный 36 9 2 3 3" xfId="35997"/>
    <cellStyle name="Обычный 36 9 2 3 3 2" xfId="35998"/>
    <cellStyle name="Обычный 36 9 2 3 3 2 2" xfId="35999"/>
    <cellStyle name="Обычный 36 9 2 3 3 3" xfId="36000"/>
    <cellStyle name="Обычный 36 9 2 3 4" xfId="36001"/>
    <cellStyle name="Обычный 36 9 2 3 4 2" xfId="36002"/>
    <cellStyle name="Обычный 36 9 2 3 5" xfId="36003"/>
    <cellStyle name="Обычный 36 9 2 4" xfId="36004"/>
    <cellStyle name="Обычный 36 9 2 4 2" xfId="36005"/>
    <cellStyle name="Обычный 36 9 2 4 2 2" xfId="36006"/>
    <cellStyle name="Обычный 36 9 2 4 3" xfId="36007"/>
    <cellStyle name="Обычный 36 9 2 5" xfId="36008"/>
    <cellStyle name="Обычный 36 9 2 5 2" xfId="36009"/>
    <cellStyle name="Обычный 36 9 2 5 2 2" xfId="36010"/>
    <cellStyle name="Обычный 36 9 2 5 3" xfId="36011"/>
    <cellStyle name="Обычный 36 9 2 6" xfId="36012"/>
    <cellStyle name="Обычный 36 9 2 6 2" xfId="36013"/>
    <cellStyle name="Обычный 36 9 2 7" xfId="36014"/>
    <cellStyle name="Обычный 36 9 3" xfId="36015"/>
    <cellStyle name="Обычный 36 9 3 2" xfId="36016"/>
    <cellStyle name="Обычный 36 9 3 2 2" xfId="36017"/>
    <cellStyle name="Обычный 36 9 3 2 2 2" xfId="36018"/>
    <cellStyle name="Обычный 36 9 3 2 3" xfId="36019"/>
    <cellStyle name="Обычный 36 9 3 3" xfId="36020"/>
    <cellStyle name="Обычный 36 9 3 3 2" xfId="36021"/>
    <cellStyle name="Обычный 36 9 3 3 2 2" xfId="36022"/>
    <cellStyle name="Обычный 36 9 3 3 3" xfId="36023"/>
    <cellStyle name="Обычный 36 9 3 4" xfId="36024"/>
    <cellStyle name="Обычный 36 9 3 4 2" xfId="36025"/>
    <cellStyle name="Обычный 36 9 3 5" xfId="36026"/>
    <cellStyle name="Обычный 36 9 4" xfId="36027"/>
    <cellStyle name="Обычный 36 9 4 2" xfId="36028"/>
    <cellStyle name="Обычный 36 9 4 2 2" xfId="36029"/>
    <cellStyle name="Обычный 36 9 4 2 2 2" xfId="36030"/>
    <cellStyle name="Обычный 36 9 4 2 3" xfId="36031"/>
    <cellStyle name="Обычный 36 9 4 3" xfId="36032"/>
    <cellStyle name="Обычный 36 9 4 3 2" xfId="36033"/>
    <cellStyle name="Обычный 36 9 4 3 2 2" xfId="36034"/>
    <cellStyle name="Обычный 36 9 4 3 3" xfId="36035"/>
    <cellStyle name="Обычный 36 9 4 4" xfId="36036"/>
    <cellStyle name="Обычный 36 9 4 4 2" xfId="36037"/>
    <cellStyle name="Обычный 36 9 4 5" xfId="36038"/>
    <cellStyle name="Обычный 36 9 5" xfId="36039"/>
    <cellStyle name="Обычный 36 9 5 2" xfId="36040"/>
    <cellStyle name="Обычный 36 9 5 2 2" xfId="36041"/>
    <cellStyle name="Обычный 36 9 5 3" xfId="36042"/>
    <cellStyle name="Обычный 36 9 6" xfId="36043"/>
    <cellStyle name="Обычный 36 9 6 2" xfId="36044"/>
    <cellStyle name="Обычный 36 9 6 2 2" xfId="36045"/>
    <cellStyle name="Обычный 36 9 6 3" xfId="36046"/>
    <cellStyle name="Обычный 36 9 7" xfId="36047"/>
    <cellStyle name="Обычный 36 9 7 2" xfId="36048"/>
    <cellStyle name="Обычный 36 9 8" xfId="36049"/>
    <cellStyle name="Обычный 37" xfId="36050"/>
    <cellStyle name="Обычный 37 10" xfId="36051"/>
    <cellStyle name="Обычный 37 10 2" xfId="36052"/>
    <cellStyle name="Обычный 37 10 2 2" xfId="36053"/>
    <cellStyle name="Обычный 37 10 2 2 2" xfId="36054"/>
    <cellStyle name="Обычный 37 10 2 3" xfId="36055"/>
    <cellStyle name="Обычный 37 10 3" xfId="36056"/>
    <cellStyle name="Обычный 37 10 3 2" xfId="36057"/>
    <cellStyle name="Обычный 37 10 3 2 2" xfId="36058"/>
    <cellStyle name="Обычный 37 10 3 3" xfId="36059"/>
    <cellStyle name="Обычный 37 10 4" xfId="36060"/>
    <cellStyle name="Обычный 37 10 4 2" xfId="36061"/>
    <cellStyle name="Обычный 37 10 5" xfId="36062"/>
    <cellStyle name="Обычный 37 10 5 2" xfId="36063"/>
    <cellStyle name="Обычный 37 10 6" xfId="36064"/>
    <cellStyle name="Обычный 37 11" xfId="36065"/>
    <cellStyle name="Обычный 37 11 2" xfId="36066"/>
    <cellStyle name="Обычный 37 11 2 2" xfId="36067"/>
    <cellStyle name="Обычный 37 11 3" xfId="36068"/>
    <cellStyle name="Обычный 37 11 3 2" xfId="36069"/>
    <cellStyle name="Обычный 37 11 4" xfId="36070"/>
    <cellStyle name="Обычный 37 12" xfId="36071"/>
    <cellStyle name="Обычный 37 12 2" xfId="36072"/>
    <cellStyle name="Обычный 37 12 2 2" xfId="36073"/>
    <cellStyle name="Обычный 37 12 3" xfId="36074"/>
    <cellStyle name="Обычный 37 12 4" xfId="36075"/>
    <cellStyle name="Обычный 37 13" xfId="36076"/>
    <cellStyle name="Обычный 37 13 2" xfId="36077"/>
    <cellStyle name="Обычный 37 14" xfId="36078"/>
    <cellStyle name="Обычный 37 14 2" xfId="36079"/>
    <cellStyle name="Обычный 37 15" xfId="36080"/>
    <cellStyle name="Обычный 37 16" xfId="36081"/>
    <cellStyle name="Обычный 37 2" xfId="36082"/>
    <cellStyle name="Обычный 37 2 10" xfId="36083"/>
    <cellStyle name="Обычный 37 2 2" xfId="36084"/>
    <cellStyle name="Обычный 37 2 2 2" xfId="36085"/>
    <cellStyle name="Обычный 37 2 2 2 2" xfId="36086"/>
    <cellStyle name="Обычный 37 2 2 2 2 2" xfId="36087"/>
    <cellStyle name="Обычный 37 2 2 2 2 2 2" xfId="36088"/>
    <cellStyle name="Обычный 37 2 2 2 2 3" xfId="36089"/>
    <cellStyle name="Обычный 37 2 2 2 2 3 2" xfId="36090"/>
    <cellStyle name="Обычный 37 2 2 2 2 4" xfId="36091"/>
    <cellStyle name="Обычный 37 2 2 2 3" xfId="36092"/>
    <cellStyle name="Обычный 37 2 2 2 3 2" xfId="36093"/>
    <cellStyle name="Обычный 37 2 2 2 3 2 2" xfId="36094"/>
    <cellStyle name="Обычный 37 2 2 2 3 3" xfId="36095"/>
    <cellStyle name="Обычный 37 2 2 2 4" xfId="36096"/>
    <cellStyle name="Обычный 37 2 2 2 4 2" xfId="36097"/>
    <cellStyle name="Обычный 37 2 2 2 5" xfId="36098"/>
    <cellStyle name="Обычный 37 2 2 2 5 2" xfId="36099"/>
    <cellStyle name="Обычный 37 2 2 2 6" xfId="36100"/>
    <cellStyle name="Обычный 37 2 2 3" xfId="36101"/>
    <cellStyle name="Обычный 37 2 2 3 2" xfId="36102"/>
    <cellStyle name="Обычный 37 2 2 3 2 2" xfId="36103"/>
    <cellStyle name="Обычный 37 2 2 3 2 2 2" xfId="36104"/>
    <cellStyle name="Обычный 37 2 2 3 2 3" xfId="36105"/>
    <cellStyle name="Обычный 37 2 2 3 3" xfId="36106"/>
    <cellStyle name="Обычный 37 2 2 3 3 2" xfId="36107"/>
    <cellStyle name="Обычный 37 2 2 3 3 2 2" xfId="36108"/>
    <cellStyle name="Обычный 37 2 2 3 3 3" xfId="36109"/>
    <cellStyle name="Обычный 37 2 2 3 4" xfId="36110"/>
    <cellStyle name="Обычный 37 2 2 3 4 2" xfId="36111"/>
    <cellStyle name="Обычный 37 2 2 3 5" xfId="36112"/>
    <cellStyle name="Обычный 37 2 2 3 5 2" xfId="36113"/>
    <cellStyle name="Обычный 37 2 2 3 6" xfId="36114"/>
    <cellStyle name="Обычный 37 2 2 4" xfId="36115"/>
    <cellStyle name="Обычный 37 2 2 4 2" xfId="36116"/>
    <cellStyle name="Обычный 37 2 2 4 2 2" xfId="36117"/>
    <cellStyle name="Обычный 37 2 2 4 3" xfId="36118"/>
    <cellStyle name="Обычный 37 2 2 4 3 2" xfId="36119"/>
    <cellStyle name="Обычный 37 2 2 4 4" xfId="36120"/>
    <cellStyle name="Обычный 37 2 2 5" xfId="36121"/>
    <cellStyle name="Обычный 37 2 2 5 2" xfId="36122"/>
    <cellStyle name="Обычный 37 2 2 5 2 2" xfId="36123"/>
    <cellStyle name="Обычный 37 2 2 5 3" xfId="36124"/>
    <cellStyle name="Обычный 37 2 2 6" xfId="36125"/>
    <cellStyle name="Обычный 37 2 2 6 2" xfId="36126"/>
    <cellStyle name="Обычный 37 2 2 7" xfId="36127"/>
    <cellStyle name="Обычный 37 2 2 7 2" xfId="36128"/>
    <cellStyle name="Обычный 37 2 2 8" xfId="36129"/>
    <cellStyle name="Обычный 37 2 3" xfId="36130"/>
    <cellStyle name="Обычный 37 2 3 2" xfId="36131"/>
    <cellStyle name="Обычный 37 2 3 2 2" xfId="36132"/>
    <cellStyle name="Обычный 37 2 3 2 2 2" xfId="36133"/>
    <cellStyle name="Обычный 37 2 3 2 2 2 2" xfId="36134"/>
    <cellStyle name="Обычный 37 2 3 2 2 3" xfId="36135"/>
    <cellStyle name="Обычный 37 2 3 2 3" xfId="36136"/>
    <cellStyle name="Обычный 37 2 3 2 3 2" xfId="36137"/>
    <cellStyle name="Обычный 37 2 3 2 3 2 2" xfId="36138"/>
    <cellStyle name="Обычный 37 2 3 2 3 3" xfId="36139"/>
    <cellStyle name="Обычный 37 2 3 2 4" xfId="36140"/>
    <cellStyle name="Обычный 37 2 3 2 4 2" xfId="36141"/>
    <cellStyle name="Обычный 37 2 3 2 5" xfId="36142"/>
    <cellStyle name="Обычный 37 2 3 2 5 2" xfId="36143"/>
    <cellStyle name="Обычный 37 2 3 2 6" xfId="36144"/>
    <cellStyle name="Обычный 37 2 3 3" xfId="36145"/>
    <cellStyle name="Обычный 37 2 3 3 2" xfId="36146"/>
    <cellStyle name="Обычный 37 2 3 3 2 2" xfId="36147"/>
    <cellStyle name="Обычный 37 2 3 3 2 2 2" xfId="36148"/>
    <cellStyle name="Обычный 37 2 3 3 2 3" xfId="36149"/>
    <cellStyle name="Обычный 37 2 3 3 3" xfId="36150"/>
    <cellStyle name="Обычный 37 2 3 3 3 2" xfId="36151"/>
    <cellStyle name="Обычный 37 2 3 3 3 2 2" xfId="36152"/>
    <cellStyle name="Обычный 37 2 3 3 3 3" xfId="36153"/>
    <cellStyle name="Обычный 37 2 3 3 4" xfId="36154"/>
    <cellStyle name="Обычный 37 2 3 3 4 2" xfId="36155"/>
    <cellStyle name="Обычный 37 2 3 3 5" xfId="36156"/>
    <cellStyle name="Обычный 37 2 3 4" xfId="36157"/>
    <cellStyle name="Обычный 37 2 3 4 2" xfId="36158"/>
    <cellStyle name="Обычный 37 2 3 4 2 2" xfId="36159"/>
    <cellStyle name="Обычный 37 2 3 4 2 2 2" xfId="36160"/>
    <cellStyle name="Обычный 37 2 3 4 2 3" xfId="36161"/>
    <cellStyle name="Обычный 37 2 3 4 3" xfId="36162"/>
    <cellStyle name="Обычный 37 2 3 4 3 2" xfId="36163"/>
    <cellStyle name="Обычный 37 2 3 4 4" xfId="36164"/>
    <cellStyle name="Обычный 37 2 3 5" xfId="36165"/>
    <cellStyle name="Обычный 37 2 3 5 2" xfId="36166"/>
    <cellStyle name="Обычный 37 2 3 5 2 2" xfId="36167"/>
    <cellStyle name="Обычный 37 2 3 5 3" xfId="36168"/>
    <cellStyle name="Обычный 37 2 3 6" xfId="36169"/>
    <cellStyle name="Обычный 37 2 3 6 2" xfId="36170"/>
    <cellStyle name="Обычный 37 2 3 6 2 2" xfId="36171"/>
    <cellStyle name="Обычный 37 2 3 6 3" xfId="36172"/>
    <cellStyle name="Обычный 37 2 3 7" xfId="36173"/>
    <cellStyle name="Обычный 37 2 3 7 2" xfId="36174"/>
    <cellStyle name="Обычный 37 2 3 8" xfId="36175"/>
    <cellStyle name="Обычный 37 2 3 8 2" xfId="36176"/>
    <cellStyle name="Обычный 37 2 3 9" xfId="36177"/>
    <cellStyle name="Обычный 37 2 4" xfId="36178"/>
    <cellStyle name="Обычный 37 2 4 2" xfId="36179"/>
    <cellStyle name="Обычный 37 2 4 2 2" xfId="36180"/>
    <cellStyle name="Обычный 37 2 4 2 2 2" xfId="36181"/>
    <cellStyle name="Обычный 37 2 4 2 3" xfId="36182"/>
    <cellStyle name="Обычный 37 2 4 3" xfId="36183"/>
    <cellStyle name="Обычный 37 2 4 3 2" xfId="36184"/>
    <cellStyle name="Обычный 37 2 4 3 2 2" xfId="36185"/>
    <cellStyle name="Обычный 37 2 4 3 3" xfId="36186"/>
    <cellStyle name="Обычный 37 2 4 4" xfId="36187"/>
    <cellStyle name="Обычный 37 2 4 4 2" xfId="36188"/>
    <cellStyle name="Обычный 37 2 4 5" xfId="36189"/>
    <cellStyle name="Обычный 37 2 4 5 2" xfId="36190"/>
    <cellStyle name="Обычный 37 2 4 6" xfId="36191"/>
    <cellStyle name="Обычный 37 2 5" xfId="36192"/>
    <cellStyle name="Обычный 37 2 5 2" xfId="36193"/>
    <cellStyle name="Обычный 37 2 5 2 2" xfId="36194"/>
    <cellStyle name="Обычный 37 2 5 2 2 2" xfId="36195"/>
    <cellStyle name="Обычный 37 2 5 2 3" xfId="36196"/>
    <cellStyle name="Обычный 37 2 5 3" xfId="36197"/>
    <cellStyle name="Обычный 37 2 5 3 2" xfId="36198"/>
    <cellStyle name="Обычный 37 2 5 3 2 2" xfId="36199"/>
    <cellStyle name="Обычный 37 2 5 3 3" xfId="36200"/>
    <cellStyle name="Обычный 37 2 5 4" xfId="36201"/>
    <cellStyle name="Обычный 37 2 5 4 2" xfId="36202"/>
    <cellStyle name="Обычный 37 2 5 5" xfId="36203"/>
    <cellStyle name="Обычный 37 2 5 5 2" xfId="36204"/>
    <cellStyle name="Обычный 37 2 5 6" xfId="36205"/>
    <cellStyle name="Обычный 37 2 6" xfId="36206"/>
    <cellStyle name="Обычный 37 2 6 2" xfId="36207"/>
    <cellStyle name="Обычный 37 2 6 2 2" xfId="36208"/>
    <cellStyle name="Обычный 37 2 6 3" xfId="36209"/>
    <cellStyle name="Обычный 37 2 7" xfId="36210"/>
    <cellStyle name="Обычный 37 2 7 2" xfId="36211"/>
    <cellStyle name="Обычный 37 2 7 2 2" xfId="36212"/>
    <cellStyle name="Обычный 37 2 7 3" xfId="36213"/>
    <cellStyle name="Обычный 37 2 8" xfId="36214"/>
    <cellStyle name="Обычный 37 2 8 2" xfId="36215"/>
    <cellStyle name="Обычный 37 2 9" xfId="36216"/>
    <cellStyle name="Обычный 37 2 9 2" xfId="36217"/>
    <cellStyle name="Обычный 37 3" xfId="36218"/>
    <cellStyle name="Обычный 37 3 2" xfId="36219"/>
    <cellStyle name="Обычный 37 3 2 2" xfId="36220"/>
    <cellStyle name="Обычный 37 3 2 2 2" xfId="36221"/>
    <cellStyle name="Обычный 37 3 2 2 2 2" xfId="36222"/>
    <cellStyle name="Обычный 37 3 2 2 2 2 2" xfId="36223"/>
    <cellStyle name="Обычный 37 3 2 2 2 2 2 2" xfId="36224"/>
    <cellStyle name="Обычный 37 3 2 2 2 2 2 2 2" xfId="36225"/>
    <cellStyle name="Обычный 37 3 2 2 2 2 2 3" xfId="36226"/>
    <cellStyle name="Обычный 37 3 2 2 2 2 3" xfId="36227"/>
    <cellStyle name="Обычный 37 3 2 2 2 2 3 2" xfId="36228"/>
    <cellStyle name="Обычный 37 3 2 2 2 2 4" xfId="36229"/>
    <cellStyle name="Обычный 37 3 2 2 2 3" xfId="36230"/>
    <cellStyle name="Обычный 37 3 2 2 2 3 2" xfId="36231"/>
    <cellStyle name="Обычный 37 3 2 2 2 3 2 2" xfId="36232"/>
    <cellStyle name="Обычный 37 3 2 2 2 3 3" xfId="36233"/>
    <cellStyle name="Обычный 37 3 2 2 2 4" xfId="36234"/>
    <cellStyle name="Обычный 37 3 2 2 2 4 2" xfId="36235"/>
    <cellStyle name="Обычный 37 3 2 2 2 4 2 2" xfId="36236"/>
    <cellStyle name="Обычный 37 3 2 2 2 4 3" xfId="36237"/>
    <cellStyle name="Обычный 37 3 2 2 2 5" xfId="36238"/>
    <cellStyle name="Обычный 37 3 2 2 2 5 2" xfId="36239"/>
    <cellStyle name="Обычный 37 3 2 2 2 6" xfId="36240"/>
    <cellStyle name="Обычный 37 3 2 2 3" xfId="36241"/>
    <cellStyle name="Обычный 37 3 2 2 3 2" xfId="36242"/>
    <cellStyle name="Обычный 37 3 2 2 3 2 2" xfId="36243"/>
    <cellStyle name="Обычный 37 3 2 2 3 2 2 2" xfId="36244"/>
    <cellStyle name="Обычный 37 3 2 2 3 2 3" xfId="36245"/>
    <cellStyle name="Обычный 37 3 2 2 3 3" xfId="36246"/>
    <cellStyle name="Обычный 37 3 2 2 3 3 2" xfId="36247"/>
    <cellStyle name="Обычный 37 3 2 2 3 3 2 2" xfId="36248"/>
    <cellStyle name="Обычный 37 3 2 2 3 3 3" xfId="36249"/>
    <cellStyle name="Обычный 37 3 2 2 3 4" xfId="36250"/>
    <cellStyle name="Обычный 37 3 2 2 3 4 2" xfId="36251"/>
    <cellStyle name="Обычный 37 3 2 2 3 5" xfId="36252"/>
    <cellStyle name="Обычный 37 3 2 2 4" xfId="36253"/>
    <cellStyle name="Обычный 37 3 2 2 4 2" xfId="36254"/>
    <cellStyle name="Обычный 37 3 2 2 4 2 2" xfId="36255"/>
    <cellStyle name="Обычный 37 3 2 2 4 3" xfId="36256"/>
    <cellStyle name="Обычный 37 3 2 2 5" xfId="36257"/>
    <cellStyle name="Обычный 37 3 2 2 5 2" xfId="36258"/>
    <cellStyle name="Обычный 37 3 2 2 5 2 2" xfId="36259"/>
    <cellStyle name="Обычный 37 3 2 2 5 3" xfId="36260"/>
    <cellStyle name="Обычный 37 3 2 2 6" xfId="36261"/>
    <cellStyle name="Обычный 37 3 2 2 6 2" xfId="36262"/>
    <cellStyle name="Обычный 37 3 2 2 7" xfId="36263"/>
    <cellStyle name="Обычный 37 3 2 2 7 2" xfId="36264"/>
    <cellStyle name="Обычный 37 3 2 2 8" xfId="36265"/>
    <cellStyle name="Обычный 37 3 2 3" xfId="36266"/>
    <cellStyle name="Обычный 37 3 2 3 2" xfId="36267"/>
    <cellStyle name="Обычный 37 3 2 3 2 2" xfId="36268"/>
    <cellStyle name="Обычный 37 3 2 3 2 2 2" xfId="36269"/>
    <cellStyle name="Обычный 37 3 2 3 2 3" xfId="36270"/>
    <cellStyle name="Обычный 37 3 2 3 3" xfId="36271"/>
    <cellStyle name="Обычный 37 3 2 3 3 2" xfId="36272"/>
    <cellStyle name="Обычный 37 3 2 3 3 2 2" xfId="36273"/>
    <cellStyle name="Обычный 37 3 2 3 3 3" xfId="36274"/>
    <cellStyle name="Обычный 37 3 2 3 4" xfId="36275"/>
    <cellStyle name="Обычный 37 3 2 3 4 2" xfId="36276"/>
    <cellStyle name="Обычный 37 3 2 3 5" xfId="36277"/>
    <cellStyle name="Обычный 37 3 2 3 5 2" xfId="36278"/>
    <cellStyle name="Обычный 37 3 2 3 6" xfId="36279"/>
    <cellStyle name="Обычный 37 3 2 4" xfId="36280"/>
    <cellStyle name="Обычный 37 3 2 4 2" xfId="36281"/>
    <cellStyle name="Обычный 37 3 2 4 2 2" xfId="36282"/>
    <cellStyle name="Обычный 37 3 2 4 2 2 2" xfId="36283"/>
    <cellStyle name="Обычный 37 3 2 4 2 3" xfId="36284"/>
    <cellStyle name="Обычный 37 3 2 4 3" xfId="36285"/>
    <cellStyle name="Обычный 37 3 2 4 3 2" xfId="36286"/>
    <cellStyle name="Обычный 37 3 2 4 3 2 2" xfId="36287"/>
    <cellStyle name="Обычный 37 3 2 4 3 3" xfId="36288"/>
    <cellStyle name="Обычный 37 3 2 4 4" xfId="36289"/>
    <cellStyle name="Обычный 37 3 2 4 4 2" xfId="36290"/>
    <cellStyle name="Обычный 37 3 2 4 5" xfId="36291"/>
    <cellStyle name="Обычный 37 3 2 5" xfId="36292"/>
    <cellStyle name="Обычный 37 3 2 5 2" xfId="36293"/>
    <cellStyle name="Обычный 37 3 2 5 2 2" xfId="36294"/>
    <cellStyle name="Обычный 37 3 2 5 3" xfId="36295"/>
    <cellStyle name="Обычный 37 3 2 6" xfId="36296"/>
    <cellStyle name="Обычный 37 3 2 6 2" xfId="36297"/>
    <cellStyle name="Обычный 37 3 2 6 2 2" xfId="36298"/>
    <cellStyle name="Обычный 37 3 2 6 3" xfId="36299"/>
    <cellStyle name="Обычный 37 3 2 7" xfId="36300"/>
    <cellStyle name="Обычный 37 3 2 7 2" xfId="36301"/>
    <cellStyle name="Обычный 37 3 2 8" xfId="36302"/>
    <cellStyle name="Обычный 37 3 2 8 2" xfId="36303"/>
    <cellStyle name="Обычный 37 3 2 9" xfId="36304"/>
    <cellStyle name="Обычный 37 3 3" xfId="36305"/>
    <cellStyle name="Обычный 37 3 3 2" xfId="36306"/>
    <cellStyle name="Обычный 37 3 3 2 2" xfId="36307"/>
    <cellStyle name="Обычный 37 3 3 2 2 2" xfId="36308"/>
    <cellStyle name="Обычный 37 3 3 2 3" xfId="36309"/>
    <cellStyle name="Обычный 37 3 3 3" xfId="36310"/>
    <cellStyle name="Обычный 37 3 3 3 2" xfId="36311"/>
    <cellStyle name="Обычный 37 3 3 3 2 2" xfId="36312"/>
    <cellStyle name="Обычный 37 3 3 3 3" xfId="36313"/>
    <cellStyle name="Обычный 37 3 3 4" xfId="36314"/>
    <cellStyle name="Обычный 37 3 3 4 2" xfId="36315"/>
    <cellStyle name="Обычный 37 3 3 5" xfId="36316"/>
    <cellStyle name="Обычный 37 3 3 5 2" xfId="36317"/>
    <cellStyle name="Обычный 37 3 3 6" xfId="36318"/>
    <cellStyle name="Обычный 37 3 4" xfId="36319"/>
    <cellStyle name="Обычный 37 3 4 2" xfId="36320"/>
    <cellStyle name="Обычный 37 3 4 2 2" xfId="36321"/>
    <cellStyle name="Обычный 37 3 4 2 2 2" xfId="36322"/>
    <cellStyle name="Обычный 37 3 4 2 3" xfId="36323"/>
    <cellStyle name="Обычный 37 3 4 3" xfId="36324"/>
    <cellStyle name="Обычный 37 3 4 3 2" xfId="36325"/>
    <cellStyle name="Обычный 37 3 4 3 2 2" xfId="36326"/>
    <cellStyle name="Обычный 37 3 4 3 3" xfId="36327"/>
    <cellStyle name="Обычный 37 3 4 4" xfId="36328"/>
    <cellStyle name="Обычный 37 3 4 4 2" xfId="36329"/>
    <cellStyle name="Обычный 37 3 4 5" xfId="36330"/>
    <cellStyle name="Обычный 37 3 4 5 2" xfId="36331"/>
    <cellStyle name="Обычный 37 3 4 6" xfId="36332"/>
    <cellStyle name="Обычный 37 3 5" xfId="36333"/>
    <cellStyle name="Обычный 37 3 5 2" xfId="36334"/>
    <cellStyle name="Обычный 37 3 5 2 2" xfId="36335"/>
    <cellStyle name="Обычный 37 3 5 3" xfId="36336"/>
    <cellStyle name="Обычный 37 3 6" xfId="36337"/>
    <cellStyle name="Обычный 37 3 6 2" xfId="36338"/>
    <cellStyle name="Обычный 37 3 6 2 2" xfId="36339"/>
    <cellStyle name="Обычный 37 3 6 3" xfId="36340"/>
    <cellStyle name="Обычный 37 3 7" xfId="36341"/>
    <cellStyle name="Обычный 37 3 7 2" xfId="36342"/>
    <cellStyle name="Обычный 37 3 8" xfId="36343"/>
    <cellStyle name="Обычный 37 3 8 2" xfId="36344"/>
    <cellStyle name="Обычный 37 3 9" xfId="36345"/>
    <cellStyle name="Обычный 37 4" xfId="36346"/>
    <cellStyle name="Обычный 37 4 2" xfId="36347"/>
    <cellStyle name="Обычный 37 4 2 2" xfId="36348"/>
    <cellStyle name="Обычный 37 4 2 2 2" xfId="36349"/>
    <cellStyle name="Обычный 37 4 2 2 2 2" xfId="36350"/>
    <cellStyle name="Обычный 37 4 2 2 2 2 2" xfId="36351"/>
    <cellStyle name="Обычный 37 4 2 2 2 3" xfId="36352"/>
    <cellStyle name="Обычный 37 4 2 2 3" xfId="36353"/>
    <cellStyle name="Обычный 37 4 2 2 3 2" xfId="36354"/>
    <cellStyle name="Обычный 37 4 2 2 4" xfId="36355"/>
    <cellStyle name="Обычный 37 4 2 2 4 2" xfId="36356"/>
    <cellStyle name="Обычный 37 4 2 2 5" xfId="36357"/>
    <cellStyle name="Обычный 37 4 2 3" xfId="36358"/>
    <cellStyle name="Обычный 37 4 2 3 2" xfId="36359"/>
    <cellStyle name="Обычный 37 4 2 3 2 2" xfId="36360"/>
    <cellStyle name="Обычный 37 4 2 3 3" xfId="36361"/>
    <cellStyle name="Обычный 37 4 2 4" xfId="36362"/>
    <cellStyle name="Обычный 37 4 2 4 2" xfId="36363"/>
    <cellStyle name="Обычный 37 4 2 4 2 2" xfId="36364"/>
    <cellStyle name="Обычный 37 4 2 4 3" xfId="36365"/>
    <cellStyle name="Обычный 37 4 2 5" xfId="36366"/>
    <cellStyle name="Обычный 37 4 2 5 2" xfId="36367"/>
    <cellStyle name="Обычный 37 4 2 6" xfId="36368"/>
    <cellStyle name="Обычный 37 4 2 6 2" xfId="36369"/>
    <cellStyle name="Обычный 37 4 2 7" xfId="36370"/>
    <cellStyle name="Обычный 37 4 3" xfId="36371"/>
    <cellStyle name="Обычный 37 4 3 2" xfId="36372"/>
    <cellStyle name="Обычный 37 4 3 2 2" xfId="36373"/>
    <cellStyle name="Обычный 37 4 3 2 2 2" xfId="36374"/>
    <cellStyle name="Обычный 37 4 3 2 3" xfId="36375"/>
    <cellStyle name="Обычный 37 4 3 3" xfId="36376"/>
    <cellStyle name="Обычный 37 4 3 3 2" xfId="36377"/>
    <cellStyle name="Обычный 37 4 3 3 2 2" xfId="36378"/>
    <cellStyle name="Обычный 37 4 3 3 3" xfId="36379"/>
    <cellStyle name="Обычный 37 4 3 4" xfId="36380"/>
    <cellStyle name="Обычный 37 4 3 4 2" xfId="36381"/>
    <cellStyle name="Обычный 37 4 3 5" xfId="36382"/>
    <cellStyle name="Обычный 37 4 3 5 2" xfId="36383"/>
    <cellStyle name="Обычный 37 4 3 6" xfId="36384"/>
    <cellStyle name="Обычный 37 4 4" xfId="36385"/>
    <cellStyle name="Обычный 37 4 4 2" xfId="36386"/>
    <cellStyle name="Обычный 37 4 4 2 2" xfId="36387"/>
    <cellStyle name="Обычный 37 4 4 3" xfId="36388"/>
    <cellStyle name="Обычный 37 4 4 3 2" xfId="36389"/>
    <cellStyle name="Обычный 37 4 4 4" xfId="36390"/>
    <cellStyle name="Обычный 37 4 5" xfId="36391"/>
    <cellStyle name="Обычный 37 4 5 2" xfId="36392"/>
    <cellStyle name="Обычный 37 4 5 2 2" xfId="36393"/>
    <cellStyle name="Обычный 37 4 5 3" xfId="36394"/>
    <cellStyle name="Обычный 37 4 6" xfId="36395"/>
    <cellStyle name="Обычный 37 4 6 2" xfId="36396"/>
    <cellStyle name="Обычный 37 4 7" xfId="36397"/>
    <cellStyle name="Обычный 37 4 7 2" xfId="36398"/>
    <cellStyle name="Обычный 37 4 8" xfId="36399"/>
    <cellStyle name="Обычный 37 5" xfId="36400"/>
    <cellStyle name="Обычный 37 5 2" xfId="36401"/>
    <cellStyle name="Обычный 37 5 2 2" xfId="36402"/>
    <cellStyle name="Обычный 37 5 2 2 2" xfId="36403"/>
    <cellStyle name="Обычный 37 5 2 3" xfId="36404"/>
    <cellStyle name="Обычный 37 5 3" xfId="36405"/>
    <cellStyle name="Обычный 37 5 3 2" xfId="36406"/>
    <cellStyle name="Обычный 37 5 3 2 2" xfId="36407"/>
    <cellStyle name="Обычный 37 5 3 3" xfId="36408"/>
    <cellStyle name="Обычный 37 5 4" xfId="36409"/>
    <cellStyle name="Обычный 37 5 4 2" xfId="36410"/>
    <cellStyle name="Обычный 37 5 4 2 2" xfId="36411"/>
    <cellStyle name="Обычный 37 5 4 3" xfId="36412"/>
    <cellStyle name="Обычный 37 5 5" xfId="36413"/>
    <cellStyle name="Обычный 37 5 5 2" xfId="36414"/>
    <cellStyle name="Обычный 37 5 6" xfId="36415"/>
    <cellStyle name="Обычный 37 5 6 2" xfId="36416"/>
    <cellStyle name="Обычный 37 5 7" xfId="36417"/>
    <cellStyle name="Обычный 37 6" xfId="36418"/>
    <cellStyle name="Обычный 37 6 2" xfId="36419"/>
    <cellStyle name="Обычный 37 6 2 2" xfId="36420"/>
    <cellStyle name="Обычный 37 6 2 2 2" xfId="36421"/>
    <cellStyle name="Обычный 37 6 2 3" xfId="36422"/>
    <cellStyle name="Обычный 37 6 3" xfId="36423"/>
    <cellStyle name="Обычный 37 6 3 2" xfId="36424"/>
    <cellStyle name="Обычный 37 6 3 2 2" xfId="36425"/>
    <cellStyle name="Обычный 37 6 3 3" xfId="36426"/>
    <cellStyle name="Обычный 37 6 4" xfId="36427"/>
    <cellStyle name="Обычный 37 6 4 2" xfId="36428"/>
    <cellStyle name="Обычный 37 6 5" xfId="36429"/>
    <cellStyle name="Обычный 37 6 5 2" xfId="36430"/>
    <cellStyle name="Обычный 37 6 6" xfId="36431"/>
    <cellStyle name="Обычный 37 7" xfId="36432"/>
    <cellStyle name="Обычный 37 7 2" xfId="36433"/>
    <cellStyle name="Обычный 37 7 2 2" xfId="36434"/>
    <cellStyle name="Обычный 37 7 2 2 2" xfId="36435"/>
    <cellStyle name="Обычный 37 7 2 3" xfId="36436"/>
    <cellStyle name="Обычный 37 7 3" xfId="36437"/>
    <cellStyle name="Обычный 37 7 3 2" xfId="36438"/>
    <cellStyle name="Обычный 37 7 3 2 2" xfId="36439"/>
    <cellStyle name="Обычный 37 7 3 3" xfId="36440"/>
    <cellStyle name="Обычный 37 7 4" xfId="36441"/>
    <cellStyle name="Обычный 37 7 4 2" xfId="36442"/>
    <cellStyle name="Обычный 37 7 5" xfId="36443"/>
    <cellStyle name="Обычный 37 7 5 2" xfId="36444"/>
    <cellStyle name="Обычный 37 7 6" xfId="36445"/>
    <cellStyle name="Обычный 37 8" xfId="36446"/>
    <cellStyle name="Обычный 37 8 2" xfId="36447"/>
    <cellStyle name="Обычный 37 8 2 2" xfId="36448"/>
    <cellStyle name="Обычный 37 8 2 2 2" xfId="36449"/>
    <cellStyle name="Обычный 37 8 2 3" xfId="36450"/>
    <cellStyle name="Обычный 37 8 3" xfId="36451"/>
    <cellStyle name="Обычный 37 8 3 2" xfId="36452"/>
    <cellStyle name="Обычный 37 8 3 2 2" xfId="36453"/>
    <cellStyle name="Обычный 37 8 3 3" xfId="36454"/>
    <cellStyle name="Обычный 37 8 4" xfId="36455"/>
    <cellStyle name="Обычный 37 8 4 2" xfId="36456"/>
    <cellStyle name="Обычный 37 8 5" xfId="36457"/>
    <cellStyle name="Обычный 37 8 5 2" xfId="36458"/>
    <cellStyle name="Обычный 37 8 6" xfId="36459"/>
    <cellStyle name="Обычный 37 9" xfId="36460"/>
    <cellStyle name="Обычный 37 9 2" xfId="36461"/>
    <cellStyle name="Обычный 37 9 2 2" xfId="36462"/>
    <cellStyle name="Обычный 37 9 2 2 2" xfId="36463"/>
    <cellStyle name="Обычный 37 9 2 3" xfId="36464"/>
    <cellStyle name="Обычный 37 9 3" xfId="36465"/>
    <cellStyle name="Обычный 37 9 3 2" xfId="36466"/>
    <cellStyle name="Обычный 37 9 3 2 2" xfId="36467"/>
    <cellStyle name="Обычный 37 9 3 3" xfId="36468"/>
    <cellStyle name="Обычный 37 9 4" xfId="36469"/>
    <cellStyle name="Обычный 37 9 4 2" xfId="36470"/>
    <cellStyle name="Обычный 37 9 5" xfId="36471"/>
    <cellStyle name="Обычный 37 9 5 2" xfId="36472"/>
    <cellStyle name="Обычный 37 9 6" xfId="36473"/>
    <cellStyle name="Обычный 38" xfId="36474"/>
    <cellStyle name="Обычный 38 10" xfId="36475"/>
    <cellStyle name="Обычный 38 10 2" xfId="36476"/>
    <cellStyle name="Обычный 38 10 2 2" xfId="36477"/>
    <cellStyle name="Обычный 38 10 3" xfId="36478"/>
    <cellStyle name="Обычный 38 11" xfId="36479"/>
    <cellStyle name="Обычный 38 11 2" xfId="36480"/>
    <cellStyle name="Обычный 38 11 2 2" xfId="36481"/>
    <cellStyle name="Обычный 38 11 3" xfId="36482"/>
    <cellStyle name="Обычный 38 12" xfId="36483"/>
    <cellStyle name="Обычный 38 12 2" xfId="36484"/>
    <cellStyle name="Обычный 38 13" xfId="36485"/>
    <cellStyle name="Обычный 38 14" xfId="36486"/>
    <cellStyle name="Обычный 38 2" xfId="36487"/>
    <cellStyle name="Обычный 38 2 10" xfId="36488"/>
    <cellStyle name="Обычный 38 2 10 2" xfId="36489"/>
    <cellStyle name="Обычный 38 2 11" xfId="36490"/>
    <cellStyle name="Обычный 38 2 2" xfId="36491"/>
    <cellStyle name="Обычный 38 2 2 2" xfId="36492"/>
    <cellStyle name="Обычный 38 2 2 2 2" xfId="36493"/>
    <cellStyle name="Обычный 38 2 2 2 2 2" xfId="36494"/>
    <cellStyle name="Обычный 38 2 2 2 2 2 2" xfId="36495"/>
    <cellStyle name="Обычный 38 2 2 2 2 3" xfId="36496"/>
    <cellStyle name="Обычный 38 2 2 2 3" xfId="36497"/>
    <cellStyle name="Обычный 38 2 2 2 3 2" xfId="36498"/>
    <cellStyle name="Обычный 38 2 2 2 3 2 2" xfId="36499"/>
    <cellStyle name="Обычный 38 2 2 2 3 3" xfId="36500"/>
    <cellStyle name="Обычный 38 2 2 2 4" xfId="36501"/>
    <cellStyle name="Обычный 38 2 2 2 4 2" xfId="36502"/>
    <cellStyle name="Обычный 38 2 2 2 5" xfId="36503"/>
    <cellStyle name="Обычный 38 2 2 2 5 2" xfId="36504"/>
    <cellStyle name="Обычный 38 2 2 2 6" xfId="36505"/>
    <cellStyle name="Обычный 38 2 2 3" xfId="36506"/>
    <cellStyle name="Обычный 38 2 2 3 2" xfId="36507"/>
    <cellStyle name="Обычный 38 2 2 3 2 2" xfId="36508"/>
    <cellStyle name="Обычный 38 2 2 3 2 2 2" xfId="36509"/>
    <cellStyle name="Обычный 38 2 2 3 2 3" xfId="36510"/>
    <cellStyle name="Обычный 38 2 2 3 3" xfId="36511"/>
    <cellStyle name="Обычный 38 2 2 3 3 2" xfId="36512"/>
    <cellStyle name="Обычный 38 2 2 3 3 2 2" xfId="36513"/>
    <cellStyle name="Обычный 38 2 2 3 3 3" xfId="36514"/>
    <cellStyle name="Обычный 38 2 2 3 4" xfId="36515"/>
    <cellStyle name="Обычный 38 2 2 3 4 2" xfId="36516"/>
    <cellStyle name="Обычный 38 2 2 3 5" xfId="36517"/>
    <cellStyle name="Обычный 38 2 2 3 5 2" xfId="36518"/>
    <cellStyle name="Обычный 38 2 2 3 6" xfId="36519"/>
    <cellStyle name="Обычный 38 2 2 4" xfId="36520"/>
    <cellStyle name="Обычный 38 2 2 4 2" xfId="36521"/>
    <cellStyle name="Обычный 38 2 2 4 2 2" xfId="36522"/>
    <cellStyle name="Обычный 38 2 2 4 3" xfId="36523"/>
    <cellStyle name="Обычный 38 2 2 4 3 2" xfId="36524"/>
    <cellStyle name="Обычный 38 2 2 4 4" xfId="36525"/>
    <cellStyle name="Обычный 38 2 2 5" xfId="36526"/>
    <cellStyle name="Обычный 38 2 2 5 2" xfId="36527"/>
    <cellStyle name="Обычный 38 2 2 5 2 2" xfId="36528"/>
    <cellStyle name="Обычный 38 2 2 5 3" xfId="36529"/>
    <cellStyle name="Обычный 38 2 2 6" xfId="36530"/>
    <cellStyle name="Обычный 38 2 2 6 2" xfId="36531"/>
    <cellStyle name="Обычный 38 2 2 7" xfId="36532"/>
    <cellStyle name="Обычный 38 2 2 7 2" xfId="36533"/>
    <cellStyle name="Обычный 38 2 2 8" xfId="36534"/>
    <cellStyle name="Обычный 38 2 3" xfId="36535"/>
    <cellStyle name="Обычный 38 2 3 2" xfId="36536"/>
    <cellStyle name="Обычный 38 2 3 2 2" xfId="36537"/>
    <cellStyle name="Обычный 38 2 3 2 2 2" xfId="36538"/>
    <cellStyle name="Обычный 38 2 3 2 2 2 2" xfId="36539"/>
    <cellStyle name="Обычный 38 2 3 2 2 2 2 2" xfId="36540"/>
    <cellStyle name="Обычный 38 2 3 2 2 2 3" xfId="36541"/>
    <cellStyle name="Обычный 38 2 3 2 2 3" xfId="36542"/>
    <cellStyle name="Обычный 38 2 3 2 2 3 2" xfId="36543"/>
    <cellStyle name="Обычный 38 2 3 2 2 3 2 2" xfId="36544"/>
    <cellStyle name="Обычный 38 2 3 2 2 3 3" xfId="36545"/>
    <cellStyle name="Обычный 38 2 3 2 2 4" xfId="36546"/>
    <cellStyle name="Обычный 38 2 3 2 2 4 2" xfId="36547"/>
    <cellStyle name="Обычный 38 2 3 2 2 5" xfId="36548"/>
    <cellStyle name="Обычный 38 2 3 2 3" xfId="36549"/>
    <cellStyle name="Обычный 38 2 3 2 3 2" xfId="36550"/>
    <cellStyle name="Обычный 38 2 3 2 3 2 2" xfId="36551"/>
    <cellStyle name="Обычный 38 2 3 2 3 2 2 2" xfId="36552"/>
    <cellStyle name="Обычный 38 2 3 2 3 2 3" xfId="36553"/>
    <cellStyle name="Обычный 38 2 3 2 3 3" xfId="36554"/>
    <cellStyle name="Обычный 38 2 3 2 3 3 2" xfId="36555"/>
    <cellStyle name="Обычный 38 2 3 2 3 3 2 2" xfId="36556"/>
    <cellStyle name="Обычный 38 2 3 2 3 3 3" xfId="36557"/>
    <cellStyle name="Обычный 38 2 3 2 3 4" xfId="36558"/>
    <cellStyle name="Обычный 38 2 3 2 3 4 2" xfId="36559"/>
    <cellStyle name="Обычный 38 2 3 2 3 5" xfId="36560"/>
    <cellStyle name="Обычный 38 2 3 2 4" xfId="36561"/>
    <cellStyle name="Обычный 38 2 3 2 4 2" xfId="36562"/>
    <cellStyle name="Обычный 38 2 3 2 4 2 2" xfId="36563"/>
    <cellStyle name="Обычный 38 2 3 2 4 3" xfId="36564"/>
    <cellStyle name="Обычный 38 2 3 2 5" xfId="36565"/>
    <cellStyle name="Обычный 38 2 3 2 5 2" xfId="36566"/>
    <cellStyle name="Обычный 38 2 3 2 5 2 2" xfId="36567"/>
    <cellStyle name="Обычный 38 2 3 2 5 3" xfId="36568"/>
    <cellStyle name="Обычный 38 2 3 2 6" xfId="36569"/>
    <cellStyle name="Обычный 38 2 3 2 6 2" xfId="36570"/>
    <cellStyle name="Обычный 38 2 3 2 7" xfId="36571"/>
    <cellStyle name="Обычный 38 2 3 2 7 2" xfId="36572"/>
    <cellStyle name="Обычный 38 2 3 2 8" xfId="36573"/>
    <cellStyle name="Обычный 38 2 3 3" xfId="36574"/>
    <cellStyle name="Обычный 38 2 3 3 2" xfId="36575"/>
    <cellStyle name="Обычный 38 2 3 3 2 2" xfId="36576"/>
    <cellStyle name="Обычный 38 2 3 3 2 2 2" xfId="36577"/>
    <cellStyle name="Обычный 38 2 3 3 2 3" xfId="36578"/>
    <cellStyle name="Обычный 38 2 3 3 3" xfId="36579"/>
    <cellStyle name="Обычный 38 2 3 3 3 2" xfId="36580"/>
    <cellStyle name="Обычный 38 2 3 3 3 2 2" xfId="36581"/>
    <cellStyle name="Обычный 38 2 3 3 3 3" xfId="36582"/>
    <cellStyle name="Обычный 38 2 3 3 4" xfId="36583"/>
    <cellStyle name="Обычный 38 2 3 3 4 2" xfId="36584"/>
    <cellStyle name="Обычный 38 2 3 3 5" xfId="36585"/>
    <cellStyle name="Обычный 38 2 3 4" xfId="36586"/>
    <cellStyle name="Обычный 38 2 3 4 2" xfId="36587"/>
    <cellStyle name="Обычный 38 2 3 4 2 2" xfId="36588"/>
    <cellStyle name="Обычный 38 2 3 4 2 2 2" xfId="36589"/>
    <cellStyle name="Обычный 38 2 3 4 2 3" xfId="36590"/>
    <cellStyle name="Обычный 38 2 3 4 3" xfId="36591"/>
    <cellStyle name="Обычный 38 2 3 4 3 2" xfId="36592"/>
    <cellStyle name="Обычный 38 2 3 4 3 2 2" xfId="36593"/>
    <cellStyle name="Обычный 38 2 3 4 3 3" xfId="36594"/>
    <cellStyle name="Обычный 38 2 3 4 4" xfId="36595"/>
    <cellStyle name="Обычный 38 2 3 4 4 2" xfId="36596"/>
    <cellStyle name="Обычный 38 2 3 4 5" xfId="36597"/>
    <cellStyle name="Обычный 38 2 3 5" xfId="36598"/>
    <cellStyle name="Обычный 38 2 3 5 2" xfId="36599"/>
    <cellStyle name="Обычный 38 2 3 5 2 2" xfId="36600"/>
    <cellStyle name="Обычный 38 2 3 5 3" xfId="36601"/>
    <cellStyle name="Обычный 38 2 3 6" xfId="36602"/>
    <cellStyle name="Обычный 38 2 3 6 2" xfId="36603"/>
    <cellStyle name="Обычный 38 2 3 6 2 2" xfId="36604"/>
    <cellStyle name="Обычный 38 2 3 6 3" xfId="36605"/>
    <cellStyle name="Обычный 38 2 3 7" xfId="36606"/>
    <cellStyle name="Обычный 38 2 3 7 2" xfId="36607"/>
    <cellStyle name="Обычный 38 2 3 8" xfId="36608"/>
    <cellStyle name="Обычный 38 2 3 8 2" xfId="36609"/>
    <cellStyle name="Обычный 38 2 3 9" xfId="36610"/>
    <cellStyle name="Обычный 38 2 4" xfId="36611"/>
    <cellStyle name="Обычный 38 2 4 2" xfId="36612"/>
    <cellStyle name="Обычный 38 2 4 2 2" xfId="36613"/>
    <cellStyle name="Обычный 38 2 4 2 2 2" xfId="36614"/>
    <cellStyle name="Обычный 38 2 4 2 2 2 2" xfId="36615"/>
    <cellStyle name="Обычный 38 2 4 2 2 3" xfId="36616"/>
    <cellStyle name="Обычный 38 2 4 2 3" xfId="36617"/>
    <cellStyle name="Обычный 38 2 4 2 3 2" xfId="36618"/>
    <cellStyle name="Обычный 38 2 4 2 3 2 2" xfId="36619"/>
    <cellStyle name="Обычный 38 2 4 2 3 3" xfId="36620"/>
    <cellStyle name="Обычный 38 2 4 2 4" xfId="36621"/>
    <cellStyle name="Обычный 38 2 4 2 4 2" xfId="36622"/>
    <cellStyle name="Обычный 38 2 4 2 5" xfId="36623"/>
    <cellStyle name="Обычный 38 2 4 3" xfId="36624"/>
    <cellStyle name="Обычный 38 2 4 3 2" xfId="36625"/>
    <cellStyle name="Обычный 38 2 4 3 2 2" xfId="36626"/>
    <cellStyle name="Обычный 38 2 4 3 2 2 2" xfId="36627"/>
    <cellStyle name="Обычный 38 2 4 3 2 3" xfId="36628"/>
    <cellStyle name="Обычный 38 2 4 3 3" xfId="36629"/>
    <cellStyle name="Обычный 38 2 4 3 3 2" xfId="36630"/>
    <cellStyle name="Обычный 38 2 4 3 3 2 2" xfId="36631"/>
    <cellStyle name="Обычный 38 2 4 3 3 3" xfId="36632"/>
    <cellStyle name="Обычный 38 2 4 3 4" xfId="36633"/>
    <cellStyle name="Обычный 38 2 4 3 4 2" xfId="36634"/>
    <cellStyle name="Обычный 38 2 4 3 5" xfId="36635"/>
    <cellStyle name="Обычный 38 2 4 4" xfId="36636"/>
    <cellStyle name="Обычный 38 2 4 4 2" xfId="36637"/>
    <cellStyle name="Обычный 38 2 4 4 2 2" xfId="36638"/>
    <cellStyle name="Обычный 38 2 4 4 3" xfId="36639"/>
    <cellStyle name="Обычный 38 2 4 5" xfId="36640"/>
    <cellStyle name="Обычный 38 2 4 5 2" xfId="36641"/>
    <cellStyle name="Обычный 38 2 4 5 2 2" xfId="36642"/>
    <cellStyle name="Обычный 38 2 4 5 3" xfId="36643"/>
    <cellStyle name="Обычный 38 2 4 6" xfId="36644"/>
    <cellStyle name="Обычный 38 2 4 6 2" xfId="36645"/>
    <cellStyle name="Обычный 38 2 4 7" xfId="36646"/>
    <cellStyle name="Обычный 38 2 4 8" xfId="36647"/>
    <cellStyle name="Обычный 38 2 5" xfId="36648"/>
    <cellStyle name="Обычный 38 2 5 2" xfId="36649"/>
    <cellStyle name="Обычный 38 2 5 2 2" xfId="36650"/>
    <cellStyle name="Обычный 38 2 5 2 2 2" xfId="36651"/>
    <cellStyle name="Обычный 38 2 5 2 3" xfId="36652"/>
    <cellStyle name="Обычный 38 2 5 3" xfId="36653"/>
    <cellStyle name="Обычный 38 2 5 3 2" xfId="36654"/>
    <cellStyle name="Обычный 38 2 5 3 2 2" xfId="36655"/>
    <cellStyle name="Обычный 38 2 5 3 3" xfId="36656"/>
    <cellStyle name="Обычный 38 2 5 4" xfId="36657"/>
    <cellStyle name="Обычный 38 2 5 4 2" xfId="36658"/>
    <cellStyle name="Обычный 38 2 5 5" xfId="36659"/>
    <cellStyle name="Обычный 38 2 6" xfId="36660"/>
    <cellStyle name="Обычный 38 2 6 2" xfId="36661"/>
    <cellStyle name="Обычный 38 2 6 2 2" xfId="36662"/>
    <cellStyle name="Обычный 38 2 6 2 2 2" xfId="36663"/>
    <cellStyle name="Обычный 38 2 6 2 3" xfId="36664"/>
    <cellStyle name="Обычный 38 2 6 3" xfId="36665"/>
    <cellStyle name="Обычный 38 2 6 3 2" xfId="36666"/>
    <cellStyle name="Обычный 38 2 6 3 2 2" xfId="36667"/>
    <cellStyle name="Обычный 38 2 6 3 3" xfId="36668"/>
    <cellStyle name="Обычный 38 2 6 4" xfId="36669"/>
    <cellStyle name="Обычный 38 2 6 4 2" xfId="36670"/>
    <cellStyle name="Обычный 38 2 6 5" xfId="36671"/>
    <cellStyle name="Обычный 38 2 7" xfId="36672"/>
    <cellStyle name="Обычный 38 2 7 2" xfId="36673"/>
    <cellStyle name="Обычный 38 2 7 2 2" xfId="36674"/>
    <cellStyle name="Обычный 38 2 7 3" xfId="36675"/>
    <cellStyle name="Обычный 38 2 8" xfId="36676"/>
    <cellStyle name="Обычный 38 2 8 2" xfId="36677"/>
    <cellStyle name="Обычный 38 2 8 2 2" xfId="36678"/>
    <cellStyle name="Обычный 38 2 8 3" xfId="36679"/>
    <cellStyle name="Обычный 38 2 9" xfId="36680"/>
    <cellStyle name="Обычный 38 2 9 2" xfId="36681"/>
    <cellStyle name="Обычный 38 3" xfId="36682"/>
    <cellStyle name="Обычный 38 3 2" xfId="36683"/>
    <cellStyle name="Обычный 38 3 2 2" xfId="36684"/>
    <cellStyle name="Обычный 38 3 2 2 2" xfId="36685"/>
    <cellStyle name="Обычный 38 3 2 2 2 2" xfId="36686"/>
    <cellStyle name="Обычный 38 3 2 2 3" xfId="36687"/>
    <cellStyle name="Обычный 38 3 2 2 3 2" xfId="36688"/>
    <cellStyle name="Обычный 38 3 2 2 4" xfId="36689"/>
    <cellStyle name="Обычный 38 3 2 3" xfId="36690"/>
    <cellStyle name="Обычный 38 3 2 3 2" xfId="36691"/>
    <cellStyle name="Обычный 38 3 2 3 2 2" xfId="36692"/>
    <cellStyle name="Обычный 38 3 2 3 3" xfId="36693"/>
    <cellStyle name="Обычный 38 3 2 4" xfId="36694"/>
    <cellStyle name="Обычный 38 3 2 4 2" xfId="36695"/>
    <cellStyle name="Обычный 38 3 2 5" xfId="36696"/>
    <cellStyle name="Обычный 38 3 2 5 2" xfId="36697"/>
    <cellStyle name="Обычный 38 3 2 6" xfId="36698"/>
    <cellStyle name="Обычный 38 3 3" xfId="36699"/>
    <cellStyle name="Обычный 38 3 3 2" xfId="36700"/>
    <cellStyle name="Обычный 38 3 3 2 2" xfId="36701"/>
    <cellStyle name="Обычный 38 3 3 2 2 2" xfId="36702"/>
    <cellStyle name="Обычный 38 3 3 2 3" xfId="36703"/>
    <cellStyle name="Обычный 38 3 3 3" xfId="36704"/>
    <cellStyle name="Обычный 38 3 3 3 2" xfId="36705"/>
    <cellStyle name="Обычный 38 3 3 3 2 2" xfId="36706"/>
    <cellStyle name="Обычный 38 3 3 3 3" xfId="36707"/>
    <cellStyle name="Обычный 38 3 3 4" xfId="36708"/>
    <cellStyle name="Обычный 38 3 3 4 2" xfId="36709"/>
    <cellStyle name="Обычный 38 3 3 5" xfId="36710"/>
    <cellStyle name="Обычный 38 3 3 5 2" xfId="36711"/>
    <cellStyle name="Обычный 38 3 3 6" xfId="36712"/>
    <cellStyle name="Обычный 38 3 4" xfId="36713"/>
    <cellStyle name="Обычный 38 3 4 2" xfId="36714"/>
    <cellStyle name="Обычный 38 3 4 2 2" xfId="36715"/>
    <cellStyle name="Обычный 38 3 4 3" xfId="36716"/>
    <cellStyle name="Обычный 38 3 4 3 2" xfId="36717"/>
    <cellStyle name="Обычный 38 3 4 4" xfId="36718"/>
    <cellStyle name="Обычный 38 3 5" xfId="36719"/>
    <cellStyle name="Обычный 38 3 5 2" xfId="36720"/>
    <cellStyle name="Обычный 38 3 5 2 2" xfId="36721"/>
    <cellStyle name="Обычный 38 3 5 3" xfId="36722"/>
    <cellStyle name="Обычный 38 3 6" xfId="36723"/>
    <cellStyle name="Обычный 38 3 6 2" xfId="36724"/>
    <cellStyle name="Обычный 38 3 7" xfId="36725"/>
    <cellStyle name="Обычный 38 3 7 2" xfId="36726"/>
    <cellStyle name="Обычный 38 3 8" xfId="36727"/>
    <cellStyle name="Обычный 38 4" xfId="36728"/>
    <cellStyle name="Обычный 38 4 2" xfId="36729"/>
    <cellStyle name="Обычный 38 4 2 2" xfId="36730"/>
    <cellStyle name="Обычный 38 4 2 2 2" xfId="36731"/>
    <cellStyle name="Обычный 38 4 2 2 2 2" xfId="36732"/>
    <cellStyle name="Обычный 38 4 2 2 3" xfId="36733"/>
    <cellStyle name="Обычный 38 4 2 3" xfId="36734"/>
    <cellStyle name="Обычный 38 4 2 3 2" xfId="36735"/>
    <cellStyle name="Обычный 38 4 2 3 2 2" xfId="36736"/>
    <cellStyle name="Обычный 38 4 2 3 3" xfId="36737"/>
    <cellStyle name="Обычный 38 4 2 4" xfId="36738"/>
    <cellStyle name="Обычный 38 4 2 4 2" xfId="36739"/>
    <cellStyle name="Обычный 38 4 2 5" xfId="36740"/>
    <cellStyle name="Обычный 38 4 2 5 2" xfId="36741"/>
    <cellStyle name="Обычный 38 4 2 6" xfId="36742"/>
    <cellStyle name="Обычный 38 4 3" xfId="36743"/>
    <cellStyle name="Обычный 38 4 3 2" xfId="36744"/>
    <cellStyle name="Обычный 38 4 3 2 2" xfId="36745"/>
    <cellStyle name="Обычный 38 4 3 2 2 2" xfId="36746"/>
    <cellStyle name="Обычный 38 4 3 2 3" xfId="36747"/>
    <cellStyle name="Обычный 38 4 3 3" xfId="36748"/>
    <cellStyle name="Обычный 38 4 3 3 2" xfId="36749"/>
    <cellStyle name="Обычный 38 4 3 3 2 2" xfId="36750"/>
    <cellStyle name="Обычный 38 4 3 3 3" xfId="36751"/>
    <cellStyle name="Обычный 38 4 3 4" xfId="36752"/>
    <cellStyle name="Обычный 38 4 3 4 2" xfId="36753"/>
    <cellStyle name="Обычный 38 4 3 5" xfId="36754"/>
    <cellStyle name="Обычный 38 4 3 5 2" xfId="36755"/>
    <cellStyle name="Обычный 38 4 3 6" xfId="36756"/>
    <cellStyle name="Обычный 38 4 4" xfId="36757"/>
    <cellStyle name="Обычный 38 4 4 2" xfId="36758"/>
    <cellStyle name="Обычный 38 4 4 2 2" xfId="36759"/>
    <cellStyle name="Обычный 38 4 4 3" xfId="36760"/>
    <cellStyle name="Обычный 38 4 5" xfId="36761"/>
    <cellStyle name="Обычный 38 4 5 2" xfId="36762"/>
    <cellStyle name="Обычный 38 4 5 2 2" xfId="36763"/>
    <cellStyle name="Обычный 38 4 5 3" xfId="36764"/>
    <cellStyle name="Обычный 38 4 6" xfId="36765"/>
    <cellStyle name="Обычный 38 4 6 2" xfId="36766"/>
    <cellStyle name="Обычный 38 4 7" xfId="36767"/>
    <cellStyle name="Обычный 38 4 7 2" xfId="36768"/>
    <cellStyle name="Обычный 38 4 8" xfId="36769"/>
    <cellStyle name="Обычный 38 5" xfId="36770"/>
    <cellStyle name="Обычный 38 5 2" xfId="36771"/>
    <cellStyle name="Обычный 38 5 2 2" xfId="36772"/>
    <cellStyle name="Обычный 38 5 2 2 2" xfId="36773"/>
    <cellStyle name="Обычный 38 5 2 2 2 2" xfId="36774"/>
    <cellStyle name="Обычный 38 5 2 2 3" xfId="36775"/>
    <cellStyle name="Обычный 38 5 2 3" xfId="36776"/>
    <cellStyle name="Обычный 38 5 2 3 2" xfId="36777"/>
    <cellStyle name="Обычный 38 5 2 3 2 2" xfId="36778"/>
    <cellStyle name="Обычный 38 5 2 3 3" xfId="36779"/>
    <cellStyle name="Обычный 38 5 2 4" xfId="36780"/>
    <cellStyle name="Обычный 38 5 2 4 2" xfId="36781"/>
    <cellStyle name="Обычный 38 5 2 5" xfId="36782"/>
    <cellStyle name="Обычный 38 5 3" xfId="36783"/>
    <cellStyle name="Обычный 38 5 3 2" xfId="36784"/>
    <cellStyle name="Обычный 38 5 3 2 2" xfId="36785"/>
    <cellStyle name="Обычный 38 5 3 2 2 2" xfId="36786"/>
    <cellStyle name="Обычный 38 5 3 2 3" xfId="36787"/>
    <cellStyle name="Обычный 38 5 3 3" xfId="36788"/>
    <cellStyle name="Обычный 38 5 3 3 2" xfId="36789"/>
    <cellStyle name="Обычный 38 5 3 3 2 2" xfId="36790"/>
    <cellStyle name="Обычный 38 5 3 3 3" xfId="36791"/>
    <cellStyle name="Обычный 38 5 3 4" xfId="36792"/>
    <cellStyle name="Обычный 38 5 3 4 2" xfId="36793"/>
    <cellStyle name="Обычный 38 5 3 5" xfId="36794"/>
    <cellStyle name="Обычный 38 5 4" xfId="36795"/>
    <cellStyle name="Обычный 38 5 4 2" xfId="36796"/>
    <cellStyle name="Обычный 38 5 4 2 2" xfId="36797"/>
    <cellStyle name="Обычный 38 5 4 2 2 2" xfId="36798"/>
    <cellStyle name="Обычный 38 5 4 2 3" xfId="36799"/>
    <cellStyle name="Обычный 38 5 4 3" xfId="36800"/>
    <cellStyle name="Обычный 38 5 4 3 2" xfId="36801"/>
    <cellStyle name="Обычный 38 5 4 4" xfId="36802"/>
    <cellStyle name="Обычный 38 5 5" xfId="36803"/>
    <cellStyle name="Обычный 38 5 5 2" xfId="36804"/>
    <cellStyle name="Обычный 38 5 5 2 2" xfId="36805"/>
    <cellStyle name="Обычный 38 5 5 3" xfId="36806"/>
    <cellStyle name="Обычный 38 5 6" xfId="36807"/>
    <cellStyle name="Обычный 38 5 6 2" xfId="36808"/>
    <cellStyle name="Обычный 38 5 6 2 2" xfId="36809"/>
    <cellStyle name="Обычный 38 5 6 3" xfId="36810"/>
    <cellStyle name="Обычный 38 5 7" xfId="36811"/>
    <cellStyle name="Обычный 38 5 7 2" xfId="36812"/>
    <cellStyle name="Обычный 38 5 8" xfId="36813"/>
    <cellStyle name="Обычный 38 5 8 2" xfId="36814"/>
    <cellStyle name="Обычный 38 5 9" xfId="36815"/>
    <cellStyle name="Обычный 38 6" xfId="36816"/>
    <cellStyle name="Обычный 38 6 2" xfId="36817"/>
    <cellStyle name="Обычный 38 6 2 2" xfId="36818"/>
    <cellStyle name="Обычный 38 6 2 2 2" xfId="36819"/>
    <cellStyle name="Обычный 38 6 2 2 2 2" xfId="36820"/>
    <cellStyle name="Обычный 38 6 2 2 3" xfId="36821"/>
    <cellStyle name="Обычный 38 6 2 3" xfId="36822"/>
    <cellStyle name="Обычный 38 6 2 3 2" xfId="36823"/>
    <cellStyle name="Обычный 38 6 2 3 2 2" xfId="36824"/>
    <cellStyle name="Обычный 38 6 2 3 3" xfId="36825"/>
    <cellStyle name="Обычный 38 6 2 4" xfId="36826"/>
    <cellStyle name="Обычный 38 6 2 4 2" xfId="36827"/>
    <cellStyle name="Обычный 38 6 2 5" xfId="36828"/>
    <cellStyle name="Обычный 38 6 3" xfId="36829"/>
    <cellStyle name="Обычный 38 6 3 2" xfId="36830"/>
    <cellStyle name="Обычный 38 6 3 2 2" xfId="36831"/>
    <cellStyle name="Обычный 38 6 3 2 2 2" xfId="36832"/>
    <cellStyle name="Обычный 38 6 3 2 3" xfId="36833"/>
    <cellStyle name="Обычный 38 6 3 3" xfId="36834"/>
    <cellStyle name="Обычный 38 6 3 3 2" xfId="36835"/>
    <cellStyle name="Обычный 38 6 3 3 2 2" xfId="36836"/>
    <cellStyle name="Обычный 38 6 3 3 3" xfId="36837"/>
    <cellStyle name="Обычный 38 6 3 4" xfId="36838"/>
    <cellStyle name="Обычный 38 6 3 4 2" xfId="36839"/>
    <cellStyle name="Обычный 38 6 3 5" xfId="36840"/>
    <cellStyle name="Обычный 38 6 4" xfId="36841"/>
    <cellStyle name="Обычный 38 6 4 2" xfId="36842"/>
    <cellStyle name="Обычный 38 6 4 2 2" xfId="36843"/>
    <cellStyle name="Обычный 38 6 4 3" xfId="36844"/>
    <cellStyle name="Обычный 38 6 5" xfId="36845"/>
    <cellStyle name="Обычный 38 6 5 2" xfId="36846"/>
    <cellStyle name="Обычный 38 6 5 2 2" xfId="36847"/>
    <cellStyle name="Обычный 38 6 5 3" xfId="36848"/>
    <cellStyle name="Обычный 38 6 6" xfId="36849"/>
    <cellStyle name="Обычный 38 6 6 2" xfId="36850"/>
    <cellStyle name="Обычный 38 6 7" xfId="36851"/>
    <cellStyle name="Обычный 38 6 7 2" xfId="36852"/>
    <cellStyle name="Обычный 38 6 8" xfId="36853"/>
    <cellStyle name="Обычный 38 7" xfId="36854"/>
    <cellStyle name="Обычный 38 7 2" xfId="36855"/>
    <cellStyle name="Обычный 38 7 2 2" xfId="36856"/>
    <cellStyle name="Обычный 38 7 2 2 2" xfId="36857"/>
    <cellStyle name="Обычный 38 7 2 3" xfId="36858"/>
    <cellStyle name="Обычный 38 7 3" xfId="36859"/>
    <cellStyle name="Обычный 38 7 3 2" xfId="36860"/>
    <cellStyle name="Обычный 38 7 3 2 2" xfId="36861"/>
    <cellStyle name="Обычный 38 7 3 3" xfId="36862"/>
    <cellStyle name="Обычный 38 7 4" xfId="36863"/>
    <cellStyle name="Обычный 38 7 4 2" xfId="36864"/>
    <cellStyle name="Обычный 38 7 5" xfId="36865"/>
    <cellStyle name="Обычный 38 7 5 2" xfId="36866"/>
    <cellStyle name="Обычный 38 7 6" xfId="36867"/>
    <cellStyle name="Обычный 38 8" xfId="36868"/>
    <cellStyle name="Обычный 38 8 2" xfId="36869"/>
    <cellStyle name="Обычный 38 8 2 2" xfId="36870"/>
    <cellStyle name="Обычный 38 8 2 2 2" xfId="36871"/>
    <cellStyle name="Обычный 38 8 2 3" xfId="36872"/>
    <cellStyle name="Обычный 38 8 3" xfId="36873"/>
    <cellStyle name="Обычный 38 8 3 2" xfId="36874"/>
    <cellStyle name="Обычный 38 8 3 2 2" xfId="36875"/>
    <cellStyle name="Обычный 38 8 3 3" xfId="36876"/>
    <cellStyle name="Обычный 38 8 4" xfId="36877"/>
    <cellStyle name="Обычный 38 8 4 2" xfId="36878"/>
    <cellStyle name="Обычный 38 9" xfId="36879"/>
    <cellStyle name="Обычный 38 9 2" xfId="36880"/>
    <cellStyle name="Обычный 39" xfId="36881"/>
    <cellStyle name="Обычный 39 10" xfId="36882"/>
    <cellStyle name="Обычный 39 10 2" xfId="36883"/>
    <cellStyle name="Обычный 39 11" xfId="36884"/>
    <cellStyle name="Обычный 39 2" xfId="36885"/>
    <cellStyle name="Обычный 39 2 10" xfId="36886"/>
    <cellStyle name="Обычный 39 2 2" xfId="36887"/>
    <cellStyle name="Обычный 39 2 2 2" xfId="36888"/>
    <cellStyle name="Обычный 39 2 2 2 2" xfId="36889"/>
    <cellStyle name="Обычный 39 2 2 2 2 2" xfId="36890"/>
    <cellStyle name="Обычный 39 2 2 2 2 2 2" xfId="36891"/>
    <cellStyle name="Обычный 39 2 2 2 2 3" xfId="36892"/>
    <cellStyle name="Обычный 39 2 2 2 3" xfId="36893"/>
    <cellStyle name="Обычный 39 2 2 2 3 2" xfId="36894"/>
    <cellStyle name="Обычный 39 2 2 2 3 2 2" xfId="36895"/>
    <cellStyle name="Обычный 39 2 2 2 3 3" xfId="36896"/>
    <cellStyle name="Обычный 39 2 2 2 4" xfId="36897"/>
    <cellStyle name="Обычный 39 2 2 2 4 2" xfId="36898"/>
    <cellStyle name="Обычный 39 2 2 2 5" xfId="36899"/>
    <cellStyle name="Обычный 39 2 2 2 5 2" xfId="36900"/>
    <cellStyle name="Обычный 39 2 2 2 6" xfId="36901"/>
    <cellStyle name="Обычный 39 2 2 3" xfId="36902"/>
    <cellStyle name="Обычный 39 2 2 3 2" xfId="36903"/>
    <cellStyle name="Обычный 39 2 2 3 2 2" xfId="36904"/>
    <cellStyle name="Обычный 39 2 2 3 2 2 2" xfId="36905"/>
    <cellStyle name="Обычный 39 2 2 3 2 3" xfId="36906"/>
    <cellStyle name="Обычный 39 2 2 3 3" xfId="36907"/>
    <cellStyle name="Обычный 39 2 2 3 3 2" xfId="36908"/>
    <cellStyle name="Обычный 39 2 2 3 3 2 2" xfId="36909"/>
    <cellStyle name="Обычный 39 2 2 3 3 3" xfId="36910"/>
    <cellStyle name="Обычный 39 2 2 3 4" xfId="36911"/>
    <cellStyle name="Обычный 39 2 2 3 4 2" xfId="36912"/>
    <cellStyle name="Обычный 39 2 2 3 5" xfId="36913"/>
    <cellStyle name="Обычный 39 2 2 4" xfId="36914"/>
    <cellStyle name="Обычный 39 2 2 4 2" xfId="36915"/>
    <cellStyle name="Обычный 39 2 2 4 2 2" xfId="36916"/>
    <cellStyle name="Обычный 39 2 2 4 3" xfId="36917"/>
    <cellStyle name="Обычный 39 2 2 5" xfId="36918"/>
    <cellStyle name="Обычный 39 2 2 5 2" xfId="36919"/>
    <cellStyle name="Обычный 39 2 2 5 2 2" xfId="36920"/>
    <cellStyle name="Обычный 39 2 2 5 3" xfId="36921"/>
    <cellStyle name="Обычный 39 2 2 6" xfId="36922"/>
    <cellStyle name="Обычный 39 2 2 6 2" xfId="36923"/>
    <cellStyle name="Обычный 39 2 2 7" xfId="36924"/>
    <cellStyle name="Обычный 39 2 2 7 2" xfId="36925"/>
    <cellStyle name="Обычный 39 2 2 8" xfId="36926"/>
    <cellStyle name="Обычный 39 2 3" xfId="36927"/>
    <cellStyle name="Обычный 39 2 3 2" xfId="36928"/>
    <cellStyle name="Обычный 39 2 3 2 2" xfId="36929"/>
    <cellStyle name="Обычный 39 2 3 2 2 2" xfId="36930"/>
    <cellStyle name="Обычный 39 2 3 2 3" xfId="36931"/>
    <cellStyle name="Обычный 39 2 3 3" xfId="36932"/>
    <cellStyle name="Обычный 39 2 3 3 2" xfId="36933"/>
    <cellStyle name="Обычный 39 2 3 3 2 2" xfId="36934"/>
    <cellStyle name="Обычный 39 2 3 3 3" xfId="36935"/>
    <cellStyle name="Обычный 39 2 3 4" xfId="36936"/>
    <cellStyle name="Обычный 39 2 3 4 2" xfId="36937"/>
    <cellStyle name="Обычный 39 2 3 5" xfId="36938"/>
    <cellStyle name="Обычный 39 2 3 6" xfId="36939"/>
    <cellStyle name="Обычный 39 2 4" xfId="36940"/>
    <cellStyle name="Обычный 39 2 4 2" xfId="36941"/>
    <cellStyle name="Обычный 39 2 4 2 2" xfId="36942"/>
    <cellStyle name="Обычный 39 2 4 2 2 2" xfId="36943"/>
    <cellStyle name="Обычный 39 2 4 2 3" xfId="36944"/>
    <cellStyle name="Обычный 39 2 4 3" xfId="36945"/>
    <cellStyle name="Обычный 39 2 4 3 2" xfId="36946"/>
    <cellStyle name="Обычный 39 2 4 3 2 2" xfId="36947"/>
    <cellStyle name="Обычный 39 2 4 3 3" xfId="36948"/>
    <cellStyle name="Обычный 39 2 4 4" xfId="36949"/>
    <cellStyle name="Обычный 39 2 4 4 2" xfId="36950"/>
    <cellStyle name="Обычный 39 2 4 5" xfId="36951"/>
    <cellStyle name="Обычный 39 2 5" xfId="36952"/>
    <cellStyle name="Обычный 39 2 5 2" xfId="36953"/>
    <cellStyle name="Обычный 39 2 5 2 2" xfId="36954"/>
    <cellStyle name="Обычный 39 2 5 3" xfId="36955"/>
    <cellStyle name="Обычный 39 2 6" xfId="36956"/>
    <cellStyle name="Обычный 39 2 6 2" xfId="36957"/>
    <cellStyle name="Обычный 39 2 6 2 2" xfId="36958"/>
    <cellStyle name="Обычный 39 2 6 3" xfId="36959"/>
    <cellStyle name="Обычный 39 2 7" xfId="36960"/>
    <cellStyle name="Обычный 39 2 7 2" xfId="36961"/>
    <cellStyle name="Обычный 39 2 8" xfId="36962"/>
    <cellStyle name="Обычный 39 2 8 2" xfId="36963"/>
    <cellStyle name="Обычный 39 2 9" xfId="36964"/>
    <cellStyle name="Обычный 39 2 9 2" xfId="36965"/>
    <cellStyle name="Обычный 39 3" xfId="36966"/>
    <cellStyle name="Обычный 39 3 2" xfId="36967"/>
    <cellStyle name="Обычный 39 3 2 2" xfId="36968"/>
    <cellStyle name="Обычный 39 3 2 2 2" xfId="36969"/>
    <cellStyle name="Обычный 39 3 2 2 2 2" xfId="36970"/>
    <cellStyle name="Обычный 39 3 2 2 3" xfId="36971"/>
    <cellStyle name="Обычный 39 3 2 3" xfId="36972"/>
    <cellStyle name="Обычный 39 3 2 3 2" xfId="36973"/>
    <cellStyle name="Обычный 39 3 2 3 2 2" xfId="36974"/>
    <cellStyle name="Обычный 39 3 2 3 3" xfId="36975"/>
    <cellStyle name="Обычный 39 3 2 4" xfId="36976"/>
    <cellStyle name="Обычный 39 3 2 4 2" xfId="36977"/>
    <cellStyle name="Обычный 39 3 2 5" xfId="36978"/>
    <cellStyle name="Обычный 39 3 2 5 2" xfId="36979"/>
    <cellStyle name="Обычный 39 3 2 6" xfId="36980"/>
    <cellStyle name="Обычный 39 3 3" xfId="36981"/>
    <cellStyle name="Обычный 39 3 3 2" xfId="36982"/>
    <cellStyle name="Обычный 39 3 3 2 2" xfId="36983"/>
    <cellStyle name="Обычный 39 3 3 2 2 2" xfId="36984"/>
    <cellStyle name="Обычный 39 3 3 2 3" xfId="36985"/>
    <cellStyle name="Обычный 39 3 3 3" xfId="36986"/>
    <cellStyle name="Обычный 39 3 3 3 2" xfId="36987"/>
    <cellStyle name="Обычный 39 3 3 3 2 2" xfId="36988"/>
    <cellStyle name="Обычный 39 3 3 3 3" xfId="36989"/>
    <cellStyle name="Обычный 39 3 3 4" xfId="36990"/>
    <cellStyle name="Обычный 39 3 3 4 2" xfId="36991"/>
    <cellStyle name="Обычный 39 3 3 5" xfId="36992"/>
    <cellStyle name="Обычный 39 3 3 5 2" xfId="36993"/>
    <cellStyle name="Обычный 39 3 3 6" xfId="36994"/>
    <cellStyle name="Обычный 39 3 4" xfId="36995"/>
    <cellStyle name="Обычный 39 3 4 2" xfId="36996"/>
    <cellStyle name="Обычный 39 3 4 2 2" xfId="36997"/>
    <cellStyle name="Обычный 39 3 4 3" xfId="36998"/>
    <cellStyle name="Обычный 39 3 5" xfId="36999"/>
    <cellStyle name="Обычный 39 3 5 2" xfId="37000"/>
    <cellStyle name="Обычный 39 3 5 2 2" xfId="37001"/>
    <cellStyle name="Обычный 39 3 5 3" xfId="37002"/>
    <cellStyle name="Обычный 39 3 6" xfId="37003"/>
    <cellStyle name="Обычный 39 3 6 2" xfId="37004"/>
    <cellStyle name="Обычный 39 3 7" xfId="37005"/>
    <cellStyle name="Обычный 39 3 7 2" xfId="37006"/>
    <cellStyle name="Обычный 39 3 8" xfId="37007"/>
    <cellStyle name="Обычный 39 4" xfId="37008"/>
    <cellStyle name="Обычный 39 4 2" xfId="37009"/>
    <cellStyle name="Обычный 39 4 2 2" xfId="37010"/>
    <cellStyle name="Обычный 39 4 2 2 2" xfId="37011"/>
    <cellStyle name="Обычный 39 4 2 3" xfId="37012"/>
    <cellStyle name="Обычный 39 4 3" xfId="37013"/>
    <cellStyle name="Обычный 39 4 3 2" xfId="37014"/>
    <cellStyle name="Обычный 39 4 3 2 2" xfId="37015"/>
    <cellStyle name="Обычный 39 4 3 3" xfId="37016"/>
    <cellStyle name="Обычный 39 4 4" xfId="37017"/>
    <cellStyle name="Обычный 39 4 4 2" xfId="37018"/>
    <cellStyle name="Обычный 39 4 5" xfId="37019"/>
    <cellStyle name="Обычный 39 4 5 2" xfId="37020"/>
    <cellStyle name="Обычный 39 4 6" xfId="37021"/>
    <cellStyle name="Обычный 39 5" xfId="37022"/>
    <cellStyle name="Обычный 39 5 2" xfId="37023"/>
    <cellStyle name="Обычный 39 5 2 2" xfId="37024"/>
    <cellStyle name="Обычный 39 5 2 2 2" xfId="37025"/>
    <cellStyle name="Обычный 39 5 2 3" xfId="37026"/>
    <cellStyle name="Обычный 39 5 3" xfId="37027"/>
    <cellStyle name="Обычный 39 5 3 2" xfId="37028"/>
    <cellStyle name="Обычный 39 5 3 2 2" xfId="37029"/>
    <cellStyle name="Обычный 39 5 3 3" xfId="37030"/>
    <cellStyle name="Обычный 39 5 4" xfId="37031"/>
    <cellStyle name="Обычный 39 5 4 2" xfId="37032"/>
    <cellStyle name="Обычный 39 5 5" xfId="37033"/>
    <cellStyle name="Обычный 39 5 5 2" xfId="37034"/>
    <cellStyle name="Обычный 39 5 6" xfId="37035"/>
    <cellStyle name="Обычный 39 6" xfId="37036"/>
    <cellStyle name="Обычный 39 6 2" xfId="37037"/>
    <cellStyle name="Обычный 39 6 2 2" xfId="37038"/>
    <cellStyle name="Обычный 39 6 3" xfId="37039"/>
    <cellStyle name="Обычный 39 7" xfId="37040"/>
    <cellStyle name="Обычный 39 8" xfId="37041"/>
    <cellStyle name="Обычный 39 8 2" xfId="37042"/>
    <cellStyle name="Обычный 39 8 2 2" xfId="37043"/>
    <cellStyle name="Обычный 39 8 3" xfId="37044"/>
    <cellStyle name="Обычный 39 9" xfId="37045"/>
    <cellStyle name="Обычный 39 9 2" xfId="37046"/>
    <cellStyle name="Обычный 39 9 2 2" xfId="37047"/>
    <cellStyle name="Обычный 39 9 3" xfId="37048"/>
    <cellStyle name="Обычный 4" xfId="37049"/>
    <cellStyle name="Обычный 4 10" xfId="37050"/>
    <cellStyle name="Обычный 4 10 2" xfId="37051"/>
    <cellStyle name="Обычный 4 10 2 2" xfId="37052"/>
    <cellStyle name="Обычный 4 10 3" xfId="37053"/>
    <cellStyle name="Обычный 4 11" xfId="37054"/>
    <cellStyle name="Обычный 4 11 2" xfId="37055"/>
    <cellStyle name="Обычный 4 11 2 2" xfId="37056"/>
    <cellStyle name="Обычный 4 11 3" xfId="37057"/>
    <cellStyle name="Обычный 4 12" xfId="37058"/>
    <cellStyle name="Обычный 4 12 2" xfId="37059"/>
    <cellStyle name="Обычный 4 13" xfId="37060"/>
    <cellStyle name="Обычный 4 13 2" xfId="37061"/>
    <cellStyle name="Обычный 4 14" xfId="37062"/>
    <cellStyle name="Обычный 4 14 2" xfId="37063"/>
    <cellStyle name="Обычный 4 15" xfId="37064"/>
    <cellStyle name="Обычный 4 15 2" xfId="37065"/>
    <cellStyle name="Обычный 4 16" xfId="37066"/>
    <cellStyle name="Обычный 4 16 2" xfId="37067"/>
    <cellStyle name="Обычный 4 17" xfId="37068"/>
    <cellStyle name="Обычный 4 17 2" xfId="37069"/>
    <cellStyle name="Обычный 4 18" xfId="37070"/>
    <cellStyle name="Обычный 4 18 2" xfId="37071"/>
    <cellStyle name="Обычный 4 19" xfId="37072"/>
    <cellStyle name="Обычный 4 2" xfId="37073"/>
    <cellStyle name="Обычный 4 2 2" xfId="37074"/>
    <cellStyle name="Обычный 4 2 2 10" xfId="37075"/>
    <cellStyle name="Обычный 4 2 2 10 2" xfId="37076"/>
    <cellStyle name="Обычный 4 2 2 11" xfId="37077"/>
    <cellStyle name="Обычный 4 2 2 2" xfId="37078"/>
    <cellStyle name="Обычный 4 2 2 2 2" xfId="37079"/>
    <cellStyle name="Обычный 4 2 2 2 2 2" xfId="37080"/>
    <cellStyle name="Обычный 4 2 2 2 2 2 2" xfId="37081"/>
    <cellStyle name="Обычный 4 2 2 2 2 2 2 2" xfId="37082"/>
    <cellStyle name="Обычный 4 2 2 2 2 2 2 2 2" xfId="37083"/>
    <cellStyle name="Обычный 4 2 2 2 2 2 2 3" xfId="37084"/>
    <cellStyle name="Обычный 4 2 2 2 2 2 3" xfId="37085"/>
    <cellStyle name="Обычный 4 2 2 2 2 2 3 2" xfId="37086"/>
    <cellStyle name="Обычный 4 2 2 2 2 2 3 2 2" xfId="37087"/>
    <cellStyle name="Обычный 4 2 2 2 2 2 3 3" xfId="37088"/>
    <cellStyle name="Обычный 4 2 2 2 2 2 4" xfId="37089"/>
    <cellStyle name="Обычный 4 2 2 2 2 2 4 2" xfId="37090"/>
    <cellStyle name="Обычный 4 2 2 2 2 2 5" xfId="37091"/>
    <cellStyle name="Обычный 4 2 2 2 2 2 5 2" xfId="37092"/>
    <cellStyle name="Обычный 4 2 2 2 2 2 6" xfId="37093"/>
    <cellStyle name="Обычный 4 2 2 2 2 3" xfId="37094"/>
    <cellStyle name="Обычный 4 2 2 2 2 3 2" xfId="37095"/>
    <cellStyle name="Обычный 4 2 2 2 2 3 2 2" xfId="37096"/>
    <cellStyle name="Обычный 4 2 2 2 2 3 2 2 2" xfId="37097"/>
    <cellStyle name="Обычный 4 2 2 2 2 3 2 3" xfId="37098"/>
    <cellStyle name="Обычный 4 2 2 2 2 3 3" xfId="37099"/>
    <cellStyle name="Обычный 4 2 2 2 2 3 3 2" xfId="37100"/>
    <cellStyle name="Обычный 4 2 2 2 2 3 3 2 2" xfId="37101"/>
    <cellStyle name="Обычный 4 2 2 2 2 3 3 3" xfId="37102"/>
    <cellStyle name="Обычный 4 2 2 2 2 3 4" xfId="37103"/>
    <cellStyle name="Обычный 4 2 2 2 2 3 4 2" xfId="37104"/>
    <cellStyle name="Обычный 4 2 2 2 2 3 5" xfId="37105"/>
    <cellStyle name="Обычный 4 2 2 2 2 3 5 2" xfId="37106"/>
    <cellStyle name="Обычный 4 2 2 2 2 3 6" xfId="37107"/>
    <cellStyle name="Обычный 4 2 2 2 2 4" xfId="37108"/>
    <cellStyle name="Обычный 4 2 2 2 2 4 2" xfId="37109"/>
    <cellStyle name="Обычный 4 2 2 2 2 4 2 2" xfId="37110"/>
    <cellStyle name="Обычный 4 2 2 2 2 4 3" xfId="37111"/>
    <cellStyle name="Обычный 4 2 2 2 2 5" xfId="37112"/>
    <cellStyle name="Обычный 4 2 2 2 2 5 2" xfId="37113"/>
    <cellStyle name="Обычный 4 2 2 2 2 5 2 2" xfId="37114"/>
    <cellStyle name="Обычный 4 2 2 2 2 5 3" xfId="37115"/>
    <cellStyle name="Обычный 4 2 2 2 2 6" xfId="37116"/>
    <cellStyle name="Обычный 4 2 2 2 2 6 2" xfId="37117"/>
    <cellStyle name="Обычный 4 2 2 2 2 7" xfId="37118"/>
    <cellStyle name="Обычный 4 2 2 2 2 7 2" xfId="37119"/>
    <cellStyle name="Обычный 4 2 2 2 2 8" xfId="37120"/>
    <cellStyle name="Обычный 4 2 2 2 3" xfId="37121"/>
    <cellStyle name="Обычный 4 2 2 2 3 2" xfId="37122"/>
    <cellStyle name="Обычный 4 2 2 2 3 2 2" xfId="37123"/>
    <cellStyle name="Обычный 4 2 2 2 3 2 2 2" xfId="37124"/>
    <cellStyle name="Обычный 4 2 2 2 3 2 3" xfId="37125"/>
    <cellStyle name="Обычный 4 2 2 2 3 2 3 2" xfId="37126"/>
    <cellStyle name="Обычный 4 2 2 2 3 2 4" xfId="37127"/>
    <cellStyle name="Обычный 4 2 2 2 3 3" xfId="37128"/>
    <cellStyle name="Обычный 4 2 2 2 3 3 2" xfId="37129"/>
    <cellStyle name="Обычный 4 2 2 2 3 3 2 2" xfId="37130"/>
    <cellStyle name="Обычный 4 2 2 2 3 3 3" xfId="37131"/>
    <cellStyle name="Обычный 4 2 2 2 3 4" xfId="37132"/>
    <cellStyle name="Обычный 4 2 2 2 3 4 2" xfId="37133"/>
    <cellStyle name="Обычный 4 2 2 2 3 5" xfId="37134"/>
    <cellStyle name="Обычный 4 2 2 2 3 5 2" xfId="37135"/>
    <cellStyle name="Обычный 4 2 2 2 3 6" xfId="37136"/>
    <cellStyle name="Обычный 4 2 2 2 4" xfId="37137"/>
    <cellStyle name="Обычный 4 2 2 2 4 2" xfId="37138"/>
    <cellStyle name="Обычный 4 2 2 2 4 2 2" xfId="37139"/>
    <cellStyle name="Обычный 4 2 2 2 4 2 2 2" xfId="37140"/>
    <cellStyle name="Обычный 4 2 2 2 4 2 3" xfId="37141"/>
    <cellStyle name="Обычный 4 2 2 2 4 3" xfId="37142"/>
    <cellStyle name="Обычный 4 2 2 2 4 3 2" xfId="37143"/>
    <cellStyle name="Обычный 4 2 2 2 4 3 2 2" xfId="37144"/>
    <cellStyle name="Обычный 4 2 2 2 4 3 3" xfId="37145"/>
    <cellStyle name="Обычный 4 2 2 2 4 4" xfId="37146"/>
    <cellStyle name="Обычный 4 2 2 2 4 4 2" xfId="37147"/>
    <cellStyle name="Обычный 4 2 2 2 4 5" xfId="37148"/>
    <cellStyle name="Обычный 4 2 2 2 4 5 2" xfId="37149"/>
    <cellStyle name="Обычный 4 2 2 2 4 6" xfId="37150"/>
    <cellStyle name="Обычный 4 2 2 2 5" xfId="37151"/>
    <cellStyle name="Обычный 4 2 2 2 5 2" xfId="37152"/>
    <cellStyle name="Обычный 4 2 2 2 5 2 2" xfId="37153"/>
    <cellStyle name="Обычный 4 2 2 2 5 3" xfId="37154"/>
    <cellStyle name="Обычный 4 2 2 2 6" xfId="37155"/>
    <cellStyle name="Обычный 4 2 2 2 6 2" xfId="37156"/>
    <cellStyle name="Обычный 4 2 2 2 6 2 2" xfId="37157"/>
    <cellStyle name="Обычный 4 2 2 2 6 3" xfId="37158"/>
    <cellStyle name="Обычный 4 2 2 2 7" xfId="37159"/>
    <cellStyle name="Обычный 4 2 2 2 7 2" xfId="37160"/>
    <cellStyle name="Обычный 4 2 2 2 8" xfId="37161"/>
    <cellStyle name="Обычный 4 2 2 2 8 2" xfId="37162"/>
    <cellStyle name="Обычный 4 2 2 2 9" xfId="37163"/>
    <cellStyle name="Обычный 4 2 2 3" xfId="37164"/>
    <cellStyle name="Обычный 4 2 2 3 2" xfId="37165"/>
    <cellStyle name="Обычный 4 2 2 3 2 2" xfId="37166"/>
    <cellStyle name="Обычный 4 2 2 3 2 2 2" xfId="37167"/>
    <cellStyle name="Обычный 4 2 2 3 2 2 2 2" xfId="37168"/>
    <cellStyle name="Обычный 4 2 2 3 2 2 3" xfId="37169"/>
    <cellStyle name="Обычный 4 2 2 3 2 2 3 2" xfId="37170"/>
    <cellStyle name="Обычный 4 2 2 3 2 2 4" xfId="37171"/>
    <cellStyle name="Обычный 4 2 2 3 2 3" xfId="37172"/>
    <cellStyle name="Обычный 4 2 2 3 2 3 2" xfId="37173"/>
    <cellStyle name="Обычный 4 2 2 3 2 3 2 2" xfId="37174"/>
    <cellStyle name="Обычный 4 2 2 3 2 3 3" xfId="37175"/>
    <cellStyle name="Обычный 4 2 2 3 2 4" xfId="37176"/>
    <cellStyle name="Обычный 4 2 2 3 2 4 2" xfId="37177"/>
    <cellStyle name="Обычный 4 2 2 3 2 5" xfId="37178"/>
    <cellStyle name="Обычный 4 2 2 3 2 5 2" xfId="37179"/>
    <cellStyle name="Обычный 4 2 2 3 2 6" xfId="37180"/>
    <cellStyle name="Обычный 4 2 2 3 3" xfId="37181"/>
    <cellStyle name="Обычный 4 2 2 3 3 2" xfId="37182"/>
    <cellStyle name="Обычный 4 2 2 3 3 2 2" xfId="37183"/>
    <cellStyle name="Обычный 4 2 2 3 3 2 2 2" xfId="37184"/>
    <cellStyle name="Обычный 4 2 2 3 3 2 3" xfId="37185"/>
    <cellStyle name="Обычный 4 2 2 3 3 3" xfId="37186"/>
    <cellStyle name="Обычный 4 2 2 3 3 3 2" xfId="37187"/>
    <cellStyle name="Обычный 4 2 2 3 3 3 2 2" xfId="37188"/>
    <cellStyle name="Обычный 4 2 2 3 3 3 3" xfId="37189"/>
    <cellStyle name="Обычный 4 2 2 3 3 4" xfId="37190"/>
    <cellStyle name="Обычный 4 2 2 3 3 4 2" xfId="37191"/>
    <cellStyle name="Обычный 4 2 2 3 3 5" xfId="37192"/>
    <cellStyle name="Обычный 4 2 2 3 3 5 2" xfId="37193"/>
    <cellStyle name="Обычный 4 2 2 3 3 6" xfId="37194"/>
    <cellStyle name="Обычный 4 2 2 3 4" xfId="37195"/>
    <cellStyle name="Обычный 4 2 2 3 4 2" xfId="37196"/>
    <cellStyle name="Обычный 4 2 2 3 4 2 2" xfId="37197"/>
    <cellStyle name="Обычный 4 2 2 3 4 3" xfId="37198"/>
    <cellStyle name="Обычный 4 2 2 3 4 3 2" xfId="37199"/>
    <cellStyle name="Обычный 4 2 2 3 4 4" xfId="37200"/>
    <cellStyle name="Обычный 4 2 2 3 5" xfId="37201"/>
    <cellStyle name="Обычный 4 2 2 3 5 2" xfId="37202"/>
    <cellStyle name="Обычный 4 2 2 3 5 2 2" xfId="37203"/>
    <cellStyle name="Обычный 4 2 2 3 5 3" xfId="37204"/>
    <cellStyle name="Обычный 4 2 2 3 6" xfId="37205"/>
    <cellStyle name="Обычный 4 2 2 3 6 2" xfId="37206"/>
    <cellStyle name="Обычный 4 2 2 3 7" xfId="37207"/>
    <cellStyle name="Обычный 4 2 2 3 7 2" xfId="37208"/>
    <cellStyle name="Обычный 4 2 2 3 8" xfId="37209"/>
    <cellStyle name="Обычный 4 2 2 4" xfId="37210"/>
    <cellStyle name="Обычный 4 2 2 4 2" xfId="37211"/>
    <cellStyle name="Обычный 4 2 2 4 2 2" xfId="37212"/>
    <cellStyle name="Обычный 4 2 2 4 2 2 2" xfId="37213"/>
    <cellStyle name="Обычный 4 2 2 4 2 2 2 2" xfId="37214"/>
    <cellStyle name="Обычный 4 2 2 4 2 2 3" xfId="37215"/>
    <cellStyle name="Обычный 4 2 2 4 2 3" xfId="37216"/>
    <cellStyle name="Обычный 4 2 2 4 2 3 2" xfId="37217"/>
    <cellStyle name="Обычный 4 2 2 4 2 3 2 2" xfId="37218"/>
    <cellStyle name="Обычный 4 2 2 4 2 3 3" xfId="37219"/>
    <cellStyle name="Обычный 4 2 2 4 2 4" xfId="37220"/>
    <cellStyle name="Обычный 4 2 2 4 2 4 2" xfId="37221"/>
    <cellStyle name="Обычный 4 2 2 4 2 5" xfId="37222"/>
    <cellStyle name="Обычный 4 2 2 4 2 5 2" xfId="37223"/>
    <cellStyle name="Обычный 4 2 2 4 2 6" xfId="37224"/>
    <cellStyle name="Обычный 4 2 2 4 3" xfId="37225"/>
    <cellStyle name="Обычный 4 2 2 4 3 2" xfId="37226"/>
    <cellStyle name="Обычный 4 2 2 4 3 2 2" xfId="37227"/>
    <cellStyle name="Обычный 4 2 2 4 3 2 2 2" xfId="37228"/>
    <cellStyle name="Обычный 4 2 2 4 3 2 3" xfId="37229"/>
    <cellStyle name="Обычный 4 2 2 4 3 3" xfId="37230"/>
    <cellStyle name="Обычный 4 2 2 4 3 3 2" xfId="37231"/>
    <cellStyle name="Обычный 4 2 2 4 3 3 2 2" xfId="37232"/>
    <cellStyle name="Обычный 4 2 2 4 3 3 3" xfId="37233"/>
    <cellStyle name="Обычный 4 2 2 4 3 4" xfId="37234"/>
    <cellStyle name="Обычный 4 2 2 4 3 4 2" xfId="37235"/>
    <cellStyle name="Обычный 4 2 2 4 3 5" xfId="37236"/>
    <cellStyle name="Обычный 4 2 2 4 4" xfId="37237"/>
    <cellStyle name="Обычный 4 2 2 4 4 2" xfId="37238"/>
    <cellStyle name="Обычный 4 2 2 4 4 2 2" xfId="37239"/>
    <cellStyle name="Обычный 4 2 2 4 4 3" xfId="37240"/>
    <cellStyle name="Обычный 4 2 2 4 5" xfId="37241"/>
    <cellStyle name="Обычный 4 2 2 4 5 2" xfId="37242"/>
    <cellStyle name="Обычный 4 2 2 4 5 2 2" xfId="37243"/>
    <cellStyle name="Обычный 4 2 2 4 5 3" xfId="37244"/>
    <cellStyle name="Обычный 4 2 2 4 6" xfId="37245"/>
    <cellStyle name="Обычный 4 2 2 4 6 2" xfId="37246"/>
    <cellStyle name="Обычный 4 2 2 4 7" xfId="37247"/>
    <cellStyle name="Обычный 4 2 2 4 7 2" xfId="37248"/>
    <cellStyle name="Обычный 4 2 2 4 8" xfId="37249"/>
    <cellStyle name="Обычный 4 2 2 5" xfId="37250"/>
    <cellStyle name="Обычный 4 2 2 5 2" xfId="37251"/>
    <cellStyle name="Обычный 4 2 2 5 2 2" xfId="37252"/>
    <cellStyle name="Обычный 4 2 2 5 2 2 2" xfId="37253"/>
    <cellStyle name="Обычный 4 2 2 5 2 3" xfId="37254"/>
    <cellStyle name="Обычный 4 2 2 5 3" xfId="37255"/>
    <cellStyle name="Обычный 4 2 2 5 3 2" xfId="37256"/>
    <cellStyle name="Обычный 4 2 2 5 3 2 2" xfId="37257"/>
    <cellStyle name="Обычный 4 2 2 5 3 3" xfId="37258"/>
    <cellStyle name="Обычный 4 2 2 5 4" xfId="37259"/>
    <cellStyle name="Обычный 4 2 2 5 4 2" xfId="37260"/>
    <cellStyle name="Обычный 4 2 2 5 5" xfId="37261"/>
    <cellStyle name="Обычный 4 2 2 5 5 2" xfId="37262"/>
    <cellStyle name="Обычный 4 2 2 5 6" xfId="37263"/>
    <cellStyle name="Обычный 4 2 2 6" xfId="37264"/>
    <cellStyle name="Обычный 4 2 2 6 2" xfId="37265"/>
    <cellStyle name="Обычный 4 2 2 6 2 2" xfId="37266"/>
    <cellStyle name="Обычный 4 2 2 6 2 2 2" xfId="37267"/>
    <cellStyle name="Обычный 4 2 2 6 2 3" xfId="37268"/>
    <cellStyle name="Обычный 4 2 2 6 3" xfId="37269"/>
    <cellStyle name="Обычный 4 2 2 6 3 2" xfId="37270"/>
    <cellStyle name="Обычный 4 2 2 6 3 2 2" xfId="37271"/>
    <cellStyle name="Обычный 4 2 2 6 3 3" xfId="37272"/>
    <cellStyle name="Обычный 4 2 2 6 4" xfId="37273"/>
    <cellStyle name="Обычный 4 2 2 6 4 2" xfId="37274"/>
    <cellStyle name="Обычный 4 2 2 6 5" xfId="37275"/>
    <cellStyle name="Обычный 4 2 2 6 5 2" xfId="37276"/>
    <cellStyle name="Обычный 4 2 2 6 6" xfId="37277"/>
    <cellStyle name="Обычный 4 2 2 7" xfId="37278"/>
    <cellStyle name="Обычный 4 2 2 7 2" xfId="37279"/>
    <cellStyle name="Обычный 4 2 2 7 2 2" xfId="37280"/>
    <cellStyle name="Обычный 4 2 2 7 3" xfId="37281"/>
    <cellStyle name="Обычный 4 2 2 8" xfId="37282"/>
    <cellStyle name="Обычный 4 2 2 8 2" xfId="37283"/>
    <cellStyle name="Обычный 4 2 2 8 2 2" xfId="37284"/>
    <cellStyle name="Обычный 4 2 2 8 3" xfId="37285"/>
    <cellStyle name="Обычный 4 2 2 9" xfId="37286"/>
    <cellStyle name="Обычный 4 2 2 9 2" xfId="37287"/>
    <cellStyle name="Обычный 4 2 3" xfId="37288"/>
    <cellStyle name="Обычный 4 2 3 2" xfId="37289"/>
    <cellStyle name="Обычный 4 2 3 2 2" xfId="37290"/>
    <cellStyle name="Обычный 4 2 4" xfId="37291"/>
    <cellStyle name="Обычный 4 2_Лист1" xfId="37292"/>
    <cellStyle name="Обычный 4 20" xfId="37293"/>
    <cellStyle name="Обычный 4 21" xfId="37294"/>
    <cellStyle name="Обычный 4 3" xfId="37295"/>
    <cellStyle name="Обычный 4 3 10" xfId="37296"/>
    <cellStyle name="Обычный 4 3 10 2" xfId="37297"/>
    <cellStyle name="Обычный 4 3 11" xfId="37298"/>
    <cellStyle name="Обычный 4 3 2" xfId="37299"/>
    <cellStyle name="Обычный 4 3 2 2" xfId="37300"/>
    <cellStyle name="Обычный 4 3 2 2 2" xfId="37301"/>
    <cellStyle name="Обычный 4 3 2 2 2 2" xfId="37302"/>
    <cellStyle name="Обычный 4 3 2 2 2 2 2" xfId="37303"/>
    <cellStyle name="Обычный 4 3 2 2 2 2 2 2" xfId="37304"/>
    <cellStyle name="Обычный 4 3 2 2 2 2 3" xfId="37305"/>
    <cellStyle name="Обычный 4 3 2 2 2 3" xfId="37306"/>
    <cellStyle name="Обычный 4 3 2 2 2 3 2" xfId="37307"/>
    <cellStyle name="Обычный 4 3 2 2 2 3 2 2" xfId="37308"/>
    <cellStyle name="Обычный 4 3 2 2 2 3 3" xfId="37309"/>
    <cellStyle name="Обычный 4 3 2 2 2 4" xfId="37310"/>
    <cellStyle name="Обычный 4 3 2 2 2 4 2" xfId="37311"/>
    <cellStyle name="Обычный 4 3 2 2 2 5" xfId="37312"/>
    <cellStyle name="Обычный 4 3 2 2 2 5 2" xfId="37313"/>
    <cellStyle name="Обычный 4 3 2 2 2 6" xfId="37314"/>
    <cellStyle name="Обычный 4 3 2 2 3" xfId="37315"/>
    <cellStyle name="Обычный 4 3 2 2 3 2" xfId="37316"/>
    <cellStyle name="Обычный 4 3 2 2 3 2 2" xfId="37317"/>
    <cellStyle name="Обычный 4 3 2 2 3 2 2 2" xfId="37318"/>
    <cellStyle name="Обычный 4 3 2 2 3 2 3" xfId="37319"/>
    <cellStyle name="Обычный 4 3 2 2 3 3" xfId="37320"/>
    <cellStyle name="Обычный 4 3 2 2 3 3 2" xfId="37321"/>
    <cellStyle name="Обычный 4 3 2 2 3 3 2 2" xfId="37322"/>
    <cellStyle name="Обычный 4 3 2 2 3 3 3" xfId="37323"/>
    <cellStyle name="Обычный 4 3 2 2 3 4" xfId="37324"/>
    <cellStyle name="Обычный 4 3 2 2 3 4 2" xfId="37325"/>
    <cellStyle name="Обычный 4 3 2 2 3 5" xfId="37326"/>
    <cellStyle name="Обычный 4 3 2 2 3 5 2" xfId="37327"/>
    <cellStyle name="Обычный 4 3 2 2 3 6" xfId="37328"/>
    <cellStyle name="Обычный 4 3 2 2 4" xfId="37329"/>
    <cellStyle name="Обычный 4 3 2 2 4 2" xfId="37330"/>
    <cellStyle name="Обычный 4 3 2 2 4 2 2" xfId="37331"/>
    <cellStyle name="Обычный 4 3 2 2 4 3" xfId="37332"/>
    <cellStyle name="Обычный 4 3 2 2 5" xfId="37333"/>
    <cellStyle name="Обычный 4 3 2 2 5 2" xfId="37334"/>
    <cellStyle name="Обычный 4 3 2 2 5 2 2" xfId="37335"/>
    <cellStyle name="Обычный 4 3 2 2 5 3" xfId="37336"/>
    <cellStyle name="Обычный 4 3 2 2 6" xfId="37337"/>
    <cellStyle name="Обычный 4 3 2 2 6 2" xfId="37338"/>
    <cellStyle name="Обычный 4 3 2 2 7" xfId="37339"/>
    <cellStyle name="Обычный 4 3 2 2 7 2" xfId="37340"/>
    <cellStyle name="Обычный 4 3 2 2 8" xfId="37341"/>
    <cellStyle name="Обычный 4 3 2 3" xfId="37342"/>
    <cellStyle name="Обычный 4 3 2 3 2" xfId="37343"/>
    <cellStyle name="Обычный 4 3 2 3 2 2" xfId="37344"/>
    <cellStyle name="Обычный 4 3 2 3 2 2 2" xfId="37345"/>
    <cellStyle name="Обычный 4 3 2 3 2 3" xfId="37346"/>
    <cellStyle name="Обычный 4 3 2 3 2 3 2" xfId="37347"/>
    <cellStyle name="Обычный 4 3 2 3 2 4" xfId="37348"/>
    <cellStyle name="Обычный 4 3 2 3 3" xfId="37349"/>
    <cellStyle name="Обычный 4 3 2 3 3 2" xfId="37350"/>
    <cellStyle name="Обычный 4 3 2 3 3 2 2" xfId="37351"/>
    <cellStyle name="Обычный 4 3 2 3 3 3" xfId="37352"/>
    <cellStyle name="Обычный 4 3 2 3 4" xfId="37353"/>
    <cellStyle name="Обычный 4 3 2 3 4 2" xfId="37354"/>
    <cellStyle name="Обычный 4 3 2 3 5" xfId="37355"/>
    <cellStyle name="Обычный 4 3 2 3 5 2" xfId="37356"/>
    <cellStyle name="Обычный 4 3 2 3 6" xfId="37357"/>
    <cellStyle name="Обычный 4 3 2 4" xfId="37358"/>
    <cellStyle name="Обычный 4 3 2 4 2" xfId="37359"/>
    <cellStyle name="Обычный 4 3 2 4 2 2" xfId="37360"/>
    <cellStyle name="Обычный 4 3 2 4 2 2 2" xfId="37361"/>
    <cellStyle name="Обычный 4 3 2 4 2 3" xfId="37362"/>
    <cellStyle name="Обычный 4 3 2 4 3" xfId="37363"/>
    <cellStyle name="Обычный 4 3 2 4 3 2" xfId="37364"/>
    <cellStyle name="Обычный 4 3 2 4 3 2 2" xfId="37365"/>
    <cellStyle name="Обычный 4 3 2 4 3 3" xfId="37366"/>
    <cellStyle name="Обычный 4 3 2 4 4" xfId="37367"/>
    <cellStyle name="Обычный 4 3 2 4 4 2" xfId="37368"/>
    <cellStyle name="Обычный 4 3 2 4 5" xfId="37369"/>
    <cellStyle name="Обычный 4 3 2 4 5 2" xfId="37370"/>
    <cellStyle name="Обычный 4 3 2 4 6" xfId="37371"/>
    <cellStyle name="Обычный 4 3 2 5" xfId="37372"/>
    <cellStyle name="Обычный 4 3 2 5 2" xfId="37373"/>
    <cellStyle name="Обычный 4 3 2 5 2 2" xfId="37374"/>
    <cellStyle name="Обычный 4 3 2 5 3" xfId="37375"/>
    <cellStyle name="Обычный 4 3 2 6" xfId="37376"/>
    <cellStyle name="Обычный 4 3 2 6 2" xfId="37377"/>
    <cellStyle name="Обычный 4 3 2 6 2 2" xfId="37378"/>
    <cellStyle name="Обычный 4 3 2 6 3" xfId="37379"/>
    <cellStyle name="Обычный 4 3 2 7" xfId="37380"/>
    <cellStyle name="Обычный 4 3 2 7 2" xfId="37381"/>
    <cellStyle name="Обычный 4 3 2 8" xfId="37382"/>
    <cellStyle name="Обычный 4 3 2 8 2" xfId="37383"/>
    <cellStyle name="Обычный 4 3 2 9" xfId="37384"/>
    <cellStyle name="Обычный 4 3 3" xfId="37385"/>
    <cellStyle name="Обычный 4 3 3 2" xfId="37386"/>
    <cellStyle name="Обычный 4 3 3 2 2" xfId="37387"/>
    <cellStyle name="Обычный 4 3 3 2 2 2" xfId="37388"/>
    <cellStyle name="Обычный 4 3 3 2 2 2 2" xfId="37389"/>
    <cellStyle name="Обычный 4 3 3 2 2 3" xfId="37390"/>
    <cellStyle name="Обычный 4 3 3 2 2 3 2" xfId="37391"/>
    <cellStyle name="Обычный 4 3 3 2 2 4" xfId="37392"/>
    <cellStyle name="Обычный 4 3 3 2 3" xfId="37393"/>
    <cellStyle name="Обычный 4 3 3 2 3 2" xfId="37394"/>
    <cellStyle name="Обычный 4 3 3 2 3 2 2" xfId="37395"/>
    <cellStyle name="Обычный 4 3 3 2 3 3" xfId="37396"/>
    <cellStyle name="Обычный 4 3 3 2 4" xfId="37397"/>
    <cellStyle name="Обычный 4 3 3 2 4 2" xfId="37398"/>
    <cellStyle name="Обычный 4 3 3 2 5" xfId="37399"/>
    <cellStyle name="Обычный 4 3 3 2 5 2" xfId="37400"/>
    <cellStyle name="Обычный 4 3 3 2 6" xfId="37401"/>
    <cellStyle name="Обычный 4 3 3 3" xfId="37402"/>
    <cellStyle name="Обычный 4 3 3 3 2" xfId="37403"/>
    <cellStyle name="Обычный 4 3 3 3 2 2" xfId="37404"/>
    <cellStyle name="Обычный 4 3 3 3 2 2 2" xfId="37405"/>
    <cellStyle name="Обычный 4 3 3 3 2 3" xfId="37406"/>
    <cellStyle name="Обычный 4 3 3 3 3" xfId="37407"/>
    <cellStyle name="Обычный 4 3 3 3 3 2" xfId="37408"/>
    <cellStyle name="Обычный 4 3 3 3 3 2 2" xfId="37409"/>
    <cellStyle name="Обычный 4 3 3 3 3 3" xfId="37410"/>
    <cellStyle name="Обычный 4 3 3 3 4" xfId="37411"/>
    <cellStyle name="Обычный 4 3 3 3 4 2" xfId="37412"/>
    <cellStyle name="Обычный 4 3 3 3 5" xfId="37413"/>
    <cellStyle name="Обычный 4 3 3 3 5 2" xfId="37414"/>
    <cellStyle name="Обычный 4 3 3 3 6" xfId="37415"/>
    <cellStyle name="Обычный 4 3 3 4" xfId="37416"/>
    <cellStyle name="Обычный 4 3 3 4 2" xfId="37417"/>
    <cellStyle name="Обычный 4 3 3 4 2 2" xfId="37418"/>
    <cellStyle name="Обычный 4 3 3 4 3" xfId="37419"/>
    <cellStyle name="Обычный 4 3 3 4 3 2" xfId="37420"/>
    <cellStyle name="Обычный 4 3 3 4 4" xfId="37421"/>
    <cellStyle name="Обычный 4 3 3 5" xfId="37422"/>
    <cellStyle name="Обычный 4 3 3 5 2" xfId="37423"/>
    <cellStyle name="Обычный 4 3 3 5 2 2" xfId="37424"/>
    <cellStyle name="Обычный 4 3 3 5 3" xfId="37425"/>
    <cellStyle name="Обычный 4 3 3 6" xfId="37426"/>
    <cellStyle name="Обычный 4 3 3 6 2" xfId="37427"/>
    <cellStyle name="Обычный 4 3 3 7" xfId="37428"/>
    <cellStyle name="Обычный 4 3 3 7 2" xfId="37429"/>
    <cellStyle name="Обычный 4 3 3 8" xfId="37430"/>
    <cellStyle name="Обычный 4 3 4" xfId="37431"/>
    <cellStyle name="Обычный 4 3 4 2" xfId="37432"/>
    <cellStyle name="Обычный 4 3 4 2 2" xfId="37433"/>
    <cellStyle name="Обычный 4 3 4 2 2 2" xfId="37434"/>
    <cellStyle name="Обычный 4 3 4 2 2 2 2" xfId="37435"/>
    <cellStyle name="Обычный 4 3 4 2 2 3" xfId="37436"/>
    <cellStyle name="Обычный 4 3 4 2 3" xfId="37437"/>
    <cellStyle name="Обычный 4 3 4 2 3 2" xfId="37438"/>
    <cellStyle name="Обычный 4 3 4 2 3 2 2" xfId="37439"/>
    <cellStyle name="Обычный 4 3 4 2 3 3" xfId="37440"/>
    <cellStyle name="Обычный 4 3 4 2 4" xfId="37441"/>
    <cellStyle name="Обычный 4 3 4 2 4 2" xfId="37442"/>
    <cellStyle name="Обычный 4 3 4 2 5" xfId="37443"/>
    <cellStyle name="Обычный 4 3 4 2 5 2" xfId="37444"/>
    <cellStyle name="Обычный 4 3 4 2 6" xfId="37445"/>
    <cellStyle name="Обычный 4 3 4 3" xfId="37446"/>
    <cellStyle name="Обычный 4 3 4 3 2" xfId="37447"/>
    <cellStyle name="Обычный 4 3 4 3 2 2" xfId="37448"/>
    <cellStyle name="Обычный 4 3 4 3 2 2 2" xfId="37449"/>
    <cellStyle name="Обычный 4 3 4 3 2 3" xfId="37450"/>
    <cellStyle name="Обычный 4 3 4 3 3" xfId="37451"/>
    <cellStyle name="Обычный 4 3 4 3 3 2" xfId="37452"/>
    <cellStyle name="Обычный 4 3 4 3 3 2 2" xfId="37453"/>
    <cellStyle name="Обычный 4 3 4 3 3 3" xfId="37454"/>
    <cellStyle name="Обычный 4 3 4 3 4" xfId="37455"/>
    <cellStyle name="Обычный 4 3 4 3 4 2" xfId="37456"/>
    <cellStyle name="Обычный 4 3 4 3 5" xfId="37457"/>
    <cellStyle name="Обычный 4 3 4 4" xfId="37458"/>
    <cellStyle name="Обычный 4 3 4 4 2" xfId="37459"/>
    <cellStyle name="Обычный 4 3 4 4 2 2" xfId="37460"/>
    <cellStyle name="Обычный 4 3 4 4 3" xfId="37461"/>
    <cellStyle name="Обычный 4 3 4 5" xfId="37462"/>
    <cellStyle name="Обычный 4 3 4 5 2" xfId="37463"/>
    <cellStyle name="Обычный 4 3 4 5 2 2" xfId="37464"/>
    <cellStyle name="Обычный 4 3 4 5 3" xfId="37465"/>
    <cellStyle name="Обычный 4 3 4 6" xfId="37466"/>
    <cellStyle name="Обычный 4 3 4 6 2" xfId="37467"/>
    <cellStyle name="Обычный 4 3 4 7" xfId="37468"/>
    <cellStyle name="Обычный 4 3 4 7 2" xfId="37469"/>
    <cellStyle name="Обычный 4 3 4 8" xfId="37470"/>
    <cellStyle name="Обычный 4 3 5" xfId="37471"/>
    <cellStyle name="Обычный 4 3 5 2" xfId="37472"/>
    <cellStyle name="Обычный 4 3 5 2 2" xfId="37473"/>
    <cellStyle name="Обычный 4 3 5 2 2 2" xfId="37474"/>
    <cellStyle name="Обычный 4 3 5 2 3" xfId="37475"/>
    <cellStyle name="Обычный 4 3 5 3" xfId="37476"/>
    <cellStyle name="Обычный 4 3 5 3 2" xfId="37477"/>
    <cellStyle name="Обычный 4 3 5 3 2 2" xfId="37478"/>
    <cellStyle name="Обычный 4 3 5 3 3" xfId="37479"/>
    <cellStyle name="Обычный 4 3 5 4" xfId="37480"/>
    <cellStyle name="Обычный 4 3 5 4 2" xfId="37481"/>
    <cellStyle name="Обычный 4 3 5 5" xfId="37482"/>
    <cellStyle name="Обычный 4 3 5 5 2" xfId="37483"/>
    <cellStyle name="Обычный 4 3 5 6" xfId="37484"/>
    <cellStyle name="Обычный 4 3 6" xfId="37485"/>
    <cellStyle name="Обычный 4 3 6 2" xfId="37486"/>
    <cellStyle name="Обычный 4 3 6 2 2" xfId="37487"/>
    <cellStyle name="Обычный 4 3 6 2 2 2" xfId="37488"/>
    <cellStyle name="Обычный 4 3 6 2 3" xfId="37489"/>
    <cellStyle name="Обычный 4 3 6 3" xfId="37490"/>
    <cellStyle name="Обычный 4 3 6 3 2" xfId="37491"/>
    <cellStyle name="Обычный 4 3 6 3 2 2" xfId="37492"/>
    <cellStyle name="Обычный 4 3 6 3 3" xfId="37493"/>
    <cellStyle name="Обычный 4 3 6 4" xfId="37494"/>
    <cellStyle name="Обычный 4 3 6 4 2" xfId="37495"/>
    <cellStyle name="Обычный 4 3 6 5" xfId="37496"/>
    <cellStyle name="Обычный 4 3 6 5 2" xfId="37497"/>
    <cellStyle name="Обычный 4 3 6 6" xfId="37498"/>
    <cellStyle name="Обычный 4 3 7" xfId="37499"/>
    <cellStyle name="Обычный 4 3 7 2" xfId="37500"/>
    <cellStyle name="Обычный 4 3 7 2 2" xfId="37501"/>
    <cellStyle name="Обычный 4 3 7 3" xfId="37502"/>
    <cellStyle name="Обычный 4 3 8" xfId="37503"/>
    <cellStyle name="Обычный 4 3 8 2" xfId="37504"/>
    <cellStyle name="Обычный 4 3 8 2 2" xfId="37505"/>
    <cellStyle name="Обычный 4 3 8 3" xfId="37506"/>
    <cellStyle name="Обычный 4 3 9" xfId="37507"/>
    <cellStyle name="Обычный 4 3 9 2" xfId="37508"/>
    <cellStyle name="Обычный 4 4" xfId="37509"/>
    <cellStyle name="Обычный 4 4 2" xfId="37510"/>
    <cellStyle name="Обычный 4 4 3" xfId="37511"/>
    <cellStyle name="Обычный 4 4 3 2" xfId="37512"/>
    <cellStyle name="Обычный 4 5" xfId="37513"/>
    <cellStyle name="Обычный 4 5 2" xfId="37514"/>
    <cellStyle name="Обычный 4 5 2 2" xfId="37515"/>
    <cellStyle name="Обычный 4 5 2 2 2" xfId="37516"/>
    <cellStyle name="Обычный 4 5 2 2 2 2" xfId="37517"/>
    <cellStyle name="Обычный 4 5 2 2 2 2 2" xfId="37518"/>
    <cellStyle name="Обычный 4 5 2 2 2 3" xfId="37519"/>
    <cellStyle name="Обычный 4 5 2 2 3" xfId="37520"/>
    <cellStyle name="Обычный 4 5 2 2 3 2" xfId="37521"/>
    <cellStyle name="Обычный 4 5 2 2 3 2 2" xfId="37522"/>
    <cellStyle name="Обычный 4 5 2 2 3 3" xfId="37523"/>
    <cellStyle name="Обычный 4 5 2 2 4" xfId="37524"/>
    <cellStyle name="Обычный 4 5 2 2 4 2" xfId="37525"/>
    <cellStyle name="Обычный 4 5 2 2 5" xfId="37526"/>
    <cellStyle name="Обычный 4 5 2 2 5 2" xfId="37527"/>
    <cellStyle name="Обычный 4 5 2 2 6" xfId="37528"/>
    <cellStyle name="Обычный 4 5 2 3" xfId="37529"/>
    <cellStyle name="Обычный 4 5 2 3 2" xfId="37530"/>
    <cellStyle name="Обычный 4 5 2 3 2 2" xfId="37531"/>
    <cellStyle name="Обычный 4 5 2 3 2 2 2" xfId="37532"/>
    <cellStyle name="Обычный 4 5 2 3 2 3" xfId="37533"/>
    <cellStyle name="Обычный 4 5 2 3 3" xfId="37534"/>
    <cellStyle name="Обычный 4 5 2 3 3 2" xfId="37535"/>
    <cellStyle name="Обычный 4 5 2 3 3 2 2" xfId="37536"/>
    <cellStyle name="Обычный 4 5 2 3 3 3" xfId="37537"/>
    <cellStyle name="Обычный 4 5 2 3 4" xfId="37538"/>
    <cellStyle name="Обычный 4 5 2 3 4 2" xfId="37539"/>
    <cellStyle name="Обычный 4 5 2 3 5" xfId="37540"/>
    <cellStyle name="Обычный 4 5 2 3 5 2" xfId="37541"/>
    <cellStyle name="Обычный 4 5 2 3 6" xfId="37542"/>
    <cellStyle name="Обычный 4 5 2 4" xfId="37543"/>
    <cellStyle name="Обычный 4 5 2 4 2" xfId="37544"/>
    <cellStyle name="Обычный 4 5 2 4 2 2" xfId="37545"/>
    <cellStyle name="Обычный 4 5 2 4 3" xfId="37546"/>
    <cellStyle name="Обычный 4 5 2 5" xfId="37547"/>
    <cellStyle name="Обычный 4 5 2 5 2" xfId="37548"/>
    <cellStyle name="Обычный 4 5 2 5 2 2" xfId="37549"/>
    <cellStyle name="Обычный 4 5 2 5 3" xfId="37550"/>
    <cellStyle name="Обычный 4 5 2 6" xfId="37551"/>
    <cellStyle name="Обычный 4 5 2 6 2" xfId="37552"/>
    <cellStyle name="Обычный 4 5 2 7" xfId="37553"/>
    <cellStyle name="Обычный 4 5 2 7 2" xfId="37554"/>
    <cellStyle name="Обычный 4 5 2 8" xfId="37555"/>
    <cellStyle name="Обычный 4 5 3" xfId="37556"/>
    <cellStyle name="Обычный 4 5 3 2" xfId="37557"/>
    <cellStyle name="Обычный 4 5 3 2 2" xfId="37558"/>
    <cellStyle name="Обычный 4 5 3 2 2 2" xfId="37559"/>
    <cellStyle name="Обычный 4 5 3 2 3" xfId="37560"/>
    <cellStyle name="Обычный 4 5 3 2 3 2" xfId="37561"/>
    <cellStyle name="Обычный 4 5 3 2 4" xfId="37562"/>
    <cellStyle name="Обычный 4 5 3 3" xfId="37563"/>
    <cellStyle name="Обычный 4 5 3 3 2" xfId="37564"/>
    <cellStyle name="Обычный 4 5 3 3 2 2" xfId="37565"/>
    <cellStyle name="Обычный 4 5 3 3 3" xfId="37566"/>
    <cellStyle name="Обычный 4 5 3 4" xfId="37567"/>
    <cellStyle name="Обычный 4 5 3 4 2" xfId="37568"/>
    <cellStyle name="Обычный 4 5 3 5" xfId="37569"/>
    <cellStyle name="Обычный 4 5 3 5 2" xfId="37570"/>
    <cellStyle name="Обычный 4 5 3 6" xfId="37571"/>
    <cellStyle name="Обычный 4 5 4" xfId="37572"/>
    <cellStyle name="Обычный 4 5 4 2" xfId="37573"/>
    <cellStyle name="Обычный 4 5 4 2 2" xfId="37574"/>
    <cellStyle name="Обычный 4 5 4 2 2 2" xfId="37575"/>
    <cellStyle name="Обычный 4 5 4 2 3" xfId="37576"/>
    <cellStyle name="Обычный 4 5 4 3" xfId="37577"/>
    <cellStyle name="Обычный 4 5 4 3 2" xfId="37578"/>
    <cellStyle name="Обычный 4 5 4 3 2 2" xfId="37579"/>
    <cellStyle name="Обычный 4 5 4 3 3" xfId="37580"/>
    <cellStyle name="Обычный 4 5 4 4" xfId="37581"/>
    <cellStyle name="Обычный 4 5 4 4 2" xfId="37582"/>
    <cellStyle name="Обычный 4 5 4 5" xfId="37583"/>
    <cellStyle name="Обычный 4 5 4 5 2" xfId="37584"/>
    <cellStyle name="Обычный 4 5 4 6" xfId="37585"/>
    <cellStyle name="Обычный 4 5 5" xfId="37586"/>
    <cellStyle name="Обычный 4 5 5 2" xfId="37587"/>
    <cellStyle name="Обычный 4 5 5 2 2" xfId="37588"/>
    <cellStyle name="Обычный 4 5 5 3" xfId="37589"/>
    <cellStyle name="Обычный 4 5 6" xfId="37590"/>
    <cellStyle name="Обычный 4 5 6 2" xfId="37591"/>
    <cellStyle name="Обычный 4 5 6 2 2" xfId="37592"/>
    <cellStyle name="Обычный 4 5 6 3" xfId="37593"/>
    <cellStyle name="Обычный 4 5 7" xfId="37594"/>
    <cellStyle name="Обычный 4 5 7 2" xfId="37595"/>
    <cellStyle name="Обычный 4 5 8" xfId="37596"/>
    <cellStyle name="Обычный 4 5 8 2" xfId="37597"/>
    <cellStyle name="Обычный 4 5 9" xfId="37598"/>
    <cellStyle name="Обычный 4 6" xfId="37599"/>
    <cellStyle name="Обычный 4 6 2" xfId="37600"/>
    <cellStyle name="Обычный 4 6 2 2" xfId="37601"/>
    <cellStyle name="Обычный 4 6 2 2 2" xfId="37602"/>
    <cellStyle name="Обычный 4 6 2 2 2 2" xfId="37603"/>
    <cellStyle name="Обычный 4 6 2 2 3" xfId="37604"/>
    <cellStyle name="Обычный 4 6 2 2 3 2" xfId="37605"/>
    <cellStyle name="Обычный 4 6 2 2 4" xfId="37606"/>
    <cellStyle name="Обычный 4 6 2 3" xfId="37607"/>
    <cellStyle name="Обычный 4 6 2 3 2" xfId="37608"/>
    <cellStyle name="Обычный 4 6 2 3 2 2" xfId="37609"/>
    <cellStyle name="Обычный 4 6 2 3 3" xfId="37610"/>
    <cellStyle name="Обычный 4 6 2 4" xfId="37611"/>
    <cellStyle name="Обычный 4 6 2 4 2" xfId="37612"/>
    <cellStyle name="Обычный 4 6 2 5" xfId="37613"/>
    <cellStyle name="Обычный 4 6 2 5 2" xfId="37614"/>
    <cellStyle name="Обычный 4 6 2 6" xfId="37615"/>
    <cellStyle name="Обычный 4 6 3" xfId="37616"/>
    <cellStyle name="Обычный 4 6 3 2" xfId="37617"/>
    <cellStyle name="Обычный 4 6 3 2 2" xfId="37618"/>
    <cellStyle name="Обычный 4 6 3 2 2 2" xfId="37619"/>
    <cellStyle name="Обычный 4 6 3 2 3" xfId="37620"/>
    <cellStyle name="Обычный 4 6 3 3" xfId="37621"/>
    <cellStyle name="Обычный 4 6 3 3 2" xfId="37622"/>
    <cellStyle name="Обычный 4 6 3 3 2 2" xfId="37623"/>
    <cellStyle name="Обычный 4 6 3 3 3" xfId="37624"/>
    <cellStyle name="Обычный 4 6 3 4" xfId="37625"/>
    <cellStyle name="Обычный 4 6 3 4 2" xfId="37626"/>
    <cellStyle name="Обычный 4 6 3 5" xfId="37627"/>
    <cellStyle name="Обычный 4 6 3 5 2" xfId="37628"/>
    <cellStyle name="Обычный 4 6 3 6" xfId="37629"/>
    <cellStyle name="Обычный 4 6 4" xfId="37630"/>
    <cellStyle name="Обычный 4 6 4 2" xfId="37631"/>
    <cellStyle name="Обычный 4 6 4 2 2" xfId="37632"/>
    <cellStyle name="Обычный 4 6 4 3" xfId="37633"/>
    <cellStyle name="Обычный 4 6 4 3 2" xfId="37634"/>
    <cellStyle name="Обычный 4 6 4 4" xfId="37635"/>
    <cellStyle name="Обычный 4 6 5" xfId="37636"/>
    <cellStyle name="Обычный 4 6 5 2" xfId="37637"/>
    <cellStyle name="Обычный 4 6 5 2 2" xfId="37638"/>
    <cellStyle name="Обычный 4 6 5 3" xfId="37639"/>
    <cellStyle name="Обычный 4 6 6" xfId="37640"/>
    <cellStyle name="Обычный 4 6 6 2" xfId="37641"/>
    <cellStyle name="Обычный 4 6 7" xfId="37642"/>
    <cellStyle name="Обычный 4 6 7 2" xfId="37643"/>
    <cellStyle name="Обычный 4 6 8" xfId="37644"/>
    <cellStyle name="Обычный 4 7" xfId="37645"/>
    <cellStyle name="Обычный 4 7 2" xfId="37646"/>
    <cellStyle name="Обычный 4 7 2 2" xfId="37647"/>
    <cellStyle name="Обычный 4 7 2 2 2" xfId="37648"/>
    <cellStyle name="Обычный 4 7 2 2 2 2" xfId="37649"/>
    <cellStyle name="Обычный 4 7 2 2 3" xfId="37650"/>
    <cellStyle name="Обычный 4 7 2 3" xfId="37651"/>
    <cellStyle name="Обычный 4 7 2 3 2" xfId="37652"/>
    <cellStyle name="Обычный 4 7 2 3 2 2" xfId="37653"/>
    <cellStyle name="Обычный 4 7 2 3 3" xfId="37654"/>
    <cellStyle name="Обычный 4 7 2 4" xfId="37655"/>
    <cellStyle name="Обычный 4 7 2 4 2" xfId="37656"/>
    <cellStyle name="Обычный 4 7 2 5" xfId="37657"/>
    <cellStyle name="Обычный 4 7 2 5 2" xfId="37658"/>
    <cellStyle name="Обычный 4 7 2 6" xfId="37659"/>
    <cellStyle name="Обычный 4 7 3" xfId="37660"/>
    <cellStyle name="Обычный 4 7 3 2" xfId="37661"/>
    <cellStyle name="Обычный 4 7 3 2 2" xfId="37662"/>
    <cellStyle name="Обычный 4 7 3 2 2 2" xfId="37663"/>
    <cellStyle name="Обычный 4 7 3 2 3" xfId="37664"/>
    <cellStyle name="Обычный 4 7 3 3" xfId="37665"/>
    <cellStyle name="Обычный 4 7 3 3 2" xfId="37666"/>
    <cellStyle name="Обычный 4 7 3 3 2 2" xfId="37667"/>
    <cellStyle name="Обычный 4 7 3 3 3" xfId="37668"/>
    <cellStyle name="Обычный 4 7 3 4" xfId="37669"/>
    <cellStyle name="Обычный 4 7 3 4 2" xfId="37670"/>
    <cellStyle name="Обычный 4 7 3 5" xfId="37671"/>
    <cellStyle name="Обычный 4 7 4" xfId="37672"/>
    <cellStyle name="Обычный 4 7 4 2" xfId="37673"/>
    <cellStyle name="Обычный 4 7 4 2 2" xfId="37674"/>
    <cellStyle name="Обычный 4 7 4 3" xfId="37675"/>
    <cellStyle name="Обычный 4 7 5" xfId="37676"/>
    <cellStyle name="Обычный 4 7 5 2" xfId="37677"/>
    <cellStyle name="Обычный 4 7 5 2 2" xfId="37678"/>
    <cellStyle name="Обычный 4 7 5 3" xfId="37679"/>
    <cellStyle name="Обычный 4 7 6" xfId="37680"/>
    <cellStyle name="Обычный 4 7 6 2" xfId="37681"/>
    <cellStyle name="Обычный 4 7 7" xfId="37682"/>
    <cellStyle name="Обычный 4 7 7 2" xfId="37683"/>
    <cellStyle name="Обычный 4 7 8" xfId="37684"/>
    <cellStyle name="Обычный 4 8" xfId="37685"/>
    <cellStyle name="Обычный 4 8 2" xfId="37686"/>
    <cellStyle name="Обычный 4 8 2 2" xfId="37687"/>
    <cellStyle name="Обычный 4 8 2 2 2" xfId="37688"/>
    <cellStyle name="Обычный 4 8 2 3" xfId="37689"/>
    <cellStyle name="Обычный 4 8 3" xfId="37690"/>
    <cellStyle name="Обычный 4 8 3 2" xfId="37691"/>
    <cellStyle name="Обычный 4 8 3 2 2" xfId="37692"/>
    <cellStyle name="Обычный 4 8 3 3" xfId="37693"/>
    <cellStyle name="Обычный 4 8 4" xfId="37694"/>
    <cellStyle name="Обычный 4 8 4 2" xfId="37695"/>
    <cellStyle name="Обычный 4 8 5" xfId="37696"/>
    <cellStyle name="Обычный 4 8 5 2" xfId="37697"/>
    <cellStyle name="Обычный 4 8 6" xfId="37698"/>
    <cellStyle name="Обычный 4 9" xfId="37699"/>
    <cellStyle name="Обычный 4 9 2" xfId="37700"/>
    <cellStyle name="Обычный 4 9 2 2" xfId="37701"/>
    <cellStyle name="Обычный 4 9 2 2 2" xfId="37702"/>
    <cellStyle name="Обычный 4 9 2 3" xfId="37703"/>
    <cellStyle name="Обычный 4 9 3" xfId="37704"/>
    <cellStyle name="Обычный 4 9 3 2" xfId="37705"/>
    <cellStyle name="Обычный 4 9 3 2 2" xfId="37706"/>
    <cellStyle name="Обычный 4 9 3 3" xfId="37707"/>
    <cellStyle name="Обычный 4 9 4" xfId="37708"/>
    <cellStyle name="Обычный 4 9 4 2" xfId="37709"/>
    <cellStyle name="Обычный 4 9 5" xfId="37710"/>
    <cellStyle name="Обычный 4 9 5 2" xfId="37711"/>
    <cellStyle name="Обычный 4 9 6" xfId="37712"/>
    <cellStyle name="Обычный 4_Лист1" xfId="37713"/>
    <cellStyle name="Обычный 40" xfId="37714"/>
    <cellStyle name="Обычный 40 10" xfId="37715"/>
    <cellStyle name="Обычный 40 10 2" xfId="37716"/>
    <cellStyle name="Обычный 40 11" xfId="37717"/>
    <cellStyle name="Обычный 40 11 2" xfId="37718"/>
    <cellStyle name="Обычный 40 12" xfId="37719"/>
    <cellStyle name="Обычный 40 12 2" xfId="37720"/>
    <cellStyle name="Обычный 40 13" xfId="37721"/>
    <cellStyle name="Обычный 40 2" xfId="37722"/>
    <cellStyle name="Обычный 40 2 2" xfId="37723"/>
    <cellStyle name="Обычный 40 2 2 2" xfId="37724"/>
    <cellStyle name="Обычный 40 2 2 2 2" xfId="37725"/>
    <cellStyle name="Обычный 40 2 2 2 2 2" xfId="37726"/>
    <cellStyle name="Обычный 40 2 2 2 2 2 2" xfId="37727"/>
    <cellStyle name="Обычный 40 2 2 2 2 3" xfId="37728"/>
    <cellStyle name="Обычный 40 2 2 2 3" xfId="37729"/>
    <cellStyle name="Обычный 40 2 2 2 3 2" xfId="37730"/>
    <cellStyle name="Обычный 40 2 2 2 3 2 2" xfId="37731"/>
    <cellStyle name="Обычный 40 2 2 2 3 3" xfId="37732"/>
    <cellStyle name="Обычный 40 2 2 2 4" xfId="37733"/>
    <cellStyle name="Обычный 40 2 2 2 4 2" xfId="37734"/>
    <cellStyle name="Обычный 40 2 2 2 5" xfId="37735"/>
    <cellStyle name="Обычный 40 2 2 2 5 2" xfId="37736"/>
    <cellStyle name="Обычный 40 2 2 2 6" xfId="37737"/>
    <cellStyle name="Обычный 40 2 2 3" xfId="37738"/>
    <cellStyle name="Обычный 40 2 2 3 2" xfId="37739"/>
    <cellStyle name="Обычный 40 2 2 3 2 2" xfId="37740"/>
    <cellStyle name="Обычный 40 2 2 3 2 2 2" xfId="37741"/>
    <cellStyle name="Обычный 40 2 2 3 2 3" xfId="37742"/>
    <cellStyle name="Обычный 40 2 2 3 3" xfId="37743"/>
    <cellStyle name="Обычный 40 2 2 3 3 2" xfId="37744"/>
    <cellStyle name="Обычный 40 2 2 3 3 2 2" xfId="37745"/>
    <cellStyle name="Обычный 40 2 2 3 3 3" xfId="37746"/>
    <cellStyle name="Обычный 40 2 2 3 4" xfId="37747"/>
    <cellStyle name="Обычный 40 2 2 3 4 2" xfId="37748"/>
    <cellStyle name="Обычный 40 2 2 3 5" xfId="37749"/>
    <cellStyle name="Обычный 40 2 2 4" xfId="37750"/>
    <cellStyle name="Обычный 40 2 2 4 2" xfId="37751"/>
    <cellStyle name="Обычный 40 2 2 4 2 2" xfId="37752"/>
    <cellStyle name="Обычный 40 2 2 4 3" xfId="37753"/>
    <cellStyle name="Обычный 40 2 2 5" xfId="37754"/>
    <cellStyle name="Обычный 40 2 2 5 2" xfId="37755"/>
    <cellStyle name="Обычный 40 2 2 5 2 2" xfId="37756"/>
    <cellStyle name="Обычный 40 2 2 5 3" xfId="37757"/>
    <cellStyle name="Обычный 40 2 2 6" xfId="37758"/>
    <cellStyle name="Обычный 40 2 2 6 2" xfId="37759"/>
    <cellStyle name="Обычный 40 2 2 7" xfId="37760"/>
    <cellStyle name="Обычный 40 2 2 7 2" xfId="37761"/>
    <cellStyle name="Обычный 40 2 2 8" xfId="37762"/>
    <cellStyle name="Обычный 40 2 3" xfId="37763"/>
    <cellStyle name="Обычный 40 2 3 2" xfId="37764"/>
    <cellStyle name="Обычный 40 2 3 2 2" xfId="37765"/>
    <cellStyle name="Обычный 40 2 3 2 2 2" xfId="37766"/>
    <cellStyle name="Обычный 40 2 3 2 3" xfId="37767"/>
    <cellStyle name="Обычный 40 2 3 3" xfId="37768"/>
    <cellStyle name="Обычный 40 2 3 3 2" xfId="37769"/>
    <cellStyle name="Обычный 40 2 3 3 2 2" xfId="37770"/>
    <cellStyle name="Обычный 40 2 3 3 3" xfId="37771"/>
    <cellStyle name="Обычный 40 2 3 4" xfId="37772"/>
    <cellStyle name="Обычный 40 2 3 4 2" xfId="37773"/>
    <cellStyle name="Обычный 40 2 3 5" xfId="37774"/>
    <cellStyle name="Обычный 40 2 3 5 2" xfId="37775"/>
    <cellStyle name="Обычный 40 2 3 6" xfId="37776"/>
    <cellStyle name="Обычный 40 2 4" xfId="37777"/>
    <cellStyle name="Обычный 40 2 4 2" xfId="37778"/>
    <cellStyle name="Обычный 40 2 4 2 2" xfId="37779"/>
    <cellStyle name="Обычный 40 2 4 2 2 2" xfId="37780"/>
    <cellStyle name="Обычный 40 2 4 2 3" xfId="37781"/>
    <cellStyle name="Обычный 40 2 4 3" xfId="37782"/>
    <cellStyle name="Обычный 40 2 4 3 2" xfId="37783"/>
    <cellStyle name="Обычный 40 2 4 3 2 2" xfId="37784"/>
    <cellStyle name="Обычный 40 2 4 3 3" xfId="37785"/>
    <cellStyle name="Обычный 40 2 4 4" xfId="37786"/>
    <cellStyle name="Обычный 40 2 4 4 2" xfId="37787"/>
    <cellStyle name="Обычный 40 2 4 5" xfId="37788"/>
    <cellStyle name="Обычный 40 2 4 5 2" xfId="37789"/>
    <cellStyle name="Обычный 40 2 4 6" xfId="37790"/>
    <cellStyle name="Обычный 40 2 5" xfId="37791"/>
    <cellStyle name="Обычный 40 2 5 2" xfId="37792"/>
    <cellStyle name="Обычный 40 2 5 2 2" xfId="37793"/>
    <cellStyle name="Обычный 40 2 5 3" xfId="37794"/>
    <cellStyle name="Обычный 40 2 6" xfId="37795"/>
    <cellStyle name="Обычный 40 2 6 2" xfId="37796"/>
    <cellStyle name="Обычный 40 2 6 2 2" xfId="37797"/>
    <cellStyle name="Обычный 40 2 6 3" xfId="37798"/>
    <cellStyle name="Обычный 40 2 7" xfId="37799"/>
    <cellStyle name="Обычный 40 2 7 2" xfId="37800"/>
    <cellStyle name="Обычный 40 2 8" xfId="37801"/>
    <cellStyle name="Обычный 40 2 8 2" xfId="37802"/>
    <cellStyle name="Обычный 40 2 9" xfId="37803"/>
    <cellStyle name="Обычный 40 3" xfId="37804"/>
    <cellStyle name="Обычный 40 3 2" xfId="37805"/>
    <cellStyle name="Обычный 40 3 2 2" xfId="37806"/>
    <cellStyle name="Обычный 40 3 2 2 2" xfId="37807"/>
    <cellStyle name="Обычный 40 3 2 2 2 2" xfId="37808"/>
    <cellStyle name="Обычный 40 3 2 2 3" xfId="37809"/>
    <cellStyle name="Обычный 40 3 2 3" xfId="37810"/>
    <cellStyle name="Обычный 40 3 2 3 2" xfId="37811"/>
    <cellStyle name="Обычный 40 3 2 3 2 2" xfId="37812"/>
    <cellStyle name="Обычный 40 3 2 3 3" xfId="37813"/>
    <cellStyle name="Обычный 40 3 2 4" xfId="37814"/>
    <cellStyle name="Обычный 40 3 2 4 2" xfId="37815"/>
    <cellStyle name="Обычный 40 3 2 5" xfId="37816"/>
    <cellStyle name="Обычный 40 3 2 5 2" xfId="37817"/>
    <cellStyle name="Обычный 40 3 2 6" xfId="37818"/>
    <cellStyle name="Обычный 40 3 3" xfId="37819"/>
    <cellStyle name="Обычный 40 3 3 2" xfId="37820"/>
    <cellStyle name="Обычный 40 3 3 2 2" xfId="37821"/>
    <cellStyle name="Обычный 40 3 3 2 2 2" xfId="37822"/>
    <cellStyle name="Обычный 40 3 3 2 3" xfId="37823"/>
    <cellStyle name="Обычный 40 3 3 3" xfId="37824"/>
    <cellStyle name="Обычный 40 3 3 3 2" xfId="37825"/>
    <cellStyle name="Обычный 40 3 3 3 2 2" xfId="37826"/>
    <cellStyle name="Обычный 40 3 3 3 3" xfId="37827"/>
    <cellStyle name="Обычный 40 3 3 4" xfId="37828"/>
    <cellStyle name="Обычный 40 3 3 4 2" xfId="37829"/>
    <cellStyle name="Обычный 40 3 3 5" xfId="37830"/>
    <cellStyle name="Обычный 40 3 4" xfId="37831"/>
    <cellStyle name="Обычный 40 3 4 2" xfId="37832"/>
    <cellStyle name="Обычный 40 3 4 2 2" xfId="37833"/>
    <cellStyle name="Обычный 40 3 4 3" xfId="37834"/>
    <cellStyle name="Обычный 40 3 5" xfId="37835"/>
    <cellStyle name="Обычный 40 3 5 2" xfId="37836"/>
    <cellStyle name="Обычный 40 3 5 2 2" xfId="37837"/>
    <cellStyle name="Обычный 40 3 5 3" xfId="37838"/>
    <cellStyle name="Обычный 40 3 6" xfId="37839"/>
    <cellStyle name="Обычный 40 3 6 2" xfId="37840"/>
    <cellStyle name="Обычный 40 3 7" xfId="37841"/>
    <cellStyle name="Обычный 40 3 7 2" xfId="37842"/>
    <cellStyle name="Обычный 40 3 8" xfId="37843"/>
    <cellStyle name="Обычный 40 4" xfId="37844"/>
    <cellStyle name="Обычный 40 4 2" xfId="37845"/>
    <cellStyle name="Обычный 40 4 2 2" xfId="37846"/>
    <cellStyle name="Обычный 40 4 2 2 2" xfId="37847"/>
    <cellStyle name="Обычный 40 4 2 3" xfId="37848"/>
    <cellStyle name="Обычный 40 4 3" xfId="37849"/>
    <cellStyle name="Обычный 40 4 3 2" xfId="37850"/>
    <cellStyle name="Обычный 40 4 3 2 2" xfId="37851"/>
    <cellStyle name="Обычный 40 4 3 3" xfId="37852"/>
    <cellStyle name="Обычный 40 4 4" xfId="37853"/>
    <cellStyle name="Обычный 40 4 4 2" xfId="37854"/>
    <cellStyle name="Обычный 40 4 5" xfId="37855"/>
    <cellStyle name="Обычный 40 4 5 2" xfId="37856"/>
    <cellStyle name="Обычный 40 4 6" xfId="37857"/>
    <cellStyle name="Обычный 40 5" xfId="37858"/>
    <cellStyle name="Обычный 40 5 2" xfId="37859"/>
    <cellStyle name="Обычный 40 5 2 2" xfId="37860"/>
    <cellStyle name="Обычный 40 5 2 2 2" xfId="37861"/>
    <cellStyle name="Обычный 40 5 2 3" xfId="37862"/>
    <cellStyle name="Обычный 40 5 3" xfId="37863"/>
    <cellStyle name="Обычный 40 5 3 2" xfId="37864"/>
    <cellStyle name="Обычный 40 5 3 2 2" xfId="37865"/>
    <cellStyle name="Обычный 40 5 3 3" xfId="37866"/>
    <cellStyle name="Обычный 40 5 4" xfId="37867"/>
    <cellStyle name="Обычный 40 5 4 2" xfId="37868"/>
    <cellStyle name="Обычный 40 5 5" xfId="37869"/>
    <cellStyle name="Обычный 40 5 5 2" xfId="37870"/>
    <cellStyle name="Обычный 40 5 6" xfId="37871"/>
    <cellStyle name="Обычный 40 6" xfId="37872"/>
    <cellStyle name="Обычный 40 6 2" xfId="37873"/>
    <cellStyle name="Обычный 40 7" xfId="37874"/>
    <cellStyle name="Обычный 40 8" xfId="37875"/>
    <cellStyle name="Обычный 40 8 2" xfId="37876"/>
    <cellStyle name="Обычный 40 8 2 2" xfId="37877"/>
    <cellStyle name="Обычный 40 8 3" xfId="37878"/>
    <cellStyle name="Обычный 40 9" xfId="37879"/>
    <cellStyle name="Обычный 40 9 2" xfId="37880"/>
    <cellStyle name="Обычный 40 9 2 2" xfId="37881"/>
    <cellStyle name="Обычный 40 9 3" xfId="37882"/>
    <cellStyle name="Обычный 41" xfId="37883"/>
    <cellStyle name="Обычный 41 10" xfId="37884"/>
    <cellStyle name="Обычный 41 10 2" xfId="37885"/>
    <cellStyle name="Обычный 41 11" xfId="37886"/>
    <cellStyle name="Обычный 41 11 2" xfId="37887"/>
    <cellStyle name="Обычный 41 12" xfId="37888"/>
    <cellStyle name="Обычный 41 2" xfId="37889"/>
    <cellStyle name="Обычный 41 2 2" xfId="37890"/>
    <cellStyle name="Обычный 41 2 2 2" xfId="37891"/>
    <cellStyle name="Обычный 41 2 2 2 2" xfId="37892"/>
    <cellStyle name="Обычный 41 2 2 2 2 2" xfId="37893"/>
    <cellStyle name="Обычный 41 2 2 2 2 2 2" xfId="37894"/>
    <cellStyle name="Обычный 41 2 2 2 2 3" xfId="37895"/>
    <cellStyle name="Обычный 41 2 2 2 3" xfId="37896"/>
    <cellStyle name="Обычный 41 2 2 2 3 2" xfId="37897"/>
    <cellStyle name="Обычный 41 2 2 2 3 2 2" xfId="37898"/>
    <cellStyle name="Обычный 41 2 2 2 3 3" xfId="37899"/>
    <cellStyle name="Обычный 41 2 2 2 4" xfId="37900"/>
    <cellStyle name="Обычный 41 2 2 2 4 2" xfId="37901"/>
    <cellStyle name="Обычный 41 2 2 2 5" xfId="37902"/>
    <cellStyle name="Обычный 41 2 2 2 5 2" xfId="37903"/>
    <cellStyle name="Обычный 41 2 2 2 6" xfId="37904"/>
    <cellStyle name="Обычный 41 2 2 3" xfId="37905"/>
    <cellStyle name="Обычный 41 2 2 3 2" xfId="37906"/>
    <cellStyle name="Обычный 41 2 2 3 2 2" xfId="37907"/>
    <cellStyle name="Обычный 41 2 2 3 2 2 2" xfId="37908"/>
    <cellStyle name="Обычный 41 2 2 3 2 3" xfId="37909"/>
    <cellStyle name="Обычный 41 2 2 3 3" xfId="37910"/>
    <cellStyle name="Обычный 41 2 2 3 3 2" xfId="37911"/>
    <cellStyle name="Обычный 41 2 2 3 3 2 2" xfId="37912"/>
    <cellStyle name="Обычный 41 2 2 3 3 3" xfId="37913"/>
    <cellStyle name="Обычный 41 2 2 3 4" xfId="37914"/>
    <cellStyle name="Обычный 41 2 2 3 4 2" xfId="37915"/>
    <cellStyle name="Обычный 41 2 2 3 5" xfId="37916"/>
    <cellStyle name="Обычный 41 2 2 4" xfId="37917"/>
    <cellStyle name="Обычный 41 2 2 4 2" xfId="37918"/>
    <cellStyle name="Обычный 41 2 2 4 2 2" xfId="37919"/>
    <cellStyle name="Обычный 41 2 2 4 3" xfId="37920"/>
    <cellStyle name="Обычный 41 2 2 5" xfId="37921"/>
    <cellStyle name="Обычный 41 2 2 5 2" xfId="37922"/>
    <cellStyle name="Обычный 41 2 2 5 2 2" xfId="37923"/>
    <cellStyle name="Обычный 41 2 2 5 3" xfId="37924"/>
    <cellStyle name="Обычный 41 2 2 6" xfId="37925"/>
    <cellStyle name="Обычный 41 2 2 6 2" xfId="37926"/>
    <cellStyle name="Обычный 41 2 2 7" xfId="37927"/>
    <cellStyle name="Обычный 41 2 2 7 2" xfId="37928"/>
    <cellStyle name="Обычный 41 2 2 8" xfId="37929"/>
    <cellStyle name="Обычный 41 2 3" xfId="37930"/>
    <cellStyle name="Обычный 41 2 3 2" xfId="37931"/>
    <cellStyle name="Обычный 41 2 3 2 2" xfId="37932"/>
    <cellStyle name="Обычный 41 2 3 2 2 2" xfId="37933"/>
    <cellStyle name="Обычный 41 2 3 2 3" xfId="37934"/>
    <cellStyle name="Обычный 41 2 3 3" xfId="37935"/>
    <cellStyle name="Обычный 41 2 3 3 2" xfId="37936"/>
    <cellStyle name="Обычный 41 2 3 3 2 2" xfId="37937"/>
    <cellStyle name="Обычный 41 2 3 3 3" xfId="37938"/>
    <cellStyle name="Обычный 41 2 3 4" xfId="37939"/>
    <cellStyle name="Обычный 41 2 3 4 2" xfId="37940"/>
    <cellStyle name="Обычный 41 2 3 5" xfId="37941"/>
    <cellStyle name="Обычный 41 2 3 5 2" xfId="37942"/>
    <cellStyle name="Обычный 41 2 3 6" xfId="37943"/>
    <cellStyle name="Обычный 41 2 4" xfId="37944"/>
    <cellStyle name="Обычный 41 2 4 2" xfId="37945"/>
    <cellStyle name="Обычный 41 2 4 2 2" xfId="37946"/>
    <cellStyle name="Обычный 41 2 4 2 2 2" xfId="37947"/>
    <cellStyle name="Обычный 41 2 4 2 3" xfId="37948"/>
    <cellStyle name="Обычный 41 2 4 3" xfId="37949"/>
    <cellStyle name="Обычный 41 2 4 3 2" xfId="37950"/>
    <cellStyle name="Обычный 41 2 4 3 2 2" xfId="37951"/>
    <cellStyle name="Обычный 41 2 4 3 3" xfId="37952"/>
    <cellStyle name="Обычный 41 2 4 4" xfId="37953"/>
    <cellStyle name="Обычный 41 2 4 4 2" xfId="37954"/>
    <cellStyle name="Обычный 41 2 4 5" xfId="37955"/>
    <cellStyle name="Обычный 41 2 4 5 2" xfId="37956"/>
    <cellStyle name="Обычный 41 2 4 6" xfId="37957"/>
    <cellStyle name="Обычный 41 2 5" xfId="37958"/>
    <cellStyle name="Обычный 41 2 5 2" xfId="37959"/>
    <cellStyle name="Обычный 41 2 5 2 2" xfId="37960"/>
    <cellStyle name="Обычный 41 2 5 3" xfId="37961"/>
    <cellStyle name="Обычный 41 2 6" xfId="37962"/>
    <cellStyle name="Обычный 41 2 6 2" xfId="37963"/>
    <cellStyle name="Обычный 41 2 6 2 2" xfId="37964"/>
    <cellStyle name="Обычный 41 2 6 3" xfId="37965"/>
    <cellStyle name="Обычный 41 2 7" xfId="37966"/>
    <cellStyle name="Обычный 41 2 7 2" xfId="37967"/>
    <cellStyle name="Обычный 41 2 8" xfId="37968"/>
    <cellStyle name="Обычный 41 2 8 2" xfId="37969"/>
    <cellStyle name="Обычный 41 2 9" xfId="37970"/>
    <cellStyle name="Обычный 41 3" xfId="37971"/>
    <cellStyle name="Обычный 41 3 2" xfId="37972"/>
    <cellStyle name="Обычный 41 3 2 2" xfId="37973"/>
    <cellStyle name="Обычный 41 3 2 2 2" xfId="37974"/>
    <cellStyle name="Обычный 41 3 2 2 2 2" xfId="37975"/>
    <cellStyle name="Обычный 41 3 2 2 3" xfId="37976"/>
    <cellStyle name="Обычный 41 3 2 3" xfId="37977"/>
    <cellStyle name="Обычный 41 3 2 3 2" xfId="37978"/>
    <cellStyle name="Обычный 41 3 2 3 2 2" xfId="37979"/>
    <cellStyle name="Обычный 41 3 2 3 3" xfId="37980"/>
    <cellStyle name="Обычный 41 3 2 4" xfId="37981"/>
    <cellStyle name="Обычный 41 3 2 4 2" xfId="37982"/>
    <cellStyle name="Обычный 41 3 2 5" xfId="37983"/>
    <cellStyle name="Обычный 41 3 2 5 2" xfId="37984"/>
    <cellStyle name="Обычный 41 3 2 6" xfId="37985"/>
    <cellStyle name="Обычный 41 3 3" xfId="37986"/>
    <cellStyle name="Обычный 41 3 3 2" xfId="37987"/>
    <cellStyle name="Обычный 41 3 3 2 2" xfId="37988"/>
    <cellStyle name="Обычный 41 3 3 2 2 2" xfId="37989"/>
    <cellStyle name="Обычный 41 3 3 2 3" xfId="37990"/>
    <cellStyle name="Обычный 41 3 3 3" xfId="37991"/>
    <cellStyle name="Обычный 41 3 3 3 2" xfId="37992"/>
    <cellStyle name="Обычный 41 3 3 3 2 2" xfId="37993"/>
    <cellStyle name="Обычный 41 3 3 3 3" xfId="37994"/>
    <cellStyle name="Обычный 41 3 3 4" xfId="37995"/>
    <cellStyle name="Обычный 41 3 3 4 2" xfId="37996"/>
    <cellStyle name="Обычный 41 3 3 5" xfId="37997"/>
    <cellStyle name="Обычный 41 3 4" xfId="37998"/>
    <cellStyle name="Обычный 41 3 4 2" xfId="37999"/>
    <cellStyle name="Обычный 41 3 4 2 2" xfId="38000"/>
    <cellStyle name="Обычный 41 3 4 3" xfId="38001"/>
    <cellStyle name="Обычный 41 3 5" xfId="38002"/>
    <cellStyle name="Обычный 41 3 5 2" xfId="38003"/>
    <cellStyle name="Обычный 41 3 5 2 2" xfId="38004"/>
    <cellStyle name="Обычный 41 3 5 3" xfId="38005"/>
    <cellStyle name="Обычный 41 3 6" xfId="38006"/>
    <cellStyle name="Обычный 41 3 6 2" xfId="38007"/>
    <cellStyle name="Обычный 41 3 7" xfId="38008"/>
    <cellStyle name="Обычный 41 3 7 2" xfId="38009"/>
    <cellStyle name="Обычный 41 3 8" xfId="38010"/>
    <cellStyle name="Обычный 41 4" xfId="38011"/>
    <cellStyle name="Обычный 41 4 2" xfId="38012"/>
    <cellStyle name="Обычный 41 4 2 2" xfId="38013"/>
    <cellStyle name="Обычный 41 4 2 2 2" xfId="38014"/>
    <cellStyle name="Обычный 41 4 2 3" xfId="38015"/>
    <cellStyle name="Обычный 41 4 3" xfId="38016"/>
    <cellStyle name="Обычный 41 4 3 2" xfId="38017"/>
    <cellStyle name="Обычный 41 4 3 2 2" xfId="38018"/>
    <cellStyle name="Обычный 41 4 3 3" xfId="38019"/>
    <cellStyle name="Обычный 41 4 4" xfId="38020"/>
    <cellStyle name="Обычный 41 4 4 2" xfId="38021"/>
    <cellStyle name="Обычный 41 4 5" xfId="38022"/>
    <cellStyle name="Обычный 41 4 5 2" xfId="38023"/>
    <cellStyle name="Обычный 41 4 6" xfId="38024"/>
    <cellStyle name="Обычный 41 5" xfId="38025"/>
    <cellStyle name="Обычный 41 5 2" xfId="38026"/>
    <cellStyle name="Обычный 41 5 2 2" xfId="38027"/>
    <cellStyle name="Обычный 41 5 2 2 2" xfId="38028"/>
    <cellStyle name="Обычный 41 5 2 3" xfId="38029"/>
    <cellStyle name="Обычный 41 5 3" xfId="38030"/>
    <cellStyle name="Обычный 41 5 3 2" xfId="38031"/>
    <cellStyle name="Обычный 41 5 3 2 2" xfId="38032"/>
    <cellStyle name="Обычный 41 5 3 3" xfId="38033"/>
    <cellStyle name="Обычный 41 5 4" xfId="38034"/>
    <cellStyle name="Обычный 41 5 4 2" xfId="38035"/>
    <cellStyle name="Обычный 41 5 5" xfId="38036"/>
    <cellStyle name="Обычный 41 5 5 2" xfId="38037"/>
    <cellStyle name="Обычный 41 5 6" xfId="38038"/>
    <cellStyle name="Обычный 41 6" xfId="38039"/>
    <cellStyle name="Обычный 41 6 2" xfId="38040"/>
    <cellStyle name="Обычный 41 7" xfId="38041"/>
    <cellStyle name="Обычный 41 8" xfId="38042"/>
    <cellStyle name="Обычный 41 8 2" xfId="38043"/>
    <cellStyle name="Обычный 41 8 2 2" xfId="38044"/>
    <cellStyle name="Обычный 41 8 3" xfId="38045"/>
    <cellStyle name="Обычный 41 9" xfId="38046"/>
    <cellStyle name="Обычный 41 9 2" xfId="38047"/>
    <cellStyle name="Обычный 41 9 2 2" xfId="38048"/>
    <cellStyle name="Обычный 41 9 3" xfId="38049"/>
    <cellStyle name="Обычный 42" xfId="38050"/>
    <cellStyle name="Обычный 42 10" xfId="38051"/>
    <cellStyle name="Обычный 42 10 2" xfId="38052"/>
    <cellStyle name="Обычный 42 11" xfId="38053"/>
    <cellStyle name="Обычный 42 12" xfId="38054"/>
    <cellStyle name="Обычный 42 2" xfId="38055"/>
    <cellStyle name="Обычный 42 2 2" xfId="38056"/>
    <cellStyle name="Обычный 42 2 2 2" xfId="38057"/>
    <cellStyle name="Обычный 42 2 2 2 2" xfId="38058"/>
    <cellStyle name="Обычный 42 2 2 2 2 2" xfId="38059"/>
    <cellStyle name="Обычный 42 2 2 2 2 2 2" xfId="38060"/>
    <cellStyle name="Обычный 42 2 2 2 2 3" xfId="38061"/>
    <cellStyle name="Обычный 42 2 2 2 3" xfId="38062"/>
    <cellStyle name="Обычный 42 2 2 2 3 2" xfId="38063"/>
    <cellStyle name="Обычный 42 2 2 2 3 2 2" xfId="38064"/>
    <cellStyle name="Обычный 42 2 2 2 3 3" xfId="38065"/>
    <cellStyle name="Обычный 42 2 2 2 4" xfId="38066"/>
    <cellStyle name="Обычный 42 2 2 2 4 2" xfId="38067"/>
    <cellStyle name="Обычный 42 2 2 2 5" xfId="38068"/>
    <cellStyle name="Обычный 42 2 2 2 5 2" xfId="38069"/>
    <cellStyle name="Обычный 42 2 2 2 6" xfId="38070"/>
    <cellStyle name="Обычный 42 2 2 3" xfId="38071"/>
    <cellStyle name="Обычный 42 2 2 3 2" xfId="38072"/>
    <cellStyle name="Обычный 42 2 2 3 2 2" xfId="38073"/>
    <cellStyle name="Обычный 42 2 2 3 2 2 2" xfId="38074"/>
    <cellStyle name="Обычный 42 2 2 3 2 3" xfId="38075"/>
    <cellStyle name="Обычный 42 2 2 3 3" xfId="38076"/>
    <cellStyle name="Обычный 42 2 2 3 3 2" xfId="38077"/>
    <cellStyle name="Обычный 42 2 2 3 3 2 2" xfId="38078"/>
    <cellStyle name="Обычный 42 2 2 3 3 3" xfId="38079"/>
    <cellStyle name="Обычный 42 2 2 3 4" xfId="38080"/>
    <cellStyle name="Обычный 42 2 2 3 4 2" xfId="38081"/>
    <cellStyle name="Обычный 42 2 2 3 5" xfId="38082"/>
    <cellStyle name="Обычный 42 2 2 4" xfId="38083"/>
    <cellStyle name="Обычный 42 2 2 4 2" xfId="38084"/>
    <cellStyle name="Обычный 42 2 2 4 2 2" xfId="38085"/>
    <cellStyle name="Обычный 42 2 2 4 3" xfId="38086"/>
    <cellStyle name="Обычный 42 2 2 5" xfId="38087"/>
    <cellStyle name="Обычный 42 2 2 5 2" xfId="38088"/>
    <cellStyle name="Обычный 42 2 2 5 2 2" xfId="38089"/>
    <cellStyle name="Обычный 42 2 2 5 3" xfId="38090"/>
    <cellStyle name="Обычный 42 2 2 6" xfId="38091"/>
    <cellStyle name="Обычный 42 2 2 6 2" xfId="38092"/>
    <cellStyle name="Обычный 42 2 2 7" xfId="38093"/>
    <cellStyle name="Обычный 42 2 2 7 2" xfId="38094"/>
    <cellStyle name="Обычный 42 2 2 8" xfId="38095"/>
    <cellStyle name="Обычный 42 2 3" xfId="38096"/>
    <cellStyle name="Обычный 42 2 3 2" xfId="38097"/>
    <cellStyle name="Обычный 42 2 3 2 2" xfId="38098"/>
    <cellStyle name="Обычный 42 2 3 2 2 2" xfId="38099"/>
    <cellStyle name="Обычный 42 2 3 2 3" xfId="38100"/>
    <cellStyle name="Обычный 42 2 3 3" xfId="38101"/>
    <cellStyle name="Обычный 42 2 3 3 2" xfId="38102"/>
    <cellStyle name="Обычный 42 2 3 3 2 2" xfId="38103"/>
    <cellStyle name="Обычный 42 2 3 3 3" xfId="38104"/>
    <cellStyle name="Обычный 42 2 3 4" xfId="38105"/>
    <cellStyle name="Обычный 42 2 3 4 2" xfId="38106"/>
    <cellStyle name="Обычный 42 2 3 5" xfId="38107"/>
    <cellStyle name="Обычный 42 2 3 5 2" xfId="38108"/>
    <cellStyle name="Обычный 42 2 3 6" xfId="38109"/>
    <cellStyle name="Обычный 42 2 4" xfId="38110"/>
    <cellStyle name="Обычный 42 2 4 2" xfId="38111"/>
    <cellStyle name="Обычный 42 2 4 2 2" xfId="38112"/>
    <cellStyle name="Обычный 42 2 4 2 2 2" xfId="38113"/>
    <cellStyle name="Обычный 42 2 4 2 3" xfId="38114"/>
    <cellStyle name="Обычный 42 2 4 3" xfId="38115"/>
    <cellStyle name="Обычный 42 2 4 3 2" xfId="38116"/>
    <cellStyle name="Обычный 42 2 4 3 2 2" xfId="38117"/>
    <cellStyle name="Обычный 42 2 4 3 3" xfId="38118"/>
    <cellStyle name="Обычный 42 2 4 4" xfId="38119"/>
    <cellStyle name="Обычный 42 2 4 4 2" xfId="38120"/>
    <cellStyle name="Обычный 42 2 4 5" xfId="38121"/>
    <cellStyle name="Обычный 42 2 4 5 2" xfId="38122"/>
    <cellStyle name="Обычный 42 2 4 6" xfId="38123"/>
    <cellStyle name="Обычный 42 2 5" xfId="38124"/>
    <cellStyle name="Обычный 42 2 5 2" xfId="38125"/>
    <cellStyle name="Обычный 42 2 5 2 2" xfId="38126"/>
    <cellStyle name="Обычный 42 2 5 3" xfId="38127"/>
    <cellStyle name="Обычный 42 2 6" xfId="38128"/>
    <cellStyle name="Обычный 42 2 6 2" xfId="38129"/>
    <cellStyle name="Обычный 42 2 6 2 2" xfId="38130"/>
    <cellStyle name="Обычный 42 2 6 3" xfId="38131"/>
    <cellStyle name="Обычный 42 2 7" xfId="38132"/>
    <cellStyle name="Обычный 42 2 7 2" xfId="38133"/>
    <cellStyle name="Обычный 42 2 8" xfId="38134"/>
    <cellStyle name="Обычный 42 2 8 2" xfId="38135"/>
    <cellStyle name="Обычный 42 2 9" xfId="38136"/>
    <cellStyle name="Обычный 42 3" xfId="38137"/>
    <cellStyle name="Обычный 42 3 2" xfId="38138"/>
    <cellStyle name="Обычный 42 3 2 2" xfId="38139"/>
    <cellStyle name="Обычный 42 3 2 2 2" xfId="38140"/>
    <cellStyle name="Обычный 42 3 2 2 2 2" xfId="38141"/>
    <cellStyle name="Обычный 42 3 2 2 3" xfId="38142"/>
    <cellStyle name="Обычный 42 3 2 3" xfId="38143"/>
    <cellStyle name="Обычный 42 3 2 3 2" xfId="38144"/>
    <cellStyle name="Обычный 42 3 2 3 2 2" xfId="38145"/>
    <cellStyle name="Обычный 42 3 2 3 3" xfId="38146"/>
    <cellStyle name="Обычный 42 3 2 4" xfId="38147"/>
    <cellStyle name="Обычный 42 3 2 4 2" xfId="38148"/>
    <cellStyle name="Обычный 42 3 2 5" xfId="38149"/>
    <cellStyle name="Обычный 42 3 2 5 2" xfId="38150"/>
    <cellStyle name="Обычный 42 3 2 6" xfId="38151"/>
    <cellStyle name="Обычный 42 3 3" xfId="38152"/>
    <cellStyle name="Обычный 42 3 3 2" xfId="38153"/>
    <cellStyle name="Обычный 42 3 3 2 2" xfId="38154"/>
    <cellStyle name="Обычный 42 3 3 2 2 2" xfId="38155"/>
    <cellStyle name="Обычный 42 3 3 2 3" xfId="38156"/>
    <cellStyle name="Обычный 42 3 3 3" xfId="38157"/>
    <cellStyle name="Обычный 42 3 3 3 2" xfId="38158"/>
    <cellStyle name="Обычный 42 3 3 3 2 2" xfId="38159"/>
    <cellStyle name="Обычный 42 3 3 3 3" xfId="38160"/>
    <cellStyle name="Обычный 42 3 3 4" xfId="38161"/>
    <cellStyle name="Обычный 42 3 3 4 2" xfId="38162"/>
    <cellStyle name="Обычный 42 3 3 5" xfId="38163"/>
    <cellStyle name="Обычный 42 3 4" xfId="38164"/>
    <cellStyle name="Обычный 42 3 4 2" xfId="38165"/>
    <cellStyle name="Обычный 42 3 4 2 2" xfId="38166"/>
    <cellStyle name="Обычный 42 3 4 3" xfId="38167"/>
    <cellStyle name="Обычный 42 3 5" xfId="38168"/>
    <cellStyle name="Обычный 42 3 5 2" xfId="38169"/>
    <cellStyle name="Обычный 42 3 5 2 2" xfId="38170"/>
    <cellStyle name="Обычный 42 3 5 3" xfId="38171"/>
    <cellStyle name="Обычный 42 3 6" xfId="38172"/>
    <cellStyle name="Обычный 42 3 6 2" xfId="38173"/>
    <cellStyle name="Обычный 42 3 7" xfId="38174"/>
    <cellStyle name="Обычный 42 3 8" xfId="38175"/>
    <cellStyle name="Обычный 42 4" xfId="38176"/>
    <cellStyle name="Обычный 42 4 2" xfId="38177"/>
    <cellStyle name="Обычный 42 4 2 2" xfId="38178"/>
    <cellStyle name="Обычный 42 4 2 2 2" xfId="38179"/>
    <cellStyle name="Обычный 42 4 2 3" xfId="38180"/>
    <cellStyle name="Обычный 42 4 3" xfId="38181"/>
    <cellStyle name="Обычный 42 4 3 2" xfId="38182"/>
    <cellStyle name="Обычный 42 4 3 2 2" xfId="38183"/>
    <cellStyle name="Обычный 42 4 3 3" xfId="38184"/>
    <cellStyle name="Обычный 42 4 4" xfId="38185"/>
    <cellStyle name="Обычный 42 4 4 2" xfId="38186"/>
    <cellStyle name="Обычный 42 4 5" xfId="38187"/>
    <cellStyle name="Обычный 42 4 5 2" xfId="38188"/>
    <cellStyle name="Обычный 42 4 6" xfId="38189"/>
    <cellStyle name="Обычный 42 5" xfId="38190"/>
    <cellStyle name="Обычный 42 5 2" xfId="38191"/>
    <cellStyle name="Обычный 42 5 2 2" xfId="38192"/>
    <cellStyle name="Обычный 42 5 2 2 2" xfId="38193"/>
    <cellStyle name="Обычный 42 5 2 3" xfId="38194"/>
    <cellStyle name="Обычный 42 5 3" xfId="38195"/>
    <cellStyle name="Обычный 42 5 3 2" xfId="38196"/>
    <cellStyle name="Обычный 42 5 3 2 2" xfId="38197"/>
    <cellStyle name="Обычный 42 5 3 3" xfId="38198"/>
    <cellStyle name="Обычный 42 5 4" xfId="38199"/>
    <cellStyle name="Обычный 42 5 4 2" xfId="38200"/>
    <cellStyle name="Обычный 42 5 5" xfId="38201"/>
    <cellStyle name="Обычный 42 5 5 2" xfId="38202"/>
    <cellStyle name="Обычный 42 5 6" xfId="38203"/>
    <cellStyle name="Обычный 42 6" xfId="38204"/>
    <cellStyle name="Обычный 42 6 2" xfId="38205"/>
    <cellStyle name="Обычный 42 7" xfId="38206"/>
    <cellStyle name="Обычный 42 8" xfId="38207"/>
    <cellStyle name="Обычный 42 8 2" xfId="38208"/>
    <cellStyle name="Обычный 42 8 2 2" xfId="38209"/>
    <cellStyle name="Обычный 42 8 3" xfId="38210"/>
    <cellStyle name="Обычный 42 9" xfId="38211"/>
    <cellStyle name="Обычный 42 9 2" xfId="38212"/>
    <cellStyle name="Обычный 42 9 2 2" xfId="38213"/>
    <cellStyle name="Обычный 42 9 3" xfId="38214"/>
    <cellStyle name="Обычный 43" xfId="38215"/>
    <cellStyle name="Обычный 43 10" xfId="38216"/>
    <cellStyle name="Обычный 43 10 2" xfId="38217"/>
    <cellStyle name="Обычный 43 11" xfId="38218"/>
    <cellStyle name="Обычный 43 2" xfId="38219"/>
    <cellStyle name="Обычный 43 2 2" xfId="38220"/>
    <cellStyle name="Обычный 43 2 2 2" xfId="38221"/>
    <cellStyle name="Обычный 43 2 2 2 2" xfId="38222"/>
    <cellStyle name="Обычный 43 2 2 2 2 2" xfId="38223"/>
    <cellStyle name="Обычный 43 2 2 2 2 2 2" xfId="38224"/>
    <cellStyle name="Обычный 43 2 2 2 2 3" xfId="38225"/>
    <cellStyle name="Обычный 43 2 2 2 3" xfId="38226"/>
    <cellStyle name="Обычный 43 2 2 2 3 2" xfId="38227"/>
    <cellStyle name="Обычный 43 2 2 2 3 2 2" xfId="38228"/>
    <cellStyle name="Обычный 43 2 2 2 3 3" xfId="38229"/>
    <cellStyle name="Обычный 43 2 2 2 4" xfId="38230"/>
    <cellStyle name="Обычный 43 2 2 2 4 2" xfId="38231"/>
    <cellStyle name="Обычный 43 2 2 2 5" xfId="38232"/>
    <cellStyle name="Обычный 43 2 2 3" xfId="38233"/>
    <cellStyle name="Обычный 43 2 2 3 2" xfId="38234"/>
    <cellStyle name="Обычный 43 2 2 3 2 2" xfId="38235"/>
    <cellStyle name="Обычный 43 2 2 3 2 2 2" xfId="38236"/>
    <cellStyle name="Обычный 43 2 2 3 2 3" xfId="38237"/>
    <cellStyle name="Обычный 43 2 2 3 3" xfId="38238"/>
    <cellStyle name="Обычный 43 2 2 3 3 2" xfId="38239"/>
    <cellStyle name="Обычный 43 2 2 3 3 2 2" xfId="38240"/>
    <cellStyle name="Обычный 43 2 2 3 3 3" xfId="38241"/>
    <cellStyle name="Обычный 43 2 2 3 4" xfId="38242"/>
    <cellStyle name="Обычный 43 2 2 3 4 2" xfId="38243"/>
    <cellStyle name="Обычный 43 2 2 3 5" xfId="38244"/>
    <cellStyle name="Обычный 43 2 2 4" xfId="38245"/>
    <cellStyle name="Обычный 43 2 2 4 2" xfId="38246"/>
    <cellStyle name="Обычный 43 2 2 4 2 2" xfId="38247"/>
    <cellStyle name="Обычный 43 2 2 4 3" xfId="38248"/>
    <cellStyle name="Обычный 43 2 2 5" xfId="38249"/>
    <cellStyle name="Обычный 43 2 2 5 2" xfId="38250"/>
    <cellStyle name="Обычный 43 2 2 5 2 2" xfId="38251"/>
    <cellStyle name="Обычный 43 2 2 5 3" xfId="38252"/>
    <cellStyle name="Обычный 43 2 2 6" xfId="38253"/>
    <cellStyle name="Обычный 43 2 2 6 2" xfId="38254"/>
    <cellStyle name="Обычный 43 2 2 7" xfId="38255"/>
    <cellStyle name="Обычный 43 2 2 7 2" xfId="38256"/>
    <cellStyle name="Обычный 43 2 2 8" xfId="38257"/>
    <cellStyle name="Обычный 43 2 3" xfId="38258"/>
    <cellStyle name="Обычный 43 2 3 2" xfId="38259"/>
    <cellStyle name="Обычный 43 2 3 2 2" xfId="38260"/>
    <cellStyle name="Обычный 43 2 3 2 2 2" xfId="38261"/>
    <cellStyle name="Обычный 43 2 3 2 3" xfId="38262"/>
    <cellStyle name="Обычный 43 2 3 3" xfId="38263"/>
    <cellStyle name="Обычный 43 2 3 3 2" xfId="38264"/>
    <cellStyle name="Обычный 43 2 3 3 2 2" xfId="38265"/>
    <cellStyle name="Обычный 43 2 3 3 3" xfId="38266"/>
    <cellStyle name="Обычный 43 2 3 4" xfId="38267"/>
    <cellStyle name="Обычный 43 2 3 4 2" xfId="38268"/>
    <cellStyle name="Обычный 43 2 3 5" xfId="38269"/>
    <cellStyle name="Обычный 43 2 3 5 2" xfId="38270"/>
    <cellStyle name="Обычный 43 2 3 6" xfId="38271"/>
    <cellStyle name="Обычный 43 2 4" xfId="38272"/>
    <cellStyle name="Обычный 43 2 4 2" xfId="38273"/>
    <cellStyle name="Обычный 43 2 4 2 2" xfId="38274"/>
    <cellStyle name="Обычный 43 2 4 2 2 2" xfId="38275"/>
    <cellStyle name="Обычный 43 2 4 2 3" xfId="38276"/>
    <cellStyle name="Обычный 43 2 4 3" xfId="38277"/>
    <cellStyle name="Обычный 43 2 4 3 2" xfId="38278"/>
    <cellStyle name="Обычный 43 2 4 3 2 2" xfId="38279"/>
    <cellStyle name="Обычный 43 2 4 3 3" xfId="38280"/>
    <cellStyle name="Обычный 43 2 4 4" xfId="38281"/>
    <cellStyle name="Обычный 43 2 4 4 2" xfId="38282"/>
    <cellStyle name="Обычный 43 2 4 5" xfId="38283"/>
    <cellStyle name="Обычный 43 2 4 5 2" xfId="38284"/>
    <cellStyle name="Обычный 43 2 4 6" xfId="38285"/>
    <cellStyle name="Обычный 43 2 5" xfId="38286"/>
    <cellStyle name="Обычный 43 2 5 2" xfId="38287"/>
    <cellStyle name="Обычный 43 2 5 2 2" xfId="38288"/>
    <cellStyle name="Обычный 43 2 5 3" xfId="38289"/>
    <cellStyle name="Обычный 43 2 6" xfId="38290"/>
    <cellStyle name="Обычный 43 2 6 2" xfId="38291"/>
    <cellStyle name="Обычный 43 2 6 2 2" xfId="38292"/>
    <cellStyle name="Обычный 43 2 6 3" xfId="38293"/>
    <cellStyle name="Обычный 43 2 7" xfId="38294"/>
    <cellStyle name="Обычный 43 2 7 2" xfId="38295"/>
    <cellStyle name="Обычный 43 2 8" xfId="38296"/>
    <cellStyle name="Обычный 43 2 8 2" xfId="38297"/>
    <cellStyle name="Обычный 43 2 9" xfId="38298"/>
    <cellStyle name="Обычный 43 3" xfId="38299"/>
    <cellStyle name="Обычный 43 3 2" xfId="38300"/>
    <cellStyle name="Обычный 43 3 2 2" xfId="38301"/>
    <cellStyle name="Обычный 43 3 2 2 2" xfId="38302"/>
    <cellStyle name="Обычный 43 3 2 2 2 2" xfId="38303"/>
    <cellStyle name="Обычный 43 3 2 2 3" xfId="38304"/>
    <cellStyle name="Обычный 43 3 2 3" xfId="38305"/>
    <cellStyle name="Обычный 43 3 2 3 2" xfId="38306"/>
    <cellStyle name="Обычный 43 3 2 3 2 2" xfId="38307"/>
    <cellStyle name="Обычный 43 3 2 3 3" xfId="38308"/>
    <cellStyle name="Обычный 43 3 2 4" xfId="38309"/>
    <cellStyle name="Обычный 43 3 2 4 2" xfId="38310"/>
    <cellStyle name="Обычный 43 3 2 5" xfId="38311"/>
    <cellStyle name="Обычный 43 3 3" xfId="38312"/>
    <cellStyle name="Обычный 43 3 3 2" xfId="38313"/>
    <cellStyle name="Обычный 43 3 3 2 2" xfId="38314"/>
    <cellStyle name="Обычный 43 3 3 2 2 2" xfId="38315"/>
    <cellStyle name="Обычный 43 3 3 2 3" xfId="38316"/>
    <cellStyle name="Обычный 43 3 3 3" xfId="38317"/>
    <cellStyle name="Обычный 43 3 3 3 2" xfId="38318"/>
    <cellStyle name="Обычный 43 3 3 3 2 2" xfId="38319"/>
    <cellStyle name="Обычный 43 3 3 3 3" xfId="38320"/>
    <cellStyle name="Обычный 43 3 3 4" xfId="38321"/>
    <cellStyle name="Обычный 43 3 3 4 2" xfId="38322"/>
    <cellStyle name="Обычный 43 3 3 5" xfId="38323"/>
    <cellStyle name="Обычный 43 3 4" xfId="38324"/>
    <cellStyle name="Обычный 43 3 4 2" xfId="38325"/>
    <cellStyle name="Обычный 43 3 4 2 2" xfId="38326"/>
    <cellStyle name="Обычный 43 3 4 3" xfId="38327"/>
    <cellStyle name="Обычный 43 3 5" xfId="38328"/>
    <cellStyle name="Обычный 43 3 5 2" xfId="38329"/>
    <cellStyle name="Обычный 43 3 5 2 2" xfId="38330"/>
    <cellStyle name="Обычный 43 3 5 3" xfId="38331"/>
    <cellStyle name="Обычный 43 3 6" xfId="38332"/>
    <cellStyle name="Обычный 43 3 6 2" xfId="38333"/>
    <cellStyle name="Обычный 43 3 7" xfId="38334"/>
    <cellStyle name="Обычный 43 3 7 2" xfId="38335"/>
    <cellStyle name="Обычный 43 3 8" xfId="38336"/>
    <cellStyle name="Обычный 43 4" xfId="38337"/>
    <cellStyle name="Обычный 43 4 2" xfId="38338"/>
    <cellStyle name="Обычный 43 4 2 2" xfId="38339"/>
    <cellStyle name="Обычный 43 4 2 2 2" xfId="38340"/>
    <cellStyle name="Обычный 43 4 2 3" xfId="38341"/>
    <cellStyle name="Обычный 43 4 3" xfId="38342"/>
    <cellStyle name="Обычный 43 4 3 2" xfId="38343"/>
    <cellStyle name="Обычный 43 4 3 2 2" xfId="38344"/>
    <cellStyle name="Обычный 43 4 3 3" xfId="38345"/>
    <cellStyle name="Обычный 43 4 4" xfId="38346"/>
    <cellStyle name="Обычный 43 4 4 2" xfId="38347"/>
    <cellStyle name="Обычный 43 4 5" xfId="38348"/>
    <cellStyle name="Обычный 43 4 5 2" xfId="38349"/>
    <cellStyle name="Обычный 43 4 6" xfId="38350"/>
    <cellStyle name="Обычный 43 5" xfId="38351"/>
    <cellStyle name="Обычный 43 5 2" xfId="38352"/>
    <cellStyle name="Обычный 43 5 2 2" xfId="38353"/>
    <cellStyle name="Обычный 43 5 3" xfId="38354"/>
    <cellStyle name="Обычный 43 6" xfId="38355"/>
    <cellStyle name="Обычный 43 7" xfId="38356"/>
    <cellStyle name="Обычный 43 7 2" xfId="38357"/>
    <cellStyle name="Обычный 43 7 2 2" xfId="38358"/>
    <cellStyle name="Обычный 43 7 3" xfId="38359"/>
    <cellStyle name="Обычный 43 8" xfId="38360"/>
    <cellStyle name="Обычный 43 8 2" xfId="38361"/>
    <cellStyle name="Обычный 43 8 2 2" xfId="38362"/>
    <cellStyle name="Обычный 43 8 3" xfId="38363"/>
    <cellStyle name="Обычный 43 9" xfId="38364"/>
    <cellStyle name="Обычный 43 9 2" xfId="38365"/>
    <cellStyle name="Обычный 44" xfId="38366"/>
    <cellStyle name="Обычный 44 10" xfId="38367"/>
    <cellStyle name="Обычный 44 10 2" xfId="38368"/>
    <cellStyle name="Обычный 44 11" xfId="38369"/>
    <cellStyle name="Обычный 44 2" xfId="38370"/>
    <cellStyle name="Обычный 44 2 2" xfId="38371"/>
    <cellStyle name="Обычный 44 2 2 2" xfId="38372"/>
    <cellStyle name="Обычный 44 2 2 2 2" xfId="38373"/>
    <cellStyle name="Обычный 44 2 2 2 2 2" xfId="38374"/>
    <cellStyle name="Обычный 44 2 2 2 3" xfId="38375"/>
    <cellStyle name="Обычный 44 2 2 3" xfId="38376"/>
    <cellStyle name="Обычный 44 2 2 3 2" xfId="38377"/>
    <cellStyle name="Обычный 44 2 2 3 2 2" xfId="38378"/>
    <cellStyle name="Обычный 44 2 2 3 3" xfId="38379"/>
    <cellStyle name="Обычный 44 2 2 4" xfId="38380"/>
    <cellStyle name="Обычный 44 2 2 4 2" xfId="38381"/>
    <cellStyle name="Обычный 44 2 2 5" xfId="38382"/>
    <cellStyle name="Обычный 44 2 2 5 2" xfId="38383"/>
    <cellStyle name="Обычный 44 2 2 6" xfId="38384"/>
    <cellStyle name="Обычный 44 2 3" xfId="38385"/>
    <cellStyle name="Обычный 44 2 3 2" xfId="38386"/>
    <cellStyle name="Обычный 44 2 3 2 2" xfId="38387"/>
    <cellStyle name="Обычный 44 2 3 2 2 2" xfId="38388"/>
    <cellStyle name="Обычный 44 2 3 2 3" xfId="38389"/>
    <cellStyle name="Обычный 44 2 3 3" xfId="38390"/>
    <cellStyle name="Обычный 44 2 3 3 2" xfId="38391"/>
    <cellStyle name="Обычный 44 2 3 3 2 2" xfId="38392"/>
    <cellStyle name="Обычный 44 2 3 3 3" xfId="38393"/>
    <cellStyle name="Обычный 44 2 3 4" xfId="38394"/>
    <cellStyle name="Обычный 44 2 3 4 2" xfId="38395"/>
    <cellStyle name="Обычный 44 2 3 5" xfId="38396"/>
    <cellStyle name="Обычный 44 2 3 5 2" xfId="38397"/>
    <cellStyle name="Обычный 44 2 3 6" xfId="38398"/>
    <cellStyle name="Обычный 44 2 4" xfId="38399"/>
    <cellStyle name="Обычный 44 2 4 2" xfId="38400"/>
    <cellStyle name="Обычный 44 2 4 2 2" xfId="38401"/>
    <cellStyle name="Обычный 44 2 4 3" xfId="38402"/>
    <cellStyle name="Обычный 44 2 5" xfId="38403"/>
    <cellStyle name="Обычный 44 2 5 2" xfId="38404"/>
    <cellStyle name="Обычный 44 2 5 2 2" xfId="38405"/>
    <cellStyle name="Обычный 44 2 6" xfId="38406"/>
    <cellStyle name="Обычный 44 2 6 2" xfId="38407"/>
    <cellStyle name="Обычный 44 2 6 2 2" xfId="38408"/>
    <cellStyle name="Обычный 44 2 6 3" xfId="38409"/>
    <cellStyle name="Обычный 44 2 7" xfId="38410"/>
    <cellStyle name="Обычный 44 2 7 2" xfId="38411"/>
    <cellStyle name="Обычный 44 2 8" xfId="38412"/>
    <cellStyle name="Обычный 44 2 8 2" xfId="38413"/>
    <cellStyle name="Обычный 44 2 9" xfId="38414"/>
    <cellStyle name="Обычный 44 3" xfId="38415"/>
    <cellStyle name="Обычный 44 3 2" xfId="38416"/>
    <cellStyle name="Обычный 44 3 2 2" xfId="38417"/>
    <cellStyle name="Обычный 44 3 2 2 2" xfId="38418"/>
    <cellStyle name="Обычный 44 3 2 3" xfId="38419"/>
    <cellStyle name="Обычный 44 3 3" xfId="38420"/>
    <cellStyle name="Обычный 44 3 3 2" xfId="38421"/>
    <cellStyle name="Обычный 44 3 3 2 2" xfId="38422"/>
    <cellStyle name="Обычный 44 3 3 3" xfId="38423"/>
    <cellStyle name="Обычный 44 3 4" xfId="38424"/>
    <cellStyle name="Обычный 44 3 4 2" xfId="38425"/>
    <cellStyle name="Обычный 44 3 5" xfId="38426"/>
    <cellStyle name="Обычный 44 3 5 2" xfId="38427"/>
    <cellStyle name="Обычный 44 3 6" xfId="38428"/>
    <cellStyle name="Обычный 44 4" xfId="38429"/>
    <cellStyle name="Обычный 44 4 2" xfId="38430"/>
    <cellStyle name="Обычный 44 4 2 2" xfId="38431"/>
    <cellStyle name="Обычный 44 4 2 2 2" xfId="38432"/>
    <cellStyle name="Обычный 44 4 2 3" xfId="38433"/>
    <cellStyle name="Обычный 44 4 3" xfId="38434"/>
    <cellStyle name="Обычный 44 4 3 2" xfId="38435"/>
    <cellStyle name="Обычный 44 4 3 2 2" xfId="38436"/>
    <cellStyle name="Обычный 44 4 3 3" xfId="38437"/>
    <cellStyle name="Обычный 44 4 4" xfId="38438"/>
    <cellStyle name="Обычный 44 4 4 2" xfId="38439"/>
    <cellStyle name="Обычный 44 4 5" xfId="38440"/>
    <cellStyle name="Обычный 44 4 5 2" xfId="38441"/>
    <cellStyle name="Обычный 44 4 6" xfId="38442"/>
    <cellStyle name="Обычный 44 5" xfId="38443"/>
    <cellStyle name="Обычный 44 5 2" xfId="38444"/>
    <cellStyle name="Обычный 44 5 2 2" xfId="38445"/>
    <cellStyle name="Обычный 44 5 3" xfId="38446"/>
    <cellStyle name="Обычный 44 6" xfId="38447"/>
    <cellStyle name="Обычный 44 7" xfId="38448"/>
    <cellStyle name="Обычный 44 7 2" xfId="38449"/>
    <cellStyle name="Обычный 44 7 2 2" xfId="38450"/>
    <cellStyle name="Обычный 44 7 3" xfId="38451"/>
    <cellStyle name="Обычный 44 8" xfId="38452"/>
    <cellStyle name="Обычный 44 8 2" xfId="38453"/>
    <cellStyle name="Обычный 44 8 2 2" xfId="38454"/>
    <cellStyle name="Обычный 44 8 3" xfId="38455"/>
    <cellStyle name="Обычный 44 9" xfId="38456"/>
    <cellStyle name="Обычный 44 9 2" xfId="38457"/>
    <cellStyle name="Обычный 45" xfId="38458"/>
    <cellStyle name="Обычный 45 10" xfId="38459"/>
    <cellStyle name="Обычный 45 10 2" xfId="38460"/>
    <cellStyle name="Обычный 45 11" xfId="38461"/>
    <cellStyle name="Обычный 45 2" xfId="38462"/>
    <cellStyle name="Обычный 45 2 2" xfId="38463"/>
    <cellStyle name="Обычный 45 2 2 2" xfId="38464"/>
    <cellStyle name="Обычный 45 2 2 2 2" xfId="38465"/>
    <cellStyle name="Обычный 45 2 2 2 2 2" xfId="38466"/>
    <cellStyle name="Обычный 45 2 2 2 3" xfId="38467"/>
    <cellStyle name="Обычный 45 2 2 3" xfId="38468"/>
    <cellStyle name="Обычный 45 2 2 3 2" xfId="38469"/>
    <cellStyle name="Обычный 45 2 2 3 2 2" xfId="38470"/>
    <cellStyle name="Обычный 45 2 2 3 3" xfId="38471"/>
    <cellStyle name="Обычный 45 2 2 4" xfId="38472"/>
    <cellStyle name="Обычный 45 2 2 4 2" xfId="38473"/>
    <cellStyle name="Обычный 45 2 2 5" xfId="38474"/>
    <cellStyle name="Обычный 45 2 2 5 2" xfId="38475"/>
    <cellStyle name="Обычный 45 2 2 6" xfId="38476"/>
    <cellStyle name="Обычный 45 2 3" xfId="38477"/>
    <cellStyle name="Обычный 45 2 3 2" xfId="38478"/>
    <cellStyle name="Обычный 45 2 3 2 2" xfId="38479"/>
    <cellStyle name="Обычный 45 2 3 2 2 2" xfId="38480"/>
    <cellStyle name="Обычный 45 2 3 2 3" xfId="38481"/>
    <cellStyle name="Обычный 45 2 3 3" xfId="38482"/>
    <cellStyle name="Обычный 45 2 3 3 2" xfId="38483"/>
    <cellStyle name="Обычный 45 2 3 3 2 2" xfId="38484"/>
    <cellStyle name="Обычный 45 2 3 3 3" xfId="38485"/>
    <cellStyle name="Обычный 45 2 3 4" xfId="38486"/>
    <cellStyle name="Обычный 45 2 3 4 2" xfId="38487"/>
    <cellStyle name="Обычный 45 2 3 5" xfId="38488"/>
    <cellStyle name="Обычный 45 2 3 5 2" xfId="38489"/>
    <cellStyle name="Обычный 45 2 3 6" xfId="38490"/>
    <cellStyle name="Обычный 45 2 4" xfId="38491"/>
    <cellStyle name="Обычный 45 2 4 2" xfId="38492"/>
    <cellStyle name="Обычный 45 2 4 2 2" xfId="38493"/>
    <cellStyle name="Обычный 45 2 4 3" xfId="38494"/>
    <cellStyle name="Обычный 45 2 5" xfId="38495"/>
    <cellStyle name="Обычный 45 2 5 2" xfId="38496"/>
    <cellStyle name="Обычный 45 2 5 2 2" xfId="38497"/>
    <cellStyle name="Обычный 45 2 5 3" xfId="38498"/>
    <cellStyle name="Обычный 45 2 6" xfId="38499"/>
    <cellStyle name="Обычный 45 2 6 2" xfId="38500"/>
    <cellStyle name="Обычный 45 2 6 2 2" xfId="38501"/>
    <cellStyle name="Обычный 45 2 6 3" xfId="38502"/>
    <cellStyle name="Обычный 45 2 7" xfId="38503"/>
    <cellStyle name="Обычный 45 2 7 2" xfId="38504"/>
    <cellStyle name="Обычный 45 2 8" xfId="38505"/>
    <cellStyle name="Обычный 45 3" xfId="38506"/>
    <cellStyle name="Обычный 45 3 2" xfId="38507"/>
    <cellStyle name="Обычный 45 3 2 2" xfId="38508"/>
    <cellStyle name="Обычный 45 3 2 2 2" xfId="38509"/>
    <cellStyle name="Обычный 45 3 2 3" xfId="38510"/>
    <cellStyle name="Обычный 45 3 2 3 2" xfId="38511"/>
    <cellStyle name="Обычный 45 3 2 4" xfId="38512"/>
    <cellStyle name="Обычный 45 3 3" xfId="38513"/>
    <cellStyle name="Обычный 45 3 3 2" xfId="38514"/>
    <cellStyle name="Обычный 45 3 3 2 2" xfId="38515"/>
    <cellStyle name="Обычный 45 3 3 3" xfId="38516"/>
    <cellStyle name="Обычный 45 3 4" xfId="38517"/>
    <cellStyle name="Обычный 45 3 4 2" xfId="38518"/>
    <cellStyle name="Обычный 45 3 5" xfId="38519"/>
    <cellStyle name="Обычный 45 3 5 2" xfId="38520"/>
    <cellStyle name="Обычный 45 3 6" xfId="38521"/>
    <cellStyle name="Обычный 45 4" xfId="38522"/>
    <cellStyle name="Обычный 45 4 2" xfId="38523"/>
    <cellStyle name="Обычный 45 4 2 2" xfId="38524"/>
    <cellStyle name="Обычный 45 4 2 2 2" xfId="38525"/>
    <cellStyle name="Обычный 45 4 2 3" xfId="38526"/>
    <cellStyle name="Обычный 45 4 3" xfId="38527"/>
    <cellStyle name="Обычный 45 4 3 2" xfId="38528"/>
    <cellStyle name="Обычный 45 4 3 2 2" xfId="38529"/>
    <cellStyle name="Обычный 45 4 3 3" xfId="38530"/>
    <cellStyle name="Обычный 45 4 4" xfId="38531"/>
    <cellStyle name="Обычный 45 4 4 2" xfId="38532"/>
    <cellStyle name="Обычный 45 4 5" xfId="38533"/>
    <cellStyle name="Обычный 45 4 5 2" xfId="38534"/>
    <cellStyle name="Обычный 45 4 6" xfId="38535"/>
    <cellStyle name="Обычный 45 5" xfId="38536"/>
    <cellStyle name="Обычный 45 5 2" xfId="38537"/>
    <cellStyle name="Обычный 45 5 2 2" xfId="38538"/>
    <cellStyle name="Обычный 45 5 3" xfId="38539"/>
    <cellStyle name="Обычный 45 6" xfId="38540"/>
    <cellStyle name="Обычный 45 6 2" xfId="38541"/>
    <cellStyle name="Обычный 45 7" xfId="38542"/>
    <cellStyle name="Обычный 45 7 2" xfId="38543"/>
    <cellStyle name="Обычный 45 7 2 2" xfId="38544"/>
    <cellStyle name="Обычный 45 7 3" xfId="38545"/>
    <cellStyle name="Обычный 45 8" xfId="38546"/>
    <cellStyle name="Обычный 45 8 2" xfId="38547"/>
    <cellStyle name="Обычный 45 8 2 2" xfId="38548"/>
    <cellStyle name="Обычный 45 8 3" xfId="38549"/>
    <cellStyle name="Обычный 45 9" xfId="38550"/>
    <cellStyle name="Обычный 45 9 2" xfId="38551"/>
    <cellStyle name="Обычный 46" xfId="38552"/>
    <cellStyle name="Обычный 46 2" xfId="38553"/>
    <cellStyle name="Обычный 46 2 2" xfId="38554"/>
    <cellStyle name="Обычный 46 2 2 2" xfId="38555"/>
    <cellStyle name="Обычный 46 2 2 2 2" xfId="38556"/>
    <cellStyle name="Обычный 46 2 2 2 2 2" xfId="38557"/>
    <cellStyle name="Обычный 46 2 2 2 3" xfId="38558"/>
    <cellStyle name="Обычный 46 2 2 3" xfId="38559"/>
    <cellStyle name="Обычный 46 2 2 3 2" xfId="38560"/>
    <cellStyle name="Обычный 46 2 2 3 2 2" xfId="38561"/>
    <cellStyle name="Обычный 46 2 2 3 3" xfId="38562"/>
    <cellStyle name="Обычный 46 2 2 4" xfId="38563"/>
    <cellStyle name="Обычный 46 2 2 4 2" xfId="38564"/>
    <cellStyle name="Обычный 46 2 2 5" xfId="38565"/>
    <cellStyle name="Обычный 46 2 2 5 2" xfId="38566"/>
    <cellStyle name="Обычный 46 2 2 6" xfId="38567"/>
    <cellStyle name="Обычный 46 2 3" xfId="38568"/>
    <cellStyle name="Обычный 46 2 3 2" xfId="38569"/>
    <cellStyle name="Обычный 46 2 3 2 2" xfId="38570"/>
    <cellStyle name="Обычный 46 2 3 2 2 2" xfId="38571"/>
    <cellStyle name="Обычный 46 2 3 2 3" xfId="38572"/>
    <cellStyle name="Обычный 46 2 3 3" xfId="38573"/>
    <cellStyle name="Обычный 46 2 3 3 2" xfId="38574"/>
    <cellStyle name="Обычный 46 2 3 3 2 2" xfId="38575"/>
    <cellStyle name="Обычный 46 2 3 3 3" xfId="38576"/>
    <cellStyle name="Обычный 46 2 3 4" xfId="38577"/>
    <cellStyle name="Обычный 46 2 3 4 2" xfId="38578"/>
    <cellStyle name="Обычный 46 2 3 5" xfId="38579"/>
    <cellStyle name="Обычный 46 2 3 5 2" xfId="38580"/>
    <cellStyle name="Обычный 46 2 3 6" xfId="38581"/>
    <cellStyle name="Обычный 46 2 4" xfId="38582"/>
    <cellStyle name="Обычный 46 2 4 2" xfId="38583"/>
    <cellStyle name="Обычный 46 2 5" xfId="38584"/>
    <cellStyle name="Обычный 46 2 6" xfId="38585"/>
    <cellStyle name="Обычный 46 2 6 2" xfId="38586"/>
    <cellStyle name="Обычный 46 2 7" xfId="38587"/>
    <cellStyle name="Обычный 46 3" xfId="38588"/>
    <cellStyle name="Обычный 46 3 2" xfId="38589"/>
    <cellStyle name="Обычный 46 3 2 2" xfId="38590"/>
    <cellStyle name="Обычный 46 3 2 2 2" xfId="38591"/>
    <cellStyle name="Обычный 46 3 2 3" xfId="38592"/>
    <cellStyle name="Обычный 46 3 3" xfId="38593"/>
    <cellStyle name="Обычный 46 3 3 2" xfId="38594"/>
    <cellStyle name="Обычный 46 3 3 2 2" xfId="38595"/>
    <cellStyle name="Обычный 46 3 3 3" xfId="38596"/>
    <cellStyle name="Обычный 46 3 4" xfId="38597"/>
    <cellStyle name="Обычный 46 3 4 2" xfId="38598"/>
    <cellStyle name="Обычный 46 3 5" xfId="38599"/>
    <cellStyle name="Обычный 46 3 5 2" xfId="38600"/>
    <cellStyle name="Обычный 46 3 6" xfId="38601"/>
    <cellStyle name="Обычный 46 4" xfId="38602"/>
    <cellStyle name="Обычный 46 4 2" xfId="38603"/>
    <cellStyle name="Обычный 46 4 2 2" xfId="38604"/>
    <cellStyle name="Обычный 46 4 2 2 2" xfId="38605"/>
    <cellStyle name="Обычный 46 4 2 3" xfId="38606"/>
    <cellStyle name="Обычный 46 4 3" xfId="38607"/>
    <cellStyle name="Обычный 46 4 3 2" xfId="38608"/>
    <cellStyle name="Обычный 46 4 3 2 2" xfId="38609"/>
    <cellStyle name="Обычный 46 4 3 3" xfId="38610"/>
    <cellStyle name="Обычный 46 4 4" xfId="38611"/>
    <cellStyle name="Обычный 46 4 4 2" xfId="38612"/>
    <cellStyle name="Обычный 46 4 5" xfId="38613"/>
    <cellStyle name="Обычный 46 4 5 2" xfId="38614"/>
    <cellStyle name="Обычный 46 4 6" xfId="38615"/>
    <cellStyle name="Обычный 46 5" xfId="38616"/>
    <cellStyle name="Обычный 46 5 2" xfId="38617"/>
    <cellStyle name="Обычный 46 5 2 2" xfId="38618"/>
    <cellStyle name="Обычный 46 5 3" xfId="38619"/>
    <cellStyle name="Обычный 46 6" xfId="38620"/>
    <cellStyle name="Обычный 46 7" xfId="38621"/>
    <cellStyle name="Обычный 46 7 2" xfId="38622"/>
    <cellStyle name="Обычный 46 8" xfId="38623"/>
    <cellStyle name="Обычный 47" xfId="38624"/>
    <cellStyle name="Обычный 47 10" xfId="38625"/>
    <cellStyle name="Обычный 47 10 2" xfId="38626"/>
    <cellStyle name="Обычный 47 2" xfId="38627"/>
    <cellStyle name="Обычный 47 2 2" xfId="38628"/>
    <cellStyle name="Обычный 47 2 2 2" xfId="38629"/>
    <cellStyle name="Обычный 47 2 2 2 2" xfId="38630"/>
    <cellStyle name="Обычный 47 2 2 2 2 2" xfId="38631"/>
    <cellStyle name="Обычный 47 2 2 2 2 2 2" xfId="38632"/>
    <cellStyle name="Обычный 47 2 2 2 2 3" xfId="38633"/>
    <cellStyle name="Обычный 47 2 2 2 3" xfId="38634"/>
    <cellStyle name="Обычный 47 2 2 2 3 2" xfId="38635"/>
    <cellStyle name="Обычный 47 2 2 2 3 2 2" xfId="38636"/>
    <cellStyle name="Обычный 47 2 2 2 3 3" xfId="38637"/>
    <cellStyle name="Обычный 47 2 2 2 4" xfId="38638"/>
    <cellStyle name="Обычный 47 2 2 2 4 2" xfId="38639"/>
    <cellStyle name="Обычный 47 2 2 2 5" xfId="38640"/>
    <cellStyle name="Обычный 47 2 2 3" xfId="38641"/>
    <cellStyle name="Обычный 47 2 2 3 2" xfId="38642"/>
    <cellStyle name="Обычный 47 2 2 3 2 2" xfId="38643"/>
    <cellStyle name="Обычный 47 2 2 3 2 2 2" xfId="38644"/>
    <cellStyle name="Обычный 47 2 2 3 2 3" xfId="38645"/>
    <cellStyle name="Обычный 47 2 2 3 3" xfId="38646"/>
    <cellStyle name="Обычный 47 2 2 3 3 2" xfId="38647"/>
    <cellStyle name="Обычный 47 2 2 3 3 2 2" xfId="38648"/>
    <cellStyle name="Обычный 47 2 2 3 3 3" xfId="38649"/>
    <cellStyle name="Обычный 47 2 2 3 4" xfId="38650"/>
    <cellStyle name="Обычный 47 2 2 3 4 2" xfId="38651"/>
    <cellStyle name="Обычный 47 2 2 3 5" xfId="38652"/>
    <cellStyle name="Обычный 47 2 2 4" xfId="38653"/>
    <cellStyle name="Обычный 47 2 2 4 2" xfId="38654"/>
    <cellStyle name="Обычный 47 2 2 4 2 2" xfId="38655"/>
    <cellStyle name="Обычный 47 2 2 4 3" xfId="38656"/>
    <cellStyle name="Обычный 47 2 2 5" xfId="38657"/>
    <cellStyle name="Обычный 47 2 2 5 2" xfId="38658"/>
    <cellStyle name="Обычный 47 2 2 5 2 2" xfId="38659"/>
    <cellStyle name="Обычный 47 2 2 5 3" xfId="38660"/>
    <cellStyle name="Обычный 47 2 2 6" xfId="38661"/>
    <cellStyle name="Обычный 47 2 2 6 2" xfId="38662"/>
    <cellStyle name="Обычный 47 2 2 7" xfId="38663"/>
    <cellStyle name="Обычный 47 2 2 7 2" xfId="38664"/>
    <cellStyle name="Обычный 47 2 2 8" xfId="38665"/>
    <cellStyle name="Обычный 47 2 3" xfId="38666"/>
    <cellStyle name="Обычный 47 2 3 2" xfId="38667"/>
    <cellStyle name="Обычный 47 2 3 2 2" xfId="38668"/>
    <cellStyle name="Обычный 47 2 3 2 2 2" xfId="38669"/>
    <cellStyle name="Обычный 47 2 3 2 3" xfId="38670"/>
    <cellStyle name="Обычный 47 2 3 3" xfId="38671"/>
    <cellStyle name="Обычный 47 2 3 3 2" xfId="38672"/>
    <cellStyle name="Обычный 47 2 3 3 2 2" xfId="38673"/>
    <cellStyle name="Обычный 47 2 3 3 3" xfId="38674"/>
    <cellStyle name="Обычный 47 2 3 4" xfId="38675"/>
    <cellStyle name="Обычный 47 2 3 4 2" xfId="38676"/>
    <cellStyle name="Обычный 47 2 3 5" xfId="38677"/>
    <cellStyle name="Обычный 47 2 3 5 2" xfId="38678"/>
    <cellStyle name="Обычный 47 2 3 6" xfId="38679"/>
    <cellStyle name="Обычный 47 2 4" xfId="38680"/>
    <cellStyle name="Обычный 47 2 4 2" xfId="38681"/>
    <cellStyle name="Обычный 47 2 4 2 2" xfId="38682"/>
    <cellStyle name="Обычный 47 2 4 2 2 2" xfId="38683"/>
    <cellStyle name="Обычный 47 2 4 2 3" xfId="38684"/>
    <cellStyle name="Обычный 47 2 4 3" xfId="38685"/>
    <cellStyle name="Обычный 47 2 4 3 2" xfId="38686"/>
    <cellStyle name="Обычный 47 2 4 3 2 2" xfId="38687"/>
    <cellStyle name="Обычный 47 2 4 3 3" xfId="38688"/>
    <cellStyle name="Обычный 47 2 4 4" xfId="38689"/>
    <cellStyle name="Обычный 47 2 4 4 2" xfId="38690"/>
    <cellStyle name="Обычный 47 2 4 5" xfId="38691"/>
    <cellStyle name="Обычный 47 2 4 5 2" xfId="38692"/>
    <cellStyle name="Обычный 47 2 4 6" xfId="38693"/>
    <cellStyle name="Обычный 47 2 5" xfId="38694"/>
    <cellStyle name="Обычный 47 2 5 2" xfId="38695"/>
    <cellStyle name="Обычный 47 2 5 2 2" xfId="38696"/>
    <cellStyle name="Обычный 47 2 5 3" xfId="38697"/>
    <cellStyle name="Обычный 47 2 6" xfId="38698"/>
    <cellStyle name="Обычный 47 2 6 2" xfId="38699"/>
    <cellStyle name="Обычный 47 2 6 2 2" xfId="38700"/>
    <cellStyle name="Обычный 47 2 6 3" xfId="38701"/>
    <cellStyle name="Обычный 47 2 7" xfId="38702"/>
    <cellStyle name="Обычный 47 2 7 2" xfId="38703"/>
    <cellStyle name="Обычный 47 2 8" xfId="38704"/>
    <cellStyle name="Обычный 47 2 8 2" xfId="38705"/>
    <cellStyle name="Обычный 47 2 9" xfId="38706"/>
    <cellStyle name="Обычный 47 3" xfId="38707"/>
    <cellStyle name="Обычный 47 3 2" xfId="38708"/>
    <cellStyle name="Обычный 47 3 2 2" xfId="38709"/>
    <cellStyle name="Обычный 47 3 2 2 2" xfId="38710"/>
    <cellStyle name="Обычный 47 3 2 2 2 2" xfId="38711"/>
    <cellStyle name="Обычный 47 3 2 2 3" xfId="38712"/>
    <cellStyle name="Обычный 47 3 2 3" xfId="38713"/>
    <cellStyle name="Обычный 47 3 2 3 2" xfId="38714"/>
    <cellStyle name="Обычный 47 3 2 3 2 2" xfId="38715"/>
    <cellStyle name="Обычный 47 3 2 3 3" xfId="38716"/>
    <cellStyle name="Обычный 47 3 2 4" xfId="38717"/>
    <cellStyle name="Обычный 47 3 2 4 2" xfId="38718"/>
    <cellStyle name="Обычный 47 3 2 5" xfId="38719"/>
    <cellStyle name="Обычный 47 3 3" xfId="38720"/>
    <cellStyle name="Обычный 47 3 3 2" xfId="38721"/>
    <cellStyle name="Обычный 47 3 3 2 2" xfId="38722"/>
    <cellStyle name="Обычный 47 3 3 2 2 2" xfId="38723"/>
    <cellStyle name="Обычный 47 3 3 2 3" xfId="38724"/>
    <cellStyle name="Обычный 47 3 3 3" xfId="38725"/>
    <cellStyle name="Обычный 47 3 3 3 2" xfId="38726"/>
    <cellStyle name="Обычный 47 3 3 3 2 2" xfId="38727"/>
    <cellStyle name="Обычный 47 3 3 3 3" xfId="38728"/>
    <cellStyle name="Обычный 47 3 3 4" xfId="38729"/>
    <cellStyle name="Обычный 47 3 3 4 2" xfId="38730"/>
    <cellStyle name="Обычный 47 3 3 5" xfId="38731"/>
    <cellStyle name="Обычный 47 3 4" xfId="38732"/>
    <cellStyle name="Обычный 47 3 4 2" xfId="38733"/>
    <cellStyle name="Обычный 47 3 4 2 2" xfId="38734"/>
    <cellStyle name="Обычный 47 3 4 3" xfId="38735"/>
    <cellStyle name="Обычный 47 3 5" xfId="38736"/>
    <cellStyle name="Обычный 47 3 5 2" xfId="38737"/>
    <cellStyle name="Обычный 47 3 5 2 2" xfId="38738"/>
    <cellStyle name="Обычный 47 3 5 3" xfId="38739"/>
    <cellStyle name="Обычный 47 3 6" xfId="38740"/>
    <cellStyle name="Обычный 47 3 6 2" xfId="38741"/>
    <cellStyle name="Обычный 47 3 7" xfId="38742"/>
    <cellStyle name="Обычный 47 3 7 2" xfId="38743"/>
    <cellStyle name="Обычный 47 3 8" xfId="38744"/>
    <cellStyle name="Обычный 47 4" xfId="38745"/>
    <cellStyle name="Обычный 47 4 2" xfId="38746"/>
    <cellStyle name="Обычный 47 4 2 2" xfId="38747"/>
    <cellStyle name="Обычный 47 4 2 2 2" xfId="38748"/>
    <cellStyle name="Обычный 47 4 2 3" xfId="38749"/>
    <cellStyle name="Обычный 47 4 3" xfId="38750"/>
    <cellStyle name="Обычный 47 4 3 2" xfId="38751"/>
    <cellStyle name="Обычный 47 4 3 2 2" xfId="38752"/>
    <cellStyle name="Обычный 47 4 3 3" xfId="38753"/>
    <cellStyle name="Обычный 47 4 4" xfId="38754"/>
    <cellStyle name="Обычный 47 4 4 2" xfId="38755"/>
    <cellStyle name="Обычный 47 4 5" xfId="38756"/>
    <cellStyle name="Обычный 47 4 5 2" xfId="38757"/>
    <cellStyle name="Обычный 47 4 6" xfId="38758"/>
    <cellStyle name="Обычный 47 5" xfId="38759"/>
    <cellStyle name="Обычный 47 5 2" xfId="38760"/>
    <cellStyle name="Обычный 47 5 2 2" xfId="38761"/>
    <cellStyle name="Обычный 47 5 3" xfId="38762"/>
    <cellStyle name="Обычный 47 6" xfId="38763"/>
    <cellStyle name="Обычный 47 7" xfId="38764"/>
    <cellStyle name="Обычный 47 7 2" xfId="38765"/>
    <cellStyle name="Обычный 47 7 2 2" xfId="38766"/>
    <cellStyle name="Обычный 47 7 3" xfId="38767"/>
    <cellStyle name="Обычный 47 8" xfId="38768"/>
    <cellStyle name="Обычный 47 8 2" xfId="38769"/>
    <cellStyle name="Обычный 47 8 2 2" xfId="38770"/>
    <cellStyle name="Обычный 47 8 3" xfId="38771"/>
    <cellStyle name="Обычный 47 9" xfId="38772"/>
    <cellStyle name="Обычный 47 9 2" xfId="38773"/>
    <cellStyle name="Обычный 48" xfId="38774"/>
    <cellStyle name="Обычный 48 2" xfId="38775"/>
    <cellStyle name="Обычный 48 2 2" xfId="38776"/>
    <cellStyle name="Обычный 48 2 2 2" xfId="38777"/>
    <cellStyle name="Обычный 48 2 2 2 2" xfId="38778"/>
    <cellStyle name="Обычный 48 2 2 2 2 2" xfId="38779"/>
    <cellStyle name="Обычный 48 2 2 2 2 2 2" xfId="38780"/>
    <cellStyle name="Обычный 48 2 2 2 2 3" xfId="38781"/>
    <cellStyle name="Обычный 48 2 2 2 3" xfId="38782"/>
    <cellStyle name="Обычный 48 2 2 2 3 2" xfId="38783"/>
    <cellStyle name="Обычный 48 2 2 2 3 2 2" xfId="38784"/>
    <cellStyle name="Обычный 48 2 2 2 3 3" xfId="38785"/>
    <cellStyle name="Обычный 48 2 2 2 4" xfId="38786"/>
    <cellStyle name="Обычный 48 2 2 2 4 2" xfId="38787"/>
    <cellStyle name="Обычный 48 2 2 2 5" xfId="38788"/>
    <cellStyle name="Обычный 48 2 2 3" xfId="38789"/>
    <cellStyle name="Обычный 48 2 2 3 2" xfId="38790"/>
    <cellStyle name="Обычный 48 2 2 3 2 2" xfId="38791"/>
    <cellStyle name="Обычный 48 2 2 3 2 2 2" xfId="38792"/>
    <cellStyle name="Обычный 48 2 2 3 2 3" xfId="38793"/>
    <cellStyle name="Обычный 48 2 2 3 3" xfId="38794"/>
    <cellStyle name="Обычный 48 2 2 3 3 2" xfId="38795"/>
    <cellStyle name="Обычный 48 2 2 3 3 2 2" xfId="38796"/>
    <cellStyle name="Обычный 48 2 2 3 3 3" xfId="38797"/>
    <cellStyle name="Обычный 48 2 2 3 4" xfId="38798"/>
    <cellStyle name="Обычный 48 2 2 3 4 2" xfId="38799"/>
    <cellStyle name="Обычный 48 2 2 3 5" xfId="38800"/>
    <cellStyle name="Обычный 48 2 2 4" xfId="38801"/>
    <cellStyle name="Обычный 48 2 2 4 2" xfId="38802"/>
    <cellStyle name="Обычный 48 2 2 4 2 2" xfId="38803"/>
    <cellStyle name="Обычный 48 2 2 4 3" xfId="38804"/>
    <cellStyle name="Обычный 48 2 2 5" xfId="38805"/>
    <cellStyle name="Обычный 48 2 2 5 2" xfId="38806"/>
    <cellStyle name="Обычный 48 2 2 5 2 2" xfId="38807"/>
    <cellStyle name="Обычный 48 2 2 5 3" xfId="38808"/>
    <cellStyle name="Обычный 48 2 2 6" xfId="38809"/>
    <cellStyle name="Обычный 48 2 2 6 2" xfId="38810"/>
    <cellStyle name="Обычный 48 2 2 7" xfId="38811"/>
    <cellStyle name="Обычный 48 2 2 7 2" xfId="38812"/>
    <cellStyle name="Обычный 48 2 2 8" xfId="38813"/>
    <cellStyle name="Обычный 48 2 3" xfId="38814"/>
    <cellStyle name="Обычный 48 2 3 2" xfId="38815"/>
    <cellStyle name="Обычный 48 2 3 2 2" xfId="38816"/>
    <cellStyle name="Обычный 48 2 3 2 2 2" xfId="38817"/>
    <cellStyle name="Обычный 48 2 3 2 3" xfId="38818"/>
    <cellStyle name="Обычный 48 2 3 3" xfId="38819"/>
    <cellStyle name="Обычный 48 2 3 3 2" xfId="38820"/>
    <cellStyle name="Обычный 48 2 3 3 2 2" xfId="38821"/>
    <cellStyle name="Обычный 48 2 3 3 3" xfId="38822"/>
    <cellStyle name="Обычный 48 2 3 4" xfId="38823"/>
    <cellStyle name="Обычный 48 2 3 4 2" xfId="38824"/>
    <cellStyle name="Обычный 48 2 3 5" xfId="38825"/>
    <cellStyle name="Обычный 48 2 3 5 2" xfId="38826"/>
    <cellStyle name="Обычный 48 2 3 6" xfId="38827"/>
    <cellStyle name="Обычный 48 2 4" xfId="38828"/>
    <cellStyle name="Обычный 48 2 4 2" xfId="38829"/>
    <cellStyle name="Обычный 48 2 4 2 2" xfId="38830"/>
    <cellStyle name="Обычный 48 2 4 2 2 2" xfId="38831"/>
    <cellStyle name="Обычный 48 2 4 2 3" xfId="38832"/>
    <cellStyle name="Обычный 48 2 4 3" xfId="38833"/>
    <cellStyle name="Обычный 48 2 4 3 2" xfId="38834"/>
    <cellStyle name="Обычный 48 2 4 3 2 2" xfId="38835"/>
    <cellStyle name="Обычный 48 2 4 3 3" xfId="38836"/>
    <cellStyle name="Обычный 48 2 4 4" xfId="38837"/>
    <cellStyle name="Обычный 48 2 4 4 2" xfId="38838"/>
    <cellStyle name="Обычный 48 2 4 5" xfId="38839"/>
    <cellStyle name="Обычный 48 2 4 5 2" xfId="38840"/>
    <cellStyle name="Обычный 48 2 4 6" xfId="38841"/>
    <cellStyle name="Обычный 48 2 5" xfId="38842"/>
    <cellStyle name="Обычный 48 2 5 2" xfId="38843"/>
    <cellStyle name="Обычный 48 2 5 2 2" xfId="38844"/>
    <cellStyle name="Обычный 48 2 5 3" xfId="38845"/>
    <cellStyle name="Обычный 48 2 6" xfId="38846"/>
    <cellStyle name="Обычный 48 2 6 2" xfId="38847"/>
    <cellStyle name="Обычный 48 2 6 2 2" xfId="38848"/>
    <cellStyle name="Обычный 48 2 6 3" xfId="38849"/>
    <cellStyle name="Обычный 48 2 7" xfId="38850"/>
    <cellStyle name="Обычный 48 2 7 2" xfId="38851"/>
    <cellStyle name="Обычный 48 2 8" xfId="38852"/>
    <cellStyle name="Обычный 48 2 8 2" xfId="38853"/>
    <cellStyle name="Обычный 48 2 9" xfId="38854"/>
    <cellStyle name="Обычный 48 3" xfId="38855"/>
    <cellStyle name="Обычный 48 3 2" xfId="38856"/>
    <cellStyle name="Обычный 48 3 2 2" xfId="38857"/>
    <cellStyle name="Обычный 48 3 2 2 2" xfId="38858"/>
    <cellStyle name="Обычный 48 3 2 2 2 2" xfId="38859"/>
    <cellStyle name="Обычный 48 3 2 2 3" xfId="38860"/>
    <cellStyle name="Обычный 48 3 2 3" xfId="38861"/>
    <cellStyle name="Обычный 48 3 2 3 2" xfId="38862"/>
    <cellStyle name="Обычный 48 3 2 3 2 2" xfId="38863"/>
    <cellStyle name="Обычный 48 3 2 3 3" xfId="38864"/>
    <cellStyle name="Обычный 48 3 2 4" xfId="38865"/>
    <cellStyle name="Обычный 48 3 2 4 2" xfId="38866"/>
    <cellStyle name="Обычный 48 3 2 5" xfId="38867"/>
    <cellStyle name="Обычный 48 3 3" xfId="38868"/>
    <cellStyle name="Обычный 48 3 3 2" xfId="38869"/>
    <cellStyle name="Обычный 48 3 3 2 2" xfId="38870"/>
    <cellStyle name="Обычный 48 3 3 2 2 2" xfId="38871"/>
    <cellStyle name="Обычный 48 3 3 2 3" xfId="38872"/>
    <cellStyle name="Обычный 48 3 3 3" xfId="38873"/>
    <cellStyle name="Обычный 48 3 3 3 2" xfId="38874"/>
    <cellStyle name="Обычный 48 3 3 3 2 2" xfId="38875"/>
    <cellStyle name="Обычный 48 3 3 3 3" xfId="38876"/>
    <cellStyle name="Обычный 48 3 3 4" xfId="38877"/>
    <cellStyle name="Обычный 48 3 3 4 2" xfId="38878"/>
    <cellStyle name="Обычный 48 3 3 5" xfId="38879"/>
    <cellStyle name="Обычный 48 3 4" xfId="38880"/>
    <cellStyle name="Обычный 48 3 4 2" xfId="38881"/>
    <cellStyle name="Обычный 48 3 4 2 2" xfId="38882"/>
    <cellStyle name="Обычный 48 3 4 3" xfId="38883"/>
    <cellStyle name="Обычный 48 3 5" xfId="38884"/>
    <cellStyle name="Обычный 48 3 5 2" xfId="38885"/>
    <cellStyle name="Обычный 48 3 5 2 2" xfId="38886"/>
    <cellStyle name="Обычный 48 3 5 3" xfId="38887"/>
    <cellStyle name="Обычный 48 3 6" xfId="38888"/>
    <cellStyle name="Обычный 48 3 6 2" xfId="38889"/>
    <cellStyle name="Обычный 48 3 7" xfId="38890"/>
    <cellStyle name="Обычный 48 3 8" xfId="38891"/>
    <cellStyle name="Обычный 48 4" xfId="38892"/>
    <cellStyle name="Обычный 48 4 2" xfId="38893"/>
    <cellStyle name="Обычный 48 4 3" xfId="38894"/>
    <cellStyle name="Обычный 48 5" xfId="38895"/>
    <cellStyle name="Обычный 48 6" xfId="38896"/>
    <cellStyle name="Обычный 48 7" xfId="38897"/>
    <cellStyle name="Обычный 48 7 2" xfId="38898"/>
    <cellStyle name="Обычный 49" xfId="38899"/>
    <cellStyle name="Обычный 49 10" xfId="38900"/>
    <cellStyle name="Обычный 49 2" xfId="38901"/>
    <cellStyle name="Обычный 49 2 2" xfId="38902"/>
    <cellStyle name="Обычный 49 2 2 2" xfId="38903"/>
    <cellStyle name="Обычный 49 2 2 2 2" xfId="38904"/>
    <cellStyle name="Обычный 49 2 2 2 2 2" xfId="38905"/>
    <cellStyle name="Обычный 49 2 2 2 3" xfId="38906"/>
    <cellStyle name="Обычный 49 2 2 3" xfId="38907"/>
    <cellStyle name="Обычный 49 2 2 3 2" xfId="38908"/>
    <cellStyle name="Обычный 49 2 2 3 2 2" xfId="38909"/>
    <cellStyle name="Обычный 49 2 2 3 3" xfId="38910"/>
    <cellStyle name="Обычный 49 2 2 4" xfId="38911"/>
    <cellStyle name="Обычный 49 2 2 4 2" xfId="38912"/>
    <cellStyle name="Обычный 49 2 2 5" xfId="38913"/>
    <cellStyle name="Обычный 49 2 3" xfId="38914"/>
    <cellStyle name="Обычный 49 2 3 2" xfId="38915"/>
    <cellStyle name="Обычный 49 2 3 2 2" xfId="38916"/>
    <cellStyle name="Обычный 49 2 3 2 2 2" xfId="38917"/>
    <cellStyle name="Обычный 49 2 3 2 3" xfId="38918"/>
    <cellStyle name="Обычный 49 2 3 3" xfId="38919"/>
    <cellStyle name="Обычный 49 2 3 3 2" xfId="38920"/>
    <cellStyle name="Обычный 49 2 3 3 2 2" xfId="38921"/>
    <cellStyle name="Обычный 49 2 3 3 3" xfId="38922"/>
    <cellStyle name="Обычный 49 2 3 4" xfId="38923"/>
    <cellStyle name="Обычный 49 2 3 4 2" xfId="38924"/>
    <cellStyle name="Обычный 49 2 3 5" xfId="38925"/>
    <cellStyle name="Обычный 49 2 4" xfId="38926"/>
    <cellStyle name="Обычный 49 2 4 2" xfId="38927"/>
    <cellStyle name="Обычный 49 2 4 2 2" xfId="38928"/>
    <cellStyle name="Обычный 49 2 4 3" xfId="38929"/>
    <cellStyle name="Обычный 49 2 5" xfId="38930"/>
    <cellStyle name="Обычный 49 2 5 2" xfId="38931"/>
    <cellStyle name="Обычный 49 2 5 2 2" xfId="38932"/>
    <cellStyle name="Обычный 49 2 5 3" xfId="38933"/>
    <cellStyle name="Обычный 49 2 6" xfId="38934"/>
    <cellStyle name="Обычный 49 2 6 2" xfId="38935"/>
    <cellStyle name="Обычный 49 2 7" xfId="38936"/>
    <cellStyle name="Обычный 49 2 7 2" xfId="38937"/>
    <cellStyle name="Обычный 49 2 8" xfId="38938"/>
    <cellStyle name="Обычный 49 3" xfId="38939"/>
    <cellStyle name="Обычный 49 3 2" xfId="38940"/>
    <cellStyle name="Обычный 49 3 2 2" xfId="38941"/>
    <cellStyle name="Обычный 49 3 2 2 2" xfId="38942"/>
    <cellStyle name="Обычный 49 3 2 3" xfId="38943"/>
    <cellStyle name="Обычный 49 3 3" xfId="38944"/>
    <cellStyle name="Обычный 49 3 3 2" xfId="38945"/>
    <cellStyle name="Обычный 49 3 3 2 2" xfId="38946"/>
    <cellStyle name="Обычный 49 3 3 3" xfId="38947"/>
    <cellStyle name="Обычный 49 3 4" xfId="38948"/>
    <cellStyle name="Обычный 49 3 4 2" xfId="38949"/>
    <cellStyle name="Обычный 49 3 5" xfId="38950"/>
    <cellStyle name="Обычный 49 3 6" xfId="38951"/>
    <cellStyle name="Обычный 49 4" xfId="38952"/>
    <cellStyle name="Обычный 49 4 2" xfId="38953"/>
    <cellStyle name="Обычный 49 4 2 2" xfId="38954"/>
    <cellStyle name="Обычный 49 4 2 2 2" xfId="38955"/>
    <cellStyle name="Обычный 49 4 2 3" xfId="38956"/>
    <cellStyle name="Обычный 49 4 3" xfId="38957"/>
    <cellStyle name="Обычный 49 4 3 2" xfId="38958"/>
    <cellStyle name="Обычный 49 4 3 2 2" xfId="38959"/>
    <cellStyle name="Обычный 49 4 3 3" xfId="38960"/>
    <cellStyle name="Обычный 49 4 4" xfId="38961"/>
    <cellStyle name="Обычный 49 4 4 2" xfId="38962"/>
    <cellStyle name="Обычный 49 4 5" xfId="38963"/>
    <cellStyle name="Обычный 49 4 5 2" xfId="38964"/>
    <cellStyle name="Обычный 49 4 6" xfId="38965"/>
    <cellStyle name="Обычный 49 5" xfId="38966"/>
    <cellStyle name="Обычный 49 5 2" xfId="38967"/>
    <cellStyle name="Обычный 49 6" xfId="38968"/>
    <cellStyle name="Обычный 49 6 2" xfId="38969"/>
    <cellStyle name="Обычный 49 6 2 2" xfId="38970"/>
    <cellStyle name="Обычный 49 6 3" xfId="38971"/>
    <cellStyle name="Обычный 49 7" xfId="38972"/>
    <cellStyle name="Обычный 49 7 2" xfId="38973"/>
    <cellStyle name="Обычный 49 7 2 2" xfId="38974"/>
    <cellStyle name="Обычный 49 7 3" xfId="38975"/>
    <cellStyle name="Обычный 49 8" xfId="38976"/>
    <cellStyle name="Обычный 49 8 2" xfId="38977"/>
    <cellStyle name="Обычный 49 9" xfId="38978"/>
    <cellStyle name="Обычный 49 9 2" xfId="38979"/>
    <cellStyle name="Обычный 5" xfId="38980"/>
    <cellStyle name="Обычный 5 10" xfId="38981"/>
    <cellStyle name="Обычный 5 11" xfId="38982"/>
    <cellStyle name="Обычный 5 2" xfId="38983"/>
    <cellStyle name="Обычный 5 2 2" xfId="38984"/>
    <cellStyle name="Обычный 5 2 2 2" xfId="38985"/>
    <cellStyle name="Обычный 5 2 2 2 2" xfId="38986"/>
    <cellStyle name="Обычный 5 2 2 2 2 2" xfId="38987"/>
    <cellStyle name="Обычный 5 2 2 2 2 2 2" xfId="38988"/>
    <cellStyle name="Обычный 5 2 2 2 2 3" xfId="38989"/>
    <cellStyle name="Обычный 5 2 2 2 3" xfId="38990"/>
    <cellStyle name="Обычный 5 2 2 2 3 2" xfId="38991"/>
    <cellStyle name="Обычный 5 2 2 2 3 2 2" xfId="38992"/>
    <cellStyle name="Обычный 5 2 2 2 3 3" xfId="38993"/>
    <cellStyle name="Обычный 5 2 2 2 4" xfId="38994"/>
    <cellStyle name="Обычный 5 2 2 2 4 2" xfId="38995"/>
    <cellStyle name="Обычный 5 2 2 2 5" xfId="38996"/>
    <cellStyle name="Обычный 5 2 2 2 5 2" xfId="38997"/>
    <cellStyle name="Обычный 5 2 2 2 6" xfId="38998"/>
    <cellStyle name="Обычный 5 2 2 3" xfId="38999"/>
    <cellStyle name="Обычный 5 2 2 3 2" xfId="39000"/>
    <cellStyle name="Обычный 5 2 2 3 2 2" xfId="39001"/>
    <cellStyle name="Обычный 5 2 2 3 2 2 2" xfId="39002"/>
    <cellStyle name="Обычный 5 2 2 3 2 3" xfId="39003"/>
    <cellStyle name="Обычный 5 2 2 3 3" xfId="39004"/>
    <cellStyle name="Обычный 5 2 2 3 3 2" xfId="39005"/>
    <cellStyle name="Обычный 5 2 2 3 3 2 2" xfId="39006"/>
    <cellStyle name="Обычный 5 2 2 3 3 3" xfId="39007"/>
    <cellStyle name="Обычный 5 2 2 3 4" xfId="39008"/>
    <cellStyle name="Обычный 5 2 2 3 4 2" xfId="39009"/>
    <cellStyle name="Обычный 5 2 2 3 5" xfId="39010"/>
    <cellStyle name="Обычный 5 2 2 3 5 2" xfId="39011"/>
    <cellStyle name="Обычный 5 2 2 3 6" xfId="39012"/>
    <cellStyle name="Обычный 5 2 2 4" xfId="39013"/>
    <cellStyle name="Обычный 5 2 2 4 2" xfId="39014"/>
    <cellStyle name="Обычный 5 2 2 4 2 2" xfId="39015"/>
    <cellStyle name="Обычный 5 2 2 4 3" xfId="39016"/>
    <cellStyle name="Обычный 5 2 2 5" xfId="39017"/>
    <cellStyle name="Обычный 5 2 2 5 2" xfId="39018"/>
    <cellStyle name="Обычный 5 2 2 5 2 2" xfId="39019"/>
    <cellStyle name="Обычный 5 2 2 5 3" xfId="39020"/>
    <cellStyle name="Обычный 5 2 2 6" xfId="39021"/>
    <cellStyle name="Обычный 5 2 2 6 2" xfId="39022"/>
    <cellStyle name="Обычный 5 2 2 7" xfId="39023"/>
    <cellStyle name="Обычный 5 2 2 7 2" xfId="39024"/>
    <cellStyle name="Обычный 5 2 2 8" xfId="39025"/>
    <cellStyle name="Обычный 5 2 3" xfId="39026"/>
    <cellStyle name="Обычный 5 2 3 2" xfId="39027"/>
    <cellStyle name="Обычный 5 2 3 2 2" xfId="39028"/>
    <cellStyle name="Обычный 5 2 3 2 2 2" xfId="39029"/>
    <cellStyle name="Обычный 5 2 3 2 3" xfId="39030"/>
    <cellStyle name="Обычный 5 2 3 2 3 2" xfId="39031"/>
    <cellStyle name="Обычный 5 2 3 2 4" xfId="39032"/>
    <cellStyle name="Обычный 5 2 3 3" xfId="39033"/>
    <cellStyle name="Обычный 5 2 3 3 2" xfId="39034"/>
    <cellStyle name="Обычный 5 2 3 3 2 2" xfId="39035"/>
    <cellStyle name="Обычный 5 2 3 3 3" xfId="39036"/>
    <cellStyle name="Обычный 5 2 3 4" xfId="39037"/>
    <cellStyle name="Обычный 5 2 3 4 2" xfId="39038"/>
    <cellStyle name="Обычный 5 2 3 5" xfId="39039"/>
    <cellStyle name="Обычный 5 2 3 5 2" xfId="39040"/>
    <cellStyle name="Обычный 5 2 3 6" xfId="39041"/>
    <cellStyle name="Обычный 5 2 4" xfId="39042"/>
    <cellStyle name="Обычный 5 2 4 2" xfId="39043"/>
    <cellStyle name="Обычный 5 2 4 2 2" xfId="39044"/>
    <cellStyle name="Обычный 5 2 4 2 2 2" xfId="39045"/>
    <cellStyle name="Обычный 5 2 4 2 3" xfId="39046"/>
    <cellStyle name="Обычный 5 2 4 3" xfId="39047"/>
    <cellStyle name="Обычный 5 2 4 3 2" xfId="39048"/>
    <cellStyle name="Обычный 5 2 4 3 2 2" xfId="39049"/>
    <cellStyle name="Обычный 5 2 4 3 3" xfId="39050"/>
    <cellStyle name="Обычный 5 2 4 4" xfId="39051"/>
    <cellStyle name="Обычный 5 2 4 4 2" xfId="39052"/>
    <cellStyle name="Обычный 5 2 4 5" xfId="39053"/>
    <cellStyle name="Обычный 5 2 4 5 2" xfId="39054"/>
    <cellStyle name="Обычный 5 2 4 6" xfId="39055"/>
    <cellStyle name="Обычный 5 2 5" xfId="39056"/>
    <cellStyle name="Обычный 5 2 5 2" xfId="39057"/>
    <cellStyle name="Обычный 5 2 5 2 2" xfId="39058"/>
    <cellStyle name="Обычный 5 2 5 3" xfId="39059"/>
    <cellStyle name="Обычный 5 2 6" xfId="39060"/>
    <cellStyle name="Обычный 5 2 6 2" xfId="39061"/>
    <cellStyle name="Обычный 5 2 6 2 2" xfId="39062"/>
    <cellStyle name="Обычный 5 2 6 3" xfId="39063"/>
    <cellStyle name="Обычный 5 2 7" xfId="39064"/>
    <cellStyle name="Обычный 5 2 7 2" xfId="39065"/>
    <cellStyle name="Обычный 5 2 8" xfId="39066"/>
    <cellStyle name="Обычный 5 2 8 2" xfId="39067"/>
    <cellStyle name="Обычный 5 2 9" xfId="39068"/>
    <cellStyle name="Обычный 5 3" xfId="39069"/>
    <cellStyle name="Обычный 5 3 2" xfId="39070"/>
    <cellStyle name="Обычный 5 3 2 2" xfId="39071"/>
    <cellStyle name="Обычный 5 3 2 2 2" xfId="39072"/>
    <cellStyle name="Обычный 5 3 2 2 2 2" xfId="39073"/>
    <cellStyle name="Обычный 5 3 2 2 2 2 2" xfId="39074"/>
    <cellStyle name="Обычный 5 3 2 2 2 2 3" xfId="39075"/>
    <cellStyle name="Обычный 5 3 2 2 2 2 4" xfId="39076"/>
    <cellStyle name="Обычный 5 3 2 2 2 3" xfId="39077"/>
    <cellStyle name="Обычный 5 3 2 2 2 4" xfId="39078"/>
    <cellStyle name="Обычный 5 3 2 2 2 5" xfId="39079"/>
    <cellStyle name="Обычный 5 3 2 2 3" xfId="39080"/>
    <cellStyle name="Обычный 5 3 2 2 3 2" xfId="39081"/>
    <cellStyle name="Обычный 5 3 2 2 3 3" xfId="39082"/>
    <cellStyle name="Обычный 5 3 2 2 3 4" xfId="39083"/>
    <cellStyle name="Обычный 5 3 2 2 4" xfId="39084"/>
    <cellStyle name="Обычный 5 3 2 2 5" xfId="39085"/>
    <cellStyle name="Обычный 5 3 2 2 6" xfId="39086"/>
    <cellStyle name="Обычный 5 3 2 3" xfId="39087"/>
    <cellStyle name="Обычный 5 3 2 3 2" xfId="39088"/>
    <cellStyle name="Обычный 5 3 2 3 2 2" xfId="39089"/>
    <cellStyle name="Обычный 5 3 2 3 2 2 2" xfId="39090"/>
    <cellStyle name="Обычный 5 3 2 3 2 2 3" xfId="39091"/>
    <cellStyle name="Обычный 5 3 2 3 2 2 4" xfId="39092"/>
    <cellStyle name="Обычный 5 3 2 3 2 3" xfId="39093"/>
    <cellStyle name="Обычный 5 3 2 3 2 4" xfId="39094"/>
    <cellStyle name="Обычный 5 3 2 3 2 5" xfId="39095"/>
    <cellStyle name="Обычный 5 3 2 3 3" xfId="39096"/>
    <cellStyle name="Обычный 5 3 2 3 3 2" xfId="39097"/>
    <cellStyle name="Обычный 5 3 2 3 3 3" xfId="39098"/>
    <cellStyle name="Обычный 5 3 2 3 3 4" xfId="39099"/>
    <cellStyle name="Обычный 5 3 2 3 4" xfId="39100"/>
    <cellStyle name="Обычный 5 3 2 3 5" xfId="39101"/>
    <cellStyle name="Обычный 5 3 2 3 6" xfId="39102"/>
    <cellStyle name="Обычный 5 3 2 4" xfId="39103"/>
    <cellStyle name="Обычный 5 3 2 4 2" xfId="39104"/>
    <cellStyle name="Обычный 5 3 2 4 2 2" xfId="39105"/>
    <cellStyle name="Обычный 5 3 2 4 2 3" xfId="39106"/>
    <cellStyle name="Обычный 5 3 2 4 2 4" xfId="39107"/>
    <cellStyle name="Обычный 5 3 2 4 3" xfId="39108"/>
    <cellStyle name="Обычный 5 3 2 4 4" xfId="39109"/>
    <cellStyle name="Обычный 5 3 2 4 5" xfId="39110"/>
    <cellStyle name="Обычный 5 3 2 5" xfId="39111"/>
    <cellStyle name="Обычный 5 3 2 5 2" xfId="39112"/>
    <cellStyle name="Обычный 5 3 2 5 3" xfId="39113"/>
    <cellStyle name="Обычный 5 3 2 5 4" xfId="39114"/>
    <cellStyle name="Обычный 5 3 2 6" xfId="39115"/>
    <cellStyle name="Обычный 5 3 2 7" xfId="39116"/>
    <cellStyle name="Обычный 5 3 2 8" xfId="39117"/>
    <cellStyle name="Обычный 5 3 3" xfId="39118"/>
    <cellStyle name="Обычный 5 3 3 2" xfId="39119"/>
    <cellStyle name="Обычный 5 3 3 2 2" xfId="39120"/>
    <cellStyle name="Обычный 5 3 3 2 2 2" xfId="39121"/>
    <cellStyle name="Обычный 5 3 3 2 3" xfId="39122"/>
    <cellStyle name="Обычный 5 3 3 2 4" xfId="39123"/>
    <cellStyle name="Обычный 5 3 3 3" xfId="39124"/>
    <cellStyle name="Обычный 5 3 3 3 2" xfId="39125"/>
    <cellStyle name="Обычный 5 3 3 3 2 2" xfId="39126"/>
    <cellStyle name="Обычный 5 3 3 3 3" xfId="39127"/>
    <cellStyle name="Обычный 5 3 3 4" xfId="39128"/>
    <cellStyle name="Обычный 5 3 3 4 2" xfId="39129"/>
    <cellStyle name="Обычный 5 3 3 5" xfId="39130"/>
    <cellStyle name="Обычный 5 3 3 6" xfId="39131"/>
    <cellStyle name="Обычный 5 3 4" xfId="39132"/>
    <cellStyle name="Обычный 5 3 4 2" xfId="39133"/>
    <cellStyle name="Обычный 5 3 4 2 2" xfId="39134"/>
    <cellStyle name="Обычный 5 3 4 3" xfId="39135"/>
    <cellStyle name="Обычный 5 3 4 4" xfId="39136"/>
    <cellStyle name="Обычный 5 3 5" xfId="39137"/>
    <cellStyle name="Обычный 5 3 5 2" xfId="39138"/>
    <cellStyle name="Обычный 5 3 5 2 2" xfId="39139"/>
    <cellStyle name="Обычный 5 3 5 3" xfId="39140"/>
    <cellStyle name="Обычный 5 3 6" xfId="39141"/>
    <cellStyle name="Обычный 5 3 6 2" xfId="39142"/>
    <cellStyle name="Обычный 5 3 7" xfId="39143"/>
    <cellStyle name="Обычный 5 3 7 2" xfId="39144"/>
    <cellStyle name="Обычный 5 3____________ KPI 2012-2 ________" xfId="39145"/>
    <cellStyle name="Обычный 5 4" xfId="39146"/>
    <cellStyle name="Обычный 5 4 2" xfId="39147"/>
    <cellStyle name="Обычный 5 4 2 2" xfId="39148"/>
    <cellStyle name="Обычный 5 4 2 2 2" xfId="39149"/>
    <cellStyle name="Обычный 5 4 2 2 2 2" xfId="39150"/>
    <cellStyle name="Обычный 5 4 2 2 3" xfId="39151"/>
    <cellStyle name="Обычный 5 4 2 2 3 2" xfId="39152"/>
    <cellStyle name="Обычный 5 4 2 2 4" xfId="39153"/>
    <cellStyle name="Обычный 5 4 2 3" xfId="39154"/>
    <cellStyle name="Обычный 5 4 2 3 2" xfId="39155"/>
    <cellStyle name="Обычный 5 4 2 3 2 2" xfId="39156"/>
    <cellStyle name="Обычный 5 4 2 3 3" xfId="39157"/>
    <cellStyle name="Обычный 5 4 2 4" xfId="39158"/>
    <cellStyle name="Обычный 5 4 2 4 2" xfId="39159"/>
    <cellStyle name="Обычный 5 4 2 5" xfId="39160"/>
    <cellStyle name="Обычный 5 4 2 5 2" xfId="39161"/>
    <cellStyle name="Обычный 5 4 2 6" xfId="39162"/>
    <cellStyle name="Обычный 5 4 3" xfId="39163"/>
    <cellStyle name="Обычный 5 4 3 2" xfId="39164"/>
    <cellStyle name="Обычный 5 4 3 2 2" xfId="39165"/>
    <cellStyle name="Обычный 5 4 3 2 2 2" xfId="39166"/>
    <cellStyle name="Обычный 5 4 3 2 3" xfId="39167"/>
    <cellStyle name="Обычный 5 4 3 3" xfId="39168"/>
    <cellStyle name="Обычный 5 4 3 3 2" xfId="39169"/>
    <cellStyle name="Обычный 5 4 3 3 2 2" xfId="39170"/>
    <cellStyle name="Обычный 5 4 3 3 3" xfId="39171"/>
    <cellStyle name="Обычный 5 4 3 4" xfId="39172"/>
    <cellStyle name="Обычный 5 4 3 4 2" xfId="39173"/>
    <cellStyle name="Обычный 5 4 3 5" xfId="39174"/>
    <cellStyle name="Обычный 5 4 3 5 2" xfId="39175"/>
    <cellStyle name="Обычный 5 4 3 6" xfId="39176"/>
    <cellStyle name="Обычный 5 4 4" xfId="39177"/>
    <cellStyle name="Обычный 5 4 4 2" xfId="39178"/>
    <cellStyle name="Обычный 5 4 4 2 2" xfId="39179"/>
    <cellStyle name="Обычный 5 4 4 3" xfId="39180"/>
    <cellStyle name="Обычный 5 4 5" xfId="39181"/>
    <cellStyle name="Обычный 5 4 5 2" xfId="39182"/>
    <cellStyle name="Обычный 5 4 5 2 2" xfId="39183"/>
    <cellStyle name="Обычный 5 4 5 3" xfId="39184"/>
    <cellStyle name="Обычный 5 4 6" xfId="39185"/>
    <cellStyle name="Обычный 5 4 6 2" xfId="39186"/>
    <cellStyle name="Обычный 5 4 7" xfId="39187"/>
    <cellStyle name="Обычный 5 4 7 2" xfId="39188"/>
    <cellStyle name="Обычный 5 4 8" xfId="39189"/>
    <cellStyle name="Обычный 5 5" xfId="39190"/>
    <cellStyle name="Обычный 5 5 2" xfId="39191"/>
    <cellStyle name="Обычный 5 5 2 2" xfId="39192"/>
    <cellStyle name="Обычный 5 5 2 2 2" xfId="39193"/>
    <cellStyle name="Обычный 5 5 2 2 2 2" xfId="39194"/>
    <cellStyle name="Обычный 5 5 2 2 3" xfId="39195"/>
    <cellStyle name="Обычный 5 5 2 3" xfId="39196"/>
    <cellStyle name="Обычный 5 5 2 3 2" xfId="39197"/>
    <cellStyle name="Обычный 5 5 2 4" xfId="39198"/>
    <cellStyle name="Обычный 5 5 2 4 2" xfId="39199"/>
    <cellStyle name="Обычный 5 5 2 5" xfId="39200"/>
    <cellStyle name="Обычный 5 5 3" xfId="39201"/>
    <cellStyle name="Обычный 5 5 3 2" xfId="39202"/>
    <cellStyle name="Обычный 5 5 3 2 2" xfId="39203"/>
    <cellStyle name="Обычный 5 5 3 3" xfId="39204"/>
    <cellStyle name="Обычный 5 5 4" xfId="39205"/>
    <cellStyle name="Обычный 5 5 4 2" xfId="39206"/>
    <cellStyle name="Обычный 5 5 5" xfId="39207"/>
    <cellStyle name="Обычный 5 6" xfId="39208"/>
    <cellStyle name="Обычный 5 6 2" xfId="39209"/>
    <cellStyle name="Обычный 5 6 2 2" xfId="39210"/>
    <cellStyle name="Обычный 5 6 2 2 2" xfId="39211"/>
    <cellStyle name="Обычный 5 6 2 3" xfId="39212"/>
    <cellStyle name="Обычный 5 6 2 3 2" xfId="39213"/>
    <cellStyle name="Обычный 5 6 2 4" xfId="39214"/>
    <cellStyle name="Обычный 5 6 3" xfId="39215"/>
    <cellStyle name="Обычный 5 6 3 2" xfId="39216"/>
    <cellStyle name="Обычный 5 6 3 2 2" xfId="39217"/>
    <cellStyle name="Обычный 5 6 3 3" xfId="39218"/>
    <cellStyle name="Обычный 5 6 4" xfId="39219"/>
    <cellStyle name="Обычный 5 6 4 2" xfId="39220"/>
    <cellStyle name="Обычный 5 6 5" xfId="39221"/>
    <cellStyle name="Обычный 5 6 5 2" xfId="39222"/>
    <cellStyle name="Обычный 5 6 6" xfId="39223"/>
    <cellStyle name="Обычный 5 7" xfId="39224"/>
    <cellStyle name="Обычный 5 7 2" xfId="39225"/>
    <cellStyle name="Обычный 5 7 2 2" xfId="39226"/>
    <cellStyle name="Обычный 5 7 3" xfId="39227"/>
    <cellStyle name="Обычный 5 7 3 2" xfId="39228"/>
    <cellStyle name="Обычный 5 7 4" xfId="39229"/>
    <cellStyle name="Обычный 5 8" xfId="39230"/>
    <cellStyle name="Обычный 5 8 2" xfId="39231"/>
    <cellStyle name="Обычный 5 8 2 2" xfId="39232"/>
    <cellStyle name="Обычный 5 8 3" xfId="39233"/>
    <cellStyle name="Обычный 5 8 3 2" xfId="39234"/>
    <cellStyle name="Обычный 5 8 4" xfId="39235"/>
    <cellStyle name="Обычный 5 9" xfId="39236"/>
    <cellStyle name="Обычный 5 9 2" xfId="39237"/>
    <cellStyle name="Обычный 5____________ KPI 2012-2 ________" xfId="39238"/>
    <cellStyle name="Обычный 50" xfId="39239"/>
    <cellStyle name="Обычный 50 10" xfId="39240"/>
    <cellStyle name="Обычный 50 10 2" xfId="39241"/>
    <cellStyle name="Обычный 50 11" xfId="39242"/>
    <cellStyle name="Обычный 50 2" xfId="39243"/>
    <cellStyle name="Обычный 50 2 2" xfId="39244"/>
    <cellStyle name="Обычный 50 2 2 2" xfId="39245"/>
    <cellStyle name="Обычный 50 2 2 2 2" xfId="39246"/>
    <cellStyle name="Обычный 50 2 2 2 2 2" xfId="39247"/>
    <cellStyle name="Обычный 50 2 2 2 2 2 2" xfId="39248"/>
    <cellStyle name="Обычный 50 2 2 2 2 3" xfId="39249"/>
    <cellStyle name="Обычный 50 2 2 2 3" xfId="39250"/>
    <cellStyle name="Обычный 50 2 2 2 3 2" xfId="39251"/>
    <cellStyle name="Обычный 50 2 2 2 3 2 2" xfId="39252"/>
    <cellStyle name="Обычный 50 2 2 2 3 3" xfId="39253"/>
    <cellStyle name="Обычный 50 2 2 2 4" xfId="39254"/>
    <cellStyle name="Обычный 50 2 2 2 4 2" xfId="39255"/>
    <cellStyle name="Обычный 50 2 2 2 5" xfId="39256"/>
    <cellStyle name="Обычный 50 2 2 3" xfId="39257"/>
    <cellStyle name="Обычный 50 2 2 3 2" xfId="39258"/>
    <cellStyle name="Обычный 50 2 2 3 2 2" xfId="39259"/>
    <cellStyle name="Обычный 50 2 2 3 2 2 2" xfId="39260"/>
    <cellStyle name="Обычный 50 2 2 3 2 3" xfId="39261"/>
    <cellStyle name="Обычный 50 2 2 3 3" xfId="39262"/>
    <cellStyle name="Обычный 50 2 2 3 3 2" xfId="39263"/>
    <cellStyle name="Обычный 50 2 2 3 3 2 2" xfId="39264"/>
    <cellStyle name="Обычный 50 2 2 3 3 3" xfId="39265"/>
    <cellStyle name="Обычный 50 2 2 3 4" xfId="39266"/>
    <cellStyle name="Обычный 50 2 2 3 4 2" xfId="39267"/>
    <cellStyle name="Обычный 50 2 2 3 5" xfId="39268"/>
    <cellStyle name="Обычный 50 2 2 4" xfId="39269"/>
    <cellStyle name="Обычный 50 2 2 4 2" xfId="39270"/>
    <cellStyle name="Обычный 50 2 2 4 2 2" xfId="39271"/>
    <cellStyle name="Обычный 50 2 2 4 3" xfId="39272"/>
    <cellStyle name="Обычный 50 2 2 5" xfId="39273"/>
    <cellStyle name="Обычный 50 2 2 5 2" xfId="39274"/>
    <cellStyle name="Обычный 50 2 2 5 2 2" xfId="39275"/>
    <cellStyle name="Обычный 50 2 2 5 3" xfId="39276"/>
    <cellStyle name="Обычный 50 2 2 6" xfId="39277"/>
    <cellStyle name="Обычный 50 2 2 6 2" xfId="39278"/>
    <cellStyle name="Обычный 50 2 2 7" xfId="39279"/>
    <cellStyle name="Обычный 50 2 2 7 2" xfId="39280"/>
    <cellStyle name="Обычный 50 2 2 8" xfId="39281"/>
    <cellStyle name="Обычный 50 2 3" xfId="39282"/>
    <cellStyle name="Обычный 50 2 3 2" xfId="39283"/>
    <cellStyle name="Обычный 50 2 3 2 2" xfId="39284"/>
    <cellStyle name="Обычный 50 2 3 2 2 2" xfId="39285"/>
    <cellStyle name="Обычный 50 2 3 2 3" xfId="39286"/>
    <cellStyle name="Обычный 50 2 3 3" xfId="39287"/>
    <cellStyle name="Обычный 50 2 3 3 2" xfId="39288"/>
    <cellStyle name="Обычный 50 2 3 3 2 2" xfId="39289"/>
    <cellStyle name="Обычный 50 2 3 3 3" xfId="39290"/>
    <cellStyle name="Обычный 50 2 3 4" xfId="39291"/>
    <cellStyle name="Обычный 50 2 3 4 2" xfId="39292"/>
    <cellStyle name="Обычный 50 2 3 5" xfId="39293"/>
    <cellStyle name="Обычный 50 2 4" xfId="39294"/>
    <cellStyle name="Обычный 50 2 4 2" xfId="39295"/>
    <cellStyle name="Обычный 50 2 4 2 2" xfId="39296"/>
    <cellStyle name="Обычный 50 2 4 2 2 2" xfId="39297"/>
    <cellStyle name="Обычный 50 2 4 2 3" xfId="39298"/>
    <cellStyle name="Обычный 50 2 4 3" xfId="39299"/>
    <cellStyle name="Обычный 50 2 4 3 2" xfId="39300"/>
    <cellStyle name="Обычный 50 2 4 3 2 2" xfId="39301"/>
    <cellStyle name="Обычный 50 2 4 3 3" xfId="39302"/>
    <cellStyle name="Обычный 50 2 4 4" xfId="39303"/>
    <cellStyle name="Обычный 50 2 4 4 2" xfId="39304"/>
    <cellStyle name="Обычный 50 2 4 5" xfId="39305"/>
    <cellStyle name="Обычный 50 2 5" xfId="39306"/>
    <cellStyle name="Обычный 50 2 5 2" xfId="39307"/>
    <cellStyle name="Обычный 50 2 5 2 2" xfId="39308"/>
    <cellStyle name="Обычный 50 2 5 3" xfId="39309"/>
    <cellStyle name="Обычный 50 2 6" xfId="39310"/>
    <cellStyle name="Обычный 50 2 6 2" xfId="39311"/>
    <cellStyle name="Обычный 50 2 6 2 2" xfId="39312"/>
    <cellStyle name="Обычный 50 2 6 3" xfId="39313"/>
    <cellStyle name="Обычный 50 2 7" xfId="39314"/>
    <cellStyle name="Обычный 50 2 7 2" xfId="39315"/>
    <cellStyle name="Обычный 50 2 8" xfId="39316"/>
    <cellStyle name="Обычный 50 2 8 2" xfId="39317"/>
    <cellStyle name="Обычный 50 2 9" xfId="39318"/>
    <cellStyle name="Обычный 50 3" xfId="39319"/>
    <cellStyle name="Обычный 50 3 2" xfId="39320"/>
    <cellStyle name="Обычный 50 3 2 2" xfId="39321"/>
    <cellStyle name="Обычный 50 3 2 2 2" xfId="39322"/>
    <cellStyle name="Обычный 50 3 2 2 2 2" xfId="39323"/>
    <cellStyle name="Обычный 50 3 2 2 3" xfId="39324"/>
    <cellStyle name="Обычный 50 3 2 3" xfId="39325"/>
    <cellStyle name="Обычный 50 3 2 3 2" xfId="39326"/>
    <cellStyle name="Обычный 50 3 2 3 2 2" xfId="39327"/>
    <cellStyle name="Обычный 50 3 2 3 3" xfId="39328"/>
    <cellStyle name="Обычный 50 3 2 4" xfId="39329"/>
    <cellStyle name="Обычный 50 3 2 4 2" xfId="39330"/>
    <cellStyle name="Обычный 50 3 2 5" xfId="39331"/>
    <cellStyle name="Обычный 50 3 3" xfId="39332"/>
    <cellStyle name="Обычный 50 3 3 2" xfId="39333"/>
    <cellStyle name="Обычный 50 3 3 2 2" xfId="39334"/>
    <cellStyle name="Обычный 50 3 3 2 2 2" xfId="39335"/>
    <cellStyle name="Обычный 50 3 3 2 3" xfId="39336"/>
    <cellStyle name="Обычный 50 3 3 3" xfId="39337"/>
    <cellStyle name="Обычный 50 3 3 3 2" xfId="39338"/>
    <cellStyle name="Обычный 50 3 3 3 2 2" xfId="39339"/>
    <cellStyle name="Обычный 50 3 3 3 3" xfId="39340"/>
    <cellStyle name="Обычный 50 3 3 4" xfId="39341"/>
    <cellStyle name="Обычный 50 3 3 4 2" xfId="39342"/>
    <cellStyle name="Обычный 50 3 3 5" xfId="39343"/>
    <cellStyle name="Обычный 50 3 4" xfId="39344"/>
    <cellStyle name="Обычный 50 3 4 2" xfId="39345"/>
    <cellStyle name="Обычный 50 3 4 2 2" xfId="39346"/>
    <cellStyle name="Обычный 50 3 4 3" xfId="39347"/>
    <cellStyle name="Обычный 50 3 5" xfId="39348"/>
    <cellStyle name="Обычный 50 3 5 2" xfId="39349"/>
    <cellStyle name="Обычный 50 3 5 2 2" xfId="39350"/>
    <cellStyle name="Обычный 50 3 5 3" xfId="39351"/>
    <cellStyle name="Обычный 50 3 6" xfId="39352"/>
    <cellStyle name="Обычный 50 3 6 2" xfId="39353"/>
    <cellStyle name="Обычный 50 3 7" xfId="39354"/>
    <cellStyle name="Обычный 50 3 7 2" xfId="39355"/>
    <cellStyle name="Обычный 50 3 8" xfId="39356"/>
    <cellStyle name="Обычный 50 4" xfId="39357"/>
    <cellStyle name="Обычный 50 4 2" xfId="39358"/>
    <cellStyle name="Обычный 50 4 2 2" xfId="39359"/>
    <cellStyle name="Обычный 50 4 2 2 2" xfId="39360"/>
    <cellStyle name="Обычный 50 4 2 3" xfId="39361"/>
    <cellStyle name="Обычный 50 4 3" xfId="39362"/>
    <cellStyle name="Обычный 50 4 3 2" xfId="39363"/>
    <cellStyle name="Обычный 50 4 3 2 2" xfId="39364"/>
    <cellStyle name="Обычный 50 4 3 3" xfId="39365"/>
    <cellStyle name="Обычный 50 4 4" xfId="39366"/>
    <cellStyle name="Обычный 50 4 4 2" xfId="39367"/>
    <cellStyle name="Обычный 50 4 5" xfId="39368"/>
    <cellStyle name="Обычный 50 4 5 2" xfId="39369"/>
    <cellStyle name="Обычный 50 4 6" xfId="39370"/>
    <cellStyle name="Обычный 50 5" xfId="39371"/>
    <cellStyle name="Обычный 50 5 2" xfId="39372"/>
    <cellStyle name="Обычный 50 5 2 2" xfId="39373"/>
    <cellStyle name="Обычный 50 5 2 2 2" xfId="39374"/>
    <cellStyle name="Обычный 50 5 2 3" xfId="39375"/>
    <cellStyle name="Обычный 50 5 3" xfId="39376"/>
    <cellStyle name="Обычный 50 5 3 2" xfId="39377"/>
    <cellStyle name="Обычный 50 5 3 2 2" xfId="39378"/>
    <cellStyle name="Обычный 50 5 3 3" xfId="39379"/>
    <cellStyle name="Обычный 50 5 4" xfId="39380"/>
    <cellStyle name="Обычный 50 5 4 2" xfId="39381"/>
    <cellStyle name="Обычный 50 5 5" xfId="39382"/>
    <cellStyle name="Обычный 50 6" xfId="39383"/>
    <cellStyle name="Обычный 50 6 2" xfId="39384"/>
    <cellStyle name="Обычный 50 7" xfId="39385"/>
    <cellStyle name="Обычный 50 7 2" xfId="39386"/>
    <cellStyle name="Обычный 50 7 2 2" xfId="39387"/>
    <cellStyle name="Обычный 50 7 3" xfId="39388"/>
    <cellStyle name="Обычный 50 8" xfId="39389"/>
    <cellStyle name="Обычный 50 8 2" xfId="39390"/>
    <cellStyle name="Обычный 50 8 2 2" xfId="39391"/>
    <cellStyle name="Обычный 50 8 3" xfId="39392"/>
    <cellStyle name="Обычный 50 9" xfId="39393"/>
    <cellStyle name="Обычный 50 9 2" xfId="39394"/>
    <cellStyle name="Обычный 51" xfId="39395"/>
    <cellStyle name="Обычный 51 10" xfId="39396"/>
    <cellStyle name="Обычный 51 10 2" xfId="39397"/>
    <cellStyle name="Обычный 51 11" xfId="39398"/>
    <cellStyle name="Обычный 51 11 2" xfId="39399"/>
    <cellStyle name="Обычный 51 12" xfId="39400"/>
    <cellStyle name="Обычный 51 2" xfId="39401"/>
    <cellStyle name="Обычный 51 2 2" xfId="39402"/>
    <cellStyle name="Обычный 51 2 2 2" xfId="39403"/>
    <cellStyle name="Обычный 51 2 2 2 2" xfId="39404"/>
    <cellStyle name="Обычный 51 2 2 2 2 2" xfId="39405"/>
    <cellStyle name="Обычный 51 2 2 2 2 2 2" xfId="39406"/>
    <cellStyle name="Обычный 51 2 2 2 2 3" xfId="39407"/>
    <cellStyle name="Обычный 51 2 2 2 3" xfId="39408"/>
    <cellStyle name="Обычный 51 2 2 2 3 2" xfId="39409"/>
    <cellStyle name="Обычный 51 2 2 2 3 2 2" xfId="39410"/>
    <cellStyle name="Обычный 51 2 2 2 3 3" xfId="39411"/>
    <cellStyle name="Обычный 51 2 2 2 4" xfId="39412"/>
    <cellStyle name="Обычный 51 2 2 2 4 2" xfId="39413"/>
    <cellStyle name="Обычный 51 2 2 2 5" xfId="39414"/>
    <cellStyle name="Обычный 51 2 2 3" xfId="39415"/>
    <cellStyle name="Обычный 51 2 2 3 2" xfId="39416"/>
    <cellStyle name="Обычный 51 2 2 3 2 2" xfId="39417"/>
    <cellStyle name="Обычный 51 2 2 3 2 2 2" xfId="39418"/>
    <cellStyle name="Обычный 51 2 2 3 2 3" xfId="39419"/>
    <cellStyle name="Обычный 51 2 2 3 3" xfId="39420"/>
    <cellStyle name="Обычный 51 2 2 3 3 2" xfId="39421"/>
    <cellStyle name="Обычный 51 2 2 3 3 2 2" xfId="39422"/>
    <cellStyle name="Обычный 51 2 2 3 3 3" xfId="39423"/>
    <cellStyle name="Обычный 51 2 2 3 4" xfId="39424"/>
    <cellStyle name="Обычный 51 2 2 3 4 2" xfId="39425"/>
    <cellStyle name="Обычный 51 2 2 3 5" xfId="39426"/>
    <cellStyle name="Обычный 51 2 2 4" xfId="39427"/>
    <cellStyle name="Обычный 51 2 2 4 2" xfId="39428"/>
    <cellStyle name="Обычный 51 2 2 4 2 2" xfId="39429"/>
    <cellStyle name="Обычный 51 2 2 4 3" xfId="39430"/>
    <cellStyle name="Обычный 51 2 2 5" xfId="39431"/>
    <cellStyle name="Обычный 51 2 2 5 2" xfId="39432"/>
    <cellStyle name="Обычный 51 2 2 5 2 2" xfId="39433"/>
    <cellStyle name="Обычный 51 2 2 5 3" xfId="39434"/>
    <cellStyle name="Обычный 51 2 2 6" xfId="39435"/>
    <cellStyle name="Обычный 51 2 2 6 2" xfId="39436"/>
    <cellStyle name="Обычный 51 2 2 7" xfId="39437"/>
    <cellStyle name="Обычный 51 2 2 7 2" xfId="39438"/>
    <cellStyle name="Обычный 51 2 2 8" xfId="39439"/>
    <cellStyle name="Обычный 51 2 3" xfId="39440"/>
    <cellStyle name="Обычный 51 2 3 2" xfId="39441"/>
    <cellStyle name="Обычный 51 2 3 2 2" xfId="39442"/>
    <cellStyle name="Обычный 51 2 3 2 2 2" xfId="39443"/>
    <cellStyle name="Обычный 51 2 3 2 3" xfId="39444"/>
    <cellStyle name="Обычный 51 2 3 3" xfId="39445"/>
    <cellStyle name="Обычный 51 2 3 3 2" xfId="39446"/>
    <cellStyle name="Обычный 51 2 3 3 2 2" xfId="39447"/>
    <cellStyle name="Обычный 51 2 3 3 3" xfId="39448"/>
    <cellStyle name="Обычный 51 2 3 4" xfId="39449"/>
    <cellStyle name="Обычный 51 2 3 4 2" xfId="39450"/>
    <cellStyle name="Обычный 51 2 3 5" xfId="39451"/>
    <cellStyle name="Обычный 51 2 3 5 2" xfId="39452"/>
    <cellStyle name="Обычный 51 2 3 6" xfId="39453"/>
    <cellStyle name="Обычный 51 2 4" xfId="39454"/>
    <cellStyle name="Обычный 51 2 4 2" xfId="39455"/>
    <cellStyle name="Обычный 51 2 4 2 2" xfId="39456"/>
    <cellStyle name="Обычный 51 2 4 2 2 2" xfId="39457"/>
    <cellStyle name="Обычный 51 2 4 2 3" xfId="39458"/>
    <cellStyle name="Обычный 51 2 4 3" xfId="39459"/>
    <cellStyle name="Обычный 51 2 4 3 2" xfId="39460"/>
    <cellStyle name="Обычный 51 2 4 3 2 2" xfId="39461"/>
    <cellStyle name="Обычный 51 2 4 3 3" xfId="39462"/>
    <cellStyle name="Обычный 51 2 4 4" xfId="39463"/>
    <cellStyle name="Обычный 51 2 4 4 2" xfId="39464"/>
    <cellStyle name="Обычный 51 2 4 5" xfId="39465"/>
    <cellStyle name="Обычный 51 2 5" xfId="39466"/>
    <cellStyle name="Обычный 51 2 5 2" xfId="39467"/>
    <cellStyle name="Обычный 51 2 5 2 2" xfId="39468"/>
    <cellStyle name="Обычный 51 2 5 3" xfId="39469"/>
    <cellStyle name="Обычный 51 2 6" xfId="39470"/>
    <cellStyle name="Обычный 51 2 6 2" xfId="39471"/>
    <cellStyle name="Обычный 51 2 6 2 2" xfId="39472"/>
    <cellStyle name="Обычный 51 2 6 3" xfId="39473"/>
    <cellStyle name="Обычный 51 2 7" xfId="39474"/>
    <cellStyle name="Обычный 51 2 7 2" xfId="39475"/>
    <cellStyle name="Обычный 51 2 8" xfId="39476"/>
    <cellStyle name="Обычный 51 2 8 2" xfId="39477"/>
    <cellStyle name="Обычный 51 2 9" xfId="39478"/>
    <cellStyle name="Обычный 51 3" xfId="39479"/>
    <cellStyle name="Обычный 51 3 2" xfId="39480"/>
    <cellStyle name="Обычный 51 3 2 2" xfId="39481"/>
    <cellStyle name="Обычный 51 3 2 2 2" xfId="39482"/>
    <cellStyle name="Обычный 51 3 2 2 2 2" xfId="39483"/>
    <cellStyle name="Обычный 51 3 2 2 3" xfId="39484"/>
    <cellStyle name="Обычный 51 3 2 3" xfId="39485"/>
    <cellStyle name="Обычный 51 3 2 3 2" xfId="39486"/>
    <cellStyle name="Обычный 51 3 2 3 2 2" xfId="39487"/>
    <cellStyle name="Обычный 51 3 2 3 3" xfId="39488"/>
    <cellStyle name="Обычный 51 3 2 4" xfId="39489"/>
    <cellStyle name="Обычный 51 3 2 4 2" xfId="39490"/>
    <cellStyle name="Обычный 51 3 2 5" xfId="39491"/>
    <cellStyle name="Обычный 51 3 3" xfId="39492"/>
    <cellStyle name="Обычный 51 3 3 2" xfId="39493"/>
    <cellStyle name="Обычный 51 3 3 2 2" xfId="39494"/>
    <cellStyle name="Обычный 51 3 3 2 2 2" xfId="39495"/>
    <cellStyle name="Обычный 51 3 3 2 3" xfId="39496"/>
    <cellStyle name="Обычный 51 3 3 3" xfId="39497"/>
    <cellStyle name="Обычный 51 3 3 3 2" xfId="39498"/>
    <cellStyle name="Обычный 51 3 3 3 2 2" xfId="39499"/>
    <cellStyle name="Обычный 51 3 3 3 3" xfId="39500"/>
    <cellStyle name="Обычный 51 3 3 4" xfId="39501"/>
    <cellStyle name="Обычный 51 3 3 4 2" xfId="39502"/>
    <cellStyle name="Обычный 51 3 3 5" xfId="39503"/>
    <cellStyle name="Обычный 51 3 4" xfId="39504"/>
    <cellStyle name="Обычный 51 3 4 2" xfId="39505"/>
    <cellStyle name="Обычный 51 3 4 2 2" xfId="39506"/>
    <cellStyle name="Обычный 51 3 4 3" xfId="39507"/>
    <cellStyle name="Обычный 51 3 5" xfId="39508"/>
    <cellStyle name="Обычный 51 3 5 2" xfId="39509"/>
    <cellStyle name="Обычный 51 3 5 2 2" xfId="39510"/>
    <cellStyle name="Обычный 51 3 5 3" xfId="39511"/>
    <cellStyle name="Обычный 51 3 6" xfId="39512"/>
    <cellStyle name="Обычный 51 3 6 2" xfId="39513"/>
    <cellStyle name="Обычный 51 3 7" xfId="39514"/>
    <cellStyle name="Обычный 51 3 7 2" xfId="39515"/>
    <cellStyle name="Обычный 51 3 8" xfId="39516"/>
    <cellStyle name="Обычный 51 4" xfId="39517"/>
    <cellStyle name="Обычный 51 4 2" xfId="39518"/>
    <cellStyle name="Обычный 51 4 2 2" xfId="39519"/>
    <cellStyle name="Обычный 51 4 2 2 2" xfId="39520"/>
    <cellStyle name="Обычный 51 4 2 2 2 2" xfId="39521"/>
    <cellStyle name="Обычный 51 4 2 2 3" xfId="39522"/>
    <cellStyle name="Обычный 51 4 2 3" xfId="39523"/>
    <cellStyle name="Обычный 51 4 2 3 2" xfId="39524"/>
    <cellStyle name="Обычный 51 4 2 3 2 2" xfId="39525"/>
    <cellStyle name="Обычный 51 4 2 3 3" xfId="39526"/>
    <cellStyle name="Обычный 51 4 2 4" xfId="39527"/>
    <cellStyle name="Обычный 51 4 2 4 2" xfId="39528"/>
    <cellStyle name="Обычный 51 4 2 5" xfId="39529"/>
    <cellStyle name="Обычный 51 4 3" xfId="39530"/>
    <cellStyle name="Обычный 51 4 3 2" xfId="39531"/>
    <cellStyle name="Обычный 51 4 3 2 2" xfId="39532"/>
    <cellStyle name="Обычный 51 4 3 2 2 2" xfId="39533"/>
    <cellStyle name="Обычный 51 4 3 2 3" xfId="39534"/>
    <cellStyle name="Обычный 51 4 3 3" xfId="39535"/>
    <cellStyle name="Обычный 51 4 3 3 2" xfId="39536"/>
    <cellStyle name="Обычный 51 4 3 3 2 2" xfId="39537"/>
    <cellStyle name="Обычный 51 4 3 3 3" xfId="39538"/>
    <cellStyle name="Обычный 51 4 3 4" xfId="39539"/>
    <cellStyle name="Обычный 51 4 3 4 2" xfId="39540"/>
    <cellStyle name="Обычный 51 4 3 5" xfId="39541"/>
    <cellStyle name="Обычный 51 4 4" xfId="39542"/>
    <cellStyle name="Обычный 51 4 4 2" xfId="39543"/>
    <cellStyle name="Обычный 51 4 4 2 2" xfId="39544"/>
    <cellStyle name="Обычный 51 4 4 3" xfId="39545"/>
    <cellStyle name="Обычный 51 4 5" xfId="39546"/>
    <cellStyle name="Обычный 51 4 5 2" xfId="39547"/>
    <cellStyle name="Обычный 51 4 5 2 2" xfId="39548"/>
    <cellStyle name="Обычный 51 4 5 3" xfId="39549"/>
    <cellStyle name="Обычный 51 4 6" xfId="39550"/>
    <cellStyle name="Обычный 51 4 6 2" xfId="39551"/>
    <cellStyle name="Обычный 51 4 7" xfId="39552"/>
    <cellStyle name="Обычный 51 4 7 2" xfId="39553"/>
    <cellStyle name="Обычный 51 4 8" xfId="39554"/>
    <cellStyle name="Обычный 51 5" xfId="39555"/>
    <cellStyle name="Обычный 51 5 2" xfId="39556"/>
    <cellStyle name="Обычный 51 5 2 2" xfId="39557"/>
    <cellStyle name="Обычный 51 5 2 2 2" xfId="39558"/>
    <cellStyle name="Обычный 51 5 2 3" xfId="39559"/>
    <cellStyle name="Обычный 51 5 3" xfId="39560"/>
    <cellStyle name="Обычный 51 5 3 2" xfId="39561"/>
    <cellStyle name="Обычный 51 5 3 2 2" xfId="39562"/>
    <cellStyle name="Обычный 51 5 3 3" xfId="39563"/>
    <cellStyle name="Обычный 51 5 4" xfId="39564"/>
    <cellStyle name="Обычный 51 5 4 2" xfId="39565"/>
    <cellStyle name="Обычный 51 5 5" xfId="39566"/>
    <cellStyle name="Обычный 51 6" xfId="39567"/>
    <cellStyle name="Обычный 51 6 2" xfId="39568"/>
    <cellStyle name="Обычный 51 6 2 2" xfId="39569"/>
    <cellStyle name="Обычный 51 6 2 2 2" xfId="39570"/>
    <cellStyle name="Обычный 51 6 2 3" xfId="39571"/>
    <cellStyle name="Обычный 51 6 3" xfId="39572"/>
    <cellStyle name="Обычный 51 6 3 2" xfId="39573"/>
    <cellStyle name="Обычный 51 6 3 2 2" xfId="39574"/>
    <cellStyle name="Обычный 51 6 3 3" xfId="39575"/>
    <cellStyle name="Обычный 51 6 4" xfId="39576"/>
    <cellStyle name="Обычный 51 6 4 2" xfId="39577"/>
    <cellStyle name="Обычный 51 6 5" xfId="39578"/>
    <cellStyle name="Обычный 51 7" xfId="39579"/>
    <cellStyle name="Обычный 51 7 2" xfId="39580"/>
    <cellStyle name="Обычный 51 8" xfId="39581"/>
    <cellStyle name="Обычный 51 8 2" xfId="39582"/>
    <cellStyle name="Обычный 51 8 2 2" xfId="39583"/>
    <cellStyle name="Обычный 51 8 3" xfId="39584"/>
    <cellStyle name="Обычный 51 9" xfId="39585"/>
    <cellStyle name="Обычный 51 9 2" xfId="39586"/>
    <cellStyle name="Обычный 51 9 2 2" xfId="39587"/>
    <cellStyle name="Обычный 51 9 3" xfId="39588"/>
    <cellStyle name="Обычный 52" xfId="39589"/>
    <cellStyle name="Обычный 52 2" xfId="39590"/>
    <cellStyle name="Обычный 52 2 2" xfId="39591"/>
    <cellStyle name="Обычный 52 2 2 2" xfId="39592"/>
    <cellStyle name="Обычный 52 2 2 2 2" xfId="39593"/>
    <cellStyle name="Обычный 52 2 2 3" xfId="39594"/>
    <cellStyle name="Обычный 52 2 2 3 2" xfId="39595"/>
    <cellStyle name="Обычный 52 2 2 4" xfId="39596"/>
    <cellStyle name="Обычный 52 2 3" xfId="39597"/>
    <cellStyle name="Обычный 52 2 3 2" xfId="39598"/>
    <cellStyle name="Обычный 52 2 3 2 2" xfId="39599"/>
    <cellStyle name="Обычный 52 2 3 3" xfId="39600"/>
    <cellStyle name="Обычный 52 2 4" xfId="39601"/>
    <cellStyle name="Обычный 52 2 4 2" xfId="39602"/>
    <cellStyle name="Обычный 52 2 5" xfId="39603"/>
    <cellStyle name="Обычный 52 2 5 2" xfId="39604"/>
    <cellStyle name="Обычный 52 2 6" xfId="39605"/>
    <cellStyle name="Обычный 52 3" xfId="39606"/>
    <cellStyle name="Обычный 52 3 2" xfId="39607"/>
    <cellStyle name="Обычный 52 3 2 2" xfId="39608"/>
    <cellStyle name="Обычный 52 3 2 2 2" xfId="39609"/>
    <cellStyle name="Обычный 52 3 2 3" xfId="39610"/>
    <cellStyle name="Обычный 52 3 3" xfId="39611"/>
    <cellStyle name="Обычный 52 3 3 2" xfId="39612"/>
    <cellStyle name="Обычный 52 3 3 2 2" xfId="39613"/>
    <cellStyle name="Обычный 52 3 3 3" xfId="39614"/>
    <cellStyle name="Обычный 52 3 4" xfId="39615"/>
    <cellStyle name="Обычный 52 3 4 2" xfId="39616"/>
    <cellStyle name="Обычный 52 3 5" xfId="39617"/>
    <cellStyle name="Обычный 52 3 5 2" xfId="39618"/>
    <cellStyle name="Обычный 52 3 6" xfId="39619"/>
    <cellStyle name="Обычный 52 4" xfId="39620"/>
    <cellStyle name="Обычный 52 4 2" xfId="39621"/>
    <cellStyle name="Обычный 52 4 2 2" xfId="39622"/>
    <cellStyle name="Обычный 52 4 3" xfId="39623"/>
    <cellStyle name="Обычный 52 5" xfId="39624"/>
    <cellStyle name="Обычный 52 5 2" xfId="39625"/>
    <cellStyle name="Обычный 52 5 2 2" xfId="39626"/>
    <cellStyle name="Обычный 52 5 3" xfId="39627"/>
    <cellStyle name="Обычный 52 6" xfId="39628"/>
    <cellStyle name="Обычный 52 6 2" xfId="39629"/>
    <cellStyle name="Обычный 52 6 2 2" xfId="39630"/>
    <cellStyle name="Обычный 52 6 3" xfId="39631"/>
    <cellStyle name="Обычный 52 7" xfId="39632"/>
    <cellStyle name="Обычный 52 7 2" xfId="39633"/>
    <cellStyle name="Обычный 52 8" xfId="39634"/>
    <cellStyle name="Обычный 52 8 2" xfId="39635"/>
    <cellStyle name="Обычный 52 9" xfId="39636"/>
    <cellStyle name="Обычный 53" xfId="39637"/>
    <cellStyle name="Обычный 53 2" xfId="39638"/>
    <cellStyle name="Обычный 53 2 2" xfId="39639"/>
    <cellStyle name="Обычный 53 2 2 2" xfId="39640"/>
    <cellStyle name="Обычный 53 2 2 2 2" xfId="39641"/>
    <cellStyle name="Обычный 53 2 2 3" xfId="39642"/>
    <cellStyle name="Обычный 53 2 2 3 2" xfId="39643"/>
    <cellStyle name="Обычный 53 2 2 4" xfId="39644"/>
    <cellStyle name="Обычный 53 2 3" xfId="39645"/>
    <cellStyle name="Обычный 53 2 3 2" xfId="39646"/>
    <cellStyle name="Обычный 53 2 3 2 2" xfId="39647"/>
    <cellStyle name="Обычный 53 2 3 3" xfId="39648"/>
    <cellStyle name="Обычный 53 2 4" xfId="39649"/>
    <cellStyle name="Обычный 53 2 4 2" xfId="39650"/>
    <cellStyle name="Обычный 53 2 5" xfId="39651"/>
    <cellStyle name="Обычный 53 2 5 2" xfId="39652"/>
    <cellStyle name="Обычный 53 2 6" xfId="39653"/>
    <cellStyle name="Обычный 53 3" xfId="39654"/>
    <cellStyle name="Обычный 53 3 2" xfId="39655"/>
    <cellStyle name="Обычный 53 3 2 2" xfId="39656"/>
    <cellStyle name="Обычный 53 3 2 2 2" xfId="39657"/>
    <cellStyle name="Обычный 53 3 2 3" xfId="39658"/>
    <cellStyle name="Обычный 53 3 3" xfId="39659"/>
    <cellStyle name="Обычный 53 3 3 2" xfId="39660"/>
    <cellStyle name="Обычный 53 3 3 2 2" xfId="39661"/>
    <cellStyle name="Обычный 53 3 3 3" xfId="39662"/>
    <cellStyle name="Обычный 53 3 4" xfId="39663"/>
    <cellStyle name="Обычный 53 3 4 2" xfId="39664"/>
    <cellStyle name="Обычный 53 3 5" xfId="39665"/>
    <cellStyle name="Обычный 53 3 5 2" xfId="39666"/>
    <cellStyle name="Обычный 53 3 6" xfId="39667"/>
    <cellStyle name="Обычный 53 4" xfId="39668"/>
    <cellStyle name="Обычный 53 4 2" xfId="39669"/>
    <cellStyle name="Обычный 53 4 2 2" xfId="39670"/>
    <cellStyle name="Обычный 53 4 3" xfId="39671"/>
    <cellStyle name="Обычный 53 5" xfId="39672"/>
    <cellStyle name="Обычный 53 5 2" xfId="39673"/>
    <cellStyle name="Обычный 53 5 2 2" xfId="39674"/>
    <cellStyle name="Обычный 53 5 3" xfId="39675"/>
    <cellStyle name="Обычный 53 6" xfId="39676"/>
    <cellStyle name="Обычный 53 6 2" xfId="39677"/>
    <cellStyle name="Обычный 53 6 2 2" xfId="39678"/>
    <cellStyle name="Обычный 53 6 3" xfId="39679"/>
    <cellStyle name="Обычный 53 7" xfId="39680"/>
    <cellStyle name="Обычный 53 7 2" xfId="39681"/>
    <cellStyle name="Обычный 53 8" xfId="39682"/>
    <cellStyle name="Обычный 53 8 2" xfId="39683"/>
    <cellStyle name="Обычный 53 9" xfId="39684"/>
    <cellStyle name="Обычный 54" xfId="39685"/>
    <cellStyle name="Обычный 54 2" xfId="39686"/>
    <cellStyle name="Обычный 54 2 2" xfId="39687"/>
    <cellStyle name="Обычный 54 2 2 2" xfId="39688"/>
    <cellStyle name="Обычный 54 2 2 2 2" xfId="39689"/>
    <cellStyle name="Обычный 54 2 2 3" xfId="39690"/>
    <cellStyle name="Обычный 54 2 2 3 2" xfId="39691"/>
    <cellStyle name="Обычный 54 2 2 4" xfId="39692"/>
    <cellStyle name="Обычный 54 2 3" xfId="39693"/>
    <cellStyle name="Обычный 54 2 3 2" xfId="39694"/>
    <cellStyle name="Обычный 54 2 3 2 2" xfId="39695"/>
    <cellStyle name="Обычный 54 2 3 3" xfId="39696"/>
    <cellStyle name="Обычный 54 2 4" xfId="39697"/>
    <cellStyle name="Обычный 54 2 4 2" xfId="39698"/>
    <cellStyle name="Обычный 54 2 5" xfId="39699"/>
    <cellStyle name="Обычный 54 2 5 2" xfId="39700"/>
    <cellStyle name="Обычный 54 2 6" xfId="39701"/>
    <cellStyle name="Обычный 54 3" xfId="39702"/>
    <cellStyle name="Обычный 54 3 2" xfId="39703"/>
    <cellStyle name="Обычный 54 3 2 2" xfId="39704"/>
    <cellStyle name="Обычный 54 3 2 2 2" xfId="39705"/>
    <cellStyle name="Обычный 54 3 2 3" xfId="39706"/>
    <cellStyle name="Обычный 54 3 3" xfId="39707"/>
    <cellStyle name="Обычный 54 3 3 2" xfId="39708"/>
    <cellStyle name="Обычный 54 3 3 2 2" xfId="39709"/>
    <cellStyle name="Обычный 54 3 3 3" xfId="39710"/>
    <cellStyle name="Обычный 54 3 4" xfId="39711"/>
    <cellStyle name="Обычный 54 3 4 2" xfId="39712"/>
    <cellStyle name="Обычный 54 3 5" xfId="39713"/>
    <cellStyle name="Обычный 54 3 5 2" xfId="39714"/>
    <cellStyle name="Обычный 54 3 6" xfId="39715"/>
    <cellStyle name="Обычный 54 4" xfId="39716"/>
    <cellStyle name="Обычный 54 4 2" xfId="39717"/>
    <cellStyle name="Обычный 54 4 2 2" xfId="39718"/>
    <cellStyle name="Обычный 54 4 3" xfId="39719"/>
    <cellStyle name="Обычный 54 5" xfId="39720"/>
    <cellStyle name="Обычный 54 5 2" xfId="39721"/>
    <cellStyle name="Обычный 54 5 2 2" xfId="39722"/>
    <cellStyle name="Обычный 54 5 3" xfId="39723"/>
    <cellStyle name="Обычный 54 6" xfId="39724"/>
    <cellStyle name="Обычный 54 6 2" xfId="39725"/>
    <cellStyle name="Обычный 54 6 2 2" xfId="39726"/>
    <cellStyle name="Обычный 54 6 3" xfId="39727"/>
    <cellStyle name="Обычный 54 7" xfId="39728"/>
    <cellStyle name="Обычный 54 7 2" xfId="39729"/>
    <cellStyle name="Обычный 54 8" xfId="39730"/>
    <cellStyle name="Обычный 54 8 2" xfId="39731"/>
    <cellStyle name="Обычный 54 9" xfId="39732"/>
    <cellStyle name="Обычный 55" xfId="39733"/>
    <cellStyle name="Обычный 55 2" xfId="39734"/>
    <cellStyle name="Обычный 55 2 2" xfId="39735"/>
    <cellStyle name="Обычный 55 2 2 2" xfId="39736"/>
    <cellStyle name="Обычный 55 2 2 2 2" xfId="39737"/>
    <cellStyle name="Обычный 55 2 2 2 2 2" xfId="39738"/>
    <cellStyle name="Обычный 55 2 2 2 3" xfId="39739"/>
    <cellStyle name="Обычный 55 2 2 3" xfId="39740"/>
    <cellStyle name="Обычный 55 2 2 3 2" xfId="39741"/>
    <cellStyle name="Обычный 55 2 2 3 2 2" xfId="39742"/>
    <cellStyle name="Обычный 55 2 2 3 3" xfId="39743"/>
    <cellStyle name="Обычный 55 2 2 4" xfId="39744"/>
    <cellStyle name="Обычный 55 2 2 4 2" xfId="39745"/>
    <cellStyle name="Обычный 55 2 2 5" xfId="39746"/>
    <cellStyle name="Обычный 55 2 2 5 2" xfId="39747"/>
    <cellStyle name="Обычный 55 2 2 6" xfId="39748"/>
    <cellStyle name="Обычный 55 2 3" xfId="39749"/>
    <cellStyle name="Обычный 55 2 3 2" xfId="39750"/>
    <cellStyle name="Обычный 55 2 3 2 2" xfId="39751"/>
    <cellStyle name="Обычный 55 2 3 2 2 2" xfId="39752"/>
    <cellStyle name="Обычный 55 2 3 2 3" xfId="39753"/>
    <cellStyle name="Обычный 55 2 3 3" xfId="39754"/>
    <cellStyle name="Обычный 55 2 3 3 2" xfId="39755"/>
    <cellStyle name="Обычный 55 2 3 3 2 2" xfId="39756"/>
    <cellStyle name="Обычный 55 2 3 3 3" xfId="39757"/>
    <cellStyle name="Обычный 55 2 3 4" xfId="39758"/>
    <cellStyle name="Обычный 55 2 3 4 2" xfId="39759"/>
    <cellStyle name="Обычный 55 2 3 5" xfId="39760"/>
    <cellStyle name="Обычный 55 2 4" xfId="39761"/>
    <cellStyle name="Обычный 55 2 4 2" xfId="39762"/>
    <cellStyle name="Обычный 55 2 4 2 2" xfId="39763"/>
    <cellStyle name="Обычный 55 2 4 3" xfId="39764"/>
    <cellStyle name="Обычный 55 2 5" xfId="39765"/>
    <cellStyle name="Обычный 55 2 5 2" xfId="39766"/>
    <cellStyle name="Обычный 55 2 5 2 2" xfId="39767"/>
    <cellStyle name="Обычный 55 2 5 3" xfId="39768"/>
    <cellStyle name="Обычный 55 2 6" xfId="39769"/>
    <cellStyle name="Обычный 55 2 6 2" xfId="39770"/>
    <cellStyle name="Обычный 55 2 7" xfId="39771"/>
    <cellStyle name="Обычный 55 2 7 2" xfId="39772"/>
    <cellStyle name="Обычный 55 2 8" xfId="39773"/>
    <cellStyle name="Обычный 55 3" xfId="39774"/>
    <cellStyle name="Обычный 55 3 2" xfId="39775"/>
    <cellStyle name="Обычный 55 3 2 2" xfId="39776"/>
    <cellStyle name="Обычный 55 3 2 2 2" xfId="39777"/>
    <cellStyle name="Обычный 55 3 2 3" xfId="39778"/>
    <cellStyle name="Обычный 55 3 3" xfId="39779"/>
    <cellStyle name="Обычный 55 3 3 2" xfId="39780"/>
    <cellStyle name="Обычный 55 3 3 2 2" xfId="39781"/>
    <cellStyle name="Обычный 55 3 3 3" xfId="39782"/>
    <cellStyle name="Обычный 55 3 4" xfId="39783"/>
    <cellStyle name="Обычный 55 3 4 2" xfId="39784"/>
    <cellStyle name="Обычный 55 3 5" xfId="39785"/>
    <cellStyle name="Обычный 55 3 5 2" xfId="39786"/>
    <cellStyle name="Обычный 55 3 6" xfId="39787"/>
    <cellStyle name="Обычный 55 4" xfId="39788"/>
    <cellStyle name="Обычный 55 4 2" xfId="39789"/>
    <cellStyle name="Обычный 55 4 2 2" xfId="39790"/>
    <cellStyle name="Обычный 55 4 3" xfId="39791"/>
    <cellStyle name="Обычный 55 5" xfId="39792"/>
    <cellStyle name="Обычный 55 5 2" xfId="39793"/>
    <cellStyle name="Обычный 55 5 2 2" xfId="39794"/>
    <cellStyle name="Обычный 55 6" xfId="39795"/>
    <cellStyle name="Обычный 55 6 2" xfId="39796"/>
    <cellStyle name="Обычный 55 6 2 2" xfId="39797"/>
    <cellStyle name="Обычный 55 6 3" xfId="39798"/>
    <cellStyle name="Обычный 55 7" xfId="39799"/>
    <cellStyle name="Обычный 55 7 2" xfId="39800"/>
    <cellStyle name="Обычный 55 8" xfId="39801"/>
    <cellStyle name="Обычный 55 8 2" xfId="39802"/>
    <cellStyle name="Обычный 55 9" xfId="39803"/>
    <cellStyle name="Обычный 56" xfId="39804"/>
    <cellStyle name="Обычный 56 10" xfId="39805"/>
    <cellStyle name="Обычный 56 11" xfId="39806"/>
    <cellStyle name="Обычный 56 2" xfId="39807"/>
    <cellStyle name="Обычный 56 2 2" xfId="39808"/>
    <cellStyle name="Обычный 56 2 2 2" xfId="39809"/>
    <cellStyle name="Обычный 56 2 2 2 2" xfId="39810"/>
    <cellStyle name="Обычный 56 2 2 2 2 2" xfId="39811"/>
    <cellStyle name="Обычный 56 2 2 2 3" xfId="39812"/>
    <cellStyle name="Обычный 56 2 2 3" xfId="39813"/>
    <cellStyle name="Обычный 56 2 2 3 2" xfId="39814"/>
    <cellStyle name="Обычный 56 2 2 3 2 2" xfId="39815"/>
    <cellStyle name="Обычный 56 2 2 3 3" xfId="39816"/>
    <cellStyle name="Обычный 56 2 2 4" xfId="39817"/>
    <cellStyle name="Обычный 56 2 2 4 2" xfId="39818"/>
    <cellStyle name="Обычный 56 2 2 5" xfId="39819"/>
    <cellStyle name="Обычный 56 2 3" xfId="39820"/>
    <cellStyle name="Обычный 56 2 3 2" xfId="39821"/>
    <cellStyle name="Обычный 56 2 3 2 2" xfId="39822"/>
    <cellStyle name="Обычный 56 2 3 2 2 2" xfId="39823"/>
    <cellStyle name="Обычный 56 2 3 2 3" xfId="39824"/>
    <cellStyle name="Обычный 56 2 3 3" xfId="39825"/>
    <cellStyle name="Обычный 56 2 3 3 2" xfId="39826"/>
    <cellStyle name="Обычный 56 2 3 3 2 2" xfId="39827"/>
    <cellStyle name="Обычный 56 2 3 3 3" xfId="39828"/>
    <cellStyle name="Обычный 56 2 3 4" xfId="39829"/>
    <cellStyle name="Обычный 56 2 3 4 2" xfId="39830"/>
    <cellStyle name="Обычный 56 2 3 5" xfId="39831"/>
    <cellStyle name="Обычный 56 2 4" xfId="39832"/>
    <cellStyle name="Обычный 56 2 4 2" xfId="39833"/>
    <cellStyle name="Обычный 56 2 4 2 2" xfId="39834"/>
    <cellStyle name="Обычный 56 2 4 3" xfId="39835"/>
    <cellStyle name="Обычный 56 2 5" xfId="39836"/>
    <cellStyle name="Обычный 56 2 5 2" xfId="39837"/>
    <cellStyle name="Обычный 56 2 5 2 2" xfId="39838"/>
    <cellStyle name="Обычный 56 2 5 3" xfId="39839"/>
    <cellStyle name="Обычный 56 2 6" xfId="39840"/>
    <cellStyle name="Обычный 56 2 6 2" xfId="39841"/>
    <cellStyle name="Обычный 56 2 7" xfId="39842"/>
    <cellStyle name="Обычный 56 2 7 2" xfId="39843"/>
    <cellStyle name="Обычный 56 2 8" xfId="39844"/>
    <cellStyle name="Обычный 56 3" xfId="39845"/>
    <cellStyle name="Обычный 56 3 2" xfId="39846"/>
    <cellStyle name="Обычный 56 3 2 2" xfId="39847"/>
    <cellStyle name="Обычный 56 3 2 2 2" xfId="39848"/>
    <cellStyle name="Обычный 56 3 2 2 2 2" xfId="39849"/>
    <cellStyle name="Обычный 56 3 2 2 3" xfId="39850"/>
    <cellStyle name="Обычный 56 3 2 3" xfId="39851"/>
    <cellStyle name="Обычный 56 3 2 3 2" xfId="39852"/>
    <cellStyle name="Обычный 56 3 2 3 2 2" xfId="39853"/>
    <cellStyle name="Обычный 56 3 2 3 3" xfId="39854"/>
    <cellStyle name="Обычный 56 3 2 4" xfId="39855"/>
    <cellStyle name="Обычный 56 3 2 4 2" xfId="39856"/>
    <cellStyle name="Обычный 56 3 2 5" xfId="39857"/>
    <cellStyle name="Обычный 56 3 3" xfId="39858"/>
    <cellStyle name="Обычный 56 3 3 2" xfId="39859"/>
    <cellStyle name="Обычный 56 3 3 2 2" xfId="39860"/>
    <cellStyle name="Обычный 56 3 3 2 2 2" xfId="39861"/>
    <cellStyle name="Обычный 56 3 3 2 3" xfId="39862"/>
    <cellStyle name="Обычный 56 3 3 3" xfId="39863"/>
    <cellStyle name="Обычный 56 3 3 3 2" xfId="39864"/>
    <cellStyle name="Обычный 56 3 3 3 2 2" xfId="39865"/>
    <cellStyle name="Обычный 56 3 3 3 3" xfId="39866"/>
    <cellStyle name="Обычный 56 3 3 4" xfId="39867"/>
    <cellStyle name="Обычный 56 3 3 4 2" xfId="39868"/>
    <cellStyle name="Обычный 56 3 3 5" xfId="39869"/>
    <cellStyle name="Обычный 56 3 4" xfId="39870"/>
    <cellStyle name="Обычный 56 3 4 2" xfId="39871"/>
    <cellStyle name="Обычный 56 3 4 2 2" xfId="39872"/>
    <cellStyle name="Обычный 56 3 4 3" xfId="39873"/>
    <cellStyle name="Обычный 56 3 5" xfId="39874"/>
    <cellStyle name="Обычный 56 3 5 2" xfId="39875"/>
    <cellStyle name="Обычный 56 3 5 2 2" xfId="39876"/>
    <cellStyle name="Обычный 56 3 5 3" xfId="39877"/>
    <cellStyle name="Обычный 56 3 6" xfId="39878"/>
    <cellStyle name="Обычный 56 3 6 2" xfId="39879"/>
    <cellStyle name="Обычный 56 3 7" xfId="39880"/>
    <cellStyle name="Обычный 56 3 7 2" xfId="39881"/>
    <cellStyle name="Обычный 56 3 8" xfId="39882"/>
    <cellStyle name="Обычный 56 4" xfId="39883"/>
    <cellStyle name="Обычный 56 4 2" xfId="39884"/>
    <cellStyle name="Обычный 56 4 2 2" xfId="39885"/>
    <cellStyle name="Обычный 56 4 2 2 2" xfId="39886"/>
    <cellStyle name="Обычный 56 4 2 3" xfId="39887"/>
    <cellStyle name="Обычный 56 4 3" xfId="39888"/>
    <cellStyle name="Обычный 56 4 3 2" xfId="39889"/>
    <cellStyle name="Обычный 56 4 3 2 2" xfId="39890"/>
    <cellStyle name="Обычный 56 4 3 3" xfId="39891"/>
    <cellStyle name="Обычный 56 4 4" xfId="39892"/>
    <cellStyle name="Обычный 56 4 4 2" xfId="39893"/>
    <cellStyle name="Обычный 56 4 5" xfId="39894"/>
    <cellStyle name="Обычный 56 4 5 2" xfId="39895"/>
    <cellStyle name="Обычный 56 4 6" xfId="39896"/>
    <cellStyle name="Обычный 56 5" xfId="39897"/>
    <cellStyle name="Обычный 56 5 2" xfId="39898"/>
    <cellStyle name="Обычный 56 5 2 2" xfId="39899"/>
    <cellStyle name="Обычный 56 5 2 2 2" xfId="39900"/>
    <cellStyle name="Обычный 56 5 2 3" xfId="39901"/>
    <cellStyle name="Обычный 56 5 3" xfId="39902"/>
    <cellStyle name="Обычный 56 5 3 2" xfId="39903"/>
    <cellStyle name="Обычный 56 5 3 2 2" xfId="39904"/>
    <cellStyle name="Обычный 56 5 3 3" xfId="39905"/>
    <cellStyle name="Обычный 56 5 4" xfId="39906"/>
    <cellStyle name="Обычный 56 5 4 2" xfId="39907"/>
    <cellStyle name="Обычный 56 5 5" xfId="39908"/>
    <cellStyle name="Обычный 56 6" xfId="39909"/>
    <cellStyle name="Обычный 56 6 2" xfId="39910"/>
    <cellStyle name="Обычный 56 7" xfId="39911"/>
    <cellStyle name="Обычный 56 7 2" xfId="39912"/>
    <cellStyle name="Обычный 56 7 2 2" xfId="39913"/>
    <cellStyle name="Обычный 56 7 3" xfId="39914"/>
    <cellStyle name="Обычный 56 8" xfId="39915"/>
    <cellStyle name="Обычный 56 8 2" xfId="39916"/>
    <cellStyle name="Обычный 56 8 2 2" xfId="39917"/>
    <cellStyle name="Обычный 56 8 3" xfId="39918"/>
    <cellStyle name="Обычный 56 9" xfId="39919"/>
    <cellStyle name="Обычный 56 9 2" xfId="39920"/>
    <cellStyle name="Обычный 57" xfId="39921"/>
    <cellStyle name="Обычный 57 2" xfId="39922"/>
    <cellStyle name="Обычный 57 2 2" xfId="39923"/>
    <cellStyle name="Обычный 57 2 2 2" xfId="39924"/>
    <cellStyle name="Обычный 57 2 2 2 2" xfId="39925"/>
    <cellStyle name="Обычный 57 2 2 2 2 2" xfId="39926"/>
    <cellStyle name="Обычный 57 2 2 2 3" xfId="39927"/>
    <cellStyle name="Обычный 57 2 2 3" xfId="39928"/>
    <cellStyle name="Обычный 57 2 2 3 2" xfId="39929"/>
    <cellStyle name="Обычный 57 2 2 3 2 2" xfId="39930"/>
    <cellStyle name="Обычный 57 2 2 3 3" xfId="39931"/>
    <cellStyle name="Обычный 57 2 2 4" xfId="39932"/>
    <cellStyle name="Обычный 57 2 2 4 2" xfId="39933"/>
    <cellStyle name="Обычный 57 2 2 5" xfId="39934"/>
    <cellStyle name="Обычный 57 2 2 5 2" xfId="39935"/>
    <cellStyle name="Обычный 57 2 2 6" xfId="39936"/>
    <cellStyle name="Обычный 57 2 3" xfId="39937"/>
    <cellStyle name="Обычный 57 2 3 2" xfId="39938"/>
    <cellStyle name="Обычный 57 2 3 2 2" xfId="39939"/>
    <cellStyle name="Обычный 57 2 3 3" xfId="39940"/>
    <cellStyle name="Обычный 57 2 4" xfId="39941"/>
    <cellStyle name="Обычный 57 2 4 2" xfId="39942"/>
    <cellStyle name="Обычный 57 2 4 2 2" xfId="39943"/>
    <cellStyle name="Обычный 57 2 4 3" xfId="39944"/>
    <cellStyle name="Обычный 57 2 5" xfId="39945"/>
    <cellStyle name="Обычный 57 2 5 2" xfId="39946"/>
    <cellStyle name="Обычный 57 2 6" xfId="39947"/>
    <cellStyle name="Обычный 57 2 6 2" xfId="39948"/>
    <cellStyle name="Обычный 57 2 7" xfId="39949"/>
    <cellStyle name="Обычный 57 3" xfId="39950"/>
    <cellStyle name="Обычный 57 3 2" xfId="39951"/>
    <cellStyle name="Обычный 57 3 2 2" xfId="39952"/>
    <cellStyle name="Обычный 57 3 2 2 2" xfId="39953"/>
    <cellStyle name="Обычный 57 3 2 3" xfId="39954"/>
    <cellStyle name="Обычный 57 3 3" xfId="39955"/>
    <cellStyle name="Обычный 57 3 3 2" xfId="39956"/>
    <cellStyle name="Обычный 57 3 3 2 2" xfId="39957"/>
    <cellStyle name="Обычный 57 3 3 3" xfId="39958"/>
    <cellStyle name="Обычный 57 3 4" xfId="39959"/>
    <cellStyle name="Обычный 57 3 4 2" xfId="39960"/>
    <cellStyle name="Обычный 57 3 5" xfId="39961"/>
    <cellStyle name="Обычный 57 3 5 2" xfId="39962"/>
    <cellStyle name="Обычный 57 3 6" xfId="39963"/>
    <cellStyle name="Обычный 57 4" xfId="39964"/>
    <cellStyle name="Обычный 57 4 2" xfId="39965"/>
    <cellStyle name="Обычный 57 4 2 2" xfId="39966"/>
    <cellStyle name="Обычный 57 4 3" xfId="39967"/>
    <cellStyle name="Обычный 57 5" xfId="39968"/>
    <cellStyle name="Обычный 57 5 2" xfId="39969"/>
    <cellStyle name="Обычный 57 5 2 2" xfId="39970"/>
    <cellStyle name="Обычный 57 5 3" xfId="39971"/>
    <cellStyle name="Обычный 57 6" xfId="39972"/>
    <cellStyle name="Обычный 57 6 2" xfId="39973"/>
    <cellStyle name="Обычный 57 6 2 2" xfId="39974"/>
    <cellStyle name="Обычный 57 6 3" xfId="39975"/>
    <cellStyle name="Обычный 57 7" xfId="39976"/>
    <cellStyle name="Обычный 57 7 2" xfId="39977"/>
    <cellStyle name="Обычный 57 8" xfId="39978"/>
    <cellStyle name="Обычный 57 8 2" xfId="39979"/>
    <cellStyle name="Обычный 57 9" xfId="39980"/>
    <cellStyle name="Обычный 58" xfId="39981"/>
    <cellStyle name="Обычный 58 10" xfId="39982"/>
    <cellStyle name="Обычный 58 10 2" xfId="39983"/>
    <cellStyle name="Обычный 58 11" xfId="39984"/>
    <cellStyle name="Обычный 58 2" xfId="39985"/>
    <cellStyle name="Обычный 58 2 2" xfId="39986"/>
    <cellStyle name="Обычный 58 2 2 2" xfId="39987"/>
    <cellStyle name="Обычный 58 2 2 2 2" xfId="39988"/>
    <cellStyle name="Обычный 58 2 2 2 2 2" xfId="39989"/>
    <cellStyle name="Обычный 58 2 2 2 3" xfId="39990"/>
    <cellStyle name="Обычный 58 2 2 3" xfId="39991"/>
    <cellStyle name="Обычный 58 2 2 3 2" xfId="39992"/>
    <cellStyle name="Обычный 58 2 2 3 2 2" xfId="39993"/>
    <cellStyle name="Обычный 58 2 2 3 3" xfId="39994"/>
    <cellStyle name="Обычный 58 2 2 4" xfId="39995"/>
    <cellStyle name="Обычный 58 2 2 4 2" xfId="39996"/>
    <cellStyle name="Обычный 58 2 2 5" xfId="39997"/>
    <cellStyle name="Обычный 58 2 2 5 2" xfId="39998"/>
    <cellStyle name="Обычный 58 2 2 6" xfId="39999"/>
    <cellStyle name="Обычный 58 2 3" xfId="40000"/>
    <cellStyle name="Обычный 58 2 3 2" xfId="40001"/>
    <cellStyle name="Обычный 58 2 3 2 2" xfId="40002"/>
    <cellStyle name="Обычный 58 2 3 2 2 2" xfId="40003"/>
    <cellStyle name="Обычный 58 2 3 2 3" xfId="40004"/>
    <cellStyle name="Обычный 58 2 3 3" xfId="40005"/>
    <cellStyle name="Обычный 58 2 3 3 2" xfId="40006"/>
    <cellStyle name="Обычный 58 2 3 3 2 2" xfId="40007"/>
    <cellStyle name="Обычный 58 2 3 3 3" xfId="40008"/>
    <cellStyle name="Обычный 58 2 3 4" xfId="40009"/>
    <cellStyle name="Обычный 58 2 3 4 2" xfId="40010"/>
    <cellStyle name="Обычный 58 2 3 5" xfId="40011"/>
    <cellStyle name="Обычный 58 2 4" xfId="40012"/>
    <cellStyle name="Обычный 58 2 4 2" xfId="40013"/>
    <cellStyle name="Обычный 58 2 4 2 2" xfId="40014"/>
    <cellStyle name="Обычный 58 2 4 3" xfId="40015"/>
    <cellStyle name="Обычный 58 2 5" xfId="40016"/>
    <cellStyle name="Обычный 58 2 5 2" xfId="40017"/>
    <cellStyle name="Обычный 58 2 5 2 2" xfId="40018"/>
    <cellStyle name="Обычный 58 2 5 3" xfId="40019"/>
    <cellStyle name="Обычный 58 2 6" xfId="40020"/>
    <cellStyle name="Обычный 58 2 6 2" xfId="40021"/>
    <cellStyle name="Обычный 58 2 7" xfId="40022"/>
    <cellStyle name="Обычный 58 2 7 2" xfId="40023"/>
    <cellStyle name="Обычный 58 2 8" xfId="40024"/>
    <cellStyle name="Обычный 58 3" xfId="40025"/>
    <cellStyle name="Обычный 58 3 2" xfId="40026"/>
    <cellStyle name="Обычный 58 3 2 2" xfId="40027"/>
    <cellStyle name="Обычный 58 3 2 2 2" xfId="40028"/>
    <cellStyle name="Обычный 58 3 2 2 2 2" xfId="40029"/>
    <cellStyle name="Обычный 58 3 2 2 3" xfId="40030"/>
    <cellStyle name="Обычный 58 3 2 3" xfId="40031"/>
    <cellStyle name="Обычный 58 3 2 3 2" xfId="40032"/>
    <cellStyle name="Обычный 58 3 2 3 2 2" xfId="40033"/>
    <cellStyle name="Обычный 58 3 2 3 3" xfId="40034"/>
    <cellStyle name="Обычный 58 3 2 4" xfId="40035"/>
    <cellStyle name="Обычный 58 3 2 4 2" xfId="40036"/>
    <cellStyle name="Обычный 58 3 2 5" xfId="40037"/>
    <cellStyle name="Обычный 58 3 3" xfId="40038"/>
    <cellStyle name="Обычный 58 3 3 2" xfId="40039"/>
    <cellStyle name="Обычный 58 3 3 2 2" xfId="40040"/>
    <cellStyle name="Обычный 58 3 3 2 2 2" xfId="40041"/>
    <cellStyle name="Обычный 58 3 3 2 3" xfId="40042"/>
    <cellStyle name="Обычный 58 3 3 3" xfId="40043"/>
    <cellStyle name="Обычный 58 3 3 3 2" xfId="40044"/>
    <cellStyle name="Обычный 58 3 3 3 2 2" xfId="40045"/>
    <cellStyle name="Обычный 58 3 3 3 3" xfId="40046"/>
    <cellStyle name="Обычный 58 3 3 4" xfId="40047"/>
    <cellStyle name="Обычный 58 3 3 4 2" xfId="40048"/>
    <cellStyle name="Обычный 58 3 3 5" xfId="40049"/>
    <cellStyle name="Обычный 58 3 4" xfId="40050"/>
    <cellStyle name="Обычный 58 3 4 2" xfId="40051"/>
    <cellStyle name="Обычный 58 3 4 2 2" xfId="40052"/>
    <cellStyle name="Обычный 58 3 4 3" xfId="40053"/>
    <cellStyle name="Обычный 58 3 5" xfId="40054"/>
    <cellStyle name="Обычный 58 3 5 2" xfId="40055"/>
    <cellStyle name="Обычный 58 3 5 2 2" xfId="40056"/>
    <cellStyle name="Обычный 58 3 5 3" xfId="40057"/>
    <cellStyle name="Обычный 58 3 6" xfId="40058"/>
    <cellStyle name="Обычный 58 3 6 2" xfId="40059"/>
    <cellStyle name="Обычный 58 3 7" xfId="40060"/>
    <cellStyle name="Обычный 58 3 7 2" xfId="40061"/>
    <cellStyle name="Обычный 58 3 8" xfId="40062"/>
    <cellStyle name="Обычный 58 4" xfId="40063"/>
    <cellStyle name="Обычный 58 4 2" xfId="40064"/>
    <cellStyle name="Обычный 58 4 2 2" xfId="40065"/>
    <cellStyle name="Обычный 58 4 2 2 2" xfId="40066"/>
    <cellStyle name="Обычный 58 4 2 2 2 2" xfId="40067"/>
    <cellStyle name="Обычный 58 4 2 2 3" xfId="40068"/>
    <cellStyle name="Обычный 58 4 2 3" xfId="40069"/>
    <cellStyle name="Обычный 58 4 2 3 2" xfId="40070"/>
    <cellStyle name="Обычный 58 4 2 3 2 2" xfId="40071"/>
    <cellStyle name="Обычный 58 4 2 3 3" xfId="40072"/>
    <cellStyle name="Обычный 58 4 2 4" xfId="40073"/>
    <cellStyle name="Обычный 58 4 2 4 2" xfId="40074"/>
    <cellStyle name="Обычный 58 4 2 5" xfId="40075"/>
    <cellStyle name="Обычный 58 4 3" xfId="40076"/>
    <cellStyle name="Обычный 58 4 3 2" xfId="40077"/>
    <cellStyle name="Обычный 58 4 3 2 2" xfId="40078"/>
    <cellStyle name="Обычный 58 4 3 3" xfId="40079"/>
    <cellStyle name="Обычный 58 4 4" xfId="40080"/>
    <cellStyle name="Обычный 58 4 4 2" xfId="40081"/>
    <cellStyle name="Обычный 58 4 4 2 2" xfId="40082"/>
    <cellStyle name="Обычный 58 4 4 3" xfId="40083"/>
    <cellStyle name="Обычный 58 4 5" xfId="40084"/>
    <cellStyle name="Обычный 58 4 5 2" xfId="40085"/>
    <cellStyle name="Обычный 58 4 6" xfId="40086"/>
    <cellStyle name="Обычный 58 4 6 2" xfId="40087"/>
    <cellStyle name="Обычный 58 4 7" xfId="40088"/>
    <cellStyle name="Обычный 58 5" xfId="40089"/>
    <cellStyle name="Обычный 58 5 2" xfId="40090"/>
    <cellStyle name="Обычный 58 5 2 2" xfId="40091"/>
    <cellStyle name="Обычный 58 5 2 2 2" xfId="40092"/>
    <cellStyle name="Обычный 58 5 2 3" xfId="40093"/>
    <cellStyle name="Обычный 58 5 3" xfId="40094"/>
    <cellStyle name="Обычный 58 5 3 2" xfId="40095"/>
    <cellStyle name="Обычный 58 5 3 2 2" xfId="40096"/>
    <cellStyle name="Обычный 58 5 3 3" xfId="40097"/>
    <cellStyle name="Обычный 58 5 4" xfId="40098"/>
    <cellStyle name="Обычный 58 5 4 2" xfId="40099"/>
    <cellStyle name="Обычный 58 5 5" xfId="40100"/>
    <cellStyle name="Обычный 58 6" xfId="40101"/>
    <cellStyle name="Обычный 58 6 2" xfId="40102"/>
    <cellStyle name="Обычный 58 7" xfId="40103"/>
    <cellStyle name="Обычный 58 7 2" xfId="40104"/>
    <cellStyle name="Обычный 58 7 2 2" xfId="40105"/>
    <cellStyle name="Обычный 58 7 3" xfId="40106"/>
    <cellStyle name="Обычный 58 8" xfId="40107"/>
    <cellStyle name="Обычный 58 8 2" xfId="40108"/>
    <cellStyle name="Обычный 58 8 2 2" xfId="40109"/>
    <cellStyle name="Обычный 58 8 3" xfId="40110"/>
    <cellStyle name="Обычный 58 9" xfId="40111"/>
    <cellStyle name="Обычный 58 9 2" xfId="40112"/>
    <cellStyle name="Обычный 59" xfId="40113"/>
    <cellStyle name="Обычный 59 2" xfId="40114"/>
    <cellStyle name="Обычный 59 2 2" xfId="40115"/>
    <cellStyle name="Обычный 59 2 2 2" xfId="40116"/>
    <cellStyle name="Обычный 59 2 2 2 2" xfId="40117"/>
    <cellStyle name="Обычный 59 2 2 3" xfId="40118"/>
    <cellStyle name="Обычный 59 2 2 3 2" xfId="40119"/>
    <cellStyle name="Обычный 59 2 2 4" xfId="40120"/>
    <cellStyle name="Обычный 59 2 3" xfId="40121"/>
    <cellStyle name="Обычный 59 2 3 2" xfId="40122"/>
    <cellStyle name="Обычный 59 2 3 2 2" xfId="40123"/>
    <cellStyle name="Обычный 59 2 3 3" xfId="40124"/>
    <cellStyle name="Обычный 59 2 4" xfId="40125"/>
    <cellStyle name="Обычный 59 2 4 2" xfId="40126"/>
    <cellStyle name="Обычный 59 2 5" xfId="40127"/>
    <cellStyle name="Обычный 59 2 5 2" xfId="40128"/>
    <cellStyle name="Обычный 59 2 6" xfId="40129"/>
    <cellStyle name="Обычный 59 3" xfId="40130"/>
    <cellStyle name="Обычный 59 3 2" xfId="40131"/>
    <cellStyle name="Обычный 59 3 2 2" xfId="40132"/>
    <cellStyle name="Обычный 59 3 2 2 2" xfId="40133"/>
    <cellStyle name="Обычный 59 3 2 3" xfId="40134"/>
    <cellStyle name="Обычный 59 3 3" xfId="40135"/>
    <cellStyle name="Обычный 59 3 3 2" xfId="40136"/>
    <cellStyle name="Обычный 59 3 3 2 2" xfId="40137"/>
    <cellStyle name="Обычный 59 3 3 3" xfId="40138"/>
    <cellStyle name="Обычный 59 3 4" xfId="40139"/>
    <cellStyle name="Обычный 59 3 4 2" xfId="40140"/>
    <cellStyle name="Обычный 59 3 5" xfId="40141"/>
    <cellStyle name="Обычный 59 3 5 2" xfId="40142"/>
    <cellStyle name="Обычный 59 3 6" xfId="40143"/>
    <cellStyle name="Обычный 59 4" xfId="40144"/>
    <cellStyle name="Обычный 59 4 2" xfId="40145"/>
    <cellStyle name="Обычный 59 4 2 2" xfId="40146"/>
    <cellStyle name="Обычный 59 4 3" xfId="40147"/>
    <cellStyle name="Обычный 59 5" xfId="40148"/>
    <cellStyle name="Обычный 59 5 2" xfId="40149"/>
    <cellStyle name="Обычный 59 5 2 2" xfId="40150"/>
    <cellStyle name="Обычный 59 5 3" xfId="40151"/>
    <cellStyle name="Обычный 59 6" xfId="40152"/>
    <cellStyle name="Обычный 59 6 2" xfId="40153"/>
    <cellStyle name="Обычный 59 6 2 2" xfId="40154"/>
    <cellStyle name="Обычный 59 6 3" xfId="40155"/>
    <cellStyle name="Обычный 59 7" xfId="40156"/>
    <cellStyle name="Обычный 59 7 2" xfId="40157"/>
    <cellStyle name="Обычный 59 8" xfId="40158"/>
    <cellStyle name="Обычный 59 8 2" xfId="40159"/>
    <cellStyle name="Обычный 59 9" xfId="40160"/>
    <cellStyle name="Обычный 6" xfId="40161"/>
    <cellStyle name="Обычный 6 10" xfId="40162"/>
    <cellStyle name="Обычный 6 10 2" xfId="40163"/>
    <cellStyle name="Обычный 6 10 2 2" xfId="40164"/>
    <cellStyle name="Обычный 6 10 2 2 2" xfId="40165"/>
    <cellStyle name="Обычный 6 10 2 2 2 2" xfId="40166"/>
    <cellStyle name="Обычный 6 10 2 2 2 2 2" xfId="40167"/>
    <cellStyle name="Обычный 6 10 2 2 2 3" xfId="40168"/>
    <cellStyle name="Обычный 6 10 2 2 2 3 2" xfId="40169"/>
    <cellStyle name="Обычный 6 10 2 2 2 4" xfId="40170"/>
    <cellStyle name="Обычный 6 10 2 2 3" xfId="40171"/>
    <cellStyle name="Обычный 6 10 2 2 3 2" xfId="40172"/>
    <cellStyle name="Обычный 6 10 2 2 3 2 2" xfId="40173"/>
    <cellStyle name="Обычный 6 10 2 2 3 3" xfId="40174"/>
    <cellStyle name="Обычный 6 10 2 2 4" xfId="40175"/>
    <cellStyle name="Обычный 6 10 2 2 4 2" xfId="40176"/>
    <cellStyle name="Обычный 6 10 2 2 5" xfId="40177"/>
    <cellStyle name="Обычный 6 10 2 2 5 2" xfId="40178"/>
    <cellStyle name="Обычный 6 10 2 2 6" xfId="40179"/>
    <cellStyle name="Обычный 6 10 2 3" xfId="40180"/>
    <cellStyle name="Обычный 6 10 2 3 2" xfId="40181"/>
    <cellStyle name="Обычный 6 10 2 3 2 2" xfId="40182"/>
    <cellStyle name="Обычный 6 10 2 3 2 2 2" xfId="40183"/>
    <cellStyle name="Обычный 6 10 2 3 2 3" xfId="40184"/>
    <cellStyle name="Обычный 6 10 2 3 3" xfId="40185"/>
    <cellStyle name="Обычный 6 10 2 3 3 2" xfId="40186"/>
    <cellStyle name="Обычный 6 10 2 3 3 2 2" xfId="40187"/>
    <cellStyle name="Обычный 6 10 2 3 3 3" xfId="40188"/>
    <cellStyle name="Обычный 6 10 2 3 4" xfId="40189"/>
    <cellStyle name="Обычный 6 10 2 3 4 2" xfId="40190"/>
    <cellStyle name="Обычный 6 10 2 3 5" xfId="40191"/>
    <cellStyle name="Обычный 6 10 2 3 5 2" xfId="40192"/>
    <cellStyle name="Обычный 6 10 2 3 6" xfId="40193"/>
    <cellStyle name="Обычный 6 10 2 4" xfId="40194"/>
    <cellStyle name="Обычный 6 10 2 4 2" xfId="40195"/>
    <cellStyle name="Обычный 6 10 2 4 2 2" xfId="40196"/>
    <cellStyle name="Обычный 6 10 2 4 3" xfId="40197"/>
    <cellStyle name="Обычный 6 10 2 4 3 2" xfId="40198"/>
    <cellStyle name="Обычный 6 10 2 4 4" xfId="40199"/>
    <cellStyle name="Обычный 6 10 2 5" xfId="40200"/>
    <cellStyle name="Обычный 6 10 2 5 2" xfId="40201"/>
    <cellStyle name="Обычный 6 10 2 5 2 2" xfId="40202"/>
    <cellStyle name="Обычный 6 10 2 5 3" xfId="40203"/>
    <cellStyle name="Обычный 6 10 2 6" xfId="40204"/>
    <cellStyle name="Обычный 6 10 2 6 2" xfId="40205"/>
    <cellStyle name="Обычный 6 10 2 7" xfId="40206"/>
    <cellStyle name="Обычный 6 10 2 7 2" xfId="40207"/>
    <cellStyle name="Обычный 6 10 2 8" xfId="40208"/>
    <cellStyle name="Обычный 6 10 3" xfId="40209"/>
    <cellStyle name="Обычный 6 10 3 2" xfId="40210"/>
    <cellStyle name="Обычный 6 10 3 2 2" xfId="40211"/>
    <cellStyle name="Обычный 6 10 3 2 2 2" xfId="40212"/>
    <cellStyle name="Обычный 6 10 3 2 3" xfId="40213"/>
    <cellStyle name="Обычный 6 10 3 3" xfId="40214"/>
    <cellStyle name="Обычный 6 10 3 3 2" xfId="40215"/>
    <cellStyle name="Обычный 6 10 3 3 2 2" xfId="40216"/>
    <cellStyle name="Обычный 6 10 3 3 3" xfId="40217"/>
    <cellStyle name="Обычный 6 10 3 4" xfId="40218"/>
    <cellStyle name="Обычный 6 10 3 4 2" xfId="40219"/>
    <cellStyle name="Обычный 6 10 3 5" xfId="40220"/>
    <cellStyle name="Обычный 6 10 3 5 2" xfId="40221"/>
    <cellStyle name="Обычный 6 10 3 6" xfId="40222"/>
    <cellStyle name="Обычный 6 10 4" xfId="40223"/>
    <cellStyle name="Обычный 6 10 4 2" xfId="40224"/>
    <cellStyle name="Обычный 6 10 4 2 2" xfId="40225"/>
    <cellStyle name="Обычный 6 10 4 2 2 2" xfId="40226"/>
    <cellStyle name="Обычный 6 10 4 2 3" xfId="40227"/>
    <cellStyle name="Обычный 6 10 4 3" xfId="40228"/>
    <cellStyle name="Обычный 6 10 4 3 2" xfId="40229"/>
    <cellStyle name="Обычный 6 10 4 3 2 2" xfId="40230"/>
    <cellStyle name="Обычный 6 10 4 3 3" xfId="40231"/>
    <cellStyle name="Обычный 6 10 4 4" xfId="40232"/>
    <cellStyle name="Обычный 6 10 4 4 2" xfId="40233"/>
    <cellStyle name="Обычный 6 10 4 5" xfId="40234"/>
    <cellStyle name="Обычный 6 10 4 5 2" xfId="40235"/>
    <cellStyle name="Обычный 6 10 4 6" xfId="40236"/>
    <cellStyle name="Обычный 6 10 5" xfId="40237"/>
    <cellStyle name="Обычный 6 10 5 2" xfId="40238"/>
    <cellStyle name="Обычный 6 10 5 2 2" xfId="40239"/>
    <cellStyle name="Обычный 6 10 5 3" xfId="40240"/>
    <cellStyle name="Обычный 6 10 5 3 2" xfId="40241"/>
    <cellStyle name="Обычный 6 10 5 4" xfId="40242"/>
    <cellStyle name="Обычный 6 10 6" xfId="40243"/>
    <cellStyle name="Обычный 6 10 6 2" xfId="40244"/>
    <cellStyle name="Обычный 6 10 6 2 2" xfId="40245"/>
    <cellStyle name="Обычный 6 10 7" xfId="40246"/>
    <cellStyle name="Обычный 6 10 7 2" xfId="40247"/>
    <cellStyle name="Обычный 6 10 8" xfId="40248"/>
    <cellStyle name="Обычный 6 10 9" xfId="40249"/>
    <cellStyle name="Обычный 6 11" xfId="40250"/>
    <cellStyle name="Обычный 6 11 2" xfId="40251"/>
    <cellStyle name="Обычный 6 11 2 2" xfId="40252"/>
    <cellStyle name="Обычный 6 11 2 2 2" xfId="40253"/>
    <cellStyle name="Обычный 6 11 2 2 2 2" xfId="40254"/>
    <cellStyle name="Обычный 6 11 2 2 2 2 2" xfId="40255"/>
    <cellStyle name="Обычный 6 11 2 2 2 3" xfId="40256"/>
    <cellStyle name="Обычный 6 11 2 2 2 3 2" xfId="40257"/>
    <cellStyle name="Обычный 6 11 2 2 2 4" xfId="40258"/>
    <cellStyle name="Обычный 6 11 2 2 3" xfId="40259"/>
    <cellStyle name="Обычный 6 11 2 2 3 2" xfId="40260"/>
    <cellStyle name="Обычный 6 11 2 2 3 2 2" xfId="40261"/>
    <cellStyle name="Обычный 6 11 2 2 3 3" xfId="40262"/>
    <cellStyle name="Обычный 6 11 2 2 4" xfId="40263"/>
    <cellStyle name="Обычный 6 11 2 2 4 2" xfId="40264"/>
    <cellStyle name="Обычный 6 11 2 2 5" xfId="40265"/>
    <cellStyle name="Обычный 6 11 2 2 5 2" xfId="40266"/>
    <cellStyle name="Обычный 6 11 2 2 6" xfId="40267"/>
    <cellStyle name="Обычный 6 11 2 3" xfId="40268"/>
    <cellStyle name="Обычный 6 11 2 3 2" xfId="40269"/>
    <cellStyle name="Обычный 6 11 2 3 2 2" xfId="40270"/>
    <cellStyle name="Обычный 6 11 2 3 2 2 2" xfId="40271"/>
    <cellStyle name="Обычный 6 11 2 3 2 3" xfId="40272"/>
    <cellStyle name="Обычный 6 11 2 3 3" xfId="40273"/>
    <cellStyle name="Обычный 6 11 2 3 3 2" xfId="40274"/>
    <cellStyle name="Обычный 6 11 2 3 3 2 2" xfId="40275"/>
    <cellStyle name="Обычный 6 11 2 3 3 3" xfId="40276"/>
    <cellStyle name="Обычный 6 11 2 3 4" xfId="40277"/>
    <cellStyle name="Обычный 6 11 2 3 4 2" xfId="40278"/>
    <cellStyle name="Обычный 6 11 2 3 5" xfId="40279"/>
    <cellStyle name="Обычный 6 11 2 3 5 2" xfId="40280"/>
    <cellStyle name="Обычный 6 11 2 3 6" xfId="40281"/>
    <cellStyle name="Обычный 6 11 2 4" xfId="40282"/>
    <cellStyle name="Обычный 6 11 2 4 2" xfId="40283"/>
    <cellStyle name="Обычный 6 11 2 4 2 2" xfId="40284"/>
    <cellStyle name="Обычный 6 11 2 4 3" xfId="40285"/>
    <cellStyle name="Обычный 6 11 2 4 3 2" xfId="40286"/>
    <cellStyle name="Обычный 6 11 2 4 4" xfId="40287"/>
    <cellStyle name="Обычный 6 11 2 5" xfId="40288"/>
    <cellStyle name="Обычный 6 11 2 5 2" xfId="40289"/>
    <cellStyle name="Обычный 6 11 2 5 2 2" xfId="40290"/>
    <cellStyle name="Обычный 6 11 2 5 3" xfId="40291"/>
    <cellStyle name="Обычный 6 11 2 6" xfId="40292"/>
    <cellStyle name="Обычный 6 11 2 6 2" xfId="40293"/>
    <cellStyle name="Обычный 6 11 2 7" xfId="40294"/>
    <cellStyle name="Обычный 6 11 2 7 2" xfId="40295"/>
    <cellStyle name="Обычный 6 11 2 8" xfId="40296"/>
    <cellStyle name="Обычный 6 11 3" xfId="40297"/>
    <cellStyle name="Обычный 6 11 3 2" xfId="40298"/>
    <cellStyle name="Обычный 6 11 3 2 2" xfId="40299"/>
    <cellStyle name="Обычный 6 11 3 2 2 2" xfId="40300"/>
    <cellStyle name="Обычный 6 11 3 2 3" xfId="40301"/>
    <cellStyle name="Обычный 6 11 3 3" xfId="40302"/>
    <cellStyle name="Обычный 6 11 3 3 2" xfId="40303"/>
    <cellStyle name="Обычный 6 11 3 3 2 2" xfId="40304"/>
    <cellStyle name="Обычный 6 11 3 3 3" xfId="40305"/>
    <cellStyle name="Обычный 6 11 3 4" xfId="40306"/>
    <cellStyle name="Обычный 6 11 3 4 2" xfId="40307"/>
    <cellStyle name="Обычный 6 11 3 5" xfId="40308"/>
    <cellStyle name="Обычный 6 11 3 5 2" xfId="40309"/>
    <cellStyle name="Обычный 6 11 3 6" xfId="40310"/>
    <cellStyle name="Обычный 6 11 4" xfId="40311"/>
    <cellStyle name="Обычный 6 11 4 2" xfId="40312"/>
    <cellStyle name="Обычный 6 11 4 2 2" xfId="40313"/>
    <cellStyle name="Обычный 6 11 4 2 2 2" xfId="40314"/>
    <cellStyle name="Обычный 6 11 4 2 3" xfId="40315"/>
    <cellStyle name="Обычный 6 11 4 3" xfId="40316"/>
    <cellStyle name="Обычный 6 11 4 3 2" xfId="40317"/>
    <cellStyle name="Обычный 6 11 4 3 2 2" xfId="40318"/>
    <cellStyle name="Обычный 6 11 4 3 3" xfId="40319"/>
    <cellStyle name="Обычный 6 11 4 4" xfId="40320"/>
    <cellStyle name="Обычный 6 11 4 4 2" xfId="40321"/>
    <cellStyle name="Обычный 6 11 4 5" xfId="40322"/>
    <cellStyle name="Обычный 6 11 4 5 2" xfId="40323"/>
    <cellStyle name="Обычный 6 11 4 6" xfId="40324"/>
    <cellStyle name="Обычный 6 11 5" xfId="40325"/>
    <cellStyle name="Обычный 6 11 5 2" xfId="40326"/>
    <cellStyle name="Обычный 6 11 5 2 2" xfId="40327"/>
    <cellStyle name="Обычный 6 11 5 3" xfId="40328"/>
    <cellStyle name="Обычный 6 11 5 3 2" xfId="40329"/>
    <cellStyle name="Обычный 6 11 5 4" xfId="40330"/>
    <cellStyle name="Обычный 6 11 6" xfId="40331"/>
    <cellStyle name="Обычный 6 11 6 2" xfId="40332"/>
    <cellStyle name="Обычный 6 11 6 2 2" xfId="40333"/>
    <cellStyle name="Обычный 6 11 7" xfId="40334"/>
    <cellStyle name="Обычный 6 11 7 2" xfId="40335"/>
    <cellStyle name="Обычный 6 11 8" xfId="40336"/>
    <cellStyle name="Обычный 6 11 9" xfId="40337"/>
    <cellStyle name="Обычный 6 12" xfId="40338"/>
    <cellStyle name="Обычный 6 12 2" xfId="40339"/>
    <cellStyle name="Обычный 6 12 2 2" xfId="40340"/>
    <cellStyle name="Обычный 6 12 2 2 2" xfId="40341"/>
    <cellStyle name="Обычный 6 12 2 2 2 2" xfId="40342"/>
    <cellStyle name="Обычный 6 12 2 2 2 2 2" xfId="40343"/>
    <cellStyle name="Обычный 6 12 2 2 2 3" xfId="40344"/>
    <cellStyle name="Обычный 6 12 2 2 2 3 2" xfId="40345"/>
    <cellStyle name="Обычный 6 12 2 2 2 4" xfId="40346"/>
    <cellStyle name="Обычный 6 12 2 2 3" xfId="40347"/>
    <cellStyle name="Обычный 6 12 2 2 3 2" xfId="40348"/>
    <cellStyle name="Обычный 6 12 2 2 3 2 2" xfId="40349"/>
    <cellStyle name="Обычный 6 12 2 2 3 3" xfId="40350"/>
    <cellStyle name="Обычный 6 12 2 2 4" xfId="40351"/>
    <cellStyle name="Обычный 6 12 2 2 4 2" xfId="40352"/>
    <cellStyle name="Обычный 6 12 2 2 5" xfId="40353"/>
    <cellStyle name="Обычный 6 12 2 2 5 2" xfId="40354"/>
    <cellStyle name="Обычный 6 12 2 2 6" xfId="40355"/>
    <cellStyle name="Обычный 6 12 2 3" xfId="40356"/>
    <cellStyle name="Обычный 6 12 2 3 2" xfId="40357"/>
    <cellStyle name="Обычный 6 12 2 3 2 2" xfId="40358"/>
    <cellStyle name="Обычный 6 12 2 3 2 2 2" xfId="40359"/>
    <cellStyle name="Обычный 6 12 2 3 2 3" xfId="40360"/>
    <cellStyle name="Обычный 6 12 2 3 3" xfId="40361"/>
    <cellStyle name="Обычный 6 12 2 3 3 2" xfId="40362"/>
    <cellStyle name="Обычный 6 12 2 3 3 2 2" xfId="40363"/>
    <cellStyle name="Обычный 6 12 2 3 3 3" xfId="40364"/>
    <cellStyle name="Обычный 6 12 2 3 4" xfId="40365"/>
    <cellStyle name="Обычный 6 12 2 3 4 2" xfId="40366"/>
    <cellStyle name="Обычный 6 12 2 3 5" xfId="40367"/>
    <cellStyle name="Обычный 6 12 2 3 5 2" xfId="40368"/>
    <cellStyle name="Обычный 6 12 2 3 6" xfId="40369"/>
    <cellStyle name="Обычный 6 12 2 4" xfId="40370"/>
    <cellStyle name="Обычный 6 12 2 4 2" xfId="40371"/>
    <cellStyle name="Обычный 6 12 2 4 2 2" xfId="40372"/>
    <cellStyle name="Обычный 6 12 2 4 3" xfId="40373"/>
    <cellStyle name="Обычный 6 12 2 4 3 2" xfId="40374"/>
    <cellStyle name="Обычный 6 12 2 4 4" xfId="40375"/>
    <cellStyle name="Обычный 6 12 2 5" xfId="40376"/>
    <cellStyle name="Обычный 6 12 2 5 2" xfId="40377"/>
    <cellStyle name="Обычный 6 12 2 5 2 2" xfId="40378"/>
    <cellStyle name="Обычный 6 12 2 5 3" xfId="40379"/>
    <cellStyle name="Обычный 6 12 2 6" xfId="40380"/>
    <cellStyle name="Обычный 6 12 2 6 2" xfId="40381"/>
    <cellStyle name="Обычный 6 12 2 7" xfId="40382"/>
    <cellStyle name="Обычный 6 12 2 7 2" xfId="40383"/>
    <cellStyle name="Обычный 6 12 2 8" xfId="40384"/>
    <cellStyle name="Обычный 6 12 3" xfId="40385"/>
    <cellStyle name="Обычный 6 12 3 2" xfId="40386"/>
    <cellStyle name="Обычный 6 12 3 2 2" xfId="40387"/>
    <cellStyle name="Обычный 6 12 3 2 2 2" xfId="40388"/>
    <cellStyle name="Обычный 6 12 3 2 3" xfId="40389"/>
    <cellStyle name="Обычный 6 12 3 3" xfId="40390"/>
    <cellStyle name="Обычный 6 12 3 3 2" xfId="40391"/>
    <cellStyle name="Обычный 6 12 3 3 2 2" xfId="40392"/>
    <cellStyle name="Обычный 6 12 3 3 3" xfId="40393"/>
    <cellStyle name="Обычный 6 12 3 4" xfId="40394"/>
    <cellStyle name="Обычный 6 12 3 4 2" xfId="40395"/>
    <cellStyle name="Обычный 6 12 3 5" xfId="40396"/>
    <cellStyle name="Обычный 6 12 3 5 2" xfId="40397"/>
    <cellStyle name="Обычный 6 12 3 6" xfId="40398"/>
    <cellStyle name="Обычный 6 12 4" xfId="40399"/>
    <cellStyle name="Обычный 6 12 4 2" xfId="40400"/>
    <cellStyle name="Обычный 6 12 4 2 2" xfId="40401"/>
    <cellStyle name="Обычный 6 12 4 2 2 2" xfId="40402"/>
    <cellStyle name="Обычный 6 12 4 2 3" xfId="40403"/>
    <cellStyle name="Обычный 6 12 4 3" xfId="40404"/>
    <cellStyle name="Обычный 6 12 4 3 2" xfId="40405"/>
    <cellStyle name="Обычный 6 12 4 3 2 2" xfId="40406"/>
    <cellStyle name="Обычный 6 12 4 3 3" xfId="40407"/>
    <cellStyle name="Обычный 6 12 4 4" xfId="40408"/>
    <cellStyle name="Обычный 6 12 4 4 2" xfId="40409"/>
    <cellStyle name="Обычный 6 12 4 5" xfId="40410"/>
    <cellStyle name="Обычный 6 12 4 5 2" xfId="40411"/>
    <cellStyle name="Обычный 6 12 4 6" xfId="40412"/>
    <cellStyle name="Обычный 6 12 5" xfId="40413"/>
    <cellStyle name="Обычный 6 12 5 2" xfId="40414"/>
    <cellStyle name="Обычный 6 12 5 2 2" xfId="40415"/>
    <cellStyle name="Обычный 6 12 5 3" xfId="40416"/>
    <cellStyle name="Обычный 6 12 5 3 2" xfId="40417"/>
    <cellStyle name="Обычный 6 12 5 4" xfId="40418"/>
    <cellStyle name="Обычный 6 12 6" xfId="40419"/>
    <cellStyle name="Обычный 6 12 6 2" xfId="40420"/>
    <cellStyle name="Обычный 6 12 6 2 2" xfId="40421"/>
    <cellStyle name="Обычный 6 12 7" xfId="40422"/>
    <cellStyle name="Обычный 6 12 7 2" xfId="40423"/>
    <cellStyle name="Обычный 6 12 8" xfId="40424"/>
    <cellStyle name="Обычный 6 12 9" xfId="40425"/>
    <cellStyle name="Обычный 6 13" xfId="40426"/>
    <cellStyle name="Обычный 6 13 2" xfId="40427"/>
    <cellStyle name="Обычный 6 13 2 2" xfId="40428"/>
    <cellStyle name="Обычный 6 13 2 2 2" xfId="40429"/>
    <cellStyle name="Обычный 6 13 2 2 2 2" xfId="40430"/>
    <cellStyle name="Обычный 6 13 2 2 3" xfId="40431"/>
    <cellStyle name="Обычный 6 13 2 3" xfId="40432"/>
    <cellStyle name="Обычный 6 13 2 3 2" xfId="40433"/>
    <cellStyle name="Обычный 6 13 2 3 2 2" xfId="40434"/>
    <cellStyle name="Обычный 6 13 2 3 3" xfId="40435"/>
    <cellStyle name="Обычный 6 13 2 4" xfId="40436"/>
    <cellStyle name="Обычный 6 13 2 4 2" xfId="40437"/>
    <cellStyle name="Обычный 6 13 2 5" xfId="40438"/>
    <cellStyle name="Обычный 6 13 2 5 2" xfId="40439"/>
    <cellStyle name="Обычный 6 13 2 6" xfId="40440"/>
    <cellStyle name="Обычный 6 13 3" xfId="40441"/>
    <cellStyle name="Обычный 6 13 3 2" xfId="40442"/>
    <cellStyle name="Обычный 6 13 3 2 2" xfId="40443"/>
    <cellStyle name="Обычный 6 13 3 2 2 2" xfId="40444"/>
    <cellStyle name="Обычный 6 13 3 2 3" xfId="40445"/>
    <cellStyle name="Обычный 6 13 3 3" xfId="40446"/>
    <cellStyle name="Обычный 6 13 3 3 2" xfId="40447"/>
    <cellStyle name="Обычный 6 13 3 3 2 2" xfId="40448"/>
    <cellStyle name="Обычный 6 13 3 3 3" xfId="40449"/>
    <cellStyle name="Обычный 6 13 3 4" xfId="40450"/>
    <cellStyle name="Обычный 6 13 3 4 2" xfId="40451"/>
    <cellStyle name="Обычный 6 13 3 5" xfId="40452"/>
    <cellStyle name="Обычный 6 13 3 5 2" xfId="40453"/>
    <cellStyle name="Обычный 6 13 3 6" xfId="40454"/>
    <cellStyle name="Обычный 6 13 4" xfId="40455"/>
    <cellStyle name="Обычный 6 13 4 2" xfId="40456"/>
    <cellStyle name="Обычный 6 13 4 2 2" xfId="40457"/>
    <cellStyle name="Обычный 6 13 4 3" xfId="40458"/>
    <cellStyle name="Обычный 6 13 4 3 2" xfId="40459"/>
    <cellStyle name="Обычный 6 13 4 4" xfId="40460"/>
    <cellStyle name="Обычный 6 13 5" xfId="40461"/>
    <cellStyle name="Обычный 6 13 5 2" xfId="40462"/>
    <cellStyle name="Обычный 6 13 5 2 2" xfId="40463"/>
    <cellStyle name="Обычный 6 13 6" xfId="40464"/>
    <cellStyle name="Обычный 6 13 6 2" xfId="40465"/>
    <cellStyle name="Обычный 6 13 7" xfId="40466"/>
    <cellStyle name="Обычный 6 13 8" xfId="40467"/>
    <cellStyle name="Обычный 6 14" xfId="40468"/>
    <cellStyle name="Обычный 6 14 2" xfId="40469"/>
    <cellStyle name="Обычный 6 14 2 2" xfId="40470"/>
    <cellStyle name="Обычный 6 14 2 2 2" xfId="40471"/>
    <cellStyle name="Обычный 6 14 2 2 2 2" xfId="40472"/>
    <cellStyle name="Обычный 6 14 2 2 3" xfId="40473"/>
    <cellStyle name="Обычный 6 14 2 2 3 2" xfId="40474"/>
    <cellStyle name="Обычный 6 14 2 2 4" xfId="40475"/>
    <cellStyle name="Обычный 6 14 2 3" xfId="40476"/>
    <cellStyle name="Обычный 6 14 2 3 2" xfId="40477"/>
    <cellStyle name="Обычный 6 14 2 3 2 2" xfId="40478"/>
    <cellStyle name="Обычный 6 14 2 3 3" xfId="40479"/>
    <cellStyle name="Обычный 6 14 2 4" xfId="40480"/>
    <cellStyle name="Обычный 6 14 2 4 2" xfId="40481"/>
    <cellStyle name="Обычный 6 14 2 5" xfId="40482"/>
    <cellStyle name="Обычный 6 14 2 5 2" xfId="40483"/>
    <cellStyle name="Обычный 6 14 2 6" xfId="40484"/>
    <cellStyle name="Обычный 6 14 3" xfId="40485"/>
    <cellStyle name="Обычный 6 14 3 2" xfId="40486"/>
    <cellStyle name="Обычный 6 14 3 2 2" xfId="40487"/>
    <cellStyle name="Обычный 6 14 3 2 2 2" xfId="40488"/>
    <cellStyle name="Обычный 6 14 3 2 3" xfId="40489"/>
    <cellStyle name="Обычный 6 14 3 3" xfId="40490"/>
    <cellStyle name="Обычный 6 14 3 3 2" xfId="40491"/>
    <cellStyle name="Обычный 6 14 3 3 2 2" xfId="40492"/>
    <cellStyle name="Обычный 6 14 3 3 3" xfId="40493"/>
    <cellStyle name="Обычный 6 14 3 4" xfId="40494"/>
    <cellStyle name="Обычный 6 14 3 4 2" xfId="40495"/>
    <cellStyle name="Обычный 6 14 3 5" xfId="40496"/>
    <cellStyle name="Обычный 6 14 3 5 2" xfId="40497"/>
    <cellStyle name="Обычный 6 14 3 6" xfId="40498"/>
    <cellStyle name="Обычный 6 14 4" xfId="40499"/>
    <cellStyle name="Обычный 6 14 4 2" xfId="40500"/>
    <cellStyle name="Обычный 6 14 4 2 2" xfId="40501"/>
    <cellStyle name="Обычный 6 14 4 3" xfId="40502"/>
    <cellStyle name="Обычный 6 14 4 3 2" xfId="40503"/>
    <cellStyle name="Обычный 6 14 4 4" xfId="40504"/>
    <cellStyle name="Обычный 6 14 5" xfId="40505"/>
    <cellStyle name="Обычный 6 14 5 2" xfId="40506"/>
    <cellStyle name="Обычный 6 14 5 2 2" xfId="40507"/>
    <cellStyle name="Обычный 6 14 5 3" xfId="40508"/>
    <cellStyle name="Обычный 6 14 6" xfId="40509"/>
    <cellStyle name="Обычный 6 14 6 2" xfId="40510"/>
    <cellStyle name="Обычный 6 14 7" xfId="40511"/>
    <cellStyle name="Обычный 6 14 7 2" xfId="40512"/>
    <cellStyle name="Обычный 6 14 8" xfId="40513"/>
    <cellStyle name="Обычный 6 15" xfId="40514"/>
    <cellStyle name="Обычный 6 15 2" xfId="40515"/>
    <cellStyle name="Обычный 6 15 2 2" xfId="40516"/>
    <cellStyle name="Обычный 6 15 2 2 2" xfId="40517"/>
    <cellStyle name="Обычный 6 15 2 2 2 2" xfId="40518"/>
    <cellStyle name="Обычный 6 15 2 2 3" xfId="40519"/>
    <cellStyle name="Обычный 6 15 2 3" xfId="40520"/>
    <cellStyle name="Обычный 6 15 2 3 2" xfId="40521"/>
    <cellStyle name="Обычный 6 15 2 3 2 2" xfId="40522"/>
    <cellStyle name="Обычный 6 15 2 3 3" xfId="40523"/>
    <cellStyle name="Обычный 6 15 2 4" xfId="40524"/>
    <cellStyle name="Обычный 6 15 2 4 2" xfId="40525"/>
    <cellStyle name="Обычный 6 15 2 5" xfId="40526"/>
    <cellStyle name="Обычный 6 15 2 5 2" xfId="40527"/>
    <cellStyle name="Обычный 6 15 2 6" xfId="40528"/>
    <cellStyle name="Обычный 6 15 3" xfId="40529"/>
    <cellStyle name="Обычный 6 15 3 2" xfId="40530"/>
    <cellStyle name="Обычный 6 15 3 2 2" xfId="40531"/>
    <cellStyle name="Обычный 6 15 3 2 2 2" xfId="40532"/>
    <cellStyle name="Обычный 6 15 3 2 3" xfId="40533"/>
    <cellStyle name="Обычный 6 15 3 3" xfId="40534"/>
    <cellStyle name="Обычный 6 15 3 3 2" xfId="40535"/>
    <cellStyle name="Обычный 6 15 3 3 2 2" xfId="40536"/>
    <cellStyle name="Обычный 6 15 3 3 3" xfId="40537"/>
    <cellStyle name="Обычный 6 15 3 4" xfId="40538"/>
    <cellStyle name="Обычный 6 15 3 4 2" xfId="40539"/>
    <cellStyle name="Обычный 6 15 3 5" xfId="40540"/>
    <cellStyle name="Обычный 6 15 3 5 2" xfId="40541"/>
    <cellStyle name="Обычный 6 15 3 6" xfId="40542"/>
    <cellStyle name="Обычный 6 15 4" xfId="40543"/>
    <cellStyle name="Обычный 6 15 4 2" xfId="40544"/>
    <cellStyle name="Обычный 6 15 4 2 2" xfId="40545"/>
    <cellStyle name="Обычный 6 15 4 3" xfId="40546"/>
    <cellStyle name="Обычный 6 15 4 3 2" xfId="40547"/>
    <cellStyle name="Обычный 6 15 4 4" xfId="40548"/>
    <cellStyle name="Обычный 6 15 5" xfId="40549"/>
    <cellStyle name="Обычный 6 15 5 2" xfId="40550"/>
    <cellStyle name="Обычный 6 15 5 2 2" xfId="40551"/>
    <cellStyle name="Обычный 6 15 5 3" xfId="40552"/>
    <cellStyle name="Обычный 6 15 6" xfId="40553"/>
    <cellStyle name="Обычный 6 15 6 2" xfId="40554"/>
    <cellStyle name="Обычный 6 15 7" xfId="40555"/>
    <cellStyle name="Обычный 6 15 7 2" xfId="40556"/>
    <cellStyle name="Обычный 6 15 8" xfId="40557"/>
    <cellStyle name="Обычный 6 16" xfId="40558"/>
    <cellStyle name="Обычный 6 16 2" xfId="40559"/>
    <cellStyle name="Обычный 6 16 2 2" xfId="40560"/>
    <cellStyle name="Обычный 6 16 2 2 2" xfId="40561"/>
    <cellStyle name="Обычный 6 16 2 2 2 2" xfId="40562"/>
    <cellStyle name="Обычный 6 16 2 2 3" xfId="40563"/>
    <cellStyle name="Обычный 6 16 2 3" xfId="40564"/>
    <cellStyle name="Обычный 6 16 2 3 2" xfId="40565"/>
    <cellStyle name="Обычный 6 16 2 3 2 2" xfId="40566"/>
    <cellStyle name="Обычный 6 16 2 3 3" xfId="40567"/>
    <cellStyle name="Обычный 6 16 2 4" xfId="40568"/>
    <cellStyle name="Обычный 6 16 2 4 2" xfId="40569"/>
    <cellStyle name="Обычный 6 16 2 5" xfId="40570"/>
    <cellStyle name="Обычный 6 16 2 5 2" xfId="40571"/>
    <cellStyle name="Обычный 6 16 2 6" xfId="40572"/>
    <cellStyle name="Обычный 6 16 3" xfId="40573"/>
    <cellStyle name="Обычный 6 16 3 2" xfId="40574"/>
    <cellStyle name="Обычный 6 16 3 2 2" xfId="40575"/>
    <cellStyle name="Обычный 6 16 3 2 2 2" xfId="40576"/>
    <cellStyle name="Обычный 6 16 3 2 3" xfId="40577"/>
    <cellStyle name="Обычный 6 16 3 3" xfId="40578"/>
    <cellStyle name="Обычный 6 16 3 3 2" xfId="40579"/>
    <cellStyle name="Обычный 6 16 3 3 2 2" xfId="40580"/>
    <cellStyle name="Обычный 6 16 3 3 3" xfId="40581"/>
    <cellStyle name="Обычный 6 16 3 4" xfId="40582"/>
    <cellStyle name="Обычный 6 16 3 4 2" xfId="40583"/>
    <cellStyle name="Обычный 6 16 3 5" xfId="40584"/>
    <cellStyle name="Обычный 6 16 3 5 2" xfId="40585"/>
    <cellStyle name="Обычный 6 16 3 6" xfId="40586"/>
    <cellStyle name="Обычный 6 16 4" xfId="40587"/>
    <cellStyle name="Обычный 6 16 4 2" xfId="40588"/>
    <cellStyle name="Обычный 6 16 4 2 2" xfId="40589"/>
    <cellStyle name="Обычный 6 16 4 3" xfId="40590"/>
    <cellStyle name="Обычный 6 16 4 3 2" xfId="40591"/>
    <cellStyle name="Обычный 6 16 4 4" xfId="40592"/>
    <cellStyle name="Обычный 6 16 5" xfId="40593"/>
    <cellStyle name="Обычный 6 16 5 2" xfId="40594"/>
    <cellStyle name="Обычный 6 16 5 2 2" xfId="40595"/>
    <cellStyle name="Обычный 6 16 5 3" xfId="40596"/>
    <cellStyle name="Обычный 6 16 6" xfId="40597"/>
    <cellStyle name="Обычный 6 16 6 2" xfId="40598"/>
    <cellStyle name="Обычный 6 16 7" xfId="40599"/>
    <cellStyle name="Обычный 6 16 7 2" xfId="40600"/>
    <cellStyle name="Обычный 6 16 8" xfId="40601"/>
    <cellStyle name="Обычный 6 17" xfId="40602"/>
    <cellStyle name="Обычный 6 17 2" xfId="40603"/>
    <cellStyle name="Обычный 6 17 2 2" xfId="40604"/>
    <cellStyle name="Обычный 6 17 2 2 2" xfId="40605"/>
    <cellStyle name="Обычный 6 17 2 2 2 2" xfId="40606"/>
    <cellStyle name="Обычный 6 17 2 2 3" xfId="40607"/>
    <cellStyle name="Обычный 6 17 2 3" xfId="40608"/>
    <cellStyle name="Обычный 6 17 2 3 2" xfId="40609"/>
    <cellStyle name="Обычный 6 17 2 3 2 2" xfId="40610"/>
    <cellStyle name="Обычный 6 17 2 3 3" xfId="40611"/>
    <cellStyle name="Обычный 6 17 2 4" xfId="40612"/>
    <cellStyle name="Обычный 6 17 2 4 2" xfId="40613"/>
    <cellStyle name="Обычный 6 17 2 5" xfId="40614"/>
    <cellStyle name="Обычный 6 17 2 5 2" xfId="40615"/>
    <cellStyle name="Обычный 6 17 2 6" xfId="40616"/>
    <cellStyle name="Обычный 6 17 3" xfId="40617"/>
    <cellStyle name="Обычный 6 17 3 2" xfId="40618"/>
    <cellStyle name="Обычный 6 17 3 2 2" xfId="40619"/>
    <cellStyle name="Обычный 6 17 3 2 2 2" xfId="40620"/>
    <cellStyle name="Обычный 6 17 3 2 3" xfId="40621"/>
    <cellStyle name="Обычный 6 17 3 3" xfId="40622"/>
    <cellStyle name="Обычный 6 17 3 3 2" xfId="40623"/>
    <cellStyle name="Обычный 6 17 3 3 2 2" xfId="40624"/>
    <cellStyle name="Обычный 6 17 3 3 3" xfId="40625"/>
    <cellStyle name="Обычный 6 17 3 4" xfId="40626"/>
    <cellStyle name="Обычный 6 17 3 4 2" xfId="40627"/>
    <cellStyle name="Обычный 6 17 3 5" xfId="40628"/>
    <cellStyle name="Обычный 6 17 3 5 2" xfId="40629"/>
    <cellStyle name="Обычный 6 17 3 6" xfId="40630"/>
    <cellStyle name="Обычный 6 17 4" xfId="40631"/>
    <cellStyle name="Обычный 6 17 4 2" xfId="40632"/>
    <cellStyle name="Обычный 6 17 4 2 2" xfId="40633"/>
    <cellStyle name="Обычный 6 17 4 3" xfId="40634"/>
    <cellStyle name="Обычный 6 17 4 3 2" xfId="40635"/>
    <cellStyle name="Обычный 6 17 4 4" xfId="40636"/>
    <cellStyle name="Обычный 6 17 5" xfId="40637"/>
    <cellStyle name="Обычный 6 17 5 2" xfId="40638"/>
    <cellStyle name="Обычный 6 17 5 2 2" xfId="40639"/>
    <cellStyle name="Обычный 6 17 5 3" xfId="40640"/>
    <cellStyle name="Обычный 6 17 6" xfId="40641"/>
    <cellStyle name="Обычный 6 17 6 2" xfId="40642"/>
    <cellStyle name="Обычный 6 17 7" xfId="40643"/>
    <cellStyle name="Обычный 6 17 7 2" xfId="40644"/>
    <cellStyle name="Обычный 6 17 8" xfId="40645"/>
    <cellStyle name="Обычный 6 18" xfId="40646"/>
    <cellStyle name="Обычный 6 18 2" xfId="40647"/>
    <cellStyle name="Обычный 6 18 2 2" xfId="40648"/>
    <cellStyle name="Обычный 6 18 2 2 2" xfId="40649"/>
    <cellStyle name="Обычный 6 18 2 2 2 2" xfId="40650"/>
    <cellStyle name="Обычный 6 18 2 2 3" xfId="40651"/>
    <cellStyle name="Обычный 6 18 2 3" xfId="40652"/>
    <cellStyle name="Обычный 6 18 2 3 2" xfId="40653"/>
    <cellStyle name="Обычный 6 18 2 3 2 2" xfId="40654"/>
    <cellStyle name="Обычный 6 18 2 3 3" xfId="40655"/>
    <cellStyle name="Обычный 6 18 2 4" xfId="40656"/>
    <cellStyle name="Обычный 6 18 2 4 2" xfId="40657"/>
    <cellStyle name="Обычный 6 18 2 5" xfId="40658"/>
    <cellStyle name="Обычный 6 18 2 5 2" xfId="40659"/>
    <cellStyle name="Обычный 6 18 2 6" xfId="40660"/>
    <cellStyle name="Обычный 6 18 3" xfId="40661"/>
    <cellStyle name="Обычный 6 18 3 2" xfId="40662"/>
    <cellStyle name="Обычный 6 18 3 2 2" xfId="40663"/>
    <cellStyle name="Обычный 6 18 3 2 2 2" xfId="40664"/>
    <cellStyle name="Обычный 6 18 3 2 3" xfId="40665"/>
    <cellStyle name="Обычный 6 18 3 3" xfId="40666"/>
    <cellStyle name="Обычный 6 18 3 3 2" xfId="40667"/>
    <cellStyle name="Обычный 6 18 3 3 2 2" xfId="40668"/>
    <cellStyle name="Обычный 6 18 3 3 3" xfId="40669"/>
    <cellStyle name="Обычный 6 18 3 4" xfId="40670"/>
    <cellStyle name="Обычный 6 18 3 4 2" xfId="40671"/>
    <cellStyle name="Обычный 6 18 3 5" xfId="40672"/>
    <cellStyle name="Обычный 6 18 3 5 2" xfId="40673"/>
    <cellStyle name="Обычный 6 18 3 6" xfId="40674"/>
    <cellStyle name="Обычный 6 18 4" xfId="40675"/>
    <cellStyle name="Обычный 6 18 4 2" xfId="40676"/>
    <cellStyle name="Обычный 6 18 4 2 2" xfId="40677"/>
    <cellStyle name="Обычный 6 18 4 3" xfId="40678"/>
    <cellStyle name="Обычный 6 18 4 3 2" xfId="40679"/>
    <cellStyle name="Обычный 6 18 4 4" xfId="40680"/>
    <cellStyle name="Обычный 6 18 5" xfId="40681"/>
    <cellStyle name="Обычный 6 18 5 2" xfId="40682"/>
    <cellStyle name="Обычный 6 18 5 2 2" xfId="40683"/>
    <cellStyle name="Обычный 6 18 5 3" xfId="40684"/>
    <cellStyle name="Обычный 6 18 6" xfId="40685"/>
    <cellStyle name="Обычный 6 18 6 2" xfId="40686"/>
    <cellStyle name="Обычный 6 18 7" xfId="40687"/>
    <cellStyle name="Обычный 6 18 7 2" xfId="40688"/>
    <cellStyle name="Обычный 6 18 8" xfId="40689"/>
    <cellStyle name="Обычный 6 19" xfId="40690"/>
    <cellStyle name="Обычный 6 19 2" xfId="40691"/>
    <cellStyle name="Обычный 6 19 2 2" xfId="40692"/>
    <cellStyle name="Обычный 6 19 2 2 2" xfId="40693"/>
    <cellStyle name="Обычный 6 19 2 2 2 2" xfId="40694"/>
    <cellStyle name="Обычный 6 19 2 2 3" xfId="40695"/>
    <cellStyle name="Обычный 6 19 2 3" xfId="40696"/>
    <cellStyle name="Обычный 6 19 2 3 2" xfId="40697"/>
    <cellStyle name="Обычный 6 19 2 3 2 2" xfId="40698"/>
    <cellStyle name="Обычный 6 19 2 3 3" xfId="40699"/>
    <cellStyle name="Обычный 6 19 2 4" xfId="40700"/>
    <cellStyle name="Обычный 6 19 2 4 2" xfId="40701"/>
    <cellStyle name="Обычный 6 19 2 5" xfId="40702"/>
    <cellStyle name="Обычный 6 19 2 5 2" xfId="40703"/>
    <cellStyle name="Обычный 6 19 2 6" xfId="40704"/>
    <cellStyle name="Обычный 6 19 3" xfId="40705"/>
    <cellStyle name="Обычный 6 19 3 2" xfId="40706"/>
    <cellStyle name="Обычный 6 19 3 2 2" xfId="40707"/>
    <cellStyle name="Обычный 6 19 3 2 2 2" xfId="40708"/>
    <cellStyle name="Обычный 6 19 3 2 3" xfId="40709"/>
    <cellStyle name="Обычный 6 19 3 3" xfId="40710"/>
    <cellStyle name="Обычный 6 19 3 3 2" xfId="40711"/>
    <cellStyle name="Обычный 6 19 3 3 2 2" xfId="40712"/>
    <cellStyle name="Обычный 6 19 3 3 3" xfId="40713"/>
    <cellStyle name="Обычный 6 19 3 4" xfId="40714"/>
    <cellStyle name="Обычный 6 19 3 4 2" xfId="40715"/>
    <cellStyle name="Обычный 6 19 3 5" xfId="40716"/>
    <cellStyle name="Обычный 6 19 3 5 2" xfId="40717"/>
    <cellStyle name="Обычный 6 19 3 6" xfId="40718"/>
    <cellStyle name="Обычный 6 19 4" xfId="40719"/>
    <cellStyle name="Обычный 6 19 4 2" xfId="40720"/>
    <cellStyle name="Обычный 6 19 4 2 2" xfId="40721"/>
    <cellStyle name="Обычный 6 19 4 3" xfId="40722"/>
    <cellStyle name="Обычный 6 19 4 3 2" xfId="40723"/>
    <cellStyle name="Обычный 6 19 4 4" xfId="40724"/>
    <cellStyle name="Обычный 6 19 5" xfId="40725"/>
    <cellStyle name="Обычный 6 19 5 2" xfId="40726"/>
    <cellStyle name="Обычный 6 19 5 2 2" xfId="40727"/>
    <cellStyle name="Обычный 6 19 5 3" xfId="40728"/>
    <cellStyle name="Обычный 6 19 6" xfId="40729"/>
    <cellStyle name="Обычный 6 19 6 2" xfId="40730"/>
    <cellStyle name="Обычный 6 19 7" xfId="40731"/>
    <cellStyle name="Обычный 6 19 7 2" xfId="40732"/>
    <cellStyle name="Обычный 6 19 8" xfId="40733"/>
    <cellStyle name="Обычный 6 2" xfId="40734"/>
    <cellStyle name="Обычный 6 2 10" xfId="40735"/>
    <cellStyle name="Обычный 6 2 11" xfId="40736"/>
    <cellStyle name="Обычный 6 2 11 2" xfId="40737"/>
    <cellStyle name="Обычный 6 2 11 3" xfId="40738"/>
    <cellStyle name="Обычный 6 2 11 3 2" xfId="40739"/>
    <cellStyle name="Обычный 6 2 11 3 2 2" xfId="40740"/>
    <cellStyle name="Обычный 6 2 11 3 3" xfId="40741"/>
    <cellStyle name="Обычный 6 2 11 4" xfId="40742"/>
    <cellStyle name="Обычный 6 2 11 4 2" xfId="40743"/>
    <cellStyle name="Обычный 6 2 11 4 2 2" xfId="40744"/>
    <cellStyle name="Обычный 6 2 11 4 3" xfId="40745"/>
    <cellStyle name="Обычный 6 2 11 5" xfId="40746"/>
    <cellStyle name="Обычный 6 2 11 5 2" xfId="40747"/>
    <cellStyle name="Обычный 6 2 12" xfId="40748"/>
    <cellStyle name="Обычный 6 2 12 2" xfId="40749"/>
    <cellStyle name="Обычный 6 2 12 2 2" xfId="40750"/>
    <cellStyle name="Обычный 6 2 12 2 2 2" xfId="40751"/>
    <cellStyle name="Обычный 6 2 12 2 2 2 2" xfId="40752"/>
    <cellStyle name="Обычный 6 2 12 2 2 3" xfId="40753"/>
    <cellStyle name="Обычный 6 2 12 2 3" xfId="40754"/>
    <cellStyle name="Обычный 6 2 12 2 3 2" xfId="40755"/>
    <cellStyle name="Обычный 6 2 12 2 3 2 2" xfId="40756"/>
    <cellStyle name="Обычный 6 2 12 2 3 3" xfId="40757"/>
    <cellStyle name="Обычный 6 2 12 2 4" xfId="40758"/>
    <cellStyle name="Обычный 6 2 12 2 4 2" xfId="40759"/>
    <cellStyle name="Обычный 6 2 12 2 5" xfId="40760"/>
    <cellStyle name="Обычный 6 2 12 2 5 2" xfId="40761"/>
    <cellStyle name="Обычный 6 2 12 2 6" xfId="40762"/>
    <cellStyle name="Обычный 6 2 12 3" xfId="40763"/>
    <cellStyle name="Обычный 6 2 12 3 2" xfId="40764"/>
    <cellStyle name="Обычный 6 2 12 3 2 2" xfId="40765"/>
    <cellStyle name="Обычный 6 2 12 3 2 2 2" xfId="40766"/>
    <cellStyle name="Обычный 6 2 12 3 2 3" xfId="40767"/>
    <cellStyle name="Обычный 6 2 12 3 3" xfId="40768"/>
    <cellStyle name="Обычный 6 2 12 3 3 2" xfId="40769"/>
    <cellStyle name="Обычный 6 2 12 3 3 2 2" xfId="40770"/>
    <cellStyle name="Обычный 6 2 12 3 3 3" xfId="40771"/>
    <cellStyle name="Обычный 6 2 12 3 4" xfId="40772"/>
    <cellStyle name="Обычный 6 2 12 3 4 2" xfId="40773"/>
    <cellStyle name="Обычный 6 2 12 3 5" xfId="40774"/>
    <cellStyle name="Обычный 6 2 12 3 5 2" xfId="40775"/>
    <cellStyle name="Обычный 6 2 12 3 6" xfId="40776"/>
    <cellStyle name="Обычный 6 2 12 4" xfId="40777"/>
    <cellStyle name="Обычный 6 2 12 4 2" xfId="40778"/>
    <cellStyle name="Обычный 6 2 12 4 2 2" xfId="40779"/>
    <cellStyle name="Обычный 6 2 12 4 3" xfId="40780"/>
    <cellStyle name="Обычный 6 2 12 5" xfId="40781"/>
    <cellStyle name="Обычный 6 2 12 5 2" xfId="40782"/>
    <cellStyle name="Обычный 6 2 12 5 2 2" xfId="40783"/>
    <cellStyle name="Обычный 6 2 12 5 3" xfId="40784"/>
    <cellStyle name="Обычный 6 2 12 6" xfId="40785"/>
    <cellStyle name="Обычный 6 2 12 6 2" xfId="40786"/>
    <cellStyle name="Обычный 6 2 12 7" xfId="40787"/>
    <cellStyle name="Обычный 6 2 12 7 2" xfId="40788"/>
    <cellStyle name="Обычный 6 2 12 8" xfId="40789"/>
    <cellStyle name="Обычный 6 2 13" xfId="40790"/>
    <cellStyle name="Обычный 6 2 13 2" xfId="40791"/>
    <cellStyle name="Обычный 6 2 13 2 2" xfId="40792"/>
    <cellStyle name="Обычный 6 2 13 2 2 2" xfId="40793"/>
    <cellStyle name="Обычный 6 2 13 2 3" xfId="40794"/>
    <cellStyle name="Обычный 6 2 13 3" xfId="40795"/>
    <cellStyle name="Обычный 6 2 13 3 2" xfId="40796"/>
    <cellStyle name="Обычный 6 2 13 3 2 2" xfId="40797"/>
    <cellStyle name="Обычный 6 2 13 3 3" xfId="40798"/>
    <cellStyle name="Обычный 6 2 13 4" xfId="40799"/>
    <cellStyle name="Обычный 6 2 13 4 2" xfId="40800"/>
    <cellStyle name="Обычный 6 2 13 5" xfId="40801"/>
    <cellStyle name="Обычный 6 2 13 5 2" xfId="40802"/>
    <cellStyle name="Обычный 6 2 13 6" xfId="40803"/>
    <cellStyle name="Обычный 6 2 14" xfId="40804"/>
    <cellStyle name="Обычный 6 2 14 2" xfId="40805"/>
    <cellStyle name="Обычный 6 2 14 2 2" xfId="40806"/>
    <cellStyle name="Обычный 6 2 14 2 2 2" xfId="40807"/>
    <cellStyle name="Обычный 6 2 14 2 3" xfId="40808"/>
    <cellStyle name="Обычный 6 2 14 3" xfId="40809"/>
    <cellStyle name="Обычный 6 2 14 3 2" xfId="40810"/>
    <cellStyle name="Обычный 6 2 14 3 2 2" xfId="40811"/>
    <cellStyle name="Обычный 6 2 14 3 3" xfId="40812"/>
    <cellStyle name="Обычный 6 2 14 4" xfId="40813"/>
    <cellStyle name="Обычный 6 2 14 4 2" xfId="40814"/>
    <cellStyle name="Обычный 6 2 14 5" xfId="40815"/>
    <cellStyle name="Обычный 6 2 14 5 2" xfId="40816"/>
    <cellStyle name="Обычный 6 2 14 6" xfId="40817"/>
    <cellStyle name="Обычный 6 2 15" xfId="40818"/>
    <cellStyle name="Обычный 6 2 15 2" xfId="40819"/>
    <cellStyle name="Обычный 6 2 16" xfId="40820"/>
    <cellStyle name="Обычный 6 2 2" xfId="40821"/>
    <cellStyle name="Обычный 6 2 2 10" xfId="40822"/>
    <cellStyle name="Обычный 6 2 2 11" xfId="40823"/>
    <cellStyle name="Обычный 6 2 2 12" xfId="40824"/>
    <cellStyle name="Обычный 6 2 2 2" xfId="40825"/>
    <cellStyle name="Обычный 6 2 2 3" xfId="40826"/>
    <cellStyle name="Обычный 6 2 2 4" xfId="40827"/>
    <cellStyle name="Обычный 6 2 2 5" xfId="40828"/>
    <cellStyle name="Обычный 6 2 2 6" xfId="40829"/>
    <cellStyle name="Обычный 6 2 2 7" xfId="40830"/>
    <cellStyle name="Обычный 6 2 2 8" xfId="40831"/>
    <cellStyle name="Обычный 6 2 2 9" xfId="40832"/>
    <cellStyle name="Обычный 6 2 3" xfId="40833"/>
    <cellStyle name="Обычный 6 2 3 2" xfId="40834"/>
    <cellStyle name="Обычный 6 2 3 2 2" xfId="40835"/>
    <cellStyle name="Обычный 6 2 3 2 2 2" xfId="40836"/>
    <cellStyle name="Обычный 6 2 3 2 2 2 2" xfId="40837"/>
    <cellStyle name="Обычный 6 2 3 2 2 3" xfId="40838"/>
    <cellStyle name="Обычный 6 2 3 2 2 3 2" xfId="40839"/>
    <cellStyle name="Обычный 6 2 3 2 2 4" xfId="40840"/>
    <cellStyle name="Обычный 6 2 3 2 3" xfId="40841"/>
    <cellStyle name="Обычный 6 2 3 2 3 2" xfId="40842"/>
    <cellStyle name="Обычный 6 2 3 2 3 2 2" xfId="40843"/>
    <cellStyle name="Обычный 6 2 3 2 3 3" xfId="40844"/>
    <cellStyle name="Обычный 6 2 3 2 4" xfId="40845"/>
    <cellStyle name="Обычный 6 2 3 2 4 2" xfId="40846"/>
    <cellStyle name="Обычный 6 2 3 2 5" xfId="40847"/>
    <cellStyle name="Обычный 6 2 3 2 5 2" xfId="40848"/>
    <cellStyle name="Обычный 6 2 3 2 6" xfId="40849"/>
    <cellStyle name="Обычный 6 2 3 3" xfId="40850"/>
    <cellStyle name="Обычный 6 2 4" xfId="40851"/>
    <cellStyle name="Обычный 6 2 4 2" xfId="40852"/>
    <cellStyle name="Обычный 6 2 4 2 2" xfId="40853"/>
    <cellStyle name="Обычный 6 2 4 2 2 2" xfId="40854"/>
    <cellStyle name="Обычный 6 2 4 2 2 2 2" xfId="40855"/>
    <cellStyle name="Обычный 6 2 4 2 2 3" xfId="40856"/>
    <cellStyle name="Обычный 6 2 4 2 3" xfId="40857"/>
    <cellStyle name="Обычный 6 2 4 2 3 2" xfId="40858"/>
    <cellStyle name="Обычный 6 2 4 2 4" xfId="40859"/>
    <cellStyle name="Обычный 6 2 4 2 4 2" xfId="40860"/>
    <cellStyle name="Обычный 6 2 4 2 5" xfId="40861"/>
    <cellStyle name="Обычный 6 2 4 3" xfId="40862"/>
    <cellStyle name="Обычный 6 2 5" xfId="40863"/>
    <cellStyle name="Обычный 6 2 6" xfId="40864"/>
    <cellStyle name="Обычный 6 2 7" xfId="40865"/>
    <cellStyle name="Обычный 6 2 8" xfId="40866"/>
    <cellStyle name="Обычный 6 2 9" xfId="40867"/>
    <cellStyle name="Обычный 6 20" xfId="40868"/>
    <cellStyle name="Обычный 6 20 2" xfId="40869"/>
    <cellStyle name="Обычный 6 20 2 2" xfId="40870"/>
    <cellStyle name="Обычный 6 20 2 2 2" xfId="40871"/>
    <cellStyle name="Обычный 6 20 2 2 2 2" xfId="40872"/>
    <cellStyle name="Обычный 6 20 2 2 3" xfId="40873"/>
    <cellStyle name="Обычный 6 20 2 3" xfId="40874"/>
    <cellStyle name="Обычный 6 20 2 3 2" xfId="40875"/>
    <cellStyle name="Обычный 6 20 2 3 2 2" xfId="40876"/>
    <cellStyle name="Обычный 6 20 2 3 3" xfId="40877"/>
    <cellStyle name="Обычный 6 20 2 4" xfId="40878"/>
    <cellStyle name="Обычный 6 20 2 4 2" xfId="40879"/>
    <cellStyle name="Обычный 6 20 2 5" xfId="40880"/>
    <cellStyle name="Обычный 6 20 2 5 2" xfId="40881"/>
    <cellStyle name="Обычный 6 20 2 6" xfId="40882"/>
    <cellStyle name="Обычный 6 20 3" xfId="40883"/>
    <cellStyle name="Обычный 6 20 3 2" xfId="40884"/>
    <cellStyle name="Обычный 6 20 3 2 2" xfId="40885"/>
    <cellStyle name="Обычный 6 20 3 2 2 2" xfId="40886"/>
    <cellStyle name="Обычный 6 20 3 2 3" xfId="40887"/>
    <cellStyle name="Обычный 6 20 3 3" xfId="40888"/>
    <cellStyle name="Обычный 6 20 3 3 2" xfId="40889"/>
    <cellStyle name="Обычный 6 20 3 3 2 2" xfId="40890"/>
    <cellStyle name="Обычный 6 20 3 3 3" xfId="40891"/>
    <cellStyle name="Обычный 6 20 3 4" xfId="40892"/>
    <cellStyle name="Обычный 6 20 3 4 2" xfId="40893"/>
    <cellStyle name="Обычный 6 20 3 5" xfId="40894"/>
    <cellStyle name="Обычный 6 20 3 5 2" xfId="40895"/>
    <cellStyle name="Обычный 6 20 3 6" xfId="40896"/>
    <cellStyle name="Обычный 6 20 4" xfId="40897"/>
    <cellStyle name="Обычный 6 20 4 2" xfId="40898"/>
    <cellStyle name="Обычный 6 20 4 2 2" xfId="40899"/>
    <cellStyle name="Обычный 6 20 4 3" xfId="40900"/>
    <cellStyle name="Обычный 6 20 4 3 2" xfId="40901"/>
    <cellStyle name="Обычный 6 20 4 4" xfId="40902"/>
    <cellStyle name="Обычный 6 20 5" xfId="40903"/>
    <cellStyle name="Обычный 6 20 5 2" xfId="40904"/>
    <cellStyle name="Обычный 6 20 5 2 2" xfId="40905"/>
    <cellStyle name="Обычный 6 20 5 3" xfId="40906"/>
    <cellStyle name="Обычный 6 20 6" xfId="40907"/>
    <cellStyle name="Обычный 6 20 6 2" xfId="40908"/>
    <cellStyle name="Обычный 6 20 7" xfId="40909"/>
    <cellStyle name="Обычный 6 20 7 2" xfId="40910"/>
    <cellStyle name="Обычный 6 20 8" xfId="40911"/>
    <cellStyle name="Обычный 6 21" xfId="40912"/>
    <cellStyle name="Обычный 6 21 2" xfId="40913"/>
    <cellStyle name="Обычный 6 21 2 2" xfId="40914"/>
    <cellStyle name="Обычный 6 21 2 2 2" xfId="40915"/>
    <cellStyle name="Обычный 6 21 2 2 2 2" xfId="40916"/>
    <cellStyle name="Обычный 6 21 2 2 3" xfId="40917"/>
    <cellStyle name="Обычный 6 21 2 3" xfId="40918"/>
    <cellStyle name="Обычный 6 21 2 3 2" xfId="40919"/>
    <cellStyle name="Обычный 6 21 2 3 2 2" xfId="40920"/>
    <cellStyle name="Обычный 6 21 2 3 3" xfId="40921"/>
    <cellStyle name="Обычный 6 21 2 4" xfId="40922"/>
    <cellStyle name="Обычный 6 21 2 4 2" xfId="40923"/>
    <cellStyle name="Обычный 6 21 2 5" xfId="40924"/>
    <cellStyle name="Обычный 6 21 2 5 2" xfId="40925"/>
    <cellStyle name="Обычный 6 21 2 6" xfId="40926"/>
    <cellStyle name="Обычный 6 21 3" xfId="40927"/>
    <cellStyle name="Обычный 6 21 3 2" xfId="40928"/>
    <cellStyle name="Обычный 6 21 3 2 2" xfId="40929"/>
    <cellStyle name="Обычный 6 21 3 2 2 2" xfId="40930"/>
    <cellStyle name="Обычный 6 21 3 2 3" xfId="40931"/>
    <cellStyle name="Обычный 6 21 3 3" xfId="40932"/>
    <cellStyle name="Обычный 6 21 3 3 2" xfId="40933"/>
    <cellStyle name="Обычный 6 21 3 3 2 2" xfId="40934"/>
    <cellStyle name="Обычный 6 21 3 3 3" xfId="40935"/>
    <cellStyle name="Обычный 6 21 3 4" xfId="40936"/>
    <cellStyle name="Обычный 6 21 3 4 2" xfId="40937"/>
    <cellStyle name="Обычный 6 21 3 5" xfId="40938"/>
    <cellStyle name="Обычный 6 21 3 5 2" xfId="40939"/>
    <cellStyle name="Обычный 6 21 3 6" xfId="40940"/>
    <cellStyle name="Обычный 6 21 4" xfId="40941"/>
    <cellStyle name="Обычный 6 21 4 2" xfId="40942"/>
    <cellStyle name="Обычный 6 21 4 2 2" xfId="40943"/>
    <cellStyle name="Обычный 6 21 4 3" xfId="40944"/>
    <cellStyle name="Обычный 6 21 4 3 2" xfId="40945"/>
    <cellStyle name="Обычный 6 21 4 4" xfId="40946"/>
    <cellStyle name="Обычный 6 21 5" xfId="40947"/>
    <cellStyle name="Обычный 6 21 5 2" xfId="40948"/>
    <cellStyle name="Обычный 6 21 5 2 2" xfId="40949"/>
    <cellStyle name="Обычный 6 21 5 3" xfId="40950"/>
    <cellStyle name="Обычный 6 21 6" xfId="40951"/>
    <cellStyle name="Обычный 6 21 6 2" xfId="40952"/>
    <cellStyle name="Обычный 6 21 7" xfId="40953"/>
    <cellStyle name="Обычный 6 21 7 2" xfId="40954"/>
    <cellStyle name="Обычный 6 21 8" xfId="40955"/>
    <cellStyle name="Обычный 6 22" xfId="40956"/>
    <cellStyle name="Обычный 6 22 2" xfId="40957"/>
    <cellStyle name="Обычный 6 22 2 2" xfId="40958"/>
    <cellStyle name="Обычный 6 22 2 2 2" xfId="40959"/>
    <cellStyle name="Обычный 6 22 2 2 2 2" xfId="40960"/>
    <cellStyle name="Обычный 6 22 2 2 3" xfId="40961"/>
    <cellStyle name="Обычный 6 22 2 3" xfId="40962"/>
    <cellStyle name="Обычный 6 22 2 3 2" xfId="40963"/>
    <cellStyle name="Обычный 6 22 2 3 2 2" xfId="40964"/>
    <cellStyle name="Обычный 6 22 2 3 3" xfId="40965"/>
    <cellStyle name="Обычный 6 22 2 4" xfId="40966"/>
    <cellStyle name="Обычный 6 22 2 4 2" xfId="40967"/>
    <cellStyle name="Обычный 6 22 2 5" xfId="40968"/>
    <cellStyle name="Обычный 6 22 2 5 2" xfId="40969"/>
    <cellStyle name="Обычный 6 22 2 6" xfId="40970"/>
    <cellStyle name="Обычный 6 22 3" xfId="40971"/>
    <cellStyle name="Обычный 6 22 3 2" xfId="40972"/>
    <cellStyle name="Обычный 6 22 3 2 2" xfId="40973"/>
    <cellStyle name="Обычный 6 22 3 2 2 2" xfId="40974"/>
    <cellStyle name="Обычный 6 22 3 2 3" xfId="40975"/>
    <cellStyle name="Обычный 6 22 3 3" xfId="40976"/>
    <cellStyle name="Обычный 6 22 3 3 2" xfId="40977"/>
    <cellStyle name="Обычный 6 22 3 3 2 2" xfId="40978"/>
    <cellStyle name="Обычный 6 22 3 3 3" xfId="40979"/>
    <cellStyle name="Обычный 6 22 3 4" xfId="40980"/>
    <cellStyle name="Обычный 6 22 3 4 2" xfId="40981"/>
    <cellStyle name="Обычный 6 22 3 5" xfId="40982"/>
    <cellStyle name="Обычный 6 22 3 5 2" xfId="40983"/>
    <cellStyle name="Обычный 6 22 3 6" xfId="40984"/>
    <cellStyle name="Обычный 6 22 4" xfId="40985"/>
    <cellStyle name="Обычный 6 22 4 2" xfId="40986"/>
    <cellStyle name="Обычный 6 22 4 2 2" xfId="40987"/>
    <cellStyle name="Обычный 6 22 4 3" xfId="40988"/>
    <cellStyle name="Обычный 6 22 4 3 2" xfId="40989"/>
    <cellStyle name="Обычный 6 22 4 4" xfId="40990"/>
    <cellStyle name="Обычный 6 22 5" xfId="40991"/>
    <cellStyle name="Обычный 6 22 5 2" xfId="40992"/>
    <cellStyle name="Обычный 6 22 5 2 2" xfId="40993"/>
    <cellStyle name="Обычный 6 22 5 3" xfId="40994"/>
    <cellStyle name="Обычный 6 22 6" xfId="40995"/>
    <cellStyle name="Обычный 6 22 6 2" xfId="40996"/>
    <cellStyle name="Обычный 6 22 7" xfId="40997"/>
    <cellStyle name="Обычный 6 22 7 2" xfId="40998"/>
    <cellStyle name="Обычный 6 22 8" xfId="40999"/>
    <cellStyle name="Обычный 6 23" xfId="41000"/>
    <cellStyle name="Обычный 6 23 2" xfId="41001"/>
    <cellStyle name="Обычный 6 23 2 2" xfId="41002"/>
    <cellStyle name="Обычный 6 23 2 2 2" xfId="41003"/>
    <cellStyle name="Обычный 6 23 2 2 2 2" xfId="41004"/>
    <cellStyle name="Обычный 6 23 2 2 3" xfId="41005"/>
    <cellStyle name="Обычный 6 23 2 3" xfId="41006"/>
    <cellStyle name="Обычный 6 23 2 3 2" xfId="41007"/>
    <cellStyle name="Обычный 6 23 2 3 2 2" xfId="41008"/>
    <cellStyle name="Обычный 6 23 2 3 3" xfId="41009"/>
    <cellStyle name="Обычный 6 23 2 4" xfId="41010"/>
    <cellStyle name="Обычный 6 23 2 4 2" xfId="41011"/>
    <cellStyle name="Обычный 6 23 2 5" xfId="41012"/>
    <cellStyle name="Обычный 6 23 2 5 2" xfId="41013"/>
    <cellStyle name="Обычный 6 23 2 6" xfId="41014"/>
    <cellStyle name="Обычный 6 23 3" xfId="41015"/>
    <cellStyle name="Обычный 6 23 3 2" xfId="41016"/>
    <cellStyle name="Обычный 6 23 3 2 2" xfId="41017"/>
    <cellStyle name="Обычный 6 23 3 2 2 2" xfId="41018"/>
    <cellStyle name="Обычный 6 23 3 2 3" xfId="41019"/>
    <cellStyle name="Обычный 6 23 3 3" xfId="41020"/>
    <cellStyle name="Обычный 6 23 3 3 2" xfId="41021"/>
    <cellStyle name="Обычный 6 23 3 3 2 2" xfId="41022"/>
    <cellStyle name="Обычный 6 23 3 3 3" xfId="41023"/>
    <cellStyle name="Обычный 6 23 3 4" xfId="41024"/>
    <cellStyle name="Обычный 6 23 3 4 2" xfId="41025"/>
    <cellStyle name="Обычный 6 23 3 5" xfId="41026"/>
    <cellStyle name="Обычный 6 23 3 5 2" xfId="41027"/>
    <cellStyle name="Обычный 6 23 3 6" xfId="41028"/>
    <cellStyle name="Обычный 6 23 4" xfId="41029"/>
    <cellStyle name="Обычный 6 23 4 2" xfId="41030"/>
    <cellStyle name="Обычный 6 23 4 2 2" xfId="41031"/>
    <cellStyle name="Обычный 6 23 4 3" xfId="41032"/>
    <cellStyle name="Обычный 6 23 4 3 2" xfId="41033"/>
    <cellStyle name="Обычный 6 23 4 4" xfId="41034"/>
    <cellStyle name="Обычный 6 23 5" xfId="41035"/>
    <cellStyle name="Обычный 6 23 5 2" xfId="41036"/>
    <cellStyle name="Обычный 6 23 5 2 2" xfId="41037"/>
    <cellStyle name="Обычный 6 23 5 3" xfId="41038"/>
    <cellStyle name="Обычный 6 23 6" xfId="41039"/>
    <cellStyle name="Обычный 6 23 6 2" xfId="41040"/>
    <cellStyle name="Обычный 6 23 7" xfId="41041"/>
    <cellStyle name="Обычный 6 23 7 2" xfId="41042"/>
    <cellStyle name="Обычный 6 23 8" xfId="41043"/>
    <cellStyle name="Обычный 6 24" xfId="41044"/>
    <cellStyle name="Обычный 6 24 2" xfId="41045"/>
    <cellStyle name="Обычный 6 24 2 2" xfId="41046"/>
    <cellStyle name="Обычный 6 24 3" xfId="41047"/>
    <cellStyle name="Обычный 6 24 3 2" xfId="41048"/>
    <cellStyle name="Обычный 6 24 4" xfId="41049"/>
    <cellStyle name="Обычный 6 25" xfId="41050"/>
    <cellStyle name="Обычный 6 25 2" xfId="41051"/>
    <cellStyle name="Обычный 6 25 2 2" xfId="41052"/>
    <cellStyle name="Обычный 6 25 3" xfId="41053"/>
    <cellStyle name="Обычный 6 25 3 2" xfId="41054"/>
    <cellStyle name="Обычный 6 25 4" xfId="41055"/>
    <cellStyle name="Обычный 6 26" xfId="41056"/>
    <cellStyle name="Обычный 6 26 2" xfId="41057"/>
    <cellStyle name="Обычный 6 26 2 2" xfId="41058"/>
    <cellStyle name="Обычный 6 26 2 2 2" xfId="41059"/>
    <cellStyle name="Обычный 6 26 2 3" xfId="41060"/>
    <cellStyle name="Обычный 6 26 2 3 2" xfId="41061"/>
    <cellStyle name="Обычный 6 26 2 4" xfId="41062"/>
    <cellStyle name="Обычный 6 26 3" xfId="41063"/>
    <cellStyle name="Обычный 6 26 3 2" xfId="41064"/>
    <cellStyle name="Обычный 6 26 3 2 2" xfId="41065"/>
    <cellStyle name="Обычный 6 26 3 3" xfId="41066"/>
    <cellStyle name="Обычный 6 26 4" xfId="41067"/>
    <cellStyle name="Обычный 6 26 4 2" xfId="41068"/>
    <cellStyle name="Обычный 6 26 5" xfId="41069"/>
    <cellStyle name="Обычный 6 26 5 2" xfId="41070"/>
    <cellStyle name="Обычный 6 26 6" xfId="41071"/>
    <cellStyle name="Обычный 6 27" xfId="41072"/>
    <cellStyle name="Обычный 6 27 2" xfId="41073"/>
    <cellStyle name="Обычный 6 27 2 2" xfId="41074"/>
    <cellStyle name="Обычный 6 27 3" xfId="41075"/>
    <cellStyle name="Обычный 6 27 3 2" xfId="41076"/>
    <cellStyle name="Обычный 6 27 4" xfId="41077"/>
    <cellStyle name="Обычный 6 28" xfId="41078"/>
    <cellStyle name="Обычный 6 28 2" xfId="41079"/>
    <cellStyle name="Обычный 6 28 2 2" xfId="41080"/>
    <cellStyle name="Обычный 6 28 3" xfId="41081"/>
    <cellStyle name="Обычный 6 28 3 2" xfId="41082"/>
    <cellStyle name="Обычный 6 28 4" xfId="41083"/>
    <cellStyle name="Обычный 6 29" xfId="41084"/>
    <cellStyle name="Обычный 6 29 2" xfId="41085"/>
    <cellStyle name="Обычный 6 29 2 2" xfId="41086"/>
    <cellStyle name="Обычный 6 29 3" xfId="41087"/>
    <cellStyle name="Обычный 6 29 3 2" xfId="41088"/>
    <cellStyle name="Обычный 6 29 4" xfId="41089"/>
    <cellStyle name="Обычный 6 3" xfId="41090"/>
    <cellStyle name="Обычный 6 3 2" xfId="41091"/>
    <cellStyle name="Обычный 6 3 2 2" xfId="41092"/>
    <cellStyle name="Обычный 6 3 2 2 2" xfId="41093"/>
    <cellStyle name="Обычный 6 3 2 2 2 2" xfId="41094"/>
    <cellStyle name="Обычный 6 3 2 2 2 2 2" xfId="41095"/>
    <cellStyle name="Обычный 6 3 2 2 2 3" xfId="41096"/>
    <cellStyle name="Обычный 6 3 2 2 3" xfId="41097"/>
    <cellStyle name="Обычный 6 3 2 2 3 2" xfId="41098"/>
    <cellStyle name="Обычный 6 3 2 2 3 2 2" xfId="41099"/>
    <cellStyle name="Обычный 6 3 2 2 3 3" xfId="41100"/>
    <cellStyle name="Обычный 6 3 2 2 4" xfId="41101"/>
    <cellStyle name="Обычный 6 3 2 2 4 2" xfId="41102"/>
    <cellStyle name="Обычный 6 3 2 2 5" xfId="41103"/>
    <cellStyle name="Обычный 6 3 2 2 5 2" xfId="41104"/>
    <cellStyle name="Обычный 6 3 2 2 6" xfId="41105"/>
    <cellStyle name="Обычный 6 3 2 3" xfId="41106"/>
    <cellStyle name="Обычный 6 3 2 3 2" xfId="41107"/>
    <cellStyle name="Обычный 6 3 2 3 2 2" xfId="41108"/>
    <cellStyle name="Обычный 6 3 2 3 2 2 2" xfId="41109"/>
    <cellStyle name="Обычный 6 3 2 3 2 3" xfId="41110"/>
    <cellStyle name="Обычный 6 3 2 3 3" xfId="41111"/>
    <cellStyle name="Обычный 6 3 2 3 3 2" xfId="41112"/>
    <cellStyle name="Обычный 6 3 2 3 3 2 2" xfId="41113"/>
    <cellStyle name="Обычный 6 3 2 3 3 3" xfId="41114"/>
    <cellStyle name="Обычный 6 3 2 3 4" xfId="41115"/>
    <cellStyle name="Обычный 6 3 2 3 4 2" xfId="41116"/>
    <cellStyle name="Обычный 6 3 2 3 5" xfId="41117"/>
    <cellStyle name="Обычный 6 3 2 3 5 2" xfId="41118"/>
    <cellStyle name="Обычный 6 3 2 3 6" xfId="41119"/>
    <cellStyle name="Обычный 6 3 2 4" xfId="41120"/>
    <cellStyle name="Обычный 6 3 2 4 2" xfId="41121"/>
    <cellStyle name="Обычный 6 3 2 4 2 2" xfId="41122"/>
    <cellStyle name="Обычный 6 3 2 4 3" xfId="41123"/>
    <cellStyle name="Обычный 6 3 2 5" xfId="41124"/>
    <cellStyle name="Обычный 6 3 2 5 2" xfId="41125"/>
    <cellStyle name="Обычный 6 3 2 5 2 2" xfId="41126"/>
    <cellStyle name="Обычный 6 3 2 5 3" xfId="41127"/>
    <cellStyle name="Обычный 6 3 2 6" xfId="41128"/>
    <cellStyle name="Обычный 6 3 2 6 2" xfId="41129"/>
    <cellStyle name="Обычный 6 3 2 7" xfId="41130"/>
    <cellStyle name="Обычный 6 3 2 7 2" xfId="41131"/>
    <cellStyle name="Обычный 6 3 2 8" xfId="41132"/>
    <cellStyle name="Обычный 6 3 3" xfId="41133"/>
    <cellStyle name="Обычный 6 3 4" xfId="41134"/>
    <cellStyle name="Обычный 6 3 5" xfId="41135"/>
    <cellStyle name="Обычный 6 30" xfId="41136"/>
    <cellStyle name="Обычный 6 30 2" xfId="41137"/>
    <cellStyle name="Обычный 6 30 2 2" xfId="41138"/>
    <cellStyle name="Обычный 6 30 2 2 2" xfId="41139"/>
    <cellStyle name="Обычный 6 30 2 3" xfId="41140"/>
    <cellStyle name="Обычный 6 30 2 3 2" xfId="41141"/>
    <cellStyle name="Обычный 6 30 2 4" xfId="41142"/>
    <cellStyle name="Обычный 6 30 3" xfId="41143"/>
    <cellStyle name="Обычный 6 30 3 2" xfId="41144"/>
    <cellStyle name="Обычный 6 30 4" xfId="41145"/>
    <cellStyle name="Обычный 6 30 4 2" xfId="41146"/>
    <cellStyle name="Обычный 6 30 5" xfId="41147"/>
    <cellStyle name="Обычный 6 31" xfId="41148"/>
    <cellStyle name="Обычный 6 31 2" xfId="41149"/>
    <cellStyle name="Обычный 6 31 2 2" xfId="41150"/>
    <cellStyle name="Обычный 6 31 3" xfId="41151"/>
    <cellStyle name="Обычный 6 31 3 2" xfId="41152"/>
    <cellStyle name="Обычный 6 31 4" xfId="41153"/>
    <cellStyle name="Обычный 6 32" xfId="41154"/>
    <cellStyle name="Обычный 6 32 2" xfId="41155"/>
    <cellStyle name="Обычный 6 32 2 2" xfId="41156"/>
    <cellStyle name="Обычный 6 32 3" xfId="41157"/>
    <cellStyle name="Обычный 6 32 3 2" xfId="41158"/>
    <cellStyle name="Обычный 6 32 4" xfId="41159"/>
    <cellStyle name="Обычный 6 33" xfId="41160"/>
    <cellStyle name="Обычный 6 33 2" xfId="41161"/>
    <cellStyle name="Обычный 6 33 2 2" xfId="41162"/>
    <cellStyle name="Обычный 6 33 3" xfId="41163"/>
    <cellStyle name="Обычный 6 33 3 2" xfId="41164"/>
    <cellStyle name="Обычный 6 33 4" xfId="41165"/>
    <cellStyle name="Обычный 6 34" xfId="41166"/>
    <cellStyle name="Обычный 6 34 2" xfId="41167"/>
    <cellStyle name="Обычный 6 34 2 2" xfId="41168"/>
    <cellStyle name="Обычный 6 34 3" xfId="41169"/>
    <cellStyle name="Обычный 6 34 3 2" xfId="41170"/>
    <cellStyle name="Обычный 6 34 4" xfId="41171"/>
    <cellStyle name="Обычный 6 35" xfId="41172"/>
    <cellStyle name="Обычный 6 35 2" xfId="41173"/>
    <cellStyle name="Обычный 6 35 2 2" xfId="41174"/>
    <cellStyle name="Обычный 6 35 3" xfId="41175"/>
    <cellStyle name="Обычный 6 35 3 2" xfId="41176"/>
    <cellStyle name="Обычный 6 35 4" xfId="41177"/>
    <cellStyle name="Обычный 6 36" xfId="41178"/>
    <cellStyle name="Обычный 6 36 2" xfId="41179"/>
    <cellStyle name="Обычный 6 36 2 2" xfId="41180"/>
    <cellStyle name="Обычный 6 36 2 2 2" xfId="41181"/>
    <cellStyle name="Обычный 6 36 2 3" xfId="41182"/>
    <cellStyle name="Обычный 6 36 2 3 2" xfId="41183"/>
    <cellStyle name="Обычный 6 36 2 4" xfId="41184"/>
    <cellStyle name="Обычный 6 36 3" xfId="41185"/>
    <cellStyle name="Обычный 6 36 3 2" xfId="41186"/>
    <cellStyle name="Обычный 6 36 3 2 2" xfId="41187"/>
    <cellStyle name="Обычный 6 36 3 3" xfId="41188"/>
    <cellStyle name="Обычный 6 36 3 3 2" xfId="41189"/>
    <cellStyle name="Обычный 6 36 3 4" xfId="41190"/>
    <cellStyle name="Обычный 6 36 4" xfId="41191"/>
    <cellStyle name="Обычный 6 36 4 2" xfId="41192"/>
    <cellStyle name="Обычный 6 36 5" xfId="41193"/>
    <cellStyle name="Обычный 6 36 5 2" xfId="41194"/>
    <cellStyle name="Обычный 6 36 6" xfId="41195"/>
    <cellStyle name="Обычный 6 37" xfId="41196"/>
    <cellStyle name="Обычный 6 37 2" xfId="41197"/>
    <cellStyle name="Обычный 6 37 2 2" xfId="41198"/>
    <cellStyle name="Обычный 6 37 3" xfId="41199"/>
    <cellStyle name="Обычный 6 37 3 2" xfId="41200"/>
    <cellStyle name="Обычный 6 37 4" xfId="41201"/>
    <cellStyle name="Обычный 6 38" xfId="41202"/>
    <cellStyle name="Обычный 6 38 2" xfId="41203"/>
    <cellStyle name="Обычный 6 38 2 2" xfId="41204"/>
    <cellStyle name="Обычный 6 38 3" xfId="41205"/>
    <cellStyle name="Обычный 6 38 3 2" xfId="41206"/>
    <cellStyle name="Обычный 6 38 4" xfId="41207"/>
    <cellStyle name="Обычный 6 39" xfId="41208"/>
    <cellStyle name="Обычный 6 39 2" xfId="41209"/>
    <cellStyle name="Обычный 6 39 2 2" xfId="41210"/>
    <cellStyle name="Обычный 6 39 3" xfId="41211"/>
    <cellStyle name="Обычный 6 39 3 2" xfId="41212"/>
    <cellStyle name="Обычный 6 39 4" xfId="41213"/>
    <cellStyle name="Обычный 6 4" xfId="41214"/>
    <cellStyle name="Обычный 6 4 2" xfId="41215"/>
    <cellStyle name="Обычный 6 4 2 2" xfId="41216"/>
    <cellStyle name="Обычный 6 4 2 2 2" xfId="41217"/>
    <cellStyle name="Обычный 6 4 2 2 2 2" xfId="41218"/>
    <cellStyle name="Обычный 6 4 2 2 2 2 2" xfId="41219"/>
    <cellStyle name="Обычный 6 4 2 2 2 3" xfId="41220"/>
    <cellStyle name="Обычный 6 4 2 2 3" xfId="41221"/>
    <cellStyle name="Обычный 6 4 2 2 3 2" xfId="41222"/>
    <cellStyle name="Обычный 6 4 2 2 3 2 2" xfId="41223"/>
    <cellStyle name="Обычный 6 4 2 2 3 3" xfId="41224"/>
    <cellStyle name="Обычный 6 4 2 2 4" xfId="41225"/>
    <cellStyle name="Обычный 6 4 2 2 4 2" xfId="41226"/>
    <cellStyle name="Обычный 6 4 2 2 5" xfId="41227"/>
    <cellStyle name="Обычный 6 4 2 2 5 2" xfId="41228"/>
    <cellStyle name="Обычный 6 4 2 2 6" xfId="41229"/>
    <cellStyle name="Обычный 6 4 2 3" xfId="41230"/>
    <cellStyle name="Обычный 6 4 2 3 2" xfId="41231"/>
    <cellStyle name="Обычный 6 4 2 3 2 2" xfId="41232"/>
    <cellStyle name="Обычный 6 4 2 3 2 2 2" xfId="41233"/>
    <cellStyle name="Обычный 6 4 2 3 2 3" xfId="41234"/>
    <cellStyle name="Обычный 6 4 2 3 3" xfId="41235"/>
    <cellStyle name="Обычный 6 4 2 3 3 2" xfId="41236"/>
    <cellStyle name="Обычный 6 4 2 3 3 2 2" xfId="41237"/>
    <cellStyle name="Обычный 6 4 2 3 3 3" xfId="41238"/>
    <cellStyle name="Обычный 6 4 2 3 4" xfId="41239"/>
    <cellStyle name="Обычный 6 4 2 3 4 2" xfId="41240"/>
    <cellStyle name="Обычный 6 4 2 3 5" xfId="41241"/>
    <cellStyle name="Обычный 6 4 2 3 5 2" xfId="41242"/>
    <cellStyle name="Обычный 6 4 2 3 6" xfId="41243"/>
    <cellStyle name="Обычный 6 4 2 4" xfId="41244"/>
    <cellStyle name="Обычный 6 4 2 4 2" xfId="41245"/>
    <cellStyle name="Обычный 6 4 2 4 2 2" xfId="41246"/>
    <cellStyle name="Обычный 6 4 2 4 3" xfId="41247"/>
    <cellStyle name="Обычный 6 4 2 5" xfId="41248"/>
    <cellStyle name="Обычный 6 4 2 5 2" xfId="41249"/>
    <cellStyle name="Обычный 6 4 2 5 2 2" xfId="41250"/>
    <cellStyle name="Обычный 6 4 2 5 3" xfId="41251"/>
    <cellStyle name="Обычный 6 4 2 6" xfId="41252"/>
    <cellStyle name="Обычный 6 4 2 6 2" xfId="41253"/>
    <cellStyle name="Обычный 6 4 2 7" xfId="41254"/>
    <cellStyle name="Обычный 6 4 2 7 2" xfId="41255"/>
    <cellStyle name="Обычный 6 4 2 8" xfId="41256"/>
    <cellStyle name="Обычный 6 4 3" xfId="41257"/>
    <cellStyle name="Обычный 6 4 4" xfId="41258"/>
    <cellStyle name="Обычный 6 40" xfId="41259"/>
    <cellStyle name="Обычный 6 40 2" xfId="41260"/>
    <cellStyle name="Обычный 6 41" xfId="41261"/>
    <cellStyle name="Обычный 6 41 2" xfId="41262"/>
    <cellStyle name="Обычный 6 42" xfId="41263"/>
    <cellStyle name="Обычный 6 5" xfId="41264"/>
    <cellStyle name="Обычный 6 5 2" xfId="41265"/>
    <cellStyle name="Обычный 6 5 2 2" xfId="41266"/>
    <cellStyle name="Обычный 6 5 2 2 2" xfId="41267"/>
    <cellStyle name="Обычный 6 5 2 2 2 2" xfId="41268"/>
    <cellStyle name="Обычный 6 5 2 2 2 2 2" xfId="41269"/>
    <cellStyle name="Обычный 6 5 2 2 2 3" xfId="41270"/>
    <cellStyle name="Обычный 6 5 2 2 3" xfId="41271"/>
    <cellStyle name="Обычный 6 5 2 2 3 2" xfId="41272"/>
    <cellStyle name="Обычный 6 5 2 2 3 2 2" xfId="41273"/>
    <cellStyle name="Обычный 6 5 2 2 3 3" xfId="41274"/>
    <cellStyle name="Обычный 6 5 2 2 4" xfId="41275"/>
    <cellStyle name="Обычный 6 5 2 2 4 2" xfId="41276"/>
    <cellStyle name="Обычный 6 5 2 2 5" xfId="41277"/>
    <cellStyle name="Обычный 6 5 2 2 5 2" xfId="41278"/>
    <cellStyle name="Обычный 6 5 2 2 6" xfId="41279"/>
    <cellStyle name="Обычный 6 5 2 3" xfId="41280"/>
    <cellStyle name="Обычный 6 5 2 3 2" xfId="41281"/>
    <cellStyle name="Обычный 6 5 2 3 2 2" xfId="41282"/>
    <cellStyle name="Обычный 6 5 2 3 2 2 2" xfId="41283"/>
    <cellStyle name="Обычный 6 5 2 3 2 3" xfId="41284"/>
    <cellStyle name="Обычный 6 5 2 3 3" xfId="41285"/>
    <cellStyle name="Обычный 6 5 2 3 3 2" xfId="41286"/>
    <cellStyle name="Обычный 6 5 2 3 3 2 2" xfId="41287"/>
    <cellStyle name="Обычный 6 5 2 3 3 3" xfId="41288"/>
    <cellStyle name="Обычный 6 5 2 3 4" xfId="41289"/>
    <cellStyle name="Обычный 6 5 2 3 4 2" xfId="41290"/>
    <cellStyle name="Обычный 6 5 2 3 5" xfId="41291"/>
    <cellStyle name="Обычный 6 5 2 3 5 2" xfId="41292"/>
    <cellStyle name="Обычный 6 5 2 3 6" xfId="41293"/>
    <cellStyle name="Обычный 6 5 2 4" xfId="41294"/>
    <cellStyle name="Обычный 6 5 2 4 2" xfId="41295"/>
    <cellStyle name="Обычный 6 5 2 4 2 2" xfId="41296"/>
    <cellStyle name="Обычный 6 5 2 4 3" xfId="41297"/>
    <cellStyle name="Обычный 6 5 2 5" xfId="41298"/>
    <cellStyle name="Обычный 6 5 2 5 2" xfId="41299"/>
    <cellStyle name="Обычный 6 5 2 5 2 2" xfId="41300"/>
    <cellStyle name="Обычный 6 5 2 5 3" xfId="41301"/>
    <cellStyle name="Обычный 6 5 2 6" xfId="41302"/>
    <cellStyle name="Обычный 6 5 2 6 2" xfId="41303"/>
    <cellStyle name="Обычный 6 5 2 7" xfId="41304"/>
    <cellStyle name="Обычный 6 5 2 7 2" xfId="41305"/>
    <cellStyle name="Обычный 6 5 2 8" xfId="41306"/>
    <cellStyle name="Обычный 6 6" xfId="41307"/>
    <cellStyle name="Обычный 6 6 2" xfId="41308"/>
    <cellStyle name="Обычный 6 6 2 2" xfId="41309"/>
    <cellStyle name="Обычный 6 6 2 2 2" xfId="41310"/>
    <cellStyle name="Обычный 6 6 2 2 2 2" xfId="41311"/>
    <cellStyle name="Обычный 6 6 2 2 2 2 2" xfId="41312"/>
    <cellStyle name="Обычный 6 6 2 2 2 3" xfId="41313"/>
    <cellStyle name="Обычный 6 6 2 2 2 3 2" xfId="41314"/>
    <cellStyle name="Обычный 6 6 2 2 2 4" xfId="41315"/>
    <cellStyle name="Обычный 6 6 2 2 3" xfId="41316"/>
    <cellStyle name="Обычный 6 6 2 2 3 2" xfId="41317"/>
    <cellStyle name="Обычный 6 6 2 2 3 2 2" xfId="41318"/>
    <cellStyle name="Обычный 6 6 2 2 3 3" xfId="41319"/>
    <cellStyle name="Обычный 6 6 2 2 4" xfId="41320"/>
    <cellStyle name="Обычный 6 6 2 2 4 2" xfId="41321"/>
    <cellStyle name="Обычный 6 6 2 2 5" xfId="41322"/>
    <cellStyle name="Обычный 6 6 2 2 5 2" xfId="41323"/>
    <cellStyle name="Обычный 6 6 2 2 6" xfId="41324"/>
    <cellStyle name="Обычный 6 6 2 3" xfId="41325"/>
    <cellStyle name="Обычный 6 6 2 3 2" xfId="41326"/>
    <cellStyle name="Обычный 6 6 2 3 2 2" xfId="41327"/>
    <cellStyle name="Обычный 6 6 2 3 2 2 2" xfId="41328"/>
    <cellStyle name="Обычный 6 6 2 3 2 3" xfId="41329"/>
    <cellStyle name="Обычный 6 6 2 3 3" xfId="41330"/>
    <cellStyle name="Обычный 6 6 2 3 3 2" xfId="41331"/>
    <cellStyle name="Обычный 6 6 2 3 3 2 2" xfId="41332"/>
    <cellStyle name="Обычный 6 6 2 3 3 3" xfId="41333"/>
    <cellStyle name="Обычный 6 6 2 3 4" xfId="41334"/>
    <cellStyle name="Обычный 6 6 2 3 4 2" xfId="41335"/>
    <cellStyle name="Обычный 6 6 2 3 5" xfId="41336"/>
    <cellStyle name="Обычный 6 6 2 3 5 2" xfId="41337"/>
    <cellStyle name="Обычный 6 6 2 3 6" xfId="41338"/>
    <cellStyle name="Обычный 6 6 2 4" xfId="41339"/>
    <cellStyle name="Обычный 6 6 2 4 2" xfId="41340"/>
    <cellStyle name="Обычный 6 6 2 4 2 2" xfId="41341"/>
    <cellStyle name="Обычный 6 6 2 4 3" xfId="41342"/>
    <cellStyle name="Обычный 6 6 2 4 3 2" xfId="41343"/>
    <cellStyle name="Обычный 6 6 2 4 4" xfId="41344"/>
    <cellStyle name="Обычный 6 6 2 5" xfId="41345"/>
    <cellStyle name="Обычный 6 6 2 5 2" xfId="41346"/>
    <cellStyle name="Обычный 6 6 2 5 2 2" xfId="41347"/>
    <cellStyle name="Обычный 6 6 2 5 3" xfId="41348"/>
    <cellStyle name="Обычный 6 6 2 6" xfId="41349"/>
    <cellStyle name="Обычный 6 6 2 6 2" xfId="41350"/>
    <cellStyle name="Обычный 6 6 2 7" xfId="41351"/>
    <cellStyle name="Обычный 6 6 2 7 2" xfId="41352"/>
    <cellStyle name="Обычный 6 6 2 8" xfId="41353"/>
    <cellStyle name="Обычный 6 6 3" xfId="41354"/>
    <cellStyle name="Обычный 6 6 3 2" xfId="41355"/>
    <cellStyle name="Обычный 6 6 3 2 2" xfId="41356"/>
    <cellStyle name="Обычный 6 6 3 2 2 2" xfId="41357"/>
    <cellStyle name="Обычный 6 6 3 2 3" xfId="41358"/>
    <cellStyle name="Обычный 6 6 3 2 3 2" xfId="41359"/>
    <cellStyle name="Обычный 6 6 3 2 4" xfId="41360"/>
    <cellStyle name="Обычный 6 6 3 3" xfId="41361"/>
    <cellStyle name="Обычный 6 6 3 3 2" xfId="41362"/>
    <cellStyle name="Обычный 6 6 3 3 2 2" xfId="41363"/>
    <cellStyle name="Обычный 6 6 3 3 3" xfId="41364"/>
    <cellStyle name="Обычный 6 6 3 4" xfId="41365"/>
    <cellStyle name="Обычный 6 6 3 4 2" xfId="41366"/>
    <cellStyle name="Обычный 6 6 3 5" xfId="41367"/>
    <cellStyle name="Обычный 6 6 3 5 2" xfId="41368"/>
    <cellStyle name="Обычный 6 6 3 6" xfId="41369"/>
    <cellStyle name="Обычный 6 6 4" xfId="41370"/>
    <cellStyle name="Обычный 6 6 4 2" xfId="41371"/>
    <cellStyle name="Обычный 6 6 4 2 2" xfId="41372"/>
    <cellStyle name="Обычный 6 6 4 2 2 2" xfId="41373"/>
    <cellStyle name="Обычный 6 6 4 2 3" xfId="41374"/>
    <cellStyle name="Обычный 6 6 4 3" xfId="41375"/>
    <cellStyle name="Обычный 6 6 4 3 2" xfId="41376"/>
    <cellStyle name="Обычный 6 6 4 3 2 2" xfId="41377"/>
    <cellStyle name="Обычный 6 6 4 3 3" xfId="41378"/>
    <cellStyle name="Обычный 6 6 4 4" xfId="41379"/>
    <cellStyle name="Обычный 6 6 4 4 2" xfId="41380"/>
    <cellStyle name="Обычный 6 6 4 5" xfId="41381"/>
    <cellStyle name="Обычный 6 6 4 5 2" xfId="41382"/>
    <cellStyle name="Обычный 6 6 4 6" xfId="41383"/>
    <cellStyle name="Обычный 6 6 5" xfId="41384"/>
    <cellStyle name="Обычный 6 6 5 2" xfId="41385"/>
    <cellStyle name="Обычный 6 6 5 2 2" xfId="41386"/>
    <cellStyle name="Обычный 6 6 5 3" xfId="41387"/>
    <cellStyle name="Обычный 6 6 5 3 2" xfId="41388"/>
    <cellStyle name="Обычный 6 6 5 4" xfId="41389"/>
    <cellStyle name="Обычный 6 6 6" xfId="41390"/>
    <cellStyle name="Обычный 6 6 6 2" xfId="41391"/>
    <cellStyle name="Обычный 6 6 6 2 2" xfId="41392"/>
    <cellStyle name="Обычный 6 6 6 3" xfId="41393"/>
    <cellStyle name="Обычный 6 6 7" xfId="41394"/>
    <cellStyle name="Обычный 6 6 7 2" xfId="41395"/>
    <cellStyle name="Обычный 6 6 8" xfId="41396"/>
    <cellStyle name="Обычный 6 6 8 2" xfId="41397"/>
    <cellStyle name="Обычный 6 6 9" xfId="41398"/>
    <cellStyle name="Обычный 6 7" xfId="41399"/>
    <cellStyle name="Обычный 6 7 2" xfId="41400"/>
    <cellStyle name="Обычный 6 7 2 2" xfId="41401"/>
    <cellStyle name="Обычный 6 7 2 2 2" xfId="41402"/>
    <cellStyle name="Обычный 6 7 2 2 2 2" xfId="41403"/>
    <cellStyle name="Обычный 6 7 2 2 2 2 2" xfId="41404"/>
    <cellStyle name="Обычный 6 7 2 2 2 3" xfId="41405"/>
    <cellStyle name="Обычный 6 7 2 2 2 3 2" xfId="41406"/>
    <cellStyle name="Обычный 6 7 2 2 2 4" xfId="41407"/>
    <cellStyle name="Обычный 6 7 2 2 3" xfId="41408"/>
    <cellStyle name="Обычный 6 7 2 2 3 2" xfId="41409"/>
    <cellStyle name="Обычный 6 7 2 2 3 2 2" xfId="41410"/>
    <cellStyle name="Обычный 6 7 2 2 3 3" xfId="41411"/>
    <cellStyle name="Обычный 6 7 2 2 4" xfId="41412"/>
    <cellStyle name="Обычный 6 7 2 2 4 2" xfId="41413"/>
    <cellStyle name="Обычный 6 7 2 2 5" xfId="41414"/>
    <cellStyle name="Обычный 6 7 2 2 5 2" xfId="41415"/>
    <cellStyle name="Обычный 6 7 2 2 6" xfId="41416"/>
    <cellStyle name="Обычный 6 7 2 3" xfId="41417"/>
    <cellStyle name="Обычный 6 7 2 3 2" xfId="41418"/>
    <cellStyle name="Обычный 6 7 2 3 2 2" xfId="41419"/>
    <cellStyle name="Обычный 6 7 2 3 2 2 2" xfId="41420"/>
    <cellStyle name="Обычный 6 7 2 3 2 3" xfId="41421"/>
    <cellStyle name="Обычный 6 7 2 3 3" xfId="41422"/>
    <cellStyle name="Обычный 6 7 2 3 3 2" xfId="41423"/>
    <cellStyle name="Обычный 6 7 2 3 3 2 2" xfId="41424"/>
    <cellStyle name="Обычный 6 7 2 3 3 3" xfId="41425"/>
    <cellStyle name="Обычный 6 7 2 3 4" xfId="41426"/>
    <cellStyle name="Обычный 6 7 2 3 4 2" xfId="41427"/>
    <cellStyle name="Обычный 6 7 2 3 5" xfId="41428"/>
    <cellStyle name="Обычный 6 7 2 3 5 2" xfId="41429"/>
    <cellStyle name="Обычный 6 7 2 3 6" xfId="41430"/>
    <cellStyle name="Обычный 6 7 2 4" xfId="41431"/>
    <cellStyle name="Обычный 6 7 2 4 2" xfId="41432"/>
    <cellStyle name="Обычный 6 7 2 4 2 2" xfId="41433"/>
    <cellStyle name="Обычный 6 7 2 4 3" xfId="41434"/>
    <cellStyle name="Обычный 6 7 2 4 3 2" xfId="41435"/>
    <cellStyle name="Обычный 6 7 2 4 4" xfId="41436"/>
    <cellStyle name="Обычный 6 7 2 5" xfId="41437"/>
    <cellStyle name="Обычный 6 7 2 5 2" xfId="41438"/>
    <cellStyle name="Обычный 6 7 2 5 2 2" xfId="41439"/>
    <cellStyle name="Обычный 6 7 2 5 3" xfId="41440"/>
    <cellStyle name="Обычный 6 7 2 6" xfId="41441"/>
    <cellStyle name="Обычный 6 7 2 6 2" xfId="41442"/>
    <cellStyle name="Обычный 6 7 2 7" xfId="41443"/>
    <cellStyle name="Обычный 6 7 2 7 2" xfId="41444"/>
    <cellStyle name="Обычный 6 7 2 8" xfId="41445"/>
    <cellStyle name="Обычный 6 7 3" xfId="41446"/>
    <cellStyle name="Обычный 6 7 3 2" xfId="41447"/>
    <cellStyle name="Обычный 6 7 3 2 2" xfId="41448"/>
    <cellStyle name="Обычный 6 7 3 2 2 2" xfId="41449"/>
    <cellStyle name="Обычный 6 7 3 2 3" xfId="41450"/>
    <cellStyle name="Обычный 6 7 3 3" xfId="41451"/>
    <cellStyle name="Обычный 6 7 3 3 2" xfId="41452"/>
    <cellStyle name="Обычный 6 7 3 3 2 2" xfId="41453"/>
    <cellStyle name="Обычный 6 7 3 3 3" xfId="41454"/>
    <cellStyle name="Обычный 6 7 3 4" xfId="41455"/>
    <cellStyle name="Обычный 6 7 3 4 2" xfId="41456"/>
    <cellStyle name="Обычный 6 7 3 5" xfId="41457"/>
    <cellStyle name="Обычный 6 7 3 5 2" xfId="41458"/>
    <cellStyle name="Обычный 6 7 3 6" xfId="41459"/>
    <cellStyle name="Обычный 6 7 4" xfId="41460"/>
    <cellStyle name="Обычный 6 7 4 2" xfId="41461"/>
    <cellStyle name="Обычный 6 7 4 2 2" xfId="41462"/>
    <cellStyle name="Обычный 6 7 4 2 2 2" xfId="41463"/>
    <cellStyle name="Обычный 6 7 4 2 3" xfId="41464"/>
    <cellStyle name="Обычный 6 7 4 3" xfId="41465"/>
    <cellStyle name="Обычный 6 7 4 3 2" xfId="41466"/>
    <cellStyle name="Обычный 6 7 4 3 2 2" xfId="41467"/>
    <cellStyle name="Обычный 6 7 4 3 3" xfId="41468"/>
    <cellStyle name="Обычный 6 7 4 4" xfId="41469"/>
    <cellStyle name="Обычный 6 7 4 4 2" xfId="41470"/>
    <cellStyle name="Обычный 6 7 4 5" xfId="41471"/>
    <cellStyle name="Обычный 6 7 4 5 2" xfId="41472"/>
    <cellStyle name="Обычный 6 7 4 6" xfId="41473"/>
    <cellStyle name="Обычный 6 7 5" xfId="41474"/>
    <cellStyle name="Обычный 6 7 5 2" xfId="41475"/>
    <cellStyle name="Обычный 6 7 5 2 2" xfId="41476"/>
    <cellStyle name="Обычный 6 7 5 3" xfId="41477"/>
    <cellStyle name="Обычный 6 7 5 3 2" xfId="41478"/>
    <cellStyle name="Обычный 6 7 5 4" xfId="41479"/>
    <cellStyle name="Обычный 6 7 6" xfId="41480"/>
    <cellStyle name="Обычный 6 7 6 2" xfId="41481"/>
    <cellStyle name="Обычный 6 7 6 2 2" xfId="41482"/>
    <cellStyle name="Обычный 6 7 7" xfId="41483"/>
    <cellStyle name="Обычный 6 7 7 2" xfId="41484"/>
    <cellStyle name="Обычный 6 7 8" xfId="41485"/>
    <cellStyle name="Обычный 6 7 9" xfId="41486"/>
    <cellStyle name="Обычный 6 8" xfId="41487"/>
    <cellStyle name="Обычный 6 8 2" xfId="41488"/>
    <cellStyle name="Обычный 6 8 2 2" xfId="41489"/>
    <cellStyle name="Обычный 6 8 2 2 2" xfId="41490"/>
    <cellStyle name="Обычный 6 8 2 2 2 2" xfId="41491"/>
    <cellStyle name="Обычный 6 8 2 2 2 2 2" xfId="41492"/>
    <cellStyle name="Обычный 6 8 2 2 2 3" xfId="41493"/>
    <cellStyle name="Обычный 6 8 2 2 2 3 2" xfId="41494"/>
    <cellStyle name="Обычный 6 8 2 2 2 4" xfId="41495"/>
    <cellStyle name="Обычный 6 8 2 2 3" xfId="41496"/>
    <cellStyle name="Обычный 6 8 2 2 3 2" xfId="41497"/>
    <cellStyle name="Обычный 6 8 2 2 3 2 2" xfId="41498"/>
    <cellStyle name="Обычный 6 8 2 2 3 3" xfId="41499"/>
    <cellStyle name="Обычный 6 8 2 2 4" xfId="41500"/>
    <cellStyle name="Обычный 6 8 2 2 4 2" xfId="41501"/>
    <cellStyle name="Обычный 6 8 2 2 5" xfId="41502"/>
    <cellStyle name="Обычный 6 8 2 2 5 2" xfId="41503"/>
    <cellStyle name="Обычный 6 8 2 2 6" xfId="41504"/>
    <cellStyle name="Обычный 6 8 2 3" xfId="41505"/>
    <cellStyle name="Обычный 6 8 2 3 2" xfId="41506"/>
    <cellStyle name="Обычный 6 8 2 3 2 2" xfId="41507"/>
    <cellStyle name="Обычный 6 8 2 3 2 2 2" xfId="41508"/>
    <cellStyle name="Обычный 6 8 2 3 2 3" xfId="41509"/>
    <cellStyle name="Обычный 6 8 2 3 3" xfId="41510"/>
    <cellStyle name="Обычный 6 8 2 3 3 2" xfId="41511"/>
    <cellStyle name="Обычный 6 8 2 3 3 2 2" xfId="41512"/>
    <cellStyle name="Обычный 6 8 2 3 3 3" xfId="41513"/>
    <cellStyle name="Обычный 6 8 2 3 4" xfId="41514"/>
    <cellStyle name="Обычный 6 8 2 3 4 2" xfId="41515"/>
    <cellStyle name="Обычный 6 8 2 3 5" xfId="41516"/>
    <cellStyle name="Обычный 6 8 2 3 5 2" xfId="41517"/>
    <cellStyle name="Обычный 6 8 2 3 6" xfId="41518"/>
    <cellStyle name="Обычный 6 8 2 4" xfId="41519"/>
    <cellStyle name="Обычный 6 8 2 4 2" xfId="41520"/>
    <cellStyle name="Обычный 6 8 2 4 2 2" xfId="41521"/>
    <cellStyle name="Обычный 6 8 2 4 3" xfId="41522"/>
    <cellStyle name="Обычный 6 8 2 4 3 2" xfId="41523"/>
    <cellStyle name="Обычный 6 8 2 4 4" xfId="41524"/>
    <cellStyle name="Обычный 6 8 2 5" xfId="41525"/>
    <cellStyle name="Обычный 6 8 2 5 2" xfId="41526"/>
    <cellStyle name="Обычный 6 8 2 5 2 2" xfId="41527"/>
    <cellStyle name="Обычный 6 8 2 5 3" xfId="41528"/>
    <cellStyle name="Обычный 6 8 2 6" xfId="41529"/>
    <cellStyle name="Обычный 6 8 2 6 2" xfId="41530"/>
    <cellStyle name="Обычный 6 8 2 7" xfId="41531"/>
    <cellStyle name="Обычный 6 8 2 7 2" xfId="41532"/>
    <cellStyle name="Обычный 6 8 2 8" xfId="41533"/>
    <cellStyle name="Обычный 6 8 3" xfId="41534"/>
    <cellStyle name="Обычный 6 8 3 2" xfId="41535"/>
    <cellStyle name="Обычный 6 8 3 2 2" xfId="41536"/>
    <cellStyle name="Обычный 6 8 3 2 2 2" xfId="41537"/>
    <cellStyle name="Обычный 6 8 3 2 3" xfId="41538"/>
    <cellStyle name="Обычный 6 8 3 3" xfId="41539"/>
    <cellStyle name="Обычный 6 8 3 3 2" xfId="41540"/>
    <cellStyle name="Обычный 6 8 3 3 2 2" xfId="41541"/>
    <cellStyle name="Обычный 6 8 3 3 3" xfId="41542"/>
    <cellStyle name="Обычный 6 8 3 4" xfId="41543"/>
    <cellStyle name="Обычный 6 8 3 4 2" xfId="41544"/>
    <cellStyle name="Обычный 6 8 3 5" xfId="41545"/>
    <cellStyle name="Обычный 6 8 3 5 2" xfId="41546"/>
    <cellStyle name="Обычный 6 8 3 6" xfId="41547"/>
    <cellStyle name="Обычный 6 8 4" xfId="41548"/>
    <cellStyle name="Обычный 6 8 4 2" xfId="41549"/>
    <cellStyle name="Обычный 6 8 4 2 2" xfId="41550"/>
    <cellStyle name="Обычный 6 8 4 2 2 2" xfId="41551"/>
    <cellStyle name="Обычный 6 8 4 2 3" xfId="41552"/>
    <cellStyle name="Обычный 6 8 4 3" xfId="41553"/>
    <cellStyle name="Обычный 6 8 4 3 2" xfId="41554"/>
    <cellStyle name="Обычный 6 8 4 3 2 2" xfId="41555"/>
    <cellStyle name="Обычный 6 8 4 3 3" xfId="41556"/>
    <cellStyle name="Обычный 6 8 4 4" xfId="41557"/>
    <cellStyle name="Обычный 6 8 4 4 2" xfId="41558"/>
    <cellStyle name="Обычный 6 8 4 5" xfId="41559"/>
    <cellStyle name="Обычный 6 8 4 5 2" xfId="41560"/>
    <cellStyle name="Обычный 6 8 4 6" xfId="41561"/>
    <cellStyle name="Обычный 6 8 5" xfId="41562"/>
    <cellStyle name="Обычный 6 8 5 2" xfId="41563"/>
    <cellStyle name="Обычный 6 8 5 2 2" xfId="41564"/>
    <cellStyle name="Обычный 6 8 5 3" xfId="41565"/>
    <cellStyle name="Обычный 6 8 5 3 2" xfId="41566"/>
    <cellStyle name="Обычный 6 8 5 4" xfId="41567"/>
    <cellStyle name="Обычный 6 8 6" xfId="41568"/>
    <cellStyle name="Обычный 6 8 6 2" xfId="41569"/>
    <cellStyle name="Обычный 6 8 6 2 2" xfId="41570"/>
    <cellStyle name="Обычный 6 8 7" xfId="41571"/>
    <cellStyle name="Обычный 6 8 7 2" xfId="41572"/>
    <cellStyle name="Обычный 6 8 8" xfId="41573"/>
    <cellStyle name="Обычный 6 8 9" xfId="41574"/>
    <cellStyle name="Обычный 6 9" xfId="41575"/>
    <cellStyle name="Обычный 6 9 2" xfId="41576"/>
    <cellStyle name="Обычный 6 9 2 2" xfId="41577"/>
    <cellStyle name="Обычный 6 9 2 2 2" xfId="41578"/>
    <cellStyle name="Обычный 6 9 2 2 2 2" xfId="41579"/>
    <cellStyle name="Обычный 6 9 2 2 2 2 2" xfId="41580"/>
    <cellStyle name="Обычный 6 9 2 2 2 3" xfId="41581"/>
    <cellStyle name="Обычный 6 9 2 2 2 3 2" xfId="41582"/>
    <cellStyle name="Обычный 6 9 2 2 2 4" xfId="41583"/>
    <cellStyle name="Обычный 6 9 2 2 3" xfId="41584"/>
    <cellStyle name="Обычный 6 9 2 2 3 2" xfId="41585"/>
    <cellStyle name="Обычный 6 9 2 2 3 2 2" xfId="41586"/>
    <cellStyle name="Обычный 6 9 2 2 3 3" xfId="41587"/>
    <cellStyle name="Обычный 6 9 2 2 4" xfId="41588"/>
    <cellStyle name="Обычный 6 9 2 2 4 2" xfId="41589"/>
    <cellStyle name="Обычный 6 9 2 2 5" xfId="41590"/>
    <cellStyle name="Обычный 6 9 2 2 5 2" xfId="41591"/>
    <cellStyle name="Обычный 6 9 2 2 6" xfId="41592"/>
    <cellStyle name="Обычный 6 9 2 3" xfId="41593"/>
    <cellStyle name="Обычный 6 9 2 3 2" xfId="41594"/>
    <cellStyle name="Обычный 6 9 2 3 2 2" xfId="41595"/>
    <cellStyle name="Обычный 6 9 2 3 2 2 2" xfId="41596"/>
    <cellStyle name="Обычный 6 9 2 3 2 3" xfId="41597"/>
    <cellStyle name="Обычный 6 9 2 3 3" xfId="41598"/>
    <cellStyle name="Обычный 6 9 2 3 3 2" xfId="41599"/>
    <cellStyle name="Обычный 6 9 2 3 3 2 2" xfId="41600"/>
    <cellStyle name="Обычный 6 9 2 3 3 3" xfId="41601"/>
    <cellStyle name="Обычный 6 9 2 3 4" xfId="41602"/>
    <cellStyle name="Обычный 6 9 2 3 4 2" xfId="41603"/>
    <cellStyle name="Обычный 6 9 2 3 5" xfId="41604"/>
    <cellStyle name="Обычный 6 9 2 3 5 2" xfId="41605"/>
    <cellStyle name="Обычный 6 9 2 3 6" xfId="41606"/>
    <cellStyle name="Обычный 6 9 2 4" xfId="41607"/>
    <cellStyle name="Обычный 6 9 2 4 2" xfId="41608"/>
    <cellStyle name="Обычный 6 9 2 4 2 2" xfId="41609"/>
    <cellStyle name="Обычный 6 9 2 4 3" xfId="41610"/>
    <cellStyle name="Обычный 6 9 2 4 3 2" xfId="41611"/>
    <cellStyle name="Обычный 6 9 2 4 4" xfId="41612"/>
    <cellStyle name="Обычный 6 9 2 5" xfId="41613"/>
    <cellStyle name="Обычный 6 9 2 5 2" xfId="41614"/>
    <cellStyle name="Обычный 6 9 2 5 2 2" xfId="41615"/>
    <cellStyle name="Обычный 6 9 2 5 3" xfId="41616"/>
    <cellStyle name="Обычный 6 9 2 6" xfId="41617"/>
    <cellStyle name="Обычный 6 9 2 6 2" xfId="41618"/>
    <cellStyle name="Обычный 6 9 2 7" xfId="41619"/>
    <cellStyle name="Обычный 6 9 2 7 2" xfId="41620"/>
    <cellStyle name="Обычный 6 9 2 8" xfId="41621"/>
    <cellStyle name="Обычный 6 9 3" xfId="41622"/>
    <cellStyle name="Обычный 6 9 3 2" xfId="41623"/>
    <cellStyle name="Обычный 6 9 3 2 2" xfId="41624"/>
    <cellStyle name="Обычный 6 9 3 2 2 2" xfId="41625"/>
    <cellStyle name="Обычный 6 9 3 2 3" xfId="41626"/>
    <cellStyle name="Обычный 6 9 3 3" xfId="41627"/>
    <cellStyle name="Обычный 6 9 3 3 2" xfId="41628"/>
    <cellStyle name="Обычный 6 9 3 3 2 2" xfId="41629"/>
    <cellStyle name="Обычный 6 9 3 3 3" xfId="41630"/>
    <cellStyle name="Обычный 6 9 3 4" xfId="41631"/>
    <cellStyle name="Обычный 6 9 3 4 2" xfId="41632"/>
    <cellStyle name="Обычный 6 9 3 5" xfId="41633"/>
    <cellStyle name="Обычный 6 9 3 5 2" xfId="41634"/>
    <cellStyle name="Обычный 6 9 3 6" xfId="41635"/>
    <cellStyle name="Обычный 6 9 4" xfId="41636"/>
    <cellStyle name="Обычный 6 9 4 2" xfId="41637"/>
    <cellStyle name="Обычный 6 9 4 2 2" xfId="41638"/>
    <cellStyle name="Обычный 6 9 4 2 2 2" xfId="41639"/>
    <cellStyle name="Обычный 6 9 4 2 3" xfId="41640"/>
    <cellStyle name="Обычный 6 9 4 3" xfId="41641"/>
    <cellStyle name="Обычный 6 9 4 3 2" xfId="41642"/>
    <cellStyle name="Обычный 6 9 4 3 2 2" xfId="41643"/>
    <cellStyle name="Обычный 6 9 4 3 3" xfId="41644"/>
    <cellStyle name="Обычный 6 9 4 4" xfId="41645"/>
    <cellStyle name="Обычный 6 9 4 4 2" xfId="41646"/>
    <cellStyle name="Обычный 6 9 4 5" xfId="41647"/>
    <cellStyle name="Обычный 6 9 4 5 2" xfId="41648"/>
    <cellStyle name="Обычный 6 9 4 6" xfId="41649"/>
    <cellStyle name="Обычный 6 9 5" xfId="41650"/>
    <cellStyle name="Обычный 6 9 5 2" xfId="41651"/>
    <cellStyle name="Обычный 6 9 5 2 2" xfId="41652"/>
    <cellStyle name="Обычный 6 9 5 3" xfId="41653"/>
    <cellStyle name="Обычный 6 9 5 3 2" xfId="41654"/>
    <cellStyle name="Обычный 6 9 5 4" xfId="41655"/>
    <cellStyle name="Обычный 6 9 6" xfId="41656"/>
    <cellStyle name="Обычный 6 9 6 2" xfId="41657"/>
    <cellStyle name="Обычный 6 9 6 2 2" xfId="41658"/>
    <cellStyle name="Обычный 6 9 7" xfId="41659"/>
    <cellStyle name="Обычный 6 9 7 2" xfId="41660"/>
    <cellStyle name="Обычный 6 9 8" xfId="41661"/>
    <cellStyle name="Обычный 6 9 9" xfId="41662"/>
    <cellStyle name="Обычный 60" xfId="41663"/>
    <cellStyle name="Обычный 60 2" xfId="41664"/>
    <cellStyle name="Обычный 60 2 2" xfId="41665"/>
    <cellStyle name="Обычный 60 2 2 2" xfId="41666"/>
    <cellStyle name="Обычный 60 2 2 2 2" xfId="41667"/>
    <cellStyle name="Обычный 60 2 2 2 2 2" xfId="41668"/>
    <cellStyle name="Обычный 60 2 2 2 3" xfId="41669"/>
    <cellStyle name="Обычный 60 2 2 3" xfId="41670"/>
    <cellStyle name="Обычный 60 2 2 3 2" xfId="41671"/>
    <cellStyle name="Обычный 60 2 2 4" xfId="41672"/>
    <cellStyle name="Обычный 60 2 3" xfId="41673"/>
    <cellStyle name="Обычный 60 2 3 2" xfId="41674"/>
    <cellStyle name="Обычный 60 2 3 2 2" xfId="41675"/>
    <cellStyle name="Обычный 60 2 3 3" xfId="41676"/>
    <cellStyle name="Обычный 60 2 4" xfId="41677"/>
    <cellStyle name="Обычный 60 2 4 2" xfId="41678"/>
    <cellStyle name="Обычный 60 2 4 2 2" xfId="41679"/>
    <cellStyle name="Обычный 60 2 4 3" xfId="41680"/>
    <cellStyle name="Обычный 60 2 5" xfId="41681"/>
    <cellStyle name="Обычный 60 2 5 2" xfId="41682"/>
    <cellStyle name="Обычный 60 2 6" xfId="41683"/>
    <cellStyle name="Обычный 60 2 6 2" xfId="41684"/>
    <cellStyle name="Обычный 60 2 7" xfId="41685"/>
    <cellStyle name="Обычный 60 3" xfId="41686"/>
    <cellStyle name="Обычный 60 3 2" xfId="41687"/>
    <cellStyle name="Обычный 60 3 2 2" xfId="41688"/>
    <cellStyle name="Обычный 60 3 2 2 2" xfId="41689"/>
    <cellStyle name="Обычный 60 3 2 3" xfId="41690"/>
    <cellStyle name="Обычный 60 3 3" xfId="41691"/>
    <cellStyle name="Обычный 60 3 3 2" xfId="41692"/>
    <cellStyle name="Обычный 60 3 3 2 2" xfId="41693"/>
    <cellStyle name="Обычный 60 3 3 3" xfId="41694"/>
    <cellStyle name="Обычный 60 3 4" xfId="41695"/>
    <cellStyle name="Обычный 60 3 4 2" xfId="41696"/>
    <cellStyle name="Обычный 60 3 5" xfId="41697"/>
    <cellStyle name="Обычный 60 3 6" xfId="41698"/>
    <cellStyle name="Обычный 60 4" xfId="41699"/>
    <cellStyle name="Обычный 60 4 2" xfId="41700"/>
    <cellStyle name="Обычный 60 5" xfId="41701"/>
    <cellStyle name="Обычный 60 5 2" xfId="41702"/>
    <cellStyle name="Обычный 60 5 2 2" xfId="41703"/>
    <cellStyle name="Обычный 60 5 3" xfId="41704"/>
    <cellStyle name="Обычный 60 6" xfId="41705"/>
    <cellStyle name="Обычный 60 6 2" xfId="41706"/>
    <cellStyle name="Обычный 60 6 2 2" xfId="41707"/>
    <cellStyle name="Обычный 60 6 3" xfId="41708"/>
    <cellStyle name="Обычный 60 7" xfId="41709"/>
    <cellStyle name="Обычный 60 7 2" xfId="41710"/>
    <cellStyle name="Обычный 60 8" xfId="41711"/>
    <cellStyle name="Обычный 60 8 2" xfId="41712"/>
    <cellStyle name="Обычный 61" xfId="41713"/>
    <cellStyle name="Обычный 61 2" xfId="41714"/>
    <cellStyle name="Обычный 61 2 2" xfId="41715"/>
    <cellStyle name="Обычный 61 2 2 2" xfId="41716"/>
    <cellStyle name="Обычный 61 2 2 2 2" xfId="41717"/>
    <cellStyle name="Обычный 61 2 2 3" xfId="41718"/>
    <cellStyle name="Обычный 61 2 2 3 2" xfId="41719"/>
    <cellStyle name="Обычный 61 2 2 4" xfId="41720"/>
    <cellStyle name="Обычный 61 2 3" xfId="41721"/>
    <cellStyle name="Обычный 61 2 3 2" xfId="41722"/>
    <cellStyle name="Обычный 61 2 3 2 2" xfId="41723"/>
    <cellStyle name="Обычный 61 2 3 3" xfId="41724"/>
    <cellStyle name="Обычный 61 2 4" xfId="41725"/>
    <cellStyle name="Обычный 61 2 4 2" xfId="41726"/>
    <cellStyle name="Обычный 61 2 5" xfId="41727"/>
    <cellStyle name="Обычный 61 2 5 2" xfId="41728"/>
    <cellStyle name="Обычный 61 2 6" xfId="41729"/>
    <cellStyle name="Обычный 61 3" xfId="41730"/>
    <cellStyle name="Обычный 61 3 2" xfId="41731"/>
    <cellStyle name="Обычный 61 3 2 2" xfId="41732"/>
    <cellStyle name="Обычный 61 3 2 2 2" xfId="41733"/>
    <cellStyle name="Обычный 61 3 2 3" xfId="41734"/>
    <cellStyle name="Обычный 61 3 3" xfId="41735"/>
    <cellStyle name="Обычный 61 3 3 2" xfId="41736"/>
    <cellStyle name="Обычный 61 3 3 2 2" xfId="41737"/>
    <cellStyle name="Обычный 61 3 3 3" xfId="41738"/>
    <cellStyle name="Обычный 61 3 4" xfId="41739"/>
    <cellStyle name="Обычный 61 3 4 2" xfId="41740"/>
    <cellStyle name="Обычный 61 3 5" xfId="41741"/>
    <cellStyle name="Обычный 61 3 5 2" xfId="41742"/>
    <cellStyle name="Обычный 61 3 6" xfId="41743"/>
    <cellStyle name="Обычный 61 4" xfId="41744"/>
    <cellStyle name="Обычный 61 4 2" xfId="41745"/>
    <cellStyle name="Обычный 61 5" xfId="41746"/>
    <cellStyle name="Обычный 61 5 2" xfId="41747"/>
    <cellStyle name="Обычный 61 5 2 2" xfId="41748"/>
    <cellStyle name="Обычный 61 5 3" xfId="41749"/>
    <cellStyle name="Обычный 61 6" xfId="41750"/>
    <cellStyle name="Обычный 61 6 2" xfId="41751"/>
    <cellStyle name="Обычный 61 6 2 2" xfId="41752"/>
    <cellStyle name="Обычный 61 6 3" xfId="41753"/>
    <cellStyle name="Обычный 61 7" xfId="41754"/>
    <cellStyle name="Обычный 61 7 2" xfId="41755"/>
    <cellStyle name="Обычный 61 8" xfId="41756"/>
    <cellStyle name="Обычный 61 8 2" xfId="41757"/>
    <cellStyle name="Обычный 61 9" xfId="41758"/>
    <cellStyle name="Обычный 62" xfId="41759"/>
    <cellStyle name="Обычный 62 2" xfId="41760"/>
    <cellStyle name="Обычный 62 2 2" xfId="41761"/>
    <cellStyle name="Обычный 62 2 2 2" xfId="41762"/>
    <cellStyle name="Обычный 62 2 2 2 2" xfId="41763"/>
    <cellStyle name="Обычный 62 2 2 3" xfId="41764"/>
    <cellStyle name="Обычный 62 2 3" xfId="41765"/>
    <cellStyle name="Обычный 62 2 3 2" xfId="41766"/>
    <cellStyle name="Обычный 62 2 3 2 2" xfId="41767"/>
    <cellStyle name="Обычный 62 2 3 3" xfId="41768"/>
    <cellStyle name="Обычный 62 2 4" xfId="41769"/>
    <cellStyle name="Обычный 62 2 4 2" xfId="41770"/>
    <cellStyle name="Обычный 62 2 5" xfId="41771"/>
    <cellStyle name="Обычный 62 2 5 2" xfId="41772"/>
    <cellStyle name="Обычный 62 2 6" xfId="41773"/>
    <cellStyle name="Обычный 62 3" xfId="41774"/>
    <cellStyle name="Обычный 62 3 2" xfId="41775"/>
    <cellStyle name="Обычный 62 3 2 2" xfId="41776"/>
    <cellStyle name="Обычный 62 3 2 2 2" xfId="41777"/>
    <cellStyle name="Обычный 62 3 2 3" xfId="41778"/>
    <cellStyle name="Обычный 62 3 3" xfId="41779"/>
    <cellStyle name="Обычный 62 3 3 2" xfId="41780"/>
    <cellStyle name="Обычный 62 3 3 2 2" xfId="41781"/>
    <cellStyle name="Обычный 62 3 3 3" xfId="41782"/>
    <cellStyle name="Обычный 62 3 4" xfId="41783"/>
    <cellStyle name="Обычный 62 3 4 2" xfId="41784"/>
    <cellStyle name="Обычный 62 3 5" xfId="41785"/>
    <cellStyle name="Обычный 62 3 5 2" xfId="41786"/>
    <cellStyle name="Обычный 62 3 6" xfId="41787"/>
    <cellStyle name="Обычный 62 4" xfId="41788"/>
    <cellStyle name="Обычный 62 4 2" xfId="41789"/>
    <cellStyle name="Обычный 62 5" xfId="41790"/>
    <cellStyle name="Обычный 62 5 2" xfId="41791"/>
    <cellStyle name="Обычный 62 5 2 2" xfId="41792"/>
    <cellStyle name="Обычный 62 5 3" xfId="41793"/>
    <cellStyle name="Обычный 62 6" xfId="41794"/>
    <cellStyle name="Обычный 62 6 2" xfId="41795"/>
    <cellStyle name="Обычный 62 6 2 2" xfId="41796"/>
    <cellStyle name="Обычный 62 6 3" xfId="41797"/>
    <cellStyle name="Обычный 62 7" xfId="41798"/>
    <cellStyle name="Обычный 62 7 2" xfId="41799"/>
    <cellStyle name="Обычный 62 8" xfId="41800"/>
    <cellStyle name="Обычный 62 8 2" xfId="41801"/>
    <cellStyle name="Обычный 62 9" xfId="41802"/>
    <cellStyle name="Обычный 63" xfId="41803"/>
    <cellStyle name="Обычный 63 2" xfId="41804"/>
    <cellStyle name="Обычный 63 2 2" xfId="41805"/>
    <cellStyle name="Обычный 63 2 2 2" xfId="41806"/>
    <cellStyle name="Обычный 63 2 2 2 2" xfId="41807"/>
    <cellStyle name="Обычный 63 2 2 3" xfId="41808"/>
    <cellStyle name="Обычный 63 2 3" xfId="41809"/>
    <cellStyle name="Обычный 63 2 3 2" xfId="41810"/>
    <cellStyle name="Обычный 63 2 3 2 2" xfId="41811"/>
    <cellStyle name="Обычный 63 2 3 3" xfId="41812"/>
    <cellStyle name="Обычный 63 2 4" xfId="41813"/>
    <cellStyle name="Обычный 63 2 4 2" xfId="41814"/>
    <cellStyle name="Обычный 63 2 5" xfId="41815"/>
    <cellStyle name="Обычный 63 2 5 2" xfId="41816"/>
    <cellStyle name="Обычный 63 2 6" xfId="41817"/>
    <cellStyle name="Обычный 63 3" xfId="41818"/>
    <cellStyle name="Обычный 63 3 2" xfId="41819"/>
    <cellStyle name="Обычный 63 3 2 2" xfId="41820"/>
    <cellStyle name="Обычный 63 3 2 2 2" xfId="41821"/>
    <cellStyle name="Обычный 63 3 2 3" xfId="41822"/>
    <cellStyle name="Обычный 63 3 3" xfId="41823"/>
    <cellStyle name="Обычный 63 3 3 2" xfId="41824"/>
    <cellStyle name="Обычный 63 3 3 2 2" xfId="41825"/>
    <cellStyle name="Обычный 63 3 3 3" xfId="41826"/>
    <cellStyle name="Обычный 63 3 4" xfId="41827"/>
    <cellStyle name="Обычный 63 3 4 2" xfId="41828"/>
    <cellStyle name="Обычный 63 4" xfId="41829"/>
    <cellStyle name="Обычный 63 4 2" xfId="41830"/>
    <cellStyle name="Обычный 63 5" xfId="41831"/>
    <cellStyle name="Обычный 63 5 2" xfId="41832"/>
    <cellStyle name="Обычный 63 5 2 2" xfId="41833"/>
    <cellStyle name="Обычный 63 5 3" xfId="41834"/>
    <cellStyle name="Обычный 63 6" xfId="41835"/>
    <cellStyle name="Обычный 63 6 2" xfId="41836"/>
    <cellStyle name="Обычный 63 6 2 2" xfId="41837"/>
    <cellStyle name="Обычный 63 6 3" xfId="41838"/>
    <cellStyle name="Обычный 63 7" xfId="41839"/>
    <cellStyle name="Обычный 63 7 2" xfId="41840"/>
    <cellStyle name="Обычный 63 8" xfId="41841"/>
    <cellStyle name="Обычный 63 9" xfId="41842"/>
    <cellStyle name="Обычный 64" xfId="41843"/>
    <cellStyle name="Обычный 64 2" xfId="41844"/>
    <cellStyle name="Обычный 64 2 2" xfId="41845"/>
    <cellStyle name="Обычный 64 2 2 2" xfId="41846"/>
    <cellStyle name="Обычный 64 2 2 2 2" xfId="41847"/>
    <cellStyle name="Обычный 64 2 2 3" xfId="41848"/>
    <cellStyle name="Обычный 64 2 3" xfId="41849"/>
    <cellStyle name="Обычный 64 2 3 2" xfId="41850"/>
    <cellStyle name="Обычный 64 2 3 2 2" xfId="41851"/>
    <cellStyle name="Обычный 64 2 3 3" xfId="41852"/>
    <cellStyle name="Обычный 64 2 4" xfId="41853"/>
    <cellStyle name="Обычный 64 2 4 2" xfId="41854"/>
    <cellStyle name="Обычный 64 2 5" xfId="41855"/>
    <cellStyle name="Обычный 64 2 5 2" xfId="41856"/>
    <cellStyle name="Обычный 64 2 6" xfId="41857"/>
    <cellStyle name="Обычный 64 3" xfId="41858"/>
    <cellStyle name="Обычный 64 3 2" xfId="41859"/>
    <cellStyle name="Обычный 64 3 2 2" xfId="41860"/>
    <cellStyle name="Обычный 64 3 2 2 2" xfId="41861"/>
    <cellStyle name="Обычный 64 3 2 3" xfId="41862"/>
    <cellStyle name="Обычный 64 3 3" xfId="41863"/>
    <cellStyle name="Обычный 64 3 3 2" xfId="41864"/>
    <cellStyle name="Обычный 64 3 3 2 2" xfId="41865"/>
    <cellStyle name="Обычный 64 3 3 3" xfId="41866"/>
    <cellStyle name="Обычный 64 3 4" xfId="41867"/>
    <cellStyle name="Обычный 64 3 4 2" xfId="41868"/>
    <cellStyle name="Обычный 64 3 5" xfId="41869"/>
    <cellStyle name="Обычный 64 4" xfId="41870"/>
    <cellStyle name="Обычный 64 4 2" xfId="41871"/>
    <cellStyle name="Обычный 64 4 2 2" xfId="41872"/>
    <cellStyle name="Обычный 64 4 3" xfId="41873"/>
    <cellStyle name="Обычный 64 5" xfId="41874"/>
    <cellStyle name="Обычный 64 5 2" xfId="41875"/>
    <cellStyle name="Обычный 64 5 2 2" xfId="41876"/>
    <cellStyle name="Обычный 64 5 3" xfId="41877"/>
    <cellStyle name="Обычный 64 6" xfId="41878"/>
    <cellStyle name="Обычный 64 6 2" xfId="41879"/>
    <cellStyle name="Обычный 64 7" xfId="41880"/>
    <cellStyle name="Обычный 64 8" xfId="41881"/>
    <cellStyle name="Обычный 65" xfId="41882"/>
    <cellStyle name="Обычный 65 2" xfId="41883"/>
    <cellStyle name="Обычный 65 2 2" xfId="41884"/>
    <cellStyle name="Обычный 65 2 2 2" xfId="41885"/>
    <cellStyle name="Обычный 65 2 2 2 2" xfId="41886"/>
    <cellStyle name="Обычный 65 2 2 2 2 2" xfId="41887"/>
    <cellStyle name="Обычный 65 2 2 2 3" xfId="41888"/>
    <cellStyle name="Обычный 65 2 2 3" xfId="41889"/>
    <cellStyle name="Обычный 65 2 2 3 2" xfId="41890"/>
    <cellStyle name="Обычный 65 2 2 4" xfId="41891"/>
    <cellStyle name="Обычный 65 2 3" xfId="41892"/>
    <cellStyle name="Обычный 65 2 3 2" xfId="41893"/>
    <cellStyle name="Обычный 65 2 3 2 2" xfId="41894"/>
    <cellStyle name="Обычный 65 2 3 2 2 2" xfId="41895"/>
    <cellStyle name="Обычный 65 2 3 2 3" xfId="41896"/>
    <cellStyle name="Обычный 65 2 3 3" xfId="41897"/>
    <cellStyle name="Обычный 65 2 3 3 2" xfId="41898"/>
    <cellStyle name="Обычный 65 2 3 4" xfId="41899"/>
    <cellStyle name="Обычный 65 2 4" xfId="41900"/>
    <cellStyle name="Обычный 65 2 4 2" xfId="41901"/>
    <cellStyle name="Обычный 65 2 4 2 2" xfId="41902"/>
    <cellStyle name="Обычный 65 2 4 3" xfId="41903"/>
    <cellStyle name="Обычный 65 2 5" xfId="41904"/>
    <cellStyle name="Обычный 65 2 5 2" xfId="41905"/>
    <cellStyle name="Обычный 65 2 5 2 2" xfId="41906"/>
    <cellStyle name="Обычный 65 2 6" xfId="41907"/>
    <cellStyle name="Обычный 65 2 6 2" xfId="41908"/>
    <cellStyle name="Обычный 65 2 7" xfId="41909"/>
    <cellStyle name="Обычный 65 2 7 2" xfId="41910"/>
    <cellStyle name="Обычный 65 2 8" xfId="41911"/>
    <cellStyle name="Обычный 65 3" xfId="41912"/>
    <cellStyle name="Обычный 65 3 2" xfId="41913"/>
    <cellStyle name="Обычный 65 3 2 2" xfId="41914"/>
    <cellStyle name="Обычный 65 3 2 2 2" xfId="41915"/>
    <cellStyle name="Обычный 65 3 2 2 2 2" xfId="41916"/>
    <cellStyle name="Обычный 65 3 2 2 3" xfId="41917"/>
    <cellStyle name="Обычный 65 3 2 3" xfId="41918"/>
    <cellStyle name="Обычный 65 3 2 3 2" xfId="41919"/>
    <cellStyle name="Обычный 65 3 2 4" xfId="41920"/>
    <cellStyle name="Обычный 65 3 3" xfId="41921"/>
    <cellStyle name="Обычный 65 3 4" xfId="41922"/>
    <cellStyle name="Обычный 65 4" xfId="41923"/>
    <cellStyle name="Обычный 65 4 2" xfId="41924"/>
    <cellStyle name="Обычный 65 4 2 2" xfId="41925"/>
    <cellStyle name="Обычный 65 4 3" xfId="41926"/>
    <cellStyle name="Обычный 65 5" xfId="41927"/>
    <cellStyle name="Обычный 65 5 2" xfId="41928"/>
    <cellStyle name="Обычный 65 5 2 2" xfId="41929"/>
    <cellStyle name="Обычный 65 5 3" xfId="41930"/>
    <cellStyle name="Обычный 65 6" xfId="41931"/>
    <cellStyle name="Обычный 65 6 2" xfId="41932"/>
    <cellStyle name="Обычный 65 7" xfId="41933"/>
    <cellStyle name="Обычный 65 8" xfId="41934"/>
    <cellStyle name="Обычный 66" xfId="41935"/>
    <cellStyle name="Обычный 66 2" xfId="41936"/>
    <cellStyle name="Обычный 66 2 2" xfId="41937"/>
    <cellStyle name="Обычный 66 2 2 2" xfId="41938"/>
    <cellStyle name="Обычный 66 2 2 2 2" xfId="41939"/>
    <cellStyle name="Обычный 66 2 2 3" xfId="41940"/>
    <cellStyle name="Обычный 66 2 3" xfId="41941"/>
    <cellStyle name="Обычный 66 2 3 2" xfId="41942"/>
    <cellStyle name="Обычный 66 2 3 2 2" xfId="41943"/>
    <cellStyle name="Обычный 66 2 3 3" xfId="41944"/>
    <cellStyle name="Обычный 66 2 4" xfId="41945"/>
    <cellStyle name="Обычный 66 2 4 2" xfId="41946"/>
    <cellStyle name="Обычный 66 2 5" xfId="41947"/>
    <cellStyle name="Обычный 66 2 5 2" xfId="41948"/>
    <cellStyle name="Обычный 66 2 6" xfId="41949"/>
    <cellStyle name="Обычный 66 3" xfId="41950"/>
    <cellStyle name="Обычный 66 3 2" xfId="41951"/>
    <cellStyle name="Обычный 66 3 2 2" xfId="41952"/>
    <cellStyle name="Обычный 66 3 2 2 2" xfId="41953"/>
    <cellStyle name="Обычный 66 3 2 3" xfId="41954"/>
    <cellStyle name="Обычный 66 3 3" xfId="41955"/>
    <cellStyle name="Обычный 66 3 3 2" xfId="41956"/>
    <cellStyle name="Обычный 66 3 4" xfId="41957"/>
    <cellStyle name="Обычный 66 3 4 2" xfId="41958"/>
    <cellStyle name="Обычный 66 3 5" xfId="41959"/>
    <cellStyle name="Обычный 66 4" xfId="41960"/>
    <cellStyle name="Обычный 66 4 2" xfId="41961"/>
    <cellStyle name="Обычный 66 4 2 2" xfId="41962"/>
    <cellStyle name="Обычный 66 4 2 2 2" xfId="41963"/>
    <cellStyle name="Обычный 66 4 2 3" xfId="41964"/>
    <cellStyle name="Обычный 66 4 3" xfId="41965"/>
    <cellStyle name="Обычный 66 4 3 2" xfId="41966"/>
    <cellStyle name="Обычный 66 4 4" xfId="41967"/>
    <cellStyle name="Обычный 66 5" xfId="41968"/>
    <cellStyle name="Обычный 66 5 2" xfId="41969"/>
    <cellStyle name="Обычный 66 5 2 2" xfId="41970"/>
    <cellStyle name="Обычный 66 5 3" xfId="41971"/>
    <cellStyle name="Обычный 66 6" xfId="41972"/>
    <cellStyle name="Обычный 66 6 2" xfId="41973"/>
    <cellStyle name="Обычный 66 6 2 2" xfId="41974"/>
    <cellStyle name="Обычный 66 6 3" xfId="41975"/>
    <cellStyle name="Обычный 66 7" xfId="41976"/>
    <cellStyle name="Обычный 66 7 2" xfId="41977"/>
    <cellStyle name="Обычный 66 8" xfId="41978"/>
    <cellStyle name="Обычный 66 8 2" xfId="41979"/>
    <cellStyle name="Обычный 66 9" xfId="41980"/>
    <cellStyle name="Обычный 67" xfId="41981"/>
    <cellStyle name="Обычный 67 2" xfId="41982"/>
    <cellStyle name="Обычный 67 2 2" xfId="41983"/>
    <cellStyle name="Обычный 67 3" xfId="41984"/>
    <cellStyle name="Обычный 67 3 2" xfId="41985"/>
    <cellStyle name="Обычный 67 4" xfId="41986"/>
    <cellStyle name="Обычный 67 5" xfId="41987"/>
    <cellStyle name="Обычный 67 6" xfId="41988"/>
    <cellStyle name="Обычный 67 7" xfId="41989"/>
    <cellStyle name="Обычный 67 8" xfId="41990"/>
    <cellStyle name="Обычный 67 9" xfId="41991"/>
    <cellStyle name="Обычный 68" xfId="41992"/>
    <cellStyle name="Обычный 68 2" xfId="41993"/>
    <cellStyle name="Обычный 68 2 2" xfId="41994"/>
    <cellStyle name="Обычный 68 2 2 2" xfId="41995"/>
    <cellStyle name="Обычный 68 2 3" xfId="41996"/>
    <cellStyle name="Обычный 68 2 3 2" xfId="41997"/>
    <cellStyle name="Обычный 68 2 4" xfId="41998"/>
    <cellStyle name="Обычный 68 3" xfId="41999"/>
    <cellStyle name="Обычный 68 3 2" xfId="42000"/>
    <cellStyle name="Обычный 68 3 2 2" xfId="42001"/>
    <cellStyle name="Обычный 68 3 3" xfId="42002"/>
    <cellStyle name="Обычный 68 4" xfId="42003"/>
    <cellStyle name="Обычный 68 4 2" xfId="42004"/>
    <cellStyle name="Обычный 68 5" xfId="42005"/>
    <cellStyle name="Обычный 68 5 2" xfId="42006"/>
    <cellStyle name="Обычный 68 6" xfId="42007"/>
    <cellStyle name="Обычный 68 7" xfId="42008"/>
    <cellStyle name="Обычный 68 8" xfId="42009"/>
    <cellStyle name="Обычный 69" xfId="42010"/>
    <cellStyle name="Обычный 69 2" xfId="42011"/>
    <cellStyle name="Обычный 69 2 2" xfId="42012"/>
    <cellStyle name="Обычный 69 3" xfId="42013"/>
    <cellStyle name="Обычный 69 3 2" xfId="42014"/>
    <cellStyle name="Обычный 69 3 2 2" xfId="42015"/>
    <cellStyle name="Обычный 69 3 3" xfId="42016"/>
    <cellStyle name="Обычный 69 4" xfId="42017"/>
    <cellStyle name="Обычный 69 4 2" xfId="42018"/>
    <cellStyle name="Обычный 69 4 2 2" xfId="42019"/>
    <cellStyle name="Обычный 69 4 3" xfId="42020"/>
    <cellStyle name="Обычный 69 5" xfId="42021"/>
    <cellStyle name="Обычный 69 5 2" xfId="42022"/>
    <cellStyle name="Обычный 69 6" xfId="42023"/>
    <cellStyle name="Обычный 69 6 2" xfId="42024"/>
    <cellStyle name="Обычный 69 7" xfId="42025"/>
    <cellStyle name="Обычный 69 7 2" xfId="42026"/>
    <cellStyle name="Обычный 69 8" xfId="42027"/>
    <cellStyle name="Обычный 7" xfId="42028"/>
    <cellStyle name="Обычный 7 2" xfId="42029"/>
    <cellStyle name="Обычный 7 2 2" xfId="42030"/>
    <cellStyle name="Обычный 7 2 2 10" xfId="42031"/>
    <cellStyle name="Обычный 7 2 2 10 2" xfId="42032"/>
    <cellStyle name="Обычный 7 2 2 11" xfId="42033"/>
    <cellStyle name="Обычный 7 2 2 2" xfId="42034"/>
    <cellStyle name="Обычный 7 2 2 2 2" xfId="42035"/>
    <cellStyle name="Обычный 7 2 2 2 2 2" xfId="42036"/>
    <cellStyle name="Обычный 7 2 2 2 2 2 2" xfId="42037"/>
    <cellStyle name="Обычный 7 2 2 2 2 2 2 2" xfId="42038"/>
    <cellStyle name="Обычный 7 2 2 2 2 2 2 2 2" xfId="42039"/>
    <cellStyle name="Обычный 7 2 2 2 2 2 2 3" xfId="42040"/>
    <cellStyle name="Обычный 7 2 2 2 2 2 3" xfId="42041"/>
    <cellStyle name="Обычный 7 2 2 2 2 2 3 2" xfId="42042"/>
    <cellStyle name="Обычный 7 2 2 2 2 2 3 2 2" xfId="42043"/>
    <cellStyle name="Обычный 7 2 2 2 2 2 3 3" xfId="42044"/>
    <cellStyle name="Обычный 7 2 2 2 2 2 4" xfId="42045"/>
    <cellStyle name="Обычный 7 2 2 2 2 2 4 2" xfId="42046"/>
    <cellStyle name="Обычный 7 2 2 2 2 2 5" xfId="42047"/>
    <cellStyle name="Обычный 7 2 2 2 2 2 5 2" xfId="42048"/>
    <cellStyle name="Обычный 7 2 2 2 2 2 6" xfId="42049"/>
    <cellStyle name="Обычный 7 2 2 2 2 3" xfId="42050"/>
    <cellStyle name="Обычный 7 2 2 2 2 3 2" xfId="42051"/>
    <cellStyle name="Обычный 7 2 2 2 2 3 2 2" xfId="42052"/>
    <cellStyle name="Обычный 7 2 2 2 2 3 2 2 2" xfId="42053"/>
    <cellStyle name="Обычный 7 2 2 2 2 3 2 3" xfId="42054"/>
    <cellStyle name="Обычный 7 2 2 2 2 3 3" xfId="42055"/>
    <cellStyle name="Обычный 7 2 2 2 2 3 3 2" xfId="42056"/>
    <cellStyle name="Обычный 7 2 2 2 2 3 3 2 2" xfId="42057"/>
    <cellStyle name="Обычный 7 2 2 2 2 3 3 3" xfId="42058"/>
    <cellStyle name="Обычный 7 2 2 2 2 3 4" xfId="42059"/>
    <cellStyle name="Обычный 7 2 2 2 2 3 4 2" xfId="42060"/>
    <cellStyle name="Обычный 7 2 2 2 2 3 5" xfId="42061"/>
    <cellStyle name="Обычный 7 2 2 2 2 3 5 2" xfId="42062"/>
    <cellStyle name="Обычный 7 2 2 2 2 3 6" xfId="42063"/>
    <cellStyle name="Обычный 7 2 2 2 2 4" xfId="42064"/>
    <cellStyle name="Обычный 7 2 2 2 2 4 2" xfId="42065"/>
    <cellStyle name="Обычный 7 2 2 2 2 4 2 2" xfId="42066"/>
    <cellStyle name="Обычный 7 2 2 2 2 4 3" xfId="42067"/>
    <cellStyle name="Обычный 7 2 2 2 2 5" xfId="42068"/>
    <cellStyle name="Обычный 7 2 2 2 2 5 2" xfId="42069"/>
    <cellStyle name="Обычный 7 2 2 2 2 5 2 2" xfId="42070"/>
    <cellStyle name="Обычный 7 2 2 2 2 5 3" xfId="42071"/>
    <cellStyle name="Обычный 7 2 2 2 2 6" xfId="42072"/>
    <cellStyle name="Обычный 7 2 2 2 2 6 2" xfId="42073"/>
    <cellStyle name="Обычный 7 2 2 2 2 7" xfId="42074"/>
    <cellStyle name="Обычный 7 2 2 2 2 7 2" xfId="42075"/>
    <cellStyle name="Обычный 7 2 2 2 2 8" xfId="42076"/>
    <cellStyle name="Обычный 7 2 2 2 3" xfId="42077"/>
    <cellStyle name="Обычный 7 2 2 2 3 2" xfId="42078"/>
    <cellStyle name="Обычный 7 2 2 2 3 2 2" xfId="42079"/>
    <cellStyle name="Обычный 7 2 2 2 3 2 2 2" xfId="42080"/>
    <cellStyle name="Обычный 7 2 2 2 3 2 3" xfId="42081"/>
    <cellStyle name="Обычный 7 2 2 2 3 2 3 2" xfId="42082"/>
    <cellStyle name="Обычный 7 2 2 2 3 2 4" xfId="42083"/>
    <cellStyle name="Обычный 7 2 2 2 3 3" xfId="42084"/>
    <cellStyle name="Обычный 7 2 2 2 3 3 2" xfId="42085"/>
    <cellStyle name="Обычный 7 2 2 2 3 3 2 2" xfId="42086"/>
    <cellStyle name="Обычный 7 2 2 2 3 3 3" xfId="42087"/>
    <cellStyle name="Обычный 7 2 2 2 3 4" xfId="42088"/>
    <cellStyle name="Обычный 7 2 2 2 3 4 2" xfId="42089"/>
    <cellStyle name="Обычный 7 2 2 2 3 5" xfId="42090"/>
    <cellStyle name="Обычный 7 2 2 2 3 5 2" xfId="42091"/>
    <cellStyle name="Обычный 7 2 2 2 3 6" xfId="42092"/>
    <cellStyle name="Обычный 7 2 2 2 4" xfId="42093"/>
    <cellStyle name="Обычный 7 2 2 2 4 2" xfId="42094"/>
    <cellStyle name="Обычный 7 2 2 2 4 2 2" xfId="42095"/>
    <cellStyle name="Обычный 7 2 2 2 4 2 2 2" xfId="42096"/>
    <cellStyle name="Обычный 7 2 2 2 4 2 3" xfId="42097"/>
    <cellStyle name="Обычный 7 2 2 2 4 3" xfId="42098"/>
    <cellStyle name="Обычный 7 2 2 2 4 3 2" xfId="42099"/>
    <cellStyle name="Обычный 7 2 2 2 4 3 2 2" xfId="42100"/>
    <cellStyle name="Обычный 7 2 2 2 4 3 3" xfId="42101"/>
    <cellStyle name="Обычный 7 2 2 2 4 4" xfId="42102"/>
    <cellStyle name="Обычный 7 2 2 2 4 4 2" xfId="42103"/>
    <cellStyle name="Обычный 7 2 2 2 4 5" xfId="42104"/>
    <cellStyle name="Обычный 7 2 2 2 4 5 2" xfId="42105"/>
    <cellStyle name="Обычный 7 2 2 2 4 6" xfId="42106"/>
    <cellStyle name="Обычный 7 2 2 2 5" xfId="42107"/>
    <cellStyle name="Обычный 7 2 2 2 5 2" xfId="42108"/>
    <cellStyle name="Обычный 7 2 2 2 5 2 2" xfId="42109"/>
    <cellStyle name="Обычный 7 2 2 2 5 3" xfId="42110"/>
    <cellStyle name="Обычный 7 2 2 2 6" xfId="42111"/>
    <cellStyle name="Обычный 7 2 2 2 6 2" xfId="42112"/>
    <cellStyle name="Обычный 7 2 2 2 6 2 2" xfId="42113"/>
    <cellStyle name="Обычный 7 2 2 2 6 3" xfId="42114"/>
    <cellStyle name="Обычный 7 2 2 2 7" xfId="42115"/>
    <cellStyle name="Обычный 7 2 2 2 7 2" xfId="42116"/>
    <cellStyle name="Обычный 7 2 2 2 8" xfId="42117"/>
    <cellStyle name="Обычный 7 2 2 2 8 2" xfId="42118"/>
    <cellStyle name="Обычный 7 2 2 2 9" xfId="42119"/>
    <cellStyle name="Обычный 7 2 2 3" xfId="42120"/>
    <cellStyle name="Обычный 7 2 2 3 2" xfId="42121"/>
    <cellStyle name="Обычный 7 2 2 3 2 2" xfId="42122"/>
    <cellStyle name="Обычный 7 2 2 3 2 2 2" xfId="42123"/>
    <cellStyle name="Обычный 7 2 2 3 2 2 2 2" xfId="42124"/>
    <cellStyle name="Обычный 7 2 2 3 2 2 3" xfId="42125"/>
    <cellStyle name="Обычный 7 2 2 3 2 2 3 2" xfId="42126"/>
    <cellStyle name="Обычный 7 2 2 3 2 2 4" xfId="42127"/>
    <cellStyle name="Обычный 7 2 2 3 2 3" xfId="42128"/>
    <cellStyle name="Обычный 7 2 2 3 2 3 2" xfId="42129"/>
    <cellStyle name="Обычный 7 2 2 3 2 3 2 2" xfId="42130"/>
    <cellStyle name="Обычный 7 2 2 3 2 3 3" xfId="42131"/>
    <cellStyle name="Обычный 7 2 2 3 2 4" xfId="42132"/>
    <cellStyle name="Обычный 7 2 2 3 2 4 2" xfId="42133"/>
    <cellStyle name="Обычный 7 2 2 3 2 5" xfId="42134"/>
    <cellStyle name="Обычный 7 2 2 3 2 5 2" xfId="42135"/>
    <cellStyle name="Обычный 7 2 2 3 2 6" xfId="42136"/>
    <cellStyle name="Обычный 7 2 2 3 3" xfId="42137"/>
    <cellStyle name="Обычный 7 2 2 3 3 2" xfId="42138"/>
    <cellStyle name="Обычный 7 2 2 3 3 2 2" xfId="42139"/>
    <cellStyle name="Обычный 7 2 2 3 3 2 2 2" xfId="42140"/>
    <cellStyle name="Обычный 7 2 2 3 3 2 3" xfId="42141"/>
    <cellStyle name="Обычный 7 2 2 3 3 3" xfId="42142"/>
    <cellStyle name="Обычный 7 2 2 3 3 3 2" xfId="42143"/>
    <cellStyle name="Обычный 7 2 2 3 3 3 2 2" xfId="42144"/>
    <cellStyle name="Обычный 7 2 2 3 3 3 3" xfId="42145"/>
    <cellStyle name="Обычный 7 2 2 3 3 4" xfId="42146"/>
    <cellStyle name="Обычный 7 2 2 3 3 4 2" xfId="42147"/>
    <cellStyle name="Обычный 7 2 2 3 3 5" xfId="42148"/>
    <cellStyle name="Обычный 7 2 2 3 3 5 2" xfId="42149"/>
    <cellStyle name="Обычный 7 2 2 3 3 6" xfId="42150"/>
    <cellStyle name="Обычный 7 2 2 3 4" xfId="42151"/>
    <cellStyle name="Обычный 7 2 2 3 4 2" xfId="42152"/>
    <cellStyle name="Обычный 7 2 2 3 4 2 2" xfId="42153"/>
    <cellStyle name="Обычный 7 2 2 3 4 3" xfId="42154"/>
    <cellStyle name="Обычный 7 2 2 3 4 3 2" xfId="42155"/>
    <cellStyle name="Обычный 7 2 2 3 4 4" xfId="42156"/>
    <cellStyle name="Обычный 7 2 2 3 5" xfId="42157"/>
    <cellStyle name="Обычный 7 2 2 3 5 2" xfId="42158"/>
    <cellStyle name="Обычный 7 2 2 3 5 2 2" xfId="42159"/>
    <cellStyle name="Обычный 7 2 2 3 5 3" xfId="42160"/>
    <cellStyle name="Обычный 7 2 2 3 6" xfId="42161"/>
    <cellStyle name="Обычный 7 2 2 3 6 2" xfId="42162"/>
    <cellStyle name="Обычный 7 2 2 3 7" xfId="42163"/>
    <cellStyle name="Обычный 7 2 2 3 7 2" xfId="42164"/>
    <cellStyle name="Обычный 7 2 2 3 8" xfId="42165"/>
    <cellStyle name="Обычный 7 2 2 4" xfId="42166"/>
    <cellStyle name="Обычный 7 2 2 4 2" xfId="42167"/>
    <cellStyle name="Обычный 7 2 2 4 2 2" xfId="42168"/>
    <cellStyle name="Обычный 7 2 2 4 2 2 2" xfId="42169"/>
    <cellStyle name="Обычный 7 2 2 4 2 2 2 2" xfId="42170"/>
    <cellStyle name="Обычный 7 2 2 4 2 2 3" xfId="42171"/>
    <cellStyle name="Обычный 7 2 2 4 2 3" xfId="42172"/>
    <cellStyle name="Обычный 7 2 2 4 2 3 2" xfId="42173"/>
    <cellStyle name="Обычный 7 2 2 4 2 3 2 2" xfId="42174"/>
    <cellStyle name="Обычный 7 2 2 4 2 3 3" xfId="42175"/>
    <cellStyle name="Обычный 7 2 2 4 2 4" xfId="42176"/>
    <cellStyle name="Обычный 7 2 2 4 2 4 2" xfId="42177"/>
    <cellStyle name="Обычный 7 2 2 4 2 5" xfId="42178"/>
    <cellStyle name="Обычный 7 2 2 4 2 5 2" xfId="42179"/>
    <cellStyle name="Обычный 7 2 2 4 2 6" xfId="42180"/>
    <cellStyle name="Обычный 7 2 2 4 3" xfId="42181"/>
    <cellStyle name="Обычный 7 2 2 4 3 2" xfId="42182"/>
    <cellStyle name="Обычный 7 2 2 4 3 2 2" xfId="42183"/>
    <cellStyle name="Обычный 7 2 2 4 3 2 2 2" xfId="42184"/>
    <cellStyle name="Обычный 7 2 2 4 3 2 3" xfId="42185"/>
    <cellStyle name="Обычный 7 2 2 4 3 3" xfId="42186"/>
    <cellStyle name="Обычный 7 2 2 4 3 3 2" xfId="42187"/>
    <cellStyle name="Обычный 7 2 2 4 3 3 2 2" xfId="42188"/>
    <cellStyle name="Обычный 7 2 2 4 3 3 3" xfId="42189"/>
    <cellStyle name="Обычный 7 2 2 4 3 4" xfId="42190"/>
    <cellStyle name="Обычный 7 2 2 4 3 4 2" xfId="42191"/>
    <cellStyle name="Обычный 7 2 2 4 3 5" xfId="42192"/>
    <cellStyle name="Обычный 7 2 2 4 4" xfId="42193"/>
    <cellStyle name="Обычный 7 2 2 4 4 2" xfId="42194"/>
    <cellStyle name="Обычный 7 2 2 4 4 2 2" xfId="42195"/>
    <cellStyle name="Обычный 7 2 2 4 4 3" xfId="42196"/>
    <cellStyle name="Обычный 7 2 2 4 5" xfId="42197"/>
    <cellStyle name="Обычный 7 2 2 4 5 2" xfId="42198"/>
    <cellStyle name="Обычный 7 2 2 4 5 2 2" xfId="42199"/>
    <cellStyle name="Обычный 7 2 2 4 5 3" xfId="42200"/>
    <cellStyle name="Обычный 7 2 2 4 6" xfId="42201"/>
    <cellStyle name="Обычный 7 2 2 4 6 2" xfId="42202"/>
    <cellStyle name="Обычный 7 2 2 4 7" xfId="42203"/>
    <cellStyle name="Обычный 7 2 2 4 7 2" xfId="42204"/>
    <cellStyle name="Обычный 7 2 2 4 8" xfId="42205"/>
    <cellStyle name="Обычный 7 2 2 5" xfId="42206"/>
    <cellStyle name="Обычный 7 2 2 5 2" xfId="42207"/>
    <cellStyle name="Обычный 7 2 2 5 2 2" xfId="42208"/>
    <cellStyle name="Обычный 7 2 2 5 2 2 2" xfId="42209"/>
    <cellStyle name="Обычный 7 2 2 5 2 3" xfId="42210"/>
    <cellStyle name="Обычный 7 2 2 5 3" xfId="42211"/>
    <cellStyle name="Обычный 7 2 2 5 3 2" xfId="42212"/>
    <cellStyle name="Обычный 7 2 2 5 3 2 2" xfId="42213"/>
    <cellStyle name="Обычный 7 2 2 5 3 3" xfId="42214"/>
    <cellStyle name="Обычный 7 2 2 5 4" xfId="42215"/>
    <cellStyle name="Обычный 7 2 2 5 4 2" xfId="42216"/>
    <cellStyle name="Обычный 7 2 2 5 5" xfId="42217"/>
    <cellStyle name="Обычный 7 2 2 5 5 2" xfId="42218"/>
    <cellStyle name="Обычный 7 2 2 5 6" xfId="42219"/>
    <cellStyle name="Обычный 7 2 2 6" xfId="42220"/>
    <cellStyle name="Обычный 7 2 2 6 2" xfId="42221"/>
    <cellStyle name="Обычный 7 2 2 6 2 2" xfId="42222"/>
    <cellStyle name="Обычный 7 2 2 6 2 2 2" xfId="42223"/>
    <cellStyle name="Обычный 7 2 2 6 2 3" xfId="42224"/>
    <cellStyle name="Обычный 7 2 2 6 3" xfId="42225"/>
    <cellStyle name="Обычный 7 2 2 6 3 2" xfId="42226"/>
    <cellStyle name="Обычный 7 2 2 6 3 2 2" xfId="42227"/>
    <cellStyle name="Обычный 7 2 2 6 3 3" xfId="42228"/>
    <cellStyle name="Обычный 7 2 2 6 4" xfId="42229"/>
    <cellStyle name="Обычный 7 2 2 6 4 2" xfId="42230"/>
    <cellStyle name="Обычный 7 2 2 6 5" xfId="42231"/>
    <cellStyle name="Обычный 7 2 2 6 5 2" xfId="42232"/>
    <cellStyle name="Обычный 7 2 2 6 6" xfId="42233"/>
    <cellStyle name="Обычный 7 2 2 7" xfId="42234"/>
    <cellStyle name="Обычный 7 2 2 7 2" xfId="42235"/>
    <cellStyle name="Обычный 7 2 2 7 2 2" xfId="42236"/>
    <cellStyle name="Обычный 7 2 2 7 3" xfId="42237"/>
    <cellStyle name="Обычный 7 2 2 8" xfId="42238"/>
    <cellStyle name="Обычный 7 2 2 8 2" xfId="42239"/>
    <cellStyle name="Обычный 7 2 2 8 2 2" xfId="42240"/>
    <cellStyle name="Обычный 7 2 2 8 3" xfId="42241"/>
    <cellStyle name="Обычный 7 2 2 9" xfId="42242"/>
    <cellStyle name="Обычный 7 2 2 9 2" xfId="42243"/>
    <cellStyle name="Обычный 7 2 3" xfId="42244"/>
    <cellStyle name="Обычный 7 3" xfId="42245"/>
    <cellStyle name="Обычный 7 3 2" xfId="42246"/>
    <cellStyle name="Обычный 7 3 2 2" xfId="42247"/>
    <cellStyle name="Обычный 7 3 2 2 2" xfId="42248"/>
    <cellStyle name="Обычный 7 3 2 2 2 2" xfId="42249"/>
    <cellStyle name="Обычный 7 3 2 2 3" xfId="42250"/>
    <cellStyle name="Обычный 7 3 2 3" xfId="42251"/>
    <cellStyle name="Обычный 7 3 2 3 2" xfId="42252"/>
    <cellStyle name="Обычный 7 3 2 3 2 2" xfId="42253"/>
    <cellStyle name="Обычный 7 3 2 3 3" xfId="42254"/>
    <cellStyle name="Обычный 7 3 2 4" xfId="42255"/>
    <cellStyle name="Обычный 7 3 2 4 2" xfId="42256"/>
    <cellStyle name="Обычный 7 3 2 5" xfId="42257"/>
    <cellStyle name="Обычный 7 3 2 5 2" xfId="42258"/>
    <cellStyle name="Обычный 7 3 2 6" xfId="42259"/>
    <cellStyle name="Обычный 7 3 3" xfId="42260"/>
    <cellStyle name="Обычный 7 3 3 2" xfId="42261"/>
    <cellStyle name="Обычный 7 3 3 2 2" xfId="42262"/>
    <cellStyle name="Обычный 7 3 3 2 2 2" xfId="42263"/>
    <cellStyle name="Обычный 7 3 3 2 3" xfId="42264"/>
    <cellStyle name="Обычный 7 3 3 3" xfId="42265"/>
    <cellStyle name="Обычный 7 3 3 3 2" xfId="42266"/>
    <cellStyle name="Обычный 7 3 3 3 2 2" xfId="42267"/>
    <cellStyle name="Обычный 7 3 3 3 3" xfId="42268"/>
    <cellStyle name="Обычный 7 3 3 4" xfId="42269"/>
    <cellStyle name="Обычный 7 3 3 4 2" xfId="42270"/>
    <cellStyle name="Обычный 7 3 3 5" xfId="42271"/>
    <cellStyle name="Обычный 7 3 3 5 2" xfId="42272"/>
    <cellStyle name="Обычный 7 3 3 6" xfId="42273"/>
    <cellStyle name="Обычный 7 3 4" xfId="42274"/>
    <cellStyle name="Обычный 7 3 4 2" xfId="42275"/>
    <cellStyle name="Обычный 7 3 4 2 2" xfId="42276"/>
    <cellStyle name="Обычный 7 3 4 3" xfId="42277"/>
    <cellStyle name="Обычный 7 3 4 3 2" xfId="42278"/>
    <cellStyle name="Обычный 7 3 4 4" xfId="42279"/>
    <cellStyle name="Обычный 7 3 5" xfId="42280"/>
    <cellStyle name="Обычный 7 3 5 2" xfId="42281"/>
    <cellStyle name="Обычный 7 3 5 2 2" xfId="42282"/>
    <cellStyle name="Обычный 7 3 5 3" xfId="42283"/>
    <cellStyle name="Обычный 7 3 6" xfId="42284"/>
    <cellStyle name="Обычный 7 3 6 2" xfId="42285"/>
    <cellStyle name="Обычный 7 3 7" xfId="42286"/>
    <cellStyle name="Обычный 7 3 8" xfId="42287"/>
    <cellStyle name="Обычный 7 4" xfId="42288"/>
    <cellStyle name="Обычный 7 4 2" xfId="42289"/>
    <cellStyle name="Обычный 7 5" xfId="42290"/>
    <cellStyle name="Обычный 70" xfId="42291"/>
    <cellStyle name="Обычный 70 2" xfId="42292"/>
    <cellStyle name="Обычный 70 2 2" xfId="42293"/>
    <cellStyle name="Обычный 70 2 2 2" xfId="42294"/>
    <cellStyle name="Обычный 70 2 2 2 2" xfId="42295"/>
    <cellStyle name="Обычный 70 2 2 3" xfId="42296"/>
    <cellStyle name="Обычный 70 2 3" xfId="42297"/>
    <cellStyle name="Обычный 70 2 3 2" xfId="42298"/>
    <cellStyle name="Обычный 70 2 4" xfId="42299"/>
    <cellStyle name="Обычный 70 3" xfId="42300"/>
    <cellStyle name="Обычный 70 3 2" xfId="42301"/>
    <cellStyle name="Обычный 70 4" xfId="42302"/>
    <cellStyle name="Обычный 70 4 2" xfId="42303"/>
    <cellStyle name="Обычный 70 5" xfId="42304"/>
    <cellStyle name="Обычный 71" xfId="42305"/>
    <cellStyle name="Обычный 71 2" xfId="42306"/>
    <cellStyle name="Обычный 71 2 2" xfId="42307"/>
    <cellStyle name="Обычный 71 3" xfId="42308"/>
    <cellStyle name="Обычный 71 3 2" xfId="42309"/>
    <cellStyle name="Обычный 71 4" xfId="42310"/>
    <cellStyle name="Обычный 72" xfId="42311"/>
    <cellStyle name="Обычный 72 2" xfId="42312"/>
    <cellStyle name="Обычный 72 2 2" xfId="42313"/>
    <cellStyle name="Обычный 72 3" xfId="42314"/>
    <cellStyle name="Обычный 72 3 2" xfId="42315"/>
    <cellStyle name="Обычный 72 4" xfId="42316"/>
    <cellStyle name="Обычный 73" xfId="42317"/>
    <cellStyle name="Обычный 73 2" xfId="42318"/>
    <cellStyle name="Обычный 73 2 2" xfId="42319"/>
    <cellStyle name="Обычный 73 3" xfId="42320"/>
    <cellStyle name="Обычный 73 3 2" xfId="42321"/>
    <cellStyle name="Обычный 73 4" xfId="42322"/>
    <cellStyle name="Обычный 74" xfId="42323"/>
    <cellStyle name="Обычный 74 2" xfId="42324"/>
    <cellStyle name="Обычный 74 3" xfId="42325"/>
    <cellStyle name="Обычный 74 3 2" xfId="42326"/>
    <cellStyle name="Обычный 74 4" xfId="42327"/>
    <cellStyle name="Обычный 75" xfId="42328"/>
    <cellStyle name="Обычный 75 2" xfId="42329"/>
    <cellStyle name="Обычный 75 2 2" xfId="42330"/>
    <cellStyle name="Обычный 75 3" xfId="42331"/>
    <cellStyle name="Обычный 76" xfId="42332"/>
    <cellStyle name="Обычный 76 2" xfId="42333"/>
    <cellStyle name="Обычный 76 2 2" xfId="42334"/>
    <cellStyle name="Обычный 76 3" xfId="42335"/>
    <cellStyle name="Обычный 77" xfId="42336"/>
    <cellStyle name="Обычный 77 2" xfId="42337"/>
    <cellStyle name="Обычный 78" xfId="42338"/>
    <cellStyle name="Обычный 78 2" xfId="42339"/>
    <cellStyle name="Обычный 79" xfId="42340"/>
    <cellStyle name="Обычный 79 2" xfId="42341"/>
    <cellStyle name="Обычный 8" xfId="42342"/>
    <cellStyle name="Обычный 8 2" xfId="42343"/>
    <cellStyle name="Обычный 8 2 2" xfId="42344"/>
    <cellStyle name="Обычный 8 2 3" xfId="42345"/>
    <cellStyle name="Обычный 8 3" xfId="42346"/>
    <cellStyle name="Обычный 8 4" xfId="42347"/>
    <cellStyle name="Обычный 8 4 2" xfId="42348"/>
    <cellStyle name="Обычный 8 4 3" xfId="42349"/>
    <cellStyle name="Обычный 8 5" xfId="42350"/>
    <cellStyle name="Обычный 8 5 2" xfId="42351"/>
    <cellStyle name="Обычный 8 5 2 2" xfId="42352"/>
    <cellStyle name="Обычный 8 5 3" xfId="42353"/>
    <cellStyle name="Обычный 8 5 3 2" xfId="42354"/>
    <cellStyle name="Обычный 8 5 4" xfId="42355"/>
    <cellStyle name="Обычный 8 6" xfId="42356"/>
    <cellStyle name="Обычный 8 6 2" xfId="42357"/>
    <cellStyle name="Обычный 8 7" xfId="42358"/>
    <cellStyle name="Обычный 8 7 2" xfId="42359"/>
    <cellStyle name="Обычный 8 8" xfId="42360"/>
    <cellStyle name="Обычный 80" xfId="42361"/>
    <cellStyle name="Обычный 80 2" xfId="42362"/>
    <cellStyle name="Обычный 81" xfId="42363"/>
    <cellStyle name="Обычный 81 2" xfId="42364"/>
    <cellStyle name="Обычный 82" xfId="42365"/>
    <cellStyle name="Обычный 82 2" xfId="42366"/>
    <cellStyle name="Обычный 83" xfId="42367"/>
    <cellStyle name="Обычный 83 2" xfId="42368"/>
    <cellStyle name="Обычный 84" xfId="42369"/>
    <cellStyle name="Обычный 84 2" xfId="42370"/>
    <cellStyle name="Обычный 84 2 2" xfId="42371"/>
    <cellStyle name="Обычный 84 2 2 2" xfId="42372"/>
    <cellStyle name="Обычный 84 2 3" xfId="42373"/>
    <cellStyle name="Обычный 84 3" xfId="42374"/>
    <cellStyle name="Обычный 84 3 2" xfId="42375"/>
    <cellStyle name="Обычный 84 3 2 2" xfId="42376"/>
    <cellStyle name="Обычный 84 3 3" xfId="42377"/>
    <cellStyle name="Обычный 84 4" xfId="42378"/>
    <cellStyle name="Обычный 84 4 2" xfId="42379"/>
    <cellStyle name="Обычный 84 5" xfId="42380"/>
    <cellStyle name="Обычный 85" xfId="42381"/>
    <cellStyle name="Обычный 85 2" xfId="42382"/>
    <cellStyle name="Обычный 86" xfId="42383"/>
    <cellStyle name="Обычный 86 2" xfId="42384"/>
    <cellStyle name="Обычный 87" xfId="42385"/>
    <cellStyle name="Обычный 88" xfId="42386"/>
    <cellStyle name="Обычный 89" xfId="42387"/>
    <cellStyle name="Обычный 9" xfId="42388"/>
    <cellStyle name="Обычный 9 2" xfId="42389"/>
    <cellStyle name="Обычный 9 2 2" xfId="42390"/>
    <cellStyle name="Обычный 9 2 3" xfId="42391"/>
    <cellStyle name="Обычный 9 3" xfId="42392"/>
    <cellStyle name="Обычный 9 3 2" xfId="42393"/>
    <cellStyle name="Обычный 9 3 2 2" xfId="42394"/>
    <cellStyle name="Обычный 9 3 2 2 2" xfId="42395"/>
    <cellStyle name="Обычный 9 3 2 2 2 2" xfId="42396"/>
    <cellStyle name="Обычный 9 3 2 2 3" xfId="42397"/>
    <cellStyle name="Обычный 9 3 2 3" xfId="42398"/>
    <cellStyle name="Обычный 9 3 2 3 2" xfId="42399"/>
    <cellStyle name="Обычный 9 3 2 3 2 2" xfId="42400"/>
    <cellStyle name="Обычный 9 3 2 3 3" xfId="42401"/>
    <cellStyle name="Обычный 9 3 2 4" xfId="42402"/>
    <cellStyle name="Обычный 9 3 2 4 2" xfId="42403"/>
    <cellStyle name="Обычный 9 3 2 5" xfId="42404"/>
    <cellStyle name="Обычный 9 3 2 5 2" xfId="42405"/>
    <cellStyle name="Обычный 9 3 2 6" xfId="42406"/>
    <cellStyle name="Обычный 9 3 3" xfId="42407"/>
    <cellStyle name="Обычный 9 3 3 2" xfId="42408"/>
    <cellStyle name="Обычный 9 3 3 2 2" xfId="42409"/>
    <cellStyle name="Обычный 9 3 3 2 2 2" xfId="42410"/>
    <cellStyle name="Обычный 9 3 3 2 3" xfId="42411"/>
    <cellStyle name="Обычный 9 3 3 3" xfId="42412"/>
    <cellStyle name="Обычный 9 3 3 3 2" xfId="42413"/>
    <cellStyle name="Обычный 9 3 3 3 2 2" xfId="42414"/>
    <cellStyle name="Обычный 9 3 3 3 3" xfId="42415"/>
    <cellStyle name="Обычный 9 3 3 4" xfId="42416"/>
    <cellStyle name="Обычный 9 3 3 4 2" xfId="42417"/>
    <cellStyle name="Обычный 9 3 3 5" xfId="42418"/>
    <cellStyle name="Обычный 9 3 3 5 2" xfId="42419"/>
    <cellStyle name="Обычный 9 3 3 6" xfId="42420"/>
    <cellStyle name="Обычный 9 3 4" xfId="42421"/>
    <cellStyle name="Обычный 9 3 4 2" xfId="42422"/>
    <cellStyle name="Обычный 9 3 4 2 2" xfId="42423"/>
    <cellStyle name="Обычный 9 3 4 3" xfId="42424"/>
    <cellStyle name="Обычный 9 3 5" xfId="42425"/>
    <cellStyle name="Обычный 9 3 5 2" xfId="42426"/>
    <cellStyle name="Обычный 9 3 5 2 2" xfId="42427"/>
    <cellStyle name="Обычный 9 3 5 3" xfId="42428"/>
    <cellStyle name="Обычный 9 3 6" xfId="42429"/>
    <cellStyle name="Обычный 9 3 6 2" xfId="42430"/>
    <cellStyle name="Обычный 9 3 7" xfId="42431"/>
    <cellStyle name="Обычный 9 3 7 2" xfId="42432"/>
    <cellStyle name="Обычный 9 3 8" xfId="42433"/>
    <cellStyle name="Обычный 9 4" xfId="42434"/>
    <cellStyle name="Обычный 9 4 2" xfId="42435"/>
    <cellStyle name="Обычный 90" xfId="42436"/>
    <cellStyle name="Обычный 90 2" xfId="42437"/>
    <cellStyle name="Обычный 91" xfId="42438"/>
    <cellStyle name="Обычный 91 2" xfId="42439"/>
    <cellStyle name="Обычный 91 2 2" xfId="42440"/>
    <cellStyle name="Обычный 91 2 2 2" xfId="42441"/>
    <cellStyle name="Обычный 91 2 3" xfId="42442"/>
    <cellStyle name="Обычный 91 3" xfId="42443"/>
    <cellStyle name="Обычный 91 3 2" xfId="42444"/>
    <cellStyle name="Обычный 91 4" xfId="42445"/>
    <cellStyle name="Обычный 92" xfId="42446"/>
    <cellStyle name="Обычный 92 2" xfId="42447"/>
    <cellStyle name="Обычный 93" xfId="42448"/>
    <cellStyle name="Обычный 93 2" xfId="42449"/>
    <cellStyle name="Обычный 94" xfId="42450"/>
    <cellStyle name="Обычный 94 2" xfId="42451"/>
    <cellStyle name="Обычный 95" xfId="42452"/>
    <cellStyle name="Обычный 95 2" xfId="42453"/>
    <cellStyle name="Обычный 96" xfId="42454"/>
    <cellStyle name="Обычный 96 2" xfId="42455"/>
    <cellStyle name="Обычный 97" xfId="42456"/>
    <cellStyle name="Обычный 97 2" xfId="42457"/>
    <cellStyle name="Обычный 98" xfId="42458"/>
    <cellStyle name="Обычный 98 2" xfId="42459"/>
    <cellStyle name="Обычный 98 3" xfId="42460"/>
    <cellStyle name="Обычный 99" xfId="42461"/>
    <cellStyle name="Обычный 99 2" xfId="42462"/>
    <cellStyle name="Параметры автоформата" xfId="42463"/>
    <cellStyle name="Плохой 2" xfId="42464"/>
    <cellStyle name="Плохой 2 2" xfId="42465"/>
    <cellStyle name="Плохой 3" xfId="42466"/>
    <cellStyle name="Плохой 4" xfId="42467"/>
    <cellStyle name="Плохой 5" xfId="42468"/>
    <cellStyle name="Плохой 6" xfId="42469"/>
    <cellStyle name="Подраздел" xfId="42470"/>
    <cellStyle name="Пояснение 2" xfId="42471"/>
    <cellStyle name="Пояснение 2 2" xfId="42472"/>
    <cellStyle name="Пояснение 3" xfId="42473"/>
    <cellStyle name="Пояснение 4" xfId="42474"/>
    <cellStyle name="Пояснение 5" xfId="42475"/>
    <cellStyle name="Пояснение 6" xfId="42476"/>
    <cellStyle name="Примечание 10" xfId="42477"/>
    <cellStyle name="Примечание 10 2" xfId="42478"/>
    <cellStyle name="Примечание 10 2 2" xfId="42479"/>
    <cellStyle name="Примечание 10 2 2 2" xfId="42480"/>
    <cellStyle name="Примечание 10 2 3" xfId="42481"/>
    <cellStyle name="Примечание 10 3" xfId="42482"/>
    <cellStyle name="Примечание 10 3 2" xfId="42483"/>
    <cellStyle name="Примечание 10 4" xfId="42484"/>
    <cellStyle name="Примечание 11" xfId="42485"/>
    <cellStyle name="Примечание 11 2" xfId="42486"/>
    <cellStyle name="Примечание 11 2 2" xfId="42487"/>
    <cellStyle name="Примечание 11 2 2 2" xfId="42488"/>
    <cellStyle name="Примечание 11 2 3" xfId="42489"/>
    <cellStyle name="Примечание 11 3" xfId="42490"/>
    <cellStyle name="Примечание 11 3 2" xfId="42491"/>
    <cellStyle name="Примечание 11 4" xfId="42492"/>
    <cellStyle name="Примечание 12" xfId="42493"/>
    <cellStyle name="Примечание 12 2" xfId="42494"/>
    <cellStyle name="Примечание 12 2 2" xfId="42495"/>
    <cellStyle name="Примечание 12 3" xfId="42496"/>
    <cellStyle name="Примечание 12 3 2" xfId="42497"/>
    <cellStyle name="Примечание 13" xfId="42498"/>
    <cellStyle name="Примечание 13 2" xfId="42499"/>
    <cellStyle name="Примечание 13 3" xfId="42500"/>
    <cellStyle name="Примечание 13 3 2" xfId="42501"/>
    <cellStyle name="Примечание 14" xfId="42502"/>
    <cellStyle name="Примечание 14 2" xfId="42503"/>
    <cellStyle name="Примечание 14 2 2" xfId="42504"/>
    <cellStyle name="Примечание 15" xfId="42505"/>
    <cellStyle name="Примечание 15 2" xfId="42506"/>
    <cellStyle name="Примечание 15 2 2" xfId="42507"/>
    <cellStyle name="Примечание 15 3" xfId="42508"/>
    <cellStyle name="Примечание 2" xfId="42509"/>
    <cellStyle name="Примечание 2 10" xfId="42510"/>
    <cellStyle name="Примечание 2 10 2" xfId="42511"/>
    <cellStyle name="Примечание 2 10 2 2" xfId="42512"/>
    <cellStyle name="Примечание 2 10 3" xfId="42513"/>
    <cellStyle name="Примечание 2 10 3 2" xfId="42514"/>
    <cellStyle name="Примечание 2 11" xfId="42515"/>
    <cellStyle name="Примечание 2 11 2" xfId="42516"/>
    <cellStyle name="Примечание 2 11 2 2" xfId="42517"/>
    <cellStyle name="Примечание 2 11 3" xfId="42518"/>
    <cellStyle name="Примечание 2 11 3 2" xfId="42519"/>
    <cellStyle name="Примечание 2 12" xfId="42520"/>
    <cellStyle name="Примечание 2 12 2" xfId="42521"/>
    <cellStyle name="Примечание 2 12 2 2" xfId="42522"/>
    <cellStyle name="Примечание 2 13" xfId="42523"/>
    <cellStyle name="Примечание 2 13 2" xfId="42524"/>
    <cellStyle name="Примечание 2 14" xfId="42525"/>
    <cellStyle name="Примечание 2 2" xfId="42526"/>
    <cellStyle name="Примечание 2 2 2" xfId="42527"/>
    <cellStyle name="Примечание 2 2 2 2" xfId="42528"/>
    <cellStyle name="Примечание 2 2 2 2 2" xfId="42529"/>
    <cellStyle name="Примечание 2 2 2 2 2 2" xfId="42530"/>
    <cellStyle name="Примечание 2 2 2 2 3" xfId="42531"/>
    <cellStyle name="Примечание 2 2 2 3" xfId="42532"/>
    <cellStyle name="Примечание 2 2 2 3 2" xfId="42533"/>
    <cellStyle name="Примечание 2 2 2 3 2 2" xfId="42534"/>
    <cellStyle name="Примечание 2 2 2 3 3" xfId="42535"/>
    <cellStyle name="Примечание 2 2 2 4" xfId="42536"/>
    <cellStyle name="Примечание 2 2 3" xfId="42537"/>
    <cellStyle name="Примечание 2 2 3 2" xfId="42538"/>
    <cellStyle name="Примечание 2 2 3 2 2" xfId="42539"/>
    <cellStyle name="Примечание 2 2 3 3" xfId="42540"/>
    <cellStyle name="Примечание 2 2 4" xfId="42541"/>
    <cellStyle name="Примечание 2 2 4 2" xfId="42542"/>
    <cellStyle name="Примечание 2 2 4 2 2" xfId="42543"/>
    <cellStyle name="Примечание 2 2 4 3" xfId="42544"/>
    <cellStyle name="Примечание 2 2 5" xfId="42545"/>
    <cellStyle name="Примечание 2 3" xfId="42546"/>
    <cellStyle name="Примечание 2 3 2" xfId="42547"/>
    <cellStyle name="Примечание 2 3 2 2" xfId="42548"/>
    <cellStyle name="Примечание 2 3 2 2 2" xfId="42549"/>
    <cellStyle name="Примечание 2 3 2 2 2 2" xfId="42550"/>
    <cellStyle name="Примечание 2 3 2 2 3" xfId="42551"/>
    <cellStyle name="Примечание 2 3 2 3" xfId="42552"/>
    <cellStyle name="Примечание 2 3 2 3 2" xfId="42553"/>
    <cellStyle name="Примечание 2 3 2 3 2 2" xfId="42554"/>
    <cellStyle name="Примечание 2 3 2 3 3" xfId="42555"/>
    <cellStyle name="Примечание 2 3 2 4" xfId="42556"/>
    <cellStyle name="Примечание 2 3 3" xfId="42557"/>
    <cellStyle name="Примечание 2 3 3 2" xfId="42558"/>
    <cellStyle name="Примечание 2 3 3 2 2" xfId="42559"/>
    <cellStyle name="Примечание 2 3 3 3" xfId="42560"/>
    <cellStyle name="Примечание 2 3 4" xfId="42561"/>
    <cellStyle name="Примечание 2 3 4 2" xfId="42562"/>
    <cellStyle name="Примечание 2 3 4 2 2" xfId="42563"/>
    <cellStyle name="Примечание 2 3 4 3" xfId="42564"/>
    <cellStyle name="Примечание 2 3 5" xfId="42565"/>
    <cellStyle name="Примечание 2 4" xfId="42566"/>
    <cellStyle name="Примечание 2 4 2" xfId="42567"/>
    <cellStyle name="Примечание 2 4 2 2" xfId="42568"/>
    <cellStyle name="Примечание 2 4 2 2 2" xfId="42569"/>
    <cellStyle name="Примечание 2 4 2 3" xfId="42570"/>
    <cellStyle name="Примечание 2 4 3" xfId="42571"/>
    <cellStyle name="Примечание 2 4 3 2" xfId="42572"/>
    <cellStyle name="Примечание 2 4 3 2 2" xfId="42573"/>
    <cellStyle name="Примечание 2 4 3 3" xfId="42574"/>
    <cellStyle name="Примечание 2 4 4" xfId="42575"/>
    <cellStyle name="Примечание 2 5" xfId="42576"/>
    <cellStyle name="Примечание 2 5 2" xfId="42577"/>
    <cellStyle name="Примечание 2 5 2 2" xfId="42578"/>
    <cellStyle name="Примечание 2 5 2 2 2" xfId="42579"/>
    <cellStyle name="Примечание 2 5 2 3" xfId="42580"/>
    <cellStyle name="Примечание 2 5 3" xfId="42581"/>
    <cellStyle name="Примечание 2 5 3 2" xfId="42582"/>
    <cellStyle name="Примечание 2 5 3 2 2" xfId="42583"/>
    <cellStyle name="Примечание 2 5 3 3" xfId="42584"/>
    <cellStyle name="Примечание 2 5 4" xfId="42585"/>
    <cellStyle name="Примечание 2 6" xfId="42586"/>
    <cellStyle name="Примечание 2 6 2" xfId="42587"/>
    <cellStyle name="Примечание 2 6 2 2" xfId="42588"/>
    <cellStyle name="Примечание 2 6 2 2 2" xfId="42589"/>
    <cellStyle name="Примечание 2 6 2 3" xfId="42590"/>
    <cellStyle name="Примечание 2 6 3" xfId="42591"/>
    <cellStyle name="Примечание 2 6 3 2" xfId="42592"/>
    <cellStyle name="Примечание 2 6 3 2 2" xfId="42593"/>
    <cellStyle name="Примечание 2 6 3 3" xfId="42594"/>
    <cellStyle name="Примечание 2 6 4" xfId="42595"/>
    <cellStyle name="Примечание 2 7" xfId="42596"/>
    <cellStyle name="Примечание 2 7 2" xfId="42597"/>
    <cellStyle name="Примечание 2 7 2 2" xfId="42598"/>
    <cellStyle name="Примечание 2 7 2 2 2" xfId="42599"/>
    <cellStyle name="Примечание 2 7 2 3" xfId="42600"/>
    <cellStyle name="Примечание 2 7 3" xfId="42601"/>
    <cellStyle name="Примечание 2 7 3 2" xfId="42602"/>
    <cellStyle name="Примечание 2 7 4" xfId="42603"/>
    <cellStyle name="Примечание 2 8" xfId="42604"/>
    <cellStyle name="Примечание 2 8 2" xfId="42605"/>
    <cellStyle name="Примечание 2 8 2 2" xfId="42606"/>
    <cellStyle name="Примечание 2 8 2 2 2" xfId="42607"/>
    <cellStyle name="Примечание 2 8 2 3" xfId="42608"/>
    <cellStyle name="Примечание 2 8 3" xfId="42609"/>
    <cellStyle name="Примечание 2 8 3 2" xfId="42610"/>
    <cellStyle name="Примечание 2 8 4" xfId="42611"/>
    <cellStyle name="Примечание 2 9" xfId="42612"/>
    <cellStyle name="Примечание 2 9 2" xfId="42613"/>
    <cellStyle name="Примечание 2 9 2 2" xfId="42614"/>
    <cellStyle name="Примечание 2 9 2 2 2" xfId="42615"/>
    <cellStyle name="Примечание 2 9 2 3" xfId="42616"/>
    <cellStyle name="Примечание 2 9 3" xfId="42617"/>
    <cellStyle name="Примечание 2 9 3 2" xfId="42618"/>
    <cellStyle name="Примечание 2 9 4" xfId="42619"/>
    <cellStyle name="Примечание 3" xfId="42620"/>
    <cellStyle name="Примечание 3 2" xfId="42621"/>
    <cellStyle name="Примечание 3 2 2" xfId="42622"/>
    <cellStyle name="Примечание 3 2 2 2" xfId="42623"/>
    <cellStyle name="Примечание 3 2 2 2 2" xfId="42624"/>
    <cellStyle name="Примечание 3 2 2 2 2 2" xfId="42625"/>
    <cellStyle name="Примечание 3 2 2 2 3" xfId="42626"/>
    <cellStyle name="Примечание 3 2 2 3" xfId="42627"/>
    <cellStyle name="Примечание 3 2 2 3 2" xfId="42628"/>
    <cellStyle name="Примечание 3 2 2 3 2 2" xfId="42629"/>
    <cellStyle name="Примечание 3 2 2 3 3" xfId="42630"/>
    <cellStyle name="Примечание 3 2 2 4" xfId="42631"/>
    <cellStyle name="Примечание 3 2 3" xfId="42632"/>
    <cellStyle name="Примечание 3 2 3 2" xfId="42633"/>
    <cellStyle name="Примечание 3 2 3 2 2" xfId="42634"/>
    <cellStyle name="Примечание 3 2 3 3" xfId="42635"/>
    <cellStyle name="Примечание 3 2 4" xfId="42636"/>
    <cellStyle name="Примечание 3 2 4 2" xfId="42637"/>
    <cellStyle name="Примечание 3 2 4 2 2" xfId="42638"/>
    <cellStyle name="Примечание 3 2 4 3" xfId="42639"/>
    <cellStyle name="Примечание 3 2 5" xfId="42640"/>
    <cellStyle name="Примечание 3 3" xfId="42641"/>
    <cellStyle name="Примечание 3 3 2" xfId="42642"/>
    <cellStyle name="Примечание 3 3 2 2" xfId="42643"/>
    <cellStyle name="Примечание 3 3 2 2 2" xfId="42644"/>
    <cellStyle name="Примечание 3 3 2 2 2 2" xfId="42645"/>
    <cellStyle name="Примечание 3 3 2 2 3" xfId="42646"/>
    <cellStyle name="Примечание 3 3 2 3" xfId="42647"/>
    <cellStyle name="Примечание 3 3 2 3 2" xfId="42648"/>
    <cellStyle name="Примечание 3 3 2 3 2 2" xfId="42649"/>
    <cellStyle name="Примечание 3 3 2 3 3" xfId="42650"/>
    <cellStyle name="Примечание 3 3 2 4" xfId="42651"/>
    <cellStyle name="Примечание 3 3 3" xfId="42652"/>
    <cellStyle name="Примечание 3 3 3 2" xfId="42653"/>
    <cellStyle name="Примечание 3 3 3 2 2" xfId="42654"/>
    <cellStyle name="Примечание 3 3 3 3" xfId="42655"/>
    <cellStyle name="Примечание 3 3 4" xfId="42656"/>
    <cellStyle name="Примечание 3 3 4 2" xfId="42657"/>
    <cellStyle name="Примечание 3 3 4 2 2" xfId="42658"/>
    <cellStyle name="Примечание 3 3 4 3" xfId="42659"/>
    <cellStyle name="Примечание 3 3 5" xfId="42660"/>
    <cellStyle name="Примечание 3 4" xfId="42661"/>
    <cellStyle name="Примечание 3 4 2" xfId="42662"/>
    <cellStyle name="Примечание 3 4 2 2" xfId="42663"/>
    <cellStyle name="Примечание 3 4 2 2 2" xfId="42664"/>
    <cellStyle name="Примечание 3 4 2 3" xfId="42665"/>
    <cellStyle name="Примечание 3 4 3" xfId="42666"/>
    <cellStyle name="Примечание 3 4 3 2" xfId="42667"/>
    <cellStyle name="Примечание 3 4 3 2 2" xfId="42668"/>
    <cellStyle name="Примечание 3 4 3 3" xfId="42669"/>
    <cellStyle name="Примечание 3 4 4" xfId="42670"/>
    <cellStyle name="Примечание 3 5" xfId="42671"/>
    <cellStyle name="Примечание 3 5 2" xfId="42672"/>
    <cellStyle name="Примечание 3 5 2 2" xfId="42673"/>
    <cellStyle name="Примечание 3 5 2 2 2" xfId="42674"/>
    <cellStyle name="Примечание 3 5 2 3" xfId="42675"/>
    <cellStyle name="Примечание 3 5 3" xfId="42676"/>
    <cellStyle name="Примечание 3 5 3 2" xfId="42677"/>
    <cellStyle name="Примечание 3 5 3 2 2" xfId="42678"/>
    <cellStyle name="Примечание 3 5 3 3" xfId="42679"/>
    <cellStyle name="Примечание 3 5 4" xfId="42680"/>
    <cellStyle name="Примечание 3 6" xfId="42681"/>
    <cellStyle name="Примечание 3 6 2" xfId="42682"/>
    <cellStyle name="Примечание 3 6 2 2" xfId="42683"/>
    <cellStyle name="Примечание 3 6 2 2 2" xfId="42684"/>
    <cellStyle name="Примечание 3 6 2 3" xfId="42685"/>
    <cellStyle name="Примечание 3 6 3" xfId="42686"/>
    <cellStyle name="Примечание 3 6 3 2" xfId="42687"/>
    <cellStyle name="Примечание 3 6 3 2 2" xfId="42688"/>
    <cellStyle name="Примечание 3 6 3 3" xfId="42689"/>
    <cellStyle name="Примечание 3 6 4" xfId="42690"/>
    <cellStyle name="Примечание 3 7" xfId="42691"/>
    <cellStyle name="Примечание 3 7 2" xfId="42692"/>
    <cellStyle name="Примечание 3 7 2 2" xfId="42693"/>
    <cellStyle name="Примечание 3 7 3" xfId="42694"/>
    <cellStyle name="Примечание 3 8" xfId="42695"/>
    <cellStyle name="Примечание 3 8 2" xfId="42696"/>
    <cellStyle name="Примечание 3 8 2 2" xfId="42697"/>
    <cellStyle name="Примечание 3 8 3" xfId="42698"/>
    <cellStyle name="Примечание 3 9" xfId="42699"/>
    <cellStyle name="Примечание 4" xfId="42700"/>
    <cellStyle name="Примечание 4 2" xfId="42701"/>
    <cellStyle name="Примечание 4 2 2" xfId="42702"/>
    <cellStyle name="Примечание 4 2 2 2" xfId="42703"/>
    <cellStyle name="Примечание 4 2 2 2 2" xfId="42704"/>
    <cellStyle name="Примечание 4 2 2 3" xfId="42705"/>
    <cellStyle name="Примечание 4 2 3" xfId="42706"/>
    <cellStyle name="Примечание 4 2 3 2" xfId="42707"/>
    <cellStyle name="Примечание 4 2 3 2 2" xfId="42708"/>
    <cellStyle name="Примечание 4 2 3 3" xfId="42709"/>
    <cellStyle name="Примечание 4 2 4" xfId="42710"/>
    <cellStyle name="Примечание 4 3" xfId="42711"/>
    <cellStyle name="Примечание 4 3 2" xfId="42712"/>
    <cellStyle name="Примечание 4 3 2 2" xfId="42713"/>
    <cellStyle name="Примечание 4 3 3" xfId="42714"/>
    <cellStyle name="Примечание 4 4" xfId="42715"/>
    <cellStyle name="Примечание 4 4 2" xfId="42716"/>
    <cellStyle name="Примечание 4 4 2 2" xfId="42717"/>
    <cellStyle name="Примечание 4 4 3" xfId="42718"/>
    <cellStyle name="Примечание 4 5" xfId="42719"/>
    <cellStyle name="Примечание 5" xfId="42720"/>
    <cellStyle name="Примечание 5 2" xfId="42721"/>
    <cellStyle name="Примечание 5 2 2" xfId="42722"/>
    <cellStyle name="Примечание 5 2 2 2" xfId="42723"/>
    <cellStyle name="Примечание 5 2 2 2 2" xfId="42724"/>
    <cellStyle name="Примечание 5 2 2 3" xfId="42725"/>
    <cellStyle name="Примечание 5 2 3" xfId="42726"/>
    <cellStyle name="Примечание 5 2 3 2" xfId="42727"/>
    <cellStyle name="Примечание 5 2 3 2 2" xfId="42728"/>
    <cellStyle name="Примечание 5 2 3 3" xfId="42729"/>
    <cellStyle name="Примечание 5 2 4" xfId="42730"/>
    <cellStyle name="Примечание 5 3" xfId="42731"/>
    <cellStyle name="Примечание 5 3 2" xfId="42732"/>
    <cellStyle name="Примечание 5 3 2 2" xfId="42733"/>
    <cellStyle name="Примечание 5 3 3" xfId="42734"/>
    <cellStyle name="Примечание 5 4" xfId="42735"/>
    <cellStyle name="Примечание 5 4 2" xfId="42736"/>
    <cellStyle name="Примечание 5 4 2 2" xfId="42737"/>
    <cellStyle name="Примечание 5 4 3" xfId="42738"/>
    <cellStyle name="Примечание 5 5" xfId="42739"/>
    <cellStyle name="Примечание 6" xfId="42740"/>
    <cellStyle name="Примечание 6 2" xfId="42741"/>
    <cellStyle name="Примечание 6 2 2" xfId="42742"/>
    <cellStyle name="Примечание 6 2 2 2" xfId="42743"/>
    <cellStyle name="Примечание 6 2 2 2 2" xfId="42744"/>
    <cellStyle name="Примечание 6 2 2 3" xfId="42745"/>
    <cellStyle name="Примечание 6 2 3" xfId="42746"/>
    <cellStyle name="Примечание 6 2 3 2" xfId="42747"/>
    <cellStyle name="Примечание 6 2 4" xfId="42748"/>
    <cellStyle name="Примечание 6 3" xfId="42749"/>
    <cellStyle name="Примечание 6 3 2" xfId="42750"/>
    <cellStyle name="Примечание 6 3 2 2" xfId="42751"/>
    <cellStyle name="Примечание 6 3 2 2 2" xfId="42752"/>
    <cellStyle name="Примечание 6 3 2 3" xfId="42753"/>
    <cellStyle name="Примечание 6 3 3" xfId="42754"/>
    <cellStyle name="Примечание 6 3 3 2" xfId="42755"/>
    <cellStyle name="Примечание 6 3 4" xfId="42756"/>
    <cellStyle name="Примечание 6 4" xfId="42757"/>
    <cellStyle name="Примечание 7" xfId="42758"/>
    <cellStyle name="Примечание 7 2" xfId="42759"/>
    <cellStyle name="Примечание 7 2 2" xfId="42760"/>
    <cellStyle name="Примечание 7 2 2 2" xfId="42761"/>
    <cellStyle name="Примечание 7 2 2 2 2" xfId="42762"/>
    <cellStyle name="Примечание 7 2 2 3" xfId="42763"/>
    <cellStyle name="Примечание 7 2 3" xfId="42764"/>
    <cellStyle name="Примечание 7 2 3 2" xfId="42765"/>
    <cellStyle name="Примечание 7 2 4" xfId="42766"/>
    <cellStyle name="Примечание 7 3" xfId="42767"/>
    <cellStyle name="Примечание 7 3 2" xfId="42768"/>
    <cellStyle name="Примечание 7 3 2 2" xfId="42769"/>
    <cellStyle name="Примечание 7 3 2 2 2" xfId="42770"/>
    <cellStyle name="Примечание 7 3 2 3" xfId="42771"/>
    <cellStyle name="Примечание 7 3 3" xfId="42772"/>
    <cellStyle name="Примечание 7 3 3 2" xfId="42773"/>
    <cellStyle name="Примечание 7 3 4" xfId="42774"/>
    <cellStyle name="Примечание 7 4" xfId="42775"/>
    <cellStyle name="Примечание 8" xfId="42776"/>
    <cellStyle name="Примечание 8 2" xfId="42777"/>
    <cellStyle name="Примечание 8 2 2" xfId="42778"/>
    <cellStyle name="Примечание 8 2 2 2" xfId="42779"/>
    <cellStyle name="Примечание 8 2 2 2 2" xfId="42780"/>
    <cellStyle name="Примечание 8 2 2 3" xfId="42781"/>
    <cellStyle name="Примечание 8 2 3" xfId="42782"/>
    <cellStyle name="Примечание 8 2 3 2" xfId="42783"/>
    <cellStyle name="Примечание 8 2 4" xfId="42784"/>
    <cellStyle name="Примечание 8 3" xfId="42785"/>
    <cellStyle name="Примечание 8 3 2" xfId="42786"/>
    <cellStyle name="Примечание 8 3 2 2" xfId="42787"/>
    <cellStyle name="Примечание 8 3 2 2 2" xfId="42788"/>
    <cellStyle name="Примечание 8 3 2 3" xfId="42789"/>
    <cellStyle name="Примечание 8 3 3" xfId="42790"/>
    <cellStyle name="Примечание 8 3 3 2" xfId="42791"/>
    <cellStyle name="Примечание 8 3 4" xfId="42792"/>
    <cellStyle name="Примечание 8 4" xfId="42793"/>
    <cellStyle name="Примечание 9" xfId="42794"/>
    <cellStyle name="Примечание 9 2" xfId="42795"/>
    <cellStyle name="Примечание 9 2 2" xfId="42796"/>
    <cellStyle name="Примечание 9 2 2 2" xfId="42797"/>
    <cellStyle name="Примечание 9 2 2 2 2" xfId="42798"/>
    <cellStyle name="Примечание 9 2 2 3" xfId="42799"/>
    <cellStyle name="Примечание 9 2 3" xfId="42800"/>
    <cellStyle name="Примечание 9 2 3 2" xfId="42801"/>
    <cellStyle name="Примечание 9 2 4" xfId="42802"/>
    <cellStyle name="Примечание 9 3" xfId="42803"/>
    <cellStyle name="Примечание 9 3 2" xfId="42804"/>
    <cellStyle name="Примечание 9 3 2 2" xfId="42805"/>
    <cellStyle name="Примечание 9 3 2 2 2" xfId="42806"/>
    <cellStyle name="Примечание 9 3 2 3" xfId="42807"/>
    <cellStyle name="Примечание 9 3 3" xfId="42808"/>
    <cellStyle name="Примечание 9 3 3 2" xfId="42809"/>
    <cellStyle name="Примечание 9 3 4" xfId="42810"/>
    <cellStyle name="Примечание 9 4" xfId="42811"/>
    <cellStyle name="проба" xfId="42812"/>
    <cellStyle name="проба 2" xfId="42813"/>
    <cellStyle name="Процент_Объект27" xfId="42814"/>
    <cellStyle name="Процентный 10" xfId="42815"/>
    <cellStyle name="Процентный 10 10" xfId="42816"/>
    <cellStyle name="Процентный 10 10 2" xfId="42817"/>
    <cellStyle name="Процентный 10 10 2 2" xfId="42818"/>
    <cellStyle name="Процентный 10 10 2 2 2" xfId="42819"/>
    <cellStyle name="Процентный 10 10 2 3" xfId="42820"/>
    <cellStyle name="Процентный 10 10 2 3 2" xfId="42821"/>
    <cellStyle name="Процентный 10 10 2 4" xfId="42822"/>
    <cellStyle name="Процентный 10 10 3" xfId="42823"/>
    <cellStyle name="Процентный 10 10 3 2" xfId="42824"/>
    <cellStyle name="Процентный 10 10 4" xfId="42825"/>
    <cellStyle name="Процентный 10 10 4 2" xfId="42826"/>
    <cellStyle name="Процентный 10 10 5" xfId="42827"/>
    <cellStyle name="Процентный 10 11" xfId="42828"/>
    <cellStyle name="Процентный 10 11 2" xfId="42829"/>
    <cellStyle name="Процентный 10 11 2 2" xfId="42830"/>
    <cellStyle name="Процентный 10 11 2 2 2" xfId="42831"/>
    <cellStyle name="Процентный 10 11 2 3" xfId="42832"/>
    <cellStyle name="Процентный 10 11 2 3 2" xfId="42833"/>
    <cellStyle name="Процентный 10 11 2 4" xfId="42834"/>
    <cellStyle name="Процентный 10 11 3" xfId="42835"/>
    <cellStyle name="Процентный 10 11 3 2" xfId="42836"/>
    <cellStyle name="Процентный 10 11 4" xfId="42837"/>
    <cellStyle name="Процентный 10 11 4 2" xfId="42838"/>
    <cellStyle name="Процентный 10 11 5" xfId="42839"/>
    <cellStyle name="Процентный 10 12" xfId="42840"/>
    <cellStyle name="Процентный 10 12 2" xfId="42841"/>
    <cellStyle name="Процентный 10 12 2 2" xfId="42842"/>
    <cellStyle name="Процентный 10 12 2 2 2" xfId="42843"/>
    <cellStyle name="Процентный 10 12 2 3" xfId="42844"/>
    <cellStyle name="Процентный 10 12 2 3 2" xfId="42845"/>
    <cellStyle name="Процентный 10 12 2 4" xfId="42846"/>
    <cellStyle name="Процентный 10 12 3" xfId="42847"/>
    <cellStyle name="Процентный 10 12 3 2" xfId="42848"/>
    <cellStyle name="Процентный 10 12 4" xfId="42849"/>
    <cellStyle name="Процентный 10 12 4 2" xfId="42850"/>
    <cellStyle name="Процентный 10 12 5" xfId="42851"/>
    <cellStyle name="Процентный 10 13" xfId="42852"/>
    <cellStyle name="Процентный 10 13 2" xfId="42853"/>
    <cellStyle name="Процентный 10 13 2 2" xfId="42854"/>
    <cellStyle name="Процентный 10 13 3" xfId="42855"/>
    <cellStyle name="Процентный 10 13 3 2" xfId="42856"/>
    <cellStyle name="Процентный 10 13 4" xfId="42857"/>
    <cellStyle name="Процентный 10 14" xfId="42858"/>
    <cellStyle name="Процентный 10 14 2" xfId="42859"/>
    <cellStyle name="Процентный 10 14 2 2" xfId="42860"/>
    <cellStyle name="Процентный 10 14 3" xfId="42861"/>
    <cellStyle name="Процентный 10 14 3 2" xfId="42862"/>
    <cellStyle name="Процентный 10 14 4" xfId="42863"/>
    <cellStyle name="Процентный 10 15" xfId="42864"/>
    <cellStyle name="Процентный 10 15 2" xfId="42865"/>
    <cellStyle name="Процентный 10 16" xfId="42866"/>
    <cellStyle name="Процентный 10 16 2" xfId="42867"/>
    <cellStyle name="Процентный 10 17" xfId="42868"/>
    <cellStyle name="Процентный 10 2" xfId="42869"/>
    <cellStyle name="Процентный 10 2 10" xfId="42870"/>
    <cellStyle name="Процентный 10 2 10 2" xfId="42871"/>
    <cellStyle name="Процентный 10 2 11" xfId="42872"/>
    <cellStyle name="Процентный 10 2 2" xfId="42873"/>
    <cellStyle name="Процентный 10 2 2 2" xfId="42874"/>
    <cellStyle name="Процентный 10 2 2 2 2" xfId="42875"/>
    <cellStyle name="Процентный 10 2 2 2 2 2" xfId="42876"/>
    <cellStyle name="Процентный 10 2 2 2 2 2 2" xfId="42877"/>
    <cellStyle name="Процентный 10 2 2 2 2 2 2 2" xfId="42878"/>
    <cellStyle name="Процентный 10 2 2 2 2 2 3" xfId="42879"/>
    <cellStyle name="Процентный 10 2 2 2 2 3" xfId="42880"/>
    <cellStyle name="Процентный 10 2 2 2 2 3 2" xfId="42881"/>
    <cellStyle name="Процентный 10 2 2 2 2 3 2 2" xfId="42882"/>
    <cellStyle name="Процентный 10 2 2 2 2 3 3" xfId="42883"/>
    <cellStyle name="Процентный 10 2 2 2 2 4" xfId="42884"/>
    <cellStyle name="Процентный 10 2 2 2 2 4 2" xfId="42885"/>
    <cellStyle name="Процентный 10 2 2 2 2 5" xfId="42886"/>
    <cellStyle name="Процентный 10 2 2 2 2 5 2" xfId="42887"/>
    <cellStyle name="Процентный 10 2 2 2 2 6" xfId="42888"/>
    <cellStyle name="Процентный 10 2 2 2 3" xfId="42889"/>
    <cellStyle name="Процентный 10 2 2 2 3 2" xfId="42890"/>
    <cellStyle name="Процентный 10 2 2 2 3 2 2" xfId="42891"/>
    <cellStyle name="Процентный 10 2 2 2 3 2 2 2" xfId="42892"/>
    <cellStyle name="Процентный 10 2 2 2 3 2 3" xfId="42893"/>
    <cellStyle name="Процентный 10 2 2 2 3 3" xfId="42894"/>
    <cellStyle name="Процентный 10 2 2 2 3 3 2" xfId="42895"/>
    <cellStyle name="Процентный 10 2 2 2 3 3 2 2" xfId="42896"/>
    <cellStyle name="Процентный 10 2 2 2 3 3 3" xfId="42897"/>
    <cellStyle name="Процентный 10 2 2 2 3 4" xfId="42898"/>
    <cellStyle name="Процентный 10 2 2 2 3 4 2" xfId="42899"/>
    <cellStyle name="Процентный 10 2 2 2 3 5" xfId="42900"/>
    <cellStyle name="Процентный 10 2 2 2 4" xfId="42901"/>
    <cellStyle name="Процентный 10 2 2 2 4 2" xfId="42902"/>
    <cellStyle name="Процентный 10 2 2 2 4 2 2" xfId="42903"/>
    <cellStyle name="Процентный 10 2 2 2 4 3" xfId="42904"/>
    <cellStyle name="Процентный 10 2 2 2 5" xfId="42905"/>
    <cellStyle name="Процентный 10 2 2 2 5 2" xfId="42906"/>
    <cellStyle name="Процентный 10 2 2 2 5 2 2" xfId="42907"/>
    <cellStyle name="Процентный 10 2 2 2 5 3" xfId="42908"/>
    <cellStyle name="Процентный 10 2 2 2 6" xfId="42909"/>
    <cellStyle name="Процентный 10 2 2 2 6 2" xfId="42910"/>
    <cellStyle name="Процентный 10 2 2 2 7" xfId="42911"/>
    <cellStyle name="Процентный 10 2 2 2 7 2" xfId="42912"/>
    <cellStyle name="Процентный 10 2 2 2 8" xfId="42913"/>
    <cellStyle name="Процентный 10 2 2 3" xfId="42914"/>
    <cellStyle name="Процентный 10 2 2 3 2" xfId="42915"/>
    <cellStyle name="Процентный 10 2 2 3 2 2" xfId="42916"/>
    <cellStyle name="Процентный 10 2 2 3 2 2 2" xfId="42917"/>
    <cellStyle name="Процентный 10 2 2 3 2 3" xfId="42918"/>
    <cellStyle name="Процентный 10 2 2 3 3" xfId="42919"/>
    <cellStyle name="Процентный 10 2 2 3 3 2" xfId="42920"/>
    <cellStyle name="Процентный 10 2 2 3 3 2 2" xfId="42921"/>
    <cellStyle name="Процентный 10 2 2 3 3 3" xfId="42922"/>
    <cellStyle name="Процентный 10 2 2 3 4" xfId="42923"/>
    <cellStyle name="Процентный 10 2 2 3 4 2" xfId="42924"/>
    <cellStyle name="Процентный 10 2 2 3 5" xfId="42925"/>
    <cellStyle name="Процентный 10 2 2 3 5 2" xfId="42926"/>
    <cellStyle name="Процентный 10 2 2 3 6" xfId="42927"/>
    <cellStyle name="Процентный 10 2 2 4" xfId="42928"/>
    <cellStyle name="Процентный 10 2 2 4 2" xfId="42929"/>
    <cellStyle name="Процентный 10 2 2 4 2 2" xfId="42930"/>
    <cellStyle name="Процентный 10 2 2 4 2 2 2" xfId="42931"/>
    <cellStyle name="Процентный 10 2 2 4 2 3" xfId="42932"/>
    <cellStyle name="Процентный 10 2 2 4 3" xfId="42933"/>
    <cellStyle name="Процентный 10 2 2 4 3 2" xfId="42934"/>
    <cellStyle name="Процентный 10 2 2 4 3 2 2" xfId="42935"/>
    <cellStyle name="Процентный 10 2 2 4 3 3" xfId="42936"/>
    <cellStyle name="Процентный 10 2 2 4 4" xfId="42937"/>
    <cellStyle name="Процентный 10 2 2 4 4 2" xfId="42938"/>
    <cellStyle name="Процентный 10 2 2 4 5" xfId="42939"/>
    <cellStyle name="Процентный 10 2 2 4 5 2" xfId="42940"/>
    <cellStyle name="Процентный 10 2 2 4 6" xfId="42941"/>
    <cellStyle name="Процентный 10 2 2 5" xfId="42942"/>
    <cellStyle name="Процентный 10 2 2 5 2" xfId="42943"/>
    <cellStyle name="Процентный 10 2 2 5 2 2" xfId="42944"/>
    <cellStyle name="Процентный 10 2 2 5 3" xfId="42945"/>
    <cellStyle name="Процентный 10 2 2 6" xfId="42946"/>
    <cellStyle name="Процентный 10 2 2 6 2" xfId="42947"/>
    <cellStyle name="Процентный 10 2 2 6 2 2" xfId="42948"/>
    <cellStyle name="Процентный 10 2 2 6 3" xfId="42949"/>
    <cellStyle name="Процентный 10 2 2 7" xfId="42950"/>
    <cellStyle name="Процентный 10 2 2 7 2" xfId="42951"/>
    <cellStyle name="Процентный 10 2 2 8" xfId="42952"/>
    <cellStyle name="Процентный 10 2 2 8 2" xfId="42953"/>
    <cellStyle name="Процентный 10 2 2 9" xfId="42954"/>
    <cellStyle name="Процентный 10 2 3" xfId="42955"/>
    <cellStyle name="Процентный 10 2 3 2" xfId="42956"/>
    <cellStyle name="Процентный 10 2 3 2 2" xfId="42957"/>
    <cellStyle name="Процентный 10 2 3 2 2 2" xfId="42958"/>
    <cellStyle name="Процентный 10 2 3 2 2 2 2" xfId="42959"/>
    <cellStyle name="Процентный 10 2 3 2 2 3" xfId="42960"/>
    <cellStyle name="Процентный 10 2 3 2 2 3 2" xfId="42961"/>
    <cellStyle name="Процентный 10 2 3 2 2 4" xfId="42962"/>
    <cellStyle name="Процентный 10 2 3 2 3" xfId="42963"/>
    <cellStyle name="Процентный 10 2 3 2 3 2" xfId="42964"/>
    <cellStyle name="Процентный 10 2 3 2 3 2 2" xfId="42965"/>
    <cellStyle name="Процентный 10 2 3 2 3 3" xfId="42966"/>
    <cellStyle name="Процентный 10 2 3 2 4" xfId="42967"/>
    <cellStyle name="Процентный 10 2 3 2 4 2" xfId="42968"/>
    <cellStyle name="Процентный 10 2 3 2 5" xfId="42969"/>
    <cellStyle name="Процентный 10 2 3 2 5 2" xfId="42970"/>
    <cellStyle name="Процентный 10 2 3 2 6" xfId="42971"/>
    <cellStyle name="Процентный 10 2 3 3" xfId="42972"/>
    <cellStyle name="Процентный 10 2 3 3 2" xfId="42973"/>
    <cellStyle name="Процентный 10 2 3 3 2 2" xfId="42974"/>
    <cellStyle name="Процентный 10 2 3 3 2 2 2" xfId="42975"/>
    <cellStyle name="Процентный 10 2 3 3 2 3" xfId="42976"/>
    <cellStyle name="Процентный 10 2 3 3 3" xfId="42977"/>
    <cellStyle name="Процентный 10 2 3 3 3 2" xfId="42978"/>
    <cellStyle name="Процентный 10 2 3 3 3 2 2" xfId="42979"/>
    <cellStyle name="Процентный 10 2 3 3 3 3" xfId="42980"/>
    <cellStyle name="Процентный 10 2 3 3 4" xfId="42981"/>
    <cellStyle name="Процентный 10 2 3 3 4 2" xfId="42982"/>
    <cellStyle name="Процентный 10 2 3 3 5" xfId="42983"/>
    <cellStyle name="Процентный 10 2 3 3 5 2" xfId="42984"/>
    <cellStyle name="Процентный 10 2 3 3 6" xfId="42985"/>
    <cellStyle name="Процентный 10 2 3 4" xfId="42986"/>
    <cellStyle name="Процентный 10 2 3 4 2" xfId="42987"/>
    <cellStyle name="Процентный 10 2 3 4 2 2" xfId="42988"/>
    <cellStyle name="Процентный 10 2 3 4 3" xfId="42989"/>
    <cellStyle name="Процентный 10 2 3 4 3 2" xfId="42990"/>
    <cellStyle name="Процентный 10 2 3 4 4" xfId="42991"/>
    <cellStyle name="Процентный 10 2 3 5" xfId="42992"/>
    <cellStyle name="Процентный 10 2 3 5 2" xfId="42993"/>
    <cellStyle name="Процентный 10 2 3 5 2 2" xfId="42994"/>
    <cellStyle name="Процентный 10 2 3 5 3" xfId="42995"/>
    <cellStyle name="Процентный 10 2 3 6" xfId="42996"/>
    <cellStyle name="Процентный 10 2 3 6 2" xfId="42997"/>
    <cellStyle name="Процентный 10 2 3 7" xfId="42998"/>
    <cellStyle name="Процентный 10 2 3 7 2" xfId="42999"/>
    <cellStyle name="Процентный 10 2 3 8" xfId="43000"/>
    <cellStyle name="Процентный 10 2 4" xfId="43001"/>
    <cellStyle name="Процентный 10 2 4 2" xfId="43002"/>
    <cellStyle name="Процентный 10 2 4 2 2" xfId="43003"/>
    <cellStyle name="Процентный 10 2 4 2 2 2" xfId="43004"/>
    <cellStyle name="Процентный 10 2 4 2 2 2 2" xfId="43005"/>
    <cellStyle name="Процентный 10 2 4 2 2 3" xfId="43006"/>
    <cellStyle name="Процентный 10 2 4 2 3" xfId="43007"/>
    <cellStyle name="Процентный 10 2 4 2 3 2" xfId="43008"/>
    <cellStyle name="Процентный 10 2 4 2 3 2 2" xfId="43009"/>
    <cellStyle name="Процентный 10 2 4 2 3 3" xfId="43010"/>
    <cellStyle name="Процентный 10 2 4 2 4" xfId="43011"/>
    <cellStyle name="Процентный 10 2 4 2 4 2" xfId="43012"/>
    <cellStyle name="Процентный 10 2 4 2 5" xfId="43013"/>
    <cellStyle name="Процентный 10 2 4 2 5 2" xfId="43014"/>
    <cellStyle name="Процентный 10 2 4 2 6" xfId="43015"/>
    <cellStyle name="Процентный 10 2 4 3" xfId="43016"/>
    <cellStyle name="Процентный 10 2 4 3 2" xfId="43017"/>
    <cellStyle name="Процентный 10 2 4 3 2 2" xfId="43018"/>
    <cellStyle name="Процентный 10 2 4 3 2 2 2" xfId="43019"/>
    <cellStyle name="Процентный 10 2 4 3 2 3" xfId="43020"/>
    <cellStyle name="Процентный 10 2 4 3 3" xfId="43021"/>
    <cellStyle name="Процентный 10 2 4 3 3 2" xfId="43022"/>
    <cellStyle name="Процентный 10 2 4 3 3 2 2" xfId="43023"/>
    <cellStyle name="Процентный 10 2 4 3 3 3" xfId="43024"/>
    <cellStyle name="Процентный 10 2 4 3 4" xfId="43025"/>
    <cellStyle name="Процентный 10 2 4 3 4 2" xfId="43026"/>
    <cellStyle name="Процентный 10 2 4 3 5" xfId="43027"/>
    <cellStyle name="Процентный 10 2 4 4" xfId="43028"/>
    <cellStyle name="Процентный 10 2 4 5" xfId="43029"/>
    <cellStyle name="Процентный 10 2 4 5 2" xfId="43030"/>
    <cellStyle name="Процентный 10 2 4 6" xfId="43031"/>
    <cellStyle name="Процентный 10 2 5" xfId="43032"/>
    <cellStyle name="Процентный 10 2 5 2" xfId="43033"/>
    <cellStyle name="Процентный 10 2 5 2 2" xfId="43034"/>
    <cellStyle name="Процентный 10 2 5 2 2 2" xfId="43035"/>
    <cellStyle name="Процентный 10 2 5 2 3" xfId="43036"/>
    <cellStyle name="Процентный 10 2 5 3" xfId="43037"/>
    <cellStyle name="Процентный 10 2 5 3 2" xfId="43038"/>
    <cellStyle name="Процентный 10 2 5 3 2 2" xfId="43039"/>
    <cellStyle name="Процентный 10 2 5 3 3" xfId="43040"/>
    <cellStyle name="Процентный 10 2 5 4" xfId="43041"/>
    <cellStyle name="Процентный 10 2 5 4 2" xfId="43042"/>
    <cellStyle name="Процентный 10 2 5 5" xfId="43043"/>
    <cellStyle name="Процентный 10 2 5 5 2" xfId="43044"/>
    <cellStyle name="Процентный 10 2 5 6" xfId="43045"/>
    <cellStyle name="Процентный 10 2 6" xfId="43046"/>
    <cellStyle name="Процентный 10 2 6 2" xfId="43047"/>
    <cellStyle name="Процентный 10 2 6 2 2" xfId="43048"/>
    <cellStyle name="Процентный 10 2 6 2 2 2" xfId="43049"/>
    <cellStyle name="Процентный 10 2 6 2 3" xfId="43050"/>
    <cellStyle name="Процентный 10 2 6 3" xfId="43051"/>
    <cellStyle name="Процентный 10 2 6 3 2" xfId="43052"/>
    <cellStyle name="Процентный 10 2 6 3 2 2" xfId="43053"/>
    <cellStyle name="Процентный 10 2 6 3 3" xfId="43054"/>
    <cellStyle name="Процентный 10 2 6 4" xfId="43055"/>
    <cellStyle name="Процентный 10 2 6 4 2" xfId="43056"/>
    <cellStyle name="Процентный 10 2 6 5" xfId="43057"/>
    <cellStyle name="Процентный 10 2 6 5 2" xfId="43058"/>
    <cellStyle name="Процентный 10 2 6 6" xfId="43059"/>
    <cellStyle name="Процентный 10 2 7" xfId="43060"/>
    <cellStyle name="Процентный 10 2 7 2" xfId="43061"/>
    <cellStyle name="Процентный 10 2 7 2 2" xfId="43062"/>
    <cellStyle name="Процентный 10 2 7 3" xfId="43063"/>
    <cellStyle name="Процентный 10 2 8" xfId="43064"/>
    <cellStyle name="Процентный 10 2 8 2" xfId="43065"/>
    <cellStyle name="Процентный 10 2 8 2 2" xfId="43066"/>
    <cellStyle name="Процентный 10 2 8 3" xfId="43067"/>
    <cellStyle name="Процентный 10 2 9" xfId="43068"/>
    <cellStyle name="Процентный 10 2 9 2" xfId="43069"/>
    <cellStyle name="Процентный 10 3" xfId="43070"/>
    <cellStyle name="Процентный 10 3 2" xfId="43071"/>
    <cellStyle name="Процентный 10 3 2 2" xfId="43072"/>
    <cellStyle name="Процентный 10 3 2 2 2" xfId="43073"/>
    <cellStyle name="Процентный 10 3 2 2 2 2" xfId="43074"/>
    <cellStyle name="Процентный 10 3 2 2 2 2 2" xfId="43075"/>
    <cellStyle name="Процентный 10 3 2 2 2 3" xfId="43076"/>
    <cellStyle name="Процентный 10 3 2 2 2 3 2" xfId="43077"/>
    <cellStyle name="Процентный 10 3 2 2 2 4" xfId="43078"/>
    <cellStyle name="Процентный 10 3 2 2 3" xfId="43079"/>
    <cellStyle name="Процентный 10 3 2 2 3 2" xfId="43080"/>
    <cellStyle name="Процентный 10 3 2 2 3 2 2" xfId="43081"/>
    <cellStyle name="Процентный 10 3 2 2 3 3" xfId="43082"/>
    <cellStyle name="Процентный 10 3 2 2 4" xfId="43083"/>
    <cellStyle name="Процентный 10 3 2 2 4 2" xfId="43084"/>
    <cellStyle name="Процентный 10 3 2 2 5" xfId="43085"/>
    <cellStyle name="Процентный 10 3 2 2 5 2" xfId="43086"/>
    <cellStyle name="Процентный 10 3 2 2 6" xfId="43087"/>
    <cellStyle name="Процентный 10 3 2 3" xfId="43088"/>
    <cellStyle name="Процентный 10 3 2 3 2" xfId="43089"/>
    <cellStyle name="Процентный 10 3 2 3 2 2" xfId="43090"/>
    <cellStyle name="Процентный 10 3 2 3 2 2 2" xfId="43091"/>
    <cellStyle name="Процентный 10 3 2 3 2 3" xfId="43092"/>
    <cellStyle name="Процентный 10 3 2 3 3" xfId="43093"/>
    <cellStyle name="Процентный 10 3 2 3 3 2" xfId="43094"/>
    <cellStyle name="Процентный 10 3 2 3 3 2 2" xfId="43095"/>
    <cellStyle name="Процентный 10 3 2 3 3 3" xfId="43096"/>
    <cellStyle name="Процентный 10 3 2 3 4" xfId="43097"/>
    <cellStyle name="Процентный 10 3 2 3 4 2" xfId="43098"/>
    <cellStyle name="Процентный 10 3 2 3 5" xfId="43099"/>
    <cellStyle name="Процентный 10 3 2 3 5 2" xfId="43100"/>
    <cellStyle name="Процентный 10 3 2 3 6" xfId="43101"/>
    <cellStyle name="Процентный 10 3 2 4" xfId="43102"/>
    <cellStyle name="Процентный 10 3 2 4 2" xfId="43103"/>
    <cellStyle name="Процентный 10 3 2 4 2 2" xfId="43104"/>
    <cellStyle name="Процентный 10 3 2 4 3" xfId="43105"/>
    <cellStyle name="Процентный 10 3 2 4 3 2" xfId="43106"/>
    <cellStyle name="Процентный 10 3 2 4 4" xfId="43107"/>
    <cellStyle name="Процентный 10 3 2 5" xfId="43108"/>
    <cellStyle name="Процентный 10 3 2 5 2" xfId="43109"/>
    <cellStyle name="Процентный 10 3 2 5 2 2" xfId="43110"/>
    <cellStyle name="Процентный 10 3 2 5 3" xfId="43111"/>
    <cellStyle name="Процентный 10 3 2 6" xfId="43112"/>
    <cellStyle name="Процентный 10 3 2 6 2" xfId="43113"/>
    <cellStyle name="Процентный 10 3 2 7" xfId="43114"/>
    <cellStyle name="Процентный 10 3 2 7 2" xfId="43115"/>
    <cellStyle name="Процентный 10 3 2 8" xfId="43116"/>
    <cellStyle name="Процентный 10 3 3" xfId="43117"/>
    <cellStyle name="Процентный 10 3 3 2" xfId="43118"/>
    <cellStyle name="Процентный 10 3 3 2 2" xfId="43119"/>
    <cellStyle name="Процентный 10 3 3 2 2 2" xfId="43120"/>
    <cellStyle name="Процентный 10 3 3 2 3" xfId="43121"/>
    <cellStyle name="Процентный 10 3 3 2 3 2" xfId="43122"/>
    <cellStyle name="Процентный 10 3 3 2 4" xfId="43123"/>
    <cellStyle name="Процентный 10 3 3 3" xfId="43124"/>
    <cellStyle name="Процентный 10 3 3 3 2" xfId="43125"/>
    <cellStyle name="Процентный 10 3 3 3 2 2" xfId="43126"/>
    <cellStyle name="Процентный 10 3 3 3 3" xfId="43127"/>
    <cellStyle name="Процентный 10 3 3 4" xfId="43128"/>
    <cellStyle name="Процентный 10 3 3 4 2" xfId="43129"/>
    <cellStyle name="Процентный 10 3 3 5" xfId="43130"/>
    <cellStyle name="Процентный 10 3 3 5 2" xfId="43131"/>
    <cellStyle name="Процентный 10 3 3 6" xfId="43132"/>
    <cellStyle name="Процентный 10 3 4" xfId="43133"/>
    <cellStyle name="Процентный 10 3 4 2" xfId="43134"/>
    <cellStyle name="Процентный 10 3 4 2 2" xfId="43135"/>
    <cellStyle name="Процентный 10 3 4 2 2 2" xfId="43136"/>
    <cellStyle name="Процентный 10 3 4 2 3" xfId="43137"/>
    <cellStyle name="Процентный 10 3 4 3" xfId="43138"/>
    <cellStyle name="Процентный 10 3 4 3 2" xfId="43139"/>
    <cellStyle name="Процентный 10 3 4 3 2 2" xfId="43140"/>
    <cellStyle name="Процентный 10 3 4 3 3" xfId="43141"/>
    <cellStyle name="Процентный 10 3 4 4" xfId="43142"/>
    <cellStyle name="Процентный 10 3 4 4 2" xfId="43143"/>
    <cellStyle name="Процентный 10 3 4 5" xfId="43144"/>
    <cellStyle name="Процентный 10 3 4 5 2" xfId="43145"/>
    <cellStyle name="Процентный 10 3 4 6" xfId="43146"/>
    <cellStyle name="Процентный 10 3 5" xfId="43147"/>
    <cellStyle name="Процентный 10 3 5 2" xfId="43148"/>
    <cellStyle name="Процентный 10 3 5 2 2" xfId="43149"/>
    <cellStyle name="Процентный 10 3 5 3" xfId="43150"/>
    <cellStyle name="Процентный 10 3 5 3 2" xfId="43151"/>
    <cellStyle name="Процентный 10 3 5 4" xfId="43152"/>
    <cellStyle name="Процентный 10 3 6" xfId="43153"/>
    <cellStyle name="Процентный 10 3 6 2" xfId="43154"/>
    <cellStyle name="Процентный 10 3 6 2 2" xfId="43155"/>
    <cellStyle name="Процентный 10 3 6 3" xfId="43156"/>
    <cellStyle name="Процентный 10 3 7" xfId="43157"/>
    <cellStyle name="Процентный 10 3 7 2" xfId="43158"/>
    <cellStyle name="Процентный 10 3 8" xfId="43159"/>
    <cellStyle name="Процентный 10 3 8 2" xfId="43160"/>
    <cellStyle name="Процентный 10 3 9" xfId="43161"/>
    <cellStyle name="Процентный 10 4" xfId="43162"/>
    <cellStyle name="Процентный 10 4 2" xfId="43163"/>
    <cellStyle name="Процентный 10 4 2 2" xfId="43164"/>
    <cellStyle name="Процентный 10 4 2 2 2" xfId="43165"/>
    <cellStyle name="Процентный 10 4 2 2 2 2" xfId="43166"/>
    <cellStyle name="Процентный 10 4 2 2 2 2 2" xfId="43167"/>
    <cellStyle name="Процентный 10 4 2 2 2 3" xfId="43168"/>
    <cellStyle name="Процентный 10 4 2 2 3" xfId="43169"/>
    <cellStyle name="Процентный 10 4 2 2 3 2" xfId="43170"/>
    <cellStyle name="Процентный 10 4 2 2 3 2 2" xfId="43171"/>
    <cellStyle name="Процентный 10 4 2 2 3 3" xfId="43172"/>
    <cellStyle name="Процентный 10 4 2 2 4" xfId="43173"/>
    <cellStyle name="Процентный 10 4 2 2 4 2" xfId="43174"/>
    <cellStyle name="Процентный 10 4 2 2 5" xfId="43175"/>
    <cellStyle name="Процентный 10 4 2 2 5 2" xfId="43176"/>
    <cellStyle name="Процентный 10 4 2 2 6" xfId="43177"/>
    <cellStyle name="Процентный 10 4 2 3" xfId="43178"/>
    <cellStyle name="Процентный 10 4 2 3 2" xfId="43179"/>
    <cellStyle name="Процентный 10 4 2 3 2 2" xfId="43180"/>
    <cellStyle name="Процентный 10 4 2 3 2 2 2" xfId="43181"/>
    <cellStyle name="Процентный 10 4 2 3 2 3" xfId="43182"/>
    <cellStyle name="Процентный 10 4 2 3 3" xfId="43183"/>
    <cellStyle name="Процентный 10 4 2 3 3 2" xfId="43184"/>
    <cellStyle name="Процентный 10 4 2 3 3 2 2" xfId="43185"/>
    <cellStyle name="Процентный 10 4 2 3 3 3" xfId="43186"/>
    <cellStyle name="Процентный 10 4 2 3 4" xfId="43187"/>
    <cellStyle name="Процентный 10 4 2 3 4 2" xfId="43188"/>
    <cellStyle name="Процентный 10 4 2 3 5" xfId="43189"/>
    <cellStyle name="Процентный 10 4 2 3 5 2" xfId="43190"/>
    <cellStyle name="Процентный 10 4 2 3 6" xfId="43191"/>
    <cellStyle name="Процентный 10 4 2 4" xfId="43192"/>
    <cellStyle name="Процентный 10 4 2 4 2" xfId="43193"/>
    <cellStyle name="Процентный 10 4 2 4 2 2" xfId="43194"/>
    <cellStyle name="Процентный 10 4 2 4 3" xfId="43195"/>
    <cellStyle name="Процентный 10 4 2 5" xfId="43196"/>
    <cellStyle name="Процентный 10 4 2 5 2" xfId="43197"/>
    <cellStyle name="Процентный 10 4 2 5 2 2" xfId="43198"/>
    <cellStyle name="Процентный 10 4 2 5 3" xfId="43199"/>
    <cellStyle name="Процентный 10 4 2 6" xfId="43200"/>
    <cellStyle name="Процентный 10 4 2 6 2" xfId="43201"/>
    <cellStyle name="Процентный 10 4 2 6 2 2" xfId="43202"/>
    <cellStyle name="Процентный 10 4 2 6 3" xfId="43203"/>
    <cellStyle name="Процентный 10 4 2 7" xfId="43204"/>
    <cellStyle name="Процентный 10 4 2 7 2" xfId="43205"/>
    <cellStyle name="Процентный 10 4 2 8" xfId="43206"/>
    <cellStyle name="Процентный 10 4 2 8 2" xfId="43207"/>
    <cellStyle name="Процентный 10 4 2 9" xfId="43208"/>
    <cellStyle name="Процентный 10 4 3" xfId="43209"/>
    <cellStyle name="Процентный 10 4 3 2" xfId="43210"/>
    <cellStyle name="Процентный 10 4 3 2 2" xfId="43211"/>
    <cellStyle name="Процентный 10 4 3 2 2 2" xfId="43212"/>
    <cellStyle name="Процентный 10 4 3 2 3" xfId="43213"/>
    <cellStyle name="Процентный 10 4 3 3" xfId="43214"/>
    <cellStyle name="Процентный 10 4 3 3 2" xfId="43215"/>
    <cellStyle name="Процентный 10 4 3 3 2 2" xfId="43216"/>
    <cellStyle name="Процентный 10 4 3 3 3" xfId="43217"/>
    <cellStyle name="Процентный 10 4 3 4" xfId="43218"/>
    <cellStyle name="Процентный 10 4 3 4 2" xfId="43219"/>
    <cellStyle name="Процентный 10 4 3 5" xfId="43220"/>
    <cellStyle name="Процентный 10 4 3 5 2" xfId="43221"/>
    <cellStyle name="Процентный 10 4 3 6" xfId="43222"/>
    <cellStyle name="Процентный 10 4 4" xfId="43223"/>
    <cellStyle name="Процентный 10 4 4 2" xfId="43224"/>
    <cellStyle name="Процентный 10 4 4 2 2" xfId="43225"/>
    <cellStyle name="Процентный 10 4 4 2 2 2" xfId="43226"/>
    <cellStyle name="Процентный 10 4 4 2 3" xfId="43227"/>
    <cellStyle name="Процентный 10 4 4 3" xfId="43228"/>
    <cellStyle name="Процентный 10 4 4 3 2" xfId="43229"/>
    <cellStyle name="Процентный 10 4 4 3 2 2" xfId="43230"/>
    <cellStyle name="Процентный 10 4 4 3 3" xfId="43231"/>
    <cellStyle name="Процентный 10 4 4 4" xfId="43232"/>
    <cellStyle name="Процентный 10 4 4 4 2" xfId="43233"/>
    <cellStyle name="Процентный 10 4 4 5" xfId="43234"/>
    <cellStyle name="Процентный 10 4 4 5 2" xfId="43235"/>
    <cellStyle name="Процентный 10 4 4 6" xfId="43236"/>
    <cellStyle name="Процентный 10 4 5" xfId="43237"/>
    <cellStyle name="Процентный 10 4 5 2" xfId="43238"/>
    <cellStyle name="Процентный 10 4 5 2 2" xfId="43239"/>
    <cellStyle name="Процентный 10 4 5 3" xfId="43240"/>
    <cellStyle name="Процентный 10 4 5 3 2" xfId="43241"/>
    <cellStyle name="Процентный 10 4 5 4" xfId="43242"/>
    <cellStyle name="Процентный 10 4 6" xfId="43243"/>
    <cellStyle name="Процентный 10 4 6 2" xfId="43244"/>
    <cellStyle name="Процентный 10 4 6 2 2" xfId="43245"/>
    <cellStyle name="Процентный 10 4 6 3" xfId="43246"/>
    <cellStyle name="Процентный 10 4 7" xfId="43247"/>
    <cellStyle name="Процентный 10 4 7 2" xfId="43248"/>
    <cellStyle name="Процентный 10 4 8" xfId="43249"/>
    <cellStyle name="Процентный 10 4 8 2" xfId="43250"/>
    <cellStyle name="Процентный 10 4 9" xfId="43251"/>
    <cellStyle name="Процентный 10 5" xfId="43252"/>
    <cellStyle name="Процентный 10 5 2" xfId="43253"/>
    <cellStyle name="Процентный 10 5 2 2" xfId="43254"/>
    <cellStyle name="Процентный 10 5 2 2 2" xfId="43255"/>
    <cellStyle name="Процентный 10 5 2 3" xfId="43256"/>
    <cellStyle name="Процентный 10 5 2 3 2" xfId="43257"/>
    <cellStyle name="Процентный 10 5 2 4" xfId="43258"/>
    <cellStyle name="Процентный 10 5 3" xfId="43259"/>
    <cellStyle name="Процентный 10 5 3 2" xfId="43260"/>
    <cellStyle name="Процентный 10 5 3 2 2" xfId="43261"/>
    <cellStyle name="Процентный 10 5 3 2 2 2" xfId="43262"/>
    <cellStyle name="Процентный 10 5 3 2 3" xfId="43263"/>
    <cellStyle name="Процентный 10 5 3 3" xfId="43264"/>
    <cellStyle name="Процентный 10 5 3 3 2" xfId="43265"/>
    <cellStyle name="Процентный 10 5 3 3 2 2" xfId="43266"/>
    <cellStyle name="Процентный 10 5 3 3 3" xfId="43267"/>
    <cellStyle name="Процентный 10 5 3 4" xfId="43268"/>
    <cellStyle name="Процентный 10 5 3 4 2" xfId="43269"/>
    <cellStyle name="Процентный 10 5 3 5" xfId="43270"/>
    <cellStyle name="Процентный 10 5 3 5 2" xfId="43271"/>
    <cellStyle name="Процентный 10 5 3 6" xfId="43272"/>
    <cellStyle name="Процентный 10 5 4" xfId="43273"/>
    <cellStyle name="Процентный 10 5 4 2" xfId="43274"/>
    <cellStyle name="Процентный 10 5 4 2 2" xfId="43275"/>
    <cellStyle name="Процентный 10 5 4 3" xfId="43276"/>
    <cellStyle name="Процентный 10 5 4 3 2" xfId="43277"/>
    <cellStyle name="Процентный 10 5 4 4" xfId="43278"/>
    <cellStyle name="Процентный 10 5 5" xfId="43279"/>
    <cellStyle name="Процентный 10 5 5 2" xfId="43280"/>
    <cellStyle name="Процентный 10 5 5 2 2" xfId="43281"/>
    <cellStyle name="Процентный 10 5 5 3" xfId="43282"/>
    <cellStyle name="Процентный 10 5 6" xfId="43283"/>
    <cellStyle name="Процентный 10 5 6 2" xfId="43284"/>
    <cellStyle name="Процентный 10 5 7" xfId="43285"/>
    <cellStyle name="Процентный 10 5 7 2" xfId="43286"/>
    <cellStyle name="Процентный 10 5 8" xfId="43287"/>
    <cellStyle name="Процентный 10 6" xfId="43288"/>
    <cellStyle name="Процентный 10 6 2" xfId="43289"/>
    <cellStyle name="Процентный 10 6 2 2" xfId="43290"/>
    <cellStyle name="Процентный 10 6 2 2 2" xfId="43291"/>
    <cellStyle name="Процентный 10 6 2 3" xfId="43292"/>
    <cellStyle name="Процентный 10 6 2 3 2" xfId="43293"/>
    <cellStyle name="Процентный 10 6 2 4" xfId="43294"/>
    <cellStyle name="Процентный 10 6 3" xfId="43295"/>
    <cellStyle name="Процентный 10 6 3 2" xfId="43296"/>
    <cellStyle name="Процентный 10 6 3 2 2" xfId="43297"/>
    <cellStyle name="Процентный 10 6 3 2 2 2" xfId="43298"/>
    <cellStyle name="Процентный 10 6 3 2 3" xfId="43299"/>
    <cellStyle name="Процентный 10 6 3 3" xfId="43300"/>
    <cellStyle name="Процентный 10 6 3 3 2" xfId="43301"/>
    <cellStyle name="Процентный 10 6 3 3 2 2" xfId="43302"/>
    <cellStyle name="Процентный 10 6 3 3 3" xfId="43303"/>
    <cellStyle name="Процентный 10 6 3 4" xfId="43304"/>
    <cellStyle name="Процентный 10 6 3 4 2" xfId="43305"/>
    <cellStyle name="Процентный 10 6 3 5" xfId="43306"/>
    <cellStyle name="Процентный 10 6 3 5 2" xfId="43307"/>
    <cellStyle name="Процентный 10 6 3 6" xfId="43308"/>
    <cellStyle name="Процентный 10 6 4" xfId="43309"/>
    <cellStyle name="Процентный 10 6 4 2" xfId="43310"/>
    <cellStyle name="Процентный 10 6 4 2 2" xfId="43311"/>
    <cellStyle name="Процентный 10 6 4 3" xfId="43312"/>
    <cellStyle name="Процентный 10 6 4 3 2" xfId="43313"/>
    <cellStyle name="Процентный 10 6 4 4" xfId="43314"/>
    <cellStyle name="Процентный 10 6 5" xfId="43315"/>
    <cellStyle name="Процентный 10 6 5 2" xfId="43316"/>
    <cellStyle name="Процентный 10 6 5 2 2" xfId="43317"/>
    <cellStyle name="Процентный 10 6 5 3" xfId="43318"/>
    <cellStyle name="Процентный 10 6 6" xfId="43319"/>
    <cellStyle name="Процентный 10 6 6 2" xfId="43320"/>
    <cellStyle name="Процентный 10 6 7" xfId="43321"/>
    <cellStyle name="Процентный 10 6 7 2" xfId="43322"/>
    <cellStyle name="Процентный 10 6 8" xfId="43323"/>
    <cellStyle name="Процентный 10 7" xfId="43324"/>
    <cellStyle name="Процентный 10 7 2" xfId="43325"/>
    <cellStyle name="Процентный 10 7 2 2" xfId="43326"/>
    <cellStyle name="Процентный 10 7 2 2 2" xfId="43327"/>
    <cellStyle name="Процентный 10 7 2 3" xfId="43328"/>
    <cellStyle name="Процентный 10 7 2 3 2" xfId="43329"/>
    <cellStyle name="Процентный 10 7 2 4" xfId="43330"/>
    <cellStyle name="Процентный 10 7 3" xfId="43331"/>
    <cellStyle name="Процентный 10 7 3 2" xfId="43332"/>
    <cellStyle name="Процентный 10 7 3 2 2" xfId="43333"/>
    <cellStyle name="Процентный 10 7 3 2 2 2" xfId="43334"/>
    <cellStyle name="Процентный 10 7 3 2 3" xfId="43335"/>
    <cellStyle name="Процентный 10 7 3 3" xfId="43336"/>
    <cellStyle name="Процентный 10 7 3 3 2" xfId="43337"/>
    <cellStyle name="Процентный 10 7 3 3 2 2" xfId="43338"/>
    <cellStyle name="Процентный 10 7 3 3 3" xfId="43339"/>
    <cellStyle name="Процентный 10 7 3 4" xfId="43340"/>
    <cellStyle name="Процентный 10 7 3 4 2" xfId="43341"/>
    <cellStyle name="Процентный 10 7 3 5" xfId="43342"/>
    <cellStyle name="Процентный 10 7 3 5 2" xfId="43343"/>
    <cellStyle name="Процентный 10 7 3 6" xfId="43344"/>
    <cellStyle name="Процентный 10 7 4" xfId="43345"/>
    <cellStyle name="Процентный 10 7 4 2" xfId="43346"/>
    <cellStyle name="Процентный 10 7 4 2 2" xfId="43347"/>
    <cellStyle name="Процентный 10 7 4 3" xfId="43348"/>
    <cellStyle name="Процентный 10 7 4 3 2" xfId="43349"/>
    <cellStyle name="Процентный 10 7 4 4" xfId="43350"/>
    <cellStyle name="Процентный 10 7 5" xfId="43351"/>
    <cellStyle name="Процентный 10 7 5 2" xfId="43352"/>
    <cellStyle name="Процентный 10 7 5 2 2" xfId="43353"/>
    <cellStyle name="Процентный 10 7 5 3" xfId="43354"/>
    <cellStyle name="Процентный 10 7 6" xfId="43355"/>
    <cellStyle name="Процентный 10 7 6 2" xfId="43356"/>
    <cellStyle name="Процентный 10 7 7" xfId="43357"/>
    <cellStyle name="Процентный 10 7 7 2" xfId="43358"/>
    <cellStyle name="Процентный 10 7 8" xfId="43359"/>
    <cellStyle name="Процентный 10 8" xfId="43360"/>
    <cellStyle name="Процентный 10 8 2" xfId="43361"/>
    <cellStyle name="Процентный 10 8 2 2" xfId="43362"/>
    <cellStyle name="Процентный 10 8 2 2 2" xfId="43363"/>
    <cellStyle name="Процентный 10 8 2 3" xfId="43364"/>
    <cellStyle name="Процентный 10 8 2 3 2" xfId="43365"/>
    <cellStyle name="Процентный 10 8 2 4" xfId="43366"/>
    <cellStyle name="Процентный 10 8 3" xfId="43367"/>
    <cellStyle name="Процентный 10 8 3 2" xfId="43368"/>
    <cellStyle name="Процентный 10 8 4" xfId="43369"/>
    <cellStyle name="Процентный 10 8 4 2" xfId="43370"/>
    <cellStyle name="Процентный 10 8 5" xfId="43371"/>
    <cellStyle name="Процентный 10 9" xfId="43372"/>
    <cellStyle name="Процентный 10 9 2" xfId="43373"/>
    <cellStyle name="Процентный 10 9 2 2" xfId="43374"/>
    <cellStyle name="Процентный 10 9 2 2 2" xfId="43375"/>
    <cellStyle name="Процентный 10 9 2 3" xfId="43376"/>
    <cellStyle name="Процентный 10 9 2 3 2" xfId="43377"/>
    <cellStyle name="Процентный 10 9 2 4" xfId="43378"/>
    <cellStyle name="Процентный 10 9 3" xfId="43379"/>
    <cellStyle name="Процентный 10 9 3 2" xfId="43380"/>
    <cellStyle name="Процентный 10 9 4" xfId="43381"/>
    <cellStyle name="Процентный 10 9 4 2" xfId="43382"/>
    <cellStyle name="Процентный 10 9 5" xfId="43383"/>
    <cellStyle name="Процентный 11" xfId="43384"/>
    <cellStyle name="Процентный 11 10" xfId="43385"/>
    <cellStyle name="Процентный 11 10 2" xfId="43386"/>
    <cellStyle name="Процентный 11 10 2 2" xfId="43387"/>
    <cellStyle name="Процентный 11 10 2 2 2" xfId="43388"/>
    <cellStyle name="Процентный 11 10 2 2 2 2" xfId="43389"/>
    <cellStyle name="Процентный 11 10 2 2 3" xfId="43390"/>
    <cellStyle name="Процентный 11 10 2 3" xfId="43391"/>
    <cellStyle name="Процентный 11 10 2 3 2" xfId="43392"/>
    <cellStyle name="Процентный 11 10 2 3 2 2" xfId="43393"/>
    <cellStyle name="Процентный 11 10 2 3 3" xfId="43394"/>
    <cellStyle name="Процентный 11 10 2 4" xfId="43395"/>
    <cellStyle name="Процентный 11 10 2 4 2" xfId="43396"/>
    <cellStyle name="Процентный 11 10 2 5" xfId="43397"/>
    <cellStyle name="Процентный 11 10 3" xfId="43398"/>
    <cellStyle name="Процентный 11 10 3 2" xfId="43399"/>
    <cellStyle name="Процентный 11 10 3 2 2" xfId="43400"/>
    <cellStyle name="Процентный 11 10 3 2 2 2" xfId="43401"/>
    <cellStyle name="Процентный 11 10 3 2 3" xfId="43402"/>
    <cellStyle name="Процентный 11 10 3 3" xfId="43403"/>
    <cellStyle name="Процентный 11 10 3 3 2" xfId="43404"/>
    <cellStyle name="Процентный 11 10 3 3 2 2" xfId="43405"/>
    <cellStyle name="Процентный 11 10 3 3 3" xfId="43406"/>
    <cellStyle name="Процентный 11 10 3 4" xfId="43407"/>
    <cellStyle name="Процентный 11 10 3 4 2" xfId="43408"/>
    <cellStyle name="Процентный 11 10 3 5" xfId="43409"/>
    <cellStyle name="Процентный 11 10 4" xfId="43410"/>
    <cellStyle name="Процентный 11 10 4 2" xfId="43411"/>
    <cellStyle name="Процентный 11 10 4 2 2" xfId="43412"/>
    <cellStyle name="Процентный 11 10 4 3" xfId="43413"/>
    <cellStyle name="Процентный 11 10 5" xfId="43414"/>
    <cellStyle name="Процентный 11 10 5 2" xfId="43415"/>
    <cellStyle name="Процентный 11 10 5 2 2" xfId="43416"/>
    <cellStyle name="Процентный 11 10 5 3" xfId="43417"/>
    <cellStyle name="Процентный 11 10 6" xfId="43418"/>
    <cellStyle name="Процентный 11 10 6 2" xfId="43419"/>
    <cellStyle name="Процентный 11 10 7" xfId="43420"/>
    <cellStyle name="Процентный 11 11" xfId="43421"/>
    <cellStyle name="Процентный 11 11 2" xfId="43422"/>
    <cellStyle name="Процентный 11 11 2 2" xfId="43423"/>
    <cellStyle name="Процентный 11 11 2 2 2" xfId="43424"/>
    <cellStyle name="Процентный 11 11 2 3" xfId="43425"/>
    <cellStyle name="Процентный 11 11 3" xfId="43426"/>
    <cellStyle name="Процентный 11 11 3 2" xfId="43427"/>
    <cellStyle name="Процентный 11 11 3 2 2" xfId="43428"/>
    <cellStyle name="Процентный 11 11 3 3" xfId="43429"/>
    <cellStyle name="Процентный 11 11 4" xfId="43430"/>
    <cellStyle name="Процентный 11 11 4 2" xfId="43431"/>
    <cellStyle name="Процентный 11 11 5" xfId="43432"/>
    <cellStyle name="Процентный 11 12" xfId="43433"/>
    <cellStyle name="Процентный 11 12 2" xfId="43434"/>
    <cellStyle name="Процентный 11 12 2 2" xfId="43435"/>
    <cellStyle name="Процентный 11 12 2 2 2" xfId="43436"/>
    <cellStyle name="Процентный 11 12 2 3" xfId="43437"/>
    <cellStyle name="Процентный 11 12 3" xfId="43438"/>
    <cellStyle name="Процентный 11 12 3 2" xfId="43439"/>
    <cellStyle name="Процентный 11 12 3 2 2" xfId="43440"/>
    <cellStyle name="Процентный 11 12 3 3" xfId="43441"/>
    <cellStyle name="Процентный 11 12 4" xfId="43442"/>
    <cellStyle name="Процентный 11 12 4 2" xfId="43443"/>
    <cellStyle name="Процентный 11 12 5" xfId="43444"/>
    <cellStyle name="Процентный 11 13" xfId="43445"/>
    <cellStyle name="Процентный 11 13 2" xfId="43446"/>
    <cellStyle name="Процентный 11 13 2 2" xfId="43447"/>
    <cellStyle name="Процентный 11 13 3" xfId="43448"/>
    <cellStyle name="Процентный 11 14" xfId="43449"/>
    <cellStyle name="Процентный 11 14 2" xfId="43450"/>
    <cellStyle name="Процентный 11 14 2 2" xfId="43451"/>
    <cellStyle name="Процентный 11 14 3" xfId="43452"/>
    <cellStyle name="Процентный 11 15" xfId="43453"/>
    <cellStyle name="Процентный 11 15 2" xfId="43454"/>
    <cellStyle name="Процентный 11 16" xfId="43455"/>
    <cellStyle name="Процентный 11 16 2" xfId="43456"/>
    <cellStyle name="Процентный 11 17" xfId="43457"/>
    <cellStyle name="Процентный 11 2" xfId="43458"/>
    <cellStyle name="Процентный 11 2 10" xfId="43459"/>
    <cellStyle name="Процентный 11 2 10 2" xfId="43460"/>
    <cellStyle name="Процентный 11 2 10 2 2" xfId="43461"/>
    <cellStyle name="Процентный 11 2 10 3" xfId="43462"/>
    <cellStyle name="Процентный 11 2 11" xfId="43463"/>
    <cellStyle name="Процентный 11 2 11 2" xfId="43464"/>
    <cellStyle name="Процентный 11 2 12" xfId="43465"/>
    <cellStyle name="Процентный 11 2 12 2" xfId="43466"/>
    <cellStyle name="Процентный 11 2 13" xfId="43467"/>
    <cellStyle name="Процентный 11 2 2" xfId="43468"/>
    <cellStyle name="Процентный 11 2 2 2" xfId="43469"/>
    <cellStyle name="Процентный 11 2 2 2 2" xfId="43470"/>
    <cellStyle name="Процентный 11 2 2 2 2 2" xfId="43471"/>
    <cellStyle name="Процентный 11 2 2 2 2 2 2" xfId="43472"/>
    <cellStyle name="Процентный 11 2 2 2 2 2 2 2" xfId="43473"/>
    <cellStyle name="Процентный 11 2 2 2 2 2 3" xfId="43474"/>
    <cellStyle name="Процентный 11 2 2 2 2 3" xfId="43475"/>
    <cellStyle name="Процентный 11 2 2 2 2 3 2" xfId="43476"/>
    <cellStyle name="Процентный 11 2 2 2 2 3 2 2" xfId="43477"/>
    <cellStyle name="Процентный 11 2 2 2 2 3 3" xfId="43478"/>
    <cellStyle name="Процентный 11 2 2 2 2 4" xfId="43479"/>
    <cellStyle name="Процентный 11 2 2 2 2 4 2" xfId="43480"/>
    <cellStyle name="Процентный 11 2 2 2 2 5" xfId="43481"/>
    <cellStyle name="Процентный 11 2 2 2 2 5 2" xfId="43482"/>
    <cellStyle name="Процентный 11 2 2 2 2 6" xfId="43483"/>
    <cellStyle name="Процентный 11 2 2 2 3" xfId="43484"/>
    <cellStyle name="Процентный 11 2 2 2 3 2" xfId="43485"/>
    <cellStyle name="Процентный 11 2 2 2 3 2 2" xfId="43486"/>
    <cellStyle name="Процентный 11 2 2 2 3 2 2 2" xfId="43487"/>
    <cellStyle name="Процентный 11 2 2 2 3 2 3" xfId="43488"/>
    <cellStyle name="Процентный 11 2 2 2 3 3" xfId="43489"/>
    <cellStyle name="Процентный 11 2 2 2 3 3 2" xfId="43490"/>
    <cellStyle name="Процентный 11 2 2 2 3 3 2 2" xfId="43491"/>
    <cellStyle name="Процентный 11 2 2 2 3 3 3" xfId="43492"/>
    <cellStyle name="Процентный 11 2 2 2 3 4" xfId="43493"/>
    <cellStyle name="Процентный 11 2 2 2 3 4 2" xfId="43494"/>
    <cellStyle name="Процентный 11 2 2 2 3 5" xfId="43495"/>
    <cellStyle name="Процентный 11 2 2 2 4" xfId="43496"/>
    <cellStyle name="Процентный 11 2 2 2 4 2" xfId="43497"/>
    <cellStyle name="Процентный 11 2 2 2 4 2 2" xfId="43498"/>
    <cellStyle name="Процентный 11 2 2 2 4 3" xfId="43499"/>
    <cellStyle name="Процентный 11 2 2 2 5" xfId="43500"/>
    <cellStyle name="Процентный 11 2 2 2 5 2" xfId="43501"/>
    <cellStyle name="Процентный 11 2 2 2 5 2 2" xfId="43502"/>
    <cellStyle name="Процентный 11 2 2 2 5 3" xfId="43503"/>
    <cellStyle name="Процентный 11 2 2 2 6" xfId="43504"/>
    <cellStyle name="Процентный 11 2 2 2 6 2" xfId="43505"/>
    <cellStyle name="Процентный 11 2 2 2 7" xfId="43506"/>
    <cellStyle name="Процентный 11 2 2 2 7 2" xfId="43507"/>
    <cellStyle name="Процентный 11 2 2 2 8" xfId="43508"/>
    <cellStyle name="Процентный 11 2 2 3" xfId="43509"/>
    <cellStyle name="Процентный 11 2 2 3 2" xfId="43510"/>
    <cellStyle name="Процентный 11 2 2 3 2 2" xfId="43511"/>
    <cellStyle name="Процентный 11 2 2 3 2 2 2" xfId="43512"/>
    <cellStyle name="Процентный 11 2 2 3 2 3" xfId="43513"/>
    <cellStyle name="Процентный 11 2 2 3 3" xfId="43514"/>
    <cellStyle name="Процентный 11 2 2 3 3 2" xfId="43515"/>
    <cellStyle name="Процентный 11 2 2 3 3 2 2" xfId="43516"/>
    <cellStyle name="Процентный 11 2 2 3 3 3" xfId="43517"/>
    <cellStyle name="Процентный 11 2 2 3 4" xfId="43518"/>
    <cellStyle name="Процентный 11 2 2 3 4 2" xfId="43519"/>
    <cellStyle name="Процентный 11 2 2 3 5" xfId="43520"/>
    <cellStyle name="Процентный 11 2 2 3 5 2" xfId="43521"/>
    <cellStyle name="Процентный 11 2 2 3 6" xfId="43522"/>
    <cellStyle name="Процентный 11 2 2 4" xfId="43523"/>
    <cellStyle name="Процентный 11 2 2 4 2" xfId="43524"/>
    <cellStyle name="Процентный 11 2 2 4 2 2" xfId="43525"/>
    <cellStyle name="Процентный 11 2 2 4 2 2 2" xfId="43526"/>
    <cellStyle name="Процентный 11 2 2 4 2 3" xfId="43527"/>
    <cellStyle name="Процентный 11 2 2 4 3" xfId="43528"/>
    <cellStyle name="Процентный 11 2 2 4 3 2" xfId="43529"/>
    <cellStyle name="Процентный 11 2 2 4 3 2 2" xfId="43530"/>
    <cellStyle name="Процентный 11 2 2 4 3 3" xfId="43531"/>
    <cellStyle name="Процентный 11 2 2 4 4" xfId="43532"/>
    <cellStyle name="Процентный 11 2 2 4 4 2" xfId="43533"/>
    <cellStyle name="Процентный 11 2 2 4 5" xfId="43534"/>
    <cellStyle name="Процентный 11 2 2 4 5 2" xfId="43535"/>
    <cellStyle name="Процентный 11 2 2 4 6" xfId="43536"/>
    <cellStyle name="Процентный 11 2 2 5" xfId="43537"/>
    <cellStyle name="Процентный 11 2 2 5 2" xfId="43538"/>
    <cellStyle name="Процентный 11 2 2 5 2 2" xfId="43539"/>
    <cellStyle name="Процентный 11 2 2 5 3" xfId="43540"/>
    <cellStyle name="Процентный 11 2 2 6" xfId="43541"/>
    <cellStyle name="Процентный 11 2 2 6 2" xfId="43542"/>
    <cellStyle name="Процентный 11 2 2 6 2 2" xfId="43543"/>
    <cellStyle name="Процентный 11 2 2 6 3" xfId="43544"/>
    <cellStyle name="Процентный 11 2 2 7" xfId="43545"/>
    <cellStyle name="Процентный 11 2 2 7 2" xfId="43546"/>
    <cellStyle name="Процентный 11 2 2 8" xfId="43547"/>
    <cellStyle name="Процентный 11 2 2 8 2" xfId="43548"/>
    <cellStyle name="Процентный 11 2 2 9" xfId="43549"/>
    <cellStyle name="Процентный 11 2 3" xfId="43550"/>
    <cellStyle name="Процентный 11 2 3 2" xfId="43551"/>
    <cellStyle name="Процентный 11 2 3 2 2" xfId="43552"/>
    <cellStyle name="Процентный 11 2 3 2 2 2" xfId="43553"/>
    <cellStyle name="Процентный 11 2 3 2 2 2 2" xfId="43554"/>
    <cellStyle name="Процентный 11 2 3 2 2 2 2 2" xfId="43555"/>
    <cellStyle name="Процентный 11 2 3 2 2 2 3" xfId="43556"/>
    <cellStyle name="Процентный 11 2 3 2 2 3" xfId="43557"/>
    <cellStyle name="Процентный 11 2 3 2 2 3 2" xfId="43558"/>
    <cellStyle name="Процентный 11 2 3 2 2 3 2 2" xfId="43559"/>
    <cellStyle name="Процентный 11 2 3 2 2 3 3" xfId="43560"/>
    <cellStyle name="Процентный 11 2 3 2 2 4" xfId="43561"/>
    <cellStyle name="Процентный 11 2 3 2 2 4 2" xfId="43562"/>
    <cellStyle name="Процентный 11 2 3 2 2 5" xfId="43563"/>
    <cellStyle name="Процентный 11 2 3 2 3" xfId="43564"/>
    <cellStyle name="Процентный 11 2 3 2 3 2" xfId="43565"/>
    <cellStyle name="Процентный 11 2 3 2 3 2 2" xfId="43566"/>
    <cellStyle name="Процентный 11 2 3 2 3 2 2 2" xfId="43567"/>
    <cellStyle name="Процентный 11 2 3 2 3 2 3" xfId="43568"/>
    <cellStyle name="Процентный 11 2 3 2 3 3" xfId="43569"/>
    <cellStyle name="Процентный 11 2 3 2 3 3 2" xfId="43570"/>
    <cellStyle name="Процентный 11 2 3 2 3 3 2 2" xfId="43571"/>
    <cellStyle name="Процентный 11 2 3 2 3 3 3" xfId="43572"/>
    <cellStyle name="Процентный 11 2 3 2 3 4" xfId="43573"/>
    <cellStyle name="Процентный 11 2 3 2 3 4 2" xfId="43574"/>
    <cellStyle name="Процентный 11 2 3 2 3 5" xfId="43575"/>
    <cellStyle name="Процентный 11 2 3 2 4" xfId="43576"/>
    <cellStyle name="Процентный 11 2 3 2 4 2" xfId="43577"/>
    <cellStyle name="Процентный 11 2 3 2 5" xfId="43578"/>
    <cellStyle name="Процентный 11 2 3 2 5 2" xfId="43579"/>
    <cellStyle name="Процентный 11 2 3 2 6" xfId="43580"/>
    <cellStyle name="Процентный 11 2 3 3" xfId="43581"/>
    <cellStyle name="Процентный 11 2 3 3 2" xfId="43582"/>
    <cellStyle name="Процентный 11 2 3 3 2 2" xfId="43583"/>
    <cellStyle name="Процентный 11 2 3 3 2 2 2" xfId="43584"/>
    <cellStyle name="Процентный 11 2 3 3 2 3" xfId="43585"/>
    <cellStyle name="Процентный 11 2 3 3 3" xfId="43586"/>
    <cellStyle name="Процентный 11 2 3 3 3 2" xfId="43587"/>
    <cellStyle name="Процентный 11 2 3 3 3 2 2" xfId="43588"/>
    <cellStyle name="Процентный 11 2 3 3 3 3" xfId="43589"/>
    <cellStyle name="Процентный 11 2 3 3 4" xfId="43590"/>
    <cellStyle name="Процентный 11 2 3 3 4 2" xfId="43591"/>
    <cellStyle name="Процентный 11 2 3 3 5" xfId="43592"/>
    <cellStyle name="Процентный 11 2 3 3 5 2" xfId="43593"/>
    <cellStyle name="Процентный 11 2 3 3 6" xfId="43594"/>
    <cellStyle name="Процентный 11 2 3 4" xfId="43595"/>
    <cellStyle name="Процентный 11 2 3 4 2" xfId="43596"/>
    <cellStyle name="Процентный 11 2 3 4 2 2" xfId="43597"/>
    <cellStyle name="Процентный 11 2 3 4 2 2 2" xfId="43598"/>
    <cellStyle name="Процентный 11 2 3 4 2 3" xfId="43599"/>
    <cellStyle name="Процентный 11 2 3 4 3" xfId="43600"/>
    <cellStyle name="Процентный 11 2 3 4 3 2" xfId="43601"/>
    <cellStyle name="Процентный 11 2 3 4 3 2 2" xfId="43602"/>
    <cellStyle name="Процентный 11 2 3 4 3 3" xfId="43603"/>
    <cellStyle name="Процентный 11 2 3 4 4" xfId="43604"/>
    <cellStyle name="Процентный 11 2 3 4 4 2" xfId="43605"/>
    <cellStyle name="Процентный 11 2 3 4 5" xfId="43606"/>
    <cellStyle name="Процентный 11 2 3 4 5 2" xfId="43607"/>
    <cellStyle name="Процентный 11 2 3 4 6" xfId="43608"/>
    <cellStyle name="Процентный 11 2 3 5" xfId="43609"/>
    <cellStyle name="Процентный 11 2 3 5 2" xfId="43610"/>
    <cellStyle name="Процентный 11 2 3 6" xfId="43611"/>
    <cellStyle name="Процентный 11 2 3 6 2" xfId="43612"/>
    <cellStyle name="Процентный 11 2 3 7" xfId="43613"/>
    <cellStyle name="Процентный 11 2 4" xfId="43614"/>
    <cellStyle name="Процентный 11 2 4 2" xfId="43615"/>
    <cellStyle name="Процентный 11 2 4 2 2" xfId="43616"/>
    <cellStyle name="Процентный 11 2 4 2 2 2" xfId="43617"/>
    <cellStyle name="Процентный 11 2 4 2 2 2 2" xfId="43618"/>
    <cellStyle name="Процентный 11 2 4 2 2 2 2 2" xfId="43619"/>
    <cellStyle name="Процентный 11 2 4 2 2 2 3" xfId="43620"/>
    <cellStyle name="Процентный 11 2 4 2 2 3" xfId="43621"/>
    <cellStyle name="Процентный 11 2 4 2 2 3 2" xfId="43622"/>
    <cellStyle name="Процентный 11 2 4 2 2 3 2 2" xfId="43623"/>
    <cellStyle name="Процентный 11 2 4 2 2 3 3" xfId="43624"/>
    <cellStyle name="Процентный 11 2 4 2 2 4" xfId="43625"/>
    <cellStyle name="Процентный 11 2 4 2 2 4 2" xfId="43626"/>
    <cellStyle name="Процентный 11 2 4 2 2 5" xfId="43627"/>
    <cellStyle name="Процентный 11 2 4 2 3" xfId="43628"/>
    <cellStyle name="Процентный 11 2 4 2 3 2" xfId="43629"/>
    <cellStyle name="Процентный 11 2 4 2 3 2 2" xfId="43630"/>
    <cellStyle name="Процентный 11 2 4 2 3 2 2 2" xfId="43631"/>
    <cellStyle name="Процентный 11 2 4 2 3 2 3" xfId="43632"/>
    <cellStyle name="Процентный 11 2 4 2 3 3" xfId="43633"/>
    <cellStyle name="Процентный 11 2 4 2 3 3 2" xfId="43634"/>
    <cellStyle name="Процентный 11 2 4 2 3 3 2 2" xfId="43635"/>
    <cellStyle name="Процентный 11 2 4 2 3 3 3" xfId="43636"/>
    <cellStyle name="Процентный 11 2 4 2 3 4" xfId="43637"/>
    <cellStyle name="Процентный 11 2 4 2 3 4 2" xfId="43638"/>
    <cellStyle name="Процентный 11 2 4 2 3 5" xfId="43639"/>
    <cellStyle name="Процентный 11 2 4 2 4" xfId="43640"/>
    <cellStyle name="Процентный 11 2 4 2 4 2" xfId="43641"/>
    <cellStyle name="Процентный 11 2 4 2 4 2 2" xfId="43642"/>
    <cellStyle name="Процентный 11 2 4 2 4 3" xfId="43643"/>
    <cellStyle name="Процентный 11 2 4 2 5" xfId="43644"/>
    <cellStyle name="Процентный 11 2 4 2 5 2" xfId="43645"/>
    <cellStyle name="Процентный 11 2 4 2 5 2 2" xfId="43646"/>
    <cellStyle name="Процентный 11 2 4 2 5 3" xfId="43647"/>
    <cellStyle name="Процентный 11 2 4 2 6" xfId="43648"/>
    <cellStyle name="Процентный 11 2 4 2 6 2" xfId="43649"/>
    <cellStyle name="Процентный 11 2 4 2 7" xfId="43650"/>
    <cellStyle name="Процентный 11 2 4 3" xfId="43651"/>
    <cellStyle name="Процентный 11 2 4 3 2" xfId="43652"/>
    <cellStyle name="Процентный 11 2 4 3 2 2" xfId="43653"/>
    <cellStyle name="Процентный 11 2 4 3 2 2 2" xfId="43654"/>
    <cellStyle name="Процентный 11 2 4 3 2 3" xfId="43655"/>
    <cellStyle name="Процентный 11 2 4 3 3" xfId="43656"/>
    <cellStyle name="Процентный 11 2 4 3 3 2" xfId="43657"/>
    <cellStyle name="Процентный 11 2 4 3 3 2 2" xfId="43658"/>
    <cellStyle name="Процентный 11 2 4 3 3 3" xfId="43659"/>
    <cellStyle name="Процентный 11 2 4 3 4" xfId="43660"/>
    <cellStyle name="Процентный 11 2 4 3 4 2" xfId="43661"/>
    <cellStyle name="Процентный 11 2 4 3 5" xfId="43662"/>
    <cellStyle name="Процентный 11 2 4 4" xfId="43663"/>
    <cellStyle name="Процентный 11 2 4 4 2" xfId="43664"/>
    <cellStyle name="Процентный 11 2 4 4 2 2" xfId="43665"/>
    <cellStyle name="Процентный 11 2 4 4 3" xfId="43666"/>
    <cellStyle name="Процентный 11 2 4 5" xfId="43667"/>
    <cellStyle name="Процентный 11 2 4 5 2" xfId="43668"/>
    <cellStyle name="Процентный 11 2 4 5 2 2" xfId="43669"/>
    <cellStyle name="Процентный 11 2 4 5 3" xfId="43670"/>
    <cellStyle name="Процентный 11 2 4 6" xfId="43671"/>
    <cellStyle name="Процентный 11 2 4 6 2" xfId="43672"/>
    <cellStyle name="Процентный 11 2 4 7" xfId="43673"/>
    <cellStyle name="Процентный 11 2 4 7 2" xfId="43674"/>
    <cellStyle name="Процентный 11 2 4 8" xfId="43675"/>
    <cellStyle name="Процентный 11 2 5" xfId="43676"/>
    <cellStyle name="Процентный 11 2 5 2" xfId="43677"/>
    <cellStyle name="Процентный 11 2 5 2 2" xfId="43678"/>
    <cellStyle name="Процентный 11 2 5 2 2 2" xfId="43679"/>
    <cellStyle name="Процентный 11 2 5 2 2 2 2" xfId="43680"/>
    <cellStyle name="Процентный 11 2 5 2 2 3" xfId="43681"/>
    <cellStyle name="Процентный 11 2 5 2 3" xfId="43682"/>
    <cellStyle name="Процентный 11 2 5 2 3 2" xfId="43683"/>
    <cellStyle name="Процентный 11 2 5 2 3 2 2" xfId="43684"/>
    <cellStyle name="Процентный 11 2 5 2 3 3" xfId="43685"/>
    <cellStyle name="Процентный 11 2 5 2 4" xfId="43686"/>
    <cellStyle name="Процентный 11 2 5 2 4 2" xfId="43687"/>
    <cellStyle name="Процентный 11 2 5 2 5" xfId="43688"/>
    <cellStyle name="Процентный 11 2 5 3" xfId="43689"/>
    <cellStyle name="Процентный 11 2 5 3 2" xfId="43690"/>
    <cellStyle name="Процентный 11 2 5 3 2 2" xfId="43691"/>
    <cellStyle name="Процентный 11 2 5 3 2 2 2" xfId="43692"/>
    <cellStyle name="Процентный 11 2 5 3 2 3" xfId="43693"/>
    <cellStyle name="Процентный 11 2 5 3 3" xfId="43694"/>
    <cellStyle name="Процентный 11 2 5 3 3 2" xfId="43695"/>
    <cellStyle name="Процентный 11 2 5 3 3 2 2" xfId="43696"/>
    <cellStyle name="Процентный 11 2 5 3 3 3" xfId="43697"/>
    <cellStyle name="Процентный 11 2 5 3 4" xfId="43698"/>
    <cellStyle name="Процентный 11 2 5 3 4 2" xfId="43699"/>
    <cellStyle name="Процентный 11 2 5 3 5" xfId="43700"/>
    <cellStyle name="Процентный 11 2 5 4" xfId="43701"/>
    <cellStyle name="Процентный 11 2 5 4 2" xfId="43702"/>
    <cellStyle name="Процентный 11 2 5 4 2 2" xfId="43703"/>
    <cellStyle name="Процентный 11 2 5 4 3" xfId="43704"/>
    <cellStyle name="Процентный 11 2 5 5" xfId="43705"/>
    <cellStyle name="Процентный 11 2 5 5 2" xfId="43706"/>
    <cellStyle name="Процентный 11 2 5 5 2 2" xfId="43707"/>
    <cellStyle name="Процентный 11 2 5 5 3" xfId="43708"/>
    <cellStyle name="Процентный 11 2 5 6" xfId="43709"/>
    <cellStyle name="Процентный 11 2 5 6 2" xfId="43710"/>
    <cellStyle name="Процентный 11 2 5 7" xfId="43711"/>
    <cellStyle name="Процентный 11 2 5 7 2" xfId="43712"/>
    <cellStyle name="Процентный 11 2 5 8" xfId="43713"/>
    <cellStyle name="Процентный 11 2 6" xfId="43714"/>
    <cellStyle name="Процентный 11 2 6 2" xfId="43715"/>
    <cellStyle name="Процентный 11 2 6 2 2" xfId="43716"/>
    <cellStyle name="Процентный 11 2 6 2 2 2" xfId="43717"/>
    <cellStyle name="Процентный 11 2 6 2 2 2 2" xfId="43718"/>
    <cellStyle name="Процентный 11 2 6 2 2 3" xfId="43719"/>
    <cellStyle name="Процентный 11 2 6 2 3" xfId="43720"/>
    <cellStyle name="Процентный 11 2 6 2 3 2" xfId="43721"/>
    <cellStyle name="Процентный 11 2 6 2 3 2 2" xfId="43722"/>
    <cellStyle name="Процентный 11 2 6 2 3 3" xfId="43723"/>
    <cellStyle name="Процентный 11 2 6 2 4" xfId="43724"/>
    <cellStyle name="Процентный 11 2 6 2 4 2" xfId="43725"/>
    <cellStyle name="Процентный 11 2 6 2 5" xfId="43726"/>
    <cellStyle name="Процентный 11 2 6 3" xfId="43727"/>
    <cellStyle name="Процентный 11 2 6 3 2" xfId="43728"/>
    <cellStyle name="Процентный 11 2 6 3 2 2" xfId="43729"/>
    <cellStyle name="Процентный 11 2 6 3 2 2 2" xfId="43730"/>
    <cellStyle name="Процентный 11 2 6 3 2 3" xfId="43731"/>
    <cellStyle name="Процентный 11 2 6 3 3" xfId="43732"/>
    <cellStyle name="Процентный 11 2 6 3 3 2" xfId="43733"/>
    <cellStyle name="Процентный 11 2 6 3 3 2 2" xfId="43734"/>
    <cellStyle name="Процентный 11 2 6 3 3 3" xfId="43735"/>
    <cellStyle name="Процентный 11 2 6 3 4" xfId="43736"/>
    <cellStyle name="Процентный 11 2 6 3 4 2" xfId="43737"/>
    <cellStyle name="Процентный 11 2 6 3 5" xfId="43738"/>
    <cellStyle name="Процентный 11 2 6 4" xfId="43739"/>
    <cellStyle name="Процентный 11 2 6 4 2" xfId="43740"/>
    <cellStyle name="Процентный 11 2 6 4 2 2" xfId="43741"/>
    <cellStyle name="Процентный 11 2 6 4 3" xfId="43742"/>
    <cellStyle name="Процентный 11 2 6 5" xfId="43743"/>
    <cellStyle name="Процентный 11 2 6 5 2" xfId="43744"/>
    <cellStyle name="Процентный 11 2 6 5 2 2" xfId="43745"/>
    <cellStyle name="Процентный 11 2 6 5 3" xfId="43746"/>
    <cellStyle name="Процентный 11 2 6 6" xfId="43747"/>
    <cellStyle name="Процентный 11 2 6 6 2" xfId="43748"/>
    <cellStyle name="Процентный 11 2 6 7" xfId="43749"/>
    <cellStyle name="Процентный 11 2 6 7 2" xfId="43750"/>
    <cellStyle name="Процентный 11 2 6 8" xfId="43751"/>
    <cellStyle name="Процентный 11 2 7" xfId="43752"/>
    <cellStyle name="Процентный 11 2 7 2" xfId="43753"/>
    <cellStyle name="Процентный 11 2 7 2 2" xfId="43754"/>
    <cellStyle name="Процентный 11 2 7 2 2 2" xfId="43755"/>
    <cellStyle name="Процентный 11 2 7 2 3" xfId="43756"/>
    <cellStyle name="Процентный 11 2 7 3" xfId="43757"/>
    <cellStyle name="Процентный 11 2 7 3 2" xfId="43758"/>
    <cellStyle name="Процентный 11 2 7 3 2 2" xfId="43759"/>
    <cellStyle name="Процентный 11 2 7 3 3" xfId="43760"/>
    <cellStyle name="Процентный 11 2 7 4" xfId="43761"/>
    <cellStyle name="Процентный 11 2 7 4 2" xfId="43762"/>
    <cellStyle name="Процентный 11 2 7 5" xfId="43763"/>
    <cellStyle name="Процентный 11 2 8" xfId="43764"/>
    <cellStyle name="Процентный 11 2 8 2" xfId="43765"/>
    <cellStyle name="Процентный 11 2 8 2 2" xfId="43766"/>
    <cellStyle name="Процентный 11 2 8 2 2 2" xfId="43767"/>
    <cellStyle name="Процентный 11 2 8 2 3" xfId="43768"/>
    <cellStyle name="Процентный 11 2 8 3" xfId="43769"/>
    <cellStyle name="Процентный 11 2 8 3 2" xfId="43770"/>
    <cellStyle name="Процентный 11 2 8 3 2 2" xfId="43771"/>
    <cellStyle name="Процентный 11 2 8 3 3" xfId="43772"/>
    <cellStyle name="Процентный 11 2 8 4" xfId="43773"/>
    <cellStyle name="Процентный 11 2 8 4 2" xfId="43774"/>
    <cellStyle name="Процентный 11 2 8 5" xfId="43775"/>
    <cellStyle name="Процентный 11 2 9" xfId="43776"/>
    <cellStyle name="Процентный 11 2 9 2" xfId="43777"/>
    <cellStyle name="Процентный 11 2 9 2 2" xfId="43778"/>
    <cellStyle name="Процентный 11 2 9 3" xfId="43779"/>
    <cellStyle name="Процентный 11 3" xfId="43780"/>
    <cellStyle name="Процентный 11 3 10" xfId="43781"/>
    <cellStyle name="Процентный 11 3 2" xfId="43782"/>
    <cellStyle name="Процентный 11 3 2 2" xfId="43783"/>
    <cellStyle name="Процентный 11 3 2 2 2" xfId="43784"/>
    <cellStyle name="Процентный 11 3 2 2 2 2" xfId="43785"/>
    <cellStyle name="Процентный 11 3 2 2 2 2 2" xfId="43786"/>
    <cellStyle name="Процентный 11 3 2 2 2 3" xfId="43787"/>
    <cellStyle name="Процентный 11 3 2 2 3" xfId="43788"/>
    <cellStyle name="Процентный 11 3 2 2 3 2" xfId="43789"/>
    <cellStyle name="Процентный 11 3 2 2 3 2 2" xfId="43790"/>
    <cellStyle name="Процентный 11 3 2 2 3 3" xfId="43791"/>
    <cellStyle name="Процентный 11 3 2 2 4" xfId="43792"/>
    <cellStyle name="Процентный 11 3 2 2 4 2" xfId="43793"/>
    <cellStyle name="Процентный 11 3 2 2 5" xfId="43794"/>
    <cellStyle name="Процентный 11 3 2 2 5 2" xfId="43795"/>
    <cellStyle name="Процентный 11 3 2 2 6" xfId="43796"/>
    <cellStyle name="Процентный 11 3 2 3" xfId="43797"/>
    <cellStyle name="Процентный 11 3 2 3 2" xfId="43798"/>
    <cellStyle name="Процентный 11 3 2 3 2 2" xfId="43799"/>
    <cellStyle name="Процентный 11 3 2 3 2 2 2" xfId="43800"/>
    <cellStyle name="Процентный 11 3 2 3 2 3" xfId="43801"/>
    <cellStyle name="Процентный 11 3 2 3 3" xfId="43802"/>
    <cellStyle name="Процентный 11 3 2 3 3 2" xfId="43803"/>
    <cellStyle name="Процентный 11 3 2 3 3 2 2" xfId="43804"/>
    <cellStyle name="Процентный 11 3 2 3 3 3" xfId="43805"/>
    <cellStyle name="Процентный 11 3 2 3 4" xfId="43806"/>
    <cellStyle name="Процентный 11 3 2 3 4 2" xfId="43807"/>
    <cellStyle name="Процентный 11 3 2 3 5" xfId="43808"/>
    <cellStyle name="Процентный 11 3 2 3 5 2" xfId="43809"/>
    <cellStyle name="Процентный 11 3 2 3 6" xfId="43810"/>
    <cellStyle name="Процентный 11 3 2 4" xfId="43811"/>
    <cellStyle name="Процентный 11 3 2 4 2" xfId="43812"/>
    <cellStyle name="Процентный 11 3 2 4 2 2" xfId="43813"/>
    <cellStyle name="Процентный 11 3 2 4 3" xfId="43814"/>
    <cellStyle name="Процентный 11 3 2 5" xfId="43815"/>
    <cellStyle name="Процентный 11 3 2 5 2" xfId="43816"/>
    <cellStyle name="Процентный 11 3 2 6" xfId="43817"/>
    <cellStyle name="Процентный 11 3 3" xfId="43818"/>
    <cellStyle name="Процентный 11 3 3 2" xfId="43819"/>
    <cellStyle name="Процентный 11 3 3 2 2" xfId="43820"/>
    <cellStyle name="Процентный 11 3 3 2 2 2" xfId="43821"/>
    <cellStyle name="Процентный 11 3 3 2 2 2 2" xfId="43822"/>
    <cellStyle name="Процентный 11 3 3 2 2 3" xfId="43823"/>
    <cellStyle name="Процентный 11 3 3 2 3" xfId="43824"/>
    <cellStyle name="Процентный 11 3 3 2 3 2" xfId="43825"/>
    <cellStyle name="Процентный 11 3 3 2 3 2 2" xfId="43826"/>
    <cellStyle name="Процентный 11 3 3 2 3 3" xfId="43827"/>
    <cellStyle name="Процентный 11 3 3 2 4" xfId="43828"/>
    <cellStyle name="Процентный 11 3 3 2 4 2" xfId="43829"/>
    <cellStyle name="Процентный 11 3 3 2 5" xfId="43830"/>
    <cellStyle name="Процентный 11 3 3 3" xfId="43831"/>
    <cellStyle name="Процентный 11 3 3 3 2" xfId="43832"/>
    <cellStyle name="Процентный 11 3 3 3 2 2" xfId="43833"/>
    <cellStyle name="Процентный 11 3 3 3 2 2 2" xfId="43834"/>
    <cellStyle name="Процентный 11 3 3 3 2 3" xfId="43835"/>
    <cellStyle name="Процентный 11 3 3 3 3" xfId="43836"/>
    <cellStyle name="Процентный 11 3 3 3 3 2" xfId="43837"/>
    <cellStyle name="Процентный 11 3 3 3 3 2 2" xfId="43838"/>
    <cellStyle name="Процентный 11 3 3 3 3 3" xfId="43839"/>
    <cellStyle name="Процентный 11 3 3 3 4" xfId="43840"/>
    <cellStyle name="Процентный 11 3 3 3 4 2" xfId="43841"/>
    <cellStyle name="Процентный 11 3 3 3 5" xfId="43842"/>
    <cellStyle name="Процентный 11 3 3 4" xfId="43843"/>
    <cellStyle name="Процентный 11 3 3 4 2" xfId="43844"/>
    <cellStyle name="Процентный 11 3 3 4 2 2" xfId="43845"/>
    <cellStyle name="Процентный 11 3 3 4 2 2 2" xfId="43846"/>
    <cellStyle name="Процентный 11 3 3 4 2 3" xfId="43847"/>
    <cellStyle name="Процентный 11 3 3 4 3" xfId="43848"/>
    <cellStyle name="Процентный 11 3 3 4 3 2" xfId="43849"/>
    <cellStyle name="Процентный 11 3 3 4 4" xfId="43850"/>
    <cellStyle name="Процентный 11 3 3 5" xfId="43851"/>
    <cellStyle name="Процентный 11 3 3 5 2" xfId="43852"/>
    <cellStyle name="Процентный 11 3 3 5 2 2" xfId="43853"/>
    <cellStyle name="Процентный 11 3 3 5 3" xfId="43854"/>
    <cellStyle name="Процентный 11 3 3 6" xfId="43855"/>
    <cellStyle name="Процентный 11 3 3 6 2" xfId="43856"/>
    <cellStyle name="Процентный 11 3 3 6 2 2" xfId="43857"/>
    <cellStyle name="Процентный 11 3 3 6 3" xfId="43858"/>
    <cellStyle name="Процентный 11 3 3 7" xfId="43859"/>
    <cellStyle name="Процентный 11 3 3 7 2" xfId="43860"/>
    <cellStyle name="Процентный 11 3 3 8" xfId="43861"/>
    <cellStyle name="Процентный 11 3 3 8 2" xfId="43862"/>
    <cellStyle name="Процентный 11 3 3 9" xfId="43863"/>
    <cellStyle name="Процентный 11 3 4" xfId="43864"/>
    <cellStyle name="Процентный 11 3 4 2" xfId="43865"/>
    <cellStyle name="Процентный 11 3 4 2 2" xfId="43866"/>
    <cellStyle name="Процентный 11 3 4 2 2 2" xfId="43867"/>
    <cellStyle name="Процентный 11 3 4 2 3" xfId="43868"/>
    <cellStyle name="Процентный 11 3 4 3" xfId="43869"/>
    <cellStyle name="Процентный 11 3 4 3 2" xfId="43870"/>
    <cellStyle name="Процентный 11 3 4 3 2 2" xfId="43871"/>
    <cellStyle name="Процентный 11 3 4 3 3" xfId="43872"/>
    <cellStyle name="Процентный 11 3 4 4" xfId="43873"/>
    <cellStyle name="Процентный 11 3 4 4 2" xfId="43874"/>
    <cellStyle name="Процентный 11 3 4 5" xfId="43875"/>
    <cellStyle name="Процентный 11 3 4 5 2" xfId="43876"/>
    <cellStyle name="Процентный 11 3 4 6" xfId="43877"/>
    <cellStyle name="Процентный 11 3 5" xfId="43878"/>
    <cellStyle name="Процентный 11 3 5 2" xfId="43879"/>
    <cellStyle name="Процентный 11 3 5 2 2" xfId="43880"/>
    <cellStyle name="Процентный 11 3 5 2 2 2" xfId="43881"/>
    <cellStyle name="Процентный 11 3 5 2 3" xfId="43882"/>
    <cellStyle name="Процентный 11 3 5 3" xfId="43883"/>
    <cellStyle name="Процентный 11 3 5 3 2" xfId="43884"/>
    <cellStyle name="Процентный 11 3 5 3 2 2" xfId="43885"/>
    <cellStyle name="Процентный 11 3 5 3 3" xfId="43886"/>
    <cellStyle name="Процентный 11 3 5 4" xfId="43887"/>
    <cellStyle name="Процентный 11 3 5 4 2" xfId="43888"/>
    <cellStyle name="Процентный 11 3 5 5" xfId="43889"/>
    <cellStyle name="Процентный 11 3 5 5 2" xfId="43890"/>
    <cellStyle name="Процентный 11 3 5 6" xfId="43891"/>
    <cellStyle name="Процентный 11 3 6" xfId="43892"/>
    <cellStyle name="Процентный 11 3 6 2" xfId="43893"/>
    <cellStyle name="Процентный 11 3 6 2 2" xfId="43894"/>
    <cellStyle name="Процентный 11 3 6 3" xfId="43895"/>
    <cellStyle name="Процентный 11 3 7" xfId="43896"/>
    <cellStyle name="Процентный 11 3 7 2" xfId="43897"/>
    <cellStyle name="Процентный 11 3 7 2 2" xfId="43898"/>
    <cellStyle name="Процентный 11 3 7 3" xfId="43899"/>
    <cellStyle name="Процентный 11 3 8" xfId="43900"/>
    <cellStyle name="Процентный 11 3 8 2" xfId="43901"/>
    <cellStyle name="Процентный 11 3 9" xfId="43902"/>
    <cellStyle name="Процентный 11 3 9 2" xfId="43903"/>
    <cellStyle name="Процентный 11 4" xfId="43904"/>
    <cellStyle name="Процентный 11 4 2" xfId="43905"/>
    <cellStyle name="Процентный 11 4 2 2" xfId="43906"/>
    <cellStyle name="Процентный 11 4 2 2 2" xfId="43907"/>
    <cellStyle name="Процентный 11 4 2 2 2 2" xfId="43908"/>
    <cellStyle name="Процентный 11 4 2 2 2 2 2" xfId="43909"/>
    <cellStyle name="Процентный 11 4 2 2 2 3" xfId="43910"/>
    <cellStyle name="Процентный 11 4 2 2 3" xfId="43911"/>
    <cellStyle name="Процентный 11 4 2 2 3 2" xfId="43912"/>
    <cellStyle name="Процентный 11 4 2 2 3 2 2" xfId="43913"/>
    <cellStyle name="Процентный 11 4 2 2 3 3" xfId="43914"/>
    <cellStyle name="Процентный 11 4 2 2 4" xfId="43915"/>
    <cellStyle name="Процентный 11 4 2 2 4 2" xfId="43916"/>
    <cellStyle name="Процентный 11 4 2 2 5" xfId="43917"/>
    <cellStyle name="Процентный 11 4 2 3" xfId="43918"/>
    <cellStyle name="Процентный 11 4 2 3 2" xfId="43919"/>
    <cellStyle name="Процентный 11 4 2 3 2 2" xfId="43920"/>
    <cellStyle name="Процентный 11 4 2 3 2 2 2" xfId="43921"/>
    <cellStyle name="Процентный 11 4 2 3 2 3" xfId="43922"/>
    <cellStyle name="Процентный 11 4 2 3 3" xfId="43923"/>
    <cellStyle name="Процентный 11 4 2 3 3 2" xfId="43924"/>
    <cellStyle name="Процентный 11 4 2 3 3 2 2" xfId="43925"/>
    <cellStyle name="Процентный 11 4 2 3 3 3" xfId="43926"/>
    <cellStyle name="Процентный 11 4 2 3 4" xfId="43927"/>
    <cellStyle name="Процентный 11 4 2 3 4 2" xfId="43928"/>
    <cellStyle name="Процентный 11 4 2 3 5" xfId="43929"/>
    <cellStyle name="Процентный 11 4 2 4" xfId="43930"/>
    <cellStyle name="Процентный 11 4 2 4 2" xfId="43931"/>
    <cellStyle name="Процентный 11 4 2 4 2 2" xfId="43932"/>
    <cellStyle name="Процентный 11 4 2 4 3" xfId="43933"/>
    <cellStyle name="Процентный 11 4 2 5" xfId="43934"/>
    <cellStyle name="Процентный 11 4 2 5 2" xfId="43935"/>
    <cellStyle name="Процентный 11 4 2 5 2 2" xfId="43936"/>
    <cellStyle name="Процентный 11 4 2 5 3" xfId="43937"/>
    <cellStyle name="Процентный 11 4 2 6" xfId="43938"/>
    <cellStyle name="Процентный 11 4 2 6 2" xfId="43939"/>
    <cellStyle name="Процентный 11 4 2 7" xfId="43940"/>
    <cellStyle name="Процентный 11 4 2 7 2" xfId="43941"/>
    <cellStyle name="Процентный 11 4 2 8" xfId="43942"/>
    <cellStyle name="Процентный 11 4 3" xfId="43943"/>
    <cellStyle name="Процентный 11 4 3 2" xfId="43944"/>
    <cellStyle name="Процентный 11 4 3 2 2" xfId="43945"/>
    <cellStyle name="Процентный 11 4 3 2 2 2" xfId="43946"/>
    <cellStyle name="Процентный 11 4 3 2 2 2 2" xfId="43947"/>
    <cellStyle name="Процентный 11 4 3 2 2 3" xfId="43948"/>
    <cellStyle name="Процентный 11 4 3 2 3" xfId="43949"/>
    <cellStyle name="Процентный 11 4 3 2 3 2" xfId="43950"/>
    <cellStyle name="Процентный 11 4 3 2 3 2 2" xfId="43951"/>
    <cellStyle name="Процентный 11 4 3 2 3 3" xfId="43952"/>
    <cellStyle name="Процентный 11 4 3 2 4" xfId="43953"/>
    <cellStyle name="Процентный 11 4 3 2 4 2" xfId="43954"/>
    <cellStyle name="Процентный 11 4 3 2 5" xfId="43955"/>
    <cellStyle name="Процентный 11 4 3 3" xfId="43956"/>
    <cellStyle name="Процентный 11 4 3 3 2" xfId="43957"/>
    <cellStyle name="Процентный 11 4 3 3 2 2" xfId="43958"/>
    <cellStyle name="Процентный 11 4 3 3 2 2 2" xfId="43959"/>
    <cellStyle name="Процентный 11 4 3 3 2 3" xfId="43960"/>
    <cellStyle name="Процентный 11 4 3 3 3" xfId="43961"/>
    <cellStyle name="Процентный 11 4 3 3 3 2" xfId="43962"/>
    <cellStyle name="Процентный 11 4 3 3 3 2 2" xfId="43963"/>
    <cellStyle name="Процентный 11 4 3 3 3 3" xfId="43964"/>
    <cellStyle name="Процентный 11 4 3 3 4" xfId="43965"/>
    <cellStyle name="Процентный 11 4 3 3 4 2" xfId="43966"/>
    <cellStyle name="Процентный 11 4 3 3 5" xfId="43967"/>
    <cellStyle name="Процентный 11 4 3 4" xfId="43968"/>
    <cellStyle name="Процентный 11 4 3 4 2" xfId="43969"/>
    <cellStyle name="Процентный 11 4 3 4 2 2" xfId="43970"/>
    <cellStyle name="Процентный 11 4 3 4 3" xfId="43971"/>
    <cellStyle name="Процентный 11 4 3 5" xfId="43972"/>
    <cellStyle name="Процентный 11 4 3 5 2" xfId="43973"/>
    <cellStyle name="Процентный 11 4 3 5 2 2" xfId="43974"/>
    <cellStyle name="Процентный 11 4 3 5 3" xfId="43975"/>
    <cellStyle name="Процентный 11 4 3 6" xfId="43976"/>
    <cellStyle name="Процентный 11 4 3 6 2" xfId="43977"/>
    <cellStyle name="Процентный 11 4 3 7" xfId="43978"/>
    <cellStyle name="Процентный 11 4 3 7 2" xfId="43979"/>
    <cellStyle name="Процентный 11 4 3 8" xfId="43980"/>
    <cellStyle name="Процентный 11 4 4" xfId="43981"/>
    <cellStyle name="Процентный 11 4 4 2" xfId="43982"/>
    <cellStyle name="Процентный 11 4 4 2 2" xfId="43983"/>
    <cellStyle name="Процентный 11 4 4 2 2 2" xfId="43984"/>
    <cellStyle name="Процентный 11 4 4 2 3" xfId="43985"/>
    <cellStyle name="Процентный 11 4 4 3" xfId="43986"/>
    <cellStyle name="Процентный 11 4 4 3 2" xfId="43987"/>
    <cellStyle name="Процентный 11 4 4 3 2 2" xfId="43988"/>
    <cellStyle name="Процентный 11 4 4 3 3" xfId="43989"/>
    <cellStyle name="Процентный 11 4 4 4" xfId="43990"/>
    <cellStyle name="Процентный 11 4 4 4 2" xfId="43991"/>
    <cellStyle name="Процентный 11 4 4 5" xfId="43992"/>
    <cellStyle name="Процентный 11 4 4 5 2" xfId="43993"/>
    <cellStyle name="Процентный 11 4 4 6" xfId="43994"/>
    <cellStyle name="Процентный 11 4 5" xfId="43995"/>
    <cellStyle name="Процентный 11 4 5 2" xfId="43996"/>
    <cellStyle name="Процентный 11 4 5 2 2" xfId="43997"/>
    <cellStyle name="Процентный 11 4 5 2 2 2" xfId="43998"/>
    <cellStyle name="Процентный 11 4 5 2 3" xfId="43999"/>
    <cellStyle name="Процентный 11 4 5 3" xfId="44000"/>
    <cellStyle name="Процентный 11 4 5 3 2" xfId="44001"/>
    <cellStyle name="Процентный 11 4 5 3 2 2" xfId="44002"/>
    <cellStyle name="Процентный 11 4 5 3 3" xfId="44003"/>
    <cellStyle name="Процентный 11 4 5 4" xfId="44004"/>
    <cellStyle name="Процентный 11 4 5 4 2" xfId="44005"/>
    <cellStyle name="Процентный 11 4 5 5" xfId="44006"/>
    <cellStyle name="Процентный 11 4 6" xfId="44007"/>
    <cellStyle name="Процентный 11 4 6 2" xfId="44008"/>
    <cellStyle name="Процентный 11 4 7" xfId="44009"/>
    <cellStyle name="Процентный 11 4 7 2" xfId="44010"/>
    <cellStyle name="Процентный 11 4 8" xfId="44011"/>
    <cellStyle name="Процентный 11 5" xfId="44012"/>
    <cellStyle name="Процентный 11 5 2" xfId="44013"/>
    <cellStyle name="Процентный 11 5 2 2" xfId="44014"/>
    <cellStyle name="Процентный 11 5 2 2 2" xfId="44015"/>
    <cellStyle name="Процентный 11 5 2 2 2 2" xfId="44016"/>
    <cellStyle name="Процентный 11 5 2 2 2 2 2" xfId="44017"/>
    <cellStyle name="Процентный 11 5 2 2 2 2 2 2" xfId="44018"/>
    <cellStyle name="Процентный 11 5 2 2 2 2 3" xfId="44019"/>
    <cellStyle name="Процентный 11 5 2 2 2 3" xfId="44020"/>
    <cellStyle name="Процентный 11 5 2 2 2 3 2" xfId="44021"/>
    <cellStyle name="Процентный 11 5 2 2 2 3 2 2" xfId="44022"/>
    <cellStyle name="Процентный 11 5 2 2 2 3 3" xfId="44023"/>
    <cellStyle name="Процентный 11 5 2 2 2 4" xfId="44024"/>
    <cellStyle name="Процентный 11 5 2 2 2 4 2" xfId="44025"/>
    <cellStyle name="Процентный 11 5 2 2 2 5" xfId="44026"/>
    <cellStyle name="Процентный 11 5 2 2 3" xfId="44027"/>
    <cellStyle name="Процентный 11 5 2 2 3 2" xfId="44028"/>
    <cellStyle name="Процентный 11 5 2 2 3 2 2" xfId="44029"/>
    <cellStyle name="Процентный 11 5 2 2 3 2 2 2" xfId="44030"/>
    <cellStyle name="Процентный 11 5 2 2 3 2 3" xfId="44031"/>
    <cellStyle name="Процентный 11 5 2 2 3 3" xfId="44032"/>
    <cellStyle name="Процентный 11 5 2 2 3 3 2" xfId="44033"/>
    <cellStyle name="Процентный 11 5 2 2 3 3 2 2" xfId="44034"/>
    <cellStyle name="Процентный 11 5 2 2 3 3 3" xfId="44035"/>
    <cellStyle name="Процентный 11 5 2 2 3 4" xfId="44036"/>
    <cellStyle name="Процентный 11 5 2 2 3 4 2" xfId="44037"/>
    <cellStyle name="Процентный 11 5 2 2 3 5" xfId="44038"/>
    <cellStyle name="Процентный 11 5 2 2 4" xfId="44039"/>
    <cellStyle name="Процентный 11 5 2 2 4 2" xfId="44040"/>
    <cellStyle name="Процентный 11 5 2 2 4 2 2" xfId="44041"/>
    <cellStyle name="Процентный 11 5 2 2 4 3" xfId="44042"/>
    <cellStyle name="Процентный 11 5 2 2 5" xfId="44043"/>
    <cellStyle name="Процентный 11 5 2 2 5 2" xfId="44044"/>
    <cellStyle name="Процентный 11 5 2 2 5 2 2" xfId="44045"/>
    <cellStyle name="Процентный 11 5 2 2 5 3" xfId="44046"/>
    <cellStyle name="Процентный 11 5 2 2 6" xfId="44047"/>
    <cellStyle name="Процентный 11 5 2 2 6 2" xfId="44048"/>
    <cellStyle name="Процентный 11 5 2 2 7" xfId="44049"/>
    <cellStyle name="Процентный 11 5 2 3" xfId="44050"/>
    <cellStyle name="Процентный 11 5 2 3 2" xfId="44051"/>
    <cellStyle name="Процентный 11 5 2 3 2 2" xfId="44052"/>
    <cellStyle name="Процентный 11 5 2 3 2 2 2" xfId="44053"/>
    <cellStyle name="Процентный 11 5 2 3 2 3" xfId="44054"/>
    <cellStyle name="Процентный 11 5 2 3 3" xfId="44055"/>
    <cellStyle name="Процентный 11 5 2 3 3 2" xfId="44056"/>
    <cellStyle name="Процентный 11 5 2 3 3 2 2" xfId="44057"/>
    <cellStyle name="Процентный 11 5 2 3 3 3" xfId="44058"/>
    <cellStyle name="Процентный 11 5 2 3 4" xfId="44059"/>
    <cellStyle name="Процентный 11 5 2 3 4 2" xfId="44060"/>
    <cellStyle name="Процентный 11 5 2 3 5" xfId="44061"/>
    <cellStyle name="Процентный 11 5 2 4" xfId="44062"/>
    <cellStyle name="Процентный 11 5 2 4 2" xfId="44063"/>
    <cellStyle name="Процентный 11 5 2 4 2 2" xfId="44064"/>
    <cellStyle name="Процентный 11 5 2 4 2 2 2" xfId="44065"/>
    <cellStyle name="Процентный 11 5 2 4 2 3" xfId="44066"/>
    <cellStyle name="Процентный 11 5 2 4 3" xfId="44067"/>
    <cellStyle name="Процентный 11 5 2 4 3 2" xfId="44068"/>
    <cellStyle name="Процентный 11 5 2 4 3 2 2" xfId="44069"/>
    <cellStyle name="Процентный 11 5 2 4 3 3" xfId="44070"/>
    <cellStyle name="Процентный 11 5 2 4 4" xfId="44071"/>
    <cellStyle name="Процентный 11 5 2 4 4 2" xfId="44072"/>
    <cellStyle name="Процентный 11 5 2 4 5" xfId="44073"/>
    <cellStyle name="Процентный 11 5 2 5" xfId="44074"/>
    <cellStyle name="Процентный 11 5 2 5 2" xfId="44075"/>
    <cellStyle name="Процентный 11 5 2 5 2 2" xfId="44076"/>
    <cellStyle name="Процентный 11 5 2 5 3" xfId="44077"/>
    <cellStyle name="Процентный 11 5 2 6" xfId="44078"/>
    <cellStyle name="Процентный 11 5 2 6 2" xfId="44079"/>
    <cellStyle name="Процентный 11 5 2 6 2 2" xfId="44080"/>
    <cellStyle name="Процентный 11 5 2 6 3" xfId="44081"/>
    <cellStyle name="Процентный 11 5 2 7" xfId="44082"/>
    <cellStyle name="Процентный 11 5 2 7 2" xfId="44083"/>
    <cellStyle name="Процентный 11 5 2 8" xfId="44084"/>
    <cellStyle name="Процентный 11 5 2 8 2" xfId="44085"/>
    <cellStyle name="Процентный 11 5 2 9" xfId="44086"/>
    <cellStyle name="Процентный 11 5 3" xfId="44087"/>
    <cellStyle name="Процентный 11 5 3 2" xfId="44088"/>
    <cellStyle name="Процентный 11 5 3 2 2" xfId="44089"/>
    <cellStyle name="Процентный 11 5 3 2 2 2" xfId="44090"/>
    <cellStyle name="Процентный 11 5 3 2 3" xfId="44091"/>
    <cellStyle name="Процентный 11 5 3 3" xfId="44092"/>
    <cellStyle name="Процентный 11 5 3 3 2" xfId="44093"/>
    <cellStyle name="Процентный 11 5 3 3 2 2" xfId="44094"/>
    <cellStyle name="Процентный 11 5 3 3 3" xfId="44095"/>
    <cellStyle name="Процентный 11 5 3 4" xfId="44096"/>
    <cellStyle name="Процентный 11 5 3 4 2" xfId="44097"/>
    <cellStyle name="Процентный 11 5 3 5" xfId="44098"/>
    <cellStyle name="Процентный 11 5 3 5 2" xfId="44099"/>
    <cellStyle name="Процентный 11 5 3 6" xfId="44100"/>
    <cellStyle name="Процентный 11 5 4" xfId="44101"/>
    <cellStyle name="Процентный 11 5 4 2" xfId="44102"/>
    <cellStyle name="Процентный 11 5 4 2 2" xfId="44103"/>
    <cellStyle name="Процентный 11 5 4 2 2 2" xfId="44104"/>
    <cellStyle name="Процентный 11 5 4 2 3" xfId="44105"/>
    <cellStyle name="Процентный 11 5 4 3" xfId="44106"/>
    <cellStyle name="Процентный 11 5 4 3 2" xfId="44107"/>
    <cellStyle name="Процентный 11 5 4 3 2 2" xfId="44108"/>
    <cellStyle name="Процентный 11 5 4 3 3" xfId="44109"/>
    <cellStyle name="Процентный 11 5 4 4" xfId="44110"/>
    <cellStyle name="Процентный 11 5 4 4 2" xfId="44111"/>
    <cellStyle name="Процентный 11 5 4 5" xfId="44112"/>
    <cellStyle name="Процентный 11 5 5" xfId="44113"/>
    <cellStyle name="Процентный 11 5 5 2" xfId="44114"/>
    <cellStyle name="Процентный 11 5 6" xfId="44115"/>
    <cellStyle name="Процентный 11 5 6 2" xfId="44116"/>
    <cellStyle name="Процентный 11 5 7" xfId="44117"/>
    <cellStyle name="Процентный 11 6" xfId="44118"/>
    <cellStyle name="Процентный 11 6 2" xfId="44119"/>
    <cellStyle name="Процентный 11 6 2 2" xfId="44120"/>
    <cellStyle name="Процентный 11 6 2 2 2" xfId="44121"/>
    <cellStyle name="Процентный 11 6 2 2 2 2" xfId="44122"/>
    <cellStyle name="Процентный 11 6 2 2 3" xfId="44123"/>
    <cellStyle name="Процентный 11 6 2 3" xfId="44124"/>
    <cellStyle name="Процентный 11 6 2 3 2" xfId="44125"/>
    <cellStyle name="Процентный 11 6 2 3 2 2" xfId="44126"/>
    <cellStyle name="Процентный 11 6 2 3 3" xfId="44127"/>
    <cellStyle name="Процентный 11 6 2 4" xfId="44128"/>
    <cellStyle name="Процентный 11 6 2 4 2" xfId="44129"/>
    <cellStyle name="Процентный 11 6 2 5" xfId="44130"/>
    <cellStyle name="Процентный 11 6 3" xfId="44131"/>
    <cellStyle name="Процентный 11 6 3 2" xfId="44132"/>
    <cellStyle name="Процентный 11 6 3 2 2" xfId="44133"/>
    <cellStyle name="Процентный 11 6 3 2 2 2" xfId="44134"/>
    <cellStyle name="Процентный 11 6 3 2 3" xfId="44135"/>
    <cellStyle name="Процентный 11 6 3 3" xfId="44136"/>
    <cellStyle name="Процентный 11 6 3 3 2" xfId="44137"/>
    <cellStyle name="Процентный 11 6 3 3 2 2" xfId="44138"/>
    <cellStyle name="Процентный 11 6 3 3 3" xfId="44139"/>
    <cellStyle name="Процентный 11 6 3 4" xfId="44140"/>
    <cellStyle name="Процентный 11 6 3 4 2" xfId="44141"/>
    <cellStyle name="Процентный 11 6 3 5" xfId="44142"/>
    <cellStyle name="Процентный 11 6 4" xfId="44143"/>
    <cellStyle name="Процентный 11 6 4 2" xfId="44144"/>
    <cellStyle name="Процентный 11 6 5" xfId="44145"/>
    <cellStyle name="Процентный 11 6 5 2" xfId="44146"/>
    <cellStyle name="Процентный 11 6 6" xfId="44147"/>
    <cellStyle name="Процентный 11 7" xfId="44148"/>
    <cellStyle name="Процентный 11 7 2" xfId="44149"/>
    <cellStyle name="Процентный 11 7 2 2" xfId="44150"/>
    <cellStyle name="Процентный 11 7 2 2 2" xfId="44151"/>
    <cellStyle name="Процентный 11 7 2 2 2 2" xfId="44152"/>
    <cellStyle name="Процентный 11 7 2 2 3" xfId="44153"/>
    <cellStyle name="Процентный 11 7 2 3" xfId="44154"/>
    <cellStyle name="Процентный 11 7 2 3 2" xfId="44155"/>
    <cellStyle name="Процентный 11 7 2 3 2 2" xfId="44156"/>
    <cellStyle name="Процентный 11 7 2 3 3" xfId="44157"/>
    <cellStyle name="Процентный 11 7 2 4" xfId="44158"/>
    <cellStyle name="Процентный 11 7 2 4 2" xfId="44159"/>
    <cellStyle name="Процентный 11 7 2 5" xfId="44160"/>
    <cellStyle name="Процентный 11 7 3" xfId="44161"/>
    <cellStyle name="Процентный 11 7 3 2" xfId="44162"/>
    <cellStyle name="Процентный 11 7 3 2 2" xfId="44163"/>
    <cellStyle name="Процентный 11 7 3 2 2 2" xfId="44164"/>
    <cellStyle name="Процентный 11 7 3 2 3" xfId="44165"/>
    <cellStyle name="Процентный 11 7 3 3" xfId="44166"/>
    <cellStyle name="Процентный 11 7 3 3 2" xfId="44167"/>
    <cellStyle name="Процентный 11 7 3 3 2 2" xfId="44168"/>
    <cellStyle name="Процентный 11 7 3 3 3" xfId="44169"/>
    <cellStyle name="Процентный 11 7 3 4" xfId="44170"/>
    <cellStyle name="Процентный 11 7 3 4 2" xfId="44171"/>
    <cellStyle name="Процентный 11 7 3 5" xfId="44172"/>
    <cellStyle name="Процентный 11 7 4" xfId="44173"/>
    <cellStyle name="Процентный 11 7 4 2" xfId="44174"/>
    <cellStyle name="Процентный 11 7 4 2 2" xfId="44175"/>
    <cellStyle name="Процентный 11 7 4 3" xfId="44176"/>
    <cellStyle name="Процентный 11 7 5" xfId="44177"/>
    <cellStyle name="Процентный 11 7 5 2" xfId="44178"/>
    <cellStyle name="Процентный 11 7 5 2 2" xfId="44179"/>
    <cellStyle name="Процентный 11 7 5 3" xfId="44180"/>
    <cellStyle name="Процентный 11 7 6" xfId="44181"/>
    <cellStyle name="Процентный 11 7 6 2" xfId="44182"/>
    <cellStyle name="Процентный 11 7 7" xfId="44183"/>
    <cellStyle name="Процентный 11 7 7 2" xfId="44184"/>
    <cellStyle name="Процентный 11 7 8" xfId="44185"/>
    <cellStyle name="Процентный 11 8" xfId="44186"/>
    <cellStyle name="Процентный 11 8 2" xfId="44187"/>
    <cellStyle name="Процентный 11 8 2 2" xfId="44188"/>
    <cellStyle name="Процентный 11 8 2 2 2" xfId="44189"/>
    <cellStyle name="Процентный 11 8 2 2 2 2" xfId="44190"/>
    <cellStyle name="Процентный 11 8 2 2 3" xfId="44191"/>
    <cellStyle name="Процентный 11 8 2 3" xfId="44192"/>
    <cellStyle name="Процентный 11 8 2 3 2" xfId="44193"/>
    <cellStyle name="Процентный 11 8 2 3 2 2" xfId="44194"/>
    <cellStyle name="Процентный 11 8 2 3 3" xfId="44195"/>
    <cellStyle name="Процентный 11 8 2 4" xfId="44196"/>
    <cellStyle name="Процентный 11 8 2 4 2" xfId="44197"/>
    <cellStyle name="Процентный 11 8 2 5" xfId="44198"/>
    <cellStyle name="Процентный 11 8 3" xfId="44199"/>
    <cellStyle name="Процентный 11 8 3 2" xfId="44200"/>
    <cellStyle name="Процентный 11 8 3 2 2" xfId="44201"/>
    <cellStyle name="Процентный 11 8 3 2 2 2" xfId="44202"/>
    <cellStyle name="Процентный 11 8 3 2 3" xfId="44203"/>
    <cellStyle name="Процентный 11 8 3 3" xfId="44204"/>
    <cellStyle name="Процентный 11 8 3 3 2" xfId="44205"/>
    <cellStyle name="Процентный 11 8 3 3 2 2" xfId="44206"/>
    <cellStyle name="Процентный 11 8 3 3 3" xfId="44207"/>
    <cellStyle name="Процентный 11 8 3 4" xfId="44208"/>
    <cellStyle name="Процентный 11 8 3 4 2" xfId="44209"/>
    <cellStyle name="Процентный 11 8 3 5" xfId="44210"/>
    <cellStyle name="Процентный 11 8 4" xfId="44211"/>
    <cellStyle name="Процентный 11 8 4 2" xfId="44212"/>
    <cellStyle name="Процентный 11 8 4 2 2" xfId="44213"/>
    <cellStyle name="Процентный 11 8 4 3" xfId="44214"/>
    <cellStyle name="Процентный 11 8 5" xfId="44215"/>
    <cellStyle name="Процентный 11 8 5 2" xfId="44216"/>
    <cellStyle name="Процентный 11 8 5 2 2" xfId="44217"/>
    <cellStyle name="Процентный 11 8 5 3" xfId="44218"/>
    <cellStyle name="Процентный 11 8 6" xfId="44219"/>
    <cellStyle name="Процентный 11 8 6 2" xfId="44220"/>
    <cellStyle name="Процентный 11 8 7" xfId="44221"/>
    <cellStyle name="Процентный 11 8 7 2" xfId="44222"/>
    <cellStyle name="Процентный 11 8 8" xfId="44223"/>
    <cellStyle name="Процентный 11 9" xfId="44224"/>
    <cellStyle name="Процентный 11 9 2" xfId="44225"/>
    <cellStyle name="Процентный 11 9 2 2" xfId="44226"/>
    <cellStyle name="Процентный 11 9 2 2 2" xfId="44227"/>
    <cellStyle name="Процентный 11 9 2 2 2 2" xfId="44228"/>
    <cellStyle name="Процентный 11 9 2 2 2 2 2" xfId="44229"/>
    <cellStyle name="Процентный 11 9 2 2 2 3" xfId="44230"/>
    <cellStyle name="Процентный 11 9 2 2 3" xfId="44231"/>
    <cellStyle name="Процентный 11 9 2 2 3 2" xfId="44232"/>
    <cellStyle name="Процентный 11 9 2 2 3 2 2" xfId="44233"/>
    <cellStyle name="Процентный 11 9 2 2 3 3" xfId="44234"/>
    <cellStyle name="Процентный 11 9 2 2 4" xfId="44235"/>
    <cellStyle name="Процентный 11 9 2 2 4 2" xfId="44236"/>
    <cellStyle name="Процентный 11 9 2 2 5" xfId="44237"/>
    <cellStyle name="Процентный 11 9 2 3" xfId="44238"/>
    <cellStyle name="Процентный 11 9 2 3 2" xfId="44239"/>
    <cellStyle name="Процентный 11 9 2 3 2 2" xfId="44240"/>
    <cellStyle name="Процентный 11 9 2 3 2 2 2" xfId="44241"/>
    <cellStyle name="Процентный 11 9 2 3 2 3" xfId="44242"/>
    <cellStyle name="Процентный 11 9 2 3 3" xfId="44243"/>
    <cellStyle name="Процентный 11 9 2 3 3 2" xfId="44244"/>
    <cellStyle name="Процентный 11 9 2 3 3 2 2" xfId="44245"/>
    <cellStyle name="Процентный 11 9 2 3 3 3" xfId="44246"/>
    <cellStyle name="Процентный 11 9 2 3 4" xfId="44247"/>
    <cellStyle name="Процентный 11 9 2 3 4 2" xfId="44248"/>
    <cellStyle name="Процентный 11 9 2 3 5" xfId="44249"/>
    <cellStyle name="Процентный 11 9 2 4" xfId="44250"/>
    <cellStyle name="Процентный 11 9 2 4 2" xfId="44251"/>
    <cellStyle name="Процентный 11 9 2 4 2 2" xfId="44252"/>
    <cellStyle name="Процентный 11 9 2 4 3" xfId="44253"/>
    <cellStyle name="Процентный 11 9 2 5" xfId="44254"/>
    <cellStyle name="Процентный 11 9 2 5 2" xfId="44255"/>
    <cellStyle name="Процентный 11 9 2 5 2 2" xfId="44256"/>
    <cellStyle name="Процентный 11 9 2 5 3" xfId="44257"/>
    <cellStyle name="Процентный 11 9 2 6" xfId="44258"/>
    <cellStyle name="Процентный 11 9 2 6 2" xfId="44259"/>
    <cellStyle name="Процентный 11 9 2 7" xfId="44260"/>
    <cellStyle name="Процентный 11 9 3" xfId="44261"/>
    <cellStyle name="Процентный 11 9 3 2" xfId="44262"/>
    <cellStyle name="Процентный 11 9 3 2 2" xfId="44263"/>
    <cellStyle name="Процентный 11 9 3 2 2 2" xfId="44264"/>
    <cellStyle name="Процентный 11 9 3 2 3" xfId="44265"/>
    <cellStyle name="Процентный 11 9 3 3" xfId="44266"/>
    <cellStyle name="Процентный 11 9 3 3 2" xfId="44267"/>
    <cellStyle name="Процентный 11 9 3 3 2 2" xfId="44268"/>
    <cellStyle name="Процентный 11 9 3 3 3" xfId="44269"/>
    <cellStyle name="Процентный 11 9 3 4" xfId="44270"/>
    <cellStyle name="Процентный 11 9 3 4 2" xfId="44271"/>
    <cellStyle name="Процентный 11 9 3 5" xfId="44272"/>
    <cellStyle name="Процентный 11 9 4" xfId="44273"/>
    <cellStyle name="Процентный 11 9 4 2" xfId="44274"/>
    <cellStyle name="Процентный 11 9 4 2 2" xfId="44275"/>
    <cellStyle name="Процентный 11 9 4 2 2 2" xfId="44276"/>
    <cellStyle name="Процентный 11 9 4 2 3" xfId="44277"/>
    <cellStyle name="Процентный 11 9 4 3" xfId="44278"/>
    <cellStyle name="Процентный 11 9 4 3 2" xfId="44279"/>
    <cellStyle name="Процентный 11 9 4 3 2 2" xfId="44280"/>
    <cellStyle name="Процентный 11 9 4 3 3" xfId="44281"/>
    <cellStyle name="Процентный 11 9 4 4" xfId="44282"/>
    <cellStyle name="Процентный 11 9 4 4 2" xfId="44283"/>
    <cellStyle name="Процентный 11 9 4 5" xfId="44284"/>
    <cellStyle name="Процентный 11 9 5" xfId="44285"/>
    <cellStyle name="Процентный 11 9 5 2" xfId="44286"/>
    <cellStyle name="Процентный 11 9 5 2 2" xfId="44287"/>
    <cellStyle name="Процентный 11 9 5 3" xfId="44288"/>
    <cellStyle name="Процентный 11 9 6" xfId="44289"/>
    <cellStyle name="Процентный 11 9 6 2" xfId="44290"/>
    <cellStyle name="Процентный 11 9 6 2 2" xfId="44291"/>
    <cellStyle name="Процентный 11 9 6 3" xfId="44292"/>
    <cellStyle name="Процентный 11 9 7" xfId="44293"/>
    <cellStyle name="Процентный 11 9 7 2" xfId="44294"/>
    <cellStyle name="Процентный 11 9 8" xfId="44295"/>
    <cellStyle name="Процентный 11 9 8 2" xfId="44296"/>
    <cellStyle name="Процентный 11 9 9" xfId="44297"/>
    <cellStyle name="Процентный 12" xfId="44298"/>
    <cellStyle name="Процентный 12 10" xfId="44299"/>
    <cellStyle name="Процентный 12 10 2" xfId="44300"/>
    <cellStyle name="Процентный 12 10 2 2" xfId="44301"/>
    <cellStyle name="Процентный 12 10 3" xfId="44302"/>
    <cellStyle name="Процентный 12 11" xfId="44303"/>
    <cellStyle name="Процентный 12 11 2" xfId="44304"/>
    <cellStyle name="Процентный 12 12" xfId="44305"/>
    <cellStyle name="Процентный 12 12 2" xfId="44306"/>
    <cellStyle name="Процентный 12 13" xfId="44307"/>
    <cellStyle name="Процентный 12 2" xfId="44308"/>
    <cellStyle name="Процентный 12 2 10" xfId="44309"/>
    <cellStyle name="Процентный 12 2 2" xfId="44310"/>
    <cellStyle name="Процентный 12 2 2 2" xfId="44311"/>
    <cellStyle name="Процентный 12 2 2 2 2" xfId="44312"/>
    <cellStyle name="Процентный 12 2 2 2 2 2" xfId="44313"/>
    <cellStyle name="Процентный 12 2 2 2 2 2 2" xfId="44314"/>
    <cellStyle name="Процентный 12 2 2 2 2 3" xfId="44315"/>
    <cellStyle name="Процентный 12 2 2 2 3" xfId="44316"/>
    <cellStyle name="Процентный 12 2 2 2 3 2" xfId="44317"/>
    <cellStyle name="Процентный 12 2 2 2 3 2 2" xfId="44318"/>
    <cellStyle name="Процентный 12 2 2 2 3 3" xfId="44319"/>
    <cellStyle name="Процентный 12 2 2 2 4" xfId="44320"/>
    <cellStyle name="Процентный 12 2 2 2 4 2" xfId="44321"/>
    <cellStyle name="Процентный 12 2 2 2 5" xfId="44322"/>
    <cellStyle name="Процентный 12 2 2 2 5 2" xfId="44323"/>
    <cellStyle name="Процентный 12 2 2 2 6" xfId="44324"/>
    <cellStyle name="Процентный 12 2 2 3" xfId="44325"/>
    <cellStyle name="Процентный 12 2 2 3 2" xfId="44326"/>
    <cellStyle name="Процентный 12 2 2 3 2 2" xfId="44327"/>
    <cellStyle name="Процентный 12 2 2 3 2 2 2" xfId="44328"/>
    <cellStyle name="Процентный 12 2 2 3 2 3" xfId="44329"/>
    <cellStyle name="Процентный 12 2 2 3 3" xfId="44330"/>
    <cellStyle name="Процентный 12 2 2 3 3 2" xfId="44331"/>
    <cellStyle name="Процентный 12 2 2 3 3 2 2" xfId="44332"/>
    <cellStyle name="Процентный 12 2 2 3 3 3" xfId="44333"/>
    <cellStyle name="Процентный 12 2 2 3 4" xfId="44334"/>
    <cellStyle name="Процентный 12 2 2 3 4 2" xfId="44335"/>
    <cellStyle name="Процентный 12 2 2 3 5" xfId="44336"/>
    <cellStyle name="Процентный 12 2 2 3 5 2" xfId="44337"/>
    <cellStyle name="Процентный 12 2 2 3 6" xfId="44338"/>
    <cellStyle name="Процентный 12 2 2 4" xfId="44339"/>
    <cellStyle name="Процентный 12 2 2 4 2" xfId="44340"/>
    <cellStyle name="Процентный 12 2 2 4 2 2" xfId="44341"/>
    <cellStyle name="Процентный 12 2 2 4 3" xfId="44342"/>
    <cellStyle name="Процентный 12 2 2 4 3 2" xfId="44343"/>
    <cellStyle name="Процентный 12 2 2 4 4" xfId="44344"/>
    <cellStyle name="Процентный 12 2 2 5" xfId="44345"/>
    <cellStyle name="Процентный 12 2 2 5 2" xfId="44346"/>
    <cellStyle name="Процентный 12 2 2 5 2 2" xfId="44347"/>
    <cellStyle name="Процентный 12 2 2 5 3" xfId="44348"/>
    <cellStyle name="Процентный 12 2 2 6" xfId="44349"/>
    <cellStyle name="Процентный 12 2 2 6 2" xfId="44350"/>
    <cellStyle name="Процентный 12 2 2 7" xfId="44351"/>
    <cellStyle name="Процентный 12 2 2 7 2" xfId="44352"/>
    <cellStyle name="Процентный 12 2 2 8" xfId="44353"/>
    <cellStyle name="Процентный 12 2 3" xfId="44354"/>
    <cellStyle name="Процентный 12 2 3 2" xfId="44355"/>
    <cellStyle name="Процентный 12 2 3 2 2" xfId="44356"/>
    <cellStyle name="Процентный 12 2 3 2 2 2" xfId="44357"/>
    <cellStyle name="Процентный 12 2 3 2 2 2 2" xfId="44358"/>
    <cellStyle name="Процентный 12 2 3 2 2 3" xfId="44359"/>
    <cellStyle name="Процентный 12 2 3 2 3" xfId="44360"/>
    <cellStyle name="Процентный 12 2 3 2 3 2" xfId="44361"/>
    <cellStyle name="Процентный 12 2 3 2 3 2 2" xfId="44362"/>
    <cellStyle name="Процентный 12 2 3 2 3 3" xfId="44363"/>
    <cellStyle name="Процентный 12 2 3 2 4" xfId="44364"/>
    <cellStyle name="Процентный 12 2 3 2 4 2" xfId="44365"/>
    <cellStyle name="Процентный 12 2 3 2 5" xfId="44366"/>
    <cellStyle name="Процентный 12 2 3 3" xfId="44367"/>
    <cellStyle name="Процентный 12 2 3 3 2" xfId="44368"/>
    <cellStyle name="Процентный 12 2 3 3 2 2" xfId="44369"/>
    <cellStyle name="Процентный 12 2 3 3 2 2 2" xfId="44370"/>
    <cellStyle name="Процентный 12 2 3 3 2 3" xfId="44371"/>
    <cellStyle name="Процентный 12 2 3 3 3" xfId="44372"/>
    <cellStyle name="Процентный 12 2 3 3 3 2" xfId="44373"/>
    <cellStyle name="Процентный 12 2 3 3 3 2 2" xfId="44374"/>
    <cellStyle name="Процентный 12 2 3 3 3 3" xfId="44375"/>
    <cellStyle name="Процентный 12 2 3 3 4" xfId="44376"/>
    <cellStyle name="Процентный 12 2 3 3 4 2" xfId="44377"/>
    <cellStyle name="Процентный 12 2 3 3 5" xfId="44378"/>
    <cellStyle name="Процентный 12 2 3 4" xfId="44379"/>
    <cellStyle name="Процентный 12 2 3 4 2" xfId="44380"/>
    <cellStyle name="Процентный 12 2 3 4 2 2" xfId="44381"/>
    <cellStyle name="Процентный 12 2 3 4 3" xfId="44382"/>
    <cellStyle name="Процентный 12 2 3 5" xfId="44383"/>
    <cellStyle name="Процентный 12 2 3 5 2" xfId="44384"/>
    <cellStyle name="Процентный 12 2 3 5 2 2" xfId="44385"/>
    <cellStyle name="Процентный 12 2 3 5 3" xfId="44386"/>
    <cellStyle name="Процентный 12 2 3 6" xfId="44387"/>
    <cellStyle name="Процентный 12 2 3 6 2" xfId="44388"/>
    <cellStyle name="Процентный 12 2 3 7" xfId="44389"/>
    <cellStyle name="Процентный 12 2 3 7 2" xfId="44390"/>
    <cellStyle name="Процентный 12 2 3 8" xfId="44391"/>
    <cellStyle name="Процентный 12 2 4" xfId="44392"/>
    <cellStyle name="Процентный 12 2 4 2" xfId="44393"/>
    <cellStyle name="Процентный 12 2 4 2 2" xfId="44394"/>
    <cellStyle name="Процентный 12 2 4 2 2 2" xfId="44395"/>
    <cellStyle name="Процентный 12 2 4 2 3" xfId="44396"/>
    <cellStyle name="Процентный 12 2 4 3" xfId="44397"/>
    <cellStyle name="Процентный 12 2 4 3 2" xfId="44398"/>
    <cellStyle name="Процентный 12 2 4 3 2 2" xfId="44399"/>
    <cellStyle name="Процентный 12 2 4 3 3" xfId="44400"/>
    <cellStyle name="Процентный 12 2 4 4" xfId="44401"/>
    <cellStyle name="Процентный 12 2 4 4 2" xfId="44402"/>
    <cellStyle name="Процентный 12 2 4 5" xfId="44403"/>
    <cellStyle name="Процентный 12 2 4 5 2" xfId="44404"/>
    <cellStyle name="Процентный 12 2 4 6" xfId="44405"/>
    <cellStyle name="Процентный 12 2 5" xfId="44406"/>
    <cellStyle name="Процентный 12 2 5 2" xfId="44407"/>
    <cellStyle name="Процентный 12 2 5 2 2" xfId="44408"/>
    <cellStyle name="Процентный 12 2 5 2 2 2" xfId="44409"/>
    <cellStyle name="Процентный 12 2 5 2 3" xfId="44410"/>
    <cellStyle name="Процентный 12 2 5 3" xfId="44411"/>
    <cellStyle name="Процентный 12 2 5 3 2" xfId="44412"/>
    <cellStyle name="Процентный 12 2 5 3 2 2" xfId="44413"/>
    <cellStyle name="Процентный 12 2 5 3 3" xfId="44414"/>
    <cellStyle name="Процентный 12 2 5 4" xfId="44415"/>
    <cellStyle name="Процентный 12 2 5 4 2" xfId="44416"/>
    <cellStyle name="Процентный 12 2 5 5" xfId="44417"/>
    <cellStyle name="Процентный 12 2 5 5 2" xfId="44418"/>
    <cellStyle name="Процентный 12 2 5 6" xfId="44419"/>
    <cellStyle name="Процентный 12 2 6" xfId="44420"/>
    <cellStyle name="Процентный 12 2 6 2" xfId="44421"/>
    <cellStyle name="Процентный 12 2 6 2 2" xfId="44422"/>
    <cellStyle name="Процентный 12 2 6 3" xfId="44423"/>
    <cellStyle name="Процентный 12 2 7" xfId="44424"/>
    <cellStyle name="Процентный 12 2 7 2" xfId="44425"/>
    <cellStyle name="Процентный 12 2 7 2 2" xfId="44426"/>
    <cellStyle name="Процентный 12 2 7 3" xfId="44427"/>
    <cellStyle name="Процентный 12 2 8" xfId="44428"/>
    <cellStyle name="Процентный 12 2 8 2" xfId="44429"/>
    <cellStyle name="Процентный 12 2 9" xfId="44430"/>
    <cellStyle name="Процентный 12 2 9 2" xfId="44431"/>
    <cellStyle name="Процентный 12 3" xfId="44432"/>
    <cellStyle name="Процентный 12 3 2" xfId="44433"/>
    <cellStyle name="Процентный 12 3 2 2" xfId="44434"/>
    <cellStyle name="Процентный 12 3 2 2 2" xfId="44435"/>
    <cellStyle name="Процентный 12 3 2 2 2 2" xfId="44436"/>
    <cellStyle name="Процентный 12 3 2 2 2 2 2" xfId="44437"/>
    <cellStyle name="Процентный 12 3 2 2 2 3" xfId="44438"/>
    <cellStyle name="Процентный 12 3 2 2 3" xfId="44439"/>
    <cellStyle name="Процентный 12 3 2 2 3 2" xfId="44440"/>
    <cellStyle name="Процентный 12 3 2 2 3 2 2" xfId="44441"/>
    <cellStyle name="Процентный 12 3 2 2 3 3" xfId="44442"/>
    <cellStyle name="Процентный 12 3 2 2 4" xfId="44443"/>
    <cellStyle name="Процентный 12 3 2 2 4 2" xfId="44444"/>
    <cellStyle name="Процентный 12 3 2 2 5" xfId="44445"/>
    <cellStyle name="Процентный 12 3 2 2 5 2" xfId="44446"/>
    <cellStyle name="Процентный 12 3 2 2 6" xfId="44447"/>
    <cellStyle name="Процентный 12 3 2 3" xfId="44448"/>
    <cellStyle name="Процентный 12 3 2 3 2" xfId="44449"/>
    <cellStyle name="Процентный 12 3 2 3 2 2" xfId="44450"/>
    <cellStyle name="Процентный 12 3 2 3 2 2 2" xfId="44451"/>
    <cellStyle name="Процентный 12 3 2 3 2 3" xfId="44452"/>
    <cellStyle name="Процентный 12 3 2 3 3" xfId="44453"/>
    <cellStyle name="Процентный 12 3 2 3 3 2" xfId="44454"/>
    <cellStyle name="Процентный 12 3 2 3 3 2 2" xfId="44455"/>
    <cellStyle name="Процентный 12 3 2 3 3 3" xfId="44456"/>
    <cellStyle name="Процентный 12 3 2 3 4" xfId="44457"/>
    <cellStyle name="Процентный 12 3 2 3 4 2" xfId="44458"/>
    <cellStyle name="Процентный 12 3 2 3 5" xfId="44459"/>
    <cellStyle name="Процентный 12 3 2 3 5 2" xfId="44460"/>
    <cellStyle name="Процентный 12 3 2 3 6" xfId="44461"/>
    <cellStyle name="Процентный 12 3 2 4" xfId="44462"/>
    <cellStyle name="Процентный 12 3 2 4 2" xfId="44463"/>
    <cellStyle name="Процентный 12 3 2 5" xfId="44464"/>
    <cellStyle name="Процентный 12 3 2 5 2" xfId="44465"/>
    <cellStyle name="Процентный 12 3 2 6" xfId="44466"/>
    <cellStyle name="Процентный 12 3 3" xfId="44467"/>
    <cellStyle name="Процентный 12 3 3 2" xfId="44468"/>
    <cellStyle name="Процентный 12 3 3 2 2" xfId="44469"/>
    <cellStyle name="Процентный 12 3 3 2 2 2" xfId="44470"/>
    <cellStyle name="Процентный 12 3 3 2 3" xfId="44471"/>
    <cellStyle name="Процентный 12 3 3 3" xfId="44472"/>
    <cellStyle name="Процентный 12 3 3 3 2" xfId="44473"/>
    <cellStyle name="Процентный 12 3 3 3 2 2" xfId="44474"/>
    <cellStyle name="Процентный 12 3 3 3 3" xfId="44475"/>
    <cellStyle name="Процентный 12 3 3 4" xfId="44476"/>
    <cellStyle name="Процентный 12 3 3 4 2" xfId="44477"/>
    <cellStyle name="Процентный 12 3 3 5" xfId="44478"/>
    <cellStyle name="Процентный 12 3 3 5 2" xfId="44479"/>
    <cellStyle name="Процентный 12 3 3 6" xfId="44480"/>
    <cellStyle name="Процентный 12 3 4" xfId="44481"/>
    <cellStyle name="Процентный 12 3 4 2" xfId="44482"/>
    <cellStyle name="Процентный 12 3 4 2 2" xfId="44483"/>
    <cellStyle name="Процентный 12 3 4 3" xfId="44484"/>
    <cellStyle name="Процентный 12 3 4 3 2" xfId="44485"/>
    <cellStyle name="Процентный 12 3 4 4" xfId="44486"/>
    <cellStyle name="Процентный 12 3 5" xfId="44487"/>
    <cellStyle name="Процентный 12 3 5 2" xfId="44488"/>
    <cellStyle name="Процентный 12 3 5 2 2" xfId="44489"/>
    <cellStyle name="Процентный 12 3 5 3" xfId="44490"/>
    <cellStyle name="Процентный 12 3 6" xfId="44491"/>
    <cellStyle name="Процентный 12 3 6 2" xfId="44492"/>
    <cellStyle name="Процентный 12 3 7" xfId="44493"/>
    <cellStyle name="Процентный 12 3 7 2" xfId="44494"/>
    <cellStyle name="Процентный 12 3 8" xfId="44495"/>
    <cellStyle name="Процентный 12 4" xfId="44496"/>
    <cellStyle name="Процентный 12 4 2" xfId="44497"/>
    <cellStyle name="Процентный 12 4 2 2" xfId="44498"/>
    <cellStyle name="Процентный 12 4 2 2 2" xfId="44499"/>
    <cellStyle name="Процентный 12 4 2 2 2 2" xfId="44500"/>
    <cellStyle name="Процентный 12 4 2 2 3" xfId="44501"/>
    <cellStyle name="Процентный 12 4 2 2 3 2" xfId="44502"/>
    <cellStyle name="Процентный 12 4 2 2 4" xfId="44503"/>
    <cellStyle name="Процентный 12 4 2 3" xfId="44504"/>
    <cellStyle name="Процентный 12 4 2 3 2" xfId="44505"/>
    <cellStyle name="Процентный 12 4 2 3 2 2" xfId="44506"/>
    <cellStyle name="Процентный 12 4 2 3 3" xfId="44507"/>
    <cellStyle name="Процентный 12 4 2 4" xfId="44508"/>
    <cellStyle name="Процентный 12 4 2 4 2" xfId="44509"/>
    <cellStyle name="Процентный 12 4 2 5" xfId="44510"/>
    <cellStyle name="Процентный 12 4 2 5 2" xfId="44511"/>
    <cellStyle name="Процентный 12 4 2 6" xfId="44512"/>
    <cellStyle name="Процентный 12 4 3" xfId="44513"/>
    <cellStyle name="Процентный 12 4 3 2" xfId="44514"/>
    <cellStyle name="Процентный 12 4 3 2 2" xfId="44515"/>
    <cellStyle name="Процентный 12 4 3 2 2 2" xfId="44516"/>
    <cellStyle name="Процентный 12 4 3 2 3" xfId="44517"/>
    <cellStyle name="Процентный 12 4 3 3" xfId="44518"/>
    <cellStyle name="Процентный 12 4 3 3 2" xfId="44519"/>
    <cellStyle name="Процентный 12 4 3 3 2 2" xfId="44520"/>
    <cellStyle name="Процентный 12 4 3 3 3" xfId="44521"/>
    <cellStyle name="Процентный 12 4 3 4" xfId="44522"/>
    <cellStyle name="Процентный 12 4 3 4 2" xfId="44523"/>
    <cellStyle name="Процентный 12 4 3 5" xfId="44524"/>
    <cellStyle name="Процентный 12 4 3 5 2" xfId="44525"/>
    <cellStyle name="Процентный 12 4 3 6" xfId="44526"/>
    <cellStyle name="Процентный 12 4 4" xfId="44527"/>
    <cellStyle name="Процентный 12 4 4 2" xfId="44528"/>
    <cellStyle name="Процентный 12 4 4 2 2" xfId="44529"/>
    <cellStyle name="Процентный 12 4 4 2 2 2" xfId="44530"/>
    <cellStyle name="Процентный 12 4 4 2 3" xfId="44531"/>
    <cellStyle name="Процентный 12 4 4 3" xfId="44532"/>
    <cellStyle name="Процентный 12 4 4 3 2" xfId="44533"/>
    <cellStyle name="Процентный 12 4 4 4" xfId="44534"/>
    <cellStyle name="Процентный 12 4 4 4 2" xfId="44535"/>
    <cellStyle name="Процентный 12 4 4 5" xfId="44536"/>
    <cellStyle name="Процентный 12 4 5" xfId="44537"/>
    <cellStyle name="Процентный 12 4 5 2" xfId="44538"/>
    <cellStyle name="Процентный 12 4 6" xfId="44539"/>
    <cellStyle name="Процентный 12 4 6 2" xfId="44540"/>
    <cellStyle name="Процентный 12 4 7" xfId="44541"/>
    <cellStyle name="Процентный 12 5" xfId="44542"/>
    <cellStyle name="Процентный 12 5 2" xfId="44543"/>
    <cellStyle name="Процентный 12 5 2 2" xfId="44544"/>
    <cellStyle name="Процентный 12 5 2 2 2" xfId="44545"/>
    <cellStyle name="Процентный 12 5 2 2 2 2" xfId="44546"/>
    <cellStyle name="Процентный 12 5 2 2 3" xfId="44547"/>
    <cellStyle name="Процентный 12 5 2 3" xfId="44548"/>
    <cellStyle name="Процентный 12 5 2 3 2" xfId="44549"/>
    <cellStyle name="Процентный 12 5 2 3 2 2" xfId="44550"/>
    <cellStyle name="Процентный 12 5 2 3 3" xfId="44551"/>
    <cellStyle name="Процентный 12 5 2 4" xfId="44552"/>
    <cellStyle name="Процентный 12 5 2 4 2" xfId="44553"/>
    <cellStyle name="Процентный 12 5 2 5" xfId="44554"/>
    <cellStyle name="Процентный 12 5 2 5 2" xfId="44555"/>
    <cellStyle name="Процентный 12 5 2 6" xfId="44556"/>
    <cellStyle name="Процентный 12 5 3" xfId="44557"/>
    <cellStyle name="Процентный 12 5 3 2" xfId="44558"/>
    <cellStyle name="Процентный 12 5 3 2 2" xfId="44559"/>
    <cellStyle name="Процентный 12 5 3 2 2 2" xfId="44560"/>
    <cellStyle name="Процентный 12 5 3 2 3" xfId="44561"/>
    <cellStyle name="Процентный 12 5 3 3" xfId="44562"/>
    <cellStyle name="Процентный 12 5 3 3 2" xfId="44563"/>
    <cellStyle name="Процентный 12 5 3 3 2 2" xfId="44564"/>
    <cellStyle name="Процентный 12 5 3 3 3" xfId="44565"/>
    <cellStyle name="Процентный 12 5 3 4" xfId="44566"/>
    <cellStyle name="Процентный 12 5 3 4 2" xfId="44567"/>
    <cellStyle name="Процентный 12 5 3 5" xfId="44568"/>
    <cellStyle name="Процентный 12 5 4" xfId="44569"/>
    <cellStyle name="Процентный 12 5 4 2" xfId="44570"/>
    <cellStyle name="Процентный 12 5 4 2 2" xfId="44571"/>
    <cellStyle name="Процентный 12 5 4 3" xfId="44572"/>
    <cellStyle name="Процентный 12 5 5" xfId="44573"/>
    <cellStyle name="Процентный 12 5 5 2" xfId="44574"/>
    <cellStyle name="Процентный 12 5 5 2 2" xfId="44575"/>
    <cellStyle name="Процентный 12 5 5 3" xfId="44576"/>
    <cellStyle name="Процентный 12 5 6" xfId="44577"/>
    <cellStyle name="Процентный 12 5 6 2" xfId="44578"/>
    <cellStyle name="Процентный 12 5 7" xfId="44579"/>
    <cellStyle name="Процентный 12 5 7 2" xfId="44580"/>
    <cellStyle name="Процентный 12 5 8" xfId="44581"/>
    <cellStyle name="Процентный 12 6" xfId="44582"/>
    <cellStyle name="Процентный 12 6 2" xfId="44583"/>
    <cellStyle name="Процентный 12 6 2 2" xfId="44584"/>
    <cellStyle name="Процентный 12 6 2 2 2" xfId="44585"/>
    <cellStyle name="Процентный 12 6 2 2 2 2" xfId="44586"/>
    <cellStyle name="Процентный 12 6 2 2 3" xfId="44587"/>
    <cellStyle name="Процентный 12 6 2 3" xfId="44588"/>
    <cellStyle name="Процентный 12 6 2 3 2" xfId="44589"/>
    <cellStyle name="Процентный 12 6 2 3 2 2" xfId="44590"/>
    <cellStyle name="Процентный 12 6 2 3 3" xfId="44591"/>
    <cellStyle name="Процентный 12 6 2 4" xfId="44592"/>
    <cellStyle name="Процентный 12 6 2 4 2" xfId="44593"/>
    <cellStyle name="Процентный 12 6 2 5" xfId="44594"/>
    <cellStyle name="Процентный 12 6 3" xfId="44595"/>
    <cellStyle name="Процентный 12 6 3 2" xfId="44596"/>
    <cellStyle name="Процентный 12 6 3 2 2" xfId="44597"/>
    <cellStyle name="Процентный 12 6 3 2 2 2" xfId="44598"/>
    <cellStyle name="Процентный 12 6 3 2 3" xfId="44599"/>
    <cellStyle name="Процентный 12 6 3 3" xfId="44600"/>
    <cellStyle name="Процентный 12 6 3 3 2" xfId="44601"/>
    <cellStyle name="Процентный 12 6 3 3 2 2" xfId="44602"/>
    <cellStyle name="Процентный 12 6 3 3 3" xfId="44603"/>
    <cellStyle name="Процентный 12 6 3 4" xfId="44604"/>
    <cellStyle name="Процентный 12 6 3 4 2" xfId="44605"/>
    <cellStyle name="Процентный 12 6 3 5" xfId="44606"/>
    <cellStyle name="Процентный 12 6 4" xfId="44607"/>
    <cellStyle name="Процентный 12 6 4 2" xfId="44608"/>
    <cellStyle name="Процентный 12 6 4 2 2" xfId="44609"/>
    <cellStyle name="Процентный 12 6 4 3" xfId="44610"/>
    <cellStyle name="Процентный 12 6 5" xfId="44611"/>
    <cellStyle name="Процентный 12 6 5 2" xfId="44612"/>
    <cellStyle name="Процентный 12 6 5 2 2" xfId="44613"/>
    <cellStyle name="Процентный 12 6 5 3" xfId="44614"/>
    <cellStyle name="Процентный 12 6 6" xfId="44615"/>
    <cellStyle name="Процентный 12 6 6 2" xfId="44616"/>
    <cellStyle name="Процентный 12 6 7" xfId="44617"/>
    <cellStyle name="Процентный 12 6 7 2" xfId="44618"/>
    <cellStyle name="Процентный 12 6 8" xfId="44619"/>
    <cellStyle name="Процентный 12 7" xfId="44620"/>
    <cellStyle name="Процентный 12 7 2" xfId="44621"/>
    <cellStyle name="Процентный 12 7 2 2" xfId="44622"/>
    <cellStyle name="Процентный 12 7 2 2 2" xfId="44623"/>
    <cellStyle name="Процентный 12 7 2 3" xfId="44624"/>
    <cellStyle name="Процентный 12 7 3" xfId="44625"/>
    <cellStyle name="Процентный 12 7 3 2" xfId="44626"/>
    <cellStyle name="Процентный 12 7 3 2 2" xfId="44627"/>
    <cellStyle name="Процентный 12 7 3 3" xfId="44628"/>
    <cellStyle name="Процентный 12 7 4" xfId="44629"/>
    <cellStyle name="Процентный 12 7 4 2" xfId="44630"/>
    <cellStyle name="Процентный 12 7 5" xfId="44631"/>
    <cellStyle name="Процентный 12 7 5 2" xfId="44632"/>
    <cellStyle name="Процентный 12 7 6" xfId="44633"/>
    <cellStyle name="Процентный 12 8" xfId="44634"/>
    <cellStyle name="Процентный 12 8 2" xfId="44635"/>
    <cellStyle name="Процентный 12 8 2 2" xfId="44636"/>
    <cellStyle name="Процентный 12 8 2 2 2" xfId="44637"/>
    <cellStyle name="Процентный 12 8 2 3" xfId="44638"/>
    <cellStyle name="Процентный 12 8 3" xfId="44639"/>
    <cellStyle name="Процентный 12 8 3 2" xfId="44640"/>
    <cellStyle name="Процентный 12 8 3 2 2" xfId="44641"/>
    <cellStyle name="Процентный 12 8 3 3" xfId="44642"/>
    <cellStyle name="Процентный 12 8 4" xfId="44643"/>
    <cellStyle name="Процентный 12 8 4 2" xfId="44644"/>
    <cellStyle name="Процентный 12 8 5" xfId="44645"/>
    <cellStyle name="Процентный 12 9" xfId="44646"/>
    <cellStyle name="Процентный 12 9 2" xfId="44647"/>
    <cellStyle name="Процентный 12 9 2 2" xfId="44648"/>
    <cellStyle name="Процентный 12 9 3" xfId="44649"/>
    <cellStyle name="Процентный 13" xfId="44650"/>
    <cellStyle name="Процентный 13 10" xfId="44651"/>
    <cellStyle name="Процентный 13 10 2" xfId="44652"/>
    <cellStyle name="Процентный 13 10 2 2" xfId="44653"/>
    <cellStyle name="Процентный 13 10 3" xfId="44654"/>
    <cellStyle name="Процентный 13 11" xfId="44655"/>
    <cellStyle name="Процентный 13 11 2" xfId="44656"/>
    <cellStyle name="Процентный 13 11 2 2" xfId="44657"/>
    <cellStyle name="Процентный 13 11 3" xfId="44658"/>
    <cellStyle name="Процентный 13 12" xfId="44659"/>
    <cellStyle name="Процентный 13 12 2" xfId="44660"/>
    <cellStyle name="Процентный 13 12 2 2" xfId="44661"/>
    <cellStyle name="Процентный 13 12 3" xfId="44662"/>
    <cellStyle name="Процентный 13 13" xfId="44663"/>
    <cellStyle name="Процентный 13 13 2" xfId="44664"/>
    <cellStyle name="Процентный 13 14" xfId="44665"/>
    <cellStyle name="Процентный 13 14 2" xfId="44666"/>
    <cellStyle name="Процентный 13 15" xfId="44667"/>
    <cellStyle name="Процентный 13 2" xfId="44668"/>
    <cellStyle name="Процентный 13 2 10" xfId="44669"/>
    <cellStyle name="Процентный 13 2 2" xfId="44670"/>
    <cellStyle name="Процентный 13 2 2 10" xfId="44671"/>
    <cellStyle name="Процентный 13 2 2 10 2" xfId="44672"/>
    <cellStyle name="Процентный 13 2 2 11" xfId="44673"/>
    <cellStyle name="Процентный 13 2 2 2" xfId="44674"/>
    <cellStyle name="Процентный 13 2 2 2 2" xfId="44675"/>
    <cellStyle name="Процентный 13 2 2 2 2 2" xfId="44676"/>
    <cellStyle name="Процентный 13 2 2 2 2 2 2" xfId="44677"/>
    <cellStyle name="Процентный 13 2 2 2 2 2 2 2" xfId="44678"/>
    <cellStyle name="Процентный 13 2 2 2 2 2 3" xfId="44679"/>
    <cellStyle name="Процентный 13 2 2 2 2 3" xfId="44680"/>
    <cellStyle name="Процентный 13 2 2 2 2 3 2" xfId="44681"/>
    <cellStyle name="Процентный 13 2 2 2 2 3 2 2" xfId="44682"/>
    <cellStyle name="Процентный 13 2 2 2 2 3 3" xfId="44683"/>
    <cellStyle name="Процентный 13 2 2 2 2 4" xfId="44684"/>
    <cellStyle name="Процентный 13 2 2 2 2 4 2" xfId="44685"/>
    <cellStyle name="Процентный 13 2 2 2 2 5" xfId="44686"/>
    <cellStyle name="Процентный 13 2 2 2 3" xfId="44687"/>
    <cellStyle name="Процентный 13 2 2 2 3 2" xfId="44688"/>
    <cellStyle name="Процентный 13 2 2 2 3 2 2" xfId="44689"/>
    <cellStyle name="Процентный 13 2 2 2 3 2 2 2" xfId="44690"/>
    <cellStyle name="Процентный 13 2 2 2 3 2 3" xfId="44691"/>
    <cellStyle name="Процентный 13 2 2 2 3 3" xfId="44692"/>
    <cellStyle name="Процентный 13 2 2 2 3 3 2" xfId="44693"/>
    <cellStyle name="Процентный 13 2 2 2 3 3 2 2" xfId="44694"/>
    <cellStyle name="Процентный 13 2 2 2 3 3 3" xfId="44695"/>
    <cellStyle name="Процентный 13 2 2 2 3 4" xfId="44696"/>
    <cellStyle name="Процентный 13 2 2 2 3 4 2" xfId="44697"/>
    <cellStyle name="Процентный 13 2 2 2 3 5" xfId="44698"/>
    <cellStyle name="Процентный 13 2 2 2 4" xfId="44699"/>
    <cellStyle name="Процентный 13 2 2 2 4 2" xfId="44700"/>
    <cellStyle name="Процентный 13 2 2 2 4 2 2" xfId="44701"/>
    <cellStyle name="Процентный 13 2 2 2 4 3" xfId="44702"/>
    <cellStyle name="Процентный 13 2 2 2 5" xfId="44703"/>
    <cellStyle name="Процентный 13 2 2 2 5 2" xfId="44704"/>
    <cellStyle name="Процентный 13 2 2 2 5 2 2" xfId="44705"/>
    <cellStyle name="Процентный 13 2 2 2 5 3" xfId="44706"/>
    <cellStyle name="Процентный 13 2 2 2 6" xfId="44707"/>
    <cellStyle name="Процентный 13 2 2 2 6 2" xfId="44708"/>
    <cellStyle name="Процентный 13 2 2 2 7" xfId="44709"/>
    <cellStyle name="Процентный 13 2 2 2 7 2" xfId="44710"/>
    <cellStyle name="Процентный 13 2 2 2 8" xfId="44711"/>
    <cellStyle name="Процентный 13 2 2 3" xfId="44712"/>
    <cellStyle name="Процентный 13 2 2 3 2" xfId="44713"/>
    <cellStyle name="Процентный 13 2 2 3 2 2" xfId="44714"/>
    <cellStyle name="Процентный 13 2 2 3 2 2 2" xfId="44715"/>
    <cellStyle name="Процентный 13 2 2 3 2 2 2 2" xfId="44716"/>
    <cellStyle name="Процентный 13 2 2 3 2 2 3" xfId="44717"/>
    <cellStyle name="Процентный 13 2 2 3 2 3" xfId="44718"/>
    <cellStyle name="Процентный 13 2 2 3 2 3 2" xfId="44719"/>
    <cellStyle name="Процентный 13 2 2 3 2 3 2 2" xfId="44720"/>
    <cellStyle name="Процентный 13 2 2 3 2 3 3" xfId="44721"/>
    <cellStyle name="Процентный 13 2 2 3 2 4" xfId="44722"/>
    <cellStyle name="Процентный 13 2 2 3 2 4 2" xfId="44723"/>
    <cellStyle name="Процентный 13 2 2 3 2 5" xfId="44724"/>
    <cellStyle name="Процентный 13 2 2 3 3" xfId="44725"/>
    <cellStyle name="Процентный 13 2 2 3 3 2" xfId="44726"/>
    <cellStyle name="Процентный 13 2 2 3 3 2 2" xfId="44727"/>
    <cellStyle name="Процентный 13 2 2 3 3 2 2 2" xfId="44728"/>
    <cellStyle name="Процентный 13 2 2 3 3 2 3" xfId="44729"/>
    <cellStyle name="Процентный 13 2 2 3 3 3" xfId="44730"/>
    <cellStyle name="Процентный 13 2 2 3 3 3 2" xfId="44731"/>
    <cellStyle name="Процентный 13 2 2 3 3 3 2 2" xfId="44732"/>
    <cellStyle name="Процентный 13 2 2 3 3 3 3" xfId="44733"/>
    <cellStyle name="Процентный 13 2 2 3 3 4" xfId="44734"/>
    <cellStyle name="Процентный 13 2 2 3 3 4 2" xfId="44735"/>
    <cellStyle name="Процентный 13 2 2 3 3 5" xfId="44736"/>
    <cellStyle name="Процентный 13 2 2 3 4" xfId="44737"/>
    <cellStyle name="Процентный 13 2 2 3 4 2" xfId="44738"/>
    <cellStyle name="Процентный 13 2 2 3 4 2 2" xfId="44739"/>
    <cellStyle name="Процентный 13 2 2 3 4 3" xfId="44740"/>
    <cellStyle name="Процентный 13 2 2 3 5" xfId="44741"/>
    <cellStyle name="Процентный 13 2 2 3 5 2" xfId="44742"/>
    <cellStyle name="Процентный 13 2 2 3 5 2 2" xfId="44743"/>
    <cellStyle name="Процентный 13 2 2 3 5 3" xfId="44744"/>
    <cellStyle name="Процентный 13 2 2 3 6" xfId="44745"/>
    <cellStyle name="Процентный 13 2 2 3 6 2" xfId="44746"/>
    <cellStyle name="Процентный 13 2 2 3 7" xfId="44747"/>
    <cellStyle name="Процентный 13 2 2 3 7 2" xfId="44748"/>
    <cellStyle name="Процентный 13 2 2 3 8" xfId="44749"/>
    <cellStyle name="Процентный 13 2 2 4" xfId="44750"/>
    <cellStyle name="Процентный 13 2 2 4 2" xfId="44751"/>
    <cellStyle name="Процентный 13 2 2 4 2 2" xfId="44752"/>
    <cellStyle name="Процентный 13 2 2 4 2 2 2" xfId="44753"/>
    <cellStyle name="Процентный 13 2 2 4 2 2 2 2" xfId="44754"/>
    <cellStyle name="Процентный 13 2 2 4 2 2 3" xfId="44755"/>
    <cellStyle name="Процентный 13 2 2 4 2 3" xfId="44756"/>
    <cellStyle name="Процентный 13 2 2 4 2 3 2" xfId="44757"/>
    <cellStyle name="Процентный 13 2 2 4 2 3 2 2" xfId="44758"/>
    <cellStyle name="Процентный 13 2 2 4 2 3 3" xfId="44759"/>
    <cellStyle name="Процентный 13 2 2 4 2 4" xfId="44760"/>
    <cellStyle name="Процентный 13 2 2 4 2 4 2" xfId="44761"/>
    <cellStyle name="Процентный 13 2 2 4 2 5" xfId="44762"/>
    <cellStyle name="Процентный 13 2 2 4 3" xfId="44763"/>
    <cellStyle name="Процентный 13 2 2 4 3 2" xfId="44764"/>
    <cellStyle name="Процентный 13 2 2 4 3 2 2" xfId="44765"/>
    <cellStyle name="Процентный 13 2 2 4 3 2 2 2" xfId="44766"/>
    <cellStyle name="Процентный 13 2 2 4 3 2 3" xfId="44767"/>
    <cellStyle name="Процентный 13 2 2 4 3 3" xfId="44768"/>
    <cellStyle name="Процентный 13 2 2 4 3 3 2" xfId="44769"/>
    <cellStyle name="Процентный 13 2 2 4 3 3 2 2" xfId="44770"/>
    <cellStyle name="Процентный 13 2 2 4 3 3 3" xfId="44771"/>
    <cellStyle name="Процентный 13 2 2 4 3 4" xfId="44772"/>
    <cellStyle name="Процентный 13 2 2 4 3 4 2" xfId="44773"/>
    <cellStyle name="Процентный 13 2 2 4 3 5" xfId="44774"/>
    <cellStyle name="Процентный 13 2 2 4 4" xfId="44775"/>
    <cellStyle name="Процентный 13 2 2 4 4 2" xfId="44776"/>
    <cellStyle name="Процентный 13 2 2 4 4 2 2" xfId="44777"/>
    <cellStyle name="Процентный 13 2 2 4 4 3" xfId="44778"/>
    <cellStyle name="Процентный 13 2 2 4 5" xfId="44779"/>
    <cellStyle name="Процентный 13 2 2 4 5 2" xfId="44780"/>
    <cellStyle name="Процентный 13 2 2 4 5 2 2" xfId="44781"/>
    <cellStyle name="Процентный 13 2 2 4 5 3" xfId="44782"/>
    <cellStyle name="Процентный 13 2 2 4 6" xfId="44783"/>
    <cellStyle name="Процентный 13 2 2 4 6 2" xfId="44784"/>
    <cellStyle name="Процентный 13 2 2 4 7" xfId="44785"/>
    <cellStyle name="Процентный 13 2 2 4 7 2" xfId="44786"/>
    <cellStyle name="Процентный 13 2 2 4 8" xfId="44787"/>
    <cellStyle name="Процентный 13 2 2 5" xfId="44788"/>
    <cellStyle name="Процентный 13 2 2 5 2" xfId="44789"/>
    <cellStyle name="Процентный 13 2 2 5 2 2" xfId="44790"/>
    <cellStyle name="Процентный 13 2 2 5 2 2 2" xfId="44791"/>
    <cellStyle name="Процентный 13 2 2 5 2 3" xfId="44792"/>
    <cellStyle name="Процентный 13 2 2 5 3" xfId="44793"/>
    <cellStyle name="Процентный 13 2 2 5 3 2" xfId="44794"/>
    <cellStyle name="Процентный 13 2 2 5 3 2 2" xfId="44795"/>
    <cellStyle name="Процентный 13 2 2 5 3 3" xfId="44796"/>
    <cellStyle name="Процентный 13 2 2 5 4" xfId="44797"/>
    <cellStyle name="Процентный 13 2 2 5 4 2" xfId="44798"/>
    <cellStyle name="Процентный 13 2 2 5 5" xfId="44799"/>
    <cellStyle name="Процентный 13 2 2 6" xfId="44800"/>
    <cellStyle name="Процентный 13 2 2 6 2" xfId="44801"/>
    <cellStyle name="Процентный 13 2 2 6 2 2" xfId="44802"/>
    <cellStyle name="Процентный 13 2 2 6 2 2 2" xfId="44803"/>
    <cellStyle name="Процентный 13 2 2 6 2 3" xfId="44804"/>
    <cellStyle name="Процентный 13 2 2 6 3" xfId="44805"/>
    <cellStyle name="Процентный 13 2 2 6 3 2" xfId="44806"/>
    <cellStyle name="Процентный 13 2 2 6 3 2 2" xfId="44807"/>
    <cellStyle name="Процентный 13 2 2 6 3 3" xfId="44808"/>
    <cellStyle name="Процентный 13 2 2 6 4" xfId="44809"/>
    <cellStyle name="Процентный 13 2 2 6 4 2" xfId="44810"/>
    <cellStyle name="Процентный 13 2 2 6 5" xfId="44811"/>
    <cellStyle name="Процентный 13 2 2 7" xfId="44812"/>
    <cellStyle name="Процентный 13 2 2 7 2" xfId="44813"/>
    <cellStyle name="Процентный 13 2 2 7 2 2" xfId="44814"/>
    <cellStyle name="Процентный 13 2 2 7 3" xfId="44815"/>
    <cellStyle name="Процентный 13 2 2 8" xfId="44816"/>
    <cellStyle name="Процентный 13 2 2 8 2" xfId="44817"/>
    <cellStyle name="Процентный 13 2 2 8 2 2" xfId="44818"/>
    <cellStyle name="Процентный 13 2 2 8 3" xfId="44819"/>
    <cellStyle name="Процентный 13 2 2 9" xfId="44820"/>
    <cellStyle name="Процентный 13 2 2 9 2" xfId="44821"/>
    <cellStyle name="Процентный 13 2 3" xfId="44822"/>
    <cellStyle name="Процентный 13 2 3 2" xfId="44823"/>
    <cellStyle name="Процентный 13 2 3 2 2" xfId="44824"/>
    <cellStyle name="Процентный 13 2 3 2 2 2" xfId="44825"/>
    <cellStyle name="Процентный 13 2 3 2 2 2 2" xfId="44826"/>
    <cellStyle name="Процентный 13 2 3 2 2 3" xfId="44827"/>
    <cellStyle name="Процентный 13 2 3 2 3" xfId="44828"/>
    <cellStyle name="Процентный 13 2 3 2 3 2" xfId="44829"/>
    <cellStyle name="Процентный 13 2 3 2 3 2 2" xfId="44830"/>
    <cellStyle name="Процентный 13 2 3 2 3 3" xfId="44831"/>
    <cellStyle name="Процентный 13 2 3 2 4" xfId="44832"/>
    <cellStyle name="Процентный 13 2 3 2 4 2" xfId="44833"/>
    <cellStyle name="Процентный 13 2 3 2 5" xfId="44834"/>
    <cellStyle name="Процентный 13 2 3 3" xfId="44835"/>
    <cellStyle name="Процентный 13 2 3 3 2" xfId="44836"/>
    <cellStyle name="Процентный 13 2 3 3 2 2" xfId="44837"/>
    <cellStyle name="Процентный 13 2 3 3 2 2 2" xfId="44838"/>
    <cellStyle name="Процентный 13 2 3 3 2 3" xfId="44839"/>
    <cellStyle name="Процентный 13 2 3 3 3" xfId="44840"/>
    <cellStyle name="Процентный 13 2 3 3 3 2" xfId="44841"/>
    <cellStyle name="Процентный 13 2 3 3 3 2 2" xfId="44842"/>
    <cellStyle name="Процентный 13 2 3 3 3 3" xfId="44843"/>
    <cellStyle name="Процентный 13 2 3 3 4" xfId="44844"/>
    <cellStyle name="Процентный 13 2 3 3 4 2" xfId="44845"/>
    <cellStyle name="Процентный 13 2 3 3 5" xfId="44846"/>
    <cellStyle name="Процентный 13 2 3 4" xfId="44847"/>
    <cellStyle name="Процентный 13 2 3 4 2" xfId="44848"/>
    <cellStyle name="Процентный 13 2 3 4 2 2" xfId="44849"/>
    <cellStyle name="Процентный 13 2 3 4 3" xfId="44850"/>
    <cellStyle name="Процентный 13 2 3 5" xfId="44851"/>
    <cellStyle name="Процентный 13 2 3 5 2" xfId="44852"/>
    <cellStyle name="Процентный 13 2 3 5 2 2" xfId="44853"/>
    <cellStyle name="Процентный 13 2 3 5 3" xfId="44854"/>
    <cellStyle name="Процентный 13 2 3 6" xfId="44855"/>
    <cellStyle name="Процентный 13 2 3 6 2" xfId="44856"/>
    <cellStyle name="Процентный 13 2 3 7" xfId="44857"/>
    <cellStyle name="Процентный 13 2 3 7 2" xfId="44858"/>
    <cellStyle name="Процентный 13 2 3 8" xfId="44859"/>
    <cellStyle name="Процентный 13 2 4" xfId="44860"/>
    <cellStyle name="Процентный 13 2 4 2" xfId="44861"/>
    <cellStyle name="Процентный 13 2 4 2 2" xfId="44862"/>
    <cellStyle name="Процентный 13 2 4 2 2 2" xfId="44863"/>
    <cellStyle name="Процентный 13 2 4 2 3" xfId="44864"/>
    <cellStyle name="Процентный 13 2 4 3" xfId="44865"/>
    <cellStyle name="Процентный 13 2 4 3 2" xfId="44866"/>
    <cellStyle name="Процентный 13 2 4 3 2 2" xfId="44867"/>
    <cellStyle name="Процентный 13 2 4 3 3" xfId="44868"/>
    <cellStyle name="Процентный 13 2 4 4" xfId="44869"/>
    <cellStyle name="Процентный 13 2 4 4 2" xfId="44870"/>
    <cellStyle name="Процентный 13 2 4 5" xfId="44871"/>
    <cellStyle name="Процентный 13 2 4 5 2" xfId="44872"/>
    <cellStyle name="Процентный 13 2 4 6" xfId="44873"/>
    <cellStyle name="Процентный 13 2 5" xfId="44874"/>
    <cellStyle name="Процентный 13 2 5 2" xfId="44875"/>
    <cellStyle name="Процентный 13 2 5 2 2" xfId="44876"/>
    <cellStyle name="Процентный 13 2 5 2 2 2" xfId="44877"/>
    <cellStyle name="Процентный 13 2 5 2 3" xfId="44878"/>
    <cellStyle name="Процентный 13 2 5 3" xfId="44879"/>
    <cellStyle name="Процентный 13 2 5 3 2" xfId="44880"/>
    <cellStyle name="Процентный 13 2 5 3 2 2" xfId="44881"/>
    <cellStyle name="Процентный 13 2 5 3 3" xfId="44882"/>
    <cellStyle name="Процентный 13 2 5 4" xfId="44883"/>
    <cellStyle name="Процентный 13 2 5 4 2" xfId="44884"/>
    <cellStyle name="Процентный 13 2 5 5" xfId="44885"/>
    <cellStyle name="Процентный 13 2 5 5 2" xfId="44886"/>
    <cellStyle name="Процентный 13 2 5 6" xfId="44887"/>
    <cellStyle name="Процентный 13 2 6" xfId="44888"/>
    <cellStyle name="Процентный 13 2 6 2" xfId="44889"/>
    <cellStyle name="Процентный 13 2 6 2 2" xfId="44890"/>
    <cellStyle name="Процентный 13 2 6 3" xfId="44891"/>
    <cellStyle name="Процентный 13 2 7" xfId="44892"/>
    <cellStyle name="Процентный 13 2 7 2" xfId="44893"/>
    <cellStyle name="Процентный 13 2 7 2 2" xfId="44894"/>
    <cellStyle name="Процентный 13 2 7 3" xfId="44895"/>
    <cellStyle name="Процентный 13 2 8" xfId="44896"/>
    <cellStyle name="Процентный 13 2 8 2" xfId="44897"/>
    <cellStyle name="Процентный 13 2 9" xfId="44898"/>
    <cellStyle name="Процентный 13 2 9 2" xfId="44899"/>
    <cellStyle name="Процентный 13 3" xfId="44900"/>
    <cellStyle name="Процентный 13 3 2" xfId="44901"/>
    <cellStyle name="Процентный 13 3 2 2" xfId="44902"/>
    <cellStyle name="Процентный 13 3 2 2 2" xfId="44903"/>
    <cellStyle name="Процентный 13 3 2 2 2 2" xfId="44904"/>
    <cellStyle name="Процентный 13 3 2 2 2 2 2" xfId="44905"/>
    <cellStyle name="Процентный 13 3 2 2 2 3" xfId="44906"/>
    <cellStyle name="Процентный 13 3 2 2 3" xfId="44907"/>
    <cellStyle name="Процентный 13 3 2 2 3 2" xfId="44908"/>
    <cellStyle name="Процентный 13 3 2 2 3 2 2" xfId="44909"/>
    <cellStyle name="Процентный 13 3 2 2 3 3" xfId="44910"/>
    <cellStyle name="Процентный 13 3 2 2 4" xfId="44911"/>
    <cellStyle name="Процентный 13 3 2 2 4 2" xfId="44912"/>
    <cellStyle name="Процентный 13 3 2 2 5" xfId="44913"/>
    <cellStyle name="Процентный 13 3 2 2 5 2" xfId="44914"/>
    <cellStyle name="Процентный 13 3 2 2 6" xfId="44915"/>
    <cellStyle name="Процентный 13 3 2 3" xfId="44916"/>
    <cellStyle name="Процентный 13 3 2 3 2" xfId="44917"/>
    <cellStyle name="Процентный 13 3 2 3 2 2" xfId="44918"/>
    <cellStyle name="Процентный 13 3 2 3 2 2 2" xfId="44919"/>
    <cellStyle name="Процентный 13 3 2 3 2 3" xfId="44920"/>
    <cellStyle name="Процентный 13 3 2 3 3" xfId="44921"/>
    <cellStyle name="Процентный 13 3 2 3 3 2" xfId="44922"/>
    <cellStyle name="Процентный 13 3 2 3 3 2 2" xfId="44923"/>
    <cellStyle name="Процентный 13 3 2 3 3 3" xfId="44924"/>
    <cellStyle name="Процентный 13 3 2 3 4" xfId="44925"/>
    <cellStyle name="Процентный 13 3 2 3 4 2" xfId="44926"/>
    <cellStyle name="Процентный 13 3 2 3 5" xfId="44927"/>
    <cellStyle name="Процентный 13 3 2 4" xfId="44928"/>
    <cellStyle name="Процентный 13 3 2 4 2" xfId="44929"/>
    <cellStyle name="Процентный 13 3 2 4 2 2" xfId="44930"/>
    <cellStyle name="Процентный 13 3 2 4 3" xfId="44931"/>
    <cellStyle name="Процентный 13 3 2 5" xfId="44932"/>
    <cellStyle name="Процентный 13 3 2 5 2" xfId="44933"/>
    <cellStyle name="Процентный 13 3 2 5 2 2" xfId="44934"/>
    <cellStyle name="Процентный 13 3 2 5 3" xfId="44935"/>
    <cellStyle name="Процентный 13 3 2 6" xfId="44936"/>
    <cellStyle name="Процентный 13 3 2 6 2" xfId="44937"/>
    <cellStyle name="Процентный 13 3 2 7" xfId="44938"/>
    <cellStyle name="Процентный 13 3 2 7 2" xfId="44939"/>
    <cellStyle name="Процентный 13 3 2 8" xfId="44940"/>
    <cellStyle name="Процентный 13 3 3" xfId="44941"/>
    <cellStyle name="Процентный 13 3 3 2" xfId="44942"/>
    <cellStyle name="Процентный 13 3 3 2 2" xfId="44943"/>
    <cellStyle name="Процентный 13 3 3 2 2 2" xfId="44944"/>
    <cellStyle name="Процентный 13 3 3 2 3" xfId="44945"/>
    <cellStyle name="Процентный 13 3 3 3" xfId="44946"/>
    <cellStyle name="Процентный 13 3 3 3 2" xfId="44947"/>
    <cellStyle name="Процентный 13 3 3 3 2 2" xfId="44948"/>
    <cellStyle name="Процентный 13 3 3 3 3" xfId="44949"/>
    <cellStyle name="Процентный 13 3 3 4" xfId="44950"/>
    <cellStyle name="Процентный 13 3 3 4 2" xfId="44951"/>
    <cellStyle name="Процентный 13 3 3 5" xfId="44952"/>
    <cellStyle name="Процентный 13 3 3 5 2" xfId="44953"/>
    <cellStyle name="Процентный 13 3 3 6" xfId="44954"/>
    <cellStyle name="Процентный 13 3 4" xfId="44955"/>
    <cellStyle name="Процентный 13 3 4 2" xfId="44956"/>
    <cellStyle name="Процентный 13 3 4 2 2" xfId="44957"/>
    <cellStyle name="Процентный 13 3 4 2 2 2" xfId="44958"/>
    <cellStyle name="Процентный 13 3 4 2 3" xfId="44959"/>
    <cellStyle name="Процентный 13 3 4 3" xfId="44960"/>
    <cellStyle name="Процентный 13 3 4 3 2" xfId="44961"/>
    <cellStyle name="Процентный 13 3 4 3 2 2" xfId="44962"/>
    <cellStyle name="Процентный 13 3 4 3 3" xfId="44963"/>
    <cellStyle name="Процентный 13 3 4 4" xfId="44964"/>
    <cellStyle name="Процентный 13 3 4 4 2" xfId="44965"/>
    <cellStyle name="Процентный 13 3 4 5" xfId="44966"/>
    <cellStyle name="Процентный 13 3 4 5 2" xfId="44967"/>
    <cellStyle name="Процентный 13 3 4 6" xfId="44968"/>
    <cellStyle name="Процентный 13 3 5" xfId="44969"/>
    <cellStyle name="Процентный 13 3 5 2" xfId="44970"/>
    <cellStyle name="Процентный 13 3 5 2 2" xfId="44971"/>
    <cellStyle name="Процентный 13 3 5 3" xfId="44972"/>
    <cellStyle name="Процентный 13 3 6" xfId="44973"/>
    <cellStyle name="Процентный 13 3 6 2" xfId="44974"/>
    <cellStyle name="Процентный 13 3 6 2 2" xfId="44975"/>
    <cellStyle name="Процентный 13 3 6 3" xfId="44976"/>
    <cellStyle name="Процентный 13 3 7" xfId="44977"/>
    <cellStyle name="Процентный 13 3 7 2" xfId="44978"/>
    <cellStyle name="Процентный 13 3 8" xfId="44979"/>
    <cellStyle name="Процентный 13 3 8 2" xfId="44980"/>
    <cellStyle name="Процентный 13 3 9" xfId="44981"/>
    <cellStyle name="Процентный 13 4" xfId="44982"/>
    <cellStyle name="Процентный 13 4 2" xfId="44983"/>
    <cellStyle name="Процентный 13 4 2 2" xfId="44984"/>
    <cellStyle name="Процентный 13 4 2 2 2" xfId="44985"/>
    <cellStyle name="Процентный 13 4 2 2 2 2" xfId="44986"/>
    <cellStyle name="Процентный 13 4 2 2 2 2 2" xfId="44987"/>
    <cellStyle name="Процентный 13 4 2 2 2 3" xfId="44988"/>
    <cellStyle name="Процентный 13 4 2 2 3" xfId="44989"/>
    <cellStyle name="Процентный 13 4 2 2 3 2" xfId="44990"/>
    <cellStyle name="Процентный 13 4 2 2 4" xfId="44991"/>
    <cellStyle name="Процентный 13 4 2 3" xfId="44992"/>
    <cellStyle name="Процентный 13 4 2 3 2" xfId="44993"/>
    <cellStyle name="Процентный 13 4 2 3 2 2" xfId="44994"/>
    <cellStyle name="Процентный 13 4 2 3 3" xfId="44995"/>
    <cellStyle name="Процентный 13 4 2 4" xfId="44996"/>
    <cellStyle name="Процентный 13 4 2 4 2" xfId="44997"/>
    <cellStyle name="Процентный 13 4 2 4 2 2" xfId="44998"/>
    <cellStyle name="Процентный 13 4 2 4 3" xfId="44999"/>
    <cellStyle name="Процентный 13 4 2 5" xfId="45000"/>
    <cellStyle name="Процентный 13 4 2 5 2" xfId="45001"/>
    <cellStyle name="Процентный 13 4 2 6" xfId="45002"/>
    <cellStyle name="Процентный 13 4 2 6 2" xfId="45003"/>
    <cellStyle name="Процентный 13 4 2 7" xfId="45004"/>
    <cellStyle name="Процентный 13 4 3" xfId="45005"/>
    <cellStyle name="Процентный 13 4 3 2" xfId="45006"/>
    <cellStyle name="Процентный 13 4 3 2 2" xfId="45007"/>
    <cellStyle name="Процентный 13 4 3 2 2 2" xfId="45008"/>
    <cellStyle name="Процентный 13 4 3 2 3" xfId="45009"/>
    <cellStyle name="Процентный 13 4 3 3" xfId="45010"/>
    <cellStyle name="Процентный 13 4 3 3 2" xfId="45011"/>
    <cellStyle name="Процентный 13 4 3 3 2 2" xfId="45012"/>
    <cellStyle name="Процентный 13 4 3 3 3" xfId="45013"/>
    <cellStyle name="Процентный 13 4 3 4" xfId="45014"/>
    <cellStyle name="Процентный 13 4 3 4 2" xfId="45015"/>
    <cellStyle name="Процентный 13 4 3 5" xfId="45016"/>
    <cellStyle name="Процентный 13 4 3 5 2" xfId="45017"/>
    <cellStyle name="Процентный 13 4 3 6" xfId="45018"/>
    <cellStyle name="Процентный 13 4 4" xfId="45019"/>
    <cellStyle name="Процентный 13 4 4 2" xfId="45020"/>
    <cellStyle name="Процентный 13 4 4 2 2" xfId="45021"/>
    <cellStyle name="Процентный 13 4 4 3" xfId="45022"/>
    <cellStyle name="Процентный 13 4 5" xfId="45023"/>
    <cellStyle name="Процентный 13 4 5 2" xfId="45024"/>
    <cellStyle name="Процентный 13 4 5 2 2" xfId="45025"/>
    <cellStyle name="Процентный 13 4 5 3" xfId="45026"/>
    <cellStyle name="Процентный 13 4 6" xfId="45027"/>
    <cellStyle name="Процентный 13 4 6 2" xfId="45028"/>
    <cellStyle name="Процентный 13 4 7" xfId="45029"/>
    <cellStyle name="Процентный 13 4 7 2" xfId="45030"/>
    <cellStyle name="Процентный 13 4 8" xfId="45031"/>
    <cellStyle name="Процентный 13 5" xfId="45032"/>
    <cellStyle name="Процентный 13 5 2" xfId="45033"/>
    <cellStyle name="Процентный 13 5 2 2" xfId="45034"/>
    <cellStyle name="Процентный 13 5 2 2 2" xfId="45035"/>
    <cellStyle name="Процентный 13 5 2 3" xfId="45036"/>
    <cellStyle name="Процентный 13 5 2 3 2" xfId="45037"/>
    <cellStyle name="Процентный 13 5 2 4" xfId="45038"/>
    <cellStyle name="Процентный 13 5 3" xfId="45039"/>
    <cellStyle name="Процентный 13 5 3 2" xfId="45040"/>
    <cellStyle name="Процентный 13 5 3 2 2" xfId="45041"/>
    <cellStyle name="Процентный 13 5 3 3" xfId="45042"/>
    <cellStyle name="Процентный 13 5 4" xfId="45043"/>
    <cellStyle name="Процентный 13 5 4 2" xfId="45044"/>
    <cellStyle name="Процентный 13 5 5" xfId="45045"/>
    <cellStyle name="Процентный 13 5 5 2" xfId="45046"/>
    <cellStyle name="Процентный 13 5 6" xfId="45047"/>
    <cellStyle name="Процентный 13 6" xfId="45048"/>
    <cellStyle name="Процентный 13 6 2" xfId="45049"/>
    <cellStyle name="Процентный 13 6 2 2" xfId="45050"/>
    <cellStyle name="Процентный 13 6 2 2 2" xfId="45051"/>
    <cellStyle name="Процентный 13 6 2 3" xfId="45052"/>
    <cellStyle name="Процентный 13 6 3" xfId="45053"/>
    <cellStyle name="Процентный 13 6 3 2" xfId="45054"/>
    <cellStyle name="Процентный 13 6 3 2 2" xfId="45055"/>
    <cellStyle name="Процентный 13 6 3 3" xfId="45056"/>
    <cellStyle name="Процентный 13 6 4" xfId="45057"/>
    <cellStyle name="Процентный 13 6 4 2" xfId="45058"/>
    <cellStyle name="Процентный 13 6 5" xfId="45059"/>
    <cellStyle name="Процентный 13 6 5 2" xfId="45060"/>
    <cellStyle name="Процентный 13 6 6" xfId="45061"/>
    <cellStyle name="Процентный 13 7" xfId="45062"/>
    <cellStyle name="Процентный 13 7 2" xfId="45063"/>
    <cellStyle name="Процентный 13 7 2 2" xfId="45064"/>
    <cellStyle name="Процентный 13 7 2 2 2" xfId="45065"/>
    <cellStyle name="Процентный 13 7 2 3" xfId="45066"/>
    <cellStyle name="Процентный 13 7 3" xfId="45067"/>
    <cellStyle name="Процентный 13 7 3 2" xfId="45068"/>
    <cellStyle name="Процентный 13 7 3 2 2" xfId="45069"/>
    <cellStyle name="Процентный 13 7 3 3" xfId="45070"/>
    <cellStyle name="Процентный 13 7 4" xfId="45071"/>
    <cellStyle name="Процентный 13 7 4 2" xfId="45072"/>
    <cellStyle name="Процентный 13 7 5" xfId="45073"/>
    <cellStyle name="Процентный 13 7 5 2" xfId="45074"/>
    <cellStyle name="Процентный 13 7 6" xfId="45075"/>
    <cellStyle name="Процентный 13 8" xfId="45076"/>
    <cellStyle name="Процентный 13 8 2" xfId="45077"/>
    <cellStyle name="Процентный 13 8 2 2" xfId="45078"/>
    <cellStyle name="Процентный 13 8 2 2 2" xfId="45079"/>
    <cellStyle name="Процентный 13 8 2 3" xfId="45080"/>
    <cellStyle name="Процентный 13 8 3" xfId="45081"/>
    <cellStyle name="Процентный 13 8 3 2" xfId="45082"/>
    <cellStyle name="Процентный 13 8 3 2 2" xfId="45083"/>
    <cellStyle name="Процентный 13 8 3 3" xfId="45084"/>
    <cellStyle name="Процентный 13 8 4" xfId="45085"/>
    <cellStyle name="Процентный 13 8 4 2" xfId="45086"/>
    <cellStyle name="Процентный 13 8 5" xfId="45087"/>
    <cellStyle name="Процентный 13 8 5 2" xfId="45088"/>
    <cellStyle name="Процентный 13 8 6" xfId="45089"/>
    <cellStyle name="Процентный 13 9" xfId="45090"/>
    <cellStyle name="Процентный 13 9 2" xfId="45091"/>
    <cellStyle name="Процентный 13 9 2 2" xfId="45092"/>
    <cellStyle name="Процентный 13 9 2 2 2" xfId="45093"/>
    <cellStyle name="Процентный 13 9 2 3" xfId="45094"/>
    <cellStyle name="Процентный 13 9 3" xfId="45095"/>
    <cellStyle name="Процентный 13 9 3 2" xfId="45096"/>
    <cellStyle name="Процентный 13 9 3 2 2" xfId="45097"/>
    <cellStyle name="Процентный 13 9 3 3" xfId="45098"/>
    <cellStyle name="Процентный 13 9 4" xfId="45099"/>
    <cellStyle name="Процентный 13 9 4 2" xfId="45100"/>
    <cellStyle name="Процентный 13 9 5" xfId="45101"/>
    <cellStyle name="Процентный 13 9 5 2" xfId="45102"/>
    <cellStyle name="Процентный 13 9 6" xfId="45103"/>
    <cellStyle name="Процентный 14" xfId="45104"/>
    <cellStyle name="Процентный 14 10" xfId="45105"/>
    <cellStyle name="Процентный 14 10 2" xfId="45106"/>
    <cellStyle name="Процентный 14 11" xfId="45107"/>
    <cellStyle name="Процентный 14 11 2" xfId="45108"/>
    <cellStyle name="Процентный 14 12" xfId="45109"/>
    <cellStyle name="Процентный 14 2" xfId="45110"/>
    <cellStyle name="Процентный 14 2 2" xfId="45111"/>
    <cellStyle name="Процентный 14 2 2 2" xfId="45112"/>
    <cellStyle name="Процентный 14 2 2 2 2" xfId="45113"/>
    <cellStyle name="Процентный 14 2 2 2 2 2" xfId="45114"/>
    <cellStyle name="Процентный 14 2 2 2 2 2 2" xfId="45115"/>
    <cellStyle name="Процентный 14 2 2 2 2 3" xfId="45116"/>
    <cellStyle name="Процентный 14 2 2 2 3" xfId="45117"/>
    <cellStyle name="Процентный 14 2 2 2 3 2" xfId="45118"/>
    <cellStyle name="Процентный 14 2 2 2 3 2 2" xfId="45119"/>
    <cellStyle name="Процентный 14 2 2 2 3 3" xfId="45120"/>
    <cellStyle name="Процентный 14 2 2 2 4" xfId="45121"/>
    <cellStyle name="Процентный 14 2 2 2 4 2" xfId="45122"/>
    <cellStyle name="Процентный 14 2 2 2 5" xfId="45123"/>
    <cellStyle name="Процентный 14 2 2 2 5 2" xfId="45124"/>
    <cellStyle name="Процентный 14 2 2 2 6" xfId="45125"/>
    <cellStyle name="Процентный 14 2 2 3" xfId="45126"/>
    <cellStyle name="Процентный 14 2 2 3 2" xfId="45127"/>
    <cellStyle name="Процентный 14 2 2 3 2 2" xfId="45128"/>
    <cellStyle name="Процентный 14 2 2 3 2 2 2" xfId="45129"/>
    <cellStyle name="Процентный 14 2 2 3 2 3" xfId="45130"/>
    <cellStyle name="Процентный 14 2 2 3 3" xfId="45131"/>
    <cellStyle name="Процентный 14 2 2 3 3 2" xfId="45132"/>
    <cellStyle name="Процентный 14 2 2 3 3 2 2" xfId="45133"/>
    <cellStyle name="Процентный 14 2 2 3 3 3" xfId="45134"/>
    <cellStyle name="Процентный 14 2 2 3 4" xfId="45135"/>
    <cellStyle name="Процентный 14 2 2 3 4 2" xfId="45136"/>
    <cellStyle name="Процентный 14 2 2 3 5" xfId="45137"/>
    <cellStyle name="Процентный 14 2 2 4" xfId="45138"/>
    <cellStyle name="Процентный 14 2 2 4 2" xfId="45139"/>
    <cellStyle name="Процентный 14 2 2 4 2 2" xfId="45140"/>
    <cellStyle name="Процентный 14 2 2 4 3" xfId="45141"/>
    <cellStyle name="Процентный 14 2 2 5" xfId="45142"/>
    <cellStyle name="Процентный 14 2 2 5 2" xfId="45143"/>
    <cellStyle name="Процентный 14 2 2 5 2 2" xfId="45144"/>
    <cellStyle name="Процентный 14 2 2 5 3" xfId="45145"/>
    <cellStyle name="Процентный 14 2 2 6" xfId="45146"/>
    <cellStyle name="Процентный 14 2 2 6 2" xfId="45147"/>
    <cellStyle name="Процентный 14 2 2 7" xfId="45148"/>
    <cellStyle name="Процентный 14 2 2 7 2" xfId="45149"/>
    <cellStyle name="Процентный 14 2 2 8" xfId="45150"/>
    <cellStyle name="Процентный 14 2 3" xfId="45151"/>
    <cellStyle name="Процентный 14 2 3 2" xfId="45152"/>
    <cellStyle name="Процентный 14 2 3 2 2" xfId="45153"/>
    <cellStyle name="Процентный 14 2 3 2 2 2" xfId="45154"/>
    <cellStyle name="Процентный 14 2 3 2 3" xfId="45155"/>
    <cellStyle name="Процентный 14 2 3 3" xfId="45156"/>
    <cellStyle name="Процентный 14 2 3 3 2" xfId="45157"/>
    <cellStyle name="Процентный 14 2 3 3 2 2" xfId="45158"/>
    <cellStyle name="Процентный 14 2 3 3 3" xfId="45159"/>
    <cellStyle name="Процентный 14 2 3 4" xfId="45160"/>
    <cellStyle name="Процентный 14 2 3 4 2" xfId="45161"/>
    <cellStyle name="Процентный 14 2 3 5" xfId="45162"/>
    <cellStyle name="Процентный 14 2 3 5 2" xfId="45163"/>
    <cellStyle name="Процентный 14 2 3 6" xfId="45164"/>
    <cellStyle name="Процентный 14 2 4" xfId="45165"/>
    <cellStyle name="Процентный 14 2 4 2" xfId="45166"/>
    <cellStyle name="Процентный 14 2 4 2 2" xfId="45167"/>
    <cellStyle name="Процентный 14 2 4 2 2 2" xfId="45168"/>
    <cellStyle name="Процентный 14 2 4 2 3" xfId="45169"/>
    <cellStyle name="Процентный 14 2 4 3" xfId="45170"/>
    <cellStyle name="Процентный 14 2 4 3 2" xfId="45171"/>
    <cellStyle name="Процентный 14 2 4 3 2 2" xfId="45172"/>
    <cellStyle name="Процентный 14 2 4 3 3" xfId="45173"/>
    <cellStyle name="Процентный 14 2 4 4" xfId="45174"/>
    <cellStyle name="Процентный 14 2 4 4 2" xfId="45175"/>
    <cellStyle name="Процентный 14 2 4 5" xfId="45176"/>
    <cellStyle name="Процентный 14 2 4 5 2" xfId="45177"/>
    <cellStyle name="Процентный 14 2 4 6" xfId="45178"/>
    <cellStyle name="Процентный 14 2 5" xfId="45179"/>
    <cellStyle name="Процентный 14 2 5 2" xfId="45180"/>
    <cellStyle name="Процентный 14 2 5 2 2" xfId="45181"/>
    <cellStyle name="Процентный 14 2 5 3" xfId="45182"/>
    <cellStyle name="Процентный 14 2 6" xfId="45183"/>
    <cellStyle name="Процентный 14 2 6 2" xfId="45184"/>
    <cellStyle name="Процентный 14 2 6 2 2" xfId="45185"/>
    <cellStyle name="Процентный 14 2 6 3" xfId="45186"/>
    <cellStyle name="Процентный 14 2 7" xfId="45187"/>
    <cellStyle name="Процентный 14 2 7 2" xfId="45188"/>
    <cellStyle name="Процентный 14 2 8" xfId="45189"/>
    <cellStyle name="Процентный 14 2 8 2" xfId="45190"/>
    <cellStyle name="Процентный 14 2 9" xfId="45191"/>
    <cellStyle name="Процентный 14 3" xfId="45192"/>
    <cellStyle name="Процентный 14 3 2" xfId="45193"/>
    <cellStyle name="Процентный 14 3 2 2" xfId="45194"/>
    <cellStyle name="Процентный 14 3 2 2 2" xfId="45195"/>
    <cellStyle name="Процентный 14 3 2 2 2 2" xfId="45196"/>
    <cellStyle name="Процентный 14 3 2 2 2 2 2" xfId="45197"/>
    <cellStyle name="Процентный 14 3 2 2 2 3" xfId="45198"/>
    <cellStyle name="Процентный 14 3 2 2 3" xfId="45199"/>
    <cellStyle name="Процентный 14 3 2 2 3 2" xfId="45200"/>
    <cellStyle name="Процентный 14 3 2 2 3 2 2" xfId="45201"/>
    <cellStyle name="Процентный 14 3 2 2 3 3" xfId="45202"/>
    <cellStyle name="Процентный 14 3 2 2 4" xfId="45203"/>
    <cellStyle name="Процентный 14 3 2 2 4 2" xfId="45204"/>
    <cellStyle name="Процентный 14 3 2 2 5" xfId="45205"/>
    <cellStyle name="Процентный 14 3 2 2 5 2" xfId="45206"/>
    <cellStyle name="Процентный 14 3 2 2 6" xfId="45207"/>
    <cellStyle name="Процентный 14 3 2 3" xfId="45208"/>
    <cellStyle name="Процентный 14 3 2 3 2" xfId="45209"/>
    <cellStyle name="Процентный 14 3 2 3 2 2" xfId="45210"/>
    <cellStyle name="Процентный 14 3 2 3 2 2 2" xfId="45211"/>
    <cellStyle name="Процентный 14 3 2 3 2 3" xfId="45212"/>
    <cellStyle name="Процентный 14 3 2 3 3" xfId="45213"/>
    <cellStyle name="Процентный 14 3 2 3 3 2" xfId="45214"/>
    <cellStyle name="Процентный 14 3 2 3 3 2 2" xfId="45215"/>
    <cellStyle name="Процентный 14 3 2 3 3 3" xfId="45216"/>
    <cellStyle name="Процентный 14 3 2 3 4" xfId="45217"/>
    <cellStyle name="Процентный 14 3 2 3 4 2" xfId="45218"/>
    <cellStyle name="Процентный 14 3 2 3 5" xfId="45219"/>
    <cellStyle name="Процентный 14 3 2 4" xfId="45220"/>
    <cellStyle name="Процентный 14 3 2 4 2" xfId="45221"/>
    <cellStyle name="Процентный 14 3 2 5" xfId="45222"/>
    <cellStyle name="Процентный 14 3 3" xfId="45223"/>
    <cellStyle name="Процентный 14 3 3 2" xfId="45224"/>
    <cellStyle name="Процентный 14 3 3 2 2" xfId="45225"/>
    <cellStyle name="Процентный 14 3 3 2 2 2" xfId="45226"/>
    <cellStyle name="Процентный 14 3 3 2 3" xfId="45227"/>
    <cellStyle name="Процентный 14 3 3 3" xfId="45228"/>
    <cellStyle name="Процентный 14 3 3 3 2" xfId="45229"/>
    <cellStyle name="Процентный 14 3 3 3 2 2" xfId="45230"/>
    <cellStyle name="Процентный 14 3 3 3 3" xfId="45231"/>
    <cellStyle name="Процентный 14 3 3 4" xfId="45232"/>
    <cellStyle name="Процентный 14 3 3 4 2" xfId="45233"/>
    <cellStyle name="Процентный 14 3 3 5" xfId="45234"/>
    <cellStyle name="Процентный 14 3 3 5 2" xfId="45235"/>
    <cellStyle name="Процентный 14 3 3 6" xfId="45236"/>
    <cellStyle name="Процентный 14 3 4" xfId="45237"/>
    <cellStyle name="Процентный 14 3 4 2" xfId="45238"/>
    <cellStyle name="Процентный 14 3 4 2 2" xfId="45239"/>
    <cellStyle name="Процентный 14 3 4 3" xfId="45240"/>
    <cellStyle name="Процентный 14 3 4 3 2" xfId="45241"/>
    <cellStyle name="Процентный 14 3 4 4" xfId="45242"/>
    <cellStyle name="Процентный 14 3 5" xfId="45243"/>
    <cellStyle name="Процентный 14 3 5 2" xfId="45244"/>
    <cellStyle name="Процентный 14 3 5 2 2" xfId="45245"/>
    <cellStyle name="Процентный 14 3 5 3" xfId="45246"/>
    <cellStyle name="Процентный 14 3 6" xfId="45247"/>
    <cellStyle name="Процентный 14 3 6 2" xfId="45248"/>
    <cellStyle name="Процентный 14 3 7" xfId="45249"/>
    <cellStyle name="Процентный 14 3 7 2" xfId="45250"/>
    <cellStyle name="Процентный 14 3 8" xfId="45251"/>
    <cellStyle name="Процентный 14 4" xfId="45252"/>
    <cellStyle name="Процентный 14 4 2" xfId="45253"/>
    <cellStyle name="Процентный 14 4 2 2" xfId="45254"/>
    <cellStyle name="Процентный 14 4 2 2 2" xfId="45255"/>
    <cellStyle name="Процентный 14 4 2 2 2 2" xfId="45256"/>
    <cellStyle name="Процентный 14 4 2 2 3" xfId="45257"/>
    <cellStyle name="Процентный 14 4 2 3" xfId="45258"/>
    <cellStyle name="Процентный 14 4 2 3 2" xfId="45259"/>
    <cellStyle name="Процентный 14 4 2 3 2 2" xfId="45260"/>
    <cellStyle name="Процентный 14 4 2 3 3" xfId="45261"/>
    <cellStyle name="Процентный 14 4 2 4" xfId="45262"/>
    <cellStyle name="Процентный 14 4 2 4 2" xfId="45263"/>
    <cellStyle name="Процентный 14 4 2 5" xfId="45264"/>
    <cellStyle name="Процентный 14 4 2 5 2" xfId="45265"/>
    <cellStyle name="Процентный 14 4 2 6" xfId="45266"/>
    <cellStyle name="Процентный 14 4 3" xfId="45267"/>
    <cellStyle name="Процентный 14 4 3 2" xfId="45268"/>
    <cellStyle name="Процентный 14 4 3 2 2" xfId="45269"/>
    <cellStyle name="Процентный 14 4 3 2 2 2" xfId="45270"/>
    <cellStyle name="Процентный 14 4 3 2 3" xfId="45271"/>
    <cellStyle name="Процентный 14 4 3 3" xfId="45272"/>
    <cellStyle name="Процентный 14 4 3 3 2" xfId="45273"/>
    <cellStyle name="Процентный 14 4 3 3 2 2" xfId="45274"/>
    <cellStyle name="Процентный 14 4 3 3 3" xfId="45275"/>
    <cellStyle name="Процентный 14 4 3 4" xfId="45276"/>
    <cellStyle name="Процентный 14 4 3 4 2" xfId="45277"/>
    <cellStyle name="Процентный 14 4 3 5" xfId="45278"/>
    <cellStyle name="Процентный 14 4 3 5 2" xfId="45279"/>
    <cellStyle name="Процентный 14 4 3 6" xfId="45280"/>
    <cellStyle name="Процентный 14 4 4" xfId="45281"/>
    <cellStyle name="Процентный 14 4 4 2" xfId="45282"/>
    <cellStyle name="Процентный 14 4 4 2 2" xfId="45283"/>
    <cellStyle name="Процентный 14 4 4 2 2 2" xfId="45284"/>
    <cellStyle name="Процентный 14 4 4 2 3" xfId="45285"/>
    <cellStyle name="Процентный 14 4 4 3" xfId="45286"/>
    <cellStyle name="Процентный 14 4 4 3 2" xfId="45287"/>
    <cellStyle name="Процентный 14 4 4 4" xfId="45288"/>
    <cellStyle name="Процентный 14 4 4 4 2" xfId="45289"/>
    <cellStyle name="Процентный 14 4 4 5" xfId="45290"/>
    <cellStyle name="Процентный 14 4 5" xfId="45291"/>
    <cellStyle name="Процентный 14 4 5 2" xfId="45292"/>
    <cellStyle name="Процентный 14 4 6" xfId="45293"/>
    <cellStyle name="Процентный 14 4 6 2" xfId="45294"/>
    <cellStyle name="Процентный 14 4 7" xfId="45295"/>
    <cellStyle name="Процентный 14 5" xfId="45296"/>
    <cellStyle name="Процентный 14 5 2" xfId="45297"/>
    <cellStyle name="Процентный 14 5 2 2" xfId="45298"/>
    <cellStyle name="Процентный 14 5 2 2 2" xfId="45299"/>
    <cellStyle name="Процентный 14 5 2 2 2 2" xfId="45300"/>
    <cellStyle name="Процентный 14 5 2 2 3" xfId="45301"/>
    <cellStyle name="Процентный 14 5 2 3" xfId="45302"/>
    <cellStyle name="Процентный 14 5 2 3 2" xfId="45303"/>
    <cellStyle name="Процентный 14 5 2 3 2 2" xfId="45304"/>
    <cellStyle name="Процентный 14 5 2 3 3" xfId="45305"/>
    <cellStyle name="Процентный 14 5 2 4" xfId="45306"/>
    <cellStyle name="Процентный 14 5 2 4 2" xfId="45307"/>
    <cellStyle name="Процентный 14 5 2 5" xfId="45308"/>
    <cellStyle name="Процентный 14 5 3" xfId="45309"/>
    <cellStyle name="Процентный 14 5 3 2" xfId="45310"/>
    <cellStyle name="Процентный 14 5 3 2 2" xfId="45311"/>
    <cellStyle name="Процентный 14 5 3 2 2 2" xfId="45312"/>
    <cellStyle name="Процентный 14 5 3 2 3" xfId="45313"/>
    <cellStyle name="Процентный 14 5 3 3" xfId="45314"/>
    <cellStyle name="Процентный 14 5 3 3 2" xfId="45315"/>
    <cellStyle name="Процентный 14 5 3 3 2 2" xfId="45316"/>
    <cellStyle name="Процентный 14 5 3 3 3" xfId="45317"/>
    <cellStyle name="Процентный 14 5 3 4" xfId="45318"/>
    <cellStyle name="Процентный 14 5 3 4 2" xfId="45319"/>
    <cellStyle name="Процентный 14 5 3 5" xfId="45320"/>
    <cellStyle name="Процентный 14 5 4" xfId="45321"/>
    <cellStyle name="Процентный 14 5 4 2" xfId="45322"/>
    <cellStyle name="Процентный 14 5 4 2 2" xfId="45323"/>
    <cellStyle name="Процентный 14 5 4 3" xfId="45324"/>
    <cellStyle name="Процентный 14 5 5" xfId="45325"/>
    <cellStyle name="Процентный 14 5 5 2" xfId="45326"/>
    <cellStyle name="Процентный 14 5 5 2 2" xfId="45327"/>
    <cellStyle name="Процентный 14 5 5 3" xfId="45328"/>
    <cellStyle name="Процентный 14 5 6" xfId="45329"/>
    <cellStyle name="Процентный 14 5 6 2" xfId="45330"/>
    <cellStyle name="Процентный 14 5 7" xfId="45331"/>
    <cellStyle name="Процентный 14 5 7 2" xfId="45332"/>
    <cellStyle name="Процентный 14 5 8" xfId="45333"/>
    <cellStyle name="Процентный 14 6" xfId="45334"/>
    <cellStyle name="Процентный 14 6 2" xfId="45335"/>
    <cellStyle name="Процентный 14 6 2 2" xfId="45336"/>
    <cellStyle name="Процентный 14 6 2 2 2" xfId="45337"/>
    <cellStyle name="Процентный 14 6 2 3" xfId="45338"/>
    <cellStyle name="Процентный 14 6 3" xfId="45339"/>
    <cellStyle name="Процентный 14 6 3 2" xfId="45340"/>
    <cellStyle name="Процентный 14 6 3 2 2" xfId="45341"/>
    <cellStyle name="Процентный 14 6 3 3" xfId="45342"/>
    <cellStyle name="Процентный 14 6 4" xfId="45343"/>
    <cellStyle name="Процентный 14 6 4 2" xfId="45344"/>
    <cellStyle name="Процентный 14 6 5" xfId="45345"/>
    <cellStyle name="Процентный 14 6 5 2" xfId="45346"/>
    <cellStyle name="Процентный 14 6 6" xfId="45347"/>
    <cellStyle name="Процентный 14 7" xfId="45348"/>
    <cellStyle name="Процентный 14 7 2" xfId="45349"/>
    <cellStyle name="Процентный 14 7 2 2" xfId="45350"/>
    <cellStyle name="Процентный 14 7 2 2 2" xfId="45351"/>
    <cellStyle name="Процентный 14 7 2 3" xfId="45352"/>
    <cellStyle name="Процентный 14 7 3" xfId="45353"/>
    <cellStyle name="Процентный 14 7 3 2" xfId="45354"/>
    <cellStyle name="Процентный 14 7 3 2 2" xfId="45355"/>
    <cellStyle name="Процентный 14 7 3 3" xfId="45356"/>
    <cellStyle name="Процентный 14 7 4" xfId="45357"/>
    <cellStyle name="Процентный 14 7 4 2" xfId="45358"/>
    <cellStyle name="Процентный 14 7 5" xfId="45359"/>
    <cellStyle name="Процентный 14 7 5 2" xfId="45360"/>
    <cellStyle name="Процентный 14 7 6" xfId="45361"/>
    <cellStyle name="Процентный 14 8" xfId="45362"/>
    <cellStyle name="Процентный 14 8 2" xfId="45363"/>
    <cellStyle name="Процентный 14 8 2 2" xfId="45364"/>
    <cellStyle name="Процентный 14 8 3" xfId="45365"/>
    <cellStyle name="Процентный 14 9" xfId="45366"/>
    <cellStyle name="Процентный 14 9 2" xfId="45367"/>
    <cellStyle name="Процентный 14 9 2 2" xfId="45368"/>
    <cellStyle name="Процентный 14 9 3" xfId="45369"/>
    <cellStyle name="Процентный 15" xfId="45370"/>
    <cellStyle name="Процентный 15 10" xfId="45371"/>
    <cellStyle name="Процентный 15 10 2" xfId="45372"/>
    <cellStyle name="Процентный 15 11" xfId="45373"/>
    <cellStyle name="Процентный 15 11 2" xfId="45374"/>
    <cellStyle name="Процентный 15 12" xfId="45375"/>
    <cellStyle name="Процентный 15 2" xfId="45376"/>
    <cellStyle name="Процентный 15 2 2" xfId="45377"/>
    <cellStyle name="Процентный 15 2 2 2" xfId="45378"/>
    <cellStyle name="Процентный 15 2 2 2 2" xfId="45379"/>
    <cellStyle name="Процентный 15 2 2 2 2 2" xfId="45380"/>
    <cellStyle name="Процентный 15 2 2 2 2 2 2" xfId="45381"/>
    <cellStyle name="Процентный 15 2 2 2 2 2 2 2" xfId="45382"/>
    <cellStyle name="Процентный 15 2 2 2 2 2 2 2 2" xfId="45383"/>
    <cellStyle name="Процентный 15 2 2 2 2 2 2 3" xfId="45384"/>
    <cellStyle name="Процентный 15 2 2 2 2 2 3" xfId="45385"/>
    <cellStyle name="Процентный 15 2 2 2 2 2 3 2" xfId="45386"/>
    <cellStyle name="Процентный 15 2 2 2 2 2 3 2 2" xfId="45387"/>
    <cellStyle name="Процентный 15 2 2 2 2 2 3 3" xfId="45388"/>
    <cellStyle name="Процентный 15 2 2 2 2 2 4" xfId="45389"/>
    <cellStyle name="Процентный 15 2 2 2 2 2 4 2" xfId="45390"/>
    <cellStyle name="Процентный 15 2 2 2 2 2 5" xfId="45391"/>
    <cellStyle name="Процентный 15 2 2 2 2 3" xfId="45392"/>
    <cellStyle name="Процентный 15 2 2 2 2 3 2" xfId="45393"/>
    <cellStyle name="Процентный 15 2 2 2 2 3 2 2" xfId="45394"/>
    <cellStyle name="Процентный 15 2 2 2 2 3 2 2 2" xfId="45395"/>
    <cellStyle name="Процентный 15 2 2 2 2 3 2 3" xfId="45396"/>
    <cellStyle name="Процентный 15 2 2 2 2 3 3" xfId="45397"/>
    <cellStyle name="Процентный 15 2 2 2 2 3 3 2" xfId="45398"/>
    <cellStyle name="Процентный 15 2 2 2 2 3 3 2 2" xfId="45399"/>
    <cellStyle name="Процентный 15 2 2 2 2 3 3 3" xfId="45400"/>
    <cellStyle name="Процентный 15 2 2 2 2 3 4" xfId="45401"/>
    <cellStyle name="Процентный 15 2 2 2 2 3 4 2" xfId="45402"/>
    <cellStyle name="Процентный 15 2 2 2 2 3 5" xfId="45403"/>
    <cellStyle name="Процентный 15 2 2 2 2 4" xfId="45404"/>
    <cellStyle name="Процентный 15 2 2 2 2 4 2" xfId="45405"/>
    <cellStyle name="Процентный 15 2 2 2 2 4 2 2" xfId="45406"/>
    <cellStyle name="Процентный 15 2 2 2 2 4 3" xfId="45407"/>
    <cellStyle name="Процентный 15 2 2 2 2 5" xfId="45408"/>
    <cellStyle name="Процентный 15 2 2 2 2 5 2" xfId="45409"/>
    <cellStyle name="Процентный 15 2 2 2 2 5 2 2" xfId="45410"/>
    <cellStyle name="Процентный 15 2 2 2 2 5 3" xfId="45411"/>
    <cellStyle name="Процентный 15 2 2 2 2 6" xfId="45412"/>
    <cellStyle name="Процентный 15 2 2 2 2 6 2" xfId="45413"/>
    <cellStyle name="Процентный 15 2 2 2 2 7" xfId="45414"/>
    <cellStyle name="Процентный 15 2 2 2 2 7 2" xfId="45415"/>
    <cellStyle name="Процентный 15 2 2 2 2 8" xfId="45416"/>
    <cellStyle name="Процентный 15 2 2 2 3" xfId="45417"/>
    <cellStyle name="Процентный 15 2 2 2 3 2" xfId="45418"/>
    <cellStyle name="Процентный 15 2 2 2 3 2 2" xfId="45419"/>
    <cellStyle name="Процентный 15 2 2 2 3 2 2 2" xfId="45420"/>
    <cellStyle name="Процентный 15 2 2 2 3 2 3" xfId="45421"/>
    <cellStyle name="Процентный 15 2 2 2 3 3" xfId="45422"/>
    <cellStyle name="Процентный 15 2 2 2 3 3 2" xfId="45423"/>
    <cellStyle name="Процентный 15 2 2 2 3 3 2 2" xfId="45424"/>
    <cellStyle name="Процентный 15 2 2 2 3 3 3" xfId="45425"/>
    <cellStyle name="Процентный 15 2 2 2 3 4" xfId="45426"/>
    <cellStyle name="Процентный 15 2 2 2 3 4 2" xfId="45427"/>
    <cellStyle name="Процентный 15 2 2 2 3 5" xfId="45428"/>
    <cellStyle name="Процентный 15 2 2 2 4" xfId="45429"/>
    <cellStyle name="Процентный 15 2 2 2 4 2" xfId="45430"/>
    <cellStyle name="Процентный 15 2 2 2 4 2 2" xfId="45431"/>
    <cellStyle name="Процентный 15 2 2 2 4 2 2 2" xfId="45432"/>
    <cellStyle name="Процентный 15 2 2 2 4 2 3" xfId="45433"/>
    <cellStyle name="Процентный 15 2 2 2 4 3" xfId="45434"/>
    <cellStyle name="Процентный 15 2 2 2 4 3 2" xfId="45435"/>
    <cellStyle name="Процентный 15 2 2 2 4 3 2 2" xfId="45436"/>
    <cellStyle name="Процентный 15 2 2 2 4 3 3" xfId="45437"/>
    <cellStyle name="Процентный 15 2 2 2 4 4" xfId="45438"/>
    <cellStyle name="Процентный 15 2 2 2 4 4 2" xfId="45439"/>
    <cellStyle name="Процентный 15 2 2 2 4 5" xfId="45440"/>
    <cellStyle name="Процентный 15 2 2 2 5" xfId="45441"/>
    <cellStyle name="Процентный 15 2 2 2 5 2" xfId="45442"/>
    <cellStyle name="Процентный 15 2 2 2 5 2 2" xfId="45443"/>
    <cellStyle name="Процентный 15 2 2 2 5 3" xfId="45444"/>
    <cellStyle name="Процентный 15 2 2 2 6" xfId="45445"/>
    <cellStyle name="Процентный 15 2 2 2 6 2" xfId="45446"/>
    <cellStyle name="Процентный 15 2 2 2 6 2 2" xfId="45447"/>
    <cellStyle name="Процентный 15 2 2 2 6 3" xfId="45448"/>
    <cellStyle name="Процентный 15 2 2 2 7" xfId="45449"/>
    <cellStyle name="Процентный 15 2 2 2 7 2" xfId="45450"/>
    <cellStyle name="Процентный 15 2 2 2 8" xfId="45451"/>
    <cellStyle name="Процентный 15 2 2 2 8 2" xfId="45452"/>
    <cellStyle name="Процентный 15 2 2 2 9" xfId="45453"/>
    <cellStyle name="Процентный 15 2 2 3" xfId="45454"/>
    <cellStyle name="Процентный 15 2 2 3 2" xfId="45455"/>
    <cellStyle name="Процентный 15 2 2 3 2 2" xfId="45456"/>
    <cellStyle name="Процентный 15 2 2 3 2 2 2" xfId="45457"/>
    <cellStyle name="Процентный 15 2 2 3 2 3" xfId="45458"/>
    <cellStyle name="Процентный 15 2 2 3 3" xfId="45459"/>
    <cellStyle name="Процентный 15 2 2 3 3 2" xfId="45460"/>
    <cellStyle name="Процентный 15 2 2 3 3 2 2" xfId="45461"/>
    <cellStyle name="Процентный 15 2 2 3 3 3" xfId="45462"/>
    <cellStyle name="Процентный 15 2 2 3 4" xfId="45463"/>
    <cellStyle name="Процентный 15 2 2 3 4 2" xfId="45464"/>
    <cellStyle name="Процентный 15 2 2 3 5" xfId="45465"/>
    <cellStyle name="Процентный 15 2 2 4" xfId="45466"/>
    <cellStyle name="Процентный 15 2 2 4 2" xfId="45467"/>
    <cellStyle name="Процентный 15 2 2 4 2 2" xfId="45468"/>
    <cellStyle name="Процентный 15 2 2 4 2 2 2" xfId="45469"/>
    <cellStyle name="Процентный 15 2 2 4 2 3" xfId="45470"/>
    <cellStyle name="Процентный 15 2 2 4 3" xfId="45471"/>
    <cellStyle name="Процентный 15 2 2 4 3 2" xfId="45472"/>
    <cellStyle name="Процентный 15 2 2 4 3 2 2" xfId="45473"/>
    <cellStyle name="Процентный 15 2 2 4 3 3" xfId="45474"/>
    <cellStyle name="Процентный 15 2 2 4 4" xfId="45475"/>
    <cellStyle name="Процентный 15 2 2 4 4 2" xfId="45476"/>
    <cellStyle name="Процентный 15 2 2 4 5" xfId="45477"/>
    <cellStyle name="Процентный 15 2 2 5" xfId="45478"/>
    <cellStyle name="Процентный 15 2 2 5 2" xfId="45479"/>
    <cellStyle name="Процентный 15 2 2 6" xfId="45480"/>
    <cellStyle name="Процентный 15 2 2 6 2" xfId="45481"/>
    <cellStyle name="Процентный 15 2 2 7" xfId="45482"/>
    <cellStyle name="Процентный 15 2 3" xfId="45483"/>
    <cellStyle name="Процентный 15 2 3 2" xfId="45484"/>
    <cellStyle name="Процентный 15 2 3 2 2" xfId="45485"/>
    <cellStyle name="Процентный 15 2 3 2 2 2" xfId="45486"/>
    <cellStyle name="Процентный 15 2 3 2 2 2 2" xfId="45487"/>
    <cellStyle name="Процентный 15 2 3 2 2 2 2 2" xfId="45488"/>
    <cellStyle name="Процентный 15 2 3 2 2 2 2 2 2" xfId="45489"/>
    <cellStyle name="Процентный 15 2 3 2 2 2 2 3" xfId="45490"/>
    <cellStyle name="Процентный 15 2 3 2 2 2 3" xfId="45491"/>
    <cellStyle name="Процентный 15 2 3 2 2 2 3 2" xfId="45492"/>
    <cellStyle name="Процентный 15 2 3 2 2 2 3 2 2" xfId="45493"/>
    <cellStyle name="Процентный 15 2 3 2 2 2 3 3" xfId="45494"/>
    <cellStyle name="Процентный 15 2 3 2 2 2 4" xfId="45495"/>
    <cellStyle name="Процентный 15 2 3 2 2 2 4 2" xfId="45496"/>
    <cellStyle name="Процентный 15 2 3 2 2 2 5" xfId="45497"/>
    <cellStyle name="Процентный 15 2 3 2 2 3" xfId="45498"/>
    <cellStyle name="Процентный 15 2 3 2 2 3 2" xfId="45499"/>
    <cellStyle name="Процентный 15 2 3 2 2 3 2 2" xfId="45500"/>
    <cellStyle name="Процентный 15 2 3 2 2 3 3" xfId="45501"/>
    <cellStyle name="Процентный 15 2 3 2 2 4" xfId="45502"/>
    <cellStyle name="Процентный 15 2 3 2 2 4 2" xfId="45503"/>
    <cellStyle name="Процентный 15 2 3 2 2 4 2 2" xfId="45504"/>
    <cellStyle name="Процентный 15 2 3 2 2 4 3" xfId="45505"/>
    <cellStyle name="Процентный 15 2 3 2 2 5" xfId="45506"/>
    <cellStyle name="Процентный 15 2 3 2 2 5 2" xfId="45507"/>
    <cellStyle name="Процентный 15 2 3 2 2 6" xfId="45508"/>
    <cellStyle name="Процентный 15 2 3 2 2 6 2" xfId="45509"/>
    <cellStyle name="Процентный 15 2 3 2 2 7" xfId="45510"/>
    <cellStyle name="Процентный 15 2 3 2 3" xfId="45511"/>
    <cellStyle name="Процентный 15 2 3 2 3 2" xfId="45512"/>
    <cellStyle name="Процентный 15 2 3 2 3 2 2" xfId="45513"/>
    <cellStyle name="Процентный 15 2 3 2 3 3" xfId="45514"/>
    <cellStyle name="Процентный 15 2 3 2 4" xfId="45515"/>
    <cellStyle name="Процентный 15 2 3 2 4 2" xfId="45516"/>
    <cellStyle name="Процентный 15 2 3 2 4 2 2" xfId="45517"/>
    <cellStyle name="Процентный 15 2 3 2 4 3" xfId="45518"/>
    <cellStyle name="Процентный 15 2 3 2 5" xfId="45519"/>
    <cellStyle name="Процентный 15 2 3 2 5 2" xfId="45520"/>
    <cellStyle name="Процентный 15 2 3 2 6" xfId="45521"/>
    <cellStyle name="Процентный 15 2 3 2 6 2" xfId="45522"/>
    <cellStyle name="Процентный 15 2 3 2 7" xfId="45523"/>
    <cellStyle name="Процентный 15 2 3 3" xfId="45524"/>
    <cellStyle name="Процентный 15 2 3 3 2" xfId="45525"/>
    <cellStyle name="Процентный 15 2 3 3 2 2" xfId="45526"/>
    <cellStyle name="Процентный 15 2 3 3 3" xfId="45527"/>
    <cellStyle name="Процентный 15 2 3 4" xfId="45528"/>
    <cellStyle name="Процентный 15 2 3 4 2" xfId="45529"/>
    <cellStyle name="Процентный 15 2 3 4 2 2" xfId="45530"/>
    <cellStyle name="Процентный 15 2 3 4 3" xfId="45531"/>
    <cellStyle name="Процентный 15 2 3 5" xfId="45532"/>
    <cellStyle name="Процентный 15 2 3 5 2" xfId="45533"/>
    <cellStyle name="Процентный 15 2 3 6" xfId="45534"/>
    <cellStyle name="Процентный 15 2 3 6 2" xfId="45535"/>
    <cellStyle name="Процентный 15 2 3 7" xfId="45536"/>
    <cellStyle name="Процентный 15 2 4" xfId="45537"/>
    <cellStyle name="Процентный 15 2 4 2" xfId="45538"/>
    <cellStyle name="Процентный 15 2 4 2 2" xfId="45539"/>
    <cellStyle name="Процентный 15 2 4 2 2 2" xfId="45540"/>
    <cellStyle name="Процентный 15 2 4 2 3" xfId="45541"/>
    <cellStyle name="Процентный 15 2 4 3" xfId="45542"/>
    <cellStyle name="Процентный 15 2 4 3 2" xfId="45543"/>
    <cellStyle name="Процентный 15 2 4 3 2 2" xfId="45544"/>
    <cellStyle name="Процентный 15 2 4 3 3" xfId="45545"/>
    <cellStyle name="Процентный 15 2 4 4" xfId="45546"/>
    <cellStyle name="Процентный 15 2 4 4 2" xfId="45547"/>
    <cellStyle name="Процентный 15 2 4 5" xfId="45548"/>
    <cellStyle name="Процентный 15 2 4 5 2" xfId="45549"/>
    <cellStyle name="Процентный 15 2 4 6" xfId="45550"/>
    <cellStyle name="Процентный 15 2 5" xfId="45551"/>
    <cellStyle name="Процентный 15 2 5 2" xfId="45552"/>
    <cellStyle name="Процентный 15 2 5 2 2" xfId="45553"/>
    <cellStyle name="Процентный 15 2 5 3" xfId="45554"/>
    <cellStyle name="Процентный 15 2 6" xfId="45555"/>
    <cellStyle name="Процентный 15 2 6 2" xfId="45556"/>
    <cellStyle name="Процентный 15 2 6 2 2" xfId="45557"/>
    <cellStyle name="Процентный 15 2 6 3" xfId="45558"/>
    <cellStyle name="Процентный 15 2 7" xfId="45559"/>
    <cellStyle name="Процентный 15 2 7 2" xfId="45560"/>
    <cellStyle name="Процентный 15 2 8" xfId="45561"/>
    <cellStyle name="Процентный 15 2 8 2" xfId="45562"/>
    <cellStyle name="Процентный 15 2 9" xfId="45563"/>
    <cellStyle name="Процентный 15 3" xfId="45564"/>
    <cellStyle name="Процентный 15 3 2" xfId="45565"/>
    <cellStyle name="Процентный 15 3 2 2" xfId="45566"/>
    <cellStyle name="Процентный 15 3 2 2 2" xfId="45567"/>
    <cellStyle name="Процентный 15 3 2 2 2 2" xfId="45568"/>
    <cellStyle name="Процентный 15 3 2 2 3" xfId="45569"/>
    <cellStyle name="Процентный 15 3 2 3" xfId="45570"/>
    <cellStyle name="Процентный 15 3 2 3 2" xfId="45571"/>
    <cellStyle name="Процентный 15 3 2 3 2 2" xfId="45572"/>
    <cellStyle name="Процентный 15 3 2 3 3" xfId="45573"/>
    <cellStyle name="Процентный 15 3 2 4" xfId="45574"/>
    <cellStyle name="Процентный 15 3 2 4 2" xfId="45575"/>
    <cellStyle name="Процентный 15 3 2 5" xfId="45576"/>
    <cellStyle name="Процентный 15 3 2 5 2" xfId="45577"/>
    <cellStyle name="Процентный 15 3 2 6" xfId="45578"/>
    <cellStyle name="Процентный 15 3 3" xfId="45579"/>
    <cellStyle name="Процентный 15 3 3 2" xfId="45580"/>
    <cellStyle name="Процентный 15 3 3 2 2" xfId="45581"/>
    <cellStyle name="Процентный 15 3 3 2 2 2" xfId="45582"/>
    <cellStyle name="Процентный 15 3 3 2 3" xfId="45583"/>
    <cellStyle name="Процентный 15 3 3 3" xfId="45584"/>
    <cellStyle name="Процентный 15 3 3 3 2" xfId="45585"/>
    <cellStyle name="Процентный 15 3 3 3 2 2" xfId="45586"/>
    <cellStyle name="Процентный 15 3 3 3 3" xfId="45587"/>
    <cellStyle name="Процентный 15 3 3 4" xfId="45588"/>
    <cellStyle name="Процентный 15 3 3 4 2" xfId="45589"/>
    <cellStyle name="Процентный 15 3 3 5" xfId="45590"/>
    <cellStyle name="Процентный 15 3 3 5 2" xfId="45591"/>
    <cellStyle name="Процентный 15 3 3 6" xfId="45592"/>
    <cellStyle name="Процентный 15 3 4" xfId="45593"/>
    <cellStyle name="Процентный 15 3 4 2" xfId="45594"/>
    <cellStyle name="Процентный 15 3 5" xfId="45595"/>
    <cellStyle name="Процентный 15 3 5 2" xfId="45596"/>
    <cellStyle name="Процентный 15 3 6" xfId="45597"/>
    <cellStyle name="Процентный 15 4" xfId="45598"/>
    <cellStyle name="Процентный 15 4 2" xfId="45599"/>
    <cellStyle name="Процентный 15 4 2 2" xfId="45600"/>
    <cellStyle name="Процентный 15 4 2 2 2" xfId="45601"/>
    <cellStyle name="Процентный 15 4 2 2 2 2" xfId="45602"/>
    <cellStyle name="Процентный 15 4 2 2 3" xfId="45603"/>
    <cellStyle name="Процентный 15 4 2 3" xfId="45604"/>
    <cellStyle name="Процентный 15 4 2 3 2" xfId="45605"/>
    <cellStyle name="Процентный 15 4 2 3 2 2" xfId="45606"/>
    <cellStyle name="Процентный 15 4 2 3 3" xfId="45607"/>
    <cellStyle name="Процентный 15 4 2 4" xfId="45608"/>
    <cellStyle name="Процентный 15 4 2 4 2" xfId="45609"/>
    <cellStyle name="Процентный 15 4 2 5" xfId="45610"/>
    <cellStyle name="Процентный 15 4 2 5 2" xfId="45611"/>
    <cellStyle name="Процентный 15 4 2 6" xfId="45612"/>
    <cellStyle name="Процентный 15 4 3" xfId="45613"/>
    <cellStyle name="Процентный 15 4 3 2" xfId="45614"/>
    <cellStyle name="Процентный 15 4 3 2 2" xfId="45615"/>
    <cellStyle name="Процентный 15 4 3 2 2 2" xfId="45616"/>
    <cellStyle name="Процентный 15 4 3 2 3" xfId="45617"/>
    <cellStyle name="Процентный 15 4 3 3" xfId="45618"/>
    <cellStyle name="Процентный 15 4 3 3 2" xfId="45619"/>
    <cellStyle name="Процентный 15 4 3 3 2 2" xfId="45620"/>
    <cellStyle name="Процентный 15 4 3 3 3" xfId="45621"/>
    <cellStyle name="Процентный 15 4 3 4" xfId="45622"/>
    <cellStyle name="Процентный 15 4 3 4 2" xfId="45623"/>
    <cellStyle name="Процентный 15 4 3 5" xfId="45624"/>
    <cellStyle name="Процентный 15 4 3 5 2" xfId="45625"/>
    <cellStyle name="Процентный 15 4 3 6" xfId="45626"/>
    <cellStyle name="Процентный 15 4 4" xfId="45627"/>
    <cellStyle name="Процентный 15 4 4 2" xfId="45628"/>
    <cellStyle name="Процентный 15 4 4 2 2" xfId="45629"/>
    <cellStyle name="Процентный 15 4 4 3" xfId="45630"/>
    <cellStyle name="Процентный 15 4 5" xfId="45631"/>
    <cellStyle name="Процентный 15 4 5 2" xfId="45632"/>
    <cellStyle name="Процентный 15 4 5 2 2" xfId="45633"/>
    <cellStyle name="Процентный 15 4 5 3" xfId="45634"/>
    <cellStyle name="Процентный 15 4 6" xfId="45635"/>
    <cellStyle name="Процентный 15 4 6 2" xfId="45636"/>
    <cellStyle name="Процентный 15 4 7" xfId="45637"/>
    <cellStyle name="Процентный 15 4 7 2" xfId="45638"/>
    <cellStyle name="Процентный 15 4 8" xfId="45639"/>
    <cellStyle name="Процентный 15 5" xfId="45640"/>
    <cellStyle name="Процентный 15 5 2" xfId="45641"/>
    <cellStyle name="Процентный 15 5 2 2" xfId="45642"/>
    <cellStyle name="Процентный 15 5 2 2 2" xfId="45643"/>
    <cellStyle name="Процентный 15 5 2 2 2 2" xfId="45644"/>
    <cellStyle name="Процентный 15 5 2 2 3" xfId="45645"/>
    <cellStyle name="Процентный 15 5 2 3" xfId="45646"/>
    <cellStyle name="Процентный 15 5 2 3 2" xfId="45647"/>
    <cellStyle name="Процентный 15 5 2 3 2 2" xfId="45648"/>
    <cellStyle name="Процентный 15 5 2 3 3" xfId="45649"/>
    <cellStyle name="Процентный 15 5 2 4" xfId="45650"/>
    <cellStyle name="Процентный 15 5 2 4 2" xfId="45651"/>
    <cellStyle name="Процентный 15 5 2 5" xfId="45652"/>
    <cellStyle name="Процентный 15 5 3" xfId="45653"/>
    <cellStyle name="Процентный 15 5 3 2" xfId="45654"/>
    <cellStyle name="Процентный 15 5 3 2 2" xfId="45655"/>
    <cellStyle name="Процентный 15 5 3 2 2 2" xfId="45656"/>
    <cellStyle name="Процентный 15 5 3 2 3" xfId="45657"/>
    <cellStyle name="Процентный 15 5 3 3" xfId="45658"/>
    <cellStyle name="Процентный 15 5 3 3 2" xfId="45659"/>
    <cellStyle name="Процентный 15 5 3 3 2 2" xfId="45660"/>
    <cellStyle name="Процентный 15 5 3 3 3" xfId="45661"/>
    <cellStyle name="Процентный 15 5 3 4" xfId="45662"/>
    <cellStyle name="Процентный 15 5 3 4 2" xfId="45663"/>
    <cellStyle name="Процентный 15 5 3 5" xfId="45664"/>
    <cellStyle name="Процентный 15 5 4" xfId="45665"/>
    <cellStyle name="Процентный 15 5 4 2" xfId="45666"/>
    <cellStyle name="Процентный 15 5 4 2 2" xfId="45667"/>
    <cellStyle name="Процентный 15 5 4 2 2 2" xfId="45668"/>
    <cellStyle name="Процентный 15 5 4 2 3" xfId="45669"/>
    <cellStyle name="Процентный 15 5 4 3" xfId="45670"/>
    <cellStyle name="Процентный 15 5 4 3 2" xfId="45671"/>
    <cellStyle name="Процентный 15 5 4 4" xfId="45672"/>
    <cellStyle name="Процентный 15 5 5" xfId="45673"/>
    <cellStyle name="Процентный 15 5 5 2" xfId="45674"/>
    <cellStyle name="Процентный 15 5 5 2 2" xfId="45675"/>
    <cellStyle name="Процентный 15 5 5 3" xfId="45676"/>
    <cellStyle name="Процентный 15 5 6" xfId="45677"/>
    <cellStyle name="Процентный 15 5 6 2" xfId="45678"/>
    <cellStyle name="Процентный 15 5 6 2 2" xfId="45679"/>
    <cellStyle name="Процентный 15 5 6 3" xfId="45680"/>
    <cellStyle name="Процентный 15 5 7" xfId="45681"/>
    <cellStyle name="Процентный 15 5 7 2" xfId="45682"/>
    <cellStyle name="Процентный 15 5 8" xfId="45683"/>
    <cellStyle name="Процентный 15 5 8 2" xfId="45684"/>
    <cellStyle name="Процентный 15 5 9" xfId="45685"/>
    <cellStyle name="Процентный 15 6" xfId="45686"/>
    <cellStyle name="Процентный 15 6 2" xfId="45687"/>
    <cellStyle name="Процентный 15 6 2 2" xfId="45688"/>
    <cellStyle name="Процентный 15 6 2 2 2" xfId="45689"/>
    <cellStyle name="Процентный 15 6 2 3" xfId="45690"/>
    <cellStyle name="Процентный 15 6 3" xfId="45691"/>
    <cellStyle name="Процентный 15 6 3 2" xfId="45692"/>
    <cellStyle name="Процентный 15 6 3 2 2" xfId="45693"/>
    <cellStyle name="Процентный 15 6 3 3" xfId="45694"/>
    <cellStyle name="Процентный 15 6 4" xfId="45695"/>
    <cellStyle name="Процентный 15 6 4 2" xfId="45696"/>
    <cellStyle name="Процентный 15 6 5" xfId="45697"/>
    <cellStyle name="Процентный 15 6 5 2" xfId="45698"/>
    <cellStyle name="Процентный 15 6 6" xfId="45699"/>
    <cellStyle name="Процентный 15 7" xfId="45700"/>
    <cellStyle name="Процентный 15 7 2" xfId="45701"/>
    <cellStyle name="Процентный 15 7 2 2" xfId="45702"/>
    <cellStyle name="Процентный 15 7 2 2 2" xfId="45703"/>
    <cellStyle name="Процентный 15 7 2 3" xfId="45704"/>
    <cellStyle name="Процентный 15 7 3" xfId="45705"/>
    <cellStyle name="Процентный 15 7 3 2" xfId="45706"/>
    <cellStyle name="Процентный 15 7 3 2 2" xfId="45707"/>
    <cellStyle name="Процентный 15 7 3 3" xfId="45708"/>
    <cellStyle name="Процентный 15 7 4" xfId="45709"/>
    <cellStyle name="Процентный 15 7 4 2" xfId="45710"/>
    <cellStyle name="Процентный 15 7 5" xfId="45711"/>
    <cellStyle name="Процентный 15 7 5 2" xfId="45712"/>
    <cellStyle name="Процентный 15 7 6" xfId="45713"/>
    <cellStyle name="Процентный 15 8" xfId="45714"/>
    <cellStyle name="Процентный 15 8 2" xfId="45715"/>
    <cellStyle name="Процентный 15 8 2 2" xfId="45716"/>
    <cellStyle name="Процентный 15 8 3" xfId="45717"/>
    <cellStyle name="Процентный 15 9" xfId="45718"/>
    <cellStyle name="Процентный 15 9 2" xfId="45719"/>
    <cellStyle name="Процентный 15 9 2 2" xfId="45720"/>
    <cellStyle name="Процентный 15 9 3" xfId="45721"/>
    <cellStyle name="Процентный 16" xfId="45722"/>
    <cellStyle name="Процентный 16 2" xfId="45723"/>
    <cellStyle name="Процентный 16 2 2" xfId="45724"/>
    <cellStyle name="Процентный 16 2 2 2" xfId="45725"/>
    <cellStyle name="Процентный 16 2 3" xfId="45726"/>
    <cellStyle name="Процентный 16 2 3 2" xfId="45727"/>
    <cellStyle name="Процентный 16 3" xfId="45728"/>
    <cellStyle name="Процентный 16 3 2" xfId="45729"/>
    <cellStyle name="Процентный 16 3 2 2" xfId="45730"/>
    <cellStyle name="Процентный 16 3 2 2 2" xfId="45731"/>
    <cellStyle name="Процентный 16 3 2 3" xfId="45732"/>
    <cellStyle name="Процентный 16 3 3" xfId="45733"/>
    <cellStyle name="Процентный 16 3 3 2" xfId="45734"/>
    <cellStyle name="Процентный 16 3 3 2 2" xfId="45735"/>
    <cellStyle name="Процентный 16 3 3 3" xfId="45736"/>
    <cellStyle name="Процентный 16 3 4" xfId="45737"/>
    <cellStyle name="Процентный 16 3 4 2" xfId="45738"/>
    <cellStyle name="Процентный 16 3 5" xfId="45739"/>
    <cellStyle name="Процентный 16 3 5 2" xfId="45740"/>
    <cellStyle name="Процентный 16 3 6" xfId="45741"/>
    <cellStyle name="Процентный 16 4" xfId="45742"/>
    <cellStyle name="Процентный 16 4 2" xfId="45743"/>
    <cellStyle name="Процентный 16 4 2 2" xfId="45744"/>
    <cellStyle name="Процентный 16 4 2 2 2" xfId="45745"/>
    <cellStyle name="Процентный 16 4 2 3" xfId="45746"/>
    <cellStyle name="Процентный 16 4 3" xfId="45747"/>
    <cellStyle name="Процентный 16 4 3 2" xfId="45748"/>
    <cellStyle name="Процентный 16 4 3 2 2" xfId="45749"/>
    <cellStyle name="Процентный 16 4 3 3" xfId="45750"/>
    <cellStyle name="Процентный 16 4 4" xfId="45751"/>
    <cellStyle name="Процентный 16 4 4 2" xfId="45752"/>
    <cellStyle name="Процентный 16 4 5" xfId="45753"/>
    <cellStyle name="Процентный 16 4 5 2" xfId="45754"/>
    <cellStyle name="Процентный 16 4 6" xfId="45755"/>
    <cellStyle name="Процентный 16 5" xfId="45756"/>
    <cellStyle name="Процентный 16 5 2" xfId="45757"/>
    <cellStyle name="Процентный 16 6" xfId="45758"/>
    <cellStyle name="Процентный 16 6 2" xfId="45759"/>
    <cellStyle name="Процентный 16 7" xfId="45760"/>
    <cellStyle name="Процентный 17" xfId="45761"/>
    <cellStyle name="Процентный 17 2" xfId="45762"/>
    <cellStyle name="Процентный 17 2 2" xfId="45763"/>
    <cellStyle name="Процентный 17 2 2 2" xfId="45764"/>
    <cellStyle name="Процентный 17 2 3" xfId="45765"/>
    <cellStyle name="Процентный 17 2 3 2" xfId="45766"/>
    <cellStyle name="Процентный 17 2 4" xfId="45767"/>
    <cellStyle name="Процентный 17 3" xfId="45768"/>
    <cellStyle name="Процентный 17 3 2" xfId="45769"/>
    <cellStyle name="Процентный 17 3 2 2" xfId="45770"/>
    <cellStyle name="Процентный 17 3 2 2 2" xfId="45771"/>
    <cellStyle name="Процентный 17 3 2 3" xfId="45772"/>
    <cellStyle name="Процентный 17 3 3" xfId="45773"/>
    <cellStyle name="Процентный 17 3 3 2" xfId="45774"/>
    <cellStyle name="Процентный 17 3 3 2 2" xfId="45775"/>
    <cellStyle name="Процентный 17 3 3 3" xfId="45776"/>
    <cellStyle name="Процентный 17 3 4" xfId="45777"/>
    <cellStyle name="Процентный 17 3 4 2" xfId="45778"/>
    <cellStyle name="Процентный 17 3 5" xfId="45779"/>
    <cellStyle name="Процентный 17 3 5 2" xfId="45780"/>
    <cellStyle name="Процентный 17 3 6" xfId="45781"/>
    <cellStyle name="Процентный 17 4" xfId="45782"/>
    <cellStyle name="Процентный 17 4 2" xfId="45783"/>
    <cellStyle name="Процентный 17 5" xfId="45784"/>
    <cellStyle name="Процентный 17 5 2" xfId="45785"/>
    <cellStyle name="Процентный 17 6" xfId="45786"/>
    <cellStyle name="Процентный 18" xfId="45787"/>
    <cellStyle name="Процентный 18 2" xfId="45788"/>
    <cellStyle name="Процентный 18 2 2" xfId="45789"/>
    <cellStyle name="Процентный 18 2 2 2" xfId="45790"/>
    <cellStyle name="Процентный 18 2 2 2 2" xfId="45791"/>
    <cellStyle name="Процентный 18 2 2 2 2 2" xfId="45792"/>
    <cellStyle name="Процентный 18 2 2 2 3" xfId="45793"/>
    <cellStyle name="Процентный 18 2 2 3" xfId="45794"/>
    <cellStyle name="Процентный 18 2 2 3 2" xfId="45795"/>
    <cellStyle name="Процентный 18 2 2 3 2 2" xfId="45796"/>
    <cellStyle name="Процентный 18 2 2 3 3" xfId="45797"/>
    <cellStyle name="Процентный 18 2 2 4" xfId="45798"/>
    <cellStyle name="Процентный 18 2 2 4 2" xfId="45799"/>
    <cellStyle name="Процентный 18 2 2 5" xfId="45800"/>
    <cellStyle name="Процентный 18 2 2 5 2" xfId="45801"/>
    <cellStyle name="Процентный 18 2 2 6" xfId="45802"/>
    <cellStyle name="Процентный 18 2 3" xfId="45803"/>
    <cellStyle name="Процентный 18 2 3 2" xfId="45804"/>
    <cellStyle name="Процентный 18 2 3 2 2" xfId="45805"/>
    <cellStyle name="Процентный 18 2 3 2 2 2" xfId="45806"/>
    <cellStyle name="Процентный 18 2 3 2 3" xfId="45807"/>
    <cellStyle name="Процентный 18 2 3 3" xfId="45808"/>
    <cellStyle name="Процентный 18 2 3 3 2" xfId="45809"/>
    <cellStyle name="Процентный 18 2 3 3 2 2" xfId="45810"/>
    <cellStyle name="Процентный 18 2 3 3 3" xfId="45811"/>
    <cellStyle name="Процентный 18 2 3 4" xfId="45812"/>
    <cellStyle name="Процентный 18 2 3 4 2" xfId="45813"/>
    <cellStyle name="Процентный 18 2 3 5" xfId="45814"/>
    <cellStyle name="Процентный 18 2 4" xfId="45815"/>
    <cellStyle name="Процентный 18 2 4 2" xfId="45816"/>
    <cellStyle name="Процентный 18 2 5" xfId="45817"/>
    <cellStyle name="Процентный 18 2 5 2" xfId="45818"/>
    <cellStyle name="Процентный 18 2 6" xfId="45819"/>
    <cellStyle name="Процентный 18 3" xfId="45820"/>
    <cellStyle name="Процентный 18 3 2" xfId="45821"/>
    <cellStyle name="Процентный 18 3 2 2" xfId="45822"/>
    <cellStyle name="Процентный 18 3 2 2 2" xfId="45823"/>
    <cellStyle name="Процентный 18 3 2 2 2 2" xfId="45824"/>
    <cellStyle name="Процентный 18 3 2 2 3" xfId="45825"/>
    <cellStyle name="Процентный 18 3 2 3" xfId="45826"/>
    <cellStyle name="Процентный 18 3 2 3 2" xfId="45827"/>
    <cellStyle name="Процентный 18 3 2 3 2 2" xfId="45828"/>
    <cellStyle name="Процентный 18 3 2 3 3" xfId="45829"/>
    <cellStyle name="Процентный 18 3 2 4" xfId="45830"/>
    <cellStyle name="Процентный 18 3 2 4 2" xfId="45831"/>
    <cellStyle name="Процентный 18 3 2 5" xfId="45832"/>
    <cellStyle name="Процентный 18 3 3" xfId="45833"/>
    <cellStyle name="Процентный 18 3 3 2" xfId="45834"/>
    <cellStyle name="Процентный 18 3 3 2 2" xfId="45835"/>
    <cellStyle name="Процентный 18 3 3 2 2 2" xfId="45836"/>
    <cellStyle name="Процентный 18 3 3 2 3" xfId="45837"/>
    <cellStyle name="Процентный 18 3 3 3" xfId="45838"/>
    <cellStyle name="Процентный 18 3 3 3 2" xfId="45839"/>
    <cellStyle name="Процентный 18 3 3 3 2 2" xfId="45840"/>
    <cellStyle name="Процентный 18 3 3 3 3" xfId="45841"/>
    <cellStyle name="Процентный 18 3 3 4" xfId="45842"/>
    <cellStyle name="Процентный 18 3 3 4 2" xfId="45843"/>
    <cellStyle name="Процентный 18 3 3 5" xfId="45844"/>
    <cellStyle name="Процентный 18 3 4" xfId="45845"/>
    <cellStyle name="Процентный 18 3 4 2" xfId="45846"/>
    <cellStyle name="Процентный 18 3 4 2 2" xfId="45847"/>
    <cellStyle name="Процентный 18 3 4 3" xfId="45848"/>
    <cellStyle name="Процентный 18 3 5" xfId="45849"/>
    <cellStyle name="Процентный 18 3 5 2" xfId="45850"/>
    <cellStyle name="Процентный 18 3 5 2 2" xfId="45851"/>
    <cellStyle name="Процентный 18 3 5 3" xfId="45852"/>
    <cellStyle name="Процентный 18 3 6" xfId="45853"/>
    <cellStyle name="Процентный 18 3 6 2" xfId="45854"/>
    <cellStyle name="Процентный 18 3 7" xfId="45855"/>
    <cellStyle name="Процентный 18 3 7 2" xfId="45856"/>
    <cellStyle name="Процентный 18 3 8" xfId="45857"/>
    <cellStyle name="Процентный 18 4" xfId="45858"/>
    <cellStyle name="Процентный 18 4 2" xfId="45859"/>
    <cellStyle name="Процентный 18 4 2 2" xfId="45860"/>
    <cellStyle name="Процентный 18 4 2 2 2" xfId="45861"/>
    <cellStyle name="Процентный 18 4 2 3" xfId="45862"/>
    <cellStyle name="Процентный 18 4 3" xfId="45863"/>
    <cellStyle name="Процентный 18 4 3 2" xfId="45864"/>
    <cellStyle name="Процентный 18 4 3 2 2" xfId="45865"/>
    <cellStyle name="Процентный 18 4 3 3" xfId="45866"/>
    <cellStyle name="Процентный 18 4 4" xfId="45867"/>
    <cellStyle name="Процентный 18 4 4 2" xfId="45868"/>
    <cellStyle name="Процентный 18 4 5" xfId="45869"/>
    <cellStyle name="Процентный 18 4 5 2" xfId="45870"/>
    <cellStyle name="Процентный 18 4 6" xfId="45871"/>
    <cellStyle name="Процентный 18 5" xfId="45872"/>
    <cellStyle name="Процентный 18 5 2" xfId="45873"/>
    <cellStyle name="Процентный 18 5 2 2" xfId="45874"/>
    <cellStyle name="Процентный 18 5 2 2 2" xfId="45875"/>
    <cellStyle name="Процентный 18 5 2 3" xfId="45876"/>
    <cellStyle name="Процентный 18 5 3" xfId="45877"/>
    <cellStyle name="Процентный 18 5 3 2" xfId="45878"/>
    <cellStyle name="Процентный 18 5 3 2 2" xfId="45879"/>
    <cellStyle name="Процентный 18 5 3 3" xfId="45880"/>
    <cellStyle name="Процентный 18 5 4" xfId="45881"/>
    <cellStyle name="Процентный 18 5 4 2" xfId="45882"/>
    <cellStyle name="Процентный 18 5 5" xfId="45883"/>
    <cellStyle name="Процентный 18 6" xfId="45884"/>
    <cellStyle name="Процентный 18 6 2" xfId="45885"/>
    <cellStyle name="Процентный 18 7" xfId="45886"/>
    <cellStyle name="Процентный 18 7 2" xfId="45887"/>
    <cellStyle name="Процентный 18 8" xfId="45888"/>
    <cellStyle name="Процентный 19" xfId="45889"/>
    <cellStyle name="Процентный 19 2" xfId="45890"/>
    <cellStyle name="Процентный 19 2 2" xfId="45891"/>
    <cellStyle name="Процентный 19 2 2 2" xfId="45892"/>
    <cellStyle name="Процентный 19 2 3" xfId="45893"/>
    <cellStyle name="Процентный 19 2 3 2" xfId="45894"/>
    <cellStyle name="Процентный 19 2 4" xfId="45895"/>
    <cellStyle name="Процентный 19 3" xfId="45896"/>
    <cellStyle name="Процентный 19 3 2" xfId="45897"/>
    <cellStyle name="Процентный 19 3 2 2" xfId="45898"/>
    <cellStyle name="Процентный 19 3 2 2 2" xfId="45899"/>
    <cellStyle name="Процентный 19 3 2 3" xfId="45900"/>
    <cellStyle name="Процентный 19 3 3" xfId="45901"/>
    <cellStyle name="Процентный 19 3 3 2" xfId="45902"/>
    <cellStyle name="Процентный 19 3 3 2 2" xfId="45903"/>
    <cellStyle name="Процентный 19 3 3 3" xfId="45904"/>
    <cellStyle name="Процентный 19 3 4" xfId="45905"/>
    <cellStyle name="Процентный 19 3 4 2" xfId="45906"/>
    <cellStyle name="Процентный 19 3 5" xfId="45907"/>
    <cellStyle name="Процентный 19 3 5 2" xfId="45908"/>
    <cellStyle name="Процентный 19 3 6" xfId="45909"/>
    <cellStyle name="Процентный 19 4" xfId="45910"/>
    <cellStyle name="Процентный 19 4 2" xfId="45911"/>
    <cellStyle name="Процентный 19 5" xfId="45912"/>
    <cellStyle name="Процентный 19 5 2" xfId="45913"/>
    <cellStyle name="Процентный 19 6" xfId="45914"/>
    <cellStyle name="Процентный 2" xfId="45915"/>
    <cellStyle name="Процентный 2 10" xfId="45916"/>
    <cellStyle name="Процентный 2 10 2" xfId="45917"/>
    <cellStyle name="Процентный 2 11" xfId="45918"/>
    <cellStyle name="Процентный 2 11 2" xfId="45919"/>
    <cellStyle name="Процентный 2 11 3" xfId="45920"/>
    <cellStyle name="Процентный 2 11 3 2" xfId="45921"/>
    <cellStyle name="Процентный 2 11 3 2 2" xfId="45922"/>
    <cellStyle name="Процентный 2 11 3 2 2 2" xfId="45923"/>
    <cellStyle name="Процентный 2 11 3 2 3" xfId="45924"/>
    <cellStyle name="Процентный 2 11 3 3" xfId="45925"/>
    <cellStyle name="Процентный 2 11 3 3 2" xfId="45926"/>
    <cellStyle name="Процентный 2 11 3 3 2 2" xfId="45927"/>
    <cellStyle name="Процентный 2 11 3 3 3" xfId="45928"/>
    <cellStyle name="Процентный 2 11 3 4" xfId="45929"/>
    <cellStyle name="Процентный 2 11 3 4 2" xfId="45930"/>
    <cellStyle name="Процентный 2 11 4" xfId="45931"/>
    <cellStyle name="Процентный 2 11 4 2" xfId="45932"/>
    <cellStyle name="Процентный 2 11 4 2 2" xfId="45933"/>
    <cellStyle name="Процентный 2 11 4 2 2 2" xfId="45934"/>
    <cellStyle name="Процентный 2 11 4 2 3" xfId="45935"/>
    <cellStyle name="Процентный 2 11 4 3" xfId="45936"/>
    <cellStyle name="Процентный 2 11 4 3 2" xfId="45937"/>
    <cellStyle name="Процентный 2 11 4 3 2 2" xfId="45938"/>
    <cellStyle name="Процентный 2 11 4 3 3" xfId="45939"/>
    <cellStyle name="Процентный 2 11 4 4" xfId="45940"/>
    <cellStyle name="Процентный 2 11 4 4 2" xfId="45941"/>
    <cellStyle name="Процентный 2 11 4 5" xfId="45942"/>
    <cellStyle name="Процентный 2 11 5" xfId="45943"/>
    <cellStyle name="Процентный 2 11 5 2" xfId="45944"/>
    <cellStyle name="Процентный 2 12" xfId="45945"/>
    <cellStyle name="Процентный 2 13" xfId="45946"/>
    <cellStyle name="Процентный 2 14" xfId="45947"/>
    <cellStyle name="Процентный 2 15" xfId="45948"/>
    <cellStyle name="Процентный 2 16" xfId="45949"/>
    <cellStyle name="Процентный 2 17" xfId="45950"/>
    <cellStyle name="Процентный 2 18" xfId="45951"/>
    <cellStyle name="Процентный 2 19" xfId="45952"/>
    <cellStyle name="Процентный 2 2" xfId="45953"/>
    <cellStyle name="Процентный 2 2 10" xfId="45954"/>
    <cellStyle name="Процентный 2 2 2" xfId="45955"/>
    <cellStyle name="Процентный 2 2 2 2" xfId="45956"/>
    <cellStyle name="Процентный 2 2 3" xfId="45957"/>
    <cellStyle name="Процентный 2 2 4" xfId="45958"/>
    <cellStyle name="Процентный 2 2 5" xfId="45959"/>
    <cellStyle name="Процентный 2 2 6" xfId="45960"/>
    <cellStyle name="Процентный 2 2 7" xfId="45961"/>
    <cellStyle name="Процентный 2 2 8" xfId="45962"/>
    <cellStyle name="Процентный 2 2 9" xfId="45963"/>
    <cellStyle name="Процентный 2 20" xfId="45964"/>
    <cellStyle name="Процентный 2 21" xfId="45965"/>
    <cellStyle name="Процентный 2 22" xfId="45966"/>
    <cellStyle name="Процентный 2 3" xfId="45967"/>
    <cellStyle name="Процентный 2 3 10" xfId="45968"/>
    <cellStyle name="Процентный 2 3 11" xfId="45969"/>
    <cellStyle name="Процентный 2 3 12" xfId="45970"/>
    <cellStyle name="Процентный 2 3 13" xfId="45971"/>
    <cellStyle name="Процентный 2 3 14" xfId="45972"/>
    <cellStyle name="Процентный 2 3 15" xfId="45973"/>
    <cellStyle name="Процентный 2 3 2" xfId="45974"/>
    <cellStyle name="Процентный 2 3 2 10" xfId="45975"/>
    <cellStyle name="Процентный 2 3 2 11" xfId="45976"/>
    <cellStyle name="Процентный 2 3 2 12" xfId="45977"/>
    <cellStyle name="Процентный 2 3 2 13" xfId="45978"/>
    <cellStyle name="Процентный 2 3 2 14" xfId="45979"/>
    <cellStyle name="Процентный 2 3 2 15" xfId="45980"/>
    <cellStyle name="Процентный 2 3 2 2" xfId="45981"/>
    <cellStyle name="Процентный 2 3 2 2 2" xfId="45982"/>
    <cellStyle name="Процентный 2 3 2 2 2 2" xfId="45983"/>
    <cellStyle name="Процентный 2 3 2 2 2 2 2" xfId="45984"/>
    <cellStyle name="Процентный 2 3 2 2 2 3" xfId="45985"/>
    <cellStyle name="Процентный 2 3 2 2 2 3 2" xfId="45986"/>
    <cellStyle name="Процентный 2 3 2 2 2 4" xfId="45987"/>
    <cellStyle name="Процентный 2 3 2 2 3" xfId="45988"/>
    <cellStyle name="Процентный 2 3 2 2 3 2" xfId="45989"/>
    <cellStyle name="Процентный 2 3 2 2 3 2 2" xfId="45990"/>
    <cellStyle name="Процентный 2 3 2 2 3 3" xfId="45991"/>
    <cellStyle name="Процентный 2 3 2 2 3 3 2" xfId="45992"/>
    <cellStyle name="Процентный 2 3 2 2 3 4" xfId="45993"/>
    <cellStyle name="Процентный 2 3 2 2 4" xfId="45994"/>
    <cellStyle name="Процентный 2 3 2 2 4 2" xfId="45995"/>
    <cellStyle name="Процентный 2 3 2 2 4 2 2" xfId="45996"/>
    <cellStyle name="Процентный 2 3 2 2 4 3" xfId="45997"/>
    <cellStyle name="Процентный 2 3 2 2 5" xfId="45998"/>
    <cellStyle name="Процентный 2 3 2 2 5 2" xfId="45999"/>
    <cellStyle name="Процентный 2 3 2 2 6" xfId="46000"/>
    <cellStyle name="Процентный 2 3 2 2 6 2" xfId="46001"/>
    <cellStyle name="Процентный 2 3 2 2 7" xfId="46002"/>
    <cellStyle name="Процентный 2 3 2 3" xfId="46003"/>
    <cellStyle name="Процентный 2 3 2 4" xfId="46004"/>
    <cellStyle name="Процентный 2 3 2 5" xfId="46005"/>
    <cellStyle name="Процентный 2 3 2 5 2" xfId="46006"/>
    <cellStyle name="Процентный 2 3 2 5 2 2" xfId="46007"/>
    <cellStyle name="Процентный 2 3 2 5 3" xfId="46008"/>
    <cellStyle name="Процентный 2 3 2 6" xfId="46009"/>
    <cellStyle name="Процентный 2 3 2 6 2" xfId="46010"/>
    <cellStyle name="Процентный 2 3 2 6 2 2" xfId="46011"/>
    <cellStyle name="Процентный 2 3 2 6 3" xfId="46012"/>
    <cellStyle name="Процентный 2 3 2 7" xfId="46013"/>
    <cellStyle name="Процентный 2 3 2 7 2" xfId="46014"/>
    <cellStyle name="Процентный 2 3 2 8" xfId="46015"/>
    <cellStyle name="Процентный 2 3 2 9" xfId="46016"/>
    <cellStyle name="Процентный 2 3 3" xfId="46017"/>
    <cellStyle name="Процентный 2 3 3 2" xfId="46018"/>
    <cellStyle name="Процентный 2 3 3 2 2" xfId="46019"/>
    <cellStyle name="Процентный 2 3 3 2 2 2" xfId="46020"/>
    <cellStyle name="Процентный 2 3 3 2 2 2 2" xfId="46021"/>
    <cellStyle name="Процентный 2 3 3 2 2 3" xfId="46022"/>
    <cellStyle name="Процентный 2 3 3 2 2 3 2" xfId="46023"/>
    <cellStyle name="Процентный 2 3 3 2 2 4" xfId="46024"/>
    <cellStyle name="Процентный 2 3 3 2 3" xfId="46025"/>
    <cellStyle name="Процентный 2 3 3 2 3 2" xfId="46026"/>
    <cellStyle name="Процентный 2 3 3 2 3 2 2" xfId="46027"/>
    <cellStyle name="Процентный 2 3 3 2 3 3" xfId="46028"/>
    <cellStyle name="Процентный 2 3 3 2 4" xfId="46029"/>
    <cellStyle name="Процентный 2 3 3 2 4 2" xfId="46030"/>
    <cellStyle name="Процентный 2 3 3 2 5" xfId="46031"/>
    <cellStyle name="Процентный 2 3 3 2 6" xfId="46032"/>
    <cellStyle name="Процентный 2 3 3 3" xfId="46033"/>
    <cellStyle name="Процентный 2 3 3 3 2" xfId="46034"/>
    <cellStyle name="Процентный 2 3 3 3 2 2" xfId="46035"/>
    <cellStyle name="Процентный 2 3 3 3 2 2 2" xfId="46036"/>
    <cellStyle name="Процентный 2 3 3 3 2 3" xfId="46037"/>
    <cellStyle name="Процентный 2 3 3 3 2 3 2" xfId="46038"/>
    <cellStyle name="Процентный 2 3 3 3 2 4" xfId="46039"/>
    <cellStyle name="Процентный 2 3 3 3 3" xfId="46040"/>
    <cellStyle name="Процентный 2 3 3 3 3 2" xfId="46041"/>
    <cellStyle name="Процентный 2 3 3 3 3 2 2" xfId="46042"/>
    <cellStyle name="Процентный 2 3 3 3 3 3" xfId="46043"/>
    <cellStyle name="Процентный 2 3 3 3 4" xfId="46044"/>
    <cellStyle name="Процентный 2 3 3 3 4 2" xfId="46045"/>
    <cellStyle name="Процентный 2 3 3 3 5" xfId="46046"/>
    <cellStyle name="Процентный 2 3 3 3 5 2" xfId="46047"/>
    <cellStyle name="Процентный 2 3 3 3 6" xfId="46048"/>
    <cellStyle name="Процентный 2 3 3 4" xfId="46049"/>
    <cellStyle name="Процентный 2 3 3 4 2" xfId="46050"/>
    <cellStyle name="Процентный 2 3 3 5" xfId="46051"/>
    <cellStyle name="Процентный 2 3 3 5 2" xfId="46052"/>
    <cellStyle name="Процентный 2 3 3 6" xfId="46053"/>
    <cellStyle name="Процентный 2 3 4" xfId="46054"/>
    <cellStyle name="Процентный 2 3 4 2" xfId="46055"/>
    <cellStyle name="Процентный 2 3 4 2 2" xfId="46056"/>
    <cellStyle name="Процентный 2 3 4 2 2 2" xfId="46057"/>
    <cellStyle name="Процентный 2 3 4 2 2 2 2" xfId="46058"/>
    <cellStyle name="Процентный 2 3 4 2 2 3" xfId="46059"/>
    <cellStyle name="Процентный 2 3 4 2 2 3 2" xfId="46060"/>
    <cellStyle name="Процентный 2 3 4 2 2 4" xfId="46061"/>
    <cellStyle name="Процентный 2 3 4 2 3" xfId="46062"/>
    <cellStyle name="Процентный 2 3 4 2 3 2" xfId="46063"/>
    <cellStyle name="Процентный 2 3 4 2 3 2 2" xfId="46064"/>
    <cellStyle name="Процентный 2 3 4 2 3 3" xfId="46065"/>
    <cellStyle name="Процентный 2 3 4 2 4" xfId="46066"/>
    <cellStyle name="Процентный 2 3 4 2 4 2" xfId="46067"/>
    <cellStyle name="Процентный 2 3 4 2 5" xfId="46068"/>
    <cellStyle name="Процентный 2 3 4 2 5 2" xfId="46069"/>
    <cellStyle name="Процентный 2 3 4 2 6" xfId="46070"/>
    <cellStyle name="Процентный 2 3 4 3" xfId="46071"/>
    <cellStyle name="Процентный 2 3 4 3 2" xfId="46072"/>
    <cellStyle name="Процентный 2 3 4 3 2 2" xfId="46073"/>
    <cellStyle name="Процентный 2 3 4 3 2 2 2" xfId="46074"/>
    <cellStyle name="Процентный 2 3 4 3 2 3" xfId="46075"/>
    <cellStyle name="Процентный 2 3 4 3 3" xfId="46076"/>
    <cellStyle name="Процентный 2 3 4 3 3 2" xfId="46077"/>
    <cellStyle name="Процентный 2 3 4 3 3 2 2" xfId="46078"/>
    <cellStyle name="Процентный 2 3 4 3 3 3" xfId="46079"/>
    <cellStyle name="Процентный 2 3 4 3 4" xfId="46080"/>
    <cellStyle name="Процентный 2 3 4 3 4 2" xfId="46081"/>
    <cellStyle name="Процентный 2 3 4 3 5" xfId="46082"/>
    <cellStyle name="Процентный 2 3 4 3 5 2" xfId="46083"/>
    <cellStyle name="Процентный 2 3 4 3 6" xfId="46084"/>
    <cellStyle name="Процентный 2 3 4 4" xfId="46085"/>
    <cellStyle name="Процентный 2 3 4 4 2" xfId="46086"/>
    <cellStyle name="Процентный 2 3 4 4 2 2" xfId="46087"/>
    <cellStyle name="Процентный 2 3 4 4 3" xfId="46088"/>
    <cellStyle name="Процентный 2 3 4 4 3 2" xfId="46089"/>
    <cellStyle name="Процентный 2 3 4 4 4" xfId="46090"/>
    <cellStyle name="Процентный 2 3 4 5" xfId="46091"/>
    <cellStyle name="Процентный 2 3 4 5 2" xfId="46092"/>
    <cellStyle name="Процентный 2 3 4 5 2 2" xfId="46093"/>
    <cellStyle name="Процентный 2 3 4 5 3" xfId="46094"/>
    <cellStyle name="Процентный 2 3 4 6" xfId="46095"/>
    <cellStyle name="Процентный 2 3 4 6 2" xfId="46096"/>
    <cellStyle name="Процентный 2 3 4 7" xfId="46097"/>
    <cellStyle name="Процентный 2 3 4 7 2" xfId="46098"/>
    <cellStyle name="Процентный 2 3 4 8" xfId="46099"/>
    <cellStyle name="Процентный 2 3 5" xfId="46100"/>
    <cellStyle name="Процентный 2 3 5 2" xfId="46101"/>
    <cellStyle name="Процентный 2 3 5 2 2" xfId="46102"/>
    <cellStyle name="Процентный 2 3 5 3" xfId="46103"/>
    <cellStyle name="Процентный 2 3 5 3 2" xfId="46104"/>
    <cellStyle name="Процентный 2 3 5 4" xfId="46105"/>
    <cellStyle name="Процентный 2 3 6" xfId="46106"/>
    <cellStyle name="Процентный 2 3 6 2" xfId="46107"/>
    <cellStyle name="Процентный 2 3 7" xfId="46108"/>
    <cellStyle name="Процентный 2 3 7 2" xfId="46109"/>
    <cellStyle name="Процентный 2 3 8" xfId="46110"/>
    <cellStyle name="Процентный 2 3 9" xfId="46111"/>
    <cellStyle name="Процентный 2 4" xfId="46112"/>
    <cellStyle name="Процентный 2 4 10" xfId="46113"/>
    <cellStyle name="Процентный 2 4 10 2" xfId="46114"/>
    <cellStyle name="Процентный 2 4 11" xfId="46115"/>
    <cellStyle name="Процентный 2 4 2" xfId="46116"/>
    <cellStyle name="Процентный 2 4 2 2" xfId="46117"/>
    <cellStyle name="Процентный 2 4 2 2 2" xfId="46118"/>
    <cellStyle name="Процентный 2 4 2 2 2 2" xfId="46119"/>
    <cellStyle name="Процентный 2 4 2 2 2 2 2" xfId="46120"/>
    <cellStyle name="Процентный 2 4 2 2 2 2 2 2" xfId="46121"/>
    <cellStyle name="Процентный 2 4 2 2 2 2 3" xfId="46122"/>
    <cellStyle name="Процентный 2 4 2 2 2 3" xfId="46123"/>
    <cellStyle name="Процентный 2 4 2 2 2 3 2" xfId="46124"/>
    <cellStyle name="Процентный 2 4 2 2 2 3 2 2" xfId="46125"/>
    <cellStyle name="Процентный 2 4 2 2 2 3 3" xfId="46126"/>
    <cellStyle name="Процентный 2 4 2 2 2 4" xfId="46127"/>
    <cellStyle name="Процентный 2 4 2 2 2 4 2" xfId="46128"/>
    <cellStyle name="Процентный 2 4 2 2 2 5" xfId="46129"/>
    <cellStyle name="Процентный 2 4 2 2 2 5 2" xfId="46130"/>
    <cellStyle name="Процентный 2 4 2 2 2 6" xfId="46131"/>
    <cellStyle name="Процентный 2 4 2 2 3" xfId="46132"/>
    <cellStyle name="Процентный 2 4 2 2 3 2" xfId="46133"/>
    <cellStyle name="Процентный 2 4 2 2 3 2 2" xfId="46134"/>
    <cellStyle name="Процентный 2 4 2 2 3 2 2 2" xfId="46135"/>
    <cellStyle name="Процентный 2 4 2 2 3 2 3" xfId="46136"/>
    <cellStyle name="Процентный 2 4 2 2 3 3" xfId="46137"/>
    <cellStyle name="Процентный 2 4 2 2 3 3 2" xfId="46138"/>
    <cellStyle name="Процентный 2 4 2 2 3 3 2 2" xfId="46139"/>
    <cellStyle name="Процентный 2 4 2 2 3 3 3" xfId="46140"/>
    <cellStyle name="Процентный 2 4 2 2 3 4" xfId="46141"/>
    <cellStyle name="Процентный 2 4 2 2 3 4 2" xfId="46142"/>
    <cellStyle name="Процентный 2 4 2 2 3 5" xfId="46143"/>
    <cellStyle name="Процентный 2 4 2 2 3 5 2" xfId="46144"/>
    <cellStyle name="Процентный 2 4 2 2 3 6" xfId="46145"/>
    <cellStyle name="Процентный 2 4 2 2 4" xfId="46146"/>
    <cellStyle name="Процентный 2 4 2 2 4 2" xfId="46147"/>
    <cellStyle name="Процентный 2 4 2 2 4 2 2" xfId="46148"/>
    <cellStyle name="Процентный 2 4 2 2 4 3" xfId="46149"/>
    <cellStyle name="Процентный 2 4 2 2 5" xfId="46150"/>
    <cellStyle name="Процентный 2 4 2 2 5 2" xfId="46151"/>
    <cellStyle name="Процентный 2 4 2 2 5 2 2" xfId="46152"/>
    <cellStyle name="Процентный 2 4 2 2 5 3" xfId="46153"/>
    <cellStyle name="Процентный 2 4 2 2 6" xfId="46154"/>
    <cellStyle name="Процентный 2 4 2 2 6 2" xfId="46155"/>
    <cellStyle name="Процентный 2 4 2 2 7" xfId="46156"/>
    <cellStyle name="Процентный 2 4 2 2 7 2" xfId="46157"/>
    <cellStyle name="Процентный 2 4 2 2 8" xfId="46158"/>
    <cellStyle name="Процентный 2 4 2 3" xfId="46159"/>
    <cellStyle name="Процентный 2 4 2 3 2" xfId="46160"/>
    <cellStyle name="Процентный 2 4 2 3 2 2" xfId="46161"/>
    <cellStyle name="Процентный 2 4 2 3 2 2 2" xfId="46162"/>
    <cellStyle name="Процентный 2 4 2 3 2 3" xfId="46163"/>
    <cellStyle name="Процентный 2 4 2 3 2 3 2" xfId="46164"/>
    <cellStyle name="Процентный 2 4 2 3 2 4" xfId="46165"/>
    <cellStyle name="Процентный 2 4 2 3 3" xfId="46166"/>
    <cellStyle name="Процентный 2 4 2 3 3 2" xfId="46167"/>
    <cellStyle name="Процентный 2 4 2 3 3 2 2" xfId="46168"/>
    <cellStyle name="Процентный 2 4 2 3 3 3" xfId="46169"/>
    <cellStyle name="Процентный 2 4 2 3 4" xfId="46170"/>
    <cellStyle name="Процентный 2 4 2 3 4 2" xfId="46171"/>
    <cellStyle name="Процентный 2 4 2 3 5" xfId="46172"/>
    <cellStyle name="Процентный 2 4 2 3 5 2" xfId="46173"/>
    <cellStyle name="Процентный 2 4 2 3 6" xfId="46174"/>
    <cellStyle name="Процентный 2 4 2 4" xfId="46175"/>
    <cellStyle name="Процентный 2 4 2 4 2" xfId="46176"/>
    <cellStyle name="Процентный 2 4 2 4 2 2" xfId="46177"/>
    <cellStyle name="Процентный 2 4 2 4 2 2 2" xfId="46178"/>
    <cellStyle name="Процентный 2 4 2 4 2 3" xfId="46179"/>
    <cellStyle name="Процентный 2 4 2 4 3" xfId="46180"/>
    <cellStyle name="Процентный 2 4 2 4 3 2" xfId="46181"/>
    <cellStyle name="Процентный 2 4 2 4 3 2 2" xfId="46182"/>
    <cellStyle name="Процентный 2 4 2 4 3 3" xfId="46183"/>
    <cellStyle name="Процентный 2 4 2 4 4" xfId="46184"/>
    <cellStyle name="Процентный 2 4 2 4 4 2" xfId="46185"/>
    <cellStyle name="Процентный 2 4 2 4 5" xfId="46186"/>
    <cellStyle name="Процентный 2 4 2 4 5 2" xfId="46187"/>
    <cellStyle name="Процентный 2 4 2 4 6" xfId="46188"/>
    <cellStyle name="Процентный 2 4 2 5" xfId="46189"/>
    <cellStyle name="Процентный 2 4 2 5 2" xfId="46190"/>
    <cellStyle name="Процентный 2 4 2 5 2 2" xfId="46191"/>
    <cellStyle name="Процентный 2 4 2 5 3" xfId="46192"/>
    <cellStyle name="Процентный 2 4 2 6" xfId="46193"/>
    <cellStyle name="Процентный 2 4 2 6 2" xfId="46194"/>
    <cellStyle name="Процентный 2 4 2 6 2 2" xfId="46195"/>
    <cellStyle name="Процентный 2 4 2 6 3" xfId="46196"/>
    <cellStyle name="Процентный 2 4 2 7" xfId="46197"/>
    <cellStyle name="Процентный 2 4 2 7 2" xfId="46198"/>
    <cellStyle name="Процентный 2 4 2 8" xfId="46199"/>
    <cellStyle name="Процентный 2 4 2 8 2" xfId="46200"/>
    <cellStyle name="Процентный 2 4 2 9" xfId="46201"/>
    <cellStyle name="Процентный 2 4 3" xfId="46202"/>
    <cellStyle name="Процентный 2 4 3 2" xfId="46203"/>
    <cellStyle name="Процентный 2 4 3 2 2" xfId="46204"/>
    <cellStyle name="Процентный 2 4 3 2 2 2" xfId="46205"/>
    <cellStyle name="Процентный 2 4 3 2 2 2 2" xfId="46206"/>
    <cellStyle name="Процентный 2 4 3 2 2 3" xfId="46207"/>
    <cellStyle name="Процентный 2 4 3 2 2 3 2" xfId="46208"/>
    <cellStyle name="Процентный 2 4 3 2 2 4" xfId="46209"/>
    <cellStyle name="Процентный 2 4 3 2 3" xfId="46210"/>
    <cellStyle name="Процентный 2 4 3 2 3 2" xfId="46211"/>
    <cellStyle name="Процентный 2 4 3 2 3 2 2" xfId="46212"/>
    <cellStyle name="Процентный 2 4 3 2 3 3" xfId="46213"/>
    <cellStyle name="Процентный 2 4 3 2 4" xfId="46214"/>
    <cellStyle name="Процентный 2 4 3 2 4 2" xfId="46215"/>
    <cellStyle name="Процентный 2 4 3 2 5" xfId="46216"/>
    <cellStyle name="Процентный 2 4 3 2 5 2" xfId="46217"/>
    <cellStyle name="Процентный 2 4 3 2 6" xfId="46218"/>
    <cellStyle name="Процентный 2 4 3 3" xfId="46219"/>
    <cellStyle name="Процентный 2 4 3 3 2" xfId="46220"/>
    <cellStyle name="Процентный 2 4 3 3 2 2" xfId="46221"/>
    <cellStyle name="Процентный 2 4 3 3 2 2 2" xfId="46222"/>
    <cellStyle name="Процентный 2 4 3 3 2 3" xfId="46223"/>
    <cellStyle name="Процентный 2 4 3 3 3" xfId="46224"/>
    <cellStyle name="Процентный 2 4 3 3 3 2" xfId="46225"/>
    <cellStyle name="Процентный 2 4 3 3 3 2 2" xfId="46226"/>
    <cellStyle name="Процентный 2 4 3 3 3 3" xfId="46227"/>
    <cellStyle name="Процентный 2 4 3 3 4" xfId="46228"/>
    <cellStyle name="Процентный 2 4 3 3 4 2" xfId="46229"/>
    <cellStyle name="Процентный 2 4 3 3 5" xfId="46230"/>
    <cellStyle name="Процентный 2 4 3 3 5 2" xfId="46231"/>
    <cellStyle name="Процентный 2 4 3 3 6" xfId="46232"/>
    <cellStyle name="Процентный 2 4 3 4" xfId="46233"/>
    <cellStyle name="Процентный 2 4 3 4 2" xfId="46234"/>
    <cellStyle name="Процентный 2 4 3 4 2 2" xfId="46235"/>
    <cellStyle name="Процентный 2 4 3 4 3" xfId="46236"/>
    <cellStyle name="Процентный 2 4 3 4 3 2" xfId="46237"/>
    <cellStyle name="Процентный 2 4 3 4 4" xfId="46238"/>
    <cellStyle name="Процентный 2 4 3 5" xfId="46239"/>
    <cellStyle name="Процентный 2 4 3 5 2" xfId="46240"/>
    <cellStyle name="Процентный 2 4 3 5 2 2" xfId="46241"/>
    <cellStyle name="Процентный 2 4 3 5 3" xfId="46242"/>
    <cellStyle name="Процентный 2 4 3 6" xfId="46243"/>
    <cellStyle name="Процентный 2 4 3 6 2" xfId="46244"/>
    <cellStyle name="Процентный 2 4 3 7" xfId="46245"/>
    <cellStyle name="Процентный 2 4 3 7 2" xfId="46246"/>
    <cellStyle name="Процентный 2 4 3 8" xfId="46247"/>
    <cellStyle name="Процентный 2 4 4" xfId="46248"/>
    <cellStyle name="Процентный 2 4 4 2" xfId="46249"/>
    <cellStyle name="Процентный 2 4 4 2 2" xfId="46250"/>
    <cellStyle name="Процентный 2 4 4 2 2 2" xfId="46251"/>
    <cellStyle name="Процентный 2 4 4 2 2 2 2" xfId="46252"/>
    <cellStyle name="Процентный 2 4 4 2 2 3" xfId="46253"/>
    <cellStyle name="Процентный 2 4 4 2 3" xfId="46254"/>
    <cellStyle name="Процентный 2 4 4 2 3 2" xfId="46255"/>
    <cellStyle name="Процентный 2 4 4 2 3 2 2" xfId="46256"/>
    <cellStyle name="Процентный 2 4 4 2 3 3" xfId="46257"/>
    <cellStyle name="Процентный 2 4 4 2 4" xfId="46258"/>
    <cellStyle name="Процентный 2 4 4 2 4 2" xfId="46259"/>
    <cellStyle name="Процентный 2 4 4 2 5" xfId="46260"/>
    <cellStyle name="Процентный 2 4 4 2 5 2" xfId="46261"/>
    <cellStyle name="Процентный 2 4 4 2 6" xfId="46262"/>
    <cellStyle name="Процентный 2 4 4 3" xfId="46263"/>
    <cellStyle name="Процентный 2 4 4 3 2" xfId="46264"/>
    <cellStyle name="Процентный 2 4 4 3 2 2" xfId="46265"/>
    <cellStyle name="Процентный 2 4 4 3 2 2 2" xfId="46266"/>
    <cellStyle name="Процентный 2 4 4 3 2 3" xfId="46267"/>
    <cellStyle name="Процентный 2 4 4 3 3" xfId="46268"/>
    <cellStyle name="Процентный 2 4 4 3 3 2" xfId="46269"/>
    <cellStyle name="Процентный 2 4 4 3 3 2 2" xfId="46270"/>
    <cellStyle name="Процентный 2 4 4 3 3 3" xfId="46271"/>
    <cellStyle name="Процентный 2 4 4 3 4" xfId="46272"/>
    <cellStyle name="Процентный 2 4 4 3 4 2" xfId="46273"/>
    <cellStyle name="Процентный 2 4 4 3 5" xfId="46274"/>
    <cellStyle name="Процентный 2 4 4 4" xfId="46275"/>
    <cellStyle name="Процентный 2 4 4 5" xfId="46276"/>
    <cellStyle name="Процентный 2 4 4 5 2" xfId="46277"/>
    <cellStyle name="Процентный 2 4 4 6" xfId="46278"/>
    <cellStyle name="Процентный 2 4 5" xfId="46279"/>
    <cellStyle name="Процентный 2 4 5 2" xfId="46280"/>
    <cellStyle name="Процентный 2 4 5 2 2" xfId="46281"/>
    <cellStyle name="Процентный 2 4 5 2 2 2" xfId="46282"/>
    <cellStyle name="Процентный 2 4 5 2 3" xfId="46283"/>
    <cellStyle name="Процентный 2 4 5 3" xfId="46284"/>
    <cellStyle name="Процентный 2 4 5 3 2" xfId="46285"/>
    <cellStyle name="Процентный 2 4 5 3 2 2" xfId="46286"/>
    <cellStyle name="Процентный 2 4 5 3 3" xfId="46287"/>
    <cellStyle name="Процентный 2 4 5 4" xfId="46288"/>
    <cellStyle name="Процентный 2 4 5 4 2" xfId="46289"/>
    <cellStyle name="Процентный 2 4 5 5" xfId="46290"/>
    <cellStyle name="Процентный 2 4 5 5 2" xfId="46291"/>
    <cellStyle name="Процентный 2 4 5 6" xfId="46292"/>
    <cellStyle name="Процентный 2 4 6" xfId="46293"/>
    <cellStyle name="Процентный 2 4 6 2" xfId="46294"/>
    <cellStyle name="Процентный 2 4 6 2 2" xfId="46295"/>
    <cellStyle name="Процентный 2 4 6 2 2 2" xfId="46296"/>
    <cellStyle name="Процентный 2 4 6 2 3" xfId="46297"/>
    <cellStyle name="Процентный 2 4 6 3" xfId="46298"/>
    <cellStyle name="Процентный 2 4 6 3 2" xfId="46299"/>
    <cellStyle name="Процентный 2 4 6 3 2 2" xfId="46300"/>
    <cellStyle name="Процентный 2 4 6 3 3" xfId="46301"/>
    <cellStyle name="Процентный 2 4 6 4" xfId="46302"/>
    <cellStyle name="Процентный 2 4 6 4 2" xfId="46303"/>
    <cellStyle name="Процентный 2 4 6 5" xfId="46304"/>
    <cellStyle name="Процентный 2 4 6 5 2" xfId="46305"/>
    <cellStyle name="Процентный 2 4 6 6" xfId="46306"/>
    <cellStyle name="Процентный 2 4 7" xfId="46307"/>
    <cellStyle name="Процентный 2 4 7 2" xfId="46308"/>
    <cellStyle name="Процентный 2 4 7 2 2" xfId="46309"/>
    <cellStyle name="Процентный 2 4 7 3" xfId="46310"/>
    <cellStyle name="Процентный 2 4 8" xfId="46311"/>
    <cellStyle name="Процентный 2 4 8 2" xfId="46312"/>
    <cellStyle name="Процентный 2 4 8 2 2" xfId="46313"/>
    <cellStyle name="Процентный 2 4 8 3" xfId="46314"/>
    <cellStyle name="Процентный 2 4 9" xfId="46315"/>
    <cellStyle name="Процентный 2 4 9 2" xfId="46316"/>
    <cellStyle name="Процентный 2 5" xfId="46317"/>
    <cellStyle name="Процентный 2 5 2" xfId="46318"/>
    <cellStyle name="Процентный 2 5 3" xfId="46319"/>
    <cellStyle name="Процентный 2 5 4" xfId="46320"/>
    <cellStyle name="Процентный 2 6" xfId="46321"/>
    <cellStyle name="Процентный 2 6 2" xfId="46322"/>
    <cellStyle name="Процентный 2 7" xfId="46323"/>
    <cellStyle name="Процентный 2 7 2" xfId="46324"/>
    <cellStyle name="Процентный 2 8" xfId="46325"/>
    <cellStyle name="Процентный 2 8 2" xfId="46326"/>
    <cellStyle name="Процентный 2 9" xfId="46327"/>
    <cellStyle name="Процентный 2 9 2" xfId="46328"/>
    <cellStyle name="Процентный 2_Региональные прайсы 2009" xfId="46329"/>
    <cellStyle name="Процентный 20" xfId="46330"/>
    <cellStyle name="Процентный 20 2" xfId="46331"/>
    <cellStyle name="Процентный 20 2 2" xfId="46332"/>
    <cellStyle name="Процентный 20 2 2 2" xfId="46333"/>
    <cellStyle name="Процентный 20 2 2 2 2" xfId="46334"/>
    <cellStyle name="Процентный 20 2 2 3" xfId="46335"/>
    <cellStyle name="Процентный 20 2 3" xfId="46336"/>
    <cellStyle name="Процентный 20 2 3 2" xfId="46337"/>
    <cellStyle name="Процентный 20 2 3 2 2" xfId="46338"/>
    <cellStyle name="Процентный 20 2 3 3" xfId="46339"/>
    <cellStyle name="Процентный 20 2 4" xfId="46340"/>
    <cellStyle name="Процентный 20 2 4 2" xfId="46341"/>
    <cellStyle name="Процентный 20 2 5" xfId="46342"/>
    <cellStyle name="Процентный 20 2 5 2" xfId="46343"/>
    <cellStyle name="Процентный 20 2 6" xfId="46344"/>
    <cellStyle name="Процентный 20 3" xfId="46345"/>
    <cellStyle name="Процентный 20 3 2" xfId="46346"/>
    <cellStyle name="Процентный 20 3 2 2" xfId="46347"/>
    <cellStyle name="Процентный 20 3 2 2 2" xfId="46348"/>
    <cellStyle name="Процентный 20 3 2 3" xfId="46349"/>
    <cellStyle name="Процентный 20 3 3" xfId="46350"/>
    <cellStyle name="Процентный 20 3 3 2" xfId="46351"/>
    <cellStyle name="Процентный 20 3 3 2 2" xfId="46352"/>
    <cellStyle name="Процентный 20 3 3 3" xfId="46353"/>
    <cellStyle name="Процентный 20 3 4" xfId="46354"/>
    <cellStyle name="Процентный 20 3 4 2" xfId="46355"/>
    <cellStyle name="Процентный 20 3 5" xfId="46356"/>
    <cellStyle name="Процентный 20 3 5 2" xfId="46357"/>
    <cellStyle name="Процентный 20 3 6" xfId="46358"/>
    <cellStyle name="Процентный 20 4" xfId="46359"/>
    <cellStyle name="Процентный 20 4 2" xfId="46360"/>
    <cellStyle name="Процентный 20 4 2 2" xfId="46361"/>
    <cellStyle name="Процентный 20 4 3" xfId="46362"/>
    <cellStyle name="Процентный 20 5" xfId="46363"/>
    <cellStyle name="Процентный 20 6" xfId="46364"/>
    <cellStyle name="Процентный 21" xfId="46365"/>
    <cellStyle name="Процентный 21 2" xfId="46366"/>
    <cellStyle name="Процентный 21 2 2" xfId="46367"/>
    <cellStyle name="Процентный 21 2 2 2" xfId="46368"/>
    <cellStyle name="Процентный 21 2 2 2 2" xfId="46369"/>
    <cellStyle name="Процентный 21 2 2 3" xfId="46370"/>
    <cellStyle name="Процентный 21 2 3" xfId="46371"/>
    <cellStyle name="Процентный 21 2 3 2" xfId="46372"/>
    <cellStyle name="Процентный 21 2 3 2 2" xfId="46373"/>
    <cellStyle name="Процентный 21 2 3 3" xfId="46374"/>
    <cellStyle name="Процентный 21 2 4" xfId="46375"/>
    <cellStyle name="Процентный 21 2 4 2" xfId="46376"/>
    <cellStyle name="Процентный 21 2 5" xfId="46377"/>
    <cellStyle name="Процентный 21 2 6" xfId="46378"/>
    <cellStyle name="Процентный 21 3" xfId="46379"/>
    <cellStyle name="Процентный 21 3 2" xfId="46380"/>
    <cellStyle name="Процентный 21 3 2 2" xfId="46381"/>
    <cellStyle name="Процентный 21 3 2 2 2" xfId="46382"/>
    <cellStyle name="Процентный 21 3 2 3" xfId="46383"/>
    <cellStyle name="Процентный 21 3 3" xfId="46384"/>
    <cellStyle name="Процентный 21 3 3 2" xfId="46385"/>
    <cellStyle name="Процентный 21 3 3 2 2" xfId="46386"/>
    <cellStyle name="Процентный 21 3 3 3" xfId="46387"/>
    <cellStyle name="Процентный 21 3 4" xfId="46388"/>
    <cellStyle name="Процентный 21 3 4 2" xfId="46389"/>
    <cellStyle name="Процентный 21 3 5" xfId="46390"/>
    <cellStyle name="Процентный 21 4" xfId="46391"/>
    <cellStyle name="Процентный 21 4 2" xfId="46392"/>
    <cellStyle name="Процентный 21 5" xfId="46393"/>
    <cellStyle name="Процентный 21 5 2" xfId="46394"/>
    <cellStyle name="Процентный 22" xfId="46395"/>
    <cellStyle name="Процентный 22 2" xfId="46396"/>
    <cellStyle name="Процентный 22 2 2" xfId="46397"/>
    <cellStyle name="Процентный 22 2 3" xfId="46398"/>
    <cellStyle name="Процентный 22 3" xfId="46399"/>
    <cellStyle name="Процентный 22 3 2" xfId="46400"/>
    <cellStyle name="Процентный 22 4" xfId="46401"/>
    <cellStyle name="Процентный 22 4 2" xfId="46402"/>
    <cellStyle name="Процентный 22 5" xfId="46403"/>
    <cellStyle name="Процентный 23" xfId="46404"/>
    <cellStyle name="Процентный 23 2" xfId="46405"/>
    <cellStyle name="Процентный 23 2 2" xfId="46406"/>
    <cellStyle name="Процентный 23 2 2 2" xfId="46407"/>
    <cellStyle name="Процентный 23 2 2 2 2" xfId="46408"/>
    <cellStyle name="Процентный 23 2 2 3" xfId="46409"/>
    <cellStyle name="Процентный 23 2 3" xfId="46410"/>
    <cellStyle name="Процентный 23 2 3 2" xfId="46411"/>
    <cellStyle name="Процентный 23 2 3 2 2" xfId="46412"/>
    <cellStyle name="Процентный 23 2 3 3" xfId="46413"/>
    <cellStyle name="Процентный 23 2 4" xfId="46414"/>
    <cellStyle name="Процентный 23 2 4 2" xfId="46415"/>
    <cellStyle name="Процентный 23 2 5" xfId="46416"/>
    <cellStyle name="Процентный 23 3" xfId="46417"/>
    <cellStyle name="Процентный 23 3 2" xfId="46418"/>
    <cellStyle name="Процентный 23 3 2 2" xfId="46419"/>
    <cellStyle name="Процентный 23 3 2 2 2" xfId="46420"/>
    <cellStyle name="Процентный 23 3 2 3" xfId="46421"/>
    <cellStyle name="Процентный 23 3 3" xfId="46422"/>
    <cellStyle name="Процентный 23 3 3 2" xfId="46423"/>
    <cellStyle name="Процентный 23 3 3 2 2" xfId="46424"/>
    <cellStyle name="Процентный 23 3 3 3" xfId="46425"/>
    <cellStyle name="Процентный 23 3 4" xfId="46426"/>
    <cellStyle name="Процентный 23 3 4 2" xfId="46427"/>
    <cellStyle name="Процентный 23 3 5" xfId="46428"/>
    <cellStyle name="Процентный 23 4" xfId="46429"/>
    <cellStyle name="Процентный 23 4 2" xfId="46430"/>
    <cellStyle name="Процентный 23 5" xfId="46431"/>
    <cellStyle name="Процентный 24" xfId="46432"/>
    <cellStyle name="Процентный 24 2" xfId="46433"/>
    <cellStyle name="Процентный 24 2 2" xfId="46434"/>
    <cellStyle name="Процентный 24 2 2 2" xfId="46435"/>
    <cellStyle name="Процентный 24 2 2 2 2" xfId="46436"/>
    <cellStyle name="Процентный 24 2 2 2 2 2" xfId="46437"/>
    <cellStyle name="Процентный 24 2 2 2 3" xfId="46438"/>
    <cellStyle name="Процентный 24 2 2 3" xfId="46439"/>
    <cellStyle name="Процентный 24 2 2 3 2" xfId="46440"/>
    <cellStyle name="Процентный 24 2 2 4" xfId="46441"/>
    <cellStyle name="Процентный 24 2 3" xfId="46442"/>
    <cellStyle name="Процентный 24 2 3 2" xfId="46443"/>
    <cellStyle name="Процентный 24 2 3 2 2" xfId="46444"/>
    <cellStyle name="Процентный 24 2 3 3" xfId="46445"/>
    <cellStyle name="Процентный 24 2 4" xfId="46446"/>
    <cellStyle name="Процентный 24 2 4 2" xfId="46447"/>
    <cellStyle name="Процентный 24 2 4 2 2" xfId="46448"/>
    <cellStyle name="Процентный 24 2 4 3" xfId="46449"/>
    <cellStyle name="Процентный 24 2 5" xfId="46450"/>
    <cellStyle name="Процентный 24 2 5 2" xfId="46451"/>
    <cellStyle name="Процентный 24 2 6" xfId="46452"/>
    <cellStyle name="Процентный 24 3" xfId="46453"/>
    <cellStyle name="Процентный 24 3 2" xfId="46454"/>
    <cellStyle name="Процентный 24 3 2 2" xfId="46455"/>
    <cellStyle name="Процентный 24 3 2 2 2" xfId="46456"/>
    <cellStyle name="Процентный 24 3 2 3" xfId="46457"/>
    <cellStyle name="Процентный 24 3 3" xfId="46458"/>
    <cellStyle name="Процентный 24 3 3 2" xfId="46459"/>
    <cellStyle name="Процентный 24 3 3 2 2" xfId="46460"/>
    <cellStyle name="Процентный 24 3 3 3" xfId="46461"/>
    <cellStyle name="Процентный 24 3 4" xfId="46462"/>
    <cellStyle name="Процентный 24 3 4 2" xfId="46463"/>
    <cellStyle name="Процентный 24 3 5" xfId="46464"/>
    <cellStyle name="Процентный 24 4" xfId="46465"/>
    <cellStyle name="Процентный 24 4 2" xfId="46466"/>
    <cellStyle name="Процентный 24 4 2 2" xfId="46467"/>
    <cellStyle name="Процентный 24 4 3" xfId="46468"/>
    <cellStyle name="Процентный 24 5" xfId="46469"/>
    <cellStyle name="Процентный 24 5 2" xfId="46470"/>
    <cellStyle name="Процентный 24 5 2 2" xfId="46471"/>
    <cellStyle name="Процентный 24 5 3" xfId="46472"/>
    <cellStyle name="Процентный 24 6" xfId="46473"/>
    <cellStyle name="Процентный 24 6 2" xfId="46474"/>
    <cellStyle name="Процентный 24 7" xfId="46475"/>
    <cellStyle name="Процентный 24 7 2" xfId="46476"/>
    <cellStyle name="Процентный 24 8" xfId="46477"/>
    <cellStyle name="Процентный 25" xfId="46478"/>
    <cellStyle name="Процентный 25 2" xfId="46479"/>
    <cellStyle name="Процентный 25 2 2" xfId="46480"/>
    <cellStyle name="Процентный 25 2 2 2" xfId="46481"/>
    <cellStyle name="Процентный 25 2 2 2 2" xfId="46482"/>
    <cellStyle name="Процентный 25 2 2 3" xfId="46483"/>
    <cellStyle name="Процентный 25 2 3" xfId="46484"/>
    <cellStyle name="Процентный 25 2 3 2" xfId="46485"/>
    <cellStyle name="Процентный 25 2 3 2 2" xfId="46486"/>
    <cellStyle name="Процентный 25 2 3 3" xfId="46487"/>
    <cellStyle name="Процентный 25 2 4" xfId="46488"/>
    <cellStyle name="Процентный 25 2 4 2" xfId="46489"/>
    <cellStyle name="Процентный 25 2 5" xfId="46490"/>
    <cellStyle name="Процентный 25 3" xfId="46491"/>
    <cellStyle name="Процентный 25 3 2" xfId="46492"/>
    <cellStyle name="Процентный 25 3 2 2" xfId="46493"/>
    <cellStyle name="Процентный 25 3 2 2 2" xfId="46494"/>
    <cellStyle name="Процентный 25 3 2 3" xfId="46495"/>
    <cellStyle name="Процентный 25 3 3" xfId="46496"/>
    <cellStyle name="Процентный 25 3 3 2" xfId="46497"/>
    <cellStyle name="Процентный 25 3 3 2 2" xfId="46498"/>
    <cellStyle name="Процентный 25 3 3 3" xfId="46499"/>
    <cellStyle name="Процентный 25 3 4" xfId="46500"/>
    <cellStyle name="Процентный 25 3 4 2" xfId="46501"/>
    <cellStyle name="Процентный 25 3 5" xfId="46502"/>
    <cellStyle name="Процентный 25 4" xfId="46503"/>
    <cellStyle name="Процентный 25 4 2" xfId="46504"/>
    <cellStyle name="Процентный 25 4 2 2" xfId="46505"/>
    <cellStyle name="Процентный 25 4 3" xfId="46506"/>
    <cellStyle name="Процентный 25 5" xfId="46507"/>
    <cellStyle name="Процентный 25 5 2" xfId="46508"/>
    <cellStyle name="Процентный 25 5 2 2" xfId="46509"/>
    <cellStyle name="Процентный 25 5 3" xfId="46510"/>
    <cellStyle name="Процентный 25 6" xfId="46511"/>
    <cellStyle name="Процентный 25 6 2" xfId="46512"/>
    <cellStyle name="Процентный 25 7" xfId="46513"/>
    <cellStyle name="Процентный 25 7 2" xfId="46514"/>
    <cellStyle name="Процентный 26" xfId="46515"/>
    <cellStyle name="Процентный 26 2" xfId="46516"/>
    <cellStyle name="Процентный 26 2 2" xfId="46517"/>
    <cellStyle name="Процентный 26 2 2 2" xfId="46518"/>
    <cellStyle name="Процентный 26 2 2 2 2" xfId="46519"/>
    <cellStyle name="Процентный 26 2 2 3" xfId="46520"/>
    <cellStyle name="Процентный 26 2 3" xfId="46521"/>
    <cellStyle name="Процентный 26 2 3 2" xfId="46522"/>
    <cellStyle name="Процентный 26 2 3 2 2" xfId="46523"/>
    <cellStyle name="Процентный 26 2 3 3" xfId="46524"/>
    <cellStyle name="Процентный 26 2 4" xfId="46525"/>
    <cellStyle name="Процентный 26 2 4 2" xfId="46526"/>
    <cellStyle name="Процентный 26 2 5" xfId="46527"/>
    <cellStyle name="Процентный 26 3" xfId="46528"/>
    <cellStyle name="Процентный 26 3 2" xfId="46529"/>
    <cellStyle name="Процентный 26 3 2 2" xfId="46530"/>
    <cellStyle name="Процентный 26 3 2 2 2" xfId="46531"/>
    <cellStyle name="Процентный 26 3 2 3" xfId="46532"/>
    <cellStyle name="Процентный 26 3 3" xfId="46533"/>
    <cellStyle name="Процентный 26 3 3 2" xfId="46534"/>
    <cellStyle name="Процентный 26 3 3 2 2" xfId="46535"/>
    <cellStyle name="Процентный 26 3 3 3" xfId="46536"/>
    <cellStyle name="Процентный 26 3 4" xfId="46537"/>
    <cellStyle name="Процентный 26 3 4 2" xfId="46538"/>
    <cellStyle name="Процентный 26 3 5" xfId="46539"/>
    <cellStyle name="Процентный 26 4" xfId="46540"/>
    <cellStyle name="Процентный 26 4 2" xfId="46541"/>
    <cellStyle name="Процентный 26 4 2 2" xfId="46542"/>
    <cellStyle name="Процентный 26 4 3" xfId="46543"/>
    <cellStyle name="Процентный 26 5" xfId="46544"/>
    <cellStyle name="Процентный 26 5 2" xfId="46545"/>
    <cellStyle name="Процентный 26 5 2 2" xfId="46546"/>
    <cellStyle name="Процентный 26 5 3" xfId="46547"/>
    <cellStyle name="Процентный 26 6" xfId="46548"/>
    <cellStyle name="Процентный 26 6 2" xfId="46549"/>
    <cellStyle name="Процентный 26 7" xfId="46550"/>
    <cellStyle name="Процентный 26 7 2" xfId="46551"/>
    <cellStyle name="Процентный 26 8" xfId="46552"/>
    <cellStyle name="Процентный 27" xfId="46553"/>
    <cellStyle name="Процентный 27 2" xfId="46554"/>
    <cellStyle name="Процентный 27 2 2" xfId="46555"/>
    <cellStyle name="Процентный 27 2 2 2" xfId="46556"/>
    <cellStyle name="Процентный 27 2 2 2 2" xfId="46557"/>
    <cellStyle name="Процентный 27 2 2 3" xfId="46558"/>
    <cellStyle name="Процентный 27 2 3" xfId="46559"/>
    <cellStyle name="Процентный 27 2 3 2" xfId="46560"/>
    <cellStyle name="Процентный 27 2 3 2 2" xfId="46561"/>
    <cellStyle name="Процентный 27 2 3 3" xfId="46562"/>
    <cellStyle name="Процентный 27 2 4" xfId="46563"/>
    <cellStyle name="Процентный 27 2 4 2" xfId="46564"/>
    <cellStyle name="Процентный 27 2 5" xfId="46565"/>
    <cellStyle name="Процентный 27 3" xfId="46566"/>
    <cellStyle name="Процентный 27 3 2" xfId="46567"/>
    <cellStyle name="Процентный 27 3 2 2" xfId="46568"/>
    <cellStyle name="Процентный 27 3 2 2 2" xfId="46569"/>
    <cellStyle name="Процентный 27 3 2 3" xfId="46570"/>
    <cellStyle name="Процентный 27 3 3" xfId="46571"/>
    <cellStyle name="Процентный 27 3 3 2" xfId="46572"/>
    <cellStyle name="Процентный 27 3 3 2 2" xfId="46573"/>
    <cellStyle name="Процентный 27 3 3 3" xfId="46574"/>
    <cellStyle name="Процентный 27 3 4" xfId="46575"/>
    <cellStyle name="Процентный 27 3 4 2" xfId="46576"/>
    <cellStyle name="Процентный 27 3 5" xfId="46577"/>
    <cellStyle name="Процентный 27 4" xfId="46578"/>
    <cellStyle name="Процентный 27 4 2" xfId="46579"/>
    <cellStyle name="Процентный 27 4 2 2" xfId="46580"/>
    <cellStyle name="Процентный 27 4 3" xfId="46581"/>
    <cellStyle name="Процентный 27 5" xfId="46582"/>
    <cellStyle name="Процентный 27 5 2" xfId="46583"/>
    <cellStyle name="Процентный 27 5 2 2" xfId="46584"/>
    <cellStyle name="Процентный 27 5 3" xfId="46585"/>
    <cellStyle name="Процентный 27 6" xfId="46586"/>
    <cellStyle name="Процентный 27 6 2" xfId="46587"/>
    <cellStyle name="Процентный 27 7" xfId="46588"/>
    <cellStyle name="Процентный 27 7 2" xfId="46589"/>
    <cellStyle name="Процентный 27 8" xfId="46590"/>
    <cellStyle name="Процентный 28" xfId="46591"/>
    <cellStyle name="Процентный 28 2" xfId="46592"/>
    <cellStyle name="Процентный 28 2 2" xfId="46593"/>
    <cellStyle name="Процентный 28 2 2 2" xfId="46594"/>
    <cellStyle name="Процентный 28 2 2 2 2" xfId="46595"/>
    <cellStyle name="Процентный 28 2 2 3" xfId="46596"/>
    <cellStyle name="Процентный 28 2 3" xfId="46597"/>
    <cellStyle name="Процентный 28 2 3 2" xfId="46598"/>
    <cellStyle name="Процентный 28 2 3 2 2" xfId="46599"/>
    <cellStyle name="Процентный 28 2 3 3" xfId="46600"/>
    <cellStyle name="Процентный 28 2 4" xfId="46601"/>
    <cellStyle name="Процентный 28 2 4 2" xfId="46602"/>
    <cellStyle name="Процентный 28 2 5" xfId="46603"/>
    <cellStyle name="Процентный 28 3" xfId="46604"/>
    <cellStyle name="Процентный 28 3 2" xfId="46605"/>
    <cellStyle name="Процентный 28 3 2 2" xfId="46606"/>
    <cellStyle name="Процентный 28 3 2 2 2" xfId="46607"/>
    <cellStyle name="Процентный 28 3 2 3" xfId="46608"/>
    <cellStyle name="Процентный 28 3 3" xfId="46609"/>
    <cellStyle name="Процентный 28 3 3 2" xfId="46610"/>
    <cellStyle name="Процентный 28 3 3 2 2" xfId="46611"/>
    <cellStyle name="Процентный 28 3 3 3" xfId="46612"/>
    <cellStyle name="Процентный 28 3 4" xfId="46613"/>
    <cellStyle name="Процентный 28 3 4 2" xfId="46614"/>
    <cellStyle name="Процентный 28 3 5" xfId="46615"/>
    <cellStyle name="Процентный 28 4" xfId="46616"/>
    <cellStyle name="Процентный 28 4 2" xfId="46617"/>
    <cellStyle name="Процентный 28 4 2 2" xfId="46618"/>
    <cellStyle name="Процентный 28 4 3" xfId="46619"/>
    <cellStyle name="Процентный 28 5" xfId="46620"/>
    <cellStyle name="Процентный 28 5 2" xfId="46621"/>
    <cellStyle name="Процентный 28 5 2 2" xfId="46622"/>
    <cellStyle name="Процентный 28 5 3" xfId="46623"/>
    <cellStyle name="Процентный 28 6" xfId="46624"/>
    <cellStyle name="Процентный 28 6 2" xfId="46625"/>
    <cellStyle name="Процентный 28 7" xfId="46626"/>
    <cellStyle name="Процентный 28 7 2" xfId="46627"/>
    <cellStyle name="Процентный 28 8" xfId="46628"/>
    <cellStyle name="Процентный 29" xfId="46629"/>
    <cellStyle name="Процентный 29 2" xfId="46630"/>
    <cellStyle name="Процентный 29 2 2" xfId="46631"/>
    <cellStyle name="Процентный 29 2 2 2" xfId="46632"/>
    <cellStyle name="Процентный 29 2 2 2 2" xfId="46633"/>
    <cellStyle name="Процентный 29 2 2 3" xfId="46634"/>
    <cellStyle name="Процентный 29 2 3" xfId="46635"/>
    <cellStyle name="Процентный 29 2 3 2" xfId="46636"/>
    <cellStyle name="Процентный 29 2 3 2 2" xfId="46637"/>
    <cellStyle name="Процентный 29 2 3 3" xfId="46638"/>
    <cellStyle name="Процентный 29 2 4" xfId="46639"/>
    <cellStyle name="Процентный 29 2 4 2" xfId="46640"/>
    <cellStyle name="Процентный 29 2 5" xfId="46641"/>
    <cellStyle name="Процентный 29 3" xfId="46642"/>
    <cellStyle name="Процентный 29 3 2" xfId="46643"/>
    <cellStyle name="Процентный 29 3 2 2" xfId="46644"/>
    <cellStyle name="Процентный 29 3 2 2 2" xfId="46645"/>
    <cellStyle name="Процентный 29 3 2 3" xfId="46646"/>
    <cellStyle name="Процентный 29 3 3" xfId="46647"/>
    <cellStyle name="Процентный 29 3 3 2" xfId="46648"/>
    <cellStyle name="Процентный 29 3 3 2 2" xfId="46649"/>
    <cellStyle name="Процентный 29 3 3 3" xfId="46650"/>
    <cellStyle name="Процентный 29 3 4" xfId="46651"/>
    <cellStyle name="Процентный 29 3 4 2" xfId="46652"/>
    <cellStyle name="Процентный 29 3 5" xfId="46653"/>
    <cellStyle name="Процентный 29 4" xfId="46654"/>
    <cellStyle name="Процентный 29 4 2" xfId="46655"/>
    <cellStyle name="Процентный 29 4 2 2" xfId="46656"/>
    <cellStyle name="Процентный 29 4 2 2 2" xfId="46657"/>
    <cellStyle name="Процентный 29 4 2 3" xfId="46658"/>
    <cellStyle name="Процентный 29 4 3" xfId="46659"/>
    <cellStyle name="Процентный 29 4 3 2" xfId="46660"/>
    <cellStyle name="Процентный 29 4 4" xfId="46661"/>
    <cellStyle name="Процентный 29 5" xfId="46662"/>
    <cellStyle name="Процентный 29 5 2" xfId="46663"/>
    <cellStyle name="Процентный 29 5 2 2" xfId="46664"/>
    <cellStyle name="Процентный 29 5 3" xfId="46665"/>
    <cellStyle name="Процентный 29 6" xfId="46666"/>
    <cellStyle name="Процентный 29 6 2" xfId="46667"/>
    <cellStyle name="Процентный 29 6 2 2" xfId="46668"/>
    <cellStyle name="Процентный 29 6 3" xfId="46669"/>
    <cellStyle name="Процентный 29 7" xfId="46670"/>
    <cellStyle name="Процентный 29 7 2" xfId="46671"/>
    <cellStyle name="Процентный 29 8" xfId="46672"/>
    <cellStyle name="Процентный 29 8 2" xfId="46673"/>
    <cellStyle name="Процентный 29 9" xfId="46674"/>
    <cellStyle name="Процентный 3" xfId="46675"/>
    <cellStyle name="Процентный 3 10" xfId="46676"/>
    <cellStyle name="Процентный 3 10 2" xfId="46677"/>
    <cellStyle name="Процентный 3 10 2 2" xfId="46678"/>
    <cellStyle name="Процентный 3 10 3" xfId="46679"/>
    <cellStyle name="Процентный 3 11" xfId="46680"/>
    <cellStyle name="Процентный 3 11 2" xfId="46681"/>
    <cellStyle name="Процентный 3 12" xfId="46682"/>
    <cellStyle name="Процентный 3 13" xfId="46683"/>
    <cellStyle name="Процентный 3 2" xfId="46684"/>
    <cellStyle name="Процентный 3 2 10" xfId="46685"/>
    <cellStyle name="Процентный 3 2 10 2" xfId="46686"/>
    <cellStyle name="Процентный 3 2 11" xfId="46687"/>
    <cellStyle name="Процентный 3 2 2" xfId="46688"/>
    <cellStyle name="Процентный 3 2 2 2" xfId="46689"/>
    <cellStyle name="Процентный 3 2 2 2 2" xfId="46690"/>
    <cellStyle name="Процентный 3 2 2 2 2 2" xfId="46691"/>
    <cellStyle name="Процентный 3 2 2 2 2 2 2" xfId="46692"/>
    <cellStyle name="Процентный 3 2 2 2 2 2 2 2" xfId="46693"/>
    <cellStyle name="Процентный 3 2 2 2 2 2 3" xfId="46694"/>
    <cellStyle name="Процентный 3 2 2 2 2 3" xfId="46695"/>
    <cellStyle name="Процентный 3 2 2 2 2 3 2" xfId="46696"/>
    <cellStyle name="Процентный 3 2 2 2 2 3 2 2" xfId="46697"/>
    <cellStyle name="Процентный 3 2 2 2 2 3 3" xfId="46698"/>
    <cellStyle name="Процентный 3 2 2 2 2 4" xfId="46699"/>
    <cellStyle name="Процентный 3 2 2 2 2 4 2" xfId="46700"/>
    <cellStyle name="Процентный 3 2 2 2 2 5" xfId="46701"/>
    <cellStyle name="Процентный 3 2 2 2 2 5 2" xfId="46702"/>
    <cellStyle name="Процентный 3 2 2 2 2 6" xfId="46703"/>
    <cellStyle name="Процентный 3 2 2 2 3" xfId="46704"/>
    <cellStyle name="Процентный 3 2 2 2 3 2" xfId="46705"/>
    <cellStyle name="Процентный 3 2 2 2 3 2 2" xfId="46706"/>
    <cellStyle name="Процентный 3 2 2 2 3 2 2 2" xfId="46707"/>
    <cellStyle name="Процентный 3 2 2 2 3 2 3" xfId="46708"/>
    <cellStyle name="Процентный 3 2 2 2 3 3" xfId="46709"/>
    <cellStyle name="Процентный 3 2 2 2 3 3 2" xfId="46710"/>
    <cellStyle name="Процентный 3 2 2 2 3 3 2 2" xfId="46711"/>
    <cellStyle name="Процентный 3 2 2 2 3 3 3" xfId="46712"/>
    <cellStyle name="Процентный 3 2 2 2 3 4" xfId="46713"/>
    <cellStyle name="Процентный 3 2 2 2 3 4 2" xfId="46714"/>
    <cellStyle name="Процентный 3 2 2 2 3 5" xfId="46715"/>
    <cellStyle name="Процентный 3 2 2 2 3 5 2" xfId="46716"/>
    <cellStyle name="Процентный 3 2 2 2 3 6" xfId="46717"/>
    <cellStyle name="Процентный 3 2 2 2 4" xfId="46718"/>
    <cellStyle name="Процентный 3 2 2 2 4 2" xfId="46719"/>
    <cellStyle name="Процентный 3 2 2 2 4 2 2" xfId="46720"/>
    <cellStyle name="Процентный 3 2 2 2 4 3" xfId="46721"/>
    <cellStyle name="Процентный 3 2 2 2 5" xfId="46722"/>
    <cellStyle name="Процентный 3 2 2 2 5 2" xfId="46723"/>
    <cellStyle name="Процентный 3 2 2 2 5 2 2" xfId="46724"/>
    <cellStyle name="Процентный 3 2 2 2 5 3" xfId="46725"/>
    <cellStyle name="Процентный 3 2 2 2 6" xfId="46726"/>
    <cellStyle name="Процентный 3 2 2 2 6 2" xfId="46727"/>
    <cellStyle name="Процентный 3 2 2 2 7" xfId="46728"/>
    <cellStyle name="Процентный 3 2 2 2 7 2" xfId="46729"/>
    <cellStyle name="Процентный 3 2 2 2 8" xfId="46730"/>
    <cellStyle name="Процентный 3 2 2 3" xfId="46731"/>
    <cellStyle name="Процентный 3 2 2 3 2" xfId="46732"/>
    <cellStyle name="Процентный 3 2 2 3 2 2" xfId="46733"/>
    <cellStyle name="Процентный 3 2 2 3 2 2 2" xfId="46734"/>
    <cellStyle name="Процентный 3 2 2 3 2 3" xfId="46735"/>
    <cellStyle name="Процентный 3 2 2 3 2 3 2" xfId="46736"/>
    <cellStyle name="Процентный 3 2 2 3 2 4" xfId="46737"/>
    <cellStyle name="Процентный 3 2 2 3 3" xfId="46738"/>
    <cellStyle name="Процентный 3 2 2 3 3 2" xfId="46739"/>
    <cellStyle name="Процентный 3 2 2 3 3 2 2" xfId="46740"/>
    <cellStyle name="Процентный 3 2 2 3 3 3" xfId="46741"/>
    <cellStyle name="Процентный 3 2 2 3 4" xfId="46742"/>
    <cellStyle name="Процентный 3 2 2 3 4 2" xfId="46743"/>
    <cellStyle name="Процентный 3 2 2 3 5" xfId="46744"/>
    <cellStyle name="Процентный 3 2 2 3 5 2" xfId="46745"/>
    <cellStyle name="Процентный 3 2 2 3 6" xfId="46746"/>
    <cellStyle name="Процентный 3 2 2 4" xfId="46747"/>
    <cellStyle name="Процентный 3 2 2 4 2" xfId="46748"/>
    <cellStyle name="Процентный 3 2 2 4 2 2" xfId="46749"/>
    <cellStyle name="Процентный 3 2 2 4 2 2 2" xfId="46750"/>
    <cellStyle name="Процентный 3 2 2 4 2 3" xfId="46751"/>
    <cellStyle name="Процентный 3 2 2 4 3" xfId="46752"/>
    <cellStyle name="Процентный 3 2 2 4 3 2" xfId="46753"/>
    <cellStyle name="Процентный 3 2 2 4 3 2 2" xfId="46754"/>
    <cellStyle name="Процентный 3 2 2 4 3 3" xfId="46755"/>
    <cellStyle name="Процентный 3 2 2 4 4" xfId="46756"/>
    <cellStyle name="Процентный 3 2 2 4 4 2" xfId="46757"/>
    <cellStyle name="Процентный 3 2 2 4 5" xfId="46758"/>
    <cellStyle name="Процентный 3 2 2 4 5 2" xfId="46759"/>
    <cellStyle name="Процентный 3 2 2 4 6" xfId="46760"/>
    <cellStyle name="Процентный 3 2 2 5" xfId="46761"/>
    <cellStyle name="Процентный 3 2 2 5 2" xfId="46762"/>
    <cellStyle name="Процентный 3 2 2 5 2 2" xfId="46763"/>
    <cellStyle name="Процентный 3 2 2 5 3" xfId="46764"/>
    <cellStyle name="Процентный 3 2 2 6" xfId="46765"/>
    <cellStyle name="Процентный 3 2 2 6 2" xfId="46766"/>
    <cellStyle name="Процентный 3 2 2 6 2 2" xfId="46767"/>
    <cellStyle name="Процентный 3 2 2 6 3" xfId="46768"/>
    <cellStyle name="Процентный 3 2 2 7" xfId="46769"/>
    <cellStyle name="Процентный 3 2 2 7 2" xfId="46770"/>
    <cellStyle name="Процентный 3 2 2 8" xfId="46771"/>
    <cellStyle name="Процентный 3 2 2 8 2" xfId="46772"/>
    <cellStyle name="Процентный 3 2 2 9" xfId="46773"/>
    <cellStyle name="Процентный 3 2 3" xfId="46774"/>
    <cellStyle name="Процентный 3 2 3 2" xfId="46775"/>
    <cellStyle name="Процентный 3 2 3 2 2" xfId="46776"/>
    <cellStyle name="Процентный 3 2 3 2 2 2" xfId="46777"/>
    <cellStyle name="Процентный 3 2 3 2 2 2 2" xfId="46778"/>
    <cellStyle name="Процентный 3 2 3 2 2 3" xfId="46779"/>
    <cellStyle name="Процентный 3 2 3 2 2 3 2" xfId="46780"/>
    <cellStyle name="Процентный 3 2 3 2 2 4" xfId="46781"/>
    <cellStyle name="Процентный 3 2 3 2 3" xfId="46782"/>
    <cellStyle name="Процентный 3 2 3 2 3 2" xfId="46783"/>
    <cellStyle name="Процентный 3 2 3 2 3 2 2" xfId="46784"/>
    <cellStyle name="Процентный 3 2 3 2 3 3" xfId="46785"/>
    <cellStyle name="Процентный 3 2 3 2 4" xfId="46786"/>
    <cellStyle name="Процентный 3 2 3 2 4 2" xfId="46787"/>
    <cellStyle name="Процентный 3 2 3 2 5" xfId="46788"/>
    <cellStyle name="Процентный 3 2 3 2 5 2" xfId="46789"/>
    <cellStyle name="Процентный 3 2 3 2 6" xfId="46790"/>
    <cellStyle name="Процентный 3 2 3 3" xfId="46791"/>
    <cellStyle name="Процентный 3 2 3 3 2" xfId="46792"/>
    <cellStyle name="Процентный 3 2 3 3 2 2" xfId="46793"/>
    <cellStyle name="Процентный 3 2 3 3 2 2 2" xfId="46794"/>
    <cellStyle name="Процентный 3 2 3 3 2 3" xfId="46795"/>
    <cellStyle name="Процентный 3 2 3 3 3" xfId="46796"/>
    <cellStyle name="Процентный 3 2 3 3 3 2" xfId="46797"/>
    <cellStyle name="Процентный 3 2 3 3 3 2 2" xfId="46798"/>
    <cellStyle name="Процентный 3 2 3 3 3 3" xfId="46799"/>
    <cellStyle name="Процентный 3 2 3 3 4" xfId="46800"/>
    <cellStyle name="Процентный 3 2 3 3 4 2" xfId="46801"/>
    <cellStyle name="Процентный 3 2 3 3 5" xfId="46802"/>
    <cellStyle name="Процентный 3 2 3 3 5 2" xfId="46803"/>
    <cellStyle name="Процентный 3 2 3 3 6" xfId="46804"/>
    <cellStyle name="Процентный 3 2 3 4" xfId="46805"/>
    <cellStyle name="Процентный 3 2 3 4 2" xfId="46806"/>
    <cellStyle name="Процентный 3 2 3 4 2 2" xfId="46807"/>
    <cellStyle name="Процентный 3 2 3 4 3" xfId="46808"/>
    <cellStyle name="Процентный 3 2 3 4 3 2" xfId="46809"/>
    <cellStyle name="Процентный 3 2 3 4 4" xfId="46810"/>
    <cellStyle name="Процентный 3 2 3 5" xfId="46811"/>
    <cellStyle name="Процентный 3 2 3 5 2" xfId="46812"/>
    <cellStyle name="Процентный 3 2 3 5 2 2" xfId="46813"/>
    <cellStyle name="Процентный 3 2 3 5 3" xfId="46814"/>
    <cellStyle name="Процентный 3 2 3 6" xfId="46815"/>
    <cellStyle name="Процентный 3 2 3 6 2" xfId="46816"/>
    <cellStyle name="Процентный 3 2 3 7" xfId="46817"/>
    <cellStyle name="Процентный 3 2 3 7 2" xfId="46818"/>
    <cellStyle name="Процентный 3 2 3 8" xfId="46819"/>
    <cellStyle name="Процентный 3 2 4" xfId="46820"/>
    <cellStyle name="Процентный 3 2 4 2" xfId="46821"/>
    <cellStyle name="Процентный 3 2 4 2 2" xfId="46822"/>
    <cellStyle name="Процентный 3 2 4 2 2 2" xfId="46823"/>
    <cellStyle name="Процентный 3 2 4 2 2 2 2" xfId="46824"/>
    <cellStyle name="Процентный 3 2 4 2 2 3" xfId="46825"/>
    <cellStyle name="Процентный 3 2 4 2 3" xfId="46826"/>
    <cellStyle name="Процентный 3 2 4 2 3 2" xfId="46827"/>
    <cellStyle name="Процентный 3 2 4 2 3 2 2" xfId="46828"/>
    <cellStyle name="Процентный 3 2 4 2 3 3" xfId="46829"/>
    <cellStyle name="Процентный 3 2 4 2 4" xfId="46830"/>
    <cellStyle name="Процентный 3 2 4 2 4 2" xfId="46831"/>
    <cellStyle name="Процентный 3 2 4 2 5" xfId="46832"/>
    <cellStyle name="Процентный 3 2 4 2 5 2" xfId="46833"/>
    <cellStyle name="Процентный 3 2 4 2 6" xfId="46834"/>
    <cellStyle name="Процентный 3 2 4 3" xfId="46835"/>
    <cellStyle name="Процентный 3 2 4 3 2" xfId="46836"/>
    <cellStyle name="Процентный 3 2 4 3 2 2" xfId="46837"/>
    <cellStyle name="Процентный 3 2 4 3 2 2 2" xfId="46838"/>
    <cellStyle name="Процентный 3 2 4 3 2 3" xfId="46839"/>
    <cellStyle name="Процентный 3 2 4 3 3" xfId="46840"/>
    <cellStyle name="Процентный 3 2 4 3 3 2" xfId="46841"/>
    <cellStyle name="Процентный 3 2 4 3 3 2 2" xfId="46842"/>
    <cellStyle name="Процентный 3 2 4 3 3 3" xfId="46843"/>
    <cellStyle name="Процентный 3 2 4 3 4" xfId="46844"/>
    <cellStyle name="Процентный 3 2 4 3 4 2" xfId="46845"/>
    <cellStyle name="Процентный 3 2 4 3 5" xfId="46846"/>
    <cellStyle name="Процентный 3 2 4 4" xfId="46847"/>
    <cellStyle name="Процентный 3 2 4 5" xfId="46848"/>
    <cellStyle name="Процентный 3 2 4 5 2" xfId="46849"/>
    <cellStyle name="Процентный 3 2 4 6" xfId="46850"/>
    <cellStyle name="Процентный 3 2 5" xfId="46851"/>
    <cellStyle name="Процентный 3 2 5 2" xfId="46852"/>
    <cellStyle name="Процентный 3 2 5 2 2" xfId="46853"/>
    <cellStyle name="Процентный 3 2 5 2 2 2" xfId="46854"/>
    <cellStyle name="Процентный 3 2 5 2 3" xfId="46855"/>
    <cellStyle name="Процентный 3 2 5 3" xfId="46856"/>
    <cellStyle name="Процентный 3 2 5 3 2" xfId="46857"/>
    <cellStyle name="Процентный 3 2 5 3 2 2" xfId="46858"/>
    <cellStyle name="Процентный 3 2 5 3 3" xfId="46859"/>
    <cellStyle name="Процентный 3 2 5 4" xfId="46860"/>
    <cellStyle name="Процентный 3 2 5 4 2" xfId="46861"/>
    <cellStyle name="Процентный 3 2 5 5" xfId="46862"/>
    <cellStyle name="Процентный 3 2 5 5 2" xfId="46863"/>
    <cellStyle name="Процентный 3 2 5 6" xfId="46864"/>
    <cellStyle name="Процентный 3 2 6" xfId="46865"/>
    <cellStyle name="Процентный 3 2 6 2" xfId="46866"/>
    <cellStyle name="Процентный 3 2 6 2 2" xfId="46867"/>
    <cellStyle name="Процентный 3 2 6 2 2 2" xfId="46868"/>
    <cellStyle name="Процентный 3 2 6 2 3" xfId="46869"/>
    <cellStyle name="Процентный 3 2 6 3" xfId="46870"/>
    <cellStyle name="Процентный 3 2 6 3 2" xfId="46871"/>
    <cellStyle name="Процентный 3 2 6 3 2 2" xfId="46872"/>
    <cellStyle name="Процентный 3 2 6 3 3" xfId="46873"/>
    <cellStyle name="Процентный 3 2 6 4" xfId="46874"/>
    <cellStyle name="Процентный 3 2 6 4 2" xfId="46875"/>
    <cellStyle name="Процентный 3 2 6 5" xfId="46876"/>
    <cellStyle name="Процентный 3 2 6 5 2" xfId="46877"/>
    <cellStyle name="Процентный 3 2 6 6" xfId="46878"/>
    <cellStyle name="Процентный 3 2 7" xfId="46879"/>
    <cellStyle name="Процентный 3 2 7 2" xfId="46880"/>
    <cellStyle name="Процентный 3 2 7 2 2" xfId="46881"/>
    <cellStyle name="Процентный 3 2 7 3" xfId="46882"/>
    <cellStyle name="Процентный 3 2 8" xfId="46883"/>
    <cellStyle name="Процентный 3 2 8 2" xfId="46884"/>
    <cellStyle name="Процентный 3 2 8 2 2" xfId="46885"/>
    <cellStyle name="Процентный 3 2 8 3" xfId="46886"/>
    <cellStyle name="Процентный 3 2 9" xfId="46887"/>
    <cellStyle name="Процентный 3 2 9 2" xfId="46888"/>
    <cellStyle name="Процентный 3 3" xfId="46889"/>
    <cellStyle name="Процентный 3 3 2" xfId="46890"/>
    <cellStyle name="Процентный 3 3 2 2" xfId="46891"/>
    <cellStyle name="Процентный 3 3 2 2 2" xfId="46892"/>
    <cellStyle name="Процентный 3 3 2 2 2 2" xfId="46893"/>
    <cellStyle name="Процентный 3 3 2 2 2 2 2" xfId="46894"/>
    <cellStyle name="Процентный 3 3 2 2 2 3" xfId="46895"/>
    <cellStyle name="Процентный 3 3 2 2 3" xfId="46896"/>
    <cellStyle name="Процентный 3 3 2 2 3 2" xfId="46897"/>
    <cellStyle name="Процентный 3 3 2 2 3 2 2" xfId="46898"/>
    <cellStyle name="Процентный 3 3 2 2 3 3" xfId="46899"/>
    <cellStyle name="Процентный 3 3 2 2 4" xfId="46900"/>
    <cellStyle name="Процентный 3 3 2 2 4 2" xfId="46901"/>
    <cellStyle name="Процентный 3 3 2 2 5" xfId="46902"/>
    <cellStyle name="Процентный 3 3 2 2 5 2" xfId="46903"/>
    <cellStyle name="Процентный 3 3 2 2 6" xfId="46904"/>
    <cellStyle name="Процентный 3 3 2 3" xfId="46905"/>
    <cellStyle name="Процентный 3 3 2 3 2" xfId="46906"/>
    <cellStyle name="Процентный 3 3 2 3 2 2" xfId="46907"/>
    <cellStyle name="Процентный 3 3 2 3 2 2 2" xfId="46908"/>
    <cellStyle name="Процентный 3 3 2 3 2 3" xfId="46909"/>
    <cellStyle name="Процентный 3 3 2 3 3" xfId="46910"/>
    <cellStyle name="Процентный 3 3 2 3 3 2" xfId="46911"/>
    <cellStyle name="Процентный 3 3 2 3 3 2 2" xfId="46912"/>
    <cellStyle name="Процентный 3 3 2 3 3 3" xfId="46913"/>
    <cellStyle name="Процентный 3 3 2 3 4" xfId="46914"/>
    <cellStyle name="Процентный 3 3 2 3 4 2" xfId="46915"/>
    <cellStyle name="Процентный 3 3 2 3 5" xfId="46916"/>
    <cellStyle name="Процентный 3 3 2 3 5 2" xfId="46917"/>
    <cellStyle name="Процентный 3 3 2 3 6" xfId="46918"/>
    <cellStyle name="Процентный 3 3 2 4" xfId="46919"/>
    <cellStyle name="Процентный 3 3 2 4 2" xfId="46920"/>
    <cellStyle name="Процентный 3 3 2 4 2 2" xfId="46921"/>
    <cellStyle name="Процентный 3 3 2 4 3" xfId="46922"/>
    <cellStyle name="Процентный 3 3 2 5" xfId="46923"/>
    <cellStyle name="Процентный 3 3 2 5 2" xfId="46924"/>
    <cellStyle name="Процентный 3 3 2 5 2 2" xfId="46925"/>
    <cellStyle name="Процентный 3 3 2 5 3" xfId="46926"/>
    <cellStyle name="Процентный 3 3 2 6" xfId="46927"/>
    <cellStyle name="Процентный 3 3 2 6 2" xfId="46928"/>
    <cellStyle name="Процентный 3 3 2 7" xfId="46929"/>
    <cellStyle name="Процентный 3 3 2 7 2" xfId="46930"/>
    <cellStyle name="Процентный 3 3 2 8" xfId="46931"/>
    <cellStyle name="Процентный 3 3 3" xfId="46932"/>
    <cellStyle name="Процентный 3 3 3 2" xfId="46933"/>
    <cellStyle name="Процентный 3 3 3 2 2" xfId="46934"/>
    <cellStyle name="Процентный 3 3 3 2 2 2" xfId="46935"/>
    <cellStyle name="Процентный 3 3 3 2 3" xfId="46936"/>
    <cellStyle name="Процентный 3 3 3 2 3 2" xfId="46937"/>
    <cellStyle name="Процентный 3 3 3 2 4" xfId="46938"/>
    <cellStyle name="Процентный 3 3 3 3" xfId="46939"/>
    <cellStyle name="Процентный 3 3 3 3 2" xfId="46940"/>
    <cellStyle name="Процентный 3 3 3 3 2 2" xfId="46941"/>
    <cellStyle name="Процентный 3 3 3 3 3" xfId="46942"/>
    <cellStyle name="Процентный 3 3 3 4" xfId="46943"/>
    <cellStyle name="Процентный 3 3 3 4 2" xfId="46944"/>
    <cellStyle name="Процентный 3 3 3 5" xfId="46945"/>
    <cellStyle name="Процентный 3 3 3 5 2" xfId="46946"/>
    <cellStyle name="Процентный 3 3 3 6" xfId="46947"/>
    <cellStyle name="Процентный 3 3 4" xfId="46948"/>
    <cellStyle name="Процентный 3 3 4 2" xfId="46949"/>
    <cellStyle name="Процентный 3 3 4 2 2" xfId="46950"/>
    <cellStyle name="Процентный 3 3 4 2 2 2" xfId="46951"/>
    <cellStyle name="Процентный 3 3 4 2 3" xfId="46952"/>
    <cellStyle name="Процентный 3 3 4 3" xfId="46953"/>
    <cellStyle name="Процентный 3 3 4 3 2" xfId="46954"/>
    <cellStyle name="Процентный 3 3 4 3 2 2" xfId="46955"/>
    <cellStyle name="Процентный 3 3 4 3 3" xfId="46956"/>
    <cellStyle name="Процентный 3 3 4 4" xfId="46957"/>
    <cellStyle name="Процентный 3 3 4 4 2" xfId="46958"/>
    <cellStyle name="Процентный 3 3 4 5" xfId="46959"/>
    <cellStyle name="Процентный 3 3 4 5 2" xfId="46960"/>
    <cellStyle name="Процентный 3 3 4 6" xfId="46961"/>
    <cellStyle name="Процентный 3 3 5" xfId="46962"/>
    <cellStyle name="Процентный 3 3 5 2" xfId="46963"/>
    <cellStyle name="Процентный 3 3 5 2 2" xfId="46964"/>
    <cellStyle name="Процентный 3 3 5 3" xfId="46965"/>
    <cellStyle name="Процентный 3 3 6" xfId="46966"/>
    <cellStyle name="Процентный 3 3 6 2" xfId="46967"/>
    <cellStyle name="Процентный 3 3 6 2 2" xfId="46968"/>
    <cellStyle name="Процентный 3 3 6 3" xfId="46969"/>
    <cellStyle name="Процентный 3 3 7" xfId="46970"/>
    <cellStyle name="Процентный 3 3 7 2" xfId="46971"/>
    <cellStyle name="Процентный 3 3 8" xfId="46972"/>
    <cellStyle name="Процентный 3 3 8 2" xfId="46973"/>
    <cellStyle name="Процентный 3 3 9" xfId="46974"/>
    <cellStyle name="Процентный 3 4" xfId="46975"/>
    <cellStyle name="Процентный 3 4 2" xfId="46976"/>
    <cellStyle name="Процентный 3 4 2 2" xfId="46977"/>
    <cellStyle name="Процентный 3 4 2 2 2" xfId="46978"/>
    <cellStyle name="Процентный 3 4 2 2 2 10" xfId="46979"/>
    <cellStyle name="Процентный 3 4 2 2 2 2" xfId="46980"/>
    <cellStyle name="Процентный 3 4 2 2 2 2 2" xfId="46981"/>
    <cellStyle name="Процентный 3 4 2 2 2 2 2 2" xfId="46982"/>
    <cellStyle name="Процентный 3 4 2 2 2 2 2 2 2" xfId="46983"/>
    <cellStyle name="Процентный 3 4 2 2 2 2 2 2 3" xfId="46984"/>
    <cellStyle name="Процентный 3 4 2 2 2 2 2 2 4" xfId="46985"/>
    <cellStyle name="Процентный 3 4 2 2 2 2 2 3" xfId="46986"/>
    <cellStyle name="Процентный 3 4 2 2 2 2 2 4" xfId="46987"/>
    <cellStyle name="Процентный 3 4 2 2 2 2 2 5" xfId="46988"/>
    <cellStyle name="Процентный 3 4 2 2 2 2 3" xfId="46989"/>
    <cellStyle name="Процентный 3 4 2 2 2 2 3 2" xfId="46990"/>
    <cellStyle name="Процентный 3 4 2 2 2 2 3 3" xfId="46991"/>
    <cellStyle name="Процентный 3 4 2 2 2 2 3 4" xfId="46992"/>
    <cellStyle name="Процентный 3 4 2 2 2 2 4" xfId="46993"/>
    <cellStyle name="Процентный 3 4 2 2 2 2 5" xfId="46994"/>
    <cellStyle name="Процентный 3 4 2 2 2 2 6" xfId="46995"/>
    <cellStyle name="Процентный 3 4 2 2 2 3" xfId="46996"/>
    <cellStyle name="Процентный 3 4 2 2 2 3 2" xfId="46997"/>
    <cellStyle name="Процентный 3 4 2 2 2 3 2 2" xfId="46998"/>
    <cellStyle name="Процентный 3 4 2 2 2 3 2 2 2" xfId="46999"/>
    <cellStyle name="Процентный 3 4 2 2 2 3 2 2 3" xfId="47000"/>
    <cellStyle name="Процентный 3 4 2 2 2 3 2 2 4" xfId="47001"/>
    <cellStyle name="Процентный 3 4 2 2 2 3 2 3" xfId="47002"/>
    <cellStyle name="Процентный 3 4 2 2 2 3 2 4" xfId="47003"/>
    <cellStyle name="Процентный 3 4 2 2 2 3 2 5" xfId="47004"/>
    <cellStyle name="Процентный 3 4 2 2 2 3 3" xfId="47005"/>
    <cellStyle name="Процентный 3 4 2 2 2 3 3 2" xfId="47006"/>
    <cellStyle name="Процентный 3 4 2 2 2 3 3 3" xfId="47007"/>
    <cellStyle name="Процентный 3 4 2 2 2 3 3 4" xfId="47008"/>
    <cellStyle name="Процентный 3 4 2 2 2 3 4" xfId="47009"/>
    <cellStyle name="Процентный 3 4 2 2 2 3 5" xfId="47010"/>
    <cellStyle name="Процентный 3 4 2 2 2 3 6" xfId="47011"/>
    <cellStyle name="Процентный 3 4 2 2 2 4" xfId="47012"/>
    <cellStyle name="Процентный 3 4 2 2 2 4 2" xfId="47013"/>
    <cellStyle name="Процентный 3 4 2 2 2 4 2 2" xfId="47014"/>
    <cellStyle name="Процентный 3 4 2 2 2 4 2 2 2" xfId="47015"/>
    <cellStyle name="Процентный 3 4 2 2 2 4 2 2 3" xfId="47016"/>
    <cellStyle name="Процентный 3 4 2 2 2 4 2 2 4" xfId="47017"/>
    <cellStyle name="Процентный 3 4 2 2 2 4 2 3" xfId="47018"/>
    <cellStyle name="Процентный 3 4 2 2 2 4 2 4" xfId="47019"/>
    <cellStyle name="Процентный 3 4 2 2 2 4 2 5" xfId="47020"/>
    <cellStyle name="Процентный 3 4 2 2 2 4 3" xfId="47021"/>
    <cellStyle name="Процентный 3 4 2 2 2 4 3 2" xfId="47022"/>
    <cellStyle name="Процентный 3 4 2 2 2 4 3 3" xfId="47023"/>
    <cellStyle name="Процентный 3 4 2 2 2 4 3 4" xfId="47024"/>
    <cellStyle name="Процентный 3 4 2 2 2 4 4" xfId="47025"/>
    <cellStyle name="Процентный 3 4 2 2 2 4 5" xfId="47026"/>
    <cellStyle name="Процентный 3 4 2 2 2 4 6" xfId="47027"/>
    <cellStyle name="Процентный 3 4 2 2 2 5" xfId="47028"/>
    <cellStyle name="Процентный 3 4 2 2 2 5 2" xfId="47029"/>
    <cellStyle name="Процентный 3 4 2 2 2 5 2 2" xfId="47030"/>
    <cellStyle name="Процентный 3 4 2 2 2 5 2 2 2" xfId="47031"/>
    <cellStyle name="Процентный 3 4 2 2 2 5 2 2 2 2" xfId="47032"/>
    <cellStyle name="Процентный 3 4 2 2 2 5 2 2 2 2 2" xfId="47033"/>
    <cellStyle name="Процентный 3 4 2 2 2 5 2 2 2 2 3" xfId="47034"/>
    <cellStyle name="Процентный 3 4 2 2 2 5 2 2 2 2 4" xfId="47035"/>
    <cellStyle name="Процентный 3 4 2 2 2 5 2 2 2 3" xfId="47036"/>
    <cellStyle name="Процентный 3 4 2 2 2 5 2 2 2 4" xfId="47037"/>
    <cellStyle name="Процентный 3 4 2 2 2 5 2 2 2 5" xfId="47038"/>
    <cellStyle name="Процентный 3 4 2 2 2 5 2 2 3" xfId="47039"/>
    <cellStyle name="Процентный 3 4 2 2 2 5 2 2 3 2" xfId="47040"/>
    <cellStyle name="Процентный 3 4 2 2 2 5 2 2 3 3" xfId="47041"/>
    <cellStyle name="Процентный 3 4 2 2 2 5 2 2 3 4" xfId="47042"/>
    <cellStyle name="Процентный 3 4 2 2 2 5 2 2 4" xfId="47043"/>
    <cellStyle name="Процентный 3 4 2 2 2 5 2 2 5" xfId="47044"/>
    <cellStyle name="Процентный 3 4 2 2 2 5 2 2 6" xfId="47045"/>
    <cellStyle name="Процентный 3 4 2 2 2 5 2 3" xfId="47046"/>
    <cellStyle name="Процентный 3 4 2 2 2 5 2 3 2" xfId="47047"/>
    <cellStyle name="Процентный 3 4 2 2 2 5 2 3 2 2" xfId="47048"/>
    <cellStyle name="Процентный 3 4 2 2 2 5 2 3 2 3" xfId="47049"/>
    <cellStyle name="Процентный 3 4 2 2 2 5 2 3 2 4" xfId="47050"/>
    <cellStyle name="Процентный 3 4 2 2 2 5 2 3 3" xfId="47051"/>
    <cellStyle name="Процентный 3 4 2 2 2 5 2 3 4" xfId="47052"/>
    <cellStyle name="Процентный 3 4 2 2 2 5 2 3 5" xfId="47053"/>
    <cellStyle name="Процентный 3 4 2 2 2 5 2 4" xfId="47054"/>
    <cellStyle name="Процентный 3 4 2 2 2 5 2 4 2" xfId="47055"/>
    <cellStyle name="Процентный 3 4 2 2 2 5 2 4 3" xfId="47056"/>
    <cellStyle name="Процентный 3 4 2 2 2 5 2 4 4" xfId="47057"/>
    <cellStyle name="Процентный 3 4 2 2 2 5 2 5" xfId="47058"/>
    <cellStyle name="Процентный 3 4 2 2 2 5 2 6" xfId="47059"/>
    <cellStyle name="Процентный 3 4 2 2 2 5 2 7" xfId="47060"/>
    <cellStyle name="Процентный 3 4 2 2 2 5 3" xfId="47061"/>
    <cellStyle name="Процентный 3 4 2 2 2 5 3 2" xfId="47062"/>
    <cellStyle name="Процентный 3 4 2 2 2 5 3 2 2" xfId="47063"/>
    <cellStyle name="Процентный 3 4 2 2 2 5 3 2 2 2" xfId="47064"/>
    <cellStyle name="Процентный 3 4 2 2 2 5 3 2 2 3" xfId="47065"/>
    <cellStyle name="Процентный 3 4 2 2 2 5 3 2 2 4" xfId="47066"/>
    <cellStyle name="Процентный 3 4 2 2 2 5 3 2 3" xfId="47067"/>
    <cellStyle name="Процентный 3 4 2 2 2 5 3 2 4" xfId="47068"/>
    <cellStyle name="Процентный 3 4 2 2 2 5 3 2 5" xfId="47069"/>
    <cellStyle name="Процентный 3 4 2 2 2 5 3 3" xfId="47070"/>
    <cellStyle name="Процентный 3 4 2 2 2 5 3 3 2" xfId="47071"/>
    <cellStyle name="Процентный 3 4 2 2 2 5 3 3 3" xfId="47072"/>
    <cellStyle name="Процентный 3 4 2 2 2 5 3 3 4" xfId="47073"/>
    <cellStyle name="Процентный 3 4 2 2 2 5 3 4" xfId="47074"/>
    <cellStyle name="Процентный 3 4 2 2 2 5 3 5" xfId="47075"/>
    <cellStyle name="Процентный 3 4 2 2 2 5 3 6" xfId="47076"/>
    <cellStyle name="Процентный 3 4 2 2 2 5 4" xfId="47077"/>
    <cellStyle name="Процентный 3 4 2 2 2 5 4 2" xfId="47078"/>
    <cellStyle name="Процентный 3 4 2 2 2 5 4 2 2" xfId="47079"/>
    <cellStyle name="Процентный 3 4 2 2 2 5 4 2 2 2" xfId="47080"/>
    <cellStyle name="Процентный 3 4 2 2 2 5 4 2 2 2 2" xfId="47081"/>
    <cellStyle name="Процентный 3 4 2 2 2 5 4 2 2 2 2 2" xfId="47082"/>
    <cellStyle name="Процентный 3 4 2 2 2 5 4 2 2 2 2 3" xfId="47083"/>
    <cellStyle name="Процентный 3 4 2 2 2 5 4 2 2 2 2 4" xfId="47084"/>
    <cellStyle name="Процентный 3 4 2 2 2 5 4 2 2 2 3" xfId="47085"/>
    <cellStyle name="Процентный 3 4 2 2 2 5 4 2 2 2 4" xfId="47086"/>
    <cellStyle name="Процентный 3 4 2 2 2 5 4 2 2 2 5" xfId="47087"/>
    <cellStyle name="Процентный 3 4 2 2 2 5 4 2 2 3" xfId="47088"/>
    <cellStyle name="Процентный 3 4 2 2 2 5 4 2 2 3 2" xfId="47089"/>
    <cellStyle name="Процентный 3 4 2 2 2 5 4 2 2 3 3" xfId="47090"/>
    <cellStyle name="Процентный 3 4 2 2 2 5 4 2 2 3 4" xfId="47091"/>
    <cellStyle name="Процентный 3 4 2 2 2 5 4 2 2 4" xfId="47092"/>
    <cellStyle name="Процентный 3 4 2 2 2 5 4 2 2 5" xfId="47093"/>
    <cellStyle name="Процентный 3 4 2 2 2 5 4 2 2 6" xfId="47094"/>
    <cellStyle name="Процентный 3 4 2 2 2 5 4 2 3" xfId="47095"/>
    <cellStyle name="Процентный 3 4 2 2 2 5 4 2 3 2" xfId="47096"/>
    <cellStyle name="Процентный 3 4 2 2 2 5 4 2 3 2 2" xfId="47097"/>
    <cellStyle name="Процентный 3 4 2 2 2 5 4 2 3 2 2 2" xfId="47098"/>
    <cellStyle name="Процентный 3 4 2 2 2 5 4 2 3 2 2 2 2" xfId="47099"/>
    <cellStyle name="Процентный 3 4 2 2 2 5 4 2 3 2 2 2 3" xfId="47100"/>
    <cellStyle name="Процентный 3 4 2 2 2 5 4 2 3 2 2 2 4" xfId="47101"/>
    <cellStyle name="Процентный 3 4 2 2 2 5 4 2 3 2 2 3" xfId="47102"/>
    <cellStyle name="Процентный 3 4 2 2 2 5 4 2 3 2 2 4" xfId="47103"/>
    <cellStyle name="Процентный 3 4 2 2 2 5 4 2 3 2 2 5" xfId="47104"/>
    <cellStyle name="Процентный 3 4 2 2 2 5 4 2 3 2 3" xfId="47105"/>
    <cellStyle name="Процентный 3 4 2 2 2 5 4 2 3 2 3 2" xfId="47106"/>
    <cellStyle name="Процентный 3 4 2 2 2 5 4 2 3 2 3 3" xfId="47107"/>
    <cellStyle name="Процентный 3 4 2 2 2 5 4 2 3 2 3 4" xfId="47108"/>
    <cellStyle name="Процентный 3 4 2 2 2 5 4 2 3 2 4" xfId="47109"/>
    <cellStyle name="Процентный 3 4 2 2 2 5 4 2 3 2 5" xfId="47110"/>
    <cellStyle name="Процентный 3 4 2 2 2 5 4 2 3 2 6" xfId="47111"/>
    <cellStyle name="Процентный 3 4 2 2 2 5 4 2 3 3" xfId="47112"/>
    <cellStyle name="Процентный 3 4 2 2 2 5 4 2 3 3 2" xfId="47113"/>
    <cellStyle name="Процентный 3 4 2 2 2 5 4 2 3 3 2 2" xfId="47114"/>
    <cellStyle name="Процентный 3 4 2 2 2 5 4 2 3 3 2 3" xfId="47115"/>
    <cellStyle name="Процентный 3 4 2 2 2 5 4 2 3 3 2 4" xfId="47116"/>
    <cellStyle name="Процентный 3 4 2 2 2 5 4 2 3 3 3" xfId="47117"/>
    <cellStyle name="Процентный 3 4 2 2 2 5 4 2 3 3 4" xfId="47118"/>
    <cellStyle name="Процентный 3 4 2 2 2 5 4 2 3 3 5" xfId="47119"/>
    <cellStyle name="Процентный 3 4 2 2 2 5 4 2 3 4" xfId="47120"/>
    <cellStyle name="Процентный 3 4 2 2 2 5 4 2 3 4 2" xfId="47121"/>
    <cellStyle name="Процентный 3 4 2 2 2 5 4 2 3 4 3" xfId="47122"/>
    <cellStyle name="Процентный 3 4 2 2 2 5 4 2 3 4 4" xfId="47123"/>
    <cellStyle name="Процентный 3 4 2 2 2 5 4 2 3 5" xfId="47124"/>
    <cellStyle name="Процентный 3 4 2 2 2 5 4 2 3 6" xfId="47125"/>
    <cellStyle name="Процентный 3 4 2 2 2 5 4 2 3 7" xfId="47126"/>
    <cellStyle name="Процентный 3 4 2 2 2 5 4 2 4" xfId="47127"/>
    <cellStyle name="Процентный 3 4 2 2 2 5 4 2 4 2" xfId="47128"/>
    <cellStyle name="Процентный 3 4 2 2 2 5 4 2 4 2 2" xfId="47129"/>
    <cellStyle name="Процентный 3 4 2 2 2 5 4 2 4 2 3" xfId="47130"/>
    <cellStyle name="Процентный 3 4 2 2 2 5 4 2 4 2 4" xfId="47131"/>
    <cellStyle name="Процентный 3 4 2 2 2 5 4 2 4 3" xfId="47132"/>
    <cellStyle name="Процентный 3 4 2 2 2 5 4 2 4 4" xfId="47133"/>
    <cellStyle name="Процентный 3 4 2 2 2 5 4 2 4 5" xfId="47134"/>
    <cellStyle name="Процентный 3 4 2 2 2 5 4 2 5" xfId="47135"/>
    <cellStyle name="Процентный 3 4 2 2 2 5 4 2 5 2" xfId="47136"/>
    <cellStyle name="Процентный 3 4 2 2 2 5 4 2 5 3" xfId="47137"/>
    <cellStyle name="Процентный 3 4 2 2 2 5 4 2 5 4" xfId="47138"/>
    <cellStyle name="Процентный 3 4 2 2 2 5 4 2 6" xfId="47139"/>
    <cellStyle name="Процентный 3 4 2 2 2 5 4 2 7" xfId="47140"/>
    <cellStyle name="Процентный 3 4 2 2 2 5 4 2 8" xfId="47141"/>
    <cellStyle name="Процентный 3 4 2 2 2 5 4 3" xfId="47142"/>
    <cellStyle name="Процентный 3 4 2 2 2 5 4 3 2" xfId="47143"/>
    <cellStyle name="Процентный 3 4 2 2 2 5 4 3 2 2" xfId="47144"/>
    <cellStyle name="Процентный 3 4 2 2 2 5 4 3 2 2 2" xfId="47145"/>
    <cellStyle name="Процентный 3 4 2 2 2 5 4 3 2 2 2 2" xfId="47146"/>
    <cellStyle name="Процентный 3 4 2 2 2 5 4 3 2 2 2 2 2" xfId="47147"/>
    <cellStyle name="Процентный 3 4 2 2 2 5 4 3 2 2 2 2 3" xfId="47148"/>
    <cellStyle name="Процентный 3 4 2 2 2 5 4 3 2 2 2 2 4" xfId="47149"/>
    <cellStyle name="Процентный 3 4 2 2 2 5 4 3 2 2 2 3" xfId="47150"/>
    <cellStyle name="Процентный 3 4 2 2 2 5 4 3 2 2 2 4" xfId="47151"/>
    <cellStyle name="Процентный 3 4 2 2 2 5 4 3 2 2 2 5" xfId="47152"/>
    <cellStyle name="Процентный 3 4 2 2 2 5 4 3 2 2 3" xfId="47153"/>
    <cellStyle name="Процентный 3 4 2 2 2 5 4 3 2 2 3 2" xfId="47154"/>
    <cellStyle name="Процентный 3 4 2 2 2 5 4 3 2 2 3 3" xfId="47155"/>
    <cellStyle name="Процентный 3 4 2 2 2 5 4 3 2 2 3 4" xfId="47156"/>
    <cellStyle name="Процентный 3 4 2 2 2 5 4 3 2 2 4" xfId="47157"/>
    <cellStyle name="Процентный 3 4 2 2 2 5 4 3 2 2 5" xfId="47158"/>
    <cellStyle name="Процентный 3 4 2 2 2 5 4 3 2 2 6" xfId="47159"/>
    <cellStyle name="Процентный 3 4 2 2 2 5 4 3 2 3" xfId="47160"/>
    <cellStyle name="Процентный 3 4 2 2 2 5 4 3 2 3 2" xfId="47161"/>
    <cellStyle name="Процентный 3 4 2 2 2 5 4 3 2 3 2 2" xfId="47162"/>
    <cellStyle name="Процентный 3 4 2 2 2 5 4 3 2 3 2 3" xfId="47163"/>
    <cellStyle name="Процентный 3 4 2 2 2 5 4 3 2 3 2 4" xfId="47164"/>
    <cellStyle name="Процентный 3 4 2 2 2 5 4 3 2 3 3" xfId="47165"/>
    <cellStyle name="Процентный 3 4 2 2 2 5 4 3 2 3 4" xfId="47166"/>
    <cellStyle name="Процентный 3 4 2 2 2 5 4 3 2 3 5" xfId="47167"/>
    <cellStyle name="Процентный 3 4 2 2 2 5 4 3 2 4" xfId="47168"/>
    <cellStyle name="Процентный 3 4 2 2 2 5 4 3 2 4 2" xfId="47169"/>
    <cellStyle name="Процентный 3 4 2 2 2 5 4 3 2 4 3" xfId="47170"/>
    <cellStyle name="Процентный 3 4 2 2 2 5 4 3 2 4 4" xfId="47171"/>
    <cellStyle name="Процентный 3 4 2 2 2 5 4 3 2 5" xfId="47172"/>
    <cellStyle name="Процентный 3 4 2 2 2 5 4 3 2 5 2" xfId="47173"/>
    <cellStyle name="Процентный 3 4 2 2 2 5 4 3 2 5 3" xfId="47174"/>
    <cellStyle name="Процентный 3 4 2 2 2 5 4 3 2 5 4" xfId="47175"/>
    <cellStyle name="Процентный 3 4 2 2 2 5 4 3 2 6" xfId="47176"/>
    <cellStyle name="Процентный 3 4 2 2 2 5 4 3 2 7" xfId="47177"/>
    <cellStyle name="Процентный 3 4 2 2 2 5 4 3 2 8" xfId="47178"/>
    <cellStyle name="Процентный 3 4 2 2 2 5 4 3 3" xfId="47179"/>
    <cellStyle name="Процентный 3 4 2 2 2 5 4 3 3 2" xfId="47180"/>
    <cellStyle name="Процентный 3 4 2 2 2 5 4 3 3 2 2" xfId="47181"/>
    <cellStyle name="Процентный 3 4 2 2 2 5 4 3 3 2 3" xfId="47182"/>
    <cellStyle name="Процентный 3 4 2 2 2 5 4 3 3 2 4" xfId="47183"/>
    <cellStyle name="Процентный 3 4 2 2 2 5 4 3 3 3" xfId="47184"/>
    <cellStyle name="Процентный 3 4 2 2 2 5 4 3 3 4" xfId="47185"/>
    <cellStyle name="Процентный 3 4 2 2 2 5 4 3 3 5" xfId="47186"/>
    <cellStyle name="Процентный 3 4 2 2 2 5 4 3 4" xfId="47187"/>
    <cellStyle name="Процентный 3 4 2 2 2 5 4 3 4 2" xfId="47188"/>
    <cellStyle name="Процентный 3 4 2 2 2 5 4 3 4 3" xfId="47189"/>
    <cellStyle name="Процентный 3 4 2 2 2 5 4 3 4 4" xfId="47190"/>
    <cellStyle name="Процентный 3 4 2 2 2 5 4 3 5" xfId="47191"/>
    <cellStyle name="Процентный 3 4 2 2 2 5 4 3 6" xfId="47192"/>
    <cellStyle name="Процентный 3 4 2 2 2 5 4 3 7" xfId="47193"/>
    <cellStyle name="Процентный 3 4 2 2 2 5 4 4" xfId="47194"/>
    <cellStyle name="Процентный 3 4 2 2 2 5 4 4 2" xfId="47195"/>
    <cellStyle name="Процентный 3 4 2 2 2 5 4 4 2 2" xfId="47196"/>
    <cellStyle name="Процентный 3 4 2 2 2 5 4 4 2 2 2" xfId="47197"/>
    <cellStyle name="Процентный 3 4 2 2 2 5 4 4 2 2 2 2" xfId="47198"/>
    <cellStyle name="Процентный 3 4 2 2 2 5 4 4 2 2 2 2 2" xfId="47199"/>
    <cellStyle name="Процентный 3 4 2 2 2 5 4 4 2 2 2 2 3" xfId="47200"/>
    <cellStyle name="Процентный 3 4 2 2 2 5 4 4 2 2 2 2 4" xfId="47201"/>
    <cellStyle name="Процентный 3 4 2 2 2 5 4 4 2 2 2 3" xfId="47202"/>
    <cellStyle name="Процентный 3 4 2 2 2 5 4 4 2 2 2 4" xfId="47203"/>
    <cellStyle name="Процентный 3 4 2 2 2 5 4 4 2 2 2 5" xfId="47204"/>
    <cellStyle name="Процентный 3 4 2 2 2 5 4 4 2 2 3" xfId="47205"/>
    <cellStyle name="Процентный 3 4 2 2 2 5 4 4 2 2 3 2" xfId="47206"/>
    <cellStyle name="Процентный 3 4 2 2 2 5 4 4 2 2 3 3" xfId="47207"/>
    <cellStyle name="Процентный 3 4 2 2 2 5 4 4 2 2 3 4" xfId="47208"/>
    <cellStyle name="Процентный 3 4 2 2 2 5 4 4 2 2 4" xfId="47209"/>
    <cellStyle name="Процентный 3 4 2 2 2 5 4 4 2 2 5" xfId="47210"/>
    <cellStyle name="Процентный 3 4 2 2 2 5 4 4 2 2 6" xfId="47211"/>
    <cellStyle name="Процентный 3 4 2 2 2 5 4 4 2 3" xfId="47212"/>
    <cellStyle name="Процентный 3 4 2 2 2 5 4 4 2 3 2" xfId="47213"/>
    <cellStyle name="Процентный 3 4 2 2 2 5 4 4 2 3 2 2" xfId="47214"/>
    <cellStyle name="Процентный 3 4 2 2 2 5 4 4 2 3 2 3" xfId="47215"/>
    <cellStyle name="Процентный 3 4 2 2 2 5 4 4 2 3 2 4" xfId="47216"/>
    <cellStyle name="Процентный 3 4 2 2 2 5 4 4 2 3 3" xfId="47217"/>
    <cellStyle name="Процентный 3 4 2 2 2 5 4 4 2 3 4" xfId="47218"/>
    <cellStyle name="Процентный 3 4 2 2 2 5 4 4 2 3 5" xfId="47219"/>
    <cellStyle name="Процентный 3 4 2 2 2 5 4 4 2 4" xfId="47220"/>
    <cellStyle name="Процентный 3 4 2 2 2 5 4 4 2 4 2" xfId="47221"/>
    <cellStyle name="Процентный 3 4 2 2 2 5 4 4 2 4 3" xfId="47222"/>
    <cellStyle name="Процентный 3 4 2 2 2 5 4 4 2 4 4" xfId="47223"/>
    <cellStyle name="Процентный 3 4 2 2 2 5 4 4 2 5" xfId="47224"/>
    <cellStyle name="Процентный 3 4 2 2 2 5 4 4 2 5 2" xfId="47225"/>
    <cellStyle name="Процентный 3 4 2 2 2 5 4 4 2 5 3" xfId="47226"/>
    <cellStyle name="Процентный 3 4 2 2 2 5 4 4 2 5 4" xfId="47227"/>
    <cellStyle name="Процентный 3 4 2 2 2 5 4 4 2 6" xfId="47228"/>
    <cellStyle name="Процентный 3 4 2 2 2 5 4 4 2 7" xfId="47229"/>
    <cellStyle name="Процентный 3 4 2 2 2 5 4 4 2 8" xfId="47230"/>
    <cellStyle name="Процентный 3 4 2 2 2 5 4 4 3" xfId="47231"/>
    <cellStyle name="Процентный 3 4 2 2 2 5 4 4 3 2" xfId="47232"/>
    <cellStyle name="Процентный 3 4 2 2 2 5 4 4 3 2 2" xfId="47233"/>
    <cellStyle name="Процентный 3 4 2 2 2 5 4 4 3 2 3" xfId="47234"/>
    <cellStyle name="Процентный 3 4 2 2 2 5 4 4 3 2 4" xfId="47235"/>
    <cellStyle name="Процентный 3 4 2 2 2 5 4 4 3 3" xfId="47236"/>
    <cellStyle name="Процентный 3 4 2 2 2 5 4 4 3 4" xfId="47237"/>
    <cellStyle name="Процентный 3 4 2 2 2 5 4 4 3 5" xfId="47238"/>
    <cellStyle name="Процентный 3 4 2 2 2 5 4 4 4" xfId="47239"/>
    <cellStyle name="Процентный 3 4 2 2 2 5 4 4 4 2" xfId="47240"/>
    <cellStyle name="Процентный 3 4 2 2 2 5 4 4 4 3" xfId="47241"/>
    <cellStyle name="Процентный 3 4 2 2 2 5 4 4 4 4" xfId="47242"/>
    <cellStyle name="Процентный 3 4 2 2 2 5 4 4 5" xfId="47243"/>
    <cellStyle name="Процентный 3 4 2 2 2 5 4 4 6" xfId="47244"/>
    <cellStyle name="Процентный 3 4 2 2 2 5 4 4 7" xfId="47245"/>
    <cellStyle name="Процентный 3 4 2 2 2 5 4 5" xfId="47246"/>
    <cellStyle name="Процентный 3 4 2 2 2 5 4 5 2" xfId="47247"/>
    <cellStyle name="Процентный 3 4 2 2 2 5 4 5 2 2" xfId="47248"/>
    <cellStyle name="Процентный 3 4 2 2 2 5 4 5 2 3" xfId="47249"/>
    <cellStyle name="Процентный 3 4 2 2 2 5 4 5 2 4" xfId="47250"/>
    <cellStyle name="Процентный 3 4 2 2 2 5 4 5 3" xfId="47251"/>
    <cellStyle name="Процентный 3 4 2 2 2 5 4 5 4" xfId="47252"/>
    <cellStyle name="Процентный 3 4 2 2 2 5 4 5 5" xfId="47253"/>
    <cellStyle name="Процентный 3 4 2 2 2 5 4 6" xfId="47254"/>
    <cellStyle name="Процентный 3 4 2 2 2 5 4 6 2" xfId="47255"/>
    <cellStyle name="Процентный 3 4 2 2 2 5 4 6 3" xfId="47256"/>
    <cellStyle name="Процентный 3 4 2 2 2 5 4 6 4" xfId="47257"/>
    <cellStyle name="Процентный 3 4 2 2 2 5 4 7" xfId="47258"/>
    <cellStyle name="Процентный 3 4 2 2 2 5 4 8" xfId="47259"/>
    <cellStyle name="Процентный 3 4 2 2 2 5 4 9" xfId="47260"/>
    <cellStyle name="Процентный 3 4 2 2 2 5 5" xfId="47261"/>
    <cellStyle name="Процентный 3 4 2 2 2 5 5 2" xfId="47262"/>
    <cellStyle name="Процентный 3 4 2 2 2 5 5 2 2" xfId="47263"/>
    <cellStyle name="Процентный 3 4 2 2 2 5 5 2 3" xfId="47264"/>
    <cellStyle name="Процентный 3 4 2 2 2 5 5 2 4" xfId="47265"/>
    <cellStyle name="Процентный 3 4 2 2 2 5 5 3" xfId="47266"/>
    <cellStyle name="Процентный 3 4 2 2 2 5 5 4" xfId="47267"/>
    <cellStyle name="Процентный 3 4 2 2 2 5 5 5" xfId="47268"/>
    <cellStyle name="Процентный 3 4 2 2 2 5 6" xfId="47269"/>
    <cellStyle name="Процентный 3 4 2 2 2 5 6 2" xfId="47270"/>
    <cellStyle name="Процентный 3 4 2 2 2 5 6 3" xfId="47271"/>
    <cellStyle name="Процентный 3 4 2 2 2 5 6 4" xfId="47272"/>
    <cellStyle name="Процентный 3 4 2 2 2 5 7" xfId="47273"/>
    <cellStyle name="Процентный 3 4 2 2 2 5 8" xfId="47274"/>
    <cellStyle name="Процентный 3 4 2 2 2 5 9" xfId="47275"/>
    <cellStyle name="Процентный 3 4 2 2 2 6" xfId="47276"/>
    <cellStyle name="Процентный 3 4 2 2 2 6 2" xfId="47277"/>
    <cellStyle name="Процентный 3 4 2 2 2 6 2 2" xfId="47278"/>
    <cellStyle name="Процентный 3 4 2 2 2 6 2 3" xfId="47279"/>
    <cellStyle name="Процентный 3 4 2 2 2 6 2 4" xfId="47280"/>
    <cellStyle name="Процентный 3 4 2 2 2 6 3" xfId="47281"/>
    <cellStyle name="Процентный 3 4 2 2 2 6 4" xfId="47282"/>
    <cellStyle name="Процентный 3 4 2 2 2 6 5" xfId="47283"/>
    <cellStyle name="Процентный 3 4 2 2 2 7" xfId="47284"/>
    <cellStyle name="Процентный 3 4 2 2 2 7 2" xfId="47285"/>
    <cellStyle name="Процентный 3 4 2 2 2 7 3" xfId="47286"/>
    <cellStyle name="Процентный 3 4 2 2 2 7 4" xfId="47287"/>
    <cellStyle name="Процентный 3 4 2 2 2 8" xfId="47288"/>
    <cellStyle name="Процентный 3 4 2 2 2 9" xfId="47289"/>
    <cellStyle name="Процентный 3 4 2 2 3" xfId="47290"/>
    <cellStyle name="Процентный 3 4 2 2 3 2" xfId="47291"/>
    <cellStyle name="Процентный 3 4 2 2 3 2 2" xfId="47292"/>
    <cellStyle name="Процентный 3 4 2 2 3 2 3" xfId="47293"/>
    <cellStyle name="Процентный 3 4 2 2 3 2 4" xfId="47294"/>
    <cellStyle name="Процентный 3 4 2 2 3 3" xfId="47295"/>
    <cellStyle name="Процентный 3 4 2 2 3 4" xfId="47296"/>
    <cellStyle name="Процентный 3 4 2 2 3 5" xfId="47297"/>
    <cellStyle name="Процентный 3 4 2 2 4" xfId="47298"/>
    <cellStyle name="Процентный 3 4 2 2 4 2" xfId="47299"/>
    <cellStyle name="Процентный 3 4 2 2 4 3" xfId="47300"/>
    <cellStyle name="Процентный 3 4 2 2 4 4" xfId="47301"/>
    <cellStyle name="Процентный 3 4 2 2 5" xfId="47302"/>
    <cellStyle name="Процентный 3 4 2 2 6" xfId="47303"/>
    <cellStyle name="Процентный 3 4 2 2 7" xfId="47304"/>
    <cellStyle name="Процентный 3 4 2 3" xfId="47305"/>
    <cellStyle name="Процентный 3 4 2 3 2" xfId="47306"/>
    <cellStyle name="Процентный 3 4 2 3 2 2" xfId="47307"/>
    <cellStyle name="Процентный 3 4 2 3 2 3" xfId="47308"/>
    <cellStyle name="Процентный 3 4 2 3 2 4" xfId="47309"/>
    <cellStyle name="Процентный 3 4 2 3 3" xfId="47310"/>
    <cellStyle name="Процентный 3 4 2 3 4" xfId="47311"/>
    <cellStyle name="Процентный 3 4 2 3 5" xfId="47312"/>
    <cellStyle name="Процентный 3 4 2 4" xfId="47313"/>
    <cellStyle name="Процентный 3 4 2 4 2" xfId="47314"/>
    <cellStyle name="Процентный 3 4 2 4 3" xfId="47315"/>
    <cellStyle name="Процентный 3 4 2 4 4" xfId="47316"/>
    <cellStyle name="Процентный 3 4 2 5" xfId="47317"/>
    <cellStyle name="Процентный 3 4 2 5 2" xfId="47318"/>
    <cellStyle name="Процентный 3 4 2 6" xfId="47319"/>
    <cellStyle name="Процентный 3 4 2 7" xfId="47320"/>
    <cellStyle name="Процентный 3 4 3" xfId="47321"/>
    <cellStyle name="Процентный 3 4 3 2" xfId="47322"/>
    <cellStyle name="Процентный 3 4 3 2 2" xfId="47323"/>
    <cellStyle name="Процентный 3 4 3 2 2 2" xfId="47324"/>
    <cellStyle name="Процентный 3 4 3 2 3" xfId="47325"/>
    <cellStyle name="Процентный 3 4 3 2 4" xfId="47326"/>
    <cellStyle name="Процентный 3 4 3 3" xfId="47327"/>
    <cellStyle name="Процентный 3 4 3 3 2" xfId="47328"/>
    <cellStyle name="Процентный 3 4 3 3 2 2" xfId="47329"/>
    <cellStyle name="Процентный 3 4 3 3 3" xfId="47330"/>
    <cellStyle name="Процентный 3 4 3 4" xfId="47331"/>
    <cellStyle name="Процентный 3 4 3 4 2" xfId="47332"/>
    <cellStyle name="Процентный 3 4 3 5" xfId="47333"/>
    <cellStyle name="Процентный 3 4 3 6" xfId="47334"/>
    <cellStyle name="Процентный 3 4 4" xfId="47335"/>
    <cellStyle name="Процентный 3 4 4 2" xfId="47336"/>
    <cellStyle name="Процентный 3 4 4 2 2" xfId="47337"/>
    <cellStyle name="Процентный 3 4 4 3" xfId="47338"/>
    <cellStyle name="Процентный 3 4 4 3 2" xfId="47339"/>
    <cellStyle name="Процентный 3 4 4 4" xfId="47340"/>
    <cellStyle name="Процентный 3 4 5" xfId="47341"/>
    <cellStyle name="Процентный 3 4 5 2" xfId="47342"/>
    <cellStyle name="Процентный 3 4 5 2 2" xfId="47343"/>
    <cellStyle name="Процентный 3 4 5 3" xfId="47344"/>
    <cellStyle name="Процентный 3 4 6" xfId="47345"/>
    <cellStyle name="Процентный 3 4 6 2" xfId="47346"/>
    <cellStyle name="Процентный 3 4 7" xfId="47347"/>
    <cellStyle name="Процентный 3 4 7 2" xfId="47348"/>
    <cellStyle name="Процентный 3 5" xfId="47349"/>
    <cellStyle name="Процентный 3 5 2" xfId="47350"/>
    <cellStyle name="Процентный 3 5 2 2" xfId="47351"/>
    <cellStyle name="Процентный 3 5 2 2 2" xfId="47352"/>
    <cellStyle name="Процентный 3 5 2 2 2 2" xfId="47353"/>
    <cellStyle name="Процентный 3 5 2 2 2 3" xfId="47354"/>
    <cellStyle name="Процентный 3 5 2 2 2 4" xfId="47355"/>
    <cellStyle name="Процентный 3 5 2 2 3" xfId="47356"/>
    <cellStyle name="Процентный 3 5 2 2 4" xfId="47357"/>
    <cellStyle name="Процентный 3 5 2 2 5" xfId="47358"/>
    <cellStyle name="Процентный 3 5 2 3" xfId="47359"/>
    <cellStyle name="Процентный 3 5 2 3 2" xfId="47360"/>
    <cellStyle name="Процентный 3 5 2 3 3" xfId="47361"/>
    <cellStyle name="Процентный 3 5 2 3 4" xfId="47362"/>
    <cellStyle name="Процентный 3 5 2 4" xfId="47363"/>
    <cellStyle name="Процентный 3 5 2 5" xfId="47364"/>
    <cellStyle name="Процентный 3 5 2 6" xfId="47365"/>
    <cellStyle name="Процентный 3 5 3" xfId="47366"/>
    <cellStyle name="Процентный 3 5 3 2" xfId="47367"/>
    <cellStyle name="Процентный 3 5 3 2 2" xfId="47368"/>
    <cellStyle name="Процентный 3 5 3 2 2 2" xfId="47369"/>
    <cellStyle name="Процентный 3 5 3 2 2 3" xfId="47370"/>
    <cellStyle name="Процентный 3 5 3 2 2 4" xfId="47371"/>
    <cellStyle name="Процентный 3 5 3 2 3" xfId="47372"/>
    <cellStyle name="Процентный 3 5 3 2 4" xfId="47373"/>
    <cellStyle name="Процентный 3 5 3 2 5" xfId="47374"/>
    <cellStyle name="Процентный 3 5 3 3" xfId="47375"/>
    <cellStyle name="Процентный 3 5 3 3 2" xfId="47376"/>
    <cellStyle name="Процентный 3 5 3 3 3" xfId="47377"/>
    <cellStyle name="Процентный 3 5 3 3 4" xfId="47378"/>
    <cellStyle name="Процентный 3 5 3 4" xfId="47379"/>
    <cellStyle name="Процентный 3 5 3 5" xfId="47380"/>
    <cellStyle name="Процентный 3 5 3 6" xfId="47381"/>
    <cellStyle name="Процентный 3 5 4" xfId="47382"/>
    <cellStyle name="Процентный 3 5 4 2" xfId="47383"/>
    <cellStyle name="Процентный 3 5 4 2 2" xfId="47384"/>
    <cellStyle name="Процентный 3 5 4 2 3" xfId="47385"/>
    <cellStyle name="Процентный 3 5 4 2 4" xfId="47386"/>
    <cellStyle name="Процентный 3 5 4 3" xfId="47387"/>
    <cellStyle name="Процентный 3 5 4 4" xfId="47388"/>
    <cellStyle name="Процентный 3 5 4 5" xfId="47389"/>
    <cellStyle name="Процентный 3 5 5" xfId="47390"/>
    <cellStyle name="Процентный 3 5 5 2" xfId="47391"/>
    <cellStyle name="Процентный 3 5 5 3" xfId="47392"/>
    <cellStyle name="Процентный 3 5 5 4" xfId="47393"/>
    <cellStyle name="Процентный 3 5 6" xfId="47394"/>
    <cellStyle name="Процентный 3 5 7" xfId="47395"/>
    <cellStyle name="Процентный 3 5 8" xfId="47396"/>
    <cellStyle name="Процентный 3 6" xfId="47397"/>
    <cellStyle name="Процентный 3 6 2" xfId="47398"/>
    <cellStyle name="Процентный 3 6 2 2" xfId="47399"/>
    <cellStyle name="Процентный 3 6 2 2 2" xfId="47400"/>
    <cellStyle name="Процентный 3 6 2 2 2 2" xfId="47401"/>
    <cellStyle name="Процентный 3 6 2 2 3" xfId="47402"/>
    <cellStyle name="Процентный 3 6 2 2 4" xfId="47403"/>
    <cellStyle name="Процентный 3 6 2 3" xfId="47404"/>
    <cellStyle name="Процентный 3 6 2 3 2" xfId="47405"/>
    <cellStyle name="Процентный 3 6 2 3 2 2" xfId="47406"/>
    <cellStyle name="Процентный 3 6 2 3 3" xfId="47407"/>
    <cellStyle name="Процентный 3 6 2 4" xfId="47408"/>
    <cellStyle name="Процентный 3 6 2 4 2" xfId="47409"/>
    <cellStyle name="Процентный 3 6 2 5" xfId="47410"/>
    <cellStyle name="Процентный 3 6 3" xfId="47411"/>
    <cellStyle name="Процентный 3 6 3 2" xfId="47412"/>
    <cellStyle name="Процентный 3 6 3 2 2" xfId="47413"/>
    <cellStyle name="Процентный 3 6 3 2 2 2" xfId="47414"/>
    <cellStyle name="Процентный 3 6 3 2 3" xfId="47415"/>
    <cellStyle name="Процентный 3 6 3 3" xfId="47416"/>
    <cellStyle name="Процентный 3 6 3 3 2" xfId="47417"/>
    <cellStyle name="Процентный 3 6 3 3 2 2" xfId="47418"/>
    <cellStyle name="Процентный 3 6 3 3 3" xfId="47419"/>
    <cellStyle name="Процентный 3 6 3 4" xfId="47420"/>
    <cellStyle name="Процентный 3 6 3 4 2" xfId="47421"/>
    <cellStyle name="Процентный 3 6 3 5" xfId="47422"/>
    <cellStyle name="Процентный 3 6 4" xfId="47423"/>
    <cellStyle name="Процентный 3 6 4 2" xfId="47424"/>
    <cellStyle name="Процентный 3 6 4 2 2" xfId="47425"/>
    <cellStyle name="Процентный 3 6 4 3" xfId="47426"/>
    <cellStyle name="Процентный 3 6 5" xfId="47427"/>
    <cellStyle name="Процентный 3 6 5 2" xfId="47428"/>
    <cellStyle name="Процентный 3 6 5 2 2" xfId="47429"/>
    <cellStyle name="Процентный 3 6 5 3" xfId="47430"/>
    <cellStyle name="Процентный 3 6 6" xfId="47431"/>
    <cellStyle name="Процентный 3 6 6 2" xfId="47432"/>
    <cellStyle name="Процентный 3 6 7" xfId="47433"/>
    <cellStyle name="Процентный 3 6 7 2" xfId="47434"/>
    <cellStyle name="Процентный 3 6 8" xfId="47435"/>
    <cellStyle name="Процентный 3 7" xfId="47436"/>
    <cellStyle name="Процентный 3 7 2" xfId="47437"/>
    <cellStyle name="Процентный 3 7 2 2" xfId="47438"/>
    <cellStyle name="Процентный 3 7 2 2 2" xfId="47439"/>
    <cellStyle name="Процентный 3 7 2 2 3" xfId="47440"/>
    <cellStyle name="Процентный 3 7 2 2 4" xfId="47441"/>
    <cellStyle name="Процентный 3 7 2 3" xfId="47442"/>
    <cellStyle name="Процентный 3 7 2 4" xfId="47443"/>
    <cellStyle name="Процентный 3 7 2 5" xfId="47444"/>
    <cellStyle name="Процентный 3 7 3" xfId="47445"/>
    <cellStyle name="Процентный 3 7 3 2" xfId="47446"/>
    <cellStyle name="Процентный 3 7 3 2 2" xfId="47447"/>
    <cellStyle name="Процентный 3 7 3 3" xfId="47448"/>
    <cellStyle name="Процентный 3 7 3 4" xfId="47449"/>
    <cellStyle name="Процентный 3 7 4" xfId="47450"/>
    <cellStyle name="Процентный 3 7 4 2" xfId="47451"/>
    <cellStyle name="Процентный 3 7 5" xfId="47452"/>
    <cellStyle name="Процентный 3 7 5 2" xfId="47453"/>
    <cellStyle name="Процентный 3 7 6" xfId="47454"/>
    <cellStyle name="Процентный 3 8" xfId="47455"/>
    <cellStyle name="Процентный 3 8 2" xfId="47456"/>
    <cellStyle name="Процентный 3 8 2 2" xfId="47457"/>
    <cellStyle name="Процентный 3 8 2 2 2" xfId="47458"/>
    <cellStyle name="Процентный 3 8 2 3" xfId="47459"/>
    <cellStyle name="Процентный 3 8 2 4" xfId="47460"/>
    <cellStyle name="Процентный 3 8 3" xfId="47461"/>
    <cellStyle name="Процентный 3 8 3 2" xfId="47462"/>
    <cellStyle name="Процентный 3 8 3 2 2" xfId="47463"/>
    <cellStyle name="Процентный 3 8 3 3" xfId="47464"/>
    <cellStyle name="Процентный 3 8 4" xfId="47465"/>
    <cellStyle name="Процентный 3 8 4 2" xfId="47466"/>
    <cellStyle name="Процентный 3 8 5" xfId="47467"/>
    <cellStyle name="Процентный 3 9" xfId="47468"/>
    <cellStyle name="Процентный 3 9 2" xfId="47469"/>
    <cellStyle name="Процентный 3 9 2 2" xfId="47470"/>
    <cellStyle name="Процентный 3 9 3" xfId="47471"/>
    <cellStyle name="Процентный 3 9 4" xfId="47472"/>
    <cellStyle name="Процентный 30" xfId="47473"/>
    <cellStyle name="Процентный 30 2" xfId="47474"/>
    <cellStyle name="Процентный 30 2 2" xfId="47475"/>
    <cellStyle name="Процентный 30 2 2 2" xfId="47476"/>
    <cellStyle name="Процентный 30 2 2 2 2" xfId="47477"/>
    <cellStyle name="Процентный 30 2 2 3" xfId="47478"/>
    <cellStyle name="Процентный 30 2 3" xfId="47479"/>
    <cellStyle name="Процентный 30 2 3 2" xfId="47480"/>
    <cellStyle name="Процентный 30 2 3 2 2" xfId="47481"/>
    <cellStyle name="Процентный 30 2 3 3" xfId="47482"/>
    <cellStyle name="Процентный 30 2 4" xfId="47483"/>
    <cellStyle name="Процентный 30 2 4 2" xfId="47484"/>
    <cellStyle name="Процентный 30 2 5" xfId="47485"/>
    <cellStyle name="Процентный 30 3" xfId="47486"/>
    <cellStyle name="Процентный 30 3 2" xfId="47487"/>
    <cellStyle name="Процентный 30 3 2 2" xfId="47488"/>
    <cellStyle name="Процентный 30 3 2 2 2" xfId="47489"/>
    <cellStyle name="Процентный 30 3 2 3" xfId="47490"/>
    <cellStyle name="Процентный 30 3 3" xfId="47491"/>
    <cellStyle name="Процентный 30 3 3 2" xfId="47492"/>
    <cellStyle name="Процентный 30 3 3 2 2" xfId="47493"/>
    <cellStyle name="Процентный 30 3 3 3" xfId="47494"/>
    <cellStyle name="Процентный 30 3 4" xfId="47495"/>
    <cellStyle name="Процентный 30 3 4 2" xfId="47496"/>
    <cellStyle name="Процентный 30 3 5" xfId="47497"/>
    <cellStyle name="Процентный 30 4" xfId="47498"/>
    <cellStyle name="Процентный 30 4 2" xfId="47499"/>
    <cellStyle name="Процентный 30 4 2 2" xfId="47500"/>
    <cellStyle name="Процентный 30 4 3" xfId="47501"/>
    <cellStyle name="Процентный 30 5" xfId="47502"/>
    <cellStyle name="Процентный 30 5 2" xfId="47503"/>
    <cellStyle name="Процентный 30 5 2 2" xfId="47504"/>
    <cellStyle name="Процентный 30 5 3" xfId="47505"/>
    <cellStyle name="Процентный 30 6" xfId="47506"/>
    <cellStyle name="Процентный 30 6 2" xfId="47507"/>
    <cellStyle name="Процентный 30 7" xfId="47508"/>
    <cellStyle name="Процентный 30 7 2" xfId="47509"/>
    <cellStyle name="Процентный 30 8" xfId="47510"/>
    <cellStyle name="Процентный 31" xfId="47511"/>
    <cellStyle name="Процентный 31 2" xfId="47512"/>
    <cellStyle name="Процентный 31 2 2" xfId="47513"/>
    <cellStyle name="Процентный 31 2 2 2" xfId="47514"/>
    <cellStyle name="Процентный 31 2 2 2 2" xfId="47515"/>
    <cellStyle name="Процентный 31 2 2 3" xfId="47516"/>
    <cellStyle name="Процентный 31 2 3" xfId="47517"/>
    <cellStyle name="Процентный 31 2 3 2" xfId="47518"/>
    <cellStyle name="Процентный 31 2 3 2 2" xfId="47519"/>
    <cellStyle name="Процентный 31 2 3 3" xfId="47520"/>
    <cellStyle name="Процентный 31 2 4" xfId="47521"/>
    <cellStyle name="Процентный 31 2 4 2" xfId="47522"/>
    <cellStyle name="Процентный 31 2 5" xfId="47523"/>
    <cellStyle name="Процентный 31 3" xfId="47524"/>
    <cellStyle name="Процентный 31 3 2" xfId="47525"/>
    <cellStyle name="Процентный 31 3 2 2" xfId="47526"/>
    <cellStyle name="Процентный 31 3 2 2 2" xfId="47527"/>
    <cellStyle name="Процентный 31 3 2 3" xfId="47528"/>
    <cellStyle name="Процентный 31 3 3" xfId="47529"/>
    <cellStyle name="Процентный 31 3 3 2" xfId="47530"/>
    <cellStyle name="Процентный 31 3 3 2 2" xfId="47531"/>
    <cellStyle name="Процентный 31 3 3 3" xfId="47532"/>
    <cellStyle name="Процентный 31 3 4" xfId="47533"/>
    <cellStyle name="Процентный 31 3 4 2" xfId="47534"/>
    <cellStyle name="Процентный 31 3 5" xfId="47535"/>
    <cellStyle name="Процентный 31 4" xfId="47536"/>
    <cellStyle name="Процентный 31 4 2" xfId="47537"/>
    <cellStyle name="Процентный 31 4 2 2" xfId="47538"/>
    <cellStyle name="Процентный 31 4 3" xfId="47539"/>
    <cellStyle name="Процентный 31 5" xfId="47540"/>
    <cellStyle name="Процентный 31 5 2" xfId="47541"/>
    <cellStyle name="Процентный 31 5 2 2" xfId="47542"/>
    <cellStyle name="Процентный 31 5 3" xfId="47543"/>
    <cellStyle name="Процентный 31 6" xfId="47544"/>
    <cellStyle name="Процентный 31 6 2" xfId="47545"/>
    <cellStyle name="Процентный 31 7" xfId="47546"/>
    <cellStyle name="Процентный 31 7 2" xfId="47547"/>
    <cellStyle name="Процентный 31 8" xfId="47548"/>
    <cellStyle name="Процентный 32" xfId="47549"/>
    <cellStyle name="Процентный 32 2" xfId="47550"/>
    <cellStyle name="Процентный 32 2 2" xfId="47551"/>
    <cellStyle name="Процентный 32 2 2 2" xfId="47552"/>
    <cellStyle name="Процентный 32 2 3" xfId="47553"/>
    <cellStyle name="Процентный 32 3" xfId="47554"/>
    <cellStyle name="Процентный 32 3 2" xfId="47555"/>
    <cellStyle name="Процентный 32 3 2 2" xfId="47556"/>
    <cellStyle name="Процентный 32 3 3" xfId="47557"/>
    <cellStyle name="Процентный 32 4" xfId="47558"/>
    <cellStyle name="Процентный 32 4 2" xfId="47559"/>
    <cellStyle name="Процентный 32 5" xfId="47560"/>
    <cellStyle name="Процентный 32 5 2" xfId="47561"/>
    <cellStyle name="Процентный 32 6" xfId="47562"/>
    <cellStyle name="Процентный 33" xfId="47563"/>
    <cellStyle name="Процентный 33 2" xfId="47564"/>
    <cellStyle name="Процентный 33 2 2" xfId="47565"/>
    <cellStyle name="Процентный 33 2 2 2" xfId="47566"/>
    <cellStyle name="Процентный 33 2 3" xfId="47567"/>
    <cellStyle name="Процентный 33 3" xfId="47568"/>
    <cellStyle name="Процентный 33 3 2" xfId="47569"/>
    <cellStyle name="Процентный 33 3 2 2" xfId="47570"/>
    <cellStyle name="Процентный 33 3 3" xfId="47571"/>
    <cellStyle name="Процентный 33 4" xfId="47572"/>
    <cellStyle name="Процентный 33 4 2" xfId="47573"/>
    <cellStyle name="Процентный 33 5" xfId="47574"/>
    <cellStyle name="Процентный 33 5 2" xfId="47575"/>
    <cellStyle name="Процентный 33 6" xfId="47576"/>
    <cellStyle name="Процентный 34" xfId="47577"/>
    <cellStyle name="Процентный 34 2" xfId="47578"/>
    <cellStyle name="Процентный 34 2 2" xfId="47579"/>
    <cellStyle name="Процентный 34 2 2 2" xfId="47580"/>
    <cellStyle name="Процентный 34 2 3" xfId="47581"/>
    <cellStyle name="Процентный 34 3" xfId="47582"/>
    <cellStyle name="Процентный 34 3 2" xfId="47583"/>
    <cellStyle name="Процентный 34 3 2 2" xfId="47584"/>
    <cellStyle name="Процентный 34 3 3" xfId="47585"/>
    <cellStyle name="Процентный 34 4" xfId="47586"/>
    <cellStyle name="Процентный 34 4 2" xfId="47587"/>
    <cellStyle name="Процентный 34 5" xfId="47588"/>
    <cellStyle name="Процентный 34 5 2" xfId="47589"/>
    <cellStyle name="Процентный 34 6" xfId="47590"/>
    <cellStyle name="Процентный 35" xfId="47591"/>
    <cellStyle name="Процентный 35 2" xfId="47592"/>
    <cellStyle name="Процентный 35 2 2" xfId="47593"/>
    <cellStyle name="Процентный 35 2 2 2" xfId="47594"/>
    <cellStyle name="Процентный 35 2 3" xfId="47595"/>
    <cellStyle name="Процентный 35 3" xfId="47596"/>
    <cellStyle name="Процентный 35 3 2" xfId="47597"/>
    <cellStyle name="Процентный 35 3 2 2" xfId="47598"/>
    <cellStyle name="Процентный 35 3 3" xfId="47599"/>
    <cellStyle name="Процентный 35 4" xfId="47600"/>
    <cellStyle name="Процентный 35 4 2" xfId="47601"/>
    <cellStyle name="Процентный 35 5" xfId="47602"/>
    <cellStyle name="Процентный 36" xfId="47603"/>
    <cellStyle name="Процентный 36 2" xfId="47604"/>
    <cellStyle name="Процентный 36 2 2" xfId="47605"/>
    <cellStyle name="Процентный 36 2 2 2" xfId="47606"/>
    <cellStyle name="Процентный 36 2 3" xfId="47607"/>
    <cellStyle name="Процентный 36 3" xfId="47608"/>
    <cellStyle name="Процентный 36 3 2" xfId="47609"/>
    <cellStyle name="Процентный 36 4" xfId="47610"/>
    <cellStyle name="Процентный 37" xfId="47611"/>
    <cellStyle name="Процентный 37 2" xfId="47612"/>
    <cellStyle name="Процентный 38" xfId="47613"/>
    <cellStyle name="Процентный 38 2" xfId="47614"/>
    <cellStyle name="Процентный 39" xfId="47615"/>
    <cellStyle name="Процентный 39 2" xfId="47616"/>
    <cellStyle name="Процентный 4" xfId="47617"/>
    <cellStyle name="Процентный 4 2" xfId="47618"/>
    <cellStyle name="Процентный 4 2 2" xfId="47619"/>
    <cellStyle name="Процентный 4 2 3" xfId="47620"/>
    <cellStyle name="Процентный 4 3" xfId="47621"/>
    <cellStyle name="Процентный 40" xfId="47622"/>
    <cellStyle name="Процентный 41" xfId="47623"/>
    <cellStyle name="Процентный 42" xfId="47624"/>
    <cellStyle name="Процентный 43" xfId="47625"/>
    <cellStyle name="Процентный 44" xfId="47626"/>
    <cellStyle name="Процентный 45" xfId="47627"/>
    <cellStyle name="Процентный 5" xfId="47628"/>
    <cellStyle name="Процентный 5 2" xfId="47629"/>
    <cellStyle name="Процентный 5 2 2" xfId="47630"/>
    <cellStyle name="Процентный 5 2 2 2" xfId="47631"/>
    <cellStyle name="Процентный 5 2 2 2 2" xfId="47632"/>
    <cellStyle name="Процентный 5 2 2 2 2 2" xfId="47633"/>
    <cellStyle name="Процентный 5 2 2 2 3" xfId="47634"/>
    <cellStyle name="Процентный 5 2 2 2 3 2" xfId="47635"/>
    <cellStyle name="Процентный 5 2 2 2 4" xfId="47636"/>
    <cellStyle name="Процентный 5 2 2 3" xfId="47637"/>
    <cellStyle name="Процентный 5 2 2 3 2" xfId="47638"/>
    <cellStyle name="Процентный 5 2 2 3 2 2" xfId="47639"/>
    <cellStyle name="Процентный 5 2 2 3 3" xfId="47640"/>
    <cellStyle name="Процентный 5 2 2 4" xfId="47641"/>
    <cellStyle name="Процентный 5 2 2 4 2" xfId="47642"/>
    <cellStyle name="Процентный 5 2 2 5" xfId="47643"/>
    <cellStyle name="Процентный 5 2 2 5 2" xfId="47644"/>
    <cellStyle name="Процентный 5 2 2 6" xfId="47645"/>
    <cellStyle name="Процентный 5 2 3" xfId="47646"/>
    <cellStyle name="Процентный 5 2 3 2" xfId="47647"/>
    <cellStyle name="Процентный 5 2 3 2 2" xfId="47648"/>
    <cellStyle name="Процентный 5 2 3 2 2 2" xfId="47649"/>
    <cellStyle name="Процентный 5 2 3 2 3" xfId="47650"/>
    <cellStyle name="Процентный 5 2 3 3" xfId="47651"/>
    <cellStyle name="Процентный 5 2 3 3 2" xfId="47652"/>
    <cellStyle name="Процентный 5 2 3 3 2 2" xfId="47653"/>
    <cellStyle name="Процентный 5 2 3 3 3" xfId="47654"/>
    <cellStyle name="Процентный 5 2 3 4" xfId="47655"/>
    <cellStyle name="Процентный 5 2 3 4 2" xfId="47656"/>
    <cellStyle name="Процентный 5 2 3 5" xfId="47657"/>
    <cellStyle name="Процентный 5 2 3 5 2" xfId="47658"/>
    <cellStyle name="Процентный 5 2 3 6" xfId="47659"/>
    <cellStyle name="Процентный 5 2 4" xfId="47660"/>
    <cellStyle name="Процентный 5 2 4 2" xfId="47661"/>
    <cellStyle name="Процентный 5 2 4 2 2" xfId="47662"/>
    <cellStyle name="Процентный 5 2 4 3" xfId="47663"/>
    <cellStyle name="Процентный 5 2 4 3 2" xfId="47664"/>
    <cellStyle name="Процентный 5 2 4 4" xfId="47665"/>
    <cellStyle name="Процентный 5 2 5" xfId="47666"/>
    <cellStyle name="Процентный 5 2 5 2" xfId="47667"/>
    <cellStyle name="Процентный 5 2 5 2 2" xfId="47668"/>
    <cellStyle name="Процентный 5 2 5 3" xfId="47669"/>
    <cellStyle name="Процентный 5 2 6" xfId="47670"/>
    <cellStyle name="Процентный 5 2 6 2" xfId="47671"/>
    <cellStyle name="Процентный 5 2 7" xfId="47672"/>
    <cellStyle name="Процентный 5 2 7 2" xfId="47673"/>
    <cellStyle name="Процентный 5 2 8" xfId="47674"/>
    <cellStyle name="Процентный 5 3" xfId="47675"/>
    <cellStyle name="Процентный 5 4" xfId="47676"/>
    <cellStyle name="Процентный 6" xfId="47677"/>
    <cellStyle name="Процентный 6 10" xfId="47678"/>
    <cellStyle name="Процентный 6 10 2" xfId="47679"/>
    <cellStyle name="Процентный 6 11" xfId="47680"/>
    <cellStyle name="Процентный 6 11 2" xfId="47681"/>
    <cellStyle name="Процентный 6 12" xfId="47682"/>
    <cellStyle name="Процентный 6 2" xfId="47683"/>
    <cellStyle name="Процентный 6 2 2" xfId="47684"/>
    <cellStyle name="Процентный 6 2 2 2" xfId="47685"/>
    <cellStyle name="Процентный 6 2 2 3" xfId="47686"/>
    <cellStyle name="Процентный 6 2 2 4" xfId="47687"/>
    <cellStyle name="Процентный 6 2 3" xfId="47688"/>
    <cellStyle name="Процентный 6 2 4" xfId="47689"/>
    <cellStyle name="Процентный 6 2 5" xfId="47690"/>
    <cellStyle name="Процентный 6 3" xfId="47691"/>
    <cellStyle name="Процентный 6 3 2" xfId="47692"/>
    <cellStyle name="Процентный 6 3 2 2" xfId="47693"/>
    <cellStyle name="Процентный 6 3 2 2 2" xfId="47694"/>
    <cellStyle name="Процентный 6 3 2 2 2 2" xfId="47695"/>
    <cellStyle name="Процентный 6 3 2 2 2 2 2" xfId="47696"/>
    <cellStyle name="Процентный 6 3 2 2 2 3" xfId="47697"/>
    <cellStyle name="Процентный 6 3 2 2 3" xfId="47698"/>
    <cellStyle name="Процентный 6 3 2 2 3 2" xfId="47699"/>
    <cellStyle name="Процентный 6 3 2 2 3 2 2" xfId="47700"/>
    <cellStyle name="Процентный 6 3 2 2 3 3" xfId="47701"/>
    <cellStyle name="Процентный 6 3 2 2 4" xfId="47702"/>
    <cellStyle name="Процентный 6 3 2 2 4 2" xfId="47703"/>
    <cellStyle name="Процентный 6 3 2 2 5" xfId="47704"/>
    <cellStyle name="Процентный 6 3 2 2 5 2" xfId="47705"/>
    <cellStyle name="Процентный 6 3 2 2 6" xfId="47706"/>
    <cellStyle name="Процентный 6 3 2 3" xfId="47707"/>
    <cellStyle name="Процентный 6 3 2 3 2" xfId="47708"/>
    <cellStyle name="Процентный 6 3 2 3 2 2" xfId="47709"/>
    <cellStyle name="Процентный 6 3 2 3 2 2 2" xfId="47710"/>
    <cellStyle name="Процентный 6 3 2 3 2 3" xfId="47711"/>
    <cellStyle name="Процентный 6 3 2 3 3" xfId="47712"/>
    <cellStyle name="Процентный 6 3 2 3 3 2" xfId="47713"/>
    <cellStyle name="Процентный 6 3 2 3 3 2 2" xfId="47714"/>
    <cellStyle name="Процентный 6 3 2 3 3 3" xfId="47715"/>
    <cellStyle name="Процентный 6 3 2 3 4" xfId="47716"/>
    <cellStyle name="Процентный 6 3 2 3 4 2" xfId="47717"/>
    <cellStyle name="Процентный 6 3 2 3 5" xfId="47718"/>
    <cellStyle name="Процентный 6 3 2 4" xfId="47719"/>
    <cellStyle name="Процентный 6 3 2 4 2" xfId="47720"/>
    <cellStyle name="Процентный 6 3 2 4 2 2" xfId="47721"/>
    <cellStyle name="Процентный 6 3 2 4 3" xfId="47722"/>
    <cellStyle name="Процентный 6 3 2 5" xfId="47723"/>
    <cellStyle name="Процентный 6 3 2 5 2" xfId="47724"/>
    <cellStyle name="Процентный 6 3 2 5 2 2" xfId="47725"/>
    <cellStyle name="Процентный 6 3 2 5 3" xfId="47726"/>
    <cellStyle name="Процентный 6 3 2 6" xfId="47727"/>
    <cellStyle name="Процентный 6 3 2 6 2" xfId="47728"/>
    <cellStyle name="Процентный 6 3 2 7" xfId="47729"/>
    <cellStyle name="Процентный 6 3 2 7 2" xfId="47730"/>
    <cellStyle name="Процентный 6 3 2 8" xfId="47731"/>
    <cellStyle name="Процентный 6 3 3" xfId="47732"/>
    <cellStyle name="Процентный 6 3 3 2" xfId="47733"/>
    <cellStyle name="Процентный 6 3 3 2 2" xfId="47734"/>
    <cellStyle name="Процентный 6 3 3 2 2 2" xfId="47735"/>
    <cellStyle name="Процентный 6 3 3 2 3" xfId="47736"/>
    <cellStyle name="Процентный 6 3 3 3" xfId="47737"/>
    <cellStyle name="Процентный 6 3 3 3 2" xfId="47738"/>
    <cellStyle name="Процентный 6 3 3 3 2 2" xfId="47739"/>
    <cellStyle name="Процентный 6 3 3 3 3" xfId="47740"/>
    <cellStyle name="Процентный 6 3 3 4" xfId="47741"/>
    <cellStyle name="Процентный 6 3 3 4 2" xfId="47742"/>
    <cellStyle name="Процентный 6 3 3 5" xfId="47743"/>
    <cellStyle name="Процентный 6 3 3 5 2" xfId="47744"/>
    <cellStyle name="Процентный 6 3 3 6" xfId="47745"/>
    <cellStyle name="Процентный 6 3 4" xfId="47746"/>
    <cellStyle name="Процентный 6 3 4 2" xfId="47747"/>
    <cellStyle name="Процентный 6 3 4 2 2" xfId="47748"/>
    <cellStyle name="Процентный 6 3 4 2 2 2" xfId="47749"/>
    <cellStyle name="Процентный 6 3 4 2 3" xfId="47750"/>
    <cellStyle name="Процентный 6 3 4 3" xfId="47751"/>
    <cellStyle name="Процентный 6 3 4 3 2" xfId="47752"/>
    <cellStyle name="Процентный 6 3 4 3 2 2" xfId="47753"/>
    <cellStyle name="Процентный 6 3 4 3 3" xfId="47754"/>
    <cellStyle name="Процентный 6 3 4 4" xfId="47755"/>
    <cellStyle name="Процентный 6 3 4 4 2" xfId="47756"/>
    <cellStyle name="Процентный 6 3 4 5" xfId="47757"/>
    <cellStyle name="Процентный 6 3 4 5 2" xfId="47758"/>
    <cellStyle name="Процентный 6 3 4 6" xfId="47759"/>
    <cellStyle name="Процентный 6 3 5" xfId="47760"/>
    <cellStyle name="Процентный 6 3 5 2" xfId="47761"/>
    <cellStyle name="Процентный 6 3 5 2 2" xfId="47762"/>
    <cellStyle name="Процентный 6 3 5 3" xfId="47763"/>
    <cellStyle name="Процентный 6 3 6" xfId="47764"/>
    <cellStyle name="Процентный 6 3 6 2" xfId="47765"/>
    <cellStyle name="Процентный 6 3 6 2 2" xfId="47766"/>
    <cellStyle name="Процентный 6 3 6 3" xfId="47767"/>
    <cellStyle name="Процентный 6 3 7" xfId="47768"/>
    <cellStyle name="Процентный 6 3 7 2" xfId="47769"/>
    <cellStyle name="Процентный 6 3 8" xfId="47770"/>
    <cellStyle name="Процентный 6 3 8 2" xfId="47771"/>
    <cellStyle name="Процентный 6 3 9" xfId="47772"/>
    <cellStyle name="Процентный 6 4" xfId="47773"/>
    <cellStyle name="Процентный 6 4 2" xfId="47774"/>
    <cellStyle name="Процентный 6 4 2 2" xfId="47775"/>
    <cellStyle name="Процентный 6 4 2 2 2" xfId="47776"/>
    <cellStyle name="Процентный 6 4 2 2 2 2" xfId="47777"/>
    <cellStyle name="Процентный 6 4 2 2 3" xfId="47778"/>
    <cellStyle name="Процентный 6 4 2 2 3 2" xfId="47779"/>
    <cellStyle name="Процентный 6 4 2 2 4" xfId="47780"/>
    <cellStyle name="Процентный 6 4 2 3" xfId="47781"/>
    <cellStyle name="Процентный 6 4 2 3 2" xfId="47782"/>
    <cellStyle name="Процентный 6 4 2 3 2 2" xfId="47783"/>
    <cellStyle name="Процентный 6 4 2 3 3" xfId="47784"/>
    <cellStyle name="Процентный 6 4 2 4" xfId="47785"/>
    <cellStyle name="Процентный 6 4 2 4 2" xfId="47786"/>
    <cellStyle name="Процентный 6 4 2 5" xfId="47787"/>
    <cellStyle name="Процентный 6 4 2 5 2" xfId="47788"/>
    <cellStyle name="Процентный 6 4 2 6" xfId="47789"/>
    <cellStyle name="Процентный 6 4 3" xfId="47790"/>
    <cellStyle name="Процентный 6 4 3 2" xfId="47791"/>
    <cellStyle name="Процентный 6 4 3 2 2" xfId="47792"/>
    <cellStyle name="Процентный 6 4 3 2 2 2" xfId="47793"/>
    <cellStyle name="Процентный 6 4 3 2 3" xfId="47794"/>
    <cellStyle name="Процентный 6 4 3 3" xfId="47795"/>
    <cellStyle name="Процентный 6 4 3 3 2" xfId="47796"/>
    <cellStyle name="Процентный 6 4 3 3 2 2" xfId="47797"/>
    <cellStyle name="Процентный 6 4 3 3 3" xfId="47798"/>
    <cellStyle name="Процентный 6 4 3 4" xfId="47799"/>
    <cellStyle name="Процентный 6 4 3 4 2" xfId="47800"/>
    <cellStyle name="Процентный 6 4 3 5" xfId="47801"/>
    <cellStyle name="Процентный 6 4 3 5 2" xfId="47802"/>
    <cellStyle name="Процентный 6 4 3 6" xfId="47803"/>
    <cellStyle name="Процентный 6 4 4" xfId="47804"/>
    <cellStyle name="Процентный 6 4 4 2" xfId="47805"/>
    <cellStyle name="Процентный 6 4 4 2 2" xfId="47806"/>
    <cellStyle name="Процентный 6 4 4 3" xfId="47807"/>
    <cellStyle name="Процентный 6 4 4 3 2" xfId="47808"/>
    <cellStyle name="Процентный 6 4 4 4" xfId="47809"/>
    <cellStyle name="Процентный 6 4 5" xfId="47810"/>
    <cellStyle name="Процентный 6 4 5 2" xfId="47811"/>
    <cellStyle name="Процентный 6 4 5 2 2" xfId="47812"/>
    <cellStyle name="Процентный 6 4 5 3" xfId="47813"/>
    <cellStyle name="Процентный 6 4 6" xfId="47814"/>
    <cellStyle name="Процентный 6 4 6 2" xfId="47815"/>
    <cellStyle name="Процентный 6 4 7" xfId="47816"/>
    <cellStyle name="Процентный 6 4 7 2" xfId="47817"/>
    <cellStyle name="Процентный 6 4 8" xfId="47818"/>
    <cellStyle name="Процентный 6 5" xfId="47819"/>
    <cellStyle name="Процентный 6 5 2" xfId="47820"/>
    <cellStyle name="Процентный 6 5 2 2" xfId="47821"/>
    <cellStyle name="Процентный 6 5 2 2 2" xfId="47822"/>
    <cellStyle name="Процентный 6 5 2 2 2 2" xfId="47823"/>
    <cellStyle name="Процентный 6 5 2 2 3" xfId="47824"/>
    <cellStyle name="Процентный 6 5 2 3" xfId="47825"/>
    <cellStyle name="Процентный 6 5 2 3 2" xfId="47826"/>
    <cellStyle name="Процентный 6 5 2 3 2 2" xfId="47827"/>
    <cellStyle name="Процентный 6 5 2 3 3" xfId="47828"/>
    <cellStyle name="Процентный 6 5 2 4" xfId="47829"/>
    <cellStyle name="Процентный 6 5 2 4 2" xfId="47830"/>
    <cellStyle name="Процентный 6 5 2 5" xfId="47831"/>
    <cellStyle name="Процентный 6 5 2 5 2" xfId="47832"/>
    <cellStyle name="Процентный 6 5 2 6" xfId="47833"/>
    <cellStyle name="Процентный 6 5 3" xfId="47834"/>
    <cellStyle name="Процентный 6 5 3 2" xfId="47835"/>
    <cellStyle name="Процентный 6 5 3 2 2" xfId="47836"/>
    <cellStyle name="Процентный 6 5 3 2 2 2" xfId="47837"/>
    <cellStyle name="Процентный 6 5 3 2 3" xfId="47838"/>
    <cellStyle name="Процентный 6 5 3 3" xfId="47839"/>
    <cellStyle name="Процентный 6 5 3 3 2" xfId="47840"/>
    <cellStyle name="Процентный 6 5 3 3 2 2" xfId="47841"/>
    <cellStyle name="Процентный 6 5 3 3 3" xfId="47842"/>
    <cellStyle name="Процентный 6 5 3 4" xfId="47843"/>
    <cellStyle name="Процентный 6 5 3 4 2" xfId="47844"/>
    <cellStyle name="Процентный 6 5 3 5" xfId="47845"/>
    <cellStyle name="Процентный 6 5 4" xfId="47846"/>
    <cellStyle name="Процентный 6 5 5" xfId="47847"/>
    <cellStyle name="Процентный 6 5 5 2" xfId="47848"/>
    <cellStyle name="Процентный 6 5 6" xfId="47849"/>
    <cellStyle name="Процентный 6 6" xfId="47850"/>
    <cellStyle name="Процентный 6 6 2" xfId="47851"/>
    <cellStyle name="Процентный 6 6 2 2" xfId="47852"/>
    <cellStyle name="Процентный 6 6 2 2 2" xfId="47853"/>
    <cellStyle name="Процентный 6 6 2 3" xfId="47854"/>
    <cellStyle name="Процентный 6 6 3" xfId="47855"/>
    <cellStyle name="Процентный 6 6 3 2" xfId="47856"/>
    <cellStyle name="Процентный 6 6 3 2 2" xfId="47857"/>
    <cellStyle name="Процентный 6 6 3 3" xfId="47858"/>
    <cellStyle name="Процентный 6 6 4" xfId="47859"/>
    <cellStyle name="Процентный 6 6 4 2" xfId="47860"/>
    <cellStyle name="Процентный 6 6 5" xfId="47861"/>
    <cellStyle name="Процентный 6 6 5 2" xfId="47862"/>
    <cellStyle name="Процентный 6 6 6" xfId="47863"/>
    <cellStyle name="Процентный 6 7" xfId="47864"/>
    <cellStyle name="Процентный 6 7 2" xfId="47865"/>
    <cellStyle name="Процентный 6 7 2 2" xfId="47866"/>
    <cellStyle name="Процентный 6 7 2 2 2" xfId="47867"/>
    <cellStyle name="Процентный 6 7 2 3" xfId="47868"/>
    <cellStyle name="Процентный 6 7 3" xfId="47869"/>
    <cellStyle name="Процентный 6 7 3 2" xfId="47870"/>
    <cellStyle name="Процентный 6 7 3 2 2" xfId="47871"/>
    <cellStyle name="Процентный 6 7 3 3" xfId="47872"/>
    <cellStyle name="Процентный 6 7 4" xfId="47873"/>
    <cellStyle name="Процентный 6 7 4 2" xfId="47874"/>
    <cellStyle name="Процентный 6 7 5" xfId="47875"/>
    <cellStyle name="Процентный 6 7 5 2" xfId="47876"/>
    <cellStyle name="Процентный 6 7 6" xfId="47877"/>
    <cellStyle name="Процентный 6 8" xfId="47878"/>
    <cellStyle name="Процентный 6 8 2" xfId="47879"/>
    <cellStyle name="Процентный 6 8 2 2" xfId="47880"/>
    <cellStyle name="Процентный 6 8 3" xfId="47881"/>
    <cellStyle name="Процентный 6 9" xfId="47882"/>
    <cellStyle name="Процентный 6 9 2" xfId="47883"/>
    <cellStyle name="Процентный 6 9 2 2" xfId="47884"/>
    <cellStyle name="Процентный 6 9 3" xfId="47885"/>
    <cellStyle name="Процентный 7" xfId="47886"/>
    <cellStyle name="Процентный 7 10" xfId="47887"/>
    <cellStyle name="Процентный 7 10 2" xfId="47888"/>
    <cellStyle name="Процентный 7 10 2 2" xfId="47889"/>
    <cellStyle name="Процентный 7 10 2 2 2" xfId="47890"/>
    <cellStyle name="Процентный 7 10 2 3" xfId="47891"/>
    <cellStyle name="Процентный 7 10 3" xfId="47892"/>
    <cellStyle name="Процентный 7 10 3 2" xfId="47893"/>
    <cellStyle name="Процентный 7 10 3 2 2" xfId="47894"/>
    <cellStyle name="Процентный 7 10 3 3" xfId="47895"/>
    <cellStyle name="Процентный 7 10 4" xfId="47896"/>
    <cellStyle name="Процентный 7 10 4 2" xfId="47897"/>
    <cellStyle name="Процентный 7 10 5" xfId="47898"/>
    <cellStyle name="Процентный 7 10 5 2" xfId="47899"/>
    <cellStyle name="Процентный 7 10 6" xfId="47900"/>
    <cellStyle name="Процентный 7 11" xfId="47901"/>
    <cellStyle name="Процентный 7 11 2" xfId="47902"/>
    <cellStyle name="Процентный 7 11 2 2" xfId="47903"/>
    <cellStyle name="Процентный 7 11 2 2 2" xfId="47904"/>
    <cellStyle name="Процентный 7 11 2 3" xfId="47905"/>
    <cellStyle name="Процентный 7 11 3" xfId="47906"/>
    <cellStyle name="Процентный 7 11 3 2" xfId="47907"/>
    <cellStyle name="Процентный 7 11 3 2 2" xfId="47908"/>
    <cellStyle name="Процентный 7 11 3 3" xfId="47909"/>
    <cellStyle name="Процентный 7 11 4" xfId="47910"/>
    <cellStyle name="Процентный 7 11 4 2" xfId="47911"/>
    <cellStyle name="Процентный 7 11 5" xfId="47912"/>
    <cellStyle name="Процентный 7 11 5 2" xfId="47913"/>
    <cellStyle name="Процентный 7 11 6" xfId="47914"/>
    <cellStyle name="Процентный 7 12" xfId="47915"/>
    <cellStyle name="Процентный 7 12 2" xfId="47916"/>
    <cellStyle name="Процентный 7 12 2 2" xfId="47917"/>
    <cellStyle name="Процентный 7 12 2 2 2" xfId="47918"/>
    <cellStyle name="Процентный 7 12 2 3" xfId="47919"/>
    <cellStyle name="Процентный 7 12 3" xfId="47920"/>
    <cellStyle name="Процентный 7 12 3 2" xfId="47921"/>
    <cellStyle name="Процентный 7 12 4" xfId="47922"/>
    <cellStyle name="Процентный 7 12 4 2" xfId="47923"/>
    <cellStyle name="Процентный 7 12 5" xfId="47924"/>
    <cellStyle name="Процентный 7 13" xfId="47925"/>
    <cellStyle name="Процентный 7 13 2" xfId="47926"/>
    <cellStyle name="Процентный 7 13 2 2" xfId="47927"/>
    <cellStyle name="Процентный 7 13 2 2 2" xfId="47928"/>
    <cellStyle name="Процентный 7 13 2 3" xfId="47929"/>
    <cellStyle name="Процентный 7 13 3" xfId="47930"/>
    <cellStyle name="Процентный 7 13 3 2" xfId="47931"/>
    <cellStyle name="Процентный 7 13 4" xfId="47932"/>
    <cellStyle name="Процентный 7 14" xfId="47933"/>
    <cellStyle name="Процентный 7 14 2" xfId="47934"/>
    <cellStyle name="Процентный 7 14 2 2" xfId="47935"/>
    <cellStyle name="Процентный 7 14 2 2 2" xfId="47936"/>
    <cellStyle name="Процентный 7 14 2 3" xfId="47937"/>
    <cellStyle name="Процентный 7 14 3" xfId="47938"/>
    <cellStyle name="Процентный 7 14 3 2" xfId="47939"/>
    <cellStyle name="Процентный 7 14 4" xfId="47940"/>
    <cellStyle name="Процентный 7 15" xfId="47941"/>
    <cellStyle name="Процентный 7 15 2" xfId="47942"/>
    <cellStyle name="Процентный 7 15 2 2" xfId="47943"/>
    <cellStyle name="Процентный 7 15 3" xfId="47944"/>
    <cellStyle name="Процентный 7 16" xfId="47945"/>
    <cellStyle name="Процентный 7 16 2" xfId="47946"/>
    <cellStyle name="Процентный 7 16 2 2" xfId="47947"/>
    <cellStyle name="Процентный 7 16 3" xfId="47948"/>
    <cellStyle name="Процентный 7 17" xfId="47949"/>
    <cellStyle name="Процентный 7 17 2" xfId="47950"/>
    <cellStyle name="Процентный 7 18" xfId="47951"/>
    <cellStyle name="Процентный 7 18 2" xfId="47952"/>
    <cellStyle name="Процентный 7 19" xfId="47953"/>
    <cellStyle name="Процентный 7 2" xfId="47954"/>
    <cellStyle name="Процентный 7 2 2" xfId="47955"/>
    <cellStyle name="Процентный 7 2 2 2" xfId="47956"/>
    <cellStyle name="Процентный 7 2 2 2 2" xfId="47957"/>
    <cellStyle name="Процентный 7 2 2 2 2 2" xfId="47958"/>
    <cellStyle name="Процентный 7 2 2 2 2 2 2" xfId="47959"/>
    <cellStyle name="Процентный 7 2 2 2 2 3" xfId="47960"/>
    <cellStyle name="Процентный 7 2 2 2 3" xfId="47961"/>
    <cellStyle name="Процентный 7 2 2 2 3 2" xfId="47962"/>
    <cellStyle name="Процентный 7 2 2 2 3 2 2" xfId="47963"/>
    <cellStyle name="Процентный 7 2 2 2 3 3" xfId="47964"/>
    <cellStyle name="Процентный 7 2 2 2 4" xfId="47965"/>
    <cellStyle name="Процентный 7 2 2 2 4 2" xfId="47966"/>
    <cellStyle name="Процентный 7 2 2 2 5" xfId="47967"/>
    <cellStyle name="Процентный 7 2 2 2 5 2" xfId="47968"/>
    <cellStyle name="Процентный 7 2 2 2 6" xfId="47969"/>
    <cellStyle name="Процентный 7 2 2 3" xfId="47970"/>
    <cellStyle name="Процентный 7 2 2 3 2" xfId="47971"/>
    <cellStyle name="Процентный 7 2 2 3 2 2" xfId="47972"/>
    <cellStyle name="Процентный 7 2 2 3 2 2 2" xfId="47973"/>
    <cellStyle name="Процентный 7 2 2 3 2 3" xfId="47974"/>
    <cellStyle name="Процентный 7 2 2 3 3" xfId="47975"/>
    <cellStyle name="Процентный 7 2 2 3 3 2" xfId="47976"/>
    <cellStyle name="Процентный 7 2 2 3 3 2 2" xfId="47977"/>
    <cellStyle name="Процентный 7 2 2 3 3 3" xfId="47978"/>
    <cellStyle name="Процентный 7 2 2 3 4" xfId="47979"/>
    <cellStyle name="Процентный 7 2 2 3 4 2" xfId="47980"/>
    <cellStyle name="Процентный 7 2 2 3 5" xfId="47981"/>
    <cellStyle name="Процентный 7 2 2 3 5 2" xfId="47982"/>
    <cellStyle name="Процентный 7 2 2 3 6" xfId="47983"/>
    <cellStyle name="Процентный 7 2 2 4" xfId="47984"/>
    <cellStyle name="Процентный 7 2 2 4 2" xfId="47985"/>
    <cellStyle name="Процентный 7 2 2 4 2 2" xfId="47986"/>
    <cellStyle name="Процентный 7 2 2 4 3" xfId="47987"/>
    <cellStyle name="Процентный 7 2 2 5" xfId="47988"/>
    <cellStyle name="Процентный 7 2 2 5 2" xfId="47989"/>
    <cellStyle name="Процентный 7 2 2 5 2 2" xfId="47990"/>
    <cellStyle name="Процентный 7 2 2 5 3" xfId="47991"/>
    <cellStyle name="Процентный 7 2 2 6" xfId="47992"/>
    <cellStyle name="Процентный 7 2 2 6 2" xfId="47993"/>
    <cellStyle name="Процентный 7 2 2 7" xfId="47994"/>
    <cellStyle name="Процентный 7 2 2 7 2" xfId="47995"/>
    <cellStyle name="Процентный 7 2 2 8" xfId="47996"/>
    <cellStyle name="Процентный 7 2 3" xfId="47997"/>
    <cellStyle name="Процентный 7 2 3 2" xfId="47998"/>
    <cellStyle name="Процентный 7 2 3 2 2" xfId="47999"/>
    <cellStyle name="Процентный 7 2 3 2 2 2" xfId="48000"/>
    <cellStyle name="Процентный 7 2 3 2 3" xfId="48001"/>
    <cellStyle name="Процентный 7 2 3 2 3 2" xfId="48002"/>
    <cellStyle name="Процентный 7 2 3 2 4" xfId="48003"/>
    <cellStyle name="Процентный 7 2 3 3" xfId="48004"/>
    <cellStyle name="Процентный 7 2 3 3 2" xfId="48005"/>
    <cellStyle name="Процентный 7 2 3 3 2 2" xfId="48006"/>
    <cellStyle name="Процентный 7 2 3 3 3" xfId="48007"/>
    <cellStyle name="Процентный 7 2 3 4" xfId="48008"/>
    <cellStyle name="Процентный 7 2 3 4 2" xfId="48009"/>
    <cellStyle name="Процентный 7 2 3 5" xfId="48010"/>
    <cellStyle name="Процентный 7 2 3 5 2" xfId="48011"/>
    <cellStyle name="Процентный 7 2 3 6" xfId="48012"/>
    <cellStyle name="Процентный 7 2 4" xfId="48013"/>
    <cellStyle name="Процентный 7 2 4 2" xfId="48014"/>
    <cellStyle name="Процентный 7 2 4 2 2" xfId="48015"/>
    <cellStyle name="Процентный 7 2 4 2 2 2" xfId="48016"/>
    <cellStyle name="Процентный 7 2 4 2 3" xfId="48017"/>
    <cellStyle name="Процентный 7 2 4 3" xfId="48018"/>
    <cellStyle name="Процентный 7 2 4 3 2" xfId="48019"/>
    <cellStyle name="Процентный 7 2 4 3 2 2" xfId="48020"/>
    <cellStyle name="Процентный 7 2 4 3 3" xfId="48021"/>
    <cellStyle name="Процентный 7 2 4 4" xfId="48022"/>
    <cellStyle name="Процентный 7 2 4 4 2" xfId="48023"/>
    <cellStyle name="Процентный 7 2 4 5" xfId="48024"/>
    <cellStyle name="Процентный 7 2 4 5 2" xfId="48025"/>
    <cellStyle name="Процентный 7 2 4 6" xfId="48026"/>
    <cellStyle name="Процентный 7 2 5" xfId="48027"/>
    <cellStyle name="Процентный 7 2 5 2" xfId="48028"/>
    <cellStyle name="Процентный 7 2 5 2 2" xfId="48029"/>
    <cellStyle name="Процентный 7 2 5 3" xfId="48030"/>
    <cellStyle name="Процентный 7 2 6" xfId="48031"/>
    <cellStyle name="Процентный 7 2 6 2" xfId="48032"/>
    <cellStyle name="Процентный 7 2 6 2 2" xfId="48033"/>
    <cellStyle name="Процентный 7 2 6 3" xfId="48034"/>
    <cellStyle name="Процентный 7 2 7" xfId="48035"/>
    <cellStyle name="Процентный 7 2 7 2" xfId="48036"/>
    <cellStyle name="Процентный 7 2 8" xfId="48037"/>
    <cellStyle name="Процентный 7 2 8 2" xfId="48038"/>
    <cellStyle name="Процентный 7 2 9" xfId="48039"/>
    <cellStyle name="Процентный 7 3" xfId="48040"/>
    <cellStyle name="Процентный 7 3 2" xfId="48041"/>
    <cellStyle name="Процентный 7 3 2 2" xfId="48042"/>
    <cellStyle name="Процентный 7 3 2 2 2" xfId="48043"/>
    <cellStyle name="Процентный 7 3 2 2 2 2" xfId="48044"/>
    <cellStyle name="Процентный 7 3 2 2 3" xfId="48045"/>
    <cellStyle name="Процентный 7 3 2 2 3 2" xfId="48046"/>
    <cellStyle name="Процентный 7 3 2 2 4" xfId="48047"/>
    <cellStyle name="Процентный 7 3 2 3" xfId="48048"/>
    <cellStyle name="Процентный 7 3 2 3 2" xfId="48049"/>
    <cellStyle name="Процентный 7 3 2 3 2 2" xfId="48050"/>
    <cellStyle name="Процентный 7 3 2 3 3" xfId="48051"/>
    <cellStyle name="Процентный 7 3 2 4" xfId="48052"/>
    <cellStyle name="Процентный 7 3 2 4 2" xfId="48053"/>
    <cellStyle name="Процентный 7 3 2 5" xfId="48054"/>
    <cellStyle name="Процентный 7 3 2 5 2" xfId="48055"/>
    <cellStyle name="Процентный 7 3 2 6" xfId="48056"/>
    <cellStyle name="Процентный 7 3 3" xfId="48057"/>
    <cellStyle name="Процентный 7 3 3 2" xfId="48058"/>
    <cellStyle name="Процентный 7 3 3 2 2" xfId="48059"/>
    <cellStyle name="Процентный 7 3 3 2 2 2" xfId="48060"/>
    <cellStyle name="Процентный 7 3 3 2 3" xfId="48061"/>
    <cellStyle name="Процентный 7 3 3 3" xfId="48062"/>
    <cellStyle name="Процентный 7 3 3 3 2" xfId="48063"/>
    <cellStyle name="Процентный 7 3 3 3 2 2" xfId="48064"/>
    <cellStyle name="Процентный 7 3 3 3 3" xfId="48065"/>
    <cellStyle name="Процентный 7 3 3 4" xfId="48066"/>
    <cellStyle name="Процентный 7 3 3 4 2" xfId="48067"/>
    <cellStyle name="Процентный 7 3 3 5" xfId="48068"/>
    <cellStyle name="Процентный 7 3 3 5 2" xfId="48069"/>
    <cellStyle name="Процентный 7 3 3 6" xfId="48070"/>
    <cellStyle name="Процентный 7 3 4" xfId="48071"/>
    <cellStyle name="Процентный 7 3 4 2" xfId="48072"/>
    <cellStyle name="Процентный 7 3 4 2 2" xfId="48073"/>
    <cellStyle name="Процентный 7 3 4 3" xfId="48074"/>
    <cellStyle name="Процентный 7 3 4 3 2" xfId="48075"/>
    <cellStyle name="Процентный 7 3 4 4" xfId="48076"/>
    <cellStyle name="Процентный 7 3 5" xfId="48077"/>
    <cellStyle name="Процентный 7 3 5 2" xfId="48078"/>
    <cellStyle name="Процентный 7 3 5 2 2" xfId="48079"/>
    <cellStyle name="Процентный 7 3 5 3" xfId="48080"/>
    <cellStyle name="Процентный 7 3 6" xfId="48081"/>
    <cellStyle name="Процентный 7 3 6 2" xfId="48082"/>
    <cellStyle name="Процентный 7 3 7" xfId="48083"/>
    <cellStyle name="Процентный 7 3 7 2" xfId="48084"/>
    <cellStyle name="Процентный 7 3 8" xfId="48085"/>
    <cellStyle name="Процентный 7 4" xfId="48086"/>
    <cellStyle name="Процентный 7 4 2" xfId="48087"/>
    <cellStyle name="Процентный 7 4 2 2" xfId="48088"/>
    <cellStyle name="Процентный 7 4 2 2 2" xfId="48089"/>
    <cellStyle name="Процентный 7 4 2 2 2 2" xfId="48090"/>
    <cellStyle name="Процентный 7 4 2 2 3" xfId="48091"/>
    <cellStyle name="Процентный 7 4 2 3" xfId="48092"/>
    <cellStyle name="Процентный 7 4 2 3 2" xfId="48093"/>
    <cellStyle name="Процентный 7 4 2 3 2 2" xfId="48094"/>
    <cellStyle name="Процентный 7 4 2 3 3" xfId="48095"/>
    <cellStyle name="Процентный 7 4 2 4" xfId="48096"/>
    <cellStyle name="Процентный 7 4 2 4 2" xfId="48097"/>
    <cellStyle name="Процентный 7 4 2 5" xfId="48098"/>
    <cellStyle name="Процентный 7 4 2 5 2" xfId="48099"/>
    <cellStyle name="Процентный 7 4 2 6" xfId="48100"/>
    <cellStyle name="Процентный 7 4 3" xfId="48101"/>
    <cellStyle name="Процентный 7 4 3 2" xfId="48102"/>
    <cellStyle name="Процентный 7 4 3 2 2" xfId="48103"/>
    <cellStyle name="Процентный 7 4 3 2 2 2" xfId="48104"/>
    <cellStyle name="Процентный 7 4 3 2 3" xfId="48105"/>
    <cellStyle name="Процентный 7 4 3 3" xfId="48106"/>
    <cellStyle name="Процентный 7 4 3 3 2" xfId="48107"/>
    <cellStyle name="Процентный 7 4 3 3 2 2" xfId="48108"/>
    <cellStyle name="Процентный 7 4 3 3 3" xfId="48109"/>
    <cellStyle name="Процентный 7 4 3 4" xfId="48110"/>
    <cellStyle name="Процентный 7 4 3 4 2" xfId="48111"/>
    <cellStyle name="Процентный 7 4 3 5" xfId="48112"/>
    <cellStyle name="Процентный 7 4 4" xfId="48113"/>
    <cellStyle name="Процентный 7 4 4 2" xfId="48114"/>
    <cellStyle name="Процентный 7 4 4 2 2" xfId="48115"/>
    <cellStyle name="Процентный 7 4 4 3" xfId="48116"/>
    <cellStyle name="Процентный 7 4 5" xfId="48117"/>
    <cellStyle name="Процентный 7 4 5 2" xfId="48118"/>
    <cellStyle name="Процентный 7 4 5 2 2" xfId="48119"/>
    <cellStyle name="Процентный 7 4 5 3" xfId="48120"/>
    <cellStyle name="Процентный 7 4 6" xfId="48121"/>
    <cellStyle name="Процентный 7 4 6 2" xfId="48122"/>
    <cellStyle name="Процентный 7 4 7" xfId="48123"/>
    <cellStyle name="Процентный 7 4 7 2" xfId="48124"/>
    <cellStyle name="Процентный 7 4 8" xfId="48125"/>
    <cellStyle name="Процентный 7 5" xfId="48126"/>
    <cellStyle name="Процентный 7 5 2" xfId="48127"/>
    <cellStyle name="Процентный 7 5 2 2" xfId="48128"/>
    <cellStyle name="Процентный 7 5 2 2 2" xfId="48129"/>
    <cellStyle name="Процентный 7 5 2 3" xfId="48130"/>
    <cellStyle name="Процентный 7 5 3" xfId="48131"/>
    <cellStyle name="Процентный 7 5 3 2" xfId="48132"/>
    <cellStyle name="Процентный 7 5 3 2 2" xfId="48133"/>
    <cellStyle name="Процентный 7 5 3 3" xfId="48134"/>
    <cellStyle name="Процентный 7 5 4" xfId="48135"/>
    <cellStyle name="Процентный 7 5 4 2" xfId="48136"/>
    <cellStyle name="Процентный 7 5 5" xfId="48137"/>
    <cellStyle name="Процентный 7 5 5 2" xfId="48138"/>
    <cellStyle name="Процентный 7 5 6" xfId="48139"/>
    <cellStyle name="Процентный 7 6" xfId="48140"/>
    <cellStyle name="Процентный 7 6 2" xfId="48141"/>
    <cellStyle name="Процентный 7 6 2 2" xfId="48142"/>
    <cellStyle name="Процентный 7 6 2 2 2" xfId="48143"/>
    <cellStyle name="Процентный 7 6 2 3" xfId="48144"/>
    <cellStyle name="Процентный 7 6 3" xfId="48145"/>
    <cellStyle name="Процентный 7 6 3 2" xfId="48146"/>
    <cellStyle name="Процентный 7 6 3 2 2" xfId="48147"/>
    <cellStyle name="Процентный 7 6 3 3" xfId="48148"/>
    <cellStyle name="Процентный 7 6 4" xfId="48149"/>
    <cellStyle name="Процентный 7 6 4 2" xfId="48150"/>
    <cellStyle name="Процентный 7 6 5" xfId="48151"/>
    <cellStyle name="Процентный 7 6 5 2" xfId="48152"/>
    <cellStyle name="Процентный 7 6 6" xfId="48153"/>
    <cellStyle name="Процентный 7 7" xfId="48154"/>
    <cellStyle name="Процентный 7 7 2" xfId="48155"/>
    <cellStyle name="Процентный 7 7 2 2" xfId="48156"/>
    <cellStyle name="Процентный 7 7 2 2 2" xfId="48157"/>
    <cellStyle name="Процентный 7 7 2 3" xfId="48158"/>
    <cellStyle name="Процентный 7 7 3" xfId="48159"/>
    <cellStyle name="Процентный 7 7 3 2" xfId="48160"/>
    <cellStyle name="Процентный 7 7 3 2 2" xfId="48161"/>
    <cellStyle name="Процентный 7 7 3 3" xfId="48162"/>
    <cellStyle name="Процентный 7 7 4" xfId="48163"/>
    <cellStyle name="Процентный 7 7 4 2" xfId="48164"/>
    <cellStyle name="Процентный 7 7 5" xfId="48165"/>
    <cellStyle name="Процентный 7 7 5 2" xfId="48166"/>
    <cellStyle name="Процентный 7 7 6" xfId="48167"/>
    <cellStyle name="Процентный 7 8" xfId="48168"/>
    <cellStyle name="Процентный 7 8 2" xfId="48169"/>
    <cellStyle name="Процентный 7 8 2 2" xfId="48170"/>
    <cellStyle name="Процентный 7 8 2 2 2" xfId="48171"/>
    <cellStyle name="Процентный 7 8 2 3" xfId="48172"/>
    <cellStyle name="Процентный 7 8 3" xfId="48173"/>
    <cellStyle name="Процентный 7 8 3 2" xfId="48174"/>
    <cellStyle name="Процентный 7 8 3 2 2" xfId="48175"/>
    <cellStyle name="Процентный 7 8 3 3" xfId="48176"/>
    <cellStyle name="Процентный 7 8 4" xfId="48177"/>
    <cellStyle name="Процентный 7 8 4 2" xfId="48178"/>
    <cellStyle name="Процентный 7 8 5" xfId="48179"/>
    <cellStyle name="Процентный 7 8 5 2" xfId="48180"/>
    <cellStyle name="Процентный 7 8 6" xfId="48181"/>
    <cellStyle name="Процентный 7 9" xfId="48182"/>
    <cellStyle name="Процентный 7 9 2" xfId="48183"/>
    <cellStyle name="Процентный 7 9 2 2" xfId="48184"/>
    <cellStyle name="Процентный 7 9 2 2 2" xfId="48185"/>
    <cellStyle name="Процентный 7 9 2 3" xfId="48186"/>
    <cellStyle name="Процентный 7 9 3" xfId="48187"/>
    <cellStyle name="Процентный 7 9 3 2" xfId="48188"/>
    <cellStyle name="Процентный 7 9 3 2 2" xfId="48189"/>
    <cellStyle name="Процентный 7 9 3 3" xfId="48190"/>
    <cellStyle name="Процентный 7 9 4" xfId="48191"/>
    <cellStyle name="Процентный 7 9 4 2" xfId="48192"/>
    <cellStyle name="Процентный 7 9 5" xfId="48193"/>
    <cellStyle name="Процентный 7 9 5 2" xfId="48194"/>
    <cellStyle name="Процентный 7 9 6" xfId="48195"/>
    <cellStyle name="Процентный 8" xfId="48196"/>
    <cellStyle name="Процентный 8 10" xfId="48197"/>
    <cellStyle name="Процентный 8 10 2" xfId="48198"/>
    <cellStyle name="Процентный 8 10 2 2" xfId="48199"/>
    <cellStyle name="Процентный 8 10 2 2 2" xfId="48200"/>
    <cellStyle name="Процентный 8 10 2 3" xfId="48201"/>
    <cellStyle name="Процентный 8 10 3" xfId="48202"/>
    <cellStyle name="Процентный 8 10 3 2" xfId="48203"/>
    <cellStyle name="Процентный 8 10 3 2 2" xfId="48204"/>
    <cellStyle name="Процентный 8 10 3 3" xfId="48205"/>
    <cellStyle name="Процентный 8 10 4" xfId="48206"/>
    <cellStyle name="Процентный 8 10 4 2" xfId="48207"/>
    <cellStyle name="Процентный 8 10 5" xfId="48208"/>
    <cellStyle name="Процентный 8 10 5 2" xfId="48209"/>
    <cellStyle name="Процентный 8 10 6" xfId="48210"/>
    <cellStyle name="Процентный 8 11" xfId="48211"/>
    <cellStyle name="Процентный 8 11 2" xfId="48212"/>
    <cellStyle name="Процентный 8 11 2 2" xfId="48213"/>
    <cellStyle name="Процентный 8 11 2 2 2" xfId="48214"/>
    <cellStyle name="Процентный 8 11 2 3" xfId="48215"/>
    <cellStyle name="Процентный 8 11 3" xfId="48216"/>
    <cellStyle name="Процентный 8 11 3 2" xfId="48217"/>
    <cellStyle name="Процентный 8 11 3 2 2" xfId="48218"/>
    <cellStyle name="Процентный 8 11 3 3" xfId="48219"/>
    <cellStyle name="Процентный 8 11 4" xfId="48220"/>
    <cellStyle name="Процентный 8 11 4 2" xfId="48221"/>
    <cellStyle name="Процентный 8 11 5" xfId="48222"/>
    <cellStyle name="Процентный 8 11 5 2" xfId="48223"/>
    <cellStyle name="Процентный 8 11 6" xfId="48224"/>
    <cellStyle name="Процентный 8 12" xfId="48225"/>
    <cellStyle name="Процентный 8 12 2" xfId="48226"/>
    <cellStyle name="Процентный 8 12 3" xfId="48227"/>
    <cellStyle name="Процентный 8 12 3 2" xfId="48228"/>
    <cellStyle name="Процентный 8 12 4" xfId="48229"/>
    <cellStyle name="Процентный 8 13" xfId="48230"/>
    <cellStyle name="Процентный 8 13 2" xfId="48231"/>
    <cellStyle name="Процентный 8 13 2 2" xfId="48232"/>
    <cellStyle name="Процентный 8 13 2 2 2" xfId="48233"/>
    <cellStyle name="Процентный 8 13 2 3" xfId="48234"/>
    <cellStyle name="Процентный 8 13 3" xfId="48235"/>
    <cellStyle name="Процентный 8 13 3 2" xfId="48236"/>
    <cellStyle name="Процентный 8 13 4" xfId="48237"/>
    <cellStyle name="Процентный 8 14" xfId="48238"/>
    <cellStyle name="Процентный 8 14 2" xfId="48239"/>
    <cellStyle name="Процентный 8 14 2 2" xfId="48240"/>
    <cellStyle name="Процентный 8 14 3" xfId="48241"/>
    <cellStyle name="Процентный 8 15" xfId="48242"/>
    <cellStyle name="Процентный 8 15 2" xfId="48243"/>
    <cellStyle name="Процентный 8 15 2 2" xfId="48244"/>
    <cellStyle name="Процентный 8 15 3" xfId="48245"/>
    <cellStyle name="Процентный 8 16" xfId="48246"/>
    <cellStyle name="Процентный 8 16 2" xfId="48247"/>
    <cellStyle name="Процентный 8 17" xfId="48248"/>
    <cellStyle name="Процентный 8 17 2" xfId="48249"/>
    <cellStyle name="Процентный 8 18" xfId="48250"/>
    <cellStyle name="Процентный 8 19" xfId="48251"/>
    <cellStyle name="Процентный 8 2" xfId="48252"/>
    <cellStyle name="Процентный 8 2 2" xfId="48253"/>
    <cellStyle name="Процентный 8 2 2 2" xfId="48254"/>
    <cellStyle name="Процентный 8 2 2 2 2" xfId="48255"/>
    <cellStyle name="Процентный 8 2 2 2 2 2" xfId="48256"/>
    <cellStyle name="Процентный 8 2 2 2 2 2 2" xfId="48257"/>
    <cellStyle name="Процентный 8 2 2 2 2 3" xfId="48258"/>
    <cellStyle name="Процентный 8 2 2 2 2 3 2" xfId="48259"/>
    <cellStyle name="Процентный 8 2 2 2 2 4" xfId="48260"/>
    <cellStyle name="Процентный 8 2 2 2 3" xfId="48261"/>
    <cellStyle name="Процентный 8 2 2 2 3 2" xfId="48262"/>
    <cellStyle name="Процентный 8 2 2 2 3 2 2" xfId="48263"/>
    <cellStyle name="Процентный 8 2 2 2 3 3" xfId="48264"/>
    <cellStyle name="Процентный 8 2 2 2 4" xfId="48265"/>
    <cellStyle name="Процентный 8 2 2 2 4 2" xfId="48266"/>
    <cellStyle name="Процентный 8 2 2 2 5" xfId="48267"/>
    <cellStyle name="Процентный 8 2 2 2 5 2" xfId="48268"/>
    <cellStyle name="Процентный 8 2 2 2 6" xfId="48269"/>
    <cellStyle name="Процентный 8 2 2 3" xfId="48270"/>
    <cellStyle name="Процентный 8 2 2 3 2" xfId="48271"/>
    <cellStyle name="Процентный 8 2 2 3 2 2" xfId="48272"/>
    <cellStyle name="Процентный 8 2 2 3 2 2 2" xfId="48273"/>
    <cellStyle name="Процентный 8 2 2 3 2 3" xfId="48274"/>
    <cellStyle name="Процентный 8 2 2 3 3" xfId="48275"/>
    <cellStyle name="Процентный 8 2 2 3 3 2" xfId="48276"/>
    <cellStyle name="Процентный 8 2 2 3 3 2 2" xfId="48277"/>
    <cellStyle name="Процентный 8 2 2 3 3 3" xfId="48278"/>
    <cellStyle name="Процентный 8 2 2 3 4" xfId="48279"/>
    <cellStyle name="Процентный 8 2 2 3 4 2" xfId="48280"/>
    <cellStyle name="Процентный 8 2 2 3 5" xfId="48281"/>
    <cellStyle name="Процентный 8 2 2 3 5 2" xfId="48282"/>
    <cellStyle name="Процентный 8 2 2 3 6" xfId="48283"/>
    <cellStyle name="Процентный 8 2 2 4" xfId="48284"/>
    <cellStyle name="Процентный 8 2 2 4 2" xfId="48285"/>
    <cellStyle name="Процентный 8 2 2 4 2 2" xfId="48286"/>
    <cellStyle name="Процентный 8 2 2 4 3" xfId="48287"/>
    <cellStyle name="Процентный 8 2 2 4 3 2" xfId="48288"/>
    <cellStyle name="Процентный 8 2 2 4 4" xfId="48289"/>
    <cellStyle name="Процентный 8 2 2 5" xfId="48290"/>
    <cellStyle name="Процентный 8 2 2 5 2" xfId="48291"/>
    <cellStyle name="Процентный 8 2 2 5 2 2" xfId="48292"/>
    <cellStyle name="Процентный 8 2 2 5 3" xfId="48293"/>
    <cellStyle name="Процентный 8 2 2 6" xfId="48294"/>
    <cellStyle name="Процентный 8 2 2 6 2" xfId="48295"/>
    <cellStyle name="Процентный 8 2 2 7" xfId="48296"/>
    <cellStyle name="Процентный 8 2 2 7 2" xfId="48297"/>
    <cellStyle name="Процентный 8 2 2 8" xfId="48298"/>
    <cellStyle name="Процентный 8 2 3" xfId="48299"/>
    <cellStyle name="Процентный 8 2 3 2" xfId="48300"/>
    <cellStyle name="Процентный 8 2 3 2 2" xfId="48301"/>
    <cellStyle name="Процентный 8 2 3 2 2 2" xfId="48302"/>
    <cellStyle name="Процентный 8 2 3 2 3" xfId="48303"/>
    <cellStyle name="Процентный 8 2 3 2 3 2" xfId="48304"/>
    <cellStyle name="Процентный 8 2 3 2 4" xfId="48305"/>
    <cellStyle name="Процентный 8 2 3 3" xfId="48306"/>
    <cellStyle name="Процентный 8 2 3 3 2" xfId="48307"/>
    <cellStyle name="Процентный 8 2 3 3 2 2" xfId="48308"/>
    <cellStyle name="Процентный 8 2 3 3 3" xfId="48309"/>
    <cellStyle name="Процентный 8 2 3 4" xfId="48310"/>
    <cellStyle name="Процентный 8 2 3 4 2" xfId="48311"/>
    <cellStyle name="Процентный 8 2 3 5" xfId="48312"/>
    <cellStyle name="Процентный 8 2 3 5 2" xfId="48313"/>
    <cellStyle name="Процентный 8 2 3 6" xfId="48314"/>
    <cellStyle name="Процентный 8 2 4" xfId="48315"/>
    <cellStyle name="Процентный 8 2 4 2" xfId="48316"/>
    <cellStyle name="Процентный 8 2 4 2 2" xfId="48317"/>
    <cellStyle name="Процентный 8 2 4 2 2 2" xfId="48318"/>
    <cellStyle name="Процентный 8 2 4 2 3" xfId="48319"/>
    <cellStyle name="Процентный 8 2 4 3" xfId="48320"/>
    <cellStyle name="Процентный 8 2 4 3 2" xfId="48321"/>
    <cellStyle name="Процентный 8 2 4 3 2 2" xfId="48322"/>
    <cellStyle name="Процентный 8 2 4 3 3" xfId="48323"/>
    <cellStyle name="Процентный 8 2 4 4" xfId="48324"/>
    <cellStyle name="Процентный 8 2 4 4 2" xfId="48325"/>
    <cellStyle name="Процентный 8 2 4 5" xfId="48326"/>
    <cellStyle name="Процентный 8 2 4 5 2" xfId="48327"/>
    <cellStyle name="Процентный 8 2 4 6" xfId="48328"/>
    <cellStyle name="Процентный 8 2 5" xfId="48329"/>
    <cellStyle name="Процентный 8 2 5 2" xfId="48330"/>
    <cellStyle name="Процентный 8 2 5 2 2" xfId="48331"/>
    <cellStyle name="Процентный 8 2 5 3" xfId="48332"/>
    <cellStyle name="Процентный 8 2 5 3 2" xfId="48333"/>
    <cellStyle name="Процентный 8 2 5 4" xfId="48334"/>
    <cellStyle name="Процентный 8 2 6" xfId="48335"/>
    <cellStyle name="Процентный 8 2 6 2" xfId="48336"/>
    <cellStyle name="Процентный 8 2 6 2 2" xfId="48337"/>
    <cellStyle name="Процентный 8 2 6 3" xfId="48338"/>
    <cellStyle name="Процентный 8 2 7" xfId="48339"/>
    <cellStyle name="Процентный 8 2 7 2" xfId="48340"/>
    <cellStyle name="Процентный 8 2 8" xfId="48341"/>
    <cellStyle name="Процентный 8 2 8 2" xfId="48342"/>
    <cellStyle name="Процентный 8 2 9" xfId="48343"/>
    <cellStyle name="Процентный 8 3" xfId="48344"/>
    <cellStyle name="Процентный 8 3 2" xfId="48345"/>
    <cellStyle name="Процентный 8 3 2 2" xfId="48346"/>
    <cellStyle name="Процентный 8 3 2 2 2" xfId="48347"/>
    <cellStyle name="Процентный 8 3 2 2 2 2" xfId="48348"/>
    <cellStyle name="Процентный 8 3 2 2 3" xfId="48349"/>
    <cellStyle name="Процентный 8 3 2 2 3 2" xfId="48350"/>
    <cellStyle name="Процентный 8 3 2 2 4" xfId="48351"/>
    <cellStyle name="Процентный 8 3 2 3" xfId="48352"/>
    <cellStyle name="Процентный 8 3 2 3 2" xfId="48353"/>
    <cellStyle name="Процентный 8 3 2 3 2 2" xfId="48354"/>
    <cellStyle name="Процентный 8 3 2 3 3" xfId="48355"/>
    <cellStyle name="Процентный 8 3 2 4" xfId="48356"/>
    <cellStyle name="Процентный 8 3 2 4 2" xfId="48357"/>
    <cellStyle name="Процентный 8 3 2 5" xfId="48358"/>
    <cellStyle name="Процентный 8 3 2 5 2" xfId="48359"/>
    <cellStyle name="Процентный 8 3 2 6" xfId="48360"/>
    <cellStyle name="Процентный 8 3 3" xfId="48361"/>
    <cellStyle name="Процентный 8 3 3 2" xfId="48362"/>
    <cellStyle name="Процентный 8 3 3 2 2" xfId="48363"/>
    <cellStyle name="Процентный 8 3 3 2 2 2" xfId="48364"/>
    <cellStyle name="Процентный 8 3 3 2 3" xfId="48365"/>
    <cellStyle name="Процентный 8 3 3 3" xfId="48366"/>
    <cellStyle name="Процентный 8 3 3 3 2" xfId="48367"/>
    <cellStyle name="Процентный 8 3 3 3 2 2" xfId="48368"/>
    <cellStyle name="Процентный 8 3 3 3 3" xfId="48369"/>
    <cellStyle name="Процентный 8 3 3 4" xfId="48370"/>
    <cellStyle name="Процентный 8 3 3 4 2" xfId="48371"/>
    <cellStyle name="Процентный 8 3 3 5" xfId="48372"/>
    <cellStyle name="Процентный 8 3 3 5 2" xfId="48373"/>
    <cellStyle name="Процентный 8 3 3 6" xfId="48374"/>
    <cellStyle name="Процентный 8 3 4" xfId="48375"/>
    <cellStyle name="Процентный 8 3 4 2" xfId="48376"/>
    <cellStyle name="Процентный 8 3 4 2 2" xfId="48377"/>
    <cellStyle name="Процентный 8 3 4 3" xfId="48378"/>
    <cellStyle name="Процентный 8 3 4 3 2" xfId="48379"/>
    <cellStyle name="Процентный 8 3 4 4" xfId="48380"/>
    <cellStyle name="Процентный 8 3 5" xfId="48381"/>
    <cellStyle name="Процентный 8 3 5 2" xfId="48382"/>
    <cellStyle name="Процентный 8 3 5 2 2" xfId="48383"/>
    <cellStyle name="Процентный 8 3 5 3" xfId="48384"/>
    <cellStyle name="Процентный 8 3 6" xfId="48385"/>
    <cellStyle name="Процентный 8 3 6 2" xfId="48386"/>
    <cellStyle name="Процентный 8 3 7" xfId="48387"/>
    <cellStyle name="Процентный 8 3 7 2" xfId="48388"/>
    <cellStyle name="Процентный 8 3 8" xfId="48389"/>
    <cellStyle name="Процентный 8 4" xfId="48390"/>
    <cellStyle name="Процентный 8 4 2" xfId="48391"/>
    <cellStyle name="Процентный 8 4 2 2" xfId="48392"/>
    <cellStyle name="Процентный 8 4 2 2 2" xfId="48393"/>
    <cellStyle name="Процентный 8 4 2 2 2 2" xfId="48394"/>
    <cellStyle name="Процентный 8 4 2 2 3" xfId="48395"/>
    <cellStyle name="Процентный 8 4 2 3" xfId="48396"/>
    <cellStyle name="Процентный 8 4 2 3 2" xfId="48397"/>
    <cellStyle name="Процентный 8 4 2 3 2 2" xfId="48398"/>
    <cellStyle name="Процентный 8 4 2 3 3" xfId="48399"/>
    <cellStyle name="Процентный 8 4 2 4" xfId="48400"/>
    <cellStyle name="Процентный 8 4 2 4 2" xfId="48401"/>
    <cellStyle name="Процентный 8 4 2 5" xfId="48402"/>
    <cellStyle name="Процентный 8 4 2 5 2" xfId="48403"/>
    <cellStyle name="Процентный 8 4 2 6" xfId="48404"/>
    <cellStyle name="Процентный 8 4 3" xfId="48405"/>
    <cellStyle name="Процентный 8 4 3 2" xfId="48406"/>
    <cellStyle name="Процентный 8 4 3 2 2" xfId="48407"/>
    <cellStyle name="Процентный 8 4 3 2 2 2" xfId="48408"/>
    <cellStyle name="Процентный 8 4 3 2 3" xfId="48409"/>
    <cellStyle name="Процентный 8 4 3 3" xfId="48410"/>
    <cellStyle name="Процентный 8 4 3 3 2" xfId="48411"/>
    <cellStyle name="Процентный 8 4 3 3 2 2" xfId="48412"/>
    <cellStyle name="Процентный 8 4 3 3 3" xfId="48413"/>
    <cellStyle name="Процентный 8 4 3 4" xfId="48414"/>
    <cellStyle name="Процентный 8 4 3 4 2" xfId="48415"/>
    <cellStyle name="Процентный 8 4 3 5" xfId="48416"/>
    <cellStyle name="Процентный 8 4 3 5 2" xfId="48417"/>
    <cellStyle name="Процентный 8 4 3 6" xfId="48418"/>
    <cellStyle name="Процентный 8 4 4" xfId="48419"/>
    <cellStyle name="Процентный 8 4 4 2" xfId="48420"/>
    <cellStyle name="Процентный 8 4 4 2 2" xfId="48421"/>
    <cellStyle name="Процентный 8 4 4 3" xfId="48422"/>
    <cellStyle name="Процентный 8 4 5" xfId="48423"/>
    <cellStyle name="Процентный 8 4 5 2" xfId="48424"/>
    <cellStyle name="Процентный 8 4 6" xfId="48425"/>
    <cellStyle name="Процентный 8 5" xfId="48426"/>
    <cellStyle name="Процентный 8 5 2" xfId="48427"/>
    <cellStyle name="Процентный 8 5 2 2" xfId="48428"/>
    <cellStyle name="Процентный 8 5 2 2 2" xfId="48429"/>
    <cellStyle name="Процентный 8 5 2 2 2 2" xfId="48430"/>
    <cellStyle name="Процентный 8 5 2 2 3" xfId="48431"/>
    <cellStyle name="Процентный 8 5 2 3" xfId="48432"/>
    <cellStyle name="Процентный 8 5 2 3 2" xfId="48433"/>
    <cellStyle name="Процентный 8 5 2 3 2 2" xfId="48434"/>
    <cellStyle name="Процентный 8 5 2 3 3" xfId="48435"/>
    <cellStyle name="Процентный 8 5 2 4" xfId="48436"/>
    <cellStyle name="Процентный 8 5 2 4 2" xfId="48437"/>
    <cellStyle name="Процентный 8 5 2 5" xfId="48438"/>
    <cellStyle name="Процентный 8 5 2 5 2" xfId="48439"/>
    <cellStyle name="Процентный 8 5 2 6" xfId="48440"/>
    <cellStyle name="Процентный 8 5 3" xfId="48441"/>
    <cellStyle name="Процентный 8 5 3 2" xfId="48442"/>
    <cellStyle name="Процентный 8 5 3 2 2" xfId="48443"/>
    <cellStyle name="Процентный 8 5 3 2 2 2" xfId="48444"/>
    <cellStyle name="Процентный 8 5 3 2 3" xfId="48445"/>
    <cellStyle name="Процентный 8 5 3 3" xfId="48446"/>
    <cellStyle name="Процентный 8 5 3 3 2" xfId="48447"/>
    <cellStyle name="Процентный 8 5 3 3 2 2" xfId="48448"/>
    <cellStyle name="Процентный 8 5 3 3 3" xfId="48449"/>
    <cellStyle name="Процентный 8 5 3 4" xfId="48450"/>
    <cellStyle name="Процентный 8 5 3 4 2" xfId="48451"/>
    <cellStyle name="Процентный 8 5 3 5" xfId="48452"/>
    <cellStyle name="Процентный 8 5 3 5 2" xfId="48453"/>
    <cellStyle name="Процентный 8 5 3 6" xfId="48454"/>
    <cellStyle name="Процентный 8 5 4" xfId="48455"/>
    <cellStyle name="Процентный 8 5 4 2" xfId="48456"/>
    <cellStyle name="Процентный 8 5 4 2 2" xfId="48457"/>
    <cellStyle name="Процентный 8 5 4 3" xfId="48458"/>
    <cellStyle name="Процентный 8 5 5" xfId="48459"/>
    <cellStyle name="Процентный 8 5 5 2" xfId="48460"/>
    <cellStyle name="Процентный 8 5 5 2 2" xfId="48461"/>
    <cellStyle name="Процентный 8 5 5 3" xfId="48462"/>
    <cellStyle name="Процентный 8 5 6" xfId="48463"/>
    <cellStyle name="Процентный 8 5 6 2" xfId="48464"/>
    <cellStyle name="Процентный 8 5 7" xfId="48465"/>
    <cellStyle name="Процентный 8 5 7 2" xfId="48466"/>
    <cellStyle name="Процентный 8 5 8" xfId="48467"/>
    <cellStyle name="Процентный 8 6" xfId="48468"/>
    <cellStyle name="Процентный 8 6 2" xfId="48469"/>
    <cellStyle name="Процентный 8 6 2 2" xfId="48470"/>
    <cellStyle name="Процентный 8 6 2 2 2" xfId="48471"/>
    <cellStyle name="Процентный 8 6 2 2 2 2" xfId="48472"/>
    <cellStyle name="Процентный 8 6 2 2 3" xfId="48473"/>
    <cellStyle name="Процентный 8 6 2 3" xfId="48474"/>
    <cellStyle name="Процентный 8 6 2 3 2" xfId="48475"/>
    <cellStyle name="Процентный 8 6 2 3 2 2" xfId="48476"/>
    <cellStyle name="Процентный 8 6 2 3 3" xfId="48477"/>
    <cellStyle name="Процентный 8 6 2 4" xfId="48478"/>
    <cellStyle name="Процентный 8 6 2 4 2" xfId="48479"/>
    <cellStyle name="Процентный 8 6 2 5" xfId="48480"/>
    <cellStyle name="Процентный 8 6 2 5 2" xfId="48481"/>
    <cellStyle name="Процентный 8 6 2 6" xfId="48482"/>
    <cellStyle name="Процентный 8 6 3" xfId="48483"/>
    <cellStyle name="Процентный 8 6 3 2" xfId="48484"/>
    <cellStyle name="Процентный 8 6 3 2 2" xfId="48485"/>
    <cellStyle name="Процентный 8 6 3 2 2 2" xfId="48486"/>
    <cellStyle name="Процентный 8 6 3 2 3" xfId="48487"/>
    <cellStyle name="Процентный 8 6 3 3" xfId="48488"/>
    <cellStyle name="Процентный 8 6 3 3 2" xfId="48489"/>
    <cellStyle name="Процентный 8 6 3 3 2 2" xfId="48490"/>
    <cellStyle name="Процентный 8 6 3 3 3" xfId="48491"/>
    <cellStyle name="Процентный 8 6 3 4" xfId="48492"/>
    <cellStyle name="Процентный 8 6 3 4 2" xfId="48493"/>
    <cellStyle name="Процентный 8 6 3 5" xfId="48494"/>
    <cellStyle name="Процентный 8 6 3 5 2" xfId="48495"/>
    <cellStyle name="Процентный 8 6 3 6" xfId="48496"/>
    <cellStyle name="Процентный 8 6 4" xfId="48497"/>
    <cellStyle name="Процентный 8 6 4 2" xfId="48498"/>
    <cellStyle name="Процентный 8 6 4 2 2" xfId="48499"/>
    <cellStyle name="Процентный 8 6 4 3" xfId="48500"/>
    <cellStyle name="Процентный 8 6 5" xfId="48501"/>
    <cellStyle name="Процентный 8 6 5 2" xfId="48502"/>
    <cellStyle name="Процентный 8 6 5 2 2" xfId="48503"/>
    <cellStyle name="Процентный 8 6 5 3" xfId="48504"/>
    <cellStyle name="Процентный 8 6 6" xfId="48505"/>
    <cellStyle name="Процентный 8 6 6 2" xfId="48506"/>
    <cellStyle name="Процентный 8 6 7" xfId="48507"/>
    <cellStyle name="Процентный 8 6 7 2" xfId="48508"/>
    <cellStyle name="Процентный 8 6 8" xfId="48509"/>
    <cellStyle name="Процентный 8 7" xfId="48510"/>
    <cellStyle name="Процентный 8 7 2" xfId="48511"/>
    <cellStyle name="Процентный 8 7 2 2" xfId="48512"/>
    <cellStyle name="Процентный 8 7 2 2 2" xfId="48513"/>
    <cellStyle name="Процентный 8 7 2 2 2 2" xfId="48514"/>
    <cellStyle name="Процентный 8 7 2 2 3" xfId="48515"/>
    <cellStyle name="Процентный 8 7 2 3" xfId="48516"/>
    <cellStyle name="Процентный 8 7 2 3 2" xfId="48517"/>
    <cellStyle name="Процентный 8 7 2 3 2 2" xfId="48518"/>
    <cellStyle name="Процентный 8 7 2 3 3" xfId="48519"/>
    <cellStyle name="Процентный 8 7 2 4" xfId="48520"/>
    <cellStyle name="Процентный 8 7 2 4 2" xfId="48521"/>
    <cellStyle name="Процентный 8 7 2 5" xfId="48522"/>
    <cellStyle name="Процентный 8 7 2 5 2" xfId="48523"/>
    <cellStyle name="Процентный 8 7 2 6" xfId="48524"/>
    <cellStyle name="Процентный 8 7 3" xfId="48525"/>
    <cellStyle name="Процентный 8 7 3 2" xfId="48526"/>
    <cellStyle name="Процентный 8 7 3 2 2" xfId="48527"/>
    <cellStyle name="Процентный 8 7 3 2 2 2" xfId="48528"/>
    <cellStyle name="Процентный 8 7 3 2 3" xfId="48529"/>
    <cellStyle name="Процентный 8 7 3 3" xfId="48530"/>
    <cellStyle name="Процентный 8 7 3 3 2" xfId="48531"/>
    <cellStyle name="Процентный 8 7 3 3 2 2" xfId="48532"/>
    <cellStyle name="Процентный 8 7 3 3 3" xfId="48533"/>
    <cellStyle name="Процентный 8 7 3 4" xfId="48534"/>
    <cellStyle name="Процентный 8 7 3 4 2" xfId="48535"/>
    <cellStyle name="Процентный 8 7 3 5" xfId="48536"/>
    <cellStyle name="Процентный 8 7 3 5 2" xfId="48537"/>
    <cellStyle name="Процентный 8 7 3 6" xfId="48538"/>
    <cellStyle name="Процентный 8 7 4" xfId="48539"/>
    <cellStyle name="Процентный 8 7 4 2" xfId="48540"/>
    <cellStyle name="Процентный 8 7 4 2 2" xfId="48541"/>
    <cellStyle name="Процентный 8 7 4 3" xfId="48542"/>
    <cellStyle name="Процентный 8 7 5" xfId="48543"/>
    <cellStyle name="Процентный 8 7 5 2" xfId="48544"/>
    <cellStyle name="Процентный 8 7 5 2 2" xfId="48545"/>
    <cellStyle name="Процентный 8 7 5 3" xfId="48546"/>
    <cellStyle name="Процентный 8 7 6" xfId="48547"/>
    <cellStyle name="Процентный 8 7 6 2" xfId="48548"/>
    <cellStyle name="Процентный 8 7 7" xfId="48549"/>
    <cellStyle name="Процентный 8 7 7 2" xfId="48550"/>
    <cellStyle name="Процентный 8 7 8" xfId="48551"/>
    <cellStyle name="Процентный 8 8" xfId="48552"/>
    <cellStyle name="Процентный 8 8 2" xfId="48553"/>
    <cellStyle name="Процентный 8 8 2 2" xfId="48554"/>
    <cellStyle name="Процентный 8 8 2 2 2" xfId="48555"/>
    <cellStyle name="Процентный 8 8 2 2 2 2" xfId="48556"/>
    <cellStyle name="Процентный 8 8 2 2 3" xfId="48557"/>
    <cellStyle name="Процентный 8 8 2 3" xfId="48558"/>
    <cellStyle name="Процентный 8 8 2 3 2" xfId="48559"/>
    <cellStyle name="Процентный 8 8 2 3 2 2" xfId="48560"/>
    <cellStyle name="Процентный 8 8 2 3 3" xfId="48561"/>
    <cellStyle name="Процентный 8 8 2 4" xfId="48562"/>
    <cellStyle name="Процентный 8 8 2 4 2" xfId="48563"/>
    <cellStyle name="Процентный 8 8 2 5" xfId="48564"/>
    <cellStyle name="Процентный 8 8 2 5 2" xfId="48565"/>
    <cellStyle name="Процентный 8 8 2 6" xfId="48566"/>
    <cellStyle name="Процентный 8 8 3" xfId="48567"/>
    <cellStyle name="Процентный 8 8 3 2" xfId="48568"/>
    <cellStyle name="Процентный 8 8 3 2 2" xfId="48569"/>
    <cellStyle name="Процентный 8 8 3 2 2 2" xfId="48570"/>
    <cellStyle name="Процентный 8 8 3 2 3" xfId="48571"/>
    <cellStyle name="Процентный 8 8 3 3" xfId="48572"/>
    <cellStyle name="Процентный 8 8 3 3 2" xfId="48573"/>
    <cellStyle name="Процентный 8 8 3 3 2 2" xfId="48574"/>
    <cellStyle name="Процентный 8 8 3 3 3" xfId="48575"/>
    <cellStyle name="Процентный 8 8 3 4" xfId="48576"/>
    <cellStyle name="Процентный 8 8 3 4 2" xfId="48577"/>
    <cellStyle name="Процентный 8 8 3 5" xfId="48578"/>
    <cellStyle name="Процентный 8 8 3 5 2" xfId="48579"/>
    <cellStyle name="Процентный 8 8 3 6" xfId="48580"/>
    <cellStyle name="Процентный 8 8 4" xfId="48581"/>
    <cellStyle name="Процентный 8 8 4 2" xfId="48582"/>
    <cellStyle name="Процентный 8 8 4 2 2" xfId="48583"/>
    <cellStyle name="Процентный 8 8 4 3" xfId="48584"/>
    <cellStyle name="Процентный 8 8 5" xfId="48585"/>
    <cellStyle name="Процентный 8 8 5 2" xfId="48586"/>
    <cellStyle name="Процентный 8 8 5 2 2" xfId="48587"/>
    <cellStyle name="Процентный 8 8 5 3" xfId="48588"/>
    <cellStyle name="Процентный 8 8 6" xfId="48589"/>
    <cellStyle name="Процентный 8 8 6 2" xfId="48590"/>
    <cellStyle name="Процентный 8 8 7" xfId="48591"/>
    <cellStyle name="Процентный 8 8 7 2" xfId="48592"/>
    <cellStyle name="Процентный 8 8 8" xfId="48593"/>
    <cellStyle name="Процентный 8 9" xfId="48594"/>
    <cellStyle name="Процентный 8 9 2" xfId="48595"/>
    <cellStyle name="Процентный 8 9 2 2" xfId="48596"/>
    <cellStyle name="Процентный 8 9 2 2 2" xfId="48597"/>
    <cellStyle name="Процентный 8 9 2 3" xfId="48598"/>
    <cellStyle name="Процентный 8 9 3" xfId="48599"/>
    <cellStyle name="Процентный 8 9 3 2" xfId="48600"/>
    <cellStyle name="Процентный 8 9 3 2 2" xfId="48601"/>
    <cellStyle name="Процентный 8 9 3 3" xfId="48602"/>
    <cellStyle name="Процентный 8 9 4" xfId="48603"/>
    <cellStyle name="Процентный 8 9 4 2" xfId="48604"/>
    <cellStyle name="Процентный 8 9 5" xfId="48605"/>
    <cellStyle name="Процентный 8 9 5 2" xfId="48606"/>
    <cellStyle name="Процентный 8 9 6" xfId="48607"/>
    <cellStyle name="Процентный 9" xfId="48608"/>
    <cellStyle name="Процентный 9 10" xfId="48609"/>
    <cellStyle name="Процентный 9 10 2" xfId="48610"/>
    <cellStyle name="Процентный 9 11" xfId="48611"/>
    <cellStyle name="Процентный 9 12" xfId="48612"/>
    <cellStyle name="Процентный 9 2" xfId="48613"/>
    <cellStyle name="Процентный 9 2 2" xfId="48614"/>
    <cellStyle name="Процентный 9 2 2 2" xfId="48615"/>
    <cellStyle name="Процентный 9 2 2 2 2" xfId="48616"/>
    <cellStyle name="Процентный 9 2 2 2 2 2" xfId="48617"/>
    <cellStyle name="Процентный 9 2 2 2 2 2 2" xfId="48618"/>
    <cellStyle name="Процентный 9 2 2 2 2 3" xfId="48619"/>
    <cellStyle name="Процентный 9 2 2 2 2 3 2" xfId="48620"/>
    <cellStyle name="Процентный 9 2 2 2 2 4" xfId="48621"/>
    <cellStyle name="Процентный 9 2 2 2 3" xfId="48622"/>
    <cellStyle name="Процентный 9 2 2 2 3 2" xfId="48623"/>
    <cellStyle name="Процентный 9 2 2 2 3 2 2" xfId="48624"/>
    <cellStyle name="Процентный 9 2 2 2 3 3" xfId="48625"/>
    <cellStyle name="Процентный 9 2 2 2 4" xfId="48626"/>
    <cellStyle name="Процентный 9 2 2 2 4 2" xfId="48627"/>
    <cellStyle name="Процентный 9 2 2 2 5" xfId="48628"/>
    <cellStyle name="Процентный 9 2 2 2 5 2" xfId="48629"/>
    <cellStyle name="Процентный 9 2 2 2 6" xfId="48630"/>
    <cellStyle name="Процентный 9 2 2 3" xfId="48631"/>
    <cellStyle name="Процентный 9 2 2 3 2" xfId="48632"/>
    <cellStyle name="Процентный 9 2 2 3 2 2" xfId="48633"/>
    <cellStyle name="Процентный 9 2 2 3 2 2 2" xfId="48634"/>
    <cellStyle name="Процентный 9 2 2 3 2 3" xfId="48635"/>
    <cellStyle name="Процентный 9 2 2 3 3" xfId="48636"/>
    <cellStyle name="Процентный 9 2 2 3 3 2" xfId="48637"/>
    <cellStyle name="Процентный 9 2 2 3 3 2 2" xfId="48638"/>
    <cellStyle name="Процентный 9 2 2 3 3 3" xfId="48639"/>
    <cellStyle name="Процентный 9 2 2 3 4" xfId="48640"/>
    <cellStyle name="Процентный 9 2 2 3 4 2" xfId="48641"/>
    <cellStyle name="Процентный 9 2 2 3 5" xfId="48642"/>
    <cellStyle name="Процентный 9 2 2 3 5 2" xfId="48643"/>
    <cellStyle name="Процентный 9 2 2 3 6" xfId="48644"/>
    <cellStyle name="Процентный 9 2 2 4" xfId="48645"/>
    <cellStyle name="Процентный 9 2 2 4 2" xfId="48646"/>
    <cellStyle name="Процентный 9 2 2 4 2 2" xfId="48647"/>
    <cellStyle name="Процентный 9 2 2 4 3" xfId="48648"/>
    <cellStyle name="Процентный 9 2 2 4 3 2" xfId="48649"/>
    <cellStyle name="Процентный 9 2 2 4 4" xfId="48650"/>
    <cellStyle name="Процентный 9 2 2 5" xfId="48651"/>
    <cellStyle name="Процентный 9 2 2 5 2" xfId="48652"/>
    <cellStyle name="Процентный 9 2 2 5 2 2" xfId="48653"/>
    <cellStyle name="Процентный 9 2 2 5 3" xfId="48654"/>
    <cellStyle name="Процентный 9 2 2 6" xfId="48655"/>
    <cellStyle name="Процентный 9 2 2 6 2" xfId="48656"/>
    <cellStyle name="Процентный 9 2 2 7" xfId="48657"/>
    <cellStyle name="Процентный 9 2 2 7 2" xfId="48658"/>
    <cellStyle name="Процентный 9 2 2 8" xfId="48659"/>
    <cellStyle name="Процентный 9 2 3" xfId="48660"/>
    <cellStyle name="Процентный 9 2 3 2" xfId="48661"/>
    <cellStyle name="Процентный 9 2 3 2 2" xfId="48662"/>
    <cellStyle name="Процентный 9 2 3 2 2 2" xfId="48663"/>
    <cellStyle name="Процентный 9 2 3 2 3" xfId="48664"/>
    <cellStyle name="Процентный 9 2 3 2 3 2" xfId="48665"/>
    <cellStyle name="Процентный 9 2 3 2 4" xfId="48666"/>
    <cellStyle name="Процентный 9 2 3 3" xfId="48667"/>
    <cellStyle name="Процентный 9 2 3 3 2" xfId="48668"/>
    <cellStyle name="Процентный 9 2 3 3 2 2" xfId="48669"/>
    <cellStyle name="Процентный 9 2 3 3 3" xfId="48670"/>
    <cellStyle name="Процентный 9 2 3 4" xfId="48671"/>
    <cellStyle name="Процентный 9 2 3 4 2" xfId="48672"/>
    <cellStyle name="Процентный 9 2 3 5" xfId="48673"/>
    <cellStyle name="Процентный 9 2 3 5 2" xfId="48674"/>
    <cellStyle name="Процентный 9 2 3 6" xfId="48675"/>
    <cellStyle name="Процентный 9 2 4" xfId="48676"/>
    <cellStyle name="Процентный 9 2 4 2" xfId="48677"/>
    <cellStyle name="Процентный 9 2 4 2 2" xfId="48678"/>
    <cellStyle name="Процентный 9 2 4 2 2 2" xfId="48679"/>
    <cellStyle name="Процентный 9 2 4 2 3" xfId="48680"/>
    <cellStyle name="Процентный 9 2 4 3" xfId="48681"/>
    <cellStyle name="Процентный 9 2 4 3 2" xfId="48682"/>
    <cellStyle name="Процентный 9 2 4 3 2 2" xfId="48683"/>
    <cellStyle name="Процентный 9 2 4 3 3" xfId="48684"/>
    <cellStyle name="Процентный 9 2 4 4" xfId="48685"/>
    <cellStyle name="Процентный 9 2 4 4 2" xfId="48686"/>
    <cellStyle name="Процентный 9 2 4 5" xfId="48687"/>
    <cellStyle name="Процентный 9 2 4 5 2" xfId="48688"/>
    <cellStyle name="Процентный 9 2 4 6" xfId="48689"/>
    <cellStyle name="Процентный 9 2 5" xfId="48690"/>
    <cellStyle name="Процентный 9 2 5 2" xfId="48691"/>
    <cellStyle name="Процентный 9 2 5 2 2" xfId="48692"/>
    <cellStyle name="Процентный 9 2 5 3" xfId="48693"/>
    <cellStyle name="Процентный 9 2 6" xfId="48694"/>
    <cellStyle name="Процентный 9 2 6 2" xfId="48695"/>
    <cellStyle name="Процентный 9 2 7" xfId="48696"/>
    <cellStyle name="Процентный 9 3" xfId="48697"/>
    <cellStyle name="Процентный 9 3 2" xfId="48698"/>
    <cellStyle name="Процентный 9 3 2 2" xfId="48699"/>
    <cellStyle name="Процентный 9 3 2 2 2" xfId="48700"/>
    <cellStyle name="Процентный 9 3 2 2 2 2" xfId="48701"/>
    <cellStyle name="Процентный 9 3 2 2 2 2 2" xfId="48702"/>
    <cellStyle name="Процентный 9 3 2 2 2 3" xfId="48703"/>
    <cellStyle name="Процентный 9 3 2 2 3" xfId="48704"/>
    <cellStyle name="Процентный 9 3 2 2 3 2" xfId="48705"/>
    <cellStyle name="Процентный 9 3 2 2 3 2 2" xfId="48706"/>
    <cellStyle name="Процентный 9 3 2 2 3 3" xfId="48707"/>
    <cellStyle name="Процентный 9 3 2 2 4" xfId="48708"/>
    <cellStyle name="Процентный 9 3 2 2 4 2" xfId="48709"/>
    <cellStyle name="Процентный 9 3 2 2 5" xfId="48710"/>
    <cellStyle name="Процентный 9 3 2 2 5 2" xfId="48711"/>
    <cellStyle name="Процентный 9 3 2 2 6" xfId="48712"/>
    <cellStyle name="Процентный 9 3 2 3" xfId="48713"/>
    <cellStyle name="Процентный 9 3 2 3 2" xfId="48714"/>
    <cellStyle name="Процентный 9 3 2 3 2 2" xfId="48715"/>
    <cellStyle name="Процентный 9 3 2 3 2 2 2" xfId="48716"/>
    <cellStyle name="Процентный 9 3 2 3 2 3" xfId="48717"/>
    <cellStyle name="Процентный 9 3 2 3 3" xfId="48718"/>
    <cellStyle name="Процентный 9 3 2 3 3 2" xfId="48719"/>
    <cellStyle name="Процентный 9 3 2 3 3 2 2" xfId="48720"/>
    <cellStyle name="Процентный 9 3 2 3 3 3" xfId="48721"/>
    <cellStyle name="Процентный 9 3 2 3 4" xfId="48722"/>
    <cellStyle name="Процентный 9 3 2 3 4 2" xfId="48723"/>
    <cellStyle name="Процентный 9 3 2 3 5" xfId="48724"/>
    <cellStyle name="Процентный 9 3 2 3 5 2" xfId="48725"/>
    <cellStyle name="Процентный 9 3 2 3 6" xfId="48726"/>
    <cellStyle name="Процентный 9 3 2 4" xfId="48727"/>
    <cellStyle name="Процентный 9 3 2 4 2" xfId="48728"/>
    <cellStyle name="Процентный 9 3 2 4 2 2" xfId="48729"/>
    <cellStyle name="Процентный 9 3 2 4 3" xfId="48730"/>
    <cellStyle name="Процентный 9 3 2 4 3 2" xfId="48731"/>
    <cellStyle name="Процентный 9 3 2 4 4" xfId="48732"/>
    <cellStyle name="Процентный 9 3 2 5" xfId="48733"/>
    <cellStyle name="Процентный 9 3 2 5 2" xfId="48734"/>
    <cellStyle name="Процентный 9 3 2 5 2 2" xfId="48735"/>
    <cellStyle name="Процентный 9 3 2 5 3" xfId="48736"/>
    <cellStyle name="Процентный 9 3 2 6" xfId="48737"/>
    <cellStyle name="Процентный 9 3 2 6 2" xfId="48738"/>
    <cellStyle name="Процентный 9 3 2 7" xfId="48739"/>
    <cellStyle name="Процентный 9 3 2 7 2" xfId="48740"/>
    <cellStyle name="Процентный 9 3 2 8" xfId="48741"/>
    <cellStyle name="Процентный 9 3 3" xfId="48742"/>
    <cellStyle name="Процентный 9 3 3 2" xfId="48743"/>
    <cellStyle name="Процентный 9 3 3 2 2" xfId="48744"/>
    <cellStyle name="Процентный 9 3 3 2 2 2" xfId="48745"/>
    <cellStyle name="Процентный 9 3 3 2 3" xfId="48746"/>
    <cellStyle name="Процентный 9 3 3 3" xfId="48747"/>
    <cellStyle name="Процентный 9 3 3 3 2" xfId="48748"/>
    <cellStyle name="Процентный 9 3 3 3 2 2" xfId="48749"/>
    <cellStyle name="Процентный 9 3 3 3 3" xfId="48750"/>
    <cellStyle name="Процентный 9 3 3 4" xfId="48751"/>
    <cellStyle name="Процентный 9 3 3 4 2" xfId="48752"/>
    <cellStyle name="Процентный 9 3 3 5" xfId="48753"/>
    <cellStyle name="Процентный 9 3 3 5 2" xfId="48754"/>
    <cellStyle name="Процентный 9 3 3 6" xfId="48755"/>
    <cellStyle name="Процентный 9 3 4" xfId="48756"/>
    <cellStyle name="Процентный 9 3 4 2" xfId="48757"/>
    <cellStyle name="Процентный 9 3 4 2 2" xfId="48758"/>
    <cellStyle name="Процентный 9 3 4 2 2 2" xfId="48759"/>
    <cellStyle name="Процентный 9 3 4 2 3" xfId="48760"/>
    <cellStyle name="Процентный 9 3 4 3" xfId="48761"/>
    <cellStyle name="Процентный 9 3 4 3 2" xfId="48762"/>
    <cellStyle name="Процентный 9 3 4 3 2 2" xfId="48763"/>
    <cellStyle name="Процентный 9 3 4 3 3" xfId="48764"/>
    <cellStyle name="Процентный 9 3 4 4" xfId="48765"/>
    <cellStyle name="Процентный 9 3 4 4 2" xfId="48766"/>
    <cellStyle name="Процентный 9 3 4 5" xfId="48767"/>
    <cellStyle name="Процентный 9 3 4 5 2" xfId="48768"/>
    <cellStyle name="Процентный 9 3 4 6" xfId="48769"/>
    <cellStyle name="Процентный 9 3 5" xfId="48770"/>
    <cellStyle name="Процентный 9 3 5 2" xfId="48771"/>
    <cellStyle name="Процентный 9 3 5 2 2" xfId="48772"/>
    <cellStyle name="Процентный 9 3 5 3" xfId="48773"/>
    <cellStyle name="Процентный 9 3 5 3 2" xfId="48774"/>
    <cellStyle name="Процентный 9 3 5 4" xfId="48775"/>
    <cellStyle name="Процентный 9 3 6" xfId="48776"/>
    <cellStyle name="Процентный 9 3 6 2" xfId="48777"/>
    <cellStyle name="Процентный 9 3 6 2 2" xfId="48778"/>
    <cellStyle name="Процентный 9 3 6 3" xfId="48779"/>
    <cellStyle name="Процентный 9 3 7" xfId="48780"/>
    <cellStyle name="Процентный 9 3 7 2" xfId="48781"/>
    <cellStyle name="Процентный 9 3 8" xfId="48782"/>
    <cellStyle name="Процентный 9 3 8 2" xfId="48783"/>
    <cellStyle name="Процентный 9 3 9" xfId="48784"/>
    <cellStyle name="Процентный 9 4" xfId="48785"/>
    <cellStyle name="Процентный 9 4 2" xfId="48786"/>
    <cellStyle name="Процентный 9 4 2 2" xfId="48787"/>
    <cellStyle name="Процентный 9 4 2 2 2" xfId="48788"/>
    <cellStyle name="Процентный 9 4 2 2 2 2" xfId="48789"/>
    <cellStyle name="Процентный 9 4 2 2 3" xfId="48790"/>
    <cellStyle name="Процентный 9 4 2 2 4" xfId="48791"/>
    <cellStyle name="Процентный 9 4 2 3" xfId="48792"/>
    <cellStyle name="Процентный 9 4 2 3 2" xfId="48793"/>
    <cellStyle name="Процентный 9 4 2 3 2 2" xfId="48794"/>
    <cellStyle name="Процентный 9 4 2 3 3" xfId="48795"/>
    <cellStyle name="Процентный 9 4 2 4" xfId="48796"/>
    <cellStyle name="Процентный 9 4 2 4 2" xfId="48797"/>
    <cellStyle name="Процентный 9 4 2 5" xfId="48798"/>
    <cellStyle name="Процентный 9 4 2 5 2" xfId="48799"/>
    <cellStyle name="Процентный 9 4 2 6" xfId="48800"/>
    <cellStyle name="Процентный 9 4 3" xfId="48801"/>
    <cellStyle name="Процентный 9 4 3 2" xfId="48802"/>
    <cellStyle name="Процентный 9 4 3 2 2" xfId="48803"/>
    <cellStyle name="Процентный 9 4 3 2 2 2" xfId="48804"/>
    <cellStyle name="Процентный 9 4 3 2 3" xfId="48805"/>
    <cellStyle name="Процентный 9 4 3 3" xfId="48806"/>
    <cellStyle name="Процентный 9 4 3 3 2" xfId="48807"/>
    <cellStyle name="Процентный 9 4 3 3 2 2" xfId="48808"/>
    <cellStyle name="Процентный 9 4 3 3 3" xfId="48809"/>
    <cellStyle name="Процентный 9 4 3 4" xfId="48810"/>
    <cellStyle name="Процентный 9 4 3 4 2" xfId="48811"/>
    <cellStyle name="Процентный 9 4 3 5" xfId="48812"/>
    <cellStyle name="Процентный 9 4 4" xfId="48813"/>
    <cellStyle name="Процентный 9 4 5" xfId="48814"/>
    <cellStyle name="Процентный 9 4 5 2" xfId="48815"/>
    <cellStyle name="Процентный 9 4 5 2 2" xfId="48816"/>
    <cellStyle name="Процентный 9 4 5 3" xfId="48817"/>
    <cellStyle name="Процентный 9 4 6" xfId="48818"/>
    <cellStyle name="Процентный 9 4 6 2" xfId="48819"/>
    <cellStyle name="Процентный 9 4 6 2 2" xfId="48820"/>
    <cellStyle name="Процентный 9 4 6 3" xfId="48821"/>
    <cellStyle name="Процентный 9 4 7" xfId="48822"/>
    <cellStyle name="Процентный 9 4 7 2" xfId="48823"/>
    <cellStyle name="Процентный 9 4 8" xfId="48824"/>
    <cellStyle name="Процентный 9 4 8 2" xfId="48825"/>
    <cellStyle name="Процентный 9 5" xfId="48826"/>
    <cellStyle name="Процентный 9 5 2" xfId="48827"/>
    <cellStyle name="Процентный 9 5 2 2" xfId="48828"/>
    <cellStyle name="Процентный 9 5 2 2 2" xfId="48829"/>
    <cellStyle name="Процентный 9 5 2 2 3" xfId="48830"/>
    <cellStyle name="Процентный 9 5 2 2 4" xfId="48831"/>
    <cellStyle name="Процентный 9 5 2 3" xfId="48832"/>
    <cellStyle name="Процентный 9 5 2 4" xfId="48833"/>
    <cellStyle name="Процентный 9 5 2 5" xfId="48834"/>
    <cellStyle name="Процентный 9 5 3" xfId="48835"/>
    <cellStyle name="Процентный 9 5 3 2" xfId="48836"/>
    <cellStyle name="Процентный 9 5 3 2 2" xfId="48837"/>
    <cellStyle name="Процентный 9 5 3 3" xfId="48838"/>
    <cellStyle name="Процентный 9 5 3 4" xfId="48839"/>
    <cellStyle name="Процентный 9 5 4" xfId="48840"/>
    <cellStyle name="Процентный 9 5 4 2" xfId="48841"/>
    <cellStyle name="Процентный 9 5 5" xfId="48842"/>
    <cellStyle name="Процентный 9 5 5 2" xfId="48843"/>
    <cellStyle name="Процентный 9 5 6" xfId="48844"/>
    <cellStyle name="Процентный 9 6" xfId="48845"/>
    <cellStyle name="Процентный 9 6 2" xfId="48846"/>
    <cellStyle name="Процентный 9 6 2 2" xfId="48847"/>
    <cellStyle name="Процентный 9 6 2 2 2" xfId="48848"/>
    <cellStyle name="Процентный 9 6 2 2 3" xfId="48849"/>
    <cellStyle name="Процентный 9 6 2 2 4" xfId="48850"/>
    <cellStyle name="Процентный 9 6 2 3" xfId="48851"/>
    <cellStyle name="Процентный 9 6 2 4" xfId="48852"/>
    <cellStyle name="Процентный 9 6 2 5" xfId="48853"/>
    <cellStyle name="Процентный 9 6 3" xfId="48854"/>
    <cellStyle name="Процентный 9 6 3 2" xfId="48855"/>
    <cellStyle name="Процентный 9 6 3 3" xfId="48856"/>
    <cellStyle name="Процентный 9 6 3 4" xfId="48857"/>
    <cellStyle name="Процентный 9 6 4" xfId="48858"/>
    <cellStyle name="Процентный 9 6 5" xfId="48859"/>
    <cellStyle name="Процентный 9 6 6" xfId="48860"/>
    <cellStyle name="Процентный 9 7" xfId="48861"/>
    <cellStyle name="Процентный 9 7 2" xfId="48862"/>
    <cellStyle name="Процентный 9 7 2 2" xfId="48863"/>
    <cellStyle name="Процентный 9 7 2 3" xfId="48864"/>
    <cellStyle name="Процентный 9 7 2 4" xfId="48865"/>
    <cellStyle name="Процентный 9 7 3" xfId="48866"/>
    <cellStyle name="Процентный 9 7 3 2" xfId="48867"/>
    <cellStyle name="Процентный 9 7 4" xfId="48868"/>
    <cellStyle name="Процентный 9 7 5" xfId="48869"/>
    <cellStyle name="Процентный 9 8" xfId="48870"/>
    <cellStyle name="Процентный 9 8 2" xfId="48871"/>
    <cellStyle name="Процентный 9 8 2 2" xfId="48872"/>
    <cellStyle name="Процентный 9 8 3" xfId="48873"/>
    <cellStyle name="Процентный 9 8 4" xfId="48874"/>
    <cellStyle name="Процентный 9 9" xfId="48875"/>
    <cellStyle name="Процентный 9 9 2" xfId="48876"/>
    <cellStyle name="Процентный 9 9 3" xfId="48877"/>
    <cellStyle name="Процентный 9 9 4" xfId="48878"/>
    <cellStyle name="Рейтинг" xfId="48879"/>
    <cellStyle name="Рейтинг 2" xfId="48880"/>
    <cellStyle name="Рейтинг 2 2" xfId="48881"/>
    <cellStyle name="Рейтинг 3" xfId="48882"/>
    <cellStyle name="Рубли_DVM 071" xfId="48883"/>
    <cellStyle name="Связанная ячейка 2" xfId="48884"/>
    <cellStyle name="Связанная ячейка 2 2" xfId="48885"/>
    <cellStyle name="Связанная ячейка 3" xfId="48886"/>
    <cellStyle name="Связанная ячейка 4" xfId="48887"/>
    <cellStyle name="Связанная ячейка 5" xfId="48888"/>
    <cellStyle name="Связанная ячейка 6" xfId="48889"/>
    <cellStyle name="Сетка" xfId="48890"/>
    <cellStyle name="Сетка 2" xfId="48891"/>
    <cellStyle name="Сетка 2 2" xfId="48892"/>
    <cellStyle name="Сетка 2 2 2" xfId="48893"/>
    <cellStyle name="Сетка 2 3" xfId="48894"/>
    <cellStyle name="Скидка" xfId="48895"/>
    <cellStyle name="Скидка 2" xfId="48896"/>
    <cellStyle name="Скидка 2 2" xfId="48897"/>
    <cellStyle name="Скидка 3" xfId="48898"/>
    <cellStyle name="Смета" xfId="48899"/>
    <cellStyle name="Статья" xfId="48900"/>
    <cellStyle name="Стиль 1" xfId="48901"/>
    <cellStyle name="Стиль 1 10" xfId="48902"/>
    <cellStyle name="Стиль 1 11" xfId="48903"/>
    <cellStyle name="Стиль 1 12" xfId="48904"/>
    <cellStyle name="Стиль 1 13" xfId="48905"/>
    <cellStyle name="Стиль 1 14" xfId="48906"/>
    <cellStyle name="Стиль 1 2" xfId="48907"/>
    <cellStyle name="Стиль 1 2 2" xfId="48908"/>
    <cellStyle name="Стиль 1 2 2 2" xfId="48909"/>
    <cellStyle name="Стиль 1 2 3" xfId="48910"/>
    <cellStyle name="Стиль 1 2 4" xfId="48911"/>
    <cellStyle name="Стиль 1 2 5" xfId="48912"/>
    <cellStyle name="Стиль 1 2 6" xfId="48913"/>
    <cellStyle name="Стиль 1 3" xfId="48914"/>
    <cellStyle name="Стиль 1 3 2" xfId="48915"/>
    <cellStyle name="Стиль 1 3 3" xfId="48916"/>
    <cellStyle name="Стиль 1 4" xfId="48917"/>
    <cellStyle name="Стиль 1 5" xfId="48918"/>
    <cellStyle name="Стиль 1 6" xfId="48919"/>
    <cellStyle name="Стиль 1 7" xfId="48920"/>
    <cellStyle name="Стиль 1 8" xfId="48921"/>
    <cellStyle name="Стиль 1 9" xfId="48922"/>
    <cellStyle name="Стиль 1_GoldfishkaNardy_margin" xfId="48923"/>
    <cellStyle name="Стиль 2" xfId="48924"/>
    <cellStyle name="Стиль 3" xfId="48925"/>
    <cellStyle name="Текст предупреждения 2" xfId="48926"/>
    <cellStyle name="Текст предупреждения 2 2" xfId="48927"/>
    <cellStyle name="Текст предупреждения 3" xfId="48928"/>
    <cellStyle name="Текст предупреждения 4" xfId="48929"/>
    <cellStyle name="Текст предупреждения 5" xfId="48930"/>
    <cellStyle name="Текст предупреждения 6" xfId="48931"/>
    <cellStyle name="Тысячи [0]_ Пресса опт." xfId="48932"/>
    <cellStyle name="Тысячи(0)" xfId="48933"/>
    <cellStyle name="Тысячи(0) 2" xfId="48934"/>
    <cellStyle name="Тысячи(0) 2 2" xfId="48935"/>
    <cellStyle name="Тысячи(0) 2 2 2" xfId="48936"/>
    <cellStyle name="Тысячи(0) 2 3" xfId="48937"/>
    <cellStyle name="Тысячи_ Пресса опт." xfId="48938"/>
    <cellStyle name="Упаковка" xfId="48939"/>
    <cellStyle name="Упаковка 2" xfId="48940"/>
    <cellStyle name="Упаковка 2 2" xfId="48941"/>
    <cellStyle name="Упаковка 2 2 2" xfId="48942"/>
    <cellStyle name="Упаковка 2 3" xfId="48943"/>
    <cellStyle name="Финансовый [0] 2" xfId="48944"/>
    <cellStyle name="Финансовый 10" xfId="48945"/>
    <cellStyle name="Финансовый 10 2" xfId="48946"/>
    <cellStyle name="Финансовый 10 2 2" xfId="48947"/>
    <cellStyle name="Финансовый 10 2 2 2" xfId="48948"/>
    <cellStyle name="Финансовый 10 2 2 3" xfId="48949"/>
    <cellStyle name="Финансовый 10 2 2 4" xfId="48950"/>
    <cellStyle name="Финансовый 10 2 3" xfId="48951"/>
    <cellStyle name="Финансовый 10 2 4" xfId="48952"/>
    <cellStyle name="Финансовый 10 2 5" xfId="48953"/>
    <cellStyle name="Финансовый 10 3" xfId="48954"/>
    <cellStyle name="Финансовый 10 3 2" xfId="48955"/>
    <cellStyle name="Финансовый 10 3 2 2" xfId="48956"/>
    <cellStyle name="Финансовый 10 3 3" xfId="48957"/>
    <cellStyle name="Финансовый 10 3 3 2" xfId="48958"/>
    <cellStyle name="Финансовый 10 3 4" xfId="48959"/>
    <cellStyle name="Финансовый 10 3 4 2" xfId="48960"/>
    <cellStyle name="Финансовый 10 3 5" xfId="48961"/>
    <cellStyle name="Финансовый 10 4" xfId="48962"/>
    <cellStyle name="Финансовый 10 4 2" xfId="48963"/>
    <cellStyle name="Финансовый 10 5" xfId="48964"/>
    <cellStyle name="Финансовый 10 5 2" xfId="48965"/>
    <cellStyle name="Финансовый 10 6" xfId="48966"/>
    <cellStyle name="Финансовый 100" xfId="48967"/>
    <cellStyle name="Финансовый 100 2" xfId="48968"/>
    <cellStyle name="Финансовый 101" xfId="48969"/>
    <cellStyle name="Финансовый 101 2" xfId="48970"/>
    <cellStyle name="Финансовый 101 3" xfId="48971"/>
    <cellStyle name="Финансовый 102" xfId="48972"/>
    <cellStyle name="Финансовый 102 2" xfId="48973"/>
    <cellStyle name="Финансовый 103" xfId="48974"/>
    <cellStyle name="Финансовый 104" xfId="48975"/>
    <cellStyle name="Финансовый 105" xfId="48976"/>
    <cellStyle name="Финансовый 106" xfId="48977"/>
    <cellStyle name="Финансовый 107" xfId="48978"/>
    <cellStyle name="Финансовый 107 2" xfId="48979"/>
    <cellStyle name="Финансовый 108" xfId="48980"/>
    <cellStyle name="Финансовый 109" xfId="48981"/>
    <cellStyle name="Финансовый 109 2" xfId="48982"/>
    <cellStyle name="Финансовый 11" xfId="48983"/>
    <cellStyle name="Финансовый 11 10" xfId="48984"/>
    <cellStyle name="Финансовый 11 10 2" xfId="48985"/>
    <cellStyle name="Финансовый 11 10 2 2" xfId="48986"/>
    <cellStyle name="Финансовый 11 10 3" xfId="48987"/>
    <cellStyle name="Финансовый 11 11" xfId="48988"/>
    <cellStyle name="Финансовый 11 11 2" xfId="48989"/>
    <cellStyle name="Финансовый 11 12" xfId="48990"/>
    <cellStyle name="Финансовый 11 12 2" xfId="48991"/>
    <cellStyle name="Финансовый 11 13" xfId="48992"/>
    <cellStyle name="Финансовый 11 13 2" xfId="48993"/>
    <cellStyle name="Финансовый 11 14" xfId="48994"/>
    <cellStyle name="Финансовый 11 2" xfId="48995"/>
    <cellStyle name="Финансовый 11 2 2" xfId="48996"/>
    <cellStyle name="Финансовый 11 2 2 2" xfId="48997"/>
    <cellStyle name="Финансовый 11 2 2 2 2" xfId="48998"/>
    <cellStyle name="Финансовый 11 2 2 2 2 2" xfId="48999"/>
    <cellStyle name="Финансовый 11 2 2 2 2 2 2" xfId="49000"/>
    <cellStyle name="Финансовый 11 2 2 2 2 3" xfId="49001"/>
    <cellStyle name="Финансовый 11 2 2 2 3" xfId="49002"/>
    <cellStyle name="Финансовый 11 2 2 2 3 2" xfId="49003"/>
    <cellStyle name="Финансовый 11 2 2 2 3 2 2" xfId="49004"/>
    <cellStyle name="Финансовый 11 2 2 2 3 3" xfId="49005"/>
    <cellStyle name="Финансовый 11 2 2 2 4" xfId="49006"/>
    <cellStyle name="Финансовый 11 2 2 2 4 2" xfId="49007"/>
    <cellStyle name="Финансовый 11 2 2 2 5" xfId="49008"/>
    <cellStyle name="Финансовый 11 2 2 2 5 2" xfId="49009"/>
    <cellStyle name="Финансовый 11 2 2 2 6" xfId="49010"/>
    <cellStyle name="Финансовый 11 2 2 3" xfId="49011"/>
    <cellStyle name="Финансовый 11 2 2 3 2" xfId="49012"/>
    <cellStyle name="Финансовый 11 2 2 3 2 2" xfId="49013"/>
    <cellStyle name="Финансовый 11 2 2 3 2 2 2" xfId="49014"/>
    <cellStyle name="Финансовый 11 2 2 3 2 3" xfId="49015"/>
    <cellStyle name="Финансовый 11 2 2 3 3" xfId="49016"/>
    <cellStyle name="Финансовый 11 2 2 3 3 2" xfId="49017"/>
    <cellStyle name="Финансовый 11 2 2 3 3 2 2" xfId="49018"/>
    <cellStyle name="Финансовый 11 2 2 3 3 3" xfId="49019"/>
    <cellStyle name="Финансовый 11 2 2 3 4" xfId="49020"/>
    <cellStyle name="Финансовый 11 2 2 3 4 2" xfId="49021"/>
    <cellStyle name="Финансовый 11 2 2 4" xfId="49022"/>
    <cellStyle name="Финансовый 11 2 2 4 2" xfId="49023"/>
    <cellStyle name="Финансовый 11 2 2 4 2 2" xfId="49024"/>
    <cellStyle name="Финансовый 11 2 2 4 3" xfId="49025"/>
    <cellStyle name="Финансовый 11 2 2 5" xfId="49026"/>
    <cellStyle name="Финансовый 11 2 2 5 2" xfId="49027"/>
    <cellStyle name="Финансовый 11 2 2 5 2 2" xfId="49028"/>
    <cellStyle name="Финансовый 11 2 2 5 3" xfId="49029"/>
    <cellStyle name="Финансовый 11 2 2 6" xfId="49030"/>
    <cellStyle name="Финансовый 11 2 2 6 2" xfId="49031"/>
    <cellStyle name="Финансовый 11 2 2 7" xfId="49032"/>
    <cellStyle name="Финансовый 11 2 2 8" xfId="49033"/>
    <cellStyle name="Финансовый 11 2 3" xfId="49034"/>
    <cellStyle name="Финансовый 11 2 3 2" xfId="49035"/>
    <cellStyle name="Финансовый 11 2 3 2 2" xfId="49036"/>
    <cellStyle name="Финансовый 11 2 3 2 2 2" xfId="49037"/>
    <cellStyle name="Финансовый 11 2 3 2 3" xfId="49038"/>
    <cellStyle name="Финансовый 11 2 3 2 3 2" xfId="49039"/>
    <cellStyle name="Финансовый 11 2 3 2 4" xfId="49040"/>
    <cellStyle name="Финансовый 11 2 3 3" xfId="49041"/>
    <cellStyle name="Финансовый 11 2 3 3 2" xfId="49042"/>
    <cellStyle name="Финансовый 11 2 3 3 2 2" xfId="49043"/>
    <cellStyle name="Финансовый 11 2 3 3 3" xfId="49044"/>
    <cellStyle name="Финансовый 11 2 3 4" xfId="49045"/>
    <cellStyle name="Финансовый 11 2 3 4 2" xfId="49046"/>
    <cellStyle name="Финансовый 11 2 3 5" xfId="49047"/>
    <cellStyle name="Финансовый 11 2 3 5 2" xfId="49048"/>
    <cellStyle name="Финансовый 11 2 3 6" xfId="49049"/>
    <cellStyle name="Финансовый 11 2 4" xfId="49050"/>
    <cellStyle name="Финансовый 11 2 4 2" xfId="49051"/>
    <cellStyle name="Финансовый 11 2 4 2 2" xfId="49052"/>
    <cellStyle name="Финансовый 11 2 4 2 2 2" xfId="49053"/>
    <cellStyle name="Финансовый 11 2 4 2 3" xfId="49054"/>
    <cellStyle name="Финансовый 11 2 4 3" xfId="49055"/>
    <cellStyle name="Финансовый 11 2 4 3 2" xfId="49056"/>
    <cellStyle name="Финансовый 11 2 4 3 2 2" xfId="49057"/>
    <cellStyle name="Финансовый 11 2 4 3 3" xfId="49058"/>
    <cellStyle name="Финансовый 11 2 4 4" xfId="49059"/>
    <cellStyle name="Финансовый 11 2 4 4 2" xfId="49060"/>
    <cellStyle name="Финансовый 11 2 4 5" xfId="49061"/>
    <cellStyle name="Финансовый 11 2 4 5 2" xfId="49062"/>
    <cellStyle name="Финансовый 11 2 4 6" xfId="49063"/>
    <cellStyle name="Финансовый 11 2 5" xfId="49064"/>
    <cellStyle name="Финансовый 11 2 5 2" xfId="49065"/>
    <cellStyle name="Финансовый 11 2 6" xfId="49066"/>
    <cellStyle name="Финансовый 11 2 7" xfId="49067"/>
    <cellStyle name="Финансовый 11 2 7 2" xfId="49068"/>
    <cellStyle name="Финансовый 11 2 8" xfId="49069"/>
    <cellStyle name="Финансовый 11 3" xfId="49070"/>
    <cellStyle name="Финансовый 11 3 2" xfId="49071"/>
    <cellStyle name="Финансовый 11 3 2 2" xfId="49072"/>
    <cellStyle name="Финансовый 11 3 2 2 2" xfId="49073"/>
    <cellStyle name="Финансовый 11 3 2 2 2 2" xfId="49074"/>
    <cellStyle name="Финансовый 11 3 2 2 3" xfId="49075"/>
    <cellStyle name="Финансовый 11 3 2 2 3 2" xfId="49076"/>
    <cellStyle name="Финансовый 11 3 2 2 4" xfId="49077"/>
    <cellStyle name="Финансовый 11 3 2 3" xfId="49078"/>
    <cellStyle name="Финансовый 11 3 2 3 2" xfId="49079"/>
    <cellStyle name="Финансовый 11 3 2 3 2 2" xfId="49080"/>
    <cellStyle name="Финансовый 11 3 2 3 3" xfId="49081"/>
    <cellStyle name="Финансовый 11 3 2 4" xfId="49082"/>
    <cellStyle name="Финансовый 11 3 2 4 2" xfId="49083"/>
    <cellStyle name="Финансовый 11 3 2 5" xfId="49084"/>
    <cellStyle name="Финансовый 11 3 2 5 2" xfId="49085"/>
    <cellStyle name="Финансовый 11 3 2 6" xfId="49086"/>
    <cellStyle name="Финансовый 11 3 3" xfId="49087"/>
    <cellStyle name="Финансовый 11 3 3 2" xfId="49088"/>
    <cellStyle name="Финансовый 11 3 3 2 2" xfId="49089"/>
    <cellStyle name="Финансовый 11 3 3 2 2 2" xfId="49090"/>
    <cellStyle name="Финансовый 11 3 3 2 3" xfId="49091"/>
    <cellStyle name="Финансовый 11 3 3 3" xfId="49092"/>
    <cellStyle name="Финансовый 11 3 3 3 2" xfId="49093"/>
    <cellStyle name="Финансовый 11 3 3 3 2 2" xfId="49094"/>
    <cellStyle name="Финансовый 11 3 3 3 3" xfId="49095"/>
    <cellStyle name="Финансовый 11 3 3 4" xfId="49096"/>
    <cellStyle name="Финансовый 11 3 3 4 2" xfId="49097"/>
    <cellStyle name="Финансовый 11 3 3 5" xfId="49098"/>
    <cellStyle name="Финансовый 11 3 3 5 2" xfId="49099"/>
    <cellStyle name="Финансовый 11 3 3 6" xfId="49100"/>
    <cellStyle name="Финансовый 11 3 4" xfId="49101"/>
    <cellStyle name="Финансовый 11 3 4 2" xfId="49102"/>
    <cellStyle name="Финансовый 11 3 4 2 2" xfId="49103"/>
    <cellStyle name="Финансовый 11 3 4 3" xfId="49104"/>
    <cellStyle name="Финансовый 11 3 4 3 2" xfId="49105"/>
    <cellStyle name="Финансовый 11 3 4 4" xfId="49106"/>
    <cellStyle name="Финансовый 11 3 5" xfId="49107"/>
    <cellStyle name="Финансовый 11 3 5 2" xfId="49108"/>
    <cellStyle name="Финансовый 11 3 5 2 2" xfId="49109"/>
    <cellStyle name="Финансовый 11 3 5 3" xfId="49110"/>
    <cellStyle name="Финансовый 11 3 6" xfId="49111"/>
    <cellStyle name="Финансовый 11 3 6 2" xfId="49112"/>
    <cellStyle name="Финансовый 11 3 7" xfId="49113"/>
    <cellStyle name="Финансовый 11 3 7 2" xfId="49114"/>
    <cellStyle name="Финансовый 11 3 8" xfId="49115"/>
    <cellStyle name="Финансовый 11 4" xfId="49116"/>
    <cellStyle name="Финансовый 11 4 2" xfId="49117"/>
    <cellStyle name="Финансовый 11 4 2 2" xfId="49118"/>
    <cellStyle name="Финансовый 11 4 2 2 2" xfId="49119"/>
    <cellStyle name="Финансовый 11 4 2 2 2 2" xfId="49120"/>
    <cellStyle name="Финансовый 11 4 2 2 3" xfId="49121"/>
    <cellStyle name="Финансовый 11 4 2 3" xfId="49122"/>
    <cellStyle name="Финансовый 11 4 2 3 2" xfId="49123"/>
    <cellStyle name="Финансовый 11 4 2 3 2 2" xfId="49124"/>
    <cellStyle name="Финансовый 11 4 2 3 3" xfId="49125"/>
    <cellStyle name="Финансовый 11 4 2 4" xfId="49126"/>
    <cellStyle name="Финансовый 11 4 2 4 2" xfId="49127"/>
    <cellStyle name="Финансовый 11 4 2 5" xfId="49128"/>
    <cellStyle name="Финансовый 11 4 3" xfId="49129"/>
    <cellStyle name="Финансовый 11 4 3 2" xfId="49130"/>
    <cellStyle name="Финансовый 11 4 3 2 2" xfId="49131"/>
    <cellStyle name="Финансовый 11 4 3 2 2 2" xfId="49132"/>
    <cellStyle name="Финансовый 11 4 3 2 3" xfId="49133"/>
    <cellStyle name="Финансовый 11 4 3 3" xfId="49134"/>
    <cellStyle name="Финансовый 11 4 3 3 2" xfId="49135"/>
    <cellStyle name="Финансовый 11 4 3 3 2 2" xfId="49136"/>
    <cellStyle name="Финансовый 11 4 3 3 3" xfId="49137"/>
    <cellStyle name="Финансовый 11 4 3 4" xfId="49138"/>
    <cellStyle name="Финансовый 11 4 3 4 2" xfId="49139"/>
    <cellStyle name="Финансовый 11 4 3 5" xfId="49140"/>
    <cellStyle name="Финансовый 11 4 4" xfId="49141"/>
    <cellStyle name="Финансовый 11 4 4 2" xfId="49142"/>
    <cellStyle name="Финансовый 11 4 4 2 2" xfId="49143"/>
    <cellStyle name="Финансовый 11 4 4 2 2 2" xfId="49144"/>
    <cellStyle name="Финансовый 11 4 4 2 3" xfId="49145"/>
    <cellStyle name="Финансовый 11 4 4 3" xfId="49146"/>
    <cellStyle name="Финансовый 11 4 4 3 2" xfId="49147"/>
    <cellStyle name="Финансовый 11 4 4 4" xfId="49148"/>
    <cellStyle name="Финансовый 11 4 5" xfId="49149"/>
    <cellStyle name="Финансовый 11 4 6" xfId="49150"/>
    <cellStyle name="Финансовый 11 4 6 2" xfId="49151"/>
    <cellStyle name="Финансовый 11 4 7" xfId="49152"/>
    <cellStyle name="Финансовый 11 5" xfId="49153"/>
    <cellStyle name="Финансовый 11 5 2" xfId="49154"/>
    <cellStyle name="Финансовый 11 5 2 2" xfId="49155"/>
    <cellStyle name="Финансовый 11 5 2 2 2" xfId="49156"/>
    <cellStyle name="Финансовый 11 5 2 3" xfId="49157"/>
    <cellStyle name="Финансовый 11 5 3" xfId="49158"/>
    <cellStyle name="Финансовый 11 5 3 2" xfId="49159"/>
    <cellStyle name="Финансовый 11 5 3 2 2" xfId="49160"/>
    <cellStyle name="Финансовый 11 5 3 3" xfId="49161"/>
    <cellStyle name="Финансовый 11 5 4" xfId="49162"/>
    <cellStyle name="Финансовый 11 5 4 2" xfId="49163"/>
    <cellStyle name="Финансовый 11 5 5" xfId="49164"/>
    <cellStyle name="Финансовый 11 5 5 2" xfId="49165"/>
    <cellStyle name="Финансовый 11 5 6" xfId="49166"/>
    <cellStyle name="Финансовый 11 6" xfId="49167"/>
    <cellStyle name="Финансовый 11 6 2" xfId="49168"/>
    <cellStyle name="Финансовый 11 6 2 2" xfId="49169"/>
    <cellStyle name="Финансовый 11 6 2 2 2" xfId="49170"/>
    <cellStyle name="Финансовый 11 6 2 3" xfId="49171"/>
    <cellStyle name="Финансовый 11 6 3" xfId="49172"/>
    <cellStyle name="Финансовый 11 6 3 2" xfId="49173"/>
    <cellStyle name="Финансовый 11 6 3 2 2" xfId="49174"/>
    <cellStyle name="Финансовый 11 6 3 3" xfId="49175"/>
    <cellStyle name="Финансовый 11 6 4" xfId="49176"/>
    <cellStyle name="Финансовый 11 6 4 2" xfId="49177"/>
    <cellStyle name="Финансовый 11 6 5" xfId="49178"/>
    <cellStyle name="Финансовый 11 6 5 2" xfId="49179"/>
    <cellStyle name="Финансовый 11 6 6" xfId="49180"/>
    <cellStyle name="Финансовый 11 7" xfId="49181"/>
    <cellStyle name="Финансовый 11 7 2" xfId="49182"/>
    <cellStyle name="Финансовый 11 7 2 2" xfId="49183"/>
    <cellStyle name="Финансовый 11 7 2 2 2" xfId="49184"/>
    <cellStyle name="Финансовый 11 7 2 3" xfId="49185"/>
    <cellStyle name="Финансовый 11 7 3" xfId="49186"/>
    <cellStyle name="Финансовый 11 7 3 2" xfId="49187"/>
    <cellStyle name="Финансовый 11 7 4" xfId="49188"/>
    <cellStyle name="Финансовый 11 8" xfId="49189"/>
    <cellStyle name="Финансовый 11 8 2" xfId="49190"/>
    <cellStyle name="Финансовый 11 8 2 2" xfId="49191"/>
    <cellStyle name="Финансовый 11 8 2 2 2" xfId="49192"/>
    <cellStyle name="Финансовый 11 8 2 3" xfId="49193"/>
    <cellStyle name="Финансовый 11 8 3" xfId="49194"/>
    <cellStyle name="Финансовый 11 8 3 2" xfId="49195"/>
    <cellStyle name="Финансовый 11 8 4" xfId="49196"/>
    <cellStyle name="Финансовый 11 9" xfId="49197"/>
    <cellStyle name="Финансовый 11 9 2" xfId="49198"/>
    <cellStyle name="Финансовый 11 9 2 2" xfId="49199"/>
    <cellStyle name="Финансовый 11 9 3" xfId="49200"/>
    <cellStyle name="Финансовый 110" xfId="49201"/>
    <cellStyle name="Финансовый 110 2" xfId="49202"/>
    <cellStyle name="Финансовый 111" xfId="49203"/>
    <cellStyle name="Финансовый 111 2" xfId="49204"/>
    <cellStyle name="Финансовый 112" xfId="49205"/>
    <cellStyle name="Финансовый 112 2" xfId="49206"/>
    <cellStyle name="Финансовый 113" xfId="49207"/>
    <cellStyle name="Финансовый 114" xfId="49208"/>
    <cellStyle name="Финансовый 115" xfId="49209"/>
    <cellStyle name="Финансовый 116" xfId="49210"/>
    <cellStyle name="Финансовый 117" xfId="49211"/>
    <cellStyle name="Финансовый 117 2" xfId="49212"/>
    <cellStyle name="Финансовый 118" xfId="49213"/>
    <cellStyle name="Финансовый 119" xfId="49214"/>
    <cellStyle name="Финансовый 119 2" xfId="49215"/>
    <cellStyle name="Финансовый 12" xfId="49216"/>
    <cellStyle name="Финансовый 12 10" xfId="49217"/>
    <cellStyle name="Финансовый 12 10 2" xfId="49218"/>
    <cellStyle name="Финансовый 12 11" xfId="49219"/>
    <cellStyle name="Финансовый 12 2" xfId="49220"/>
    <cellStyle name="Финансовый 12 2 2" xfId="49221"/>
    <cellStyle name="Финансовый 12 2 2 2" xfId="49222"/>
    <cellStyle name="Финансовый 12 2 2 2 2" xfId="49223"/>
    <cellStyle name="Финансовый 12 2 2 2 2 2" xfId="49224"/>
    <cellStyle name="Финансовый 12 2 2 2 2 2 2" xfId="49225"/>
    <cellStyle name="Финансовый 12 2 2 2 2 3" xfId="49226"/>
    <cellStyle name="Финансовый 12 2 2 2 3" xfId="49227"/>
    <cellStyle name="Финансовый 12 2 2 2 3 2" xfId="49228"/>
    <cellStyle name="Финансовый 12 2 2 2 3 2 2" xfId="49229"/>
    <cellStyle name="Финансовый 12 2 2 2 3 3" xfId="49230"/>
    <cellStyle name="Финансовый 12 2 2 2 4" xfId="49231"/>
    <cellStyle name="Финансовый 12 2 2 2 4 2" xfId="49232"/>
    <cellStyle name="Финансовый 12 2 2 2 5" xfId="49233"/>
    <cellStyle name="Финансовый 12 2 2 2 5 2" xfId="49234"/>
    <cellStyle name="Финансовый 12 2 2 2 6" xfId="49235"/>
    <cellStyle name="Финансовый 12 2 2 3" xfId="49236"/>
    <cellStyle name="Финансовый 12 2 2 3 2" xfId="49237"/>
    <cellStyle name="Финансовый 12 2 2 3 2 2" xfId="49238"/>
    <cellStyle name="Финансовый 12 2 2 3 2 2 2" xfId="49239"/>
    <cellStyle name="Финансовый 12 2 2 3 2 3" xfId="49240"/>
    <cellStyle name="Финансовый 12 2 2 3 3" xfId="49241"/>
    <cellStyle name="Финансовый 12 2 2 3 3 2" xfId="49242"/>
    <cellStyle name="Финансовый 12 2 2 3 3 2 2" xfId="49243"/>
    <cellStyle name="Финансовый 12 2 2 3 3 3" xfId="49244"/>
    <cellStyle name="Финансовый 12 2 2 3 4" xfId="49245"/>
    <cellStyle name="Финансовый 12 2 2 3 4 2" xfId="49246"/>
    <cellStyle name="Финансовый 12 2 2 3 5" xfId="49247"/>
    <cellStyle name="Финансовый 12 2 2 3 5 2" xfId="49248"/>
    <cellStyle name="Финансовый 12 2 2 3 6" xfId="49249"/>
    <cellStyle name="Финансовый 12 2 2 4" xfId="49250"/>
    <cellStyle name="Финансовый 12 2 2 4 2" xfId="49251"/>
    <cellStyle name="Финансовый 12 2 2 4 2 2" xfId="49252"/>
    <cellStyle name="Финансовый 12 2 2 4 3" xfId="49253"/>
    <cellStyle name="Финансовый 12 2 2 5" xfId="49254"/>
    <cellStyle name="Финансовый 12 2 2 5 2" xfId="49255"/>
    <cellStyle name="Финансовый 12 2 2 5 2 2" xfId="49256"/>
    <cellStyle name="Финансовый 12 2 2 5 3" xfId="49257"/>
    <cellStyle name="Финансовый 12 2 2 6" xfId="49258"/>
    <cellStyle name="Финансовый 12 2 2 6 2" xfId="49259"/>
    <cellStyle name="Финансовый 12 2 2 7" xfId="49260"/>
    <cellStyle name="Финансовый 12 2 2 7 2" xfId="49261"/>
    <cellStyle name="Финансовый 12 2 2 8" xfId="49262"/>
    <cellStyle name="Финансовый 12 2 3" xfId="49263"/>
    <cellStyle name="Финансовый 12 2 3 2" xfId="49264"/>
    <cellStyle name="Финансовый 12 2 3 2 2" xfId="49265"/>
    <cellStyle name="Финансовый 12 2 3 2 2 2" xfId="49266"/>
    <cellStyle name="Финансовый 12 2 3 2 3" xfId="49267"/>
    <cellStyle name="Финансовый 12 2 3 2 3 2" xfId="49268"/>
    <cellStyle name="Финансовый 12 2 3 2 4" xfId="49269"/>
    <cellStyle name="Финансовый 12 2 3 3" xfId="49270"/>
    <cellStyle name="Финансовый 12 2 3 3 2" xfId="49271"/>
    <cellStyle name="Финансовый 12 2 3 3 2 2" xfId="49272"/>
    <cellStyle name="Финансовый 12 2 3 3 3" xfId="49273"/>
    <cellStyle name="Финансовый 12 2 3 4" xfId="49274"/>
    <cellStyle name="Финансовый 12 2 3 4 2" xfId="49275"/>
    <cellStyle name="Финансовый 12 2 3 5" xfId="49276"/>
    <cellStyle name="Финансовый 12 2 3 5 2" xfId="49277"/>
    <cellStyle name="Финансовый 12 2 3 6" xfId="49278"/>
    <cellStyle name="Финансовый 12 2 4" xfId="49279"/>
    <cellStyle name="Финансовый 12 2 4 2" xfId="49280"/>
    <cellStyle name="Финансовый 12 2 4 2 2" xfId="49281"/>
    <cellStyle name="Финансовый 12 2 4 2 2 2" xfId="49282"/>
    <cellStyle name="Финансовый 12 2 4 2 3" xfId="49283"/>
    <cellStyle name="Финансовый 12 2 4 3" xfId="49284"/>
    <cellStyle name="Финансовый 12 2 4 3 2" xfId="49285"/>
    <cellStyle name="Финансовый 12 2 4 3 2 2" xfId="49286"/>
    <cellStyle name="Финансовый 12 2 4 3 3" xfId="49287"/>
    <cellStyle name="Финансовый 12 2 4 4" xfId="49288"/>
    <cellStyle name="Финансовый 12 2 4 4 2" xfId="49289"/>
    <cellStyle name="Финансовый 12 2 4 5" xfId="49290"/>
    <cellStyle name="Финансовый 12 2 4 5 2" xfId="49291"/>
    <cellStyle name="Финансовый 12 2 4 6" xfId="49292"/>
    <cellStyle name="Финансовый 12 2 5" xfId="49293"/>
    <cellStyle name="Финансовый 12 2 5 2" xfId="49294"/>
    <cellStyle name="Финансовый 12 2 5 2 2" xfId="49295"/>
    <cellStyle name="Финансовый 12 2 5 3" xfId="49296"/>
    <cellStyle name="Финансовый 12 2 6" xfId="49297"/>
    <cellStyle name="Финансовый 12 2 6 2" xfId="49298"/>
    <cellStyle name="Финансовый 12 2 6 2 2" xfId="49299"/>
    <cellStyle name="Финансовый 12 2 6 3" xfId="49300"/>
    <cellStyle name="Финансовый 12 2 7" xfId="49301"/>
    <cellStyle name="Финансовый 12 2 7 2" xfId="49302"/>
    <cellStyle name="Финансовый 12 2 8" xfId="49303"/>
    <cellStyle name="Финансовый 12 2 8 2" xfId="49304"/>
    <cellStyle name="Финансовый 12 2 9" xfId="49305"/>
    <cellStyle name="Финансовый 12 3" xfId="49306"/>
    <cellStyle name="Финансовый 12 3 2" xfId="49307"/>
    <cellStyle name="Финансовый 12 3 2 2" xfId="49308"/>
    <cellStyle name="Финансовый 12 3 2 2 2" xfId="49309"/>
    <cellStyle name="Финансовый 12 3 2 2 2 2" xfId="49310"/>
    <cellStyle name="Финансовый 12 3 2 2 3" xfId="49311"/>
    <cellStyle name="Финансовый 12 3 2 2 3 2" xfId="49312"/>
    <cellStyle name="Финансовый 12 3 2 2 4" xfId="49313"/>
    <cellStyle name="Финансовый 12 3 2 3" xfId="49314"/>
    <cellStyle name="Финансовый 12 3 2 3 2" xfId="49315"/>
    <cellStyle name="Финансовый 12 3 2 3 2 2" xfId="49316"/>
    <cellStyle name="Финансовый 12 3 2 3 3" xfId="49317"/>
    <cellStyle name="Финансовый 12 3 2 4" xfId="49318"/>
    <cellStyle name="Финансовый 12 3 2 4 2" xfId="49319"/>
    <cellStyle name="Финансовый 12 3 2 5" xfId="49320"/>
    <cellStyle name="Финансовый 12 3 2 5 2" xfId="49321"/>
    <cellStyle name="Финансовый 12 3 2 6" xfId="49322"/>
    <cellStyle name="Финансовый 12 3 3" xfId="49323"/>
    <cellStyle name="Финансовый 12 3 3 2" xfId="49324"/>
    <cellStyle name="Финансовый 12 3 3 2 2" xfId="49325"/>
    <cellStyle name="Финансовый 12 3 3 2 2 2" xfId="49326"/>
    <cellStyle name="Финансовый 12 3 3 2 3" xfId="49327"/>
    <cellStyle name="Финансовый 12 3 3 3" xfId="49328"/>
    <cellStyle name="Финансовый 12 3 3 3 2" xfId="49329"/>
    <cellStyle name="Финансовый 12 3 3 3 2 2" xfId="49330"/>
    <cellStyle name="Финансовый 12 3 3 3 3" xfId="49331"/>
    <cellStyle name="Финансовый 12 3 3 4" xfId="49332"/>
    <cellStyle name="Финансовый 12 3 3 4 2" xfId="49333"/>
    <cellStyle name="Финансовый 12 3 3 5" xfId="49334"/>
    <cellStyle name="Финансовый 12 3 3 5 2" xfId="49335"/>
    <cellStyle name="Финансовый 12 3 3 6" xfId="49336"/>
    <cellStyle name="Финансовый 12 3 4" xfId="49337"/>
    <cellStyle name="Финансовый 12 3 4 2" xfId="49338"/>
    <cellStyle name="Финансовый 12 3 4 2 2" xfId="49339"/>
    <cellStyle name="Финансовый 12 3 4 3" xfId="49340"/>
    <cellStyle name="Финансовый 12 3 4 3 2" xfId="49341"/>
    <cellStyle name="Финансовый 12 3 4 4" xfId="49342"/>
    <cellStyle name="Финансовый 12 3 5" xfId="49343"/>
    <cellStyle name="Финансовый 12 3 5 2" xfId="49344"/>
    <cellStyle name="Финансовый 12 3 5 2 2" xfId="49345"/>
    <cellStyle name="Финансовый 12 3 5 3" xfId="49346"/>
    <cellStyle name="Финансовый 12 3 6" xfId="49347"/>
    <cellStyle name="Финансовый 12 3 6 2" xfId="49348"/>
    <cellStyle name="Финансовый 12 3 7" xfId="49349"/>
    <cellStyle name="Финансовый 12 3 7 2" xfId="49350"/>
    <cellStyle name="Финансовый 12 3 8" xfId="49351"/>
    <cellStyle name="Финансовый 12 4" xfId="49352"/>
    <cellStyle name="Финансовый 12 4 2" xfId="49353"/>
    <cellStyle name="Финансовый 12 4 2 2" xfId="49354"/>
    <cellStyle name="Финансовый 12 4 2 2 2" xfId="49355"/>
    <cellStyle name="Финансовый 12 4 2 2 2 2" xfId="49356"/>
    <cellStyle name="Финансовый 12 4 2 2 3" xfId="49357"/>
    <cellStyle name="Финансовый 12 4 2 3" xfId="49358"/>
    <cellStyle name="Финансовый 12 4 2 3 2" xfId="49359"/>
    <cellStyle name="Финансовый 12 4 2 3 2 2" xfId="49360"/>
    <cellStyle name="Финансовый 12 4 2 3 3" xfId="49361"/>
    <cellStyle name="Финансовый 12 4 2 4" xfId="49362"/>
    <cellStyle name="Финансовый 12 4 2 4 2" xfId="49363"/>
    <cellStyle name="Финансовый 12 4 2 5" xfId="49364"/>
    <cellStyle name="Финансовый 12 4 2 5 2" xfId="49365"/>
    <cellStyle name="Финансовый 12 4 2 6" xfId="49366"/>
    <cellStyle name="Финансовый 12 4 3" xfId="49367"/>
    <cellStyle name="Финансовый 12 4 3 2" xfId="49368"/>
    <cellStyle name="Финансовый 12 4 3 2 2" xfId="49369"/>
    <cellStyle name="Финансовый 12 4 3 2 2 2" xfId="49370"/>
    <cellStyle name="Финансовый 12 4 3 2 3" xfId="49371"/>
    <cellStyle name="Финансовый 12 4 3 3" xfId="49372"/>
    <cellStyle name="Финансовый 12 4 3 3 2" xfId="49373"/>
    <cellStyle name="Финансовый 12 4 3 3 2 2" xfId="49374"/>
    <cellStyle name="Финансовый 12 4 3 3 3" xfId="49375"/>
    <cellStyle name="Финансовый 12 4 3 4" xfId="49376"/>
    <cellStyle name="Финансовый 12 4 3 4 2" xfId="49377"/>
    <cellStyle name="Финансовый 12 4 3 5" xfId="49378"/>
    <cellStyle name="Финансовый 12 4 4" xfId="49379"/>
    <cellStyle name="Финансовый 12 4 5" xfId="49380"/>
    <cellStyle name="Финансовый 12 4 5 2" xfId="49381"/>
    <cellStyle name="Финансовый 12 4 6" xfId="49382"/>
    <cellStyle name="Финансовый 12 5" xfId="49383"/>
    <cellStyle name="Финансовый 12 5 2" xfId="49384"/>
    <cellStyle name="Финансовый 12 5 2 2" xfId="49385"/>
    <cellStyle name="Финансовый 12 5 2 2 2" xfId="49386"/>
    <cellStyle name="Финансовый 12 5 2 3" xfId="49387"/>
    <cellStyle name="Финансовый 12 5 3" xfId="49388"/>
    <cellStyle name="Финансовый 12 5 3 2" xfId="49389"/>
    <cellStyle name="Финансовый 12 5 3 2 2" xfId="49390"/>
    <cellStyle name="Финансовый 12 5 3 3" xfId="49391"/>
    <cellStyle name="Финансовый 12 5 4" xfId="49392"/>
    <cellStyle name="Финансовый 12 5 4 2" xfId="49393"/>
    <cellStyle name="Финансовый 12 5 5" xfId="49394"/>
    <cellStyle name="Финансовый 12 5 5 2" xfId="49395"/>
    <cellStyle name="Финансовый 12 5 6" xfId="49396"/>
    <cellStyle name="Финансовый 12 6" xfId="49397"/>
    <cellStyle name="Финансовый 12 6 2" xfId="49398"/>
    <cellStyle name="Финансовый 12 6 2 2" xfId="49399"/>
    <cellStyle name="Финансовый 12 6 2 2 2" xfId="49400"/>
    <cellStyle name="Финансовый 12 6 2 3" xfId="49401"/>
    <cellStyle name="Финансовый 12 6 3" xfId="49402"/>
    <cellStyle name="Финансовый 12 6 3 2" xfId="49403"/>
    <cellStyle name="Финансовый 12 6 3 2 2" xfId="49404"/>
    <cellStyle name="Финансовый 12 6 3 3" xfId="49405"/>
    <cellStyle name="Финансовый 12 6 4" xfId="49406"/>
    <cellStyle name="Финансовый 12 6 4 2" xfId="49407"/>
    <cellStyle name="Финансовый 12 6 5" xfId="49408"/>
    <cellStyle name="Финансовый 12 6 5 2" xfId="49409"/>
    <cellStyle name="Финансовый 12 6 6" xfId="49410"/>
    <cellStyle name="Финансовый 12 7" xfId="49411"/>
    <cellStyle name="Финансовый 12 7 2" xfId="49412"/>
    <cellStyle name="Финансовый 12 7 2 2" xfId="49413"/>
    <cellStyle name="Финансовый 12 7 3" xfId="49414"/>
    <cellStyle name="Финансовый 12 8" xfId="49415"/>
    <cellStyle name="Финансовый 12 8 2" xfId="49416"/>
    <cellStyle name="Финансовый 12 8 2 2" xfId="49417"/>
    <cellStyle name="Финансовый 12 8 3" xfId="49418"/>
    <cellStyle name="Финансовый 12 9" xfId="49419"/>
    <cellStyle name="Финансовый 12 9 2" xfId="49420"/>
    <cellStyle name="Финансовый 120" xfId="49421"/>
    <cellStyle name="Финансовый 121" xfId="49422"/>
    <cellStyle name="Финансовый 122" xfId="49423"/>
    <cellStyle name="Финансовый 13" xfId="49424"/>
    <cellStyle name="Финансовый 13 10" xfId="49425"/>
    <cellStyle name="Финансовый 13 10 2" xfId="49426"/>
    <cellStyle name="Финансовый 13 11" xfId="49427"/>
    <cellStyle name="Финансовый 13 11 2" xfId="49428"/>
    <cellStyle name="Финансовый 13 12" xfId="49429"/>
    <cellStyle name="Финансовый 13 2" xfId="49430"/>
    <cellStyle name="Финансовый 13 2 2" xfId="49431"/>
    <cellStyle name="Финансовый 13 2 2 2" xfId="49432"/>
    <cellStyle name="Финансовый 13 2 2 2 2" xfId="49433"/>
    <cellStyle name="Финансовый 13 2 2 2 2 2" xfId="49434"/>
    <cellStyle name="Финансовый 13 2 2 2 2 2 2" xfId="49435"/>
    <cellStyle name="Финансовый 13 2 2 2 2 3" xfId="49436"/>
    <cellStyle name="Финансовый 13 2 2 2 3" xfId="49437"/>
    <cellStyle name="Финансовый 13 2 2 2 3 2" xfId="49438"/>
    <cellStyle name="Финансовый 13 2 2 2 3 2 2" xfId="49439"/>
    <cellStyle name="Финансовый 13 2 2 2 3 3" xfId="49440"/>
    <cellStyle name="Финансовый 13 2 2 2 4" xfId="49441"/>
    <cellStyle name="Финансовый 13 2 2 2 4 2" xfId="49442"/>
    <cellStyle name="Финансовый 13 2 2 2 5" xfId="49443"/>
    <cellStyle name="Финансовый 13 2 2 2 5 2" xfId="49444"/>
    <cellStyle name="Финансовый 13 2 2 2 6" xfId="49445"/>
    <cellStyle name="Финансовый 13 2 2 3" xfId="49446"/>
    <cellStyle name="Финансовый 13 2 2 3 2" xfId="49447"/>
    <cellStyle name="Финансовый 13 2 2 3 2 2" xfId="49448"/>
    <cellStyle name="Финансовый 13 2 2 3 2 2 2" xfId="49449"/>
    <cellStyle name="Финансовый 13 2 2 3 2 3" xfId="49450"/>
    <cellStyle name="Финансовый 13 2 2 3 3" xfId="49451"/>
    <cellStyle name="Финансовый 13 2 2 3 3 2" xfId="49452"/>
    <cellStyle name="Финансовый 13 2 2 3 3 2 2" xfId="49453"/>
    <cellStyle name="Финансовый 13 2 2 3 3 3" xfId="49454"/>
    <cellStyle name="Финансовый 13 2 2 3 4" xfId="49455"/>
    <cellStyle name="Финансовый 13 2 2 3 4 2" xfId="49456"/>
    <cellStyle name="Финансовый 13 2 2 3 5" xfId="49457"/>
    <cellStyle name="Финансовый 13 2 2 3 5 2" xfId="49458"/>
    <cellStyle name="Финансовый 13 2 2 3 6" xfId="49459"/>
    <cellStyle name="Финансовый 13 2 2 4" xfId="49460"/>
    <cellStyle name="Финансовый 13 2 2 4 2" xfId="49461"/>
    <cellStyle name="Финансовый 13 2 2 4 2 2" xfId="49462"/>
    <cellStyle name="Финансовый 13 2 2 4 3" xfId="49463"/>
    <cellStyle name="Финансовый 13 2 2 5" xfId="49464"/>
    <cellStyle name="Финансовый 13 2 2 5 2" xfId="49465"/>
    <cellStyle name="Финансовый 13 2 2 5 2 2" xfId="49466"/>
    <cellStyle name="Финансовый 13 2 2 5 3" xfId="49467"/>
    <cellStyle name="Финансовый 13 2 2 6" xfId="49468"/>
    <cellStyle name="Финансовый 13 2 2 6 2" xfId="49469"/>
    <cellStyle name="Финансовый 13 2 2 7" xfId="49470"/>
    <cellStyle name="Финансовый 13 2 2 7 2" xfId="49471"/>
    <cellStyle name="Финансовый 13 2 2 8" xfId="49472"/>
    <cellStyle name="Финансовый 13 2 3" xfId="49473"/>
    <cellStyle name="Финансовый 13 2 3 2" xfId="49474"/>
    <cellStyle name="Финансовый 13 2 3 2 2" xfId="49475"/>
    <cellStyle name="Финансовый 13 2 3 2 2 2" xfId="49476"/>
    <cellStyle name="Финансовый 13 2 3 2 3" xfId="49477"/>
    <cellStyle name="Финансовый 13 2 3 2 3 2" xfId="49478"/>
    <cellStyle name="Финансовый 13 2 3 2 4" xfId="49479"/>
    <cellStyle name="Финансовый 13 2 3 3" xfId="49480"/>
    <cellStyle name="Финансовый 13 2 3 3 2" xfId="49481"/>
    <cellStyle name="Финансовый 13 2 3 3 2 2" xfId="49482"/>
    <cellStyle name="Финансовый 13 2 3 3 3" xfId="49483"/>
    <cellStyle name="Финансовый 13 2 3 4" xfId="49484"/>
    <cellStyle name="Финансовый 13 2 3 4 2" xfId="49485"/>
    <cellStyle name="Финансовый 13 2 3 5" xfId="49486"/>
    <cellStyle name="Финансовый 13 2 3 5 2" xfId="49487"/>
    <cellStyle name="Финансовый 13 2 3 6" xfId="49488"/>
    <cellStyle name="Финансовый 13 2 4" xfId="49489"/>
    <cellStyle name="Финансовый 13 2 4 2" xfId="49490"/>
    <cellStyle name="Финансовый 13 2 4 2 2" xfId="49491"/>
    <cellStyle name="Финансовый 13 2 4 2 2 2" xfId="49492"/>
    <cellStyle name="Финансовый 13 2 4 2 3" xfId="49493"/>
    <cellStyle name="Финансовый 13 2 4 3" xfId="49494"/>
    <cellStyle name="Финансовый 13 2 4 3 2" xfId="49495"/>
    <cellStyle name="Финансовый 13 2 4 3 2 2" xfId="49496"/>
    <cellStyle name="Финансовый 13 2 4 3 3" xfId="49497"/>
    <cellStyle name="Финансовый 13 2 4 4" xfId="49498"/>
    <cellStyle name="Финансовый 13 2 4 4 2" xfId="49499"/>
    <cellStyle name="Финансовый 13 2 4 5" xfId="49500"/>
    <cellStyle name="Финансовый 13 2 4 5 2" xfId="49501"/>
    <cellStyle name="Финансовый 13 2 4 6" xfId="49502"/>
    <cellStyle name="Финансовый 13 2 5" xfId="49503"/>
    <cellStyle name="Финансовый 13 2 5 2" xfId="49504"/>
    <cellStyle name="Финансовый 13 2 5 2 2" xfId="49505"/>
    <cellStyle name="Финансовый 13 2 5 3" xfId="49506"/>
    <cellStyle name="Финансовый 13 2 6" xfId="49507"/>
    <cellStyle name="Финансовый 13 2 6 2" xfId="49508"/>
    <cellStyle name="Финансовый 13 2 6 2 2" xfId="49509"/>
    <cellStyle name="Финансовый 13 2 6 3" xfId="49510"/>
    <cellStyle name="Финансовый 13 2 7" xfId="49511"/>
    <cellStyle name="Финансовый 13 2 7 2" xfId="49512"/>
    <cellStyle name="Финансовый 13 2 8" xfId="49513"/>
    <cellStyle name="Финансовый 13 2 8 2" xfId="49514"/>
    <cellStyle name="Финансовый 13 2 9" xfId="49515"/>
    <cellStyle name="Финансовый 13 3" xfId="49516"/>
    <cellStyle name="Финансовый 13 3 2" xfId="49517"/>
    <cellStyle name="Финансовый 13 3 2 2" xfId="49518"/>
    <cellStyle name="Финансовый 13 3 2 2 2" xfId="49519"/>
    <cellStyle name="Финансовый 13 3 2 2 2 2" xfId="49520"/>
    <cellStyle name="Финансовый 13 3 2 2 3" xfId="49521"/>
    <cellStyle name="Финансовый 13 3 2 2 3 2" xfId="49522"/>
    <cellStyle name="Финансовый 13 3 2 2 4" xfId="49523"/>
    <cellStyle name="Финансовый 13 3 2 3" xfId="49524"/>
    <cellStyle name="Финансовый 13 3 2 3 2" xfId="49525"/>
    <cellStyle name="Финансовый 13 3 2 3 2 2" xfId="49526"/>
    <cellStyle name="Финансовый 13 3 2 3 3" xfId="49527"/>
    <cellStyle name="Финансовый 13 3 2 4" xfId="49528"/>
    <cellStyle name="Финансовый 13 3 2 4 2" xfId="49529"/>
    <cellStyle name="Финансовый 13 3 2 5" xfId="49530"/>
    <cellStyle name="Финансовый 13 3 2 5 2" xfId="49531"/>
    <cellStyle name="Финансовый 13 3 2 6" xfId="49532"/>
    <cellStyle name="Финансовый 13 3 3" xfId="49533"/>
    <cellStyle name="Финансовый 13 3 3 2" xfId="49534"/>
    <cellStyle name="Финансовый 13 3 3 2 2" xfId="49535"/>
    <cellStyle name="Финансовый 13 3 3 2 2 2" xfId="49536"/>
    <cellStyle name="Финансовый 13 3 3 2 3" xfId="49537"/>
    <cellStyle name="Финансовый 13 3 3 3" xfId="49538"/>
    <cellStyle name="Финансовый 13 3 3 3 2" xfId="49539"/>
    <cellStyle name="Финансовый 13 3 3 3 2 2" xfId="49540"/>
    <cellStyle name="Финансовый 13 3 3 3 3" xfId="49541"/>
    <cellStyle name="Финансовый 13 3 3 4" xfId="49542"/>
    <cellStyle name="Финансовый 13 3 3 4 2" xfId="49543"/>
    <cellStyle name="Финансовый 13 3 3 5" xfId="49544"/>
    <cellStyle name="Финансовый 13 3 3 5 2" xfId="49545"/>
    <cellStyle name="Финансовый 13 3 3 6" xfId="49546"/>
    <cellStyle name="Финансовый 13 3 4" xfId="49547"/>
    <cellStyle name="Финансовый 13 3 4 2" xfId="49548"/>
    <cellStyle name="Финансовый 13 3 4 2 2" xfId="49549"/>
    <cellStyle name="Финансовый 13 3 4 3" xfId="49550"/>
    <cellStyle name="Финансовый 13 3 4 3 2" xfId="49551"/>
    <cellStyle name="Финансовый 13 3 4 4" xfId="49552"/>
    <cellStyle name="Финансовый 13 3 5" xfId="49553"/>
    <cellStyle name="Финансовый 13 3 5 2" xfId="49554"/>
    <cellStyle name="Финансовый 13 3 5 2 2" xfId="49555"/>
    <cellStyle name="Финансовый 13 3 5 3" xfId="49556"/>
    <cellStyle name="Финансовый 13 3 6" xfId="49557"/>
    <cellStyle name="Финансовый 13 3 6 2" xfId="49558"/>
    <cellStyle name="Финансовый 13 3 7" xfId="49559"/>
    <cellStyle name="Финансовый 13 3 7 2" xfId="49560"/>
    <cellStyle name="Финансовый 13 3 8" xfId="49561"/>
    <cellStyle name="Финансовый 13 4" xfId="49562"/>
    <cellStyle name="Финансовый 13 4 2" xfId="49563"/>
    <cellStyle name="Финансовый 13 4 2 2" xfId="49564"/>
    <cellStyle name="Финансовый 13 4 2 2 2" xfId="49565"/>
    <cellStyle name="Финансовый 13 4 2 2 2 2" xfId="49566"/>
    <cellStyle name="Финансовый 13 4 2 2 3" xfId="49567"/>
    <cellStyle name="Финансовый 13 4 2 3" xfId="49568"/>
    <cellStyle name="Финансовый 13 4 2 3 2" xfId="49569"/>
    <cellStyle name="Финансовый 13 4 2 3 2 2" xfId="49570"/>
    <cellStyle name="Финансовый 13 4 2 3 3" xfId="49571"/>
    <cellStyle name="Финансовый 13 4 2 4" xfId="49572"/>
    <cellStyle name="Финансовый 13 4 2 4 2" xfId="49573"/>
    <cellStyle name="Финансовый 13 4 2 5" xfId="49574"/>
    <cellStyle name="Финансовый 13 4 2 5 2" xfId="49575"/>
    <cellStyle name="Финансовый 13 4 2 6" xfId="49576"/>
    <cellStyle name="Финансовый 13 4 3" xfId="49577"/>
    <cellStyle name="Финансовый 13 4 3 2" xfId="49578"/>
    <cellStyle name="Финансовый 13 4 3 2 2" xfId="49579"/>
    <cellStyle name="Финансовый 13 4 3 2 2 2" xfId="49580"/>
    <cellStyle name="Финансовый 13 4 3 2 3" xfId="49581"/>
    <cellStyle name="Финансовый 13 4 3 3" xfId="49582"/>
    <cellStyle name="Финансовый 13 4 3 3 2" xfId="49583"/>
    <cellStyle name="Финансовый 13 4 3 3 2 2" xfId="49584"/>
    <cellStyle name="Финансовый 13 4 3 3 3" xfId="49585"/>
    <cellStyle name="Финансовый 13 4 3 4" xfId="49586"/>
    <cellStyle name="Финансовый 13 4 3 4 2" xfId="49587"/>
    <cellStyle name="Финансовый 13 4 3 5" xfId="49588"/>
    <cellStyle name="Финансовый 13 4 4" xfId="49589"/>
    <cellStyle name="Финансовый 13 4 5" xfId="49590"/>
    <cellStyle name="Финансовый 13 4 5 2" xfId="49591"/>
    <cellStyle name="Финансовый 13 4 6" xfId="49592"/>
    <cellStyle name="Финансовый 13 5" xfId="49593"/>
    <cellStyle name="Финансовый 13 5 2" xfId="49594"/>
    <cellStyle name="Финансовый 13 5 2 2" xfId="49595"/>
    <cellStyle name="Финансовый 13 5 2 2 2" xfId="49596"/>
    <cellStyle name="Финансовый 13 5 2 3" xfId="49597"/>
    <cellStyle name="Финансовый 13 5 3" xfId="49598"/>
    <cellStyle name="Финансовый 13 5 3 2" xfId="49599"/>
    <cellStyle name="Финансовый 13 5 3 2 2" xfId="49600"/>
    <cellStyle name="Финансовый 13 5 3 3" xfId="49601"/>
    <cellStyle name="Финансовый 13 5 4" xfId="49602"/>
    <cellStyle name="Финансовый 13 5 4 2" xfId="49603"/>
    <cellStyle name="Финансовый 13 5 5" xfId="49604"/>
    <cellStyle name="Финансовый 13 5 5 2" xfId="49605"/>
    <cellStyle name="Финансовый 13 5 6" xfId="49606"/>
    <cellStyle name="Финансовый 13 6" xfId="49607"/>
    <cellStyle name="Финансовый 13 6 2" xfId="49608"/>
    <cellStyle name="Финансовый 13 6 2 2" xfId="49609"/>
    <cellStyle name="Финансовый 13 6 2 2 2" xfId="49610"/>
    <cellStyle name="Финансовый 13 6 2 3" xfId="49611"/>
    <cellStyle name="Финансовый 13 6 3" xfId="49612"/>
    <cellStyle name="Финансовый 13 6 3 2" xfId="49613"/>
    <cellStyle name="Финансовый 13 6 3 2 2" xfId="49614"/>
    <cellStyle name="Финансовый 13 6 3 3" xfId="49615"/>
    <cellStyle name="Финансовый 13 6 4" xfId="49616"/>
    <cellStyle name="Финансовый 13 6 4 2" xfId="49617"/>
    <cellStyle name="Финансовый 13 6 5" xfId="49618"/>
    <cellStyle name="Финансовый 13 6 5 2" xfId="49619"/>
    <cellStyle name="Финансовый 13 6 6" xfId="49620"/>
    <cellStyle name="Финансовый 13 7" xfId="49621"/>
    <cellStyle name="Финансовый 13 7 2" xfId="49622"/>
    <cellStyle name="Финансовый 13 7 2 2" xfId="49623"/>
    <cellStyle name="Финансовый 13 7 3" xfId="49624"/>
    <cellStyle name="Финансовый 13 8" xfId="49625"/>
    <cellStyle name="Финансовый 13 8 2" xfId="49626"/>
    <cellStyle name="Финансовый 13 8 2 2" xfId="49627"/>
    <cellStyle name="Финансовый 13 8 3" xfId="49628"/>
    <cellStyle name="Финансовый 13 9" xfId="49629"/>
    <cellStyle name="Финансовый 13 9 2" xfId="49630"/>
    <cellStyle name="Финансовый 14" xfId="49631"/>
    <cellStyle name="Финансовый 14 2" xfId="49632"/>
    <cellStyle name="Финансовый 14 2 2" xfId="49633"/>
    <cellStyle name="Финансовый 14 2 2 2" xfId="49634"/>
    <cellStyle name="Финансовый 14 2 2 2 2" xfId="49635"/>
    <cellStyle name="Финансовый 14 2 2 2 2 2" xfId="49636"/>
    <cellStyle name="Финансовый 14 2 2 2 3" xfId="49637"/>
    <cellStyle name="Финансовый 14 2 2 3" xfId="49638"/>
    <cellStyle name="Финансовый 14 2 2 3 2" xfId="49639"/>
    <cellStyle name="Финансовый 14 2 2 3 2 2" xfId="49640"/>
    <cellStyle name="Финансовый 14 2 2 3 3" xfId="49641"/>
    <cellStyle name="Финансовый 14 2 2 4" xfId="49642"/>
    <cellStyle name="Финансовый 14 2 2 4 2" xfId="49643"/>
    <cellStyle name="Финансовый 14 2 2 5" xfId="49644"/>
    <cellStyle name="Финансовый 14 2 2 5 2" xfId="49645"/>
    <cellStyle name="Финансовый 14 2 2 6" xfId="49646"/>
    <cellStyle name="Финансовый 14 2 3" xfId="49647"/>
    <cellStyle name="Финансовый 14 2 3 2" xfId="49648"/>
    <cellStyle name="Финансовый 14 2 3 2 2" xfId="49649"/>
    <cellStyle name="Финансовый 14 2 3 2 2 2" xfId="49650"/>
    <cellStyle name="Финансовый 14 2 3 2 3" xfId="49651"/>
    <cellStyle name="Финансовый 14 2 3 3" xfId="49652"/>
    <cellStyle name="Финансовый 14 2 3 3 2" xfId="49653"/>
    <cellStyle name="Финансовый 14 2 3 3 2 2" xfId="49654"/>
    <cellStyle name="Финансовый 14 2 3 3 3" xfId="49655"/>
    <cellStyle name="Финансовый 14 2 3 4" xfId="49656"/>
    <cellStyle name="Финансовый 14 2 3 4 2" xfId="49657"/>
    <cellStyle name="Финансовый 14 2 3 5" xfId="49658"/>
    <cellStyle name="Финансовый 14 2 3 5 2" xfId="49659"/>
    <cellStyle name="Финансовый 14 2 3 6" xfId="49660"/>
    <cellStyle name="Финансовый 14 2 4" xfId="49661"/>
    <cellStyle name="Финансовый 14 2 4 2" xfId="49662"/>
    <cellStyle name="Финансовый 14 2 5" xfId="49663"/>
    <cellStyle name="Финансовый 15" xfId="49664"/>
    <cellStyle name="Финансовый 15 2" xfId="49665"/>
    <cellStyle name="Финансовый 15 2 2" xfId="49666"/>
    <cellStyle name="Финансовый 15 2 2 2" xfId="49667"/>
    <cellStyle name="Финансовый 15 2 2 2 2" xfId="49668"/>
    <cellStyle name="Финансовый 15 2 2 2 2 2" xfId="49669"/>
    <cellStyle name="Финансовый 15 2 2 2 3" xfId="49670"/>
    <cellStyle name="Финансовый 15 2 2 3" xfId="49671"/>
    <cellStyle name="Финансовый 15 2 2 3 2" xfId="49672"/>
    <cellStyle name="Финансовый 15 2 2 3 2 2" xfId="49673"/>
    <cellStyle name="Финансовый 15 2 2 3 3" xfId="49674"/>
    <cellStyle name="Финансовый 15 2 2 4" xfId="49675"/>
    <cellStyle name="Финансовый 15 2 2 4 2" xfId="49676"/>
    <cellStyle name="Финансовый 15 2 2 5" xfId="49677"/>
    <cellStyle name="Финансовый 15 2 2 5 2" xfId="49678"/>
    <cellStyle name="Финансовый 15 2 2 6" xfId="49679"/>
    <cellStyle name="Финансовый 15 2 3" xfId="49680"/>
    <cellStyle name="Финансовый 15 2 3 2" xfId="49681"/>
    <cellStyle name="Финансовый 15 2 3 2 2" xfId="49682"/>
    <cellStyle name="Финансовый 15 2 3 2 2 2" xfId="49683"/>
    <cellStyle name="Финансовый 15 2 3 2 3" xfId="49684"/>
    <cellStyle name="Финансовый 15 2 3 3" xfId="49685"/>
    <cellStyle name="Финансовый 15 2 3 3 2" xfId="49686"/>
    <cellStyle name="Финансовый 15 2 3 3 2 2" xfId="49687"/>
    <cellStyle name="Финансовый 15 2 3 3 3" xfId="49688"/>
    <cellStyle name="Финансовый 15 2 3 4" xfId="49689"/>
    <cellStyle name="Финансовый 15 2 3 4 2" xfId="49690"/>
    <cellStyle name="Финансовый 15 2 3 5" xfId="49691"/>
    <cellStyle name="Финансовый 15 2 3 5 2" xfId="49692"/>
    <cellStyle name="Финансовый 15 2 3 6" xfId="49693"/>
    <cellStyle name="Финансовый 15 2 4" xfId="49694"/>
    <cellStyle name="Финансовый 15 2 4 2" xfId="49695"/>
    <cellStyle name="Финансовый 15 2 5" xfId="49696"/>
    <cellStyle name="Финансовый 15 3" xfId="49697"/>
    <cellStyle name="Финансовый 16" xfId="49698"/>
    <cellStyle name="Финансовый 16 2" xfId="49699"/>
    <cellStyle name="Финансовый 16 2 2" xfId="49700"/>
    <cellStyle name="Финансовый 16 2 2 2" xfId="49701"/>
    <cellStyle name="Финансовый 16 2 2 2 2" xfId="49702"/>
    <cellStyle name="Финансовый 16 2 2 2 2 2" xfId="49703"/>
    <cellStyle name="Финансовый 16 2 2 2 3" xfId="49704"/>
    <cellStyle name="Финансовый 16 2 2 3" xfId="49705"/>
    <cellStyle name="Финансовый 16 2 2 3 2" xfId="49706"/>
    <cellStyle name="Финансовый 16 2 2 3 2 2" xfId="49707"/>
    <cellStyle name="Финансовый 16 2 2 3 3" xfId="49708"/>
    <cellStyle name="Финансовый 16 2 2 4" xfId="49709"/>
    <cellStyle name="Финансовый 16 2 2 4 2" xfId="49710"/>
    <cellStyle name="Финансовый 16 2 2 5" xfId="49711"/>
    <cellStyle name="Финансовый 16 2 2 5 2" xfId="49712"/>
    <cellStyle name="Финансовый 16 2 2 6" xfId="49713"/>
    <cellStyle name="Финансовый 16 2 3" xfId="49714"/>
    <cellStyle name="Финансовый 16 2 3 2" xfId="49715"/>
    <cellStyle name="Финансовый 16 2 3 2 2" xfId="49716"/>
    <cellStyle name="Финансовый 16 2 3 2 2 2" xfId="49717"/>
    <cellStyle name="Финансовый 16 2 3 2 3" xfId="49718"/>
    <cellStyle name="Финансовый 16 2 3 3" xfId="49719"/>
    <cellStyle name="Финансовый 16 2 3 3 2" xfId="49720"/>
    <cellStyle name="Финансовый 16 2 3 3 2 2" xfId="49721"/>
    <cellStyle name="Финансовый 16 2 3 3 3" xfId="49722"/>
    <cellStyle name="Финансовый 16 2 3 4" xfId="49723"/>
    <cellStyle name="Финансовый 16 2 3 4 2" xfId="49724"/>
    <cellStyle name="Финансовый 16 2 3 5" xfId="49725"/>
    <cellStyle name="Финансовый 16 2 3 5 2" xfId="49726"/>
    <cellStyle name="Финансовый 16 2 3 6" xfId="49727"/>
    <cellStyle name="Финансовый 16 2 4" xfId="49728"/>
    <cellStyle name="Финансовый 16 2 4 2" xfId="49729"/>
    <cellStyle name="Финансовый 16 2 5" xfId="49730"/>
    <cellStyle name="Финансовый 17" xfId="49731"/>
    <cellStyle name="Финансовый 17 2" xfId="49732"/>
    <cellStyle name="Финансовый 17 2 2" xfId="49733"/>
    <cellStyle name="Финансовый 17 2 2 2" xfId="49734"/>
    <cellStyle name="Финансовый 17 2 2 2 2" xfId="49735"/>
    <cellStyle name="Финансовый 17 2 2 2 2 2" xfId="49736"/>
    <cellStyle name="Финансовый 17 2 2 2 3" xfId="49737"/>
    <cellStyle name="Финансовый 17 2 2 3" xfId="49738"/>
    <cellStyle name="Финансовый 17 2 2 3 2" xfId="49739"/>
    <cellStyle name="Финансовый 17 2 2 3 2 2" xfId="49740"/>
    <cellStyle name="Финансовый 17 2 2 3 3" xfId="49741"/>
    <cellStyle name="Финансовый 17 2 2 4" xfId="49742"/>
    <cellStyle name="Финансовый 17 2 2 4 2" xfId="49743"/>
    <cellStyle name="Финансовый 17 2 2 5" xfId="49744"/>
    <cellStyle name="Финансовый 17 2 2 5 2" xfId="49745"/>
    <cellStyle name="Финансовый 17 2 2 6" xfId="49746"/>
    <cellStyle name="Финансовый 17 2 3" xfId="49747"/>
    <cellStyle name="Финансовый 17 2 3 2" xfId="49748"/>
    <cellStyle name="Финансовый 17 2 3 2 2" xfId="49749"/>
    <cellStyle name="Финансовый 17 2 3 2 2 2" xfId="49750"/>
    <cellStyle name="Финансовый 17 2 3 2 3" xfId="49751"/>
    <cellStyle name="Финансовый 17 2 3 3" xfId="49752"/>
    <cellStyle name="Финансовый 17 2 3 3 2" xfId="49753"/>
    <cellStyle name="Финансовый 17 2 3 3 2 2" xfId="49754"/>
    <cellStyle name="Финансовый 17 2 3 3 3" xfId="49755"/>
    <cellStyle name="Финансовый 17 2 3 4" xfId="49756"/>
    <cellStyle name="Финансовый 17 2 3 4 2" xfId="49757"/>
    <cellStyle name="Финансовый 17 2 3 5" xfId="49758"/>
    <cellStyle name="Финансовый 17 2 3 5 2" xfId="49759"/>
    <cellStyle name="Финансовый 17 2 3 6" xfId="49760"/>
    <cellStyle name="Финансовый 17 2 4" xfId="49761"/>
    <cellStyle name="Финансовый 17 2 4 2" xfId="49762"/>
    <cellStyle name="Финансовый 17 2 5" xfId="49763"/>
    <cellStyle name="Финансовый 17 3" xfId="49764"/>
    <cellStyle name="Финансовый 18" xfId="49765"/>
    <cellStyle name="Финансовый 18 2" xfId="49766"/>
    <cellStyle name="Финансовый 18 2 2" xfId="49767"/>
    <cellStyle name="Финансовый 18 2 2 2" xfId="49768"/>
    <cellStyle name="Финансовый 18 2 2 2 2" xfId="49769"/>
    <cellStyle name="Финансовый 18 2 2 2 2 2" xfId="49770"/>
    <cellStyle name="Финансовый 18 2 2 2 3" xfId="49771"/>
    <cellStyle name="Финансовый 18 2 2 3" xfId="49772"/>
    <cellStyle name="Финансовый 18 2 2 3 2" xfId="49773"/>
    <cellStyle name="Финансовый 18 2 2 3 2 2" xfId="49774"/>
    <cellStyle name="Финансовый 18 2 2 3 3" xfId="49775"/>
    <cellStyle name="Финансовый 18 2 2 4" xfId="49776"/>
    <cellStyle name="Финансовый 18 2 2 4 2" xfId="49777"/>
    <cellStyle name="Финансовый 18 2 2 5" xfId="49778"/>
    <cellStyle name="Финансовый 18 2 2 5 2" xfId="49779"/>
    <cellStyle name="Финансовый 18 2 2 6" xfId="49780"/>
    <cellStyle name="Финансовый 18 2 3" xfId="49781"/>
    <cellStyle name="Финансовый 18 2 3 2" xfId="49782"/>
    <cellStyle name="Финансовый 18 2 3 2 2" xfId="49783"/>
    <cellStyle name="Финансовый 18 2 3 2 2 2" xfId="49784"/>
    <cellStyle name="Финансовый 18 2 3 2 3" xfId="49785"/>
    <cellStyle name="Финансовый 18 2 3 3" xfId="49786"/>
    <cellStyle name="Финансовый 18 2 3 3 2" xfId="49787"/>
    <cellStyle name="Финансовый 18 2 3 3 2 2" xfId="49788"/>
    <cellStyle name="Финансовый 18 2 3 3 3" xfId="49789"/>
    <cellStyle name="Финансовый 18 2 3 4" xfId="49790"/>
    <cellStyle name="Финансовый 18 2 3 4 2" xfId="49791"/>
    <cellStyle name="Финансовый 18 2 3 5" xfId="49792"/>
    <cellStyle name="Финансовый 18 2 3 5 2" xfId="49793"/>
    <cellStyle name="Финансовый 18 2 3 6" xfId="49794"/>
    <cellStyle name="Финансовый 18 2 4" xfId="49795"/>
    <cellStyle name="Финансовый 18 2 4 2" xfId="49796"/>
    <cellStyle name="Финансовый 18 2 5" xfId="49797"/>
    <cellStyle name="Финансовый 19" xfId="49798"/>
    <cellStyle name="Финансовый 19 2" xfId="49799"/>
    <cellStyle name="Финансовый 19 2 2" xfId="49800"/>
    <cellStyle name="Финансовый 19 2 2 2" xfId="49801"/>
    <cellStyle name="Финансовый 19 2 2 2 2" xfId="49802"/>
    <cellStyle name="Финансовый 19 2 2 2 2 2" xfId="49803"/>
    <cellStyle name="Финансовый 19 2 2 2 3" xfId="49804"/>
    <cellStyle name="Финансовый 19 2 2 3" xfId="49805"/>
    <cellStyle name="Финансовый 19 2 2 3 2" xfId="49806"/>
    <cellStyle name="Финансовый 19 2 2 3 2 2" xfId="49807"/>
    <cellStyle name="Финансовый 19 2 2 3 3" xfId="49808"/>
    <cellStyle name="Финансовый 19 2 2 4" xfId="49809"/>
    <cellStyle name="Финансовый 19 2 2 4 2" xfId="49810"/>
    <cellStyle name="Финансовый 19 2 2 5" xfId="49811"/>
    <cellStyle name="Финансовый 19 2 2 5 2" xfId="49812"/>
    <cellStyle name="Финансовый 19 2 2 6" xfId="49813"/>
    <cellStyle name="Финансовый 19 2 3" xfId="49814"/>
    <cellStyle name="Финансовый 19 2 3 2" xfId="49815"/>
    <cellStyle name="Финансовый 19 2 3 2 2" xfId="49816"/>
    <cellStyle name="Финансовый 19 2 3 2 2 2" xfId="49817"/>
    <cellStyle name="Финансовый 19 2 3 2 3" xfId="49818"/>
    <cellStyle name="Финансовый 19 2 3 3" xfId="49819"/>
    <cellStyle name="Финансовый 19 2 3 3 2" xfId="49820"/>
    <cellStyle name="Финансовый 19 2 3 3 2 2" xfId="49821"/>
    <cellStyle name="Финансовый 19 2 3 3 3" xfId="49822"/>
    <cellStyle name="Финансовый 19 2 3 4" xfId="49823"/>
    <cellStyle name="Финансовый 19 2 3 4 2" xfId="49824"/>
    <cellStyle name="Финансовый 19 2 3 5" xfId="49825"/>
    <cellStyle name="Финансовый 19 2 3 5 2" xfId="49826"/>
    <cellStyle name="Финансовый 19 2 3 6" xfId="49827"/>
    <cellStyle name="Финансовый 19 2 4" xfId="49828"/>
    <cellStyle name="Финансовый 19 2 4 2" xfId="49829"/>
    <cellStyle name="Финансовый 19 2 5" xfId="49830"/>
    <cellStyle name="Финансовый 2" xfId="18"/>
    <cellStyle name="Финансовый 2 10" xfId="49831"/>
    <cellStyle name="Финансовый 2 10 2" xfId="49832"/>
    <cellStyle name="Финансовый 2 10 3" xfId="49833"/>
    <cellStyle name="Финансовый 2 11" xfId="49834"/>
    <cellStyle name="Финансовый 2 11 10" xfId="49835"/>
    <cellStyle name="Финансовый 2 11 11" xfId="49836"/>
    <cellStyle name="Финансовый 2 11 12" xfId="49837"/>
    <cellStyle name="Финансовый 2 11 13" xfId="49838"/>
    <cellStyle name="Финансовый 2 11 14" xfId="49839"/>
    <cellStyle name="Финансовый 2 11 15" xfId="49840"/>
    <cellStyle name="Финансовый 2 11 2" xfId="49841"/>
    <cellStyle name="Финансовый 2 11 2 10" xfId="49842"/>
    <cellStyle name="Финансовый 2 11 2 11" xfId="49843"/>
    <cellStyle name="Финансовый 2 11 2 12" xfId="49844"/>
    <cellStyle name="Финансовый 2 11 2 13" xfId="49845"/>
    <cellStyle name="Финансовый 2 11 2 14" xfId="49846"/>
    <cellStyle name="Финансовый 2 11 2 15" xfId="49847"/>
    <cellStyle name="Финансовый 2 11 2 2" xfId="49848"/>
    <cellStyle name="Финансовый 2 11 2 3" xfId="49849"/>
    <cellStyle name="Финансовый 2 11 2 4" xfId="49850"/>
    <cellStyle name="Финансовый 2 11 2 5" xfId="49851"/>
    <cellStyle name="Финансовый 2 11 2 6" xfId="49852"/>
    <cellStyle name="Финансовый 2 11 2 7" xfId="49853"/>
    <cellStyle name="Финансовый 2 11 2 8" xfId="49854"/>
    <cellStyle name="Финансовый 2 11 2 9" xfId="49855"/>
    <cellStyle name="Финансовый 2 11 3" xfId="49856"/>
    <cellStyle name="Финансовый 2 11 4" xfId="49857"/>
    <cellStyle name="Финансовый 2 11 5" xfId="49858"/>
    <cellStyle name="Финансовый 2 11 6" xfId="49859"/>
    <cellStyle name="Финансовый 2 11 7" xfId="49860"/>
    <cellStyle name="Финансовый 2 11 8" xfId="49861"/>
    <cellStyle name="Финансовый 2 11 9" xfId="49862"/>
    <cellStyle name="Финансовый 2 12" xfId="49863"/>
    <cellStyle name="Финансовый 2 12 2" xfId="49864"/>
    <cellStyle name="Финансовый 2 12 3" xfId="49865"/>
    <cellStyle name="Финансовый 2 13" xfId="49866"/>
    <cellStyle name="Финансовый 2 13 2" xfId="49867"/>
    <cellStyle name="Финансовый 2 14" xfId="49868"/>
    <cellStyle name="Финансовый 2 14 2" xfId="49869"/>
    <cellStyle name="Финансовый 2 15" xfId="49870"/>
    <cellStyle name="Финансовый 2 16" xfId="49871"/>
    <cellStyle name="Финансовый 2 17" xfId="49872"/>
    <cellStyle name="Финансовый 2 18" xfId="49873"/>
    <cellStyle name="Финансовый 2 19" xfId="49874"/>
    <cellStyle name="Финансовый 2 19 2" xfId="49875"/>
    <cellStyle name="Финансовый 2 19 2 2" xfId="49876"/>
    <cellStyle name="Финансовый 2 19 2 2 2" xfId="49877"/>
    <cellStyle name="Финансовый 2 19 2 2 2 2" xfId="49878"/>
    <cellStyle name="Финансовый 2 19 2 2 2 2 2" xfId="49879"/>
    <cellStyle name="Финансовый 2 19 2 2 2 3" xfId="49880"/>
    <cellStyle name="Финансовый 2 19 2 2 3" xfId="49881"/>
    <cellStyle name="Финансовый 2 19 2 2 3 2" xfId="49882"/>
    <cellStyle name="Финансовый 2 19 2 2 3 2 2" xfId="49883"/>
    <cellStyle name="Финансовый 2 19 2 2 3 3" xfId="49884"/>
    <cellStyle name="Финансовый 2 19 2 2 4" xfId="49885"/>
    <cellStyle name="Финансовый 2 19 2 2 4 2" xfId="49886"/>
    <cellStyle name="Финансовый 2 19 2 2 5" xfId="49887"/>
    <cellStyle name="Финансовый 2 19 2 3" xfId="49888"/>
    <cellStyle name="Финансовый 2 19 2 3 2" xfId="49889"/>
    <cellStyle name="Финансовый 2 19 2 3 2 2" xfId="49890"/>
    <cellStyle name="Финансовый 2 19 2 3 2 2 2" xfId="49891"/>
    <cellStyle name="Финансовый 2 19 2 3 2 3" xfId="49892"/>
    <cellStyle name="Финансовый 2 19 2 3 3" xfId="49893"/>
    <cellStyle name="Финансовый 2 19 2 3 3 2" xfId="49894"/>
    <cellStyle name="Финансовый 2 19 2 3 3 2 2" xfId="49895"/>
    <cellStyle name="Финансовый 2 19 2 3 3 3" xfId="49896"/>
    <cellStyle name="Финансовый 2 19 2 3 4" xfId="49897"/>
    <cellStyle name="Финансовый 2 19 2 3 4 2" xfId="49898"/>
    <cellStyle name="Финансовый 2 19 2 3 5" xfId="49899"/>
    <cellStyle name="Финансовый 2 19 2 4" xfId="49900"/>
    <cellStyle name="Финансовый 2 19 2 4 2" xfId="49901"/>
    <cellStyle name="Финансовый 2 19 2 4 2 2" xfId="49902"/>
    <cellStyle name="Финансовый 2 19 2 4 3" xfId="49903"/>
    <cellStyle name="Финансовый 2 19 2 5" xfId="49904"/>
    <cellStyle name="Финансовый 2 19 2 5 2" xfId="49905"/>
    <cellStyle name="Финансовый 2 19 2 5 2 2" xfId="49906"/>
    <cellStyle name="Финансовый 2 19 2 5 3" xfId="49907"/>
    <cellStyle name="Финансовый 2 19 2 6" xfId="49908"/>
    <cellStyle name="Финансовый 2 19 2 6 2" xfId="49909"/>
    <cellStyle name="Финансовый 2 19 2 7" xfId="49910"/>
    <cellStyle name="Финансовый 2 19 2 7 2" xfId="49911"/>
    <cellStyle name="Финансовый 2 19 2 8" xfId="49912"/>
    <cellStyle name="Финансовый 2 19 3" xfId="49913"/>
    <cellStyle name="Финансовый 2 19 3 2" xfId="49914"/>
    <cellStyle name="Финансовый 2 19 3 2 2" xfId="49915"/>
    <cellStyle name="Финансовый 2 19 3 2 2 2" xfId="49916"/>
    <cellStyle name="Финансовый 2 19 3 2 2 2 2" xfId="49917"/>
    <cellStyle name="Финансовый 2 19 3 2 2 3" xfId="49918"/>
    <cellStyle name="Финансовый 2 19 3 2 3" xfId="49919"/>
    <cellStyle name="Финансовый 2 19 3 2 3 2" xfId="49920"/>
    <cellStyle name="Финансовый 2 19 3 2 3 2 2" xfId="49921"/>
    <cellStyle name="Финансовый 2 19 3 2 3 3" xfId="49922"/>
    <cellStyle name="Финансовый 2 19 3 2 4" xfId="49923"/>
    <cellStyle name="Финансовый 2 19 3 2 4 2" xfId="49924"/>
    <cellStyle name="Финансовый 2 19 3 2 5" xfId="49925"/>
    <cellStyle name="Финансовый 2 19 3 3" xfId="49926"/>
    <cellStyle name="Финансовый 2 19 3 3 2" xfId="49927"/>
    <cellStyle name="Финансовый 2 19 3 3 2 2" xfId="49928"/>
    <cellStyle name="Финансовый 2 19 3 3 2 2 2" xfId="49929"/>
    <cellStyle name="Финансовый 2 19 3 3 2 3" xfId="49930"/>
    <cellStyle name="Финансовый 2 19 3 3 3" xfId="49931"/>
    <cellStyle name="Финансовый 2 19 3 3 3 2" xfId="49932"/>
    <cellStyle name="Финансовый 2 19 3 3 3 2 2" xfId="49933"/>
    <cellStyle name="Финансовый 2 19 3 3 3 3" xfId="49934"/>
    <cellStyle name="Финансовый 2 19 3 3 4" xfId="49935"/>
    <cellStyle name="Финансовый 2 19 3 3 4 2" xfId="49936"/>
    <cellStyle name="Финансовый 2 19 3 3 5" xfId="49937"/>
    <cellStyle name="Финансовый 2 19 3 4" xfId="49938"/>
    <cellStyle name="Финансовый 2 19 3 4 2" xfId="49939"/>
    <cellStyle name="Финансовый 2 19 3 4 2 2" xfId="49940"/>
    <cellStyle name="Финансовый 2 19 3 4 3" xfId="49941"/>
    <cellStyle name="Финансовый 2 19 3 5" xfId="49942"/>
    <cellStyle name="Финансовый 2 19 3 5 2" xfId="49943"/>
    <cellStyle name="Финансовый 2 19 3 5 2 2" xfId="49944"/>
    <cellStyle name="Финансовый 2 19 3 5 3" xfId="49945"/>
    <cellStyle name="Финансовый 2 19 3 6" xfId="49946"/>
    <cellStyle name="Финансовый 2 19 3 6 2" xfId="49947"/>
    <cellStyle name="Финансовый 2 19 3 7" xfId="49948"/>
    <cellStyle name="Финансовый 2 19 3 7 2" xfId="49949"/>
    <cellStyle name="Финансовый 2 19 3 8" xfId="49950"/>
    <cellStyle name="Финансовый 2 19 4" xfId="49951"/>
    <cellStyle name="Финансовый 2 19 4 2" xfId="49952"/>
    <cellStyle name="Финансовый 2 19 4 2 2" xfId="49953"/>
    <cellStyle name="Финансовый 2 19 4 2 2 2" xfId="49954"/>
    <cellStyle name="Финансовый 2 19 4 2 2 2 2" xfId="49955"/>
    <cellStyle name="Финансовый 2 19 4 2 2 3" xfId="49956"/>
    <cellStyle name="Финансовый 2 19 4 2 3" xfId="49957"/>
    <cellStyle name="Финансовый 2 19 4 2 3 2" xfId="49958"/>
    <cellStyle name="Финансовый 2 19 4 2 3 2 2" xfId="49959"/>
    <cellStyle name="Финансовый 2 19 4 2 3 3" xfId="49960"/>
    <cellStyle name="Финансовый 2 19 4 2 4" xfId="49961"/>
    <cellStyle name="Финансовый 2 19 4 2 4 2" xfId="49962"/>
    <cellStyle name="Финансовый 2 19 4 2 5" xfId="49963"/>
    <cellStyle name="Финансовый 2 19 4 3" xfId="49964"/>
    <cellStyle name="Финансовый 2 19 4 3 2" xfId="49965"/>
    <cellStyle name="Финансовый 2 19 4 3 2 2" xfId="49966"/>
    <cellStyle name="Финансовый 2 19 4 3 2 2 2" xfId="49967"/>
    <cellStyle name="Финансовый 2 19 4 3 2 3" xfId="49968"/>
    <cellStyle name="Финансовый 2 19 4 3 3" xfId="49969"/>
    <cellStyle name="Финансовый 2 19 4 3 3 2" xfId="49970"/>
    <cellStyle name="Финансовый 2 19 4 3 3 2 2" xfId="49971"/>
    <cellStyle name="Финансовый 2 19 4 3 3 3" xfId="49972"/>
    <cellStyle name="Финансовый 2 19 4 3 4" xfId="49973"/>
    <cellStyle name="Финансовый 2 19 4 3 4 2" xfId="49974"/>
    <cellStyle name="Финансовый 2 19 4 3 5" xfId="49975"/>
    <cellStyle name="Финансовый 2 19 4 4" xfId="49976"/>
    <cellStyle name="Финансовый 2 19 4 4 2" xfId="49977"/>
    <cellStyle name="Финансовый 2 19 4 4 2 2" xfId="49978"/>
    <cellStyle name="Финансовый 2 19 4 4 3" xfId="49979"/>
    <cellStyle name="Финансовый 2 19 4 5" xfId="49980"/>
    <cellStyle name="Финансовый 2 19 4 5 2" xfId="49981"/>
    <cellStyle name="Финансовый 2 19 4 5 2 2" xfId="49982"/>
    <cellStyle name="Финансовый 2 19 4 5 3" xfId="49983"/>
    <cellStyle name="Финансовый 2 19 4 6" xfId="49984"/>
    <cellStyle name="Финансовый 2 19 4 6 2" xfId="49985"/>
    <cellStyle name="Финансовый 2 19 5" xfId="49986"/>
    <cellStyle name="Финансовый 2 19 5 2" xfId="49987"/>
    <cellStyle name="Финансовый 2 19 5 2 2" xfId="49988"/>
    <cellStyle name="Финансовый 2 19 5 2 2 2" xfId="49989"/>
    <cellStyle name="Финансовый 2 19 5 2 3" xfId="49990"/>
    <cellStyle name="Финансовый 2 19 5 3" xfId="49991"/>
    <cellStyle name="Финансовый 2 19 5 3 2" xfId="49992"/>
    <cellStyle name="Финансовый 2 19 5 3 2 2" xfId="49993"/>
    <cellStyle name="Финансовый 2 19 5 3 3" xfId="49994"/>
    <cellStyle name="Финансовый 2 19 5 4" xfId="49995"/>
    <cellStyle name="Финансовый 2 19 5 4 2" xfId="49996"/>
    <cellStyle name="Финансовый 2 19 5 5" xfId="49997"/>
    <cellStyle name="Финансовый 2 19 6" xfId="49998"/>
    <cellStyle name="Финансовый 2 19 6 2" xfId="49999"/>
    <cellStyle name="Финансовый 2 19 6 2 2" xfId="50000"/>
    <cellStyle name="Финансовый 2 19 6 2 2 2" xfId="50001"/>
    <cellStyle name="Финансовый 2 19 6 2 3" xfId="50002"/>
    <cellStyle name="Финансовый 2 19 6 3" xfId="50003"/>
    <cellStyle name="Финансовый 2 19 6 3 2" xfId="50004"/>
    <cellStyle name="Финансовый 2 19 6 3 2 2" xfId="50005"/>
    <cellStyle name="Финансовый 2 19 6 3 3" xfId="50006"/>
    <cellStyle name="Финансовый 2 19 6 4" xfId="50007"/>
    <cellStyle name="Финансовый 2 19 6 4 2" xfId="50008"/>
    <cellStyle name="Финансовый 2 19 6 5" xfId="50009"/>
    <cellStyle name="Финансовый 2 19 7" xfId="50010"/>
    <cellStyle name="Финансовый 2 19 7 2" xfId="50011"/>
    <cellStyle name="Финансовый 2 19 8" xfId="50012"/>
    <cellStyle name="Финансовый 2 2" xfId="21"/>
    <cellStyle name="Финансовый 2 2 10" xfId="50013"/>
    <cellStyle name="Финансовый 2 2 2" xfId="50014"/>
    <cellStyle name="Финансовый 2 2 3" xfId="50015"/>
    <cellStyle name="Финансовый 2 2 3 2" xfId="50016"/>
    <cellStyle name="Финансовый 2 2 4" xfId="50017"/>
    <cellStyle name="Финансовый 2 2 5" xfId="50018"/>
    <cellStyle name="Финансовый 2 2 6" xfId="50019"/>
    <cellStyle name="Финансовый 2 2 7" xfId="50020"/>
    <cellStyle name="Финансовый 2 2 8" xfId="50021"/>
    <cellStyle name="Финансовый 2 2 9" xfId="50022"/>
    <cellStyle name="Финансовый 2 20" xfId="50023"/>
    <cellStyle name="Финансовый 2 20 2" xfId="50024"/>
    <cellStyle name="Финансовый 2 20 2 2" xfId="50025"/>
    <cellStyle name="Финансовый 2 20 2 2 2" xfId="50026"/>
    <cellStyle name="Финансовый 2 20 2 3" xfId="50027"/>
    <cellStyle name="Финансовый 2 20 3" xfId="50028"/>
    <cellStyle name="Финансовый 2 20 3 2" xfId="50029"/>
    <cellStyle name="Финансовый 2 21" xfId="50030"/>
    <cellStyle name="Финансовый 2 22" xfId="50031"/>
    <cellStyle name="Финансовый 2 23" xfId="50032"/>
    <cellStyle name="Финансовый 2 24" xfId="50033"/>
    <cellStyle name="Финансовый 2 25" xfId="50034"/>
    <cellStyle name="Финансовый 2 26" xfId="50035"/>
    <cellStyle name="Финансовый 2 27" xfId="50036"/>
    <cellStyle name="Финансовый 2 28" xfId="50037"/>
    <cellStyle name="Финансовый 2 3" xfId="50038"/>
    <cellStyle name="Финансовый 2 3 2" xfId="50039"/>
    <cellStyle name="Финансовый 2 3 3" xfId="50040"/>
    <cellStyle name="Финансовый 2 3 3 2" xfId="50041"/>
    <cellStyle name="Финансовый 2 4" xfId="50042"/>
    <cellStyle name="Финансовый 2 4 2" xfId="50043"/>
    <cellStyle name="Финансовый 2 5" xfId="50044"/>
    <cellStyle name="Финансовый 2 5 2" xfId="50045"/>
    <cellStyle name="Финансовый 2 6" xfId="50046"/>
    <cellStyle name="Финансовый 2 6 2" xfId="50047"/>
    <cellStyle name="Финансовый 2 6 3" xfId="50048"/>
    <cellStyle name="Финансовый 2 7" xfId="50049"/>
    <cellStyle name="Финансовый 2 7 2" xfId="50050"/>
    <cellStyle name="Финансовый 2 8" xfId="50051"/>
    <cellStyle name="Финансовый 2 9" xfId="50052"/>
    <cellStyle name="Финансовый 2_CF_без реорганизации" xfId="50053"/>
    <cellStyle name="Финансовый 20" xfId="50054"/>
    <cellStyle name="Финансовый 20 10" xfId="50055"/>
    <cellStyle name="Финансовый 20 10 2" xfId="50056"/>
    <cellStyle name="Финансовый 20 11" xfId="50057"/>
    <cellStyle name="Финансовый 20 2" xfId="50058"/>
    <cellStyle name="Финансовый 20 2 2" xfId="50059"/>
    <cellStyle name="Финансовый 20 2 2 2" xfId="50060"/>
    <cellStyle name="Финансовый 20 2 2 2 2" xfId="50061"/>
    <cellStyle name="Финансовый 20 2 2 2 2 2" xfId="50062"/>
    <cellStyle name="Финансовый 20 2 2 2 2 2 2" xfId="50063"/>
    <cellStyle name="Финансовый 20 2 2 2 2 3" xfId="50064"/>
    <cellStyle name="Финансовый 20 2 2 2 3" xfId="50065"/>
    <cellStyle name="Финансовый 20 2 2 2 3 2" xfId="50066"/>
    <cellStyle name="Финансовый 20 2 2 2 3 2 2" xfId="50067"/>
    <cellStyle name="Финансовый 20 2 2 2 3 3" xfId="50068"/>
    <cellStyle name="Финансовый 20 2 2 2 4" xfId="50069"/>
    <cellStyle name="Финансовый 20 2 2 2 4 2" xfId="50070"/>
    <cellStyle name="Финансовый 20 2 2 2 5" xfId="50071"/>
    <cellStyle name="Финансовый 20 2 2 2 5 2" xfId="50072"/>
    <cellStyle name="Финансовый 20 2 2 2 6" xfId="50073"/>
    <cellStyle name="Финансовый 20 2 2 3" xfId="50074"/>
    <cellStyle name="Финансовый 20 2 2 3 2" xfId="50075"/>
    <cellStyle name="Финансовый 20 2 2 3 2 2" xfId="50076"/>
    <cellStyle name="Финансовый 20 2 2 3 2 2 2" xfId="50077"/>
    <cellStyle name="Финансовый 20 2 2 3 2 3" xfId="50078"/>
    <cellStyle name="Финансовый 20 2 2 3 3" xfId="50079"/>
    <cellStyle name="Финансовый 20 2 2 3 3 2" xfId="50080"/>
    <cellStyle name="Финансовый 20 2 2 3 3 2 2" xfId="50081"/>
    <cellStyle name="Финансовый 20 2 2 3 3 3" xfId="50082"/>
    <cellStyle name="Финансовый 20 2 2 3 4" xfId="50083"/>
    <cellStyle name="Финансовый 20 2 2 3 4 2" xfId="50084"/>
    <cellStyle name="Финансовый 20 2 2 3 5" xfId="50085"/>
    <cellStyle name="Финансовый 20 2 2 3 5 2" xfId="50086"/>
    <cellStyle name="Финансовый 20 2 2 3 6" xfId="50087"/>
    <cellStyle name="Финансовый 20 2 2 4" xfId="50088"/>
    <cellStyle name="Финансовый 20 2 2 4 2" xfId="50089"/>
    <cellStyle name="Финансовый 20 2 2 4 2 2" xfId="50090"/>
    <cellStyle name="Финансовый 20 2 2 4 3" xfId="50091"/>
    <cellStyle name="Финансовый 20 2 2 5" xfId="50092"/>
    <cellStyle name="Финансовый 20 2 2 5 2" xfId="50093"/>
    <cellStyle name="Финансовый 20 2 2 5 2 2" xfId="50094"/>
    <cellStyle name="Финансовый 20 2 2 5 3" xfId="50095"/>
    <cellStyle name="Финансовый 20 2 2 6" xfId="50096"/>
    <cellStyle name="Финансовый 20 2 2 6 2" xfId="50097"/>
    <cellStyle name="Финансовый 20 2 2 7" xfId="50098"/>
    <cellStyle name="Финансовый 20 2 2 7 2" xfId="50099"/>
    <cellStyle name="Финансовый 20 2 2 8" xfId="50100"/>
    <cellStyle name="Финансовый 20 2 3" xfId="50101"/>
    <cellStyle name="Финансовый 20 2 3 2" xfId="50102"/>
    <cellStyle name="Финансовый 20 2 3 2 2" xfId="50103"/>
    <cellStyle name="Финансовый 20 2 3 2 2 2" xfId="50104"/>
    <cellStyle name="Финансовый 20 2 3 2 3" xfId="50105"/>
    <cellStyle name="Финансовый 20 2 3 2 3 2" xfId="50106"/>
    <cellStyle name="Финансовый 20 2 3 2 4" xfId="50107"/>
    <cellStyle name="Финансовый 20 2 3 3" xfId="50108"/>
    <cellStyle name="Финансовый 20 2 3 3 2" xfId="50109"/>
    <cellStyle name="Финансовый 20 2 3 3 2 2" xfId="50110"/>
    <cellStyle name="Финансовый 20 2 3 3 3" xfId="50111"/>
    <cellStyle name="Финансовый 20 2 3 4" xfId="50112"/>
    <cellStyle name="Финансовый 20 2 3 4 2" xfId="50113"/>
    <cellStyle name="Финансовый 20 2 3 5" xfId="50114"/>
    <cellStyle name="Финансовый 20 2 3 5 2" xfId="50115"/>
    <cellStyle name="Финансовый 20 2 3 6" xfId="50116"/>
    <cellStyle name="Финансовый 20 2 4" xfId="50117"/>
    <cellStyle name="Финансовый 20 2 4 2" xfId="50118"/>
    <cellStyle name="Финансовый 20 2 4 2 2" xfId="50119"/>
    <cellStyle name="Финансовый 20 2 4 2 2 2" xfId="50120"/>
    <cellStyle name="Финансовый 20 2 4 2 3" xfId="50121"/>
    <cellStyle name="Финансовый 20 2 4 3" xfId="50122"/>
    <cellStyle name="Финансовый 20 2 4 3 2" xfId="50123"/>
    <cellStyle name="Финансовый 20 2 4 3 2 2" xfId="50124"/>
    <cellStyle name="Финансовый 20 2 4 3 3" xfId="50125"/>
    <cellStyle name="Финансовый 20 2 4 4" xfId="50126"/>
    <cellStyle name="Финансовый 20 2 4 4 2" xfId="50127"/>
    <cellStyle name="Финансовый 20 2 4 5" xfId="50128"/>
    <cellStyle name="Финансовый 20 2 4 5 2" xfId="50129"/>
    <cellStyle name="Финансовый 20 2 4 6" xfId="50130"/>
    <cellStyle name="Финансовый 20 2 5" xfId="50131"/>
    <cellStyle name="Финансовый 20 2 5 2" xfId="50132"/>
    <cellStyle name="Финансовый 20 2 5 2 2" xfId="50133"/>
    <cellStyle name="Финансовый 20 2 5 3" xfId="50134"/>
    <cellStyle name="Финансовый 20 2 6" xfId="50135"/>
    <cellStyle name="Финансовый 20 2 6 2" xfId="50136"/>
    <cellStyle name="Финансовый 20 2 6 2 2" xfId="50137"/>
    <cellStyle name="Финансовый 20 2 6 3" xfId="50138"/>
    <cellStyle name="Финансовый 20 2 7" xfId="50139"/>
    <cellStyle name="Финансовый 20 2 7 2" xfId="50140"/>
    <cellStyle name="Финансовый 20 2 8" xfId="50141"/>
    <cellStyle name="Финансовый 20 2 8 2" xfId="50142"/>
    <cellStyle name="Финансовый 20 2 9" xfId="50143"/>
    <cellStyle name="Финансовый 20 3" xfId="50144"/>
    <cellStyle name="Финансовый 20 3 2" xfId="50145"/>
    <cellStyle name="Финансовый 20 3 2 2" xfId="50146"/>
    <cellStyle name="Финансовый 20 3 2 2 2" xfId="50147"/>
    <cellStyle name="Финансовый 20 3 2 2 2 2" xfId="50148"/>
    <cellStyle name="Финансовый 20 3 2 2 3" xfId="50149"/>
    <cellStyle name="Финансовый 20 3 2 2 3 2" xfId="50150"/>
    <cellStyle name="Финансовый 20 3 2 2 4" xfId="50151"/>
    <cellStyle name="Финансовый 20 3 2 3" xfId="50152"/>
    <cellStyle name="Финансовый 20 3 2 3 2" xfId="50153"/>
    <cellStyle name="Финансовый 20 3 2 3 2 2" xfId="50154"/>
    <cellStyle name="Финансовый 20 3 2 3 3" xfId="50155"/>
    <cellStyle name="Финансовый 20 3 2 4" xfId="50156"/>
    <cellStyle name="Финансовый 20 3 2 4 2" xfId="50157"/>
    <cellStyle name="Финансовый 20 3 2 5" xfId="50158"/>
    <cellStyle name="Финансовый 20 3 2 5 2" xfId="50159"/>
    <cellStyle name="Финансовый 20 3 2 6" xfId="50160"/>
    <cellStyle name="Финансовый 20 3 3" xfId="50161"/>
    <cellStyle name="Финансовый 20 3 3 2" xfId="50162"/>
    <cellStyle name="Финансовый 20 3 3 2 2" xfId="50163"/>
    <cellStyle name="Финансовый 20 3 3 2 2 2" xfId="50164"/>
    <cellStyle name="Финансовый 20 3 3 2 3" xfId="50165"/>
    <cellStyle name="Финансовый 20 3 3 3" xfId="50166"/>
    <cellStyle name="Финансовый 20 3 3 3 2" xfId="50167"/>
    <cellStyle name="Финансовый 20 3 3 3 2 2" xfId="50168"/>
    <cellStyle name="Финансовый 20 3 3 3 3" xfId="50169"/>
    <cellStyle name="Финансовый 20 3 3 4" xfId="50170"/>
    <cellStyle name="Финансовый 20 3 3 4 2" xfId="50171"/>
    <cellStyle name="Финансовый 20 3 3 5" xfId="50172"/>
    <cellStyle name="Финансовый 20 3 3 5 2" xfId="50173"/>
    <cellStyle name="Финансовый 20 3 3 6" xfId="50174"/>
    <cellStyle name="Финансовый 20 3 4" xfId="50175"/>
    <cellStyle name="Финансовый 20 3 4 2" xfId="50176"/>
    <cellStyle name="Финансовый 20 3 4 2 2" xfId="50177"/>
    <cellStyle name="Финансовый 20 3 4 3" xfId="50178"/>
    <cellStyle name="Финансовый 20 3 4 3 2" xfId="50179"/>
    <cellStyle name="Финансовый 20 3 4 4" xfId="50180"/>
    <cellStyle name="Финансовый 20 3 5" xfId="50181"/>
    <cellStyle name="Финансовый 20 3 5 2" xfId="50182"/>
    <cellStyle name="Финансовый 20 3 5 2 2" xfId="50183"/>
    <cellStyle name="Финансовый 20 3 5 3" xfId="50184"/>
    <cellStyle name="Финансовый 20 3 6" xfId="50185"/>
    <cellStyle name="Финансовый 20 3 6 2" xfId="50186"/>
    <cellStyle name="Финансовый 20 3 7" xfId="50187"/>
    <cellStyle name="Финансовый 20 3 7 2" xfId="50188"/>
    <cellStyle name="Финансовый 20 3 8" xfId="50189"/>
    <cellStyle name="Финансовый 20 4" xfId="50190"/>
    <cellStyle name="Финансовый 20 4 2" xfId="50191"/>
    <cellStyle name="Финансовый 20 4 2 2" xfId="50192"/>
    <cellStyle name="Финансовый 20 4 2 2 2" xfId="50193"/>
    <cellStyle name="Финансовый 20 4 2 2 2 2" xfId="50194"/>
    <cellStyle name="Финансовый 20 4 2 2 3" xfId="50195"/>
    <cellStyle name="Финансовый 20 4 2 3" xfId="50196"/>
    <cellStyle name="Финансовый 20 4 2 3 2" xfId="50197"/>
    <cellStyle name="Финансовый 20 4 2 3 2 2" xfId="50198"/>
    <cellStyle name="Финансовый 20 4 2 3 3" xfId="50199"/>
    <cellStyle name="Финансовый 20 4 2 4" xfId="50200"/>
    <cellStyle name="Финансовый 20 4 2 4 2" xfId="50201"/>
    <cellStyle name="Финансовый 20 4 2 5" xfId="50202"/>
    <cellStyle name="Финансовый 20 4 2 5 2" xfId="50203"/>
    <cellStyle name="Финансовый 20 4 2 6" xfId="50204"/>
    <cellStyle name="Финансовый 20 4 3" xfId="50205"/>
    <cellStyle name="Финансовый 20 4 3 2" xfId="50206"/>
    <cellStyle name="Финансовый 20 4 3 2 2" xfId="50207"/>
    <cellStyle name="Финансовый 20 4 3 2 2 2" xfId="50208"/>
    <cellStyle name="Финансовый 20 4 3 2 3" xfId="50209"/>
    <cellStyle name="Финансовый 20 4 3 3" xfId="50210"/>
    <cellStyle name="Финансовый 20 4 3 3 2" xfId="50211"/>
    <cellStyle name="Финансовый 20 4 3 3 2 2" xfId="50212"/>
    <cellStyle name="Финансовый 20 4 3 3 3" xfId="50213"/>
    <cellStyle name="Финансовый 20 4 3 4" xfId="50214"/>
    <cellStyle name="Финансовый 20 4 3 4 2" xfId="50215"/>
    <cellStyle name="Финансовый 20 4 3 5" xfId="50216"/>
    <cellStyle name="Финансовый 20 4 4" xfId="50217"/>
    <cellStyle name="Финансовый 20 4 5" xfId="50218"/>
    <cellStyle name="Финансовый 20 4 5 2" xfId="50219"/>
    <cellStyle name="Финансовый 20 4 6" xfId="50220"/>
    <cellStyle name="Финансовый 20 5" xfId="50221"/>
    <cellStyle name="Финансовый 20 5 2" xfId="50222"/>
    <cellStyle name="Финансовый 20 5 2 2" xfId="50223"/>
    <cellStyle name="Финансовый 20 5 2 2 2" xfId="50224"/>
    <cellStyle name="Финансовый 20 5 2 3" xfId="50225"/>
    <cellStyle name="Финансовый 20 5 3" xfId="50226"/>
    <cellStyle name="Финансовый 20 5 3 2" xfId="50227"/>
    <cellStyle name="Финансовый 20 5 3 2 2" xfId="50228"/>
    <cellStyle name="Финансовый 20 5 3 3" xfId="50229"/>
    <cellStyle name="Финансовый 20 5 4" xfId="50230"/>
    <cellStyle name="Финансовый 20 5 4 2" xfId="50231"/>
    <cellStyle name="Финансовый 20 5 5" xfId="50232"/>
    <cellStyle name="Финансовый 20 5 5 2" xfId="50233"/>
    <cellStyle name="Финансовый 20 5 6" xfId="50234"/>
    <cellStyle name="Финансовый 20 6" xfId="50235"/>
    <cellStyle name="Финансовый 20 6 2" xfId="50236"/>
    <cellStyle name="Финансовый 20 6 2 2" xfId="50237"/>
    <cellStyle name="Финансовый 20 6 2 2 2" xfId="50238"/>
    <cellStyle name="Финансовый 20 6 2 3" xfId="50239"/>
    <cellStyle name="Финансовый 20 6 3" xfId="50240"/>
    <cellStyle name="Финансовый 20 6 3 2" xfId="50241"/>
    <cellStyle name="Финансовый 20 6 3 2 2" xfId="50242"/>
    <cellStyle name="Финансовый 20 6 3 3" xfId="50243"/>
    <cellStyle name="Финансовый 20 6 4" xfId="50244"/>
    <cellStyle name="Финансовый 20 6 4 2" xfId="50245"/>
    <cellStyle name="Финансовый 20 6 5" xfId="50246"/>
    <cellStyle name="Финансовый 20 6 5 2" xfId="50247"/>
    <cellStyle name="Финансовый 20 6 6" xfId="50248"/>
    <cellStyle name="Финансовый 20 7" xfId="50249"/>
    <cellStyle name="Финансовый 20 7 2" xfId="50250"/>
    <cellStyle name="Финансовый 20 7 2 2" xfId="50251"/>
    <cellStyle name="Финансовый 20 7 3" xfId="50252"/>
    <cellStyle name="Финансовый 20 8" xfId="50253"/>
    <cellStyle name="Финансовый 20 8 2" xfId="50254"/>
    <cellStyle name="Финансовый 20 8 2 2" xfId="50255"/>
    <cellStyle name="Финансовый 20 8 3" xfId="50256"/>
    <cellStyle name="Финансовый 20 9" xfId="50257"/>
    <cellStyle name="Финансовый 20 9 2" xfId="50258"/>
    <cellStyle name="Финансовый 21" xfId="50259"/>
    <cellStyle name="Финансовый 21 2" xfId="50260"/>
    <cellStyle name="Финансовый 21 2 2" xfId="50261"/>
    <cellStyle name="Финансовый 21 2 2 2" xfId="50262"/>
    <cellStyle name="Финансовый 21 2 2 2 2" xfId="50263"/>
    <cellStyle name="Финансовый 21 2 2 2 2 2" xfId="50264"/>
    <cellStyle name="Финансовый 21 2 2 2 3" xfId="50265"/>
    <cellStyle name="Финансовый 21 2 2 3" xfId="50266"/>
    <cellStyle name="Финансовый 21 2 2 3 2" xfId="50267"/>
    <cellStyle name="Финансовый 21 2 2 3 2 2" xfId="50268"/>
    <cellStyle name="Финансовый 21 2 2 3 3" xfId="50269"/>
    <cellStyle name="Финансовый 21 2 2 4" xfId="50270"/>
    <cellStyle name="Финансовый 21 2 2 4 2" xfId="50271"/>
    <cellStyle name="Финансовый 21 2 2 5" xfId="50272"/>
    <cellStyle name="Финансовый 21 2 2 5 2" xfId="50273"/>
    <cellStyle name="Финансовый 21 2 2 6" xfId="50274"/>
    <cellStyle name="Финансовый 21 2 3" xfId="50275"/>
    <cellStyle name="Финансовый 21 2 3 2" xfId="50276"/>
    <cellStyle name="Финансовый 21 2 3 2 2" xfId="50277"/>
    <cellStyle name="Финансовый 21 2 3 2 2 2" xfId="50278"/>
    <cellStyle name="Финансовый 21 2 3 2 3" xfId="50279"/>
    <cellStyle name="Финансовый 21 2 3 3" xfId="50280"/>
    <cellStyle name="Финансовый 21 2 3 3 2" xfId="50281"/>
    <cellStyle name="Финансовый 21 2 3 3 2 2" xfId="50282"/>
    <cellStyle name="Финансовый 21 2 3 3 3" xfId="50283"/>
    <cellStyle name="Финансовый 21 2 3 4" xfId="50284"/>
    <cellStyle name="Финансовый 21 2 3 4 2" xfId="50285"/>
    <cellStyle name="Финансовый 21 2 3 5" xfId="50286"/>
    <cellStyle name="Финансовый 21 2 3 5 2" xfId="50287"/>
    <cellStyle name="Финансовый 21 2 3 6" xfId="50288"/>
    <cellStyle name="Финансовый 21 2 4" xfId="50289"/>
    <cellStyle name="Финансовый 21 2 4 2" xfId="50290"/>
    <cellStyle name="Финансовый 21 2 5" xfId="50291"/>
    <cellStyle name="Финансовый 22" xfId="50292"/>
    <cellStyle name="Финансовый 22 10" xfId="50293"/>
    <cellStyle name="Финансовый 22 10 2" xfId="50294"/>
    <cellStyle name="Финансовый 22 10 2 2" xfId="50295"/>
    <cellStyle name="Финансовый 22 10 3" xfId="50296"/>
    <cellStyle name="Финансовый 22 11" xfId="50297"/>
    <cellStyle name="Финансовый 22 11 2" xfId="50298"/>
    <cellStyle name="Финансовый 22 12" xfId="50299"/>
    <cellStyle name="Финансовый 22 12 2" xfId="50300"/>
    <cellStyle name="Финансовый 22 13" xfId="50301"/>
    <cellStyle name="Финансовый 22 2" xfId="50302"/>
    <cellStyle name="Финансовый 22 2 10" xfId="50303"/>
    <cellStyle name="Финансовый 22 2 10 2" xfId="50304"/>
    <cellStyle name="Финансовый 22 2 11" xfId="50305"/>
    <cellStyle name="Финансовый 22 2 2" xfId="50306"/>
    <cellStyle name="Финансовый 22 2 2 2" xfId="50307"/>
    <cellStyle name="Финансовый 22 2 2 2 2" xfId="50308"/>
    <cellStyle name="Финансовый 22 2 2 2 2 2" xfId="50309"/>
    <cellStyle name="Финансовый 22 2 2 2 2 2 2" xfId="50310"/>
    <cellStyle name="Финансовый 22 2 2 2 2 2 2 2" xfId="50311"/>
    <cellStyle name="Финансовый 22 2 2 2 2 2 3" xfId="50312"/>
    <cellStyle name="Финансовый 22 2 2 2 2 3" xfId="50313"/>
    <cellStyle name="Финансовый 22 2 2 2 2 3 2" xfId="50314"/>
    <cellStyle name="Финансовый 22 2 2 2 2 3 2 2" xfId="50315"/>
    <cellStyle name="Финансовый 22 2 2 2 2 3 3" xfId="50316"/>
    <cellStyle name="Финансовый 22 2 2 2 2 4" xfId="50317"/>
    <cellStyle name="Финансовый 22 2 2 2 2 4 2" xfId="50318"/>
    <cellStyle name="Финансовый 22 2 2 2 2 5" xfId="50319"/>
    <cellStyle name="Финансовый 22 2 2 2 2 5 2" xfId="50320"/>
    <cellStyle name="Финансовый 22 2 2 2 2 6" xfId="50321"/>
    <cellStyle name="Финансовый 22 2 2 2 3" xfId="50322"/>
    <cellStyle name="Финансовый 22 2 2 2 3 2" xfId="50323"/>
    <cellStyle name="Финансовый 22 2 2 2 3 2 2" xfId="50324"/>
    <cellStyle name="Финансовый 22 2 2 2 3 2 2 2" xfId="50325"/>
    <cellStyle name="Финансовый 22 2 2 2 3 2 3" xfId="50326"/>
    <cellStyle name="Финансовый 22 2 2 2 3 3" xfId="50327"/>
    <cellStyle name="Финансовый 22 2 2 2 3 3 2" xfId="50328"/>
    <cellStyle name="Финансовый 22 2 2 2 3 3 2 2" xfId="50329"/>
    <cellStyle name="Финансовый 22 2 2 2 3 3 3" xfId="50330"/>
    <cellStyle name="Финансовый 22 2 2 2 3 4" xfId="50331"/>
    <cellStyle name="Финансовый 22 2 2 2 3 4 2" xfId="50332"/>
    <cellStyle name="Финансовый 22 2 2 2 3 5" xfId="50333"/>
    <cellStyle name="Финансовый 22 2 2 2 4" xfId="50334"/>
    <cellStyle name="Финансовый 22 2 2 2 4 2" xfId="50335"/>
    <cellStyle name="Финансовый 22 2 2 2 4 2 2" xfId="50336"/>
    <cellStyle name="Финансовый 22 2 2 2 4 3" xfId="50337"/>
    <cellStyle name="Финансовый 22 2 2 2 5" xfId="50338"/>
    <cellStyle name="Финансовый 22 2 2 2 5 2" xfId="50339"/>
    <cellStyle name="Финансовый 22 2 2 2 5 2 2" xfId="50340"/>
    <cellStyle name="Финансовый 22 2 2 2 5 3" xfId="50341"/>
    <cellStyle name="Финансовый 22 2 2 2 6" xfId="50342"/>
    <cellStyle name="Финансовый 22 2 2 2 6 2" xfId="50343"/>
    <cellStyle name="Финансовый 22 2 2 2 7" xfId="50344"/>
    <cellStyle name="Финансовый 22 2 2 2 7 2" xfId="50345"/>
    <cellStyle name="Финансовый 22 2 2 2 8" xfId="50346"/>
    <cellStyle name="Финансовый 22 2 2 3" xfId="50347"/>
    <cellStyle name="Финансовый 22 2 2 3 2" xfId="50348"/>
    <cellStyle name="Финансовый 22 2 2 3 2 2" xfId="50349"/>
    <cellStyle name="Финансовый 22 2 2 3 2 2 2" xfId="50350"/>
    <cellStyle name="Финансовый 22 2 2 3 2 3" xfId="50351"/>
    <cellStyle name="Финансовый 22 2 2 3 3" xfId="50352"/>
    <cellStyle name="Финансовый 22 2 2 3 3 2" xfId="50353"/>
    <cellStyle name="Финансовый 22 2 2 3 3 2 2" xfId="50354"/>
    <cellStyle name="Финансовый 22 2 2 3 3 3" xfId="50355"/>
    <cellStyle name="Финансовый 22 2 2 3 4" xfId="50356"/>
    <cellStyle name="Финансовый 22 2 2 3 4 2" xfId="50357"/>
    <cellStyle name="Финансовый 22 2 2 3 5" xfId="50358"/>
    <cellStyle name="Финансовый 22 2 2 3 5 2" xfId="50359"/>
    <cellStyle name="Финансовый 22 2 2 3 6" xfId="50360"/>
    <cellStyle name="Финансовый 22 2 2 4" xfId="50361"/>
    <cellStyle name="Финансовый 22 2 2 4 2" xfId="50362"/>
    <cellStyle name="Финансовый 22 2 2 4 2 2" xfId="50363"/>
    <cellStyle name="Финансовый 22 2 2 4 2 2 2" xfId="50364"/>
    <cellStyle name="Финансовый 22 2 2 4 2 3" xfId="50365"/>
    <cellStyle name="Финансовый 22 2 2 4 3" xfId="50366"/>
    <cellStyle name="Финансовый 22 2 2 4 3 2" xfId="50367"/>
    <cellStyle name="Финансовый 22 2 2 4 3 2 2" xfId="50368"/>
    <cellStyle name="Финансовый 22 2 2 4 3 3" xfId="50369"/>
    <cellStyle name="Финансовый 22 2 2 4 4" xfId="50370"/>
    <cellStyle name="Финансовый 22 2 2 4 4 2" xfId="50371"/>
    <cellStyle name="Финансовый 22 2 2 4 5" xfId="50372"/>
    <cellStyle name="Финансовый 22 2 2 4 5 2" xfId="50373"/>
    <cellStyle name="Финансовый 22 2 2 4 6" xfId="50374"/>
    <cellStyle name="Финансовый 22 2 2 5" xfId="50375"/>
    <cellStyle name="Финансовый 22 2 2 5 2" xfId="50376"/>
    <cellStyle name="Финансовый 22 2 2 5 2 2" xfId="50377"/>
    <cellStyle name="Финансовый 22 2 2 5 3" xfId="50378"/>
    <cellStyle name="Финансовый 22 2 2 6" xfId="50379"/>
    <cellStyle name="Финансовый 22 2 2 6 2" xfId="50380"/>
    <cellStyle name="Финансовый 22 2 2 6 2 2" xfId="50381"/>
    <cellStyle name="Финансовый 22 2 2 6 3" xfId="50382"/>
    <cellStyle name="Финансовый 22 2 2 7" xfId="50383"/>
    <cellStyle name="Финансовый 22 2 2 7 2" xfId="50384"/>
    <cellStyle name="Финансовый 22 2 2 8" xfId="50385"/>
    <cellStyle name="Финансовый 22 2 2 8 2" xfId="50386"/>
    <cellStyle name="Финансовый 22 2 2 9" xfId="50387"/>
    <cellStyle name="Финансовый 22 2 3" xfId="50388"/>
    <cellStyle name="Финансовый 22 2 3 2" xfId="50389"/>
    <cellStyle name="Финансовый 22 2 3 2 2" xfId="50390"/>
    <cellStyle name="Финансовый 22 2 3 2 2 2" xfId="50391"/>
    <cellStyle name="Финансовый 22 2 3 2 2 2 2" xfId="50392"/>
    <cellStyle name="Финансовый 22 2 3 2 2 3" xfId="50393"/>
    <cellStyle name="Финансовый 22 2 3 2 2 3 2" xfId="50394"/>
    <cellStyle name="Финансовый 22 2 3 2 2 4" xfId="50395"/>
    <cellStyle name="Финансовый 22 2 3 2 3" xfId="50396"/>
    <cellStyle name="Финансовый 22 2 3 2 3 2" xfId="50397"/>
    <cellStyle name="Финансовый 22 2 3 2 3 2 2" xfId="50398"/>
    <cellStyle name="Финансовый 22 2 3 2 3 3" xfId="50399"/>
    <cellStyle name="Финансовый 22 2 3 2 4" xfId="50400"/>
    <cellStyle name="Финансовый 22 2 3 2 4 2" xfId="50401"/>
    <cellStyle name="Финансовый 22 2 3 2 5" xfId="50402"/>
    <cellStyle name="Финансовый 22 2 3 2 5 2" xfId="50403"/>
    <cellStyle name="Финансовый 22 2 3 2 6" xfId="50404"/>
    <cellStyle name="Финансовый 22 2 3 3" xfId="50405"/>
    <cellStyle name="Финансовый 22 2 3 3 2" xfId="50406"/>
    <cellStyle name="Финансовый 22 2 3 3 2 2" xfId="50407"/>
    <cellStyle name="Финансовый 22 2 3 3 2 2 2" xfId="50408"/>
    <cellStyle name="Финансовый 22 2 3 3 2 3" xfId="50409"/>
    <cellStyle name="Финансовый 22 2 3 3 3" xfId="50410"/>
    <cellStyle name="Финансовый 22 2 3 3 3 2" xfId="50411"/>
    <cellStyle name="Финансовый 22 2 3 3 3 2 2" xfId="50412"/>
    <cellStyle name="Финансовый 22 2 3 3 3 3" xfId="50413"/>
    <cellStyle name="Финансовый 22 2 3 3 4" xfId="50414"/>
    <cellStyle name="Финансовый 22 2 3 3 4 2" xfId="50415"/>
    <cellStyle name="Финансовый 22 2 3 3 5" xfId="50416"/>
    <cellStyle name="Финансовый 22 2 3 3 5 2" xfId="50417"/>
    <cellStyle name="Финансовый 22 2 3 3 6" xfId="50418"/>
    <cellStyle name="Финансовый 22 2 3 4" xfId="50419"/>
    <cellStyle name="Финансовый 22 2 3 4 2" xfId="50420"/>
    <cellStyle name="Финансовый 22 2 3 4 2 2" xfId="50421"/>
    <cellStyle name="Финансовый 22 2 3 4 3" xfId="50422"/>
    <cellStyle name="Финансовый 22 2 3 4 3 2" xfId="50423"/>
    <cellStyle name="Финансовый 22 2 3 4 4" xfId="50424"/>
    <cellStyle name="Финансовый 22 2 3 5" xfId="50425"/>
    <cellStyle name="Финансовый 22 2 3 5 2" xfId="50426"/>
    <cellStyle name="Финансовый 22 2 3 5 2 2" xfId="50427"/>
    <cellStyle name="Финансовый 22 2 3 5 3" xfId="50428"/>
    <cellStyle name="Финансовый 22 2 3 6" xfId="50429"/>
    <cellStyle name="Финансовый 22 2 3 6 2" xfId="50430"/>
    <cellStyle name="Финансовый 22 2 3 7" xfId="50431"/>
    <cellStyle name="Финансовый 22 2 3 7 2" xfId="50432"/>
    <cellStyle name="Финансовый 22 2 3 8" xfId="50433"/>
    <cellStyle name="Финансовый 22 2 4" xfId="50434"/>
    <cellStyle name="Финансовый 22 2 4 2" xfId="50435"/>
    <cellStyle name="Финансовый 22 2 4 2 2" xfId="50436"/>
    <cellStyle name="Финансовый 22 2 4 2 2 2" xfId="50437"/>
    <cellStyle name="Финансовый 22 2 4 2 2 2 2" xfId="50438"/>
    <cellStyle name="Финансовый 22 2 4 2 2 3" xfId="50439"/>
    <cellStyle name="Финансовый 22 2 4 2 3" xfId="50440"/>
    <cellStyle name="Финансовый 22 2 4 2 3 2" xfId="50441"/>
    <cellStyle name="Финансовый 22 2 4 2 3 2 2" xfId="50442"/>
    <cellStyle name="Финансовый 22 2 4 2 3 3" xfId="50443"/>
    <cellStyle name="Финансовый 22 2 4 2 4" xfId="50444"/>
    <cellStyle name="Финансовый 22 2 4 2 4 2" xfId="50445"/>
    <cellStyle name="Финансовый 22 2 4 2 5" xfId="50446"/>
    <cellStyle name="Финансовый 22 2 4 2 5 2" xfId="50447"/>
    <cellStyle name="Финансовый 22 2 4 2 6" xfId="50448"/>
    <cellStyle name="Финансовый 22 2 4 3" xfId="50449"/>
    <cellStyle name="Финансовый 22 2 4 3 2" xfId="50450"/>
    <cellStyle name="Финансовый 22 2 4 3 2 2" xfId="50451"/>
    <cellStyle name="Финансовый 22 2 4 3 2 2 2" xfId="50452"/>
    <cellStyle name="Финансовый 22 2 4 3 2 3" xfId="50453"/>
    <cellStyle name="Финансовый 22 2 4 3 3" xfId="50454"/>
    <cellStyle name="Финансовый 22 2 4 3 3 2" xfId="50455"/>
    <cellStyle name="Финансовый 22 2 4 3 3 2 2" xfId="50456"/>
    <cellStyle name="Финансовый 22 2 4 3 3 3" xfId="50457"/>
    <cellStyle name="Финансовый 22 2 4 3 4" xfId="50458"/>
    <cellStyle name="Финансовый 22 2 4 3 4 2" xfId="50459"/>
    <cellStyle name="Финансовый 22 2 4 3 5" xfId="50460"/>
    <cellStyle name="Финансовый 22 2 4 4" xfId="50461"/>
    <cellStyle name="Финансовый 22 2 4 5" xfId="50462"/>
    <cellStyle name="Финансовый 22 2 4 5 2" xfId="50463"/>
    <cellStyle name="Финансовый 22 2 4 6" xfId="50464"/>
    <cellStyle name="Финансовый 22 2 5" xfId="50465"/>
    <cellStyle name="Финансовый 22 2 5 2" xfId="50466"/>
    <cellStyle name="Финансовый 22 2 5 2 2" xfId="50467"/>
    <cellStyle name="Финансовый 22 2 5 2 2 2" xfId="50468"/>
    <cellStyle name="Финансовый 22 2 5 2 3" xfId="50469"/>
    <cellStyle name="Финансовый 22 2 5 3" xfId="50470"/>
    <cellStyle name="Финансовый 22 2 5 3 2" xfId="50471"/>
    <cellStyle name="Финансовый 22 2 5 3 2 2" xfId="50472"/>
    <cellStyle name="Финансовый 22 2 5 3 3" xfId="50473"/>
    <cellStyle name="Финансовый 22 2 5 4" xfId="50474"/>
    <cellStyle name="Финансовый 22 2 5 4 2" xfId="50475"/>
    <cellStyle name="Финансовый 22 2 5 5" xfId="50476"/>
    <cellStyle name="Финансовый 22 2 5 5 2" xfId="50477"/>
    <cellStyle name="Финансовый 22 2 5 6" xfId="50478"/>
    <cellStyle name="Финансовый 22 2 6" xfId="50479"/>
    <cellStyle name="Финансовый 22 2 6 2" xfId="50480"/>
    <cellStyle name="Финансовый 22 2 6 2 2" xfId="50481"/>
    <cellStyle name="Финансовый 22 2 6 2 2 2" xfId="50482"/>
    <cellStyle name="Финансовый 22 2 6 2 3" xfId="50483"/>
    <cellStyle name="Финансовый 22 2 6 3" xfId="50484"/>
    <cellStyle name="Финансовый 22 2 6 3 2" xfId="50485"/>
    <cellStyle name="Финансовый 22 2 6 3 2 2" xfId="50486"/>
    <cellStyle name="Финансовый 22 2 6 3 3" xfId="50487"/>
    <cellStyle name="Финансовый 22 2 6 4" xfId="50488"/>
    <cellStyle name="Финансовый 22 2 6 4 2" xfId="50489"/>
    <cellStyle name="Финансовый 22 2 6 5" xfId="50490"/>
    <cellStyle name="Финансовый 22 2 6 5 2" xfId="50491"/>
    <cellStyle name="Финансовый 22 2 6 6" xfId="50492"/>
    <cellStyle name="Финансовый 22 2 7" xfId="50493"/>
    <cellStyle name="Финансовый 22 2 7 2" xfId="50494"/>
    <cellStyle name="Финансовый 22 2 7 2 2" xfId="50495"/>
    <cellStyle name="Финансовый 22 2 7 3" xfId="50496"/>
    <cellStyle name="Финансовый 22 2 8" xfId="50497"/>
    <cellStyle name="Финансовый 22 2 8 2" xfId="50498"/>
    <cellStyle name="Финансовый 22 2 8 2 2" xfId="50499"/>
    <cellStyle name="Финансовый 22 2 8 3" xfId="50500"/>
    <cellStyle name="Финансовый 22 2 9" xfId="50501"/>
    <cellStyle name="Финансовый 22 2 9 2" xfId="50502"/>
    <cellStyle name="Финансовый 22 3" xfId="50503"/>
    <cellStyle name="Финансовый 22 3 2" xfId="50504"/>
    <cellStyle name="Финансовый 22 3 2 2" xfId="50505"/>
    <cellStyle name="Финансовый 22 3 2 2 2" xfId="50506"/>
    <cellStyle name="Финансовый 22 3 2 2 2 2" xfId="50507"/>
    <cellStyle name="Финансовый 22 3 2 2 2 2 2" xfId="50508"/>
    <cellStyle name="Финансовый 22 3 2 2 2 3" xfId="50509"/>
    <cellStyle name="Финансовый 22 3 2 2 2 3 2" xfId="50510"/>
    <cellStyle name="Финансовый 22 3 2 2 2 4" xfId="50511"/>
    <cellStyle name="Финансовый 22 3 2 2 3" xfId="50512"/>
    <cellStyle name="Финансовый 22 3 2 2 3 2" xfId="50513"/>
    <cellStyle name="Финансовый 22 3 2 2 3 2 2" xfId="50514"/>
    <cellStyle name="Финансовый 22 3 2 2 3 3" xfId="50515"/>
    <cellStyle name="Финансовый 22 3 2 2 4" xfId="50516"/>
    <cellStyle name="Финансовый 22 3 2 2 4 2" xfId="50517"/>
    <cellStyle name="Финансовый 22 3 2 2 5" xfId="50518"/>
    <cellStyle name="Финансовый 22 3 2 2 5 2" xfId="50519"/>
    <cellStyle name="Финансовый 22 3 2 2 6" xfId="50520"/>
    <cellStyle name="Финансовый 22 3 2 3" xfId="50521"/>
    <cellStyle name="Финансовый 22 3 2 3 2" xfId="50522"/>
    <cellStyle name="Финансовый 22 3 2 3 2 2" xfId="50523"/>
    <cellStyle name="Финансовый 22 3 2 3 2 2 2" xfId="50524"/>
    <cellStyle name="Финансовый 22 3 2 3 2 3" xfId="50525"/>
    <cellStyle name="Финансовый 22 3 2 3 3" xfId="50526"/>
    <cellStyle name="Финансовый 22 3 2 3 3 2" xfId="50527"/>
    <cellStyle name="Финансовый 22 3 2 3 3 2 2" xfId="50528"/>
    <cellStyle name="Финансовый 22 3 2 3 3 3" xfId="50529"/>
    <cellStyle name="Финансовый 22 3 2 3 4" xfId="50530"/>
    <cellStyle name="Финансовый 22 3 2 3 4 2" xfId="50531"/>
    <cellStyle name="Финансовый 22 3 2 3 5" xfId="50532"/>
    <cellStyle name="Финансовый 22 3 2 3 5 2" xfId="50533"/>
    <cellStyle name="Финансовый 22 3 2 3 6" xfId="50534"/>
    <cellStyle name="Финансовый 22 3 2 4" xfId="50535"/>
    <cellStyle name="Финансовый 22 3 2 4 2" xfId="50536"/>
    <cellStyle name="Финансовый 22 3 2 4 2 2" xfId="50537"/>
    <cellStyle name="Финансовый 22 3 2 4 3" xfId="50538"/>
    <cellStyle name="Финансовый 22 3 2 4 3 2" xfId="50539"/>
    <cellStyle name="Финансовый 22 3 2 4 4" xfId="50540"/>
    <cellStyle name="Финансовый 22 3 2 5" xfId="50541"/>
    <cellStyle name="Финансовый 22 3 2 5 2" xfId="50542"/>
    <cellStyle name="Финансовый 22 3 2 5 2 2" xfId="50543"/>
    <cellStyle name="Финансовый 22 3 2 5 3" xfId="50544"/>
    <cellStyle name="Финансовый 22 3 2 6" xfId="50545"/>
    <cellStyle name="Финансовый 22 3 2 6 2" xfId="50546"/>
    <cellStyle name="Финансовый 22 3 2 7" xfId="50547"/>
    <cellStyle name="Финансовый 22 3 2 7 2" xfId="50548"/>
    <cellStyle name="Финансовый 22 3 2 8" xfId="50549"/>
    <cellStyle name="Финансовый 22 3 3" xfId="50550"/>
    <cellStyle name="Финансовый 22 3 3 2" xfId="50551"/>
    <cellStyle name="Финансовый 22 3 3 2 2" xfId="50552"/>
    <cellStyle name="Финансовый 22 3 3 2 2 2" xfId="50553"/>
    <cellStyle name="Финансовый 22 3 3 2 3" xfId="50554"/>
    <cellStyle name="Финансовый 22 3 3 2 3 2" xfId="50555"/>
    <cellStyle name="Финансовый 22 3 3 2 4" xfId="50556"/>
    <cellStyle name="Финансовый 22 3 3 3" xfId="50557"/>
    <cellStyle name="Финансовый 22 3 3 3 2" xfId="50558"/>
    <cellStyle name="Финансовый 22 3 3 3 2 2" xfId="50559"/>
    <cellStyle name="Финансовый 22 3 3 3 3" xfId="50560"/>
    <cellStyle name="Финансовый 22 3 3 4" xfId="50561"/>
    <cellStyle name="Финансовый 22 3 3 4 2" xfId="50562"/>
    <cellStyle name="Финансовый 22 3 3 5" xfId="50563"/>
    <cellStyle name="Финансовый 22 3 3 5 2" xfId="50564"/>
    <cellStyle name="Финансовый 22 3 3 6" xfId="50565"/>
    <cellStyle name="Финансовый 22 3 4" xfId="50566"/>
    <cellStyle name="Финансовый 22 3 4 2" xfId="50567"/>
    <cellStyle name="Финансовый 22 3 4 2 2" xfId="50568"/>
    <cellStyle name="Финансовый 22 3 4 2 2 2" xfId="50569"/>
    <cellStyle name="Финансовый 22 3 4 2 3" xfId="50570"/>
    <cellStyle name="Финансовый 22 3 4 3" xfId="50571"/>
    <cellStyle name="Финансовый 22 3 4 3 2" xfId="50572"/>
    <cellStyle name="Финансовый 22 3 4 3 2 2" xfId="50573"/>
    <cellStyle name="Финансовый 22 3 4 3 3" xfId="50574"/>
    <cellStyle name="Финансовый 22 3 4 4" xfId="50575"/>
    <cellStyle name="Финансовый 22 3 4 4 2" xfId="50576"/>
    <cellStyle name="Финансовый 22 3 4 5" xfId="50577"/>
    <cellStyle name="Финансовый 22 3 4 5 2" xfId="50578"/>
    <cellStyle name="Финансовый 22 3 4 6" xfId="50579"/>
    <cellStyle name="Финансовый 22 3 5" xfId="50580"/>
    <cellStyle name="Финансовый 22 3 5 2" xfId="50581"/>
    <cellStyle name="Финансовый 22 3 5 2 2" xfId="50582"/>
    <cellStyle name="Финансовый 22 3 5 3" xfId="50583"/>
    <cellStyle name="Финансовый 22 3 6" xfId="50584"/>
    <cellStyle name="Финансовый 22 3 6 2" xfId="50585"/>
    <cellStyle name="Финансовый 22 3 7" xfId="50586"/>
    <cellStyle name="Финансовый 22 4" xfId="50587"/>
    <cellStyle name="Финансовый 22 4 2" xfId="50588"/>
    <cellStyle name="Финансовый 22 4 2 2" xfId="50589"/>
    <cellStyle name="Финансовый 22 4 2 2 2" xfId="50590"/>
    <cellStyle name="Финансовый 22 4 2 2 2 2" xfId="50591"/>
    <cellStyle name="Финансовый 22 4 2 2 3" xfId="50592"/>
    <cellStyle name="Финансовый 22 4 2 2 3 2" xfId="50593"/>
    <cellStyle name="Финансовый 22 4 2 2 4" xfId="50594"/>
    <cellStyle name="Финансовый 22 4 2 3" xfId="50595"/>
    <cellStyle name="Финансовый 22 4 2 3 2" xfId="50596"/>
    <cellStyle name="Финансовый 22 4 2 3 2 2" xfId="50597"/>
    <cellStyle name="Финансовый 22 4 2 3 3" xfId="50598"/>
    <cellStyle name="Финансовый 22 4 2 4" xfId="50599"/>
    <cellStyle name="Финансовый 22 4 2 4 2" xfId="50600"/>
    <cellStyle name="Финансовый 22 4 2 5" xfId="50601"/>
    <cellStyle name="Финансовый 22 4 2 5 2" xfId="50602"/>
    <cellStyle name="Финансовый 22 4 2 6" xfId="50603"/>
    <cellStyle name="Финансовый 22 4 3" xfId="50604"/>
    <cellStyle name="Финансовый 22 4 3 2" xfId="50605"/>
    <cellStyle name="Финансовый 22 4 3 2 2" xfId="50606"/>
    <cellStyle name="Финансовый 22 4 3 2 2 2" xfId="50607"/>
    <cellStyle name="Финансовый 22 4 3 2 3" xfId="50608"/>
    <cellStyle name="Финансовый 22 4 3 3" xfId="50609"/>
    <cellStyle name="Финансовый 22 4 3 3 2" xfId="50610"/>
    <cellStyle name="Финансовый 22 4 3 3 2 2" xfId="50611"/>
    <cellStyle name="Финансовый 22 4 3 3 3" xfId="50612"/>
    <cellStyle name="Финансовый 22 4 3 4" xfId="50613"/>
    <cellStyle name="Финансовый 22 4 3 4 2" xfId="50614"/>
    <cellStyle name="Финансовый 22 4 3 5" xfId="50615"/>
    <cellStyle name="Финансовый 22 4 3 5 2" xfId="50616"/>
    <cellStyle name="Финансовый 22 4 3 6" xfId="50617"/>
    <cellStyle name="Финансовый 22 4 4" xfId="50618"/>
    <cellStyle name="Финансовый 22 4 4 2" xfId="50619"/>
    <cellStyle name="Финансовый 22 4 4 2 2" xfId="50620"/>
    <cellStyle name="Финансовый 22 4 4 3" xfId="50621"/>
    <cellStyle name="Финансовый 22 4 4 3 2" xfId="50622"/>
    <cellStyle name="Финансовый 22 4 4 4" xfId="50623"/>
    <cellStyle name="Финансовый 22 4 5" xfId="50624"/>
    <cellStyle name="Финансовый 22 4 5 2" xfId="50625"/>
    <cellStyle name="Финансовый 22 4 5 2 2" xfId="50626"/>
    <cellStyle name="Финансовый 22 4 5 3" xfId="50627"/>
    <cellStyle name="Финансовый 22 4 6" xfId="50628"/>
    <cellStyle name="Финансовый 22 4 6 2" xfId="50629"/>
    <cellStyle name="Финансовый 22 4 7" xfId="50630"/>
    <cellStyle name="Финансовый 22 4 7 2" xfId="50631"/>
    <cellStyle name="Финансовый 22 4 8" xfId="50632"/>
    <cellStyle name="Финансовый 22 5" xfId="50633"/>
    <cellStyle name="Финансовый 22 5 2" xfId="50634"/>
    <cellStyle name="Финансовый 22 5 2 2" xfId="50635"/>
    <cellStyle name="Финансовый 22 5 2 2 2" xfId="50636"/>
    <cellStyle name="Финансовый 22 5 2 2 2 2" xfId="50637"/>
    <cellStyle name="Финансовый 22 5 2 2 3" xfId="50638"/>
    <cellStyle name="Финансовый 22 5 2 3" xfId="50639"/>
    <cellStyle name="Финансовый 22 5 2 3 2" xfId="50640"/>
    <cellStyle name="Финансовый 22 5 2 3 2 2" xfId="50641"/>
    <cellStyle name="Финансовый 22 5 2 3 3" xfId="50642"/>
    <cellStyle name="Финансовый 22 5 2 4" xfId="50643"/>
    <cellStyle name="Финансовый 22 5 2 4 2" xfId="50644"/>
    <cellStyle name="Финансовый 22 5 2 5" xfId="50645"/>
    <cellStyle name="Финансовый 22 5 2 5 2" xfId="50646"/>
    <cellStyle name="Финансовый 22 5 2 6" xfId="50647"/>
    <cellStyle name="Финансовый 22 5 3" xfId="50648"/>
    <cellStyle name="Финансовый 22 5 3 2" xfId="50649"/>
    <cellStyle name="Финансовый 22 5 3 2 2" xfId="50650"/>
    <cellStyle name="Финансовый 22 5 3 2 2 2" xfId="50651"/>
    <cellStyle name="Финансовый 22 5 3 2 3" xfId="50652"/>
    <cellStyle name="Финансовый 22 5 3 3" xfId="50653"/>
    <cellStyle name="Финансовый 22 5 3 3 2" xfId="50654"/>
    <cellStyle name="Финансовый 22 5 3 3 2 2" xfId="50655"/>
    <cellStyle name="Финансовый 22 5 3 3 3" xfId="50656"/>
    <cellStyle name="Финансовый 22 5 3 4" xfId="50657"/>
    <cellStyle name="Финансовый 22 5 3 4 2" xfId="50658"/>
    <cellStyle name="Финансовый 22 5 3 5" xfId="50659"/>
    <cellStyle name="Финансовый 22 5 3 5 2" xfId="50660"/>
    <cellStyle name="Финансовый 22 5 3 6" xfId="50661"/>
    <cellStyle name="Финансовый 22 5 4" xfId="50662"/>
    <cellStyle name="Финансовый 22 5 4 2" xfId="50663"/>
    <cellStyle name="Финансовый 22 5 4 2 2" xfId="50664"/>
    <cellStyle name="Финансовый 22 5 4 3" xfId="50665"/>
    <cellStyle name="Финансовый 22 5 4 3 2" xfId="50666"/>
    <cellStyle name="Финансовый 22 5 4 4" xfId="50667"/>
    <cellStyle name="Финансовый 22 5 5" xfId="50668"/>
    <cellStyle name="Финансовый 22 5 5 2" xfId="50669"/>
    <cellStyle name="Финансовый 22 5 5 2 2" xfId="50670"/>
    <cellStyle name="Финансовый 22 5 5 3" xfId="50671"/>
    <cellStyle name="Финансовый 22 5 6" xfId="50672"/>
    <cellStyle name="Финансовый 22 5 6 2" xfId="50673"/>
    <cellStyle name="Финансовый 22 5 7" xfId="50674"/>
    <cellStyle name="Финансовый 22 5 7 2" xfId="50675"/>
    <cellStyle name="Финансовый 22 5 8" xfId="50676"/>
    <cellStyle name="Финансовый 22 6" xfId="50677"/>
    <cellStyle name="Финансовый 22 6 2" xfId="50678"/>
    <cellStyle name="Финансовый 22 6 2 2" xfId="50679"/>
    <cellStyle name="Финансовый 22 6 2 2 2" xfId="50680"/>
    <cellStyle name="Финансовый 22 6 2 3" xfId="50681"/>
    <cellStyle name="Финансовый 22 6 3" xfId="50682"/>
    <cellStyle name="Финансовый 22 6 3 2" xfId="50683"/>
    <cellStyle name="Финансовый 22 6 3 2 2" xfId="50684"/>
    <cellStyle name="Финансовый 22 6 3 3" xfId="50685"/>
    <cellStyle name="Финансовый 22 6 4" xfId="50686"/>
    <cellStyle name="Финансовый 22 6 4 2" xfId="50687"/>
    <cellStyle name="Финансовый 22 6 5" xfId="50688"/>
    <cellStyle name="Финансовый 22 6 5 2" xfId="50689"/>
    <cellStyle name="Финансовый 22 6 6" xfId="50690"/>
    <cellStyle name="Финансовый 22 7" xfId="50691"/>
    <cellStyle name="Финансовый 22 7 2" xfId="50692"/>
    <cellStyle name="Финансовый 22 7 2 2" xfId="50693"/>
    <cellStyle name="Финансовый 22 7 2 2 2" xfId="50694"/>
    <cellStyle name="Финансовый 22 7 2 3" xfId="50695"/>
    <cellStyle name="Финансовый 22 7 3" xfId="50696"/>
    <cellStyle name="Финансовый 22 7 3 2" xfId="50697"/>
    <cellStyle name="Финансовый 22 7 3 2 2" xfId="50698"/>
    <cellStyle name="Финансовый 22 7 3 3" xfId="50699"/>
    <cellStyle name="Финансовый 22 7 4" xfId="50700"/>
    <cellStyle name="Финансовый 22 7 4 2" xfId="50701"/>
    <cellStyle name="Финансовый 22 7 5" xfId="50702"/>
    <cellStyle name="Финансовый 22 7 5 2" xfId="50703"/>
    <cellStyle name="Финансовый 22 7 6" xfId="50704"/>
    <cellStyle name="Финансовый 22 8" xfId="50705"/>
    <cellStyle name="Финансовый 22 8 2" xfId="50706"/>
    <cellStyle name="Финансовый 22 9" xfId="50707"/>
    <cellStyle name="Финансовый 22 9 2" xfId="50708"/>
    <cellStyle name="Финансовый 22 9 2 2" xfId="50709"/>
    <cellStyle name="Финансовый 22 9 3" xfId="50710"/>
    <cellStyle name="Финансовый 22 9 3 2" xfId="50711"/>
    <cellStyle name="Финансовый 22 9 4" xfId="50712"/>
    <cellStyle name="Финансовый 23" xfId="50713"/>
    <cellStyle name="Финансовый 23 2" xfId="50714"/>
    <cellStyle name="Финансовый 23 2 2" xfId="50715"/>
    <cellStyle name="Финансовый 23 2 2 2" xfId="50716"/>
    <cellStyle name="Финансовый 23 3" xfId="50717"/>
    <cellStyle name="Финансовый 23 3 2" xfId="50718"/>
    <cellStyle name="Финансовый 23 3 2 2" xfId="50719"/>
    <cellStyle name="Финансовый 23 3 2 2 2" xfId="50720"/>
    <cellStyle name="Финансовый 23 3 2 2 2 2" xfId="50721"/>
    <cellStyle name="Финансовый 23 3 2 2 3" xfId="50722"/>
    <cellStyle name="Финансовый 23 3 2 3" xfId="50723"/>
    <cellStyle name="Финансовый 23 3 2 3 2" xfId="50724"/>
    <cellStyle name="Финансовый 23 3 2 3 2 2" xfId="50725"/>
    <cellStyle name="Финансовый 23 3 2 3 3" xfId="50726"/>
    <cellStyle name="Финансовый 23 3 2 4" xfId="50727"/>
    <cellStyle name="Финансовый 23 3 2 4 2" xfId="50728"/>
    <cellStyle name="Финансовый 23 3 2 5" xfId="50729"/>
    <cellStyle name="Финансовый 23 3 2 5 2" xfId="50730"/>
    <cellStyle name="Финансовый 23 3 2 6" xfId="50731"/>
    <cellStyle name="Финансовый 23 3 3" xfId="50732"/>
    <cellStyle name="Финансовый 23 3 3 2" xfId="50733"/>
    <cellStyle name="Финансовый 23 3 3 2 2" xfId="50734"/>
    <cellStyle name="Финансовый 23 3 3 2 2 2" xfId="50735"/>
    <cellStyle name="Финансовый 23 3 3 2 3" xfId="50736"/>
    <cellStyle name="Финансовый 23 3 3 3" xfId="50737"/>
    <cellStyle name="Финансовый 23 3 3 3 2" xfId="50738"/>
    <cellStyle name="Финансовый 23 3 3 3 2 2" xfId="50739"/>
    <cellStyle name="Финансовый 23 3 3 3 3" xfId="50740"/>
    <cellStyle name="Финансовый 23 3 3 4" xfId="50741"/>
    <cellStyle name="Финансовый 23 3 3 4 2" xfId="50742"/>
    <cellStyle name="Финансовый 23 3 3 5" xfId="50743"/>
    <cellStyle name="Финансовый 23 3 3 5 2" xfId="50744"/>
    <cellStyle name="Финансовый 23 3 3 6" xfId="50745"/>
    <cellStyle name="Финансовый 23 3 4" xfId="50746"/>
    <cellStyle name="Финансовый 23 3 4 2" xfId="50747"/>
    <cellStyle name="Финансовый 23 3 5" xfId="50748"/>
    <cellStyle name="Финансовый 23 3 6" xfId="50749"/>
    <cellStyle name="Финансовый 23 4" xfId="50750"/>
    <cellStyle name="Финансовый 24" xfId="50751"/>
    <cellStyle name="Финансовый 24 10" xfId="50752"/>
    <cellStyle name="Финансовый 24 10 2" xfId="50753"/>
    <cellStyle name="Финансовый 24 11" xfId="50754"/>
    <cellStyle name="Финансовый 24 11 2" xfId="50755"/>
    <cellStyle name="Финансовый 24 2" xfId="50756"/>
    <cellStyle name="Финансовый 24 2 2" xfId="50757"/>
    <cellStyle name="Финансовый 24 2 2 2" xfId="50758"/>
    <cellStyle name="Финансовый 24 2 2 2 2" xfId="50759"/>
    <cellStyle name="Финансовый 24 2 2 2 2 2" xfId="50760"/>
    <cellStyle name="Финансовый 24 2 2 2 2 2 2" xfId="50761"/>
    <cellStyle name="Финансовый 24 2 2 2 2 3" xfId="50762"/>
    <cellStyle name="Финансовый 24 2 2 2 3" xfId="50763"/>
    <cellStyle name="Финансовый 24 2 2 2 3 2" xfId="50764"/>
    <cellStyle name="Финансовый 24 2 2 2 3 2 2" xfId="50765"/>
    <cellStyle name="Финансовый 24 2 2 2 3 3" xfId="50766"/>
    <cellStyle name="Финансовый 24 2 2 2 4" xfId="50767"/>
    <cellStyle name="Финансовый 24 2 2 2 4 2" xfId="50768"/>
    <cellStyle name="Финансовый 24 2 2 2 5" xfId="50769"/>
    <cellStyle name="Финансовый 24 2 2 2 5 2" xfId="50770"/>
    <cellStyle name="Финансовый 24 2 2 2 6" xfId="50771"/>
    <cellStyle name="Финансовый 24 2 2 3" xfId="50772"/>
    <cellStyle name="Финансовый 24 2 2 3 2" xfId="50773"/>
    <cellStyle name="Финансовый 24 2 2 3 2 2" xfId="50774"/>
    <cellStyle name="Финансовый 24 2 2 3 2 2 2" xfId="50775"/>
    <cellStyle name="Финансовый 24 2 2 3 2 3" xfId="50776"/>
    <cellStyle name="Финансовый 24 2 2 3 3" xfId="50777"/>
    <cellStyle name="Финансовый 24 2 2 3 3 2" xfId="50778"/>
    <cellStyle name="Финансовый 24 2 2 3 3 2 2" xfId="50779"/>
    <cellStyle name="Финансовый 24 2 2 3 3 3" xfId="50780"/>
    <cellStyle name="Финансовый 24 2 2 3 4" xfId="50781"/>
    <cellStyle name="Финансовый 24 2 2 3 4 2" xfId="50782"/>
    <cellStyle name="Финансовый 24 2 2 4" xfId="50783"/>
    <cellStyle name="Финансовый 24 2 2 5" xfId="50784"/>
    <cellStyle name="Финансовый 24 2 2 5 2" xfId="50785"/>
    <cellStyle name="Финансовый 24 2 2 5 2 2" xfId="50786"/>
    <cellStyle name="Финансовый 24 2 2 5 3" xfId="50787"/>
    <cellStyle name="Финансовый 24 2 2 6" xfId="50788"/>
    <cellStyle name="Финансовый 24 2 2 6 2" xfId="50789"/>
    <cellStyle name="Финансовый 24 2 2 6 2 2" xfId="50790"/>
    <cellStyle name="Финансовый 24 2 2 6 3" xfId="50791"/>
    <cellStyle name="Финансовый 24 2 2 7" xfId="50792"/>
    <cellStyle name="Финансовый 24 2 2 7 2" xfId="50793"/>
    <cellStyle name="Финансовый 24 2 2 8" xfId="50794"/>
    <cellStyle name="Финансовый 24 2 3" xfId="50795"/>
    <cellStyle name="Финансовый 24 2 3 2" xfId="50796"/>
    <cellStyle name="Финансовый 24 2 3 2 2" xfId="50797"/>
    <cellStyle name="Финансовый 24 2 3 2 2 2" xfId="50798"/>
    <cellStyle name="Финансовый 24 2 3 2 3" xfId="50799"/>
    <cellStyle name="Финансовый 24 2 3 3" xfId="50800"/>
    <cellStyle name="Финансовый 24 2 3 3 2" xfId="50801"/>
    <cellStyle name="Финансовый 24 2 3 3 2 2" xfId="50802"/>
    <cellStyle name="Финансовый 24 2 3 3 3" xfId="50803"/>
    <cellStyle name="Финансовый 24 2 3 4" xfId="50804"/>
    <cellStyle name="Финансовый 24 2 3 4 2" xfId="50805"/>
    <cellStyle name="Финансовый 24 2 3 5" xfId="50806"/>
    <cellStyle name="Финансовый 24 2 3 5 2" xfId="50807"/>
    <cellStyle name="Финансовый 24 2 3 6" xfId="50808"/>
    <cellStyle name="Финансовый 24 2 4" xfId="50809"/>
    <cellStyle name="Финансовый 24 2 4 2" xfId="50810"/>
    <cellStyle name="Финансовый 24 2 4 2 2" xfId="50811"/>
    <cellStyle name="Финансовый 24 2 4 2 2 2" xfId="50812"/>
    <cellStyle name="Финансовый 24 2 4 2 3" xfId="50813"/>
    <cellStyle name="Финансовый 24 2 4 3" xfId="50814"/>
    <cellStyle name="Финансовый 24 2 4 3 2" xfId="50815"/>
    <cellStyle name="Финансовый 24 2 4 3 2 2" xfId="50816"/>
    <cellStyle name="Финансовый 24 2 4 3 3" xfId="50817"/>
    <cellStyle name="Финансовый 24 2 4 4" xfId="50818"/>
    <cellStyle name="Финансовый 24 2 4 4 2" xfId="50819"/>
    <cellStyle name="Финансовый 24 2 4 5" xfId="50820"/>
    <cellStyle name="Финансовый 24 2 5" xfId="50821"/>
    <cellStyle name="Финансовый 24 2 5 2" xfId="50822"/>
    <cellStyle name="Финансовый 24 2 5 2 2" xfId="50823"/>
    <cellStyle name="Финансовый 24 2 5 2 2 2" xfId="50824"/>
    <cellStyle name="Финансовый 24 2 5 2 3" xfId="50825"/>
    <cellStyle name="Финансовый 24 2 5 3" xfId="50826"/>
    <cellStyle name="Финансовый 24 2 5 3 2" xfId="50827"/>
    <cellStyle name="Финансовый 24 2 5 3 2 2" xfId="50828"/>
    <cellStyle name="Финансовый 24 2 5 3 3" xfId="50829"/>
    <cellStyle name="Финансовый 24 2 5 4" xfId="50830"/>
    <cellStyle name="Финансовый 24 2 5 4 2" xfId="50831"/>
    <cellStyle name="Финансовый 24 2 5 5" xfId="50832"/>
    <cellStyle name="Финансовый 24 2 6" xfId="50833"/>
    <cellStyle name="Финансовый 24 2 7" xfId="50834"/>
    <cellStyle name="Финансовый 24 2 7 2" xfId="50835"/>
    <cellStyle name="Финансовый 24 3" xfId="50836"/>
    <cellStyle name="Финансовый 24 3 2" xfId="50837"/>
    <cellStyle name="Финансовый 24 3 2 2" xfId="50838"/>
    <cellStyle name="Финансовый 24 3 2 2 2" xfId="50839"/>
    <cellStyle name="Финансовый 24 3 2 2 2 2" xfId="50840"/>
    <cellStyle name="Финансовый 24 3 2 2 3" xfId="50841"/>
    <cellStyle name="Финансовый 24 3 2 2 3 2" xfId="50842"/>
    <cellStyle name="Финансовый 24 3 2 2 4" xfId="50843"/>
    <cellStyle name="Финансовый 24 3 2 3" xfId="50844"/>
    <cellStyle name="Финансовый 24 3 2 3 2" xfId="50845"/>
    <cellStyle name="Финансовый 24 3 2 3 2 2" xfId="50846"/>
    <cellStyle name="Финансовый 24 3 2 3 3" xfId="50847"/>
    <cellStyle name="Финансовый 24 3 2 4" xfId="50848"/>
    <cellStyle name="Финансовый 24 3 2 4 2" xfId="50849"/>
    <cellStyle name="Финансовый 24 3 2 5" xfId="50850"/>
    <cellStyle name="Финансовый 24 3 2 6" xfId="50851"/>
    <cellStyle name="Финансовый 24 3 3" xfId="50852"/>
    <cellStyle name="Финансовый 24 3 3 2" xfId="50853"/>
    <cellStyle name="Финансовый 24 3 3 2 2" xfId="50854"/>
    <cellStyle name="Финансовый 24 3 3 2 2 2" xfId="50855"/>
    <cellStyle name="Финансовый 24 3 3 2 3" xfId="50856"/>
    <cellStyle name="Финансовый 24 3 3 2 3 2" xfId="50857"/>
    <cellStyle name="Финансовый 24 3 3 2 4" xfId="50858"/>
    <cellStyle name="Финансовый 24 3 3 3" xfId="50859"/>
    <cellStyle name="Финансовый 24 3 3 3 2" xfId="50860"/>
    <cellStyle name="Финансовый 24 3 3 3 2 2" xfId="50861"/>
    <cellStyle name="Финансовый 24 3 3 3 3" xfId="50862"/>
    <cellStyle name="Финансовый 24 3 3 4" xfId="50863"/>
    <cellStyle name="Финансовый 24 3 3 4 2" xfId="50864"/>
    <cellStyle name="Финансовый 24 3 3 5" xfId="50865"/>
    <cellStyle name="Финансовый 24 3 3 5 2" xfId="50866"/>
    <cellStyle name="Финансовый 24 3 3 6" xfId="50867"/>
    <cellStyle name="Финансовый 24 3 4" xfId="50868"/>
    <cellStyle name="Финансовый 24 3 4 2" xfId="50869"/>
    <cellStyle name="Финансовый 24 3 4 2 2" xfId="50870"/>
    <cellStyle name="Финансовый 24 3 4 3" xfId="50871"/>
    <cellStyle name="Финансовый 24 3 5" xfId="50872"/>
    <cellStyle name="Финансовый 24 3 5 2" xfId="50873"/>
    <cellStyle name="Финансовый 24 3 5 2 2" xfId="50874"/>
    <cellStyle name="Финансовый 24 3 5 3" xfId="50875"/>
    <cellStyle name="Финансовый 24 3 6" xfId="50876"/>
    <cellStyle name="Финансовый 24 3 6 2" xfId="50877"/>
    <cellStyle name="Финансовый 24 3 7" xfId="50878"/>
    <cellStyle name="Финансовый 24 3 7 2" xfId="50879"/>
    <cellStyle name="Финансовый 24 4" xfId="50880"/>
    <cellStyle name="Финансовый 24 4 2" xfId="50881"/>
    <cellStyle name="Финансовый 24 4 2 2" xfId="50882"/>
    <cellStyle name="Финансовый 24 4 2 2 2" xfId="50883"/>
    <cellStyle name="Финансовый 24 4 2 2 2 2" xfId="50884"/>
    <cellStyle name="Финансовый 24 4 2 2 3" xfId="50885"/>
    <cellStyle name="Финансовый 24 4 2 3" xfId="50886"/>
    <cellStyle name="Финансовый 24 4 2 3 2" xfId="50887"/>
    <cellStyle name="Финансовый 24 4 2 3 2 2" xfId="50888"/>
    <cellStyle name="Финансовый 24 4 2 3 3" xfId="50889"/>
    <cellStyle name="Финансовый 24 4 2 4" xfId="50890"/>
    <cellStyle name="Финансовый 24 4 2 4 2" xfId="50891"/>
    <cellStyle name="Финансовый 24 4 2 5" xfId="50892"/>
    <cellStyle name="Финансовый 24 4 2 5 2" xfId="50893"/>
    <cellStyle name="Финансовый 24 4 2 6" xfId="50894"/>
    <cellStyle name="Финансовый 24 4 3" xfId="50895"/>
    <cellStyle name="Финансовый 24 4 3 2" xfId="50896"/>
    <cellStyle name="Финансовый 24 4 3 2 2" xfId="50897"/>
    <cellStyle name="Финансовый 24 4 3 2 2 2" xfId="50898"/>
    <cellStyle name="Финансовый 24 4 3 2 3" xfId="50899"/>
    <cellStyle name="Финансовый 24 4 3 3" xfId="50900"/>
    <cellStyle name="Финансовый 24 4 3 3 2" xfId="50901"/>
    <cellStyle name="Финансовый 24 4 3 3 2 2" xfId="50902"/>
    <cellStyle name="Финансовый 24 4 3 3 3" xfId="50903"/>
    <cellStyle name="Финансовый 24 4 3 4" xfId="50904"/>
    <cellStyle name="Финансовый 24 4 3 4 2" xfId="50905"/>
    <cellStyle name="Финансовый 24 4 3 5" xfId="50906"/>
    <cellStyle name="Финансовый 24 4 4" xfId="50907"/>
    <cellStyle name="Финансовый 24 4 5" xfId="50908"/>
    <cellStyle name="Финансовый 24 4 6" xfId="50909"/>
    <cellStyle name="Финансовый 24 4 6 2" xfId="50910"/>
    <cellStyle name="Финансовый 24 4 7" xfId="50911"/>
    <cellStyle name="Финансовый 24 5" xfId="50912"/>
    <cellStyle name="Финансовый 24 5 2" xfId="50913"/>
    <cellStyle name="Финансовый 24 5 2 2" xfId="50914"/>
    <cellStyle name="Финансовый 24 5 2 2 2" xfId="50915"/>
    <cellStyle name="Финансовый 24 5 2 3" xfId="50916"/>
    <cellStyle name="Финансовый 24 5 3" xfId="50917"/>
    <cellStyle name="Финансовый 24 5 3 2" xfId="50918"/>
    <cellStyle name="Финансовый 24 5 3 2 2" xfId="50919"/>
    <cellStyle name="Финансовый 24 5 3 3" xfId="50920"/>
    <cellStyle name="Финансовый 24 5 4" xfId="50921"/>
    <cellStyle name="Финансовый 24 5 4 2" xfId="50922"/>
    <cellStyle name="Финансовый 24 5 5" xfId="50923"/>
    <cellStyle name="Финансовый 24 5 5 2" xfId="50924"/>
    <cellStyle name="Финансовый 24 5 6" xfId="50925"/>
    <cellStyle name="Финансовый 24 6" xfId="50926"/>
    <cellStyle name="Финансовый 24 6 2" xfId="50927"/>
    <cellStyle name="Финансовый 24 6 2 2" xfId="50928"/>
    <cellStyle name="Финансовый 24 6 2 2 2" xfId="50929"/>
    <cellStyle name="Финансовый 24 6 2 3" xfId="50930"/>
    <cellStyle name="Финансовый 24 6 3" xfId="50931"/>
    <cellStyle name="Финансовый 24 6 3 2" xfId="50932"/>
    <cellStyle name="Финансовый 24 6 3 2 2" xfId="50933"/>
    <cellStyle name="Финансовый 24 6 3 3" xfId="50934"/>
    <cellStyle name="Финансовый 24 6 4" xfId="50935"/>
    <cellStyle name="Финансовый 24 6 4 2" xfId="50936"/>
    <cellStyle name="Финансовый 24 6 5" xfId="50937"/>
    <cellStyle name="Финансовый 24 6 5 2" xfId="50938"/>
    <cellStyle name="Финансовый 24 6 6" xfId="50939"/>
    <cellStyle name="Финансовый 24 7" xfId="50940"/>
    <cellStyle name="Финансовый 24 7 2" xfId="50941"/>
    <cellStyle name="Финансовый 24 8" xfId="50942"/>
    <cellStyle name="Финансовый 24 8 2" xfId="50943"/>
    <cellStyle name="Финансовый 24 8 2 2" xfId="50944"/>
    <cellStyle name="Финансовый 24 8 3" xfId="50945"/>
    <cellStyle name="Финансовый 24 9" xfId="50946"/>
    <cellStyle name="Финансовый 24 9 2" xfId="50947"/>
    <cellStyle name="Финансовый 24 9 2 2" xfId="50948"/>
    <cellStyle name="Финансовый 24 9 3" xfId="50949"/>
    <cellStyle name="Финансовый 25" xfId="50950"/>
    <cellStyle name="Финансовый 25 10" xfId="50951"/>
    <cellStyle name="Финансовый 25 10 2" xfId="50952"/>
    <cellStyle name="Финансовый 25 10 2 2" xfId="50953"/>
    <cellStyle name="Финансовый 25 10 3" xfId="50954"/>
    <cellStyle name="Финансовый 25 10 3 2" xfId="50955"/>
    <cellStyle name="Финансовый 25 10 4" xfId="50956"/>
    <cellStyle name="Финансовый 25 11" xfId="50957"/>
    <cellStyle name="Финансовый 25 11 2" xfId="50958"/>
    <cellStyle name="Финансовый 25 11 2 2" xfId="50959"/>
    <cellStyle name="Финансовый 25 11 3" xfId="50960"/>
    <cellStyle name="Финансовый 25 12" xfId="50961"/>
    <cellStyle name="Финансовый 25 12 2" xfId="50962"/>
    <cellStyle name="Финансовый 25 13" xfId="50963"/>
    <cellStyle name="Финансовый 25 13 2" xfId="50964"/>
    <cellStyle name="Финансовый 25 14" xfId="50965"/>
    <cellStyle name="Финансовый 25 2" xfId="50966"/>
    <cellStyle name="Финансовый 25 2 10" xfId="50967"/>
    <cellStyle name="Финансовый 25 2 10 2" xfId="50968"/>
    <cellStyle name="Финансовый 25 2 11" xfId="50969"/>
    <cellStyle name="Финансовый 25 2 11 2" xfId="50970"/>
    <cellStyle name="Финансовый 25 2 12" xfId="50971"/>
    <cellStyle name="Финансовый 25 2 2" xfId="50972"/>
    <cellStyle name="Финансовый 25 2 2 2" xfId="50973"/>
    <cellStyle name="Финансовый 25 2 2 2 2" xfId="50974"/>
    <cellStyle name="Финансовый 25 2 2 2 2 2" xfId="50975"/>
    <cellStyle name="Финансовый 25 2 2 2 2 2 2" xfId="50976"/>
    <cellStyle name="Финансовый 25 2 2 2 2 2 2 2" xfId="50977"/>
    <cellStyle name="Финансовый 25 2 2 2 2 2 3" xfId="50978"/>
    <cellStyle name="Финансовый 25 2 2 2 2 3" xfId="50979"/>
    <cellStyle name="Финансовый 25 2 2 2 2 3 2" xfId="50980"/>
    <cellStyle name="Финансовый 25 2 2 2 2 3 2 2" xfId="50981"/>
    <cellStyle name="Финансовый 25 2 2 2 2 3 3" xfId="50982"/>
    <cellStyle name="Финансовый 25 2 2 2 2 4" xfId="50983"/>
    <cellStyle name="Финансовый 25 2 2 2 2 4 2" xfId="50984"/>
    <cellStyle name="Финансовый 25 2 2 2 2 5" xfId="50985"/>
    <cellStyle name="Финансовый 25 2 2 2 2 5 2" xfId="50986"/>
    <cellStyle name="Финансовый 25 2 2 2 2 6" xfId="50987"/>
    <cellStyle name="Финансовый 25 2 2 2 3" xfId="50988"/>
    <cellStyle name="Финансовый 25 2 2 2 3 2" xfId="50989"/>
    <cellStyle name="Финансовый 25 2 2 2 3 2 2" xfId="50990"/>
    <cellStyle name="Финансовый 25 2 2 2 3 2 2 2" xfId="50991"/>
    <cellStyle name="Финансовый 25 2 2 2 3 2 3" xfId="50992"/>
    <cellStyle name="Финансовый 25 2 2 2 3 3" xfId="50993"/>
    <cellStyle name="Финансовый 25 2 2 2 3 3 2" xfId="50994"/>
    <cellStyle name="Финансовый 25 2 2 2 3 3 2 2" xfId="50995"/>
    <cellStyle name="Финансовый 25 2 2 2 3 3 3" xfId="50996"/>
    <cellStyle name="Финансовый 25 2 2 2 3 4" xfId="50997"/>
    <cellStyle name="Финансовый 25 2 2 2 3 4 2" xfId="50998"/>
    <cellStyle name="Финансовый 25 2 2 2 3 5" xfId="50999"/>
    <cellStyle name="Финансовый 25 2 2 2 3 5 2" xfId="51000"/>
    <cellStyle name="Финансовый 25 2 2 2 3 6" xfId="51001"/>
    <cellStyle name="Финансовый 25 2 2 2 4" xfId="51002"/>
    <cellStyle name="Финансовый 25 2 2 2 4 2" xfId="51003"/>
    <cellStyle name="Финансовый 25 2 2 2 4 2 2" xfId="51004"/>
    <cellStyle name="Финансовый 25 2 2 2 4 3" xfId="51005"/>
    <cellStyle name="Финансовый 25 2 2 2 5" xfId="51006"/>
    <cellStyle name="Финансовый 25 2 2 2 5 2" xfId="51007"/>
    <cellStyle name="Финансовый 25 2 2 2 5 2 2" xfId="51008"/>
    <cellStyle name="Финансовый 25 2 2 2 5 3" xfId="51009"/>
    <cellStyle name="Финансовый 25 2 2 2 6" xfId="51010"/>
    <cellStyle name="Финансовый 25 2 2 2 6 2" xfId="51011"/>
    <cellStyle name="Финансовый 25 2 2 2 7" xfId="51012"/>
    <cellStyle name="Финансовый 25 2 2 2 7 2" xfId="51013"/>
    <cellStyle name="Финансовый 25 2 2 2 8" xfId="51014"/>
    <cellStyle name="Финансовый 25 2 2 3" xfId="51015"/>
    <cellStyle name="Финансовый 25 2 2 3 2" xfId="51016"/>
    <cellStyle name="Финансовый 25 2 2 3 2 2" xfId="51017"/>
    <cellStyle name="Финансовый 25 2 2 3 2 2 2" xfId="51018"/>
    <cellStyle name="Финансовый 25 2 2 3 2 3" xfId="51019"/>
    <cellStyle name="Финансовый 25 2 2 3 2 3 2" xfId="51020"/>
    <cellStyle name="Финансовый 25 2 2 3 2 4" xfId="51021"/>
    <cellStyle name="Финансовый 25 2 2 3 3" xfId="51022"/>
    <cellStyle name="Финансовый 25 2 2 3 3 2" xfId="51023"/>
    <cellStyle name="Финансовый 25 2 2 3 3 2 2" xfId="51024"/>
    <cellStyle name="Финансовый 25 2 2 3 3 3" xfId="51025"/>
    <cellStyle name="Финансовый 25 2 2 3 4" xfId="51026"/>
    <cellStyle name="Финансовый 25 2 2 3 4 2" xfId="51027"/>
    <cellStyle name="Финансовый 25 2 2 3 5" xfId="51028"/>
    <cellStyle name="Финансовый 25 2 2 3 5 2" xfId="51029"/>
    <cellStyle name="Финансовый 25 2 2 3 6" xfId="51030"/>
    <cellStyle name="Финансовый 25 2 2 4" xfId="51031"/>
    <cellStyle name="Финансовый 25 2 2 4 2" xfId="51032"/>
    <cellStyle name="Финансовый 25 2 2 4 2 2" xfId="51033"/>
    <cellStyle name="Финансовый 25 2 2 4 2 2 2" xfId="51034"/>
    <cellStyle name="Финансовый 25 2 2 4 2 3" xfId="51035"/>
    <cellStyle name="Финансовый 25 2 2 4 3" xfId="51036"/>
    <cellStyle name="Финансовый 25 2 2 4 3 2" xfId="51037"/>
    <cellStyle name="Финансовый 25 2 2 4 3 2 2" xfId="51038"/>
    <cellStyle name="Финансовый 25 2 2 4 3 3" xfId="51039"/>
    <cellStyle name="Финансовый 25 2 2 4 4" xfId="51040"/>
    <cellStyle name="Финансовый 25 2 2 4 4 2" xfId="51041"/>
    <cellStyle name="Финансовый 25 2 2 4 5" xfId="51042"/>
    <cellStyle name="Финансовый 25 2 2 4 5 2" xfId="51043"/>
    <cellStyle name="Финансовый 25 2 2 4 6" xfId="51044"/>
    <cellStyle name="Финансовый 25 2 2 5" xfId="51045"/>
    <cellStyle name="Финансовый 25 2 2 5 2" xfId="51046"/>
    <cellStyle name="Финансовый 25 2 2 5 2 2" xfId="51047"/>
    <cellStyle name="Финансовый 25 2 2 5 3" xfId="51048"/>
    <cellStyle name="Финансовый 25 2 2 6" xfId="51049"/>
    <cellStyle name="Финансовый 25 2 2 6 2" xfId="51050"/>
    <cellStyle name="Финансовый 25 2 2 6 2 2" xfId="51051"/>
    <cellStyle name="Финансовый 25 2 2 6 3" xfId="51052"/>
    <cellStyle name="Финансовый 25 2 2 7" xfId="51053"/>
    <cellStyle name="Финансовый 25 2 2 7 2" xfId="51054"/>
    <cellStyle name="Финансовый 25 2 2 8" xfId="51055"/>
    <cellStyle name="Финансовый 25 2 2 8 2" xfId="51056"/>
    <cellStyle name="Финансовый 25 2 2 9" xfId="51057"/>
    <cellStyle name="Финансовый 25 2 3" xfId="51058"/>
    <cellStyle name="Финансовый 25 2 3 2" xfId="51059"/>
    <cellStyle name="Финансовый 25 2 3 2 2" xfId="51060"/>
    <cellStyle name="Финансовый 25 2 3 2 2 2" xfId="51061"/>
    <cellStyle name="Финансовый 25 2 3 2 3" xfId="51062"/>
    <cellStyle name="Финансовый 25 2 3 2 3 2" xfId="51063"/>
    <cellStyle name="Финансовый 25 2 3 2 4" xfId="51064"/>
    <cellStyle name="Финансовый 25 2 3 3" xfId="51065"/>
    <cellStyle name="Финансовый 25 2 3 3 2" xfId="51066"/>
    <cellStyle name="Финансовый 25 2 3 3 2 2" xfId="51067"/>
    <cellStyle name="Финансовый 25 2 3 3 2 2 2" xfId="51068"/>
    <cellStyle name="Финансовый 25 2 3 3 2 3" xfId="51069"/>
    <cellStyle name="Финансовый 25 2 3 3 3" xfId="51070"/>
    <cellStyle name="Финансовый 25 2 3 3 3 2" xfId="51071"/>
    <cellStyle name="Финансовый 25 2 3 3 3 2 2" xfId="51072"/>
    <cellStyle name="Финансовый 25 2 3 3 3 3" xfId="51073"/>
    <cellStyle name="Финансовый 25 2 3 3 4" xfId="51074"/>
    <cellStyle name="Финансовый 25 2 3 3 4 2" xfId="51075"/>
    <cellStyle name="Финансовый 25 2 3 3 5" xfId="51076"/>
    <cellStyle name="Финансовый 25 2 3 3 5 2" xfId="51077"/>
    <cellStyle name="Финансовый 25 2 3 3 6" xfId="51078"/>
    <cellStyle name="Финансовый 25 2 3 4" xfId="51079"/>
    <cellStyle name="Финансовый 25 2 3 4 2" xfId="51080"/>
    <cellStyle name="Финансовый 25 2 3 4 2 2" xfId="51081"/>
    <cellStyle name="Финансовый 25 2 3 4 3" xfId="51082"/>
    <cellStyle name="Финансовый 25 2 3 4 3 2" xfId="51083"/>
    <cellStyle name="Финансовый 25 2 3 4 4" xfId="51084"/>
    <cellStyle name="Финансовый 25 2 3 5" xfId="51085"/>
    <cellStyle name="Финансовый 25 2 3 5 2" xfId="51086"/>
    <cellStyle name="Финансовый 25 2 3 5 2 2" xfId="51087"/>
    <cellStyle name="Финансовый 25 2 3 5 3" xfId="51088"/>
    <cellStyle name="Финансовый 25 2 3 6" xfId="51089"/>
    <cellStyle name="Финансовый 25 2 3 6 2" xfId="51090"/>
    <cellStyle name="Финансовый 25 2 3 7" xfId="51091"/>
    <cellStyle name="Финансовый 25 2 3 7 2" xfId="51092"/>
    <cellStyle name="Финансовый 25 2 3 8" xfId="51093"/>
    <cellStyle name="Финансовый 25 2 4" xfId="51094"/>
    <cellStyle name="Финансовый 25 2 4 2" xfId="51095"/>
    <cellStyle name="Финансовый 25 2 4 2 2" xfId="51096"/>
    <cellStyle name="Финансовый 25 2 4 2 2 2" xfId="51097"/>
    <cellStyle name="Финансовый 25 2 4 2 3" xfId="51098"/>
    <cellStyle name="Финансовый 25 2 4 2 3 2" xfId="51099"/>
    <cellStyle name="Финансовый 25 2 4 2 4" xfId="51100"/>
    <cellStyle name="Финансовый 25 2 4 3" xfId="51101"/>
    <cellStyle name="Финансовый 25 2 4 3 2" xfId="51102"/>
    <cellStyle name="Финансовый 25 2 4 3 2 2" xfId="51103"/>
    <cellStyle name="Финансовый 25 2 4 3 2 2 2" xfId="51104"/>
    <cellStyle name="Финансовый 25 2 4 3 2 3" xfId="51105"/>
    <cellStyle name="Финансовый 25 2 4 3 3" xfId="51106"/>
    <cellStyle name="Финансовый 25 2 4 3 3 2" xfId="51107"/>
    <cellStyle name="Финансовый 25 2 4 3 3 2 2" xfId="51108"/>
    <cellStyle name="Финансовый 25 2 4 3 3 3" xfId="51109"/>
    <cellStyle name="Финансовый 25 2 4 3 4" xfId="51110"/>
    <cellStyle name="Финансовый 25 2 4 3 4 2" xfId="51111"/>
    <cellStyle name="Финансовый 25 2 4 3 5" xfId="51112"/>
    <cellStyle name="Финансовый 25 2 4 3 5 2" xfId="51113"/>
    <cellStyle name="Финансовый 25 2 4 3 6" xfId="51114"/>
    <cellStyle name="Финансовый 25 2 4 4" xfId="51115"/>
    <cellStyle name="Финансовый 25 2 4 4 2" xfId="51116"/>
    <cellStyle name="Финансовый 25 2 4 5" xfId="51117"/>
    <cellStyle name="Финансовый 25 2 5" xfId="51118"/>
    <cellStyle name="Финансовый 25 2 5 2" xfId="51119"/>
    <cellStyle name="Финансовый 25 2 5 2 2" xfId="51120"/>
    <cellStyle name="Финансовый 25 2 5 2 2 2" xfId="51121"/>
    <cellStyle name="Финансовый 25 2 5 2 3" xfId="51122"/>
    <cellStyle name="Финансовый 25 2 5 2 3 2" xfId="51123"/>
    <cellStyle name="Финансовый 25 2 5 2 4" xfId="51124"/>
    <cellStyle name="Финансовый 25 2 5 3" xfId="51125"/>
    <cellStyle name="Финансовый 25 2 5 3 2" xfId="51126"/>
    <cellStyle name="Финансовый 25 2 5 4" xfId="51127"/>
    <cellStyle name="Финансовый 25 2 5 4 2" xfId="51128"/>
    <cellStyle name="Финансовый 25 2 5 5" xfId="51129"/>
    <cellStyle name="Финансовый 25 2 6" xfId="51130"/>
    <cellStyle name="Финансовый 25 2 6 2" xfId="51131"/>
    <cellStyle name="Финансовый 25 2 6 2 2" xfId="51132"/>
    <cellStyle name="Финансовый 25 2 6 2 2 2" xfId="51133"/>
    <cellStyle name="Финансовый 25 2 6 2 3" xfId="51134"/>
    <cellStyle name="Финансовый 25 2 6 2 3 2" xfId="51135"/>
    <cellStyle name="Финансовый 25 2 6 2 4" xfId="51136"/>
    <cellStyle name="Финансовый 25 2 6 3" xfId="51137"/>
    <cellStyle name="Финансовый 25 2 6 3 2" xfId="51138"/>
    <cellStyle name="Финансовый 25 2 6 4" xfId="51139"/>
    <cellStyle name="Финансовый 25 2 6 4 2" xfId="51140"/>
    <cellStyle name="Финансовый 25 2 6 5" xfId="51141"/>
    <cellStyle name="Финансовый 25 2 7" xfId="51142"/>
    <cellStyle name="Финансовый 25 2 7 2" xfId="51143"/>
    <cellStyle name="Финансовый 25 2 7 2 2" xfId="51144"/>
    <cellStyle name="Финансовый 25 2 7 2 2 2" xfId="51145"/>
    <cellStyle name="Финансовый 25 2 7 2 3" xfId="51146"/>
    <cellStyle name="Финансовый 25 2 7 2 3 2" xfId="51147"/>
    <cellStyle name="Финансовый 25 2 7 2 4" xfId="51148"/>
    <cellStyle name="Финансовый 25 2 7 3" xfId="51149"/>
    <cellStyle name="Финансовый 25 2 7 3 2" xfId="51150"/>
    <cellStyle name="Финансовый 25 2 7 4" xfId="51151"/>
    <cellStyle name="Финансовый 25 2 7 4 2" xfId="51152"/>
    <cellStyle name="Финансовый 25 2 7 5" xfId="51153"/>
    <cellStyle name="Финансовый 25 2 8" xfId="51154"/>
    <cellStyle name="Финансовый 25 2 8 2" xfId="51155"/>
    <cellStyle name="Финансовый 25 2 8 2 2" xfId="51156"/>
    <cellStyle name="Финансовый 25 2 8 3" xfId="51157"/>
    <cellStyle name="Финансовый 25 2 8 3 2" xfId="51158"/>
    <cellStyle name="Финансовый 25 2 8 4" xfId="51159"/>
    <cellStyle name="Финансовый 25 2 9" xfId="51160"/>
    <cellStyle name="Финансовый 25 2 9 2" xfId="51161"/>
    <cellStyle name="Финансовый 25 2 9 2 2" xfId="51162"/>
    <cellStyle name="Финансовый 25 2 9 3" xfId="51163"/>
    <cellStyle name="Финансовый 25 2 9 3 2" xfId="51164"/>
    <cellStyle name="Финансовый 25 2 9 4" xfId="51165"/>
    <cellStyle name="Финансовый 25 3" xfId="51166"/>
    <cellStyle name="Финансовый 25 3 2" xfId="51167"/>
    <cellStyle name="Финансовый 25 3 2 2" xfId="51168"/>
    <cellStyle name="Финансовый 25 3 2 2 2" xfId="51169"/>
    <cellStyle name="Финансовый 25 3 2 2 2 2" xfId="51170"/>
    <cellStyle name="Финансовый 25 3 2 2 2 2 2" xfId="51171"/>
    <cellStyle name="Финансовый 25 3 2 2 2 3" xfId="51172"/>
    <cellStyle name="Финансовый 25 3 2 2 2 3 2" xfId="51173"/>
    <cellStyle name="Финансовый 25 3 2 2 2 4" xfId="51174"/>
    <cellStyle name="Финансовый 25 3 2 2 3" xfId="51175"/>
    <cellStyle name="Финансовый 25 3 2 2 3 2" xfId="51176"/>
    <cellStyle name="Финансовый 25 3 2 2 3 2 2" xfId="51177"/>
    <cellStyle name="Финансовый 25 3 2 2 3 3" xfId="51178"/>
    <cellStyle name="Финансовый 25 3 2 2 4" xfId="51179"/>
    <cellStyle name="Финансовый 25 3 2 2 4 2" xfId="51180"/>
    <cellStyle name="Финансовый 25 3 2 2 5" xfId="51181"/>
    <cellStyle name="Финансовый 25 3 2 2 5 2" xfId="51182"/>
    <cellStyle name="Финансовый 25 3 2 2 6" xfId="51183"/>
    <cellStyle name="Финансовый 25 3 2 3" xfId="51184"/>
    <cellStyle name="Финансовый 25 3 2 3 2" xfId="51185"/>
    <cellStyle name="Финансовый 25 3 2 3 2 2" xfId="51186"/>
    <cellStyle name="Финансовый 25 3 2 3 2 2 2" xfId="51187"/>
    <cellStyle name="Финансовый 25 3 2 3 2 3" xfId="51188"/>
    <cellStyle name="Финансовый 25 3 2 3 3" xfId="51189"/>
    <cellStyle name="Финансовый 25 3 2 3 3 2" xfId="51190"/>
    <cellStyle name="Финансовый 25 3 2 3 3 2 2" xfId="51191"/>
    <cellStyle name="Финансовый 25 3 2 3 3 3" xfId="51192"/>
    <cellStyle name="Финансовый 25 3 2 3 4" xfId="51193"/>
    <cellStyle name="Финансовый 25 3 2 3 4 2" xfId="51194"/>
    <cellStyle name="Финансовый 25 3 2 3 5" xfId="51195"/>
    <cellStyle name="Финансовый 25 3 2 3 5 2" xfId="51196"/>
    <cellStyle name="Финансовый 25 3 2 3 6" xfId="51197"/>
    <cellStyle name="Финансовый 25 3 2 4" xfId="51198"/>
    <cellStyle name="Финансовый 25 3 2 4 2" xfId="51199"/>
    <cellStyle name="Финансовый 25 3 2 4 2 2" xfId="51200"/>
    <cellStyle name="Финансовый 25 3 2 4 3" xfId="51201"/>
    <cellStyle name="Финансовый 25 3 2 4 3 2" xfId="51202"/>
    <cellStyle name="Финансовый 25 3 2 4 4" xfId="51203"/>
    <cellStyle name="Финансовый 25 3 2 5" xfId="51204"/>
    <cellStyle name="Финансовый 25 3 2 5 2" xfId="51205"/>
    <cellStyle name="Финансовый 25 3 2 5 2 2" xfId="51206"/>
    <cellStyle name="Финансовый 25 3 2 5 3" xfId="51207"/>
    <cellStyle name="Финансовый 25 3 2 6" xfId="51208"/>
    <cellStyle name="Финансовый 25 3 2 6 2" xfId="51209"/>
    <cellStyle name="Финансовый 25 3 2 7" xfId="51210"/>
    <cellStyle name="Финансовый 25 3 2 7 2" xfId="51211"/>
    <cellStyle name="Финансовый 25 3 2 8" xfId="51212"/>
    <cellStyle name="Финансовый 25 3 3" xfId="51213"/>
    <cellStyle name="Финансовый 25 3 3 2" xfId="51214"/>
    <cellStyle name="Финансовый 25 3 3 2 2" xfId="51215"/>
    <cellStyle name="Финансовый 25 3 3 2 2 2" xfId="51216"/>
    <cellStyle name="Финансовый 25 3 3 2 3" xfId="51217"/>
    <cellStyle name="Финансовый 25 3 3 2 3 2" xfId="51218"/>
    <cellStyle name="Финансовый 25 3 3 2 4" xfId="51219"/>
    <cellStyle name="Финансовый 25 3 3 3" xfId="51220"/>
    <cellStyle name="Финансовый 25 3 3 3 2" xfId="51221"/>
    <cellStyle name="Финансовый 25 3 3 3 2 2" xfId="51222"/>
    <cellStyle name="Финансовый 25 3 3 3 3" xfId="51223"/>
    <cellStyle name="Финансовый 25 3 3 4" xfId="51224"/>
    <cellStyle name="Финансовый 25 3 3 4 2" xfId="51225"/>
    <cellStyle name="Финансовый 25 3 3 5" xfId="51226"/>
    <cellStyle name="Финансовый 25 3 3 5 2" xfId="51227"/>
    <cellStyle name="Финансовый 25 3 3 6" xfId="51228"/>
    <cellStyle name="Финансовый 25 3 4" xfId="51229"/>
    <cellStyle name="Финансовый 25 3 4 2" xfId="51230"/>
    <cellStyle name="Финансовый 25 3 4 2 2" xfId="51231"/>
    <cellStyle name="Финансовый 25 3 4 2 2 2" xfId="51232"/>
    <cellStyle name="Финансовый 25 3 4 2 3" xfId="51233"/>
    <cellStyle name="Финансовый 25 3 4 3" xfId="51234"/>
    <cellStyle name="Финансовый 25 3 4 3 2" xfId="51235"/>
    <cellStyle name="Финансовый 25 3 4 3 2 2" xfId="51236"/>
    <cellStyle name="Финансовый 25 3 4 3 3" xfId="51237"/>
    <cellStyle name="Финансовый 25 3 4 4" xfId="51238"/>
    <cellStyle name="Финансовый 25 3 4 4 2" xfId="51239"/>
    <cellStyle name="Финансовый 25 3 4 5" xfId="51240"/>
    <cellStyle name="Финансовый 25 3 4 5 2" xfId="51241"/>
    <cellStyle name="Финансовый 25 3 4 6" xfId="51242"/>
    <cellStyle name="Финансовый 25 3 5" xfId="51243"/>
    <cellStyle name="Финансовый 25 3 5 2" xfId="51244"/>
    <cellStyle name="Финансовый 25 3 5 2 2" xfId="51245"/>
    <cellStyle name="Финансовый 25 3 5 3" xfId="51246"/>
    <cellStyle name="Финансовый 25 3 5 3 2" xfId="51247"/>
    <cellStyle name="Финансовый 25 3 5 4" xfId="51248"/>
    <cellStyle name="Финансовый 25 3 6" xfId="51249"/>
    <cellStyle name="Финансовый 25 3 6 2" xfId="51250"/>
    <cellStyle name="Финансовый 25 3 6 2 2" xfId="51251"/>
    <cellStyle name="Финансовый 25 3 6 3" xfId="51252"/>
    <cellStyle name="Финансовый 25 3 7" xfId="51253"/>
    <cellStyle name="Финансовый 25 3 7 2" xfId="51254"/>
    <cellStyle name="Финансовый 25 3 8" xfId="51255"/>
    <cellStyle name="Финансовый 25 3 8 2" xfId="51256"/>
    <cellStyle name="Финансовый 25 3 9" xfId="51257"/>
    <cellStyle name="Финансовый 25 4" xfId="51258"/>
    <cellStyle name="Финансовый 25 4 2" xfId="51259"/>
    <cellStyle name="Финансовый 25 4 2 2" xfId="51260"/>
    <cellStyle name="Финансовый 25 4 2 2 2" xfId="51261"/>
    <cellStyle name="Финансовый 25 4 2 2 2 2" xfId="51262"/>
    <cellStyle name="Финансовый 25 4 2 2 2 2 2" xfId="51263"/>
    <cellStyle name="Финансовый 25 4 2 2 2 3" xfId="51264"/>
    <cellStyle name="Финансовый 25 4 2 2 3" xfId="51265"/>
    <cellStyle name="Финансовый 25 4 2 2 3 2" xfId="51266"/>
    <cellStyle name="Финансовый 25 4 2 2 3 2 2" xfId="51267"/>
    <cellStyle name="Финансовый 25 4 2 2 3 3" xfId="51268"/>
    <cellStyle name="Финансовый 25 4 2 2 4" xfId="51269"/>
    <cellStyle name="Финансовый 25 4 2 2 4 2" xfId="51270"/>
    <cellStyle name="Финансовый 25 4 2 2 5" xfId="51271"/>
    <cellStyle name="Финансовый 25 4 2 2 5 2" xfId="51272"/>
    <cellStyle name="Финансовый 25 4 2 2 6" xfId="51273"/>
    <cellStyle name="Финансовый 25 4 2 3" xfId="51274"/>
    <cellStyle name="Финансовый 25 4 2 3 2" xfId="51275"/>
    <cellStyle name="Финансовый 25 4 2 3 2 2" xfId="51276"/>
    <cellStyle name="Финансовый 25 4 2 3 2 2 2" xfId="51277"/>
    <cellStyle name="Финансовый 25 4 2 3 2 3" xfId="51278"/>
    <cellStyle name="Финансовый 25 4 2 3 3" xfId="51279"/>
    <cellStyle name="Финансовый 25 4 2 3 3 2" xfId="51280"/>
    <cellStyle name="Финансовый 25 4 2 3 3 2 2" xfId="51281"/>
    <cellStyle name="Финансовый 25 4 2 3 3 3" xfId="51282"/>
    <cellStyle name="Финансовый 25 4 2 3 4" xfId="51283"/>
    <cellStyle name="Финансовый 25 4 2 3 4 2" xfId="51284"/>
    <cellStyle name="Финансовый 25 4 2 3 5" xfId="51285"/>
    <cellStyle name="Финансовый 25 4 2 3 5 2" xfId="51286"/>
    <cellStyle name="Финансовый 25 4 2 3 6" xfId="51287"/>
    <cellStyle name="Финансовый 25 4 2 4" xfId="51288"/>
    <cellStyle name="Финансовый 25 4 2 4 2" xfId="51289"/>
    <cellStyle name="Финансовый 25 4 2 4 2 2" xfId="51290"/>
    <cellStyle name="Финансовый 25 4 2 4 3" xfId="51291"/>
    <cellStyle name="Финансовый 25 4 2 5" xfId="51292"/>
    <cellStyle name="Финансовый 25 4 2 5 2" xfId="51293"/>
    <cellStyle name="Финансовый 25 4 2 5 2 2" xfId="51294"/>
    <cellStyle name="Финансовый 25 4 2 5 3" xfId="51295"/>
    <cellStyle name="Финансовый 25 4 2 6" xfId="51296"/>
    <cellStyle name="Финансовый 25 4 2 6 2" xfId="51297"/>
    <cellStyle name="Финансовый 25 4 2 6 2 2" xfId="51298"/>
    <cellStyle name="Финансовый 25 4 2 6 3" xfId="51299"/>
    <cellStyle name="Финансовый 25 4 2 7" xfId="51300"/>
    <cellStyle name="Финансовый 25 4 2 7 2" xfId="51301"/>
    <cellStyle name="Финансовый 25 4 2 8" xfId="51302"/>
    <cellStyle name="Финансовый 25 4 2 8 2" xfId="51303"/>
    <cellStyle name="Финансовый 25 4 2 9" xfId="51304"/>
    <cellStyle name="Финансовый 25 4 3" xfId="51305"/>
    <cellStyle name="Финансовый 25 4 3 2" xfId="51306"/>
    <cellStyle name="Финансовый 25 4 3 2 2" xfId="51307"/>
    <cellStyle name="Финансовый 25 4 3 2 2 2" xfId="51308"/>
    <cellStyle name="Финансовый 25 4 3 2 3" xfId="51309"/>
    <cellStyle name="Финансовый 25 4 3 3" xfId="51310"/>
    <cellStyle name="Финансовый 25 4 3 3 2" xfId="51311"/>
    <cellStyle name="Финансовый 25 4 3 3 2 2" xfId="51312"/>
    <cellStyle name="Финансовый 25 4 3 3 3" xfId="51313"/>
    <cellStyle name="Финансовый 25 4 3 4" xfId="51314"/>
    <cellStyle name="Финансовый 25 4 3 4 2" xfId="51315"/>
    <cellStyle name="Финансовый 25 4 3 5" xfId="51316"/>
    <cellStyle name="Финансовый 25 4 3 5 2" xfId="51317"/>
    <cellStyle name="Финансовый 25 4 3 6" xfId="51318"/>
    <cellStyle name="Финансовый 25 4 4" xfId="51319"/>
    <cellStyle name="Финансовый 25 4 4 2" xfId="51320"/>
    <cellStyle name="Финансовый 25 4 4 2 2" xfId="51321"/>
    <cellStyle name="Финансовый 25 4 4 2 2 2" xfId="51322"/>
    <cellStyle name="Финансовый 25 4 4 2 3" xfId="51323"/>
    <cellStyle name="Финансовый 25 4 4 3" xfId="51324"/>
    <cellStyle name="Финансовый 25 4 4 3 2" xfId="51325"/>
    <cellStyle name="Финансовый 25 4 4 3 2 2" xfId="51326"/>
    <cellStyle name="Финансовый 25 4 4 3 3" xfId="51327"/>
    <cellStyle name="Финансовый 25 4 4 4" xfId="51328"/>
    <cellStyle name="Финансовый 25 4 4 4 2" xfId="51329"/>
    <cellStyle name="Финансовый 25 4 4 5" xfId="51330"/>
    <cellStyle name="Финансовый 25 4 4 5 2" xfId="51331"/>
    <cellStyle name="Финансовый 25 4 4 6" xfId="51332"/>
    <cellStyle name="Финансовый 25 4 5" xfId="51333"/>
    <cellStyle name="Финансовый 25 4 5 2" xfId="51334"/>
    <cellStyle name="Финансовый 25 4 5 2 2" xfId="51335"/>
    <cellStyle name="Финансовый 25 4 5 3" xfId="51336"/>
    <cellStyle name="Финансовый 25 4 5 3 2" xfId="51337"/>
    <cellStyle name="Финансовый 25 4 5 4" xfId="51338"/>
    <cellStyle name="Финансовый 25 4 6" xfId="51339"/>
    <cellStyle name="Финансовый 25 4 6 2" xfId="51340"/>
    <cellStyle name="Финансовый 25 4 6 2 2" xfId="51341"/>
    <cellStyle name="Финансовый 25 4 6 3" xfId="51342"/>
    <cellStyle name="Финансовый 25 4 7" xfId="51343"/>
    <cellStyle name="Финансовый 25 4 7 2" xfId="51344"/>
    <cellStyle name="Финансовый 25 4 8" xfId="51345"/>
    <cellStyle name="Финансовый 25 4 8 2" xfId="51346"/>
    <cellStyle name="Финансовый 25 4 9" xfId="51347"/>
    <cellStyle name="Финансовый 25 5" xfId="51348"/>
    <cellStyle name="Финансовый 25 5 2" xfId="51349"/>
    <cellStyle name="Финансовый 25 5 2 2" xfId="51350"/>
    <cellStyle name="Финансовый 25 5 2 2 2" xfId="51351"/>
    <cellStyle name="Финансовый 25 5 2 3" xfId="51352"/>
    <cellStyle name="Финансовый 25 5 2 3 2" xfId="51353"/>
    <cellStyle name="Финансовый 25 5 2 4" xfId="51354"/>
    <cellStyle name="Финансовый 25 5 3" xfId="51355"/>
    <cellStyle name="Финансовый 25 5 3 2" xfId="51356"/>
    <cellStyle name="Финансовый 25 5 3 2 2" xfId="51357"/>
    <cellStyle name="Финансовый 25 5 3 2 2 2" xfId="51358"/>
    <cellStyle name="Финансовый 25 5 3 2 3" xfId="51359"/>
    <cellStyle name="Финансовый 25 5 3 3" xfId="51360"/>
    <cellStyle name="Финансовый 25 5 3 3 2" xfId="51361"/>
    <cellStyle name="Финансовый 25 5 3 3 2 2" xfId="51362"/>
    <cellStyle name="Финансовый 25 5 3 3 3" xfId="51363"/>
    <cellStyle name="Финансовый 25 5 3 4" xfId="51364"/>
    <cellStyle name="Финансовый 25 5 3 4 2" xfId="51365"/>
    <cellStyle name="Финансовый 25 5 3 5" xfId="51366"/>
    <cellStyle name="Финансовый 25 5 3 5 2" xfId="51367"/>
    <cellStyle name="Финансовый 25 5 3 6" xfId="51368"/>
    <cellStyle name="Финансовый 25 5 4" xfId="51369"/>
    <cellStyle name="Финансовый 25 5 4 2" xfId="51370"/>
    <cellStyle name="Финансовый 25 5 4 2 2" xfId="51371"/>
    <cellStyle name="Финансовый 25 5 4 3" xfId="51372"/>
    <cellStyle name="Финансовый 25 5 4 3 2" xfId="51373"/>
    <cellStyle name="Финансовый 25 5 4 4" xfId="51374"/>
    <cellStyle name="Финансовый 25 5 5" xfId="51375"/>
    <cellStyle name="Финансовый 25 5 5 2" xfId="51376"/>
    <cellStyle name="Финансовый 25 5 5 2 2" xfId="51377"/>
    <cellStyle name="Финансовый 25 5 5 3" xfId="51378"/>
    <cellStyle name="Финансовый 25 5 6" xfId="51379"/>
    <cellStyle name="Финансовый 25 5 6 2" xfId="51380"/>
    <cellStyle name="Финансовый 25 5 7" xfId="51381"/>
    <cellStyle name="Финансовый 25 5 7 2" xfId="51382"/>
    <cellStyle name="Финансовый 25 5 8" xfId="51383"/>
    <cellStyle name="Финансовый 25 6" xfId="51384"/>
    <cellStyle name="Финансовый 25 6 2" xfId="51385"/>
    <cellStyle name="Финансовый 25 6 2 2" xfId="51386"/>
    <cellStyle name="Финансовый 25 6 2 2 2" xfId="51387"/>
    <cellStyle name="Финансовый 25 6 2 3" xfId="51388"/>
    <cellStyle name="Финансовый 25 6 2 3 2" xfId="51389"/>
    <cellStyle name="Финансовый 25 6 2 4" xfId="51390"/>
    <cellStyle name="Финансовый 25 6 3" xfId="51391"/>
    <cellStyle name="Финансовый 25 6 3 2" xfId="51392"/>
    <cellStyle name="Финансовый 25 6 3 2 2" xfId="51393"/>
    <cellStyle name="Финансовый 25 6 3 2 2 2" xfId="51394"/>
    <cellStyle name="Финансовый 25 6 3 2 3" xfId="51395"/>
    <cellStyle name="Финансовый 25 6 3 3" xfId="51396"/>
    <cellStyle name="Финансовый 25 6 3 3 2" xfId="51397"/>
    <cellStyle name="Финансовый 25 6 3 3 2 2" xfId="51398"/>
    <cellStyle name="Финансовый 25 6 3 3 3" xfId="51399"/>
    <cellStyle name="Финансовый 25 6 3 4" xfId="51400"/>
    <cellStyle name="Финансовый 25 6 3 4 2" xfId="51401"/>
    <cellStyle name="Финансовый 25 6 3 5" xfId="51402"/>
    <cellStyle name="Финансовый 25 6 3 5 2" xfId="51403"/>
    <cellStyle name="Финансовый 25 6 3 6" xfId="51404"/>
    <cellStyle name="Финансовый 25 6 4" xfId="51405"/>
    <cellStyle name="Финансовый 25 6 4 2" xfId="51406"/>
    <cellStyle name="Финансовый 25 6 4 2 2" xfId="51407"/>
    <cellStyle name="Финансовый 25 6 4 3" xfId="51408"/>
    <cellStyle name="Финансовый 25 6 4 3 2" xfId="51409"/>
    <cellStyle name="Финансовый 25 6 4 4" xfId="51410"/>
    <cellStyle name="Финансовый 25 6 5" xfId="51411"/>
    <cellStyle name="Финансовый 25 6 5 2" xfId="51412"/>
    <cellStyle name="Финансовый 25 6 5 2 2" xfId="51413"/>
    <cellStyle name="Финансовый 25 6 5 3" xfId="51414"/>
    <cellStyle name="Финансовый 25 6 6" xfId="51415"/>
    <cellStyle name="Финансовый 25 6 6 2" xfId="51416"/>
    <cellStyle name="Финансовый 25 6 7" xfId="51417"/>
    <cellStyle name="Финансовый 25 6 7 2" xfId="51418"/>
    <cellStyle name="Финансовый 25 6 8" xfId="51419"/>
    <cellStyle name="Финансовый 25 7" xfId="51420"/>
    <cellStyle name="Финансовый 25 7 2" xfId="51421"/>
    <cellStyle name="Финансовый 25 7 2 2" xfId="51422"/>
    <cellStyle name="Финансовый 25 7 2 2 2" xfId="51423"/>
    <cellStyle name="Финансовый 25 7 2 3" xfId="51424"/>
    <cellStyle name="Финансовый 25 7 2 3 2" xfId="51425"/>
    <cellStyle name="Финансовый 25 7 2 4" xfId="51426"/>
    <cellStyle name="Финансовый 25 7 3" xfId="51427"/>
    <cellStyle name="Финансовый 25 7 3 2" xfId="51428"/>
    <cellStyle name="Финансовый 25 7 3 2 2" xfId="51429"/>
    <cellStyle name="Финансовый 25 7 3 2 2 2" xfId="51430"/>
    <cellStyle name="Финансовый 25 7 3 2 3" xfId="51431"/>
    <cellStyle name="Финансовый 25 7 3 3" xfId="51432"/>
    <cellStyle name="Финансовый 25 7 3 3 2" xfId="51433"/>
    <cellStyle name="Финансовый 25 7 3 3 2 2" xfId="51434"/>
    <cellStyle name="Финансовый 25 7 3 3 3" xfId="51435"/>
    <cellStyle name="Финансовый 25 7 3 4" xfId="51436"/>
    <cellStyle name="Финансовый 25 7 3 4 2" xfId="51437"/>
    <cellStyle name="Финансовый 25 7 3 5" xfId="51438"/>
    <cellStyle name="Финансовый 25 7 3 5 2" xfId="51439"/>
    <cellStyle name="Финансовый 25 7 3 6" xfId="51440"/>
    <cellStyle name="Финансовый 25 7 4" xfId="51441"/>
    <cellStyle name="Финансовый 25 7 4 2" xfId="51442"/>
    <cellStyle name="Финансовый 25 7 4 2 2" xfId="51443"/>
    <cellStyle name="Финансовый 25 7 4 3" xfId="51444"/>
    <cellStyle name="Финансовый 25 7 4 3 2" xfId="51445"/>
    <cellStyle name="Финансовый 25 7 4 4" xfId="51446"/>
    <cellStyle name="Финансовый 25 7 5" xfId="51447"/>
    <cellStyle name="Финансовый 25 7 5 2" xfId="51448"/>
    <cellStyle name="Финансовый 25 7 5 2 2" xfId="51449"/>
    <cellStyle name="Финансовый 25 7 5 3" xfId="51450"/>
    <cellStyle name="Финансовый 25 7 6" xfId="51451"/>
    <cellStyle name="Финансовый 25 7 6 2" xfId="51452"/>
    <cellStyle name="Финансовый 25 7 7" xfId="51453"/>
    <cellStyle name="Финансовый 25 7 7 2" xfId="51454"/>
    <cellStyle name="Финансовый 25 7 8" xfId="51455"/>
    <cellStyle name="Финансовый 25 8" xfId="51456"/>
    <cellStyle name="Финансовый 25 8 2" xfId="51457"/>
    <cellStyle name="Финансовый 25 8 2 2" xfId="51458"/>
    <cellStyle name="Финансовый 25 8 2 2 2" xfId="51459"/>
    <cellStyle name="Финансовый 25 8 2 3" xfId="51460"/>
    <cellStyle name="Финансовый 25 8 2 3 2" xfId="51461"/>
    <cellStyle name="Финансовый 25 8 2 4" xfId="51462"/>
    <cellStyle name="Финансовый 25 8 3" xfId="51463"/>
    <cellStyle name="Финансовый 25 8 3 2" xfId="51464"/>
    <cellStyle name="Финансовый 25 8 4" xfId="51465"/>
    <cellStyle name="Финансовый 25 8 4 2" xfId="51466"/>
    <cellStyle name="Финансовый 25 8 5" xfId="51467"/>
    <cellStyle name="Финансовый 25 9" xfId="51468"/>
    <cellStyle name="Финансовый 25 9 2" xfId="51469"/>
    <cellStyle name="Финансовый 25 9 2 2" xfId="51470"/>
    <cellStyle name="Финансовый 25 9 2 2 2" xfId="51471"/>
    <cellStyle name="Финансовый 25 9 2 3" xfId="51472"/>
    <cellStyle name="Финансовый 25 9 2 3 2" xfId="51473"/>
    <cellStyle name="Финансовый 25 9 2 4" xfId="51474"/>
    <cellStyle name="Финансовый 25 9 3" xfId="51475"/>
    <cellStyle name="Финансовый 25 9 3 2" xfId="51476"/>
    <cellStyle name="Финансовый 25 9 3 2 2" xfId="51477"/>
    <cellStyle name="Финансовый 25 9 3 3" xfId="51478"/>
    <cellStyle name="Финансовый 25 9 4" xfId="51479"/>
    <cellStyle name="Финансовый 25 9 4 2" xfId="51480"/>
    <cellStyle name="Финансовый 25 9 5" xfId="51481"/>
    <cellStyle name="Финансовый 25 9 5 2" xfId="51482"/>
    <cellStyle name="Финансовый 25 9 6" xfId="51483"/>
    <cellStyle name="Финансовый 26" xfId="51484"/>
    <cellStyle name="Финансовый 26 10" xfId="51485"/>
    <cellStyle name="Финансовый 26 10 2" xfId="51486"/>
    <cellStyle name="Финансовый 26 11" xfId="51487"/>
    <cellStyle name="Финансовый 26 2" xfId="51488"/>
    <cellStyle name="Финансовый 26 2 2" xfId="51489"/>
    <cellStyle name="Финансовый 26 2 2 2" xfId="51490"/>
    <cellStyle name="Финансовый 26 2 2 2 2" xfId="51491"/>
    <cellStyle name="Финансовый 26 2 2 2 2 2" xfId="51492"/>
    <cellStyle name="Финансовый 26 2 2 2 2 2 2" xfId="51493"/>
    <cellStyle name="Финансовый 26 2 2 2 2 3" xfId="51494"/>
    <cellStyle name="Финансовый 26 2 2 2 3" xfId="51495"/>
    <cellStyle name="Финансовый 26 2 2 2 3 2" xfId="51496"/>
    <cellStyle name="Финансовый 26 2 2 2 3 2 2" xfId="51497"/>
    <cellStyle name="Финансовый 26 2 2 2 3 3" xfId="51498"/>
    <cellStyle name="Финансовый 26 2 2 2 4" xfId="51499"/>
    <cellStyle name="Финансовый 26 2 2 2 4 2" xfId="51500"/>
    <cellStyle name="Финансовый 26 2 2 2 5" xfId="51501"/>
    <cellStyle name="Финансовый 26 2 2 2 5 2" xfId="51502"/>
    <cellStyle name="Финансовый 26 2 2 2 6" xfId="51503"/>
    <cellStyle name="Финансовый 26 2 2 3" xfId="51504"/>
    <cellStyle name="Финансовый 26 2 2 3 2" xfId="51505"/>
    <cellStyle name="Финансовый 26 2 2 3 2 2" xfId="51506"/>
    <cellStyle name="Финансовый 26 2 2 3 2 2 2" xfId="51507"/>
    <cellStyle name="Финансовый 26 2 2 3 2 3" xfId="51508"/>
    <cellStyle name="Финансовый 26 2 2 3 3" xfId="51509"/>
    <cellStyle name="Финансовый 26 2 2 3 3 2" xfId="51510"/>
    <cellStyle name="Финансовый 26 2 2 3 3 2 2" xfId="51511"/>
    <cellStyle name="Финансовый 26 2 2 3 3 3" xfId="51512"/>
    <cellStyle name="Финансовый 26 2 2 3 4" xfId="51513"/>
    <cellStyle name="Финансовый 26 2 2 3 4 2" xfId="51514"/>
    <cellStyle name="Финансовый 26 2 2 3 5" xfId="51515"/>
    <cellStyle name="Финансовый 26 2 2 3 5 2" xfId="51516"/>
    <cellStyle name="Финансовый 26 2 2 3 6" xfId="51517"/>
    <cellStyle name="Финансовый 26 2 2 4" xfId="51518"/>
    <cellStyle name="Финансовый 26 2 2 4 2" xfId="51519"/>
    <cellStyle name="Финансовый 26 2 2 4 2 2" xfId="51520"/>
    <cellStyle name="Финансовый 26 2 2 4 3" xfId="51521"/>
    <cellStyle name="Финансовый 26 2 2 5" xfId="51522"/>
    <cellStyle name="Финансовый 26 2 2 5 2" xfId="51523"/>
    <cellStyle name="Финансовый 26 2 2 5 2 2" xfId="51524"/>
    <cellStyle name="Финансовый 26 2 2 5 3" xfId="51525"/>
    <cellStyle name="Финансовый 26 2 2 6" xfId="51526"/>
    <cellStyle name="Финансовый 26 2 2 6 2" xfId="51527"/>
    <cellStyle name="Финансовый 26 2 2 7" xfId="51528"/>
    <cellStyle name="Финансовый 26 2 2 7 2" xfId="51529"/>
    <cellStyle name="Финансовый 26 2 2 8" xfId="51530"/>
    <cellStyle name="Финансовый 26 2 3" xfId="51531"/>
    <cellStyle name="Финансовый 26 2 3 2" xfId="51532"/>
    <cellStyle name="Финансовый 26 2 3 2 2" xfId="51533"/>
    <cellStyle name="Финансовый 26 2 3 2 2 2" xfId="51534"/>
    <cellStyle name="Финансовый 26 2 3 2 3" xfId="51535"/>
    <cellStyle name="Финансовый 26 2 3 2 3 2" xfId="51536"/>
    <cellStyle name="Финансовый 26 2 3 2 4" xfId="51537"/>
    <cellStyle name="Финансовый 26 2 3 3" xfId="51538"/>
    <cellStyle name="Финансовый 26 2 3 3 2" xfId="51539"/>
    <cellStyle name="Финансовый 26 2 3 3 2 2" xfId="51540"/>
    <cellStyle name="Финансовый 26 2 3 3 3" xfId="51541"/>
    <cellStyle name="Финансовый 26 2 3 4" xfId="51542"/>
    <cellStyle name="Финансовый 26 2 3 4 2" xfId="51543"/>
    <cellStyle name="Финансовый 26 2 3 5" xfId="51544"/>
    <cellStyle name="Финансовый 26 2 3 5 2" xfId="51545"/>
    <cellStyle name="Финансовый 26 2 3 6" xfId="51546"/>
    <cellStyle name="Финансовый 26 2 4" xfId="51547"/>
    <cellStyle name="Финансовый 26 2 4 2" xfId="51548"/>
    <cellStyle name="Финансовый 26 2 4 2 2" xfId="51549"/>
    <cellStyle name="Финансовый 26 2 4 2 2 2" xfId="51550"/>
    <cellStyle name="Финансовый 26 2 4 2 3" xfId="51551"/>
    <cellStyle name="Финансовый 26 2 4 3" xfId="51552"/>
    <cellStyle name="Финансовый 26 2 4 3 2" xfId="51553"/>
    <cellStyle name="Финансовый 26 2 4 3 2 2" xfId="51554"/>
    <cellStyle name="Финансовый 26 2 4 3 3" xfId="51555"/>
    <cellStyle name="Финансовый 26 2 4 4" xfId="51556"/>
    <cellStyle name="Финансовый 26 2 4 4 2" xfId="51557"/>
    <cellStyle name="Финансовый 26 2 4 5" xfId="51558"/>
    <cellStyle name="Финансовый 26 2 4 5 2" xfId="51559"/>
    <cellStyle name="Финансовый 26 2 4 6" xfId="51560"/>
    <cellStyle name="Финансовый 26 2 5" xfId="51561"/>
    <cellStyle name="Финансовый 26 2 5 2" xfId="51562"/>
    <cellStyle name="Финансовый 26 2 5 2 2" xfId="51563"/>
    <cellStyle name="Финансовый 26 2 5 3" xfId="51564"/>
    <cellStyle name="Финансовый 26 2 6" xfId="51565"/>
    <cellStyle name="Финансовый 26 2 6 2" xfId="51566"/>
    <cellStyle name="Финансовый 26 2 6 2 2" xfId="51567"/>
    <cellStyle name="Финансовый 26 2 6 3" xfId="51568"/>
    <cellStyle name="Финансовый 26 2 7" xfId="51569"/>
    <cellStyle name="Финансовый 26 2 7 2" xfId="51570"/>
    <cellStyle name="Финансовый 26 2 8" xfId="51571"/>
    <cellStyle name="Финансовый 26 2 8 2" xfId="51572"/>
    <cellStyle name="Финансовый 26 2 9" xfId="51573"/>
    <cellStyle name="Финансовый 26 3" xfId="51574"/>
    <cellStyle name="Финансовый 26 3 2" xfId="51575"/>
    <cellStyle name="Финансовый 26 3 2 2" xfId="51576"/>
    <cellStyle name="Финансовый 26 3 2 2 2" xfId="51577"/>
    <cellStyle name="Финансовый 26 3 2 2 2 2" xfId="51578"/>
    <cellStyle name="Финансовый 26 3 2 2 3" xfId="51579"/>
    <cellStyle name="Финансовый 26 3 2 3" xfId="51580"/>
    <cellStyle name="Финансовый 26 3 2 3 2" xfId="51581"/>
    <cellStyle name="Финансовый 26 3 2 3 2 2" xfId="51582"/>
    <cellStyle name="Финансовый 26 3 2 3 3" xfId="51583"/>
    <cellStyle name="Финансовый 26 3 2 4" xfId="51584"/>
    <cellStyle name="Финансовый 26 3 2 4 2" xfId="51585"/>
    <cellStyle name="Финансовый 26 3 2 5" xfId="51586"/>
    <cellStyle name="Финансовый 26 3 2 5 2" xfId="51587"/>
    <cellStyle name="Финансовый 26 3 2 6" xfId="51588"/>
    <cellStyle name="Финансовый 26 3 3" xfId="51589"/>
    <cellStyle name="Финансовый 26 3 3 2" xfId="51590"/>
    <cellStyle name="Финансовый 26 3 3 2 2" xfId="51591"/>
    <cellStyle name="Финансовый 26 3 3 2 2 2" xfId="51592"/>
    <cellStyle name="Финансовый 26 3 3 2 3" xfId="51593"/>
    <cellStyle name="Финансовый 26 3 3 3" xfId="51594"/>
    <cellStyle name="Финансовый 26 3 3 3 2" xfId="51595"/>
    <cellStyle name="Финансовый 26 3 3 3 2 2" xfId="51596"/>
    <cellStyle name="Финансовый 26 3 3 3 3" xfId="51597"/>
    <cellStyle name="Финансовый 26 3 3 4" xfId="51598"/>
    <cellStyle name="Финансовый 26 3 3 4 2" xfId="51599"/>
    <cellStyle name="Финансовый 26 3 3 5" xfId="51600"/>
    <cellStyle name="Финансовый 26 3 3 6" xfId="51601"/>
    <cellStyle name="Финансовый 26 3 4" xfId="51602"/>
    <cellStyle name="Финансовый 26 3 4 2" xfId="51603"/>
    <cellStyle name="Финансовый 26 3 4 2 2" xfId="51604"/>
    <cellStyle name="Финансовый 26 3 4 3" xfId="51605"/>
    <cellStyle name="Финансовый 26 3 4 3 2" xfId="51606"/>
    <cellStyle name="Финансовый 26 3 4 4" xfId="51607"/>
    <cellStyle name="Финансовый 26 3 5" xfId="51608"/>
    <cellStyle name="Финансовый 26 3 5 2" xfId="51609"/>
    <cellStyle name="Финансовый 26 3 5 2 2" xfId="51610"/>
    <cellStyle name="Финансовый 26 3 5 3" xfId="51611"/>
    <cellStyle name="Финансовый 26 3 6" xfId="51612"/>
    <cellStyle name="Финансовый 26 3 6 2" xfId="51613"/>
    <cellStyle name="Финансовый 26 3 7" xfId="51614"/>
    <cellStyle name="Финансовый 26 3 7 2" xfId="51615"/>
    <cellStyle name="Финансовый 26 4" xfId="51616"/>
    <cellStyle name="Финансовый 26 4 2" xfId="51617"/>
    <cellStyle name="Финансовый 26 4 2 2" xfId="51618"/>
    <cellStyle name="Финансовый 26 4 2 2 2" xfId="51619"/>
    <cellStyle name="Финансовый 26 4 2 2 2 2" xfId="51620"/>
    <cellStyle name="Финансовый 26 4 2 2 3" xfId="51621"/>
    <cellStyle name="Финансовый 26 4 2 3" xfId="51622"/>
    <cellStyle name="Финансовый 26 4 2 3 2" xfId="51623"/>
    <cellStyle name="Финансовый 26 4 2 3 2 2" xfId="51624"/>
    <cellStyle name="Финансовый 26 4 2 3 3" xfId="51625"/>
    <cellStyle name="Финансовый 26 4 2 4" xfId="51626"/>
    <cellStyle name="Финансовый 26 4 2 4 2" xfId="51627"/>
    <cellStyle name="Финансовый 26 4 2 5" xfId="51628"/>
    <cellStyle name="Финансовый 26 4 2 5 2" xfId="51629"/>
    <cellStyle name="Финансовый 26 4 2 6" xfId="51630"/>
    <cellStyle name="Финансовый 26 4 3" xfId="51631"/>
    <cellStyle name="Финансовый 26 4 3 2" xfId="51632"/>
    <cellStyle name="Финансовый 26 4 3 2 2" xfId="51633"/>
    <cellStyle name="Финансовый 26 4 3 2 2 2" xfId="51634"/>
    <cellStyle name="Финансовый 26 4 3 2 3" xfId="51635"/>
    <cellStyle name="Финансовый 26 4 3 3" xfId="51636"/>
    <cellStyle name="Финансовый 26 4 3 3 2" xfId="51637"/>
    <cellStyle name="Финансовый 26 4 3 3 2 2" xfId="51638"/>
    <cellStyle name="Финансовый 26 4 3 3 3" xfId="51639"/>
    <cellStyle name="Финансовый 26 4 3 4" xfId="51640"/>
    <cellStyle name="Финансовый 26 4 3 4 2" xfId="51641"/>
    <cellStyle name="Финансовый 26 4 3 5" xfId="51642"/>
    <cellStyle name="Финансовый 26 4 4" xfId="51643"/>
    <cellStyle name="Финансовый 26 4 5" xfId="51644"/>
    <cellStyle name="Финансовый 26 4 5 2" xfId="51645"/>
    <cellStyle name="Финансовый 26 4 6" xfId="51646"/>
    <cellStyle name="Финансовый 26 5" xfId="51647"/>
    <cellStyle name="Финансовый 26 5 2" xfId="51648"/>
    <cellStyle name="Финансовый 26 5 2 2" xfId="51649"/>
    <cellStyle name="Финансовый 26 5 2 2 2" xfId="51650"/>
    <cellStyle name="Финансовый 26 5 2 3" xfId="51651"/>
    <cellStyle name="Финансовый 26 5 3" xfId="51652"/>
    <cellStyle name="Финансовый 26 5 3 2" xfId="51653"/>
    <cellStyle name="Финансовый 26 5 3 2 2" xfId="51654"/>
    <cellStyle name="Финансовый 26 5 3 3" xfId="51655"/>
    <cellStyle name="Финансовый 26 5 4" xfId="51656"/>
    <cellStyle name="Финансовый 26 5 4 2" xfId="51657"/>
    <cellStyle name="Финансовый 26 5 5" xfId="51658"/>
    <cellStyle name="Финансовый 26 5 5 2" xfId="51659"/>
    <cellStyle name="Финансовый 26 5 6" xfId="51660"/>
    <cellStyle name="Финансовый 26 6" xfId="51661"/>
    <cellStyle name="Финансовый 26 6 2" xfId="51662"/>
    <cellStyle name="Финансовый 26 6 2 2" xfId="51663"/>
    <cellStyle name="Финансовый 26 6 2 2 2" xfId="51664"/>
    <cellStyle name="Финансовый 26 6 2 3" xfId="51665"/>
    <cellStyle name="Финансовый 26 6 3" xfId="51666"/>
    <cellStyle name="Финансовый 26 6 3 2" xfId="51667"/>
    <cellStyle name="Финансовый 26 6 3 2 2" xfId="51668"/>
    <cellStyle name="Финансовый 26 6 3 3" xfId="51669"/>
    <cellStyle name="Финансовый 26 6 4" xfId="51670"/>
    <cellStyle name="Финансовый 26 6 4 2" xfId="51671"/>
    <cellStyle name="Финансовый 26 6 5" xfId="51672"/>
    <cellStyle name="Финансовый 26 6 5 2" xfId="51673"/>
    <cellStyle name="Финансовый 26 6 6" xfId="51674"/>
    <cellStyle name="Финансовый 26 7" xfId="51675"/>
    <cellStyle name="Финансовый 26 7 2" xfId="51676"/>
    <cellStyle name="Финансовый 26 7 2 2" xfId="51677"/>
    <cellStyle name="Финансовый 26 7 3" xfId="51678"/>
    <cellStyle name="Финансовый 26 8" xfId="51679"/>
    <cellStyle name="Финансовый 26 8 2" xfId="51680"/>
    <cellStyle name="Финансовый 26 8 2 2" xfId="51681"/>
    <cellStyle name="Финансовый 26 8 3" xfId="51682"/>
    <cellStyle name="Финансовый 26 9" xfId="51683"/>
    <cellStyle name="Финансовый 26 9 2" xfId="51684"/>
    <cellStyle name="Финансовый 27" xfId="51685"/>
    <cellStyle name="Финансовый 27 10" xfId="51686"/>
    <cellStyle name="Финансовый 27 10 2" xfId="51687"/>
    <cellStyle name="Финансовый 27 11" xfId="51688"/>
    <cellStyle name="Финансовый 27 2" xfId="51689"/>
    <cellStyle name="Финансовый 27 2 2" xfId="51690"/>
    <cellStyle name="Финансовый 27 2 2 2" xfId="51691"/>
    <cellStyle name="Финансовый 27 2 2 2 2" xfId="51692"/>
    <cellStyle name="Финансовый 27 2 2 2 2 2" xfId="51693"/>
    <cellStyle name="Финансовый 27 2 2 2 2 2 2" xfId="51694"/>
    <cellStyle name="Финансовый 27 2 2 2 2 3" xfId="51695"/>
    <cellStyle name="Финансовый 27 2 2 2 3" xfId="51696"/>
    <cellStyle name="Финансовый 27 2 2 2 3 2" xfId="51697"/>
    <cellStyle name="Финансовый 27 2 2 2 3 2 2" xfId="51698"/>
    <cellStyle name="Финансовый 27 2 2 2 3 3" xfId="51699"/>
    <cellStyle name="Финансовый 27 2 2 2 4" xfId="51700"/>
    <cellStyle name="Финансовый 27 2 2 2 4 2" xfId="51701"/>
    <cellStyle name="Финансовый 27 2 2 2 5" xfId="51702"/>
    <cellStyle name="Финансовый 27 2 2 2 5 2" xfId="51703"/>
    <cellStyle name="Финансовый 27 2 2 2 6" xfId="51704"/>
    <cellStyle name="Финансовый 27 2 2 3" xfId="51705"/>
    <cellStyle name="Финансовый 27 2 2 3 2" xfId="51706"/>
    <cellStyle name="Финансовый 27 2 2 3 2 2" xfId="51707"/>
    <cellStyle name="Финансовый 27 2 2 3 2 2 2" xfId="51708"/>
    <cellStyle name="Финансовый 27 2 2 3 2 3" xfId="51709"/>
    <cellStyle name="Финансовый 27 2 2 3 3" xfId="51710"/>
    <cellStyle name="Финансовый 27 2 2 3 3 2" xfId="51711"/>
    <cellStyle name="Финансовый 27 2 2 3 3 2 2" xfId="51712"/>
    <cellStyle name="Финансовый 27 2 2 3 3 3" xfId="51713"/>
    <cellStyle name="Финансовый 27 2 2 3 4" xfId="51714"/>
    <cellStyle name="Финансовый 27 2 2 3 4 2" xfId="51715"/>
    <cellStyle name="Финансовый 27 2 2 3 5" xfId="51716"/>
    <cellStyle name="Финансовый 27 2 2 3 5 2" xfId="51717"/>
    <cellStyle name="Финансовый 27 2 2 3 6" xfId="51718"/>
    <cellStyle name="Финансовый 27 2 2 4" xfId="51719"/>
    <cellStyle name="Финансовый 27 2 2 4 2" xfId="51720"/>
    <cellStyle name="Финансовый 27 2 2 4 2 2" xfId="51721"/>
    <cellStyle name="Финансовый 27 2 2 4 3" xfId="51722"/>
    <cellStyle name="Финансовый 27 2 2 4 3 2" xfId="51723"/>
    <cellStyle name="Финансовый 27 2 2 4 4" xfId="51724"/>
    <cellStyle name="Финансовый 27 2 2 5" xfId="51725"/>
    <cellStyle name="Финансовый 27 2 2 5 2" xfId="51726"/>
    <cellStyle name="Финансовый 27 2 2 5 2 2" xfId="51727"/>
    <cellStyle name="Финансовый 27 2 2 5 3" xfId="51728"/>
    <cellStyle name="Финансовый 27 2 2 6" xfId="51729"/>
    <cellStyle name="Финансовый 27 2 2 6 2" xfId="51730"/>
    <cellStyle name="Финансовый 27 2 2 7" xfId="51731"/>
    <cellStyle name="Финансовый 27 2 2 7 2" xfId="51732"/>
    <cellStyle name="Финансовый 27 2 2 8" xfId="51733"/>
    <cellStyle name="Финансовый 27 2 3" xfId="51734"/>
    <cellStyle name="Финансовый 27 2 3 2" xfId="51735"/>
    <cellStyle name="Финансовый 27 2 3 2 2" xfId="51736"/>
    <cellStyle name="Финансовый 27 2 3 2 2 2" xfId="51737"/>
    <cellStyle name="Финансовый 27 2 3 2 3" xfId="51738"/>
    <cellStyle name="Финансовый 27 2 3 3" xfId="51739"/>
    <cellStyle name="Финансовый 27 2 3 3 2" xfId="51740"/>
    <cellStyle name="Финансовый 27 2 3 3 2 2" xfId="51741"/>
    <cellStyle name="Финансовый 27 2 3 3 3" xfId="51742"/>
    <cellStyle name="Финансовый 27 2 3 4" xfId="51743"/>
    <cellStyle name="Финансовый 27 2 3 4 2" xfId="51744"/>
    <cellStyle name="Финансовый 27 2 3 5" xfId="51745"/>
    <cellStyle name="Финансовый 27 2 3 5 2" xfId="51746"/>
    <cellStyle name="Финансовый 27 2 3 6" xfId="51747"/>
    <cellStyle name="Финансовый 27 2 4" xfId="51748"/>
    <cellStyle name="Финансовый 27 2 4 2" xfId="51749"/>
    <cellStyle name="Финансовый 27 2 4 2 2" xfId="51750"/>
    <cellStyle name="Финансовый 27 2 4 2 2 2" xfId="51751"/>
    <cellStyle name="Финансовый 27 2 4 2 3" xfId="51752"/>
    <cellStyle name="Финансовый 27 2 4 3" xfId="51753"/>
    <cellStyle name="Финансовый 27 2 4 3 2" xfId="51754"/>
    <cellStyle name="Финансовый 27 2 4 3 2 2" xfId="51755"/>
    <cellStyle name="Финансовый 27 2 4 3 3" xfId="51756"/>
    <cellStyle name="Финансовый 27 2 4 4" xfId="51757"/>
    <cellStyle name="Финансовый 27 2 4 4 2" xfId="51758"/>
    <cellStyle name="Финансовый 27 2 4 5" xfId="51759"/>
    <cellStyle name="Финансовый 27 2 4 5 2" xfId="51760"/>
    <cellStyle name="Финансовый 27 2 4 6" xfId="51761"/>
    <cellStyle name="Финансовый 27 2 5" xfId="51762"/>
    <cellStyle name="Финансовый 27 2 5 2" xfId="51763"/>
    <cellStyle name="Финансовый 27 2 5 2 2" xfId="51764"/>
    <cellStyle name="Финансовый 27 2 5 3" xfId="51765"/>
    <cellStyle name="Финансовый 27 2 5 3 2" xfId="51766"/>
    <cellStyle name="Финансовый 27 2 5 4" xfId="51767"/>
    <cellStyle name="Финансовый 27 2 6" xfId="51768"/>
    <cellStyle name="Финансовый 27 2 6 2" xfId="51769"/>
    <cellStyle name="Финансовый 27 2 6 2 2" xfId="51770"/>
    <cellStyle name="Финансовый 27 2 6 3" xfId="51771"/>
    <cellStyle name="Финансовый 27 2 7" xfId="51772"/>
    <cellStyle name="Финансовый 27 2 7 2" xfId="51773"/>
    <cellStyle name="Финансовый 27 2 8" xfId="51774"/>
    <cellStyle name="Финансовый 27 2 8 2" xfId="51775"/>
    <cellStyle name="Финансовый 27 2 9" xfId="51776"/>
    <cellStyle name="Финансовый 27 3" xfId="51777"/>
    <cellStyle name="Финансовый 27 3 2" xfId="51778"/>
    <cellStyle name="Финансовый 27 3 2 2" xfId="51779"/>
    <cellStyle name="Финансовый 27 3 2 2 2" xfId="51780"/>
    <cellStyle name="Финансовый 27 3 2 2 2 2" xfId="51781"/>
    <cellStyle name="Финансовый 27 3 2 2 3" xfId="51782"/>
    <cellStyle name="Финансовый 27 3 2 2 3 2" xfId="51783"/>
    <cellStyle name="Финансовый 27 3 2 2 4" xfId="51784"/>
    <cellStyle name="Финансовый 27 3 2 3" xfId="51785"/>
    <cellStyle name="Финансовый 27 3 2 3 2" xfId="51786"/>
    <cellStyle name="Финансовый 27 3 2 3 2 2" xfId="51787"/>
    <cellStyle name="Финансовый 27 3 2 3 3" xfId="51788"/>
    <cellStyle name="Финансовый 27 3 2 4" xfId="51789"/>
    <cellStyle name="Финансовый 27 3 2 4 2" xfId="51790"/>
    <cellStyle name="Финансовый 27 3 2 5" xfId="51791"/>
    <cellStyle name="Финансовый 27 3 2 5 2" xfId="51792"/>
    <cellStyle name="Финансовый 27 3 2 6" xfId="51793"/>
    <cellStyle name="Финансовый 27 3 3" xfId="51794"/>
    <cellStyle name="Финансовый 27 3 3 2" xfId="51795"/>
    <cellStyle name="Финансовый 27 3 3 2 2" xfId="51796"/>
    <cellStyle name="Финансовый 27 3 3 2 2 2" xfId="51797"/>
    <cellStyle name="Финансовый 27 3 3 2 3" xfId="51798"/>
    <cellStyle name="Финансовый 27 3 3 3" xfId="51799"/>
    <cellStyle name="Финансовый 27 3 3 3 2" xfId="51800"/>
    <cellStyle name="Финансовый 27 3 3 3 2 2" xfId="51801"/>
    <cellStyle name="Финансовый 27 3 3 3 3" xfId="51802"/>
    <cellStyle name="Финансовый 27 3 3 4" xfId="51803"/>
    <cellStyle name="Финансовый 27 3 3 4 2" xfId="51804"/>
    <cellStyle name="Финансовый 27 3 3 5" xfId="51805"/>
    <cellStyle name="Финансовый 27 3 3 5 2" xfId="51806"/>
    <cellStyle name="Финансовый 27 3 3 6" xfId="51807"/>
    <cellStyle name="Финансовый 27 3 4" xfId="51808"/>
    <cellStyle name="Финансовый 27 3 4 2" xfId="51809"/>
    <cellStyle name="Финансовый 27 3 4 2 2" xfId="51810"/>
    <cellStyle name="Финансовый 27 3 4 3" xfId="51811"/>
    <cellStyle name="Финансовый 27 3 5" xfId="51812"/>
    <cellStyle name="Финансовый 27 3 5 2" xfId="51813"/>
    <cellStyle name="Финансовый 27 3 6" xfId="51814"/>
    <cellStyle name="Финансовый 27 4" xfId="51815"/>
    <cellStyle name="Финансовый 27 4 2" xfId="51816"/>
    <cellStyle name="Финансовый 27 4 2 2" xfId="51817"/>
    <cellStyle name="Финансовый 27 4 2 2 2" xfId="51818"/>
    <cellStyle name="Финансовый 27 4 2 2 2 2" xfId="51819"/>
    <cellStyle name="Финансовый 27 4 2 2 3" xfId="51820"/>
    <cellStyle name="Финансовый 27 4 2 3" xfId="51821"/>
    <cellStyle name="Финансовый 27 4 2 3 2" xfId="51822"/>
    <cellStyle name="Финансовый 27 4 2 3 2 2" xfId="51823"/>
    <cellStyle name="Финансовый 27 4 2 3 3" xfId="51824"/>
    <cellStyle name="Финансовый 27 4 2 4" xfId="51825"/>
    <cellStyle name="Финансовый 27 4 2 4 2" xfId="51826"/>
    <cellStyle name="Финансовый 27 4 2 5" xfId="51827"/>
    <cellStyle name="Финансовый 27 4 2 5 2" xfId="51828"/>
    <cellStyle name="Финансовый 27 4 2 6" xfId="51829"/>
    <cellStyle name="Финансовый 27 4 3" xfId="51830"/>
    <cellStyle name="Финансовый 27 4 3 2" xfId="51831"/>
    <cellStyle name="Финансовый 27 4 3 2 2" xfId="51832"/>
    <cellStyle name="Финансовый 27 4 3 2 2 2" xfId="51833"/>
    <cellStyle name="Финансовый 27 4 3 2 3" xfId="51834"/>
    <cellStyle name="Финансовый 27 4 3 3" xfId="51835"/>
    <cellStyle name="Финансовый 27 4 3 3 2" xfId="51836"/>
    <cellStyle name="Финансовый 27 4 3 3 2 2" xfId="51837"/>
    <cellStyle name="Финансовый 27 4 3 3 3" xfId="51838"/>
    <cellStyle name="Финансовый 27 4 3 4" xfId="51839"/>
    <cellStyle name="Финансовый 27 4 3 4 2" xfId="51840"/>
    <cellStyle name="Финансовый 27 4 3 5" xfId="51841"/>
    <cellStyle name="Финансовый 27 4 4" xfId="51842"/>
    <cellStyle name="Финансовый 27 4 5" xfId="51843"/>
    <cellStyle name="Финансовый 27 4 5 2" xfId="51844"/>
    <cellStyle name="Финансовый 27 4 6" xfId="51845"/>
    <cellStyle name="Финансовый 27 5" xfId="51846"/>
    <cellStyle name="Финансовый 27 5 2" xfId="51847"/>
    <cellStyle name="Финансовый 27 5 2 2" xfId="51848"/>
    <cellStyle name="Финансовый 27 5 2 2 2" xfId="51849"/>
    <cellStyle name="Финансовый 27 5 2 3" xfId="51850"/>
    <cellStyle name="Финансовый 27 5 3" xfId="51851"/>
    <cellStyle name="Финансовый 27 5 3 2" xfId="51852"/>
    <cellStyle name="Финансовый 27 5 3 2 2" xfId="51853"/>
    <cellStyle name="Финансовый 27 5 3 3" xfId="51854"/>
    <cellStyle name="Финансовый 27 5 4" xfId="51855"/>
    <cellStyle name="Финансовый 27 5 4 2" xfId="51856"/>
    <cellStyle name="Финансовый 27 5 5" xfId="51857"/>
    <cellStyle name="Финансовый 27 5 5 2" xfId="51858"/>
    <cellStyle name="Финансовый 27 5 6" xfId="51859"/>
    <cellStyle name="Финансовый 27 6" xfId="51860"/>
    <cellStyle name="Финансовый 27 6 2" xfId="51861"/>
    <cellStyle name="Финансовый 27 6 2 2" xfId="51862"/>
    <cellStyle name="Финансовый 27 6 2 2 2" xfId="51863"/>
    <cellStyle name="Финансовый 27 6 2 3" xfId="51864"/>
    <cellStyle name="Финансовый 27 6 3" xfId="51865"/>
    <cellStyle name="Финансовый 27 6 3 2" xfId="51866"/>
    <cellStyle name="Финансовый 27 6 3 2 2" xfId="51867"/>
    <cellStyle name="Финансовый 27 6 3 3" xfId="51868"/>
    <cellStyle name="Финансовый 27 6 4" xfId="51869"/>
    <cellStyle name="Финансовый 27 6 4 2" xfId="51870"/>
    <cellStyle name="Финансовый 27 6 5" xfId="51871"/>
    <cellStyle name="Финансовый 27 6 5 2" xfId="51872"/>
    <cellStyle name="Финансовый 27 6 6" xfId="51873"/>
    <cellStyle name="Финансовый 27 7" xfId="51874"/>
    <cellStyle name="Финансовый 27 7 2" xfId="51875"/>
    <cellStyle name="Финансовый 27 7 2 2" xfId="51876"/>
    <cellStyle name="Финансовый 27 7 3" xfId="51877"/>
    <cellStyle name="Финансовый 27 8" xfId="51878"/>
    <cellStyle name="Финансовый 27 8 2" xfId="51879"/>
    <cellStyle name="Финансовый 27 8 2 2" xfId="51880"/>
    <cellStyle name="Финансовый 27 8 3" xfId="51881"/>
    <cellStyle name="Финансовый 27 9" xfId="51882"/>
    <cellStyle name="Финансовый 27 9 2" xfId="51883"/>
    <cellStyle name="Финансовый 28" xfId="51884"/>
    <cellStyle name="Финансовый 28 10" xfId="51885"/>
    <cellStyle name="Финансовый 28 10 2" xfId="51886"/>
    <cellStyle name="Финансовый 28 11" xfId="51887"/>
    <cellStyle name="Финансовый 28 11 2" xfId="51888"/>
    <cellStyle name="Финансовый 28 12" xfId="51889"/>
    <cellStyle name="Финансовый 28 2" xfId="51890"/>
    <cellStyle name="Финансовый 28 2 2" xfId="51891"/>
    <cellStyle name="Финансовый 28 2 2 2" xfId="51892"/>
    <cellStyle name="Финансовый 28 2 2 2 2" xfId="51893"/>
    <cellStyle name="Финансовый 28 2 2 2 2 2" xfId="51894"/>
    <cellStyle name="Финансовый 28 2 2 2 2 2 2" xfId="51895"/>
    <cellStyle name="Финансовый 28 2 2 2 2 3" xfId="51896"/>
    <cellStyle name="Финансовый 28 2 2 2 3" xfId="51897"/>
    <cellStyle name="Финансовый 28 2 2 2 3 2" xfId="51898"/>
    <cellStyle name="Финансовый 28 2 2 2 3 2 2" xfId="51899"/>
    <cellStyle name="Финансовый 28 2 2 2 3 3" xfId="51900"/>
    <cellStyle name="Финансовый 28 2 2 2 4" xfId="51901"/>
    <cellStyle name="Финансовый 28 2 2 2 4 2" xfId="51902"/>
    <cellStyle name="Финансовый 28 2 2 2 5" xfId="51903"/>
    <cellStyle name="Финансовый 28 2 2 2 5 2" xfId="51904"/>
    <cellStyle name="Финансовый 28 2 2 2 6" xfId="51905"/>
    <cellStyle name="Финансовый 28 2 2 3" xfId="51906"/>
    <cellStyle name="Финансовый 28 2 2 3 2" xfId="51907"/>
    <cellStyle name="Финансовый 28 2 2 3 2 2" xfId="51908"/>
    <cellStyle name="Финансовый 28 2 2 3 2 2 2" xfId="51909"/>
    <cellStyle name="Финансовый 28 2 2 3 2 3" xfId="51910"/>
    <cellStyle name="Финансовый 28 2 2 3 3" xfId="51911"/>
    <cellStyle name="Финансовый 28 2 2 3 3 2" xfId="51912"/>
    <cellStyle name="Финансовый 28 2 2 3 3 2 2" xfId="51913"/>
    <cellStyle name="Финансовый 28 2 2 3 3 3" xfId="51914"/>
    <cellStyle name="Финансовый 28 2 2 3 4" xfId="51915"/>
    <cellStyle name="Финансовый 28 2 2 3 4 2" xfId="51916"/>
    <cellStyle name="Финансовый 28 2 2 3 5" xfId="51917"/>
    <cellStyle name="Финансовый 28 2 2 4" xfId="51918"/>
    <cellStyle name="Финансовый 28 2 2 4 2" xfId="51919"/>
    <cellStyle name="Финансовый 28 2 2 4 2 2" xfId="51920"/>
    <cellStyle name="Финансовый 28 2 2 4 3" xfId="51921"/>
    <cellStyle name="Финансовый 28 2 2 5" xfId="51922"/>
    <cellStyle name="Финансовый 28 2 2 5 2" xfId="51923"/>
    <cellStyle name="Финансовый 28 2 2 5 2 2" xfId="51924"/>
    <cellStyle name="Финансовый 28 2 2 5 3" xfId="51925"/>
    <cellStyle name="Финансовый 28 2 2 6" xfId="51926"/>
    <cellStyle name="Финансовый 28 2 2 6 2" xfId="51927"/>
    <cellStyle name="Финансовый 28 2 2 7" xfId="51928"/>
    <cellStyle name="Финансовый 28 2 2 7 2" xfId="51929"/>
    <cellStyle name="Финансовый 28 2 2 8" xfId="51930"/>
    <cellStyle name="Финансовый 28 2 3" xfId="51931"/>
    <cellStyle name="Финансовый 28 2 3 2" xfId="51932"/>
    <cellStyle name="Финансовый 28 2 3 2 2" xfId="51933"/>
    <cellStyle name="Финансовый 28 2 3 2 2 2" xfId="51934"/>
    <cellStyle name="Финансовый 28 2 3 2 3" xfId="51935"/>
    <cellStyle name="Финансовый 28 2 3 3" xfId="51936"/>
    <cellStyle name="Финансовый 28 2 3 3 2" xfId="51937"/>
    <cellStyle name="Финансовый 28 2 3 3 2 2" xfId="51938"/>
    <cellStyle name="Финансовый 28 2 3 3 3" xfId="51939"/>
    <cellStyle name="Финансовый 28 2 3 4" xfId="51940"/>
    <cellStyle name="Финансовый 28 2 3 4 2" xfId="51941"/>
    <cellStyle name="Финансовый 28 2 3 5" xfId="51942"/>
    <cellStyle name="Финансовый 28 2 3 5 2" xfId="51943"/>
    <cellStyle name="Финансовый 28 2 3 6" xfId="51944"/>
    <cellStyle name="Финансовый 28 2 4" xfId="51945"/>
    <cellStyle name="Финансовый 28 2 4 2" xfId="51946"/>
    <cellStyle name="Финансовый 28 2 4 2 2" xfId="51947"/>
    <cellStyle name="Финансовый 28 2 4 2 2 2" xfId="51948"/>
    <cellStyle name="Финансовый 28 2 4 2 3" xfId="51949"/>
    <cellStyle name="Финансовый 28 2 4 3" xfId="51950"/>
    <cellStyle name="Финансовый 28 2 4 3 2" xfId="51951"/>
    <cellStyle name="Финансовый 28 2 4 3 2 2" xfId="51952"/>
    <cellStyle name="Финансовый 28 2 4 3 3" xfId="51953"/>
    <cellStyle name="Финансовый 28 2 4 4" xfId="51954"/>
    <cellStyle name="Финансовый 28 2 4 4 2" xfId="51955"/>
    <cellStyle name="Финансовый 28 2 4 5" xfId="51956"/>
    <cellStyle name="Финансовый 28 2 4 5 2" xfId="51957"/>
    <cellStyle name="Финансовый 28 2 4 6" xfId="51958"/>
    <cellStyle name="Финансовый 28 2 5" xfId="51959"/>
    <cellStyle name="Финансовый 28 2 5 2" xfId="51960"/>
    <cellStyle name="Финансовый 28 2 5 2 2" xfId="51961"/>
    <cellStyle name="Финансовый 28 2 5 3" xfId="51962"/>
    <cellStyle name="Финансовый 28 2 6" xfId="51963"/>
    <cellStyle name="Финансовый 28 2 6 2" xfId="51964"/>
    <cellStyle name="Финансовый 28 2 6 2 2" xfId="51965"/>
    <cellStyle name="Финансовый 28 2 6 3" xfId="51966"/>
    <cellStyle name="Финансовый 28 2 7" xfId="51967"/>
    <cellStyle name="Финансовый 28 2 7 2" xfId="51968"/>
    <cellStyle name="Финансовый 28 2 8" xfId="51969"/>
    <cellStyle name="Финансовый 28 2 8 2" xfId="51970"/>
    <cellStyle name="Финансовый 28 2 9" xfId="51971"/>
    <cellStyle name="Финансовый 28 3" xfId="51972"/>
    <cellStyle name="Финансовый 28 3 2" xfId="51973"/>
    <cellStyle name="Финансовый 28 3 2 2" xfId="51974"/>
    <cellStyle name="Финансовый 28 3 2 2 2" xfId="51975"/>
    <cellStyle name="Финансовый 28 3 2 2 2 2" xfId="51976"/>
    <cellStyle name="Финансовый 28 3 2 2 3" xfId="51977"/>
    <cellStyle name="Финансовый 28 3 2 2 3 2" xfId="51978"/>
    <cellStyle name="Финансовый 28 3 2 2 4" xfId="51979"/>
    <cellStyle name="Финансовый 28 3 2 3" xfId="51980"/>
    <cellStyle name="Финансовый 28 3 2 3 2" xfId="51981"/>
    <cellStyle name="Финансовый 28 3 2 3 2 2" xfId="51982"/>
    <cellStyle name="Финансовый 28 3 2 3 3" xfId="51983"/>
    <cellStyle name="Финансовый 28 3 2 4" xfId="51984"/>
    <cellStyle name="Финансовый 28 3 2 4 2" xfId="51985"/>
    <cellStyle name="Финансовый 28 3 2 5" xfId="51986"/>
    <cellStyle name="Финансовый 28 3 2 5 2" xfId="51987"/>
    <cellStyle name="Финансовый 28 3 2 6" xfId="51988"/>
    <cellStyle name="Финансовый 28 3 3" xfId="51989"/>
    <cellStyle name="Финансовый 28 3 3 2" xfId="51990"/>
    <cellStyle name="Финансовый 28 3 3 2 2" xfId="51991"/>
    <cellStyle name="Финансовый 28 3 3 2 2 2" xfId="51992"/>
    <cellStyle name="Финансовый 28 3 3 2 3" xfId="51993"/>
    <cellStyle name="Финансовый 28 3 3 3" xfId="51994"/>
    <cellStyle name="Финансовый 28 3 3 3 2" xfId="51995"/>
    <cellStyle name="Финансовый 28 3 3 3 2 2" xfId="51996"/>
    <cellStyle name="Финансовый 28 3 3 3 3" xfId="51997"/>
    <cellStyle name="Финансовый 28 3 3 4" xfId="51998"/>
    <cellStyle name="Финансовый 28 3 3 4 2" xfId="51999"/>
    <cellStyle name="Финансовый 28 3 3 5" xfId="52000"/>
    <cellStyle name="Финансовый 28 3 3 5 2" xfId="52001"/>
    <cellStyle name="Финансовый 28 3 3 6" xfId="52002"/>
    <cellStyle name="Финансовый 28 3 4" xfId="52003"/>
    <cellStyle name="Финансовый 28 3 4 2" xfId="52004"/>
    <cellStyle name="Финансовый 28 3 4 2 2" xfId="52005"/>
    <cellStyle name="Финансовый 28 3 4 3" xfId="52006"/>
    <cellStyle name="Финансовый 28 3 4 3 2" xfId="52007"/>
    <cellStyle name="Финансовый 28 3 4 4" xfId="52008"/>
    <cellStyle name="Финансовый 28 3 5" xfId="52009"/>
    <cellStyle name="Финансовый 28 3 5 2" xfId="52010"/>
    <cellStyle name="Финансовый 28 3 5 2 2" xfId="52011"/>
    <cellStyle name="Финансовый 28 3 5 3" xfId="52012"/>
    <cellStyle name="Финансовый 28 3 6" xfId="52013"/>
    <cellStyle name="Финансовый 28 3 6 2" xfId="52014"/>
    <cellStyle name="Финансовый 28 3 7" xfId="52015"/>
    <cellStyle name="Финансовый 28 3 7 2" xfId="52016"/>
    <cellStyle name="Финансовый 28 3 8" xfId="52017"/>
    <cellStyle name="Финансовый 28 4" xfId="52018"/>
    <cellStyle name="Финансовый 28 4 2" xfId="52019"/>
    <cellStyle name="Финансовый 28 4 2 2" xfId="52020"/>
    <cellStyle name="Финансовый 28 4 2 2 2" xfId="52021"/>
    <cellStyle name="Финансовый 28 4 2 2 2 2" xfId="52022"/>
    <cellStyle name="Финансовый 28 4 2 2 3" xfId="52023"/>
    <cellStyle name="Финансовый 28 4 2 3" xfId="52024"/>
    <cellStyle name="Финансовый 28 4 2 3 2" xfId="52025"/>
    <cellStyle name="Финансовый 28 4 2 3 2 2" xfId="52026"/>
    <cellStyle name="Финансовый 28 4 2 3 3" xfId="52027"/>
    <cellStyle name="Финансовый 28 4 2 4" xfId="52028"/>
    <cellStyle name="Финансовый 28 4 2 4 2" xfId="52029"/>
    <cellStyle name="Финансовый 28 4 2 5" xfId="52030"/>
    <cellStyle name="Финансовый 28 4 2 5 2" xfId="52031"/>
    <cellStyle name="Финансовый 28 4 2 6" xfId="52032"/>
    <cellStyle name="Финансовый 28 4 3" xfId="52033"/>
    <cellStyle name="Финансовый 28 4 3 2" xfId="52034"/>
    <cellStyle name="Финансовый 28 4 3 2 2" xfId="52035"/>
    <cellStyle name="Финансовый 28 4 3 2 2 2" xfId="52036"/>
    <cellStyle name="Финансовый 28 4 3 2 3" xfId="52037"/>
    <cellStyle name="Финансовый 28 4 3 3" xfId="52038"/>
    <cellStyle name="Финансовый 28 4 3 3 2" xfId="52039"/>
    <cellStyle name="Финансовый 28 4 3 3 2 2" xfId="52040"/>
    <cellStyle name="Финансовый 28 4 3 3 3" xfId="52041"/>
    <cellStyle name="Финансовый 28 4 3 4" xfId="52042"/>
    <cellStyle name="Финансовый 28 4 3 4 2" xfId="52043"/>
    <cellStyle name="Финансовый 28 4 3 5" xfId="52044"/>
    <cellStyle name="Финансовый 28 4 4" xfId="52045"/>
    <cellStyle name="Финансовый 28 4 5" xfId="52046"/>
    <cellStyle name="Финансовый 28 4 5 2" xfId="52047"/>
    <cellStyle name="Финансовый 28 4 6" xfId="52048"/>
    <cellStyle name="Финансовый 28 5" xfId="52049"/>
    <cellStyle name="Финансовый 28 5 2" xfId="52050"/>
    <cellStyle name="Финансовый 28 5 2 2" xfId="52051"/>
    <cellStyle name="Финансовый 28 5 2 2 2" xfId="52052"/>
    <cellStyle name="Финансовый 28 5 2 3" xfId="52053"/>
    <cellStyle name="Финансовый 28 5 3" xfId="52054"/>
    <cellStyle name="Финансовый 28 5 3 2" xfId="52055"/>
    <cellStyle name="Финансовый 28 5 3 2 2" xfId="52056"/>
    <cellStyle name="Финансовый 28 5 3 3" xfId="52057"/>
    <cellStyle name="Финансовый 28 5 4" xfId="52058"/>
    <cellStyle name="Финансовый 28 5 4 2" xfId="52059"/>
    <cellStyle name="Финансовый 28 5 5" xfId="52060"/>
    <cellStyle name="Финансовый 28 5 5 2" xfId="52061"/>
    <cellStyle name="Финансовый 28 5 6" xfId="52062"/>
    <cellStyle name="Финансовый 28 6" xfId="52063"/>
    <cellStyle name="Финансовый 28 6 2" xfId="52064"/>
    <cellStyle name="Финансовый 28 6 2 2" xfId="52065"/>
    <cellStyle name="Финансовый 28 6 2 2 2" xfId="52066"/>
    <cellStyle name="Финансовый 28 6 2 3" xfId="52067"/>
    <cellStyle name="Финансовый 28 6 3" xfId="52068"/>
    <cellStyle name="Финансовый 28 6 3 2" xfId="52069"/>
    <cellStyle name="Финансовый 28 6 3 2 2" xfId="52070"/>
    <cellStyle name="Финансовый 28 6 3 3" xfId="52071"/>
    <cellStyle name="Финансовый 28 6 4" xfId="52072"/>
    <cellStyle name="Финансовый 28 6 4 2" xfId="52073"/>
    <cellStyle name="Финансовый 28 6 5" xfId="52074"/>
    <cellStyle name="Финансовый 28 6 5 2" xfId="52075"/>
    <cellStyle name="Финансовый 28 6 6" xfId="52076"/>
    <cellStyle name="Финансовый 28 7" xfId="52077"/>
    <cellStyle name="Финансовый 28 7 2" xfId="52078"/>
    <cellStyle name="Финансовый 28 8" xfId="52079"/>
    <cellStyle name="Финансовый 28 8 2" xfId="52080"/>
    <cellStyle name="Финансовый 28 8 2 2" xfId="52081"/>
    <cellStyle name="Финансовый 28 8 3" xfId="52082"/>
    <cellStyle name="Финансовый 28 9" xfId="52083"/>
    <cellStyle name="Финансовый 28 9 2" xfId="52084"/>
    <cellStyle name="Финансовый 28 9 2 2" xfId="52085"/>
    <cellStyle name="Финансовый 28 9 3" xfId="52086"/>
    <cellStyle name="Финансовый 29" xfId="52087"/>
    <cellStyle name="Финансовый 29 2" xfId="52088"/>
    <cellStyle name="Финансовый 29 2 2" xfId="52089"/>
    <cellStyle name="Финансовый 29 2 2 2" xfId="52090"/>
    <cellStyle name="Финансовый 29 2 2 2 2" xfId="52091"/>
    <cellStyle name="Финансовый 29 2 2 2 2 2" xfId="52092"/>
    <cellStyle name="Финансовый 29 2 2 2 2 2 2" xfId="52093"/>
    <cellStyle name="Финансовый 29 2 2 2 2 3" xfId="52094"/>
    <cellStyle name="Финансовый 29 2 2 2 3" xfId="52095"/>
    <cellStyle name="Финансовый 29 2 2 2 3 2" xfId="52096"/>
    <cellStyle name="Финансовый 29 2 2 2 3 2 2" xfId="52097"/>
    <cellStyle name="Финансовый 29 2 2 2 3 3" xfId="52098"/>
    <cellStyle name="Финансовый 29 2 2 2 4" xfId="52099"/>
    <cellStyle name="Финансовый 29 2 2 2 4 2" xfId="52100"/>
    <cellStyle name="Финансовый 29 2 2 2 5" xfId="52101"/>
    <cellStyle name="Финансовый 29 2 2 2 5 2" xfId="52102"/>
    <cellStyle name="Финансовый 29 2 2 2 6" xfId="52103"/>
    <cellStyle name="Финансовый 29 2 2 3" xfId="52104"/>
    <cellStyle name="Финансовый 29 2 2 3 2" xfId="52105"/>
    <cellStyle name="Финансовый 29 2 2 3 2 2" xfId="52106"/>
    <cellStyle name="Финансовый 29 2 2 3 2 2 2" xfId="52107"/>
    <cellStyle name="Финансовый 29 2 2 3 2 3" xfId="52108"/>
    <cellStyle name="Финансовый 29 2 2 3 3" xfId="52109"/>
    <cellStyle name="Финансовый 29 2 2 3 3 2" xfId="52110"/>
    <cellStyle name="Финансовый 29 2 2 3 3 2 2" xfId="52111"/>
    <cellStyle name="Финансовый 29 2 2 3 3 3" xfId="52112"/>
    <cellStyle name="Финансовый 29 2 2 3 4" xfId="52113"/>
    <cellStyle name="Финансовый 29 2 2 3 4 2" xfId="52114"/>
    <cellStyle name="Финансовый 29 2 2 3 5" xfId="52115"/>
    <cellStyle name="Финансовый 29 2 2 4" xfId="52116"/>
    <cellStyle name="Финансовый 29 2 2 4 2" xfId="52117"/>
    <cellStyle name="Финансовый 29 2 2 4 2 2" xfId="52118"/>
    <cellStyle name="Финансовый 29 2 2 4 3" xfId="52119"/>
    <cellStyle name="Финансовый 29 2 2 5" xfId="52120"/>
    <cellStyle name="Финансовый 29 2 2 5 2" xfId="52121"/>
    <cellStyle name="Финансовый 29 2 2 5 2 2" xfId="52122"/>
    <cellStyle name="Финансовый 29 2 2 5 3" xfId="52123"/>
    <cellStyle name="Финансовый 29 2 2 6" xfId="52124"/>
    <cellStyle name="Финансовый 29 2 2 6 2" xfId="52125"/>
    <cellStyle name="Финансовый 29 2 2 7" xfId="52126"/>
    <cellStyle name="Финансовый 29 2 2 7 2" xfId="52127"/>
    <cellStyle name="Финансовый 29 2 2 8" xfId="52128"/>
    <cellStyle name="Финансовый 29 2 3" xfId="52129"/>
    <cellStyle name="Финансовый 29 2 3 2" xfId="52130"/>
    <cellStyle name="Финансовый 29 2 3 2 2" xfId="52131"/>
    <cellStyle name="Финансовый 29 2 3 2 2 2" xfId="52132"/>
    <cellStyle name="Финансовый 29 2 3 2 3" xfId="52133"/>
    <cellStyle name="Финансовый 29 2 3 3" xfId="52134"/>
    <cellStyle name="Финансовый 29 2 3 3 2" xfId="52135"/>
    <cellStyle name="Финансовый 29 2 3 3 2 2" xfId="52136"/>
    <cellStyle name="Финансовый 29 2 3 3 3" xfId="52137"/>
    <cellStyle name="Финансовый 29 2 3 4" xfId="52138"/>
    <cellStyle name="Финансовый 29 2 3 4 2" xfId="52139"/>
    <cellStyle name="Финансовый 29 2 3 5" xfId="52140"/>
    <cellStyle name="Финансовый 29 2 3 5 2" xfId="52141"/>
    <cellStyle name="Финансовый 29 2 3 6" xfId="52142"/>
    <cellStyle name="Финансовый 29 2 4" xfId="52143"/>
    <cellStyle name="Финансовый 29 2 4 2" xfId="52144"/>
    <cellStyle name="Финансовый 29 2 4 2 2" xfId="52145"/>
    <cellStyle name="Финансовый 29 2 4 2 2 2" xfId="52146"/>
    <cellStyle name="Финансовый 29 2 4 2 3" xfId="52147"/>
    <cellStyle name="Финансовый 29 2 4 3" xfId="52148"/>
    <cellStyle name="Финансовый 29 2 4 3 2" xfId="52149"/>
    <cellStyle name="Финансовый 29 2 4 3 2 2" xfId="52150"/>
    <cellStyle name="Финансовый 29 2 4 3 3" xfId="52151"/>
    <cellStyle name="Финансовый 29 2 4 4" xfId="52152"/>
    <cellStyle name="Финансовый 29 2 4 4 2" xfId="52153"/>
    <cellStyle name="Финансовый 29 2 4 5" xfId="52154"/>
    <cellStyle name="Финансовый 29 2 4 5 2" xfId="52155"/>
    <cellStyle name="Финансовый 29 2 4 6" xfId="52156"/>
    <cellStyle name="Финансовый 29 2 5" xfId="52157"/>
    <cellStyle name="Финансовый 29 2 5 2" xfId="52158"/>
    <cellStyle name="Финансовый 29 2 5 2 2" xfId="52159"/>
    <cellStyle name="Финансовый 29 2 5 3" xfId="52160"/>
    <cellStyle name="Финансовый 29 2 6" xfId="52161"/>
    <cellStyle name="Финансовый 29 2 6 2" xfId="52162"/>
    <cellStyle name="Финансовый 29 2 6 2 2" xfId="52163"/>
    <cellStyle name="Финансовый 29 2 6 3" xfId="52164"/>
    <cellStyle name="Финансовый 29 2 7" xfId="52165"/>
    <cellStyle name="Финансовый 29 2 7 2" xfId="52166"/>
    <cellStyle name="Финансовый 29 2 8" xfId="52167"/>
    <cellStyle name="Финансовый 29 2 8 2" xfId="52168"/>
    <cellStyle name="Финансовый 29 2 9" xfId="52169"/>
    <cellStyle name="Финансовый 29 3" xfId="52170"/>
    <cellStyle name="Финансовый 29 3 2" xfId="52171"/>
    <cellStyle name="Финансовый 29 3 2 2" xfId="52172"/>
    <cellStyle name="Финансовый 29 3 2 2 2" xfId="52173"/>
    <cellStyle name="Финансовый 29 3 2 2 2 2" xfId="52174"/>
    <cellStyle name="Финансовый 29 3 2 2 3" xfId="52175"/>
    <cellStyle name="Финансовый 29 3 2 3" xfId="52176"/>
    <cellStyle name="Финансовый 29 3 2 3 2" xfId="52177"/>
    <cellStyle name="Финансовый 29 3 2 3 2 2" xfId="52178"/>
    <cellStyle name="Финансовый 29 3 2 3 3" xfId="52179"/>
    <cellStyle name="Финансовый 29 3 2 4" xfId="52180"/>
    <cellStyle name="Финансовый 29 3 2 4 2" xfId="52181"/>
    <cellStyle name="Финансовый 29 3 2 5" xfId="52182"/>
    <cellStyle name="Финансовый 29 3 2 5 2" xfId="52183"/>
    <cellStyle name="Финансовый 29 3 2 6" xfId="52184"/>
    <cellStyle name="Финансовый 29 3 3" xfId="52185"/>
    <cellStyle name="Финансовый 29 3 3 2" xfId="52186"/>
    <cellStyle name="Финансовый 29 3 3 2 2" xfId="52187"/>
    <cellStyle name="Финансовый 29 3 3 2 2 2" xfId="52188"/>
    <cellStyle name="Финансовый 29 3 3 2 3" xfId="52189"/>
    <cellStyle name="Финансовый 29 3 3 3" xfId="52190"/>
    <cellStyle name="Финансовый 29 3 3 3 2" xfId="52191"/>
    <cellStyle name="Финансовый 29 3 3 3 2 2" xfId="52192"/>
    <cellStyle name="Финансовый 29 3 3 3 3" xfId="52193"/>
    <cellStyle name="Финансовый 29 3 3 4" xfId="52194"/>
    <cellStyle name="Финансовый 29 3 3 4 2" xfId="52195"/>
    <cellStyle name="Финансовый 29 3 3 5" xfId="52196"/>
    <cellStyle name="Финансовый 29 3 3 5 2" xfId="52197"/>
    <cellStyle name="Финансовый 29 3 3 6" xfId="52198"/>
    <cellStyle name="Финансовый 29 3 4" xfId="52199"/>
    <cellStyle name="Финансовый 29 3 4 2" xfId="52200"/>
    <cellStyle name="Финансовый 29 3 4 2 2" xfId="52201"/>
    <cellStyle name="Финансовый 29 3 4 3" xfId="52202"/>
    <cellStyle name="Финансовый 29 3 5" xfId="52203"/>
    <cellStyle name="Финансовый 29 3 5 2" xfId="52204"/>
    <cellStyle name="Финансовый 29 3 5 2 2" xfId="52205"/>
    <cellStyle name="Финансовый 29 3 5 3" xfId="52206"/>
    <cellStyle name="Финансовый 29 3 6" xfId="52207"/>
    <cellStyle name="Финансовый 29 3 6 2" xfId="52208"/>
    <cellStyle name="Финансовый 29 3 7" xfId="52209"/>
    <cellStyle name="Финансовый 29 3 7 2" xfId="52210"/>
    <cellStyle name="Финансовый 29 3 8" xfId="52211"/>
    <cellStyle name="Финансовый 29 4" xfId="52212"/>
    <cellStyle name="Финансовый 29 4 2" xfId="52213"/>
    <cellStyle name="Финансовый 29 4 2 2" xfId="52214"/>
    <cellStyle name="Финансовый 29 4 2 2 2" xfId="52215"/>
    <cellStyle name="Финансовый 29 4 2 3" xfId="52216"/>
    <cellStyle name="Финансовый 29 4 3" xfId="52217"/>
    <cellStyle name="Финансовый 29 4 3 2" xfId="52218"/>
    <cellStyle name="Финансовый 29 4 3 2 2" xfId="52219"/>
    <cellStyle name="Финансовый 29 4 3 3" xfId="52220"/>
    <cellStyle name="Финансовый 29 4 4" xfId="52221"/>
    <cellStyle name="Финансовый 29 4 4 2" xfId="52222"/>
    <cellStyle name="Финансовый 29 4 5" xfId="52223"/>
    <cellStyle name="Финансовый 29 4 5 2" xfId="52224"/>
    <cellStyle name="Финансовый 29 4 6" xfId="52225"/>
    <cellStyle name="Финансовый 29 5" xfId="52226"/>
    <cellStyle name="Финансовый 29 5 2" xfId="52227"/>
    <cellStyle name="Финансовый 29 5 2 2" xfId="52228"/>
    <cellStyle name="Финансовый 29 5 3" xfId="52229"/>
    <cellStyle name="Финансовый 29 6" xfId="52230"/>
    <cellStyle name="Финансовый 29 7" xfId="52231"/>
    <cellStyle name="Финансовый 3" xfId="52232"/>
    <cellStyle name="Финансовый 3 10" xfId="52233"/>
    <cellStyle name="Финансовый 3 11" xfId="52234"/>
    <cellStyle name="Финансовый 3 12" xfId="52235"/>
    <cellStyle name="Финансовый 3 2" xfId="52236"/>
    <cellStyle name="Финансовый 3 2 2" xfId="52237"/>
    <cellStyle name="Финансовый 3 2 2 2" xfId="52238"/>
    <cellStyle name="Финансовый 3 2 2 2 2" xfId="52239"/>
    <cellStyle name="Финансовый 3 2 3" xfId="52240"/>
    <cellStyle name="Финансовый 3 3" xfId="52241"/>
    <cellStyle name="Финансовый 3 3 2" xfId="52242"/>
    <cellStyle name="Финансовый 3 3 2 2" xfId="52243"/>
    <cellStyle name="Финансовый 3 3 2 3" xfId="52244"/>
    <cellStyle name="Финансовый 3 3 2 4" xfId="52245"/>
    <cellStyle name="Финансовый 3 3 3" xfId="52246"/>
    <cellStyle name="Финансовый 3 3 4" xfId="52247"/>
    <cellStyle name="Финансовый 3 3 5" xfId="52248"/>
    <cellStyle name="Финансовый 3 4" xfId="52249"/>
    <cellStyle name="Финансовый 3 4 2" xfId="52250"/>
    <cellStyle name="Финансовый 3 4 3" xfId="52251"/>
    <cellStyle name="Финансовый 3 4 4" xfId="52252"/>
    <cellStyle name="Финансовый 3 5" xfId="52253"/>
    <cellStyle name="Финансовый 3 5 2" xfId="52254"/>
    <cellStyle name="Финансовый 3 6" xfId="52255"/>
    <cellStyle name="Финансовый 3 7" xfId="52256"/>
    <cellStyle name="Финансовый 3 8" xfId="52257"/>
    <cellStyle name="Финансовый 3 8 2" xfId="52258"/>
    <cellStyle name="Финансовый 3 8 2 2" xfId="52259"/>
    <cellStyle name="Финансовый 3 9" xfId="52260"/>
    <cellStyle name="Финансовый 3 9 2" xfId="52261"/>
    <cellStyle name="Финансовый 3 9 3" xfId="52262"/>
    <cellStyle name="Финансовый 3 9 4" xfId="52263"/>
    <cellStyle name="Финансовый 30" xfId="52264"/>
    <cellStyle name="Финансовый 30 2" xfId="52265"/>
    <cellStyle name="Финансовый 30 2 2" xfId="52266"/>
    <cellStyle name="Финансовый 30 2 2 2" xfId="52267"/>
    <cellStyle name="Финансовый 30 2 2 2 2" xfId="52268"/>
    <cellStyle name="Финансовый 30 2 2 2 2 2" xfId="52269"/>
    <cellStyle name="Финансовый 30 2 2 2 2 2 2" xfId="52270"/>
    <cellStyle name="Финансовый 30 2 2 2 2 3" xfId="52271"/>
    <cellStyle name="Финансовый 30 2 2 2 3" xfId="52272"/>
    <cellStyle name="Финансовый 30 2 2 2 3 2" xfId="52273"/>
    <cellStyle name="Финансовый 30 2 2 2 3 2 2" xfId="52274"/>
    <cellStyle name="Финансовый 30 2 2 2 3 3" xfId="52275"/>
    <cellStyle name="Финансовый 30 2 2 2 4" xfId="52276"/>
    <cellStyle name="Финансовый 30 2 2 2 4 2" xfId="52277"/>
    <cellStyle name="Финансовый 30 2 2 2 5" xfId="52278"/>
    <cellStyle name="Финансовый 30 2 2 2 5 2" xfId="52279"/>
    <cellStyle name="Финансовый 30 2 2 2 6" xfId="52280"/>
    <cellStyle name="Финансовый 30 2 2 3" xfId="52281"/>
    <cellStyle name="Финансовый 30 2 2 3 2" xfId="52282"/>
    <cellStyle name="Финансовый 30 2 2 3 2 2" xfId="52283"/>
    <cellStyle name="Финансовый 30 2 2 3 2 2 2" xfId="52284"/>
    <cellStyle name="Финансовый 30 2 2 3 2 3" xfId="52285"/>
    <cellStyle name="Финансовый 30 2 2 3 3" xfId="52286"/>
    <cellStyle name="Финансовый 30 2 2 3 3 2" xfId="52287"/>
    <cellStyle name="Финансовый 30 2 2 3 3 2 2" xfId="52288"/>
    <cellStyle name="Финансовый 30 2 2 3 3 3" xfId="52289"/>
    <cellStyle name="Финансовый 30 2 2 3 4" xfId="52290"/>
    <cellStyle name="Финансовый 30 2 2 3 4 2" xfId="52291"/>
    <cellStyle name="Финансовый 30 2 2 3 5" xfId="52292"/>
    <cellStyle name="Финансовый 30 2 2 4" xfId="52293"/>
    <cellStyle name="Финансовый 30 2 2 4 2" xfId="52294"/>
    <cellStyle name="Финансовый 30 2 2 4 2 2" xfId="52295"/>
    <cellStyle name="Финансовый 30 2 2 4 3" xfId="52296"/>
    <cellStyle name="Финансовый 30 2 2 5" xfId="52297"/>
    <cellStyle name="Финансовый 30 2 2 5 2" xfId="52298"/>
    <cellStyle name="Финансовый 30 2 2 5 2 2" xfId="52299"/>
    <cellStyle name="Финансовый 30 2 2 5 3" xfId="52300"/>
    <cellStyle name="Финансовый 30 2 2 6" xfId="52301"/>
    <cellStyle name="Финансовый 30 2 2 6 2" xfId="52302"/>
    <cellStyle name="Финансовый 30 2 2 7" xfId="52303"/>
    <cellStyle name="Финансовый 30 2 2 7 2" xfId="52304"/>
    <cellStyle name="Финансовый 30 2 2 8" xfId="52305"/>
    <cellStyle name="Финансовый 30 2 3" xfId="52306"/>
    <cellStyle name="Финансовый 30 2 3 2" xfId="52307"/>
    <cellStyle name="Финансовый 30 2 3 2 2" xfId="52308"/>
    <cellStyle name="Финансовый 30 2 3 2 2 2" xfId="52309"/>
    <cellStyle name="Финансовый 30 2 3 2 3" xfId="52310"/>
    <cellStyle name="Финансовый 30 2 3 3" xfId="52311"/>
    <cellStyle name="Финансовый 30 2 3 3 2" xfId="52312"/>
    <cellStyle name="Финансовый 30 2 3 3 2 2" xfId="52313"/>
    <cellStyle name="Финансовый 30 2 3 3 3" xfId="52314"/>
    <cellStyle name="Финансовый 30 2 3 4" xfId="52315"/>
    <cellStyle name="Финансовый 30 2 3 4 2" xfId="52316"/>
    <cellStyle name="Финансовый 30 2 3 5" xfId="52317"/>
    <cellStyle name="Финансовый 30 2 3 5 2" xfId="52318"/>
    <cellStyle name="Финансовый 30 2 3 6" xfId="52319"/>
    <cellStyle name="Финансовый 30 2 4" xfId="52320"/>
    <cellStyle name="Финансовый 30 2 4 2" xfId="52321"/>
    <cellStyle name="Финансовый 30 2 4 2 2" xfId="52322"/>
    <cellStyle name="Финансовый 30 2 4 2 2 2" xfId="52323"/>
    <cellStyle name="Финансовый 30 2 4 2 3" xfId="52324"/>
    <cellStyle name="Финансовый 30 2 4 3" xfId="52325"/>
    <cellStyle name="Финансовый 30 2 4 3 2" xfId="52326"/>
    <cellStyle name="Финансовый 30 2 4 3 2 2" xfId="52327"/>
    <cellStyle name="Финансовый 30 2 4 3 3" xfId="52328"/>
    <cellStyle name="Финансовый 30 2 4 4" xfId="52329"/>
    <cellStyle name="Финансовый 30 2 4 4 2" xfId="52330"/>
    <cellStyle name="Финансовый 30 2 4 5" xfId="52331"/>
    <cellStyle name="Финансовый 30 2 4 5 2" xfId="52332"/>
    <cellStyle name="Финансовый 30 2 4 6" xfId="52333"/>
    <cellStyle name="Финансовый 30 2 5" xfId="52334"/>
    <cellStyle name="Финансовый 30 2 5 2" xfId="52335"/>
    <cellStyle name="Финансовый 30 2 5 2 2" xfId="52336"/>
    <cellStyle name="Финансовый 30 2 5 3" xfId="52337"/>
    <cellStyle name="Финансовый 30 2 6" xfId="52338"/>
    <cellStyle name="Финансовый 30 2 6 2" xfId="52339"/>
    <cellStyle name="Финансовый 30 2 6 2 2" xfId="52340"/>
    <cellStyle name="Финансовый 30 2 6 3" xfId="52341"/>
    <cellStyle name="Финансовый 30 2 7" xfId="52342"/>
    <cellStyle name="Финансовый 30 2 7 2" xfId="52343"/>
    <cellStyle name="Финансовый 30 2 8" xfId="52344"/>
    <cellStyle name="Финансовый 30 2 8 2" xfId="52345"/>
    <cellStyle name="Финансовый 30 2 9" xfId="52346"/>
    <cellStyle name="Финансовый 30 3" xfId="52347"/>
    <cellStyle name="Финансовый 30 3 2" xfId="52348"/>
    <cellStyle name="Финансовый 30 3 2 2" xfId="52349"/>
    <cellStyle name="Финансовый 30 3 2 2 2" xfId="52350"/>
    <cellStyle name="Финансовый 30 3 2 2 2 2" xfId="52351"/>
    <cellStyle name="Финансовый 30 3 2 2 3" xfId="52352"/>
    <cellStyle name="Финансовый 30 3 2 2 3 2" xfId="52353"/>
    <cellStyle name="Финансовый 30 3 2 2 4" xfId="52354"/>
    <cellStyle name="Финансовый 30 3 2 3" xfId="52355"/>
    <cellStyle name="Финансовый 30 3 2 3 2" xfId="52356"/>
    <cellStyle name="Финансовый 30 3 2 3 2 2" xfId="52357"/>
    <cellStyle name="Финансовый 30 3 2 3 3" xfId="52358"/>
    <cellStyle name="Финансовый 30 3 2 4" xfId="52359"/>
    <cellStyle name="Финансовый 30 3 2 4 2" xfId="52360"/>
    <cellStyle name="Финансовый 30 3 2 5" xfId="52361"/>
    <cellStyle name="Финансовый 30 3 2 5 2" xfId="52362"/>
    <cellStyle name="Финансовый 30 3 2 6" xfId="52363"/>
    <cellStyle name="Финансовый 30 3 3" xfId="52364"/>
    <cellStyle name="Финансовый 30 3 3 2" xfId="52365"/>
    <cellStyle name="Финансовый 30 3 3 2 2" xfId="52366"/>
    <cellStyle name="Финансовый 30 3 3 2 2 2" xfId="52367"/>
    <cellStyle name="Финансовый 30 3 3 2 3" xfId="52368"/>
    <cellStyle name="Финансовый 30 3 3 3" xfId="52369"/>
    <cellStyle name="Финансовый 30 3 3 3 2" xfId="52370"/>
    <cellStyle name="Финансовый 30 3 3 3 2 2" xfId="52371"/>
    <cellStyle name="Финансовый 30 3 3 3 3" xfId="52372"/>
    <cellStyle name="Финансовый 30 3 3 4" xfId="52373"/>
    <cellStyle name="Финансовый 30 3 3 4 2" xfId="52374"/>
    <cellStyle name="Финансовый 30 3 3 5" xfId="52375"/>
    <cellStyle name="Финансовый 30 3 3 5 2" xfId="52376"/>
    <cellStyle name="Финансовый 30 3 3 6" xfId="52377"/>
    <cellStyle name="Финансовый 30 3 4" xfId="52378"/>
    <cellStyle name="Финансовый 30 3 4 2" xfId="52379"/>
    <cellStyle name="Финансовый 30 3 4 2 2" xfId="52380"/>
    <cellStyle name="Финансовый 30 3 4 3" xfId="52381"/>
    <cellStyle name="Финансовый 30 3 4 3 2" xfId="52382"/>
    <cellStyle name="Финансовый 30 3 4 4" xfId="52383"/>
    <cellStyle name="Финансовый 30 3 5" xfId="52384"/>
    <cellStyle name="Финансовый 30 3 5 2" xfId="52385"/>
    <cellStyle name="Финансовый 30 3 5 2 2" xfId="52386"/>
    <cellStyle name="Финансовый 30 3 5 3" xfId="52387"/>
    <cellStyle name="Финансовый 30 3 6" xfId="52388"/>
    <cellStyle name="Финансовый 30 3 6 2" xfId="52389"/>
    <cellStyle name="Финансовый 30 3 7" xfId="52390"/>
    <cellStyle name="Финансовый 30 3 7 2" xfId="52391"/>
    <cellStyle name="Финансовый 30 3 8" xfId="52392"/>
    <cellStyle name="Финансовый 30 4" xfId="52393"/>
    <cellStyle name="Финансовый 30 4 2" xfId="52394"/>
    <cellStyle name="Финансовый 30 4 2 2" xfId="52395"/>
    <cellStyle name="Финансовый 30 4 2 2 2" xfId="52396"/>
    <cellStyle name="Финансовый 30 4 2 2 2 2" xfId="52397"/>
    <cellStyle name="Финансовый 30 4 2 2 3" xfId="52398"/>
    <cellStyle name="Финансовый 30 4 2 3" xfId="52399"/>
    <cellStyle name="Финансовый 30 4 2 3 2" xfId="52400"/>
    <cellStyle name="Финансовый 30 4 2 3 2 2" xfId="52401"/>
    <cellStyle name="Финансовый 30 4 2 3 3" xfId="52402"/>
    <cellStyle name="Финансовый 30 4 2 4" xfId="52403"/>
    <cellStyle name="Финансовый 30 4 2 4 2" xfId="52404"/>
    <cellStyle name="Финансовый 30 4 2 5" xfId="52405"/>
    <cellStyle name="Финансовый 30 4 2 5 2" xfId="52406"/>
    <cellStyle name="Финансовый 30 4 2 6" xfId="52407"/>
    <cellStyle name="Финансовый 30 4 3" xfId="52408"/>
    <cellStyle name="Финансовый 30 4 3 2" xfId="52409"/>
    <cellStyle name="Финансовый 30 4 3 2 2" xfId="52410"/>
    <cellStyle name="Финансовый 30 4 3 2 2 2" xfId="52411"/>
    <cellStyle name="Финансовый 30 4 3 2 3" xfId="52412"/>
    <cellStyle name="Финансовый 30 4 3 3" xfId="52413"/>
    <cellStyle name="Финансовый 30 4 3 3 2" xfId="52414"/>
    <cellStyle name="Финансовый 30 4 3 3 2 2" xfId="52415"/>
    <cellStyle name="Финансовый 30 4 3 3 3" xfId="52416"/>
    <cellStyle name="Финансовый 30 4 3 4" xfId="52417"/>
    <cellStyle name="Финансовый 30 4 3 4 2" xfId="52418"/>
    <cellStyle name="Финансовый 30 4 3 5" xfId="52419"/>
    <cellStyle name="Финансовый 30 4 3 5 2" xfId="52420"/>
    <cellStyle name="Финансовый 30 4 3 6" xfId="52421"/>
    <cellStyle name="Финансовый 30 4 4" xfId="52422"/>
    <cellStyle name="Финансовый 30 4 4 2" xfId="52423"/>
    <cellStyle name="Финансовый 30 4 4 2 2" xfId="52424"/>
    <cellStyle name="Финансовый 30 4 4 3" xfId="52425"/>
    <cellStyle name="Финансовый 30 4 5" xfId="52426"/>
    <cellStyle name="Финансовый 30 4 5 2" xfId="52427"/>
    <cellStyle name="Финансовый 30 4 5 2 2" xfId="52428"/>
    <cellStyle name="Финансовый 30 4 5 3" xfId="52429"/>
    <cellStyle name="Финансовый 30 4 6" xfId="52430"/>
    <cellStyle name="Финансовый 30 4 6 2" xfId="52431"/>
    <cellStyle name="Финансовый 30 4 7" xfId="52432"/>
    <cellStyle name="Финансовый 30 4 7 2" xfId="52433"/>
    <cellStyle name="Финансовый 30 4 8" xfId="52434"/>
    <cellStyle name="Финансовый 30 5" xfId="52435"/>
    <cellStyle name="Финансовый 30 5 2" xfId="52436"/>
    <cellStyle name="Финансовый 30 5 2 2" xfId="52437"/>
    <cellStyle name="Финансовый 30 5 2 2 2" xfId="52438"/>
    <cellStyle name="Финансовый 30 5 2 3" xfId="52439"/>
    <cellStyle name="Финансовый 30 5 3" xfId="52440"/>
    <cellStyle name="Финансовый 30 5 3 2" xfId="52441"/>
    <cellStyle name="Финансовый 30 5 3 2 2" xfId="52442"/>
    <cellStyle name="Финансовый 30 5 3 3" xfId="52443"/>
    <cellStyle name="Финансовый 30 5 4" xfId="52444"/>
    <cellStyle name="Финансовый 30 5 4 2" xfId="52445"/>
    <cellStyle name="Финансовый 30 5 5" xfId="52446"/>
    <cellStyle name="Финансовый 30 5 5 2" xfId="52447"/>
    <cellStyle name="Финансовый 30 5 6" xfId="52448"/>
    <cellStyle name="Финансовый 30 6" xfId="52449"/>
    <cellStyle name="Финансовый 30 6 2" xfId="52450"/>
    <cellStyle name="Финансовый 30 6 2 2" xfId="52451"/>
    <cellStyle name="Финансовый 30 6 2 2 2" xfId="52452"/>
    <cellStyle name="Финансовый 30 6 2 3" xfId="52453"/>
    <cellStyle name="Финансовый 30 6 3" xfId="52454"/>
    <cellStyle name="Финансовый 30 6 3 2" xfId="52455"/>
    <cellStyle name="Финансовый 30 6 3 2 2" xfId="52456"/>
    <cellStyle name="Финансовый 30 6 3 3" xfId="52457"/>
    <cellStyle name="Финансовый 30 6 4" xfId="52458"/>
    <cellStyle name="Финансовый 30 6 4 2" xfId="52459"/>
    <cellStyle name="Финансовый 30 6 5" xfId="52460"/>
    <cellStyle name="Финансовый 30 6 5 2" xfId="52461"/>
    <cellStyle name="Финансовый 30 6 6" xfId="52462"/>
    <cellStyle name="Финансовый 30 7" xfId="52463"/>
    <cellStyle name="Финансовый 30 7 2" xfId="52464"/>
    <cellStyle name="Финансовый 30 7 2 2" xfId="52465"/>
    <cellStyle name="Финансовый 30 7 3" xfId="52466"/>
    <cellStyle name="Финансовый 30 8" xfId="52467"/>
    <cellStyle name="Финансовый 30 9" xfId="52468"/>
    <cellStyle name="Финансовый 31" xfId="52469"/>
    <cellStyle name="Финансовый 31 2" xfId="52470"/>
    <cellStyle name="Финансовый 31 2 2" xfId="52471"/>
    <cellStyle name="Финансовый 31 2 2 2" xfId="52472"/>
    <cellStyle name="Финансовый 31 2 2 2 2" xfId="52473"/>
    <cellStyle name="Финансовый 31 2 2 2 2 2" xfId="52474"/>
    <cellStyle name="Финансовый 31 2 2 2 2 2 2" xfId="52475"/>
    <cellStyle name="Финансовый 31 2 2 2 2 3" xfId="52476"/>
    <cellStyle name="Финансовый 31 2 2 2 3" xfId="52477"/>
    <cellStyle name="Финансовый 31 2 2 2 3 2" xfId="52478"/>
    <cellStyle name="Финансовый 31 2 2 2 3 2 2" xfId="52479"/>
    <cellStyle name="Финансовый 31 2 2 2 3 3" xfId="52480"/>
    <cellStyle name="Финансовый 31 2 2 2 4" xfId="52481"/>
    <cellStyle name="Финансовый 31 2 2 2 4 2" xfId="52482"/>
    <cellStyle name="Финансовый 31 2 2 2 5" xfId="52483"/>
    <cellStyle name="Финансовый 31 2 2 2 5 2" xfId="52484"/>
    <cellStyle name="Финансовый 31 2 2 2 6" xfId="52485"/>
    <cellStyle name="Финансовый 31 2 2 3" xfId="52486"/>
    <cellStyle name="Финансовый 31 2 2 3 2" xfId="52487"/>
    <cellStyle name="Финансовый 31 2 2 3 2 2" xfId="52488"/>
    <cellStyle name="Финансовый 31 2 2 3 2 2 2" xfId="52489"/>
    <cellStyle name="Финансовый 31 2 2 3 2 3" xfId="52490"/>
    <cellStyle name="Финансовый 31 2 2 3 3" xfId="52491"/>
    <cellStyle name="Финансовый 31 2 2 3 3 2" xfId="52492"/>
    <cellStyle name="Финансовый 31 2 2 3 3 2 2" xfId="52493"/>
    <cellStyle name="Финансовый 31 2 2 3 3 3" xfId="52494"/>
    <cellStyle name="Финансовый 31 2 2 3 4" xfId="52495"/>
    <cellStyle name="Финансовый 31 2 2 3 4 2" xfId="52496"/>
    <cellStyle name="Финансовый 31 2 2 3 5" xfId="52497"/>
    <cellStyle name="Финансовый 31 2 2 4" xfId="52498"/>
    <cellStyle name="Финансовый 31 2 2 4 2" xfId="52499"/>
    <cellStyle name="Финансовый 31 2 2 4 2 2" xfId="52500"/>
    <cellStyle name="Финансовый 31 2 2 4 3" xfId="52501"/>
    <cellStyle name="Финансовый 31 2 2 5" xfId="52502"/>
    <cellStyle name="Финансовый 31 2 2 5 2" xfId="52503"/>
    <cellStyle name="Финансовый 31 2 2 5 2 2" xfId="52504"/>
    <cellStyle name="Финансовый 31 2 2 5 3" xfId="52505"/>
    <cellStyle name="Финансовый 31 2 2 6" xfId="52506"/>
    <cellStyle name="Финансовый 31 2 2 6 2" xfId="52507"/>
    <cellStyle name="Финансовый 31 2 2 7" xfId="52508"/>
    <cellStyle name="Финансовый 31 2 2 7 2" xfId="52509"/>
    <cellStyle name="Финансовый 31 2 2 8" xfId="52510"/>
    <cellStyle name="Финансовый 31 2 3" xfId="52511"/>
    <cellStyle name="Финансовый 31 2 3 2" xfId="52512"/>
    <cellStyle name="Финансовый 31 2 3 2 2" xfId="52513"/>
    <cellStyle name="Финансовый 31 2 3 2 2 2" xfId="52514"/>
    <cellStyle name="Финансовый 31 2 3 2 3" xfId="52515"/>
    <cellStyle name="Финансовый 31 2 3 3" xfId="52516"/>
    <cellStyle name="Финансовый 31 2 3 3 2" xfId="52517"/>
    <cellStyle name="Финансовый 31 2 3 3 2 2" xfId="52518"/>
    <cellStyle name="Финансовый 31 2 3 3 3" xfId="52519"/>
    <cellStyle name="Финансовый 31 2 3 4" xfId="52520"/>
    <cellStyle name="Финансовый 31 2 3 4 2" xfId="52521"/>
    <cellStyle name="Финансовый 31 2 3 5" xfId="52522"/>
    <cellStyle name="Финансовый 31 2 3 5 2" xfId="52523"/>
    <cellStyle name="Финансовый 31 2 3 6" xfId="52524"/>
    <cellStyle name="Финансовый 31 2 4" xfId="52525"/>
    <cellStyle name="Финансовый 31 2 4 2" xfId="52526"/>
    <cellStyle name="Финансовый 31 2 4 2 2" xfId="52527"/>
    <cellStyle name="Финансовый 31 2 4 2 2 2" xfId="52528"/>
    <cellStyle name="Финансовый 31 2 4 2 3" xfId="52529"/>
    <cellStyle name="Финансовый 31 2 4 3" xfId="52530"/>
    <cellStyle name="Финансовый 31 2 4 3 2" xfId="52531"/>
    <cellStyle name="Финансовый 31 2 4 3 2 2" xfId="52532"/>
    <cellStyle name="Финансовый 31 2 4 3 3" xfId="52533"/>
    <cellStyle name="Финансовый 31 2 4 4" xfId="52534"/>
    <cellStyle name="Финансовый 31 2 4 4 2" xfId="52535"/>
    <cellStyle name="Финансовый 31 2 4 5" xfId="52536"/>
    <cellStyle name="Финансовый 31 2 4 5 2" xfId="52537"/>
    <cellStyle name="Финансовый 31 2 4 6" xfId="52538"/>
    <cellStyle name="Финансовый 31 2 5" xfId="52539"/>
    <cellStyle name="Финансовый 31 2 5 2" xfId="52540"/>
    <cellStyle name="Финансовый 31 2 5 3" xfId="52541"/>
    <cellStyle name="Финансовый 31 2 6" xfId="52542"/>
    <cellStyle name="Финансовый 31 2 6 2" xfId="52543"/>
    <cellStyle name="Финансовый 31 2 7" xfId="52544"/>
    <cellStyle name="Финансовый 31 3" xfId="52545"/>
    <cellStyle name="Финансовый 31 3 2" xfId="52546"/>
    <cellStyle name="Финансовый 31 3 2 2" xfId="52547"/>
    <cellStyle name="Финансовый 31 3 2 2 2" xfId="52548"/>
    <cellStyle name="Финансовый 31 3 2 2 2 2" xfId="52549"/>
    <cellStyle name="Финансовый 31 3 2 2 3" xfId="52550"/>
    <cellStyle name="Финансовый 31 3 2 3" xfId="52551"/>
    <cellStyle name="Финансовый 31 3 2 3 2" xfId="52552"/>
    <cellStyle name="Финансовый 31 3 2 3 2 2" xfId="52553"/>
    <cellStyle name="Финансовый 31 3 2 3 3" xfId="52554"/>
    <cellStyle name="Финансовый 31 3 2 4" xfId="52555"/>
    <cellStyle name="Финансовый 31 3 2 4 2" xfId="52556"/>
    <cellStyle name="Финансовый 31 3 2 5" xfId="52557"/>
    <cellStyle name="Финансовый 31 3 2 5 2" xfId="52558"/>
    <cellStyle name="Финансовый 31 3 2 6" xfId="52559"/>
    <cellStyle name="Финансовый 31 3 3" xfId="52560"/>
    <cellStyle name="Финансовый 31 3 3 2" xfId="52561"/>
    <cellStyle name="Финансовый 31 3 3 2 2" xfId="52562"/>
    <cellStyle name="Финансовый 31 3 3 2 2 2" xfId="52563"/>
    <cellStyle name="Финансовый 31 3 3 2 3" xfId="52564"/>
    <cellStyle name="Финансовый 31 3 3 3" xfId="52565"/>
    <cellStyle name="Финансовый 31 3 3 3 2" xfId="52566"/>
    <cellStyle name="Финансовый 31 3 3 3 2 2" xfId="52567"/>
    <cellStyle name="Финансовый 31 3 3 3 3" xfId="52568"/>
    <cellStyle name="Финансовый 31 3 3 4" xfId="52569"/>
    <cellStyle name="Финансовый 31 3 3 4 2" xfId="52570"/>
    <cellStyle name="Финансовый 31 3 3 5" xfId="52571"/>
    <cellStyle name="Финансовый 31 3 3 5 2" xfId="52572"/>
    <cellStyle name="Финансовый 31 3 3 6" xfId="52573"/>
    <cellStyle name="Финансовый 31 3 4" xfId="52574"/>
    <cellStyle name="Финансовый 31 3 4 2" xfId="52575"/>
    <cellStyle name="Финансовый 31 3 4 2 2" xfId="52576"/>
    <cellStyle name="Финансовый 31 3 4 3" xfId="52577"/>
    <cellStyle name="Финансовый 31 3 5" xfId="52578"/>
    <cellStyle name="Финансовый 31 3 5 2" xfId="52579"/>
    <cellStyle name="Финансовый 31 3 5 2 2" xfId="52580"/>
    <cellStyle name="Финансовый 31 3 5 3" xfId="52581"/>
    <cellStyle name="Финансовый 31 3 6" xfId="52582"/>
    <cellStyle name="Финансовый 31 3 6 2" xfId="52583"/>
    <cellStyle name="Финансовый 31 3 7" xfId="52584"/>
    <cellStyle name="Финансовый 31 3 7 2" xfId="52585"/>
    <cellStyle name="Финансовый 31 3 8" xfId="52586"/>
    <cellStyle name="Финансовый 31 4" xfId="52587"/>
    <cellStyle name="Финансовый 31 4 2" xfId="52588"/>
    <cellStyle name="Финансовый 31 4 2 2" xfId="52589"/>
    <cellStyle name="Финансовый 31 4 2 2 2" xfId="52590"/>
    <cellStyle name="Финансовый 31 4 2 3" xfId="52591"/>
    <cellStyle name="Финансовый 31 4 2 3 2" xfId="52592"/>
    <cellStyle name="Финансовый 31 4 2 4" xfId="52593"/>
    <cellStyle name="Финансовый 31 4 3" xfId="52594"/>
    <cellStyle name="Финансовый 31 4 3 2" xfId="52595"/>
    <cellStyle name="Финансовый 31 4 3 2 2" xfId="52596"/>
    <cellStyle name="Финансовый 31 4 3 3" xfId="52597"/>
    <cellStyle name="Финансовый 31 4 4" xfId="52598"/>
    <cellStyle name="Финансовый 31 4 4 2" xfId="52599"/>
    <cellStyle name="Финансовый 31 4 5" xfId="52600"/>
    <cellStyle name="Финансовый 31 4 5 2" xfId="52601"/>
    <cellStyle name="Финансовый 31 4 6" xfId="52602"/>
    <cellStyle name="Финансовый 31 5" xfId="52603"/>
    <cellStyle name="Финансовый 31 5 2" xfId="52604"/>
    <cellStyle name="Финансовый 31 6" xfId="52605"/>
    <cellStyle name="Финансовый 31 6 2" xfId="52606"/>
    <cellStyle name="Финансовый 31 7" xfId="52607"/>
    <cellStyle name="Финансовый 31 8" xfId="52608"/>
    <cellStyle name="Финансовый 32" xfId="52609"/>
    <cellStyle name="Финансовый 32 2" xfId="52610"/>
    <cellStyle name="Финансовый 32 2 2" xfId="52611"/>
    <cellStyle name="Финансовый 32 2 2 2" xfId="52612"/>
    <cellStyle name="Финансовый 32 2 2 2 2" xfId="52613"/>
    <cellStyle name="Финансовый 32 2 2 2 2 2" xfId="52614"/>
    <cellStyle name="Финансовый 32 2 2 2 2 2 2" xfId="52615"/>
    <cellStyle name="Финансовый 32 2 2 2 2 3" xfId="52616"/>
    <cellStyle name="Финансовый 32 2 2 2 3" xfId="52617"/>
    <cellStyle name="Финансовый 32 2 2 2 3 2" xfId="52618"/>
    <cellStyle name="Финансовый 32 2 2 2 3 2 2" xfId="52619"/>
    <cellStyle name="Финансовый 32 2 2 2 3 3" xfId="52620"/>
    <cellStyle name="Финансовый 32 2 2 2 4" xfId="52621"/>
    <cellStyle name="Финансовый 32 2 2 2 4 2" xfId="52622"/>
    <cellStyle name="Финансовый 32 2 2 2 5" xfId="52623"/>
    <cellStyle name="Финансовый 32 2 2 3" xfId="52624"/>
    <cellStyle name="Финансовый 32 2 2 3 2" xfId="52625"/>
    <cellStyle name="Финансовый 32 2 2 3 2 2" xfId="52626"/>
    <cellStyle name="Финансовый 32 2 2 3 2 2 2" xfId="52627"/>
    <cellStyle name="Финансовый 32 2 2 3 2 3" xfId="52628"/>
    <cellStyle name="Финансовый 32 2 2 3 3" xfId="52629"/>
    <cellStyle name="Финансовый 32 2 2 3 3 2" xfId="52630"/>
    <cellStyle name="Финансовый 32 2 2 3 3 2 2" xfId="52631"/>
    <cellStyle name="Финансовый 32 2 2 3 3 3" xfId="52632"/>
    <cellStyle name="Финансовый 32 2 2 3 4" xfId="52633"/>
    <cellStyle name="Финансовый 32 2 2 3 4 2" xfId="52634"/>
    <cellStyle name="Финансовый 32 2 2 3 5" xfId="52635"/>
    <cellStyle name="Финансовый 32 2 2 4" xfId="52636"/>
    <cellStyle name="Финансовый 32 2 2 4 2" xfId="52637"/>
    <cellStyle name="Финансовый 32 2 2 4 2 2" xfId="52638"/>
    <cellStyle name="Финансовый 32 2 2 4 3" xfId="52639"/>
    <cellStyle name="Финансовый 32 2 2 5" xfId="52640"/>
    <cellStyle name="Финансовый 32 2 2 5 2" xfId="52641"/>
    <cellStyle name="Финансовый 32 2 2 5 2 2" xfId="52642"/>
    <cellStyle name="Финансовый 32 2 2 5 3" xfId="52643"/>
    <cellStyle name="Финансовый 32 2 2 6" xfId="52644"/>
    <cellStyle name="Финансовый 32 2 2 6 2" xfId="52645"/>
    <cellStyle name="Финансовый 32 2 2 7" xfId="52646"/>
    <cellStyle name="Финансовый 32 2 2 7 2" xfId="52647"/>
    <cellStyle name="Финансовый 32 2 2 8" xfId="52648"/>
    <cellStyle name="Финансовый 32 2 3" xfId="52649"/>
    <cellStyle name="Финансовый 32 2 3 2" xfId="52650"/>
    <cellStyle name="Финансовый 32 2 3 2 2" xfId="52651"/>
    <cellStyle name="Финансовый 32 2 3 2 2 2" xfId="52652"/>
    <cellStyle name="Финансовый 32 2 3 2 3" xfId="52653"/>
    <cellStyle name="Финансовый 32 2 3 3" xfId="52654"/>
    <cellStyle name="Финансовый 32 2 3 3 2" xfId="52655"/>
    <cellStyle name="Финансовый 32 2 3 3 2 2" xfId="52656"/>
    <cellStyle name="Финансовый 32 2 3 3 3" xfId="52657"/>
    <cellStyle name="Финансовый 32 2 3 4" xfId="52658"/>
    <cellStyle name="Финансовый 32 2 3 4 2" xfId="52659"/>
    <cellStyle name="Финансовый 32 2 3 5" xfId="52660"/>
    <cellStyle name="Финансовый 32 2 3 5 2" xfId="52661"/>
    <cellStyle name="Финансовый 32 2 3 6" xfId="52662"/>
    <cellStyle name="Финансовый 32 2 4" xfId="52663"/>
    <cellStyle name="Финансовый 32 2 4 2" xfId="52664"/>
    <cellStyle name="Финансовый 32 2 4 2 2" xfId="52665"/>
    <cellStyle name="Финансовый 32 2 4 2 2 2" xfId="52666"/>
    <cellStyle name="Финансовый 32 2 4 2 3" xfId="52667"/>
    <cellStyle name="Финансовый 32 2 4 3" xfId="52668"/>
    <cellStyle name="Финансовый 32 2 4 3 2" xfId="52669"/>
    <cellStyle name="Финансовый 32 2 4 3 2 2" xfId="52670"/>
    <cellStyle name="Финансовый 32 2 4 3 3" xfId="52671"/>
    <cellStyle name="Финансовый 32 2 4 4" xfId="52672"/>
    <cellStyle name="Финансовый 32 2 4 4 2" xfId="52673"/>
    <cellStyle name="Финансовый 32 2 4 5" xfId="52674"/>
    <cellStyle name="Финансовый 32 2 4 5 2" xfId="52675"/>
    <cellStyle name="Финансовый 32 2 4 6" xfId="52676"/>
    <cellStyle name="Финансовый 32 2 5" xfId="52677"/>
    <cellStyle name="Финансовый 32 2 5 2" xfId="52678"/>
    <cellStyle name="Финансовый 32 2 5 2 2" xfId="52679"/>
    <cellStyle name="Финансовый 32 2 6" xfId="52680"/>
    <cellStyle name="Финансовый 32 2 6 2" xfId="52681"/>
    <cellStyle name="Финансовый 32 2 6 2 2" xfId="52682"/>
    <cellStyle name="Финансовый 32 2 6 3" xfId="52683"/>
    <cellStyle name="Финансовый 32 2 7" xfId="52684"/>
    <cellStyle name="Финансовый 32 2 7 2" xfId="52685"/>
    <cellStyle name="Финансовый 32 2 8" xfId="52686"/>
    <cellStyle name="Финансовый 32 2 9" xfId="52687"/>
    <cellStyle name="Финансовый 32 3" xfId="52688"/>
    <cellStyle name="Финансовый 32 3 2" xfId="52689"/>
    <cellStyle name="Финансовый 32 3 2 2" xfId="52690"/>
    <cellStyle name="Финансовый 32 3 2 2 2" xfId="52691"/>
    <cellStyle name="Финансовый 32 3 2 2 2 2" xfId="52692"/>
    <cellStyle name="Финансовый 32 3 2 2 3" xfId="52693"/>
    <cellStyle name="Финансовый 32 3 2 3" xfId="52694"/>
    <cellStyle name="Финансовый 32 3 2 3 2" xfId="52695"/>
    <cellStyle name="Финансовый 32 3 2 3 2 2" xfId="52696"/>
    <cellStyle name="Финансовый 32 3 2 3 3" xfId="52697"/>
    <cellStyle name="Финансовый 32 3 2 4" xfId="52698"/>
    <cellStyle name="Финансовый 32 3 2 4 2" xfId="52699"/>
    <cellStyle name="Финансовый 32 3 2 5" xfId="52700"/>
    <cellStyle name="Финансовый 32 3 2 5 2" xfId="52701"/>
    <cellStyle name="Финансовый 32 3 2 6" xfId="52702"/>
    <cellStyle name="Финансовый 32 3 3" xfId="52703"/>
    <cellStyle name="Финансовый 32 3 3 2" xfId="52704"/>
    <cellStyle name="Финансовый 32 3 3 2 2" xfId="52705"/>
    <cellStyle name="Финансовый 32 3 3 2 2 2" xfId="52706"/>
    <cellStyle name="Финансовый 32 3 3 2 3" xfId="52707"/>
    <cellStyle name="Финансовый 32 3 3 3" xfId="52708"/>
    <cellStyle name="Финансовый 32 3 3 3 2" xfId="52709"/>
    <cellStyle name="Финансовый 32 3 3 3 2 2" xfId="52710"/>
    <cellStyle name="Финансовый 32 3 3 3 3" xfId="52711"/>
    <cellStyle name="Финансовый 32 3 3 4" xfId="52712"/>
    <cellStyle name="Финансовый 32 3 3 4 2" xfId="52713"/>
    <cellStyle name="Финансовый 32 3 3 5" xfId="52714"/>
    <cellStyle name="Финансовый 32 3 3 5 2" xfId="52715"/>
    <cellStyle name="Финансовый 32 3 3 6" xfId="52716"/>
    <cellStyle name="Финансовый 32 3 4" xfId="52717"/>
    <cellStyle name="Финансовый 32 3 4 2" xfId="52718"/>
    <cellStyle name="Финансовый 32 3 4 2 2" xfId="52719"/>
    <cellStyle name="Финансовый 32 3 4 3" xfId="52720"/>
    <cellStyle name="Финансовый 32 3 5" xfId="52721"/>
    <cellStyle name="Финансовый 32 3 5 2" xfId="52722"/>
    <cellStyle name="Финансовый 32 3 5 2 2" xfId="52723"/>
    <cellStyle name="Финансовый 32 3 5 3" xfId="52724"/>
    <cellStyle name="Финансовый 32 3 6" xfId="52725"/>
    <cellStyle name="Финансовый 32 3 6 2" xfId="52726"/>
    <cellStyle name="Финансовый 32 3 7" xfId="52727"/>
    <cellStyle name="Финансовый 32 3 7 2" xfId="52728"/>
    <cellStyle name="Финансовый 32 3 8" xfId="52729"/>
    <cellStyle name="Финансовый 32 4" xfId="52730"/>
    <cellStyle name="Финансовый 32 4 2" xfId="52731"/>
    <cellStyle name="Финансовый 32 4 2 2" xfId="52732"/>
    <cellStyle name="Финансовый 32 4 2 2 2" xfId="52733"/>
    <cellStyle name="Финансовый 32 4 2 3" xfId="52734"/>
    <cellStyle name="Финансовый 32 4 2 3 2" xfId="52735"/>
    <cellStyle name="Финансовый 32 4 2 4" xfId="52736"/>
    <cellStyle name="Финансовый 32 4 3" xfId="52737"/>
    <cellStyle name="Финансовый 32 4 3 2" xfId="52738"/>
    <cellStyle name="Финансовый 32 4 3 2 2" xfId="52739"/>
    <cellStyle name="Финансовый 32 4 3 3" xfId="52740"/>
    <cellStyle name="Финансовый 32 4 4" xfId="52741"/>
    <cellStyle name="Финансовый 32 4 4 2" xfId="52742"/>
    <cellStyle name="Финансовый 32 4 5" xfId="52743"/>
    <cellStyle name="Финансовый 32 4 5 2" xfId="52744"/>
    <cellStyle name="Финансовый 32 4 6" xfId="52745"/>
    <cellStyle name="Финансовый 32 5" xfId="52746"/>
    <cellStyle name="Финансовый 32 5 2" xfId="52747"/>
    <cellStyle name="Финансовый 32 6" xfId="52748"/>
    <cellStyle name="Финансовый 32 6 2" xfId="52749"/>
    <cellStyle name="Финансовый 32 7" xfId="52750"/>
    <cellStyle name="Финансовый 32 8" xfId="52751"/>
    <cellStyle name="Финансовый 33" xfId="52752"/>
    <cellStyle name="Финансовый 33 2" xfId="52753"/>
    <cellStyle name="Финансовый 33 2 2" xfId="52754"/>
    <cellStyle name="Финансовый 33 2 2 2" xfId="52755"/>
    <cellStyle name="Финансовый 33 2 2 2 2" xfId="52756"/>
    <cellStyle name="Финансовый 33 2 2 2 2 2" xfId="52757"/>
    <cellStyle name="Финансовый 33 2 2 2 3" xfId="52758"/>
    <cellStyle name="Финансовый 33 2 2 3" xfId="52759"/>
    <cellStyle name="Финансовый 33 2 2 3 2" xfId="52760"/>
    <cellStyle name="Финансовый 33 2 2 3 2 2" xfId="52761"/>
    <cellStyle name="Финансовый 33 2 2 3 3" xfId="52762"/>
    <cellStyle name="Финансовый 33 2 2 4" xfId="52763"/>
    <cellStyle name="Финансовый 33 2 2 4 2" xfId="52764"/>
    <cellStyle name="Финансовый 33 2 2 4 2 2" xfId="52765"/>
    <cellStyle name="Финансовый 33 2 2 4 3" xfId="52766"/>
    <cellStyle name="Финансовый 33 2 2 5" xfId="52767"/>
    <cellStyle name="Финансовый 33 2 2 5 2" xfId="52768"/>
    <cellStyle name="Финансовый 33 2 2 6" xfId="52769"/>
    <cellStyle name="Финансовый 33 2 2 6 2" xfId="52770"/>
    <cellStyle name="Финансовый 33 2 2 7" xfId="52771"/>
    <cellStyle name="Финансовый 33 2 3" xfId="52772"/>
    <cellStyle name="Финансовый 33 2 3 2" xfId="52773"/>
    <cellStyle name="Финансовый 33 2 3 2 2" xfId="52774"/>
    <cellStyle name="Финансовый 33 2 3 3" xfId="52775"/>
    <cellStyle name="Финансовый 33 2 4" xfId="52776"/>
    <cellStyle name="Финансовый 33 2 4 2" xfId="52777"/>
    <cellStyle name="Финансовый 33 2 4 2 2" xfId="52778"/>
    <cellStyle name="Финансовый 33 2 4 3" xfId="52779"/>
    <cellStyle name="Финансовый 33 2 5" xfId="52780"/>
    <cellStyle name="Финансовый 33 2 5 2" xfId="52781"/>
    <cellStyle name="Финансовый 33 2 5 2 2" xfId="52782"/>
    <cellStyle name="Финансовый 33 2 5 3" xfId="52783"/>
    <cellStyle name="Финансовый 33 2 6" xfId="52784"/>
    <cellStyle name="Финансовый 33 2 6 2" xfId="52785"/>
    <cellStyle name="Финансовый 33 2 7" xfId="52786"/>
    <cellStyle name="Финансовый 33 2 7 2" xfId="52787"/>
    <cellStyle name="Финансовый 33 2 8" xfId="52788"/>
    <cellStyle name="Финансовый 33 3" xfId="52789"/>
    <cellStyle name="Финансовый 33 3 2" xfId="52790"/>
    <cellStyle name="Финансовый 33 3 2 2" xfId="52791"/>
    <cellStyle name="Финансовый 33 3 2 2 2" xfId="52792"/>
    <cellStyle name="Финансовый 33 3 2 3" xfId="52793"/>
    <cellStyle name="Финансовый 33 3 3" xfId="52794"/>
    <cellStyle name="Финансовый 33 3 3 2" xfId="52795"/>
    <cellStyle name="Финансовый 33 3 3 2 2" xfId="52796"/>
    <cellStyle name="Финансовый 33 3 3 3" xfId="52797"/>
    <cellStyle name="Финансовый 33 3 4" xfId="52798"/>
    <cellStyle name="Финансовый 33 3 4 2" xfId="52799"/>
    <cellStyle name="Финансовый 33 3 5" xfId="52800"/>
    <cellStyle name="Финансовый 33 3 5 2" xfId="52801"/>
    <cellStyle name="Финансовый 33 3 6" xfId="52802"/>
    <cellStyle name="Финансовый 33 4" xfId="52803"/>
    <cellStyle name="Финансовый 33 4 2" xfId="52804"/>
    <cellStyle name="Финансовый 34" xfId="52805"/>
    <cellStyle name="Финансовый 34 2" xfId="52806"/>
    <cellStyle name="Финансовый 34 2 2" xfId="52807"/>
    <cellStyle name="Финансовый 34 2 2 2" xfId="52808"/>
    <cellStyle name="Финансовый 34 2 3" xfId="52809"/>
    <cellStyle name="Финансовый 34 3" xfId="52810"/>
    <cellStyle name="Финансовый 34 3 2" xfId="52811"/>
    <cellStyle name="Финансовый 34 3 2 2" xfId="52812"/>
    <cellStyle name="Финансовый 34 3 2 2 2" xfId="52813"/>
    <cellStyle name="Финансовый 34 3 2 3" xfId="52814"/>
    <cellStyle name="Финансовый 34 3 3" xfId="52815"/>
    <cellStyle name="Финансовый 34 3 3 2" xfId="52816"/>
    <cellStyle name="Финансовый 34 3 3 2 2" xfId="52817"/>
    <cellStyle name="Финансовый 34 3 3 3" xfId="52818"/>
    <cellStyle name="Финансовый 34 3 4" xfId="52819"/>
    <cellStyle name="Финансовый 34 3 4 2" xfId="52820"/>
    <cellStyle name="Финансовый 34 3 5" xfId="52821"/>
    <cellStyle name="Финансовый 34 3 5 2" xfId="52822"/>
    <cellStyle name="Финансовый 34 3 6" xfId="52823"/>
    <cellStyle name="Финансовый 34 4" xfId="52824"/>
    <cellStyle name="Финансовый 34 4 2" xfId="52825"/>
    <cellStyle name="Финансовый 34 5" xfId="52826"/>
    <cellStyle name="Финансовый 35" xfId="52827"/>
    <cellStyle name="Финансовый 35 2" xfId="52828"/>
    <cellStyle name="Финансовый 35 2 2" xfId="52829"/>
    <cellStyle name="Финансовый 35 2 2 2" xfId="52830"/>
    <cellStyle name="Финансовый 35 2 3" xfId="52831"/>
    <cellStyle name="Финансовый 35 3" xfId="52832"/>
    <cellStyle name="Финансовый 35 3 2" xfId="52833"/>
    <cellStyle name="Финансовый 35 3 2 2" xfId="52834"/>
    <cellStyle name="Финансовый 35 3 2 2 2" xfId="52835"/>
    <cellStyle name="Финансовый 35 3 2 3" xfId="52836"/>
    <cellStyle name="Финансовый 35 3 3" xfId="52837"/>
    <cellStyle name="Финансовый 35 3 3 2" xfId="52838"/>
    <cellStyle name="Финансовый 35 3 3 2 2" xfId="52839"/>
    <cellStyle name="Финансовый 35 3 3 3" xfId="52840"/>
    <cellStyle name="Финансовый 35 3 4" xfId="52841"/>
    <cellStyle name="Финансовый 35 3 4 2" xfId="52842"/>
    <cellStyle name="Финансовый 35 3 5" xfId="52843"/>
    <cellStyle name="Финансовый 35 3 5 2" xfId="52844"/>
    <cellStyle name="Финансовый 35 3 6" xfId="52845"/>
    <cellStyle name="Финансовый 35 4" xfId="52846"/>
    <cellStyle name="Финансовый 35 4 2" xfId="52847"/>
    <cellStyle name="Финансовый 35 5" xfId="52848"/>
    <cellStyle name="Финансовый 36" xfId="52849"/>
    <cellStyle name="Финансовый 36 2" xfId="52850"/>
    <cellStyle name="Финансовый 36 2 2" xfId="52851"/>
    <cellStyle name="Финансовый 36 2 2 2" xfId="52852"/>
    <cellStyle name="Финансовый 36 2 2 2 2" xfId="52853"/>
    <cellStyle name="Финансовый 36 2 2 3" xfId="52854"/>
    <cellStyle name="Финансовый 36 2 2 3 2" xfId="52855"/>
    <cellStyle name="Финансовый 36 2 2 4" xfId="52856"/>
    <cellStyle name="Финансовый 36 2 3" xfId="52857"/>
    <cellStyle name="Финансовый 36 2 3 2" xfId="52858"/>
    <cellStyle name="Финансовый 36 2 4" xfId="52859"/>
    <cellStyle name="Финансовый 36 2 4 2" xfId="52860"/>
    <cellStyle name="Финансовый 36 2 5" xfId="52861"/>
    <cellStyle name="Финансовый 36 3" xfId="52862"/>
    <cellStyle name="Финансовый 36 3 2" xfId="52863"/>
    <cellStyle name="Финансовый 36 3 2 2" xfId="52864"/>
    <cellStyle name="Финансовый 36 3 2 2 2" xfId="52865"/>
    <cellStyle name="Финансовый 36 3 2 3" xfId="52866"/>
    <cellStyle name="Финансовый 36 3 3" xfId="52867"/>
    <cellStyle name="Финансовый 36 3 3 2" xfId="52868"/>
    <cellStyle name="Финансовый 36 3 3 2 2" xfId="52869"/>
    <cellStyle name="Финансовый 36 3 3 3" xfId="52870"/>
    <cellStyle name="Финансовый 36 3 4" xfId="52871"/>
    <cellStyle name="Финансовый 36 3 4 2" xfId="52872"/>
    <cellStyle name="Финансовый 36 3 5" xfId="52873"/>
    <cellStyle name="Финансовый 36 3 5 2" xfId="52874"/>
    <cellStyle name="Финансовый 36 3 6" xfId="52875"/>
    <cellStyle name="Финансовый 36 4" xfId="52876"/>
    <cellStyle name="Финансовый 36 4 2" xfId="52877"/>
    <cellStyle name="Финансовый 37" xfId="52878"/>
    <cellStyle name="Финансовый 37 2" xfId="52879"/>
    <cellStyle name="Финансовый 37 3" xfId="52880"/>
    <cellStyle name="Финансовый 38" xfId="52881"/>
    <cellStyle name="Финансовый 38 2" xfId="52882"/>
    <cellStyle name="Финансовый 38 3" xfId="52883"/>
    <cellStyle name="Финансовый 39" xfId="52884"/>
    <cellStyle name="Финансовый 39 2" xfId="52885"/>
    <cellStyle name="Финансовый 39 2 2" xfId="52886"/>
    <cellStyle name="Финансовый 39 3" xfId="52887"/>
    <cellStyle name="Финансовый 4" xfId="52888"/>
    <cellStyle name="Финансовый 4 2" xfId="52889"/>
    <cellStyle name="Финансовый 4 2 2" xfId="52890"/>
    <cellStyle name="Финансовый 4 3" xfId="52891"/>
    <cellStyle name="Финансовый 4 3 2" xfId="52892"/>
    <cellStyle name="Финансовый 4 4" xfId="52893"/>
    <cellStyle name="Финансовый 4 5" xfId="52894"/>
    <cellStyle name="Финансовый 4 6" xfId="52895"/>
    <cellStyle name="Финансовый 4 6 2" xfId="52896"/>
    <cellStyle name="Финансовый 4 6 3" xfId="52897"/>
    <cellStyle name="Финансовый 4 6 4" xfId="52898"/>
    <cellStyle name="Финансовый 4 7" xfId="52899"/>
    <cellStyle name="Финансовый 4 8" xfId="52900"/>
    <cellStyle name="Финансовый 40" xfId="52901"/>
    <cellStyle name="Финансовый 40 2" xfId="52902"/>
    <cellStyle name="Финансовый 40 2 2" xfId="52903"/>
    <cellStyle name="Финансовый 40 2 2 2" xfId="52904"/>
    <cellStyle name="Финансовый 40 2 2 2 2" xfId="52905"/>
    <cellStyle name="Финансовый 40 2 2 3" xfId="52906"/>
    <cellStyle name="Финансовый 40 2 2 3 2" xfId="52907"/>
    <cellStyle name="Финансовый 40 2 2 4" xfId="52908"/>
    <cellStyle name="Финансовый 40 2 3" xfId="52909"/>
    <cellStyle name="Финансовый 40 2 3 2" xfId="52910"/>
    <cellStyle name="Финансовый 40 2 4" xfId="52911"/>
    <cellStyle name="Финансовый 40 2 4 2" xfId="52912"/>
    <cellStyle name="Финансовый 40 3" xfId="52913"/>
    <cellStyle name="Финансовый 40 3 2" xfId="52914"/>
    <cellStyle name="Финансовый 40 3 2 2" xfId="52915"/>
    <cellStyle name="Финансовый 40 3 2 2 2" xfId="52916"/>
    <cellStyle name="Финансовый 40 3 2 3" xfId="52917"/>
    <cellStyle name="Финансовый 40 3 3" xfId="52918"/>
    <cellStyle name="Финансовый 40 3 3 2" xfId="52919"/>
    <cellStyle name="Финансовый 40 3 4" xfId="52920"/>
    <cellStyle name="Финансовый 40 3 4 2" xfId="52921"/>
    <cellStyle name="Финансовый 40 4" xfId="52922"/>
    <cellStyle name="Финансовый 41" xfId="52923"/>
    <cellStyle name="Финансовый 41 2" xfId="52924"/>
    <cellStyle name="Финансовый 42" xfId="52925"/>
    <cellStyle name="Финансовый 42 2" xfId="52926"/>
    <cellStyle name="Финансовый 42 2 2" xfId="52927"/>
    <cellStyle name="Финансовый 43" xfId="52928"/>
    <cellStyle name="Финансовый 43 2" xfId="52929"/>
    <cellStyle name="Финансовый 44" xfId="52930"/>
    <cellStyle name="Финансовый 44 2" xfId="52931"/>
    <cellStyle name="Финансовый 44 2 2" xfId="52932"/>
    <cellStyle name="Финансовый 44 2 2 2" xfId="52933"/>
    <cellStyle name="Финансовый 44 2 2 2 2" xfId="52934"/>
    <cellStyle name="Финансовый 44 2 2 3" xfId="52935"/>
    <cellStyle name="Финансовый 44 2 2 3 2" xfId="52936"/>
    <cellStyle name="Финансовый 44 2 2 4" xfId="52937"/>
    <cellStyle name="Финансовый 44 2 3" xfId="52938"/>
    <cellStyle name="Финансовый 44 2 3 2" xfId="52939"/>
    <cellStyle name="Финансовый 44 2 4" xfId="52940"/>
    <cellStyle name="Финансовый 44 2 4 2" xfId="52941"/>
    <cellStyle name="Финансовый 45" xfId="52942"/>
    <cellStyle name="Финансовый 45 2" xfId="52943"/>
    <cellStyle name="Финансовый 45 2 2" xfId="52944"/>
    <cellStyle name="Финансовый 45 2 2 2" xfId="52945"/>
    <cellStyle name="Финансовый 45 2 2 2 2" xfId="52946"/>
    <cellStyle name="Финансовый 45 2 2 3" xfId="52947"/>
    <cellStyle name="Финансовый 45 2 2 3 2" xfId="52948"/>
    <cellStyle name="Финансовый 45 2 2 4" xfId="52949"/>
    <cellStyle name="Финансовый 45 2 3" xfId="52950"/>
    <cellStyle name="Финансовый 45 2 3 2" xfId="52951"/>
    <cellStyle name="Финансовый 45 2 4" xfId="52952"/>
    <cellStyle name="Финансовый 45 2 4 2" xfId="52953"/>
    <cellStyle name="Финансовый 46" xfId="52954"/>
    <cellStyle name="Финансовый 46 2" xfId="52955"/>
    <cellStyle name="Финансовый 46 2 2" xfId="52956"/>
    <cellStyle name="Финансовый 46 2 2 2" xfId="52957"/>
    <cellStyle name="Финансовый 46 2 2 2 2" xfId="52958"/>
    <cellStyle name="Финансовый 46 2 2 3" xfId="52959"/>
    <cellStyle name="Финансовый 46 2 2 3 2" xfId="52960"/>
    <cellStyle name="Финансовый 46 2 2 4" xfId="52961"/>
    <cellStyle name="Финансовый 46 2 3" xfId="52962"/>
    <cellStyle name="Финансовый 46 2 3 2" xfId="52963"/>
    <cellStyle name="Финансовый 46 2 4" xfId="52964"/>
    <cellStyle name="Финансовый 46 2 4 2" xfId="52965"/>
    <cellStyle name="Финансовый 47" xfId="52966"/>
    <cellStyle name="Финансовый 47 2" xfId="52967"/>
    <cellStyle name="Финансовый 47 2 2" xfId="52968"/>
    <cellStyle name="Финансовый 47 2 2 2" xfId="52969"/>
    <cellStyle name="Финансовый 47 2 2 2 2" xfId="52970"/>
    <cellStyle name="Финансовый 47 2 2 3" xfId="52971"/>
    <cellStyle name="Финансовый 47 2 2 3 2" xfId="52972"/>
    <cellStyle name="Финансовый 47 2 2 4" xfId="52973"/>
    <cellStyle name="Финансовый 47 2 3" xfId="52974"/>
    <cellStyle name="Финансовый 47 2 3 2" xfId="52975"/>
    <cellStyle name="Финансовый 47 2 4" xfId="52976"/>
    <cellStyle name="Финансовый 47 2 4 2" xfId="52977"/>
    <cellStyle name="Финансовый 48" xfId="52978"/>
    <cellStyle name="Финансовый 48 2" xfId="52979"/>
    <cellStyle name="Финансовый 48 2 2" xfId="52980"/>
    <cellStyle name="Финансовый 48 2 2 2" xfId="52981"/>
    <cellStyle name="Финансовый 48 2 2 2 2" xfId="52982"/>
    <cellStyle name="Финансовый 48 2 2 3" xfId="52983"/>
    <cellStyle name="Финансовый 48 2 2 3 2" xfId="52984"/>
    <cellStyle name="Финансовый 48 2 2 4" xfId="52985"/>
    <cellStyle name="Финансовый 48 2 3" xfId="52986"/>
    <cellStyle name="Финансовый 48 2 3 2" xfId="52987"/>
    <cellStyle name="Финансовый 48 2 4" xfId="52988"/>
    <cellStyle name="Финансовый 48 2 4 2" xfId="52989"/>
    <cellStyle name="Финансовый 49" xfId="52990"/>
    <cellStyle name="Финансовый 49 2" xfId="52991"/>
    <cellStyle name="Финансовый 5" xfId="52992"/>
    <cellStyle name="Финансовый 5 10" xfId="52993"/>
    <cellStyle name="Финансовый 5 10 2" xfId="52994"/>
    <cellStyle name="Финансовый 5 10 2 2" xfId="52995"/>
    <cellStyle name="Финансовый 5 11" xfId="52996"/>
    <cellStyle name="Финансовый 5 11 2" xfId="52997"/>
    <cellStyle name="Финансовый 5 11 2 2" xfId="52998"/>
    <cellStyle name="Финансовый 5 11 3" xfId="52999"/>
    <cellStyle name="Финансовый 5 12" xfId="53000"/>
    <cellStyle name="Финансовый 5 12 2" xfId="53001"/>
    <cellStyle name="Финансовый 5 13" xfId="53002"/>
    <cellStyle name="Финансовый 5 14" xfId="53003"/>
    <cellStyle name="Финансовый 5 2" xfId="53004"/>
    <cellStyle name="Финансовый 5 2 2" xfId="53005"/>
    <cellStyle name="Финансовый 5 3" xfId="53006"/>
    <cellStyle name="Финансовый 5 3 2" xfId="53007"/>
    <cellStyle name="Финансовый 5 4" xfId="53008"/>
    <cellStyle name="Финансовый 5 4 10" xfId="53009"/>
    <cellStyle name="Финансовый 5 4 10 2" xfId="53010"/>
    <cellStyle name="Финансовый 5 4 11" xfId="53011"/>
    <cellStyle name="Финансовый 5 4 2" xfId="53012"/>
    <cellStyle name="Финансовый 5 4 2 2" xfId="53013"/>
    <cellStyle name="Финансовый 5 4 2 2 2" xfId="53014"/>
    <cellStyle name="Финансовый 5 4 2 2 2 2" xfId="53015"/>
    <cellStyle name="Финансовый 5 4 2 2 2 2 2" xfId="53016"/>
    <cellStyle name="Финансовый 5 4 2 2 2 2 2 2" xfId="53017"/>
    <cellStyle name="Финансовый 5 4 2 2 2 2 3" xfId="53018"/>
    <cellStyle name="Финансовый 5 4 2 2 2 3" xfId="53019"/>
    <cellStyle name="Финансовый 5 4 2 2 2 3 2" xfId="53020"/>
    <cellStyle name="Финансовый 5 4 2 2 2 3 2 2" xfId="53021"/>
    <cellStyle name="Финансовый 5 4 2 2 2 3 3" xfId="53022"/>
    <cellStyle name="Финансовый 5 4 2 2 2 4" xfId="53023"/>
    <cellStyle name="Финансовый 5 4 2 2 2 4 2" xfId="53024"/>
    <cellStyle name="Финансовый 5 4 2 2 2 5" xfId="53025"/>
    <cellStyle name="Финансовый 5 4 2 2 2 5 2" xfId="53026"/>
    <cellStyle name="Финансовый 5 4 2 2 2 6" xfId="53027"/>
    <cellStyle name="Финансовый 5 4 2 2 3" xfId="53028"/>
    <cellStyle name="Финансовый 5 4 2 2 3 2" xfId="53029"/>
    <cellStyle name="Финансовый 5 4 2 2 3 2 2" xfId="53030"/>
    <cellStyle name="Финансовый 5 4 2 2 3 2 2 2" xfId="53031"/>
    <cellStyle name="Финансовый 5 4 2 2 3 2 3" xfId="53032"/>
    <cellStyle name="Финансовый 5 4 2 2 3 3" xfId="53033"/>
    <cellStyle name="Финансовый 5 4 2 2 3 3 2" xfId="53034"/>
    <cellStyle name="Финансовый 5 4 2 2 3 3 2 2" xfId="53035"/>
    <cellStyle name="Финансовый 5 4 2 2 3 3 3" xfId="53036"/>
    <cellStyle name="Финансовый 5 4 2 2 3 4" xfId="53037"/>
    <cellStyle name="Финансовый 5 4 2 2 3 4 2" xfId="53038"/>
    <cellStyle name="Финансовый 5 4 2 2 3 5" xfId="53039"/>
    <cellStyle name="Финансовый 5 4 2 2 3 5 2" xfId="53040"/>
    <cellStyle name="Финансовый 5 4 2 2 3 6" xfId="53041"/>
    <cellStyle name="Финансовый 5 4 2 2 4" xfId="53042"/>
    <cellStyle name="Финансовый 5 4 2 2 4 2" xfId="53043"/>
    <cellStyle name="Финансовый 5 4 2 2 4 2 2" xfId="53044"/>
    <cellStyle name="Финансовый 5 4 2 2 4 3" xfId="53045"/>
    <cellStyle name="Финансовый 5 4 2 2 5" xfId="53046"/>
    <cellStyle name="Финансовый 5 4 2 2 5 2" xfId="53047"/>
    <cellStyle name="Финансовый 5 4 2 2 5 2 2" xfId="53048"/>
    <cellStyle name="Финансовый 5 4 2 2 5 3" xfId="53049"/>
    <cellStyle name="Финансовый 5 4 2 2 6" xfId="53050"/>
    <cellStyle name="Финансовый 5 4 2 2 6 2" xfId="53051"/>
    <cellStyle name="Финансовый 5 4 2 2 7" xfId="53052"/>
    <cellStyle name="Финансовый 5 4 2 2 7 2" xfId="53053"/>
    <cellStyle name="Финансовый 5 4 2 2 8" xfId="53054"/>
    <cellStyle name="Финансовый 5 4 2 3" xfId="53055"/>
    <cellStyle name="Финансовый 5 4 2 3 2" xfId="53056"/>
    <cellStyle name="Финансовый 5 4 2 3 2 2" xfId="53057"/>
    <cellStyle name="Финансовый 5 4 2 3 2 2 2" xfId="53058"/>
    <cellStyle name="Финансовый 5 4 2 3 2 3" xfId="53059"/>
    <cellStyle name="Финансовый 5 4 2 3 2 3 2" xfId="53060"/>
    <cellStyle name="Финансовый 5 4 2 3 2 4" xfId="53061"/>
    <cellStyle name="Финансовый 5 4 2 3 3" xfId="53062"/>
    <cellStyle name="Финансовый 5 4 2 3 3 2" xfId="53063"/>
    <cellStyle name="Финансовый 5 4 2 3 3 2 2" xfId="53064"/>
    <cellStyle name="Финансовый 5 4 2 3 3 3" xfId="53065"/>
    <cellStyle name="Финансовый 5 4 2 3 4" xfId="53066"/>
    <cellStyle name="Финансовый 5 4 2 3 4 2" xfId="53067"/>
    <cellStyle name="Финансовый 5 4 2 3 5" xfId="53068"/>
    <cellStyle name="Финансовый 5 4 2 3 5 2" xfId="53069"/>
    <cellStyle name="Финансовый 5 4 2 3 6" xfId="53070"/>
    <cellStyle name="Финансовый 5 4 2 4" xfId="53071"/>
    <cellStyle name="Финансовый 5 4 2 4 2" xfId="53072"/>
    <cellStyle name="Финансовый 5 4 2 4 2 2" xfId="53073"/>
    <cellStyle name="Финансовый 5 4 2 4 2 2 2" xfId="53074"/>
    <cellStyle name="Финансовый 5 4 2 4 2 3" xfId="53075"/>
    <cellStyle name="Финансовый 5 4 2 4 3" xfId="53076"/>
    <cellStyle name="Финансовый 5 4 2 4 3 2" xfId="53077"/>
    <cellStyle name="Финансовый 5 4 2 4 3 2 2" xfId="53078"/>
    <cellStyle name="Финансовый 5 4 2 4 3 3" xfId="53079"/>
    <cellStyle name="Финансовый 5 4 2 4 4" xfId="53080"/>
    <cellStyle name="Финансовый 5 4 2 4 4 2" xfId="53081"/>
    <cellStyle name="Финансовый 5 4 2 4 5" xfId="53082"/>
    <cellStyle name="Финансовый 5 4 2 4 5 2" xfId="53083"/>
    <cellStyle name="Финансовый 5 4 2 4 6" xfId="53084"/>
    <cellStyle name="Финансовый 5 4 2 5" xfId="53085"/>
    <cellStyle name="Финансовый 5 4 2 5 2" xfId="53086"/>
    <cellStyle name="Финансовый 5 4 2 5 2 2" xfId="53087"/>
    <cellStyle name="Финансовый 5 4 2 5 3" xfId="53088"/>
    <cellStyle name="Финансовый 5 4 2 6" xfId="53089"/>
    <cellStyle name="Финансовый 5 4 2 6 2" xfId="53090"/>
    <cellStyle name="Финансовый 5 4 2 6 2 2" xfId="53091"/>
    <cellStyle name="Финансовый 5 4 2 6 3" xfId="53092"/>
    <cellStyle name="Финансовый 5 4 2 7" xfId="53093"/>
    <cellStyle name="Финансовый 5 4 2 7 2" xfId="53094"/>
    <cellStyle name="Финансовый 5 4 2 8" xfId="53095"/>
    <cellStyle name="Финансовый 5 4 2 8 2" xfId="53096"/>
    <cellStyle name="Финансовый 5 4 2 9" xfId="53097"/>
    <cellStyle name="Финансовый 5 4 3" xfId="53098"/>
    <cellStyle name="Финансовый 5 4 3 2" xfId="53099"/>
    <cellStyle name="Финансовый 5 4 3 2 2" xfId="53100"/>
    <cellStyle name="Финансовый 5 4 3 2 2 2" xfId="53101"/>
    <cellStyle name="Финансовый 5 4 3 2 2 2 2" xfId="53102"/>
    <cellStyle name="Финансовый 5 4 3 2 2 3" xfId="53103"/>
    <cellStyle name="Финансовый 5 4 3 2 2 3 2" xfId="53104"/>
    <cellStyle name="Финансовый 5 4 3 2 2 4" xfId="53105"/>
    <cellStyle name="Финансовый 5 4 3 2 3" xfId="53106"/>
    <cellStyle name="Финансовый 5 4 3 2 3 2" xfId="53107"/>
    <cellStyle name="Финансовый 5 4 3 2 3 2 2" xfId="53108"/>
    <cellStyle name="Финансовый 5 4 3 2 3 3" xfId="53109"/>
    <cellStyle name="Финансовый 5 4 3 2 4" xfId="53110"/>
    <cellStyle name="Финансовый 5 4 3 2 4 2" xfId="53111"/>
    <cellStyle name="Финансовый 5 4 3 2 5" xfId="53112"/>
    <cellStyle name="Финансовый 5 4 3 2 5 2" xfId="53113"/>
    <cellStyle name="Финансовый 5 4 3 2 6" xfId="53114"/>
    <cellStyle name="Финансовый 5 4 3 3" xfId="53115"/>
    <cellStyle name="Финансовый 5 4 3 3 2" xfId="53116"/>
    <cellStyle name="Финансовый 5 4 3 3 2 2" xfId="53117"/>
    <cellStyle name="Финансовый 5 4 3 3 2 2 2" xfId="53118"/>
    <cellStyle name="Финансовый 5 4 3 3 2 3" xfId="53119"/>
    <cellStyle name="Финансовый 5 4 3 3 3" xfId="53120"/>
    <cellStyle name="Финансовый 5 4 3 3 3 2" xfId="53121"/>
    <cellStyle name="Финансовый 5 4 3 3 3 2 2" xfId="53122"/>
    <cellStyle name="Финансовый 5 4 3 3 3 3" xfId="53123"/>
    <cellStyle name="Финансовый 5 4 3 3 4" xfId="53124"/>
    <cellStyle name="Финансовый 5 4 3 3 4 2" xfId="53125"/>
    <cellStyle name="Финансовый 5 4 3 3 5" xfId="53126"/>
    <cellStyle name="Финансовый 5 4 3 3 5 2" xfId="53127"/>
    <cellStyle name="Финансовый 5 4 3 3 6" xfId="53128"/>
    <cellStyle name="Финансовый 5 4 3 4" xfId="53129"/>
    <cellStyle name="Финансовый 5 4 3 4 2" xfId="53130"/>
    <cellStyle name="Финансовый 5 4 3 4 2 2" xfId="53131"/>
    <cellStyle name="Финансовый 5 4 3 4 3" xfId="53132"/>
    <cellStyle name="Финансовый 5 4 3 4 3 2" xfId="53133"/>
    <cellStyle name="Финансовый 5 4 3 4 4" xfId="53134"/>
    <cellStyle name="Финансовый 5 4 3 5" xfId="53135"/>
    <cellStyle name="Финансовый 5 4 3 5 2" xfId="53136"/>
    <cellStyle name="Финансовый 5 4 3 5 2 2" xfId="53137"/>
    <cellStyle name="Финансовый 5 4 3 5 3" xfId="53138"/>
    <cellStyle name="Финансовый 5 4 3 6" xfId="53139"/>
    <cellStyle name="Финансовый 5 4 3 6 2" xfId="53140"/>
    <cellStyle name="Финансовый 5 4 3 7" xfId="53141"/>
    <cellStyle name="Финансовый 5 4 3 7 2" xfId="53142"/>
    <cellStyle name="Финансовый 5 4 3 8" xfId="53143"/>
    <cellStyle name="Финансовый 5 4 4" xfId="53144"/>
    <cellStyle name="Финансовый 5 4 4 2" xfId="53145"/>
    <cellStyle name="Финансовый 5 4 4 2 2" xfId="53146"/>
    <cellStyle name="Финансовый 5 4 4 2 2 2" xfId="53147"/>
    <cellStyle name="Финансовый 5 4 4 2 2 2 2" xfId="53148"/>
    <cellStyle name="Финансовый 5 4 4 2 2 3" xfId="53149"/>
    <cellStyle name="Финансовый 5 4 4 2 3" xfId="53150"/>
    <cellStyle name="Финансовый 5 4 4 2 3 2" xfId="53151"/>
    <cellStyle name="Финансовый 5 4 4 2 3 2 2" xfId="53152"/>
    <cellStyle name="Финансовый 5 4 4 2 3 3" xfId="53153"/>
    <cellStyle name="Финансовый 5 4 4 2 4" xfId="53154"/>
    <cellStyle name="Финансовый 5 4 4 2 4 2" xfId="53155"/>
    <cellStyle name="Финансовый 5 4 4 2 5" xfId="53156"/>
    <cellStyle name="Финансовый 5 4 4 2 5 2" xfId="53157"/>
    <cellStyle name="Финансовый 5 4 4 2 6" xfId="53158"/>
    <cellStyle name="Финансовый 5 4 4 3" xfId="53159"/>
    <cellStyle name="Финансовый 5 4 4 3 2" xfId="53160"/>
    <cellStyle name="Финансовый 5 4 4 3 2 2" xfId="53161"/>
    <cellStyle name="Финансовый 5 4 4 3 2 2 2" xfId="53162"/>
    <cellStyle name="Финансовый 5 4 4 3 2 3" xfId="53163"/>
    <cellStyle name="Финансовый 5 4 4 3 3" xfId="53164"/>
    <cellStyle name="Финансовый 5 4 4 3 3 2" xfId="53165"/>
    <cellStyle name="Финансовый 5 4 4 3 3 2 2" xfId="53166"/>
    <cellStyle name="Финансовый 5 4 4 3 3 3" xfId="53167"/>
    <cellStyle name="Финансовый 5 4 4 3 4" xfId="53168"/>
    <cellStyle name="Финансовый 5 4 4 3 4 2" xfId="53169"/>
    <cellStyle name="Финансовый 5 4 4 3 5" xfId="53170"/>
    <cellStyle name="Финансовый 5 4 4 4" xfId="53171"/>
    <cellStyle name="Финансовый 5 4 4 5" xfId="53172"/>
    <cellStyle name="Финансовый 5 4 4 5 2" xfId="53173"/>
    <cellStyle name="Финансовый 5 4 4 6" xfId="53174"/>
    <cellStyle name="Финансовый 5 4 5" xfId="53175"/>
    <cellStyle name="Финансовый 5 4 5 2" xfId="53176"/>
    <cellStyle name="Финансовый 5 4 5 2 2" xfId="53177"/>
    <cellStyle name="Финансовый 5 4 5 2 2 2" xfId="53178"/>
    <cellStyle name="Финансовый 5 4 5 2 3" xfId="53179"/>
    <cellStyle name="Финансовый 5 4 5 3" xfId="53180"/>
    <cellStyle name="Финансовый 5 4 5 3 2" xfId="53181"/>
    <cellStyle name="Финансовый 5 4 5 3 2 2" xfId="53182"/>
    <cellStyle name="Финансовый 5 4 5 3 3" xfId="53183"/>
    <cellStyle name="Финансовый 5 4 5 4" xfId="53184"/>
    <cellStyle name="Финансовый 5 4 5 4 2" xfId="53185"/>
    <cellStyle name="Финансовый 5 4 5 5" xfId="53186"/>
    <cellStyle name="Финансовый 5 4 5 5 2" xfId="53187"/>
    <cellStyle name="Финансовый 5 4 5 6" xfId="53188"/>
    <cellStyle name="Финансовый 5 4 6" xfId="53189"/>
    <cellStyle name="Финансовый 5 4 6 2" xfId="53190"/>
    <cellStyle name="Финансовый 5 4 6 2 2" xfId="53191"/>
    <cellStyle name="Финансовый 5 4 6 2 2 2" xfId="53192"/>
    <cellStyle name="Финансовый 5 4 6 2 3" xfId="53193"/>
    <cellStyle name="Финансовый 5 4 6 3" xfId="53194"/>
    <cellStyle name="Финансовый 5 4 6 3 2" xfId="53195"/>
    <cellStyle name="Финансовый 5 4 6 3 2 2" xfId="53196"/>
    <cellStyle name="Финансовый 5 4 6 3 3" xfId="53197"/>
    <cellStyle name="Финансовый 5 4 6 4" xfId="53198"/>
    <cellStyle name="Финансовый 5 4 6 4 2" xfId="53199"/>
    <cellStyle name="Финансовый 5 4 6 5" xfId="53200"/>
    <cellStyle name="Финансовый 5 4 6 5 2" xfId="53201"/>
    <cellStyle name="Финансовый 5 4 6 6" xfId="53202"/>
    <cellStyle name="Финансовый 5 4 7" xfId="53203"/>
    <cellStyle name="Финансовый 5 4 7 2" xfId="53204"/>
    <cellStyle name="Финансовый 5 4 7 2 2" xfId="53205"/>
    <cellStyle name="Финансовый 5 4 7 3" xfId="53206"/>
    <cellStyle name="Финансовый 5 4 8" xfId="53207"/>
    <cellStyle name="Финансовый 5 4 8 2" xfId="53208"/>
    <cellStyle name="Финансовый 5 4 8 2 2" xfId="53209"/>
    <cellStyle name="Финансовый 5 4 8 3" xfId="53210"/>
    <cellStyle name="Финансовый 5 4 9" xfId="53211"/>
    <cellStyle name="Финансовый 5 4 9 2" xfId="53212"/>
    <cellStyle name="Финансовый 5 5" xfId="53213"/>
    <cellStyle name="Финансовый 5 5 10" xfId="53214"/>
    <cellStyle name="Финансовый 5 5 2" xfId="53215"/>
    <cellStyle name="Финансовый 5 5 2 2" xfId="53216"/>
    <cellStyle name="Финансовый 5 5 2 2 2" xfId="53217"/>
    <cellStyle name="Финансовый 5 5 2 2 2 2" xfId="53218"/>
    <cellStyle name="Финансовый 5 5 2 2 2 2 2" xfId="53219"/>
    <cellStyle name="Финансовый 5 5 2 2 2 3" xfId="53220"/>
    <cellStyle name="Финансовый 5 5 2 2 3" xfId="53221"/>
    <cellStyle name="Финансовый 5 5 2 2 3 2" xfId="53222"/>
    <cellStyle name="Финансовый 5 5 2 2 3 2 2" xfId="53223"/>
    <cellStyle name="Финансовый 5 5 2 2 3 3" xfId="53224"/>
    <cellStyle name="Финансовый 5 5 2 2 4" xfId="53225"/>
    <cellStyle name="Финансовый 5 5 2 2 4 2" xfId="53226"/>
    <cellStyle name="Финансовый 5 5 2 2 5" xfId="53227"/>
    <cellStyle name="Финансовый 5 5 2 2 5 2" xfId="53228"/>
    <cellStyle name="Финансовый 5 5 2 2 6" xfId="53229"/>
    <cellStyle name="Финансовый 5 5 2 3" xfId="53230"/>
    <cellStyle name="Финансовый 5 5 2 3 2" xfId="53231"/>
    <cellStyle name="Финансовый 5 5 2 3 2 2" xfId="53232"/>
    <cellStyle name="Финансовый 5 5 2 3 2 2 2" xfId="53233"/>
    <cellStyle name="Финансовый 5 5 2 3 2 3" xfId="53234"/>
    <cellStyle name="Финансовый 5 5 2 3 3" xfId="53235"/>
    <cellStyle name="Финансовый 5 5 2 3 3 2" xfId="53236"/>
    <cellStyle name="Финансовый 5 5 2 3 3 2 2" xfId="53237"/>
    <cellStyle name="Финансовый 5 5 2 3 3 3" xfId="53238"/>
    <cellStyle name="Финансовый 5 5 2 3 4" xfId="53239"/>
    <cellStyle name="Финансовый 5 5 2 3 4 2" xfId="53240"/>
    <cellStyle name="Финансовый 5 5 2 3 5" xfId="53241"/>
    <cellStyle name="Финансовый 5 5 2 3 5 2" xfId="53242"/>
    <cellStyle name="Финансовый 5 5 2 3 6" xfId="53243"/>
    <cellStyle name="Финансовый 5 5 2 4" xfId="53244"/>
    <cellStyle name="Финансовый 5 5 2 4 2" xfId="53245"/>
    <cellStyle name="Финансовый 5 5 2 4 2 2" xfId="53246"/>
    <cellStyle name="Финансовый 5 5 2 4 3" xfId="53247"/>
    <cellStyle name="Финансовый 5 5 2 4 3 2" xfId="53248"/>
    <cellStyle name="Финансовый 5 5 2 4 4" xfId="53249"/>
    <cellStyle name="Финансовый 5 5 2 5" xfId="53250"/>
    <cellStyle name="Финансовый 5 5 2 5 2" xfId="53251"/>
    <cellStyle name="Финансовый 5 5 2 5 2 2" xfId="53252"/>
    <cellStyle name="Финансовый 5 5 2 6" xfId="53253"/>
    <cellStyle name="Финансовый 5 5 2 6 2" xfId="53254"/>
    <cellStyle name="Финансовый 5 5 2 7" xfId="53255"/>
    <cellStyle name="Финансовый 5 5 2 8" xfId="53256"/>
    <cellStyle name="Финансовый 5 5 3" xfId="53257"/>
    <cellStyle name="Финансовый 5 5 3 2" xfId="53258"/>
    <cellStyle name="Финансовый 5 5 3 2 2" xfId="53259"/>
    <cellStyle name="Финансовый 5 5 3 2 2 2" xfId="53260"/>
    <cellStyle name="Финансовый 5 5 3 2 2 2 2" xfId="53261"/>
    <cellStyle name="Финансовый 5 5 3 2 2 3" xfId="53262"/>
    <cellStyle name="Финансовый 5 5 3 2 3" xfId="53263"/>
    <cellStyle name="Финансовый 5 5 3 2 3 2" xfId="53264"/>
    <cellStyle name="Финансовый 5 5 3 2 3 2 2" xfId="53265"/>
    <cellStyle name="Финансовый 5 5 3 2 3 3" xfId="53266"/>
    <cellStyle name="Финансовый 5 5 3 2 4" xfId="53267"/>
    <cellStyle name="Финансовый 5 5 3 2 4 2" xfId="53268"/>
    <cellStyle name="Финансовый 5 5 3 2 5" xfId="53269"/>
    <cellStyle name="Финансовый 5 5 3 2 5 2" xfId="53270"/>
    <cellStyle name="Финансовый 5 5 3 2 6" xfId="53271"/>
    <cellStyle name="Финансовый 5 5 3 3" xfId="53272"/>
    <cellStyle name="Финансовый 5 5 3 3 2" xfId="53273"/>
    <cellStyle name="Финансовый 5 5 3 3 2 2" xfId="53274"/>
    <cellStyle name="Финансовый 5 5 3 3 2 2 2" xfId="53275"/>
    <cellStyle name="Финансовый 5 5 3 3 2 3" xfId="53276"/>
    <cellStyle name="Финансовый 5 5 3 3 3" xfId="53277"/>
    <cellStyle name="Финансовый 5 5 3 3 3 2" xfId="53278"/>
    <cellStyle name="Финансовый 5 5 3 3 3 2 2" xfId="53279"/>
    <cellStyle name="Финансовый 5 5 3 3 3 3" xfId="53280"/>
    <cellStyle name="Финансовый 5 5 3 3 4" xfId="53281"/>
    <cellStyle name="Финансовый 5 5 3 3 4 2" xfId="53282"/>
    <cellStyle name="Финансовый 5 5 3 3 5" xfId="53283"/>
    <cellStyle name="Финансовый 5 5 3 4" xfId="53284"/>
    <cellStyle name="Финансовый 5 5 3 5" xfId="53285"/>
    <cellStyle name="Финансовый 5 5 3 5 2" xfId="53286"/>
    <cellStyle name="Финансовый 5 5 3 6" xfId="53287"/>
    <cellStyle name="Финансовый 5 5 4" xfId="53288"/>
    <cellStyle name="Финансовый 5 5 4 2" xfId="53289"/>
    <cellStyle name="Финансовый 5 5 4 2 2" xfId="53290"/>
    <cellStyle name="Финансовый 5 5 4 2 2 2" xfId="53291"/>
    <cellStyle name="Финансовый 5 5 4 2 3" xfId="53292"/>
    <cellStyle name="Финансовый 5 5 4 3" xfId="53293"/>
    <cellStyle name="Финансовый 5 5 4 3 2" xfId="53294"/>
    <cellStyle name="Финансовый 5 5 4 3 2 2" xfId="53295"/>
    <cellStyle name="Финансовый 5 5 4 3 3" xfId="53296"/>
    <cellStyle name="Финансовый 5 5 4 4" xfId="53297"/>
    <cellStyle name="Финансовый 5 5 4 4 2" xfId="53298"/>
    <cellStyle name="Финансовый 5 5 4 5" xfId="53299"/>
    <cellStyle name="Финансовый 5 5 4 5 2" xfId="53300"/>
    <cellStyle name="Финансовый 5 5 4 6" xfId="53301"/>
    <cellStyle name="Финансовый 5 5 5" xfId="53302"/>
    <cellStyle name="Финансовый 5 5 5 2" xfId="53303"/>
    <cellStyle name="Финансовый 5 5 5 2 2" xfId="53304"/>
    <cellStyle name="Финансовый 5 5 5 2 2 2" xfId="53305"/>
    <cellStyle name="Финансовый 5 5 5 2 3" xfId="53306"/>
    <cellStyle name="Финансовый 5 5 5 3" xfId="53307"/>
    <cellStyle name="Финансовый 5 5 5 3 2" xfId="53308"/>
    <cellStyle name="Финансовый 5 5 5 3 2 2" xfId="53309"/>
    <cellStyle name="Финансовый 5 5 5 3 3" xfId="53310"/>
    <cellStyle name="Финансовый 5 5 5 4" xfId="53311"/>
    <cellStyle name="Финансовый 5 5 5 4 2" xfId="53312"/>
    <cellStyle name="Финансовый 5 5 5 5" xfId="53313"/>
    <cellStyle name="Финансовый 5 5 5 5 2" xfId="53314"/>
    <cellStyle name="Финансовый 5 5 5 6" xfId="53315"/>
    <cellStyle name="Финансовый 5 5 6" xfId="53316"/>
    <cellStyle name="Финансовый 5 5 6 2" xfId="53317"/>
    <cellStyle name="Финансовый 5 5 6 2 2" xfId="53318"/>
    <cellStyle name="Финансовый 5 5 6 3" xfId="53319"/>
    <cellStyle name="Финансовый 5 5 7" xfId="53320"/>
    <cellStyle name="Финансовый 5 5 7 2" xfId="53321"/>
    <cellStyle name="Финансовый 5 5 7 2 2" xfId="53322"/>
    <cellStyle name="Финансовый 5 5 7 3" xfId="53323"/>
    <cellStyle name="Финансовый 5 5 8" xfId="53324"/>
    <cellStyle name="Финансовый 5 5 8 2" xfId="53325"/>
    <cellStyle name="Финансовый 5 5 9" xfId="53326"/>
    <cellStyle name="Финансовый 5 5 9 2" xfId="53327"/>
    <cellStyle name="Финансовый 5 6" xfId="53328"/>
    <cellStyle name="Финансовый 5 6 2" xfId="53329"/>
    <cellStyle name="Финансовый 5 6 2 2" xfId="53330"/>
    <cellStyle name="Финансовый 5 6 2 2 2" xfId="53331"/>
    <cellStyle name="Финансовый 5 6 2 3" xfId="53332"/>
    <cellStyle name="Финансовый 5 6 2 3 2" xfId="53333"/>
    <cellStyle name="Финансовый 5 6 2 4" xfId="53334"/>
    <cellStyle name="Финансовый 5 6 3" xfId="53335"/>
    <cellStyle name="Финансовый 5 6 3 2" xfId="53336"/>
    <cellStyle name="Финансовый 5 6 3 2 2" xfId="53337"/>
    <cellStyle name="Финансовый 5 6 3 2 2 2" xfId="53338"/>
    <cellStyle name="Финансовый 5 6 3 2 3" xfId="53339"/>
    <cellStyle name="Финансовый 5 6 3 3" xfId="53340"/>
    <cellStyle name="Финансовый 5 6 3 3 2" xfId="53341"/>
    <cellStyle name="Финансовый 5 6 3 3 2 2" xfId="53342"/>
    <cellStyle name="Финансовый 5 6 3 3 3" xfId="53343"/>
    <cellStyle name="Финансовый 5 6 3 4" xfId="53344"/>
    <cellStyle name="Финансовый 5 6 3 4 2" xfId="53345"/>
    <cellStyle name="Финансовый 5 6 3 5" xfId="53346"/>
    <cellStyle name="Финансовый 5 6 3 6" xfId="53347"/>
    <cellStyle name="Финансовый 5 6 4" xfId="53348"/>
    <cellStyle name="Финансовый 5 6 4 2" xfId="53349"/>
    <cellStyle name="Финансовый 5 6 4 2 2" xfId="53350"/>
    <cellStyle name="Финансовый 5 6 4 3" xfId="53351"/>
    <cellStyle name="Финансовый 5 6 4 3 2" xfId="53352"/>
    <cellStyle name="Финансовый 5 6 4 4" xfId="53353"/>
    <cellStyle name="Финансовый 5 6 5" xfId="53354"/>
    <cellStyle name="Финансовый 5 6 5 2" xfId="53355"/>
    <cellStyle name="Финансовый 5 6 5 2 2" xfId="53356"/>
    <cellStyle name="Финансовый 5 6 5 3" xfId="53357"/>
    <cellStyle name="Финансовый 5 6 6" xfId="53358"/>
    <cellStyle name="Финансовый 5 6 6 2" xfId="53359"/>
    <cellStyle name="Финансовый 5 6 7" xfId="53360"/>
    <cellStyle name="Финансовый 5 6 7 2" xfId="53361"/>
    <cellStyle name="Финансовый 5 7" xfId="53362"/>
    <cellStyle name="Финансовый 5 7 2" xfId="53363"/>
    <cellStyle name="Финансовый 5 7 2 2" xfId="53364"/>
    <cellStyle name="Финансовый 5 7 2 2 2" xfId="53365"/>
    <cellStyle name="Финансовый 5 7 2 2 2 2" xfId="53366"/>
    <cellStyle name="Финансовый 5 7 2 2 3" xfId="53367"/>
    <cellStyle name="Финансовый 5 7 2 3" xfId="53368"/>
    <cellStyle name="Финансовый 5 7 2 3 2" xfId="53369"/>
    <cellStyle name="Финансовый 5 7 2 3 2 2" xfId="53370"/>
    <cellStyle name="Финансовый 5 7 2 3 3" xfId="53371"/>
    <cellStyle name="Финансовый 5 7 2 4" xfId="53372"/>
    <cellStyle name="Финансовый 5 7 2 4 2" xfId="53373"/>
    <cellStyle name="Финансовый 5 7 2 5" xfId="53374"/>
    <cellStyle name="Финансовый 5 7 2 5 2" xfId="53375"/>
    <cellStyle name="Финансовый 5 7 2 6" xfId="53376"/>
    <cellStyle name="Финансовый 5 7 3" xfId="53377"/>
    <cellStyle name="Финансовый 5 7 3 2" xfId="53378"/>
    <cellStyle name="Финансовый 5 7 3 2 2" xfId="53379"/>
    <cellStyle name="Финансовый 5 7 3 2 2 2" xfId="53380"/>
    <cellStyle name="Финансовый 5 7 3 2 3" xfId="53381"/>
    <cellStyle name="Финансовый 5 7 3 3" xfId="53382"/>
    <cellStyle name="Финансовый 5 7 3 3 2" xfId="53383"/>
    <cellStyle name="Финансовый 5 7 3 3 2 2" xfId="53384"/>
    <cellStyle name="Финансовый 5 7 3 3 3" xfId="53385"/>
    <cellStyle name="Финансовый 5 7 3 4" xfId="53386"/>
    <cellStyle name="Финансовый 5 7 3 4 2" xfId="53387"/>
    <cellStyle name="Финансовый 5 7 3 5" xfId="53388"/>
    <cellStyle name="Финансовый 5 7 3 5 2" xfId="53389"/>
    <cellStyle name="Финансовый 5 7 3 6" xfId="53390"/>
    <cellStyle name="Финансовый 5 7 4" xfId="53391"/>
    <cellStyle name="Финансовый 5 7 4 2" xfId="53392"/>
    <cellStyle name="Финансовый 5 7 5" xfId="53393"/>
    <cellStyle name="Финансовый 5 7 5 2" xfId="53394"/>
    <cellStyle name="Финансовый 5 7 6" xfId="53395"/>
    <cellStyle name="Финансовый 5 8" xfId="53396"/>
    <cellStyle name="Финансовый 5 8 2" xfId="53397"/>
    <cellStyle name="Финансовый 5 8 2 2" xfId="53398"/>
    <cellStyle name="Финансовый 5 8 2 2 2" xfId="53399"/>
    <cellStyle name="Финансовый 5 8 2 3" xfId="53400"/>
    <cellStyle name="Финансовый 5 8 3" xfId="53401"/>
    <cellStyle name="Финансовый 5 8 3 2" xfId="53402"/>
    <cellStyle name="Финансовый 5 8 3 2 2" xfId="53403"/>
    <cellStyle name="Финансовый 5 8 3 3" xfId="53404"/>
    <cellStyle name="Финансовый 5 8 4" xfId="53405"/>
    <cellStyle name="Финансовый 5 8 4 2" xfId="53406"/>
    <cellStyle name="Финансовый 5 8 5" xfId="53407"/>
    <cellStyle name="Финансовый 5 8 5 2" xfId="53408"/>
    <cellStyle name="Финансовый 5 8 6" xfId="53409"/>
    <cellStyle name="Финансовый 5 9" xfId="53410"/>
    <cellStyle name="Финансовый 5 9 2" xfId="53411"/>
    <cellStyle name="Финансовый 5 9 2 2" xfId="53412"/>
    <cellStyle name="Финансовый 5 9 2 2 2" xfId="53413"/>
    <cellStyle name="Финансовый 5 9 2 3" xfId="53414"/>
    <cellStyle name="Финансовый 5 9 3" xfId="53415"/>
    <cellStyle name="Финансовый 5 9 3 2" xfId="53416"/>
    <cellStyle name="Финансовый 5 9 3 2 2" xfId="53417"/>
    <cellStyle name="Финансовый 5 9 3 3" xfId="53418"/>
    <cellStyle name="Финансовый 5 9 4" xfId="53419"/>
    <cellStyle name="Финансовый 5 9 4 2" xfId="53420"/>
    <cellStyle name="Финансовый 5 9 5" xfId="53421"/>
    <cellStyle name="Финансовый 5 9 5 2" xfId="53422"/>
    <cellStyle name="Финансовый 5 9 6" xfId="53423"/>
    <cellStyle name="Финансовый 50" xfId="53424"/>
    <cellStyle name="Финансовый 50 2" xfId="53425"/>
    <cellStyle name="Финансовый 50 2 2" xfId="53426"/>
    <cellStyle name="Финансовый 50 2 2 2" xfId="53427"/>
    <cellStyle name="Финансовый 50 2 2 2 2" xfId="53428"/>
    <cellStyle name="Финансовый 50 2 2 3" xfId="53429"/>
    <cellStyle name="Финансовый 50 2 2 3 2" xfId="53430"/>
    <cellStyle name="Финансовый 50 2 2 4" xfId="53431"/>
    <cellStyle name="Финансовый 50 2 3" xfId="53432"/>
    <cellStyle name="Финансовый 50 2 3 2" xfId="53433"/>
    <cellStyle name="Финансовый 50 2 4" xfId="53434"/>
    <cellStyle name="Финансовый 50 2 4 2" xfId="53435"/>
    <cellStyle name="Финансовый 51" xfId="53436"/>
    <cellStyle name="Финансовый 51 10" xfId="53437"/>
    <cellStyle name="Финансовый 51 10 2" xfId="53438"/>
    <cellStyle name="Финансовый 51 10 2 2" xfId="53439"/>
    <cellStyle name="Финансовый 51 10 3" xfId="53440"/>
    <cellStyle name="Финансовый 51 11" xfId="53441"/>
    <cellStyle name="Финансовый 51 11 2" xfId="53442"/>
    <cellStyle name="Финансовый 51 11 2 2" xfId="53443"/>
    <cellStyle name="Финансовый 51 12" xfId="53444"/>
    <cellStyle name="Финансовый 51 12 2" xfId="53445"/>
    <cellStyle name="Финансовый 51 13" xfId="53446"/>
    <cellStyle name="Финансовый 51 13 2" xfId="53447"/>
    <cellStyle name="Финансовый 51 14" xfId="53448"/>
    <cellStyle name="Финансовый 51 2" xfId="53449"/>
    <cellStyle name="Финансовый 51 2 2" xfId="53450"/>
    <cellStyle name="Финансовый 51 2 2 2" xfId="53451"/>
    <cellStyle name="Финансовый 51 2 2 2 2" xfId="53452"/>
    <cellStyle name="Финансовый 51 2 2 3" xfId="53453"/>
    <cellStyle name="Финансовый 51 2 3" xfId="53454"/>
    <cellStyle name="Финансовый 51 2 3 2" xfId="53455"/>
    <cellStyle name="Финансовый 51 2 3 2 2" xfId="53456"/>
    <cellStyle name="Финансовый 51 2 3 3" xfId="53457"/>
    <cellStyle name="Финансовый 51 2 4" xfId="53458"/>
    <cellStyle name="Финансовый 51 2 4 2" xfId="53459"/>
    <cellStyle name="Финансовый 51 2 4 2 2" xfId="53460"/>
    <cellStyle name="Финансовый 51 2 4 3" xfId="53461"/>
    <cellStyle name="Финансовый 51 2 5" xfId="53462"/>
    <cellStyle name="Финансовый 51 2 5 2" xfId="53463"/>
    <cellStyle name="Финансовый 51 2 6" xfId="53464"/>
    <cellStyle name="Финансовый 51 2 6 2" xfId="53465"/>
    <cellStyle name="Финансовый 51 2 7" xfId="53466"/>
    <cellStyle name="Финансовый 51 3" xfId="53467"/>
    <cellStyle name="Финансовый 51 3 2" xfId="53468"/>
    <cellStyle name="Финансовый 51 3 2 2" xfId="53469"/>
    <cellStyle name="Финансовый 51 3 2 2 2" xfId="53470"/>
    <cellStyle name="Финансовый 51 3 2 3" xfId="53471"/>
    <cellStyle name="Финансовый 51 3 3" xfId="53472"/>
    <cellStyle name="Финансовый 51 3 3 2" xfId="53473"/>
    <cellStyle name="Финансовый 51 3 3 2 2" xfId="53474"/>
    <cellStyle name="Финансовый 51 3 3 3" xfId="53475"/>
    <cellStyle name="Финансовый 51 3 4" xfId="53476"/>
    <cellStyle name="Финансовый 51 3 4 2" xfId="53477"/>
    <cellStyle name="Финансовый 51 3 5" xfId="53478"/>
    <cellStyle name="Финансовый 51 3 5 2" xfId="53479"/>
    <cellStyle name="Финансовый 51 3 6" xfId="53480"/>
    <cellStyle name="Финансовый 51 4" xfId="53481"/>
    <cellStyle name="Финансовый 51 4 2" xfId="53482"/>
    <cellStyle name="Финансовый 51 4 2 2" xfId="53483"/>
    <cellStyle name="Финансовый 51 4 2 2 2" xfId="53484"/>
    <cellStyle name="Финансовый 51 4 2 3" xfId="53485"/>
    <cellStyle name="Финансовый 51 4 3" xfId="53486"/>
    <cellStyle name="Финансовый 51 4 3 2" xfId="53487"/>
    <cellStyle name="Финансовый 51 4 3 2 2" xfId="53488"/>
    <cellStyle name="Финансовый 51 4 3 3" xfId="53489"/>
    <cellStyle name="Финансовый 51 4 4" xfId="53490"/>
    <cellStyle name="Финансовый 51 4 4 2" xfId="53491"/>
    <cellStyle name="Финансовый 51 4 5" xfId="53492"/>
    <cellStyle name="Финансовый 51 4 5 2" xfId="53493"/>
    <cellStyle name="Финансовый 51 4 6" xfId="53494"/>
    <cellStyle name="Финансовый 51 5" xfId="53495"/>
    <cellStyle name="Финансовый 51 5 2" xfId="53496"/>
    <cellStyle name="Финансовый 51 5 2 2" xfId="53497"/>
    <cellStyle name="Финансовый 51 5 2 2 2" xfId="53498"/>
    <cellStyle name="Финансовый 51 5 2 3" xfId="53499"/>
    <cellStyle name="Финансовый 51 5 3" xfId="53500"/>
    <cellStyle name="Финансовый 51 5 3 2" xfId="53501"/>
    <cellStyle name="Финансовый 51 5 3 2 2" xfId="53502"/>
    <cellStyle name="Финансовый 51 5 3 3" xfId="53503"/>
    <cellStyle name="Финансовый 51 5 4" xfId="53504"/>
    <cellStyle name="Финансовый 51 5 4 2" xfId="53505"/>
    <cellStyle name="Финансовый 51 5 5" xfId="53506"/>
    <cellStyle name="Финансовый 51 5 5 2" xfId="53507"/>
    <cellStyle name="Финансовый 51 5 6" xfId="53508"/>
    <cellStyle name="Финансовый 51 6" xfId="53509"/>
    <cellStyle name="Финансовый 51 6 2" xfId="53510"/>
    <cellStyle name="Финансовый 51 6 2 2" xfId="53511"/>
    <cellStyle name="Финансовый 51 6 2 2 2" xfId="53512"/>
    <cellStyle name="Финансовый 51 6 2 3" xfId="53513"/>
    <cellStyle name="Финансовый 51 6 3" xfId="53514"/>
    <cellStyle name="Финансовый 51 6 3 2" xfId="53515"/>
    <cellStyle name="Финансовый 51 6 3 2 2" xfId="53516"/>
    <cellStyle name="Финансовый 51 6 3 3" xfId="53517"/>
    <cellStyle name="Финансовый 51 6 4" xfId="53518"/>
    <cellStyle name="Финансовый 51 6 4 2" xfId="53519"/>
    <cellStyle name="Финансовый 51 6 5" xfId="53520"/>
    <cellStyle name="Финансовый 51 6 5 2" xfId="53521"/>
    <cellStyle name="Финансовый 51 6 6" xfId="53522"/>
    <cellStyle name="Финансовый 51 7" xfId="53523"/>
    <cellStyle name="Финансовый 51 7 2" xfId="53524"/>
    <cellStyle name="Финансовый 51 7 2 2" xfId="53525"/>
    <cellStyle name="Финансовый 51 7 2 2 2" xfId="53526"/>
    <cellStyle name="Финансовый 51 7 2 3" xfId="53527"/>
    <cellStyle name="Финансовый 51 7 3" xfId="53528"/>
    <cellStyle name="Финансовый 51 7 3 2" xfId="53529"/>
    <cellStyle name="Финансовый 51 7 3 2 2" xfId="53530"/>
    <cellStyle name="Финансовый 51 7 3 3" xfId="53531"/>
    <cellStyle name="Финансовый 51 7 4" xfId="53532"/>
    <cellStyle name="Финансовый 51 7 4 2" xfId="53533"/>
    <cellStyle name="Финансовый 51 7 5" xfId="53534"/>
    <cellStyle name="Финансовый 51 7 5 2" xfId="53535"/>
    <cellStyle name="Финансовый 51 7 6" xfId="53536"/>
    <cellStyle name="Финансовый 51 8" xfId="53537"/>
    <cellStyle name="Финансовый 51 8 2" xfId="53538"/>
    <cellStyle name="Финансовый 51 8 2 2" xfId="53539"/>
    <cellStyle name="Финансовый 51 8 2 2 2" xfId="53540"/>
    <cellStyle name="Финансовый 51 8 2 3" xfId="53541"/>
    <cellStyle name="Финансовый 51 8 3" xfId="53542"/>
    <cellStyle name="Финансовый 51 8 3 2" xfId="53543"/>
    <cellStyle name="Финансовый 51 8 3 2 2" xfId="53544"/>
    <cellStyle name="Финансовый 51 8 3 3" xfId="53545"/>
    <cellStyle name="Финансовый 51 8 4" xfId="53546"/>
    <cellStyle name="Финансовый 51 8 4 2" xfId="53547"/>
    <cellStyle name="Финансовый 51 8 5" xfId="53548"/>
    <cellStyle name="Финансовый 51 8 5 2" xfId="53549"/>
    <cellStyle name="Финансовый 51 8 6" xfId="53550"/>
    <cellStyle name="Финансовый 51 9" xfId="53551"/>
    <cellStyle name="Финансовый 51 9 2" xfId="53552"/>
    <cellStyle name="Финансовый 51 9 2 2" xfId="53553"/>
    <cellStyle name="Финансовый 51 9 3" xfId="53554"/>
    <cellStyle name="Финансовый 52" xfId="53555"/>
    <cellStyle name="Финансовый 52 2" xfId="53556"/>
    <cellStyle name="Финансовый 52 2 2" xfId="53557"/>
    <cellStyle name="Финансовый 52 2 2 2" xfId="53558"/>
    <cellStyle name="Финансовый 52 2 3" xfId="53559"/>
    <cellStyle name="Финансовый 52 2 3 2" xfId="53560"/>
    <cellStyle name="Финансовый 52 2 4" xfId="53561"/>
    <cellStyle name="Финансовый 52 3" xfId="53562"/>
    <cellStyle name="Финансовый 52 3 2" xfId="53563"/>
    <cellStyle name="Финансовый 52 3 2 2" xfId="53564"/>
    <cellStyle name="Финансовый 52 3 2 2 2" xfId="53565"/>
    <cellStyle name="Финансовый 52 3 2 3" xfId="53566"/>
    <cellStyle name="Финансовый 52 3 3" xfId="53567"/>
    <cellStyle name="Финансовый 52 3 3 2" xfId="53568"/>
    <cellStyle name="Финансовый 52 3 3 2 2" xfId="53569"/>
    <cellStyle name="Финансовый 52 3 3 3" xfId="53570"/>
    <cellStyle name="Финансовый 52 3 4" xfId="53571"/>
    <cellStyle name="Финансовый 52 3 4 2" xfId="53572"/>
    <cellStyle name="Финансовый 52 3 5" xfId="53573"/>
    <cellStyle name="Финансовый 52 3 5 2" xfId="53574"/>
    <cellStyle name="Финансовый 52 3 6" xfId="53575"/>
    <cellStyle name="Финансовый 52 4" xfId="53576"/>
    <cellStyle name="Финансовый 52 4 2" xfId="53577"/>
    <cellStyle name="Финансовый 52 4 2 2" xfId="53578"/>
    <cellStyle name="Финансовый 52 4 3" xfId="53579"/>
    <cellStyle name="Финансовый 52 5" xfId="53580"/>
    <cellStyle name="Финансовый 52 5 2" xfId="53581"/>
    <cellStyle name="Финансовый 52 6" xfId="53582"/>
    <cellStyle name="Финансовый 52 7" xfId="53583"/>
    <cellStyle name="Финансовый 53" xfId="53584"/>
    <cellStyle name="Финансовый 53 2" xfId="53585"/>
    <cellStyle name="Финансовый 53 2 2" xfId="53586"/>
    <cellStyle name="Финансовый 53 2 2 2" xfId="53587"/>
    <cellStyle name="Финансовый 53 2 2 2 2" xfId="53588"/>
    <cellStyle name="Финансовый 53 2 2 2 2 2" xfId="53589"/>
    <cellStyle name="Финансовый 53 2 2 2 3" xfId="53590"/>
    <cellStyle name="Финансовый 53 2 2 3" xfId="53591"/>
    <cellStyle name="Финансовый 53 2 2 3 2" xfId="53592"/>
    <cellStyle name="Финансовый 53 2 2 3 2 2" xfId="53593"/>
    <cellStyle name="Финансовый 53 2 2 3 3" xfId="53594"/>
    <cellStyle name="Финансовый 53 2 2 4" xfId="53595"/>
    <cellStyle name="Финансовый 53 2 2 4 2" xfId="53596"/>
    <cellStyle name="Финансовый 53 2 2 5" xfId="53597"/>
    <cellStyle name="Финансовый 53 2 2 5 2" xfId="53598"/>
    <cellStyle name="Финансовый 53 2 2 6" xfId="53599"/>
    <cellStyle name="Финансовый 53 2 3" xfId="53600"/>
    <cellStyle name="Финансовый 53 2 3 2" xfId="53601"/>
    <cellStyle name="Финансовый 53 2 3 2 2" xfId="53602"/>
    <cellStyle name="Финансовый 53 2 3 2 2 2" xfId="53603"/>
    <cellStyle name="Финансовый 53 2 3 2 3" xfId="53604"/>
    <cellStyle name="Финансовый 53 2 3 3" xfId="53605"/>
    <cellStyle name="Финансовый 53 2 3 3 2" xfId="53606"/>
    <cellStyle name="Финансовый 53 2 3 3 2 2" xfId="53607"/>
    <cellStyle name="Финансовый 53 2 3 3 3" xfId="53608"/>
    <cellStyle name="Финансовый 53 2 3 4" xfId="53609"/>
    <cellStyle name="Финансовый 53 2 3 4 2" xfId="53610"/>
    <cellStyle name="Финансовый 53 2 3 5" xfId="53611"/>
    <cellStyle name="Финансовый 53 2 4" xfId="53612"/>
    <cellStyle name="Финансовый 53 2 4 2" xfId="53613"/>
    <cellStyle name="Финансовый 53 2 4 2 2" xfId="53614"/>
    <cellStyle name="Финансовый 53 2 4 3" xfId="53615"/>
    <cellStyle name="Финансовый 53 2 5" xfId="53616"/>
    <cellStyle name="Финансовый 53 2 5 2" xfId="53617"/>
    <cellStyle name="Финансовый 53 2 5 2 2" xfId="53618"/>
    <cellStyle name="Финансовый 53 2 5 3" xfId="53619"/>
    <cellStyle name="Финансовый 53 2 6" xfId="53620"/>
    <cellStyle name="Финансовый 53 2 6 2" xfId="53621"/>
    <cellStyle name="Финансовый 53 2 7" xfId="53622"/>
    <cellStyle name="Финансовый 53 2 7 2" xfId="53623"/>
    <cellStyle name="Финансовый 53 2 8" xfId="53624"/>
    <cellStyle name="Финансовый 53 3" xfId="53625"/>
    <cellStyle name="Финансовый 53 3 2" xfId="53626"/>
    <cellStyle name="Финансовый 53 3 2 2" xfId="53627"/>
    <cellStyle name="Финансовый 53 3 2 2 2" xfId="53628"/>
    <cellStyle name="Финансовый 53 3 2 2 2 2" xfId="53629"/>
    <cellStyle name="Финансовый 53 3 2 2 3" xfId="53630"/>
    <cellStyle name="Финансовый 53 3 2 3" xfId="53631"/>
    <cellStyle name="Финансовый 53 3 2 3 2" xfId="53632"/>
    <cellStyle name="Финансовый 53 3 2 3 2 2" xfId="53633"/>
    <cellStyle name="Финансовый 53 3 2 3 3" xfId="53634"/>
    <cellStyle name="Финансовый 53 3 2 4" xfId="53635"/>
    <cellStyle name="Финансовый 53 3 2 4 2" xfId="53636"/>
    <cellStyle name="Финансовый 53 3 2 5" xfId="53637"/>
    <cellStyle name="Финансовый 53 3 3" xfId="53638"/>
    <cellStyle name="Финансовый 53 3 3 2" xfId="53639"/>
    <cellStyle name="Финансовый 53 3 3 2 2" xfId="53640"/>
    <cellStyle name="Финансовый 53 3 3 2 2 2" xfId="53641"/>
    <cellStyle name="Финансовый 53 3 3 2 3" xfId="53642"/>
    <cellStyle name="Финансовый 53 3 3 3" xfId="53643"/>
    <cellStyle name="Финансовый 53 3 3 3 2" xfId="53644"/>
    <cellStyle name="Финансовый 53 3 3 3 2 2" xfId="53645"/>
    <cellStyle name="Финансовый 53 3 3 3 3" xfId="53646"/>
    <cellStyle name="Финансовый 53 3 3 4" xfId="53647"/>
    <cellStyle name="Финансовый 53 3 3 4 2" xfId="53648"/>
    <cellStyle name="Финансовый 53 3 3 5" xfId="53649"/>
    <cellStyle name="Финансовый 53 3 4" xfId="53650"/>
    <cellStyle name="Финансовый 53 3 4 2" xfId="53651"/>
    <cellStyle name="Финансовый 53 3 4 2 2" xfId="53652"/>
    <cellStyle name="Финансовый 53 3 4 3" xfId="53653"/>
    <cellStyle name="Финансовый 53 3 5" xfId="53654"/>
    <cellStyle name="Финансовый 53 3 5 2" xfId="53655"/>
    <cellStyle name="Финансовый 53 3 5 2 2" xfId="53656"/>
    <cellStyle name="Финансовый 53 3 5 3" xfId="53657"/>
    <cellStyle name="Финансовый 53 3 6" xfId="53658"/>
    <cellStyle name="Финансовый 53 3 6 2" xfId="53659"/>
    <cellStyle name="Финансовый 53 3 7" xfId="53660"/>
    <cellStyle name="Финансовый 53 3 7 2" xfId="53661"/>
    <cellStyle name="Финансовый 53 3 8" xfId="53662"/>
    <cellStyle name="Финансовый 53 4" xfId="53663"/>
    <cellStyle name="Финансовый 53 4 2" xfId="53664"/>
    <cellStyle name="Финансовый 53 4 2 2" xfId="53665"/>
    <cellStyle name="Финансовый 53 4 2 2 2" xfId="53666"/>
    <cellStyle name="Финансовый 53 4 2 3" xfId="53667"/>
    <cellStyle name="Финансовый 53 4 3" xfId="53668"/>
    <cellStyle name="Финансовый 53 4 3 2" xfId="53669"/>
    <cellStyle name="Финансовый 53 4 3 2 2" xfId="53670"/>
    <cellStyle name="Финансовый 53 4 3 3" xfId="53671"/>
    <cellStyle name="Финансовый 53 4 4" xfId="53672"/>
    <cellStyle name="Финансовый 53 4 4 2" xfId="53673"/>
    <cellStyle name="Финансовый 53 4 5" xfId="53674"/>
    <cellStyle name="Финансовый 53 4 5 2" xfId="53675"/>
    <cellStyle name="Финансовый 53 4 6" xfId="53676"/>
    <cellStyle name="Финансовый 53 5" xfId="53677"/>
    <cellStyle name="Финансовый 53 5 2" xfId="53678"/>
    <cellStyle name="Финансовый 53 5 2 2" xfId="53679"/>
    <cellStyle name="Финансовый 53 5 2 2 2" xfId="53680"/>
    <cellStyle name="Финансовый 53 5 2 3" xfId="53681"/>
    <cellStyle name="Финансовый 53 5 3" xfId="53682"/>
    <cellStyle name="Финансовый 53 5 3 2" xfId="53683"/>
    <cellStyle name="Финансовый 53 5 3 2 2" xfId="53684"/>
    <cellStyle name="Финансовый 53 5 3 3" xfId="53685"/>
    <cellStyle name="Финансовый 53 5 4" xfId="53686"/>
    <cellStyle name="Финансовый 53 5 4 2" xfId="53687"/>
    <cellStyle name="Финансовый 53 5 5" xfId="53688"/>
    <cellStyle name="Финансовый 53 6" xfId="53689"/>
    <cellStyle name="Финансовый 53 6 2" xfId="53690"/>
    <cellStyle name="Финансовый 53 7" xfId="53691"/>
    <cellStyle name="Финансовый 53 7 2" xfId="53692"/>
    <cellStyle name="Финансовый 53 8" xfId="53693"/>
    <cellStyle name="Финансовый 54" xfId="53694"/>
    <cellStyle name="Финансовый 54 2" xfId="53695"/>
    <cellStyle name="Финансовый 54 2 2" xfId="53696"/>
    <cellStyle name="Финансовый 54 2 2 2" xfId="53697"/>
    <cellStyle name="Финансовый 54 2 3" xfId="53698"/>
    <cellStyle name="Финансовый 54 2 3 2" xfId="53699"/>
    <cellStyle name="Финансовый 54 2 4" xfId="53700"/>
    <cellStyle name="Финансовый 54 3" xfId="53701"/>
    <cellStyle name="Финансовый 54 3 2" xfId="53702"/>
    <cellStyle name="Финансовый 54 3 2 2" xfId="53703"/>
    <cellStyle name="Финансовый 54 3 2 2 2" xfId="53704"/>
    <cellStyle name="Финансовый 54 3 2 3" xfId="53705"/>
    <cellStyle name="Финансовый 54 3 3" xfId="53706"/>
    <cellStyle name="Финансовый 54 3 3 2" xfId="53707"/>
    <cellStyle name="Финансовый 54 3 3 2 2" xfId="53708"/>
    <cellStyle name="Финансовый 54 3 3 3" xfId="53709"/>
    <cellStyle name="Финансовый 54 3 4" xfId="53710"/>
    <cellStyle name="Финансовый 54 3 4 2" xfId="53711"/>
    <cellStyle name="Финансовый 54 3 5" xfId="53712"/>
    <cellStyle name="Финансовый 54 3 5 2" xfId="53713"/>
    <cellStyle name="Финансовый 54 3 6" xfId="53714"/>
    <cellStyle name="Финансовый 54 4" xfId="53715"/>
    <cellStyle name="Финансовый 54 4 2" xfId="53716"/>
    <cellStyle name="Финансовый 54 4 2 2" xfId="53717"/>
    <cellStyle name="Финансовый 54 4 3" xfId="53718"/>
    <cellStyle name="Финансовый 54 5" xfId="53719"/>
    <cellStyle name="Финансовый 54 5 2" xfId="53720"/>
    <cellStyle name="Финансовый 54 6" xfId="53721"/>
    <cellStyle name="Финансовый 55" xfId="53722"/>
    <cellStyle name="Финансовый 55 2" xfId="53723"/>
    <cellStyle name="Финансовый 55 2 2" xfId="53724"/>
    <cellStyle name="Финансовый 55 2 2 2" xfId="53725"/>
    <cellStyle name="Финансовый 55 2 3" xfId="53726"/>
    <cellStyle name="Финансовый 55 2 3 2" xfId="53727"/>
    <cellStyle name="Финансовый 55 2 4" xfId="53728"/>
    <cellStyle name="Финансовый 55 3" xfId="53729"/>
    <cellStyle name="Финансовый 55 3 2" xfId="53730"/>
    <cellStyle name="Финансовый 55 3 2 2" xfId="53731"/>
    <cellStyle name="Финансовый 55 3 2 2 2" xfId="53732"/>
    <cellStyle name="Финансовый 55 3 2 3" xfId="53733"/>
    <cellStyle name="Финансовый 55 3 3" xfId="53734"/>
    <cellStyle name="Финансовый 55 3 3 2" xfId="53735"/>
    <cellStyle name="Финансовый 55 3 3 2 2" xfId="53736"/>
    <cellStyle name="Финансовый 55 3 3 3" xfId="53737"/>
    <cellStyle name="Финансовый 55 3 4" xfId="53738"/>
    <cellStyle name="Финансовый 55 3 4 2" xfId="53739"/>
    <cellStyle name="Финансовый 55 3 5" xfId="53740"/>
    <cellStyle name="Финансовый 55 3 5 2" xfId="53741"/>
    <cellStyle name="Финансовый 55 3 6" xfId="53742"/>
    <cellStyle name="Финансовый 55 4" xfId="53743"/>
    <cellStyle name="Финансовый 55 4 2" xfId="53744"/>
    <cellStyle name="Финансовый 55 4 2 2" xfId="53745"/>
    <cellStyle name="Финансовый 55 4 3" xfId="53746"/>
    <cellStyle name="Финансовый 55 5" xfId="53747"/>
    <cellStyle name="Финансовый 55 5 2" xfId="53748"/>
    <cellStyle name="Финансовый 55 6" xfId="53749"/>
    <cellStyle name="Финансовый 56" xfId="53750"/>
    <cellStyle name="Финансовый 56 2" xfId="53751"/>
    <cellStyle name="Финансовый 56 2 2" xfId="53752"/>
    <cellStyle name="Финансовый 56 2 2 2" xfId="53753"/>
    <cellStyle name="Финансовый 56 2 3" xfId="53754"/>
    <cellStyle name="Финансовый 56 2 3 2" xfId="53755"/>
    <cellStyle name="Финансовый 56 2 4" xfId="53756"/>
    <cellStyle name="Финансовый 56 3" xfId="53757"/>
    <cellStyle name="Финансовый 56 3 2" xfId="53758"/>
    <cellStyle name="Финансовый 56 3 2 2" xfId="53759"/>
    <cellStyle name="Финансовый 56 3 2 2 2" xfId="53760"/>
    <cellStyle name="Финансовый 56 3 2 3" xfId="53761"/>
    <cellStyle name="Финансовый 56 3 3" xfId="53762"/>
    <cellStyle name="Финансовый 56 3 3 2" xfId="53763"/>
    <cellStyle name="Финансовый 56 3 3 2 2" xfId="53764"/>
    <cellStyle name="Финансовый 56 3 3 3" xfId="53765"/>
    <cellStyle name="Финансовый 56 3 4" xfId="53766"/>
    <cellStyle name="Финансовый 56 3 4 2" xfId="53767"/>
    <cellStyle name="Финансовый 56 3 5" xfId="53768"/>
    <cellStyle name="Финансовый 56 3 5 2" xfId="53769"/>
    <cellStyle name="Финансовый 56 3 6" xfId="53770"/>
    <cellStyle name="Финансовый 56 4" xfId="53771"/>
    <cellStyle name="Финансовый 56 4 2" xfId="53772"/>
    <cellStyle name="Финансовый 56 4 2 2" xfId="53773"/>
    <cellStyle name="Финансовый 56 4 3" xfId="53774"/>
    <cellStyle name="Финансовый 56 5" xfId="53775"/>
    <cellStyle name="Финансовый 56 5 2" xfId="53776"/>
    <cellStyle name="Финансовый 56 6" xfId="53777"/>
    <cellStyle name="Финансовый 56 7" xfId="53778"/>
    <cellStyle name="Финансовый 57" xfId="53779"/>
    <cellStyle name="Финансовый 57 2" xfId="53780"/>
    <cellStyle name="Финансовый 57 2 2" xfId="53781"/>
    <cellStyle name="Финансовый 57 2 2 2" xfId="53782"/>
    <cellStyle name="Финансовый 57 2 2 2 2" xfId="53783"/>
    <cellStyle name="Финансовый 57 2 2 3" xfId="53784"/>
    <cellStyle name="Финансовый 57 2 3" xfId="53785"/>
    <cellStyle name="Финансовый 57 2 3 2" xfId="53786"/>
    <cellStyle name="Финансовый 57 2 3 2 2" xfId="53787"/>
    <cellStyle name="Финансовый 57 2 3 3" xfId="53788"/>
    <cellStyle name="Финансовый 57 2 4" xfId="53789"/>
    <cellStyle name="Финансовый 57 2 4 2" xfId="53790"/>
    <cellStyle name="Финансовый 57 2 5" xfId="53791"/>
    <cellStyle name="Финансовый 57 3" xfId="53792"/>
    <cellStyle name="Финансовый 57 3 2" xfId="53793"/>
    <cellStyle name="Финансовый 57 3 2 2" xfId="53794"/>
    <cellStyle name="Финансовый 57 3 2 2 2" xfId="53795"/>
    <cellStyle name="Финансовый 57 3 2 3" xfId="53796"/>
    <cellStyle name="Финансовый 57 3 3" xfId="53797"/>
    <cellStyle name="Финансовый 57 3 3 2" xfId="53798"/>
    <cellStyle name="Финансовый 57 3 3 2 2" xfId="53799"/>
    <cellStyle name="Финансовый 57 3 3 3" xfId="53800"/>
    <cellStyle name="Финансовый 57 3 4" xfId="53801"/>
    <cellStyle name="Финансовый 57 3 4 2" xfId="53802"/>
    <cellStyle name="Финансовый 57 3 5" xfId="53803"/>
    <cellStyle name="Финансовый 57 3 5 2" xfId="53804"/>
    <cellStyle name="Финансовый 57 3 6" xfId="53805"/>
    <cellStyle name="Финансовый 57 4" xfId="53806"/>
    <cellStyle name="Финансовый 57 4 2" xfId="53807"/>
    <cellStyle name="Финансовый 57 5" xfId="53808"/>
    <cellStyle name="Финансовый 58" xfId="53809"/>
    <cellStyle name="Финансовый 58 2" xfId="53810"/>
    <cellStyle name="Финансовый 58 2 2" xfId="53811"/>
    <cellStyle name="Финансовый 58 2 2 2" xfId="53812"/>
    <cellStyle name="Финансовый 58 2 2 2 2" xfId="53813"/>
    <cellStyle name="Финансовый 58 2 2 3" xfId="53814"/>
    <cellStyle name="Финансовый 58 2 3" xfId="53815"/>
    <cellStyle name="Финансовый 58 2 3 2" xfId="53816"/>
    <cellStyle name="Финансовый 58 2 3 2 2" xfId="53817"/>
    <cellStyle name="Финансовый 58 2 3 3" xfId="53818"/>
    <cellStyle name="Финансовый 58 2 4" xfId="53819"/>
    <cellStyle name="Финансовый 58 2 4 2" xfId="53820"/>
    <cellStyle name="Финансовый 58 2 5" xfId="53821"/>
    <cellStyle name="Финансовый 58 2 5 2" xfId="53822"/>
    <cellStyle name="Финансовый 58 2 6" xfId="53823"/>
    <cellStyle name="Финансовый 58 3" xfId="53824"/>
    <cellStyle name="Финансовый 58 3 2" xfId="53825"/>
    <cellStyle name="Финансовый 58 3 2 2" xfId="53826"/>
    <cellStyle name="Финансовый 58 3 2 2 2" xfId="53827"/>
    <cellStyle name="Финансовый 58 3 2 3" xfId="53828"/>
    <cellStyle name="Финансовый 58 3 3" xfId="53829"/>
    <cellStyle name="Финансовый 58 3 3 2" xfId="53830"/>
    <cellStyle name="Финансовый 58 3 3 2 2" xfId="53831"/>
    <cellStyle name="Финансовый 58 3 3 3" xfId="53832"/>
    <cellStyle name="Финансовый 58 3 4" xfId="53833"/>
    <cellStyle name="Финансовый 58 3 4 2" xfId="53834"/>
    <cellStyle name="Финансовый 58 3 5" xfId="53835"/>
    <cellStyle name="Финансовый 58 4" xfId="53836"/>
    <cellStyle name="Финансовый 58 4 2" xfId="53837"/>
    <cellStyle name="Финансовый 58 5" xfId="53838"/>
    <cellStyle name="Финансовый 58 6" xfId="53839"/>
    <cellStyle name="Финансовый 59" xfId="53840"/>
    <cellStyle name="Финансовый 59 2" xfId="53841"/>
    <cellStyle name="Финансовый 59 2 2" xfId="53842"/>
    <cellStyle name="Финансовый 59 2 2 2" xfId="53843"/>
    <cellStyle name="Финансовый 59 2 2 2 2" xfId="53844"/>
    <cellStyle name="Финансовый 59 2 2 3" xfId="53845"/>
    <cellStyle name="Финансовый 59 2 3" xfId="53846"/>
    <cellStyle name="Финансовый 59 2 3 2" xfId="53847"/>
    <cellStyle name="Финансовый 59 2 3 2 2" xfId="53848"/>
    <cellStyle name="Финансовый 59 2 3 3" xfId="53849"/>
    <cellStyle name="Финансовый 59 2 4" xfId="53850"/>
    <cellStyle name="Финансовый 59 2 4 2" xfId="53851"/>
    <cellStyle name="Финансовый 59 2 5" xfId="53852"/>
    <cellStyle name="Финансовый 59 3" xfId="53853"/>
    <cellStyle name="Финансовый 59 3 2" xfId="53854"/>
    <cellStyle name="Финансовый 59 3 2 2" xfId="53855"/>
    <cellStyle name="Финансовый 59 3 2 2 2" xfId="53856"/>
    <cellStyle name="Финансовый 59 3 2 3" xfId="53857"/>
    <cellStyle name="Финансовый 59 3 3" xfId="53858"/>
    <cellStyle name="Финансовый 59 3 3 2" xfId="53859"/>
    <cellStyle name="Финансовый 59 3 3 2 2" xfId="53860"/>
    <cellStyle name="Финансовый 59 3 3 3" xfId="53861"/>
    <cellStyle name="Финансовый 59 3 4" xfId="53862"/>
    <cellStyle name="Финансовый 59 3 4 2" xfId="53863"/>
    <cellStyle name="Финансовый 59 3 5" xfId="53864"/>
    <cellStyle name="Финансовый 59 4" xfId="53865"/>
    <cellStyle name="Финансовый 59 4 2" xfId="53866"/>
    <cellStyle name="Финансовый 59 4 2 2" xfId="53867"/>
    <cellStyle name="Финансовый 59 4 2 2 2" xfId="53868"/>
    <cellStyle name="Финансовый 59 4 2 3" xfId="53869"/>
    <cellStyle name="Финансовый 59 4 3" xfId="53870"/>
    <cellStyle name="Финансовый 59 4 3 2" xfId="53871"/>
    <cellStyle name="Финансовый 59 4 4" xfId="53872"/>
    <cellStyle name="Финансовый 59 5" xfId="53873"/>
    <cellStyle name="Финансовый 59 5 2" xfId="53874"/>
    <cellStyle name="Финансовый 59 6" xfId="53875"/>
    <cellStyle name="Финансовый 6" xfId="53876"/>
    <cellStyle name="Финансовый 6 2" xfId="53877"/>
    <cellStyle name="Финансовый 6 2 2" xfId="53878"/>
    <cellStyle name="Финансовый 6 2 3" xfId="53879"/>
    <cellStyle name="Финансовый 6 3" xfId="53880"/>
    <cellStyle name="Финансовый 6 3 2" xfId="53881"/>
    <cellStyle name="Финансовый 6 3 3" xfId="53882"/>
    <cellStyle name="Финансовый 6 4" xfId="53883"/>
    <cellStyle name="Финансовый 60" xfId="53884"/>
    <cellStyle name="Финансовый 60 2" xfId="53885"/>
    <cellStyle name="Финансовый 60 2 2" xfId="53886"/>
    <cellStyle name="Финансовый 60 2 2 2" xfId="53887"/>
    <cellStyle name="Финансовый 60 2 2 2 2" xfId="53888"/>
    <cellStyle name="Финансовый 60 2 2 3" xfId="53889"/>
    <cellStyle name="Финансовый 60 2 3" xfId="53890"/>
    <cellStyle name="Финансовый 60 2 3 2" xfId="53891"/>
    <cellStyle name="Финансовый 60 2 3 2 2" xfId="53892"/>
    <cellStyle name="Финансовый 60 2 3 3" xfId="53893"/>
    <cellStyle name="Финансовый 60 2 4" xfId="53894"/>
    <cellStyle name="Финансовый 60 2 4 2" xfId="53895"/>
    <cellStyle name="Финансовый 60 2 5" xfId="53896"/>
    <cellStyle name="Финансовый 60 3" xfId="53897"/>
    <cellStyle name="Финансовый 60 3 2" xfId="53898"/>
    <cellStyle name="Финансовый 60 3 2 2" xfId="53899"/>
    <cellStyle name="Финансовый 60 3 2 2 2" xfId="53900"/>
    <cellStyle name="Финансовый 60 3 2 3" xfId="53901"/>
    <cellStyle name="Финансовый 60 3 3" xfId="53902"/>
    <cellStyle name="Финансовый 60 3 3 2" xfId="53903"/>
    <cellStyle name="Финансовый 60 3 3 2 2" xfId="53904"/>
    <cellStyle name="Финансовый 60 3 3 3" xfId="53905"/>
    <cellStyle name="Финансовый 60 3 4" xfId="53906"/>
    <cellStyle name="Финансовый 60 3 4 2" xfId="53907"/>
    <cellStyle name="Финансовый 60 3 5" xfId="53908"/>
    <cellStyle name="Финансовый 60 4" xfId="53909"/>
    <cellStyle name="Финансовый 60 4 2" xfId="53910"/>
    <cellStyle name="Финансовый 60 5" xfId="53911"/>
    <cellStyle name="Финансовый 61" xfId="53912"/>
    <cellStyle name="Финансовый 61 2" xfId="53913"/>
    <cellStyle name="Финансовый 61 2 2" xfId="53914"/>
    <cellStyle name="Финансовый 61 2 2 2" xfId="53915"/>
    <cellStyle name="Финансовый 61 2 2 2 2" xfId="53916"/>
    <cellStyle name="Финансовый 61 2 2 3" xfId="53917"/>
    <cellStyle name="Финансовый 61 2 3" xfId="53918"/>
    <cellStyle name="Финансовый 61 2 3 2" xfId="53919"/>
    <cellStyle name="Финансовый 61 2 3 2 2" xfId="53920"/>
    <cellStyle name="Финансовый 61 2 3 3" xfId="53921"/>
    <cellStyle name="Финансовый 61 2 4" xfId="53922"/>
    <cellStyle name="Финансовый 61 2 4 2" xfId="53923"/>
    <cellStyle name="Финансовый 61 2 5" xfId="53924"/>
    <cellStyle name="Финансовый 61 3" xfId="53925"/>
    <cellStyle name="Финансовый 61 3 2" xfId="53926"/>
    <cellStyle name="Финансовый 61 3 2 2" xfId="53927"/>
    <cellStyle name="Финансовый 61 3 2 2 2" xfId="53928"/>
    <cellStyle name="Финансовый 61 3 2 3" xfId="53929"/>
    <cellStyle name="Финансовый 61 3 3" xfId="53930"/>
    <cellStyle name="Финансовый 61 3 3 2" xfId="53931"/>
    <cellStyle name="Финансовый 61 3 3 2 2" xfId="53932"/>
    <cellStyle name="Финансовый 61 3 3 3" xfId="53933"/>
    <cellStyle name="Финансовый 61 3 4" xfId="53934"/>
    <cellStyle name="Финансовый 61 3 4 2" xfId="53935"/>
    <cellStyle name="Финансовый 61 3 5" xfId="53936"/>
    <cellStyle name="Финансовый 61 4" xfId="53937"/>
    <cellStyle name="Финансовый 61 4 2" xfId="53938"/>
    <cellStyle name="Финансовый 61 5" xfId="53939"/>
    <cellStyle name="Финансовый 62" xfId="53940"/>
    <cellStyle name="Финансовый 62 2" xfId="53941"/>
    <cellStyle name="Финансовый 62 2 2" xfId="53942"/>
    <cellStyle name="Финансовый 62 2 2 2" xfId="53943"/>
    <cellStyle name="Финансовый 62 2 2 2 2" xfId="53944"/>
    <cellStyle name="Финансовый 62 2 2 3" xfId="53945"/>
    <cellStyle name="Финансовый 62 2 3" xfId="53946"/>
    <cellStyle name="Финансовый 62 2 3 2" xfId="53947"/>
    <cellStyle name="Финансовый 62 2 3 2 2" xfId="53948"/>
    <cellStyle name="Финансовый 62 2 3 3" xfId="53949"/>
    <cellStyle name="Финансовый 62 2 4" xfId="53950"/>
    <cellStyle name="Финансовый 62 2 4 2" xfId="53951"/>
    <cellStyle name="Финансовый 62 2 5" xfId="53952"/>
    <cellStyle name="Финансовый 62 3" xfId="53953"/>
    <cellStyle name="Финансовый 62 3 2" xfId="53954"/>
    <cellStyle name="Финансовый 62 3 2 2" xfId="53955"/>
    <cellStyle name="Финансовый 62 3 2 2 2" xfId="53956"/>
    <cellStyle name="Финансовый 62 3 2 3" xfId="53957"/>
    <cellStyle name="Финансовый 62 3 3" xfId="53958"/>
    <cellStyle name="Финансовый 62 3 3 2" xfId="53959"/>
    <cellStyle name="Финансовый 62 3 3 2 2" xfId="53960"/>
    <cellStyle name="Финансовый 62 3 3 3" xfId="53961"/>
    <cellStyle name="Финансовый 62 3 4" xfId="53962"/>
    <cellStyle name="Финансовый 62 3 4 2" xfId="53963"/>
    <cellStyle name="Финансовый 62 3 5" xfId="53964"/>
    <cellStyle name="Финансовый 62 4" xfId="53965"/>
    <cellStyle name="Финансовый 62 4 2" xfId="53966"/>
    <cellStyle name="Финансовый 62 5" xfId="53967"/>
    <cellStyle name="Финансовый 63" xfId="53968"/>
    <cellStyle name="Финансовый 63 2" xfId="53969"/>
    <cellStyle name="Финансовый 63 2 2" xfId="53970"/>
    <cellStyle name="Финансовый 63 2 3" xfId="53971"/>
    <cellStyle name="Финансовый 63 3" xfId="53972"/>
    <cellStyle name="Финансовый 63 3 2" xfId="53973"/>
    <cellStyle name="Финансовый 63 3 2 2" xfId="53974"/>
    <cellStyle name="Финансовый 63 3 2 2 2" xfId="53975"/>
    <cellStyle name="Финансовый 63 3 2 3" xfId="53976"/>
    <cellStyle name="Финансовый 63 3 3" xfId="53977"/>
    <cellStyle name="Финансовый 63 3 3 2" xfId="53978"/>
    <cellStyle name="Финансовый 63 3 3 2 2" xfId="53979"/>
    <cellStyle name="Финансовый 63 3 3 3" xfId="53980"/>
    <cellStyle name="Финансовый 63 3 4" xfId="53981"/>
    <cellStyle name="Финансовый 63 3 4 2" xfId="53982"/>
    <cellStyle name="Финансовый 63 3 5" xfId="53983"/>
    <cellStyle name="Финансовый 63 4" xfId="53984"/>
    <cellStyle name="Финансовый 63 4 2" xfId="53985"/>
    <cellStyle name="Финансовый 63 4 2 2" xfId="53986"/>
    <cellStyle name="Финансовый 63 4 3" xfId="53987"/>
    <cellStyle name="Финансовый 63 5" xfId="53988"/>
    <cellStyle name="Финансовый 63 5 2" xfId="53989"/>
    <cellStyle name="Финансовый 63 5 2 2" xfId="53990"/>
    <cellStyle name="Финансовый 63 5 3" xfId="53991"/>
    <cellStyle name="Финансовый 63 6" xfId="53992"/>
    <cellStyle name="Финансовый 63 6 2" xfId="53993"/>
    <cellStyle name="Финансовый 63 7" xfId="53994"/>
    <cellStyle name="Финансовый 63 8" xfId="53995"/>
    <cellStyle name="Финансовый 64" xfId="53996"/>
    <cellStyle name="Финансовый 64 2" xfId="53997"/>
    <cellStyle name="Финансовый 64 2 2" xfId="53998"/>
    <cellStyle name="Финансовый 64 2 2 2" xfId="53999"/>
    <cellStyle name="Финансовый 64 2 2 2 2" xfId="54000"/>
    <cellStyle name="Финансовый 64 2 2 3" xfId="54001"/>
    <cellStyle name="Финансовый 64 2 3" xfId="54002"/>
    <cellStyle name="Финансовый 64 2 3 2" xfId="54003"/>
    <cellStyle name="Финансовый 64 2 3 2 2" xfId="54004"/>
    <cellStyle name="Финансовый 64 2 3 3" xfId="54005"/>
    <cellStyle name="Финансовый 64 2 4" xfId="54006"/>
    <cellStyle name="Финансовый 64 2 4 2" xfId="54007"/>
    <cellStyle name="Финансовый 64 2 5" xfId="54008"/>
    <cellStyle name="Финансовый 64 2 5 2" xfId="54009"/>
    <cellStyle name="Финансовый 64 2 6" xfId="54010"/>
    <cellStyle name="Финансовый 64 3" xfId="54011"/>
    <cellStyle name="Финансовый 64 3 2" xfId="54012"/>
    <cellStyle name="Финансовый 64 3 2 2" xfId="54013"/>
    <cellStyle name="Финансовый 64 3 2 2 2" xfId="54014"/>
    <cellStyle name="Финансовый 64 3 2 3" xfId="54015"/>
    <cellStyle name="Финансовый 64 3 3" xfId="54016"/>
    <cellStyle name="Финансовый 64 3 3 2" xfId="54017"/>
    <cellStyle name="Финансовый 64 3 3 2 2" xfId="54018"/>
    <cellStyle name="Финансовый 64 3 3 3" xfId="54019"/>
    <cellStyle name="Финансовый 64 3 4" xfId="54020"/>
    <cellStyle name="Финансовый 64 3 4 2" xfId="54021"/>
    <cellStyle name="Финансовый 64 3 5" xfId="54022"/>
    <cellStyle name="Финансовый 64 4" xfId="54023"/>
    <cellStyle name="Финансовый 64 4 2" xfId="54024"/>
    <cellStyle name="Финансовый 64 4 2 2" xfId="54025"/>
    <cellStyle name="Финансовый 64 4 3" xfId="54026"/>
    <cellStyle name="Финансовый 64 5" xfId="54027"/>
    <cellStyle name="Финансовый 64 5 2" xfId="54028"/>
    <cellStyle name="Финансовый 64 5 2 2" xfId="54029"/>
    <cellStyle name="Финансовый 64 5 3" xfId="54030"/>
    <cellStyle name="Финансовый 64 6" xfId="54031"/>
    <cellStyle name="Финансовый 64 6 2" xfId="54032"/>
    <cellStyle name="Финансовый 64 7" xfId="54033"/>
    <cellStyle name="Финансовый 64 8" xfId="54034"/>
    <cellStyle name="Финансовый 65" xfId="54035"/>
    <cellStyle name="Финансовый 65 10" xfId="54036"/>
    <cellStyle name="Финансовый 65 2" xfId="54037"/>
    <cellStyle name="Финансовый 65 2 2" xfId="54038"/>
    <cellStyle name="Финансовый 65 2 2 2" xfId="54039"/>
    <cellStyle name="Финансовый 65 2 2 2 2" xfId="54040"/>
    <cellStyle name="Финансовый 65 2 2 3" xfId="54041"/>
    <cellStyle name="Финансовый 65 2 3" xfId="54042"/>
    <cellStyle name="Финансовый 65 2 3 2" xfId="54043"/>
    <cellStyle name="Финансовый 65 2 3 2 2" xfId="54044"/>
    <cellStyle name="Финансовый 65 2 3 3" xfId="54045"/>
    <cellStyle name="Финансовый 65 2 4" xfId="54046"/>
    <cellStyle name="Финансовый 65 2 4 2" xfId="54047"/>
    <cellStyle name="Финансовый 65 2 5" xfId="54048"/>
    <cellStyle name="Финансовый 65 2 5 2" xfId="54049"/>
    <cellStyle name="Финансовый 65 2 6" xfId="54050"/>
    <cellStyle name="Финансовый 65 3" xfId="54051"/>
    <cellStyle name="Финансовый 65 3 2" xfId="54052"/>
    <cellStyle name="Финансовый 65 3 2 2" xfId="54053"/>
    <cellStyle name="Финансовый 65 3 2 2 2" xfId="54054"/>
    <cellStyle name="Финансовый 65 3 2 3" xfId="54055"/>
    <cellStyle name="Финансовый 65 3 3" xfId="54056"/>
    <cellStyle name="Финансовый 65 3 3 2" xfId="54057"/>
    <cellStyle name="Финансовый 65 3 3 2 2" xfId="54058"/>
    <cellStyle name="Финансовый 65 3 3 3" xfId="54059"/>
    <cellStyle name="Финансовый 65 3 4" xfId="54060"/>
    <cellStyle name="Финансовый 65 3 4 2" xfId="54061"/>
    <cellStyle name="Финансовый 65 3 5" xfId="54062"/>
    <cellStyle name="Финансовый 65 4" xfId="54063"/>
    <cellStyle name="Финансовый 65 4 2" xfId="54064"/>
    <cellStyle name="Финансовый 65 4 2 2" xfId="54065"/>
    <cellStyle name="Финансовый 65 4 2 2 2" xfId="54066"/>
    <cellStyle name="Финансовый 65 4 2 3" xfId="54067"/>
    <cellStyle name="Финансовый 65 4 3" xfId="54068"/>
    <cellStyle name="Финансовый 65 4 3 2" xfId="54069"/>
    <cellStyle name="Финансовый 65 4 4" xfId="54070"/>
    <cellStyle name="Финансовый 65 5" xfId="54071"/>
    <cellStyle name="Финансовый 65 5 2" xfId="54072"/>
    <cellStyle name="Финансовый 65 5 2 2" xfId="54073"/>
    <cellStyle name="Финансовый 65 5 2 2 2" xfId="54074"/>
    <cellStyle name="Финансовый 65 5 2 3" xfId="54075"/>
    <cellStyle name="Финансовый 65 5 3" xfId="54076"/>
    <cellStyle name="Финансовый 65 5 3 2" xfId="54077"/>
    <cellStyle name="Финансовый 65 5 4" xfId="54078"/>
    <cellStyle name="Финансовый 65 6" xfId="54079"/>
    <cellStyle name="Финансовый 65 6 2" xfId="54080"/>
    <cellStyle name="Финансовый 65 6 2 2" xfId="54081"/>
    <cellStyle name="Финансовый 65 6 2 2 2" xfId="54082"/>
    <cellStyle name="Финансовый 65 6 2 3" xfId="54083"/>
    <cellStyle name="Финансовый 65 6 3" xfId="54084"/>
    <cellStyle name="Финансовый 65 6 3 2" xfId="54085"/>
    <cellStyle name="Финансовый 65 6 4" xfId="54086"/>
    <cellStyle name="Финансовый 65 7" xfId="54087"/>
    <cellStyle name="Финансовый 65 7 2" xfId="54088"/>
    <cellStyle name="Финансовый 65 7 2 2" xfId="54089"/>
    <cellStyle name="Финансовый 65 7 3" xfId="54090"/>
    <cellStyle name="Финансовый 65 8" xfId="54091"/>
    <cellStyle name="Финансовый 65 8 2" xfId="54092"/>
    <cellStyle name="Финансовый 65 8 2 2" xfId="54093"/>
    <cellStyle name="Финансовый 65 8 3" xfId="54094"/>
    <cellStyle name="Финансовый 65 9" xfId="54095"/>
    <cellStyle name="Финансовый 65 9 2" xfId="54096"/>
    <cellStyle name="Финансовый 66" xfId="54097"/>
    <cellStyle name="Финансовый 66 2" xfId="54098"/>
    <cellStyle name="Финансовый 66 2 2" xfId="54099"/>
    <cellStyle name="Финансовый 66 2 2 2" xfId="54100"/>
    <cellStyle name="Финансовый 66 2 2 2 2" xfId="54101"/>
    <cellStyle name="Финансовый 66 2 2 3" xfId="54102"/>
    <cellStyle name="Финансовый 66 2 3" xfId="54103"/>
    <cellStyle name="Финансовый 66 2 3 2" xfId="54104"/>
    <cellStyle name="Финансовый 66 2 4" xfId="54105"/>
    <cellStyle name="Финансовый 66 2 4 2" xfId="54106"/>
    <cellStyle name="Финансовый 66 2 5" xfId="54107"/>
    <cellStyle name="Финансовый 66 3" xfId="54108"/>
    <cellStyle name="Финансовый 66 4" xfId="54109"/>
    <cellStyle name="Финансовый 66 4 2" xfId="54110"/>
    <cellStyle name="Финансовый 66 4 2 2" xfId="54111"/>
    <cellStyle name="Финансовый 66 4 3" xfId="54112"/>
    <cellStyle name="Финансовый 66 5" xfId="54113"/>
    <cellStyle name="Финансовый 66 5 2" xfId="54114"/>
    <cellStyle name="Финансовый 66 5 2 2" xfId="54115"/>
    <cellStyle name="Финансовый 66 5 3" xfId="54116"/>
    <cellStyle name="Финансовый 66 6" xfId="54117"/>
    <cellStyle name="Финансовый 66 6 2" xfId="54118"/>
    <cellStyle name="Финансовый 67" xfId="54119"/>
    <cellStyle name="Финансовый 67 2" xfId="54120"/>
    <cellStyle name="Финансовый 67 2 2" xfId="54121"/>
    <cellStyle name="Финансовый 67 2 3" xfId="54122"/>
    <cellStyle name="Финансовый 67 2 3 2" xfId="54123"/>
    <cellStyle name="Финансовый 67 2 3 2 2" xfId="54124"/>
    <cellStyle name="Финансовый 67 2 3 3" xfId="54125"/>
    <cellStyle name="Финансовый 67 2 4" xfId="54126"/>
    <cellStyle name="Финансовый 67 2 4 2" xfId="54127"/>
    <cellStyle name="Финансовый 67 2 4 2 2" xfId="54128"/>
    <cellStyle name="Финансовый 67 2 4 3" xfId="54129"/>
    <cellStyle name="Финансовый 67 2 5" xfId="54130"/>
    <cellStyle name="Финансовый 67 2 5 2" xfId="54131"/>
    <cellStyle name="Финансовый 67 2 6" xfId="54132"/>
    <cellStyle name="Финансовый 67 2 6 2" xfId="54133"/>
    <cellStyle name="Финансовый 67 2 7" xfId="54134"/>
    <cellStyle name="Финансовый 67 3" xfId="54135"/>
    <cellStyle name="Финансовый 67 4" xfId="54136"/>
    <cellStyle name="Финансовый 67 4 2" xfId="54137"/>
    <cellStyle name="Финансовый 67 4 2 2" xfId="54138"/>
    <cellStyle name="Финансовый 67 4 3" xfId="54139"/>
    <cellStyle name="Финансовый 67 5" xfId="54140"/>
    <cellStyle name="Финансовый 67 5 2" xfId="54141"/>
    <cellStyle name="Финансовый 67 5 2 2" xfId="54142"/>
    <cellStyle name="Финансовый 67 5 3" xfId="54143"/>
    <cellStyle name="Финансовый 67 6" xfId="54144"/>
    <cellStyle name="Финансовый 67 6 2" xfId="54145"/>
    <cellStyle name="Финансовый 68" xfId="54146"/>
    <cellStyle name="Финансовый 68 2" xfId="54147"/>
    <cellStyle name="Финансовый 68 2 2" xfId="54148"/>
    <cellStyle name="Финансовый 68 2 2 2" xfId="54149"/>
    <cellStyle name="Финансовый 68 2 2 2 2" xfId="54150"/>
    <cellStyle name="Финансовый 68 2 2 3" xfId="54151"/>
    <cellStyle name="Финансовый 68 2 3" xfId="54152"/>
    <cellStyle name="Финансовый 68 2 3 2" xfId="54153"/>
    <cellStyle name="Финансовый 68 2 4" xfId="54154"/>
    <cellStyle name="Финансовый 68 2 4 2" xfId="54155"/>
    <cellStyle name="Финансовый 68 2 5" xfId="54156"/>
    <cellStyle name="Финансовый 68 3" xfId="54157"/>
    <cellStyle name="Финансовый 68 4" xfId="54158"/>
    <cellStyle name="Финансовый 68 4 2" xfId="54159"/>
    <cellStyle name="Финансовый 68 4 2 2" xfId="54160"/>
    <cellStyle name="Финансовый 68 4 3" xfId="54161"/>
    <cellStyle name="Финансовый 68 5" xfId="54162"/>
    <cellStyle name="Финансовый 68 5 2" xfId="54163"/>
    <cellStyle name="Финансовый 68 5 2 2" xfId="54164"/>
    <cellStyle name="Финансовый 68 5 3" xfId="54165"/>
    <cellStyle name="Финансовый 68 6" xfId="54166"/>
    <cellStyle name="Финансовый 68 6 2" xfId="54167"/>
    <cellStyle name="Финансовый 69" xfId="54168"/>
    <cellStyle name="Финансовый 69 2" xfId="54169"/>
    <cellStyle name="Финансовый 69 2 2" xfId="54170"/>
    <cellStyle name="Финансовый 69 2 2 2" xfId="54171"/>
    <cellStyle name="Финансовый 69 2 3" xfId="54172"/>
    <cellStyle name="Финансовый 69 3" xfId="54173"/>
    <cellStyle name="Финансовый 69 3 2" xfId="54174"/>
    <cellStyle name="Финансовый 69 3 2 2" xfId="54175"/>
    <cellStyle name="Финансовый 69 3 3" xfId="54176"/>
    <cellStyle name="Финансовый 69 4" xfId="54177"/>
    <cellStyle name="Финансовый 69 4 2" xfId="54178"/>
    <cellStyle name="Финансовый 69 4 2 2" xfId="54179"/>
    <cellStyle name="Финансовый 69 4 3" xfId="54180"/>
    <cellStyle name="Финансовый 69 5" xfId="54181"/>
    <cellStyle name="Финансовый 69 5 2" xfId="54182"/>
    <cellStyle name="Финансовый 7" xfId="54183"/>
    <cellStyle name="Финансовый 7 2" xfId="54184"/>
    <cellStyle name="Финансовый 7 2 2" xfId="54185"/>
    <cellStyle name="Финансовый 7 3" xfId="54186"/>
    <cellStyle name="Финансовый 7 4" xfId="54187"/>
    <cellStyle name="Финансовый 70" xfId="54188"/>
    <cellStyle name="Финансовый 71" xfId="54189"/>
    <cellStyle name="Финансовый 71 2" xfId="54190"/>
    <cellStyle name="Финансовый 71 3" xfId="54191"/>
    <cellStyle name="Финансовый 71 4" xfId="54192"/>
    <cellStyle name="Финансовый 71 5" xfId="54193"/>
    <cellStyle name="Финансовый 71 6" xfId="54194"/>
    <cellStyle name="Финансовый 71 7" xfId="54195"/>
    <cellStyle name="Финансовый 71 8" xfId="54196"/>
    <cellStyle name="Финансовый 72" xfId="54197"/>
    <cellStyle name="Финансовый 73" xfId="54198"/>
    <cellStyle name="Финансовый 74" xfId="54199"/>
    <cellStyle name="Финансовый 75" xfId="54200"/>
    <cellStyle name="Финансовый 75 2" xfId="54201"/>
    <cellStyle name="Финансовый 76" xfId="54202"/>
    <cellStyle name="Финансовый 76 2" xfId="54203"/>
    <cellStyle name="Финансовый 77" xfId="54204"/>
    <cellStyle name="Финансовый 77 2" xfId="54205"/>
    <cellStyle name="Финансовый 78" xfId="54206"/>
    <cellStyle name="Финансовый 78 2" xfId="54207"/>
    <cellStyle name="Финансовый 78 2 2" xfId="54208"/>
    <cellStyle name="Финансовый 78 2 2 2" xfId="54209"/>
    <cellStyle name="Финансовый 78 2 3" xfId="54210"/>
    <cellStyle name="Финансовый 78 2 3 2" xfId="54211"/>
    <cellStyle name="Финансовый 78 2 4" xfId="54212"/>
    <cellStyle name="Финансовый 78 3" xfId="54213"/>
    <cellStyle name="Финансовый 78 3 2" xfId="54214"/>
    <cellStyle name="Финансовый 78 4" xfId="54215"/>
    <cellStyle name="Финансовый 78 4 2" xfId="54216"/>
    <cellStyle name="Финансовый 78 5" xfId="54217"/>
    <cellStyle name="Финансовый 79" xfId="54218"/>
    <cellStyle name="Финансовый 79 2" xfId="54219"/>
    <cellStyle name="Финансовый 79 2 2" xfId="54220"/>
    <cellStyle name="Финансовый 79 2 2 2" xfId="54221"/>
    <cellStyle name="Финансовый 79 2 3" xfId="54222"/>
    <cellStyle name="Финансовый 79 2 3 2" xfId="54223"/>
    <cellStyle name="Финансовый 79 2 4" xfId="54224"/>
    <cellStyle name="Финансовый 79 3" xfId="54225"/>
    <cellStyle name="Финансовый 79 3 2" xfId="54226"/>
    <cellStyle name="Финансовый 79 4" xfId="54227"/>
    <cellStyle name="Финансовый 79 4 2" xfId="54228"/>
    <cellStyle name="Финансовый 79 5" xfId="54229"/>
    <cellStyle name="Финансовый 8" xfId="54230"/>
    <cellStyle name="Финансовый 8 2" xfId="54231"/>
    <cellStyle name="Финансовый 8 2 2" xfId="54232"/>
    <cellStyle name="Финансовый 8 2 3" xfId="54233"/>
    <cellStyle name="Финансовый 8 3" xfId="54234"/>
    <cellStyle name="Финансовый 8 3 2" xfId="54235"/>
    <cellStyle name="Финансовый 8 3 3" xfId="54236"/>
    <cellStyle name="Финансовый 8 4" xfId="54237"/>
    <cellStyle name="Финансовый 8 5" xfId="54238"/>
    <cellStyle name="Финансовый 8 6" xfId="54239"/>
    <cellStyle name="Финансовый 8_MBKK_mar_2010_22_04_10" xfId="54240"/>
    <cellStyle name="Финансовый 80" xfId="54241"/>
    <cellStyle name="Финансовый 80 2" xfId="54242"/>
    <cellStyle name="Финансовый 81" xfId="54243"/>
    <cellStyle name="Финансовый 81 2" xfId="54244"/>
    <cellStyle name="Финансовый 82" xfId="54245"/>
    <cellStyle name="Финансовый 82 2" xfId="54246"/>
    <cellStyle name="Финансовый 82 2 2" xfId="54247"/>
    <cellStyle name="Финансовый 82 2 2 2" xfId="54248"/>
    <cellStyle name="Финансовый 82 3" xfId="54249"/>
    <cellStyle name="Финансовый 82 3 2" xfId="54250"/>
    <cellStyle name="Финансовый 82 3 2 2" xfId="54251"/>
    <cellStyle name="Финансовый 82 3 3" xfId="54252"/>
    <cellStyle name="Финансовый 82 4" xfId="54253"/>
    <cellStyle name="Финансовый 82 4 2" xfId="54254"/>
    <cellStyle name="Финансовый 82 5" xfId="54255"/>
    <cellStyle name="Финансовый 83" xfId="54256"/>
    <cellStyle name="Финансовый 83 2" xfId="54257"/>
    <cellStyle name="Финансовый 83 2 2" xfId="54258"/>
    <cellStyle name="Финансовый 83 2 2 2" xfId="54259"/>
    <cellStyle name="Финансовый 83 2 3" xfId="54260"/>
    <cellStyle name="Финансовый 83 3" xfId="54261"/>
    <cellStyle name="Финансовый 83 3 2" xfId="54262"/>
    <cellStyle name="Финансовый 83 3 2 2" xfId="54263"/>
    <cellStyle name="Финансовый 83 3 3" xfId="54264"/>
    <cellStyle name="Финансовый 83 4" xfId="54265"/>
    <cellStyle name="Финансовый 83 4 2" xfId="54266"/>
    <cellStyle name="Финансовый 83 5" xfId="54267"/>
    <cellStyle name="Финансовый 84" xfId="54268"/>
    <cellStyle name="Финансовый 84 2" xfId="54269"/>
    <cellStyle name="Финансовый 84 2 2" xfId="54270"/>
    <cellStyle name="Финансовый 84 2 2 2" xfId="54271"/>
    <cellStyle name="Финансовый 84 2 3" xfId="54272"/>
    <cellStyle name="Финансовый 84 3" xfId="54273"/>
    <cellStyle name="Финансовый 84 3 2" xfId="54274"/>
    <cellStyle name="Финансовый 84 4" xfId="54275"/>
    <cellStyle name="Финансовый 85" xfId="54276"/>
    <cellStyle name="Финансовый 85 2" xfId="54277"/>
    <cellStyle name="Финансовый 85 2 2" xfId="54278"/>
    <cellStyle name="Финансовый 85 2 2 2" xfId="54279"/>
    <cellStyle name="Финансовый 85 2 2 2 2" xfId="54280"/>
    <cellStyle name="Финансовый 85 2 2 3" xfId="54281"/>
    <cellStyle name="Финансовый 85 2 3" xfId="54282"/>
    <cellStyle name="Финансовый 85 2 3 2" xfId="54283"/>
    <cellStyle name="Финансовый 85 2 4" xfId="54284"/>
    <cellStyle name="Финансовый 85 3" xfId="54285"/>
    <cellStyle name="Финансовый 85 3 2" xfId="54286"/>
    <cellStyle name="Финансовый 85 3 2 2" xfId="54287"/>
    <cellStyle name="Финансовый 85 3 3" xfId="54288"/>
    <cellStyle name="Финансовый 85 3 3 2" xfId="54289"/>
    <cellStyle name="Финансовый 85 3 4" xfId="54290"/>
    <cellStyle name="Финансовый 85 4" xfId="54291"/>
    <cellStyle name="Финансовый 85 4 2" xfId="54292"/>
    <cellStyle name="Финансовый 85 5" xfId="54293"/>
    <cellStyle name="Финансовый 85 5 2" xfId="54294"/>
    <cellStyle name="Финансовый 85 6" xfId="54295"/>
    <cellStyle name="Финансовый 86" xfId="54296"/>
    <cellStyle name="Финансовый 86 2" xfId="54297"/>
    <cellStyle name="Финансовый 86 2 2" xfId="54298"/>
    <cellStyle name="Финансовый 86 2 2 2" xfId="54299"/>
    <cellStyle name="Финансовый 86 2 2 2 2" xfId="54300"/>
    <cellStyle name="Финансовый 86 2 2 3" xfId="54301"/>
    <cellStyle name="Финансовый 86 2 3" xfId="54302"/>
    <cellStyle name="Финансовый 86 2 3 2" xfId="54303"/>
    <cellStyle name="Финансовый 86 2 4" xfId="54304"/>
    <cellStyle name="Финансовый 86 3" xfId="54305"/>
    <cellStyle name="Финансовый 87" xfId="54306"/>
    <cellStyle name="Финансовый 87 2" xfId="54307"/>
    <cellStyle name="Финансовый 87 2 2" xfId="54308"/>
    <cellStyle name="Финансовый 87 2 2 2" xfId="54309"/>
    <cellStyle name="Финансовый 87 2 2 2 2" xfId="54310"/>
    <cellStyle name="Финансовый 87 2 2 3" xfId="54311"/>
    <cellStyle name="Финансовый 87 2 3" xfId="54312"/>
    <cellStyle name="Финансовый 87 2 3 2" xfId="54313"/>
    <cellStyle name="Финансовый 87 2 4" xfId="54314"/>
    <cellStyle name="Финансовый 87 3" xfId="54315"/>
    <cellStyle name="Финансовый 88" xfId="54316"/>
    <cellStyle name="Финансовый 88 2" xfId="54317"/>
    <cellStyle name="Финансовый 88 2 2" xfId="54318"/>
    <cellStyle name="Финансовый 88 2 2 2" xfId="54319"/>
    <cellStyle name="Финансовый 88 2 3" xfId="54320"/>
    <cellStyle name="Финансовый 88 3" xfId="54321"/>
    <cellStyle name="Финансовый 88 3 2" xfId="54322"/>
    <cellStyle name="Финансовый 88 4" xfId="54323"/>
    <cellStyle name="Финансовый 89" xfId="54324"/>
    <cellStyle name="Финансовый 89 2" xfId="54325"/>
    <cellStyle name="Финансовый 89 2 2" xfId="54326"/>
    <cellStyle name="Финансовый 89 2 2 2" xfId="54327"/>
    <cellStyle name="Финансовый 89 2 2 2 2" xfId="54328"/>
    <cellStyle name="Финансовый 89 2 2 3" xfId="54329"/>
    <cellStyle name="Финансовый 89 2 3" xfId="54330"/>
    <cellStyle name="Финансовый 89 2 3 2" xfId="54331"/>
    <cellStyle name="Финансовый 89 2 4" xfId="54332"/>
    <cellStyle name="Финансовый 89 3" xfId="54333"/>
    <cellStyle name="Финансовый 9" xfId="54334"/>
    <cellStyle name="Финансовый 9 10" xfId="54335"/>
    <cellStyle name="Финансовый 9 10 2" xfId="54336"/>
    <cellStyle name="Финансовый 9 10 2 2" xfId="54337"/>
    <cellStyle name="Финансовый 9 10 2 2 2" xfId="54338"/>
    <cellStyle name="Финансовый 9 10 2 3" xfId="54339"/>
    <cellStyle name="Финансовый 9 10 3" xfId="54340"/>
    <cellStyle name="Финансовый 9 10 3 2" xfId="54341"/>
    <cellStyle name="Финансовый 9 10 3 2 2" xfId="54342"/>
    <cellStyle name="Финансовый 9 10 3 3" xfId="54343"/>
    <cellStyle name="Финансовый 9 10 4" xfId="54344"/>
    <cellStyle name="Финансовый 9 10 4 2" xfId="54345"/>
    <cellStyle name="Финансовый 9 10 5" xfId="54346"/>
    <cellStyle name="Финансовый 9 10 5 2" xfId="54347"/>
    <cellStyle name="Финансовый 9 10 6" xfId="54348"/>
    <cellStyle name="Финансовый 9 11" xfId="54349"/>
    <cellStyle name="Финансовый 9 11 2" xfId="54350"/>
    <cellStyle name="Финансовый 9 11 2 2" xfId="54351"/>
    <cellStyle name="Финансовый 9 11 3" xfId="54352"/>
    <cellStyle name="Финансовый 9 11 3 2" xfId="54353"/>
    <cellStyle name="Финансовый 9 11 4" xfId="54354"/>
    <cellStyle name="Финансовый 9 12" xfId="54355"/>
    <cellStyle name="Финансовый 9 12 2" xfId="54356"/>
    <cellStyle name="Финансовый 9 12 2 2" xfId="54357"/>
    <cellStyle name="Финансовый 9 13" xfId="54358"/>
    <cellStyle name="Финансовый 9 13 2" xfId="54359"/>
    <cellStyle name="Финансовый 9 14" xfId="54360"/>
    <cellStyle name="Финансовый 9 15" xfId="54361"/>
    <cellStyle name="Финансовый 9 2" xfId="54362"/>
    <cellStyle name="Финансовый 9 2 2" xfId="54363"/>
    <cellStyle name="Финансовый 9 2 2 2" xfId="54364"/>
    <cellStyle name="Финансовый 9 2 2 2 2" xfId="54365"/>
    <cellStyle name="Финансовый 9 2 2 2 2 2" xfId="54366"/>
    <cellStyle name="Финансовый 9 2 2 2 3" xfId="54367"/>
    <cellStyle name="Финансовый 9 2 2 2 3 2" xfId="54368"/>
    <cellStyle name="Финансовый 9 2 2 2 4" xfId="54369"/>
    <cellStyle name="Финансовый 9 2 2 3" xfId="54370"/>
    <cellStyle name="Финансовый 9 2 2 3 2" xfId="54371"/>
    <cellStyle name="Финансовый 9 2 2 3 2 2" xfId="54372"/>
    <cellStyle name="Финансовый 9 2 2 3 2 2 2" xfId="54373"/>
    <cellStyle name="Финансовый 9 2 2 3 2 3" xfId="54374"/>
    <cellStyle name="Финансовый 9 2 2 3 3" xfId="54375"/>
    <cellStyle name="Финансовый 9 2 2 3 3 2" xfId="54376"/>
    <cellStyle name="Финансовый 9 2 2 3 3 2 2" xfId="54377"/>
    <cellStyle name="Финансовый 9 2 2 3 3 3" xfId="54378"/>
    <cellStyle name="Финансовый 9 2 2 3 4" xfId="54379"/>
    <cellStyle name="Финансовый 9 2 2 3 4 2" xfId="54380"/>
    <cellStyle name="Финансовый 9 2 2 3 5" xfId="54381"/>
    <cellStyle name="Финансовый 9 2 2 3 5 2" xfId="54382"/>
    <cellStyle name="Финансовый 9 2 2 3 6" xfId="54383"/>
    <cellStyle name="Финансовый 9 2 2 4" xfId="54384"/>
    <cellStyle name="Финансовый 9 2 2 4 2" xfId="54385"/>
    <cellStyle name="Финансовый 9 2 2 4 2 2" xfId="54386"/>
    <cellStyle name="Финансовый 9 2 2 4 3" xfId="54387"/>
    <cellStyle name="Финансовый 9 2 2 4 3 2" xfId="54388"/>
    <cellStyle name="Финансовый 9 2 2 4 4" xfId="54389"/>
    <cellStyle name="Финансовый 9 2 2 5" xfId="54390"/>
    <cellStyle name="Финансовый 9 2 2 5 2" xfId="54391"/>
    <cellStyle name="Финансовый 9 2 2 5 2 2" xfId="54392"/>
    <cellStyle name="Финансовый 9 2 2 5 3" xfId="54393"/>
    <cellStyle name="Финансовый 9 2 2 6" xfId="54394"/>
    <cellStyle name="Финансовый 9 2 2 6 2" xfId="54395"/>
    <cellStyle name="Финансовый 9 2 2 7" xfId="54396"/>
    <cellStyle name="Финансовый 9 2 2 7 2" xfId="54397"/>
    <cellStyle name="Финансовый 9 2 2 8" xfId="54398"/>
    <cellStyle name="Финансовый 9 2 3" xfId="54399"/>
    <cellStyle name="Финансовый 9 2 3 2" xfId="54400"/>
    <cellStyle name="Финансовый 9 2 3 2 2" xfId="54401"/>
    <cellStyle name="Финансовый 9 2 3 2 2 2" xfId="54402"/>
    <cellStyle name="Финансовый 9 2 3 2 2 2 2" xfId="54403"/>
    <cellStyle name="Финансовый 9 2 3 2 2 3" xfId="54404"/>
    <cellStyle name="Финансовый 9 2 3 2 3" xfId="54405"/>
    <cellStyle name="Финансовый 9 2 3 2 3 2" xfId="54406"/>
    <cellStyle name="Финансовый 9 2 3 2 3 2 2" xfId="54407"/>
    <cellStyle name="Финансовый 9 2 3 2 3 3" xfId="54408"/>
    <cellStyle name="Финансовый 9 2 3 2 4" xfId="54409"/>
    <cellStyle name="Финансовый 9 2 3 2 4 2" xfId="54410"/>
    <cellStyle name="Финансовый 9 2 3 2 5" xfId="54411"/>
    <cellStyle name="Финансовый 9 2 3 2 5 2" xfId="54412"/>
    <cellStyle name="Финансовый 9 2 3 2 6" xfId="54413"/>
    <cellStyle name="Финансовый 9 2 3 3" xfId="54414"/>
    <cellStyle name="Финансовый 9 2 3 3 2" xfId="54415"/>
    <cellStyle name="Финансовый 9 2 3 3 2 2" xfId="54416"/>
    <cellStyle name="Финансовый 9 2 3 3 2 2 2" xfId="54417"/>
    <cellStyle name="Финансовый 9 2 3 3 2 3" xfId="54418"/>
    <cellStyle name="Финансовый 9 2 3 3 3" xfId="54419"/>
    <cellStyle name="Финансовый 9 2 3 3 3 2" xfId="54420"/>
    <cellStyle name="Финансовый 9 2 3 3 3 2 2" xfId="54421"/>
    <cellStyle name="Финансовый 9 2 3 3 3 3" xfId="54422"/>
    <cellStyle name="Финансовый 9 2 3 3 4" xfId="54423"/>
    <cellStyle name="Финансовый 9 2 3 3 4 2" xfId="54424"/>
    <cellStyle name="Финансовый 9 2 3 3 5" xfId="54425"/>
    <cellStyle name="Финансовый 9 2 3 4" xfId="54426"/>
    <cellStyle name="Финансовый 9 2 3 4 2" xfId="54427"/>
    <cellStyle name="Финансовый 9 2 3 4 2 2" xfId="54428"/>
    <cellStyle name="Финансовый 9 2 3 4 3" xfId="54429"/>
    <cellStyle name="Финансовый 9 2 3 5" xfId="54430"/>
    <cellStyle name="Финансовый 9 2 3 5 2" xfId="54431"/>
    <cellStyle name="Финансовый 9 2 3 5 2 2" xfId="54432"/>
    <cellStyle name="Финансовый 9 2 3 5 3" xfId="54433"/>
    <cellStyle name="Финансовый 9 2 3 6" xfId="54434"/>
    <cellStyle name="Финансовый 9 2 3 6 2" xfId="54435"/>
    <cellStyle name="Финансовый 9 2 3 7" xfId="54436"/>
    <cellStyle name="Финансовый 9 2 3 8" xfId="54437"/>
    <cellStyle name="Финансовый 9 2 4" xfId="54438"/>
    <cellStyle name="Финансовый 9 2 4 2" xfId="54439"/>
    <cellStyle name="Финансовый 9 2 4 2 2" xfId="54440"/>
    <cellStyle name="Финансовый 9 2 4 2 2 2" xfId="54441"/>
    <cellStyle name="Финансовый 9 2 4 2 3" xfId="54442"/>
    <cellStyle name="Финансовый 9 2 4 2 3 2" xfId="54443"/>
    <cellStyle name="Финансовый 9 2 4 2 4" xfId="54444"/>
    <cellStyle name="Финансовый 9 2 4 3" xfId="54445"/>
    <cellStyle name="Финансовый 9 2 4 3 2" xfId="54446"/>
    <cellStyle name="Финансовый 9 2 4 3 2 2" xfId="54447"/>
    <cellStyle name="Финансовый 9 2 4 3 3" xfId="54448"/>
    <cellStyle name="Финансовый 9 2 4 4" xfId="54449"/>
    <cellStyle name="Финансовый 9 2 4 4 2" xfId="54450"/>
    <cellStyle name="Финансовый 9 2 4 5" xfId="54451"/>
    <cellStyle name="Финансовый 9 2 4 5 2" xfId="54452"/>
    <cellStyle name="Финансовый 9 2 4 6" xfId="54453"/>
    <cellStyle name="Финансовый 9 2 5" xfId="54454"/>
    <cellStyle name="Финансовый 9 2 5 2" xfId="54455"/>
    <cellStyle name="Финансовый 9 2 6" xfId="54456"/>
    <cellStyle name="Финансовый 9 2 6 2" xfId="54457"/>
    <cellStyle name="Финансовый 9 2 7" xfId="54458"/>
    <cellStyle name="Финансовый 9 3" xfId="54459"/>
    <cellStyle name="Финансовый 9 3 2" xfId="54460"/>
    <cellStyle name="Финансовый 9 3 2 2" xfId="54461"/>
    <cellStyle name="Финансовый 9 3 2 2 2" xfId="54462"/>
    <cellStyle name="Финансовый 9 3 2 3" xfId="54463"/>
    <cellStyle name="Финансовый 9 3 2 3 2" xfId="54464"/>
    <cellStyle name="Финансовый 9 3 2 4" xfId="54465"/>
    <cellStyle name="Финансовый 9 3 3" xfId="54466"/>
    <cellStyle name="Финансовый 9 3 3 2" xfId="54467"/>
    <cellStyle name="Финансовый 9 3 3 2 2" xfId="54468"/>
    <cellStyle name="Финансовый 9 3 3 2 2 2" xfId="54469"/>
    <cellStyle name="Финансовый 9 3 3 2 3" xfId="54470"/>
    <cellStyle name="Финансовый 9 3 3 3" xfId="54471"/>
    <cellStyle name="Финансовый 9 3 3 3 2" xfId="54472"/>
    <cellStyle name="Финансовый 9 3 3 3 2 2" xfId="54473"/>
    <cellStyle name="Финансовый 9 3 3 3 3" xfId="54474"/>
    <cellStyle name="Финансовый 9 3 3 4" xfId="54475"/>
    <cellStyle name="Финансовый 9 3 3 4 2" xfId="54476"/>
    <cellStyle name="Финансовый 9 3 3 5" xfId="54477"/>
    <cellStyle name="Финансовый 9 3 3 6" xfId="54478"/>
    <cellStyle name="Финансовый 9 3 4" xfId="54479"/>
    <cellStyle name="Финансовый 9 3 4 2" xfId="54480"/>
    <cellStyle name="Финансовый 9 3 4 2 2" xfId="54481"/>
    <cellStyle name="Финансовый 9 3 4 3" xfId="54482"/>
    <cellStyle name="Финансовый 9 3 4 3 2" xfId="54483"/>
    <cellStyle name="Финансовый 9 3 4 4" xfId="54484"/>
    <cellStyle name="Финансовый 9 3 5" xfId="54485"/>
    <cellStyle name="Финансовый 9 3 5 2" xfId="54486"/>
    <cellStyle name="Финансовый 9 3 5 2 2" xfId="54487"/>
    <cellStyle name="Финансовый 9 3 5 3" xfId="54488"/>
    <cellStyle name="Финансовый 9 3 6" xfId="54489"/>
    <cellStyle name="Финансовый 9 3 6 2" xfId="54490"/>
    <cellStyle name="Финансовый 9 3 7" xfId="54491"/>
    <cellStyle name="Финансовый 9 3 7 2" xfId="54492"/>
    <cellStyle name="Финансовый 9 4" xfId="54493"/>
    <cellStyle name="Финансовый 9 4 2" xfId="54494"/>
    <cellStyle name="Финансовый 9 4 2 2" xfId="54495"/>
    <cellStyle name="Финансовый 9 4 2 2 2" xfId="54496"/>
    <cellStyle name="Финансовый 9 4 2 2 2 2" xfId="54497"/>
    <cellStyle name="Финансовый 9 4 2 2 3" xfId="54498"/>
    <cellStyle name="Финансовый 9 4 2 3" xfId="54499"/>
    <cellStyle name="Финансовый 9 4 2 3 2" xfId="54500"/>
    <cellStyle name="Финансовый 9 4 2 3 2 2" xfId="54501"/>
    <cellStyle name="Финансовый 9 4 2 3 3" xfId="54502"/>
    <cellStyle name="Финансовый 9 4 2 4" xfId="54503"/>
    <cellStyle name="Финансовый 9 4 2 4 2" xfId="54504"/>
    <cellStyle name="Финансовый 9 4 2 5" xfId="54505"/>
    <cellStyle name="Финансовый 9 4 2 5 2" xfId="54506"/>
    <cellStyle name="Финансовый 9 4 2 6" xfId="54507"/>
    <cellStyle name="Финансовый 9 4 3" xfId="54508"/>
    <cellStyle name="Финансовый 9 4 3 2" xfId="54509"/>
    <cellStyle name="Финансовый 9 4 3 2 2" xfId="54510"/>
    <cellStyle name="Финансовый 9 4 3 2 2 2" xfId="54511"/>
    <cellStyle name="Финансовый 9 4 3 2 3" xfId="54512"/>
    <cellStyle name="Финансовый 9 4 3 3" xfId="54513"/>
    <cellStyle name="Финансовый 9 4 3 3 2" xfId="54514"/>
    <cellStyle name="Финансовый 9 4 3 3 2 2" xfId="54515"/>
    <cellStyle name="Финансовый 9 4 3 3 3" xfId="54516"/>
    <cellStyle name="Финансовый 9 4 3 4" xfId="54517"/>
    <cellStyle name="Финансовый 9 4 3 4 2" xfId="54518"/>
    <cellStyle name="Финансовый 9 4 3 5" xfId="54519"/>
    <cellStyle name="Финансовый 9 4 3 5 2" xfId="54520"/>
    <cellStyle name="Финансовый 9 4 3 6" xfId="54521"/>
    <cellStyle name="Финансовый 9 4 4" xfId="54522"/>
    <cellStyle name="Финансовый 9 4 4 2" xfId="54523"/>
    <cellStyle name="Финансовый 9 4 4 2 2" xfId="54524"/>
    <cellStyle name="Финансовый 9 4 4 3" xfId="54525"/>
    <cellStyle name="Финансовый 9 4 5" xfId="54526"/>
    <cellStyle name="Финансовый 9 4 5 2" xfId="54527"/>
    <cellStyle name="Финансовый 9 4 5 2 2" xfId="54528"/>
    <cellStyle name="Финансовый 9 4 5 3" xfId="54529"/>
    <cellStyle name="Финансовый 9 4 6" xfId="54530"/>
    <cellStyle name="Финансовый 9 4 6 2" xfId="54531"/>
    <cellStyle name="Финансовый 9 4 7" xfId="54532"/>
    <cellStyle name="Финансовый 9 4 7 2" xfId="54533"/>
    <cellStyle name="Финансовый 9 4 8" xfId="54534"/>
    <cellStyle name="Финансовый 9 5" xfId="54535"/>
    <cellStyle name="Финансовый 9 5 2" xfId="54536"/>
    <cellStyle name="Финансовый 9 5 2 2" xfId="54537"/>
    <cellStyle name="Финансовый 9 5 2 2 2" xfId="54538"/>
    <cellStyle name="Финансовый 9 5 2 3" xfId="54539"/>
    <cellStyle name="Финансовый 9 5 3" xfId="54540"/>
    <cellStyle name="Финансовый 9 5 3 2" xfId="54541"/>
    <cellStyle name="Финансовый 9 5 3 2 2" xfId="54542"/>
    <cellStyle name="Финансовый 9 5 3 3" xfId="54543"/>
    <cellStyle name="Финансовый 9 5 4" xfId="54544"/>
    <cellStyle name="Финансовый 9 5 4 2" xfId="54545"/>
    <cellStyle name="Финансовый 9 5 5" xfId="54546"/>
    <cellStyle name="Финансовый 9 5 5 2" xfId="54547"/>
    <cellStyle name="Финансовый 9 5 6" xfId="54548"/>
    <cellStyle name="Финансовый 9 6" xfId="54549"/>
    <cellStyle name="Финансовый 9 6 2" xfId="54550"/>
    <cellStyle name="Финансовый 9 6 2 2" xfId="54551"/>
    <cellStyle name="Финансовый 9 6 2 2 2" xfId="54552"/>
    <cellStyle name="Финансовый 9 6 2 3" xfId="54553"/>
    <cellStyle name="Финансовый 9 6 3" xfId="54554"/>
    <cellStyle name="Финансовый 9 6 3 2" xfId="54555"/>
    <cellStyle name="Финансовый 9 6 3 2 2" xfId="54556"/>
    <cellStyle name="Финансовый 9 6 3 3" xfId="54557"/>
    <cellStyle name="Финансовый 9 6 4" xfId="54558"/>
    <cellStyle name="Финансовый 9 6 4 2" xfId="54559"/>
    <cellStyle name="Финансовый 9 6 5" xfId="54560"/>
    <cellStyle name="Финансовый 9 6 5 2" xfId="54561"/>
    <cellStyle name="Финансовый 9 6 6" xfId="54562"/>
    <cellStyle name="Финансовый 9 7" xfId="54563"/>
    <cellStyle name="Финансовый 9 7 2" xfId="54564"/>
    <cellStyle name="Финансовый 9 7 2 2" xfId="54565"/>
    <cellStyle name="Финансовый 9 7 2 2 2" xfId="54566"/>
    <cellStyle name="Финансовый 9 7 2 3" xfId="54567"/>
    <cellStyle name="Финансовый 9 7 3" xfId="54568"/>
    <cellStyle name="Финансовый 9 7 3 2" xfId="54569"/>
    <cellStyle name="Финансовый 9 7 3 2 2" xfId="54570"/>
    <cellStyle name="Финансовый 9 7 3 3" xfId="54571"/>
    <cellStyle name="Финансовый 9 7 4" xfId="54572"/>
    <cellStyle name="Финансовый 9 7 4 2" xfId="54573"/>
    <cellStyle name="Финансовый 9 7 5" xfId="54574"/>
    <cellStyle name="Финансовый 9 7 5 2" xfId="54575"/>
    <cellStyle name="Финансовый 9 7 6" xfId="54576"/>
    <cellStyle name="Финансовый 9 8" xfId="54577"/>
    <cellStyle name="Финансовый 9 8 2" xfId="54578"/>
    <cellStyle name="Финансовый 9 8 2 2" xfId="54579"/>
    <cellStyle name="Финансовый 9 8 2 2 2" xfId="54580"/>
    <cellStyle name="Финансовый 9 8 2 3" xfId="54581"/>
    <cellStyle name="Финансовый 9 8 3" xfId="54582"/>
    <cellStyle name="Финансовый 9 8 3 2" xfId="54583"/>
    <cellStyle name="Финансовый 9 8 3 2 2" xfId="54584"/>
    <cellStyle name="Финансовый 9 8 3 3" xfId="54585"/>
    <cellStyle name="Финансовый 9 8 4" xfId="54586"/>
    <cellStyle name="Финансовый 9 8 4 2" xfId="54587"/>
    <cellStyle name="Финансовый 9 8 5" xfId="54588"/>
    <cellStyle name="Финансовый 9 8 5 2" xfId="54589"/>
    <cellStyle name="Финансовый 9 8 6" xfId="54590"/>
    <cellStyle name="Финансовый 9 9" xfId="54591"/>
    <cellStyle name="Финансовый 9 9 2" xfId="54592"/>
    <cellStyle name="Финансовый 9 9 2 2" xfId="54593"/>
    <cellStyle name="Финансовый 9 9 2 2 2" xfId="54594"/>
    <cellStyle name="Финансовый 9 9 2 3" xfId="54595"/>
    <cellStyle name="Финансовый 9 9 3" xfId="54596"/>
    <cellStyle name="Финансовый 9 9 3 2" xfId="54597"/>
    <cellStyle name="Финансовый 9 9 3 2 2" xfId="54598"/>
    <cellStyle name="Финансовый 9 9 3 3" xfId="54599"/>
    <cellStyle name="Финансовый 9 9 4" xfId="54600"/>
    <cellStyle name="Финансовый 9 9 4 2" xfId="54601"/>
    <cellStyle name="Финансовый 9 9 5" xfId="54602"/>
    <cellStyle name="Финансовый 9 9 5 2" xfId="54603"/>
    <cellStyle name="Финансовый 9 9 6" xfId="54604"/>
    <cellStyle name="Финансовый 90" xfId="54605"/>
    <cellStyle name="Финансовый 90 2" xfId="54606"/>
    <cellStyle name="Финансовый 90 2 2" xfId="54607"/>
    <cellStyle name="Финансовый 90 3" xfId="54608"/>
    <cellStyle name="Финансовый 90 3 2" xfId="54609"/>
    <cellStyle name="Финансовый 90 4" xfId="54610"/>
    <cellStyle name="Финансовый 91" xfId="54611"/>
    <cellStyle name="Финансовый 91 2" xfId="54612"/>
    <cellStyle name="Финансовый 92" xfId="54613"/>
    <cellStyle name="Финансовый 92 2" xfId="54614"/>
    <cellStyle name="Финансовый 93" xfId="54615"/>
    <cellStyle name="Финансовый 94" xfId="54616"/>
    <cellStyle name="Финансовый 94 2" xfId="54617"/>
    <cellStyle name="Финансовый 95" xfId="54618"/>
    <cellStyle name="Финансовый 95 2" xfId="54619"/>
    <cellStyle name="Финансовый 96" xfId="54620"/>
    <cellStyle name="Финансовый 97" xfId="54621"/>
    <cellStyle name="Финансовый 97 2" xfId="54622"/>
    <cellStyle name="Финансовый 98" xfId="54623"/>
    <cellStyle name="Финансовый 98 2" xfId="54624"/>
    <cellStyle name="Финансовый 99" xfId="54625"/>
    <cellStyle name="Хороший 2" xfId="54626"/>
    <cellStyle name="Хороший 2 2" xfId="54627"/>
    <cellStyle name="Хороший 3" xfId="54628"/>
    <cellStyle name="Хороший 4" xfId="54629"/>
    <cellStyle name="Хороший 5" xfId="54630"/>
    <cellStyle name="Хороший 6" xfId="54631"/>
    <cellStyle name="Черта" xfId="54632"/>
    <cellStyle name="ЏђЋ–…Ќ’Ќ›‰" xfId="54633"/>
    <cellStyle name="Шапка" xfId="54634"/>
    <cellStyle name="Шапка 2" xfId="54635"/>
    <cellStyle name="Шапка 2 2" xfId="54636"/>
    <cellStyle name="Шапка 3" xfId="54637"/>
    <cellStyle name="뷭?_빟랹둴봃섟 " xfId="6"/>
    <cellStyle name="콤마 [0]_ 견적기준 FLOW " xfId="7"/>
    <cellStyle name="콤마_ 견적기준 FLOW " xfId="8"/>
    <cellStyle name="標準_0009E" xfId="54638"/>
  </cellStyles>
  <dxfs count="4">
    <dxf>
      <fill>
        <patternFill>
          <bgColor rgb="FF00B050"/>
        </patternFill>
      </fill>
    </dxf>
    <dxf>
      <fill>
        <patternFill>
          <bgColor rgb="FF00B050"/>
        </patternFill>
      </fill>
    </dxf>
    <dxf>
      <fill>
        <patternFill>
          <bgColor indexed="62"/>
        </patternFill>
      </fill>
    </dxf>
    <dxf>
      <fill>
        <patternFill>
          <bgColor rgb="FF92D05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188451665000178E-2"/>
          <c:y val="5.7029245709878815E-2"/>
          <c:w val="0.86568368218069758"/>
          <c:h val="0.85379596876831898"/>
        </c:manualLayout>
      </c:layout>
      <c:lineChart>
        <c:grouping val="standard"/>
        <c:varyColors val="0"/>
        <c:ser>
          <c:idx val="5"/>
          <c:order val="0"/>
          <c:tx>
            <c:strRef>
              <c:f>длительность!$AA$76</c:f>
              <c:strCache>
                <c:ptCount val="1"/>
                <c:pt idx="0">
                  <c:v> 20   </c:v>
                </c:pt>
              </c:strCache>
            </c:strRef>
          </c:tx>
          <c:val>
            <c:numRef>
              <c:f>длительность!$AB$76:$AH$76</c:f>
              <c:numCache>
                <c:formatCode>_-* #\ ##0\ _₽_-;\-* #\ ##0\ _₽_-;_-* "-"??\ _₽_-;_-@_-</c:formatCode>
                <c:ptCount val="7"/>
                <c:pt idx="0">
                  <c:v>217.5</c:v>
                </c:pt>
                <c:pt idx="1">
                  <c:v>237.27272727272728</c:v>
                </c:pt>
                <c:pt idx="2">
                  <c:v>248.57142857142858</c:v>
                </c:pt>
                <c:pt idx="3">
                  <c:v>290</c:v>
                </c:pt>
                <c:pt idx="4">
                  <c:v>304.5</c:v>
                </c:pt>
                <c:pt idx="5">
                  <c:v>326.25</c:v>
                </c:pt>
                <c:pt idx="6">
                  <c:v>362.5</c:v>
                </c:pt>
              </c:numCache>
            </c:numRef>
          </c:val>
          <c:smooth val="0"/>
          <c:extLst>
            <c:ext xmlns:c16="http://schemas.microsoft.com/office/drawing/2014/chart" uri="{C3380CC4-5D6E-409C-BE32-E72D297353CC}">
              <c16:uniqueId val="{00000000-862E-4BE7-9A9D-A2C8F738261A}"/>
            </c:ext>
          </c:extLst>
        </c:ser>
        <c:ser>
          <c:idx val="9"/>
          <c:order val="1"/>
          <c:tx>
            <c:strRef>
              <c:f>длительность!$AA$69</c:f>
              <c:strCache>
                <c:ptCount val="1"/>
                <c:pt idx="0">
                  <c:v> 20   </c:v>
                </c:pt>
              </c:strCache>
            </c:strRef>
          </c:tx>
          <c:val>
            <c:numRef>
              <c:f>длительность!$AB$69:$AH$69</c:f>
              <c:numCache>
                <c:formatCode>_-* #\ ##0\ _₽_-;\-* #\ ##0\ _₽_-;_-* "-"??\ _₽_-;_-@_-</c:formatCode>
                <c:ptCount val="7"/>
                <c:pt idx="0">
                  <c:v>217.5</c:v>
                </c:pt>
                <c:pt idx="1">
                  <c:v>236.02179962894252</c:v>
                </c:pt>
                <c:pt idx="2">
                  <c:v>259.91048237476809</c:v>
                </c:pt>
                <c:pt idx="3">
                  <c:v>283.79916512059373</c:v>
                </c:pt>
                <c:pt idx="4">
                  <c:v>307.6878478664193</c:v>
                </c:pt>
                <c:pt idx="5">
                  <c:v>331.57653061224494</c:v>
                </c:pt>
                <c:pt idx="6">
                  <c:v>362.5</c:v>
                </c:pt>
              </c:numCache>
            </c:numRef>
          </c:val>
          <c:smooth val="0"/>
          <c:extLst>
            <c:ext xmlns:c16="http://schemas.microsoft.com/office/drawing/2014/chart" uri="{C3380CC4-5D6E-409C-BE32-E72D297353CC}">
              <c16:uniqueId val="{00000001-862E-4BE7-9A9D-A2C8F738261A}"/>
            </c:ext>
          </c:extLst>
        </c:ser>
        <c:ser>
          <c:idx val="0"/>
          <c:order val="2"/>
          <c:tx>
            <c:v>20</c:v>
          </c:tx>
          <c:val>
            <c:numRef>
              <c:f>длительность!$AL$76:$AR$76</c:f>
              <c:numCache>
                <c:formatCode>_-* #\ ##0\ _₽_-;\-* #\ ##0\ _₽_-;_-* "-"??\ _₽_-;_-@_-</c:formatCode>
                <c:ptCount val="7"/>
                <c:pt idx="0">
                  <c:v>222</c:v>
                </c:pt>
                <c:pt idx="1">
                  <c:v>239</c:v>
                </c:pt>
                <c:pt idx="2">
                  <c:v>257</c:v>
                </c:pt>
                <c:pt idx="3">
                  <c:v>274</c:v>
                </c:pt>
                <c:pt idx="4">
                  <c:v>309</c:v>
                </c:pt>
                <c:pt idx="5">
                  <c:v>327</c:v>
                </c:pt>
                <c:pt idx="6">
                  <c:v>353</c:v>
                </c:pt>
              </c:numCache>
            </c:numRef>
          </c:val>
          <c:smooth val="0"/>
          <c:extLst>
            <c:ext xmlns:c16="http://schemas.microsoft.com/office/drawing/2014/chart" uri="{C3380CC4-5D6E-409C-BE32-E72D297353CC}">
              <c16:uniqueId val="{00000002-862E-4BE7-9A9D-A2C8F738261A}"/>
            </c:ext>
          </c:extLst>
        </c:ser>
        <c:dLbls>
          <c:showLegendKey val="0"/>
          <c:showVal val="0"/>
          <c:showCatName val="0"/>
          <c:showSerName val="0"/>
          <c:showPercent val="0"/>
          <c:showBubbleSize val="0"/>
        </c:dLbls>
        <c:marker val="1"/>
        <c:smooth val="0"/>
        <c:axId val="163259904"/>
        <c:axId val="163261440"/>
      </c:lineChart>
      <c:catAx>
        <c:axId val="163259904"/>
        <c:scaling>
          <c:orientation val="minMax"/>
        </c:scaling>
        <c:delete val="0"/>
        <c:axPos val="b"/>
        <c:majorTickMark val="out"/>
        <c:minorTickMark val="none"/>
        <c:tickLblPos val="nextTo"/>
        <c:crossAx val="163261440"/>
        <c:crosses val="autoZero"/>
        <c:auto val="1"/>
        <c:lblAlgn val="ctr"/>
        <c:lblOffset val="100"/>
        <c:noMultiLvlLbl val="0"/>
      </c:catAx>
      <c:valAx>
        <c:axId val="163261440"/>
        <c:scaling>
          <c:orientation val="minMax"/>
          <c:max val="400"/>
          <c:min val="200"/>
        </c:scaling>
        <c:delete val="0"/>
        <c:axPos val="l"/>
        <c:majorGridlines/>
        <c:numFmt formatCode="_-* #\ ##0\ _₽_-;\-* #\ ##0\ _₽_-;_-* &quot;-&quot;??\ _₽_-;_-@_-" sourceLinked="1"/>
        <c:majorTickMark val="out"/>
        <c:minorTickMark val="none"/>
        <c:tickLblPos val="nextTo"/>
        <c:crossAx val="163259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188451665000178E-2"/>
          <c:y val="5.7029245709878815E-2"/>
          <c:w val="0.86568368218069758"/>
          <c:h val="0.85379596876831898"/>
        </c:manualLayout>
      </c:layout>
      <c:lineChart>
        <c:grouping val="standard"/>
        <c:varyColors val="0"/>
        <c:ser>
          <c:idx val="5"/>
          <c:order val="0"/>
          <c:tx>
            <c:strRef>
              <c:f>длительность!$AA$75</c:f>
              <c:strCache>
                <c:ptCount val="1"/>
                <c:pt idx="0">
                  <c:v> 10   </c:v>
                </c:pt>
              </c:strCache>
            </c:strRef>
          </c:tx>
          <c:val>
            <c:numRef>
              <c:f>длительность!$AB$75:$AH$75</c:f>
              <c:numCache>
                <c:formatCode>_-* #\ ##0\ _₽_-;\-* #\ ##0\ _₽_-;_-* "-"??\ _₽_-;_-@_-</c:formatCode>
                <c:ptCount val="7"/>
                <c:pt idx="0">
                  <c:v>186.42857142857142</c:v>
                </c:pt>
                <c:pt idx="1">
                  <c:v>217.5</c:v>
                </c:pt>
                <c:pt idx="2">
                  <c:v>232</c:v>
                </c:pt>
                <c:pt idx="3">
                  <c:v>255.88235294117646</c:v>
                </c:pt>
                <c:pt idx="4">
                  <c:v>271.875</c:v>
                </c:pt>
                <c:pt idx="5">
                  <c:v>301.15384615384613</c:v>
                </c:pt>
                <c:pt idx="6">
                  <c:v>310.71428571428572</c:v>
                </c:pt>
              </c:numCache>
            </c:numRef>
          </c:val>
          <c:smooth val="0"/>
          <c:extLst>
            <c:ext xmlns:c16="http://schemas.microsoft.com/office/drawing/2014/chart" uri="{C3380CC4-5D6E-409C-BE32-E72D297353CC}">
              <c16:uniqueId val="{00000000-3D1C-4DDD-AC39-31CDD1B5AF99}"/>
            </c:ext>
          </c:extLst>
        </c:ser>
        <c:ser>
          <c:idx val="9"/>
          <c:order val="1"/>
          <c:tx>
            <c:strRef>
              <c:f>длительность!$AA$68</c:f>
              <c:strCache>
                <c:ptCount val="1"/>
                <c:pt idx="0">
                  <c:v> 10   </c:v>
                </c:pt>
              </c:strCache>
            </c:strRef>
          </c:tx>
          <c:val>
            <c:numRef>
              <c:f>длительность!$AB$68:$AH$68</c:f>
              <c:numCache>
                <c:formatCode>_-* #\ ##0\ _₽_-;\-* #\ ##0\ _₽_-;_-* "-"??\ _₽_-;_-@_-</c:formatCode>
                <c:ptCount val="7"/>
                <c:pt idx="0">
                  <c:v>186.42857142857142</c:v>
                </c:pt>
                <c:pt idx="1">
                  <c:v>212.21916266506605</c:v>
                </c:pt>
                <c:pt idx="2">
                  <c:v>232.93487106381016</c:v>
                </c:pt>
                <c:pt idx="3">
                  <c:v>253.65057946255428</c:v>
                </c:pt>
                <c:pt idx="4">
                  <c:v>274.36628786129836</c:v>
                </c:pt>
                <c:pt idx="5">
                  <c:v>295.0819962600425</c:v>
                </c:pt>
                <c:pt idx="6">
                  <c:v>310.71428571428572</c:v>
                </c:pt>
              </c:numCache>
            </c:numRef>
          </c:val>
          <c:smooth val="0"/>
          <c:extLst>
            <c:ext xmlns:c16="http://schemas.microsoft.com/office/drawing/2014/chart" uri="{C3380CC4-5D6E-409C-BE32-E72D297353CC}">
              <c16:uniqueId val="{00000001-3D1C-4DDD-AC39-31CDD1B5AF99}"/>
            </c:ext>
          </c:extLst>
        </c:ser>
        <c:ser>
          <c:idx val="0"/>
          <c:order val="2"/>
          <c:tx>
            <c:v>10</c:v>
          </c:tx>
          <c:val>
            <c:numRef>
              <c:f>длительность!$AL$75:$AR$75</c:f>
              <c:numCache>
                <c:formatCode>_-* #\ ##0\ _₽_-;\-* #\ ##0\ _₽_-;_-* "-"??\ _₽_-;_-@_-</c:formatCode>
                <c:ptCount val="7"/>
                <c:pt idx="0">
                  <c:v>180</c:v>
                </c:pt>
                <c:pt idx="1">
                  <c:v>200</c:v>
                </c:pt>
                <c:pt idx="2">
                  <c:v>220</c:v>
                </c:pt>
                <c:pt idx="3">
                  <c:v>241</c:v>
                </c:pt>
                <c:pt idx="4">
                  <c:v>281</c:v>
                </c:pt>
                <c:pt idx="5">
                  <c:v>301</c:v>
                </c:pt>
                <c:pt idx="6">
                  <c:v>331</c:v>
                </c:pt>
              </c:numCache>
            </c:numRef>
          </c:val>
          <c:smooth val="0"/>
          <c:extLst>
            <c:ext xmlns:c16="http://schemas.microsoft.com/office/drawing/2014/chart" uri="{C3380CC4-5D6E-409C-BE32-E72D297353CC}">
              <c16:uniqueId val="{00000002-3D1C-4DDD-AC39-31CDD1B5AF99}"/>
            </c:ext>
          </c:extLst>
        </c:ser>
        <c:dLbls>
          <c:showLegendKey val="0"/>
          <c:showVal val="0"/>
          <c:showCatName val="0"/>
          <c:showSerName val="0"/>
          <c:showPercent val="0"/>
          <c:showBubbleSize val="0"/>
        </c:dLbls>
        <c:marker val="1"/>
        <c:smooth val="0"/>
        <c:axId val="163299712"/>
        <c:axId val="163301248"/>
      </c:lineChart>
      <c:catAx>
        <c:axId val="163299712"/>
        <c:scaling>
          <c:orientation val="minMax"/>
        </c:scaling>
        <c:delete val="0"/>
        <c:axPos val="b"/>
        <c:majorTickMark val="out"/>
        <c:minorTickMark val="none"/>
        <c:tickLblPos val="nextTo"/>
        <c:crossAx val="163301248"/>
        <c:crosses val="autoZero"/>
        <c:auto val="1"/>
        <c:lblAlgn val="ctr"/>
        <c:lblOffset val="100"/>
        <c:noMultiLvlLbl val="0"/>
      </c:catAx>
      <c:valAx>
        <c:axId val="163301248"/>
        <c:scaling>
          <c:orientation val="minMax"/>
          <c:max val="400"/>
          <c:min val="100"/>
        </c:scaling>
        <c:delete val="0"/>
        <c:axPos val="l"/>
        <c:majorGridlines/>
        <c:numFmt formatCode="_-* #\ ##0\ _₽_-;\-* #\ ##0\ _₽_-;_-* &quot;-&quot;??\ _₽_-;_-@_-" sourceLinked="1"/>
        <c:majorTickMark val="out"/>
        <c:minorTickMark val="none"/>
        <c:tickLblPos val="nextTo"/>
        <c:crossAx val="163299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188451665000178E-2"/>
          <c:y val="5.7029245709878815E-2"/>
          <c:w val="0.86568368218069758"/>
          <c:h val="0.85379596876831898"/>
        </c:manualLayout>
      </c:layout>
      <c:lineChart>
        <c:grouping val="standard"/>
        <c:varyColors val="0"/>
        <c:ser>
          <c:idx val="5"/>
          <c:order val="0"/>
          <c:tx>
            <c:strRef>
              <c:f>длительность!$AA$77</c:f>
              <c:strCache>
                <c:ptCount val="1"/>
                <c:pt idx="0">
                  <c:v> 30   </c:v>
                </c:pt>
              </c:strCache>
            </c:strRef>
          </c:tx>
          <c:val>
            <c:numRef>
              <c:f>длительность!$AC$77:$AH$77</c:f>
              <c:numCache>
                <c:formatCode>_-* #\ ##0\ _₽_-;\-* #\ ##0\ _₽_-;_-* "-"??\ _₽_-;_-@_-</c:formatCode>
                <c:ptCount val="6"/>
                <c:pt idx="0">
                  <c:v>261</c:v>
                </c:pt>
                <c:pt idx="1">
                  <c:v>290</c:v>
                </c:pt>
                <c:pt idx="2">
                  <c:v>310.71428571428572</c:v>
                </c:pt>
                <c:pt idx="3">
                  <c:v>338.33333333333331</c:v>
                </c:pt>
                <c:pt idx="4">
                  <c:v>355.90909090909093</c:v>
                </c:pt>
                <c:pt idx="5">
                  <c:v>395.45454545454544</c:v>
                </c:pt>
              </c:numCache>
            </c:numRef>
          </c:val>
          <c:smooth val="0"/>
          <c:extLst>
            <c:ext xmlns:c16="http://schemas.microsoft.com/office/drawing/2014/chart" uri="{C3380CC4-5D6E-409C-BE32-E72D297353CC}">
              <c16:uniqueId val="{00000000-8BCE-4403-B9E6-8446BDA67730}"/>
            </c:ext>
          </c:extLst>
        </c:ser>
        <c:ser>
          <c:idx val="9"/>
          <c:order val="1"/>
          <c:tx>
            <c:strRef>
              <c:f>длительность!$AA$70</c:f>
              <c:strCache>
                <c:ptCount val="1"/>
                <c:pt idx="0">
                  <c:v> 30   </c:v>
                </c:pt>
              </c:strCache>
            </c:strRef>
          </c:tx>
          <c:val>
            <c:numRef>
              <c:f>длительность!$AC$70:$AH$70</c:f>
              <c:numCache>
                <c:formatCode>_-* #\ ##0\ _₽_-;\-* #\ ##0\ _₽_-;_-* "-"??\ _₽_-;_-@_-</c:formatCode>
                <c:ptCount val="6"/>
                <c:pt idx="0">
                  <c:v>261</c:v>
                </c:pt>
                <c:pt idx="1">
                  <c:v>286.76582148010721</c:v>
                </c:pt>
                <c:pt idx="2">
                  <c:v>312.41207998350853</c:v>
                </c:pt>
                <c:pt idx="3">
                  <c:v>338.05833848690992</c:v>
                </c:pt>
                <c:pt idx="4">
                  <c:v>363.7045969903113</c:v>
                </c:pt>
                <c:pt idx="5">
                  <c:v>395.45454545454544</c:v>
                </c:pt>
              </c:numCache>
            </c:numRef>
          </c:val>
          <c:smooth val="0"/>
          <c:extLst>
            <c:ext xmlns:c16="http://schemas.microsoft.com/office/drawing/2014/chart" uri="{C3380CC4-5D6E-409C-BE32-E72D297353CC}">
              <c16:uniqueId val="{00000001-8BCE-4403-B9E6-8446BDA67730}"/>
            </c:ext>
          </c:extLst>
        </c:ser>
        <c:ser>
          <c:idx val="0"/>
          <c:order val="2"/>
          <c:tx>
            <c:v>30</c:v>
          </c:tx>
          <c:val>
            <c:numRef>
              <c:f>длительность!$AM$77:$AR$77</c:f>
              <c:numCache>
                <c:formatCode>_-* #\ ##0\ _₽_-;\-* #\ ##0\ _₽_-;_-* "-"??\ _₽_-;_-@_-</c:formatCode>
                <c:ptCount val="6"/>
                <c:pt idx="0">
                  <c:v>283</c:v>
                </c:pt>
                <c:pt idx="1">
                  <c:v>300</c:v>
                </c:pt>
                <c:pt idx="2">
                  <c:v>317</c:v>
                </c:pt>
                <c:pt idx="3">
                  <c:v>350</c:v>
                </c:pt>
                <c:pt idx="4">
                  <c:v>367</c:v>
                </c:pt>
                <c:pt idx="5">
                  <c:v>392</c:v>
                </c:pt>
              </c:numCache>
            </c:numRef>
          </c:val>
          <c:smooth val="0"/>
          <c:extLst>
            <c:ext xmlns:c16="http://schemas.microsoft.com/office/drawing/2014/chart" uri="{C3380CC4-5D6E-409C-BE32-E72D297353CC}">
              <c16:uniqueId val="{00000002-8BCE-4403-B9E6-8446BDA67730}"/>
            </c:ext>
          </c:extLst>
        </c:ser>
        <c:dLbls>
          <c:showLegendKey val="0"/>
          <c:showVal val="0"/>
          <c:showCatName val="0"/>
          <c:showSerName val="0"/>
          <c:showPercent val="0"/>
          <c:showBubbleSize val="0"/>
        </c:dLbls>
        <c:marker val="1"/>
        <c:smooth val="0"/>
        <c:axId val="163449856"/>
        <c:axId val="163455744"/>
      </c:lineChart>
      <c:catAx>
        <c:axId val="163449856"/>
        <c:scaling>
          <c:orientation val="minMax"/>
        </c:scaling>
        <c:delete val="0"/>
        <c:axPos val="b"/>
        <c:majorTickMark val="out"/>
        <c:minorTickMark val="none"/>
        <c:tickLblPos val="nextTo"/>
        <c:crossAx val="163455744"/>
        <c:crosses val="autoZero"/>
        <c:auto val="1"/>
        <c:lblAlgn val="ctr"/>
        <c:lblOffset val="100"/>
        <c:noMultiLvlLbl val="0"/>
      </c:catAx>
      <c:valAx>
        <c:axId val="163455744"/>
        <c:scaling>
          <c:orientation val="minMax"/>
          <c:max val="500"/>
          <c:min val="250"/>
        </c:scaling>
        <c:delete val="0"/>
        <c:axPos val="l"/>
        <c:majorGridlines/>
        <c:numFmt formatCode="_-* #\ ##0\ _₽_-;\-* #\ ##0\ _₽_-;_-* &quot;-&quot;??\ _₽_-;_-@_-" sourceLinked="1"/>
        <c:majorTickMark val="out"/>
        <c:minorTickMark val="none"/>
        <c:tickLblPos val="nextTo"/>
        <c:crossAx val="1634498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188451665000178E-2"/>
          <c:y val="5.7029245709878815E-2"/>
          <c:w val="0.86568368218069758"/>
          <c:h val="0.85379596876831898"/>
        </c:manualLayout>
      </c:layout>
      <c:lineChart>
        <c:grouping val="standard"/>
        <c:varyColors val="0"/>
        <c:ser>
          <c:idx val="5"/>
          <c:order val="0"/>
          <c:tx>
            <c:strRef>
              <c:f>длительность!$AA$78</c:f>
              <c:strCache>
                <c:ptCount val="1"/>
                <c:pt idx="0">
                  <c:v> 40   </c:v>
                </c:pt>
              </c:strCache>
            </c:strRef>
          </c:tx>
          <c:val>
            <c:numRef>
              <c:f>длительность!$AC$78:$AH$78</c:f>
              <c:numCache>
                <c:formatCode>_-* #\ ##0\ _₽_-;\-* #\ ##0\ _₽_-;_-* "-"??\ _₽_-;_-@_-</c:formatCode>
                <c:ptCount val="6"/>
                <c:pt idx="0">
                  <c:v>326.25</c:v>
                </c:pt>
                <c:pt idx="1">
                  <c:v>348</c:v>
                </c:pt>
                <c:pt idx="2">
                  <c:v>395.45454545454544</c:v>
                </c:pt>
                <c:pt idx="3">
                  <c:v>406</c:v>
                </c:pt>
                <c:pt idx="4">
                  <c:v>412.10526315789474</c:v>
                </c:pt>
                <c:pt idx="5">
                  <c:v>435</c:v>
                </c:pt>
              </c:numCache>
            </c:numRef>
          </c:val>
          <c:smooth val="0"/>
          <c:extLst>
            <c:ext xmlns:c16="http://schemas.microsoft.com/office/drawing/2014/chart" uri="{C3380CC4-5D6E-409C-BE32-E72D297353CC}">
              <c16:uniqueId val="{00000000-D195-4E58-B8DB-5A65FF34CA27}"/>
            </c:ext>
          </c:extLst>
        </c:ser>
        <c:ser>
          <c:idx val="9"/>
          <c:order val="1"/>
          <c:tx>
            <c:strRef>
              <c:f>длительность!$AA$71</c:f>
              <c:strCache>
                <c:ptCount val="1"/>
                <c:pt idx="0">
                  <c:v> 40   </c:v>
                </c:pt>
              </c:strCache>
            </c:strRef>
          </c:tx>
          <c:val>
            <c:numRef>
              <c:f>длительность!$AC$71:$AH$71</c:f>
              <c:numCache>
                <c:formatCode>_-* #\ ##0\ _₽_-;\-* #\ ##0\ _₽_-;_-* "-"??\ _₽_-;_-@_-</c:formatCode>
                <c:ptCount val="6"/>
                <c:pt idx="0">
                  <c:v>326.25</c:v>
                </c:pt>
                <c:pt idx="1">
                  <c:v>355.13734335839598</c:v>
                </c:pt>
                <c:pt idx="2">
                  <c:v>376.4690931875142</c:v>
                </c:pt>
                <c:pt idx="3">
                  <c:v>397.80084301663248</c:v>
                </c:pt>
                <c:pt idx="4">
                  <c:v>419.13259284575071</c:v>
                </c:pt>
                <c:pt idx="5">
                  <c:v>435</c:v>
                </c:pt>
              </c:numCache>
            </c:numRef>
          </c:val>
          <c:smooth val="0"/>
          <c:extLst>
            <c:ext xmlns:c16="http://schemas.microsoft.com/office/drawing/2014/chart" uri="{C3380CC4-5D6E-409C-BE32-E72D297353CC}">
              <c16:uniqueId val="{00000001-D195-4E58-B8DB-5A65FF34CA27}"/>
            </c:ext>
          </c:extLst>
        </c:ser>
        <c:ser>
          <c:idx val="0"/>
          <c:order val="2"/>
          <c:tx>
            <c:v>40</c:v>
          </c:tx>
          <c:val>
            <c:numRef>
              <c:f>длительность!$AM$78:$AR$78</c:f>
              <c:numCache>
                <c:formatCode>_-* #\ ##0\ _₽_-;\-* #\ ##0\ _₽_-;_-* "-"??\ _₽_-;_-@_-</c:formatCode>
                <c:ptCount val="6"/>
                <c:pt idx="0">
                  <c:v>328</c:v>
                </c:pt>
                <c:pt idx="1">
                  <c:v>345</c:v>
                </c:pt>
                <c:pt idx="2">
                  <c:v>361</c:v>
                </c:pt>
                <c:pt idx="3">
                  <c:v>393</c:v>
                </c:pt>
                <c:pt idx="4">
                  <c:v>410</c:v>
                </c:pt>
                <c:pt idx="5">
                  <c:v>434</c:v>
                </c:pt>
              </c:numCache>
            </c:numRef>
          </c:val>
          <c:smooth val="0"/>
          <c:extLst>
            <c:ext xmlns:c16="http://schemas.microsoft.com/office/drawing/2014/chart" uri="{C3380CC4-5D6E-409C-BE32-E72D297353CC}">
              <c16:uniqueId val="{00000002-D195-4E58-B8DB-5A65FF34CA27}"/>
            </c:ext>
          </c:extLst>
        </c:ser>
        <c:dLbls>
          <c:showLegendKey val="0"/>
          <c:showVal val="0"/>
          <c:showCatName val="0"/>
          <c:showSerName val="0"/>
          <c:showPercent val="0"/>
          <c:showBubbleSize val="0"/>
        </c:dLbls>
        <c:marker val="1"/>
        <c:smooth val="0"/>
        <c:axId val="163493760"/>
        <c:axId val="163495296"/>
      </c:lineChart>
      <c:catAx>
        <c:axId val="163493760"/>
        <c:scaling>
          <c:orientation val="minMax"/>
        </c:scaling>
        <c:delete val="0"/>
        <c:axPos val="b"/>
        <c:majorTickMark val="out"/>
        <c:minorTickMark val="none"/>
        <c:tickLblPos val="nextTo"/>
        <c:crossAx val="163495296"/>
        <c:crosses val="autoZero"/>
        <c:auto val="1"/>
        <c:lblAlgn val="ctr"/>
        <c:lblOffset val="100"/>
        <c:noMultiLvlLbl val="0"/>
      </c:catAx>
      <c:valAx>
        <c:axId val="163495296"/>
        <c:scaling>
          <c:orientation val="minMax"/>
          <c:max val="550"/>
          <c:min val="300"/>
        </c:scaling>
        <c:delete val="0"/>
        <c:axPos val="l"/>
        <c:majorGridlines/>
        <c:numFmt formatCode="_-* #\ ##0\ _₽_-;\-* #\ ##0\ _₽_-;_-* &quot;-&quot;??\ _₽_-;_-@_-" sourceLinked="1"/>
        <c:majorTickMark val="out"/>
        <c:minorTickMark val="none"/>
        <c:tickLblPos val="nextTo"/>
        <c:crossAx val="163493760"/>
        <c:crosses val="autoZero"/>
        <c:crossBetween val="between"/>
        <c:majorUnit val="50"/>
        <c:minorUnit val="50"/>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27</xdr:col>
      <xdr:colOff>603249</xdr:colOff>
      <xdr:row>102</xdr:row>
      <xdr:rowOff>41273</xdr:rowOff>
    </xdr:from>
    <xdr:to>
      <xdr:col>45</xdr:col>
      <xdr:colOff>331108</xdr:colOff>
      <xdr:row>107</xdr:row>
      <xdr:rowOff>273957</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557892</xdr:colOff>
      <xdr:row>94</xdr:row>
      <xdr:rowOff>272143</xdr:rowOff>
    </xdr:from>
    <xdr:to>
      <xdr:col>45</xdr:col>
      <xdr:colOff>285751</xdr:colOff>
      <xdr:row>101</xdr:row>
      <xdr:rowOff>38102</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446768</xdr:colOff>
      <xdr:row>108</xdr:row>
      <xdr:rowOff>67582</xdr:rowOff>
    </xdr:from>
    <xdr:to>
      <xdr:col>45</xdr:col>
      <xdr:colOff>190500</xdr:colOff>
      <xdr:row>117</xdr:row>
      <xdr:rowOff>79375</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79375</xdr:colOff>
      <xdr:row>117</xdr:row>
      <xdr:rowOff>222250</xdr:rowOff>
    </xdr:from>
    <xdr:to>
      <xdr:col>44</xdr:col>
      <xdr:colOff>403680</xdr:colOff>
      <xdr:row>123</xdr:row>
      <xdr:rowOff>206375</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2\_RM__DFK_Budgets\Documents%20and%20Settings\Bshankar.GROUP\Local%20Settings\Temporary%20Internet%20Files\OLK2A1\N007%20Cashflow%2005%2005%2028%20Rev0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55;&#1101;&#1086;1\Documents%20and%20Settings\&#1040;&#1088;&#1082;&#1072;&#1076;&#1080;&#1081;\&#1052;&#1086;&#1080;%20&#1076;&#1086;&#1082;&#1091;&#1084;&#1077;&#1085;&#1090;&#1099;\&#1040;&#1088;&#1082;&#1072;&#1076;&#1080;&#1081;\&#1052;&#1046;&#1050;\&#1041;&#1044;&#1056;\&#1041;&#1044;&#1056;_11_05_F&#1079;&#1085;&#1072;&#109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minex.com\user\&#1055;&#1072;&#1087;&#1082;&#1080;%20&#1086;&#1073;&#1084;&#1077;&#1085;&#1072;\&#1055;&#1072;&#1087;&#1082;&#1072;%20&#1086;&#1073;&#1084;&#1077;&#1085;&#1072;%20&#1084;&#1077;&#1078;&#1076;&#1091;%20&#1044;&#1056;&#1055;%20&#1080;%20&#1044;&#1055;&#1055;\&#1046;&#1077;&#1085;&#1077;&#1074;&#1072;\210713%20&#1044;&#1044;&#1041;%20&#1080;%20&#1058;&#1069;&#1055;_&#1046;&#1077;&#1085;&#1077;&#1074;&#107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icmal"/>
      <sheetName val="BQ"/>
      <sheetName val="BQ External"/>
      <sheetName val="SHOPLIST"/>
      <sheetName val="Notes"/>
      <sheetName val="Basis"/>
      <sheetName val="SubmitCal"/>
      <sheetName val="TAS"/>
      <sheetName val="Penthouse Apartment"/>
      <sheetName val="#REF"/>
      <sheetName val="_______"/>
      <sheetName val="核算项目余额表"/>
      <sheetName val="Criteria"/>
      <sheetName val="Assumptions"/>
      <sheetName val="@risk rents and incentives"/>
      <sheetName val="Car park lease"/>
      <sheetName val="Net rent analysis"/>
      <sheetName val="Poz-1 "/>
      <sheetName val="차액보증"/>
      <sheetName val="Option"/>
      <sheetName val="Chiet tinh dz22"/>
      <sheetName val="Chiet tinh dz35"/>
      <sheetName val="LABOUR HISTOGRAM"/>
      <sheetName val="StattCo yCharges"/>
      <sheetName val="GFA_HQ_Building"/>
      <sheetName val="GFA_Conference"/>
      <sheetName val="Su}}ary"/>
      <sheetName val="D-623D"/>
      <sheetName val="Cash2"/>
      <sheetName val="Z"/>
      <sheetName val="Raw Data"/>
      <sheetName val="Graph Data (DO NOT PRINT)"/>
      <sheetName val="1"/>
      <sheetName val="Projet, methodes &amp; couts"/>
      <sheetName val="Macro1"/>
      <sheetName val="Planning"/>
      <sheetName val="TAHRIR"/>
      <sheetName val="Bases"/>
      <sheetName val="Risques majeurs &amp; Frais Ind."/>
      <sheetName val="Bouclage"/>
      <sheetName val="AREG_05"/>
      <sheetName val="CT Thang Mo"/>
      <sheetName val="Lab Cum Hist"/>
      <sheetName val="ancillary"/>
      <sheetName val="改加胶玻璃、室外栏杆"/>
      <sheetName val="BOQ"/>
      <sheetName val="Bill No. 2"/>
      <sheetName val="FOL - Bar"/>
      <sheetName val="Budget"/>
      <sheetName val="LEVEL SHEET"/>
      <sheetName val="CASHFLOWS"/>
      <sheetName val="SPT vs PHI"/>
      <sheetName val="budget summary (2)"/>
      <sheetName val="Budget Analysis Summary"/>
      <sheetName val=""/>
      <sheetName val="Sheet1"/>
      <sheetName val="BQ_External"/>
      <sheetName val="Bill_1"/>
      <sheetName val="Bill_2"/>
      <sheetName val="Bill_3"/>
      <sheetName val="Bill_4"/>
      <sheetName val="Bill_5"/>
      <sheetName val="Bill_6"/>
      <sheetName val="Bill_7"/>
      <sheetName val="LABOUR_HISTOGRAM"/>
      <sheetName val="JAS"/>
      <sheetName val="Rate analysis"/>
      <sheetName val="企业表一"/>
      <sheetName val="M-5C"/>
      <sheetName val="M-5A"/>
      <sheetName val="Sheet2"/>
      <sheetName val="Customize Your Invoice"/>
      <sheetName val="B"/>
      <sheetName val="HVAC BoQ"/>
      <sheetName val="PriceSummary"/>
      <sheetName val="CT  PL"/>
      <sheetName val="intr stool brkup"/>
      <sheetName val="ConferenceCentre_x0000_옰ʒ䄂ʒ鵠ʐ䄂ʒ閐̐䄂ʒ蕈̐"/>
      <sheetName val="HQ-TO"/>
      <sheetName val="Body Sheet"/>
      <sheetName val="1.0 Executive Summary"/>
      <sheetName val="Top sheet"/>
      <sheetName val="ANNEXURE-A"/>
      <sheetName val="COC"/>
      <sheetName val="Data"/>
      <sheetName val="Tender Summary"/>
      <sheetName val="Insurance Ext"/>
      <sheetName val="Prelims"/>
      <sheetName val="GFA_HQ_Building1"/>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sal"/>
      <sheetName val="2 Div 14 "/>
      <sheetName val="SHOPLIST.xls"/>
      <sheetName val="Inputs"/>
      <sheetName val="마산월령동골조물량변경"/>
      <sheetName val="Bill 1"/>
      <sheetName val="Bill 2"/>
      <sheetName val="Bill 3"/>
      <sheetName val="Bill 4"/>
      <sheetName val="Bill 5"/>
      <sheetName val="Bill 6"/>
      <sheetName val="Bill 7"/>
      <sheetName val="POWER"/>
      <sheetName val="MTP"/>
      <sheetName val="concrete"/>
      <sheetName val="beam-reinft-IIInd floor"/>
      <sheetName val="Ap A"/>
      <sheetName val="List"/>
      <sheetName val="Geneí¬_x0008_i_x0000__x0000__x0014__x0000_0."/>
      <sheetName val="70_x0000_,/0_x0000_s«_x0008_i_x0000_Æø_x0003_í¬_x0008_i_x0000_"/>
      <sheetName val="LABOUR_HISTOGRAM1"/>
      <sheetName val="Currencies"/>
      <sheetName val="기계내역서"/>
      <sheetName val="DATAS"/>
      <sheetName val="Rate_Analysis"/>
      <sheetName val="ACT_SPS"/>
      <sheetName val="SPSF"/>
      <sheetName val="Invoice Summary"/>
      <sheetName val="Sheet3"/>
      <sheetName val="Tender_Summary"/>
      <sheetName val="Insurance_Ext"/>
      <sheetName val="Wall"/>
      <sheetName val="beam-reinft-machine rm"/>
      <sheetName val="girder"/>
      <sheetName val="Rocker"/>
      <sheetName val="98Price"/>
      <sheetName val="POWER ASSUMPTIONS"/>
      <sheetName val="SAP"/>
      <sheetName val="PROJECT BRIEF"/>
      <sheetName val="Softscape Buildup"/>
      <sheetName val="Mat'l Rate"/>
      <sheetName val="Customize_Your_Invoice"/>
      <sheetName val="HVAC_BoQ"/>
      <sheetName val="Dubai golf"/>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intr_stool_brkup"/>
      <sheetName val="Top_sheet"/>
      <sheetName val="Body_Sheet"/>
      <sheetName val="1_0_Executive_Summary"/>
      <sheetName val="B03"/>
      <sheetName val="B09.1"/>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Civil Boq"/>
      <sheetName val="공종별_집계금액"/>
      <sheetName val="CODE"/>
      <sheetName val="HIRED LABOUR CODE"/>
      <sheetName val="PA- Consutant "/>
      <sheetName val="Design"/>
      <sheetName val="upa"/>
      <sheetName val="foot-slab reinft"/>
      <sheetName val="WITHOUT C&amp;I PROFIT (3)"/>
      <sheetName val="Рабочий лист"/>
      <sheetName val="ФМ"/>
      <sheetName val="Сравнение"/>
      <sheetName val="Activity List"/>
      <sheetName val="Geneí¬_x0008_i"/>
      <sheetName val="70"/>
      <sheetName val="ABSTRACT"/>
      <sheetName val="DETAILED  BOQ"/>
      <sheetName val="M-Book for Conc"/>
      <sheetName val="M-Book for FW"/>
      <sheetName val="Vehicles"/>
      <sheetName val="BILL COV"/>
      <sheetName val="Ra  stair"/>
      <sheetName val="PROJECT_BRIEF1"/>
      <sheetName val="Geneí¬i0_"/>
      <sheetName val="70,/0s«iÆøí¬i"/>
      <sheetName val="Bill_22"/>
      <sheetName val="C_(3)1"/>
      <sheetName val="Ap_A1"/>
      <sheetName val="2_Div_14_1"/>
      <sheetName val="Bill_11"/>
      <sheetName val="Bill_31"/>
      <sheetName val="Bill_41"/>
      <sheetName val="Bill_51"/>
      <sheetName val="Bill_61"/>
      <sheetName val="Bill_71"/>
      <sheetName val="SHOPLIST_xls"/>
      <sheetName val="Dubai_golf"/>
      <sheetName val="beam-reinft-IIInd_floor"/>
      <sheetName val="Invoice_Summary"/>
      <sheetName val="POWER_ASSUMPTIONS"/>
      <sheetName val="beam-reinft-machine_rm"/>
      <sheetName val="PROJECT_BRIEF"/>
      <sheetName val="Bill_21"/>
      <sheetName val="C_(3)"/>
      <sheetName val="Ap_A"/>
      <sheetName val="2_Div_14_"/>
      <sheetName val="MOS"/>
      <sheetName val="GFA_HQ_Building6"/>
      <sheetName val="GFA_Conference6"/>
      <sheetName val="BQ_External6"/>
      <sheetName val="Raw_Data5"/>
      <sheetName val="Penthouse_Apartment5"/>
      <sheetName val="StattCo_yCharges5"/>
      <sheetName val="@risk_rents_and_incentives5"/>
      <sheetName val="Car_park_lease5"/>
      <sheetName val="Net_rent_analysis5"/>
      <sheetName val="Poz-1_5"/>
      <sheetName val="Chiet_tinh_dz225"/>
      <sheetName val="Chiet_tinh_dz355"/>
      <sheetName val="LEVEL_SHEET5"/>
      <sheetName val="LABOUR_HISTOGRAM6"/>
      <sheetName val="Lab_Cum_Hist5"/>
      <sheetName val="Graph_Data_(DO_NOT_PRINT)5"/>
      <sheetName val="Body_Sheet4"/>
      <sheetName val="1_0_Executive_Summary4"/>
      <sheetName val="CT_Thang_Mo5"/>
      <sheetName val="Customize_Your_Invoice5"/>
      <sheetName val="HVAC_BoQ5"/>
      <sheetName val="Bill_No__25"/>
      <sheetName val="budget_summary_(2)4"/>
      <sheetName val="Budget_Analysis_Summary4"/>
      <sheetName val="Projet,_methodes_&amp;_couts4"/>
      <sheetName val="Risques_majeurs_&amp;_Frais_Ind_4"/>
      <sheetName val="SPT_vs_PHI5"/>
      <sheetName val="CT__PL4"/>
      <sheetName val="FOL_-_Bar5"/>
      <sheetName val="Tender_Summary5"/>
      <sheetName val="Insurance_Ext5"/>
      <sheetName val="Top_sheet4"/>
      <sheetName val="intr_stool_brkup4"/>
      <sheetName val="2_Div_14_2"/>
      <sheetName val="SHOPLIST_xls1"/>
      <sheetName val="Bill_23"/>
      <sheetName val="Ap_A2"/>
      <sheetName val="Bill_12"/>
      <sheetName val="Bill_32"/>
      <sheetName val="Bill_42"/>
      <sheetName val="Bill_52"/>
      <sheetName val="Bill_62"/>
      <sheetName val="Bill_72"/>
      <sheetName val="Invoice_Summary1"/>
      <sheetName val="beam-reinft-IIInd_floor1"/>
      <sheetName val="beam-reinft-machine_rm1"/>
      <sheetName val="PROJECT_BRIEF2"/>
      <sheetName val="C_(3)2"/>
      <sheetName val="POWER_ASSUMPTIONS1"/>
      <sheetName val="Dubai_golf1"/>
      <sheetName val="WITHOUT_C&amp;I_PROFIT_(3)"/>
      <sheetName val="Geneí¬i"/>
      <sheetName val="Civil_Boq"/>
      <sheetName val="DETAILED__BOQ"/>
      <sheetName val="M-Book_for_Conc"/>
      <sheetName val="M-Book_for_FW"/>
      <sheetName val="Activity_List"/>
      <sheetName val="HIRED_LABOUR_CODE"/>
      <sheetName val="PA-_Consutant_"/>
      <sheetName val="foot-slab_reinft"/>
      <sheetName val="Materials Cost(PCC)"/>
      <sheetName val="India F&amp;S Template"/>
      <sheetName val="Annex"/>
      <sheetName val="factors"/>
      <sheetName val="P4-B"/>
      <sheetName val="Break_Up"/>
      <sheetName val="RESULT"/>
      <sheetName val="IO LIST"/>
      <sheetName val="Formulas"/>
      <sheetName val="Material "/>
      <sheetName val="Quote Sheet"/>
      <sheetName val="CERTIFICATE"/>
      <sheetName val="250mm"/>
      <sheetName val="200mm"/>
      <sheetName val="160mm"/>
      <sheetName val="FITTINGS"/>
      <sheetName val="VALVE CHAMBERS"/>
      <sheetName val="Fire Hydrants"/>
      <sheetName val="B.GATE VALVE"/>
      <sheetName val="Sub G1 Fire"/>
      <sheetName val="Sub G12 Fire"/>
      <sheetName val="Toolbox"/>
      <sheetName val="ConferenceCentre?옰ʒ䄂ʒ鵠ʐ䄂ʒ閐̐䄂ʒ蕈̐"/>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INSTR"/>
      <sheetName val="Day work"/>
      <sheetName val="Table"/>
      <sheetName val="Eq. Mobilization"/>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GFA_HQ_Building7"/>
      <sheetName val="Rate_analysis4"/>
      <sheetName val="RA-markate"/>
      <sheetName val="BOQ_Direct_selling cost"/>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Data_Summary"/>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Working for RCC"/>
      <sheetName val="CHART OF ACCOUNTS"/>
      <sheetName val="E-Bill No.6 A-O"/>
      <sheetName val="房屋及建筑物"/>
      <sheetName val="XL4Poppy"/>
      <sheetName val="B185-B-2"/>
      <sheetName val="B185-B-3"/>
      <sheetName val="B185-B-4"/>
      <sheetName val="B185-B-5"/>
      <sheetName val="B185-B-6"/>
      <sheetName val="B185-B-7"/>
      <sheetName val="B185-B-8"/>
      <sheetName val="B185-B-9.1"/>
      <sheetName val="B185-B-9.2"/>
      <sheetName val="Day_work"/>
      <sheetName val="갑지"/>
      <sheetName val="15-MECH"/>
      <sheetName val="PMWeb_data"/>
      <sheetName val="VALVE_CHAMBERS"/>
      <sheetName val="Fire_Hydrants"/>
      <sheetName val="B_GATE_VALVE"/>
      <sheetName val="Sub_G1_Fire"/>
      <sheetName val="Sub_G12_Fire"/>
      <sheetName val="SS_MH"/>
      <sheetName val="PMWeb data"/>
      <sheetName val="SS MH"/>
      <sheetName val="w't table"/>
      <sheetName val="cp-e1"/>
      <sheetName val="COLUMN"/>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HIRED_LABOUR_CODE1"/>
      <sheetName val="PA-_Consutant_1"/>
      <sheetName val="foot-slab_reinft1"/>
      <sheetName val="DETAILED__BOQ1"/>
      <sheetName val="M-Book_for_Conc1"/>
      <sheetName val="M-Book_for_FW1"/>
      <sheetName val="BILL_COV1"/>
      <sheetName val="Ra__stair1"/>
      <sheetName val="Chiet t"/>
      <sheetName val="Staffing and Rates IA"/>
      <sheetName val="77S(O)"/>
      <sheetName val="PointNo.5"/>
      <sheetName val="11-hsd"/>
      <sheetName val="13-septic"/>
      <sheetName val="7-ug"/>
      <sheetName val="2-utility"/>
      <sheetName val="18-misc"/>
      <sheetName val="5-pipe"/>
      <sheetName val="Dropdown"/>
      <sheetName val="Elemental Buildup"/>
      <sheetName val="VALVE_CHAMBERS1"/>
      <sheetName val="Fire_Hydrants1"/>
      <sheetName val="B_GATE_VALVE1"/>
      <sheetName val="Sub_G1_Fire1"/>
      <sheetName val="Sub_G12_Fire1"/>
      <sheetName val="DETAILED__BOQ2"/>
      <sheetName val="M-Book_for_Conc2"/>
      <sheetName val="M-Book_for_FW2"/>
      <sheetName val="HIRED_LABOUR_CODE2"/>
      <sheetName val="PA-_Consutant_2"/>
      <sheetName val="foot-slab_reinft2"/>
      <sheetName val="Materials_Cost(PCC)"/>
      <sheetName val="India_F&amp;S_Template"/>
      <sheetName val="IO_LIST"/>
      <sheetName val="Material_"/>
      <sheetName val="Quote_Sheet"/>
      <sheetName val="Day_work1"/>
      <sheetName val="Gra¦_x0004_)_x0000__x0000__x0000_VW_x0000__x0000__x0000__x0000__x0000__x0000__x0000__x0000__x0000_ U"/>
      <sheetName val="/VW_x0000_VU_x0000_)_x0000__x0000__x0000_)_x0000__x0000__x0000__x0001__x0000__x0000__x0000_tÏØ0 _x0008__x0000__x0000_ _x0008_"/>
      <sheetName val="/VW_x0000_VU_x0000_)_x0000__x0000__x0000_)_x0000__x0000__x0000__x0001__x0000__x0000__x0000_tÏØ0_x0009__x0008__x0000__x0000__x0009__x0008_"/>
      <sheetName val="col-reinft1"/>
      <sheetName val="Gra¦_x0004_)"/>
      <sheetName val="/VW"/>
      <sheetName val="2.2)Revised Cash Flow"/>
      <sheetName val="ConferenceCentre_x005f_x0000_옰ʒ䄂ʒ鵠ʐ䄂ʒ"/>
      <sheetName val="Geneí¬_x005f_x0008_i_x005f_x0000__x005f_x0000__x0"/>
      <sheetName val="70_x005f_x0000_,_0_x005f_x0000_s«_x005f_x0008_i_x"/>
      <sheetName val="Geneí¬_x005f_x0008_i"/>
      <sheetName val="BS"/>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Eq__Mobilization"/>
      <sheetName val="Working_for_RCC"/>
      <sheetName val="B185-B-9_1"/>
      <sheetName val="B185-B-9_2"/>
      <sheetName val="BOQ_Direct_selling_cost"/>
      <sheetName val="CHART_OF_ACCOUNTS"/>
      <sheetName val="E-Bill_No_6_A-O"/>
      <sheetName val="B09_1"/>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집계표(OPTION)"/>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SStaff-Sept2013"/>
      <sheetName val="Index List"/>
      <sheetName val="Type List"/>
      <sheetName val="File Types"/>
      <sheetName val="escalation"/>
      <sheetName val="ANAL"/>
      <sheetName val="Employee List"/>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SIEMENS"/>
      <sheetName val="입찰내역 발주처 양식"/>
      <sheetName val="Material List "/>
      <sheetName val="B6.2 "/>
      <sheetName val="PointNo_5"/>
      <sheetName val="Elemental_Buildup"/>
      <sheetName val="LIST DO NOT REMOVE"/>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Day_work2"/>
      <sheetName val="Materials_Cost(PCC)2"/>
      <sheetName val="India_F&amp;S_Template2"/>
      <sheetName val="IO_LIST2"/>
      <sheetName val="Material_2"/>
      <sheetName val="Quote_Sheet2"/>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PMWeb_data1"/>
      <sheetName val="w't_table1"/>
      <sheetName val="Gra¦)VW_U"/>
      <sheetName val="/VWVU))tÏØ0  "/>
      <sheetName val="2_2)Revised_Cash_Flow"/>
      <sheetName val="/VWVU))tÏØ0__"/>
      <sheetName val="SS_MH1"/>
      <sheetName val="Chiet_t"/>
      <sheetName val="Staffing_and_Rates_IA"/>
      <sheetName val="Index_List"/>
      <sheetName val="Type_List"/>
      <sheetName val="File_Types"/>
      <sheetName val="Gra¦)"/>
      <sheetName val="입찰내역_발주처_양식"/>
      <sheetName val="Material_List_"/>
      <sheetName val="Lists"/>
      <sheetName val="PRECAST lightconc-II"/>
      <sheetName val="P&amp;L-BDMC"/>
      <sheetName val="final abstract"/>
      <sheetName val="Detail"/>
      <sheetName val="p&amp;m"/>
      <sheetName val="Voucher"/>
      <sheetName val="Quantity"/>
      <sheetName val="??-BLDG"/>
      <sheetName val="PNT-QUOT-#3"/>
      <sheetName val="COAT&amp;WRAP-QIOT-#3"/>
      <sheetName val="ml"/>
      <sheetName val="Demand"/>
      <sheetName val="Occ"/>
      <sheetName val="Summary of Work"/>
      <sheetName val="_x005f_x0000__x005f_x0000__x005f_x0000__x005f_x0000__x0"/>
      <sheetName val="Staff Acco."/>
      <sheetName val="TBAL9697 -group wise  sdpl"/>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Earthwork"/>
      <sheetName val="GIAVLIEU"/>
      <sheetName val="Project Cost Breakdown"/>
      <sheetName val="SITE WORK"/>
      <sheetName val="Рабочий_лист"/>
      <sheetName val="70_x005f_x0000_,/0_x005f_x0000_s«_x005f_x0008_i_x"/>
      <sheetName val="Geneí¬_x0008_i??_x0014_?0."/>
      <sheetName val="70?,/0?s«_x0008_i?Æø_x0003_í¬_x0008_i?"/>
      <sheetName val="Annex 1 Sect 3a"/>
      <sheetName val="Annex 1 Sect 3a.1"/>
      <sheetName val="Annex 1 Sect 3b"/>
      <sheetName val="Annex 1 Sect 3c"/>
      <sheetName val="HOURLY RATES"/>
      <sheetName val="PT 141- Site A Landscape"/>
      <sheetName val="Prices"/>
      <sheetName val="Rate summary"/>
      <sheetName val="#REF!"/>
      <sheetName val="SW-TEO"/>
      <sheetName val="科目余额表正式"/>
      <sheetName val="Sub_G1_Five"/>
      <sheetName val="%"/>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SHOPLIST.xls]70_x0000_,/0_x0000_s«_x0008_i_x0000_Æø_x0003_í¬"/>
      <sheetName val="[SHOPLIST.xls]70,/0s«iÆøí¬i"/>
      <sheetName val="[SHOPLIST.xls]/VW"/>
      <sheetName val="[SHOPLIST.xls]/VWVU))tÏØ0  "/>
      <sheetName val="[SHOPLIST.xls]/VWVU))tÏØ0__"/>
      <sheetName val="Fiyatlar"/>
      <sheetName val="Лист1"/>
      <sheetName val="[SHOPLIST.xls][SHOPLIST.xls]70_x0000_"/>
      <sheetName val="[SHOPLIST.xls][SHOPLIST.xls]70,"/>
      <sheetName val="office"/>
      <sheetName val="Lab"/>
      <sheetName val="PRECAST_lightconc-II"/>
      <sheetName val="final_abstract"/>
      <sheetName val="PRECAST_lightconc-II1"/>
      <sheetName val="final_abstract1"/>
      <sheetName val="PRECAST_lightconc-II2"/>
      <sheetName val="BOQ_Direct_selling_cost2"/>
      <sheetName val="final_abstract2"/>
      <sheetName val="Materials_Cost(PCC)3"/>
      <sheetName val="India_F&amp;S_Template3"/>
      <sheetName val="IO_LIST3"/>
      <sheetName val="Material_3"/>
      <sheetName val="Quote_Sheet3"/>
      <sheetName val="PRECAST_lightconc-II3"/>
      <sheetName val="BOQ_Direct_selling_cost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R20_R30_work"/>
      <sheetName val="Ave.wtd.rates"/>
      <sheetName val="Labour &amp; Plant"/>
      <sheetName val="Debits as on 12.04.08"/>
      <sheetName val="Intro"/>
      <sheetName val="STAFFSCHED "/>
      <sheetName val="Progress"/>
      <sheetName val="Back up"/>
      <sheetName val="Header"/>
      <sheetName val="Risk Breakdown Structure"/>
      <sheetName val="BASE_APR17_HISTOGRAMS"/>
      <sheetName val="PRJDATA"/>
      <sheetName val="Master"/>
      <sheetName val="GRSummary"/>
      <sheetName val="References"/>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XV10017"/>
      <sheetName val="????????"/>
      <sheetName val="Sheet7"/>
      <sheetName val="Common Variables"/>
      <sheetName val="INDIGINEOUS ITEMS "/>
      <sheetName val="train cash"/>
      <sheetName val="accom cash"/>
      <sheetName val="ConferenceCentre_x0000_옰ʒ䄂ʒ鵠ʐ䄂ʒ"/>
      <sheetName val="Geneí¬_x0008_i_x0000__x0000__x0"/>
      <sheetName val="70_x0000_,_0_x0000_s«_x0008_i_x"/>
      <sheetName val="_x0000__x0000__x0000__x0000__x0"/>
      <sheetName val="Geneí¬ i_x0000__x0000_ _x0000_0."/>
      <sheetName val="70_x0000_,/0_x0000_s« i_x0000_Æø í¬ i_x0000_"/>
      <sheetName val="70,_0s«iÆøí¬i"/>
      <sheetName val="d-safe DELUXE"/>
      <sheetName val="ConferenceCentre_옰ʒ䄂ʒ鵠ʐ䄂ʒ閐̐䄂ʒ蕈̐"/>
      <sheetName val="BG"/>
      <sheetName val="RAB AR&amp;STR"/>
      <sheetName val="GPL Revenu Update"/>
      <sheetName val="DO NOT TOUCH"/>
      <sheetName val="Work Type"/>
      <sheetName val="UOM"/>
      <sheetName val="MA"/>
      <sheetName val="Rebars"/>
      <sheetName val="Mall waterproofing"/>
      <sheetName val="MSCP waterproofing"/>
      <sheetName val="-----------------"/>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Summary_of_Work"/>
      <sheetName val="Employee_List"/>
      <sheetName val="Duct Accesories"/>
      <sheetName val="COSTING"/>
      <sheetName val="合成単価作成表-BLDG"/>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CHART_OF_ACCOUNTS2"/>
      <sheetName val="E-Bill_No_6_A-O2"/>
      <sheetName val="B185-B-9_12"/>
      <sheetName val="B185-B-9_22"/>
      <sheetName val="B09_12"/>
      <sheetName val="PMWeb_data2"/>
      <sheetName val="SS_MH2"/>
      <sheetName val="Eq__Mobilization2"/>
      <sheetName val="w't_table2"/>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2_2)Revised_Cash_Flow1"/>
      <sheetName val="Material_List_1"/>
      <sheetName val="Chiet_t1"/>
      <sheetName val="Staffing_and_Rates_IA1"/>
      <sheetName val="Index_List1"/>
      <sheetName val="Type_List1"/>
      <sheetName val="File_Types1"/>
      <sheetName val="입찰내역_발주처_양식1"/>
      <sheetName val="/VWVU))tÏØ0__1"/>
      <sheetName val="Staff_Acco_"/>
      <sheetName val="TBAL9697_-group_wise__sdpl"/>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ConferenceCentre?옰ʒ䄂ʒ鵠ʐ䄂ʒ閐̐脭め_x0005__x0000_"/>
      <sheetName val="???? ??? ??"/>
      <sheetName val="200205C"/>
      <sheetName val="Headings"/>
      <sheetName val="E_&amp;_R"/>
      <sheetName val="Geneí¬_x0008_i___x0014__0."/>
      <sheetName val="70_,_0_s«_x0008_i_Æø_x0003_í¬_x0008_i_"/>
      <sheetName val="________"/>
      <sheetName val="FORM7"/>
      <sheetName val="TRIAL BALANCE"/>
      <sheetName val="Map"/>
      <sheetName val="Definitions"/>
      <sheetName val="MEP"/>
      <sheetName val="IRR"/>
      <sheetName val="INDEX"/>
      <sheetName val="instructions"/>
      <sheetName val="LIST_DO_NOT_REMOVE1"/>
      <sheetName val="Project_Cost_Breakdown"/>
      <sheetName val="B6_2_1"/>
      <sheetName val="Annex_1_Sect_3a"/>
      <sheetName val="Annex_1_Sect_3a_1"/>
      <sheetName val="Annex_1_Sect_3b"/>
      <sheetName val="Annex_1_Sect_3c"/>
      <sheetName val="HOURLY_RATES"/>
      <sheetName val="Item-_Compact"/>
      <sheetName val="[SHOPLIST.xls]70_x0000_,/0_x0000_s« i_x0000_Æø í¬"/>
      <sheetName val="Selections"/>
      <sheetName val="Resumo Empreitadas"/>
      <sheetName val="Source"/>
      <sheetName val="Home"/>
      <sheetName val="Lookup"/>
      <sheetName val="Steel"/>
      <sheetName val="Floor Box "/>
      <sheetName val="Coding"/>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refreshError="1"/>
      <sheetData sheetId="182" refreshError="1"/>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sheetData sheetId="347"/>
      <sheetData sheetId="348"/>
      <sheetData sheetId="349"/>
      <sheetData sheetId="350"/>
      <sheetData sheetId="351"/>
      <sheetData sheetId="352"/>
      <sheetData sheetId="353"/>
      <sheetData sheetId="354"/>
      <sheetData sheetId="355"/>
      <sheetData sheetId="356" refreshError="1"/>
      <sheetData sheetId="357"/>
      <sheetData sheetId="358"/>
      <sheetData sheetId="359" refreshError="1"/>
      <sheetData sheetId="360"/>
      <sheetData sheetId="361"/>
      <sheetData sheetId="362" refreshError="1"/>
      <sheetData sheetId="363" refreshError="1"/>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efreshError="1"/>
      <sheetData sheetId="584" refreshError="1"/>
      <sheetData sheetId="585"/>
      <sheetData sheetId="586"/>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efreshError="1"/>
      <sheetData sheetId="627" refreshError="1"/>
      <sheetData sheetId="628" refreshError="1"/>
      <sheetData sheetId="629" refreshError="1"/>
      <sheetData sheetId="630" refreshError="1"/>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refreshError="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refreshError="1"/>
      <sheetData sheetId="1039" refreshError="1"/>
      <sheetData sheetId="1040" refreshError="1"/>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refreshError="1"/>
      <sheetData sheetId="1064"/>
      <sheetData sheetId="1065"/>
      <sheetData sheetId="1066"/>
      <sheetData sheetId="1067"/>
      <sheetData sheetId="1068" refreshError="1"/>
      <sheetData sheetId="1069" refreshError="1"/>
      <sheetData sheetId="1070" refreshError="1"/>
      <sheetData sheetId="1071"/>
      <sheetData sheetId="1072"/>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refreshError="1"/>
      <sheetData sheetId="1282" refreshError="1"/>
      <sheetData sheetId="1283" refreshError="1"/>
      <sheetData sheetId="1284"/>
      <sheetData sheetId="1285"/>
      <sheetData sheetId="1286"/>
      <sheetData sheetId="1287"/>
      <sheetData sheetId="1288" refreshError="1"/>
      <sheetData sheetId="1289" refreshError="1"/>
      <sheetData sheetId="1290" refreshError="1"/>
      <sheetData sheetId="1291" refreshError="1"/>
      <sheetData sheetId="1292" refreshError="1"/>
      <sheetData sheetId="1293" refreshError="1"/>
      <sheetData sheetId="1294" refreshError="1"/>
      <sheetData sheetId="1295"/>
      <sheetData sheetId="1296"/>
      <sheetData sheetId="1297"/>
      <sheetData sheetId="1298"/>
      <sheetData sheetId="1299" refreshError="1"/>
      <sheetData sheetId="1300"/>
      <sheetData sheetId="1301"/>
      <sheetData sheetId="1302"/>
      <sheetData sheetId="1303"/>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sheetData sheetId="1321"/>
      <sheetData sheetId="1322"/>
      <sheetData sheetId="1323"/>
      <sheetData sheetId="1324"/>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sheetData sheetId="1336"/>
      <sheetData sheetId="1337"/>
      <sheetData sheetId="1338"/>
      <sheetData sheetId="1339"/>
      <sheetData sheetId="1340"/>
      <sheetData sheetId="1341"/>
      <sheetData sheetId="1342"/>
      <sheetData sheetId="1343"/>
      <sheetData sheetId="1344" refreshError="1"/>
      <sheetData sheetId="1345" refreshError="1"/>
      <sheetData sheetId="1346" refreshError="1"/>
      <sheetData sheetId="1347" refreshError="1"/>
      <sheetData sheetId="1348" refreshError="1"/>
      <sheetData sheetId="1349"/>
      <sheetData sheetId="1350"/>
      <sheetData sheetId="1351" refreshError="1"/>
      <sheetData sheetId="1352"/>
      <sheetData sheetId="1353" refreshError="1"/>
      <sheetData sheetId="1354" refreshError="1"/>
      <sheetData sheetId="1355" refreshError="1"/>
      <sheetData sheetId="1356" refreshError="1"/>
      <sheetData sheetId="1357"/>
      <sheetData sheetId="1358"/>
      <sheetData sheetId="1359"/>
      <sheetData sheetId="1360"/>
      <sheetData sheetId="1361" refreshError="1"/>
      <sheetData sheetId="1362" refreshError="1"/>
      <sheetData sheetId="1363" refreshError="1"/>
      <sheetData sheetId="1364"/>
      <sheetData sheetId="1365"/>
      <sheetData sheetId="1366"/>
      <sheetData sheetId="1367"/>
      <sheetData sheetId="1368"/>
      <sheetData sheetId="1369" refreshError="1"/>
      <sheetData sheetId="1370" refreshError="1"/>
      <sheetData sheetId="1371" refreshError="1"/>
      <sheetData sheetId="1372" refreshError="1"/>
      <sheetData sheetId="1373"/>
      <sheetData sheetId="1374"/>
      <sheetData sheetId="1375" refreshError="1"/>
      <sheetData sheetId="1376"/>
      <sheetData sheetId="1377" refreshError="1"/>
      <sheetData sheetId="1378" refreshError="1"/>
      <sheetData sheetId="1379" refreshError="1"/>
      <sheetData sheetId="1380" refreshError="1"/>
      <sheetData sheetId="1381" refreshError="1"/>
      <sheetData sheetId="1382"/>
      <sheetData sheetId="1383"/>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sheetData sheetId="1394" refreshError="1"/>
      <sheetData sheetId="1395" refreshError="1"/>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sheetData sheetId="1438"/>
      <sheetData sheetId="1439"/>
      <sheetData sheetId="1440"/>
      <sheetData sheetId="144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sheetData sheetId="1768"/>
      <sheetData sheetId="1769"/>
      <sheetData sheetId="1770"/>
      <sheetData sheetId="1771" refreshError="1"/>
      <sheetData sheetId="1772" refreshError="1"/>
      <sheetData sheetId="1773"/>
      <sheetData sheetId="1774"/>
      <sheetData sheetId="1775"/>
      <sheetData sheetId="1776"/>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sheetData sheetId="1795" refreshError="1"/>
      <sheetData sheetId="179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AM"/>
      <sheetName val="CASHFLOW"/>
      <sheetName val="INFLATION"/>
      <sheetName val="Current"/>
      <sheetName val="fitoutconfcentre"/>
    </sheetNames>
    <sheetDataSet>
      <sheetData sheetId="0" refreshError="1">
        <row r="124">
          <cell r="E124">
            <v>31386596.656872425</v>
          </cell>
        </row>
        <row r="125">
          <cell r="E125">
            <v>62773193.31374485</v>
          </cell>
        </row>
        <row r="126">
          <cell r="E126">
            <v>94159789.970617279</v>
          </cell>
        </row>
        <row r="127">
          <cell r="E127">
            <v>125546386.6274897</v>
          </cell>
        </row>
        <row r="128">
          <cell r="E128">
            <v>156932983.28436214</v>
          </cell>
        </row>
        <row r="129">
          <cell r="E129">
            <v>188319579.94123456</v>
          </cell>
        </row>
        <row r="130">
          <cell r="E130">
            <v>220402387.12442279</v>
          </cell>
        </row>
        <row r="131">
          <cell r="E131">
            <v>365027131.07212818</v>
          </cell>
        </row>
        <row r="132">
          <cell r="E132">
            <v>495583025.01983356</v>
          </cell>
        </row>
        <row r="133">
          <cell r="E133">
            <v>626138918.96753895</v>
          </cell>
        </row>
        <row r="134">
          <cell r="E134">
            <v>756694812.91524434</v>
          </cell>
        </row>
        <row r="135">
          <cell r="E135">
            <v>887250706.86294973</v>
          </cell>
        </row>
        <row r="136">
          <cell r="E136">
            <v>1017806600.8106551</v>
          </cell>
        </row>
        <row r="137">
          <cell r="E137">
            <v>1161787481.210254</v>
          </cell>
        </row>
        <row r="138">
          <cell r="E138">
            <v>1305768361.6098528</v>
          </cell>
        </row>
        <row r="139">
          <cell r="E139">
            <v>1449749242.0094516</v>
          </cell>
        </row>
        <row r="140">
          <cell r="E140">
            <v>1593730122.4090505</v>
          </cell>
        </row>
        <row r="141">
          <cell r="E141">
            <v>1737711002.8086493</v>
          </cell>
        </row>
        <row r="142">
          <cell r="E142">
            <v>1936041854.1758137</v>
          </cell>
        </row>
        <row r="143">
          <cell r="E143">
            <v>2134372705.542978</v>
          </cell>
        </row>
        <row r="144">
          <cell r="E144">
            <v>2332703556.9101424</v>
          </cell>
        </row>
        <row r="145">
          <cell r="E145">
            <v>2531034408.277307</v>
          </cell>
        </row>
        <row r="146">
          <cell r="E146">
            <v>2729365259.6444716</v>
          </cell>
        </row>
        <row r="147">
          <cell r="E147">
            <v>2927696111.0116363</v>
          </cell>
        </row>
        <row r="148">
          <cell r="E148">
            <v>3126026962.3788009</v>
          </cell>
        </row>
        <row r="149">
          <cell r="E149">
            <v>3323661603.2196493</v>
          </cell>
        </row>
        <row r="150">
          <cell r="E150">
            <v>3419299538.7973399</v>
          </cell>
        </row>
        <row r="151">
          <cell r="E151">
            <v>3514937474.3750305</v>
          </cell>
        </row>
        <row r="152">
          <cell r="E152">
            <v>3610575409.9527211</v>
          </cell>
        </row>
        <row r="153">
          <cell r="E153">
            <v>3712577205.7213755</v>
          </cell>
        </row>
        <row r="154">
          <cell r="E154">
            <v>3741231636.1965308</v>
          </cell>
        </row>
        <row r="155">
          <cell r="E155">
            <v>3769886066.6716862</v>
          </cell>
        </row>
        <row r="156">
          <cell r="E156">
            <v>3798540497.1468415</v>
          </cell>
        </row>
        <row r="157">
          <cell r="E157">
            <v>3827194927.6219969</v>
          </cell>
        </row>
        <row r="158">
          <cell r="E158">
            <v>3855849358.0971522</v>
          </cell>
        </row>
        <row r="159">
          <cell r="E159">
            <v>3884503788.5723076</v>
          </cell>
        </row>
        <row r="160">
          <cell r="E160">
            <v>3884503788.5723076</v>
          </cell>
        </row>
        <row r="161">
          <cell r="E161">
            <v>3884503788.5723076</v>
          </cell>
        </row>
        <row r="162">
          <cell r="E162">
            <v>3884503788.5723076</v>
          </cell>
        </row>
        <row r="163">
          <cell r="E163">
            <v>3884503788.5723076</v>
          </cell>
        </row>
        <row r="164">
          <cell r="E164">
            <v>3884503788.5723076</v>
          </cell>
        </row>
        <row r="165">
          <cell r="E165">
            <v>3884503788.5723076</v>
          </cell>
        </row>
        <row r="166">
          <cell r="E166">
            <v>3884503788.5723076</v>
          </cell>
        </row>
        <row r="167">
          <cell r="E167">
            <v>3884503788.5723076</v>
          </cell>
        </row>
        <row r="168">
          <cell r="E168">
            <v>3884503788.5723076</v>
          </cell>
        </row>
        <row r="169">
          <cell r="E169">
            <v>3884503788.5723076</v>
          </cell>
        </row>
        <row r="170">
          <cell r="E170">
            <v>3884503788.5723076</v>
          </cell>
        </row>
        <row r="171">
          <cell r="E171">
            <v>3884503788.5723076</v>
          </cell>
        </row>
        <row r="172">
          <cell r="E172">
            <v>3884503788.5723076</v>
          </cell>
        </row>
        <row r="173">
          <cell r="E173">
            <v>3884503788.5723076</v>
          </cell>
        </row>
        <row r="174">
          <cell r="E174">
            <v>3884503788.5723076</v>
          </cell>
        </row>
        <row r="175">
          <cell r="E175">
            <v>3884503788.5723076</v>
          </cell>
        </row>
        <row r="176">
          <cell r="E176">
            <v>3884503788.5723076</v>
          </cell>
        </row>
        <row r="177">
          <cell r="E177">
            <v>3884503788.5723076</v>
          </cell>
        </row>
      </sheetData>
      <sheetData sheetId="1" refreshError="1">
        <row r="24">
          <cell r="G24">
            <v>31386596.656872425</v>
          </cell>
        </row>
        <row r="25">
          <cell r="G25">
            <v>31386596.656872425</v>
          </cell>
        </row>
        <row r="26">
          <cell r="G26">
            <v>31386596.656872429</v>
          </cell>
        </row>
        <row r="27">
          <cell r="G27">
            <v>31386596.656872422</v>
          </cell>
        </row>
        <row r="28">
          <cell r="G28">
            <v>31386596.656872436</v>
          </cell>
        </row>
        <row r="29">
          <cell r="G29">
            <v>31386596.656872422</v>
          </cell>
        </row>
        <row r="30">
          <cell r="G30">
            <v>32082807.18318823</v>
          </cell>
        </row>
        <row r="31">
          <cell r="G31">
            <v>144624743.94770539</v>
          </cell>
        </row>
        <row r="32">
          <cell r="G32">
            <v>130555893.94770539</v>
          </cell>
        </row>
        <row r="33">
          <cell r="G33">
            <v>130555893.94770539</v>
          </cell>
        </row>
        <row r="34">
          <cell r="G34">
            <v>130555893.94770539</v>
          </cell>
        </row>
        <row r="35">
          <cell r="G35">
            <v>130555893.94770539</v>
          </cell>
        </row>
        <row r="36">
          <cell r="G36">
            <v>130555893.94770539</v>
          </cell>
        </row>
        <row r="37">
          <cell r="G37">
            <v>143980880.39959884</v>
          </cell>
        </row>
        <row r="38">
          <cell r="G38">
            <v>143980880.39959884</v>
          </cell>
        </row>
        <row r="39">
          <cell r="G39">
            <v>143980880.39959884</v>
          </cell>
        </row>
        <row r="40">
          <cell r="G40">
            <v>143980880.39959884</v>
          </cell>
        </row>
        <row r="41">
          <cell r="G41">
            <v>143980880.39959884</v>
          </cell>
        </row>
        <row r="42">
          <cell r="G42">
            <v>198330851.36716437</v>
          </cell>
        </row>
        <row r="43">
          <cell r="G43">
            <v>198330851.36716437</v>
          </cell>
        </row>
        <row r="44">
          <cell r="G44">
            <v>198330851.36716437</v>
          </cell>
        </row>
        <row r="45">
          <cell r="G45">
            <v>198330851.36716461</v>
          </cell>
        </row>
        <row r="46">
          <cell r="G46">
            <v>198330851.36716461</v>
          </cell>
        </row>
        <row r="47">
          <cell r="G47">
            <v>198330851.36716461</v>
          </cell>
        </row>
        <row r="48">
          <cell r="G48">
            <v>198330851.36716461</v>
          </cell>
        </row>
        <row r="49">
          <cell r="G49">
            <v>197634640.84084845</v>
          </cell>
        </row>
        <row r="50">
          <cell r="G50">
            <v>95637935.577690601</v>
          </cell>
        </row>
        <row r="51">
          <cell r="G51">
            <v>95637935.577690601</v>
          </cell>
        </row>
        <row r="52">
          <cell r="G52">
            <v>95637935.577690601</v>
          </cell>
        </row>
        <row r="53">
          <cell r="G53">
            <v>102001795.76865435</v>
          </cell>
        </row>
        <row r="54">
          <cell r="G54">
            <v>28654430.475155354</v>
          </cell>
        </row>
        <row r="55">
          <cell r="G55">
            <v>28654430.475155354</v>
          </cell>
        </row>
        <row r="56">
          <cell r="G56">
            <v>28654430.475155354</v>
          </cell>
        </row>
        <row r="57">
          <cell r="G57">
            <v>28654430.475155354</v>
          </cell>
        </row>
        <row r="58">
          <cell r="G58">
            <v>28654430.475155354</v>
          </cell>
        </row>
        <row r="59">
          <cell r="G59">
            <v>28654430.475155354</v>
          </cell>
        </row>
        <row r="60">
          <cell r="G60">
            <v>0</v>
          </cell>
        </row>
        <row r="61">
          <cell r="G61">
            <v>0</v>
          </cell>
        </row>
        <row r="62">
          <cell r="G62">
            <v>0</v>
          </cell>
        </row>
        <row r="63">
          <cell r="G63">
            <v>0</v>
          </cell>
        </row>
        <row r="64">
          <cell r="G64">
            <v>0</v>
          </cell>
        </row>
        <row r="65">
          <cell r="G65">
            <v>0</v>
          </cell>
        </row>
        <row r="66">
          <cell r="G66">
            <v>0</v>
          </cell>
        </row>
        <row r="67">
          <cell r="G67">
            <v>0</v>
          </cell>
        </row>
        <row r="68">
          <cell r="G68">
            <v>0</v>
          </cell>
        </row>
        <row r="69">
          <cell r="G69">
            <v>0</v>
          </cell>
        </row>
        <row r="70">
          <cell r="G70">
            <v>0</v>
          </cell>
        </row>
        <row r="71">
          <cell r="G71">
            <v>0</v>
          </cell>
        </row>
        <row r="72">
          <cell r="G72">
            <v>0</v>
          </cell>
        </row>
        <row r="73">
          <cell r="G73">
            <v>0</v>
          </cell>
        </row>
        <row r="74">
          <cell r="G74">
            <v>0</v>
          </cell>
        </row>
        <row r="75">
          <cell r="G75">
            <v>0</v>
          </cell>
        </row>
        <row r="76">
          <cell r="G76">
            <v>0</v>
          </cell>
        </row>
        <row r="77">
          <cell r="G77">
            <v>0</v>
          </cell>
        </row>
      </sheetData>
      <sheetData sheetId="2"/>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МЕНЮ-ГЛ"/>
      <sheetName val="БДР"/>
      <sheetName val="ОБ-1"/>
      <sheetName val="ОБ-2"/>
      <sheetName val="ОБ-4"/>
      <sheetName val="ОБ-17"/>
      <sheetName val="маржинальность"/>
      <sheetName val="ОБ-3_с_п"/>
      <sheetName val="ОБ-3_с"/>
      <sheetName val="МАСЛОсырое"/>
      <sheetName val="распр з_платы23"/>
      <sheetName val="распред 1.3.8.1"/>
      <sheetName val="распред 1.3.8.2"/>
      <sheetName val="распред 1.3.8.3"/>
      <sheetName val="распред 1.3.8.4"/>
      <sheetName val="распред 1.3.8.7"/>
      <sheetName val="распред 1.3.8.5"/>
      <sheetName val="распред амортизации"/>
      <sheetName val="распред ТЭР"/>
      <sheetName val="ОБ-6"/>
      <sheetName val="ОБ-7"/>
      <sheetName val="ОБ-8"/>
      <sheetName val="ОБ-9"/>
      <sheetName val="ОБ-10"/>
      <sheetName val="ОБ-11"/>
      <sheetName val="ОБ-13"/>
      <sheetName val="ОБ-14"/>
      <sheetName val="ОБ-18"/>
      <sheetName val="ОБ-19"/>
      <sheetName val="ОБ-20"/>
      <sheetName val="ОБ-21"/>
      <sheetName val="ОБ-22"/>
      <sheetName val="00"/>
      <sheetName val="БДР развернутый_не использовать"/>
      <sheetName val="рекламные расходы"/>
      <sheetName val="постоянные"/>
      <sheetName val="непроизводственные"/>
      <sheetName val="ОБ-5"/>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row r="13">
          <cell r="J13" t="str">
            <v>ОТКЛОНЕНИЕ</v>
          </cell>
          <cell r="N13" t="str">
            <v>ОТКЛОНЕНИЕ</v>
          </cell>
        </row>
        <row r="14">
          <cell r="J14">
            <v>38658</v>
          </cell>
          <cell r="N14">
            <v>38596</v>
          </cell>
        </row>
        <row r="15">
          <cell r="J15" t="str">
            <v>тонн</v>
          </cell>
          <cell r="K15" t="str">
            <v>РУБЛЕЙ</v>
          </cell>
          <cell r="N15" t="str">
            <v>тонн</v>
          </cell>
          <cell r="O15" t="str">
            <v>РУБЛЕЙ</v>
          </cell>
        </row>
        <row r="18">
          <cell r="J18">
            <v>17448.471051111112</v>
          </cell>
          <cell r="K18">
            <v>-221637009.1071761</v>
          </cell>
          <cell r="N18">
            <v>26566.227835333335</v>
          </cell>
          <cell r="O18">
            <v>-149060569.73179361</v>
          </cell>
        </row>
        <row r="19">
          <cell r="J19">
            <v>-24891.328948888891</v>
          </cell>
          <cell r="K19">
            <v>-221260737.92073542</v>
          </cell>
          <cell r="N19">
            <v>-15773.572164666668</v>
          </cell>
          <cell r="O19">
            <v>-149687688.37586141</v>
          </cell>
        </row>
        <row r="20">
          <cell r="J20">
            <v>-12782.001315555553</v>
          </cell>
          <cell r="K20">
            <v>-193408450.96390828</v>
          </cell>
          <cell r="N20">
            <v>-8583.115188888889</v>
          </cell>
          <cell r="O20">
            <v>-137543171.63411137</v>
          </cell>
        </row>
        <row r="21">
          <cell r="J21">
            <v>0</v>
          </cell>
          <cell r="K21">
            <v>0</v>
          </cell>
          <cell r="N21">
            <v>0</v>
          </cell>
          <cell r="O21">
            <v>0</v>
          </cell>
        </row>
        <row r="22">
          <cell r="J22">
            <v>-12410.719279999999</v>
          </cell>
          <cell r="K22">
            <v>-182027322.80931243</v>
          </cell>
          <cell r="N22">
            <v>-8752.7999999999993</v>
          </cell>
          <cell r="O22">
            <v>-143060145.45454544</v>
          </cell>
        </row>
        <row r="23">
          <cell r="J23">
            <v>-371.28203555555501</v>
          </cell>
          <cell r="K23">
            <v>-11381128.154595852</v>
          </cell>
          <cell r="N23">
            <v>169.68481111111032</v>
          </cell>
          <cell r="O23">
            <v>5516973.8204340935</v>
          </cell>
        </row>
        <row r="24">
          <cell r="J24">
            <v>-479.01199999999972</v>
          </cell>
          <cell r="K24">
            <v>-9056344.2100617811</v>
          </cell>
          <cell r="N24">
            <v>-159.13000000000011</v>
          </cell>
          <cell r="O24">
            <v>-3953395.1191526875</v>
          </cell>
        </row>
        <row r="25">
          <cell r="J25">
            <v>79.415466666666589</v>
          </cell>
          <cell r="K25">
            <v>2475288.9850408211</v>
          </cell>
          <cell r="N25">
            <v>136.11412422222224</v>
          </cell>
          <cell r="O25">
            <v>4261813.9559422582</v>
          </cell>
        </row>
        <row r="26">
          <cell r="J26">
            <v>301.47199999999998</v>
          </cell>
          <cell r="K26">
            <v>2908814.2451905105</v>
          </cell>
          <cell r="N26">
            <v>601.47199999999998</v>
          </cell>
          <cell r="O26">
            <v>6582928.5802752525</v>
          </cell>
        </row>
        <row r="27">
          <cell r="J27">
            <v>-12011.203099999997</v>
          </cell>
          <cell r="K27">
            <v>-24180045.97699663</v>
          </cell>
          <cell r="N27">
            <v>-7768.9130999999979</v>
          </cell>
          <cell r="O27">
            <v>-19035864.15881481</v>
          </cell>
        </row>
        <row r="28">
          <cell r="K28">
            <v>0</v>
          </cell>
          <cell r="O28">
            <v>0</v>
          </cell>
        </row>
        <row r="29">
          <cell r="K29">
            <v>0</v>
          </cell>
          <cell r="O29">
            <v>0</v>
          </cell>
        </row>
        <row r="30">
          <cell r="K30">
            <v>0</v>
          </cell>
          <cell r="O30">
            <v>0</v>
          </cell>
        </row>
        <row r="31">
          <cell r="K31">
            <v>0</v>
          </cell>
          <cell r="O31">
            <v>0</v>
          </cell>
        </row>
        <row r="32">
          <cell r="K32">
            <v>0</v>
          </cell>
          <cell r="O32">
            <v>0</v>
          </cell>
        </row>
        <row r="33">
          <cell r="K33">
            <v>0</v>
          </cell>
          <cell r="O33">
            <v>0</v>
          </cell>
        </row>
        <row r="34">
          <cell r="K34">
            <v>0</v>
          </cell>
          <cell r="O34">
            <v>0</v>
          </cell>
        </row>
        <row r="35">
          <cell r="K35">
            <v>0</v>
          </cell>
          <cell r="O35">
            <v>0</v>
          </cell>
        </row>
        <row r="36">
          <cell r="K36">
            <v>0</v>
          </cell>
          <cell r="O36">
            <v>0</v>
          </cell>
        </row>
        <row r="37">
          <cell r="K37">
            <v>-376271.18644067831</v>
          </cell>
          <cell r="O37">
            <v>627118.64406779641</v>
          </cell>
        </row>
        <row r="38">
          <cell r="K38">
            <v>-240413644.57825232</v>
          </cell>
          <cell r="O38">
            <v>-144044516.04047036</v>
          </cell>
        </row>
        <row r="39">
          <cell r="K39">
            <v>-203869531.21928978</v>
          </cell>
          <cell r="O39">
            <v>-121017475.92626201</v>
          </cell>
        </row>
        <row r="40">
          <cell r="K40">
            <v>-200403161.76357841</v>
          </cell>
          <cell r="O40">
            <v>-128558279.85212372</v>
          </cell>
        </row>
        <row r="41">
          <cell r="K41">
            <v>-3466369.4557113983</v>
          </cell>
          <cell r="O41">
            <v>7540803.9258617274</v>
          </cell>
        </row>
        <row r="42">
          <cell r="K42">
            <v>-147786.31732252799</v>
          </cell>
          <cell r="O42">
            <v>88294.151950161904</v>
          </cell>
        </row>
        <row r="43">
          <cell r="K43">
            <v>-1122367.6389306411</v>
          </cell>
          <cell r="O43">
            <v>2044714.6303585358</v>
          </cell>
        </row>
        <row r="44">
          <cell r="K44">
            <v>-1779246.9363638959</v>
          </cell>
          <cell r="O44">
            <v>-978759.79279740853</v>
          </cell>
        </row>
        <row r="45">
          <cell r="K45">
            <v>-63734.150769526372</v>
          </cell>
          <cell r="O45">
            <v>470832.68829769036</v>
          </cell>
        </row>
        <row r="46">
          <cell r="K46">
            <v>-1784244.8987529543</v>
          </cell>
          <cell r="O46">
            <v>-1593605.8892885474</v>
          </cell>
        </row>
        <row r="47">
          <cell r="K47">
            <v>0</v>
          </cell>
          <cell r="O47">
            <v>0</v>
          </cell>
        </row>
        <row r="48">
          <cell r="K48">
            <v>15403.10474259351</v>
          </cell>
          <cell r="O48">
            <v>57965.380055922695</v>
          </cell>
        </row>
        <row r="49">
          <cell r="K49">
            <v>53329.008415990742</v>
          </cell>
          <cell r="O49">
            <v>86048.028137525427</v>
          </cell>
        </row>
        <row r="50">
          <cell r="K50">
            <v>0</v>
          </cell>
          <cell r="O50">
            <v>0</v>
          </cell>
        </row>
        <row r="51">
          <cell r="K51">
            <v>0</v>
          </cell>
          <cell r="O51">
            <v>0</v>
          </cell>
        </row>
        <row r="52">
          <cell r="K52">
            <v>-22099711.864406779</v>
          </cell>
          <cell r="O52">
            <v>-13530508.474576272</v>
          </cell>
        </row>
        <row r="53">
          <cell r="K53">
            <v>0</v>
          </cell>
          <cell r="O53">
            <v>0</v>
          </cell>
        </row>
        <row r="54">
          <cell r="K54">
            <v>0</v>
          </cell>
          <cell r="O54">
            <v>0</v>
          </cell>
        </row>
        <row r="55">
          <cell r="K55">
            <v>0</v>
          </cell>
          <cell r="O55">
            <v>0</v>
          </cell>
        </row>
        <row r="56">
          <cell r="K56">
            <v>0</v>
          </cell>
          <cell r="O56">
            <v>0</v>
          </cell>
        </row>
        <row r="57">
          <cell r="K57">
            <v>0</v>
          </cell>
          <cell r="O57">
            <v>0</v>
          </cell>
        </row>
        <row r="58">
          <cell r="K58">
            <v>0</v>
          </cell>
          <cell r="O58">
            <v>0</v>
          </cell>
        </row>
        <row r="59">
          <cell r="K59">
            <v>0</v>
          </cell>
          <cell r="O59">
            <v>0</v>
          </cell>
        </row>
        <row r="60">
          <cell r="K60">
            <v>0</v>
          </cell>
          <cell r="O60">
            <v>0</v>
          </cell>
        </row>
        <row r="61">
          <cell r="K61">
            <v>0</v>
          </cell>
          <cell r="O61">
            <v>0</v>
          </cell>
        </row>
        <row r="62">
          <cell r="K62">
            <v>0</v>
          </cell>
          <cell r="O62">
            <v>0</v>
          </cell>
        </row>
        <row r="63">
          <cell r="K63">
            <v>0</v>
          </cell>
          <cell r="O63">
            <v>0</v>
          </cell>
        </row>
        <row r="64">
          <cell r="K64">
            <v>0</v>
          </cell>
          <cell r="O64">
            <v>0</v>
          </cell>
        </row>
        <row r="65">
          <cell r="K65">
            <v>0</v>
          </cell>
          <cell r="O65">
            <v>0</v>
          </cell>
        </row>
        <row r="66">
          <cell r="K66">
            <v>0</v>
          </cell>
          <cell r="O66">
            <v>0</v>
          </cell>
        </row>
        <row r="67">
          <cell r="K67">
            <v>0</v>
          </cell>
          <cell r="O67">
            <v>0</v>
          </cell>
        </row>
        <row r="68">
          <cell r="K68">
            <v>-11395000.601938691</v>
          </cell>
          <cell r="O68">
            <v>-10650780.629143365</v>
          </cell>
        </row>
        <row r="100">
          <cell r="K100">
            <v>18776635.47107622</v>
          </cell>
          <cell r="O100">
            <v>-5016053.6913232505</v>
          </cell>
        </row>
        <row r="101">
          <cell r="K101">
            <v>0.21769867396249626</v>
          </cell>
          <cell r="O101">
            <v>0.12871872912284624</v>
          </cell>
        </row>
        <row r="102">
          <cell r="K102">
            <v>0</v>
          </cell>
          <cell r="O102">
            <v>0</v>
          </cell>
        </row>
        <row r="103">
          <cell r="K103">
            <v>11521052.652749822</v>
          </cell>
          <cell r="O103">
            <v>-15523916.881653845</v>
          </cell>
        </row>
        <row r="104">
          <cell r="K104">
            <v>0</v>
          </cell>
          <cell r="O104">
            <v>0</v>
          </cell>
        </row>
        <row r="105">
          <cell r="K105">
            <v>0</v>
          </cell>
          <cell r="O105">
            <v>0</v>
          </cell>
        </row>
        <row r="106">
          <cell r="K106">
            <v>-5398.3093475267524</v>
          </cell>
          <cell r="O106">
            <v>-8370.6138151852065</v>
          </cell>
        </row>
        <row r="107">
          <cell r="K107">
            <v>-900238.66015110957</v>
          </cell>
          <cell r="O107">
            <v>-500595.15648250654</v>
          </cell>
        </row>
        <row r="108">
          <cell r="K108">
            <v>26819.408979218337</v>
          </cell>
          <cell r="O108">
            <v>220387.33841662889</v>
          </cell>
        </row>
        <row r="109">
          <cell r="K109">
            <v>-1243741.6521811755</v>
          </cell>
          <cell r="O109">
            <v>-1041134.9779499831</v>
          </cell>
        </row>
        <row r="110">
          <cell r="K110">
            <v>0</v>
          </cell>
          <cell r="O110">
            <v>0</v>
          </cell>
        </row>
        <row r="111">
          <cell r="K111">
            <v>-3655.3999999999942</v>
          </cell>
          <cell r="O111">
            <v>-186.5</v>
          </cell>
        </row>
        <row r="112">
          <cell r="K112">
            <v>320338.98305084766</v>
          </cell>
          <cell r="O112">
            <v>320338.98305084766</v>
          </cell>
        </row>
        <row r="113">
          <cell r="K113">
            <v>-171241.01043785177</v>
          </cell>
          <cell r="O113">
            <v>-629969.91035144404</v>
          </cell>
        </row>
        <row r="114">
          <cell r="K114">
            <v>-157175.46999999974</v>
          </cell>
          <cell r="O114">
            <v>-150611.6799999997</v>
          </cell>
        </row>
        <row r="115">
          <cell r="K115">
            <v>-101736.21234579664</v>
          </cell>
          <cell r="O115">
            <v>-276013.0736465496</v>
          </cell>
        </row>
        <row r="116">
          <cell r="K116">
            <v>-35455.620000000112</v>
          </cell>
          <cell r="O116">
            <v>-116951.08000000007</v>
          </cell>
        </row>
        <row r="117">
          <cell r="K117">
            <v>-797</v>
          </cell>
          <cell r="O117">
            <v>-2329</v>
          </cell>
        </row>
        <row r="118">
          <cell r="K118">
            <v>57147.220726776402</v>
          </cell>
          <cell r="O118">
            <v>-178819.40101017384</v>
          </cell>
        </row>
        <row r="119">
          <cell r="K119">
            <v>-62</v>
          </cell>
          <cell r="O119">
            <v>-62</v>
          </cell>
        </row>
        <row r="120">
          <cell r="K120">
            <v>41838.07118116878</v>
          </cell>
          <cell r="O120">
            <v>59816.324305279413</v>
          </cell>
        </row>
        <row r="121">
          <cell r="K121">
            <v>25000</v>
          </cell>
          <cell r="O121">
            <v>35000</v>
          </cell>
        </row>
        <row r="122">
          <cell r="K122">
            <v>-45721.349786906503</v>
          </cell>
          <cell r="O122">
            <v>-168201.96606383566</v>
          </cell>
        </row>
        <row r="123">
          <cell r="K123">
            <v>0</v>
          </cell>
          <cell r="O123">
            <v>144915.25423728814</v>
          </cell>
        </row>
        <row r="124">
          <cell r="K124">
            <v>0</v>
          </cell>
          <cell r="O124">
            <v>0</v>
          </cell>
        </row>
        <row r="125">
          <cell r="K125">
            <v>0</v>
          </cell>
          <cell r="O125">
            <v>0</v>
          </cell>
        </row>
        <row r="126">
          <cell r="K126">
            <v>0</v>
          </cell>
          <cell r="O126">
            <v>144915.25423728814</v>
          </cell>
        </row>
        <row r="127">
          <cell r="K127">
            <v>828636.45762711857</v>
          </cell>
          <cell r="O127">
            <v>-155495.32203389797</v>
          </cell>
        </row>
        <row r="128">
          <cell r="K128">
            <v>51172.033898305031</v>
          </cell>
          <cell r="O128">
            <v>9662.7118644067668</v>
          </cell>
        </row>
        <row r="129">
          <cell r="K129">
            <v>1228251.6949152546</v>
          </cell>
          <cell r="O129">
            <v>1196869.4915254242</v>
          </cell>
        </row>
        <row r="130">
          <cell r="K130">
            <v>61844.067796610179</v>
          </cell>
          <cell r="O130">
            <v>67420.338983050868</v>
          </cell>
        </row>
        <row r="131">
          <cell r="K131">
            <v>-327596.6101694915</v>
          </cell>
          <cell r="O131">
            <v>-591465.25423728814</v>
          </cell>
        </row>
        <row r="132">
          <cell r="K132">
            <v>190677.96610169494</v>
          </cell>
          <cell r="O132">
            <v>250000.00000000003</v>
          </cell>
        </row>
        <row r="133">
          <cell r="K133">
            <v>-109436.44067796611</v>
          </cell>
          <cell r="O133">
            <v>79076.271186440601</v>
          </cell>
        </row>
        <row r="134">
          <cell r="K134">
            <v>-266276.25423728814</v>
          </cell>
          <cell r="O134">
            <v>-1167058.8813559322</v>
          </cell>
        </row>
        <row r="135">
          <cell r="K135">
            <v>0</v>
          </cell>
          <cell r="O135">
            <v>0</v>
          </cell>
        </row>
        <row r="136">
          <cell r="K136">
            <v>0</v>
          </cell>
          <cell r="O136">
            <v>0</v>
          </cell>
        </row>
        <row r="137">
          <cell r="K137">
            <v>0</v>
          </cell>
          <cell r="O137">
            <v>0</v>
          </cell>
        </row>
        <row r="138">
          <cell r="K138">
            <v>0</v>
          </cell>
          <cell r="O138">
            <v>0</v>
          </cell>
        </row>
        <row r="139">
          <cell r="K139">
            <v>0</v>
          </cell>
          <cell r="O139">
            <v>0</v>
          </cell>
        </row>
        <row r="140">
          <cell r="K140">
            <v>0</v>
          </cell>
          <cell r="O140">
            <v>0</v>
          </cell>
        </row>
        <row r="141">
          <cell r="K141">
            <v>0</v>
          </cell>
          <cell r="O141">
            <v>0</v>
          </cell>
        </row>
        <row r="142">
          <cell r="K142">
            <v>0</v>
          </cell>
          <cell r="O142">
            <v>0</v>
          </cell>
        </row>
        <row r="143">
          <cell r="K143">
            <v>0</v>
          </cell>
          <cell r="O143">
            <v>0</v>
          </cell>
        </row>
        <row r="144">
          <cell r="K144">
            <v>0</v>
          </cell>
          <cell r="O144">
            <v>0</v>
          </cell>
        </row>
        <row r="145">
          <cell r="K145">
            <v>0</v>
          </cell>
          <cell r="O145">
            <v>0</v>
          </cell>
        </row>
        <row r="146">
          <cell r="K146">
            <v>0</v>
          </cell>
          <cell r="O146">
            <v>0</v>
          </cell>
        </row>
        <row r="147">
          <cell r="K147">
            <v>0</v>
          </cell>
          <cell r="O147">
            <v>0</v>
          </cell>
        </row>
        <row r="148">
          <cell r="K148">
            <v>0</v>
          </cell>
          <cell r="O148">
            <v>0</v>
          </cell>
        </row>
        <row r="149">
          <cell r="K149">
            <v>0</v>
          </cell>
          <cell r="O149">
            <v>0</v>
          </cell>
        </row>
        <row r="150">
          <cell r="K150">
            <v>31255.08474576287</v>
          </cell>
          <cell r="O150">
            <v>-1807915.4237288143</v>
          </cell>
        </row>
        <row r="151">
          <cell r="K151">
            <v>0</v>
          </cell>
          <cell r="O151">
            <v>-114000</v>
          </cell>
        </row>
        <row r="152">
          <cell r="K152">
            <v>0</v>
          </cell>
          <cell r="O152">
            <v>-2610000</v>
          </cell>
        </row>
        <row r="153">
          <cell r="K153">
            <v>0</v>
          </cell>
          <cell r="O153">
            <v>0</v>
          </cell>
        </row>
        <row r="154">
          <cell r="K154">
            <v>21186.440677966104</v>
          </cell>
          <cell r="O154">
            <v>33898.305084745763</v>
          </cell>
        </row>
        <row r="155">
          <cell r="K155">
            <v>-1000</v>
          </cell>
          <cell r="O155">
            <v>-14000</v>
          </cell>
        </row>
        <row r="156">
          <cell r="K156">
            <v>-191677.96610169491</v>
          </cell>
          <cell r="O156">
            <v>-99449.152542372904</v>
          </cell>
        </row>
        <row r="157">
          <cell r="K157">
            <v>-11016.949152542336</v>
          </cell>
          <cell r="O157">
            <v>847.45762711868156</v>
          </cell>
        </row>
        <row r="158">
          <cell r="K158">
            <v>0</v>
          </cell>
          <cell r="O158">
            <v>0</v>
          </cell>
        </row>
        <row r="159">
          <cell r="K159">
            <v>75999.152542372874</v>
          </cell>
          <cell r="O159">
            <v>49557.237288135599</v>
          </cell>
        </row>
        <row r="160">
          <cell r="K160">
            <v>25423.728813559312</v>
          </cell>
          <cell r="O160">
            <v>21186.440677966093</v>
          </cell>
        </row>
        <row r="161">
          <cell r="K161">
            <v>7627.1186440677993</v>
          </cell>
          <cell r="O161">
            <v>11440.677966101692</v>
          </cell>
        </row>
        <row r="162">
          <cell r="K162">
            <v>60400</v>
          </cell>
          <cell r="O162">
            <v>385400</v>
          </cell>
        </row>
        <row r="163">
          <cell r="K163">
            <v>-54152.542372881348</v>
          </cell>
          <cell r="O163">
            <v>7686.4406779661076</v>
          </cell>
        </row>
        <row r="164">
          <cell r="K164">
            <v>-18644.067796610172</v>
          </cell>
          <cell r="O164">
            <v>-33898.305084745763</v>
          </cell>
        </row>
        <row r="165">
          <cell r="K165">
            <v>117110.16949152551</v>
          </cell>
          <cell r="O165">
            <v>553415.47457627114</v>
          </cell>
        </row>
        <row r="166">
          <cell r="K166">
            <v>1113875</v>
          </cell>
          <cell r="O166">
            <v>-294025</v>
          </cell>
        </row>
        <row r="167">
          <cell r="K167">
            <v>-1789127.2633361183</v>
          </cell>
          <cell r="O167">
            <v>-1861372.7018676735</v>
          </cell>
        </row>
        <row r="168">
          <cell r="K168">
            <v>0</v>
          </cell>
          <cell r="O168">
            <v>12711.864406779661</v>
          </cell>
        </row>
        <row r="169">
          <cell r="K169">
            <v>-547365.99246484973</v>
          </cell>
          <cell r="O169">
            <v>17065.264060813002</v>
          </cell>
        </row>
        <row r="170">
          <cell r="K170">
            <v>0</v>
          </cell>
          <cell r="O170">
            <v>0</v>
          </cell>
        </row>
        <row r="171">
          <cell r="K171">
            <v>0</v>
          </cell>
          <cell r="O171">
            <v>0</v>
          </cell>
        </row>
        <row r="172">
          <cell r="K172">
            <v>-1345625.6776509341</v>
          </cell>
          <cell r="O172">
            <v>-1962895.5930471309</v>
          </cell>
        </row>
        <row r="173">
          <cell r="K173">
            <v>-1694.9152542372883</v>
          </cell>
          <cell r="O173">
            <v>-48305.084745762717</v>
          </cell>
        </row>
        <row r="174">
          <cell r="K174">
            <v>-207627.11864406781</v>
          </cell>
          <cell r="O174">
            <v>-152457.62711864407</v>
          </cell>
        </row>
        <row r="175">
          <cell r="K175">
            <v>-163559.32203389832</v>
          </cell>
          <cell r="O175">
            <v>-131355.93220338985</v>
          </cell>
        </row>
        <row r="176">
          <cell r="K176">
            <v>36440.677966101699</v>
          </cell>
          <cell r="O176">
            <v>-27966.101694915262</v>
          </cell>
        </row>
        <row r="177">
          <cell r="K177">
            <v>440305.08474576275</v>
          </cell>
          <cell r="O177">
            <v>431830.50847457629</v>
          </cell>
        </row>
        <row r="178">
          <cell r="K178">
            <v>0</v>
          </cell>
          <cell r="O178">
            <v>31736.629999998957</v>
          </cell>
        </row>
        <row r="179">
          <cell r="K179">
            <v>12459012.703436444</v>
          </cell>
          <cell r="O179">
            <v>-10274622.671547771</v>
          </cell>
        </row>
        <row r="180">
          <cell r="K180">
            <v>12459012.703436444</v>
          </cell>
          <cell r="O180">
            <v>-9718790.8715477698</v>
          </cell>
        </row>
        <row r="181">
          <cell r="K181">
            <v>0</v>
          </cell>
          <cell r="O181">
            <v>-555831.80000000005</v>
          </cell>
        </row>
        <row r="182">
          <cell r="K182">
            <v>0</v>
          </cell>
          <cell r="O182">
            <v>0</v>
          </cell>
        </row>
        <row r="183">
          <cell r="K183">
            <v>7255582.8183263987</v>
          </cell>
          <cell r="O183">
            <v>10507863.190330595</v>
          </cell>
        </row>
        <row r="184">
          <cell r="K184">
            <v>8.6967987287126305E-2</v>
          </cell>
          <cell r="O184">
            <v>8.3380653668142221E-2</v>
          </cell>
        </row>
        <row r="185">
          <cell r="K185">
            <v>0</v>
          </cell>
          <cell r="O185">
            <v>0</v>
          </cell>
        </row>
        <row r="186">
          <cell r="K186">
            <v>0</v>
          </cell>
          <cell r="O186">
            <v>0</v>
          </cell>
        </row>
        <row r="187">
          <cell r="K187">
            <v>0</v>
          </cell>
          <cell r="O187">
            <v>0</v>
          </cell>
        </row>
        <row r="188">
          <cell r="K188">
            <v>3520353.5171068478</v>
          </cell>
          <cell r="O188">
            <v>6268886.9453589041</v>
          </cell>
        </row>
        <row r="189">
          <cell r="K189">
            <v>3756471.2054794505</v>
          </cell>
          <cell r="O189">
            <v>6518111.8082191786</v>
          </cell>
        </row>
        <row r="190">
          <cell r="K190">
            <v>-236117.68837260269</v>
          </cell>
          <cell r="O190">
            <v>-249224.86286027404</v>
          </cell>
        </row>
        <row r="191">
          <cell r="K191">
            <v>0</v>
          </cell>
          <cell r="O191">
            <v>-2474266.79</v>
          </cell>
        </row>
        <row r="192">
          <cell r="K192">
            <v>-294030.13878874481</v>
          </cell>
          <cell r="O192">
            <v>580908.29329045862</v>
          </cell>
        </row>
        <row r="193">
          <cell r="K193">
            <v>-294030.13878874481</v>
          </cell>
          <cell r="O193">
            <v>580908.29329045862</v>
          </cell>
        </row>
        <row r="194">
          <cell r="K194">
            <v>0</v>
          </cell>
          <cell r="O194">
            <v>0</v>
          </cell>
        </row>
        <row r="195">
          <cell r="K195">
            <v>-314073.42869984452</v>
          </cell>
          <cell r="O195">
            <v>232938.05656356108</v>
          </cell>
        </row>
        <row r="196">
          <cell r="K196">
            <v>-314073.42869984452</v>
          </cell>
          <cell r="O196">
            <v>232938.05656356108</v>
          </cell>
        </row>
        <row r="197">
          <cell r="K197">
            <v>0</v>
          </cell>
          <cell r="O197">
            <v>0</v>
          </cell>
        </row>
        <row r="198">
          <cell r="K198">
            <v>0</v>
          </cell>
          <cell r="O198">
            <v>0</v>
          </cell>
        </row>
        <row r="199">
          <cell r="K199">
            <v>0</v>
          </cell>
          <cell r="O199">
            <v>0</v>
          </cell>
        </row>
        <row r="200">
          <cell r="K200">
            <v>0</v>
          </cell>
          <cell r="O200">
            <v>0</v>
          </cell>
        </row>
        <row r="201">
          <cell r="K201">
            <v>514322.02831050241</v>
          </cell>
          <cell r="O201">
            <v>-1284352.8547945204</v>
          </cell>
        </row>
        <row r="202">
          <cell r="K202">
            <v>3240950.5628201514</v>
          </cell>
          <cell r="O202">
            <v>8345566.1264931131</v>
          </cell>
        </row>
        <row r="203">
          <cell r="K203">
            <v>-982255.64293906558</v>
          </cell>
          <cell r="O203">
            <v>440391.29234244535</v>
          </cell>
        </row>
        <row r="204">
          <cell r="K204">
            <v>4223206.205759218</v>
          </cell>
          <cell r="O204">
            <v>7905174.8341506682</v>
          </cell>
        </row>
        <row r="205">
          <cell r="K205">
            <v>4.7680773992609726E-2</v>
          </cell>
          <cell r="O205">
            <v>5.0703705972728837E-2</v>
          </cell>
        </row>
        <row r="206">
          <cell r="K206">
            <v>0</v>
          </cell>
          <cell r="O206">
            <v>0</v>
          </cell>
        </row>
        <row r="207">
          <cell r="K207">
            <v>0</v>
          </cell>
          <cell r="O207">
            <v>0</v>
          </cell>
        </row>
        <row r="208">
          <cell r="K208">
            <v>0</v>
          </cell>
          <cell r="O208">
            <v>0</v>
          </cell>
        </row>
        <row r="209">
          <cell r="K209">
            <v>4223206.205759218</v>
          </cell>
          <cell r="O209">
            <v>7905174.8341506682</v>
          </cell>
        </row>
        <row r="210">
          <cell r="K210">
            <v>6761304.0799269974</v>
          </cell>
          <cell r="O210">
            <v>14646189.701852009</v>
          </cell>
        </row>
        <row r="211">
          <cell r="K211">
            <v>9.1737954556850992E-2</v>
          </cell>
          <cell r="O211">
            <v>9.8446706593249486E-2</v>
          </cell>
        </row>
        <row r="212">
          <cell r="K212">
            <v>6761304.0799269974</v>
          </cell>
          <cell r="O212">
            <v>14614453.071852013</v>
          </cell>
        </row>
        <row r="213">
          <cell r="K213">
            <v>8.5823806483395479E-2</v>
          </cell>
          <cell r="O213">
            <v>9.3661405211725002E-2</v>
          </cell>
        </row>
        <row r="214">
          <cell r="K214">
            <v>0</v>
          </cell>
          <cell r="O214">
            <v>0</v>
          </cell>
        </row>
        <row r="215">
          <cell r="K215">
            <v>-221931039.24596483</v>
          </cell>
          <cell r="O215">
            <v>-148479661.43850315</v>
          </cell>
        </row>
        <row r="216">
          <cell r="K216">
            <v>-226154245.45172402</v>
          </cell>
          <cell r="O216">
            <v>-156384836.27265385</v>
          </cell>
        </row>
      </sheetData>
      <sheetData sheetId="34"/>
      <sheetData sheetId="35"/>
      <sheetData sheetId="36"/>
      <sheetData sheetId="3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10712 ТЭПы для концепции "/>
      <sheetName val="210712 75м. ДДБ"/>
    </sheetNames>
    <sheetDataSet>
      <sheetData sheetId="0"/>
      <sheetData sheetId="1">
        <row r="46">
          <cell r="H46">
            <v>230.51999999999998</v>
          </cell>
          <cell r="AE46">
            <v>215.84376000000009</v>
          </cell>
          <cell r="BA46">
            <v>230.51999999999998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S214"/>
  <sheetViews>
    <sheetView topLeftCell="A145" zoomScale="90" zoomScaleNormal="90" workbookViewId="0">
      <selection activeCell="B174" sqref="B174:B175"/>
    </sheetView>
  </sheetViews>
  <sheetFormatPr defaultRowHeight="15" outlineLevelRow="1"/>
  <cols>
    <col min="1" max="1" width="45.42578125" customWidth="1"/>
    <col min="2" max="2" width="21.7109375" customWidth="1"/>
    <col min="3" max="3" width="21.85546875" customWidth="1"/>
    <col min="4" max="4" width="20.140625" style="34" customWidth="1"/>
    <col min="5" max="5" width="22.5703125" style="34" customWidth="1"/>
    <col min="6" max="6" width="12.42578125" bestFit="1" customWidth="1"/>
    <col min="7" max="7" width="12.28515625" customWidth="1"/>
    <col min="8" max="8" width="18.42578125" customWidth="1"/>
    <col min="9" max="9" width="29" customWidth="1"/>
    <col min="10" max="10" width="13.85546875" bestFit="1" customWidth="1"/>
    <col min="12" max="12" width="15.7109375" bestFit="1" customWidth="1"/>
    <col min="13" max="13" width="11.28515625" bestFit="1" customWidth="1"/>
    <col min="14" max="14" width="11.28515625" customWidth="1"/>
    <col min="15" max="15" width="18.42578125" customWidth="1"/>
    <col min="18" max="18" width="18.5703125" customWidth="1"/>
  </cols>
  <sheetData>
    <row r="1" spans="1:18" ht="15.75">
      <c r="A1" s="60">
        <f>A2*A3*A4*A5</f>
        <v>1.2000900800000003</v>
      </c>
      <c r="B1" s="61" t="s">
        <v>184</v>
      </c>
      <c r="E1" s="52">
        <v>1.2</v>
      </c>
      <c r="F1" t="s">
        <v>414</v>
      </c>
      <c r="R1" s="15"/>
    </row>
    <row r="2" spans="1:18">
      <c r="A2" s="52">
        <v>1.1200000000000001</v>
      </c>
      <c r="B2" t="s">
        <v>393</v>
      </c>
      <c r="R2" s="15"/>
    </row>
    <row r="3" spans="1:18">
      <c r="A3" s="52">
        <v>1.03</v>
      </c>
      <c r="B3" t="s">
        <v>399</v>
      </c>
      <c r="R3" s="15"/>
    </row>
    <row r="4" spans="1:18">
      <c r="A4" s="52">
        <v>1.01</v>
      </c>
      <c r="B4" t="s">
        <v>733</v>
      </c>
      <c r="M4" s="80"/>
      <c r="R4" s="15"/>
    </row>
    <row r="5" spans="1:18">
      <c r="A5" s="52">
        <v>1.03</v>
      </c>
      <c r="B5" t="s">
        <v>1839</v>
      </c>
      <c r="M5" s="80"/>
      <c r="R5" s="15"/>
    </row>
    <row r="6" spans="1:18">
      <c r="M6" s="80"/>
      <c r="R6" s="15"/>
    </row>
    <row r="7" spans="1:18" hidden="1" outlineLevel="1">
      <c r="E7" s="80" t="s">
        <v>211</v>
      </c>
      <c r="M7" s="80" t="s">
        <v>211</v>
      </c>
      <c r="R7" s="15"/>
    </row>
    <row r="8" spans="1:18" ht="30" hidden="1" outlineLevel="1">
      <c r="B8" t="s">
        <v>120</v>
      </c>
      <c r="C8" s="34" t="s">
        <v>121</v>
      </c>
      <c r="D8" s="34" t="s">
        <v>122</v>
      </c>
      <c r="G8" s="83" t="s">
        <v>225</v>
      </c>
      <c r="I8" t="s">
        <v>123</v>
      </c>
      <c r="J8" t="s">
        <v>120</v>
      </c>
      <c r="K8" s="34" t="s">
        <v>121</v>
      </c>
      <c r="L8" s="34" t="s">
        <v>122</v>
      </c>
      <c r="O8" s="83" t="s">
        <v>225</v>
      </c>
      <c r="R8" s="15"/>
    </row>
    <row r="9" spans="1:18" hidden="1" outlineLevel="1">
      <c r="A9" t="s">
        <v>124</v>
      </c>
      <c r="B9" s="34">
        <v>100</v>
      </c>
      <c r="C9" s="45">
        <v>1356.5008600000001</v>
      </c>
      <c r="D9" s="46">
        <f>C9*1000*$A$1*$E$1</f>
        <v>1953507.8707169632</v>
      </c>
      <c r="E9" s="50">
        <v>22.726800000000001</v>
      </c>
      <c r="F9" s="46">
        <f>E9*1000*$A$1*$E$1</f>
        <v>32729.048676172806</v>
      </c>
      <c r="G9" s="84">
        <v>1533</v>
      </c>
      <c r="I9" t="s">
        <v>125</v>
      </c>
      <c r="J9" s="34">
        <v>350</v>
      </c>
      <c r="K9" s="45">
        <v>892.8293000000001</v>
      </c>
      <c r="L9" s="46">
        <f>K9*1000*$A$1*$E$1</f>
        <v>1285770.703276013</v>
      </c>
      <c r="M9" s="50">
        <f>E15</f>
        <v>12.7912</v>
      </c>
      <c r="N9" s="46">
        <f>M9*1000*$A$1*$E$1</f>
        <v>18420.710677555206</v>
      </c>
      <c r="O9" s="84">
        <f>G15</f>
        <v>4338</v>
      </c>
      <c r="R9" s="15"/>
    </row>
    <row r="10" spans="1:18" hidden="1" outlineLevel="1">
      <c r="A10" t="s">
        <v>126</v>
      </c>
      <c r="B10" s="34">
        <f>B9+50</f>
        <v>150</v>
      </c>
      <c r="C10" s="45">
        <v>1135.4774199999999</v>
      </c>
      <c r="D10" s="46">
        <f t="shared" ref="D10:D28" si="0">C10*1000*$A$1*$E$1</f>
        <v>1635210.2253671924</v>
      </c>
      <c r="E10" s="50">
        <v>15.2928</v>
      </c>
      <c r="F10" s="46">
        <f t="shared" ref="F10:F28" si="1">E10*1000*$A$1*$E$1</f>
        <v>22023.285090508802</v>
      </c>
      <c r="G10" s="84">
        <v>1533</v>
      </c>
      <c r="I10" t="s">
        <v>127</v>
      </c>
      <c r="J10" s="34">
        <v>400</v>
      </c>
      <c r="K10" s="45">
        <v>849.07372000000009</v>
      </c>
      <c r="L10" s="46">
        <f t="shared" ref="L10:L20" si="2">K10*1000*$A$1*$E$1</f>
        <v>1222757.9382728375</v>
      </c>
      <c r="M10" s="50">
        <f t="shared" ref="M10:M16" si="3">E16</f>
        <v>11.906199999999998</v>
      </c>
      <c r="N10" s="46">
        <f t="shared" ref="N10:N20" si="4">M10*1000*$A$1*$E$1</f>
        <v>17146.215012595203</v>
      </c>
      <c r="O10" s="84">
        <f t="shared" ref="O10:O15" si="5">G16</f>
        <v>4538</v>
      </c>
      <c r="R10" s="15"/>
    </row>
    <row r="11" spans="1:18" hidden="1" outlineLevel="1">
      <c r="A11" t="s">
        <v>128</v>
      </c>
      <c r="B11" s="34">
        <f t="shared" ref="B11:B20" si="6">B10+50</f>
        <v>200</v>
      </c>
      <c r="C11" s="45">
        <v>1007.27396</v>
      </c>
      <c r="D11" s="46">
        <f t="shared" si="0"/>
        <v>1450583.3846859804</v>
      </c>
      <c r="E11" s="50">
        <v>11.682</v>
      </c>
      <c r="F11" s="46">
        <f t="shared" si="1"/>
        <v>16823.342777472004</v>
      </c>
      <c r="G11" s="84">
        <v>1533</v>
      </c>
      <c r="I11" t="s">
        <v>129</v>
      </c>
      <c r="J11" s="34">
        <v>450</v>
      </c>
      <c r="K11" s="45">
        <v>805.31813999999986</v>
      </c>
      <c r="L11" s="46">
        <f t="shared" si="2"/>
        <v>1159745.1732696616</v>
      </c>
      <c r="M11" s="50">
        <f t="shared" si="3"/>
        <v>10.7026</v>
      </c>
      <c r="N11" s="46">
        <f t="shared" si="4"/>
        <v>15412.900908249603</v>
      </c>
      <c r="O11" s="84">
        <f t="shared" si="5"/>
        <v>4538</v>
      </c>
      <c r="R11" s="15"/>
    </row>
    <row r="12" spans="1:18" hidden="1" outlineLevel="1">
      <c r="A12" t="s">
        <v>130</v>
      </c>
      <c r="B12" s="34">
        <f t="shared" si="6"/>
        <v>250</v>
      </c>
      <c r="C12" s="45">
        <v>882.71788000000004</v>
      </c>
      <c r="D12" s="46">
        <f t="shared" si="0"/>
        <v>1271209.1654719568</v>
      </c>
      <c r="E12" s="50">
        <v>9.4871999999999979</v>
      </c>
      <c r="F12" s="46">
        <f t="shared" si="1"/>
        <v>13662.593528371199</v>
      </c>
      <c r="G12" s="84">
        <v>1533</v>
      </c>
      <c r="I12" t="s">
        <v>131</v>
      </c>
      <c r="J12" s="34">
        <v>500</v>
      </c>
      <c r="K12" s="45">
        <v>761.56256000000008</v>
      </c>
      <c r="L12" s="46">
        <f t="shared" si="2"/>
        <v>1096732.4082664861</v>
      </c>
      <c r="M12" s="50">
        <f t="shared" si="3"/>
        <v>12.260199999999999</v>
      </c>
      <c r="N12" s="46">
        <f t="shared" si="4"/>
        <v>17656.013278579201</v>
      </c>
      <c r="O12" s="84">
        <f t="shared" si="5"/>
        <v>5573</v>
      </c>
      <c r="R12" s="15"/>
    </row>
    <row r="13" spans="1:18" hidden="1" outlineLevel="1">
      <c r="A13" t="s">
        <v>132</v>
      </c>
      <c r="B13" s="34">
        <v>275</v>
      </c>
      <c r="C13" s="45">
        <v>842.96014000000002</v>
      </c>
      <c r="D13" s="46">
        <f t="shared" si="0"/>
        <v>1213953.7222192937</v>
      </c>
      <c r="E13" s="50">
        <v>16.095199999999998</v>
      </c>
      <c r="F13" s="46">
        <f t="shared" si="1"/>
        <v>23178.827826739205</v>
      </c>
      <c r="G13" s="84">
        <v>4338</v>
      </c>
      <c r="I13" t="s">
        <v>133</v>
      </c>
      <c r="J13" s="34">
        <v>550</v>
      </c>
      <c r="K13" s="45">
        <v>717.80697999999995</v>
      </c>
      <c r="L13" s="46">
        <f t="shared" si="2"/>
        <v>1033719.6432633102</v>
      </c>
      <c r="M13" s="50">
        <f t="shared" si="3"/>
        <v>11.162800000000001</v>
      </c>
      <c r="N13" s="46">
        <f t="shared" si="4"/>
        <v>16075.638654028804</v>
      </c>
      <c r="O13" s="84">
        <f t="shared" si="5"/>
        <v>5573</v>
      </c>
      <c r="R13" s="15"/>
    </row>
    <row r="14" spans="1:18" hidden="1" outlineLevel="1">
      <c r="A14" t="s">
        <v>134</v>
      </c>
      <c r="B14" s="34">
        <f>B13+25</f>
        <v>300</v>
      </c>
      <c r="C14" s="45">
        <v>798.04934000000003</v>
      </c>
      <c r="D14" s="46">
        <f t="shared" si="0"/>
        <v>1149277.3155414569</v>
      </c>
      <c r="E14" s="50">
        <v>14.75</v>
      </c>
      <c r="F14" s="46">
        <f t="shared" si="1"/>
        <v>21241.594416000004</v>
      </c>
      <c r="G14" s="84">
        <v>4338</v>
      </c>
      <c r="I14" t="s">
        <v>135</v>
      </c>
      <c r="J14" s="34">
        <v>600</v>
      </c>
      <c r="K14" s="45">
        <v>674.05139999999994</v>
      </c>
      <c r="L14" s="46">
        <f t="shared" si="2"/>
        <v>970706.87826013437</v>
      </c>
      <c r="M14" s="50">
        <f t="shared" si="3"/>
        <v>10.3132</v>
      </c>
      <c r="N14" s="46">
        <f t="shared" si="4"/>
        <v>14852.122815667204</v>
      </c>
      <c r="O14" s="84">
        <f t="shared" si="5"/>
        <v>5573</v>
      </c>
      <c r="R14" s="15"/>
    </row>
    <row r="15" spans="1:18" hidden="1" outlineLevel="1">
      <c r="A15" t="s">
        <v>136</v>
      </c>
      <c r="B15" s="34">
        <f t="shared" si="6"/>
        <v>350</v>
      </c>
      <c r="C15" s="45">
        <v>693.89782000000002</v>
      </c>
      <c r="D15" s="46">
        <f t="shared" si="0"/>
        <v>999287.86837875098</v>
      </c>
      <c r="E15" s="50">
        <v>12.7912</v>
      </c>
      <c r="F15" s="46">
        <f t="shared" si="1"/>
        <v>18420.710677555206</v>
      </c>
      <c r="G15" s="84">
        <v>4338</v>
      </c>
      <c r="I15" t="s">
        <v>137</v>
      </c>
      <c r="J15" s="34">
        <v>625</v>
      </c>
      <c r="K15" s="45">
        <v>661.22932333333324</v>
      </c>
      <c r="L15" s="46">
        <f t="shared" si="2"/>
        <v>952241.70184493507</v>
      </c>
      <c r="M15" s="50">
        <f t="shared" si="3"/>
        <v>9.911999999999999</v>
      </c>
      <c r="N15" s="46">
        <f t="shared" si="4"/>
        <v>14274.351447552001</v>
      </c>
      <c r="O15" s="84">
        <f t="shared" si="5"/>
        <v>5573</v>
      </c>
      <c r="R15" s="15"/>
    </row>
    <row r="16" spans="1:18" hidden="1" outlineLevel="1">
      <c r="A16" t="s">
        <v>127</v>
      </c>
      <c r="B16" s="34">
        <f t="shared" si="6"/>
        <v>400</v>
      </c>
      <c r="C16" s="45">
        <v>652.20606000000009</v>
      </c>
      <c r="D16" s="46">
        <f t="shared" si="0"/>
        <v>939247.22726626194</v>
      </c>
      <c r="E16" s="50">
        <v>11.906199999999998</v>
      </c>
      <c r="F16" s="46">
        <f t="shared" si="1"/>
        <v>17146.215012595203</v>
      </c>
      <c r="G16" s="84">
        <v>4538</v>
      </c>
      <c r="I16" t="s">
        <v>138</v>
      </c>
      <c r="J16" s="34">
        <v>700</v>
      </c>
      <c r="K16" s="45">
        <v>622.76309333333336</v>
      </c>
      <c r="L16" s="46">
        <f t="shared" si="2"/>
        <v>896846.1725993373</v>
      </c>
      <c r="M16" s="50">
        <f t="shared" si="3"/>
        <v>9.6759999999999984</v>
      </c>
      <c r="N16" s="46">
        <f t="shared" si="4"/>
        <v>13934.485936896001</v>
      </c>
      <c r="O16" s="84">
        <f>G22</f>
        <v>5573</v>
      </c>
      <c r="R16" s="15"/>
    </row>
    <row r="17" spans="1:18" hidden="1" outlineLevel="1">
      <c r="A17" t="s">
        <v>129</v>
      </c>
      <c r="B17" s="34">
        <f t="shared" si="6"/>
        <v>450</v>
      </c>
      <c r="C17" s="45">
        <v>586.89069999999992</v>
      </c>
      <c r="D17" s="46">
        <f t="shared" si="0"/>
        <v>845186.0485371073</v>
      </c>
      <c r="E17" s="50">
        <v>10.7026</v>
      </c>
      <c r="F17" s="46">
        <f t="shared" si="1"/>
        <v>15412.900908249603</v>
      </c>
      <c r="G17" s="84">
        <v>4538</v>
      </c>
      <c r="I17" t="s">
        <v>139</v>
      </c>
      <c r="J17" s="34">
        <v>800</v>
      </c>
      <c r="K17" s="45">
        <v>571.47478666666666</v>
      </c>
      <c r="L17" s="46">
        <f t="shared" si="2"/>
        <v>822985.46693853952</v>
      </c>
      <c r="M17" s="50">
        <f>E24</f>
        <v>8.4960000000000004</v>
      </c>
      <c r="N17" s="46">
        <f t="shared" si="4"/>
        <v>12235.158383616003</v>
      </c>
      <c r="O17" s="84">
        <f>G24</f>
        <v>5673</v>
      </c>
      <c r="R17" s="15"/>
    </row>
    <row r="18" spans="1:18" hidden="1" outlineLevel="1">
      <c r="A18" t="s">
        <v>131</v>
      </c>
      <c r="B18" s="34">
        <f t="shared" si="6"/>
        <v>500</v>
      </c>
      <c r="C18" s="45">
        <v>564.75980000000004</v>
      </c>
      <c r="D18" s="46">
        <f t="shared" si="0"/>
        <v>813315.16027534101</v>
      </c>
      <c r="E18" s="50">
        <v>12.260199999999999</v>
      </c>
      <c r="F18" s="46">
        <f t="shared" si="1"/>
        <v>17656.013278579201</v>
      </c>
      <c r="G18" s="84">
        <v>5573</v>
      </c>
      <c r="I18" t="s">
        <v>140</v>
      </c>
      <c r="J18" s="34">
        <v>825</v>
      </c>
      <c r="K18" s="45">
        <v>558.65270999999996</v>
      </c>
      <c r="L18" s="46">
        <f t="shared" si="2"/>
        <v>804520.29052334023</v>
      </c>
      <c r="M18" s="50">
        <f t="shared" ref="M18:M19" si="7">E25</f>
        <v>8.2363999999999997</v>
      </c>
      <c r="N18" s="46">
        <f t="shared" si="4"/>
        <v>11861.306321894401</v>
      </c>
      <c r="O18" s="84">
        <f t="shared" ref="O18:O19" si="8">G25</f>
        <v>5673</v>
      </c>
      <c r="R18" s="15"/>
    </row>
    <row r="19" spans="1:18" hidden="1" outlineLevel="1">
      <c r="A19" t="s">
        <v>133</v>
      </c>
      <c r="B19" s="34">
        <f t="shared" si="6"/>
        <v>550</v>
      </c>
      <c r="C19" s="45">
        <v>559.60674000000006</v>
      </c>
      <c r="D19" s="46">
        <f t="shared" si="0"/>
        <v>805894.19685016735</v>
      </c>
      <c r="E19" s="50">
        <v>11.162800000000001</v>
      </c>
      <c r="F19" s="46">
        <f t="shared" si="1"/>
        <v>16075.638654028804</v>
      </c>
      <c r="G19" s="84">
        <v>5573</v>
      </c>
      <c r="I19" t="s">
        <v>141</v>
      </c>
      <c r="J19" s="34">
        <v>900</v>
      </c>
      <c r="K19" s="45">
        <v>518.34331999999995</v>
      </c>
      <c r="L19" s="46">
        <f t="shared" si="2"/>
        <v>746470.41163951869</v>
      </c>
      <c r="M19" s="50">
        <f t="shared" si="7"/>
        <v>9.5226000000000006</v>
      </c>
      <c r="N19" s="46">
        <f t="shared" si="4"/>
        <v>13713.573354969603</v>
      </c>
      <c r="O19" s="84">
        <f t="shared" si="8"/>
        <v>9553</v>
      </c>
      <c r="R19" s="15"/>
    </row>
    <row r="20" spans="1:18" hidden="1" outlineLevel="1">
      <c r="A20" t="s">
        <v>142</v>
      </c>
      <c r="B20" s="34">
        <f t="shared" si="6"/>
        <v>600</v>
      </c>
      <c r="C20" s="45">
        <v>552.49369999999999</v>
      </c>
      <c r="D20" s="46">
        <f t="shared" si="0"/>
        <v>795650.65035899531</v>
      </c>
      <c r="E20" s="50">
        <v>10.3132</v>
      </c>
      <c r="F20" s="46">
        <f t="shared" si="1"/>
        <v>14852.122815667204</v>
      </c>
      <c r="G20" s="84">
        <v>5573</v>
      </c>
      <c r="I20" t="s">
        <v>143</v>
      </c>
      <c r="J20" s="34">
        <v>1200</v>
      </c>
      <c r="K20" s="45">
        <v>518.34331999999995</v>
      </c>
      <c r="L20" s="46">
        <f t="shared" si="2"/>
        <v>746470.41163951869</v>
      </c>
      <c r="M20" s="50">
        <f>E28</f>
        <v>7.8587999999999996</v>
      </c>
      <c r="N20" s="46">
        <f t="shared" si="4"/>
        <v>11317.521504844803</v>
      </c>
      <c r="O20" s="84">
        <f>G28</f>
        <v>8653</v>
      </c>
      <c r="R20" s="15"/>
    </row>
    <row r="21" spans="1:18" hidden="1" outlineLevel="1">
      <c r="A21" t="s">
        <v>137</v>
      </c>
      <c r="B21" s="34">
        <v>625</v>
      </c>
      <c r="C21" s="45">
        <v>539.96799999999996</v>
      </c>
      <c r="D21" s="46">
        <f t="shared" si="0"/>
        <v>777612.2883809281</v>
      </c>
      <c r="E21" s="50">
        <v>9.911999999999999</v>
      </c>
      <c r="F21" s="46">
        <f t="shared" si="1"/>
        <v>14274.351447552001</v>
      </c>
      <c r="G21" s="84">
        <v>5573</v>
      </c>
      <c r="L21" s="15"/>
      <c r="M21" s="18"/>
      <c r="R21" s="15"/>
    </row>
    <row r="22" spans="1:18" hidden="1" outlineLevel="1">
      <c r="A22" t="s">
        <v>138</v>
      </c>
      <c r="B22" s="34">
        <v>700</v>
      </c>
      <c r="C22" s="45">
        <v>500.65157999999997</v>
      </c>
      <c r="D22" s="46">
        <f t="shared" si="0"/>
        <v>720992.39363319182</v>
      </c>
      <c r="E22" s="50">
        <v>9.6759999999999984</v>
      </c>
      <c r="F22" s="46">
        <f t="shared" si="1"/>
        <v>13934.485936896001</v>
      </c>
      <c r="G22" s="84">
        <v>5573</v>
      </c>
      <c r="L22" s="15"/>
      <c r="M22" s="18"/>
      <c r="R22" s="15"/>
    </row>
    <row r="23" spans="1:18" hidden="1" outlineLevel="1">
      <c r="A23" t="s">
        <v>144</v>
      </c>
      <c r="B23" s="34">
        <v>775</v>
      </c>
      <c r="C23" s="45">
        <v>451.00308000000001</v>
      </c>
      <c r="D23" s="46">
        <f t="shared" si="0"/>
        <v>649493.18682893587</v>
      </c>
      <c r="E23" s="50">
        <f>E24</f>
        <v>8.4960000000000004</v>
      </c>
      <c r="F23" s="46">
        <f t="shared" si="1"/>
        <v>12235.158383616003</v>
      </c>
      <c r="G23" s="84">
        <v>5673</v>
      </c>
      <c r="L23" s="15"/>
      <c r="M23" s="18"/>
      <c r="R23" s="15"/>
    </row>
    <row r="24" spans="1:18" hidden="1" outlineLevel="1">
      <c r="A24" t="str">
        <f>A23</f>
        <v>Школы на 775-800 мест</v>
      </c>
      <c r="B24" s="34">
        <v>800</v>
      </c>
      <c r="C24" s="45">
        <v>451.00308000000001</v>
      </c>
      <c r="D24" s="46">
        <f t="shared" si="0"/>
        <v>649493.18682893587</v>
      </c>
      <c r="E24" s="50">
        <v>8.4960000000000004</v>
      </c>
      <c r="F24" s="46">
        <f t="shared" si="1"/>
        <v>12235.158383616003</v>
      </c>
      <c r="G24" s="84">
        <v>5673</v>
      </c>
      <c r="L24" s="15"/>
      <c r="M24" s="18"/>
      <c r="R24" s="15"/>
    </row>
    <row r="25" spans="1:18" hidden="1" outlineLevel="1">
      <c r="A25" t="s">
        <v>140</v>
      </c>
      <c r="B25" s="34">
        <v>825</v>
      </c>
      <c r="C25" s="45">
        <v>450.23725999999999</v>
      </c>
      <c r="D25" s="46">
        <f t="shared" si="0"/>
        <v>648390.32324685703</v>
      </c>
      <c r="E25" s="50">
        <v>8.2363999999999997</v>
      </c>
      <c r="F25" s="46">
        <f t="shared" si="1"/>
        <v>11861.306321894401</v>
      </c>
      <c r="G25" s="84">
        <v>5673</v>
      </c>
      <c r="L25" s="15"/>
      <c r="M25" s="18"/>
      <c r="R25" s="15"/>
    </row>
    <row r="26" spans="1:18" hidden="1" outlineLevel="1">
      <c r="A26" t="s">
        <v>145</v>
      </c>
      <c r="B26" s="34">
        <v>900</v>
      </c>
      <c r="C26" s="45">
        <v>440.38544000000002</v>
      </c>
      <c r="D26" s="46">
        <f t="shared" si="0"/>
        <v>634202.63750452234</v>
      </c>
      <c r="E26" s="50">
        <v>9.5226000000000006</v>
      </c>
      <c r="F26" s="46">
        <f t="shared" si="1"/>
        <v>13713.573354969603</v>
      </c>
      <c r="G26" s="84">
        <v>9553</v>
      </c>
      <c r="L26" s="15"/>
      <c r="M26" s="18"/>
      <c r="R26" s="15"/>
    </row>
    <row r="27" spans="1:18" hidden="1" outlineLevel="1">
      <c r="A27" t="s">
        <v>146</v>
      </c>
      <c r="B27" s="34">
        <v>1000</v>
      </c>
      <c r="C27" s="45">
        <v>431.03983999999997</v>
      </c>
      <c r="D27" s="46">
        <f t="shared" si="0"/>
        <v>620743.96328254475</v>
      </c>
      <c r="E27" s="50">
        <v>8.5667999999999989</v>
      </c>
      <c r="F27" s="46">
        <f t="shared" si="1"/>
        <v>12337.118036812803</v>
      </c>
      <c r="G27" s="84">
        <v>8653</v>
      </c>
      <c r="M27" s="18"/>
      <c r="R27" s="15"/>
    </row>
    <row r="28" spans="1:18" ht="30.75" hidden="1" outlineLevel="1" thickBot="1">
      <c r="A28" t="s">
        <v>147</v>
      </c>
      <c r="B28" s="34">
        <v>1200</v>
      </c>
      <c r="C28" s="45">
        <v>426.65259999999995</v>
      </c>
      <c r="D28" s="46">
        <f t="shared" si="0"/>
        <v>614425.86343944969</v>
      </c>
      <c r="E28" s="50">
        <v>7.8587999999999996</v>
      </c>
      <c r="F28" s="46">
        <f t="shared" si="1"/>
        <v>11317.521504844803</v>
      </c>
      <c r="G28" s="84">
        <v>8653</v>
      </c>
      <c r="M28" s="79" t="s">
        <v>210</v>
      </c>
      <c r="O28" s="83" t="s">
        <v>225</v>
      </c>
      <c r="R28" s="15"/>
    </row>
    <row r="29" spans="1:18" ht="26.25" hidden="1" outlineLevel="1" thickBot="1">
      <c r="D29" s="46"/>
      <c r="E29" s="46"/>
      <c r="F29" s="18"/>
      <c r="G29" s="18"/>
      <c r="I29" s="47" t="s">
        <v>148</v>
      </c>
      <c r="J29">
        <v>140</v>
      </c>
      <c r="K29" s="45">
        <v>980.05489999999998</v>
      </c>
      <c r="L29" s="46">
        <f>K29*1000*$A$1*$E$1</f>
        <v>1411384.9960144707</v>
      </c>
      <c r="M29" s="50">
        <v>51.33</v>
      </c>
      <c r="N29" s="46">
        <f>M29*1000*$A$1*$E$1</f>
        <v>73920.748567680013</v>
      </c>
      <c r="O29" s="84">
        <f>G35</f>
        <v>2166</v>
      </c>
      <c r="R29" s="15"/>
    </row>
    <row r="30" spans="1:18" ht="15.75" hidden="1" outlineLevel="1" thickBot="1">
      <c r="D30" s="46"/>
      <c r="E30" s="46"/>
      <c r="F30" s="18"/>
      <c r="G30" s="18"/>
      <c r="I30" s="48" t="s">
        <v>149</v>
      </c>
      <c r="J30">
        <v>150</v>
      </c>
      <c r="K30" s="45">
        <v>976.06818571428562</v>
      </c>
      <c r="L30" s="46">
        <f t="shared" ref="L30:L36" si="9">K30*1000*$A$1*$E$1</f>
        <v>1405643.6964951744</v>
      </c>
      <c r="M30" s="50">
        <v>49.088000000000001</v>
      </c>
      <c r="N30" s="46">
        <f t="shared" ref="N30:N36" si="10">M30*1000*$A$1*$E$1</f>
        <v>70692.026216448008</v>
      </c>
      <c r="O30" s="84">
        <f>AVERAGE(G35:G36)</f>
        <v>2252</v>
      </c>
      <c r="R30" s="15"/>
    </row>
    <row r="31" spans="1:18" ht="30.75" hidden="1" outlineLevel="1" thickBot="1">
      <c r="D31" s="46"/>
      <c r="E31" s="79" t="s">
        <v>210</v>
      </c>
      <c r="F31" s="18"/>
      <c r="G31" s="83" t="s">
        <v>225</v>
      </c>
      <c r="I31" s="48" t="s">
        <v>150</v>
      </c>
      <c r="J31">
        <v>160</v>
      </c>
      <c r="K31" s="45">
        <v>972.08147142857149</v>
      </c>
      <c r="L31" s="46">
        <f t="shared" si="9"/>
        <v>1399902.3969758789</v>
      </c>
      <c r="M31" s="50">
        <v>46.846000000000004</v>
      </c>
      <c r="N31" s="46">
        <f t="shared" si="10"/>
        <v>67463.303865216018</v>
      </c>
      <c r="O31" s="84">
        <f>G36</f>
        <v>2338</v>
      </c>
      <c r="R31" s="15"/>
    </row>
    <row r="32" spans="1:18" ht="26.25" hidden="1" outlineLevel="1" thickBot="1">
      <c r="A32" s="47" t="s">
        <v>151</v>
      </c>
      <c r="B32">
        <v>50</v>
      </c>
      <c r="C32" s="45">
        <v>875.73464000000001</v>
      </c>
      <c r="D32" s="46">
        <f>C32*1000*$A$1*$E$1</f>
        <v>1261152.5450116456</v>
      </c>
      <c r="E32" s="50">
        <f>E33</f>
        <v>51.33</v>
      </c>
      <c r="F32" s="46">
        <f>E32*1000*$A$1*$E$1</f>
        <v>73920.748567680013</v>
      </c>
      <c r="G32" s="84">
        <v>1572</v>
      </c>
      <c r="I32" s="48" t="s">
        <v>152</v>
      </c>
      <c r="J32">
        <v>175</v>
      </c>
      <c r="K32" s="45">
        <v>966.10140000000001</v>
      </c>
      <c r="L32" s="46">
        <f t="shared" si="9"/>
        <v>1391290.4476969347</v>
      </c>
      <c r="M32" s="50">
        <v>49.837299999999999</v>
      </c>
      <c r="N32" s="46">
        <f t="shared" si="10"/>
        <v>71771.099212780813</v>
      </c>
      <c r="O32" s="84"/>
      <c r="R32" s="15"/>
    </row>
    <row r="33" spans="1:18" ht="15.75" hidden="1" outlineLevel="1" thickBot="1">
      <c r="A33" s="47" t="s">
        <v>153</v>
      </c>
      <c r="B33">
        <v>100</v>
      </c>
      <c r="C33" s="45">
        <v>865.76599999999996</v>
      </c>
      <c r="D33" s="46">
        <f t="shared" ref="D33:D43" si="11">C33*1000*$A$1*$E$1</f>
        <v>1246796.6258415361</v>
      </c>
      <c r="E33" s="50">
        <v>51.33</v>
      </c>
      <c r="F33" s="46">
        <f t="shared" ref="F33:F43" si="12">E33*1000*$A$1*$E$1</f>
        <v>73920.748567680013</v>
      </c>
      <c r="G33" s="84">
        <v>1572</v>
      </c>
      <c r="I33" s="48" t="s">
        <v>154</v>
      </c>
      <c r="J33">
        <v>180</v>
      </c>
      <c r="K33" s="45">
        <v>961.00325538461539</v>
      </c>
      <c r="L33" s="46">
        <f t="shared" si="9"/>
        <v>1383948.5683617406</v>
      </c>
      <c r="M33" s="50">
        <v>50.834399999999995</v>
      </c>
      <c r="N33" s="46">
        <f t="shared" si="10"/>
        <v>73207.030995302412</v>
      </c>
      <c r="O33" s="84">
        <f>G37</f>
        <v>2972</v>
      </c>
      <c r="R33" s="15"/>
    </row>
    <row r="34" spans="1:18" ht="15.75" hidden="1" outlineLevel="1" thickBot="1">
      <c r="A34" s="48" t="s">
        <v>155</v>
      </c>
      <c r="B34">
        <v>120</v>
      </c>
      <c r="C34" s="45">
        <v>862.02776000000006</v>
      </c>
      <c r="D34" s="46">
        <f t="shared" si="11"/>
        <v>1241413.1561527452</v>
      </c>
      <c r="E34" s="50">
        <v>49.500999999999998</v>
      </c>
      <c r="F34" s="46">
        <f t="shared" si="12"/>
        <v>71286.790860096022</v>
      </c>
      <c r="G34" s="84">
        <v>1794</v>
      </c>
      <c r="I34" s="48" t="s">
        <v>156</v>
      </c>
      <c r="J34">
        <v>200</v>
      </c>
      <c r="K34" s="45">
        <v>940.61067692307688</v>
      </c>
      <c r="L34" s="46">
        <f t="shared" si="9"/>
        <v>1354581.0510209636</v>
      </c>
      <c r="M34" s="50">
        <v>48.911000000000001</v>
      </c>
      <c r="N34" s="46">
        <f t="shared" si="10"/>
        <v>70437.127083456013</v>
      </c>
      <c r="O34" s="84">
        <f>G38</f>
        <v>3194</v>
      </c>
      <c r="R34" s="15"/>
    </row>
    <row r="35" spans="1:18" ht="15.75" hidden="1" outlineLevel="1" thickBot="1">
      <c r="A35" s="48" t="s">
        <v>157</v>
      </c>
      <c r="B35">
        <v>140</v>
      </c>
      <c r="C35" s="45">
        <v>860.09374000000003</v>
      </c>
      <c r="D35" s="46">
        <f t="shared" si="11"/>
        <v>1238627.9582929192</v>
      </c>
      <c r="E35" s="50">
        <v>51.33</v>
      </c>
      <c r="F35" s="46">
        <f t="shared" si="12"/>
        <v>73920.748567680013</v>
      </c>
      <c r="G35" s="84">
        <v>2166</v>
      </c>
      <c r="I35" s="48" t="s">
        <v>158</v>
      </c>
      <c r="J35">
        <v>220</v>
      </c>
      <c r="K35" s="45">
        <v>920.21809846153849</v>
      </c>
      <c r="L35" s="46">
        <f t="shared" si="9"/>
        <v>1325213.5336801868</v>
      </c>
      <c r="M35" s="50">
        <v>51.188400000000001</v>
      </c>
      <c r="N35" s="46">
        <f t="shared" si="10"/>
        <v>73716.829261286417</v>
      </c>
      <c r="O35" s="84">
        <f>G39</f>
        <v>3566</v>
      </c>
      <c r="R35" s="15"/>
    </row>
    <row r="36" spans="1:18" ht="26.25" hidden="1" outlineLevel="1" thickBot="1">
      <c r="A36" s="48" t="s">
        <v>150</v>
      </c>
      <c r="B36">
        <v>160</v>
      </c>
      <c r="C36" s="45">
        <v>855.79736000000003</v>
      </c>
      <c r="D36" s="46">
        <f t="shared" si="11"/>
        <v>1232440.7066714268</v>
      </c>
      <c r="E36" s="50">
        <v>46.846000000000004</v>
      </c>
      <c r="F36" s="46">
        <f t="shared" si="12"/>
        <v>67463.303865216018</v>
      </c>
      <c r="G36" s="84">
        <v>2338</v>
      </c>
      <c r="I36" s="48" t="s">
        <v>159</v>
      </c>
      <c r="J36">
        <v>240</v>
      </c>
      <c r="K36" s="45">
        <v>899.8255200000001</v>
      </c>
      <c r="L36" s="46">
        <f t="shared" si="9"/>
        <v>1295846.0163394103</v>
      </c>
      <c r="M36" s="50">
        <v>49.359399999999994</v>
      </c>
      <c r="N36" s="46">
        <f t="shared" si="10"/>
        <v>71082.871553702411</v>
      </c>
      <c r="O36" s="84">
        <f>G40</f>
        <v>3788</v>
      </c>
      <c r="R36" s="15"/>
    </row>
    <row r="37" spans="1:18" ht="15.75" hidden="1" outlineLevel="1" thickBot="1">
      <c r="A37" s="48" t="s">
        <v>160</v>
      </c>
      <c r="B37">
        <v>180</v>
      </c>
      <c r="C37" s="45">
        <v>844.56965999999989</v>
      </c>
      <c r="D37" s="46">
        <f t="shared" si="11"/>
        <v>1216271.6050019676</v>
      </c>
      <c r="E37" s="50">
        <v>50.834399999999995</v>
      </c>
      <c r="F37" s="46">
        <f t="shared" si="12"/>
        <v>73207.030995302412</v>
      </c>
      <c r="G37" s="84">
        <v>2972</v>
      </c>
      <c r="R37" s="15"/>
    </row>
    <row r="38" spans="1:18" ht="15.75" hidden="1" outlineLevel="1" thickBot="1">
      <c r="A38" s="48" t="s">
        <v>156</v>
      </c>
      <c r="B38">
        <v>200</v>
      </c>
      <c r="C38" s="45">
        <v>831.43389999999999</v>
      </c>
      <c r="D38" s="46">
        <f t="shared" si="11"/>
        <v>1197354.6906788547</v>
      </c>
      <c r="E38" s="50">
        <v>48.911000000000001</v>
      </c>
      <c r="F38" s="46">
        <f t="shared" si="12"/>
        <v>70437.127083456013</v>
      </c>
      <c r="G38" s="84">
        <v>3194</v>
      </c>
      <c r="N38" s="85"/>
      <c r="R38" s="15"/>
    </row>
    <row r="39" spans="1:18" ht="15.75" hidden="1" outlineLevel="1" thickBot="1">
      <c r="A39" s="48" t="s">
        <v>158</v>
      </c>
      <c r="B39">
        <v>220</v>
      </c>
      <c r="C39" s="45">
        <v>810.48417999999992</v>
      </c>
      <c r="D39" s="46">
        <f t="shared" si="11"/>
        <v>1167184.8292979214</v>
      </c>
      <c r="E39" s="50">
        <v>51.188400000000001</v>
      </c>
      <c r="F39" s="46">
        <f t="shared" si="12"/>
        <v>73716.829261286417</v>
      </c>
      <c r="G39" s="84">
        <v>3566</v>
      </c>
      <c r="N39" s="85"/>
      <c r="R39" s="15"/>
    </row>
    <row r="40" spans="1:18" ht="15.75" hidden="1" outlineLevel="1" thickBot="1">
      <c r="A40" s="48" t="s">
        <v>161</v>
      </c>
      <c r="B40">
        <v>240</v>
      </c>
      <c r="C40" s="45">
        <v>787.66534000000013</v>
      </c>
      <c r="D40" s="46">
        <f t="shared" si="11"/>
        <v>1134323.2330725929</v>
      </c>
      <c r="E40" s="50">
        <v>49.359399999999994</v>
      </c>
      <c r="F40" s="46">
        <f t="shared" si="12"/>
        <v>71082.871553702411</v>
      </c>
      <c r="G40" s="84">
        <v>3788</v>
      </c>
      <c r="R40" s="15"/>
    </row>
    <row r="41" spans="1:18" ht="15.75" hidden="1" outlineLevel="1" thickBot="1">
      <c r="A41" s="48" t="s">
        <v>162</v>
      </c>
      <c r="B41">
        <v>260</v>
      </c>
      <c r="C41" s="45">
        <v>752.38569999999993</v>
      </c>
      <c r="D41" s="46">
        <f t="shared" si="11"/>
        <v>1083516.7378846274</v>
      </c>
      <c r="E41" s="50">
        <v>49.2532</v>
      </c>
      <c r="F41" s="46">
        <f t="shared" si="12"/>
        <v>70929.932073907214</v>
      </c>
      <c r="G41" s="84">
        <v>4110</v>
      </c>
      <c r="R41" s="15"/>
    </row>
    <row r="42" spans="1:18" ht="15.75" hidden="1" outlineLevel="1" thickBot="1">
      <c r="A42" s="48" t="s">
        <v>163</v>
      </c>
      <c r="B42">
        <v>280</v>
      </c>
      <c r="C42" s="45">
        <v>727.90542000000005</v>
      </c>
      <c r="D42" s="46">
        <f t="shared" si="11"/>
        <v>1048262.4884642806</v>
      </c>
      <c r="E42" s="50">
        <v>48.026000000000003</v>
      </c>
      <c r="F42" s="46">
        <f t="shared" si="12"/>
        <v>69162.631418496021</v>
      </c>
      <c r="G42" s="84">
        <v>4332</v>
      </c>
      <c r="R42" s="15"/>
    </row>
    <row r="43" spans="1:18" ht="15.75" hidden="1" outlineLevel="1" thickBot="1">
      <c r="A43" s="48" t="s">
        <v>164</v>
      </c>
      <c r="B43">
        <v>300</v>
      </c>
      <c r="C43" s="45">
        <v>713.70529999999997</v>
      </c>
      <c r="D43" s="46">
        <f t="shared" si="11"/>
        <v>1027812.7806881089</v>
      </c>
      <c r="E43" s="50">
        <v>44.7928</v>
      </c>
      <c r="F43" s="46">
        <f t="shared" si="12"/>
        <v>64506.47392250882</v>
      </c>
      <c r="G43" s="84">
        <v>4332</v>
      </c>
      <c r="R43" s="15"/>
    </row>
    <row r="44" spans="1:18" hidden="1" outlineLevel="1">
      <c r="R44" s="15"/>
    </row>
    <row r="45" spans="1:18" ht="15.75" hidden="1" outlineLevel="1" thickBot="1">
      <c r="R45" s="15"/>
    </row>
    <row r="46" spans="1:18" ht="15.75" hidden="1" outlineLevel="1" thickBot="1">
      <c r="A46" s="49" t="s">
        <v>165</v>
      </c>
      <c r="B46">
        <v>50</v>
      </c>
      <c r="C46" s="50">
        <v>1617.2017999999998</v>
      </c>
      <c r="D46" s="46">
        <f>C46*1000*$A$1*$E$1</f>
        <v>2328945.4050457729</v>
      </c>
      <c r="E46" s="46"/>
      <c r="R46" s="15"/>
    </row>
    <row r="47" spans="1:18" ht="15.75" hidden="1" outlineLevel="1" thickBot="1">
      <c r="A47" s="51" t="s">
        <v>166</v>
      </c>
      <c r="B47">
        <v>75</v>
      </c>
      <c r="C47" s="50">
        <v>1518.1761999999999</v>
      </c>
      <c r="D47" s="46">
        <f t="shared" ref="D47:D54" si="13">C47*1000*$A$1*$E$1</f>
        <v>2186337.8367745155</v>
      </c>
      <c r="E47" s="46"/>
      <c r="R47" s="15"/>
    </row>
    <row r="48" spans="1:18" ht="15.75" hidden="1" outlineLevel="1" thickBot="1">
      <c r="A48" s="51" t="s">
        <v>167</v>
      </c>
      <c r="B48">
        <v>125</v>
      </c>
      <c r="C48" s="50">
        <v>1353.6841999999999</v>
      </c>
      <c r="D48" s="46">
        <f t="shared" si="13"/>
        <v>1949451.5758472835</v>
      </c>
      <c r="E48" s="46"/>
      <c r="R48" s="15"/>
    </row>
    <row r="49" spans="1:18" ht="15.75" hidden="1" outlineLevel="1" thickBot="1">
      <c r="A49" s="51" t="s">
        <v>168</v>
      </c>
      <c r="B49">
        <v>150</v>
      </c>
      <c r="C49" s="50">
        <v>1287.7103999999999</v>
      </c>
      <c r="D49" s="46">
        <f t="shared" si="13"/>
        <v>1854442.1723433987</v>
      </c>
      <c r="E49" s="46"/>
      <c r="R49" s="15"/>
    </row>
    <row r="50" spans="1:18" ht="15.75" hidden="1" outlineLevel="1" thickBot="1">
      <c r="A50" s="51" t="s">
        <v>169</v>
      </c>
      <c r="B50">
        <v>200</v>
      </c>
      <c r="C50" s="50">
        <v>1180.944</v>
      </c>
      <c r="D50" s="46">
        <f t="shared" si="13"/>
        <v>1700687.0153226245</v>
      </c>
      <c r="E50" s="46"/>
      <c r="R50" s="15"/>
    </row>
    <row r="51" spans="1:18" ht="15.75" hidden="1" outlineLevel="1" thickBot="1">
      <c r="A51" s="51" t="s">
        <v>170</v>
      </c>
      <c r="B51">
        <v>300</v>
      </c>
      <c r="C51" s="50">
        <v>826.11799999999994</v>
      </c>
      <c r="D51" s="46">
        <f t="shared" si="13"/>
        <v>1189699.220051328</v>
      </c>
      <c r="E51" s="46"/>
      <c r="R51" s="15"/>
    </row>
    <row r="52" spans="1:18" ht="15.75" hidden="1" outlineLevel="1" thickBot="1">
      <c r="A52" s="51" t="s">
        <v>171</v>
      </c>
      <c r="B52">
        <v>400</v>
      </c>
      <c r="C52" s="50">
        <v>636.30319999999995</v>
      </c>
      <c r="D52" s="46">
        <f t="shared" si="13"/>
        <v>916345.38983070734</v>
      </c>
      <c r="E52" s="46"/>
      <c r="R52" s="15"/>
    </row>
    <row r="53" spans="1:18" ht="15.75" hidden="1" outlineLevel="1" thickBot="1">
      <c r="A53" s="51" t="s">
        <v>172</v>
      </c>
      <c r="B53">
        <v>500</v>
      </c>
      <c r="C53" s="50">
        <v>546.48159999999996</v>
      </c>
      <c r="D53" s="46">
        <f t="shared" si="13"/>
        <v>786992.57647503377</v>
      </c>
      <c r="E53" s="46"/>
      <c r="R53" s="15"/>
    </row>
    <row r="54" spans="1:18" ht="15.75" hidden="1" outlineLevel="1" thickBot="1">
      <c r="A54" s="51" t="s">
        <v>173</v>
      </c>
      <c r="B54">
        <v>750</v>
      </c>
      <c r="C54" s="50">
        <v>497.08679999999998</v>
      </c>
      <c r="D54" s="46">
        <f t="shared" si="13"/>
        <v>715858.72509473294</v>
      </c>
      <c r="E54" s="46"/>
      <c r="R54" s="15"/>
    </row>
    <row r="55" spans="1:18" hidden="1" outlineLevel="1">
      <c r="R55" s="15"/>
    </row>
    <row r="56" spans="1:18" hidden="1" outlineLevel="1">
      <c r="R56" s="15"/>
    </row>
    <row r="57" spans="1:18" ht="15.75" hidden="1" outlineLevel="1" thickBot="1">
      <c r="A57" s="58" t="s">
        <v>175</v>
      </c>
      <c r="R57" s="15"/>
    </row>
    <row r="58" spans="1:18" ht="39" hidden="1" outlineLevel="1" thickBot="1">
      <c r="A58" s="47" t="s">
        <v>176</v>
      </c>
      <c r="B58" s="59" t="s">
        <v>178</v>
      </c>
      <c r="C58" s="50">
        <v>9.9355999999999991</v>
      </c>
      <c r="D58" s="46">
        <f>C58*1000*$A$1*$E$1</f>
        <v>14308.337998617601</v>
      </c>
      <c r="E58" s="46"/>
      <c r="R58" s="15"/>
    </row>
    <row r="59" spans="1:18" ht="39" hidden="1" outlineLevel="1" thickBot="1">
      <c r="A59" s="48" t="s">
        <v>177</v>
      </c>
      <c r="B59" s="59" t="s">
        <v>178</v>
      </c>
      <c r="C59" s="50">
        <v>13.617199999999999</v>
      </c>
      <c r="D59" s="46">
        <f t="shared" ref="D59" si="14">C59*1000*$A$1*$E$1</f>
        <v>19610.239964851204</v>
      </c>
      <c r="E59" s="46"/>
      <c r="R59" s="15"/>
    </row>
    <row r="60" spans="1:18" ht="39" hidden="1" outlineLevel="1" thickBot="1">
      <c r="A60" s="47" t="s">
        <v>180</v>
      </c>
      <c r="B60" s="59" t="s">
        <v>179</v>
      </c>
      <c r="C60" s="50">
        <v>26.3612</v>
      </c>
      <c r="D60" s="46">
        <f>C60*1000*$A$1*$E$1</f>
        <v>37962.977540275206</v>
      </c>
      <c r="E60" s="46"/>
      <c r="R60" s="15"/>
    </row>
    <row r="61" spans="1:18" ht="15.75" hidden="1" outlineLevel="1" thickBot="1">
      <c r="R61" s="15"/>
    </row>
    <row r="62" spans="1:18" ht="15.75" hidden="1" outlineLevel="1" thickBot="1">
      <c r="A62" s="72" t="s">
        <v>198</v>
      </c>
      <c r="B62" s="73"/>
      <c r="C62" s="74"/>
      <c r="D62"/>
      <c r="E62"/>
      <c r="R62" s="15"/>
    </row>
    <row r="63" spans="1:18" ht="15.75" hidden="1" outlineLevel="1" thickBot="1">
      <c r="A63" s="69" t="s">
        <v>199</v>
      </c>
      <c r="C63" s="50">
        <v>164.01999999999998</v>
      </c>
      <c r="D63" s="46">
        <f>C63*1000*$A$1*$E$1</f>
        <v>236206.52990592</v>
      </c>
      <c r="E63" s="46"/>
      <c r="F63" s="70"/>
      <c r="G63" s="70"/>
      <c r="R63" s="15"/>
    </row>
    <row r="64" spans="1:18" hidden="1" outlineLevel="1">
      <c r="R64" s="15"/>
    </row>
    <row r="65" spans="1:18" hidden="1" outlineLevel="1">
      <c r="A65" s="75" t="s">
        <v>203</v>
      </c>
      <c r="D65"/>
      <c r="E65"/>
      <c r="R65" s="15"/>
    </row>
    <row r="66" spans="1:18" hidden="1" outlineLevel="1">
      <c r="A66" s="76" t="s">
        <v>204</v>
      </c>
      <c r="D66"/>
      <c r="E66"/>
      <c r="R66" s="15"/>
    </row>
    <row r="67" spans="1:18" ht="15.75" hidden="1" outlineLevel="1" thickBot="1">
      <c r="D67"/>
      <c r="E67"/>
      <c r="R67" s="15"/>
    </row>
    <row r="68" spans="1:18" ht="15.75" hidden="1" outlineLevel="1" thickBot="1">
      <c r="A68" s="78" t="s">
        <v>205</v>
      </c>
      <c r="C68" s="50">
        <v>2374.4668000000001</v>
      </c>
      <c r="D68" s="46">
        <f>C68*1000*$A$1*$E$1</f>
        <v>3419488.8623632141</v>
      </c>
      <c r="E68" s="46"/>
      <c r="R68" s="15"/>
    </row>
    <row r="69" spans="1:18" ht="15.75" hidden="1" outlineLevel="1" thickBot="1">
      <c r="A69" s="69" t="s">
        <v>206</v>
      </c>
      <c r="C69" s="50">
        <v>3067.1268</v>
      </c>
      <c r="D69" s="46">
        <f t="shared" ref="D69:D70" si="15">C69*1000*$A$1*$E$1</f>
        <v>4416994.1361385733</v>
      </c>
      <c r="E69" s="46"/>
      <c r="R69" s="15"/>
    </row>
    <row r="70" spans="1:18" ht="15.75" hidden="1" outlineLevel="1" thickBot="1">
      <c r="A70" s="69" t="s">
        <v>207</v>
      </c>
      <c r="C70" s="50">
        <v>5674.4312</v>
      </c>
      <c r="D70" s="46">
        <f t="shared" si="15"/>
        <v>8171794.3113149973</v>
      </c>
      <c r="E70" s="46"/>
      <c r="R70" s="15"/>
    </row>
    <row r="71" spans="1:18" hidden="1" outlineLevel="1">
      <c r="C71" s="34"/>
      <c r="D71"/>
      <c r="E71"/>
      <c r="R71" s="15"/>
    </row>
    <row r="72" spans="1:18" hidden="1" outlineLevel="1">
      <c r="A72" s="80" t="s">
        <v>217</v>
      </c>
      <c r="C72" s="34"/>
      <c r="D72"/>
      <c r="E72"/>
      <c r="R72" s="15"/>
    </row>
    <row r="73" spans="1:18" hidden="1" outlineLevel="1">
      <c r="A73" s="80" t="s">
        <v>218</v>
      </c>
      <c r="R73" s="15"/>
    </row>
    <row r="74" spans="1:18" ht="15.75" hidden="1" outlineLevel="1" thickBot="1">
      <c r="R74" s="15"/>
    </row>
    <row r="75" spans="1:18" ht="26.25" hidden="1" outlineLevel="1" thickBot="1">
      <c r="A75" s="71" t="s">
        <v>219</v>
      </c>
      <c r="C75" s="50">
        <f>AVERAGE(C76:C77)</f>
        <v>189.98</v>
      </c>
      <c r="D75" s="46">
        <f>C75*1000*$A$1*$E$1</f>
        <v>273591.73607808002</v>
      </c>
      <c r="R75" s="15"/>
    </row>
    <row r="76" spans="1:18" ht="15.75" hidden="1" outlineLevel="1" thickBot="1">
      <c r="A76" s="69" t="s">
        <v>220</v>
      </c>
      <c r="C76" s="50">
        <v>184.06819999999999</v>
      </c>
      <c r="D76" s="46">
        <f t="shared" ref="D76" si="16">C76*1000*$A$1*$E$1</f>
        <v>265078.10503614723</v>
      </c>
      <c r="E76"/>
      <c r="R76" s="15"/>
    </row>
    <row r="77" spans="1:18" ht="15.75" hidden="1" outlineLevel="1" thickBot="1">
      <c r="A77" s="69" t="s">
        <v>221</v>
      </c>
      <c r="C77" s="50">
        <v>195.89179999999999</v>
      </c>
      <c r="D77" s="46">
        <f>C77*1000*$A$1*$E$1</f>
        <v>282105.36712001282</v>
      </c>
      <c r="E77"/>
      <c r="R77" s="15"/>
    </row>
    <row r="78" spans="1:18" hidden="1" outlineLevel="1">
      <c r="A78" s="81"/>
      <c r="D78"/>
      <c r="R78" s="15"/>
    </row>
    <row r="79" spans="1:18" hidden="1" outlineLevel="1">
      <c r="A79" s="80" t="s">
        <v>222</v>
      </c>
      <c r="D79"/>
      <c r="R79" s="15"/>
    </row>
    <row r="80" spans="1:18" hidden="1" outlineLevel="1">
      <c r="A80" s="82" t="s">
        <v>223</v>
      </c>
      <c r="D80"/>
      <c r="R80" s="15"/>
    </row>
    <row r="81" spans="1:18" ht="15.75" hidden="1" outlineLevel="1" thickBot="1">
      <c r="A81" s="77"/>
      <c r="D81"/>
      <c r="R81" s="15"/>
    </row>
    <row r="82" spans="1:18" ht="26.25" hidden="1" outlineLevel="1" thickBot="1">
      <c r="A82" s="47" t="s">
        <v>224</v>
      </c>
      <c r="C82" s="50">
        <v>280.3562</v>
      </c>
      <c r="D82" s="46">
        <f>C82*1000*$A$1*$E$1</f>
        <v>403743.2333837953</v>
      </c>
      <c r="E82"/>
      <c r="R82" s="15"/>
    </row>
    <row r="83" spans="1:18" hidden="1" outlineLevel="1">
      <c r="R83" s="15"/>
    </row>
    <row r="84" spans="1:18" hidden="1" outlineLevel="1">
      <c r="A84" s="80" t="s">
        <v>230</v>
      </c>
      <c r="D84"/>
      <c r="R84" s="15"/>
    </row>
    <row r="85" spans="1:18" hidden="1" outlineLevel="1">
      <c r="A85" s="89" t="s">
        <v>231</v>
      </c>
      <c r="D85"/>
      <c r="R85" s="15"/>
    </row>
    <row r="86" spans="1:18" hidden="1" outlineLevel="1">
      <c r="A86" s="90"/>
      <c r="D86"/>
      <c r="R86" s="15"/>
    </row>
    <row r="87" spans="1:18" hidden="1" outlineLevel="1">
      <c r="A87" s="82" t="s">
        <v>232</v>
      </c>
      <c r="D87"/>
      <c r="R87" s="15"/>
    </row>
    <row r="88" spans="1:18" ht="15.75" hidden="1" outlineLevel="1" thickBot="1">
      <c r="A88" s="91"/>
      <c r="D88"/>
      <c r="E88" s="48" t="s">
        <v>254</v>
      </c>
      <c r="G88" s="48" t="s">
        <v>255</v>
      </c>
      <c r="R88" s="15"/>
    </row>
    <row r="89" spans="1:18" ht="26.25" hidden="1" outlineLevel="1" thickBot="1">
      <c r="A89" s="71" t="s">
        <v>233</v>
      </c>
      <c r="C89" s="50">
        <f>AVERAGE(C90:C97)</f>
        <v>893.45322499999986</v>
      </c>
      <c r="D89" s="46">
        <f>C89*1000*$A$1*$E$1</f>
        <v>1286669.2227198097</v>
      </c>
      <c r="E89" s="46">
        <f>AVERAGE(E90,E94)</f>
        <v>1222530.2283806978</v>
      </c>
      <c r="G89" s="46">
        <f t="shared" ref="G89" si="17">AVERAGE(G90:G97)</f>
        <v>1325755.8806046913</v>
      </c>
      <c r="R89" s="15"/>
    </row>
    <row r="90" spans="1:18" ht="39" hidden="1" outlineLevel="1" thickBot="1">
      <c r="A90" s="48" t="s">
        <v>234</v>
      </c>
      <c r="C90" s="50">
        <v>942.52499999999998</v>
      </c>
      <c r="D90" s="46">
        <f t="shared" ref="D90:D97" si="18">C90*1000*$A$1*$E$1</f>
        <v>1357337.8831824004</v>
      </c>
      <c r="E90" s="18">
        <f>D90</f>
        <v>1357337.8831824004</v>
      </c>
      <c r="R90" s="15"/>
    </row>
    <row r="91" spans="1:18" ht="26.25" hidden="1" outlineLevel="1" thickBot="1">
      <c r="A91" s="48" t="s">
        <v>235</v>
      </c>
      <c r="C91" s="50">
        <v>978.82179999999994</v>
      </c>
      <c r="D91" s="46">
        <f t="shared" si="18"/>
        <v>1409609.1987212931</v>
      </c>
      <c r="E91" s="18">
        <f>D91</f>
        <v>1409609.1987212931</v>
      </c>
      <c r="F91" s="18"/>
      <c r="R91" s="15"/>
    </row>
    <row r="92" spans="1:18" ht="26.25" hidden="1" outlineLevel="1" thickBot="1">
      <c r="A92" s="48" t="s">
        <v>236</v>
      </c>
      <c r="C92" s="50">
        <v>1019.6379999999999</v>
      </c>
      <c r="D92" s="46">
        <f t="shared" si="18"/>
        <v>1468388.9387892482</v>
      </c>
      <c r="E92"/>
      <c r="G92" s="18">
        <f>D92</f>
        <v>1468388.9387892482</v>
      </c>
      <c r="R92" s="15"/>
    </row>
    <row r="93" spans="1:18" ht="39" hidden="1" outlineLevel="1" thickBot="1">
      <c r="A93" s="48" t="s">
        <v>237</v>
      </c>
      <c r="C93" s="50">
        <v>1026.7887999999998</v>
      </c>
      <c r="D93" s="46">
        <f t="shared" si="18"/>
        <v>1478686.8637621247</v>
      </c>
      <c r="E93"/>
      <c r="G93" s="18">
        <f>D93</f>
        <v>1478686.8637621247</v>
      </c>
      <c r="H93" s="18"/>
      <c r="R93" s="15"/>
    </row>
    <row r="94" spans="1:18" ht="26.25" hidden="1" outlineLevel="1" thickBot="1">
      <c r="A94" s="48" t="s">
        <v>238</v>
      </c>
      <c r="C94" s="50">
        <v>755.30619999999999</v>
      </c>
      <c r="D94" s="46">
        <f t="shared" si="18"/>
        <v>1087722.5735789954</v>
      </c>
      <c r="E94" s="18">
        <f>D94</f>
        <v>1087722.5735789954</v>
      </c>
      <c r="R94" s="15"/>
    </row>
    <row r="95" spans="1:18" ht="26.25" hidden="1" outlineLevel="1" thickBot="1">
      <c r="A95" s="48" t="s">
        <v>239</v>
      </c>
      <c r="C95" s="50">
        <v>788.59399999999994</v>
      </c>
      <c r="D95" s="46">
        <f t="shared" si="18"/>
        <v>1135660.6038570241</v>
      </c>
      <c r="E95" s="18">
        <f>D95</f>
        <v>1135660.6038570241</v>
      </c>
      <c r="F95" s="18"/>
      <c r="R95" s="15"/>
    </row>
    <row r="96" spans="1:18" ht="26.25" hidden="1" outlineLevel="1" thickBot="1">
      <c r="A96" s="48" t="s">
        <v>240</v>
      </c>
      <c r="C96" s="50">
        <v>812.548</v>
      </c>
      <c r="D96" s="46">
        <f t="shared" si="18"/>
        <v>1170156.9531886082</v>
      </c>
      <c r="E96"/>
      <c r="G96" s="18">
        <f>D96</f>
        <v>1170156.9531886082</v>
      </c>
      <c r="R96" s="15"/>
    </row>
    <row r="97" spans="1:18" ht="26.25" hidden="1" outlineLevel="1" thickBot="1">
      <c r="A97" s="48" t="s">
        <v>241</v>
      </c>
      <c r="C97" s="50">
        <v>823.40399999999988</v>
      </c>
      <c r="D97" s="46">
        <f t="shared" si="18"/>
        <v>1185790.766678784</v>
      </c>
      <c r="E97"/>
      <c r="G97" s="18">
        <f>D97</f>
        <v>1185790.766678784</v>
      </c>
      <c r="H97" s="18"/>
      <c r="R97" s="15"/>
    </row>
    <row r="98" spans="1:18" hidden="1" outlineLevel="1">
      <c r="A98" s="81"/>
      <c r="D98"/>
      <c r="R98" s="15"/>
    </row>
    <row r="99" spans="1:18" hidden="1" outlineLevel="1">
      <c r="A99" s="80" t="s">
        <v>242</v>
      </c>
      <c r="D99"/>
      <c r="R99" s="15"/>
    </row>
    <row r="100" spans="1:18" hidden="1" outlineLevel="1">
      <c r="A100" s="82" t="s">
        <v>232</v>
      </c>
      <c r="D100"/>
      <c r="R100" s="15"/>
    </row>
    <row r="101" spans="1:18" ht="15.75" hidden="1" outlineLevel="1" thickBot="1">
      <c r="A101" s="77"/>
      <c r="D101"/>
      <c r="R101" s="15"/>
    </row>
    <row r="102" spans="1:18" ht="26.25" hidden="1" outlineLevel="1" thickBot="1">
      <c r="A102" s="71" t="s">
        <v>243</v>
      </c>
      <c r="C102" s="50">
        <f>AVERAGE(C103:C104)</f>
        <v>383.84809999999999</v>
      </c>
      <c r="D102" s="46">
        <f>C102*1000*$A$1*$E$1</f>
        <v>552782.75644421764</v>
      </c>
      <c r="R102" s="15"/>
    </row>
    <row r="103" spans="1:18" ht="15.75" hidden="1" outlineLevel="1" thickBot="1">
      <c r="A103" s="69" t="s">
        <v>244</v>
      </c>
      <c r="C103" s="50">
        <v>341.66899999999998</v>
      </c>
      <c r="D103" s="46">
        <f t="shared" ref="D103:D104" si="19">C103*1000*$A$1*$E$1</f>
        <v>492040.29305222409</v>
      </c>
      <c r="E103"/>
      <c r="R103" s="15"/>
    </row>
    <row r="104" spans="1:18" ht="15.75" hidden="1" outlineLevel="1" thickBot="1">
      <c r="A104" s="69" t="s">
        <v>245</v>
      </c>
      <c r="C104" s="50">
        <v>426.02719999999999</v>
      </c>
      <c r="D104" s="46">
        <f t="shared" si="19"/>
        <v>613525.21983621141</v>
      </c>
      <c r="E104"/>
      <c r="R104" s="15"/>
    </row>
    <row r="105" spans="1:18" hidden="1" outlineLevel="1">
      <c r="A105" s="81"/>
      <c r="D105"/>
      <c r="R105" s="15"/>
    </row>
    <row r="106" spans="1:18" hidden="1" outlineLevel="1">
      <c r="A106" s="80" t="s">
        <v>246</v>
      </c>
      <c r="D106"/>
      <c r="R106" s="15"/>
    </row>
    <row r="107" spans="1:18" hidden="1" outlineLevel="1">
      <c r="A107" s="82" t="s">
        <v>232</v>
      </c>
      <c r="D107"/>
      <c r="R107" s="15"/>
    </row>
    <row r="108" spans="1:18" ht="15.75" hidden="1" outlineLevel="1" thickBot="1">
      <c r="A108" s="77"/>
      <c r="D108"/>
      <c r="R108" s="15"/>
    </row>
    <row r="109" spans="1:18" ht="26.25" hidden="1" outlineLevel="1" thickBot="1">
      <c r="A109" s="71" t="s">
        <v>247</v>
      </c>
      <c r="C109" s="50">
        <f>AVERAGE(C110:C112)</f>
        <v>475.96873333333332</v>
      </c>
      <c r="D109" s="46">
        <f>C109*1000*$A$1*$E$1</f>
        <v>685446.42631619854</v>
      </c>
      <c r="R109" s="15"/>
    </row>
    <row r="110" spans="1:18" ht="15.75" hidden="1" outlineLevel="1" thickBot="1">
      <c r="A110" s="69" t="s">
        <v>248</v>
      </c>
      <c r="C110" s="50">
        <v>438.31099999999998</v>
      </c>
      <c r="D110" s="46">
        <f t="shared" ref="D110:D112" si="20">C110*1000*$A$1*$E$1</f>
        <v>631215.2196658561</v>
      </c>
      <c r="E110"/>
      <c r="R110" s="15"/>
    </row>
    <row r="111" spans="1:18" ht="15.75" hidden="1" outlineLevel="1" thickBot="1">
      <c r="A111" s="69" t="s">
        <v>249</v>
      </c>
      <c r="C111" s="50">
        <v>489.92419999999998</v>
      </c>
      <c r="D111" s="46">
        <f t="shared" si="20"/>
        <v>705543.80684632331</v>
      </c>
      <c r="E111"/>
      <c r="R111" s="15"/>
    </row>
    <row r="112" spans="1:18" ht="15.75" hidden="1" outlineLevel="1" thickBot="1">
      <c r="A112" s="69" t="s">
        <v>250</v>
      </c>
      <c r="C112" s="50">
        <v>499.67099999999994</v>
      </c>
      <c r="D112" s="46">
        <f t="shared" si="20"/>
        <v>719580.25243641599</v>
      </c>
      <c r="E112"/>
      <c r="R112" s="15"/>
    </row>
    <row r="113" spans="1:18" hidden="1" outlineLevel="1">
      <c r="R113" s="15"/>
    </row>
    <row r="114" spans="1:18" collapsed="1">
      <c r="R114" s="15"/>
    </row>
    <row r="115" spans="1:18" ht="21">
      <c r="A115" s="204" t="s">
        <v>26</v>
      </c>
      <c r="R115" s="15"/>
    </row>
    <row r="116" spans="1:18" outlineLevel="1">
      <c r="B116" s="206">
        <f>IF(Калькулятор_жилье!$F$111&lt;=B118,1,0)</f>
        <v>0</v>
      </c>
      <c r="C116" s="207">
        <f>IF(AND(Калькулятор_жилье!$F$111&gt;C117,Калькулятор_жилье!$F$111&lt;=C118),1,0)</f>
        <v>0</v>
      </c>
      <c r="D116" s="207">
        <f>IF(AND(Калькулятор_жилье!$F$111&gt;D117,Калькулятор_жилье!$F$111&lt;=D118),1,0)</f>
        <v>0</v>
      </c>
      <c r="E116" s="207">
        <f>IF(AND(Калькулятор_жилье!$F$111&gt;E117,Калькулятор_жилье!$F$111&lt;=E118),1,0)</f>
        <v>0</v>
      </c>
      <c r="F116" s="207">
        <f>IF(AND(Калькулятор_жилье!$F$111&gt;F117,Калькулятор_жилье!$F$111&lt;=F118),1,0)</f>
        <v>0</v>
      </c>
      <c r="G116" s="207">
        <f>IF(AND(Калькулятор_жилье!$F$111&gt;G117,Калькулятор_жилье!$F$111&lt;=G118),1,0)</f>
        <v>1</v>
      </c>
      <c r="H116" s="207">
        <f>IF(Калькулятор_жилье!$F$111&gt;=H118,1,0)</f>
        <v>0</v>
      </c>
      <c r="R116" s="15"/>
    </row>
    <row r="117" spans="1:18" ht="15.75" outlineLevel="1">
      <c r="A117" s="177">
        <f>SUMPRODUCT(B116:H116,B119:H119)*I119+SUMPRODUCT(B116:H116,B120:H120)*I120</f>
        <v>1733.6287095514397</v>
      </c>
      <c r="B117" s="205" t="s">
        <v>402</v>
      </c>
      <c r="C117" s="205">
        <f>B118+1</f>
        <v>4001</v>
      </c>
      <c r="D117" s="205">
        <f>C118+1</f>
        <v>7001</v>
      </c>
      <c r="E117" s="197">
        <f>D118+1</f>
        <v>10001</v>
      </c>
      <c r="F117" s="197">
        <f>E118+1</f>
        <v>16001</v>
      </c>
      <c r="G117" s="197">
        <f>F118+1</f>
        <v>24001</v>
      </c>
      <c r="H117" s="197" t="s">
        <v>403</v>
      </c>
    </row>
    <row r="118" spans="1:18" outlineLevel="1">
      <c r="A118" s="198" t="s">
        <v>404</v>
      </c>
      <c r="B118" s="197">
        <v>4000</v>
      </c>
      <c r="C118" s="197">
        <v>7000</v>
      </c>
      <c r="D118" s="197">
        <v>10000</v>
      </c>
      <c r="E118" s="197">
        <v>16000</v>
      </c>
      <c r="F118" s="197">
        <v>24000</v>
      </c>
      <c r="G118" s="197">
        <v>40000</v>
      </c>
      <c r="H118" s="197">
        <f>G118+1</f>
        <v>40001</v>
      </c>
    </row>
    <row r="119" spans="1:18" outlineLevel="1">
      <c r="A119" s="199" t="s">
        <v>405</v>
      </c>
      <c r="B119" s="200">
        <v>4158.400501065109</v>
      </c>
      <c r="C119" s="200">
        <v>3442.6634967925052</v>
      </c>
      <c r="D119" s="200">
        <v>2445.441441270963</v>
      </c>
      <c r="E119" s="200">
        <v>1946.8304135101921</v>
      </c>
      <c r="F119" s="200">
        <v>1448.2193857494212</v>
      </c>
      <c r="G119" s="200">
        <v>1733.6287095514397</v>
      </c>
      <c r="H119" s="200">
        <v>2019.0380333534581</v>
      </c>
      <c r="I119" s="207">
        <f>IF(I120=1,0,1)</f>
        <v>1</v>
      </c>
    </row>
    <row r="120" spans="1:18" ht="30" outlineLevel="1">
      <c r="A120" s="199" t="s">
        <v>406</v>
      </c>
      <c r="B120" s="200">
        <v>5198.0006263313853</v>
      </c>
      <c r="C120" s="200">
        <v>4303.3293709906311</v>
      </c>
      <c r="D120" s="200">
        <v>3056.8018015887033</v>
      </c>
      <c r="E120" s="200">
        <v>2433.53801688774</v>
      </c>
      <c r="F120" s="200">
        <v>1810.2742321867763</v>
      </c>
      <c r="G120" s="200">
        <v>2167.0358869392994</v>
      </c>
      <c r="H120" s="200">
        <v>2523.7975416918225</v>
      </c>
      <c r="I120" s="207">
        <f>IF(Калькулятор_жилье!H64&gt;=150,1,0)</f>
        <v>0</v>
      </c>
    </row>
    <row r="121" spans="1:18" outlineLevel="1"/>
    <row r="122" spans="1:18" ht="15.75" outlineLevel="1" thickBot="1">
      <c r="J122" s="15"/>
    </row>
    <row r="123" spans="1:18" ht="29.25" outlineLevel="1" thickBot="1">
      <c r="A123" s="198" t="s">
        <v>411</v>
      </c>
      <c r="B123" s="201" t="s">
        <v>407</v>
      </c>
      <c r="C123" s="201" t="s">
        <v>388</v>
      </c>
      <c r="D123" s="201" t="s">
        <v>389</v>
      </c>
      <c r="F123" s="34"/>
      <c r="G123" s="34"/>
      <c r="H123" s="34"/>
      <c r="I123" s="34"/>
      <c r="J123" s="15"/>
      <c r="L123" s="436"/>
    </row>
    <row r="124" spans="1:18" ht="15.75" outlineLevel="1">
      <c r="A124" s="221" t="s">
        <v>410</v>
      </c>
      <c r="B124" s="203">
        <v>2.5284916799978143</v>
      </c>
      <c r="C124" s="203">
        <v>2.5284916799978143</v>
      </c>
      <c r="D124" s="218">
        <v>2.5284916799978143</v>
      </c>
      <c r="E124" s="222">
        <f>B124</f>
        <v>2.5284916799978143</v>
      </c>
      <c r="F124" s="34"/>
      <c r="G124" s="34"/>
      <c r="H124" s="34"/>
      <c r="J124" s="15"/>
      <c r="L124" s="436"/>
    </row>
    <row r="125" spans="1:18" outlineLevel="1">
      <c r="E125"/>
      <c r="J125" s="15"/>
    </row>
    <row r="126" spans="1:18" ht="15.75" outlineLevel="1" thickBot="1">
      <c r="B126" s="206">
        <f>IF(Калькулятор_жилье!$H$64&lt;=75,1,0)</f>
        <v>1</v>
      </c>
      <c r="C126" s="207">
        <f>IF(AND(Калькулятор_жилье!$H$64&gt;75,Калькулятор_жилье!$H$64&lt;150),1,0)</f>
        <v>0</v>
      </c>
      <c r="D126" s="207">
        <f>IF(Калькулятор_жилье!$H$64&gt;=150,1,0)</f>
        <v>0</v>
      </c>
      <c r="E126"/>
      <c r="J126" s="15"/>
    </row>
    <row r="127" spans="1:18" ht="29.25" outlineLevel="1" thickBot="1">
      <c r="A127" s="198" t="s">
        <v>411</v>
      </c>
      <c r="B127" s="201" t="s">
        <v>407</v>
      </c>
      <c r="C127" s="201" t="s">
        <v>388</v>
      </c>
      <c r="D127" s="201" t="s">
        <v>389</v>
      </c>
      <c r="E127" s="1" t="s">
        <v>49</v>
      </c>
      <c r="F127" s="685"/>
      <c r="G127" s="685"/>
      <c r="H127" s="685"/>
      <c r="J127" s="15"/>
    </row>
    <row r="128" spans="1:18" ht="15.75" outlineLevel="1">
      <c r="A128" s="219" t="s">
        <v>276</v>
      </c>
      <c r="B128" s="202">
        <v>188.73555190165484</v>
      </c>
      <c r="C128" s="202">
        <v>188.73555190165484</v>
      </c>
      <c r="D128" s="217">
        <v>188.73555190165484</v>
      </c>
      <c r="E128" s="177">
        <f>SUMPRODUCT($B$126:$D$126,B128:D128)</f>
        <v>188.73555190165484</v>
      </c>
      <c r="F128" s="34"/>
      <c r="G128" s="34"/>
      <c r="H128" s="34"/>
      <c r="J128" s="15"/>
    </row>
    <row r="129" spans="1:10" ht="15.75" outlineLevel="1">
      <c r="A129" s="220" t="s">
        <v>43</v>
      </c>
      <c r="B129" s="202">
        <v>327.25636421348702</v>
      </c>
      <c r="C129" s="202">
        <v>327.25636421348702</v>
      </c>
      <c r="D129" s="202">
        <v>327.25636421348702</v>
      </c>
      <c r="E129" s="177">
        <f>SUMPRODUCT($B$126:$D$126,B129:D129)</f>
        <v>327.25636421348702</v>
      </c>
      <c r="F129" s="34"/>
      <c r="G129" s="34"/>
      <c r="H129" s="34"/>
      <c r="J129" s="15"/>
    </row>
    <row r="130" spans="1:10" ht="15.75" outlineLevel="1">
      <c r="A130" s="220" t="s">
        <v>44</v>
      </c>
      <c r="B130" s="202">
        <v>395.33860546089073</v>
      </c>
      <c r="C130" s="202">
        <v>395.33860546089073</v>
      </c>
      <c r="D130" s="202">
        <v>395.33860546089073</v>
      </c>
      <c r="E130" s="177">
        <f>IF(Калькулятор_жилье!F68&lt;=10000,E133,SUMPRODUCT($B$126:$D$126,B130:D130))</f>
        <v>395.33860546089073</v>
      </c>
      <c r="J130" s="15"/>
    </row>
    <row r="131" spans="1:10" ht="15.75" outlineLevel="1">
      <c r="A131" s="220" t="s">
        <v>45</v>
      </c>
      <c r="B131" s="202">
        <v>729.04868501975375</v>
      </c>
      <c r="C131" s="202">
        <v>729.04868501975375</v>
      </c>
      <c r="D131" s="202">
        <v>729.04868501975375</v>
      </c>
      <c r="E131" s="177">
        <f>SUMPRODUCT($B$126:$D$126,B131:D131)</f>
        <v>729.04868501975375</v>
      </c>
      <c r="J131" s="15"/>
    </row>
    <row r="132" spans="1:10" outlineLevel="1">
      <c r="J132" s="15"/>
    </row>
    <row r="133" spans="1:10" ht="15.75" outlineLevel="1">
      <c r="A133" s="220" t="s">
        <v>1242</v>
      </c>
      <c r="B133" s="202">
        <v>500</v>
      </c>
      <c r="C133" s="202">
        <f>B133</f>
        <v>500</v>
      </c>
      <c r="D133" s="202">
        <f>B133</f>
        <v>500</v>
      </c>
      <c r="E133" s="181">
        <f>SUMPRODUCT($B$126:$D$126,B133:D133)</f>
        <v>500</v>
      </c>
      <c r="J133" s="15"/>
    </row>
    <row r="134" spans="1:10" outlineLevel="1">
      <c r="J134" s="15"/>
    </row>
    <row r="135" spans="1:10" ht="16.5" outlineLevel="1" thickBot="1">
      <c r="A135" s="177">
        <f>SUMPRODUCT($B$126:$D$126,B137:D137)*E137+SUMPRODUCT($B$126:$D$126,B138:D138)*E138+SUMPRODUCT($B$126:$D$126,B139:D139)*E139+SUMPRODUCT($B$126:$D$126,B140:D140)*E140</f>
        <v>15056152.54161638</v>
      </c>
      <c r="J135" s="15"/>
    </row>
    <row r="136" spans="1:10" ht="29.25" outlineLevel="1" thickBot="1">
      <c r="A136" s="198" t="s">
        <v>411</v>
      </c>
      <c r="B136" s="201" t="s">
        <v>407</v>
      </c>
      <c r="C136" s="201" t="s">
        <v>388</v>
      </c>
      <c r="D136" s="201" t="s">
        <v>389</v>
      </c>
      <c r="E136" s="1" t="s">
        <v>408</v>
      </c>
      <c r="F136" s="685"/>
      <c r="G136" s="685"/>
      <c r="H136" s="685"/>
      <c r="J136" s="15"/>
    </row>
    <row r="137" spans="1:10" ht="15.75" outlineLevel="1">
      <c r="A137" s="219" t="s">
        <v>276</v>
      </c>
      <c r="B137" s="202">
        <v>648.30353015707601</v>
      </c>
      <c r="C137" s="202">
        <v>886.94953541359519</v>
      </c>
      <c r="D137" s="217">
        <v>1019.9919657256344</v>
      </c>
      <c r="E137" s="177">
        <f>SUMPRODUCT($B$126:$D$126,B137:D137)</f>
        <v>648.30353015707601</v>
      </c>
      <c r="F137" s="34"/>
      <c r="G137" s="34"/>
      <c r="H137" s="34"/>
      <c r="J137" s="15"/>
    </row>
    <row r="138" spans="1:10" ht="15.75" outlineLevel="1">
      <c r="A138" s="220" t="s">
        <v>43</v>
      </c>
      <c r="B138" s="202">
        <v>922.07512908304216</v>
      </c>
      <c r="C138" s="202">
        <v>1019.9919657256344</v>
      </c>
      <c r="D138" s="202">
        <v>1519.4840123371719</v>
      </c>
      <c r="E138" s="177">
        <f t="shared" ref="E138" si="21">SUMPRODUCT($B$126:$D$126,B138:D138)</f>
        <v>922.07512908304216</v>
      </c>
      <c r="F138" s="34"/>
      <c r="G138" s="34"/>
      <c r="H138" s="34"/>
      <c r="J138" s="15"/>
    </row>
    <row r="139" spans="1:10" ht="15.75" outlineLevel="1">
      <c r="A139" s="220" t="s">
        <v>44</v>
      </c>
      <c r="B139" s="202">
        <v>1757.3225443569108</v>
      </c>
      <c r="C139" s="202">
        <v>2108.7870532282927</v>
      </c>
      <c r="D139" s="202">
        <v>2895.8849734136206</v>
      </c>
      <c r="E139" s="177">
        <f>IF(Калькулятор_жилье!F68&lt;=10000,E142,SUMPRODUCT($B$126:$D$126,B139:D139))</f>
        <v>1757.3225443569108</v>
      </c>
      <c r="J139" s="15"/>
    </row>
    <row r="140" spans="1:10" ht="15.75" outlineLevel="1">
      <c r="A140" s="220" t="s">
        <v>45</v>
      </c>
      <c r="B140" s="202">
        <v>3270.6956455506065</v>
      </c>
      <c r="C140" s="202">
        <v>3270.6956455506065</v>
      </c>
      <c r="D140" s="202">
        <v>4491.4721749925275</v>
      </c>
      <c r="E140" s="177">
        <f>IF(Калькулятор_жилье!F68&lt;=10000,E142,SUMPRODUCT($B$126:$D$126,B140:D140))</f>
        <v>3270.6956455506065</v>
      </c>
      <c r="J140" s="15"/>
    </row>
    <row r="141" spans="1:10" outlineLevel="1">
      <c r="J141" s="15"/>
    </row>
    <row r="142" spans="1:10" ht="15.75" outlineLevel="1">
      <c r="A142" s="220" t="s">
        <v>1242</v>
      </c>
      <c r="B142" s="202">
        <v>5556.25</v>
      </c>
      <c r="C142" s="202">
        <f>B142</f>
        <v>5556.25</v>
      </c>
      <c r="D142" s="202">
        <f>B142</f>
        <v>5556.25</v>
      </c>
      <c r="E142" s="181">
        <f>SUMPRODUCT($B$126:$D$126,B142:D142)</f>
        <v>5556.25</v>
      </c>
      <c r="J142" s="15"/>
    </row>
    <row r="143" spans="1:10" ht="16.5" outlineLevel="1" thickBot="1">
      <c r="A143" s="177">
        <f>SUMPRODUCT($B$126:$D$126,B145:D145)*E145+SUMPRODUCT($B$126:$D$126,B146:D146)*E146+SUMPRODUCT($B$126:$D$126,B147:D147)*E147+SUMPRODUCT($B$126:$D$126,B148:D148)*E148</f>
        <v>13076392.296992056</v>
      </c>
      <c r="J143" s="15"/>
    </row>
    <row r="144" spans="1:10" ht="29.25" outlineLevel="1" thickBot="1">
      <c r="A144" s="198" t="s">
        <v>411</v>
      </c>
      <c r="B144" s="201" t="s">
        <v>407</v>
      </c>
      <c r="C144" s="201" t="s">
        <v>388</v>
      </c>
      <c r="D144" s="201" t="s">
        <v>389</v>
      </c>
      <c r="E144" s="1" t="s">
        <v>409</v>
      </c>
      <c r="F144" s="685"/>
      <c r="G144" s="685"/>
      <c r="H144" s="685"/>
      <c r="J144" s="15"/>
    </row>
    <row r="145" spans="1:18" ht="15.75" outlineLevel="1">
      <c r="A145" s="219" t="s">
        <v>276</v>
      </c>
      <c r="B145" s="202">
        <v>958.09264332080704</v>
      </c>
      <c r="C145" s="202">
        <v>1288.2947233139832</v>
      </c>
      <c r="D145" s="217">
        <v>1481.5389318110806</v>
      </c>
      <c r="E145" s="177">
        <f>SUMPRODUCT($B$126:$D$126,B145:D145)</f>
        <v>958.09264332080704</v>
      </c>
      <c r="F145" s="34"/>
      <c r="G145" s="34"/>
      <c r="H145" s="34"/>
      <c r="J145" s="15"/>
    </row>
    <row r="146" spans="1:18" ht="15.75" outlineLevel="1">
      <c r="A146" s="220" t="s">
        <v>43</v>
      </c>
      <c r="B146" s="202">
        <v>1134.4449798911887</v>
      </c>
      <c r="C146" s="202">
        <v>1481.5389318110806</v>
      </c>
      <c r="D146" s="202">
        <v>2087.8594457336362</v>
      </c>
      <c r="E146" s="177">
        <f t="shared" ref="E146" si="22">SUMPRODUCT($B$126:$D$126,B146:D146)</f>
        <v>1134.4449798911887</v>
      </c>
      <c r="F146" s="34"/>
      <c r="G146" s="34"/>
      <c r="H146" s="34"/>
      <c r="J146" s="15"/>
    </row>
    <row r="147" spans="1:18" ht="15.75" outlineLevel="1">
      <c r="A147" s="220" t="s">
        <v>44</v>
      </c>
      <c r="B147" s="202">
        <v>2010.4296836330807</v>
      </c>
      <c r="C147" s="202">
        <v>2412.5156203596966</v>
      </c>
      <c r="D147" s="202">
        <v>3700.0424695424363</v>
      </c>
      <c r="E147" s="181">
        <f>IF(Калькулятор_жилье!F68&lt;=10000,E150,SUMPRODUCT($B$126:$D$126,B147:D147))</f>
        <v>2010.4296836330807</v>
      </c>
      <c r="J147" s="15"/>
    </row>
    <row r="148" spans="1:18" ht="15.75" outlineLevel="1">
      <c r="A148" s="220" t="s">
        <v>45</v>
      </c>
      <c r="B148" s="202">
        <v>2613.3614098653247</v>
      </c>
      <c r="C148" s="202">
        <v>2613.3614098653247</v>
      </c>
      <c r="D148" s="202">
        <v>3700.0424695424363</v>
      </c>
      <c r="E148" s="181">
        <f>IF(Калькулятор_жилье!F68&lt;=10000,E150,SUMPRODUCT($B$126:$D$126,B148:D148))</f>
        <v>2613.3614098653247</v>
      </c>
      <c r="J148" s="15"/>
    </row>
    <row r="149" spans="1:18" outlineLevel="1">
      <c r="J149" s="15"/>
      <c r="R149" s="15"/>
    </row>
    <row r="150" spans="1:18" ht="15.75" outlineLevel="1">
      <c r="A150" s="220" t="s">
        <v>1242</v>
      </c>
      <c r="B150" s="202">
        <v>5937.5</v>
      </c>
      <c r="C150" s="202">
        <f>B150</f>
        <v>5937.5</v>
      </c>
      <c r="D150" s="202">
        <f>B150</f>
        <v>5937.5</v>
      </c>
      <c r="E150" s="181">
        <f>SUMPRODUCT($B$126:$D$126,B150:D150)</f>
        <v>5937.5</v>
      </c>
      <c r="J150" s="15"/>
    </row>
    <row r="151" spans="1:18">
      <c r="E151"/>
      <c r="J151" s="15"/>
      <c r="R151" s="15"/>
    </row>
    <row r="152" spans="1:18" ht="21">
      <c r="A152" s="204" t="s">
        <v>23</v>
      </c>
      <c r="R152" s="15"/>
    </row>
    <row r="153" spans="1:18" outlineLevel="1">
      <c r="B153" s="206">
        <f>IF(Калькулятор_жилье!$F$69&lt;=19999,1,0)</f>
        <v>0</v>
      </c>
      <c r="C153" s="206">
        <f>IF(Калькулятор_жилье!$F$69&gt;=20000,1,0)</f>
        <v>1</v>
      </c>
      <c r="R153" s="15"/>
    </row>
    <row r="154" spans="1:18" ht="15.75" outlineLevel="1">
      <c r="B154" s="252" t="s">
        <v>430</v>
      </c>
      <c r="C154" s="252" t="s">
        <v>431</v>
      </c>
      <c r="R154" s="15"/>
    </row>
    <row r="155" spans="1:18" ht="15.75" outlineLevel="1">
      <c r="A155" s="252" t="s">
        <v>101</v>
      </c>
      <c r="B155" s="253">
        <v>2896.2189784813409</v>
      </c>
      <c r="C155" s="253">
        <v>1171.4419766788633</v>
      </c>
      <c r="D155" s="222">
        <f>SUMPRODUCT(B155:C155,B153:C153)</f>
        <v>1171.4419766788633</v>
      </c>
      <c r="R155" s="15"/>
    </row>
    <row r="156" spans="1:18" ht="15.75" outlineLevel="1">
      <c r="A156" s="252" t="s">
        <v>102</v>
      </c>
      <c r="B156" s="253">
        <v>1799.9360587224792</v>
      </c>
      <c r="C156" s="7"/>
      <c r="D156" s="7"/>
      <c r="R156" s="15"/>
    </row>
    <row r="157" spans="1:18" ht="15.75" outlineLevel="1">
      <c r="A157" s="252" t="s">
        <v>103</v>
      </c>
      <c r="B157" s="253">
        <v>752.41521126563111</v>
      </c>
      <c r="C157" s="7"/>
      <c r="D157" s="7"/>
      <c r="R157" s="15"/>
    </row>
    <row r="158" spans="1:18" ht="15.75" outlineLevel="1">
      <c r="A158" s="252" t="s">
        <v>104</v>
      </c>
      <c r="B158" s="253"/>
      <c r="C158" s="7"/>
      <c r="D158" s="7"/>
      <c r="R158" s="15"/>
    </row>
    <row r="159" spans="1:18" ht="15.75" outlineLevel="1">
      <c r="A159" s="252" t="s">
        <v>105</v>
      </c>
      <c r="B159" s="253">
        <v>74.431184469848134</v>
      </c>
      <c r="C159" s="7"/>
      <c r="D159" s="7"/>
      <c r="R159" s="15"/>
    </row>
    <row r="160" spans="1:18" ht="15.75" outlineLevel="1">
      <c r="A160" s="252"/>
      <c r="B160" s="206">
        <f>IF(Калькулятор_жилье!$F$69&lt;=19999,1,0)</f>
        <v>0</v>
      </c>
      <c r="C160" s="206">
        <f>IF(AND(Калькулятор_жилье!$F$69&gt;=20000,Калькулятор_жилье!$F$69&lt;50000),1,0)</f>
        <v>0</v>
      </c>
      <c r="D160" s="206">
        <f>IF(Калькулятор_жилье!$F$69&gt;=50000,1,0)</f>
        <v>1</v>
      </c>
      <c r="R160" s="15"/>
    </row>
    <row r="161" spans="1:19" ht="31.5" outlineLevel="1">
      <c r="A161" s="252"/>
      <c r="B161" s="252" t="s">
        <v>430</v>
      </c>
      <c r="C161" s="252" t="s">
        <v>432</v>
      </c>
      <c r="D161" s="252" t="s">
        <v>433</v>
      </c>
      <c r="R161" s="15"/>
    </row>
    <row r="162" spans="1:19" ht="15.75" outlineLevel="1">
      <c r="A162" s="154" t="s">
        <v>106</v>
      </c>
      <c r="B162" s="255">
        <v>1501.6069267303196</v>
      </c>
      <c r="C162" s="255">
        <v>812.88244446194608</v>
      </c>
      <c r="D162" s="255">
        <v>18.619603547918423</v>
      </c>
      <c r="E162" s="222">
        <f>SUMPRODUCT(B162:D162,B160:D160)</f>
        <v>18.619603547918423</v>
      </c>
      <c r="R162" s="15"/>
    </row>
    <row r="163" spans="1:19" ht="15.75" outlineLevel="1">
      <c r="A163" s="154"/>
      <c r="B163" s="206">
        <f>IF(Калькулятор_жилье!$F$69&lt;=49999,1,0)</f>
        <v>0</v>
      </c>
      <c r="C163" s="206">
        <f>IF(Калькулятор_жилье!$F$69&gt;=50000,1,0)</f>
        <v>1</v>
      </c>
      <c r="D163" s="254"/>
      <c r="R163" s="15"/>
    </row>
    <row r="164" spans="1:19" ht="15.75" outlineLevel="1">
      <c r="A164" s="252"/>
      <c r="B164" s="252" t="s">
        <v>434</v>
      </c>
      <c r="C164" s="252" t="s">
        <v>433</v>
      </c>
      <c r="D164"/>
      <c r="R164" s="15"/>
    </row>
    <row r="165" spans="1:19" ht="15.75" outlineLevel="1">
      <c r="A165" s="252" t="s">
        <v>107</v>
      </c>
      <c r="B165" s="255">
        <v>99.124596550582169</v>
      </c>
      <c r="C165" s="255">
        <v>1164.3340389596494</v>
      </c>
      <c r="D165" s="222">
        <f>SUMPRODUCT(B165:C165,B163:C163)</f>
        <v>1164.3340389596494</v>
      </c>
      <c r="R165" s="15"/>
    </row>
    <row r="166" spans="1:19" ht="15.75" outlineLevel="1">
      <c r="A166" s="252" t="s">
        <v>108</v>
      </c>
      <c r="B166" s="253">
        <v>926.13414428832903</v>
      </c>
      <c r="C166" s="7"/>
      <c r="D166" s="7"/>
      <c r="R166" s="15"/>
    </row>
    <row r="167" spans="1:19" ht="15.75" outlineLevel="1">
      <c r="A167" s="7"/>
      <c r="B167" s="7"/>
      <c r="C167" s="7"/>
      <c r="D167" s="7"/>
      <c r="R167" s="15"/>
    </row>
    <row r="168" spans="1:19" ht="31.5" outlineLevel="1">
      <c r="A168" s="7"/>
      <c r="B168" s="252" t="s">
        <v>430</v>
      </c>
      <c r="C168" s="252" t="s">
        <v>435</v>
      </c>
      <c r="D168" s="252" t="s">
        <v>433</v>
      </c>
      <c r="R168" s="15"/>
    </row>
    <row r="169" spans="1:19" ht="31.5" outlineLevel="1">
      <c r="A169" s="251" t="s">
        <v>196</v>
      </c>
      <c r="B169" s="253">
        <v>123.06924734048332</v>
      </c>
      <c r="C169" s="253">
        <v>109.56616944670826</v>
      </c>
      <c r="D169" s="253">
        <v>366.73981726318038</v>
      </c>
      <c r="E169" s="222">
        <f>SUMPRODUCT(B169:D169,B160:D160)</f>
        <v>366.73981726318038</v>
      </c>
      <c r="R169" s="15"/>
    </row>
    <row r="170" spans="1:19" ht="15.75" outlineLevel="1">
      <c r="A170" s="669"/>
      <c r="B170" s="206">
        <f>IF(Калькулятор_жилье!$F$69&lt;=10000,1,0)</f>
        <v>0</v>
      </c>
      <c r="C170" s="206">
        <f>IF(AND(Калькулятор_жилье!$F$69&gt;10000,Калькулятор_жилье!$F$69&lt;20000),1,0)</f>
        <v>0</v>
      </c>
      <c r="D170" s="206">
        <f>IF(Калькулятор_жилье!$F$69&gt;=20000,1,0)</f>
        <v>1</v>
      </c>
      <c r="E170"/>
      <c r="R170" s="15"/>
    </row>
    <row r="171" spans="1:19" ht="31.5" outlineLevel="1">
      <c r="A171" s="252"/>
      <c r="B171" s="669" t="s">
        <v>1852</v>
      </c>
      <c r="C171" s="252" t="s">
        <v>1853</v>
      </c>
      <c r="D171" s="252" t="s">
        <v>431</v>
      </c>
      <c r="E171" s="252"/>
      <c r="F171" s="34"/>
      <c r="S171" s="15"/>
    </row>
    <row r="172" spans="1:19" ht="15.75" outlineLevel="1">
      <c r="A172" s="37" t="s">
        <v>197</v>
      </c>
      <c r="B172" s="253">
        <v>5056.0449994115716</v>
      </c>
      <c r="C172" s="253">
        <v>1797.5078322293552</v>
      </c>
      <c r="D172" s="253">
        <v>2334.4730427973464</v>
      </c>
      <c r="E172" s="222">
        <f>SUMPRODUCT(B172:D172,B170:D170)</f>
        <v>2334.4730427973464</v>
      </c>
      <c r="F172" s="34"/>
      <c r="S172" s="15"/>
    </row>
    <row r="173" spans="1:19" outlineLevel="1">
      <c r="R173" s="15"/>
    </row>
    <row r="174" spans="1:19">
      <c r="R174" s="15"/>
    </row>
    <row r="175" spans="1:19" ht="21">
      <c r="A175" s="204" t="s">
        <v>456</v>
      </c>
      <c r="R175" s="15"/>
    </row>
    <row r="176" spans="1:19" ht="21" outlineLevel="1">
      <c r="A176" s="204"/>
      <c r="R176" s="15"/>
    </row>
    <row r="177" spans="1:18" outlineLevel="1">
      <c r="A177" s="61" t="str">
        <f>Калькулятор_жилье!D150</f>
        <v>Фундамент</v>
      </c>
      <c r="D177" s="61" t="str">
        <f>Калькулятор_жилье!D149</f>
        <v>Цоколь/ подвал (- 4,2 м)</v>
      </c>
      <c r="R177" s="15"/>
    </row>
    <row r="178" spans="1:18" outlineLevel="1">
      <c r="A178" s="18" t="str">
        <f>D181</f>
        <v>% зем раб</v>
      </c>
      <c r="B178" s="263">
        <f>E181</f>
        <v>0.31946236982761361</v>
      </c>
      <c r="D178" t="s">
        <v>458</v>
      </c>
      <c r="E178" s="263">
        <f>100%-E182-E181-E180-E179</f>
        <v>0.18577070370709992</v>
      </c>
      <c r="R178" s="15"/>
    </row>
    <row r="179" spans="1:18" outlineLevel="1">
      <c r="A179" s="18" t="str">
        <f>D180</f>
        <v>% фунда</v>
      </c>
      <c r="B179" s="263">
        <f>100%-B178</f>
        <v>0.68053763017238644</v>
      </c>
      <c r="D179" t="s">
        <v>470</v>
      </c>
      <c r="E179" s="264">
        <f>H202</f>
        <v>2.9349677335075014E-3</v>
      </c>
      <c r="R179" s="15"/>
    </row>
    <row r="180" spans="1:18" outlineLevel="1">
      <c r="A180" s="61" t="s">
        <v>457</v>
      </c>
      <c r="D180" s="34" t="s">
        <v>469</v>
      </c>
      <c r="E180" s="263">
        <f>(H191/(H186+H191+H195))*(100%-E182)</f>
        <v>0.24170008792686648</v>
      </c>
      <c r="R180" s="15"/>
    </row>
    <row r="181" spans="1:18" outlineLevel="1">
      <c r="A181" t="s">
        <v>458</v>
      </c>
      <c r="B181" s="263">
        <v>0.84087790674173801</v>
      </c>
      <c r="D181" s="34" t="s">
        <v>468</v>
      </c>
      <c r="E181" s="263">
        <f>(H186/(H186+H191+H195))*(100%-E182)</f>
        <v>0.31946236982761361</v>
      </c>
      <c r="R181" s="15"/>
    </row>
    <row r="182" spans="1:18" outlineLevel="1">
      <c r="A182" t="s">
        <v>459</v>
      </c>
      <c r="B182" s="263">
        <v>0.15912209325826199</v>
      </c>
      <c r="D182" t="s">
        <v>459</v>
      </c>
      <c r="E182" s="263">
        <v>0.2501318708049125</v>
      </c>
      <c r="R182" s="15"/>
    </row>
    <row r="183" spans="1:18" outlineLevel="1">
      <c r="R183" s="15"/>
    </row>
    <row r="184" spans="1:18" outlineLevel="1">
      <c r="A184" s="61" t="s">
        <v>465</v>
      </c>
      <c r="D184"/>
      <c r="E184" t="s">
        <v>460</v>
      </c>
      <c r="F184" s="34" t="s">
        <v>461</v>
      </c>
      <c r="G184" s="34"/>
      <c r="R184" s="15"/>
    </row>
    <row r="185" spans="1:18" outlineLevel="1">
      <c r="A185" s="67" t="s">
        <v>11</v>
      </c>
      <c r="B185" t="s">
        <v>462</v>
      </c>
      <c r="C185" t="s">
        <v>463</v>
      </c>
      <c r="D185" t="s">
        <v>464</v>
      </c>
      <c r="E185"/>
      <c r="F185" s="34"/>
      <c r="G185" s="34"/>
      <c r="H185">
        <f>Калькулятор_жилье!G57</f>
        <v>3</v>
      </c>
      <c r="R185" s="15"/>
    </row>
    <row r="186" spans="1:18" outlineLevel="1">
      <c r="A186" s="44" t="s">
        <v>10</v>
      </c>
      <c r="B186" s="266">
        <f>E186</f>
        <v>0.35471958960960115</v>
      </c>
      <c r="C186" s="266">
        <f>E186</f>
        <v>0.35471958960960115</v>
      </c>
      <c r="D186" s="266">
        <f>C186</f>
        <v>0.35471958960960115</v>
      </c>
      <c r="E186" s="263">
        <v>0.35471958960960115</v>
      </c>
      <c r="F186" s="263">
        <v>0.21931086166921854</v>
      </c>
      <c r="G186" s="34"/>
      <c r="H186" s="266">
        <f>IF($H$185=1,B186,IF($H$185=2,C186,D186))</f>
        <v>0.35471958960960115</v>
      </c>
      <c r="R186" s="15"/>
    </row>
    <row r="187" spans="1:18" outlineLevel="1">
      <c r="A187" s="67" t="s">
        <v>58</v>
      </c>
      <c r="D187"/>
      <c r="E187"/>
      <c r="F187" s="34"/>
      <c r="G187" s="34"/>
      <c r="R187" s="15"/>
    </row>
    <row r="188" spans="1:18" outlineLevel="1">
      <c r="A188" s="44" t="s">
        <v>1846</v>
      </c>
      <c r="B188" s="266"/>
      <c r="C188" s="266"/>
      <c r="D188" s="266"/>
      <c r="E188" s="263"/>
      <c r="F188" s="263"/>
      <c r="G188" s="34"/>
      <c r="H188" s="266">
        <f>IF(Калькулятор_жилье!G59="шпунтовое ограждение",E191*30%,0%)</f>
        <v>0</v>
      </c>
      <c r="R188" s="15"/>
    </row>
    <row r="189" spans="1:18" outlineLevel="1">
      <c r="A189" s="44" t="s">
        <v>59</v>
      </c>
      <c r="B189" s="266"/>
      <c r="C189" s="266"/>
      <c r="D189" s="266"/>
      <c r="E189" s="263"/>
      <c r="F189" s="263">
        <v>0.19940792759065806</v>
      </c>
      <c r="G189" s="34"/>
      <c r="H189" s="266">
        <f>IF($H$185=1,B189,IF($H$185=2,C189,D189))</f>
        <v>0</v>
      </c>
      <c r="I189" s="644"/>
      <c r="R189" s="15"/>
    </row>
    <row r="190" spans="1:18" outlineLevel="1">
      <c r="A190" s="44" t="s">
        <v>60</v>
      </c>
      <c r="B190" s="266"/>
      <c r="C190" s="266"/>
      <c r="D190" s="266"/>
      <c r="E190" s="263"/>
      <c r="F190" s="263"/>
      <c r="G190" s="34"/>
      <c r="H190" s="266">
        <f t="shared" ref="H190:H206" si="23">IF($H$185=1,B190,IF($H$185=2,C190,D190))</f>
        <v>0</v>
      </c>
      <c r="R190" s="15"/>
    </row>
    <row r="191" spans="1:18" outlineLevel="1">
      <c r="A191" s="44" t="s">
        <v>61</v>
      </c>
      <c r="B191" s="266">
        <v>0.27762505635670698</v>
      </c>
      <c r="C191" s="266">
        <v>0.26837513302204202</v>
      </c>
      <c r="D191" s="266">
        <f>C191</f>
        <v>0.26837513302204202</v>
      </c>
      <c r="E191" s="263">
        <v>0.27709120794859576</v>
      </c>
      <c r="F191" s="263">
        <v>0.18453431556591512</v>
      </c>
      <c r="G191" s="34"/>
      <c r="H191" s="266">
        <f>IF($H$185=1,B191,IF($H$185=2,C191,D191))-H188</f>
        <v>0.26837513302204202</v>
      </c>
      <c r="R191" s="15"/>
    </row>
    <row r="192" spans="1:18" outlineLevel="1">
      <c r="A192" s="44" t="s">
        <v>340</v>
      </c>
      <c r="B192" s="266"/>
      <c r="C192" s="266"/>
      <c r="D192" s="266"/>
      <c r="E192" s="263"/>
      <c r="F192" s="263"/>
      <c r="G192" s="34"/>
      <c r="H192" s="266">
        <f t="shared" si="23"/>
        <v>0</v>
      </c>
      <c r="R192" s="15"/>
    </row>
    <row r="193" spans="1:18" outlineLevel="1">
      <c r="A193" s="44" t="s">
        <v>341</v>
      </c>
      <c r="B193" s="266">
        <f>AVERAGE(E193)</f>
        <v>0.13504675223323548</v>
      </c>
      <c r="C193" s="266">
        <f>AVERAGE(E193)</f>
        <v>0.13504675223323548</v>
      </c>
      <c r="D193" s="266">
        <f>C193</f>
        <v>0.13504675223323548</v>
      </c>
      <c r="E193" s="263">
        <v>0.13504675223323548</v>
      </c>
      <c r="F193" s="263">
        <v>0.14949457755855311</v>
      </c>
      <c r="G193" s="34"/>
      <c r="H193" s="266">
        <f t="shared" si="23"/>
        <v>0.13504675223323548</v>
      </c>
      <c r="R193" s="15"/>
    </row>
    <row r="194" spans="1:18" outlineLevel="1">
      <c r="A194" s="44" t="s">
        <v>62</v>
      </c>
      <c r="B194" s="266"/>
      <c r="C194" s="266"/>
      <c r="D194" s="266"/>
      <c r="E194" s="263"/>
      <c r="F194" s="263"/>
      <c r="G194" s="34"/>
      <c r="H194" s="266">
        <f t="shared" si="23"/>
        <v>0</v>
      </c>
      <c r="R194" s="15"/>
    </row>
    <row r="195" spans="1:18" outlineLevel="1">
      <c r="A195" s="44" t="s">
        <v>63</v>
      </c>
      <c r="B195" s="266">
        <f>E195</f>
        <v>0.20953202834667808</v>
      </c>
      <c r="C195" s="266">
        <f>E195</f>
        <v>0.20953202834667808</v>
      </c>
      <c r="D195" s="266">
        <f>C195</f>
        <v>0.20953202834667808</v>
      </c>
      <c r="E195" s="263">
        <v>0.20953202834667808</v>
      </c>
      <c r="F195" s="263">
        <v>0.23853624268910134</v>
      </c>
      <c r="G195" s="34"/>
      <c r="H195" s="266">
        <f t="shared" si="23"/>
        <v>0.20953202834667808</v>
      </c>
      <c r="R195" s="15"/>
    </row>
    <row r="196" spans="1:18" outlineLevel="1">
      <c r="A196" s="44" t="s">
        <v>342</v>
      </c>
      <c r="B196" s="266">
        <f>AVERAGE(E196:F196)</f>
        <v>1.4360498527225094E-2</v>
      </c>
      <c r="C196" s="266">
        <f>E196</f>
        <v>2.3610421861889691E-2</v>
      </c>
      <c r="D196" s="266">
        <f>C196</f>
        <v>2.3610421861889691E-2</v>
      </c>
      <c r="E196" s="263">
        <v>2.3610421861889691E-2</v>
      </c>
      <c r="F196" s="263">
        <v>5.1105751925604988E-3</v>
      </c>
      <c r="G196" s="34"/>
      <c r="H196" s="266">
        <f t="shared" si="23"/>
        <v>2.3610421861889691E-2</v>
      </c>
      <c r="R196" s="15"/>
    </row>
    <row r="197" spans="1:18" outlineLevel="1">
      <c r="A197" s="67" t="s">
        <v>65</v>
      </c>
      <c r="D197"/>
      <c r="E197"/>
      <c r="F197" s="34"/>
      <c r="G197" s="34"/>
      <c r="R197" s="15"/>
    </row>
    <row r="198" spans="1:18" outlineLevel="1">
      <c r="A198" s="44" t="s">
        <v>66</v>
      </c>
      <c r="B198" s="266"/>
      <c r="C198" s="266"/>
      <c r="D198" s="266"/>
      <c r="E198" s="263"/>
      <c r="F198" s="263"/>
      <c r="G198" s="34"/>
      <c r="H198" s="266">
        <f t="shared" si="23"/>
        <v>0</v>
      </c>
      <c r="R198" s="15"/>
    </row>
    <row r="199" spans="1:18" outlineLevel="1">
      <c r="A199" s="44" t="s">
        <v>343</v>
      </c>
      <c r="B199" s="266"/>
      <c r="C199" s="266"/>
      <c r="D199" s="266"/>
      <c r="E199" s="263"/>
      <c r="F199" s="263"/>
      <c r="G199" s="34"/>
      <c r="H199" s="266">
        <f t="shared" si="23"/>
        <v>0</v>
      </c>
      <c r="R199" s="15"/>
    </row>
    <row r="200" spans="1:18" outlineLevel="1">
      <c r="A200" s="44" t="s">
        <v>67</v>
      </c>
      <c r="B200" s="266"/>
      <c r="C200" s="266"/>
      <c r="D200" s="266"/>
      <c r="E200" s="263"/>
      <c r="F200" s="263"/>
      <c r="G200" s="34"/>
      <c r="H200" s="266">
        <f t="shared" si="23"/>
        <v>0</v>
      </c>
      <c r="R200" s="15"/>
    </row>
    <row r="201" spans="1:18" outlineLevel="1">
      <c r="A201" s="44" t="s">
        <v>68</v>
      </c>
      <c r="B201" s="266"/>
      <c r="C201" s="266"/>
      <c r="D201" s="266"/>
      <c r="E201" s="263"/>
      <c r="F201" s="263"/>
      <c r="G201" s="34"/>
      <c r="H201" s="266">
        <f t="shared" si="23"/>
        <v>0</v>
      </c>
      <c r="R201" s="15"/>
    </row>
    <row r="202" spans="1:18" outlineLevel="1">
      <c r="A202" s="44" t="s">
        <v>69</v>
      </c>
      <c r="B202" s="267">
        <f>AVERAGE(E202:F202)</f>
        <v>2.9349677335075014E-3</v>
      </c>
      <c r="C202" s="267">
        <f>F202</f>
        <v>2.9349677335075014E-3</v>
      </c>
      <c r="D202" s="267">
        <f>C202</f>
        <v>2.9349677335075014E-3</v>
      </c>
      <c r="E202" s="263"/>
      <c r="F202" s="264">
        <v>2.9349677335075014E-3</v>
      </c>
      <c r="G202" s="34"/>
      <c r="H202" s="267">
        <f t="shared" si="23"/>
        <v>2.9349677335075014E-3</v>
      </c>
      <c r="R202" s="15"/>
    </row>
    <row r="203" spans="1:18" outlineLevel="1">
      <c r="A203" s="44" t="s">
        <v>70</v>
      </c>
      <c r="B203" s="267"/>
      <c r="C203" s="267"/>
      <c r="D203" s="267"/>
      <c r="E203" s="263"/>
      <c r="F203" s="263"/>
      <c r="G203" s="34"/>
      <c r="H203" s="267">
        <f t="shared" si="23"/>
        <v>0</v>
      </c>
      <c r="R203" s="15"/>
    </row>
    <row r="204" spans="1:18" outlineLevel="1">
      <c r="A204" s="44" t="s">
        <v>71</v>
      </c>
      <c r="B204" s="267">
        <f>AVERAGE(E204:F204)</f>
        <v>5.7811071930461031E-3</v>
      </c>
      <c r="C204" s="267">
        <f>AVERAGE(E204:F204)</f>
        <v>5.7811071930461031E-3</v>
      </c>
      <c r="D204" s="267">
        <f>C204</f>
        <v>5.7811071930461031E-3</v>
      </c>
      <c r="E204" s="263"/>
      <c r="F204" s="263">
        <v>5.7811071930461031E-3</v>
      </c>
      <c r="G204" s="34"/>
      <c r="H204" s="267">
        <f t="shared" si="23"/>
        <v>5.7811071930461031E-3</v>
      </c>
      <c r="R204" s="15"/>
    </row>
    <row r="205" spans="1:18" outlineLevel="1">
      <c r="A205" s="44" t="s">
        <v>72</v>
      </c>
      <c r="B205" s="266"/>
      <c r="C205" s="266"/>
      <c r="D205" s="266"/>
      <c r="E205" s="263"/>
      <c r="F205" s="263"/>
      <c r="G205" s="34"/>
      <c r="H205" s="266">
        <f t="shared" si="23"/>
        <v>0</v>
      </c>
      <c r="R205" s="15"/>
    </row>
    <row r="206" spans="1:18" outlineLevel="1">
      <c r="A206" s="44" t="s">
        <v>73</v>
      </c>
      <c r="B206" s="266"/>
      <c r="C206" s="266"/>
      <c r="D206" s="266"/>
      <c r="E206" s="263"/>
      <c r="F206" s="263"/>
      <c r="G206" s="34"/>
      <c r="H206" s="266">
        <f t="shared" si="23"/>
        <v>0</v>
      </c>
      <c r="R206" s="15"/>
    </row>
    <row r="207" spans="1:18" outlineLevel="1">
      <c r="R207" s="15"/>
    </row>
    <row r="208" spans="1:18" outlineLevel="1" collapsed="1">
      <c r="B208" s="265">
        <f t="shared" ref="B208" si="24">SUM(B186:B206)-100%</f>
        <v>0</v>
      </c>
      <c r="C208" s="265">
        <f>SUM(C186:C206)-100%</f>
        <v>0</v>
      </c>
      <c r="D208" s="265">
        <f>SUM(D186:D206)-100%</f>
        <v>0</v>
      </c>
      <c r="E208" s="265"/>
      <c r="F208" s="265"/>
      <c r="H208" s="265">
        <f>SUM(H186:H206)-100%</f>
        <v>0</v>
      </c>
      <c r="R208" s="15"/>
    </row>
    <row r="209" spans="1:18" outlineLevel="1">
      <c r="B209" t="s">
        <v>461</v>
      </c>
      <c r="C209" s="268"/>
      <c r="R209" s="15"/>
    </row>
    <row r="210" spans="1:18" outlineLevel="1">
      <c r="A210" s="67" t="s">
        <v>65</v>
      </c>
      <c r="C210" t="s">
        <v>466</v>
      </c>
      <c r="D210" t="s">
        <v>467</v>
      </c>
      <c r="R210" s="15"/>
    </row>
    <row r="211" spans="1:18" outlineLevel="1">
      <c r="A211" s="44" t="s">
        <v>343</v>
      </c>
      <c r="B211" s="267">
        <f>AVERAGE(C211:D211)</f>
        <v>0.83345587357599327</v>
      </c>
      <c r="C211" s="263">
        <v>0.85693925062137655</v>
      </c>
      <c r="D211" s="263">
        <v>0.80997249653060999</v>
      </c>
      <c r="R211" s="15"/>
    </row>
    <row r="212" spans="1:18" outlineLevel="1">
      <c r="A212" s="44" t="s">
        <v>69</v>
      </c>
      <c r="B212" s="267">
        <f>AVERAGE(C212:D212)</f>
        <v>5.0871593251616463E-2</v>
      </c>
      <c r="C212" s="263">
        <v>4.5008172569466466E-2</v>
      </c>
      <c r="D212" s="263">
        <v>5.6735013933766461E-2</v>
      </c>
      <c r="R212" s="15"/>
    </row>
    <row r="213" spans="1:18" outlineLevel="1">
      <c r="A213" s="44" t="s">
        <v>71</v>
      </c>
      <c r="B213" s="267">
        <f>AVERAGE(C213:D213)</f>
        <v>0.11567253317239037</v>
      </c>
      <c r="C213" s="263">
        <v>9.8052576809157119E-2</v>
      </c>
      <c r="D213" s="263">
        <v>0.13329248953562362</v>
      </c>
      <c r="R213" s="15"/>
    </row>
    <row r="214" spans="1:18">
      <c r="R214" s="15"/>
    </row>
  </sheetData>
  <mergeCells count="3">
    <mergeCell ref="E127:H127"/>
    <mergeCell ref="E136:H136"/>
    <mergeCell ref="E144:H14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59999389629810485"/>
  </sheetPr>
  <dimension ref="A1:C35"/>
  <sheetViews>
    <sheetView workbookViewId="0">
      <pane ySplit="1" topLeftCell="A2" activePane="bottomLeft" state="frozen"/>
      <selection pane="bottomLeft" activeCell="C8" sqref="C8"/>
    </sheetView>
  </sheetViews>
  <sheetFormatPr defaultRowHeight="15"/>
  <cols>
    <col min="1" max="1" width="17.140625" style="321" customWidth="1"/>
    <col min="2" max="2" width="11.5703125" style="321" customWidth="1"/>
    <col min="3" max="3" width="148.7109375" style="670" customWidth="1"/>
    <col min="4" max="16384" width="9.140625" style="670"/>
  </cols>
  <sheetData>
    <row r="1" spans="1:3" ht="15.75">
      <c r="A1" s="551" t="s">
        <v>1854</v>
      </c>
      <c r="B1" s="551" t="s">
        <v>1855</v>
      </c>
      <c r="C1" s="551" t="s">
        <v>1856</v>
      </c>
    </row>
    <row r="2" spans="1:3">
      <c r="A2" s="671">
        <v>1</v>
      </c>
      <c r="B2" s="672">
        <v>43736</v>
      </c>
      <c r="C2" s="673" t="s">
        <v>969</v>
      </c>
    </row>
    <row r="3" spans="1:3">
      <c r="A3" s="671">
        <v>2</v>
      </c>
      <c r="B3" s="672">
        <v>43851</v>
      </c>
      <c r="C3" s="673" t="s">
        <v>1243</v>
      </c>
    </row>
    <row r="4" spans="1:3">
      <c r="A4" s="671">
        <v>3</v>
      </c>
      <c r="B4" s="672">
        <v>43866</v>
      </c>
      <c r="C4" s="673" t="s">
        <v>1246</v>
      </c>
    </row>
    <row r="5" spans="1:3" ht="30">
      <c r="A5" s="671">
        <v>4</v>
      </c>
      <c r="B5" s="672">
        <v>43921</v>
      </c>
      <c r="C5" s="673" t="s">
        <v>1851</v>
      </c>
    </row>
    <row r="6" spans="1:3" ht="30">
      <c r="A6" s="671">
        <v>5</v>
      </c>
      <c r="B6" s="672">
        <v>44286</v>
      </c>
      <c r="C6" s="673" t="s">
        <v>1857</v>
      </c>
    </row>
    <row r="7" spans="1:3" ht="30">
      <c r="A7" s="671">
        <v>6</v>
      </c>
      <c r="B7" s="672">
        <v>44308</v>
      </c>
      <c r="C7" s="673" t="s">
        <v>1858</v>
      </c>
    </row>
    <row r="8" spans="1:3">
      <c r="A8" s="671"/>
      <c r="B8" s="672"/>
      <c r="C8" s="673"/>
    </row>
    <row r="9" spans="1:3">
      <c r="A9" s="671"/>
      <c r="B9" s="671"/>
      <c r="C9" s="673"/>
    </row>
    <row r="10" spans="1:3">
      <c r="A10" s="671"/>
      <c r="B10" s="671"/>
      <c r="C10" s="673"/>
    </row>
    <row r="11" spans="1:3">
      <c r="A11" s="671"/>
      <c r="B11" s="671"/>
      <c r="C11" s="673"/>
    </row>
    <row r="12" spans="1:3">
      <c r="A12" s="671"/>
      <c r="B12" s="671"/>
      <c r="C12" s="673"/>
    </row>
    <row r="13" spans="1:3">
      <c r="A13" s="671"/>
      <c r="B13" s="671"/>
      <c r="C13" s="673"/>
    </row>
    <row r="14" spans="1:3">
      <c r="A14" s="671"/>
      <c r="B14" s="671"/>
      <c r="C14" s="673"/>
    </row>
    <row r="15" spans="1:3">
      <c r="A15" s="671"/>
      <c r="B15" s="671"/>
      <c r="C15" s="673"/>
    </row>
    <row r="16" spans="1:3">
      <c r="A16" s="671"/>
      <c r="B16" s="671"/>
      <c r="C16" s="673"/>
    </row>
    <row r="17" spans="1:3">
      <c r="A17" s="671"/>
      <c r="B17" s="671"/>
      <c r="C17" s="673"/>
    </row>
    <row r="18" spans="1:3">
      <c r="A18" s="671"/>
      <c r="B18" s="671"/>
      <c r="C18" s="673"/>
    </row>
    <row r="19" spans="1:3">
      <c r="A19" s="671"/>
      <c r="B19" s="671"/>
      <c r="C19" s="673"/>
    </row>
    <row r="20" spans="1:3">
      <c r="A20" s="671"/>
      <c r="B20" s="671"/>
      <c r="C20" s="673"/>
    </row>
    <row r="21" spans="1:3">
      <c r="A21" s="671"/>
      <c r="B21" s="671"/>
      <c r="C21" s="673"/>
    </row>
    <row r="22" spans="1:3">
      <c r="A22" s="671"/>
      <c r="B22" s="671"/>
      <c r="C22" s="673"/>
    </row>
    <row r="23" spans="1:3">
      <c r="A23" s="671"/>
      <c r="B23" s="671"/>
      <c r="C23" s="673"/>
    </row>
    <row r="24" spans="1:3">
      <c r="A24" s="671"/>
      <c r="B24" s="671"/>
      <c r="C24" s="673"/>
    </row>
    <row r="25" spans="1:3">
      <c r="A25" s="671"/>
      <c r="B25" s="671"/>
      <c r="C25" s="673"/>
    </row>
    <row r="26" spans="1:3">
      <c r="A26" s="671"/>
      <c r="B26" s="671"/>
      <c r="C26" s="673"/>
    </row>
    <row r="27" spans="1:3">
      <c r="A27" s="671"/>
      <c r="B27" s="671"/>
      <c r="C27" s="673"/>
    </row>
    <row r="28" spans="1:3">
      <c r="A28" s="671"/>
      <c r="B28" s="671"/>
      <c r="C28" s="673"/>
    </row>
    <row r="29" spans="1:3">
      <c r="A29" s="671"/>
      <c r="B29" s="671"/>
      <c r="C29" s="673"/>
    </row>
    <row r="30" spans="1:3">
      <c r="A30" s="671"/>
      <c r="B30" s="671"/>
      <c r="C30" s="673"/>
    </row>
    <row r="31" spans="1:3">
      <c r="A31" s="671"/>
      <c r="B31" s="671"/>
      <c r="C31" s="673"/>
    </row>
    <row r="32" spans="1:3">
      <c r="A32" s="671"/>
      <c r="B32" s="671"/>
      <c r="C32" s="673"/>
    </row>
    <row r="33" spans="1:3">
      <c r="A33" s="671"/>
      <c r="B33" s="671"/>
      <c r="C33" s="673"/>
    </row>
    <row r="34" spans="1:3">
      <c r="A34" s="671"/>
      <c r="B34" s="671"/>
      <c r="C34" s="673"/>
    </row>
    <row r="35" spans="1:3">
      <c r="A35" s="671"/>
      <c r="B35" s="671"/>
      <c r="C35" s="67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
    <outlinePr summaryBelow="0"/>
    <pageSetUpPr fitToPage="1"/>
  </sheetPr>
  <dimension ref="A1:AM681"/>
  <sheetViews>
    <sheetView tabSelected="1" zoomScale="70" zoomScaleNormal="70" workbookViewId="0">
      <pane ySplit="5" topLeftCell="A6" activePane="bottomLeft" state="frozen"/>
      <selection pane="bottomLeft" activeCell="E10" sqref="E10:F10"/>
    </sheetView>
  </sheetViews>
  <sheetFormatPr defaultRowHeight="15.75" outlineLevelRow="3" outlineLevelCol="1"/>
  <cols>
    <col min="1" max="1" width="5.140625" customWidth="1"/>
    <col min="2" max="2" width="36.42578125" style="7" customWidth="1"/>
    <col min="3" max="3" width="29.85546875" style="7" customWidth="1"/>
    <col min="4" max="4" width="43.140625" style="7" customWidth="1"/>
    <col min="5" max="5" width="112.28515625" style="7" customWidth="1"/>
    <col min="6" max="6" width="26.140625" style="7" customWidth="1"/>
    <col min="7" max="7" width="27.85546875" style="7" customWidth="1"/>
    <col min="8" max="11" width="38.28515625" style="7" customWidth="1"/>
    <col min="12" max="12" width="16.7109375" customWidth="1"/>
    <col min="13" max="13" width="19.140625" customWidth="1"/>
    <col min="14" max="16" width="15.5703125" customWidth="1"/>
    <col min="17" max="17" width="17.5703125" customWidth="1"/>
    <col min="18" max="18" width="14.42578125" customWidth="1"/>
    <col min="19" max="23" width="15.5703125" customWidth="1"/>
    <col min="24" max="26" width="9.140625" customWidth="1"/>
    <col min="27" max="27" width="16" customWidth="1"/>
    <col min="28" max="28" width="15.85546875" customWidth="1" outlineLevel="1"/>
    <col min="29" max="29" width="15.140625" customWidth="1" outlineLevel="1"/>
    <col min="30" max="30" width="14.42578125" customWidth="1" outlineLevel="1"/>
    <col min="31" max="37" width="10.42578125" hidden="1" customWidth="1" outlineLevel="1"/>
    <col min="38" max="38" width="10.42578125" customWidth="1" outlineLevel="1"/>
    <col min="39" max="39" width="5.5703125" customWidth="1" outlineLevel="1"/>
    <col min="40" max="40" width="9.140625" customWidth="1"/>
  </cols>
  <sheetData>
    <row r="1" spans="1:18">
      <c r="K1"/>
    </row>
    <row r="2" spans="1:18" ht="18.75" customHeight="1">
      <c r="B2" s="2"/>
      <c r="C2" s="3" t="s">
        <v>0</v>
      </c>
      <c r="D2" s="53"/>
      <c r="E2" s="407" t="s">
        <v>691</v>
      </c>
      <c r="F2" s="406">
        <v>45000</v>
      </c>
      <c r="G2" s="4"/>
      <c r="H2" s="4"/>
      <c r="I2" s="4"/>
      <c r="J2" s="4"/>
      <c r="K2"/>
    </row>
    <row r="3" spans="1:18" ht="18.75">
      <c r="A3" s="6"/>
      <c r="B3" s="174"/>
      <c r="C3" s="3" t="s">
        <v>1</v>
      </c>
      <c r="D3" s="6"/>
      <c r="E3" s="6"/>
      <c r="F3" s="5"/>
      <c r="G3" s="5"/>
      <c r="H3" s="6"/>
      <c r="I3" s="6"/>
      <c r="J3" s="6"/>
      <c r="K3"/>
    </row>
    <row r="4" spans="1:18" ht="18.75">
      <c r="A4" s="6"/>
      <c r="B4" s="6"/>
      <c r="C4" s="53"/>
      <c r="D4" s="6"/>
      <c r="E4" s="6"/>
      <c r="F4" s="5"/>
      <c r="G4" s="5"/>
      <c r="H4" s="6"/>
      <c r="I4" s="6"/>
      <c r="J4" s="6"/>
      <c r="K4"/>
    </row>
    <row r="5" spans="1:18">
      <c r="A5" s="15"/>
      <c r="D5" s="908" t="s">
        <v>2</v>
      </c>
      <c r="E5" s="909"/>
      <c r="F5" s="232" t="s">
        <v>415</v>
      </c>
      <c r="G5" s="8" t="s">
        <v>438</v>
      </c>
      <c r="H5" s="303" t="s">
        <v>1875</v>
      </c>
      <c r="I5" s="303" t="s">
        <v>1876</v>
      </c>
      <c r="J5" s="303" t="s">
        <v>1877</v>
      </c>
      <c r="K5" s="303" t="s">
        <v>1878</v>
      </c>
      <c r="L5" s="1032"/>
      <c r="M5" s="1032"/>
      <c r="N5" s="1032"/>
      <c r="O5" s="1032"/>
      <c r="P5" s="1032"/>
      <c r="Q5" s="1032"/>
      <c r="R5" s="1032"/>
    </row>
    <row r="6" spans="1:18">
      <c r="A6" s="15"/>
      <c r="D6" s="904" t="s">
        <v>289</v>
      </c>
      <c r="E6" s="905"/>
      <c r="F6" s="906"/>
      <c r="J6"/>
      <c r="K6"/>
      <c r="L6" s="15"/>
      <c r="M6" s="15"/>
      <c r="N6" s="15"/>
      <c r="O6" s="15"/>
      <c r="P6" s="15"/>
      <c r="Q6" s="15"/>
      <c r="R6" s="15"/>
    </row>
    <row r="7" spans="1:18" outlineLevel="1">
      <c r="A7" s="15"/>
      <c r="E7" s="121" t="s">
        <v>694</v>
      </c>
      <c r="F7" s="596">
        <f>3814.6*3.1</f>
        <v>11825.26</v>
      </c>
      <c r="J7"/>
      <c r="K7"/>
      <c r="L7" s="15"/>
      <c r="M7" s="15"/>
      <c r="N7" s="15"/>
      <c r="O7" s="15"/>
      <c r="P7" s="15"/>
      <c r="Q7" s="15"/>
      <c r="R7" s="15"/>
    </row>
    <row r="8" spans="1:18" ht="15.75" hidden="1" customHeight="1" outlineLevel="1">
      <c r="A8" s="15"/>
      <c r="E8" s="895" t="s">
        <v>290</v>
      </c>
      <c r="F8" s="894"/>
      <c r="J8"/>
      <c r="K8"/>
      <c r="L8" s="15"/>
      <c r="M8" s="15"/>
      <c r="N8" s="15"/>
      <c r="O8" s="15"/>
      <c r="P8" s="15"/>
      <c r="Q8" s="15"/>
      <c r="R8" s="15"/>
    </row>
    <row r="9" spans="1:18" ht="15.75" hidden="1" customHeight="1" outlineLevel="1">
      <c r="A9" s="15"/>
      <c r="E9" s="121" t="s">
        <v>529</v>
      </c>
      <c r="F9" s="175"/>
      <c r="J9"/>
      <c r="K9"/>
      <c r="L9" s="15"/>
      <c r="M9" s="15"/>
      <c r="N9" s="15"/>
      <c r="O9" s="15"/>
      <c r="P9" s="15"/>
      <c r="Q9" s="15"/>
      <c r="R9" s="15"/>
    </row>
    <row r="10" spans="1:18" ht="15.75" customHeight="1" outlineLevel="1">
      <c r="A10" s="15"/>
      <c r="E10" s="895" t="s">
        <v>286</v>
      </c>
      <c r="F10" s="894"/>
      <c r="J10"/>
      <c r="K10"/>
      <c r="L10" s="15"/>
      <c r="M10" s="15"/>
      <c r="N10" s="15"/>
      <c r="O10" s="15"/>
      <c r="P10" s="15"/>
      <c r="Q10" s="15"/>
      <c r="R10" s="15"/>
    </row>
    <row r="11" spans="1:18" ht="15.75" customHeight="1" outlineLevel="1">
      <c r="A11" s="15"/>
      <c r="E11" s="121" t="s">
        <v>530</v>
      </c>
      <c r="F11" s="175">
        <v>3814.6</v>
      </c>
      <c r="J11"/>
      <c r="K11"/>
      <c r="L11" s="15"/>
      <c r="M11" s="15"/>
      <c r="N11" s="15"/>
      <c r="O11" s="15"/>
      <c r="P11" s="15"/>
      <c r="Q11" s="15"/>
      <c r="R11" s="15"/>
    </row>
    <row r="12" spans="1:18" ht="15.75" customHeight="1" outlineLevel="1">
      <c r="A12" s="15"/>
      <c r="E12" s="121" t="s">
        <v>531</v>
      </c>
      <c r="F12" s="175"/>
      <c r="J12"/>
      <c r="K12"/>
      <c r="L12" s="15"/>
      <c r="M12" s="15"/>
      <c r="N12" s="15"/>
      <c r="O12" s="15"/>
      <c r="P12" s="15"/>
      <c r="Q12" s="15"/>
      <c r="R12" s="15"/>
    </row>
    <row r="13" spans="1:18" ht="15.75" customHeight="1" outlineLevel="1">
      <c r="A13" s="15"/>
      <c r="E13" s="121" t="s">
        <v>288</v>
      </c>
      <c r="F13" s="175">
        <v>0</v>
      </c>
      <c r="J13"/>
      <c r="K13"/>
      <c r="L13" s="15"/>
      <c r="M13" s="15"/>
      <c r="N13" s="15"/>
      <c r="O13" s="15"/>
      <c r="P13" s="15"/>
      <c r="Q13" s="15"/>
      <c r="R13" s="15"/>
    </row>
    <row r="14" spans="1:18" ht="15.75" hidden="1" customHeight="1" outlineLevel="1">
      <c r="A14" s="15"/>
      <c r="E14" s="895" t="s">
        <v>532</v>
      </c>
      <c r="F14" s="894"/>
      <c r="J14"/>
      <c r="K14"/>
      <c r="L14" s="15"/>
      <c r="M14" s="15"/>
      <c r="N14" s="15"/>
      <c r="O14" s="15"/>
      <c r="P14" s="15"/>
      <c r="Q14" s="15"/>
      <c r="R14" s="15"/>
    </row>
    <row r="15" spans="1:18" ht="15.75" hidden="1" customHeight="1" outlineLevel="1">
      <c r="A15" s="15"/>
      <c r="E15" s="121" t="s">
        <v>533</v>
      </c>
      <c r="F15" s="175"/>
      <c r="J15"/>
      <c r="K15"/>
      <c r="L15" s="15"/>
      <c r="M15" s="15"/>
      <c r="N15" s="15"/>
      <c r="O15" s="15"/>
      <c r="P15" s="15"/>
      <c r="Q15" s="15"/>
      <c r="R15" s="15"/>
    </row>
    <row r="16" spans="1:18" ht="15.75" hidden="1" customHeight="1" outlineLevel="1">
      <c r="A16" s="15"/>
      <c r="E16" s="121" t="s">
        <v>288</v>
      </c>
      <c r="F16" s="175"/>
      <c r="J16"/>
      <c r="K16"/>
      <c r="L16" s="15"/>
      <c r="M16" s="15"/>
      <c r="N16" s="15"/>
      <c r="O16" s="15"/>
      <c r="P16" s="15"/>
      <c r="Q16" s="15"/>
      <c r="R16" s="15"/>
    </row>
    <row r="17" spans="1:18" ht="15.75" hidden="1" customHeight="1" outlineLevel="1">
      <c r="A17" s="15"/>
      <c r="E17" s="121" t="s">
        <v>364</v>
      </c>
      <c r="F17" s="175"/>
      <c r="J17"/>
      <c r="K17"/>
      <c r="L17" s="15"/>
      <c r="M17" s="15"/>
      <c r="N17" s="15"/>
      <c r="O17" s="15"/>
      <c r="P17" s="15"/>
      <c r="Q17" s="15"/>
      <c r="R17" s="15"/>
    </row>
    <row r="18" spans="1:18">
      <c r="A18" s="15"/>
      <c r="D18" s="904" t="s">
        <v>291</v>
      </c>
      <c r="E18" s="905"/>
      <c r="F18" s="906"/>
      <c r="J18"/>
      <c r="K18"/>
      <c r="L18" s="15"/>
      <c r="M18" s="15"/>
      <c r="N18" s="15"/>
      <c r="O18" s="15"/>
      <c r="P18" s="15"/>
      <c r="Q18" s="15"/>
      <c r="R18" s="15"/>
    </row>
    <row r="19" spans="1:18" ht="15.75" customHeight="1" outlineLevel="1">
      <c r="A19" s="15"/>
      <c r="E19" s="895" t="s">
        <v>1874</v>
      </c>
      <c r="F19" s="894"/>
      <c r="G19" s="4"/>
      <c r="H19" s="6"/>
      <c r="I19" s="6"/>
      <c r="J19"/>
      <c r="K19"/>
      <c r="L19" s="15"/>
      <c r="M19" s="15"/>
      <c r="N19" s="15"/>
      <c r="O19" s="15"/>
      <c r="P19" s="15"/>
      <c r="Q19" s="15"/>
      <c r="R19" s="15"/>
    </row>
    <row r="20" spans="1:18" ht="15.75" customHeight="1" outlineLevel="2">
      <c r="A20" s="15"/>
      <c r="E20" s="121" t="s">
        <v>292</v>
      </c>
      <c r="F20" s="176">
        <v>100</v>
      </c>
      <c r="G20" s="4"/>
      <c r="H20" s="6"/>
      <c r="I20" s="6"/>
      <c r="J20"/>
      <c r="K20"/>
      <c r="L20" s="15"/>
      <c r="M20" s="15"/>
      <c r="N20" s="15"/>
      <c r="O20" s="15"/>
      <c r="P20" s="15"/>
      <c r="Q20" s="15"/>
      <c r="R20" s="15"/>
    </row>
    <row r="21" spans="1:18" ht="15.75" customHeight="1" outlineLevel="2">
      <c r="A21" s="15"/>
      <c r="E21" s="121" t="s">
        <v>294</v>
      </c>
      <c r="F21" s="176"/>
      <c r="G21" s="4"/>
      <c r="H21" s="6"/>
      <c r="I21" s="6"/>
      <c r="J21"/>
      <c r="K21"/>
      <c r="L21" s="15"/>
      <c r="M21" s="15"/>
      <c r="N21" s="15"/>
      <c r="O21" s="15"/>
      <c r="P21" s="15"/>
      <c r="Q21" s="15"/>
      <c r="R21" s="15"/>
    </row>
    <row r="22" spans="1:18" ht="15.75" customHeight="1" outlineLevel="2">
      <c r="A22" s="15"/>
      <c r="E22" s="121" t="s">
        <v>214</v>
      </c>
      <c r="F22" s="177">
        <f>Sheet1!C2-Sheet1!C8</f>
        <v>2434.8413284618473</v>
      </c>
      <c r="G22" s="4"/>
      <c r="H22" s="6"/>
      <c r="I22" s="6"/>
      <c r="J22"/>
      <c r="K22"/>
      <c r="L22" s="15"/>
      <c r="M22" s="15"/>
      <c r="N22" s="15"/>
      <c r="O22" s="15"/>
      <c r="P22" s="15"/>
      <c r="Q22" s="15"/>
      <c r="R22" s="15"/>
    </row>
    <row r="23" spans="1:18" ht="18.75" customHeight="1" outlineLevel="2">
      <c r="A23" s="15"/>
      <c r="E23" s="121" t="s">
        <v>295</v>
      </c>
      <c r="F23" s="178" t="s">
        <v>1859</v>
      </c>
      <c r="G23" s="4"/>
      <c r="H23" s="6"/>
      <c r="I23" s="6"/>
      <c r="J23"/>
      <c r="K23"/>
      <c r="L23" s="15"/>
      <c r="M23" s="15"/>
      <c r="N23" s="15"/>
      <c r="O23" s="15"/>
      <c r="P23" s="15"/>
      <c r="Q23" s="15"/>
      <c r="R23" s="15"/>
    </row>
    <row r="24" spans="1:18" ht="18.75" customHeight="1" outlineLevel="2">
      <c r="A24" s="15"/>
      <c r="E24" s="121" t="s">
        <v>296</v>
      </c>
      <c r="F24" s="177">
        <f>Sheet1!E30</f>
        <v>223.64</v>
      </c>
      <c r="G24" s="4"/>
      <c r="H24" s="6"/>
      <c r="I24" s="6"/>
      <c r="J24"/>
      <c r="K24"/>
      <c r="L24" s="15"/>
      <c r="M24" s="15"/>
      <c r="N24" s="15"/>
      <c r="O24" s="15"/>
      <c r="P24" s="15"/>
      <c r="Q24" s="15"/>
      <c r="R24" s="15"/>
    </row>
    <row r="25" spans="1:18" ht="18.75" customHeight="1" outlineLevel="2">
      <c r="A25" s="15"/>
      <c r="D25" s="121" t="s">
        <v>323</v>
      </c>
      <c r="E25" s="914"/>
      <c r="F25" s="914"/>
      <c r="G25" s="4"/>
      <c r="H25" s="6"/>
      <c r="I25" s="6"/>
      <c r="J25"/>
      <c r="K25"/>
      <c r="L25" s="15"/>
      <c r="M25" s="15"/>
      <c r="N25" s="15"/>
      <c r="O25" s="15"/>
      <c r="P25" s="15"/>
      <c r="Q25" s="15"/>
      <c r="R25" s="15"/>
    </row>
    <row r="26" spans="1:18" ht="18.75" customHeight="1" outlineLevel="1">
      <c r="A26" s="15"/>
      <c r="E26" s="895" t="s">
        <v>297</v>
      </c>
      <c r="F26" s="894"/>
      <c r="G26" s="4"/>
      <c r="H26" s="6"/>
      <c r="I26" s="6"/>
      <c r="J26"/>
      <c r="K26"/>
      <c r="L26" s="15"/>
      <c r="M26" s="15"/>
      <c r="N26" s="15"/>
      <c r="O26" s="15"/>
      <c r="P26" s="15"/>
      <c r="Q26" s="15"/>
      <c r="R26" s="15"/>
    </row>
    <row r="27" spans="1:18" ht="18.75" customHeight="1" outlineLevel="2">
      <c r="A27" s="15"/>
      <c r="D27" s="7">
        <v>192</v>
      </c>
      <c r="E27" s="121" t="s">
        <v>292</v>
      </c>
      <c r="F27" s="176">
        <v>200</v>
      </c>
      <c r="G27" s="4"/>
      <c r="H27" s="6"/>
      <c r="I27" s="6"/>
      <c r="J27"/>
      <c r="K27"/>
      <c r="L27" s="15"/>
      <c r="M27" s="15"/>
      <c r="N27" s="15"/>
      <c r="O27" s="15"/>
      <c r="P27" s="15"/>
      <c r="Q27" s="15"/>
      <c r="R27" s="15"/>
    </row>
    <row r="28" spans="1:18" ht="18.75" customHeight="1" outlineLevel="2">
      <c r="A28" s="15"/>
      <c r="E28" s="121" t="s">
        <v>294</v>
      </c>
      <c r="F28" s="176"/>
      <c r="G28" s="4"/>
      <c r="H28" s="6"/>
      <c r="I28" s="6"/>
      <c r="J28"/>
      <c r="K28"/>
      <c r="L28" s="15"/>
      <c r="M28" s="15"/>
      <c r="N28" s="15"/>
      <c r="O28" s="15"/>
      <c r="P28" s="15"/>
      <c r="Q28" s="15"/>
      <c r="R28" s="15"/>
    </row>
    <row r="29" spans="1:18" ht="18.75" customHeight="1" outlineLevel="2">
      <c r="A29" s="15"/>
      <c r="E29" s="121" t="s">
        <v>215</v>
      </c>
      <c r="F29" s="177">
        <f>Sheet1!C3-Sheet1!D9</f>
        <v>9390.9813828975985</v>
      </c>
      <c r="G29" s="4"/>
      <c r="H29" s="6"/>
      <c r="I29" s="6"/>
      <c r="J29"/>
      <c r="K29"/>
      <c r="L29" s="15"/>
      <c r="M29" s="15"/>
      <c r="N29" s="15"/>
      <c r="O29" s="15"/>
      <c r="P29" s="15"/>
      <c r="Q29" s="15"/>
      <c r="R29" s="15"/>
    </row>
    <row r="30" spans="1:18" ht="18.75" customHeight="1" outlineLevel="2">
      <c r="A30" s="15"/>
      <c r="E30" s="121" t="s">
        <v>299</v>
      </c>
      <c r="F30" s="178" t="s">
        <v>1859</v>
      </c>
      <c r="G30" s="4"/>
      <c r="H30" s="6"/>
      <c r="I30" s="6"/>
      <c r="J30"/>
      <c r="K30"/>
      <c r="L30" s="15"/>
      <c r="M30" s="15"/>
      <c r="N30" s="15"/>
      <c r="O30" s="15"/>
      <c r="P30" s="15"/>
      <c r="Q30" s="15"/>
      <c r="R30" s="15"/>
    </row>
    <row r="31" spans="1:18" ht="18.75" customHeight="1" outlineLevel="2">
      <c r="A31" s="15"/>
      <c r="E31" s="121" t="s">
        <v>298</v>
      </c>
      <c r="F31" s="177">
        <f>Sheet1!C34</f>
        <v>521.80999999999995</v>
      </c>
      <c r="G31" s="4"/>
      <c r="H31" s="6"/>
      <c r="I31" s="6"/>
      <c r="J31"/>
      <c r="K31"/>
      <c r="L31" s="15"/>
      <c r="M31" s="15"/>
      <c r="N31" s="15"/>
      <c r="O31" s="15"/>
      <c r="P31" s="15"/>
      <c r="Q31" s="15"/>
      <c r="R31" s="15"/>
    </row>
    <row r="32" spans="1:18" ht="18.75" hidden="1" customHeight="1" outlineLevel="2">
      <c r="A32" s="15"/>
      <c r="D32" s="121" t="s">
        <v>323</v>
      </c>
      <c r="E32" s="914"/>
      <c r="F32" s="914"/>
      <c r="G32" s="4"/>
      <c r="H32" s="6"/>
      <c r="I32" s="6"/>
      <c r="J32"/>
      <c r="K32"/>
      <c r="L32" s="15"/>
      <c r="M32" s="15"/>
      <c r="N32" s="15"/>
      <c r="O32" s="15"/>
      <c r="P32" s="15"/>
      <c r="Q32" s="15"/>
      <c r="R32" s="15"/>
    </row>
    <row r="33" spans="1:18" ht="18.75" hidden="1" customHeight="1" outlineLevel="1">
      <c r="A33" s="15"/>
      <c r="E33" s="895" t="s">
        <v>300</v>
      </c>
      <c r="F33" s="894"/>
      <c r="G33" s="4"/>
      <c r="H33" s="6"/>
      <c r="I33" s="6"/>
      <c r="J33"/>
      <c r="K33"/>
      <c r="L33" s="15"/>
      <c r="M33" s="15"/>
      <c r="N33" s="15"/>
      <c r="O33" s="15"/>
      <c r="P33" s="15"/>
      <c r="Q33" s="15"/>
      <c r="R33" s="15"/>
    </row>
    <row r="34" spans="1:18" ht="18.75" hidden="1" customHeight="1" outlineLevel="2">
      <c r="A34" s="15"/>
      <c r="E34" s="121" t="s">
        <v>302</v>
      </c>
      <c r="F34" s="176"/>
      <c r="G34" s="4"/>
      <c r="H34" s="6"/>
      <c r="I34" s="6"/>
      <c r="J34"/>
      <c r="K34"/>
      <c r="L34" s="15"/>
      <c r="M34" s="15"/>
      <c r="N34" s="15"/>
      <c r="O34" s="15"/>
      <c r="P34" s="15"/>
      <c r="Q34" s="15"/>
      <c r="R34" s="15"/>
    </row>
    <row r="35" spans="1:18" ht="18.75" hidden="1" customHeight="1" outlineLevel="2">
      <c r="A35" s="15"/>
      <c r="E35" s="121" t="s">
        <v>200</v>
      </c>
      <c r="F35" s="177"/>
      <c r="G35" s="4"/>
      <c r="H35" s="6"/>
      <c r="I35" s="6"/>
      <c r="J35"/>
      <c r="K35"/>
      <c r="L35" s="15"/>
      <c r="M35" s="15"/>
      <c r="N35" s="15"/>
      <c r="O35" s="15"/>
      <c r="P35" s="15"/>
      <c r="Q35" s="15"/>
      <c r="R35" s="15"/>
    </row>
    <row r="36" spans="1:18" ht="18.75" hidden="1" customHeight="1" outlineLevel="2">
      <c r="A36" s="15"/>
      <c r="E36" s="121" t="s">
        <v>187</v>
      </c>
      <c r="F36" s="178"/>
      <c r="G36" s="4"/>
      <c r="H36" s="6"/>
      <c r="I36" s="6"/>
      <c r="J36"/>
      <c r="K36"/>
      <c r="L36" s="15"/>
      <c r="M36" s="15"/>
      <c r="N36" s="15"/>
      <c r="O36" s="15"/>
      <c r="P36" s="15"/>
      <c r="Q36" s="15"/>
      <c r="R36" s="15"/>
    </row>
    <row r="37" spans="1:18" ht="18.75" hidden="1" customHeight="1" outlineLevel="2">
      <c r="A37" s="15"/>
      <c r="E37" s="121" t="s">
        <v>301</v>
      </c>
      <c r="F37" s="177"/>
      <c r="G37" s="4"/>
      <c r="H37" s="6"/>
      <c r="I37" s="6"/>
      <c r="J37"/>
      <c r="K37"/>
      <c r="L37" s="15"/>
      <c r="M37" s="15"/>
      <c r="N37" s="15"/>
      <c r="O37" s="15"/>
      <c r="P37" s="15"/>
      <c r="Q37" s="15"/>
      <c r="R37" s="15"/>
    </row>
    <row r="38" spans="1:18" ht="18.75" hidden="1" customHeight="1" outlineLevel="2">
      <c r="A38" s="15"/>
      <c r="D38" s="121" t="s">
        <v>323</v>
      </c>
      <c r="E38" s="914"/>
      <c r="F38" s="914"/>
      <c r="G38" s="4"/>
      <c r="H38" s="6"/>
      <c r="I38" s="6"/>
      <c r="J38"/>
      <c r="K38"/>
      <c r="L38" s="15"/>
      <c r="M38" s="15"/>
      <c r="N38" s="15"/>
      <c r="O38" s="15"/>
      <c r="P38" s="15"/>
      <c r="Q38" s="15"/>
      <c r="R38" s="15"/>
    </row>
    <row r="39" spans="1:18" ht="18.75" hidden="1" customHeight="1" outlineLevel="1">
      <c r="A39" s="15"/>
      <c r="E39" s="895" t="s">
        <v>208</v>
      </c>
      <c r="F39" s="894"/>
      <c r="G39" s="4"/>
      <c r="H39" s="6"/>
      <c r="I39" s="6"/>
      <c r="J39"/>
      <c r="K39"/>
      <c r="L39" s="15"/>
      <c r="M39" s="15"/>
      <c r="N39" s="15"/>
      <c r="O39" s="15"/>
      <c r="P39" s="15"/>
      <c r="Q39" s="15"/>
      <c r="R39" s="15"/>
    </row>
    <row r="40" spans="1:18" ht="18.75" hidden="1" customHeight="1" outlineLevel="2">
      <c r="A40" s="15"/>
      <c r="E40" s="121" t="s">
        <v>303</v>
      </c>
      <c r="F40" s="176"/>
      <c r="G40" s="4"/>
      <c r="H40" s="6"/>
      <c r="I40" s="6"/>
      <c r="J40"/>
      <c r="K40"/>
      <c r="L40" s="15"/>
      <c r="M40" s="15"/>
      <c r="N40" s="15"/>
      <c r="O40" s="15"/>
      <c r="P40" s="15"/>
      <c r="Q40" s="15"/>
      <c r="R40" s="15"/>
    </row>
    <row r="41" spans="1:18" ht="18.75" customHeight="1">
      <c r="A41" s="15"/>
      <c r="D41" s="904" t="s">
        <v>319</v>
      </c>
      <c r="E41" s="905"/>
      <c r="F41" s="906"/>
      <c r="G41" s="4"/>
      <c r="H41" s="6"/>
      <c r="I41" s="6"/>
      <c r="J41"/>
      <c r="K41"/>
      <c r="L41" s="15"/>
      <c r="M41" s="15"/>
      <c r="N41" s="15"/>
      <c r="O41" s="15"/>
      <c r="P41" s="15"/>
      <c r="Q41" s="15"/>
      <c r="R41" s="15"/>
    </row>
    <row r="42" spans="1:18" ht="15.75" customHeight="1" outlineLevel="1">
      <c r="A42" s="15"/>
      <c r="E42" s="895" t="s">
        <v>310</v>
      </c>
      <c r="F42" s="894"/>
      <c r="G42" s="4"/>
      <c r="H42" s="6"/>
      <c r="I42" s="6"/>
      <c r="J42"/>
      <c r="K42"/>
      <c r="L42" s="15"/>
      <c r="M42" s="15"/>
      <c r="N42" s="15"/>
      <c r="O42" s="15"/>
      <c r="P42" s="15"/>
      <c r="Q42" s="15"/>
      <c r="R42" s="15"/>
    </row>
    <row r="43" spans="1:18" ht="18.75" customHeight="1" outlineLevel="2">
      <c r="A43" s="15"/>
      <c r="E43" s="121" t="s">
        <v>311</v>
      </c>
      <c r="F43" s="175">
        <v>0</v>
      </c>
      <c r="G43" s="11"/>
      <c r="H43" s="6"/>
      <c r="I43" s="6"/>
      <c r="K43" s="10"/>
      <c r="L43" s="15"/>
      <c r="M43" s="15"/>
      <c r="N43" s="15"/>
      <c r="O43" s="15"/>
      <c r="P43" s="15"/>
      <c r="Q43" s="15"/>
      <c r="R43" s="15"/>
    </row>
    <row r="44" spans="1:18" ht="15.75" customHeight="1" outlineLevel="1">
      <c r="A44" s="15"/>
      <c r="E44" s="893" t="s">
        <v>769</v>
      </c>
      <c r="F44" s="894"/>
      <c r="G44" s="4"/>
      <c r="H44" s="6"/>
      <c r="I44" s="6"/>
      <c r="J44"/>
      <c r="K44"/>
      <c r="L44" s="15"/>
      <c r="M44" s="15"/>
      <c r="N44" s="15"/>
      <c r="O44" s="15"/>
      <c r="P44" s="15"/>
      <c r="Q44" s="15"/>
      <c r="R44" s="15"/>
    </row>
    <row r="45" spans="1:18" ht="18.75" customHeight="1" outlineLevel="2">
      <c r="A45" s="15"/>
      <c r="E45" s="121" t="s">
        <v>387</v>
      </c>
      <c r="F45" s="175"/>
      <c r="G45" s="11"/>
      <c r="H45" s="6"/>
      <c r="I45" s="6"/>
      <c r="K45" s="10"/>
      <c r="L45" s="15"/>
      <c r="M45" s="15"/>
      <c r="N45" s="15"/>
      <c r="O45" s="15"/>
      <c r="P45" s="15"/>
      <c r="Q45" s="15"/>
      <c r="R45" s="15"/>
    </row>
    <row r="46" spans="1:18" ht="18.75" customHeight="1" outlineLevel="2">
      <c r="A46" s="15"/>
      <c r="B46" s="250"/>
      <c r="C46" s="250"/>
      <c r="D46" s="250"/>
      <c r="E46" s="346" t="s">
        <v>738</v>
      </c>
      <c r="F46" s="195" t="s">
        <v>1859</v>
      </c>
      <c r="G46" s="11"/>
      <c r="H46" s="6"/>
      <c r="I46" s="6"/>
      <c r="J46" s="250"/>
      <c r="K46" s="10"/>
      <c r="L46" s="15"/>
      <c r="M46" s="15"/>
      <c r="N46" s="15"/>
      <c r="O46" s="15"/>
      <c r="P46" s="15"/>
      <c r="Q46" s="15"/>
      <c r="R46" s="15"/>
    </row>
    <row r="47" spans="1:18" ht="15.75" customHeight="1" outlineLevel="1">
      <c r="A47" s="15"/>
      <c r="B47" s="250"/>
      <c r="C47" s="250"/>
      <c r="D47" s="250"/>
      <c r="E47" s="893" t="s">
        <v>764</v>
      </c>
      <c r="F47" s="894"/>
      <c r="G47" s="4"/>
      <c r="H47" s="6"/>
      <c r="I47" s="6"/>
      <c r="J47"/>
      <c r="K47"/>
      <c r="L47" s="15"/>
      <c r="M47" s="15"/>
      <c r="N47" s="15"/>
      <c r="O47" s="15"/>
      <c r="P47" s="15"/>
      <c r="Q47" s="15"/>
      <c r="R47" s="15"/>
    </row>
    <row r="48" spans="1:18" ht="18.75" customHeight="1" outlineLevel="2">
      <c r="A48" s="15"/>
      <c r="B48" s="250"/>
      <c r="C48" s="250"/>
      <c r="D48" s="250"/>
      <c r="E48" s="346" t="s">
        <v>763</v>
      </c>
      <c r="F48" s="175"/>
      <c r="G48" s="11"/>
      <c r="H48" s="6"/>
      <c r="I48" s="6"/>
      <c r="J48" s="250"/>
      <c r="K48" s="10"/>
      <c r="L48" s="15"/>
      <c r="M48" s="15"/>
      <c r="N48" s="15"/>
      <c r="O48" s="15"/>
      <c r="P48" s="15"/>
      <c r="Q48" s="15"/>
      <c r="R48" s="15"/>
    </row>
    <row r="49" spans="1:21" ht="15.75" customHeight="1" outlineLevel="1">
      <c r="A49" s="15"/>
      <c r="E49" s="895" t="s">
        <v>270</v>
      </c>
      <c r="F49" s="894"/>
      <c r="G49" s="4"/>
      <c r="H49" s="6"/>
      <c r="I49" s="6"/>
      <c r="J49"/>
      <c r="K49"/>
      <c r="L49" s="15"/>
      <c r="M49" s="15"/>
      <c r="N49" s="15"/>
      <c r="O49" s="15"/>
      <c r="P49" s="15"/>
      <c r="Q49" s="15"/>
      <c r="R49" s="15"/>
    </row>
    <row r="50" spans="1:21" ht="18.75" customHeight="1" outlineLevel="2">
      <c r="A50" s="15"/>
      <c r="E50" s="121" t="s">
        <v>287</v>
      </c>
      <c r="F50" s="175">
        <v>250</v>
      </c>
      <c r="G50" s="11" t="s">
        <v>1860</v>
      </c>
      <c r="H50" s="6"/>
      <c r="I50" s="6"/>
      <c r="K50" s="10"/>
      <c r="L50" s="15"/>
      <c r="M50" s="15"/>
      <c r="N50" s="15"/>
      <c r="O50" s="15"/>
      <c r="P50" s="15"/>
      <c r="Q50" s="15"/>
      <c r="R50" s="15"/>
    </row>
    <row r="51" spans="1:21" ht="18.75" customHeight="1" outlineLevel="2">
      <c r="A51" s="15"/>
      <c r="E51" s="121" t="s">
        <v>312</v>
      </c>
      <c r="F51" s="179" t="s">
        <v>271</v>
      </c>
      <c r="G51" s="134"/>
      <c r="H51" s="6"/>
      <c r="I51" s="6"/>
      <c r="K51" s="10"/>
      <c r="L51" s="15"/>
      <c r="M51" s="15"/>
      <c r="N51" s="15"/>
      <c r="O51" s="15"/>
      <c r="P51" s="15"/>
      <c r="Q51" s="15"/>
      <c r="R51" s="15"/>
    </row>
    <row r="52" spans="1:21" ht="18.75" customHeight="1" outlineLevel="2">
      <c r="A52" s="15"/>
      <c r="B52" s="250"/>
      <c r="C52" s="250"/>
      <c r="D52" s="250"/>
      <c r="E52" s="346" t="s">
        <v>1237</v>
      </c>
      <c r="F52" s="175">
        <v>1</v>
      </c>
      <c r="G52" s="134"/>
      <c r="H52" s="6"/>
      <c r="I52" s="6"/>
      <c r="J52" s="250"/>
      <c r="K52" s="10"/>
      <c r="L52" s="15"/>
      <c r="M52" s="15"/>
      <c r="N52" s="15"/>
      <c r="O52" s="15"/>
      <c r="P52" s="15"/>
      <c r="Q52" s="15"/>
      <c r="R52" s="15"/>
    </row>
    <row r="53" spans="1:21" ht="18.75" customHeight="1" outlineLevel="2">
      <c r="A53" s="15"/>
      <c r="B53" s="250"/>
      <c r="C53" s="250"/>
      <c r="D53" s="250"/>
      <c r="E53" s="346" t="s">
        <v>1238</v>
      </c>
      <c r="F53" s="175">
        <v>100</v>
      </c>
      <c r="G53" s="134"/>
      <c r="H53" s="6"/>
      <c r="I53" s="6"/>
      <c r="J53" s="250"/>
      <c r="K53" s="10"/>
      <c r="L53" s="15"/>
      <c r="M53" s="15"/>
      <c r="N53" s="15"/>
      <c r="O53" s="15"/>
      <c r="P53" s="15"/>
      <c r="Q53" s="15"/>
      <c r="R53" s="15"/>
    </row>
    <row r="54" spans="1:21" ht="18.75" customHeight="1">
      <c r="A54" s="15"/>
      <c r="D54" s="904" t="s">
        <v>318</v>
      </c>
      <c r="E54" s="905"/>
      <c r="F54" s="906"/>
      <c r="G54" s="4"/>
      <c r="H54" s="6"/>
      <c r="I54" s="6"/>
      <c r="J54"/>
      <c r="K54"/>
      <c r="L54" s="15"/>
      <c r="M54" s="15"/>
      <c r="N54" s="15"/>
      <c r="O54" s="15"/>
      <c r="P54" s="15"/>
      <c r="Q54" s="15"/>
      <c r="R54" s="15"/>
    </row>
    <row r="55" spans="1:21" ht="21.75" customHeight="1" outlineLevel="1">
      <c r="A55" s="15"/>
      <c r="E55" s="907" t="s">
        <v>366</v>
      </c>
      <c r="F55" s="894"/>
      <c r="G55" s="4"/>
      <c r="H55" s="4"/>
      <c r="I55" s="4">
        <f>2797.5-123.75*6</f>
        <v>2055</v>
      </c>
      <c r="J55" s="4">
        <v>962.5</v>
      </c>
      <c r="K55" s="4">
        <f>123.75*6+111.4*3</f>
        <v>1076.7</v>
      </c>
      <c r="L55" s="1033"/>
      <c r="M55" s="1033"/>
      <c r="N55" s="1033"/>
      <c r="O55" s="1033"/>
      <c r="P55" s="1033"/>
      <c r="Q55" s="1033"/>
      <c r="R55" s="1033"/>
      <c r="S55" s="4"/>
      <c r="T55" s="4"/>
    </row>
    <row r="56" spans="1:21" ht="18" customHeight="1" outlineLevel="2">
      <c r="A56" s="15"/>
      <c r="E56" s="257" t="s">
        <v>398</v>
      </c>
      <c r="G56" s="4"/>
      <c r="H56" s="177">
        <f>1814.7-111.4*3</f>
        <v>1480.5</v>
      </c>
      <c r="I56" s="600">
        <f>I55/2</f>
        <v>1027.5</v>
      </c>
      <c r="J56" s="600">
        <f>I55/2+J55</f>
        <v>1990</v>
      </c>
      <c r="K56" s="600">
        <f>K55</f>
        <v>1076.7</v>
      </c>
      <c r="L56" s="9"/>
      <c r="M56" s="9"/>
      <c r="N56" s="9"/>
      <c r="O56" s="9"/>
      <c r="P56" s="9"/>
      <c r="Q56" s="9"/>
      <c r="R56" s="9"/>
    </row>
    <row r="57" spans="1:21" ht="18" customHeight="1" outlineLevel="2">
      <c r="A57" s="15"/>
      <c r="E57" s="257" t="s">
        <v>326</v>
      </c>
      <c r="F57" s="594"/>
      <c r="G57" s="177">
        <v>3</v>
      </c>
      <c r="H57" s="143" t="s">
        <v>358</v>
      </c>
      <c r="I57"/>
      <c r="J57"/>
      <c r="K57"/>
      <c r="L57" s="15"/>
      <c r="M57" s="15"/>
      <c r="N57" s="15"/>
      <c r="O57" s="15"/>
      <c r="P57" s="15"/>
      <c r="Q57" s="15"/>
      <c r="R57" s="15"/>
    </row>
    <row r="58" spans="1:21" ht="18" customHeight="1" outlineLevel="2">
      <c r="A58" s="15"/>
      <c r="E58" s="257" t="s">
        <v>356</v>
      </c>
      <c r="F58" s="592"/>
      <c r="G58" s="177">
        <v>43043</v>
      </c>
      <c r="H58"/>
      <c r="I58"/>
      <c r="J58"/>
      <c r="K58"/>
      <c r="L58" s="15"/>
      <c r="M58" s="15"/>
      <c r="N58" s="15"/>
      <c r="O58" s="15"/>
      <c r="P58" s="15"/>
      <c r="Q58" s="15"/>
      <c r="R58" s="15"/>
    </row>
    <row r="59" spans="1:21" ht="18" customHeight="1" outlineLevel="2">
      <c r="A59" s="15"/>
      <c r="B59" s="250"/>
      <c r="C59" s="250"/>
      <c r="D59" s="250"/>
      <c r="E59" s="351" t="s">
        <v>740</v>
      </c>
      <c r="F59" s="594"/>
      <c r="G59" s="541" t="s">
        <v>948</v>
      </c>
      <c r="H59"/>
      <c r="I59"/>
      <c r="J59"/>
      <c r="K59"/>
      <c r="L59" s="15"/>
      <c r="M59" s="15"/>
      <c r="N59" s="15"/>
      <c r="O59" s="15"/>
      <c r="P59" s="15"/>
      <c r="Q59" s="15"/>
      <c r="R59" s="15"/>
    </row>
    <row r="60" spans="1:21" ht="18" customHeight="1" outlineLevel="2">
      <c r="A60" s="15"/>
      <c r="B60" s="250"/>
      <c r="C60" s="250"/>
      <c r="D60" s="250"/>
      <c r="E60" s="542" t="s">
        <v>966</v>
      </c>
      <c r="F60" s="594"/>
      <c r="G60" s="681">
        <v>610.6</v>
      </c>
      <c r="H60"/>
      <c r="I60"/>
      <c r="J60"/>
      <c r="K60"/>
      <c r="L60" s="15"/>
      <c r="M60" s="15"/>
      <c r="N60" s="15"/>
      <c r="O60" s="15"/>
      <c r="P60" s="15"/>
      <c r="Q60" s="15"/>
      <c r="R60" s="15"/>
    </row>
    <row r="61" spans="1:21" ht="18" customHeight="1" outlineLevel="2">
      <c r="A61" s="15"/>
      <c r="B61" s="250"/>
      <c r="C61" s="250"/>
      <c r="D61" s="250"/>
      <c r="E61" s="542" t="s">
        <v>967</v>
      </c>
      <c r="F61" s="594"/>
      <c r="G61" s="222">
        <f>11.05+1</f>
        <v>12.05</v>
      </c>
      <c r="H61"/>
      <c r="I61"/>
      <c r="J61"/>
      <c r="K61"/>
      <c r="L61" s="15"/>
      <c r="M61" s="15"/>
      <c r="N61" s="15"/>
      <c r="O61" s="15"/>
      <c r="P61" s="15"/>
      <c r="Q61" s="15"/>
      <c r="R61" s="15"/>
    </row>
    <row r="62" spans="1:21" ht="18" customHeight="1" outlineLevel="2">
      <c r="A62" s="15"/>
      <c r="B62" s="250"/>
      <c r="C62" s="250"/>
      <c r="D62" s="250"/>
      <c r="E62" s="542" t="s">
        <v>949</v>
      </c>
      <c r="F62" s="594"/>
      <c r="G62" s="680" t="s">
        <v>1861</v>
      </c>
      <c r="H62"/>
      <c r="I62"/>
      <c r="J62"/>
      <c r="K62"/>
      <c r="L62" s="15"/>
      <c r="M62" s="15"/>
      <c r="N62" s="15"/>
      <c r="O62" s="15"/>
      <c r="P62" s="15"/>
      <c r="Q62" s="15"/>
      <c r="R62" s="15"/>
    </row>
    <row r="63" spans="1:21" ht="23.25" customHeight="1" outlineLevel="1">
      <c r="A63" s="15"/>
      <c r="E63" s="895" t="s">
        <v>367</v>
      </c>
      <c r="F63" s="894"/>
      <c r="G63" s="4"/>
      <c r="H63" s="4"/>
      <c r="I63" s="4"/>
      <c r="J63" s="4"/>
      <c r="K63" s="4"/>
      <c r="L63" s="1033"/>
      <c r="M63" s="1033"/>
      <c r="N63" s="1033"/>
      <c r="O63" s="1033"/>
      <c r="P63" s="1033"/>
      <c r="Q63" s="1033"/>
      <c r="R63" s="1033"/>
      <c r="S63" s="4"/>
      <c r="T63" s="4"/>
      <c r="U63" s="4"/>
    </row>
    <row r="64" spans="1:21" ht="18" customHeight="1" outlineLevel="2">
      <c r="A64" s="15"/>
      <c r="E64" s="257" t="s">
        <v>325</v>
      </c>
      <c r="G64" s="4"/>
      <c r="H64" s="682">
        <v>75</v>
      </c>
      <c r="I64" s="682">
        <v>75</v>
      </c>
      <c r="J64" s="682">
        <v>75</v>
      </c>
      <c r="K64" s="682">
        <v>12.700000000000001</v>
      </c>
      <c r="L64" s="9"/>
      <c r="M64" s="9"/>
      <c r="N64" s="9"/>
      <c r="O64" s="9"/>
      <c r="P64" s="9"/>
      <c r="Q64" s="9"/>
      <c r="R64" s="9"/>
      <c r="S64" s="4"/>
    </row>
    <row r="65" spans="1:24" ht="15.75" customHeight="1" outlineLevel="2" collapsed="1">
      <c r="A65" s="15"/>
      <c r="E65" s="257" t="s">
        <v>384</v>
      </c>
      <c r="G65" s="4"/>
      <c r="H65" s="682">
        <v>21</v>
      </c>
      <c r="I65" s="682">
        <v>21</v>
      </c>
      <c r="J65" s="682">
        <v>21</v>
      </c>
      <c r="K65" s="682">
        <v>3</v>
      </c>
      <c r="L65" s="9"/>
      <c r="M65" s="9"/>
      <c r="N65" s="9"/>
      <c r="O65" s="9"/>
      <c r="P65" s="9"/>
      <c r="Q65" s="9"/>
      <c r="R65" s="9"/>
      <c r="S65" s="4"/>
    </row>
    <row r="66" spans="1:24" ht="15.75" customHeight="1" outlineLevel="2">
      <c r="A66" s="15"/>
      <c r="E66" s="257" t="s">
        <v>446</v>
      </c>
      <c r="G66" s="4"/>
      <c r="H66" s="682">
        <v>1843.9347826086955</v>
      </c>
      <c r="I66" s="682">
        <v>1335.3840579710145</v>
      </c>
      <c r="J66" s="682">
        <v>2164.9347826086955</v>
      </c>
      <c r="K66" s="682">
        <v>1076.7</v>
      </c>
      <c r="L66" s="9"/>
      <c r="M66" s="9"/>
      <c r="N66" s="9"/>
      <c r="O66" s="9"/>
      <c r="P66" s="9"/>
      <c r="Q66" s="9"/>
      <c r="R66" s="9"/>
      <c r="S66" s="4"/>
    </row>
    <row r="67" spans="1:24" ht="15.75" customHeight="1" outlineLevel="2">
      <c r="A67" s="15"/>
      <c r="E67" s="257" t="s">
        <v>447</v>
      </c>
      <c r="G67" s="4"/>
      <c r="H67" s="682" t="s">
        <v>692</v>
      </c>
      <c r="I67" s="682" t="s">
        <v>692</v>
      </c>
      <c r="J67" s="682" t="s">
        <v>692</v>
      </c>
      <c r="K67" s="682" t="s">
        <v>692</v>
      </c>
      <c r="L67" s="9"/>
      <c r="M67" s="9"/>
      <c r="N67" s="9"/>
      <c r="O67" s="9"/>
      <c r="P67" s="9"/>
      <c r="Q67" s="9"/>
      <c r="R67" s="9"/>
      <c r="S67" s="4"/>
    </row>
    <row r="68" spans="1:24" ht="18.75" outlineLevel="2">
      <c r="A68" s="15"/>
      <c r="E68" s="121" t="s">
        <v>324</v>
      </c>
      <c r="F68" s="9">
        <f>F69+F70</f>
        <v>161012.9236231884</v>
      </c>
      <c r="G68" s="4"/>
      <c r="H68" s="683">
        <f>H69+H70</f>
        <v>41744.834782608697</v>
      </c>
      <c r="I68" s="683">
        <f t="shared" ref="I68:K68" si="0">I69+I70</f>
        <v>29343.354057971006</v>
      </c>
      <c r="J68" s="683">
        <f t="shared" si="0"/>
        <v>42574.934782608696</v>
      </c>
      <c r="K68" s="683">
        <f t="shared" si="0"/>
        <v>4306.8</v>
      </c>
      <c r="L68" s="1033"/>
      <c r="M68" s="1033"/>
      <c r="N68" s="1033"/>
      <c r="O68" s="1033"/>
      <c r="P68" s="1033"/>
      <c r="Q68" s="1033"/>
      <c r="R68" s="1033"/>
      <c r="S68" s="4"/>
      <c r="T68" s="4"/>
      <c r="U68" s="4"/>
      <c r="V68" s="4"/>
    </row>
    <row r="69" spans="1:24" ht="15.75" customHeight="1" outlineLevel="2">
      <c r="A69" s="15"/>
      <c r="E69" s="128" t="s">
        <v>3</v>
      </c>
      <c r="F69" s="9">
        <f>SUM(H69:R69)</f>
        <v>112395.22362318842</v>
      </c>
      <c r="G69" s="295"/>
      <c r="H69" s="682">
        <v>40264.334782608697</v>
      </c>
      <c r="I69" s="682">
        <v>28315.854057971006</v>
      </c>
      <c r="J69" s="682">
        <v>40584.934782608696</v>
      </c>
      <c r="K69" s="682">
        <v>3230.1000000000004</v>
      </c>
      <c r="L69" s="9"/>
      <c r="M69" s="9"/>
      <c r="N69" s="9"/>
      <c r="O69" s="9"/>
      <c r="P69" s="9"/>
      <c r="Q69" s="9"/>
      <c r="R69" s="9"/>
      <c r="S69" s="4"/>
    </row>
    <row r="70" spans="1:24" ht="18.75" customHeight="1" outlineLevel="2">
      <c r="A70" s="15"/>
      <c r="E70" s="128" t="s">
        <v>4</v>
      </c>
      <c r="F70" s="9">
        <f>SUM(H56:R56)+G58</f>
        <v>48617.7</v>
      </c>
      <c r="G70" s="4"/>
      <c r="H70" s="683">
        <f>H56</f>
        <v>1480.5</v>
      </c>
      <c r="I70" s="683">
        <f t="shared" ref="I70:K70" si="1">I56</f>
        <v>1027.5</v>
      </c>
      <c r="J70" s="683">
        <f t="shared" si="1"/>
        <v>1990</v>
      </c>
      <c r="K70" s="683">
        <f t="shared" si="1"/>
        <v>1076.7</v>
      </c>
      <c r="L70" s="1033"/>
      <c r="M70" s="1033"/>
      <c r="N70" s="1033"/>
      <c r="O70" s="1033"/>
      <c r="P70" s="1033"/>
      <c r="Q70" s="1033"/>
      <c r="R70" s="1033"/>
      <c r="S70" s="4"/>
      <c r="T70" s="4"/>
      <c r="U70" s="4"/>
      <c r="V70" s="4"/>
      <c r="W70" s="4"/>
      <c r="X70" s="4"/>
    </row>
    <row r="71" spans="1:24" ht="15.75" customHeight="1" outlineLevel="2">
      <c r="A71" s="15"/>
      <c r="E71" s="121" t="s">
        <v>510</v>
      </c>
      <c r="F71" s="9">
        <f>SUM(H71:R71)</f>
        <v>0</v>
      </c>
      <c r="G71" s="4"/>
      <c r="H71" s="600">
        <v>0</v>
      </c>
      <c r="I71" s="181">
        <v>0</v>
      </c>
      <c r="J71" s="181">
        <v>0</v>
      </c>
      <c r="K71" s="181">
        <v>0</v>
      </c>
      <c r="L71" s="9"/>
      <c r="M71" s="9"/>
      <c r="N71" s="9"/>
      <c r="O71" s="9"/>
      <c r="P71" s="9"/>
      <c r="Q71" s="9"/>
      <c r="R71" s="9"/>
      <c r="S71" s="4"/>
    </row>
    <row r="72" spans="1:24" ht="15.75" customHeight="1" outlineLevel="1">
      <c r="A72" s="15"/>
      <c r="B72" s="250"/>
      <c r="C72" s="250"/>
      <c r="D72" s="250"/>
      <c r="E72" s="893" t="s">
        <v>82</v>
      </c>
      <c r="F72" s="894"/>
      <c r="G72" s="4"/>
      <c r="H72" s="604"/>
      <c r="I72" s="302"/>
      <c r="J72" s="302"/>
      <c r="K72" s="302"/>
      <c r="L72" s="1034"/>
      <c r="M72" s="1034"/>
      <c r="N72" s="1034"/>
      <c r="O72" s="1034"/>
      <c r="P72" s="1034"/>
      <c r="Q72" s="1034"/>
      <c r="R72" s="1034"/>
      <c r="S72" s="4"/>
      <c r="T72" s="4"/>
    </row>
    <row r="73" spans="1:24" ht="15.75" customHeight="1" outlineLevel="2">
      <c r="A73" s="15"/>
      <c r="B73" s="250"/>
      <c r="C73" s="250"/>
      <c r="D73" s="250"/>
      <c r="E73" s="491" t="s">
        <v>916</v>
      </c>
      <c r="F73" s="250"/>
      <c r="G73" s="4"/>
      <c r="H73" s="600">
        <f>19+19+13</f>
        <v>51</v>
      </c>
      <c r="I73" s="181">
        <f>12+12+8</f>
        <v>32</v>
      </c>
      <c r="J73" s="181">
        <f>19+19+13</f>
        <v>51</v>
      </c>
      <c r="K73" s="181">
        <v>0</v>
      </c>
      <c r="L73" s="9"/>
      <c r="M73" s="9"/>
      <c r="N73" s="9"/>
      <c r="O73" s="9"/>
      <c r="P73" s="9"/>
      <c r="Q73" s="9"/>
      <c r="R73" s="9"/>
      <c r="S73" s="4"/>
    </row>
    <row r="74" spans="1:24" ht="15.75" customHeight="1" outlineLevel="2">
      <c r="A74" s="15"/>
      <c r="B74" s="250"/>
      <c r="C74" s="250"/>
      <c r="D74" s="250"/>
      <c r="E74" s="491" t="s">
        <v>915</v>
      </c>
      <c r="F74" s="250"/>
      <c r="G74" s="4"/>
      <c r="H74" s="600">
        <v>0</v>
      </c>
      <c r="I74" s="181">
        <v>0</v>
      </c>
      <c r="J74" s="181">
        <v>0</v>
      </c>
      <c r="K74" s="181">
        <v>0</v>
      </c>
      <c r="L74" s="9"/>
      <c r="M74" s="9"/>
      <c r="N74" s="9"/>
      <c r="O74" s="9"/>
      <c r="P74" s="9"/>
      <c r="Q74" s="9"/>
      <c r="R74" s="9"/>
      <c r="S74" s="4"/>
    </row>
    <row r="75" spans="1:24" ht="15.75" customHeight="1" outlineLevel="2">
      <c r="A75" s="15"/>
      <c r="B75" s="250"/>
      <c r="C75" s="250"/>
      <c r="D75" s="250"/>
      <c r="E75" s="491" t="s">
        <v>914</v>
      </c>
      <c r="F75" s="250"/>
      <c r="G75" s="4"/>
      <c r="H75" s="600">
        <v>0</v>
      </c>
      <c r="I75" s="181">
        <v>0</v>
      </c>
      <c r="J75" s="181">
        <v>0</v>
      </c>
      <c r="K75" s="181">
        <v>0</v>
      </c>
      <c r="L75" s="9"/>
      <c r="M75" s="9"/>
      <c r="N75" s="9"/>
      <c r="O75" s="9"/>
      <c r="P75" s="9"/>
      <c r="Q75" s="9"/>
      <c r="R75" s="9"/>
      <c r="S75" s="4"/>
    </row>
    <row r="76" spans="1:24" ht="15.75" customHeight="1" outlineLevel="1">
      <c r="A76" s="15"/>
      <c r="E76" s="895" t="s">
        <v>390</v>
      </c>
      <c r="F76" s="894"/>
      <c r="G76" s="4"/>
      <c r="H76" s="302">
        <f>H80*H64-H77-H78-H79</f>
        <v>327.42499999999995</v>
      </c>
      <c r="I76" s="302">
        <f t="shared" ref="I76:R76" si="2">I80*I64-I77-I78-I79</f>
        <v>989.72499999999832</v>
      </c>
      <c r="J76" s="302">
        <f t="shared" si="2"/>
        <v>265.05500000000006</v>
      </c>
      <c r="K76" s="302">
        <f t="shared" si="2"/>
        <v>202.72500000000014</v>
      </c>
      <c r="L76" s="1034"/>
      <c r="M76" s="1034"/>
      <c r="N76" s="1034"/>
      <c r="O76" s="1034"/>
      <c r="P76" s="1034"/>
      <c r="Q76" s="1034"/>
      <c r="R76" s="1034"/>
      <c r="S76" s="4"/>
      <c r="T76" s="4"/>
    </row>
    <row r="77" spans="1:24" ht="18" customHeight="1" outlineLevel="2">
      <c r="A77" s="15"/>
      <c r="E77" s="257" t="s">
        <v>523</v>
      </c>
      <c r="G77" s="4"/>
      <c r="H77" s="9">
        <v>17992</v>
      </c>
      <c r="I77" s="9">
        <v>11570.240000000002</v>
      </c>
      <c r="J77" s="9">
        <v>17992</v>
      </c>
      <c r="K77" s="9">
        <v>1645.65</v>
      </c>
      <c r="L77" s="9"/>
      <c r="M77" s="9"/>
      <c r="N77" s="9"/>
      <c r="O77" s="9"/>
      <c r="P77" s="9"/>
      <c r="Q77" s="9"/>
      <c r="R77" s="9"/>
    </row>
    <row r="78" spans="1:24" ht="18" customHeight="1" outlineLevel="2">
      <c r="A78" s="15"/>
      <c r="E78" s="257" t="s">
        <v>524</v>
      </c>
      <c r="G78" s="4"/>
      <c r="H78" s="9">
        <f>H80*H81</f>
        <v>0</v>
      </c>
      <c r="I78" s="9">
        <f t="shared" ref="I78:R78" si="3">I80*I81</f>
        <v>0</v>
      </c>
      <c r="J78" s="9">
        <f t="shared" si="3"/>
        <v>0</v>
      </c>
      <c r="K78" s="9">
        <f t="shared" si="3"/>
        <v>0</v>
      </c>
      <c r="L78" s="9"/>
      <c r="M78" s="9"/>
      <c r="N78" s="9"/>
      <c r="O78" s="9"/>
      <c r="P78" s="9"/>
      <c r="Q78" s="9"/>
      <c r="R78" s="9"/>
    </row>
    <row r="79" spans="1:24" ht="18" customHeight="1" outlineLevel="2">
      <c r="A79" s="15"/>
      <c r="E79" s="257" t="s">
        <v>518</v>
      </c>
      <c r="G79" s="4"/>
      <c r="H79" s="9">
        <v>1180.575</v>
      </c>
      <c r="I79" s="9">
        <v>887.53500000000008</v>
      </c>
      <c r="J79" s="9">
        <v>1242.9449999999999</v>
      </c>
      <c r="K79" s="9">
        <v>1180.575</v>
      </c>
      <c r="L79" s="9"/>
      <c r="M79" s="9"/>
      <c r="N79" s="9"/>
      <c r="O79" s="9"/>
      <c r="P79" s="9"/>
      <c r="Q79" s="9"/>
      <c r="R79" s="9"/>
    </row>
    <row r="80" spans="1:24" ht="18" customHeight="1" outlineLevel="2">
      <c r="A80" s="15"/>
      <c r="E80" s="257" t="s">
        <v>391</v>
      </c>
      <c r="F80" s="684">
        <f>SUM(H80:K80)</f>
        <v>937.8</v>
      </c>
      <c r="G80" s="593"/>
      <c r="H80" s="600">
        <v>260</v>
      </c>
      <c r="I80" s="600">
        <v>179.3</v>
      </c>
      <c r="J80" s="181">
        <v>260</v>
      </c>
      <c r="K80" s="181">
        <v>238.5</v>
      </c>
      <c r="L80" s="9"/>
      <c r="M80" s="9"/>
      <c r="N80" s="9"/>
      <c r="O80" s="9"/>
      <c r="P80" s="9"/>
      <c r="Q80" s="9"/>
      <c r="R80" s="9"/>
    </row>
    <row r="81" spans="1:21" ht="18" customHeight="1" outlineLevel="2">
      <c r="A81" s="15"/>
      <c r="E81" s="257" t="s">
        <v>525</v>
      </c>
      <c r="G81" s="593"/>
      <c r="H81" s="600">
        <v>0</v>
      </c>
      <c r="I81" s="600">
        <v>0</v>
      </c>
      <c r="J81" s="181">
        <v>0</v>
      </c>
      <c r="K81" s="181">
        <v>0</v>
      </c>
      <c r="L81" s="9"/>
      <c r="M81" s="9"/>
      <c r="N81" s="9"/>
      <c r="O81" s="9"/>
      <c r="P81" s="9"/>
      <c r="Q81" s="9"/>
      <c r="R81" s="9"/>
    </row>
    <row r="82" spans="1:21" ht="15.75" customHeight="1" outlineLevel="2">
      <c r="A82" s="15"/>
      <c r="D82" s="127"/>
      <c r="E82" s="257" t="s">
        <v>5</v>
      </c>
      <c r="G82" s="594"/>
      <c r="H82" s="601" t="s">
        <v>1867</v>
      </c>
      <c r="I82" s="601" t="s">
        <v>1867</v>
      </c>
      <c r="J82" s="601" t="s">
        <v>1867</v>
      </c>
      <c r="K82" s="178" t="s">
        <v>1867</v>
      </c>
      <c r="L82" s="1035"/>
      <c r="M82" s="1035"/>
      <c r="N82" s="1035"/>
      <c r="O82" s="1035"/>
      <c r="P82" s="1035"/>
      <c r="Q82" s="1035"/>
      <c r="R82" s="1035"/>
    </row>
    <row r="83" spans="1:21" ht="15.75" customHeight="1" outlineLevel="2">
      <c r="A83" s="15"/>
      <c r="B83" s="250"/>
      <c r="C83" s="250"/>
      <c r="D83" s="127">
        <v>1</v>
      </c>
      <c r="E83" s="491" t="s">
        <v>945</v>
      </c>
      <c r="F83" s="250"/>
      <c r="G83" s="594"/>
      <c r="H83" s="600">
        <v>1</v>
      </c>
      <c r="I83" s="600">
        <v>0</v>
      </c>
      <c r="J83" s="181">
        <v>0</v>
      </c>
      <c r="K83" s="181">
        <v>0</v>
      </c>
      <c r="L83" s="9"/>
      <c r="M83" s="9"/>
      <c r="N83" s="9"/>
      <c r="O83" s="9"/>
      <c r="P83" s="9"/>
      <c r="Q83" s="9"/>
      <c r="R83" s="9"/>
    </row>
    <row r="84" spans="1:21" ht="15.75" customHeight="1" outlineLevel="1">
      <c r="A84" s="15"/>
      <c r="E84" s="907" t="s">
        <v>379</v>
      </c>
      <c r="F84" s="894"/>
      <c r="G84" s="593"/>
      <c r="H84" s="598"/>
      <c r="I84" s="4"/>
      <c r="J84" s="4"/>
      <c r="K84" s="4"/>
      <c r="L84" s="1033"/>
      <c r="M84" s="1033"/>
      <c r="N84" s="1033"/>
      <c r="O84" s="1033"/>
      <c r="P84" s="1033"/>
      <c r="Q84" s="1033"/>
      <c r="R84" s="1033"/>
      <c r="S84" s="4"/>
      <c r="T84" s="4"/>
      <c r="U84" s="4"/>
    </row>
    <row r="85" spans="1:21" ht="15.75" customHeight="1" outlineLevel="2">
      <c r="A85" s="15"/>
      <c r="E85" s="257" t="s">
        <v>696</v>
      </c>
      <c r="G85" s="593"/>
      <c r="H85" s="600">
        <v>0</v>
      </c>
      <c r="I85" s="600">
        <v>0</v>
      </c>
      <c r="J85" s="181">
        <v>0</v>
      </c>
      <c r="K85" s="181">
        <v>0</v>
      </c>
      <c r="L85" s="9"/>
      <c r="M85" s="9"/>
      <c r="N85" s="9"/>
      <c r="O85" s="9"/>
      <c r="P85" s="9"/>
      <c r="Q85" s="9"/>
      <c r="R85" s="9"/>
      <c r="S85" s="4"/>
    </row>
    <row r="86" spans="1:21" ht="15.75" customHeight="1" outlineLevel="2">
      <c r="A86" s="15"/>
      <c r="E86" s="257" t="s">
        <v>697</v>
      </c>
      <c r="G86" s="593"/>
      <c r="H86" s="600">
        <v>0</v>
      </c>
      <c r="I86" s="600">
        <v>0</v>
      </c>
      <c r="J86" s="181">
        <v>0</v>
      </c>
      <c r="K86" s="181">
        <v>0</v>
      </c>
      <c r="L86" s="9"/>
      <c r="M86" s="9"/>
      <c r="N86" s="9"/>
      <c r="O86" s="9"/>
      <c r="P86" s="9"/>
      <c r="Q86" s="9"/>
      <c r="R86" s="9"/>
      <c r="S86" s="4"/>
    </row>
    <row r="87" spans="1:21" ht="15.75" customHeight="1" outlineLevel="2">
      <c r="A87" s="15"/>
      <c r="D87" s="7" t="s">
        <v>1862</v>
      </c>
      <c r="E87" s="257" t="s">
        <v>517</v>
      </c>
      <c r="G87" s="593"/>
      <c r="H87" s="600">
        <v>13</v>
      </c>
      <c r="I87" s="600">
        <v>8</v>
      </c>
      <c r="J87" s="181">
        <v>13</v>
      </c>
      <c r="K87" s="181">
        <v>0</v>
      </c>
      <c r="L87" s="9"/>
      <c r="M87" s="9"/>
      <c r="N87" s="9"/>
      <c r="O87" s="9"/>
      <c r="P87" s="9"/>
      <c r="Q87" s="9"/>
      <c r="R87" s="9"/>
      <c r="S87" s="4"/>
    </row>
    <row r="88" spans="1:21" ht="15.75" customHeight="1" outlineLevel="2">
      <c r="A88" s="15"/>
      <c r="B88" s="250"/>
      <c r="C88" s="250"/>
      <c r="D88" s="250"/>
      <c r="E88" s="489" t="s">
        <v>878</v>
      </c>
      <c r="F88" s="250"/>
      <c r="G88" s="593"/>
      <c r="H88" s="600" t="s">
        <v>1863</v>
      </c>
      <c r="I88" s="600" t="s">
        <v>1863</v>
      </c>
      <c r="J88" s="600" t="s">
        <v>1863</v>
      </c>
      <c r="K88" s="600" t="s">
        <v>1863</v>
      </c>
      <c r="L88" s="9"/>
      <c r="M88" s="9"/>
      <c r="N88" s="9"/>
      <c r="O88" s="9"/>
      <c r="P88" s="9"/>
      <c r="Q88" s="9"/>
      <c r="R88" s="9"/>
      <c r="S88" s="4"/>
    </row>
    <row r="89" spans="1:21" ht="15.75" customHeight="1" outlineLevel="2">
      <c r="A89" s="15"/>
      <c r="E89" s="257" t="s">
        <v>516</v>
      </c>
      <c r="G89" s="593"/>
      <c r="H89" s="600">
        <v>0</v>
      </c>
      <c r="I89" s="600">
        <v>0</v>
      </c>
      <c r="J89" s="181">
        <v>0</v>
      </c>
      <c r="K89" s="181">
        <v>0</v>
      </c>
      <c r="L89" s="9"/>
      <c r="M89" s="9"/>
      <c r="N89" s="9"/>
      <c r="O89" s="9"/>
      <c r="P89" s="9"/>
      <c r="Q89" s="9"/>
      <c r="R89" s="9"/>
    </row>
    <row r="90" spans="1:21" ht="15.75" customHeight="1" outlineLevel="2">
      <c r="A90" s="15"/>
      <c r="E90" s="257" t="s">
        <v>479</v>
      </c>
      <c r="G90" s="593"/>
      <c r="H90" s="600">
        <v>378</v>
      </c>
      <c r="I90" s="600">
        <v>239</v>
      </c>
      <c r="J90" s="181">
        <v>375</v>
      </c>
      <c r="K90" s="181">
        <v>9</v>
      </c>
      <c r="L90" s="9"/>
      <c r="M90" s="9"/>
      <c r="N90" s="9"/>
      <c r="O90" s="9"/>
      <c r="P90" s="9"/>
      <c r="Q90" s="9"/>
      <c r="R90" s="9"/>
    </row>
    <row r="91" spans="1:21" ht="15.75" customHeight="1" outlineLevel="2">
      <c r="A91" s="15"/>
      <c r="E91" s="257" t="s">
        <v>503</v>
      </c>
      <c r="G91" s="597"/>
      <c r="H91" s="600">
        <v>26549.084999999999</v>
      </c>
      <c r="I91" s="600">
        <v>17503.901099999999</v>
      </c>
      <c r="J91" s="181">
        <v>25935.03</v>
      </c>
      <c r="K91" s="181">
        <v>2551.7790000000005</v>
      </c>
      <c r="L91" s="9"/>
      <c r="M91" s="9"/>
      <c r="N91" s="9"/>
      <c r="O91" s="9"/>
      <c r="P91" s="9"/>
      <c r="Q91" s="9"/>
      <c r="R91" s="9"/>
    </row>
    <row r="92" spans="1:21" ht="33" customHeight="1" outlineLevel="2">
      <c r="A92" s="15"/>
      <c r="E92" s="257" t="s">
        <v>852</v>
      </c>
      <c r="G92" s="600">
        <f>3.7%*F70</f>
        <v>1798.8549</v>
      </c>
      <c r="H92" s="600">
        <f>3.7%*H68</f>
        <v>1544.558886956522</v>
      </c>
      <c r="I92" s="600">
        <f t="shared" ref="I92:K92" si="4">3.7%*I68</f>
        <v>1085.7041001449275</v>
      </c>
      <c r="J92" s="600">
        <f t="shared" si="4"/>
        <v>1575.272586956522</v>
      </c>
      <c r="K92" s="600">
        <f t="shared" si="4"/>
        <v>159.35160000000002</v>
      </c>
      <c r="L92" s="9"/>
      <c r="M92" s="9"/>
      <c r="N92" s="9"/>
      <c r="O92" s="9"/>
      <c r="P92" s="9"/>
      <c r="Q92" s="9"/>
      <c r="R92" s="9"/>
    </row>
    <row r="93" spans="1:21" ht="56.25" customHeight="1" outlineLevel="2">
      <c r="A93" s="15"/>
      <c r="D93" s="7" t="s">
        <v>1864</v>
      </c>
      <c r="E93" s="293" t="s">
        <v>698</v>
      </c>
      <c r="G93" s="597">
        <f>('[4]210712 75м. ДДБ'!$H$46+'[4]210712 75м. ДДБ'!$AE$46+'[4]210712 75м. ДДБ'!$BA$46)/0.79</f>
        <v>856.8148860759494</v>
      </c>
      <c r="H93" s="600">
        <v>6474.3841496973027</v>
      </c>
      <c r="I93" s="600">
        <v>5996.2830453127899</v>
      </c>
      <c r="J93" s="181">
        <v>6474.3841496973027</v>
      </c>
      <c r="K93" s="181">
        <v>0</v>
      </c>
      <c r="L93" s="9"/>
      <c r="M93" s="9"/>
      <c r="N93" s="9"/>
      <c r="O93" s="9"/>
      <c r="P93" s="9"/>
      <c r="Q93" s="9"/>
      <c r="R93" s="9"/>
    </row>
    <row r="94" spans="1:21" outlineLevel="2">
      <c r="A94" s="15"/>
      <c r="B94" s="250"/>
      <c r="C94" s="250"/>
      <c r="D94" s="250"/>
      <c r="E94" s="293" t="s">
        <v>883</v>
      </c>
      <c r="F94" s="250"/>
      <c r="G94" s="594"/>
      <c r="H94" s="600">
        <f>70/0.69</f>
        <v>101.44927536231884</v>
      </c>
      <c r="I94" s="600">
        <f t="shared" ref="I94:J94" si="5">70/0.69</f>
        <v>101.44927536231884</v>
      </c>
      <c r="J94" s="600">
        <f t="shared" si="5"/>
        <v>101.44927536231884</v>
      </c>
      <c r="K94" s="181"/>
      <c r="L94" s="9"/>
      <c r="M94" s="9"/>
      <c r="N94" s="9"/>
      <c r="O94" s="9"/>
      <c r="P94" s="9"/>
      <c r="Q94" s="9"/>
      <c r="R94" s="9"/>
    </row>
    <row r="95" spans="1:21" ht="15.75" customHeight="1" outlineLevel="1" collapsed="1">
      <c r="A95" s="15"/>
      <c r="E95" s="907" t="s">
        <v>701</v>
      </c>
      <c r="F95" s="894"/>
      <c r="G95" s="4"/>
      <c r="H95" s="4"/>
      <c r="I95" s="4"/>
      <c r="J95" s="4"/>
      <c r="K95" s="4"/>
      <c r="L95" s="1033"/>
      <c r="M95" s="1033"/>
      <c r="N95" s="1033"/>
      <c r="O95" s="1033"/>
      <c r="P95" s="1033"/>
      <c r="Q95" s="1033"/>
      <c r="R95" s="1033"/>
      <c r="S95" s="4"/>
      <c r="T95" s="4"/>
      <c r="U95" s="4"/>
    </row>
    <row r="96" spans="1:21" ht="15.75" hidden="1" customHeight="1" outlineLevel="2">
      <c r="A96" s="15"/>
      <c r="E96" s="257" t="s">
        <v>702</v>
      </c>
      <c r="G96" s="4"/>
      <c r="H96" s="177"/>
      <c r="I96" s="600"/>
      <c r="J96" s="181"/>
      <c r="K96" s="181"/>
      <c r="L96" s="9"/>
      <c r="M96" s="9"/>
      <c r="N96" s="9"/>
      <c r="O96" s="9"/>
      <c r="P96" s="9"/>
      <c r="Q96" s="9"/>
      <c r="R96" s="9"/>
      <c r="S96" s="4"/>
    </row>
    <row r="97" spans="1:21" ht="15.75" hidden="1" customHeight="1" outlineLevel="2">
      <c r="A97" s="15"/>
      <c r="E97" s="257" t="s">
        <v>703</v>
      </c>
      <c r="G97" s="4"/>
      <c r="H97" s="600"/>
      <c r="I97" s="600"/>
      <c r="J97" s="181"/>
      <c r="K97" s="181"/>
      <c r="L97" s="9"/>
      <c r="M97" s="9"/>
      <c r="N97" s="9"/>
      <c r="O97" s="9"/>
      <c r="P97" s="9"/>
      <c r="Q97" s="9"/>
      <c r="R97" s="9"/>
      <c r="S97" s="4"/>
    </row>
    <row r="98" spans="1:21" ht="15.75" hidden="1" customHeight="1" outlineLevel="2">
      <c r="A98" s="15"/>
      <c r="E98" s="257" t="s">
        <v>704</v>
      </c>
      <c r="G98" s="4"/>
      <c r="H98" s="600"/>
      <c r="I98" s="600"/>
      <c r="J98" s="181"/>
      <c r="K98" s="181"/>
      <c r="L98" s="9"/>
      <c r="M98" s="9"/>
      <c r="N98" s="9"/>
      <c r="O98" s="9"/>
      <c r="P98" s="9"/>
      <c r="Q98" s="9"/>
      <c r="R98" s="9"/>
      <c r="S98" s="4"/>
    </row>
    <row r="99" spans="1:21" ht="31.5" hidden="1" outlineLevel="2">
      <c r="A99" s="15"/>
      <c r="E99" s="257" t="s">
        <v>705</v>
      </c>
      <c r="G99" s="4"/>
      <c r="H99" s="181"/>
      <c r="I99" s="181"/>
      <c r="J99" s="181"/>
      <c r="K99" s="181"/>
      <c r="L99" s="9"/>
      <c r="M99" s="9"/>
      <c r="N99" s="9"/>
      <c r="O99" s="9"/>
      <c r="P99" s="9"/>
      <c r="Q99" s="9"/>
      <c r="R99" s="9"/>
    </row>
    <row r="100" spans="1:21" ht="15.75" hidden="1" customHeight="1" outlineLevel="2">
      <c r="A100" s="15"/>
      <c r="E100" s="257" t="s">
        <v>706</v>
      </c>
      <c r="G100" s="4"/>
      <c r="H100" s="181"/>
      <c r="I100" s="181"/>
      <c r="J100" s="181"/>
      <c r="K100" s="181"/>
      <c r="L100" s="9"/>
      <c r="M100" s="9"/>
      <c r="N100" s="9"/>
      <c r="O100" s="9"/>
      <c r="P100" s="9"/>
      <c r="Q100" s="9"/>
      <c r="R100" s="9"/>
      <c r="S100" s="4"/>
    </row>
    <row r="101" spans="1:21" ht="15.75" hidden="1" customHeight="1" outlineLevel="2">
      <c r="A101" s="15"/>
      <c r="E101" s="257" t="s">
        <v>708</v>
      </c>
      <c r="G101" s="4"/>
      <c r="H101" s="181"/>
      <c r="I101" s="181"/>
      <c r="J101" s="181"/>
      <c r="K101" s="181"/>
      <c r="L101" s="9"/>
      <c r="M101" s="9"/>
      <c r="N101" s="9"/>
      <c r="O101" s="9"/>
      <c r="P101" s="9"/>
      <c r="Q101" s="9"/>
      <c r="R101" s="9"/>
      <c r="S101" s="4"/>
    </row>
    <row r="102" spans="1:21" ht="15.75" hidden="1" customHeight="1" outlineLevel="2">
      <c r="A102" s="15"/>
      <c r="E102" s="257" t="s">
        <v>709</v>
      </c>
      <c r="G102" s="4"/>
      <c r="H102" s="181"/>
      <c r="I102" s="181"/>
      <c r="J102" s="181"/>
      <c r="K102" s="181"/>
      <c r="L102" s="9"/>
      <c r="M102" s="9"/>
      <c r="N102" s="9"/>
      <c r="O102" s="9"/>
      <c r="P102" s="9"/>
      <c r="Q102" s="9"/>
      <c r="R102" s="9"/>
      <c r="S102" s="4"/>
    </row>
    <row r="103" spans="1:21" ht="31.5" hidden="1" outlineLevel="2">
      <c r="A103" s="15"/>
      <c r="E103" s="257" t="s">
        <v>707</v>
      </c>
      <c r="G103" s="4"/>
      <c r="H103" s="181"/>
      <c r="I103" s="181"/>
      <c r="J103" s="181"/>
      <c r="K103" s="181"/>
      <c r="L103" s="9"/>
      <c r="M103" s="9"/>
      <c r="N103" s="9"/>
      <c r="O103" s="9"/>
      <c r="P103" s="9"/>
      <c r="Q103" s="9"/>
      <c r="R103" s="9"/>
    </row>
    <row r="104" spans="1:21" ht="15.75" customHeight="1" outlineLevel="1">
      <c r="A104" s="15"/>
      <c r="E104" s="895" t="s">
        <v>365</v>
      </c>
      <c r="F104" s="894"/>
      <c r="G104" s="4"/>
      <c r="H104" s="4"/>
      <c r="I104" s="4"/>
      <c r="J104" s="4"/>
      <c r="K104" s="4"/>
      <c r="L104" s="1033"/>
      <c r="M104" s="1033"/>
      <c r="N104" s="1033"/>
      <c r="O104" s="1033"/>
      <c r="P104" s="1033"/>
      <c r="Q104" s="1033"/>
      <c r="R104" s="1033"/>
      <c r="S104" s="4"/>
    </row>
    <row r="105" spans="1:21" ht="15.75" customHeight="1" outlineLevel="2">
      <c r="A105" s="15"/>
      <c r="E105" s="257" t="s">
        <v>695</v>
      </c>
      <c r="G105" s="593"/>
      <c r="H105" s="600">
        <v>576.30000000000007</v>
      </c>
      <c r="I105" s="181">
        <v>404.70704999999998</v>
      </c>
      <c r="J105" s="181">
        <v>576.30000000000007</v>
      </c>
      <c r="K105" s="181">
        <v>1076.7</v>
      </c>
      <c r="L105" s="9"/>
      <c r="M105" s="9"/>
      <c r="N105" s="9"/>
      <c r="O105" s="9"/>
      <c r="P105" s="9"/>
      <c r="Q105" s="9"/>
      <c r="R105" s="9"/>
      <c r="S105" s="4"/>
    </row>
    <row r="106" spans="1:21" ht="15.75" customHeight="1" outlineLevel="2">
      <c r="A106" s="15"/>
      <c r="E106" s="351" t="s">
        <v>728</v>
      </c>
      <c r="G106" s="593"/>
      <c r="H106" s="600">
        <v>1344.6999999999998</v>
      </c>
      <c r="I106" s="177">
        <v>944.31645000000003</v>
      </c>
      <c r="J106" s="181">
        <v>1344.6999999999998</v>
      </c>
      <c r="K106" s="181">
        <v>0</v>
      </c>
      <c r="L106" s="9"/>
      <c r="M106" s="9"/>
      <c r="N106" s="9"/>
      <c r="O106" s="9"/>
      <c r="P106" s="9"/>
      <c r="Q106" s="9"/>
      <c r="R106" s="9"/>
      <c r="S106" s="4"/>
    </row>
    <row r="107" spans="1:21" ht="15.75" customHeight="1" outlineLevel="2">
      <c r="A107" s="15"/>
      <c r="E107" s="257" t="s">
        <v>359</v>
      </c>
      <c r="G107" s="597"/>
      <c r="H107" s="599"/>
      <c r="L107" s="29"/>
      <c r="M107" s="29"/>
      <c r="N107" s="29"/>
      <c r="O107" s="29"/>
      <c r="P107" s="29"/>
      <c r="Q107" s="29"/>
      <c r="R107" s="29"/>
      <c r="S107" s="4"/>
    </row>
    <row r="108" spans="1:21" ht="15.75" customHeight="1" outlineLevel="2">
      <c r="A108" s="15"/>
      <c r="E108" s="257" t="s">
        <v>471</v>
      </c>
      <c r="G108" s="593"/>
      <c r="H108" s="602" t="s">
        <v>1867</v>
      </c>
      <c r="I108" s="602" t="s">
        <v>1867</v>
      </c>
      <c r="J108" s="602" t="s">
        <v>1867</v>
      </c>
      <c r="K108" s="195" t="s">
        <v>1867</v>
      </c>
      <c r="L108" s="1036"/>
      <c r="M108" s="1036"/>
      <c r="N108" s="1036"/>
      <c r="O108" s="1036"/>
      <c r="P108" s="1036"/>
      <c r="Q108" s="1036"/>
      <c r="R108" s="1036"/>
      <c r="S108" s="4"/>
    </row>
    <row r="109" spans="1:21" ht="18.75" customHeight="1" outlineLevel="2">
      <c r="A109" s="15"/>
      <c r="E109" s="257" t="s">
        <v>329</v>
      </c>
      <c r="G109" s="593"/>
      <c r="H109" s="601" t="s">
        <v>1865</v>
      </c>
      <c r="I109" s="601" t="s">
        <v>1865</v>
      </c>
      <c r="J109" s="601" t="s">
        <v>1865</v>
      </c>
      <c r="K109" s="601" t="s">
        <v>1865</v>
      </c>
      <c r="L109" s="1035"/>
      <c r="M109" s="1035"/>
      <c r="N109" s="1035"/>
      <c r="O109" s="1035"/>
      <c r="P109" s="1035"/>
      <c r="Q109" s="1035"/>
      <c r="R109" s="1035"/>
      <c r="S109" s="4"/>
    </row>
    <row r="110" spans="1:21" ht="18.75" outlineLevel="1">
      <c r="A110" s="15"/>
      <c r="E110" s="895" t="s">
        <v>368</v>
      </c>
      <c r="F110" s="894"/>
      <c r="G110" s="4"/>
      <c r="H110" s="4"/>
      <c r="I110" s="4"/>
      <c r="J110" s="4"/>
      <c r="K110" s="4"/>
      <c r="L110" s="1033"/>
      <c r="M110" s="1033"/>
      <c r="N110" s="1033"/>
      <c r="O110" s="1033"/>
      <c r="P110" s="1033"/>
      <c r="Q110" s="1033"/>
      <c r="R110" s="1033"/>
      <c r="S110" s="4"/>
      <c r="T110" s="4"/>
      <c r="U110" s="4"/>
    </row>
    <row r="111" spans="1:21" ht="20.25" customHeight="1" outlineLevel="2">
      <c r="A111" s="15"/>
      <c r="E111" s="121" t="s">
        <v>401</v>
      </c>
      <c r="F111" s="597">
        <v>26297.3</v>
      </c>
      <c r="G111" s="4"/>
      <c r="H111"/>
      <c r="I111"/>
      <c r="J111"/>
      <c r="K111"/>
      <c r="L111" s="15"/>
      <c r="M111" s="15"/>
      <c r="N111" s="15"/>
      <c r="O111" s="15"/>
      <c r="P111" s="15"/>
      <c r="Q111" s="15"/>
      <c r="R111" s="15"/>
    </row>
    <row r="112" spans="1:21" ht="20.25" customHeight="1" outlineLevel="2">
      <c r="A112" s="15"/>
      <c r="E112" s="121" t="s">
        <v>321</v>
      </c>
      <c r="F112" s="9">
        <f>F111-SUM(H66:R66,Sheet1!C8,Sheet1!D9)</f>
        <v>17488.989791956403</v>
      </c>
      <c r="G112" s="4"/>
      <c r="H112" s="4"/>
      <c r="I112" s="4"/>
      <c r="J112" s="4"/>
      <c r="K112" s="4"/>
      <c r="L112" s="1033"/>
      <c r="M112" s="1033"/>
      <c r="N112" s="1033"/>
      <c r="O112" s="1033"/>
      <c r="P112" s="1033"/>
      <c r="Q112" s="1033"/>
      <c r="R112" s="1033"/>
    </row>
    <row r="113" spans="1:27" ht="20.25" customHeight="1" outlineLevel="2">
      <c r="A113" s="15"/>
      <c r="D113" s="7" t="s">
        <v>1866</v>
      </c>
      <c r="E113" s="121" t="s">
        <v>394</v>
      </c>
      <c r="F113" s="469">
        <v>0.3</v>
      </c>
      <c r="G113" s="4"/>
      <c r="H113" s="4"/>
      <c r="I113" s="4"/>
      <c r="J113" s="4"/>
      <c r="K113" s="4"/>
      <c r="L113" s="1033"/>
      <c r="M113" s="1033"/>
      <c r="N113" s="1033"/>
      <c r="O113" s="1033"/>
      <c r="P113" s="1033"/>
      <c r="Q113" s="1033"/>
      <c r="R113" s="15"/>
    </row>
    <row r="114" spans="1:27" ht="20.25" customHeight="1" outlineLevel="2">
      <c r="A114" s="15"/>
      <c r="E114" s="121" t="s">
        <v>395</v>
      </c>
      <c r="F114" s="147">
        <f>100%-F113</f>
        <v>0.7</v>
      </c>
      <c r="G114" s="4"/>
      <c r="H114" s="4"/>
      <c r="I114" s="4"/>
      <c r="J114" s="4"/>
      <c r="K114" s="4"/>
      <c r="L114" s="1033"/>
      <c r="M114" s="1033"/>
      <c r="N114" s="1033"/>
      <c r="O114" s="1033"/>
      <c r="P114" s="1033"/>
      <c r="Q114" s="1033"/>
      <c r="R114" s="15"/>
    </row>
    <row r="115" spans="1:27" ht="18.75" customHeight="1" outlineLevel="2">
      <c r="A115" s="15"/>
      <c r="E115" s="121" t="s">
        <v>322</v>
      </c>
      <c r="F115" s="195" t="s">
        <v>1867</v>
      </c>
      <c r="G115" s="4"/>
      <c r="H115" s="15"/>
      <c r="I115" s="4"/>
      <c r="J115" s="4"/>
      <c r="K115" s="4"/>
      <c r="L115" s="1033"/>
      <c r="M115" s="1033"/>
      <c r="N115" s="1033"/>
      <c r="O115" s="1033"/>
      <c r="P115" s="1033"/>
      <c r="Q115" s="1033"/>
      <c r="R115" s="15"/>
    </row>
    <row r="116" spans="1:27" ht="18.75" customHeight="1" outlineLevel="2">
      <c r="A116" s="15"/>
      <c r="E116" s="121" t="s">
        <v>436</v>
      </c>
      <c r="F116" s="195" t="s">
        <v>1867</v>
      </c>
      <c r="G116" s="4"/>
      <c r="H116" s="15"/>
      <c r="I116" s="4"/>
      <c r="J116" s="4"/>
      <c r="K116" s="4"/>
      <c r="L116" s="1033"/>
      <c r="M116" s="1033"/>
      <c r="N116" s="1033"/>
      <c r="O116" s="1033"/>
      <c r="P116" s="1033"/>
      <c r="Q116" s="1033"/>
      <c r="R116" s="15"/>
    </row>
    <row r="117" spans="1:27" ht="45.75" customHeight="1" outlineLevel="2">
      <c r="A117" s="15"/>
      <c r="E117" s="121" t="s">
        <v>377</v>
      </c>
      <c r="F117" s="911" t="s">
        <v>1879</v>
      </c>
      <c r="G117" s="912"/>
      <c r="H117" s="913"/>
      <c r="I117" s="4"/>
      <c r="J117" s="4"/>
      <c r="K117" s="4"/>
      <c r="L117" s="1033"/>
      <c r="M117" s="1033"/>
      <c r="N117" s="1033"/>
      <c r="O117" s="1033"/>
      <c r="P117" s="1033"/>
      <c r="Q117" s="1033"/>
      <c r="R117" s="15"/>
    </row>
    <row r="118" spans="1:27" ht="47.25" outlineLevel="2">
      <c r="A118" s="15"/>
      <c r="B118" s="250" t="s">
        <v>1880</v>
      </c>
      <c r="C118" s="250"/>
      <c r="D118" s="250"/>
      <c r="E118" s="346" t="s">
        <v>800</v>
      </c>
      <c r="F118" s="196">
        <f>150*F111/10000</f>
        <v>394.45949999999999</v>
      </c>
      <c r="G118" s="164"/>
      <c r="H118" s="15"/>
      <c r="I118" s="4"/>
      <c r="J118" s="4"/>
      <c r="K118" s="4"/>
      <c r="L118" s="1033"/>
      <c r="M118" s="1033"/>
      <c r="N118" s="1033"/>
      <c r="O118" s="1033"/>
      <c r="P118" s="1033"/>
      <c r="Q118" s="1033"/>
      <c r="R118" s="15"/>
    </row>
    <row r="119" spans="1:27" ht="18.75" outlineLevel="2">
      <c r="A119" s="15"/>
      <c r="B119" s="250"/>
      <c r="C119" s="250"/>
      <c r="D119" s="250"/>
      <c r="E119" s="346" t="str">
        <f>D618</f>
        <v>компенсационное озеленение</v>
      </c>
      <c r="F119" s="196"/>
      <c r="G119" s="164" t="s">
        <v>376</v>
      </c>
      <c r="H119" s="15"/>
      <c r="I119" s="4"/>
      <c r="J119" s="4"/>
      <c r="K119" s="4"/>
      <c r="L119" s="1033"/>
      <c r="M119" s="1033"/>
      <c r="N119" s="1033"/>
      <c r="O119" s="1033"/>
      <c r="P119" s="1033"/>
      <c r="Q119" s="1033"/>
      <c r="R119" s="15"/>
    </row>
    <row r="120" spans="1:27" ht="18.75" customHeight="1" outlineLevel="2">
      <c r="A120" s="15"/>
      <c r="E120" s="121" t="s">
        <v>396</v>
      </c>
      <c r="F120" s="196"/>
      <c r="G120" s="164" t="s">
        <v>376</v>
      </c>
      <c r="H120" s="15"/>
      <c r="I120" s="4"/>
      <c r="J120" s="4"/>
      <c r="K120" s="4"/>
      <c r="L120" s="1033"/>
      <c r="M120" s="1033"/>
      <c r="N120" s="1033"/>
      <c r="O120" s="1033"/>
      <c r="P120" s="1033"/>
      <c r="Q120" s="1033"/>
      <c r="R120" s="15"/>
    </row>
    <row r="121" spans="1:27" ht="18.75" customHeight="1">
      <c r="A121" s="15"/>
      <c r="D121" s="904" t="s">
        <v>320</v>
      </c>
      <c r="E121" s="905"/>
      <c r="F121" s="906"/>
      <c r="G121" s="4"/>
      <c r="H121" s="4"/>
      <c r="I121" s="4"/>
      <c r="J121" s="4"/>
      <c r="K121" s="4"/>
      <c r="L121" s="1033"/>
      <c r="M121" s="1033"/>
      <c r="N121" s="1033"/>
      <c r="O121" s="1033"/>
      <c r="P121" s="1033"/>
      <c r="Q121" s="1033"/>
      <c r="R121" s="15"/>
    </row>
    <row r="122" spans="1:27" ht="18.75" outlineLevel="1">
      <c r="A122" s="15"/>
      <c r="E122" s="121" t="s">
        <v>454</v>
      </c>
      <c r="F122" s="180" t="s">
        <v>1881</v>
      </c>
      <c r="G122" s="121" t="s">
        <v>455</v>
      </c>
      <c r="H122" s="180" t="s">
        <v>1881</v>
      </c>
      <c r="I122" s="180" t="s">
        <v>1881</v>
      </c>
      <c r="J122" s="180" t="s">
        <v>1881</v>
      </c>
      <c r="K122" s="180" t="s">
        <v>1881</v>
      </c>
      <c r="L122" s="1037"/>
      <c r="M122" s="1037"/>
      <c r="N122" s="1037"/>
      <c r="O122" s="1037"/>
      <c r="P122" s="1037"/>
      <c r="Q122" s="1037"/>
      <c r="R122" s="1037"/>
    </row>
    <row r="123" spans="1:27" ht="22.5" customHeight="1" outlineLevel="1">
      <c r="A123" s="15"/>
      <c r="C123" s="1031">
        <v>44392</v>
      </c>
      <c r="E123" s="121" t="s">
        <v>418</v>
      </c>
      <c r="F123" s="603">
        <v>87.3917</v>
      </c>
      <c r="L123" s="29"/>
      <c r="M123" s="29"/>
      <c r="N123" s="29"/>
      <c r="O123" s="29"/>
      <c r="P123" s="29"/>
      <c r="Q123" s="29"/>
      <c r="R123" s="29"/>
      <c r="S123" s="7"/>
      <c r="T123" s="7"/>
      <c r="U123" s="7"/>
      <c r="V123" s="7"/>
      <c r="W123" s="7"/>
      <c r="X123" s="7"/>
      <c r="Y123" s="7"/>
      <c r="Z123" s="7"/>
      <c r="AA123" s="7"/>
    </row>
    <row r="124" spans="1:27" ht="21" customHeight="1" outlineLevel="1">
      <c r="A124" s="15"/>
      <c r="E124" s="895" t="s">
        <v>369</v>
      </c>
      <c r="F124" s="894"/>
      <c r="G124" s="4"/>
      <c r="H124" s="4"/>
      <c r="I124" s="4"/>
      <c r="J124" s="4"/>
      <c r="K124" s="4"/>
      <c r="L124" s="1033"/>
      <c r="M124" s="1033"/>
      <c r="N124" s="1033"/>
      <c r="O124" s="1033"/>
      <c r="P124" s="1033"/>
      <c r="Q124" s="1033"/>
      <c r="R124" s="1033"/>
      <c r="S124" s="4"/>
    </row>
    <row r="125" spans="1:27" ht="21" customHeight="1" outlineLevel="1">
      <c r="A125" s="15"/>
      <c r="B125" s="250"/>
      <c r="C125" s="250"/>
      <c r="D125" s="250"/>
      <c r="E125" s="739" t="s">
        <v>845</v>
      </c>
      <c r="F125" s="739"/>
      <c r="G125" s="180" t="s">
        <v>1867</v>
      </c>
      <c r="H125" s="180" t="s">
        <v>1867</v>
      </c>
      <c r="I125" s="180" t="s">
        <v>1867</v>
      </c>
      <c r="J125" s="180" t="s">
        <v>1867</v>
      </c>
      <c r="K125" s="180" t="s">
        <v>1867</v>
      </c>
      <c r="L125" s="1037"/>
      <c r="M125" s="1037"/>
      <c r="N125" s="1037"/>
      <c r="O125" s="1037"/>
      <c r="P125" s="1037"/>
      <c r="Q125" s="1037"/>
      <c r="R125" s="1037"/>
      <c r="S125" s="4"/>
    </row>
    <row r="126" spans="1:27" ht="15.75" customHeight="1" outlineLevel="1">
      <c r="A126" s="15"/>
      <c r="E126" s="488" t="s">
        <v>491</v>
      </c>
      <c r="F126" s="4"/>
      <c r="G126" s="4"/>
      <c r="H126" s="4"/>
      <c r="I126" s="4"/>
      <c r="J126" s="4"/>
      <c r="K126" s="4"/>
      <c r="L126" s="1033"/>
      <c r="M126" s="1033"/>
      <c r="N126" s="1033"/>
      <c r="O126" s="1033"/>
      <c r="P126" s="1033"/>
      <c r="Q126" s="1033"/>
      <c r="R126" s="1033"/>
      <c r="S126" s="4"/>
    </row>
    <row r="127" spans="1:27" ht="18.75" customHeight="1" outlineLevel="2">
      <c r="A127" s="15"/>
      <c r="D127" s="7" t="s">
        <v>1868</v>
      </c>
      <c r="E127" s="257" t="s">
        <v>490</v>
      </c>
      <c r="G127" s="597"/>
      <c r="H127" s="597">
        <f>$G$61+H64</f>
        <v>87.05</v>
      </c>
      <c r="I127" s="181">
        <f t="shared" ref="I127:J127" si="6">$G$61+I64</f>
        <v>87.05</v>
      </c>
      <c r="J127" s="181">
        <f t="shared" si="6"/>
        <v>87.05</v>
      </c>
      <c r="K127" s="181">
        <v>0</v>
      </c>
      <c r="L127" s="9"/>
      <c r="M127" s="9"/>
      <c r="N127" s="9"/>
      <c r="O127" s="9"/>
      <c r="P127" s="9"/>
      <c r="Q127" s="9"/>
      <c r="R127" s="9"/>
      <c r="S127" s="4"/>
    </row>
    <row r="128" spans="1:27" ht="18.75" customHeight="1" outlineLevel="2">
      <c r="A128" s="15"/>
      <c r="E128" s="257" t="s">
        <v>493</v>
      </c>
      <c r="G128" s="597"/>
      <c r="H128" s="597">
        <v>3</v>
      </c>
      <c r="I128" s="600">
        <v>3</v>
      </c>
      <c r="J128" s="600">
        <v>3</v>
      </c>
      <c r="K128" s="181">
        <v>0</v>
      </c>
      <c r="L128" s="9"/>
      <c r="M128" s="9"/>
      <c r="N128" s="9"/>
      <c r="O128" s="9"/>
      <c r="P128" s="9"/>
      <c r="Q128" s="9"/>
      <c r="R128" s="9"/>
      <c r="S128" s="4"/>
    </row>
    <row r="129" spans="1:25" ht="18.75" customHeight="1" outlineLevel="2">
      <c r="A129" s="15"/>
      <c r="E129" s="257" t="s">
        <v>494</v>
      </c>
      <c r="F129" s="145" t="s">
        <v>392</v>
      </c>
      <c r="G129" s="594"/>
      <c r="H129" s="597">
        <v>3</v>
      </c>
      <c r="I129" s="600">
        <v>3</v>
      </c>
      <c r="J129" s="600">
        <v>3</v>
      </c>
      <c r="K129" s="181">
        <v>0</v>
      </c>
      <c r="L129" s="9"/>
      <c r="M129" s="9"/>
      <c r="N129" s="9"/>
      <c r="O129" s="9"/>
      <c r="P129" s="9"/>
      <c r="Q129" s="9"/>
      <c r="R129" s="9"/>
      <c r="S129" s="4"/>
    </row>
    <row r="130" spans="1:25" ht="18.75" customHeight="1" outlineLevel="2">
      <c r="A130" s="15"/>
      <c r="G130" s="595"/>
      <c r="H130" s="594"/>
      <c r="L130" s="29"/>
      <c r="M130" s="29"/>
      <c r="N130" s="29"/>
      <c r="O130" s="29"/>
      <c r="P130" s="29"/>
      <c r="Q130" s="29"/>
      <c r="R130" s="29"/>
      <c r="S130" s="4"/>
    </row>
    <row r="131" spans="1:25" ht="15.75" customHeight="1" outlineLevel="1">
      <c r="A131" s="15"/>
      <c r="E131" s="191" t="s">
        <v>492</v>
      </c>
      <c r="F131" s="4"/>
      <c r="G131" s="593"/>
      <c r="H131" s="593"/>
      <c r="I131" s="4"/>
      <c r="J131" s="4"/>
      <c r="K131" s="4"/>
      <c r="L131" s="1033"/>
      <c r="M131" s="1033"/>
      <c r="N131" s="1033"/>
      <c r="O131" s="1033"/>
      <c r="P131" s="1033"/>
      <c r="Q131" s="1033"/>
      <c r="R131" s="1033"/>
      <c r="S131" s="4"/>
    </row>
    <row r="132" spans="1:25" ht="18.75" customHeight="1" outlineLevel="2">
      <c r="A132" s="15"/>
      <c r="E132" s="257" t="s">
        <v>490</v>
      </c>
      <c r="G132" s="597"/>
      <c r="H132" s="597">
        <f>H127</f>
        <v>87.05</v>
      </c>
      <c r="I132" s="600">
        <f t="shared" ref="I132:J132" si="7">I127</f>
        <v>87.05</v>
      </c>
      <c r="J132" s="600">
        <f t="shared" si="7"/>
        <v>87.05</v>
      </c>
      <c r="K132" s="181">
        <v>0</v>
      </c>
      <c r="L132" s="9"/>
      <c r="M132" s="9"/>
      <c r="N132" s="9"/>
      <c r="O132" s="9"/>
      <c r="P132" s="9"/>
      <c r="Q132" s="9"/>
      <c r="R132" s="9"/>
      <c r="S132" s="4"/>
    </row>
    <row r="133" spans="1:25" ht="18.75" customHeight="1" outlineLevel="2">
      <c r="A133" s="15"/>
      <c r="E133" s="257" t="s">
        <v>493</v>
      </c>
      <c r="G133" s="597"/>
      <c r="H133" s="597"/>
      <c r="I133" s="181"/>
      <c r="J133" s="181"/>
      <c r="K133" s="181"/>
      <c r="L133" s="9"/>
      <c r="M133" s="9"/>
      <c r="N133" s="9"/>
      <c r="O133" s="9"/>
      <c r="P133" s="9"/>
      <c r="Q133" s="9"/>
      <c r="R133" s="9"/>
      <c r="S133" s="4"/>
    </row>
    <row r="134" spans="1:25" ht="18.75" customHeight="1" outlineLevel="2">
      <c r="A134" s="15"/>
      <c r="E134" s="257" t="s">
        <v>494</v>
      </c>
      <c r="F134" s="145" t="s">
        <v>392</v>
      </c>
      <c r="G134" s="594"/>
      <c r="H134" s="597"/>
      <c r="I134" s="181"/>
      <c r="J134" s="181"/>
      <c r="K134" s="181"/>
      <c r="L134" s="9"/>
      <c r="M134" s="9"/>
      <c r="N134" s="9"/>
      <c r="O134" s="9"/>
      <c r="P134" s="9"/>
      <c r="Q134" s="9"/>
      <c r="R134" s="9"/>
      <c r="S134" s="4"/>
    </row>
    <row r="135" spans="1:25" ht="18.75" customHeight="1" outlineLevel="2">
      <c r="A135" s="15"/>
      <c r="G135" s="145" t="s">
        <v>495</v>
      </c>
      <c r="L135" s="7"/>
      <c r="M135" s="7"/>
      <c r="N135" s="7"/>
      <c r="O135" s="7"/>
      <c r="P135" s="7"/>
      <c r="Q135" s="7"/>
      <c r="R135" s="7"/>
      <c r="S135" s="4"/>
    </row>
    <row r="136" spans="1:25" collapsed="1">
      <c r="A136" s="15"/>
      <c r="L136" s="7"/>
      <c r="M136" s="7"/>
      <c r="N136" s="7"/>
      <c r="O136" s="7"/>
      <c r="P136" s="7"/>
      <c r="Q136" s="7"/>
      <c r="R136" s="7"/>
      <c r="S136" s="7"/>
      <c r="T136" s="7"/>
      <c r="U136" s="7"/>
      <c r="V136" s="7"/>
    </row>
    <row r="137" spans="1:25" ht="18.75">
      <c r="A137" s="15"/>
      <c r="B137" s="930" t="s">
        <v>972</v>
      </c>
      <c r="C137" s="930"/>
      <c r="D137" s="930"/>
      <c r="E137" s="915" t="s">
        <v>334</v>
      </c>
      <c r="F137" s="915" t="s">
        <v>416</v>
      </c>
      <c r="G137" s="915" t="s">
        <v>417</v>
      </c>
      <c r="H137" s="915" t="s">
        <v>6</v>
      </c>
      <c r="I137" s="915" t="s">
        <v>7</v>
      </c>
      <c r="J137" s="6"/>
      <c r="K137" s="12" t="s">
        <v>400</v>
      </c>
      <c r="L137" s="12" t="str">
        <f t="shared" ref="L137:W137" si="8">G5</f>
        <v>паркинг</v>
      </c>
      <c r="M137" s="12" t="str">
        <f t="shared" si="8"/>
        <v>Секция 1</v>
      </c>
      <c r="N137" s="12" t="str">
        <f t="shared" si="8"/>
        <v>Секция 2</v>
      </c>
      <c r="O137" s="12" t="str">
        <f t="shared" si="8"/>
        <v>Секция 3</v>
      </c>
      <c r="P137" s="12" t="str">
        <f t="shared" si="8"/>
        <v>Таунхаусы</v>
      </c>
      <c r="Q137" s="12">
        <f t="shared" si="8"/>
        <v>0</v>
      </c>
      <c r="R137" s="12">
        <f t="shared" si="8"/>
        <v>0</v>
      </c>
      <c r="S137" s="12">
        <f t="shared" si="8"/>
        <v>0</v>
      </c>
      <c r="T137" s="12">
        <f t="shared" si="8"/>
        <v>0</v>
      </c>
      <c r="U137" s="12">
        <f t="shared" si="8"/>
        <v>0</v>
      </c>
      <c r="V137" s="12">
        <f t="shared" si="8"/>
        <v>0</v>
      </c>
      <c r="W137" s="12">
        <f t="shared" si="8"/>
        <v>0</v>
      </c>
    </row>
    <row r="138" spans="1:25" ht="18.75">
      <c r="A138" s="15"/>
      <c r="B138" s="930"/>
      <c r="C138" s="930"/>
      <c r="D138" s="930"/>
      <c r="E138" s="915"/>
      <c r="F138" s="915"/>
      <c r="G138" s="915"/>
      <c r="H138" s="915"/>
      <c r="I138" s="915"/>
      <c r="J138" s="6"/>
      <c r="K138" s="921" t="s">
        <v>8</v>
      </c>
      <c r="L138" s="922"/>
      <c r="M138" s="922"/>
      <c r="N138" s="922"/>
      <c r="O138" s="922"/>
      <c r="P138" s="922"/>
      <c r="Q138" s="922"/>
      <c r="R138" s="922"/>
      <c r="S138" s="922"/>
      <c r="T138" s="922"/>
      <c r="U138" s="922"/>
      <c r="V138" s="922"/>
      <c r="W138" s="923"/>
    </row>
    <row r="139" spans="1:25" ht="18.75">
      <c r="A139" s="15"/>
      <c r="B139" s="863" t="s">
        <v>9</v>
      </c>
      <c r="C139" s="864"/>
      <c r="D139" s="864"/>
      <c r="E139" s="13"/>
      <c r="F139" s="106"/>
      <c r="G139" s="212"/>
      <c r="H139" s="21"/>
      <c r="I139" s="107"/>
      <c r="J139" s="6"/>
      <c r="L139" s="7"/>
      <c r="M139" s="7"/>
      <c r="N139" s="7"/>
      <c r="O139" s="7"/>
      <c r="P139" s="7"/>
      <c r="Q139" s="7"/>
      <c r="R139" s="7"/>
      <c r="S139" s="7"/>
      <c r="T139" s="7"/>
      <c r="U139" s="7"/>
      <c r="V139" s="7"/>
      <c r="W139" s="7"/>
      <c r="X139" s="7"/>
      <c r="Y139" s="7"/>
    </row>
    <row r="140" spans="1:25" ht="57" customHeight="1" outlineLevel="1" collapsed="1">
      <c r="A140" s="15"/>
      <c r="B140" s="717" t="s">
        <v>58</v>
      </c>
      <c r="C140" s="931" t="s">
        <v>948</v>
      </c>
      <c r="D140" s="735"/>
      <c r="E140" s="88" t="s">
        <v>964</v>
      </c>
      <c r="F140" s="462">
        <f>15032*1.01</f>
        <v>15182.32</v>
      </c>
      <c r="G140" s="236"/>
      <c r="H140" s="465" t="s">
        <v>965</v>
      </c>
      <c r="I140" s="466">
        <f>IF(G59="стена в грунте",1,0)</f>
        <v>1</v>
      </c>
      <c r="J140" s="6"/>
      <c r="K140" s="250"/>
      <c r="L140" s="157">
        <f>$F$140*$I$140*(G60*G61)</f>
        <v>111707411.3336</v>
      </c>
      <c r="M140" s="250"/>
      <c r="N140" s="250"/>
      <c r="O140" s="250"/>
      <c r="P140" s="250"/>
      <c r="Q140" s="250"/>
      <c r="R140" s="250"/>
      <c r="S140" s="250"/>
      <c r="T140" s="250"/>
      <c r="U140" s="250"/>
      <c r="V140" s="250"/>
      <c r="W140" s="250"/>
      <c r="X140" s="250"/>
      <c r="Y140" s="250"/>
    </row>
    <row r="141" spans="1:25" ht="17.25" customHeight="1" outlineLevel="1">
      <c r="A141" s="15"/>
      <c r="B141" s="718"/>
      <c r="C141" s="916" t="s">
        <v>968</v>
      </c>
      <c r="D141" s="38" t="s">
        <v>336</v>
      </c>
      <c r="E141" s="854" t="s">
        <v>351</v>
      </c>
      <c r="F141" s="94">
        <f>36952.1306562218*1.01</f>
        <v>37321.651962784017</v>
      </c>
      <c r="G141" s="240"/>
      <c r="H141" s="695" t="s">
        <v>357</v>
      </c>
      <c r="I141" s="96">
        <f>IF(G57=1,1,0)*IF(G59="up-down",0,1)</f>
        <v>0</v>
      </c>
      <c r="J141" s="136"/>
      <c r="L141" s="728">
        <f>SUMPRODUCT(F141:F148,I141:I148)*G58</f>
        <v>1513644307.4754269</v>
      </c>
      <c r="M141" s="15"/>
      <c r="N141" s="15"/>
      <c r="O141" s="15"/>
      <c r="P141" s="15"/>
      <c r="Q141" s="15"/>
      <c r="R141" s="15"/>
      <c r="S141" s="15"/>
      <c r="T141" s="15"/>
      <c r="U141" s="15"/>
      <c r="V141" s="15"/>
      <c r="W141" s="15"/>
    </row>
    <row r="142" spans="1:25" ht="18.75" outlineLevel="1">
      <c r="A142" s="15"/>
      <c r="B142" s="718"/>
      <c r="C142" s="917"/>
      <c r="D142" s="105" t="s">
        <v>439</v>
      </c>
      <c r="E142" s="874"/>
      <c r="F142" s="92">
        <f>32450.2642868276*1.01</f>
        <v>32774.766929695877</v>
      </c>
      <c r="G142" s="238"/>
      <c r="H142" s="696"/>
      <c r="I142" s="56">
        <f>IF(G57=2,1,0)*IF(G59="up-down",0,1)</f>
        <v>0</v>
      </c>
      <c r="J142" s="136"/>
      <c r="L142" s="729"/>
      <c r="M142" s="15"/>
      <c r="N142" s="15"/>
      <c r="O142" s="15"/>
      <c r="P142" s="15"/>
      <c r="Q142" s="15"/>
      <c r="R142" s="15"/>
      <c r="S142" s="15"/>
      <c r="T142" s="15"/>
      <c r="U142" s="15"/>
      <c r="V142" s="15"/>
      <c r="W142" s="15"/>
    </row>
    <row r="143" spans="1:25" ht="18.75" outlineLevel="1">
      <c r="A143" s="15"/>
      <c r="B143" s="718"/>
      <c r="C143" s="917"/>
      <c r="D143" s="105" t="s">
        <v>440</v>
      </c>
      <c r="E143" s="874"/>
      <c r="F143" s="92">
        <f>34817.6876652113*1.01</f>
        <v>35165.864541863411</v>
      </c>
      <c r="G143" s="238"/>
      <c r="H143" s="696"/>
      <c r="I143" s="56">
        <f>IF(G57=3,1,0)*IF(G59="up-down",0,1)</f>
        <v>1</v>
      </c>
      <c r="J143" s="136"/>
      <c r="L143" s="729"/>
      <c r="M143" s="15"/>
      <c r="N143" s="15"/>
      <c r="O143" s="15"/>
      <c r="P143" s="15"/>
      <c r="Q143" s="15"/>
      <c r="R143" s="15"/>
      <c r="S143" s="15"/>
      <c r="T143" s="15"/>
      <c r="U143" s="15"/>
      <c r="V143" s="15"/>
      <c r="W143" s="15"/>
    </row>
    <row r="144" spans="1:25" ht="17.25" customHeight="1" outlineLevel="1">
      <c r="A144" s="15"/>
      <c r="B144" s="718"/>
      <c r="C144" s="918"/>
      <c r="D144" s="233" t="s">
        <v>441</v>
      </c>
      <c r="E144" s="874"/>
      <c r="F144" s="98">
        <f>38406.028573234*1.01</f>
        <v>38790.088858966337</v>
      </c>
      <c r="G144" s="244"/>
      <c r="H144" s="696"/>
      <c r="I144" s="97">
        <f>IF(G57="3+тех.эт.",1,0)*IF(G59="up-down",0,1)</f>
        <v>0</v>
      </c>
      <c r="J144" s="136"/>
      <c r="L144" s="729"/>
      <c r="M144" s="15"/>
      <c r="N144" s="15"/>
      <c r="O144" s="15"/>
      <c r="P144" s="15"/>
      <c r="Q144" s="15"/>
      <c r="R144" s="15"/>
      <c r="S144" s="15"/>
      <c r="T144" s="15"/>
      <c r="U144" s="15"/>
      <c r="V144" s="15"/>
      <c r="W144" s="15"/>
    </row>
    <row r="145" spans="1:23" ht="17.25" customHeight="1" outlineLevel="1">
      <c r="A145" s="15"/>
      <c r="B145" s="718"/>
      <c r="C145" s="916" t="s">
        <v>739</v>
      </c>
      <c r="D145" s="423" t="s">
        <v>336</v>
      </c>
      <c r="E145" s="874"/>
      <c r="F145" s="94">
        <f>50701.8691305027*1.01</f>
        <v>51208.88782180773</v>
      </c>
      <c r="G145" s="240"/>
      <c r="H145" s="696"/>
      <c r="I145" s="96">
        <f>IF(G57=1,1,0)*IF(G59="up-down",1,0)</f>
        <v>0</v>
      </c>
      <c r="J145" s="136"/>
      <c r="K145" s="250"/>
      <c r="L145" s="729"/>
      <c r="M145" s="15"/>
      <c r="N145" s="15"/>
      <c r="O145" s="15"/>
      <c r="P145" s="15"/>
      <c r="Q145" s="15"/>
      <c r="R145" s="15"/>
      <c r="S145" s="15"/>
      <c r="T145" s="15"/>
      <c r="U145" s="15"/>
      <c r="V145" s="15"/>
      <c r="W145" s="15"/>
    </row>
    <row r="146" spans="1:23" ht="17.25" customHeight="1" outlineLevel="1">
      <c r="A146" s="15"/>
      <c r="B146" s="718"/>
      <c r="C146" s="917"/>
      <c r="D146" s="424" t="s">
        <v>439</v>
      </c>
      <c r="E146" s="874"/>
      <c r="F146" s="92">
        <f>47897.3999272305*1.01</f>
        <v>48376.373926502805</v>
      </c>
      <c r="G146" s="238"/>
      <c r="H146" s="696"/>
      <c r="I146" s="56">
        <f>IF(G57=2,1,0)*IF(G59="up-down",1,0)</f>
        <v>0</v>
      </c>
      <c r="J146" s="136"/>
      <c r="K146" s="250"/>
      <c r="L146" s="729"/>
      <c r="M146" s="15"/>
      <c r="N146" s="15"/>
      <c r="O146" s="15"/>
      <c r="P146" s="15"/>
      <c r="Q146" s="15"/>
      <c r="R146" s="15"/>
      <c r="S146" s="15"/>
      <c r="T146" s="15"/>
      <c r="U146" s="15"/>
      <c r="V146" s="15"/>
      <c r="W146" s="15"/>
    </row>
    <row r="147" spans="1:23" ht="17.25" customHeight="1" outlineLevel="1">
      <c r="A147" s="15"/>
      <c r="B147" s="718"/>
      <c r="C147" s="917"/>
      <c r="D147" s="424" t="s">
        <v>440</v>
      </c>
      <c r="E147" s="874"/>
      <c r="F147" s="92">
        <f>40589.0960462392*1.01</f>
        <v>40994.987006701595</v>
      </c>
      <c r="G147" s="238"/>
      <c r="H147" s="696"/>
      <c r="I147" s="56">
        <f>IF(G57=3,1,0)*IF(G59="up-down",1,0)</f>
        <v>0</v>
      </c>
      <c r="J147" s="136"/>
      <c r="K147" s="250"/>
      <c r="L147" s="729"/>
      <c r="M147" s="15"/>
      <c r="N147" s="15"/>
      <c r="O147" s="15"/>
      <c r="P147" s="15"/>
      <c r="Q147" s="15"/>
      <c r="R147" s="15"/>
      <c r="S147" s="15"/>
      <c r="T147" s="15"/>
      <c r="U147" s="15"/>
      <c r="V147" s="15"/>
      <c r="W147" s="15"/>
    </row>
    <row r="148" spans="1:23" ht="17.25" customHeight="1" outlineLevel="1">
      <c r="A148" s="15"/>
      <c r="B148" s="719"/>
      <c r="C148" s="918"/>
      <c r="D148" s="425" t="s">
        <v>441</v>
      </c>
      <c r="E148" s="874"/>
      <c r="F148" s="98">
        <f>43203.1162234006*1.01</f>
        <v>43635.147385634606</v>
      </c>
      <c r="G148" s="244"/>
      <c r="H148" s="697"/>
      <c r="I148" s="97">
        <f>IF(G57="3+тех.эт.",1,0)*IF(G59="up-down",1,0)</f>
        <v>0</v>
      </c>
      <c r="J148" s="136"/>
      <c r="K148" s="250"/>
      <c r="L148" s="730"/>
      <c r="M148" s="15"/>
      <c r="N148" s="15"/>
      <c r="O148" s="15"/>
      <c r="P148" s="15"/>
      <c r="Q148" s="15"/>
      <c r="R148" s="15"/>
      <c r="S148" s="15"/>
      <c r="T148" s="15"/>
      <c r="U148" s="15"/>
      <c r="V148" s="15"/>
      <c r="W148" s="15"/>
    </row>
    <row r="149" spans="1:23" ht="34.5" customHeight="1" outlineLevel="1">
      <c r="A149" s="15"/>
      <c r="B149" s="718" t="str">
        <f>B140</f>
        <v>Конструктив ниже 0</v>
      </c>
      <c r="C149" s="860"/>
      <c r="D149" s="105" t="s">
        <v>442</v>
      </c>
      <c r="E149" s="874"/>
      <c r="F149" s="94">
        <f>7787.82568937907*1.01</f>
        <v>7865.7039462728608</v>
      </c>
      <c r="G149" s="240"/>
      <c r="H149" s="187" t="s">
        <v>444</v>
      </c>
      <c r="I149" s="160">
        <v>1</v>
      </c>
      <c r="J149" s="136"/>
      <c r="M149" s="157">
        <f t="shared" ref="M149:W149" si="9">$F$149*$I$149*H56</f>
        <v>11645174.69245697</v>
      </c>
      <c r="N149" s="157">
        <f t="shared" si="9"/>
        <v>8082010.8047953648</v>
      </c>
      <c r="O149" s="157">
        <f t="shared" si="9"/>
        <v>15652750.853082992</v>
      </c>
      <c r="P149" s="157">
        <f t="shared" si="9"/>
        <v>8469003.4389519896</v>
      </c>
      <c r="Q149" s="157">
        <f t="shared" si="9"/>
        <v>0</v>
      </c>
      <c r="R149" s="157">
        <f t="shared" si="9"/>
        <v>0</v>
      </c>
      <c r="S149" s="157">
        <f t="shared" si="9"/>
        <v>0</v>
      </c>
      <c r="T149" s="157">
        <f t="shared" si="9"/>
        <v>0</v>
      </c>
      <c r="U149" s="157">
        <f t="shared" si="9"/>
        <v>0</v>
      </c>
      <c r="V149" s="157">
        <f t="shared" si="9"/>
        <v>0</v>
      </c>
      <c r="W149" s="157">
        <f t="shared" si="9"/>
        <v>0</v>
      </c>
    </row>
    <row r="150" spans="1:23" ht="34.5" customHeight="1" outlineLevel="1">
      <c r="A150" s="15"/>
      <c r="B150" s="719"/>
      <c r="C150" s="843"/>
      <c r="D150" s="132" t="s">
        <v>443</v>
      </c>
      <c r="E150" s="855"/>
      <c r="F150" s="95">
        <f>21554.6888046184*1.01</f>
        <v>21770.235692664584</v>
      </c>
      <c r="G150" s="239"/>
      <c r="H150" s="188" t="s">
        <v>445</v>
      </c>
      <c r="I150" s="57">
        <v>1</v>
      </c>
      <c r="J150" s="136"/>
      <c r="M150" s="157">
        <f t="shared" ref="M150:W150" si="10">IF(H56=0,$F$150*$I$150*H66,0)</f>
        <v>0</v>
      </c>
      <c r="N150" s="157">
        <f t="shared" si="10"/>
        <v>0</v>
      </c>
      <c r="O150" s="157">
        <f t="shared" si="10"/>
        <v>0</v>
      </c>
      <c r="P150" s="157">
        <f t="shared" si="10"/>
        <v>0</v>
      </c>
      <c r="Q150" s="157">
        <f t="shared" si="10"/>
        <v>0</v>
      </c>
      <c r="R150" s="157">
        <f t="shared" si="10"/>
        <v>0</v>
      </c>
      <c r="S150" s="157">
        <f t="shared" si="10"/>
        <v>0</v>
      </c>
      <c r="T150" s="157">
        <f t="shared" si="10"/>
        <v>0</v>
      </c>
      <c r="U150" s="157">
        <f t="shared" si="10"/>
        <v>0</v>
      </c>
      <c r="V150" s="157">
        <f t="shared" si="10"/>
        <v>0</v>
      </c>
      <c r="W150" s="157">
        <f t="shared" si="10"/>
        <v>0</v>
      </c>
    </row>
    <row r="151" spans="1:23" ht="18.75" outlineLevel="1">
      <c r="A151" s="15"/>
      <c r="B151" s="182"/>
      <c r="C151" s="208"/>
      <c r="D151" s="931" t="s">
        <v>448</v>
      </c>
      <c r="E151" s="735"/>
      <c r="F151" s="95">
        <f>17480.1026629769*1.01</f>
        <v>17654.903689606668</v>
      </c>
      <c r="G151" s="242"/>
      <c r="H151" s="695" t="s">
        <v>13</v>
      </c>
      <c r="I151" s="131">
        <v>1</v>
      </c>
      <c r="J151" s="136"/>
      <c r="L151" s="7"/>
      <c r="M151" s="157">
        <f t="shared" ref="M151:W151" si="11">IF(H69=0,0,$F$151*$I$151*H69*IF(H67="редев",1,0))</f>
        <v>0</v>
      </c>
      <c r="N151" s="157">
        <f t="shared" si="11"/>
        <v>0</v>
      </c>
      <c r="O151" s="157">
        <f t="shared" si="11"/>
        <v>0</v>
      </c>
      <c r="P151" s="157">
        <f t="shared" si="11"/>
        <v>0</v>
      </c>
      <c r="Q151" s="157">
        <f t="shared" si="11"/>
        <v>0</v>
      </c>
      <c r="R151" s="157">
        <f t="shared" si="11"/>
        <v>0</v>
      </c>
      <c r="S151" s="157">
        <f t="shared" si="11"/>
        <v>0</v>
      </c>
      <c r="T151" s="157">
        <f t="shared" si="11"/>
        <v>0</v>
      </c>
      <c r="U151" s="157">
        <f t="shared" si="11"/>
        <v>0</v>
      </c>
      <c r="V151" s="157">
        <f t="shared" si="11"/>
        <v>0</v>
      </c>
      <c r="W151" s="157">
        <f t="shared" si="11"/>
        <v>0</v>
      </c>
    </row>
    <row r="152" spans="1:23" ht="18.75" outlineLevel="1">
      <c r="A152" s="15"/>
      <c r="B152" s="717" t="s">
        <v>12</v>
      </c>
      <c r="C152" s="910"/>
      <c r="D152" s="858"/>
      <c r="E152" s="708" t="s">
        <v>335</v>
      </c>
      <c r="F152" s="94">
        <f>4812.78034088961*1.01</f>
        <v>4860.9081442985062</v>
      </c>
      <c r="G152" s="259" t="s">
        <v>450</v>
      </c>
      <c r="H152" s="696"/>
      <c r="I152" s="136"/>
      <c r="J152" s="136"/>
      <c r="L152" s="213"/>
      <c r="M152" s="261">
        <f t="shared" ref="M152:W152" si="12">$F$152*H$69*IF(H$64&lt;=40,1,0)*IF(H$67="дев",1,0)</f>
        <v>0</v>
      </c>
      <c r="N152" s="261">
        <f t="shared" si="12"/>
        <v>0</v>
      </c>
      <c r="O152" s="261">
        <f t="shared" si="12"/>
        <v>0</v>
      </c>
      <c r="P152" s="261">
        <f t="shared" si="12"/>
        <v>15701219.396898607</v>
      </c>
      <c r="Q152" s="261">
        <f t="shared" si="12"/>
        <v>0</v>
      </c>
      <c r="R152" s="261">
        <f t="shared" si="12"/>
        <v>0</v>
      </c>
      <c r="S152" s="261">
        <f t="shared" si="12"/>
        <v>0</v>
      </c>
      <c r="T152" s="261">
        <f t="shared" si="12"/>
        <v>0</v>
      </c>
      <c r="U152" s="261">
        <f t="shared" si="12"/>
        <v>0</v>
      </c>
      <c r="V152" s="261">
        <f t="shared" si="12"/>
        <v>0</v>
      </c>
      <c r="W152" s="261">
        <f t="shared" si="12"/>
        <v>0</v>
      </c>
    </row>
    <row r="153" spans="1:23" ht="18.75" outlineLevel="1">
      <c r="A153" s="15"/>
      <c r="B153" s="718"/>
      <c r="C153" s="813"/>
      <c r="D153" s="860"/>
      <c r="E153" s="709"/>
      <c r="F153" s="92">
        <f>4912.51517877108*1.01</f>
        <v>4961.640330558791</v>
      </c>
      <c r="G153" s="260" t="s">
        <v>451</v>
      </c>
      <c r="H153" s="696"/>
      <c r="I153" s="136"/>
      <c r="J153" s="136"/>
      <c r="L153" s="213"/>
      <c r="M153" s="262">
        <f t="shared" ref="M153:W153" si="13">$F$153*H$69*IF(AND(H$64&gt;40,H$64&lt;=50),1,0)*IF(H$67="дев",1,0)</f>
        <v>0</v>
      </c>
      <c r="N153" s="262">
        <f t="shared" si="13"/>
        <v>0</v>
      </c>
      <c r="O153" s="262">
        <f t="shared" si="13"/>
        <v>0</v>
      </c>
      <c r="P153" s="262">
        <f t="shared" si="13"/>
        <v>0</v>
      </c>
      <c r="Q153" s="262">
        <f t="shared" si="13"/>
        <v>0</v>
      </c>
      <c r="R153" s="262">
        <f t="shared" si="13"/>
        <v>0</v>
      </c>
      <c r="S153" s="262">
        <f t="shared" si="13"/>
        <v>0</v>
      </c>
      <c r="T153" s="262">
        <f t="shared" si="13"/>
        <v>0</v>
      </c>
      <c r="U153" s="262">
        <f t="shared" si="13"/>
        <v>0</v>
      </c>
      <c r="V153" s="262">
        <f t="shared" si="13"/>
        <v>0</v>
      </c>
      <c r="W153" s="262">
        <f t="shared" si="13"/>
        <v>0</v>
      </c>
    </row>
    <row r="154" spans="1:23" ht="18.75" outlineLevel="1">
      <c r="A154" s="15"/>
      <c r="B154" s="718"/>
      <c r="C154" s="813"/>
      <c r="D154" s="860"/>
      <c r="E154" s="709"/>
      <c r="F154" s="92">
        <f>4864.12763278741*1.01</f>
        <v>4912.7689091152843</v>
      </c>
      <c r="G154" s="260" t="s">
        <v>452</v>
      </c>
      <c r="H154" s="696"/>
      <c r="I154" s="136"/>
      <c r="J154" s="136"/>
      <c r="L154" s="213"/>
      <c r="M154" s="262">
        <f t="shared" ref="M154:W154" si="14">$F$154*H$69*IF(AND(H$64&gt;50,H$64&lt;=70),1,0)*IF(H$67="дев",1,0)</f>
        <v>0</v>
      </c>
      <c r="N154" s="262">
        <f t="shared" si="14"/>
        <v>0</v>
      </c>
      <c r="O154" s="262">
        <f t="shared" si="14"/>
        <v>0</v>
      </c>
      <c r="P154" s="262">
        <f t="shared" si="14"/>
        <v>0</v>
      </c>
      <c r="Q154" s="262">
        <f t="shared" si="14"/>
        <v>0</v>
      </c>
      <c r="R154" s="262">
        <f t="shared" si="14"/>
        <v>0</v>
      </c>
      <c r="S154" s="262">
        <f t="shared" si="14"/>
        <v>0</v>
      </c>
      <c r="T154" s="262">
        <f t="shared" si="14"/>
        <v>0</v>
      </c>
      <c r="U154" s="262">
        <f t="shared" si="14"/>
        <v>0</v>
      </c>
      <c r="V154" s="262">
        <f t="shared" si="14"/>
        <v>0</v>
      </c>
      <c r="W154" s="262">
        <f t="shared" si="14"/>
        <v>0</v>
      </c>
    </row>
    <row r="155" spans="1:23" ht="18.75" outlineLevel="1">
      <c r="A155" s="15"/>
      <c r="B155" s="718"/>
      <c r="C155" s="813"/>
      <c r="D155" s="860"/>
      <c r="E155" s="709"/>
      <c r="F155" s="92">
        <f>9122.49343168457*1.01</f>
        <v>9213.7183660014161</v>
      </c>
      <c r="G155" s="260" t="s">
        <v>534</v>
      </c>
      <c r="H155" s="696"/>
      <c r="I155" s="136"/>
      <c r="J155" s="136"/>
      <c r="L155" s="213"/>
      <c r="M155" s="262">
        <f t="shared" ref="M155:W155" si="15">$F$155*H$69*IF(AND(H$64&gt;70,H$64&lt;=100),1,0)*IF(H$67="дев",1,0)</f>
        <v>370984240.88135141</v>
      </c>
      <c r="N155" s="262">
        <f t="shared" si="15"/>
        <v>260894304.5829432</v>
      </c>
      <c r="O155" s="262">
        <f t="shared" si="15"/>
        <v>373938158.98949146</v>
      </c>
      <c r="P155" s="262">
        <f t="shared" si="15"/>
        <v>0</v>
      </c>
      <c r="Q155" s="262">
        <f t="shared" si="15"/>
        <v>0</v>
      </c>
      <c r="R155" s="262">
        <f t="shared" si="15"/>
        <v>0</v>
      </c>
      <c r="S155" s="262">
        <f t="shared" si="15"/>
        <v>0</v>
      </c>
      <c r="T155" s="262">
        <f t="shared" si="15"/>
        <v>0</v>
      </c>
      <c r="U155" s="262">
        <f t="shared" si="15"/>
        <v>0</v>
      </c>
      <c r="V155" s="262">
        <f t="shared" si="15"/>
        <v>0</v>
      </c>
      <c r="W155" s="262">
        <f t="shared" si="15"/>
        <v>0</v>
      </c>
    </row>
    <row r="156" spans="1:23" ht="18.75" outlineLevel="1">
      <c r="A156" s="15"/>
      <c r="B156" s="718"/>
      <c r="C156" s="813"/>
      <c r="D156" s="860"/>
      <c r="E156" s="709"/>
      <c r="F156" s="92">
        <f>11251.6763311331*1.01</f>
        <v>11364.19309444443</v>
      </c>
      <c r="G156" s="260" t="s">
        <v>535</v>
      </c>
      <c r="H156" s="696"/>
      <c r="I156" s="136"/>
      <c r="J156" s="136"/>
      <c r="L156" s="213"/>
      <c r="M156" s="304">
        <f t="shared" ref="M156:W156" si="16">$F$156*H$69*IF(AND(H$64&gt;100,H$64&lt;=130),1,0)*IF(H$67="дев",1,0)</f>
        <v>0</v>
      </c>
      <c r="N156" s="304">
        <f t="shared" si="16"/>
        <v>0</v>
      </c>
      <c r="O156" s="304">
        <f t="shared" si="16"/>
        <v>0</v>
      </c>
      <c r="P156" s="304">
        <f t="shared" si="16"/>
        <v>0</v>
      </c>
      <c r="Q156" s="304">
        <f t="shared" si="16"/>
        <v>0</v>
      </c>
      <c r="R156" s="304">
        <f t="shared" si="16"/>
        <v>0</v>
      </c>
      <c r="S156" s="304">
        <f t="shared" si="16"/>
        <v>0</v>
      </c>
      <c r="T156" s="304">
        <f t="shared" si="16"/>
        <v>0</v>
      </c>
      <c r="U156" s="304">
        <f t="shared" si="16"/>
        <v>0</v>
      </c>
      <c r="V156" s="304">
        <f t="shared" si="16"/>
        <v>0</v>
      </c>
      <c r="W156" s="304">
        <f t="shared" si="16"/>
        <v>0</v>
      </c>
    </row>
    <row r="157" spans="1:23" ht="18.75" outlineLevel="1">
      <c r="A157" s="15"/>
      <c r="B157" s="718"/>
      <c r="C157" s="813"/>
      <c r="D157" s="860"/>
      <c r="E157" s="710"/>
      <c r="F157" s="95">
        <f>13380.8592305817*1.01</f>
        <v>13514.667822887517</v>
      </c>
      <c r="G157" s="258" t="s">
        <v>453</v>
      </c>
      <c r="H157" s="697"/>
      <c r="I157" s="136"/>
      <c r="J157" s="136"/>
      <c r="L157" s="213"/>
      <c r="M157" s="214">
        <f t="shared" ref="M157:W157" si="17">$F$157*H$69*IF(H$64&gt;130,1,0)*IF(H$67="дев",1,0)</f>
        <v>0</v>
      </c>
      <c r="N157" s="214">
        <f t="shared" si="17"/>
        <v>0</v>
      </c>
      <c r="O157" s="214">
        <f t="shared" si="17"/>
        <v>0</v>
      </c>
      <c r="P157" s="214">
        <f t="shared" si="17"/>
        <v>0</v>
      </c>
      <c r="Q157" s="214">
        <f t="shared" si="17"/>
        <v>0</v>
      </c>
      <c r="R157" s="214">
        <f t="shared" si="17"/>
        <v>0</v>
      </c>
      <c r="S157" s="214">
        <f t="shared" si="17"/>
        <v>0</v>
      </c>
      <c r="T157" s="214">
        <f t="shared" si="17"/>
        <v>0</v>
      </c>
      <c r="U157" s="214">
        <f t="shared" si="17"/>
        <v>0</v>
      </c>
      <c r="V157" s="214">
        <f t="shared" si="17"/>
        <v>0</v>
      </c>
      <c r="W157" s="214">
        <f t="shared" si="17"/>
        <v>0</v>
      </c>
    </row>
    <row r="158" spans="1:23" ht="18.75" outlineLevel="1">
      <c r="A158" s="15"/>
      <c r="B158" s="718"/>
      <c r="C158" s="813"/>
      <c r="D158" s="860"/>
      <c r="E158" s="708" t="s">
        <v>352</v>
      </c>
      <c r="F158" s="94">
        <f>1312.90933476164*1.01</f>
        <v>1326.0384281092563</v>
      </c>
      <c r="G158" s="259" t="str">
        <f t="shared" ref="G158:G163" si="18">G152</f>
        <v>до 40 м</v>
      </c>
      <c r="H158" s="695" t="s">
        <v>449</v>
      </c>
      <c r="I158" s="136"/>
      <c r="J158" s="136"/>
      <c r="L158" s="7"/>
      <c r="M158" s="215">
        <f t="shared" ref="M158:W158" si="19">$F$158*H$66*H$64*IF(H$64&lt;=40,1,0)*IF(H$67="дев",1,0)</f>
        <v>0</v>
      </c>
      <c r="N158" s="215">
        <f t="shared" si="19"/>
        <v>0</v>
      </c>
      <c r="O158" s="215">
        <f t="shared" si="19"/>
        <v>0</v>
      </c>
      <c r="P158" s="215">
        <f t="shared" si="19"/>
        <v>18132368.809424501</v>
      </c>
      <c r="Q158" s="215">
        <f t="shared" si="19"/>
        <v>0</v>
      </c>
      <c r="R158" s="215">
        <f t="shared" si="19"/>
        <v>0</v>
      </c>
      <c r="S158" s="215">
        <f t="shared" si="19"/>
        <v>0</v>
      </c>
      <c r="T158" s="215">
        <f t="shared" si="19"/>
        <v>0</v>
      </c>
      <c r="U158" s="215">
        <f t="shared" si="19"/>
        <v>0</v>
      </c>
      <c r="V158" s="215">
        <f t="shared" si="19"/>
        <v>0</v>
      </c>
      <c r="W158" s="215">
        <f t="shared" si="19"/>
        <v>0</v>
      </c>
    </row>
    <row r="159" spans="1:23" ht="18.75" outlineLevel="1">
      <c r="A159" s="15"/>
      <c r="B159" s="718"/>
      <c r="C159" s="813"/>
      <c r="D159" s="860"/>
      <c r="E159" s="709"/>
      <c r="F159" s="92">
        <f>1337.52612285892*1.01</f>
        <v>1350.9013840875091</v>
      </c>
      <c r="G159" s="260" t="str">
        <f t="shared" si="18"/>
        <v>от 41 до 50 м</v>
      </c>
      <c r="H159" s="696"/>
      <c r="I159" s="136"/>
      <c r="J159" s="136"/>
      <c r="L159" s="7"/>
      <c r="M159" s="211">
        <f t="shared" ref="M159:W159" si="20">$F$159*H$66*H$64*IF(AND(H$64&gt;40,H$64&lt;=50),1,0)*IF(H$67="дев",1,0)</f>
        <v>0</v>
      </c>
      <c r="N159" s="211">
        <f t="shared" si="20"/>
        <v>0</v>
      </c>
      <c r="O159" s="211">
        <f t="shared" si="20"/>
        <v>0</v>
      </c>
      <c r="P159" s="211">
        <f t="shared" si="20"/>
        <v>0</v>
      </c>
      <c r="Q159" s="211">
        <f t="shared" si="20"/>
        <v>0</v>
      </c>
      <c r="R159" s="211">
        <f t="shared" si="20"/>
        <v>0</v>
      </c>
      <c r="S159" s="211">
        <f t="shared" si="20"/>
        <v>0</v>
      </c>
      <c r="T159" s="211">
        <f t="shared" si="20"/>
        <v>0</v>
      </c>
      <c r="U159" s="211">
        <f t="shared" si="20"/>
        <v>0</v>
      </c>
      <c r="V159" s="211">
        <f t="shared" si="20"/>
        <v>0</v>
      </c>
      <c r="W159" s="211">
        <f t="shared" si="20"/>
        <v>0</v>
      </c>
    </row>
    <row r="160" spans="1:23" ht="18.75" outlineLevel="1">
      <c r="A160" s="15"/>
      <c r="B160" s="718"/>
      <c r="C160" s="813"/>
      <c r="D160" s="860"/>
      <c r="E160" s="709"/>
      <c r="F160" s="92">
        <f>1216.72088728109*1.01</f>
        <v>1228.888096153901</v>
      </c>
      <c r="G160" s="260" t="str">
        <f t="shared" si="18"/>
        <v>от 51 до 70 м</v>
      </c>
      <c r="H160" s="696"/>
      <c r="I160" s="136"/>
      <c r="J160" s="136"/>
      <c r="L160" s="7"/>
      <c r="M160" s="211">
        <f t="shared" ref="M160:W160" si="21">$F$160*H$66*H$64*IF(AND(H$64&gt;50,H$64&lt;=70),1,0)*IF(H$67="дев",1,0)</f>
        <v>0</v>
      </c>
      <c r="N160" s="211">
        <f t="shared" si="21"/>
        <v>0</v>
      </c>
      <c r="O160" s="211">
        <f t="shared" si="21"/>
        <v>0</v>
      </c>
      <c r="P160" s="211">
        <f t="shared" si="21"/>
        <v>0</v>
      </c>
      <c r="Q160" s="211">
        <f t="shared" si="21"/>
        <v>0</v>
      </c>
      <c r="R160" s="211">
        <f t="shared" si="21"/>
        <v>0</v>
      </c>
      <c r="S160" s="211">
        <f t="shared" si="21"/>
        <v>0</v>
      </c>
      <c r="T160" s="211">
        <f t="shared" si="21"/>
        <v>0</v>
      </c>
      <c r="U160" s="211">
        <f t="shared" si="21"/>
        <v>0</v>
      </c>
      <c r="V160" s="211">
        <f t="shared" si="21"/>
        <v>0</v>
      </c>
      <c r="W160" s="211">
        <f t="shared" si="21"/>
        <v>0</v>
      </c>
    </row>
    <row r="161" spans="1:28" ht="18.75" outlineLevel="1">
      <c r="A161" s="15"/>
      <c r="B161" s="718"/>
      <c r="C161" s="813"/>
      <c r="D161" s="860"/>
      <c r="E161" s="709"/>
      <c r="F161" s="92">
        <f>1507.73038698964*1.01</f>
        <v>1522.8076908595365</v>
      </c>
      <c r="G161" s="260" t="str">
        <f t="shared" si="18"/>
        <v>от 71 до 100 м</v>
      </c>
      <c r="H161" s="696"/>
      <c r="I161" s="136"/>
      <c r="J161" s="136"/>
      <c r="L161" s="7"/>
      <c r="M161" s="211">
        <f t="shared" ref="M161:W161" si="22">$F$161*H$66*H$64*IF(AND(H$64&gt;70,H$64&lt;=100),1,0)*IF(H$67="дев",1,0)</f>
        <v>210596855.12999466</v>
      </c>
      <c r="N161" s="211">
        <f t="shared" si="22"/>
        <v>152514983.52971086</v>
      </c>
      <c r="O161" s="211">
        <f t="shared" si="22"/>
        <v>247258450.28743804</v>
      </c>
      <c r="P161" s="211">
        <f t="shared" si="22"/>
        <v>0</v>
      </c>
      <c r="Q161" s="211">
        <f t="shared" si="22"/>
        <v>0</v>
      </c>
      <c r="R161" s="211">
        <f t="shared" si="22"/>
        <v>0</v>
      </c>
      <c r="S161" s="211">
        <f t="shared" si="22"/>
        <v>0</v>
      </c>
      <c r="T161" s="211">
        <f t="shared" si="22"/>
        <v>0</v>
      </c>
      <c r="U161" s="211">
        <f t="shared" si="22"/>
        <v>0</v>
      </c>
      <c r="V161" s="211">
        <f t="shared" si="22"/>
        <v>0</v>
      </c>
      <c r="W161" s="211">
        <f t="shared" si="22"/>
        <v>0</v>
      </c>
    </row>
    <row r="162" spans="1:28" ht="18.75" outlineLevel="1">
      <c r="A162" s="15"/>
      <c r="B162" s="718"/>
      <c r="C162" s="813"/>
      <c r="D162" s="860"/>
      <c r="E162" s="709"/>
      <c r="F162" s="92">
        <f>1653.23513684391*1.01</f>
        <v>1669.767488212349</v>
      </c>
      <c r="G162" s="260" t="str">
        <f t="shared" si="18"/>
        <v>от 101 до 130 м</v>
      </c>
      <c r="H162" s="696"/>
      <c r="I162" s="136"/>
      <c r="J162" s="136"/>
      <c r="L162" s="7"/>
      <c r="M162" s="216">
        <f t="shared" ref="M162:W162" si="23">$F$162*H$66*H$64*IF(AND(H$64&gt;100,H$64&lt;=130),1,0)*IF(H$67="дев",1,0)</f>
        <v>0</v>
      </c>
      <c r="N162" s="216">
        <f t="shared" si="23"/>
        <v>0</v>
      </c>
      <c r="O162" s="216">
        <f t="shared" si="23"/>
        <v>0</v>
      </c>
      <c r="P162" s="216">
        <f t="shared" si="23"/>
        <v>0</v>
      </c>
      <c r="Q162" s="216">
        <f t="shared" si="23"/>
        <v>0</v>
      </c>
      <c r="R162" s="216">
        <f t="shared" si="23"/>
        <v>0</v>
      </c>
      <c r="S162" s="216">
        <f t="shared" si="23"/>
        <v>0</v>
      </c>
      <c r="T162" s="216">
        <f t="shared" si="23"/>
        <v>0</v>
      </c>
      <c r="U162" s="216">
        <f t="shared" si="23"/>
        <v>0</v>
      </c>
      <c r="V162" s="216">
        <f t="shared" si="23"/>
        <v>0</v>
      </c>
      <c r="W162" s="216">
        <f t="shared" si="23"/>
        <v>0</v>
      </c>
    </row>
    <row r="163" spans="1:28" ht="18.75" outlineLevel="1">
      <c r="A163" s="15"/>
      <c r="B163" s="719"/>
      <c r="C163" s="814"/>
      <c r="D163" s="843"/>
      <c r="E163" s="710"/>
      <c r="F163" s="95">
        <f>1798.73988669819*1.01</f>
        <v>1816.727285565172</v>
      </c>
      <c r="G163" s="258" t="str">
        <f t="shared" si="18"/>
        <v>свыше 131 м</v>
      </c>
      <c r="H163" s="697"/>
      <c r="I163" s="136"/>
      <c r="J163" s="136"/>
      <c r="L163" s="7"/>
      <c r="M163" s="214">
        <f t="shared" ref="M163:W163" si="24">$F$163*H$66*H$64*IF(H$64&gt;130,1,0)*IF(H$67="дев",1,0)</f>
        <v>0</v>
      </c>
      <c r="N163" s="214">
        <f t="shared" si="24"/>
        <v>0</v>
      </c>
      <c r="O163" s="214">
        <f t="shared" si="24"/>
        <v>0</v>
      </c>
      <c r="P163" s="214">
        <f t="shared" si="24"/>
        <v>0</v>
      </c>
      <c r="Q163" s="214">
        <f t="shared" si="24"/>
        <v>0</v>
      </c>
      <c r="R163" s="214">
        <f t="shared" si="24"/>
        <v>0</v>
      </c>
      <c r="S163" s="214">
        <f t="shared" si="24"/>
        <v>0</v>
      </c>
      <c r="T163" s="214">
        <f t="shared" si="24"/>
        <v>0</v>
      </c>
      <c r="U163" s="214">
        <f t="shared" si="24"/>
        <v>0</v>
      </c>
      <c r="V163" s="214">
        <f t="shared" si="24"/>
        <v>0</v>
      </c>
      <c r="W163" s="214">
        <f t="shared" si="24"/>
        <v>0</v>
      </c>
    </row>
    <row r="164" spans="1:28" ht="18.75">
      <c r="A164" s="15"/>
      <c r="B164" s="863" t="s">
        <v>14</v>
      </c>
      <c r="C164" s="864"/>
      <c r="D164" s="864"/>
      <c r="E164" s="183"/>
      <c r="F164" s="21"/>
      <c r="G164" s="21"/>
      <c r="H164" s="21"/>
      <c r="I164" s="22"/>
      <c r="J164" s="14"/>
      <c r="K164" s="14"/>
      <c r="L164" s="14"/>
      <c r="M164" s="14"/>
      <c r="N164" s="14"/>
      <c r="O164" s="14"/>
      <c r="P164" s="14"/>
      <c r="Q164" s="14"/>
      <c r="R164" s="14"/>
      <c r="S164" s="14"/>
      <c r="T164" s="14"/>
      <c r="U164" s="14"/>
      <c r="V164" s="14"/>
      <c r="W164" s="14"/>
      <c r="X164" s="14"/>
    </row>
    <row r="165" spans="1:28" ht="18.75" outlineLevel="1">
      <c r="A165" s="15"/>
      <c r="B165" s="492" t="s">
        <v>521</v>
      </c>
      <c r="C165" s="521"/>
      <c r="D165" s="14"/>
      <c r="E165" s="14"/>
      <c r="F165" s="14"/>
      <c r="G165" s="14"/>
      <c r="H165" s="14"/>
      <c r="I165" s="14"/>
      <c r="J165" s="14"/>
      <c r="K165" s="14"/>
      <c r="L165" s="14"/>
      <c r="M165" s="14"/>
      <c r="N165" s="14"/>
      <c r="O165" s="14"/>
      <c r="P165" s="14"/>
      <c r="Q165" s="14"/>
      <c r="R165" s="14"/>
      <c r="S165" s="14"/>
      <c r="T165" s="14"/>
      <c r="U165" s="14"/>
      <c r="V165" s="14"/>
      <c r="W165" s="14"/>
      <c r="X165" s="14"/>
      <c r="AB165" t="s">
        <v>420</v>
      </c>
    </row>
    <row r="166" spans="1:28" ht="18.75" customHeight="1" outlineLevel="2">
      <c r="A166" s="15"/>
      <c r="B166" s="698" t="s">
        <v>939</v>
      </c>
      <c r="C166" s="756" t="s">
        <v>933</v>
      </c>
      <c r="D166" s="809" t="s">
        <v>32</v>
      </c>
      <c r="E166" s="23" t="s">
        <v>473</v>
      </c>
      <c r="F166" s="94">
        <v>17815.992423790791</v>
      </c>
      <c r="G166" s="240"/>
      <c r="H166" s="695" t="s">
        <v>934</v>
      </c>
      <c r="I166" s="800">
        <f>100%-I186</f>
        <v>0.7492275015909251</v>
      </c>
      <c r="J166" s="821">
        <f>100%-J186</f>
        <v>0.36655760692966444</v>
      </c>
      <c r="M166" s="279">
        <f t="shared" ref="M166:W166" si="25">(($F166+$G166*курс)*H$77*$I$166+($F166+$G166*курс)*H$78*$J$166)*IF(H$122="Комфорт",1,0)*IF(H$64&lt;=75,1,0)</f>
        <v>0</v>
      </c>
      <c r="N166" s="279">
        <f t="shared" si="25"/>
        <v>0</v>
      </c>
      <c r="O166" s="279">
        <f t="shared" si="25"/>
        <v>0</v>
      </c>
      <c r="P166" s="279">
        <f t="shared" si="25"/>
        <v>0</v>
      </c>
      <c r="Q166" s="279">
        <f t="shared" si="25"/>
        <v>0</v>
      </c>
      <c r="R166" s="279">
        <f t="shared" si="25"/>
        <v>0</v>
      </c>
      <c r="S166" s="279">
        <f t="shared" si="25"/>
        <v>0</v>
      </c>
      <c r="T166" s="279">
        <f t="shared" si="25"/>
        <v>0</v>
      </c>
      <c r="U166" s="279">
        <f t="shared" si="25"/>
        <v>0</v>
      </c>
      <c r="V166" s="279">
        <f t="shared" si="25"/>
        <v>0</v>
      </c>
      <c r="W166" s="279">
        <f t="shared" si="25"/>
        <v>0</v>
      </c>
    </row>
    <row r="167" spans="1:28" ht="18.75" customHeight="1" outlineLevel="2">
      <c r="A167" s="15"/>
      <c r="B167" s="690"/>
      <c r="C167" s="757"/>
      <c r="D167" s="810"/>
      <c r="E167" s="40" t="s">
        <v>508</v>
      </c>
      <c r="F167" s="92">
        <v>18094.163947128036</v>
      </c>
      <c r="G167" s="238"/>
      <c r="H167" s="696"/>
      <c r="I167" s="801"/>
      <c r="J167" s="822"/>
      <c r="M167" s="289">
        <f t="shared" ref="M167:W167" si="26">(($F167+$G167*курс)*H$77*$I$166+($F167+$G167*курс)*H$78*$J$166)*IF(H$122="Комфорт",1,0)*IF(AND(H$64&gt;75,H$64&lt;=120),1,0)</f>
        <v>0</v>
      </c>
      <c r="N167" s="289">
        <f t="shared" si="26"/>
        <v>0</v>
      </c>
      <c r="O167" s="289">
        <f t="shared" si="26"/>
        <v>0</v>
      </c>
      <c r="P167" s="289">
        <f t="shared" si="26"/>
        <v>0</v>
      </c>
      <c r="Q167" s="289">
        <f t="shared" si="26"/>
        <v>0</v>
      </c>
      <c r="R167" s="289">
        <f t="shared" si="26"/>
        <v>0</v>
      </c>
      <c r="S167" s="289">
        <f t="shared" si="26"/>
        <v>0</v>
      </c>
      <c r="T167" s="289">
        <f t="shared" si="26"/>
        <v>0</v>
      </c>
      <c r="U167" s="289">
        <f t="shared" si="26"/>
        <v>0</v>
      </c>
      <c r="V167" s="289">
        <f t="shared" si="26"/>
        <v>0</v>
      </c>
      <c r="W167" s="289">
        <f t="shared" si="26"/>
        <v>0</v>
      </c>
    </row>
    <row r="168" spans="1:28" ht="18.75" customHeight="1" outlineLevel="2">
      <c r="A168" s="15"/>
      <c r="B168" s="690"/>
      <c r="C168" s="757"/>
      <c r="D168" s="811"/>
      <c r="E168" s="129" t="s">
        <v>509</v>
      </c>
      <c r="F168" s="158">
        <v>18279.611629352868</v>
      </c>
      <c r="G168" s="247"/>
      <c r="H168" s="696"/>
      <c r="I168" s="802"/>
      <c r="J168" s="822"/>
      <c r="M168" s="290">
        <f t="shared" ref="M168:W168" si="27">(($F168+$G168*курс)*H$77*$I$166+($F168+$G168*курс)*H$78*$J$166)*IF(H$122="Комфорт",1,0)*IF(H$64&gt;120,1,0)</f>
        <v>0</v>
      </c>
      <c r="N168" s="290">
        <f t="shared" si="27"/>
        <v>0</v>
      </c>
      <c r="O168" s="290">
        <f t="shared" si="27"/>
        <v>0</v>
      </c>
      <c r="P168" s="290">
        <f t="shared" si="27"/>
        <v>0</v>
      </c>
      <c r="Q168" s="290">
        <f t="shared" si="27"/>
        <v>0</v>
      </c>
      <c r="R168" s="290">
        <f t="shared" si="27"/>
        <v>0</v>
      </c>
      <c r="S168" s="290">
        <f t="shared" si="27"/>
        <v>0</v>
      </c>
      <c r="T168" s="290">
        <f t="shared" si="27"/>
        <v>0</v>
      </c>
      <c r="U168" s="290">
        <f t="shared" si="27"/>
        <v>0</v>
      </c>
      <c r="V168" s="290">
        <f t="shared" si="27"/>
        <v>0</v>
      </c>
      <c r="W168" s="290">
        <f t="shared" si="27"/>
        <v>0</v>
      </c>
    </row>
    <row r="169" spans="1:28" outlineLevel="2">
      <c r="A169" s="15"/>
      <c r="B169" s="690"/>
      <c r="C169" s="757"/>
      <c r="D169" s="809" t="s">
        <v>42</v>
      </c>
      <c r="E169" s="23" t="s">
        <v>473</v>
      </c>
      <c r="F169" s="94">
        <v>23418.499941830178</v>
      </c>
      <c r="G169" s="240"/>
      <c r="H169" s="696"/>
      <c r="I169" s="800">
        <f t="shared" ref="I169" si="28">100%-I189</f>
        <v>0.7492275015909251</v>
      </c>
      <c r="J169" s="822"/>
      <c r="M169" s="279">
        <f t="shared" ref="M169:W169" si="29">(($F169+$G169*курс)*H$77*$I$169+($F169+$G169*курс)*H$78*$J$166)*IF(H$122="Бизнес",1,0)*IF(H$64&lt;=75,1,0)</f>
        <v>0</v>
      </c>
      <c r="N169" s="279">
        <f t="shared" si="29"/>
        <v>0</v>
      </c>
      <c r="O169" s="279">
        <f t="shared" si="29"/>
        <v>0</v>
      </c>
      <c r="P169" s="279">
        <f t="shared" si="29"/>
        <v>0</v>
      </c>
      <c r="Q169" s="279">
        <f t="shared" si="29"/>
        <v>0</v>
      </c>
      <c r="R169" s="279">
        <f t="shared" si="29"/>
        <v>0</v>
      </c>
      <c r="S169" s="279">
        <f t="shared" si="29"/>
        <v>0</v>
      </c>
      <c r="T169" s="279">
        <f t="shared" si="29"/>
        <v>0</v>
      </c>
      <c r="U169" s="279">
        <f t="shared" si="29"/>
        <v>0</v>
      </c>
      <c r="V169" s="279">
        <f t="shared" si="29"/>
        <v>0</v>
      </c>
      <c r="W169" s="279">
        <f t="shared" si="29"/>
        <v>0</v>
      </c>
    </row>
    <row r="170" spans="1:28" outlineLevel="2">
      <c r="A170" s="15"/>
      <c r="B170" s="690"/>
      <c r="C170" s="757"/>
      <c r="D170" s="810"/>
      <c r="E170" s="40" t="s">
        <v>508</v>
      </c>
      <c r="F170" s="92">
        <v>23784.146696057189</v>
      </c>
      <c r="G170" s="238"/>
      <c r="H170" s="696"/>
      <c r="I170" s="801"/>
      <c r="J170" s="822"/>
      <c r="M170" s="289">
        <f t="shared" ref="M170:W170" si="30">(($F170+$G170*курс)*H$77*$I$169+($F170+$G170*курс)*H$78*$J$166)*IF(H$122="Бизнес",1,0)*IF(AND(H$64&gt;75,H$64&lt;=120),1,0)</f>
        <v>0</v>
      </c>
      <c r="N170" s="289">
        <f t="shared" si="30"/>
        <v>0</v>
      </c>
      <c r="O170" s="289">
        <f t="shared" si="30"/>
        <v>0</v>
      </c>
      <c r="P170" s="289">
        <f t="shared" si="30"/>
        <v>0</v>
      </c>
      <c r="Q170" s="289">
        <f t="shared" si="30"/>
        <v>0</v>
      </c>
      <c r="R170" s="289">
        <f t="shared" si="30"/>
        <v>0</v>
      </c>
      <c r="S170" s="289">
        <f t="shared" si="30"/>
        <v>0</v>
      </c>
      <c r="T170" s="289">
        <f t="shared" si="30"/>
        <v>0</v>
      </c>
      <c r="U170" s="289">
        <f t="shared" si="30"/>
        <v>0</v>
      </c>
      <c r="V170" s="289">
        <f t="shared" si="30"/>
        <v>0</v>
      </c>
      <c r="W170" s="289">
        <f t="shared" si="30"/>
        <v>0</v>
      </c>
    </row>
    <row r="171" spans="1:28" outlineLevel="2">
      <c r="A171" s="15"/>
      <c r="B171" s="690"/>
      <c r="C171" s="757"/>
      <c r="D171" s="824"/>
      <c r="E171" s="24" t="s">
        <v>509</v>
      </c>
      <c r="F171" s="98">
        <v>24027.911198875194</v>
      </c>
      <c r="G171" s="244"/>
      <c r="H171" s="696"/>
      <c r="I171" s="802"/>
      <c r="J171" s="822"/>
      <c r="M171" s="290">
        <f t="shared" ref="M171:W171" si="31">(($F171+$G171*курс)*H$77*$I$169+($F171+$G171*курс)*H$78*$J$166)*IF(H$122="Бизнес",1,0)*IF(H$64&gt;120,1,0)</f>
        <v>0</v>
      </c>
      <c r="N171" s="290">
        <f t="shared" si="31"/>
        <v>0</v>
      </c>
      <c r="O171" s="290">
        <f t="shared" si="31"/>
        <v>0</v>
      </c>
      <c r="P171" s="290">
        <f t="shared" si="31"/>
        <v>0</v>
      </c>
      <c r="Q171" s="290">
        <f t="shared" si="31"/>
        <v>0</v>
      </c>
      <c r="R171" s="290">
        <f t="shared" si="31"/>
        <v>0</v>
      </c>
      <c r="S171" s="290">
        <f t="shared" si="31"/>
        <v>0</v>
      </c>
      <c r="T171" s="290">
        <f t="shared" si="31"/>
        <v>0</v>
      </c>
      <c r="U171" s="290">
        <f t="shared" si="31"/>
        <v>0</v>
      </c>
      <c r="V171" s="290">
        <f t="shared" si="31"/>
        <v>0</v>
      </c>
      <c r="W171" s="290">
        <f t="shared" si="31"/>
        <v>0</v>
      </c>
    </row>
    <row r="172" spans="1:28" outlineLevel="2">
      <c r="A172" s="15"/>
      <c r="B172" s="690"/>
      <c r="C172" s="757"/>
      <c r="D172" s="825" t="s">
        <v>43</v>
      </c>
      <c r="E172" s="105" t="s">
        <v>473</v>
      </c>
      <c r="F172" s="108">
        <v>31017.32708204096</v>
      </c>
      <c r="G172" s="237"/>
      <c r="H172" s="696"/>
      <c r="I172" s="800">
        <f t="shared" ref="I172" si="32">100%-I192</f>
        <v>0.61333119485926524</v>
      </c>
      <c r="J172" s="822"/>
      <c r="M172" s="279">
        <f t="shared" ref="M172:W172" si="33">(($F172+$G172*курс)*H$77*$I$172+($F172+$G172*курс)*H$78*$J$166)*IF(H$122="бизнес+",1,0)*IF(H$64&lt;=75,1,0)</f>
        <v>342277905.89599437</v>
      </c>
      <c r="N172" s="279">
        <f t="shared" si="33"/>
        <v>220111022.56080872</v>
      </c>
      <c r="O172" s="279">
        <f t="shared" si="33"/>
        <v>342277905.89599437</v>
      </c>
      <c r="P172" s="279">
        <f t="shared" si="33"/>
        <v>31306671.622818094</v>
      </c>
      <c r="Q172" s="279">
        <f t="shared" si="33"/>
        <v>0</v>
      </c>
      <c r="R172" s="279">
        <f t="shared" si="33"/>
        <v>0</v>
      </c>
      <c r="S172" s="279">
        <f t="shared" si="33"/>
        <v>0</v>
      </c>
      <c r="T172" s="279">
        <f t="shared" si="33"/>
        <v>0</v>
      </c>
      <c r="U172" s="279">
        <f t="shared" si="33"/>
        <v>0</v>
      </c>
      <c r="V172" s="279">
        <f t="shared" si="33"/>
        <v>0</v>
      </c>
      <c r="W172" s="279">
        <f t="shared" si="33"/>
        <v>0</v>
      </c>
    </row>
    <row r="173" spans="1:28" outlineLevel="2">
      <c r="A173" s="15"/>
      <c r="B173" s="690"/>
      <c r="C173" s="757"/>
      <c r="D173" s="810"/>
      <c r="E173" s="40" t="s">
        <v>508</v>
      </c>
      <c r="F173" s="92">
        <v>31501.618774528393</v>
      </c>
      <c r="G173" s="238"/>
      <c r="H173" s="696"/>
      <c r="I173" s="801"/>
      <c r="J173" s="822"/>
      <c r="M173" s="289">
        <f t="shared" ref="M173:W173" si="34">(($F173+$G173*курс)*H$77*$I$172+($F173+$G173*курс)*H$78*$J$166)*IF(H$122="бизнес+",1,0)*IF(AND(H$64&gt;75,H$64&lt;=120),1,0)</f>
        <v>0</v>
      </c>
      <c r="N173" s="289">
        <f t="shared" si="34"/>
        <v>0</v>
      </c>
      <c r="O173" s="289">
        <f t="shared" si="34"/>
        <v>0</v>
      </c>
      <c r="P173" s="289">
        <f t="shared" si="34"/>
        <v>0</v>
      </c>
      <c r="Q173" s="289">
        <f t="shared" si="34"/>
        <v>0</v>
      </c>
      <c r="R173" s="289">
        <f t="shared" si="34"/>
        <v>0</v>
      </c>
      <c r="S173" s="289">
        <f t="shared" si="34"/>
        <v>0</v>
      </c>
      <c r="T173" s="289">
        <f t="shared" si="34"/>
        <v>0</v>
      </c>
      <c r="U173" s="289">
        <f t="shared" si="34"/>
        <v>0</v>
      </c>
      <c r="V173" s="289">
        <f t="shared" si="34"/>
        <v>0</v>
      </c>
      <c r="W173" s="289">
        <f t="shared" si="34"/>
        <v>0</v>
      </c>
    </row>
    <row r="174" spans="1:28" outlineLevel="2">
      <c r="A174" s="15"/>
      <c r="B174" s="690"/>
      <c r="C174" s="757"/>
      <c r="D174" s="811"/>
      <c r="E174" s="129" t="s">
        <v>509</v>
      </c>
      <c r="F174" s="158">
        <v>31824.479902853345</v>
      </c>
      <c r="G174" s="247"/>
      <c r="H174" s="696"/>
      <c r="I174" s="802"/>
      <c r="J174" s="822"/>
      <c r="M174" s="290">
        <f t="shared" ref="M174:W174" si="35">(($F174+$G174*курс)*H$77*$I$172+($F174+$G174*курс)*H$78*$J$166)*IF(H$122="бизнес+",1,0)*IF(H$64&gt;120,1,0)</f>
        <v>0</v>
      </c>
      <c r="N174" s="290">
        <f t="shared" si="35"/>
        <v>0</v>
      </c>
      <c r="O174" s="290">
        <f t="shared" si="35"/>
        <v>0</v>
      </c>
      <c r="P174" s="290">
        <f t="shared" si="35"/>
        <v>0</v>
      </c>
      <c r="Q174" s="290">
        <f t="shared" si="35"/>
        <v>0</v>
      </c>
      <c r="R174" s="290">
        <f t="shared" si="35"/>
        <v>0</v>
      </c>
      <c r="S174" s="290">
        <f t="shared" si="35"/>
        <v>0</v>
      </c>
      <c r="T174" s="290">
        <f t="shared" si="35"/>
        <v>0</v>
      </c>
      <c r="U174" s="290">
        <f t="shared" si="35"/>
        <v>0</v>
      </c>
      <c r="V174" s="290">
        <f t="shared" si="35"/>
        <v>0</v>
      </c>
      <c r="W174" s="290">
        <f t="shared" si="35"/>
        <v>0</v>
      </c>
    </row>
    <row r="175" spans="1:28" ht="21.75" customHeight="1" outlineLevel="2">
      <c r="A175" s="15"/>
      <c r="B175" s="690"/>
      <c r="C175" s="757"/>
      <c r="D175" s="809" t="s">
        <v>44</v>
      </c>
      <c r="E175" s="23" t="s">
        <v>473</v>
      </c>
      <c r="F175" s="94">
        <v>46604.196870652893</v>
      </c>
      <c r="G175" s="240"/>
      <c r="H175" s="696"/>
      <c r="I175" s="800">
        <f t="shared" ref="I175" si="36">100%-I195</f>
        <v>0.48060593996904599</v>
      </c>
      <c r="J175" s="822"/>
      <c r="M175" s="279">
        <f t="shared" ref="M175:W175" si="37">(($F175+$G175*курс)*H$77*$I$175+($F175+$G175*курс)*H$78*$J$166)*IF(H$122="Премиум",1,0)*IF(H$64&lt;=75,1,0)</f>
        <v>0</v>
      </c>
      <c r="N175" s="279">
        <f t="shared" si="37"/>
        <v>0</v>
      </c>
      <c r="O175" s="279">
        <f t="shared" si="37"/>
        <v>0</v>
      </c>
      <c r="P175" s="279">
        <f t="shared" si="37"/>
        <v>0</v>
      </c>
      <c r="Q175" s="279">
        <f t="shared" si="37"/>
        <v>0</v>
      </c>
      <c r="R175" s="279">
        <f t="shared" si="37"/>
        <v>0</v>
      </c>
      <c r="S175" s="279">
        <f t="shared" si="37"/>
        <v>0</v>
      </c>
      <c r="T175" s="279">
        <f t="shared" si="37"/>
        <v>0</v>
      </c>
      <c r="U175" s="279">
        <f t="shared" si="37"/>
        <v>0</v>
      </c>
      <c r="V175" s="279">
        <f t="shared" si="37"/>
        <v>0</v>
      </c>
      <c r="W175" s="279">
        <f t="shared" si="37"/>
        <v>0</v>
      </c>
    </row>
    <row r="176" spans="1:28" outlineLevel="2">
      <c r="A176" s="15"/>
      <c r="B176" s="690"/>
      <c r="C176" s="757"/>
      <c r="D176" s="810"/>
      <c r="E176" s="40" t="s">
        <v>508</v>
      </c>
      <c r="F176" s="92">
        <v>47331.855489327812</v>
      </c>
      <c r="G176" s="238"/>
      <c r="H176" s="696"/>
      <c r="I176" s="801"/>
      <c r="J176" s="822"/>
      <c r="M176" s="289">
        <f t="shared" ref="M176:W176" si="38">(($F176+$G176*курс)*H$77*$I$175+($F176+$G176*курс)*H$78*$J$166)*IF(H$122="Премиум",1,0)*IF(AND(H$64&gt;75,H$64&lt;=120),1,0)</f>
        <v>0</v>
      </c>
      <c r="N176" s="289">
        <f t="shared" si="38"/>
        <v>0</v>
      </c>
      <c r="O176" s="289">
        <f t="shared" si="38"/>
        <v>0</v>
      </c>
      <c r="P176" s="289">
        <f t="shared" si="38"/>
        <v>0</v>
      </c>
      <c r="Q176" s="289">
        <f t="shared" si="38"/>
        <v>0</v>
      </c>
      <c r="R176" s="289">
        <f t="shared" si="38"/>
        <v>0</v>
      </c>
      <c r="S176" s="289">
        <f t="shared" si="38"/>
        <v>0</v>
      </c>
      <c r="T176" s="289">
        <f t="shared" si="38"/>
        <v>0</v>
      </c>
      <c r="U176" s="289">
        <f t="shared" si="38"/>
        <v>0</v>
      </c>
      <c r="V176" s="289">
        <f t="shared" si="38"/>
        <v>0</v>
      </c>
      <c r="W176" s="289">
        <f t="shared" si="38"/>
        <v>0</v>
      </c>
    </row>
    <row r="177" spans="1:39" outlineLevel="2">
      <c r="A177" s="15"/>
      <c r="B177" s="690"/>
      <c r="C177" s="757"/>
      <c r="D177" s="824"/>
      <c r="E177" s="24" t="s">
        <v>509</v>
      </c>
      <c r="F177" s="98">
        <v>47816.961235111085</v>
      </c>
      <c r="G177" s="244"/>
      <c r="H177" s="696"/>
      <c r="I177" s="802"/>
      <c r="J177" s="822"/>
      <c r="M177" s="290">
        <f t="shared" ref="M177:W177" si="39">(($F177+$G177*курс)*H$77*$I$175+($F177+$G177*курс)*H$78*$J$166)*IF(H$122="Премиум",1,0)*IF(H$64&gt;120,1,0)</f>
        <v>0</v>
      </c>
      <c r="N177" s="290">
        <f t="shared" si="39"/>
        <v>0</v>
      </c>
      <c r="O177" s="290">
        <f t="shared" si="39"/>
        <v>0</v>
      </c>
      <c r="P177" s="290">
        <f t="shared" si="39"/>
        <v>0</v>
      </c>
      <c r="Q177" s="290">
        <f t="shared" si="39"/>
        <v>0</v>
      </c>
      <c r="R177" s="290">
        <f t="shared" si="39"/>
        <v>0</v>
      </c>
      <c r="S177" s="290">
        <f t="shared" si="39"/>
        <v>0</v>
      </c>
      <c r="T177" s="290">
        <f t="shared" si="39"/>
        <v>0</v>
      </c>
      <c r="U177" s="290">
        <f t="shared" si="39"/>
        <v>0</v>
      </c>
      <c r="V177" s="290">
        <f t="shared" si="39"/>
        <v>0</v>
      </c>
      <c r="W177" s="290">
        <f t="shared" si="39"/>
        <v>0</v>
      </c>
    </row>
    <row r="178" spans="1:39" outlineLevel="2">
      <c r="A178" s="15"/>
      <c r="B178" s="690"/>
      <c r="C178" s="757"/>
      <c r="D178" s="825" t="s">
        <v>45</v>
      </c>
      <c r="E178" s="105" t="s">
        <v>473</v>
      </c>
      <c r="F178" s="108">
        <f>26632.329958109*1.2942446</f>
        <v>34468.749233700801</v>
      </c>
      <c r="G178" s="514">
        <f>289.291414577118*1.2942446</f>
        <v>374.41385114279632</v>
      </c>
      <c r="H178" s="696"/>
      <c r="I178" s="800">
        <f t="shared" ref="I178" si="40">100%-I198</f>
        <v>0.48060593996904599</v>
      </c>
      <c r="J178" s="822"/>
      <c r="M178" s="279">
        <f t="shared" ref="M178:W178" si="41">(($F178+$G178*курс)*H$77*$I$178+($F178+$G178*курс)*H$78*$J$166)*IF(H$122="Элит",1,0)*IF(H$64&lt;=75,1,0)</f>
        <v>0</v>
      </c>
      <c r="N178" s="279">
        <f t="shared" si="41"/>
        <v>0</v>
      </c>
      <c r="O178" s="279">
        <f t="shared" si="41"/>
        <v>0</v>
      </c>
      <c r="P178" s="279">
        <f t="shared" si="41"/>
        <v>0</v>
      </c>
      <c r="Q178" s="279">
        <f t="shared" si="41"/>
        <v>0</v>
      </c>
      <c r="R178" s="279">
        <f t="shared" si="41"/>
        <v>0</v>
      </c>
      <c r="S178" s="279">
        <f t="shared" si="41"/>
        <v>0</v>
      </c>
      <c r="T178" s="279">
        <f t="shared" si="41"/>
        <v>0</v>
      </c>
      <c r="U178" s="279">
        <f t="shared" si="41"/>
        <v>0</v>
      </c>
      <c r="V178" s="279">
        <f t="shared" si="41"/>
        <v>0</v>
      </c>
      <c r="W178" s="279">
        <f t="shared" si="41"/>
        <v>0</v>
      </c>
      <c r="AB178" s="279">
        <f t="shared" ref="AB178:AM178" si="42">(($G178)*H$77*$I$178+($G178)*H$78*$J$166)*IF(H$122="Элит",1,0)*IF(H$64&lt;=75,1,0)</f>
        <v>0</v>
      </c>
      <c r="AC178" s="490">
        <f t="shared" si="42"/>
        <v>0</v>
      </c>
      <c r="AD178" s="490">
        <f t="shared" si="42"/>
        <v>0</v>
      </c>
      <c r="AE178" s="490">
        <f t="shared" si="42"/>
        <v>0</v>
      </c>
      <c r="AF178" s="490">
        <f t="shared" si="42"/>
        <v>0</v>
      </c>
      <c r="AG178" s="490">
        <f t="shared" si="42"/>
        <v>0</v>
      </c>
      <c r="AH178" s="490">
        <f t="shared" si="42"/>
        <v>0</v>
      </c>
      <c r="AI178" s="490">
        <f t="shared" si="42"/>
        <v>0</v>
      </c>
      <c r="AJ178" s="490">
        <f t="shared" si="42"/>
        <v>0</v>
      </c>
      <c r="AK178" s="490">
        <f t="shared" si="42"/>
        <v>0</v>
      </c>
      <c r="AL178" s="490">
        <f t="shared" si="42"/>
        <v>0</v>
      </c>
      <c r="AM178" s="490">
        <f t="shared" si="42"/>
        <v>0</v>
      </c>
    </row>
    <row r="179" spans="1:39" outlineLevel="2">
      <c r="A179" s="15"/>
      <c r="B179" s="690"/>
      <c r="C179" s="757"/>
      <c r="D179" s="810"/>
      <c r="E179" s="40" t="s">
        <v>508</v>
      </c>
      <c r="F179" s="92">
        <f>27048.1561225036*1.2942446</f>
        <v>35006.930001507222</v>
      </c>
      <c r="G179" s="272">
        <f>293.808290851372*1.2942446</f>
        <v>380.25979386961768</v>
      </c>
      <c r="H179" s="696"/>
      <c r="I179" s="801"/>
      <c r="J179" s="822"/>
      <c r="M179" s="289">
        <f t="shared" ref="M179:W179" si="43">(($F179+$G179*курс)*H$77*$I$178+($F179+$G179*курс)*H$78*$J$166)*IF(H$122="Элит",1,0)*IF(AND(H$64&gt;75,H$64&lt;=120),1,0)</f>
        <v>0</v>
      </c>
      <c r="N179" s="289">
        <f t="shared" si="43"/>
        <v>0</v>
      </c>
      <c r="O179" s="289">
        <f t="shared" si="43"/>
        <v>0</v>
      </c>
      <c r="P179" s="289">
        <f t="shared" si="43"/>
        <v>0</v>
      </c>
      <c r="Q179" s="289">
        <f t="shared" si="43"/>
        <v>0</v>
      </c>
      <c r="R179" s="289">
        <f t="shared" si="43"/>
        <v>0</v>
      </c>
      <c r="S179" s="289">
        <f t="shared" si="43"/>
        <v>0</v>
      </c>
      <c r="T179" s="289">
        <f t="shared" si="43"/>
        <v>0</v>
      </c>
      <c r="U179" s="289">
        <f t="shared" si="43"/>
        <v>0</v>
      </c>
      <c r="V179" s="289">
        <f t="shared" si="43"/>
        <v>0</v>
      </c>
      <c r="W179" s="289">
        <f t="shared" si="43"/>
        <v>0</v>
      </c>
      <c r="AB179" s="289">
        <f t="shared" ref="AB179:AM179" si="44">(($G179)*H$77*$I$178+($G179*H$78*$J$166)*IF(H$122="Элит",1,0)*IF(AND(H$64&gt;75,H$64&lt;=120),1,0))</f>
        <v>3288130.0410472578</v>
      </c>
      <c r="AC179" s="289">
        <f t="shared" si="44"/>
        <v>2114520.5494734677</v>
      </c>
      <c r="AD179" s="289">
        <f t="shared" si="44"/>
        <v>3288130.0410472578</v>
      </c>
      <c r="AE179" s="289">
        <f t="shared" si="44"/>
        <v>300750.95609434304</v>
      </c>
      <c r="AF179" s="289">
        <f t="shared" si="44"/>
        <v>0</v>
      </c>
      <c r="AG179" s="289">
        <f t="shared" si="44"/>
        <v>0</v>
      </c>
      <c r="AH179" s="289">
        <f t="shared" si="44"/>
        <v>0</v>
      </c>
      <c r="AI179" s="289">
        <f t="shared" si="44"/>
        <v>0</v>
      </c>
      <c r="AJ179" s="289">
        <f t="shared" si="44"/>
        <v>0</v>
      </c>
      <c r="AK179" s="289">
        <f t="shared" si="44"/>
        <v>0</v>
      </c>
      <c r="AL179" s="289">
        <f t="shared" si="44"/>
        <v>0</v>
      </c>
      <c r="AM179" s="289">
        <f t="shared" si="44"/>
        <v>0</v>
      </c>
    </row>
    <row r="180" spans="1:39" ht="21.75" customHeight="1" outlineLevel="2">
      <c r="A180" s="15"/>
      <c r="B180" s="691"/>
      <c r="C180" s="758"/>
      <c r="D180" s="824"/>
      <c r="E180" s="24" t="s">
        <v>509</v>
      </c>
      <c r="F180" s="98">
        <f>27325.3735654333*1.2942446</f>
        <v>35365.717180044798</v>
      </c>
      <c r="G180" s="273">
        <f>296.819541700874*1.2942446</f>
        <v>384.15708902083105</v>
      </c>
      <c r="H180" s="697"/>
      <c r="I180" s="802"/>
      <c r="J180" s="823"/>
      <c r="M180" s="290">
        <f t="shared" ref="M180:W180" si="45">(($F180+$G180*курс)*H$77*$I$178+($F180+$G180*курс)*H$78*$J$166)*IF(H$122="Элит",1,0)*IF(H$64&gt;120,1,0)</f>
        <v>0</v>
      </c>
      <c r="N180" s="290">
        <f t="shared" si="45"/>
        <v>0</v>
      </c>
      <c r="O180" s="290">
        <f t="shared" si="45"/>
        <v>0</v>
      </c>
      <c r="P180" s="290">
        <f t="shared" si="45"/>
        <v>0</v>
      </c>
      <c r="Q180" s="290">
        <f t="shared" si="45"/>
        <v>0</v>
      </c>
      <c r="R180" s="290">
        <f t="shared" si="45"/>
        <v>0</v>
      </c>
      <c r="S180" s="290">
        <f t="shared" si="45"/>
        <v>0</v>
      </c>
      <c r="T180" s="290">
        <f t="shared" si="45"/>
        <v>0</v>
      </c>
      <c r="U180" s="290">
        <f t="shared" si="45"/>
        <v>0</v>
      </c>
      <c r="V180" s="290">
        <f t="shared" si="45"/>
        <v>0</v>
      </c>
      <c r="W180" s="290">
        <f t="shared" si="45"/>
        <v>0</v>
      </c>
      <c r="AB180" s="290">
        <f>(($G180)*H$77*$I$178+($G180)*H$78*$J$166)*IF(H$122="Элит",1,0)*IF(H$64&gt;120,1,0)</f>
        <v>0</v>
      </c>
      <c r="AC180" s="290">
        <f t="shared" ref="AC180:AM180" si="46">(($G180)*I$77*$I$178+($G180)*I$78*$J$166)*IF(I$122="Элит",1,0)*IF(I$64&gt;120,1,0)</f>
        <v>0</v>
      </c>
      <c r="AD180" s="290">
        <f t="shared" si="46"/>
        <v>0</v>
      </c>
      <c r="AE180" s="290">
        <f t="shared" si="46"/>
        <v>0</v>
      </c>
      <c r="AF180" s="290">
        <f t="shared" si="46"/>
        <v>0</v>
      </c>
      <c r="AG180" s="290">
        <f t="shared" si="46"/>
        <v>0</v>
      </c>
      <c r="AH180" s="290">
        <f t="shared" si="46"/>
        <v>0</v>
      </c>
      <c r="AI180" s="290">
        <f t="shared" si="46"/>
        <v>0</v>
      </c>
      <c r="AJ180" s="290">
        <f t="shared" si="46"/>
        <v>0</v>
      </c>
      <c r="AK180" s="290">
        <f t="shared" si="46"/>
        <v>0</v>
      </c>
      <c r="AL180" s="290">
        <f t="shared" si="46"/>
        <v>0</v>
      </c>
      <c r="AM180" s="290">
        <f t="shared" si="46"/>
        <v>0</v>
      </c>
    </row>
    <row r="181" spans="1:39" ht="59.25" customHeight="1" outlineLevel="2">
      <c r="A181" s="15"/>
      <c r="B181" s="698" t="s">
        <v>937</v>
      </c>
      <c r="C181" s="19" t="s">
        <v>32</v>
      </c>
      <c r="D181" s="775" t="s">
        <v>938</v>
      </c>
      <c r="E181" s="776"/>
      <c r="F181" s="94">
        <v>8984.8198931824263</v>
      </c>
      <c r="G181" s="240"/>
      <c r="H181" s="828" t="s">
        <v>934</v>
      </c>
      <c r="I181" s="14"/>
      <c r="J181" s="14"/>
      <c r="K181" s="250"/>
      <c r="M181" s="490">
        <f t="shared" ref="M181:W181" si="47">(($F181+$G181*курс)*H$77*$I$166+($F181+$G181*курс)*H$78*$J$166)*IF(H$122="Комфорт",1,0)</f>
        <v>0</v>
      </c>
      <c r="N181" s="490">
        <f t="shared" si="47"/>
        <v>0</v>
      </c>
      <c r="O181" s="490">
        <f t="shared" si="47"/>
        <v>0</v>
      </c>
      <c r="P181" s="490">
        <f t="shared" si="47"/>
        <v>0</v>
      </c>
      <c r="Q181" s="490">
        <f t="shared" si="47"/>
        <v>0</v>
      </c>
      <c r="R181" s="490">
        <f t="shared" si="47"/>
        <v>0</v>
      </c>
      <c r="S181" s="490">
        <f t="shared" si="47"/>
        <v>0</v>
      </c>
      <c r="T181" s="490">
        <f t="shared" si="47"/>
        <v>0</v>
      </c>
      <c r="U181" s="490">
        <f t="shared" si="47"/>
        <v>0</v>
      </c>
      <c r="V181" s="490">
        <f t="shared" si="47"/>
        <v>0</v>
      </c>
      <c r="W181" s="490">
        <f t="shared" si="47"/>
        <v>0</v>
      </c>
    </row>
    <row r="182" spans="1:39" ht="59.25" customHeight="1" outlineLevel="2">
      <c r="A182" s="15"/>
      <c r="B182" s="690"/>
      <c r="C182" s="17" t="s">
        <v>932</v>
      </c>
      <c r="D182" s="777"/>
      <c r="E182" s="778"/>
      <c r="F182" s="92">
        <v>11292.797186594771</v>
      </c>
      <c r="G182" s="238"/>
      <c r="H182" s="829"/>
      <c r="I182" s="14"/>
      <c r="K182" s="250"/>
      <c r="M182" s="490">
        <f t="shared" ref="M182:W182" si="48">(($F182+$G182*курс)*H$77*$I$169+($F182+$G182*курс)*H$78*$J$166)*(IF(H$122="Бизнес",1,0)+IF(H$122="бизнес+",1,0))</f>
        <v>152228049.00376102</v>
      </c>
      <c r="N182" s="490">
        <f t="shared" si="48"/>
        <v>97894345.359341726</v>
      </c>
      <c r="O182" s="490">
        <f t="shared" si="48"/>
        <v>152228049.00376102</v>
      </c>
      <c r="P182" s="490">
        <f t="shared" si="48"/>
        <v>13923637.663574887</v>
      </c>
      <c r="Q182" s="490">
        <f t="shared" si="48"/>
        <v>0</v>
      </c>
      <c r="R182" s="490">
        <f t="shared" si="48"/>
        <v>0</v>
      </c>
      <c r="S182" s="490">
        <f t="shared" si="48"/>
        <v>0</v>
      </c>
      <c r="T182" s="490">
        <f t="shared" si="48"/>
        <v>0</v>
      </c>
      <c r="U182" s="490">
        <f t="shared" si="48"/>
        <v>0</v>
      </c>
      <c r="V182" s="490">
        <f t="shared" si="48"/>
        <v>0</v>
      </c>
      <c r="W182" s="490">
        <f t="shared" si="48"/>
        <v>0</v>
      </c>
    </row>
    <row r="183" spans="1:39" ht="59.25" customHeight="1" outlineLevel="2">
      <c r="A183" s="15"/>
      <c r="B183" s="690"/>
      <c r="C183" s="37" t="s">
        <v>277</v>
      </c>
      <c r="D183" s="779"/>
      <c r="E183" s="780"/>
      <c r="F183" s="98">
        <f>9852.93230776583*1.2942446</f>
        <v>12752.104433491464</v>
      </c>
      <c r="G183" s="273">
        <f>18.0778812408342*1.2942446</f>
        <v>23.397200175390964</v>
      </c>
      <c r="H183" s="830"/>
      <c r="I183" s="14"/>
      <c r="J183" s="14"/>
      <c r="K183" s="250"/>
      <c r="L183" s="15"/>
      <c r="M183" s="490">
        <f>(($F183+$G183*курс)*H$77*$I$178+($F183+$G183*курс)*H$78*$J$166)*(IF(H$122="Премиум",1,0)+IF(H$122="Элит",1,0))</f>
        <v>0</v>
      </c>
      <c r="N183" s="490">
        <f t="shared" ref="N183:W183" si="49">(($F183+$G183*курс)*I$77*$I$178+($F183+$G183*курс)*I$78*$J$166)*(IF(I$122="Премиум",1,0)+IF(I$122="Элит",1,0))</f>
        <v>0</v>
      </c>
      <c r="O183" s="490">
        <f t="shared" si="49"/>
        <v>0</v>
      </c>
      <c r="P183" s="490">
        <f t="shared" si="49"/>
        <v>0</v>
      </c>
      <c r="Q183" s="490">
        <f t="shared" si="49"/>
        <v>0</v>
      </c>
      <c r="R183" s="490">
        <f t="shared" si="49"/>
        <v>0</v>
      </c>
      <c r="S183" s="490">
        <f t="shared" si="49"/>
        <v>0</v>
      </c>
      <c r="T183" s="490">
        <f t="shared" si="49"/>
        <v>0</v>
      </c>
      <c r="U183" s="490">
        <f t="shared" si="49"/>
        <v>0</v>
      </c>
      <c r="V183" s="490">
        <f t="shared" si="49"/>
        <v>0</v>
      </c>
      <c r="W183" s="490">
        <f t="shared" si="49"/>
        <v>0</v>
      </c>
      <c r="AC183" s="627">
        <f>(($G183)*H$77*$I$178+($G183)*H$78*$J$166)*(IF(H$122="Премиум",1,0)+IF(H$122="Элит",1,0))</f>
        <v>0</v>
      </c>
      <c r="AD183" s="627">
        <f t="shared" ref="AD183:AM183" si="50">(($G183)*I$77*$I$178+($G183)*I$78*$J$166)*(IF(I$122="Премиум",1,0)+IF(I$122="Элит",1,0))</f>
        <v>0</v>
      </c>
      <c r="AE183" s="627">
        <f t="shared" si="50"/>
        <v>0</v>
      </c>
      <c r="AF183" s="627">
        <f t="shared" si="50"/>
        <v>0</v>
      </c>
      <c r="AG183" s="627">
        <f t="shared" si="50"/>
        <v>0</v>
      </c>
      <c r="AH183" s="627">
        <f t="shared" si="50"/>
        <v>0</v>
      </c>
      <c r="AI183" s="627">
        <f t="shared" si="50"/>
        <v>0</v>
      </c>
      <c r="AJ183" s="627">
        <f t="shared" si="50"/>
        <v>0</v>
      </c>
      <c r="AK183" s="627">
        <f t="shared" si="50"/>
        <v>0</v>
      </c>
      <c r="AL183" s="627">
        <f t="shared" si="50"/>
        <v>0</v>
      </c>
      <c r="AM183" s="627">
        <f t="shared" si="50"/>
        <v>0</v>
      </c>
    </row>
    <row r="184" spans="1:39" ht="18.75" outlineLevel="2">
      <c r="A184" s="15"/>
      <c r="B184" s="691"/>
      <c r="C184" s="734" t="s">
        <v>762</v>
      </c>
      <c r="D184" s="735"/>
      <c r="E184" s="159">
        <v>3004036.2245762716</v>
      </c>
      <c r="F184" s="236"/>
      <c r="G184" s="16" t="s">
        <v>761</v>
      </c>
      <c r="H184" s="131">
        <f>COUNT(H69:R69)</f>
        <v>4</v>
      </c>
      <c r="I184" s="14"/>
      <c r="K184" s="440">
        <f>E184*H184</f>
        <v>12016144.898305086</v>
      </c>
      <c r="M184" s="276"/>
      <c r="N184" s="276"/>
      <c r="O184" s="276"/>
      <c r="P184" s="276"/>
      <c r="Q184" s="276"/>
      <c r="R184" s="276"/>
      <c r="S184" s="276"/>
      <c r="T184" s="276"/>
      <c r="U184" s="276"/>
      <c r="V184" s="276"/>
      <c r="W184" s="276"/>
    </row>
    <row r="185" spans="1:39" ht="18.75" outlineLevel="1">
      <c r="A185" s="15"/>
      <c r="B185" s="530" t="s">
        <v>520</v>
      </c>
      <c r="C185" s="521"/>
      <c r="D185" s="14"/>
      <c r="E185" s="14"/>
      <c r="F185" s="14"/>
      <c r="G185" s="14"/>
      <c r="H185" s="14"/>
      <c r="I185" s="14"/>
      <c r="J185" s="14"/>
      <c r="K185" s="14"/>
      <c r="L185" s="14"/>
      <c r="M185" s="14"/>
      <c r="N185" s="14"/>
      <c r="O185" s="14"/>
      <c r="P185" s="14"/>
      <c r="Q185" s="14"/>
      <c r="R185" s="14"/>
      <c r="S185" s="14"/>
      <c r="T185" s="14"/>
      <c r="U185" s="14"/>
      <c r="V185" s="14"/>
      <c r="W185" s="14"/>
      <c r="X185" s="14"/>
    </row>
    <row r="186" spans="1:39" ht="18.75" customHeight="1" outlineLevel="2">
      <c r="A186" s="15"/>
      <c r="B186" s="698" t="s">
        <v>941</v>
      </c>
      <c r="C186" s="809" t="s">
        <v>32</v>
      </c>
      <c r="D186" s="23" t="s">
        <v>473</v>
      </c>
      <c r="E186" s="771" t="s">
        <v>928</v>
      </c>
      <c r="F186" s="94">
        <f>10145.6471314095*1.5</f>
        <v>15218.47069711425</v>
      </c>
      <c r="G186" s="240"/>
      <c r="H186" s="797" t="s">
        <v>929</v>
      </c>
      <c r="I186" s="803">
        <v>0.25077249840907484</v>
      </c>
      <c r="J186" s="831">
        <v>0.63344239307033556</v>
      </c>
      <c r="M186" s="279">
        <f t="shared" ref="M186:W186" si="51">(($F186+$G186*курс)*H$77*$I$186+($F186+$G186*курс)*H$78*$J$186)*IF(H$122="Комфорт",1,0)*IF(H$64&lt;=75,1,0)</f>
        <v>0</v>
      </c>
      <c r="N186" s="490">
        <f t="shared" si="51"/>
        <v>0</v>
      </c>
      <c r="O186" s="490">
        <f t="shared" si="51"/>
        <v>0</v>
      </c>
      <c r="P186" s="490">
        <f t="shared" si="51"/>
        <v>0</v>
      </c>
      <c r="Q186" s="490">
        <f t="shared" si="51"/>
        <v>0</v>
      </c>
      <c r="R186" s="490">
        <f t="shared" si="51"/>
        <v>0</v>
      </c>
      <c r="S186" s="490">
        <f t="shared" si="51"/>
        <v>0</v>
      </c>
      <c r="T186" s="490">
        <f t="shared" si="51"/>
        <v>0</v>
      </c>
      <c r="U186" s="490">
        <f t="shared" si="51"/>
        <v>0</v>
      </c>
      <c r="V186" s="490">
        <f t="shared" si="51"/>
        <v>0</v>
      </c>
      <c r="W186" s="490">
        <f t="shared" si="51"/>
        <v>0</v>
      </c>
    </row>
    <row r="187" spans="1:39" outlineLevel="2">
      <c r="A187" s="15"/>
      <c r="B187" s="690"/>
      <c r="C187" s="810"/>
      <c r="D187" s="40" t="s">
        <v>508</v>
      </c>
      <c r="E187" s="772"/>
      <c r="F187" s="92">
        <f>10265.3565098201*1.5</f>
        <v>15398.03476473015</v>
      </c>
      <c r="G187" s="238"/>
      <c r="H187" s="798"/>
      <c r="I187" s="804"/>
      <c r="J187" s="832"/>
      <c r="M187" s="289">
        <f t="shared" ref="M187:W187" si="52">(($F187+$G187*курс)*H$77*$I$186+($F187+$G187*курс)*H$78*$J$186)*IF(H$122="Комфорт",1,0)*IF(AND(H$64&gt;75,H$64&lt;=120),1,0)</f>
        <v>0</v>
      </c>
      <c r="N187" s="289">
        <f t="shared" si="52"/>
        <v>0</v>
      </c>
      <c r="O187" s="289">
        <f t="shared" si="52"/>
        <v>0</v>
      </c>
      <c r="P187" s="289">
        <f t="shared" si="52"/>
        <v>0</v>
      </c>
      <c r="Q187" s="289">
        <f t="shared" si="52"/>
        <v>0</v>
      </c>
      <c r="R187" s="289">
        <f t="shared" si="52"/>
        <v>0</v>
      </c>
      <c r="S187" s="289">
        <f t="shared" si="52"/>
        <v>0</v>
      </c>
      <c r="T187" s="289">
        <f t="shared" si="52"/>
        <v>0</v>
      </c>
      <c r="U187" s="289">
        <f t="shared" si="52"/>
        <v>0</v>
      </c>
      <c r="V187" s="289">
        <f t="shared" si="52"/>
        <v>0</v>
      </c>
      <c r="W187" s="289">
        <f t="shared" si="52"/>
        <v>0</v>
      </c>
    </row>
    <row r="188" spans="1:39" outlineLevel="2">
      <c r="A188" s="15"/>
      <c r="B188" s="690"/>
      <c r="C188" s="824"/>
      <c r="D188" s="24" t="s">
        <v>509</v>
      </c>
      <c r="E188" s="772"/>
      <c r="F188" s="158">
        <f>10345.1627620938*1.5</f>
        <v>15517.744143140699</v>
      </c>
      <c r="G188" s="247"/>
      <c r="H188" s="798"/>
      <c r="I188" s="892"/>
      <c r="J188" s="832"/>
      <c r="M188" s="290">
        <f t="shared" ref="M188:W188" si="53">(($F188+$G188*курс)*H$77*$I$186+($F188+$G188*курс)*H$78*$J$186)*IF(H$122="Комфорт",1,0)*IF(H$64&gt;120,1,0)</f>
        <v>0</v>
      </c>
      <c r="N188" s="290">
        <f t="shared" si="53"/>
        <v>0</v>
      </c>
      <c r="O188" s="290">
        <f t="shared" si="53"/>
        <v>0</v>
      </c>
      <c r="P188" s="290">
        <f t="shared" si="53"/>
        <v>0</v>
      </c>
      <c r="Q188" s="290">
        <f t="shared" si="53"/>
        <v>0</v>
      </c>
      <c r="R188" s="290">
        <f t="shared" si="53"/>
        <v>0</v>
      </c>
      <c r="S188" s="290">
        <f t="shared" si="53"/>
        <v>0</v>
      </c>
      <c r="T188" s="290">
        <f t="shared" si="53"/>
        <v>0</v>
      </c>
      <c r="U188" s="290">
        <f t="shared" si="53"/>
        <v>0</v>
      </c>
      <c r="V188" s="290">
        <f t="shared" si="53"/>
        <v>0</v>
      </c>
      <c r="W188" s="290">
        <f t="shared" si="53"/>
        <v>0</v>
      </c>
    </row>
    <row r="189" spans="1:39" outlineLevel="2">
      <c r="A189" s="15"/>
      <c r="B189" s="690"/>
      <c r="C189" s="825" t="s">
        <v>42</v>
      </c>
      <c r="D189" s="105" t="s">
        <v>473</v>
      </c>
      <c r="E189" s="772"/>
      <c r="F189" s="94">
        <f>14099.0192188249*2.02558</f>
        <v>28558.691349267345</v>
      </c>
      <c r="G189" s="240"/>
      <c r="H189" s="798"/>
      <c r="I189" s="803">
        <v>0.25077249840907484</v>
      </c>
      <c r="J189" s="832"/>
      <c r="M189" s="279">
        <f t="shared" ref="M189:W189" si="54">(($F189+$G189*курс)*H$77*$I$189+($F189+$G189*курс)*H$78*$J$186)*IF(H$122="Бизнес",1,0)*IF(H$64&lt;=75,1,0)</f>
        <v>0</v>
      </c>
      <c r="N189" s="490">
        <f t="shared" si="54"/>
        <v>0</v>
      </c>
      <c r="O189" s="490">
        <f t="shared" si="54"/>
        <v>0</v>
      </c>
      <c r="P189" s="490">
        <f t="shared" si="54"/>
        <v>0</v>
      </c>
      <c r="Q189" s="490">
        <f t="shared" si="54"/>
        <v>0</v>
      </c>
      <c r="R189" s="490">
        <f t="shared" si="54"/>
        <v>0</v>
      </c>
      <c r="S189" s="490">
        <f t="shared" si="54"/>
        <v>0</v>
      </c>
      <c r="T189" s="490">
        <f t="shared" si="54"/>
        <v>0</v>
      </c>
      <c r="U189" s="490">
        <f t="shared" si="54"/>
        <v>0</v>
      </c>
      <c r="V189" s="490">
        <f t="shared" si="54"/>
        <v>0</v>
      </c>
      <c r="W189" s="490">
        <f t="shared" si="54"/>
        <v>0</v>
      </c>
    </row>
    <row r="190" spans="1:39" ht="21.75" customHeight="1" outlineLevel="2">
      <c r="A190" s="15"/>
      <c r="B190" s="690"/>
      <c r="C190" s="810"/>
      <c r="D190" s="40" t="s">
        <v>508</v>
      </c>
      <c r="E190" s="772"/>
      <c r="F190" s="92">
        <f>14265.3747804785*2.02558</f>
        <v>28895.657847841641</v>
      </c>
      <c r="G190" s="238"/>
      <c r="H190" s="798"/>
      <c r="I190" s="804"/>
      <c r="J190" s="832"/>
      <c r="M190" s="289">
        <f t="shared" ref="M190:W190" si="55">(($F190+$G190*курс)*H$77*$I$189+($F190+$G190*курс)*H$78*$J$186)*IF(H$122="Бизнес",1,0)*IF(AND(H$64&gt;75,H$64&lt;=120),1,0)</f>
        <v>0</v>
      </c>
      <c r="N190" s="289">
        <f t="shared" si="55"/>
        <v>0</v>
      </c>
      <c r="O190" s="289">
        <f t="shared" si="55"/>
        <v>0</v>
      </c>
      <c r="P190" s="289">
        <f t="shared" si="55"/>
        <v>0</v>
      </c>
      <c r="Q190" s="289">
        <f t="shared" si="55"/>
        <v>0</v>
      </c>
      <c r="R190" s="289">
        <f t="shared" si="55"/>
        <v>0</v>
      </c>
      <c r="S190" s="289">
        <f t="shared" si="55"/>
        <v>0</v>
      </c>
      <c r="T190" s="289">
        <f t="shared" si="55"/>
        <v>0</v>
      </c>
      <c r="U190" s="289">
        <f t="shared" si="55"/>
        <v>0</v>
      </c>
      <c r="V190" s="289">
        <f t="shared" si="55"/>
        <v>0</v>
      </c>
      <c r="W190" s="289">
        <f t="shared" si="55"/>
        <v>0</v>
      </c>
    </row>
    <row r="191" spans="1:39" outlineLevel="2">
      <c r="A191" s="15"/>
      <c r="B191" s="690"/>
      <c r="C191" s="811"/>
      <c r="D191" s="129" t="s">
        <v>509</v>
      </c>
      <c r="E191" s="772"/>
      <c r="F191" s="98">
        <f>14376.2784882476*2.02558</f>
        <v>29120.302180224578</v>
      </c>
      <c r="G191" s="244"/>
      <c r="H191" s="798"/>
      <c r="I191" s="805"/>
      <c r="J191" s="832"/>
      <c r="M191" s="290">
        <f t="shared" ref="M191:W191" si="56">(($F191+$G191*курс)*H$77*$I$189+($F191+$G191*курс)*H$78*$J$186)*IF(H$122="Бизнес",1,0)*IF(H$64&gt;120,1,0)</f>
        <v>0</v>
      </c>
      <c r="N191" s="290">
        <f t="shared" si="56"/>
        <v>0</v>
      </c>
      <c r="O191" s="290">
        <f t="shared" si="56"/>
        <v>0</v>
      </c>
      <c r="P191" s="290">
        <f t="shared" si="56"/>
        <v>0</v>
      </c>
      <c r="Q191" s="290">
        <f t="shared" si="56"/>
        <v>0</v>
      </c>
      <c r="R191" s="290">
        <f t="shared" si="56"/>
        <v>0</v>
      </c>
      <c r="S191" s="290">
        <f t="shared" si="56"/>
        <v>0</v>
      </c>
      <c r="T191" s="290">
        <f t="shared" si="56"/>
        <v>0</v>
      </c>
      <c r="U191" s="290">
        <f t="shared" si="56"/>
        <v>0</v>
      </c>
      <c r="V191" s="290">
        <f t="shared" si="56"/>
        <v>0</v>
      </c>
      <c r="W191" s="290">
        <f t="shared" si="56"/>
        <v>0</v>
      </c>
    </row>
    <row r="192" spans="1:39" outlineLevel="2">
      <c r="A192" s="15"/>
      <c r="B192" s="690"/>
      <c r="C192" s="809" t="s">
        <v>43</v>
      </c>
      <c r="D192" s="23" t="s">
        <v>473</v>
      </c>
      <c r="E192" s="772"/>
      <c r="F192" s="108">
        <f>20420.308809863*1.4524</f>
        <v>29658.456515445017</v>
      </c>
      <c r="G192" s="237"/>
      <c r="H192" s="798"/>
      <c r="I192" s="803">
        <v>0.38666880514073482</v>
      </c>
      <c r="J192" s="832"/>
      <c r="M192" s="279">
        <f t="shared" ref="M192:W192" si="57">(($F192+$G192*курс)*H$77*$I$192+($F192+$G192*курс)*H$78*$J$186)*IF(H$122="бизнес+",1,0)*IF(H$64&lt;=75,1,0)</f>
        <v>206332254.97707501</v>
      </c>
      <c r="N192" s="490">
        <f t="shared" si="57"/>
        <v>132687511.66218057</v>
      </c>
      <c r="O192" s="490">
        <f t="shared" si="57"/>
        <v>206332254.97707501</v>
      </c>
      <c r="P192" s="490">
        <f t="shared" si="57"/>
        <v>18872314.106437501</v>
      </c>
      <c r="Q192" s="490">
        <f t="shared" si="57"/>
        <v>0</v>
      </c>
      <c r="R192" s="490">
        <f t="shared" si="57"/>
        <v>0</v>
      </c>
      <c r="S192" s="490">
        <f t="shared" si="57"/>
        <v>0</v>
      </c>
      <c r="T192" s="490">
        <f t="shared" si="57"/>
        <v>0</v>
      </c>
      <c r="U192" s="490">
        <f t="shared" si="57"/>
        <v>0</v>
      </c>
      <c r="V192" s="490">
        <f t="shared" si="57"/>
        <v>0</v>
      </c>
      <c r="W192" s="490">
        <f t="shared" si="57"/>
        <v>0</v>
      </c>
    </row>
    <row r="193" spans="1:39" outlineLevel="2">
      <c r="A193" s="15"/>
      <c r="B193" s="690"/>
      <c r="C193" s="810"/>
      <c r="D193" s="40" t="s">
        <v>508</v>
      </c>
      <c r="E193" s="772"/>
      <c r="F193" s="92">
        <f>20661.2498206157*1.4524</f>
        <v>30008.39923946224</v>
      </c>
      <c r="G193" s="238"/>
      <c r="H193" s="798"/>
      <c r="I193" s="804"/>
      <c r="J193" s="832"/>
      <c r="M193" s="289">
        <f t="shared" ref="M193:W193" si="58">(($F193+$G193*курс)*H$77*$I$192+($F193+$G193*курс)*H$78*$J$186)*IF(H$122="бизнес+",1,0)*IF(AND(H$64&gt;75,H$64&lt;=120),1,0)</f>
        <v>0</v>
      </c>
      <c r="N193" s="289">
        <f t="shared" si="58"/>
        <v>0</v>
      </c>
      <c r="O193" s="289">
        <f t="shared" si="58"/>
        <v>0</v>
      </c>
      <c r="P193" s="289">
        <f t="shared" si="58"/>
        <v>0</v>
      </c>
      <c r="Q193" s="289">
        <f t="shared" si="58"/>
        <v>0</v>
      </c>
      <c r="R193" s="289">
        <f t="shared" si="58"/>
        <v>0</v>
      </c>
      <c r="S193" s="289">
        <f t="shared" si="58"/>
        <v>0</v>
      </c>
      <c r="T193" s="289">
        <f t="shared" si="58"/>
        <v>0</v>
      </c>
      <c r="U193" s="289">
        <f t="shared" si="58"/>
        <v>0</v>
      </c>
      <c r="V193" s="289">
        <f t="shared" si="58"/>
        <v>0</v>
      </c>
      <c r="W193" s="289">
        <f t="shared" si="58"/>
        <v>0</v>
      </c>
    </row>
    <row r="194" spans="1:39" outlineLevel="2">
      <c r="A194" s="15"/>
      <c r="B194" s="690"/>
      <c r="C194" s="824"/>
      <c r="D194" s="24" t="s">
        <v>509</v>
      </c>
      <c r="E194" s="772"/>
      <c r="F194" s="158">
        <f>20821.8771611175*1.4524</f>
        <v>30241.694388807056</v>
      </c>
      <c r="G194" s="247"/>
      <c r="H194" s="798"/>
      <c r="I194" s="805"/>
      <c r="J194" s="832"/>
      <c r="M194" s="290">
        <f t="shared" ref="M194:W194" si="59">(($F194+$G194*курс)*H$77*$I$192+($F194+$G194*курс)*H$78*$J$186)*IF(H$122="бизнес+",1,0)*IF(H$64&gt;120,1,0)</f>
        <v>0</v>
      </c>
      <c r="N194" s="290">
        <f t="shared" si="59"/>
        <v>0</v>
      </c>
      <c r="O194" s="290">
        <f t="shared" si="59"/>
        <v>0</v>
      </c>
      <c r="P194" s="290">
        <f t="shared" si="59"/>
        <v>0</v>
      </c>
      <c r="Q194" s="290">
        <f t="shared" si="59"/>
        <v>0</v>
      </c>
      <c r="R194" s="290">
        <f t="shared" si="59"/>
        <v>0</v>
      </c>
      <c r="S194" s="290">
        <f t="shared" si="59"/>
        <v>0</v>
      </c>
      <c r="T194" s="290">
        <f t="shared" si="59"/>
        <v>0</v>
      </c>
      <c r="U194" s="290">
        <f t="shared" si="59"/>
        <v>0</v>
      </c>
      <c r="V194" s="290">
        <f t="shared" si="59"/>
        <v>0</v>
      </c>
      <c r="W194" s="290">
        <f t="shared" si="59"/>
        <v>0</v>
      </c>
    </row>
    <row r="195" spans="1:39" outlineLevel="2">
      <c r="A195" s="15"/>
      <c r="B195" s="690"/>
      <c r="C195" s="809" t="s">
        <v>44</v>
      </c>
      <c r="D195" s="23" t="s">
        <v>473</v>
      </c>
      <c r="E195" s="772"/>
      <c r="F195" s="94">
        <f>25929.6859184264*1.5884</f>
        <v>41186.713112828496</v>
      </c>
      <c r="G195" s="240"/>
      <c r="H195" s="798"/>
      <c r="I195" s="803">
        <v>0.51939406003095401</v>
      </c>
      <c r="J195" s="832"/>
      <c r="M195" s="279">
        <f t="shared" ref="M195:W195" si="60">(($F195+$G195*курс)*H$77*$I$195+($F195+$G195*курс)*H$78*$J$186)*IF(H$122="Премиум",1,0)*IF(H$64&lt;=75,1,0)</f>
        <v>0</v>
      </c>
      <c r="N195" s="490">
        <f t="shared" si="60"/>
        <v>0</v>
      </c>
      <c r="O195" s="490">
        <f t="shared" si="60"/>
        <v>0</v>
      </c>
      <c r="P195" s="490">
        <f t="shared" si="60"/>
        <v>0</v>
      </c>
      <c r="Q195" s="490">
        <f t="shared" si="60"/>
        <v>0</v>
      </c>
      <c r="R195" s="490">
        <f t="shared" si="60"/>
        <v>0</v>
      </c>
      <c r="S195" s="490">
        <f t="shared" si="60"/>
        <v>0</v>
      </c>
      <c r="T195" s="490">
        <f t="shared" si="60"/>
        <v>0</v>
      </c>
      <c r="U195" s="490">
        <f t="shared" si="60"/>
        <v>0</v>
      </c>
      <c r="V195" s="490">
        <f t="shared" si="60"/>
        <v>0</v>
      </c>
      <c r="W195" s="490">
        <f t="shared" si="60"/>
        <v>0</v>
      </c>
    </row>
    <row r="196" spans="1:39" outlineLevel="2">
      <c r="A196" s="15"/>
      <c r="B196" s="690"/>
      <c r="C196" s="810"/>
      <c r="D196" s="40" t="s">
        <v>508</v>
      </c>
      <c r="E196" s="772"/>
      <c r="F196" s="92">
        <f>26235.6325518421*1.5884</f>
        <v>41672.678745345991</v>
      </c>
      <c r="G196" s="238"/>
      <c r="H196" s="798"/>
      <c r="I196" s="804"/>
      <c r="J196" s="832"/>
      <c r="M196" s="289">
        <f t="shared" ref="M196:W196" si="61">(($F196+$G196*курс)*H$77*$I$195+($F196+$G196*курс)*H$78*$J$186)*IF(H$122="Премиум",1,0)*IF(AND(H$64&gt;75,H$64&lt;=120),1,0)</f>
        <v>0</v>
      </c>
      <c r="N196" s="289">
        <f t="shared" si="61"/>
        <v>0</v>
      </c>
      <c r="O196" s="289">
        <f t="shared" si="61"/>
        <v>0</v>
      </c>
      <c r="P196" s="289">
        <f t="shared" si="61"/>
        <v>0</v>
      </c>
      <c r="Q196" s="289">
        <f t="shared" si="61"/>
        <v>0</v>
      </c>
      <c r="R196" s="289">
        <f t="shared" si="61"/>
        <v>0</v>
      </c>
      <c r="S196" s="289">
        <f t="shared" si="61"/>
        <v>0</v>
      </c>
      <c r="T196" s="289">
        <f t="shared" si="61"/>
        <v>0</v>
      </c>
      <c r="U196" s="289">
        <f t="shared" si="61"/>
        <v>0</v>
      </c>
      <c r="V196" s="289">
        <f t="shared" si="61"/>
        <v>0</v>
      </c>
      <c r="W196" s="289">
        <f t="shared" si="61"/>
        <v>0</v>
      </c>
    </row>
    <row r="197" spans="1:39" outlineLevel="2">
      <c r="A197" s="15"/>
      <c r="B197" s="690"/>
      <c r="C197" s="824"/>
      <c r="D197" s="24" t="s">
        <v>509</v>
      </c>
      <c r="E197" s="772"/>
      <c r="F197" s="98">
        <f>26439.5969741192*1.5884</f>
        <v>41996.655833690937</v>
      </c>
      <c r="G197" s="244"/>
      <c r="H197" s="798"/>
      <c r="I197" s="805"/>
      <c r="J197" s="832"/>
      <c r="L197" s="15"/>
      <c r="M197" s="290">
        <f t="shared" ref="M197:W197" si="62">(($F197+$G197*курс)*H$77*$I$195+($F197+$G197*курс)*H$78*$J$186)*IF(H$122="Премиум",1,0)*IF(H$64&gt;120,1,0)</f>
        <v>0</v>
      </c>
      <c r="N197" s="290">
        <f t="shared" si="62"/>
        <v>0</v>
      </c>
      <c r="O197" s="290">
        <f t="shared" si="62"/>
        <v>0</v>
      </c>
      <c r="P197" s="290">
        <f t="shared" si="62"/>
        <v>0</v>
      </c>
      <c r="Q197" s="290">
        <f t="shared" si="62"/>
        <v>0</v>
      </c>
      <c r="R197" s="290">
        <f t="shared" si="62"/>
        <v>0</v>
      </c>
      <c r="S197" s="290">
        <f t="shared" si="62"/>
        <v>0</v>
      </c>
      <c r="T197" s="290">
        <f t="shared" si="62"/>
        <v>0</v>
      </c>
      <c r="U197" s="290">
        <f t="shared" si="62"/>
        <v>0</v>
      </c>
      <c r="V197" s="290">
        <f t="shared" si="62"/>
        <v>0</v>
      </c>
      <c r="W197" s="290">
        <f t="shared" si="62"/>
        <v>0</v>
      </c>
    </row>
    <row r="198" spans="1:39" outlineLevel="2">
      <c r="A198" s="15"/>
      <c r="B198" s="690"/>
      <c r="C198" s="825" t="s">
        <v>45</v>
      </c>
      <c r="D198" s="105" t="s">
        <v>473</v>
      </c>
      <c r="E198" s="772"/>
      <c r="F198" s="108">
        <f>8011.03981245153*2.6918</f>
        <v>21564.116967157031</v>
      </c>
      <c r="G198" s="514">
        <v>274.49763884656301</v>
      </c>
      <c r="H198" s="798"/>
      <c r="I198" s="890">
        <v>0.51939406003095401</v>
      </c>
      <c r="J198" s="832"/>
      <c r="L198" s="15"/>
      <c r="M198" s="279">
        <f>(($F198+$G198*курс)*H$77*$I$198+($F198+$G198*курс)*H$78*$J$186)*IF(H$122="Элит",1,0)*IF(H$64&lt;=75,1,0)</f>
        <v>0</v>
      </c>
      <c r="N198" s="490">
        <f t="shared" ref="N198:W198" si="63">(($F198+$G198*курс)*I$77*$I$198+($F198+$G198*курс)*I$78*$J$186)*IF(I$122="Элит",1,0)*IF(I$64&lt;=75,1,0)</f>
        <v>0</v>
      </c>
      <c r="O198" s="490">
        <f t="shared" si="63"/>
        <v>0</v>
      </c>
      <c r="P198" s="490">
        <f t="shared" si="63"/>
        <v>0</v>
      </c>
      <c r="Q198" s="490">
        <f t="shared" si="63"/>
        <v>0</v>
      </c>
      <c r="R198" s="490">
        <f t="shared" si="63"/>
        <v>0</v>
      </c>
      <c r="S198" s="490">
        <f t="shared" si="63"/>
        <v>0</v>
      </c>
      <c r="T198" s="490">
        <f t="shared" si="63"/>
        <v>0</v>
      </c>
      <c r="U198" s="490">
        <f t="shared" si="63"/>
        <v>0</v>
      </c>
      <c r="V198" s="490">
        <f t="shared" si="63"/>
        <v>0</v>
      </c>
      <c r="W198" s="490">
        <f t="shared" si="63"/>
        <v>0</v>
      </c>
      <c r="AC198" s="627">
        <f>(($G198)*H$77*$I$198+($G198)*H$78*$J$186)*IF(H$122="Элит",1,0)*IF(H$64&lt;=75,1,0)</f>
        <v>0</v>
      </c>
      <c r="AD198" s="627">
        <f t="shared" ref="AD198:AL198" si="64">(($G198)*I$77*$I$198+($G198)*I$78*$J$186)*IF(I$122="Элит",1,0)*IF(I$64&lt;=75,1,0)</f>
        <v>0</v>
      </c>
      <c r="AE198" s="627">
        <f t="shared" si="64"/>
        <v>0</v>
      </c>
      <c r="AF198" s="627">
        <f t="shared" si="64"/>
        <v>0</v>
      </c>
      <c r="AG198" s="627">
        <f t="shared" si="64"/>
        <v>0</v>
      </c>
      <c r="AH198" s="627">
        <f t="shared" si="64"/>
        <v>0</v>
      </c>
      <c r="AI198" s="627">
        <f t="shared" si="64"/>
        <v>0</v>
      </c>
      <c r="AJ198" s="627">
        <f t="shared" si="64"/>
        <v>0</v>
      </c>
      <c r="AK198" s="627">
        <f t="shared" si="64"/>
        <v>0</v>
      </c>
      <c r="AL198" s="627">
        <f t="shared" si="64"/>
        <v>0</v>
      </c>
      <c r="AM198" s="627">
        <f>(($G198)*R$77*$I$198+($G198)*R$78*$J$186)*IF(R$122="Элит",1,0)*IF(R$64&lt;=75,1,0)</f>
        <v>0</v>
      </c>
    </row>
    <row r="199" spans="1:39" outlineLevel="2">
      <c r="A199" s="15"/>
      <c r="B199" s="690"/>
      <c r="C199" s="810"/>
      <c r="D199" s="40" t="s">
        <v>508</v>
      </c>
      <c r="E199" s="772"/>
      <c r="F199" s="92">
        <f>8105.56277229334*2.6918</f>
        <v>21818.553870459215</v>
      </c>
      <c r="G199" s="272">
        <v>277.73646051026725</v>
      </c>
      <c r="H199" s="798"/>
      <c r="I199" s="804"/>
      <c r="J199" s="832"/>
      <c r="L199" s="15"/>
      <c r="M199" s="289">
        <f>(($F199+$G199*курс)*H$77*$I$198+($F199+$G199*курс)*H$78*$J$186)*IF(H$122="Элит",1,0)*IF(AND(H$64&gt;75,H$64&lt;=120),1,0)</f>
        <v>0</v>
      </c>
      <c r="N199" s="289">
        <f t="shared" ref="N199:W199" si="65">(($F199+$G199*курс)*I$77*$I$198+($F199+$G199*курс)*I$78*$J$186)*IF(I$122="Элит",1,0)*IF(AND(I$64&gt;75,I$64&lt;=120),1,0)</f>
        <v>0</v>
      </c>
      <c r="O199" s="289">
        <f t="shared" si="65"/>
        <v>0</v>
      </c>
      <c r="P199" s="289">
        <f t="shared" si="65"/>
        <v>0</v>
      </c>
      <c r="Q199" s="289">
        <f t="shared" si="65"/>
        <v>0</v>
      </c>
      <c r="R199" s="289">
        <f t="shared" si="65"/>
        <v>0</v>
      </c>
      <c r="S199" s="289">
        <f t="shared" si="65"/>
        <v>0</v>
      </c>
      <c r="T199" s="289">
        <f t="shared" si="65"/>
        <v>0</v>
      </c>
      <c r="U199" s="289">
        <f t="shared" si="65"/>
        <v>0</v>
      </c>
      <c r="V199" s="289">
        <f t="shared" si="65"/>
        <v>0</v>
      </c>
      <c r="W199" s="289">
        <f t="shared" si="65"/>
        <v>0</v>
      </c>
      <c r="AC199" s="627">
        <f>(($G199)*H$77*$I$198+($G199)*H$78*$J$186)*IF(H$122="Элит",1,0)*IF(AND(H$64&gt;75,H$64&lt;=120),1,0)</f>
        <v>0</v>
      </c>
      <c r="AD199" s="627">
        <f t="shared" ref="AD199:AM199" si="66">(($G199)*I$77*$I$198+($G199)*I$78*$J$186)*IF(I$122="Элит",1,0)*IF(AND(I$64&gt;75,I$64&lt;=120),1,0)</f>
        <v>0</v>
      </c>
      <c r="AE199" s="627">
        <f t="shared" si="66"/>
        <v>0</v>
      </c>
      <c r="AF199" s="627">
        <f t="shared" si="66"/>
        <v>0</v>
      </c>
      <c r="AG199" s="627">
        <f t="shared" si="66"/>
        <v>0</v>
      </c>
      <c r="AH199" s="627">
        <f t="shared" si="66"/>
        <v>0</v>
      </c>
      <c r="AI199" s="627">
        <f t="shared" si="66"/>
        <v>0</v>
      </c>
      <c r="AJ199" s="627">
        <f t="shared" si="66"/>
        <v>0</v>
      </c>
      <c r="AK199" s="627">
        <f t="shared" si="66"/>
        <v>0</v>
      </c>
      <c r="AL199" s="627">
        <f t="shared" si="66"/>
        <v>0</v>
      </c>
      <c r="AM199" s="627">
        <f t="shared" si="66"/>
        <v>0</v>
      </c>
    </row>
    <row r="200" spans="1:39" ht="21.75" customHeight="1" outlineLevel="2">
      <c r="A200" s="15"/>
      <c r="B200" s="691"/>
      <c r="C200" s="824"/>
      <c r="D200" s="24" t="s">
        <v>509</v>
      </c>
      <c r="E200" s="773"/>
      <c r="F200" s="98">
        <f>8168.57807885455*2.6918</f>
        <v>21988.178472660678</v>
      </c>
      <c r="G200" s="273">
        <v>279.89567495273673</v>
      </c>
      <c r="H200" s="799"/>
      <c r="I200" s="805"/>
      <c r="J200" s="833"/>
      <c r="L200" s="15"/>
      <c r="M200" s="290">
        <f>(($F200+$G200*курс)*H$77*$I$198+($F200+$G200*курс)*H$78*$J$186)*IF(H$122="Элит",1,0)*IF(H$64&gt;120,1,0)</f>
        <v>0</v>
      </c>
      <c r="N200" s="290">
        <f t="shared" ref="N200:W200" si="67">(($F200+$G200*курс)*I$77*$I$198+($F200+$G200*курс)*I$78*$J$186)*IF(I$122="Элит",1,0)*IF(I$64&gt;120,1,0)</f>
        <v>0</v>
      </c>
      <c r="O200" s="290">
        <f t="shared" si="67"/>
        <v>0</v>
      </c>
      <c r="P200" s="290">
        <f t="shared" si="67"/>
        <v>0</v>
      </c>
      <c r="Q200" s="290">
        <f t="shared" si="67"/>
        <v>0</v>
      </c>
      <c r="R200" s="290">
        <f t="shared" si="67"/>
        <v>0</v>
      </c>
      <c r="S200" s="290">
        <f t="shared" si="67"/>
        <v>0</v>
      </c>
      <c r="T200" s="290">
        <f t="shared" si="67"/>
        <v>0</v>
      </c>
      <c r="U200" s="290">
        <f t="shared" si="67"/>
        <v>0</v>
      </c>
      <c r="V200" s="290">
        <f t="shared" si="67"/>
        <v>0</v>
      </c>
      <c r="W200" s="290">
        <f t="shared" si="67"/>
        <v>0</v>
      </c>
      <c r="AC200" s="627">
        <f>(($G200)*H$77*$I$198+($G200)*H$78*$J$186)*IF(H$122="Элит",1,0)*IF(H$64&gt;120,1,0)</f>
        <v>0</v>
      </c>
      <c r="AD200" s="627">
        <f t="shared" ref="AD200:AM200" si="68">(($G200)*I$77*$I$198+($G200)*I$78*$J$186)*IF(I$122="Элит",1,0)*IF(I$64&gt;120,1,0)</f>
        <v>0</v>
      </c>
      <c r="AE200" s="627">
        <f t="shared" si="68"/>
        <v>0</v>
      </c>
      <c r="AF200" s="627">
        <f t="shared" si="68"/>
        <v>0</v>
      </c>
      <c r="AG200" s="627">
        <f t="shared" si="68"/>
        <v>0</v>
      </c>
      <c r="AH200" s="627">
        <f t="shared" si="68"/>
        <v>0</v>
      </c>
      <c r="AI200" s="627">
        <f t="shared" si="68"/>
        <v>0</v>
      </c>
      <c r="AJ200" s="627">
        <f t="shared" si="68"/>
        <v>0</v>
      </c>
      <c r="AK200" s="627">
        <f t="shared" si="68"/>
        <v>0</v>
      </c>
      <c r="AL200" s="627">
        <f t="shared" si="68"/>
        <v>0</v>
      </c>
      <c r="AM200" s="627">
        <f t="shared" si="68"/>
        <v>0</v>
      </c>
    </row>
    <row r="201" spans="1:39" ht="27" customHeight="1" outlineLevel="2">
      <c r="A201" s="15"/>
      <c r="B201" s="698" t="s">
        <v>940</v>
      </c>
      <c r="C201" s="19" t="s">
        <v>44</v>
      </c>
      <c r="D201" s="775" t="s">
        <v>930</v>
      </c>
      <c r="E201" s="776"/>
      <c r="F201" s="94">
        <v>1828.5282975672603</v>
      </c>
      <c r="G201" s="240"/>
      <c r="H201" s="701" t="s">
        <v>931</v>
      </c>
      <c r="I201" s="250"/>
      <c r="J201" s="250"/>
      <c r="K201" s="250"/>
      <c r="L201" s="15"/>
      <c r="M201" s="490">
        <f t="shared" ref="M201:W201" si="69">(($F201+$G201*курс)*H$77*$I$195+($F201+$G201*курс)*H$78*$J$186)*IF(H$122="Премиум",1,0)</f>
        <v>0</v>
      </c>
      <c r="N201" s="490">
        <f t="shared" si="69"/>
        <v>0</v>
      </c>
      <c r="O201" s="490">
        <f t="shared" si="69"/>
        <v>0</v>
      </c>
      <c r="P201" s="490">
        <f t="shared" si="69"/>
        <v>0</v>
      </c>
      <c r="Q201" s="490">
        <f t="shared" si="69"/>
        <v>0</v>
      </c>
      <c r="R201" s="490">
        <f t="shared" si="69"/>
        <v>0</v>
      </c>
      <c r="S201" s="490">
        <f t="shared" si="69"/>
        <v>0</v>
      </c>
      <c r="T201" s="490">
        <f t="shared" si="69"/>
        <v>0</v>
      </c>
      <c r="U201" s="490">
        <f t="shared" si="69"/>
        <v>0</v>
      </c>
      <c r="V201" s="490">
        <f t="shared" si="69"/>
        <v>0</v>
      </c>
      <c r="W201" s="490">
        <f t="shared" si="69"/>
        <v>0</v>
      </c>
    </row>
    <row r="202" spans="1:39" ht="27" customHeight="1" outlineLevel="2">
      <c r="A202" s="15"/>
      <c r="B202" s="691"/>
      <c r="C202" s="37" t="s">
        <v>45</v>
      </c>
      <c r="D202" s="779"/>
      <c r="E202" s="780"/>
      <c r="F202" s="98">
        <v>2583.3279669785679</v>
      </c>
      <c r="G202" s="273">
        <v>2.6656485056772214</v>
      </c>
      <c r="H202" s="707"/>
      <c r="I202" s="250"/>
      <c r="J202" s="250"/>
      <c r="K202" s="250"/>
      <c r="L202" s="15"/>
      <c r="M202" s="490">
        <f>(($F202+$G202*курс)*H$77*$I$198+($F202+$G202*курс)*H$78*$J$186)*IF(H$122="Элит",1,0)</f>
        <v>0</v>
      </c>
      <c r="N202" s="490">
        <f t="shared" ref="N202:W202" si="70">(($F202+$G202*курс)*I$77*$I$198+($F202+$G202*курс)*I$78*$J$186)*IF(I$122="Элит",1,0)</f>
        <v>0</v>
      </c>
      <c r="O202" s="490">
        <f t="shared" si="70"/>
        <v>0</v>
      </c>
      <c r="P202" s="490">
        <f t="shared" si="70"/>
        <v>0</v>
      </c>
      <c r="Q202" s="490">
        <f t="shared" si="70"/>
        <v>0</v>
      </c>
      <c r="R202" s="490">
        <f t="shared" si="70"/>
        <v>0</v>
      </c>
      <c r="S202" s="490">
        <f t="shared" si="70"/>
        <v>0</v>
      </c>
      <c r="T202" s="490">
        <f t="shared" si="70"/>
        <v>0</v>
      </c>
      <c r="U202" s="490">
        <f t="shared" si="70"/>
        <v>0</v>
      </c>
      <c r="V202" s="490">
        <f t="shared" si="70"/>
        <v>0</v>
      </c>
      <c r="W202" s="490">
        <f t="shared" si="70"/>
        <v>0</v>
      </c>
      <c r="AC202" s="490">
        <f>(($G202)*H$77*$I$198+($G202)*H$78*$J$186)*IF(H$122="Элит",1,0)</f>
        <v>0</v>
      </c>
      <c r="AD202" s="627">
        <f t="shared" ref="AD202:AM202" si="71">(($G202)*I$77*$I$198+($G202)*I$78*$J$186)*IF(I$122="Элит",1,0)</f>
        <v>0</v>
      </c>
      <c r="AE202" s="627">
        <f t="shared" si="71"/>
        <v>0</v>
      </c>
      <c r="AF202" s="627">
        <f t="shared" si="71"/>
        <v>0</v>
      </c>
      <c r="AG202" s="627">
        <f t="shared" si="71"/>
        <v>0</v>
      </c>
      <c r="AH202" s="627">
        <f t="shared" si="71"/>
        <v>0</v>
      </c>
      <c r="AI202" s="627">
        <f t="shared" si="71"/>
        <v>0</v>
      </c>
      <c r="AJ202" s="627">
        <f t="shared" si="71"/>
        <v>0</v>
      </c>
      <c r="AK202" s="627">
        <f t="shared" si="71"/>
        <v>0</v>
      </c>
      <c r="AL202" s="627">
        <f t="shared" si="71"/>
        <v>0</v>
      </c>
      <c r="AM202" s="627">
        <f t="shared" si="71"/>
        <v>0</v>
      </c>
    </row>
    <row r="203" spans="1:39" ht="18.75" outlineLevel="1">
      <c r="A203" s="15"/>
      <c r="B203" s="717" t="s">
        <v>522</v>
      </c>
      <c r="C203" s="521"/>
      <c r="D203" s="14"/>
      <c r="E203" s="14"/>
      <c r="F203" s="14"/>
      <c r="G203" s="14"/>
      <c r="H203" s="14"/>
      <c r="I203" s="14"/>
      <c r="J203" s="14"/>
      <c r="K203" s="14"/>
      <c r="L203" s="14"/>
      <c r="M203" s="14"/>
      <c r="N203" s="14"/>
      <c r="O203" s="14"/>
      <c r="P203" s="14"/>
      <c r="Q203" s="14"/>
      <c r="R203" s="14"/>
      <c r="S203" s="14"/>
      <c r="T203" s="14"/>
      <c r="U203" s="14"/>
      <c r="V203" s="14"/>
      <c r="W203" s="14"/>
      <c r="X203" s="14"/>
      <c r="AB203" t="s">
        <v>420</v>
      </c>
    </row>
    <row r="204" spans="1:39" ht="18.75" customHeight="1" outlineLevel="2">
      <c r="A204" s="15"/>
      <c r="B204" s="718"/>
      <c r="C204" s="750" t="s">
        <v>944</v>
      </c>
      <c r="D204" s="19" t="s">
        <v>32</v>
      </c>
      <c r="E204" s="771" t="str">
        <f>C166</f>
        <v xml:space="preserve">облицовка - материал  + подсистема </v>
      </c>
      <c r="F204" s="534">
        <f>F166</f>
        <v>17815.992423790791</v>
      </c>
      <c r="G204" s="240">
        <f>G166</f>
        <v>0</v>
      </c>
      <c r="H204" s="797" t="s">
        <v>935</v>
      </c>
      <c r="I204" s="520">
        <f>100%-I212-I219</f>
        <v>0.4703490193566513</v>
      </c>
      <c r="J204" s="418"/>
      <c r="M204" s="279">
        <f t="shared" ref="M204:W204" si="72">($F204+$G204*курс)*H$79*$I204*IF(H$122="Комфорт",1,0)</f>
        <v>0</v>
      </c>
      <c r="N204" s="279">
        <f t="shared" si="72"/>
        <v>0</v>
      </c>
      <c r="O204" s="279">
        <f t="shared" si="72"/>
        <v>0</v>
      </c>
      <c r="P204" s="279">
        <f t="shared" si="72"/>
        <v>0</v>
      </c>
      <c r="Q204" s="279">
        <f t="shared" si="72"/>
        <v>0</v>
      </c>
      <c r="R204" s="279">
        <f t="shared" si="72"/>
        <v>0</v>
      </c>
      <c r="S204" s="279">
        <f t="shared" si="72"/>
        <v>0</v>
      </c>
      <c r="T204" s="279">
        <f t="shared" si="72"/>
        <v>0</v>
      </c>
      <c r="U204" s="279">
        <f t="shared" si="72"/>
        <v>0</v>
      </c>
      <c r="V204" s="279">
        <f t="shared" si="72"/>
        <v>0</v>
      </c>
      <c r="W204" s="279">
        <f t="shared" si="72"/>
        <v>0</v>
      </c>
    </row>
    <row r="205" spans="1:39" ht="18.75" customHeight="1" outlineLevel="2">
      <c r="A205" s="15"/>
      <c r="B205" s="718"/>
      <c r="C205" s="751"/>
      <c r="D205" s="17" t="s">
        <v>42</v>
      </c>
      <c r="E205" s="772"/>
      <c r="F205" s="531">
        <f>F169</f>
        <v>23418.499941830178</v>
      </c>
      <c r="G205" s="238">
        <f>G169</f>
        <v>0</v>
      </c>
      <c r="H205" s="798"/>
      <c r="I205" s="532">
        <f>100%-I213-I220</f>
        <v>0.4703490193566513</v>
      </c>
      <c r="J205" s="418"/>
      <c r="M205" s="289">
        <f t="shared" ref="M205:W205" si="73">($F205+$G205*курс)*H$79*$I205*IF(H$122="Бизнес",1,0)</f>
        <v>0</v>
      </c>
      <c r="N205" s="289">
        <f t="shared" si="73"/>
        <v>0</v>
      </c>
      <c r="O205" s="289">
        <f t="shared" si="73"/>
        <v>0</v>
      </c>
      <c r="P205" s="289">
        <f t="shared" si="73"/>
        <v>0</v>
      </c>
      <c r="Q205" s="289">
        <f t="shared" si="73"/>
        <v>0</v>
      </c>
      <c r="R205" s="289">
        <f t="shared" si="73"/>
        <v>0</v>
      </c>
      <c r="S205" s="289">
        <f t="shared" si="73"/>
        <v>0</v>
      </c>
      <c r="T205" s="289">
        <f t="shared" si="73"/>
        <v>0</v>
      </c>
      <c r="U205" s="289">
        <f t="shared" si="73"/>
        <v>0</v>
      </c>
      <c r="V205" s="289">
        <f t="shared" si="73"/>
        <v>0</v>
      </c>
      <c r="W205" s="289">
        <f t="shared" si="73"/>
        <v>0</v>
      </c>
    </row>
    <row r="206" spans="1:39" ht="18.75" customHeight="1" outlineLevel="2">
      <c r="A206" s="15"/>
      <c r="B206" s="718"/>
      <c r="C206" s="751"/>
      <c r="D206" s="17" t="s">
        <v>43</v>
      </c>
      <c r="E206" s="772"/>
      <c r="F206" s="531">
        <f>F172</f>
        <v>31017.32708204096</v>
      </c>
      <c r="G206" s="238">
        <f>G172</f>
        <v>0</v>
      </c>
      <c r="H206" s="798"/>
      <c r="I206" s="532">
        <f>100%-I213-I221</f>
        <v>0.42745210205537088</v>
      </c>
      <c r="J206" s="418"/>
      <c r="M206" s="289">
        <f t="shared" ref="M206:W206" si="74">($F206+$G206*курс)*H$79*$I206*IF(H$122="Бизнес+",1,0)</f>
        <v>15652561.152857004</v>
      </c>
      <c r="N206" s="289">
        <f t="shared" si="74"/>
        <v>11767313.269212833</v>
      </c>
      <c r="O206" s="289">
        <f t="shared" si="74"/>
        <v>16479488.911875863</v>
      </c>
      <c r="P206" s="289">
        <f t="shared" si="74"/>
        <v>15652561.152857004</v>
      </c>
      <c r="Q206" s="289">
        <f t="shared" si="74"/>
        <v>0</v>
      </c>
      <c r="R206" s="289">
        <f t="shared" si="74"/>
        <v>0</v>
      </c>
      <c r="S206" s="289">
        <f t="shared" si="74"/>
        <v>0</v>
      </c>
      <c r="T206" s="289">
        <f t="shared" si="74"/>
        <v>0</v>
      </c>
      <c r="U206" s="289">
        <f t="shared" si="74"/>
        <v>0</v>
      </c>
      <c r="V206" s="289">
        <f t="shared" si="74"/>
        <v>0</v>
      </c>
      <c r="W206" s="289">
        <f t="shared" si="74"/>
        <v>0</v>
      </c>
    </row>
    <row r="207" spans="1:39" ht="20.25" customHeight="1" outlineLevel="2">
      <c r="A207" s="15"/>
      <c r="B207" s="718"/>
      <c r="C207" s="751"/>
      <c r="D207" s="17" t="s">
        <v>44</v>
      </c>
      <c r="E207" s="772"/>
      <c r="F207" s="531">
        <f>F175</f>
        <v>46604.196870652893</v>
      </c>
      <c r="G207" s="238">
        <f>G175</f>
        <v>0</v>
      </c>
      <c r="H207" s="798"/>
      <c r="I207" s="532">
        <f>100%-I214-I222</f>
        <v>0.45355425412829375</v>
      </c>
      <c r="J207" s="418"/>
      <c r="M207" s="289">
        <f t="shared" ref="M207:W207" si="75">($F207+$G207*курс)*H$79*$I207*IF(H$122="Премиум",1,0)</f>
        <v>0</v>
      </c>
      <c r="N207" s="289">
        <f t="shared" si="75"/>
        <v>0</v>
      </c>
      <c r="O207" s="289">
        <f t="shared" si="75"/>
        <v>0</v>
      </c>
      <c r="P207" s="289">
        <f t="shared" si="75"/>
        <v>0</v>
      </c>
      <c r="Q207" s="289">
        <f t="shared" si="75"/>
        <v>0</v>
      </c>
      <c r="R207" s="289">
        <f t="shared" si="75"/>
        <v>0</v>
      </c>
      <c r="S207" s="289">
        <f t="shared" si="75"/>
        <v>0</v>
      </c>
      <c r="T207" s="289">
        <f t="shared" si="75"/>
        <v>0</v>
      </c>
      <c r="U207" s="289">
        <f t="shared" si="75"/>
        <v>0</v>
      </c>
      <c r="V207" s="289">
        <f t="shared" si="75"/>
        <v>0</v>
      </c>
      <c r="W207" s="289">
        <f t="shared" si="75"/>
        <v>0</v>
      </c>
    </row>
    <row r="208" spans="1:39" ht="18.75" customHeight="1" outlineLevel="2">
      <c r="A208" s="15"/>
      <c r="B208" s="718"/>
      <c r="C208" s="774"/>
      <c r="D208" s="36" t="s">
        <v>45</v>
      </c>
      <c r="E208" s="773"/>
      <c r="F208" s="535">
        <f>F178</f>
        <v>34468.749233700801</v>
      </c>
      <c r="G208" s="535">
        <f>G178</f>
        <v>374.41385114279632</v>
      </c>
      <c r="H208" s="798"/>
      <c r="I208" s="536">
        <f>100%-I214-I222</f>
        <v>0.45355425412829375</v>
      </c>
      <c r="J208" s="418"/>
      <c r="L208" s="15"/>
      <c r="M208" s="290">
        <f>($F208+$G208*курс)*H$79*$I208*IF(H$122="Элит",1,0)</f>
        <v>0</v>
      </c>
      <c r="N208" s="290">
        <f t="shared" ref="N208:W208" si="76">($F208+$G208*курс)*I$79*$I208*IF(I$122="Элит",1,0)</f>
        <v>0</v>
      </c>
      <c r="O208" s="290">
        <f t="shared" si="76"/>
        <v>0</v>
      </c>
      <c r="P208" s="290">
        <f t="shared" si="76"/>
        <v>0</v>
      </c>
      <c r="Q208" s="290">
        <f t="shared" si="76"/>
        <v>0</v>
      </c>
      <c r="R208" s="290">
        <f t="shared" si="76"/>
        <v>0</v>
      </c>
      <c r="S208" s="290">
        <f t="shared" si="76"/>
        <v>0</v>
      </c>
      <c r="T208" s="290">
        <f t="shared" si="76"/>
        <v>0</v>
      </c>
      <c r="U208" s="290">
        <f t="shared" si="76"/>
        <v>0</v>
      </c>
      <c r="V208" s="290">
        <f t="shared" si="76"/>
        <v>0</v>
      </c>
      <c r="W208" s="290">
        <f t="shared" si="76"/>
        <v>0</v>
      </c>
      <c r="AC208" s="290">
        <f>($G208)*H$79*$I208*IF(H$122="Элит",1,0)</f>
        <v>0</v>
      </c>
      <c r="AD208" s="290">
        <f t="shared" ref="AD208:AL208" si="77">($G208)*I$79*$I208*IF(I$122="Элит",1,0)</f>
        <v>0</v>
      </c>
      <c r="AE208" s="290">
        <f t="shared" si="77"/>
        <v>0</v>
      </c>
      <c r="AF208" s="290">
        <f t="shared" si="77"/>
        <v>0</v>
      </c>
      <c r="AG208" s="290">
        <f t="shared" si="77"/>
        <v>0</v>
      </c>
      <c r="AH208" s="290">
        <f t="shared" si="77"/>
        <v>0</v>
      </c>
      <c r="AI208" s="290">
        <f t="shared" si="77"/>
        <v>0</v>
      </c>
      <c r="AJ208" s="290">
        <f t="shared" si="77"/>
        <v>0</v>
      </c>
      <c r="AK208" s="290">
        <f t="shared" si="77"/>
        <v>0</v>
      </c>
      <c r="AL208" s="290">
        <f t="shared" si="77"/>
        <v>0</v>
      </c>
    </row>
    <row r="209" spans="1:38" ht="54.75" customHeight="1" outlineLevel="2">
      <c r="A209" s="15"/>
      <c r="B209" s="718"/>
      <c r="C209" s="750" t="s">
        <v>943</v>
      </c>
      <c r="D209" s="19" t="s">
        <v>32</v>
      </c>
      <c r="E209" s="771" t="str">
        <f>D181</f>
        <v>разработка ППР; мобилизация/демобилизация;
теплоэнергетический паспорт здания; тепловизиционное обследование;
облицовка выходов из паркинга; откосы наружные (кладка), отливы, отсечка, узлы примыкания окна;
установка/разборка лесов и др. подмостей (на всю площадь фасадов и остекления);
освещение фасадов; карнизы; площадки (корзины) под кондиционеры;
экраны балконов, ограждение (не конструктив) и отделка балконов (внешние);
конструкции для размещения инф. рекламных элементов, в т.ч. медиафасад;
декоративные экраны; вентрешетка; облицовка лифтовых шахт на кровле;
Кладка лифтовых шахт в шахтах.
Образцы фасада в отделке офиса продаж.</v>
      </c>
      <c r="F209" s="534">
        <f t="shared" ref="F209:G211" si="78">F181</f>
        <v>8984.8198931824263</v>
      </c>
      <c r="G209" s="240">
        <f t="shared" si="78"/>
        <v>0</v>
      </c>
      <c r="H209" s="826"/>
      <c r="I209" s="533"/>
      <c r="J209" s="418"/>
      <c r="K209" s="250"/>
      <c r="M209" s="490">
        <f t="shared" ref="M209:W209" si="79">($F209+$G209*курс)*H$79*$I204*IF(H$122="Комфорт",1,0)</f>
        <v>0</v>
      </c>
      <c r="N209" s="490">
        <f t="shared" si="79"/>
        <v>0</v>
      </c>
      <c r="O209" s="490">
        <f t="shared" si="79"/>
        <v>0</v>
      </c>
      <c r="P209" s="490">
        <f t="shared" si="79"/>
        <v>0</v>
      </c>
      <c r="Q209" s="490">
        <f t="shared" si="79"/>
        <v>0</v>
      </c>
      <c r="R209" s="490">
        <f t="shared" si="79"/>
        <v>0</v>
      </c>
      <c r="S209" s="490">
        <f t="shared" si="79"/>
        <v>0</v>
      </c>
      <c r="T209" s="490">
        <f t="shared" si="79"/>
        <v>0</v>
      </c>
      <c r="U209" s="490">
        <f t="shared" si="79"/>
        <v>0</v>
      </c>
      <c r="V209" s="490">
        <f t="shared" si="79"/>
        <v>0</v>
      </c>
      <c r="W209" s="490">
        <f t="shared" si="79"/>
        <v>0</v>
      </c>
    </row>
    <row r="210" spans="1:38" ht="54.75" customHeight="1" outlineLevel="2">
      <c r="A210" s="15"/>
      <c r="B210" s="718"/>
      <c r="C210" s="751"/>
      <c r="D210" s="17" t="s">
        <v>932</v>
      </c>
      <c r="E210" s="772"/>
      <c r="F210" s="531">
        <f t="shared" si="78"/>
        <v>11292.797186594771</v>
      </c>
      <c r="G210" s="238">
        <f t="shared" si="78"/>
        <v>0</v>
      </c>
      <c r="H210" s="826"/>
      <c r="I210" s="533"/>
      <c r="J210" s="418"/>
      <c r="K210" s="250"/>
      <c r="M210" s="289">
        <f t="shared" ref="M210:W210" si="80">($F210+$G210*курс)*H$79*AVERAGE($I205,$I206)*(IF(H$122="Бизнес",1,0)+IF(H$122="Бизнес+",1,0))</f>
        <v>5984739.5992406318</v>
      </c>
      <c r="N210" s="289">
        <f t="shared" si="80"/>
        <v>4499219.3297435855</v>
      </c>
      <c r="O210" s="289">
        <f t="shared" si="80"/>
        <v>6300914.5214646645</v>
      </c>
      <c r="P210" s="289">
        <f t="shared" si="80"/>
        <v>5984739.5992406318</v>
      </c>
      <c r="Q210" s="289">
        <f t="shared" si="80"/>
        <v>0</v>
      </c>
      <c r="R210" s="289">
        <f t="shared" si="80"/>
        <v>0</v>
      </c>
      <c r="S210" s="289">
        <f t="shared" si="80"/>
        <v>0</v>
      </c>
      <c r="T210" s="289">
        <f t="shared" si="80"/>
        <v>0</v>
      </c>
      <c r="U210" s="289">
        <f t="shared" si="80"/>
        <v>0</v>
      </c>
      <c r="V210" s="289">
        <f t="shared" si="80"/>
        <v>0</v>
      </c>
      <c r="W210" s="289">
        <f t="shared" si="80"/>
        <v>0</v>
      </c>
    </row>
    <row r="211" spans="1:38" ht="54.75" customHeight="1" outlineLevel="2">
      <c r="A211" s="15"/>
      <c r="B211" s="718"/>
      <c r="C211" s="774"/>
      <c r="D211" s="36" t="s">
        <v>277</v>
      </c>
      <c r="E211" s="773"/>
      <c r="F211" s="535">
        <f t="shared" si="78"/>
        <v>12752.104433491464</v>
      </c>
      <c r="G211" s="535">
        <f t="shared" si="78"/>
        <v>23.397200175390964</v>
      </c>
      <c r="H211" s="827"/>
      <c r="I211" s="533"/>
      <c r="J211" s="418"/>
      <c r="K211" s="250"/>
      <c r="L211" s="15"/>
      <c r="M211" s="290">
        <f>($F211+$G211*курс)*H$79*$I208*(IF(H$122="Элит",1,0)+IF(H$122="Премиум",1,0))</f>
        <v>0</v>
      </c>
      <c r="N211" s="290">
        <f t="shared" ref="N211:W211" si="81">($F211+$G211*курс)*I$79*$I208*(IF(I$122="Элит",1,0)+IF(I$122="Премиум",1,0))</f>
        <v>0</v>
      </c>
      <c r="O211" s="290">
        <f t="shared" si="81"/>
        <v>0</v>
      </c>
      <c r="P211" s="290">
        <f t="shared" si="81"/>
        <v>0</v>
      </c>
      <c r="Q211" s="290">
        <f t="shared" si="81"/>
        <v>0</v>
      </c>
      <c r="R211" s="290">
        <f t="shared" si="81"/>
        <v>0</v>
      </c>
      <c r="S211" s="290">
        <f t="shared" si="81"/>
        <v>0</v>
      </c>
      <c r="T211" s="290">
        <f t="shared" si="81"/>
        <v>0</v>
      </c>
      <c r="U211" s="290">
        <f t="shared" si="81"/>
        <v>0</v>
      </c>
      <c r="V211" s="290">
        <f t="shared" si="81"/>
        <v>0</v>
      </c>
      <c r="W211" s="290">
        <f t="shared" si="81"/>
        <v>0</v>
      </c>
      <c r="AC211" s="627">
        <f>($G211)*H$79*$I208*(IF(H$122="Элит",1,0)+IF(H$122="Премиум",1,0))</f>
        <v>0</v>
      </c>
      <c r="AD211" s="627">
        <f t="shared" ref="AD211:AL211" si="82">($G211)*I$79*$I208*(IF(I$122="Элит",1,0)+IF(I$122="Премиум",1,0))</f>
        <v>0</v>
      </c>
      <c r="AE211" s="627">
        <f t="shared" si="82"/>
        <v>0</v>
      </c>
      <c r="AF211" s="627">
        <f t="shared" si="82"/>
        <v>0</v>
      </c>
      <c r="AG211" s="627">
        <f t="shared" si="82"/>
        <v>0</v>
      </c>
      <c r="AH211" s="627">
        <f t="shared" si="82"/>
        <v>0</v>
      </c>
      <c r="AI211" s="627">
        <f t="shared" si="82"/>
        <v>0</v>
      </c>
      <c r="AJ211" s="627">
        <f t="shared" si="82"/>
        <v>0</v>
      </c>
      <c r="AK211" s="627">
        <f t="shared" si="82"/>
        <v>0</v>
      </c>
      <c r="AL211" s="627">
        <f t="shared" si="82"/>
        <v>0</v>
      </c>
    </row>
    <row r="212" spans="1:38" ht="18.75" customHeight="1" outlineLevel="2">
      <c r="A212" s="15"/>
      <c r="B212" s="718"/>
      <c r="C212" s="750" t="s">
        <v>942</v>
      </c>
      <c r="D212" s="19" t="s">
        <v>32</v>
      </c>
      <c r="E212" s="771" t="s">
        <v>926</v>
      </c>
      <c r="F212" s="94">
        <f>18957.172857525*1.2184</f>
        <v>23097.419409608461</v>
      </c>
      <c r="G212" s="240"/>
      <c r="H212" s="797" t="s">
        <v>927</v>
      </c>
      <c r="I212" s="299">
        <v>0.36256918452196601</v>
      </c>
      <c r="J212" s="136"/>
      <c r="M212" s="490">
        <f t="shared" ref="M212:W212" si="83">($F212+$G212*курс)*H$79*$I212*IF(H$122="Комфорт",1,0)</f>
        <v>0</v>
      </c>
      <c r="N212" s="490">
        <f t="shared" si="83"/>
        <v>0</v>
      </c>
      <c r="O212" s="490">
        <f t="shared" si="83"/>
        <v>0</v>
      </c>
      <c r="P212" s="490">
        <f t="shared" si="83"/>
        <v>0</v>
      </c>
      <c r="Q212" s="490">
        <f t="shared" si="83"/>
        <v>0</v>
      </c>
      <c r="R212" s="490">
        <f t="shared" si="83"/>
        <v>0</v>
      </c>
      <c r="S212" s="490">
        <f t="shared" si="83"/>
        <v>0</v>
      </c>
      <c r="T212" s="490">
        <f t="shared" si="83"/>
        <v>0</v>
      </c>
      <c r="U212" s="490">
        <f t="shared" si="83"/>
        <v>0</v>
      </c>
      <c r="V212" s="490">
        <f t="shared" si="83"/>
        <v>0</v>
      </c>
      <c r="W212" s="490">
        <f t="shared" si="83"/>
        <v>0</v>
      </c>
    </row>
    <row r="213" spans="1:38" ht="18.75" customHeight="1" outlineLevel="2">
      <c r="A213" s="15"/>
      <c r="B213" s="718"/>
      <c r="C213" s="751"/>
      <c r="D213" s="17" t="s">
        <v>371</v>
      </c>
      <c r="E213" s="772"/>
      <c r="F213" s="92">
        <f>21084.5846954936*2.05568</f>
        <v>43343.159066832282</v>
      </c>
      <c r="G213" s="238"/>
      <c r="H213" s="798"/>
      <c r="I213" s="300">
        <v>0.36256918452196601</v>
      </c>
      <c r="J213" s="136"/>
      <c r="M213" s="289">
        <f t="shared" ref="M213:W213" si="84">($F213+$G213*курс)*H$79*$I213*(IF(H$122="Бизнес",1,0)+IF(H$122="Бизнес+",1,0))</f>
        <v>18552610.792167887</v>
      </c>
      <c r="N213" s="289">
        <f t="shared" si="84"/>
        <v>13947518.302036488</v>
      </c>
      <c r="O213" s="289">
        <f t="shared" si="84"/>
        <v>19532748.720810715</v>
      </c>
      <c r="P213" s="289">
        <f t="shared" si="84"/>
        <v>18552610.792167887</v>
      </c>
      <c r="Q213" s="289">
        <f t="shared" si="84"/>
        <v>0</v>
      </c>
      <c r="R213" s="289">
        <f t="shared" si="84"/>
        <v>0</v>
      </c>
      <c r="S213" s="289">
        <f t="shared" si="84"/>
        <v>0</v>
      </c>
      <c r="T213" s="289">
        <f t="shared" si="84"/>
        <v>0</v>
      </c>
      <c r="U213" s="289">
        <f t="shared" si="84"/>
        <v>0</v>
      </c>
      <c r="V213" s="289">
        <f t="shared" si="84"/>
        <v>0</v>
      </c>
      <c r="W213" s="289">
        <f t="shared" si="84"/>
        <v>0</v>
      </c>
    </row>
    <row r="214" spans="1:38" ht="18.75" customHeight="1" outlineLevel="2">
      <c r="A214" s="15"/>
      <c r="B214" s="719"/>
      <c r="C214" s="752"/>
      <c r="D214" s="37" t="s">
        <v>277</v>
      </c>
      <c r="E214" s="773"/>
      <c r="F214" s="98">
        <f>18355.5164350774*1.783</f>
        <v>32727.885803743</v>
      </c>
      <c r="G214" s="98">
        <v>416.55</v>
      </c>
      <c r="H214" s="799"/>
      <c r="I214" s="301">
        <v>0.27135924438887488</v>
      </c>
      <c r="J214" s="136"/>
      <c r="L214" s="15"/>
      <c r="M214" s="290">
        <f>($F214+$G214*курс)*H$79*$I214*(IF(H$122="Элит",1,0)+IF(H$122="Премиум",1,0))</f>
        <v>0</v>
      </c>
      <c r="N214" s="290">
        <f t="shared" ref="N214:W214" si="85">($F214+$G214*курс)*I$79*$I214*(IF(I$122="Элит",1,0)+IF(I$122="Премиум",1,0))</f>
        <v>0</v>
      </c>
      <c r="O214" s="290">
        <f t="shared" si="85"/>
        <v>0</v>
      </c>
      <c r="P214" s="290">
        <f t="shared" si="85"/>
        <v>0</v>
      </c>
      <c r="Q214" s="290">
        <f t="shared" si="85"/>
        <v>0</v>
      </c>
      <c r="R214" s="290">
        <f t="shared" si="85"/>
        <v>0</v>
      </c>
      <c r="S214" s="290">
        <f t="shared" si="85"/>
        <v>0</v>
      </c>
      <c r="T214" s="290">
        <f t="shared" si="85"/>
        <v>0</v>
      </c>
      <c r="U214" s="290">
        <f t="shared" si="85"/>
        <v>0</v>
      </c>
      <c r="V214" s="290">
        <f t="shared" si="85"/>
        <v>0</v>
      </c>
      <c r="W214" s="290">
        <f t="shared" si="85"/>
        <v>0</v>
      </c>
      <c r="AC214" s="627">
        <f>($G214)*H$79*$I214*(IF(H$122="Элит",1,0)+IF(H$122="Премиум",1,0))</f>
        <v>0</v>
      </c>
      <c r="AD214" s="627">
        <f t="shared" ref="AD214:AL214" si="86">($G214)*I$79*$I214*(IF(I$122="Элит",1,0)+IF(I$122="Премиум",1,0))</f>
        <v>0</v>
      </c>
      <c r="AE214" s="627">
        <f t="shared" si="86"/>
        <v>0</v>
      </c>
      <c r="AF214" s="627">
        <f t="shared" si="86"/>
        <v>0</v>
      </c>
      <c r="AG214" s="627">
        <f t="shared" si="86"/>
        <v>0</v>
      </c>
      <c r="AH214" s="627">
        <f t="shared" si="86"/>
        <v>0</v>
      </c>
      <c r="AI214" s="627">
        <f t="shared" si="86"/>
        <v>0</v>
      </c>
      <c r="AJ214" s="627">
        <f t="shared" si="86"/>
        <v>0</v>
      </c>
      <c r="AK214" s="627">
        <f t="shared" si="86"/>
        <v>0</v>
      </c>
      <c r="AL214" s="627">
        <f t="shared" si="86"/>
        <v>0</v>
      </c>
    </row>
    <row r="215" spans="1:38" ht="18.75" outlineLevel="1">
      <c r="A215" s="15"/>
      <c r="B215" s="717" t="s">
        <v>519</v>
      </c>
      <c r="C215" s="278"/>
      <c r="D215" s="14"/>
      <c r="E215" s="14"/>
      <c r="F215" s="14"/>
      <c r="G215" s="14"/>
      <c r="H215" s="14"/>
      <c r="I215" s="14"/>
      <c r="J215" s="14"/>
      <c r="K215" s="14"/>
      <c r="L215" s="625"/>
      <c r="M215" s="14"/>
      <c r="N215" s="14"/>
      <c r="O215" s="14"/>
      <c r="P215" s="14"/>
      <c r="Q215" s="14"/>
      <c r="R215" s="14"/>
      <c r="S215" s="14"/>
      <c r="T215" s="14"/>
      <c r="U215" s="14"/>
      <c r="V215" s="14"/>
      <c r="W215" s="14"/>
      <c r="X215" s="14"/>
      <c r="AB215" s="14"/>
    </row>
    <row r="216" spans="1:38" ht="18.75" outlineLevel="2">
      <c r="A216" s="15"/>
      <c r="B216" s="718"/>
      <c r="C216" s="783" t="s">
        <v>917</v>
      </c>
      <c r="D216" s="783"/>
      <c r="E216" s="783"/>
      <c r="F216" s="675">
        <f>906101.694915254*1.01</f>
        <v>915162.71186440659</v>
      </c>
      <c r="G216" s="538"/>
      <c r="H216" s="528" t="s">
        <v>918</v>
      </c>
      <c r="I216" s="14"/>
      <c r="J216" s="14"/>
      <c r="K216" s="14"/>
      <c r="L216" s="14"/>
      <c r="M216" s="504">
        <f t="shared" ref="M216:W216" si="87">($F216+$G216*курс)*H$83</f>
        <v>915162.71186440659</v>
      </c>
      <c r="N216" s="504">
        <f t="shared" si="87"/>
        <v>0</v>
      </c>
      <c r="O216" s="504">
        <f t="shared" si="87"/>
        <v>0</v>
      </c>
      <c r="P216" s="504">
        <f t="shared" si="87"/>
        <v>0</v>
      </c>
      <c r="Q216" s="504">
        <f t="shared" si="87"/>
        <v>0</v>
      </c>
      <c r="R216" s="504">
        <f t="shared" si="87"/>
        <v>0</v>
      </c>
      <c r="S216" s="504">
        <f t="shared" si="87"/>
        <v>0</v>
      </c>
      <c r="T216" s="504">
        <f t="shared" si="87"/>
        <v>0</v>
      </c>
      <c r="U216" s="504">
        <f t="shared" si="87"/>
        <v>0</v>
      </c>
      <c r="V216" s="504">
        <f t="shared" si="87"/>
        <v>0</v>
      </c>
      <c r="W216" s="504">
        <f t="shared" si="87"/>
        <v>0</v>
      </c>
      <c r="X216" s="14"/>
      <c r="AB216" s="14"/>
    </row>
    <row r="217" spans="1:38" ht="18.75" customHeight="1" outlineLevel="2">
      <c r="A217" s="15"/>
      <c r="B217" s="718"/>
      <c r="C217" s="781" t="s">
        <v>919</v>
      </c>
      <c r="D217" s="781"/>
      <c r="E217" s="781"/>
      <c r="F217" s="676">
        <f>986196.017999999*1.01</f>
        <v>996057.97817999905</v>
      </c>
      <c r="G217" s="539"/>
      <c r="H217" s="527" t="s">
        <v>920</v>
      </c>
      <c r="I217" s="14"/>
      <c r="J217" s="14"/>
      <c r="K217" s="14"/>
      <c r="L217" s="504">
        <f>($F217+$G217*курс)*IF(G58&gt;0,1,0)</f>
        <v>996057.97817999905</v>
      </c>
      <c r="M217" s="14"/>
      <c r="N217" s="14"/>
      <c r="O217" s="14"/>
      <c r="P217" s="14"/>
      <c r="Q217" s="14"/>
      <c r="R217" s="14"/>
      <c r="S217" s="14"/>
      <c r="T217" s="14"/>
      <c r="U217" s="14"/>
      <c r="V217" s="14"/>
      <c r="W217" s="14"/>
      <c r="X217" s="14"/>
      <c r="AB217" s="14"/>
    </row>
    <row r="218" spans="1:38" ht="18.75" outlineLevel="2" collapsed="1">
      <c r="A218" s="15"/>
      <c r="B218" s="718"/>
      <c r="C218" s="782" t="s">
        <v>921</v>
      </c>
      <c r="D218" s="782"/>
      <c r="E218" s="782"/>
      <c r="F218" s="537">
        <f>973.678018249115*1.01</f>
        <v>983.41479843160619</v>
      </c>
      <c r="G218" s="540"/>
      <c r="H218" s="529" t="s">
        <v>922</v>
      </c>
      <c r="I218" s="14"/>
      <c r="J218" s="14"/>
      <c r="K218" s="14"/>
      <c r="L218" s="504">
        <f>($F218+$G218*курс)*G58</f>
        <v>42329123.168891624</v>
      </c>
      <c r="M218" s="14"/>
      <c r="N218" s="14"/>
      <c r="O218" s="14"/>
      <c r="P218" s="14"/>
      <c r="Q218" s="14"/>
      <c r="R218" s="14"/>
      <c r="S218" s="14"/>
      <c r="T218" s="14"/>
      <c r="U218" s="14"/>
      <c r="V218" s="14"/>
      <c r="W218" s="14"/>
      <c r="X218" s="14"/>
      <c r="AB218" s="14"/>
    </row>
    <row r="219" spans="1:38" ht="26.25" customHeight="1" outlineLevel="2">
      <c r="A219" s="15"/>
      <c r="B219" s="718"/>
      <c r="C219" s="770" t="s">
        <v>936</v>
      </c>
      <c r="D219" s="19" t="s">
        <v>32</v>
      </c>
      <c r="E219" s="901" t="s">
        <v>923</v>
      </c>
      <c r="F219" s="94">
        <f>12429.6394486288*1.01</f>
        <v>12553.935843115089</v>
      </c>
      <c r="G219" s="240"/>
      <c r="H219" s="797" t="s">
        <v>924</v>
      </c>
      <c r="I219" s="522">
        <v>0.16708179612138263</v>
      </c>
      <c r="J219" s="136"/>
      <c r="M219" s="504">
        <f t="shared" ref="M219:W219" si="88">($F219+$G219*курс)*H$79*$I219*IF(H$122="Комфорт",1,0)*IF(H$82="да",0,1)</f>
        <v>0</v>
      </c>
      <c r="N219" s="504">
        <f t="shared" si="88"/>
        <v>0</v>
      </c>
      <c r="O219" s="504">
        <f t="shared" si="88"/>
        <v>0</v>
      </c>
      <c r="P219" s="504">
        <f t="shared" si="88"/>
        <v>0</v>
      </c>
      <c r="Q219" s="504">
        <f t="shared" si="88"/>
        <v>0</v>
      </c>
      <c r="R219" s="504">
        <f t="shared" si="88"/>
        <v>0</v>
      </c>
      <c r="S219" s="504">
        <f t="shared" si="88"/>
        <v>0</v>
      </c>
      <c r="T219" s="504">
        <f t="shared" si="88"/>
        <v>0</v>
      </c>
      <c r="U219" s="504">
        <f t="shared" si="88"/>
        <v>0</v>
      </c>
      <c r="V219" s="504">
        <f t="shared" si="88"/>
        <v>0</v>
      </c>
      <c r="W219" s="504">
        <f t="shared" si="88"/>
        <v>0</v>
      </c>
      <c r="AB219" s="14"/>
    </row>
    <row r="220" spans="1:38" ht="26.25" customHeight="1" outlineLevel="2">
      <c r="A220" s="15"/>
      <c r="B220" s="718"/>
      <c r="C220" s="751"/>
      <c r="D220" s="17" t="s">
        <v>42</v>
      </c>
      <c r="E220" s="902"/>
      <c r="F220" s="92">
        <f>17232.5755572371*1.01</f>
        <v>17404.901312809474</v>
      </c>
      <c r="G220" s="238"/>
      <c r="H220" s="798"/>
      <c r="I220" s="523">
        <v>0.16708179612138263</v>
      </c>
      <c r="J220" s="136"/>
      <c r="M220" s="289">
        <f t="shared" ref="M220:W220" si="89">($F220+$G220*курс)*H$79*$I220*IF(H$122="Бизнес",1,0)*IF(H$82="да",0,1)</f>
        <v>0</v>
      </c>
      <c r="N220" s="289">
        <f t="shared" si="89"/>
        <v>0</v>
      </c>
      <c r="O220" s="289">
        <f t="shared" si="89"/>
        <v>0</v>
      </c>
      <c r="P220" s="289">
        <f t="shared" si="89"/>
        <v>0</v>
      </c>
      <c r="Q220" s="289">
        <f t="shared" si="89"/>
        <v>0</v>
      </c>
      <c r="R220" s="289">
        <f t="shared" si="89"/>
        <v>0</v>
      </c>
      <c r="S220" s="289">
        <f t="shared" si="89"/>
        <v>0</v>
      </c>
      <c r="T220" s="289">
        <f t="shared" si="89"/>
        <v>0</v>
      </c>
      <c r="U220" s="289">
        <f t="shared" si="89"/>
        <v>0</v>
      </c>
      <c r="V220" s="289">
        <f t="shared" si="89"/>
        <v>0</v>
      </c>
      <c r="W220" s="289">
        <f t="shared" si="89"/>
        <v>0</v>
      </c>
      <c r="AB220" s="14"/>
    </row>
    <row r="221" spans="1:38" ht="26.25" customHeight="1" outlineLevel="2">
      <c r="A221" s="15"/>
      <c r="B221" s="718"/>
      <c r="C221" s="751"/>
      <c r="D221" s="17" t="s">
        <v>43</v>
      </c>
      <c r="E221" s="902"/>
      <c r="F221" s="92">
        <f>22035.5116658453*1.01</f>
        <v>22255.866782503756</v>
      </c>
      <c r="G221" s="238"/>
      <c r="H221" s="798"/>
      <c r="I221" s="523">
        <v>0.20997871342266303</v>
      </c>
      <c r="J221" s="136"/>
      <c r="M221" s="289">
        <f t="shared" ref="M221:W221" si="90">($F221+$G221*курс)*H$79*$I221*IF(H$122="Бизнес+",1,0)*IF(H$82="да",0,1)</f>
        <v>5517131.8857606901</v>
      </c>
      <c r="N221" s="289">
        <f t="shared" si="90"/>
        <v>4147680.2814125437</v>
      </c>
      <c r="O221" s="289">
        <f t="shared" si="90"/>
        <v>5808603.0042537078</v>
      </c>
      <c r="P221" s="289">
        <f t="shared" si="90"/>
        <v>5517131.8857606901</v>
      </c>
      <c r="Q221" s="289">
        <f t="shared" si="90"/>
        <v>0</v>
      </c>
      <c r="R221" s="289">
        <f t="shared" si="90"/>
        <v>0</v>
      </c>
      <c r="S221" s="289">
        <f t="shared" si="90"/>
        <v>0</v>
      </c>
      <c r="T221" s="289">
        <f t="shared" si="90"/>
        <v>0</v>
      </c>
      <c r="U221" s="289">
        <f t="shared" si="90"/>
        <v>0</v>
      </c>
      <c r="V221" s="289">
        <f t="shared" si="90"/>
        <v>0</v>
      </c>
      <c r="W221" s="289">
        <f t="shared" si="90"/>
        <v>0</v>
      </c>
      <c r="AB221" s="14"/>
    </row>
    <row r="222" spans="1:38" ht="26.25" customHeight="1" outlineLevel="2">
      <c r="A222" s="15"/>
      <c r="B222" s="718"/>
      <c r="C222" s="752"/>
      <c r="D222" s="35" t="s">
        <v>277</v>
      </c>
      <c r="E222" s="903"/>
      <c r="F222" s="98">
        <f>29072.4008394541*1.01</f>
        <v>29363.124847848641</v>
      </c>
      <c r="G222" s="98">
        <f>181.415970719343*1.01</f>
        <v>183.23013042653642</v>
      </c>
      <c r="H222" s="799"/>
      <c r="I222" s="524">
        <v>0.27508650148283142</v>
      </c>
      <c r="J222" s="136"/>
      <c r="M222" s="290">
        <f>($F222+$G222*курс)*H$79*$I222*(IF(H$122="Премиум",1,0)+IF(H$122="Элит",1,0))*IF(H$82="да",0,1)</f>
        <v>0</v>
      </c>
      <c r="N222" s="290">
        <f t="shared" ref="N222:W222" si="91">($F222+$G222*курс)*I$79*$I222*(IF(I$122="Премиум",1,0)+IF(I$122="Элит",1,0))*IF(I$82="да",0,1)</f>
        <v>0</v>
      </c>
      <c r="O222" s="290">
        <f t="shared" si="91"/>
        <v>0</v>
      </c>
      <c r="P222" s="290">
        <f t="shared" si="91"/>
        <v>0</v>
      </c>
      <c r="Q222" s="290">
        <f t="shared" si="91"/>
        <v>0</v>
      </c>
      <c r="R222" s="290">
        <f t="shared" si="91"/>
        <v>0</v>
      </c>
      <c r="S222" s="290">
        <f t="shared" si="91"/>
        <v>0</v>
      </c>
      <c r="T222" s="290">
        <f t="shared" si="91"/>
        <v>0</v>
      </c>
      <c r="U222" s="290">
        <f t="shared" si="91"/>
        <v>0</v>
      </c>
      <c r="V222" s="290">
        <f t="shared" si="91"/>
        <v>0</v>
      </c>
      <c r="W222" s="290">
        <f t="shared" si="91"/>
        <v>0</v>
      </c>
      <c r="AC222" s="290">
        <f>$G222*H$79*$I222*(IF(H$122="Премиум",1,0)+IF(H$122="Элит",1,0))*IF(H$82="да",0,1)</f>
        <v>0</v>
      </c>
      <c r="AD222" s="290">
        <f t="shared" ref="AD222:AL222" si="92">$G222*I$79*$I222*(IF(I$122="Премиум",1,0)+IF(I$122="Элит",1,0))*IF(I$82="да",0,1)</f>
        <v>0</v>
      </c>
      <c r="AE222" s="290">
        <f t="shared" si="92"/>
        <v>0</v>
      </c>
      <c r="AF222" s="290">
        <f t="shared" si="92"/>
        <v>0</v>
      </c>
      <c r="AG222" s="290">
        <f t="shared" si="92"/>
        <v>0</v>
      </c>
      <c r="AH222" s="290">
        <f t="shared" si="92"/>
        <v>0</v>
      </c>
      <c r="AI222" s="290">
        <f t="shared" si="92"/>
        <v>0</v>
      </c>
      <c r="AJ222" s="290">
        <f t="shared" si="92"/>
        <v>0</v>
      </c>
      <c r="AK222" s="290">
        <f t="shared" si="92"/>
        <v>0</v>
      </c>
      <c r="AL222" s="290">
        <f t="shared" si="92"/>
        <v>0</v>
      </c>
    </row>
    <row r="223" spans="1:38" ht="18.75" customHeight="1" outlineLevel="2">
      <c r="A223" s="15"/>
      <c r="B223" s="718"/>
      <c r="C223" s="933" t="s">
        <v>925</v>
      </c>
      <c r="D223" s="933"/>
      <c r="E223" s="526" t="s">
        <v>279</v>
      </c>
      <c r="F223" s="94">
        <f>41233.7091328603*1.01</f>
        <v>41646.046224188904</v>
      </c>
      <c r="G223" s="240"/>
      <c r="H223" s="828" t="s">
        <v>924</v>
      </c>
      <c r="I223" s="136"/>
      <c r="J223" s="136"/>
      <c r="K223" s="250"/>
      <c r="M223" s="290">
        <f t="shared" ref="M223:W223" si="93">($F223+$G223*курс)*H$79*AVERAGE($I$219:$I$221)*(IF(H$122="Бизнес",1,0)+IF(H$122="Комфорт",1,0)+IF(H$122="Бизнес+",1,0))*IF(H$82="да",1,0)</f>
        <v>0</v>
      </c>
      <c r="N223" s="290">
        <f t="shared" si="93"/>
        <v>0</v>
      </c>
      <c r="O223" s="290">
        <f t="shared" si="93"/>
        <v>0</v>
      </c>
      <c r="P223" s="290">
        <f t="shared" si="93"/>
        <v>0</v>
      </c>
      <c r="Q223" s="290">
        <f t="shared" si="93"/>
        <v>0</v>
      </c>
      <c r="R223" s="290">
        <f t="shared" si="93"/>
        <v>0</v>
      </c>
      <c r="S223" s="290">
        <f t="shared" si="93"/>
        <v>0</v>
      </c>
      <c r="T223" s="290">
        <f t="shared" si="93"/>
        <v>0</v>
      </c>
      <c r="U223" s="290">
        <f t="shared" si="93"/>
        <v>0</v>
      </c>
      <c r="V223" s="290">
        <f t="shared" si="93"/>
        <v>0</v>
      </c>
      <c r="W223" s="290">
        <f t="shared" si="93"/>
        <v>0</v>
      </c>
      <c r="AB223" s="14"/>
    </row>
    <row r="224" spans="1:38" ht="18.75" customHeight="1" outlineLevel="2">
      <c r="A224" s="15"/>
      <c r="B224" s="719"/>
      <c r="C224" s="934"/>
      <c r="D224" s="934"/>
      <c r="E224" s="35" t="s">
        <v>277</v>
      </c>
      <c r="F224" s="98">
        <f>19207.0818544474*1.01</f>
        <v>19399.152672991873</v>
      </c>
      <c r="G224" s="98">
        <f>476.383645171694*1.01</f>
        <v>481.14748162341095</v>
      </c>
      <c r="H224" s="830"/>
      <c r="I224" s="136"/>
      <c r="J224" s="136"/>
      <c r="K224" s="250"/>
      <c r="M224" s="290">
        <f>($F224+$G224*курс)*H$79*$I222*(IF(H$122="Премиум",1,0)+IF(H$122="Элит",1,0))*IF(H$82="да",1,0)</f>
        <v>0</v>
      </c>
      <c r="N224" s="290">
        <f t="shared" ref="N224:W224" si="94">($F224+$G224*курс)*I$79*$I222*(IF(I$122="Премиум",1,0)+IF(I$122="Элит",1,0))*IF(I$82="да",1,0)</f>
        <v>0</v>
      </c>
      <c r="O224" s="290">
        <f t="shared" si="94"/>
        <v>0</v>
      </c>
      <c r="P224" s="290">
        <f t="shared" si="94"/>
        <v>0</v>
      </c>
      <c r="Q224" s="290">
        <f t="shared" si="94"/>
        <v>0</v>
      </c>
      <c r="R224" s="290">
        <f t="shared" si="94"/>
        <v>0</v>
      </c>
      <c r="S224" s="290">
        <f t="shared" si="94"/>
        <v>0</v>
      </c>
      <c r="T224" s="290">
        <f t="shared" si="94"/>
        <v>0</v>
      </c>
      <c r="U224" s="290">
        <f t="shared" si="94"/>
        <v>0</v>
      </c>
      <c r="V224" s="290">
        <f t="shared" si="94"/>
        <v>0</v>
      </c>
      <c r="W224" s="290">
        <f t="shared" si="94"/>
        <v>0</v>
      </c>
      <c r="AC224" s="628">
        <f>($G224)*H$79*$I222*(IF(H$122="Премиум",1,0)+IF(H$122="Элит",1,0))*IF(H$82="да",1,0)</f>
        <v>0</v>
      </c>
      <c r="AD224" s="628">
        <f t="shared" ref="AD224:AL224" si="95">($G224)*I$79*$I222*(IF(I$122="Премиум",1,0)+IF(I$122="Элит",1,0))*IF(I$82="да",1,0)</f>
        <v>0</v>
      </c>
      <c r="AE224" s="628">
        <f t="shared" si="95"/>
        <v>0</v>
      </c>
      <c r="AF224" s="628">
        <f t="shared" si="95"/>
        <v>0</v>
      </c>
      <c r="AG224" s="628">
        <f t="shared" si="95"/>
        <v>0</v>
      </c>
      <c r="AH224" s="628">
        <f t="shared" si="95"/>
        <v>0</v>
      </c>
      <c r="AI224" s="628">
        <f t="shared" si="95"/>
        <v>0</v>
      </c>
      <c r="AJ224" s="628">
        <f t="shared" si="95"/>
        <v>0</v>
      </c>
      <c r="AK224" s="628">
        <f t="shared" si="95"/>
        <v>0</v>
      </c>
      <c r="AL224" s="628">
        <f t="shared" si="95"/>
        <v>0</v>
      </c>
    </row>
    <row r="225" spans="1:33" ht="18.75" customHeight="1" outlineLevel="1">
      <c r="A225" s="15"/>
      <c r="B225" s="717" t="s">
        <v>15</v>
      </c>
      <c r="C225" s="525"/>
      <c r="D225" s="136"/>
      <c r="E225" s="136"/>
      <c r="F225" s="136"/>
      <c r="G225" s="136"/>
      <c r="H225" s="136"/>
      <c r="I225" s="136"/>
      <c r="J225" s="136"/>
    </row>
    <row r="226" spans="1:33" ht="18.75" outlineLevel="2">
      <c r="A226" s="15"/>
      <c r="B226" s="718"/>
      <c r="C226" s="899" t="s">
        <v>33</v>
      </c>
      <c r="D226" s="899"/>
      <c r="E226" s="148" t="s">
        <v>327</v>
      </c>
      <c r="F226" s="153">
        <f>20819.6949152542*1.01</f>
        <v>21027.891864406742</v>
      </c>
      <c r="G226" s="269"/>
      <c r="H226" s="695" t="s">
        <v>328</v>
      </c>
      <c r="I226" s="55"/>
      <c r="J226" s="136"/>
      <c r="L226" s="7"/>
      <c r="M226" s="152">
        <f t="shared" ref="M226:W226" si="96">IF(H109="мансарда",1,0)*$F$226*H$105</f>
        <v>0</v>
      </c>
      <c r="N226" s="152">
        <f t="shared" si="96"/>
        <v>0</v>
      </c>
      <c r="O226" s="152">
        <f t="shared" si="96"/>
        <v>0</v>
      </c>
      <c r="P226" s="152">
        <f t="shared" si="96"/>
        <v>0</v>
      </c>
      <c r="Q226" s="152">
        <f t="shared" si="96"/>
        <v>0</v>
      </c>
      <c r="R226" s="152">
        <f t="shared" si="96"/>
        <v>0</v>
      </c>
      <c r="S226" s="152">
        <f t="shared" si="96"/>
        <v>0</v>
      </c>
      <c r="T226" s="152">
        <f t="shared" si="96"/>
        <v>0</v>
      </c>
      <c r="U226" s="152">
        <f t="shared" si="96"/>
        <v>0</v>
      </c>
      <c r="V226" s="152">
        <f t="shared" si="96"/>
        <v>0</v>
      </c>
      <c r="W226" s="152">
        <f t="shared" si="96"/>
        <v>0</v>
      </c>
    </row>
    <row r="227" spans="1:33" ht="18.75" customHeight="1" outlineLevel="2">
      <c r="A227" s="15"/>
      <c r="B227" s="718"/>
      <c r="C227" s="753" t="s">
        <v>75</v>
      </c>
      <c r="D227" s="754"/>
      <c r="E227" s="755"/>
      <c r="F227" s="159">
        <f>8319.66101694915*1.01</f>
        <v>8402.857627118643</v>
      </c>
      <c r="G227" s="236"/>
      <c r="H227" s="696"/>
      <c r="I227" s="131"/>
      <c r="J227" s="136"/>
      <c r="L227" s="7"/>
      <c r="M227" s="157">
        <f t="shared" ref="M227:W227" si="97">IF(H109="скатная",1,0)*$F$227*H$105</f>
        <v>0</v>
      </c>
      <c r="N227" s="157">
        <f t="shared" si="97"/>
        <v>0</v>
      </c>
      <c r="O227" s="152">
        <f t="shared" si="97"/>
        <v>0</v>
      </c>
      <c r="P227" s="152">
        <f t="shared" si="97"/>
        <v>0</v>
      </c>
      <c r="Q227" s="152">
        <f t="shared" si="97"/>
        <v>0</v>
      </c>
      <c r="R227" s="152">
        <f t="shared" si="97"/>
        <v>0</v>
      </c>
      <c r="S227" s="152">
        <f t="shared" si="97"/>
        <v>0</v>
      </c>
      <c r="T227" s="152">
        <f t="shared" si="97"/>
        <v>0</v>
      </c>
      <c r="U227" s="152">
        <f t="shared" si="97"/>
        <v>0</v>
      </c>
      <c r="V227" s="152">
        <f t="shared" si="97"/>
        <v>0</v>
      </c>
      <c r="W227" s="152">
        <f t="shared" si="97"/>
        <v>0</v>
      </c>
    </row>
    <row r="228" spans="1:33" ht="24" customHeight="1" outlineLevel="2">
      <c r="A228" s="15"/>
      <c r="B228" s="718"/>
      <c r="C228" s="938" t="s">
        <v>76</v>
      </c>
      <c r="D228" s="939"/>
      <c r="E228" s="726" t="s">
        <v>327</v>
      </c>
      <c r="F228" s="94">
        <f>11118.1068746231*1.01</f>
        <v>11229.287943369331</v>
      </c>
      <c r="G228" s="259" t="s">
        <v>473</v>
      </c>
      <c r="H228" s="696"/>
      <c r="I228" s="96"/>
      <c r="J228" s="136"/>
      <c r="L228" s="213"/>
      <c r="M228" s="261">
        <f t="shared" ref="M228:W228" si="98">$F$228*H$105*IF(H$64&lt;=75,1,0)*(IF(H$109="плоская",1,0))</f>
        <v>6471438.6417637458</v>
      </c>
      <c r="N228" s="261">
        <f t="shared" si="98"/>
        <v>4544571.9971615691</v>
      </c>
      <c r="O228" s="261">
        <f t="shared" si="98"/>
        <v>6471438.6417637458</v>
      </c>
      <c r="P228" s="261">
        <f t="shared" si="98"/>
        <v>12090574.328625759</v>
      </c>
      <c r="Q228" s="261">
        <f t="shared" si="98"/>
        <v>0</v>
      </c>
      <c r="R228" s="261">
        <f t="shared" si="98"/>
        <v>0</v>
      </c>
      <c r="S228" s="261">
        <f t="shared" si="98"/>
        <v>0</v>
      </c>
      <c r="T228" s="261">
        <f t="shared" si="98"/>
        <v>0</v>
      </c>
      <c r="U228" s="261">
        <f t="shared" si="98"/>
        <v>0</v>
      </c>
      <c r="V228" s="261">
        <f t="shared" si="98"/>
        <v>0</v>
      </c>
      <c r="W228" s="261">
        <f t="shared" si="98"/>
        <v>0</v>
      </c>
    </row>
    <row r="229" spans="1:33" ht="24" customHeight="1" outlineLevel="2">
      <c r="A229" s="15"/>
      <c r="B229" s="718"/>
      <c r="C229" s="940"/>
      <c r="D229" s="941"/>
      <c r="E229" s="727"/>
      <c r="F229" s="92">
        <f>11597.0887673748*1.01</f>
        <v>11713.059655048548</v>
      </c>
      <c r="G229" s="260" t="s">
        <v>474</v>
      </c>
      <c r="H229" s="696"/>
      <c r="I229" s="56"/>
      <c r="J229" s="136"/>
      <c r="L229" s="213"/>
      <c r="M229" s="262">
        <f t="shared" ref="M229:W229" si="99">$F$229*H$105*IF(AND(H$64&gt;75,H$64&lt;=130),1,0)*(IF(H$109="плоская",1,0))</f>
        <v>0</v>
      </c>
      <c r="N229" s="262">
        <f t="shared" si="99"/>
        <v>0</v>
      </c>
      <c r="O229" s="262">
        <f t="shared" si="99"/>
        <v>0</v>
      </c>
      <c r="P229" s="262">
        <f t="shared" si="99"/>
        <v>0</v>
      </c>
      <c r="Q229" s="262">
        <f t="shared" si="99"/>
        <v>0</v>
      </c>
      <c r="R229" s="262">
        <f t="shared" si="99"/>
        <v>0</v>
      </c>
      <c r="S229" s="262">
        <f t="shared" si="99"/>
        <v>0</v>
      </c>
      <c r="T229" s="262">
        <f t="shared" si="99"/>
        <v>0</v>
      </c>
      <c r="U229" s="262">
        <f t="shared" si="99"/>
        <v>0</v>
      </c>
      <c r="V229" s="262">
        <f t="shared" si="99"/>
        <v>0</v>
      </c>
      <c r="W229" s="262">
        <f t="shared" si="99"/>
        <v>0</v>
      </c>
    </row>
    <row r="230" spans="1:33" ht="24" customHeight="1" outlineLevel="2">
      <c r="A230" s="15"/>
      <c r="B230" s="718"/>
      <c r="C230" s="935"/>
      <c r="D230" s="937"/>
      <c r="E230" s="942"/>
      <c r="F230" s="98">
        <f>11916.4100292092*1.01</f>
        <v>12035.574129501292</v>
      </c>
      <c r="G230" s="258" t="s">
        <v>453</v>
      </c>
      <c r="H230" s="696"/>
      <c r="I230" s="122"/>
      <c r="J230" s="136"/>
      <c r="L230" s="213"/>
      <c r="M230" s="214">
        <f t="shared" ref="M230:W230" si="100">$F$230*H$105*IF(H$64&gt;130,1,0)*(IF(H$109="плоская",1,0))</f>
        <v>0</v>
      </c>
      <c r="N230" s="214">
        <f t="shared" si="100"/>
        <v>0</v>
      </c>
      <c r="O230" s="214">
        <f t="shared" si="100"/>
        <v>0</v>
      </c>
      <c r="P230" s="214">
        <f t="shared" si="100"/>
        <v>0</v>
      </c>
      <c r="Q230" s="214">
        <f t="shared" si="100"/>
        <v>0</v>
      </c>
      <c r="R230" s="214">
        <f t="shared" si="100"/>
        <v>0</v>
      </c>
      <c r="S230" s="214">
        <f t="shared" si="100"/>
        <v>0</v>
      </c>
      <c r="T230" s="214">
        <f t="shared" si="100"/>
        <v>0</v>
      </c>
      <c r="U230" s="214">
        <f t="shared" si="100"/>
        <v>0</v>
      </c>
      <c r="V230" s="214">
        <f t="shared" si="100"/>
        <v>0</v>
      </c>
      <c r="W230" s="214">
        <f t="shared" si="100"/>
        <v>0</v>
      </c>
    </row>
    <row r="231" spans="1:33" ht="24" customHeight="1" outlineLevel="2">
      <c r="A231" s="15"/>
      <c r="B231" s="718"/>
      <c r="C231" s="938" t="s">
        <v>472</v>
      </c>
      <c r="D231" s="112" t="s">
        <v>279</v>
      </c>
      <c r="E231" s="141" t="s">
        <v>362</v>
      </c>
      <c r="F231" s="94">
        <f>25648.5517766033*1.01</f>
        <v>25905.037294369333</v>
      </c>
      <c r="G231" s="240"/>
      <c r="H231" s="696"/>
      <c r="I231" s="96"/>
      <c r="J231" s="136"/>
      <c r="L231" s="7"/>
      <c r="M231" s="215">
        <f t="shared" ref="M231:W231" si="101">$F$231*H$106*((IF(H$122="Комфорт",1,0)+IF(H$122="Бизнес",1,0)+IF(H$122="Бизнес+",1,0)))</f>
        <v>34834503.649738438</v>
      </c>
      <c r="N231" s="215">
        <f t="shared" si="101"/>
        <v>24462552.854936454</v>
      </c>
      <c r="O231" s="215">
        <f t="shared" si="101"/>
        <v>34834503.649738438</v>
      </c>
      <c r="P231" s="215">
        <f t="shared" si="101"/>
        <v>0</v>
      </c>
      <c r="Q231" s="215">
        <f t="shared" si="101"/>
        <v>0</v>
      </c>
      <c r="R231" s="215">
        <f t="shared" si="101"/>
        <v>0</v>
      </c>
      <c r="S231" s="215">
        <f t="shared" si="101"/>
        <v>0</v>
      </c>
      <c r="T231" s="215">
        <f t="shared" si="101"/>
        <v>0</v>
      </c>
      <c r="U231" s="215">
        <f t="shared" si="101"/>
        <v>0</v>
      </c>
      <c r="V231" s="215">
        <f t="shared" si="101"/>
        <v>0</v>
      </c>
      <c r="W231" s="215">
        <f t="shared" si="101"/>
        <v>0</v>
      </c>
    </row>
    <row r="232" spans="1:33" ht="24" customHeight="1" outlineLevel="2">
      <c r="A232" s="15"/>
      <c r="B232" s="718"/>
      <c r="C232" s="935"/>
      <c r="D232" s="39" t="s">
        <v>277</v>
      </c>
      <c r="E232" s="270"/>
      <c r="F232" s="95">
        <f>29374.728550594*1.01</f>
        <v>29668.47583609994</v>
      </c>
      <c r="G232" s="239"/>
      <c r="H232" s="697"/>
      <c r="I232" s="123"/>
      <c r="J232" s="136"/>
      <c r="L232" s="7"/>
      <c r="M232" s="214">
        <f t="shared" ref="M232:W232" si="102">$F$232*H$106*(IF(H$122="Премиум",1,0)+IF(H$122="Элит",1,0))</f>
        <v>0</v>
      </c>
      <c r="N232" s="214">
        <f t="shared" si="102"/>
        <v>0</v>
      </c>
      <c r="O232" s="214">
        <f t="shared" si="102"/>
        <v>0</v>
      </c>
      <c r="P232" s="214">
        <f t="shared" si="102"/>
        <v>0</v>
      </c>
      <c r="Q232" s="214">
        <f t="shared" si="102"/>
        <v>0</v>
      </c>
      <c r="R232" s="214">
        <f t="shared" si="102"/>
        <v>0</v>
      </c>
      <c r="S232" s="214">
        <f t="shared" si="102"/>
        <v>0</v>
      </c>
      <c r="T232" s="214">
        <f t="shared" si="102"/>
        <v>0</v>
      </c>
      <c r="U232" s="214">
        <f t="shared" si="102"/>
        <v>0</v>
      </c>
      <c r="V232" s="214">
        <f t="shared" si="102"/>
        <v>0</v>
      </c>
      <c r="W232" s="214">
        <f t="shared" si="102"/>
        <v>0</v>
      </c>
    </row>
    <row r="233" spans="1:33" ht="24" customHeight="1" outlineLevel="2">
      <c r="A233" s="15"/>
      <c r="B233" s="718"/>
      <c r="C233" s="935" t="s">
        <v>471</v>
      </c>
      <c r="D233" s="936"/>
      <c r="E233" s="937"/>
      <c r="F233" s="93">
        <f>16433898.3050847*1.01</f>
        <v>16598237.288135547</v>
      </c>
      <c r="G233" s="242"/>
      <c r="H233" s="185" t="s">
        <v>264</v>
      </c>
      <c r="I233" s="131"/>
      <c r="J233" s="136"/>
      <c r="L233" s="7"/>
      <c r="M233" s="157">
        <f t="shared" ref="M233:W233" si="103">$F$233*IF(H108="да",1,0)</f>
        <v>0</v>
      </c>
      <c r="N233" s="157">
        <f t="shared" si="103"/>
        <v>0</v>
      </c>
      <c r="O233" s="157">
        <f t="shared" si="103"/>
        <v>0</v>
      </c>
      <c r="P233" s="157">
        <f t="shared" si="103"/>
        <v>0</v>
      </c>
      <c r="Q233" s="157">
        <f t="shared" si="103"/>
        <v>0</v>
      </c>
      <c r="R233" s="157">
        <f t="shared" si="103"/>
        <v>0</v>
      </c>
      <c r="S233" s="157">
        <f t="shared" si="103"/>
        <v>0</v>
      </c>
      <c r="T233" s="157">
        <f t="shared" si="103"/>
        <v>0</v>
      </c>
      <c r="U233" s="157">
        <f t="shared" si="103"/>
        <v>0</v>
      </c>
      <c r="V233" s="157">
        <f t="shared" si="103"/>
        <v>0</v>
      </c>
      <c r="W233" s="157">
        <f t="shared" si="103"/>
        <v>0</v>
      </c>
    </row>
    <row r="234" spans="1:33" ht="31.5" customHeight="1" outlineLevel="2">
      <c r="A234" s="15"/>
      <c r="B234" s="719"/>
      <c r="C234" s="900" t="s">
        <v>77</v>
      </c>
      <c r="D234" s="900"/>
      <c r="E234" s="151" t="s">
        <v>363</v>
      </c>
      <c r="F234" s="159">
        <f>8389.29370177819*1.01</f>
        <v>8473.1866387959708</v>
      </c>
      <c r="G234" s="236"/>
      <c r="H234" s="142" t="s">
        <v>360</v>
      </c>
      <c r="I234" s="131">
        <f>IF(G107&gt;0,1,0)</f>
        <v>0</v>
      </c>
      <c r="J234" s="136"/>
      <c r="L234" s="157">
        <f>F234*I234*G107</f>
        <v>0</v>
      </c>
      <c r="M234" s="7"/>
      <c r="N234" s="7"/>
      <c r="O234" s="7"/>
      <c r="P234" s="7"/>
      <c r="Q234" s="7"/>
      <c r="R234" s="7"/>
      <c r="S234" s="7"/>
      <c r="T234" s="7"/>
      <c r="U234" s="7"/>
      <c r="V234" s="7"/>
      <c r="W234" s="7"/>
      <c r="X234" s="7"/>
    </row>
    <row r="235" spans="1:33" ht="20.25" customHeight="1" outlineLevel="1">
      <c r="A235" s="15"/>
      <c r="B235" s="498" t="s">
        <v>18</v>
      </c>
      <c r="C235" s="136"/>
      <c r="D235" s="136"/>
      <c r="E235" s="136"/>
      <c r="F235" s="136"/>
      <c r="G235" s="136"/>
      <c r="H235" s="136"/>
      <c r="I235" s="136"/>
      <c r="J235" s="136"/>
      <c r="K235" s="136"/>
      <c r="L235" s="136"/>
      <c r="M235" s="136"/>
      <c r="N235" s="7"/>
      <c r="O235" s="7"/>
      <c r="P235" s="7"/>
      <c r="Q235" s="7"/>
      <c r="R235" s="7"/>
      <c r="S235" s="7"/>
      <c r="T235" s="7"/>
      <c r="U235" s="7"/>
      <c r="V235" s="7"/>
      <c r="W235" s="7"/>
      <c r="X235" s="7"/>
      <c r="AG235" s="285"/>
    </row>
    <row r="236" spans="1:33" ht="57" customHeight="1" outlineLevel="2">
      <c r="A236" s="15"/>
      <c r="B236" s="896" t="s">
        <v>853</v>
      </c>
      <c r="C236" s="746" t="s">
        <v>854</v>
      </c>
      <c r="D236" s="699" t="s">
        <v>855</v>
      </c>
      <c r="E236" s="112" t="s">
        <v>279</v>
      </c>
      <c r="F236" s="94">
        <f>2019.37889168671*1.01</f>
        <v>2039.5726806035771</v>
      </c>
      <c r="G236" s="240"/>
      <c r="H236" s="695" t="s">
        <v>381</v>
      </c>
      <c r="I236" s="96">
        <f>I242</f>
        <v>1</v>
      </c>
      <c r="J236" s="136"/>
      <c r="K236" s="136"/>
      <c r="L236" s="686">
        <f>G58*SUMPRODUCT(F236:F237,I236:I237)</f>
        <v>87789326.891219765</v>
      </c>
      <c r="M236" s="136"/>
      <c r="N236" s="250"/>
      <c r="O236" s="250"/>
      <c r="P236" s="250"/>
      <c r="Q236" s="250"/>
      <c r="R236" s="250"/>
      <c r="S236" s="250"/>
      <c r="T236" s="250"/>
      <c r="U236" s="250"/>
      <c r="V236" s="250"/>
      <c r="W236" s="250"/>
      <c r="X236" s="250"/>
      <c r="AG236" s="285"/>
    </row>
    <row r="237" spans="1:33" ht="57" customHeight="1" outlineLevel="2">
      <c r="A237" s="15"/>
      <c r="B237" s="897"/>
      <c r="C237" s="748"/>
      <c r="D237" s="700"/>
      <c r="E237" s="39" t="s">
        <v>277</v>
      </c>
      <c r="F237" s="98">
        <f>2728.06390614899*1.01</f>
        <v>2755.3445452104802</v>
      </c>
      <c r="G237" s="244"/>
      <c r="H237" s="696"/>
      <c r="I237" s="97">
        <f>I243</f>
        <v>0</v>
      </c>
      <c r="J237" s="136"/>
      <c r="K237" s="136"/>
      <c r="L237" s="686"/>
      <c r="M237" s="136"/>
      <c r="N237" s="250"/>
      <c r="O237" s="250"/>
      <c r="P237" s="250"/>
      <c r="Q237" s="250"/>
      <c r="R237" s="250"/>
      <c r="S237" s="250"/>
      <c r="T237" s="250"/>
      <c r="U237" s="250"/>
      <c r="V237" s="250"/>
      <c r="W237" s="250"/>
      <c r="X237" s="250"/>
      <c r="AG237" s="285"/>
    </row>
    <row r="238" spans="1:33" ht="42" customHeight="1" outlineLevel="2">
      <c r="A238" s="15"/>
      <c r="B238" s="897"/>
      <c r="C238" s="746" t="s">
        <v>856</v>
      </c>
      <c r="D238" s="699" t="s">
        <v>857</v>
      </c>
      <c r="E238" s="112" t="s">
        <v>279</v>
      </c>
      <c r="F238" s="94">
        <f>1918.34459482174*1.2</f>
        <v>2302.013513786088</v>
      </c>
      <c r="G238" s="240"/>
      <c r="H238" s="696"/>
      <c r="I238" s="96">
        <f>I242</f>
        <v>1</v>
      </c>
      <c r="J238" s="136"/>
      <c r="K238" s="136"/>
      <c r="L238" s="686">
        <f>G58*SUMPRODUCT(F238:F239,I238:I239)</f>
        <v>99085567.673894584</v>
      </c>
      <c r="M238" s="136"/>
      <c r="N238" s="250"/>
      <c r="O238" s="250"/>
      <c r="P238" s="250"/>
      <c r="Q238" s="250"/>
      <c r="R238" s="250"/>
      <c r="S238" s="250"/>
      <c r="T238" s="250"/>
      <c r="U238" s="250"/>
      <c r="V238" s="250"/>
      <c r="W238" s="250"/>
      <c r="X238" s="250"/>
      <c r="AG238" s="285"/>
    </row>
    <row r="239" spans="1:33" ht="42" customHeight="1" outlineLevel="2">
      <c r="A239" s="15"/>
      <c r="B239" s="897"/>
      <c r="C239" s="748"/>
      <c r="D239" s="700"/>
      <c r="E239" s="39" t="s">
        <v>277</v>
      </c>
      <c r="F239" s="98">
        <f>3063.08264530453*1.2</f>
        <v>3675.6991743654362</v>
      </c>
      <c r="G239" s="244"/>
      <c r="H239" s="696"/>
      <c r="I239" s="97">
        <f>I243</f>
        <v>0</v>
      </c>
      <c r="J239" s="136"/>
      <c r="K239" s="136"/>
      <c r="L239" s="686"/>
      <c r="M239" s="136"/>
      <c r="N239" s="250"/>
      <c r="O239" s="250"/>
      <c r="P239" s="250"/>
      <c r="Q239" s="250"/>
      <c r="R239" s="250"/>
      <c r="S239" s="250"/>
      <c r="T239" s="250"/>
      <c r="U239" s="250"/>
      <c r="V239" s="250"/>
      <c r="W239" s="250"/>
      <c r="X239" s="250"/>
      <c r="AG239" s="285"/>
    </row>
    <row r="240" spans="1:33" ht="18.75" outlineLevel="2">
      <c r="A240" s="15"/>
      <c r="B240" s="897"/>
      <c r="C240" s="759" t="s">
        <v>1848</v>
      </c>
      <c r="D240" s="760"/>
      <c r="E240" s="640" t="s">
        <v>279</v>
      </c>
      <c r="F240" s="94">
        <f>1500.64601990437*1.2</f>
        <v>1800.7752238852438</v>
      </c>
      <c r="G240" s="240"/>
      <c r="H240" s="696"/>
      <c r="I240" s="638">
        <f>I238</f>
        <v>1</v>
      </c>
      <c r="J240" s="136"/>
      <c r="K240" s="136"/>
      <c r="L240" s="728">
        <f>G58*SUMPRODUCT(F240:F241,I240:I241)</f>
        <v>77510767.961692542</v>
      </c>
      <c r="M240" s="136"/>
      <c r="N240" s="599"/>
      <c r="O240" s="599"/>
      <c r="P240" s="599"/>
      <c r="Q240" s="599"/>
      <c r="R240" s="599"/>
      <c r="S240" s="599"/>
      <c r="T240" s="599"/>
      <c r="U240" s="599"/>
      <c r="V240" s="599"/>
      <c r="W240" s="599"/>
      <c r="X240" s="599"/>
      <c r="AG240" s="285"/>
    </row>
    <row r="241" spans="1:33" ht="18.75" outlineLevel="2">
      <c r="A241" s="15"/>
      <c r="B241" s="897"/>
      <c r="C241" s="761"/>
      <c r="D241" s="762"/>
      <c r="E241" s="641" t="s">
        <v>277</v>
      </c>
      <c r="F241" s="98">
        <f>3345.7439486495*1.2</f>
        <v>4014.8927383793998</v>
      </c>
      <c r="G241" s="244"/>
      <c r="H241" s="696"/>
      <c r="I241" s="638">
        <f>I239</f>
        <v>0</v>
      </c>
      <c r="J241" s="136"/>
      <c r="K241" s="136"/>
      <c r="L241" s="730"/>
      <c r="M241" s="136"/>
      <c r="N241" s="599"/>
      <c r="O241" s="599"/>
      <c r="P241" s="599"/>
      <c r="Q241" s="599"/>
      <c r="R241" s="599"/>
      <c r="S241" s="599"/>
      <c r="T241" s="599"/>
      <c r="U241" s="599"/>
      <c r="V241" s="599"/>
      <c r="W241" s="599"/>
      <c r="X241" s="599"/>
      <c r="AG241" s="285"/>
    </row>
    <row r="242" spans="1:33" ht="23.25" customHeight="1" outlineLevel="2">
      <c r="A242" s="15"/>
      <c r="B242" s="897"/>
      <c r="C242" s="746" t="s">
        <v>858</v>
      </c>
      <c r="D242" s="699" t="s">
        <v>859</v>
      </c>
      <c r="E242" s="112" t="s">
        <v>279</v>
      </c>
      <c r="F242" s="94">
        <f>1475.80242851917*1.5</f>
        <v>2213.7036427787552</v>
      </c>
      <c r="G242" s="240"/>
      <c r="H242" s="696"/>
      <c r="I242" s="96">
        <f>IF($F$122="Комфорт",1,0)+IF($F$122="Бизнес",1,0)+IF($F$122="Бизнес+",1,0)</f>
        <v>1</v>
      </c>
      <c r="J242" s="135"/>
      <c r="L242" s="686">
        <f>G58*SUMPRODUCT(F242:F243,I242:I243)</f>
        <v>95284445.896125957</v>
      </c>
      <c r="M242" s="15"/>
      <c r="N242" s="15"/>
      <c r="O242" s="15"/>
      <c r="P242" s="15"/>
      <c r="Q242" s="15"/>
      <c r="R242" s="15"/>
      <c r="S242" s="15"/>
      <c r="T242" s="15"/>
      <c r="U242" s="15"/>
      <c r="V242" s="15"/>
      <c r="W242" s="15"/>
    </row>
    <row r="243" spans="1:33" ht="23.25" customHeight="1" outlineLevel="2">
      <c r="A243" s="15"/>
      <c r="B243" s="898"/>
      <c r="C243" s="748"/>
      <c r="D243" s="700"/>
      <c r="E243" s="39" t="s">
        <v>277</v>
      </c>
      <c r="F243" s="98">
        <f>2175.08180666782*1.5</f>
        <v>3262.6227100017295</v>
      </c>
      <c r="G243" s="244"/>
      <c r="H243" s="697"/>
      <c r="I243" s="97">
        <f>IF($F$122="Премиум",1,0)+IF($F$122="Элит",1,0)</f>
        <v>0</v>
      </c>
      <c r="J243" s="135"/>
      <c r="L243" s="686"/>
      <c r="M243" s="15"/>
      <c r="N243" s="15"/>
      <c r="O243" s="15"/>
      <c r="P243" s="15"/>
      <c r="Q243" s="15"/>
      <c r="R243" s="15"/>
      <c r="S243" s="15"/>
      <c r="T243" s="15"/>
      <c r="U243" s="15"/>
      <c r="V243" s="15"/>
      <c r="W243" s="15"/>
      <c r="AB243" t="s">
        <v>420</v>
      </c>
    </row>
    <row r="244" spans="1:33" ht="20.25" customHeight="1" outlineLevel="1">
      <c r="A244" s="15"/>
      <c r="B244" s="498" t="s">
        <v>1172</v>
      </c>
      <c r="C244" s="136"/>
      <c r="D244" s="136"/>
      <c r="E244" s="136"/>
      <c r="F244" s="136"/>
      <c r="G244" s="136"/>
      <c r="H244" s="136"/>
      <c r="I244" s="136"/>
      <c r="J244" s="136"/>
      <c r="K244" s="136"/>
      <c r="L244" s="136"/>
      <c r="M244" s="136"/>
      <c r="N244" s="648"/>
      <c r="O244" s="599"/>
      <c r="P244" s="599"/>
      <c r="Q244" s="599"/>
      <c r="R244" s="599"/>
      <c r="S244" s="599"/>
      <c r="T244" s="599"/>
      <c r="U244" s="599"/>
      <c r="V244" s="599"/>
      <c r="W244" s="599"/>
      <c r="X244" s="599"/>
      <c r="AG244" s="285"/>
    </row>
    <row r="245" spans="1:33" ht="18.75" outlineLevel="2">
      <c r="A245" s="15"/>
      <c r="B245" s="763" t="s">
        <v>1174</v>
      </c>
      <c r="C245" s="764"/>
      <c r="D245" s="760"/>
      <c r="E245" s="640" t="s">
        <v>279</v>
      </c>
      <c r="F245" s="94">
        <f>1271642.65714286*1.01</f>
        <v>1284359.0837142884</v>
      </c>
      <c r="G245" s="240"/>
      <c r="H245" s="695" t="s">
        <v>1850</v>
      </c>
      <c r="I245" s="96">
        <f>I236</f>
        <v>1</v>
      </c>
      <c r="J245" s="136"/>
      <c r="K245" s="136"/>
      <c r="L245" s="136"/>
      <c r="M245" s="686">
        <f>H65*SUMPRODUCT($F$245:$F$246,$I$245:$I$246)</f>
        <v>26971540.758000057</v>
      </c>
      <c r="N245" s="686">
        <f t="shared" ref="N245:V245" si="104">I65*SUMPRODUCT($F$245:$F$246,$I$245:$I$246)</f>
        <v>26971540.758000057</v>
      </c>
      <c r="O245" s="686">
        <f t="shared" si="104"/>
        <v>26971540.758000057</v>
      </c>
      <c r="P245" s="686">
        <f t="shared" si="104"/>
        <v>3853077.251142865</v>
      </c>
      <c r="Q245" s="686">
        <f t="shared" si="104"/>
        <v>0</v>
      </c>
      <c r="R245" s="686">
        <f t="shared" si="104"/>
        <v>0</v>
      </c>
      <c r="S245" s="686">
        <f t="shared" si="104"/>
        <v>0</v>
      </c>
      <c r="T245" s="686">
        <f t="shared" si="104"/>
        <v>0</v>
      </c>
      <c r="U245" s="686">
        <f t="shared" si="104"/>
        <v>0</v>
      </c>
      <c r="V245" s="686">
        <f t="shared" si="104"/>
        <v>0</v>
      </c>
      <c r="W245" s="686">
        <f>R65*SUMPRODUCT($F$245:$F$246,$I$245:$I$246)</f>
        <v>0</v>
      </c>
      <c r="X245" s="599"/>
      <c r="AG245" s="285"/>
    </row>
    <row r="246" spans="1:33" ht="18.75" outlineLevel="2">
      <c r="A246" s="15"/>
      <c r="B246" s="765"/>
      <c r="C246" s="766"/>
      <c r="D246" s="762"/>
      <c r="E246" s="641" t="s">
        <v>277</v>
      </c>
      <c r="F246" s="98">
        <f>1720474.932*1.01</f>
        <v>1737679.68132</v>
      </c>
      <c r="G246" s="244"/>
      <c r="H246" s="696"/>
      <c r="I246" s="97">
        <f>I237</f>
        <v>0</v>
      </c>
      <c r="J246" s="136"/>
      <c r="K246" s="136"/>
      <c r="L246" s="136"/>
      <c r="M246" s="686"/>
      <c r="N246" s="686"/>
      <c r="O246" s="686"/>
      <c r="P246" s="686"/>
      <c r="Q246" s="686"/>
      <c r="R246" s="686"/>
      <c r="S246" s="686"/>
      <c r="T246" s="686"/>
      <c r="U246" s="686"/>
      <c r="V246" s="686"/>
      <c r="W246" s="686"/>
      <c r="X246" s="599"/>
      <c r="AG246" s="285"/>
    </row>
    <row r="247" spans="1:33" ht="18.75" outlineLevel="2">
      <c r="A247" s="15"/>
      <c r="B247" s="763" t="s">
        <v>1341</v>
      </c>
      <c r="C247" s="764"/>
      <c r="D247" s="760"/>
      <c r="E247" s="640" t="s">
        <v>279</v>
      </c>
      <c r="F247" s="94">
        <f>301321.811428571*1.01</f>
        <v>304335.02954285673</v>
      </c>
      <c r="G247" s="240"/>
      <c r="H247" s="696"/>
      <c r="I247" s="96">
        <f>I245</f>
        <v>1</v>
      </c>
      <c r="J247" s="136"/>
      <c r="K247" s="136"/>
      <c r="L247" s="136"/>
      <c r="M247" s="686">
        <f>H65*SUMPRODUCT($F$247:$F$248,$I$247:$I$248)</f>
        <v>6391035.6203999911</v>
      </c>
      <c r="N247" s="686">
        <f t="shared" ref="N247:W247" si="105">I65*SUMPRODUCT($F$247:$F$248,$I$247:$I$248)</f>
        <v>6391035.6203999911</v>
      </c>
      <c r="O247" s="686">
        <f t="shared" si="105"/>
        <v>6391035.6203999911</v>
      </c>
      <c r="P247" s="686">
        <f t="shared" si="105"/>
        <v>913005.0886285702</v>
      </c>
      <c r="Q247" s="686">
        <f t="shared" si="105"/>
        <v>0</v>
      </c>
      <c r="R247" s="686">
        <f t="shared" si="105"/>
        <v>0</v>
      </c>
      <c r="S247" s="686">
        <f t="shared" si="105"/>
        <v>0</v>
      </c>
      <c r="T247" s="686">
        <f t="shared" si="105"/>
        <v>0</v>
      </c>
      <c r="U247" s="686">
        <f t="shared" si="105"/>
        <v>0</v>
      </c>
      <c r="V247" s="686">
        <f t="shared" si="105"/>
        <v>0</v>
      </c>
      <c r="W247" s="686">
        <f t="shared" si="105"/>
        <v>0</v>
      </c>
      <c r="X247" s="599"/>
      <c r="AG247" s="285"/>
    </row>
    <row r="248" spans="1:33" ht="18.75" outlineLevel="2">
      <c r="A248" s="15"/>
      <c r="B248" s="765"/>
      <c r="C248" s="766"/>
      <c r="D248" s="762"/>
      <c r="E248" s="641" t="s">
        <v>277</v>
      </c>
      <c r="F248" s="98">
        <f>1580188.116*1.01</f>
        <v>1595989.99716</v>
      </c>
      <c r="G248" s="244"/>
      <c r="H248" s="696"/>
      <c r="I248" s="97">
        <f>I246</f>
        <v>0</v>
      </c>
      <c r="J248" s="136"/>
      <c r="K248" s="136"/>
      <c r="L248" s="136"/>
      <c r="M248" s="686"/>
      <c r="N248" s="686"/>
      <c r="O248" s="686"/>
      <c r="P248" s="686"/>
      <c r="Q248" s="686"/>
      <c r="R248" s="686"/>
      <c r="S248" s="686"/>
      <c r="T248" s="686"/>
      <c r="U248" s="686"/>
      <c r="V248" s="686"/>
      <c r="W248" s="686"/>
      <c r="X248" s="599"/>
      <c r="AG248" s="285"/>
    </row>
    <row r="249" spans="1:33" ht="18.75" customHeight="1" outlineLevel="2">
      <c r="A249" s="15"/>
      <c r="B249" s="767" t="s">
        <v>1324</v>
      </c>
      <c r="C249" s="768"/>
      <c r="D249" s="768"/>
      <c r="E249" s="769"/>
      <c r="F249" s="159">
        <f>509123.038*1.01</f>
        <v>514214.26838000002</v>
      </c>
      <c r="G249" s="236"/>
      <c r="H249" s="697"/>
      <c r="I249" s="639">
        <v>1</v>
      </c>
      <c r="J249" s="136"/>
      <c r="K249" s="136"/>
      <c r="L249" s="136"/>
      <c r="M249" s="643">
        <f>$I$249*$F$249*H65</f>
        <v>10798499.635980001</v>
      </c>
      <c r="N249" s="643">
        <f t="shared" ref="N249" si="106">$I$249*$F$249*I65</f>
        <v>10798499.635980001</v>
      </c>
      <c r="O249" s="643">
        <f t="shared" ref="O249" si="107">$I$249*$F$249*J65</f>
        <v>10798499.635980001</v>
      </c>
      <c r="P249" s="643">
        <f t="shared" ref="P249" si="108">$I$249*$F$249*K65</f>
        <v>1542642.8051400001</v>
      </c>
      <c r="Q249" s="643">
        <f t="shared" ref="Q249" si="109">$I$249*$F$249*L65</f>
        <v>0</v>
      </c>
      <c r="R249" s="643">
        <f t="shared" ref="R249" si="110">$I$249*$F$249*M65</f>
        <v>0</v>
      </c>
      <c r="S249" s="643">
        <f t="shared" ref="S249" si="111">$I$249*$F$249*N65</f>
        <v>0</v>
      </c>
      <c r="T249" s="643">
        <f t="shared" ref="T249" si="112">$I$249*$F$249*O65</f>
        <v>0</v>
      </c>
      <c r="U249" s="643">
        <f t="shared" ref="U249" si="113">$I$249*$F$249*P65</f>
        <v>0</v>
      </c>
      <c r="V249" s="643">
        <f t="shared" ref="V249" si="114">$I$249*$F$249*Q65</f>
        <v>0</v>
      </c>
      <c r="W249" s="643">
        <f t="shared" ref="W249" si="115">$I$249*$F$249*R65</f>
        <v>0</v>
      </c>
      <c r="X249" s="599"/>
      <c r="AG249" s="285"/>
    </row>
    <row r="250" spans="1:33" outlineLevel="1">
      <c r="A250" s="15"/>
      <c r="B250" s="718" t="s">
        <v>96</v>
      </c>
      <c r="C250" s="647"/>
      <c r="D250" s="135"/>
      <c r="E250" s="135"/>
      <c r="F250" s="135"/>
      <c r="G250" s="135"/>
      <c r="H250" s="135"/>
      <c r="I250" s="135"/>
      <c r="J250" s="161"/>
      <c r="K250" s="250"/>
      <c r="L250" s="276"/>
      <c r="M250" s="15"/>
      <c r="N250" s="15"/>
      <c r="O250" s="15"/>
      <c r="P250" s="15"/>
      <c r="Q250" s="15"/>
      <c r="R250" s="15"/>
      <c r="S250" s="15"/>
      <c r="T250" s="15"/>
      <c r="U250" s="15"/>
      <c r="V250" s="15"/>
      <c r="W250" s="15"/>
    </row>
    <row r="251" spans="1:33" outlineLevel="2">
      <c r="A251" s="15"/>
      <c r="B251" s="718"/>
      <c r="C251" s="870" t="s">
        <v>879</v>
      </c>
      <c r="D251" s="985" t="s">
        <v>872</v>
      </c>
      <c r="E251" s="112" t="s">
        <v>279</v>
      </c>
      <c r="F251" s="94">
        <f>1851.23667677855*1.01</f>
        <v>1869.7490435463355</v>
      </c>
      <c r="G251" s="240"/>
      <c r="H251" s="987" t="s">
        <v>873</v>
      </c>
      <c r="I251" s="135"/>
      <c r="J251" s="161"/>
      <c r="K251" s="250"/>
      <c r="L251" s="276"/>
      <c r="M251" s="289">
        <f t="shared" ref="M251:W251" si="116">($F251+$G251*курс)*H$85*(IF(H$122="Комфорт",1,0)+IF(H$122="Бизнес",1,0)+IF(H$122="Бизнес+",1,0))</f>
        <v>0</v>
      </c>
      <c r="N251" s="289">
        <f t="shared" si="116"/>
        <v>0</v>
      </c>
      <c r="O251" s="289">
        <f t="shared" si="116"/>
        <v>0</v>
      </c>
      <c r="P251" s="289">
        <f t="shared" si="116"/>
        <v>0</v>
      </c>
      <c r="Q251" s="289">
        <f t="shared" si="116"/>
        <v>0</v>
      </c>
      <c r="R251" s="289">
        <f t="shared" si="116"/>
        <v>0</v>
      </c>
      <c r="S251" s="289">
        <f t="shared" si="116"/>
        <v>0</v>
      </c>
      <c r="T251" s="289">
        <f t="shared" si="116"/>
        <v>0</v>
      </c>
      <c r="U251" s="289">
        <f t="shared" si="116"/>
        <v>0</v>
      </c>
      <c r="V251" s="289">
        <f t="shared" si="116"/>
        <v>0</v>
      </c>
      <c r="W251" s="289">
        <f t="shared" si="116"/>
        <v>0</v>
      </c>
    </row>
    <row r="252" spans="1:33" outlineLevel="2">
      <c r="A252" s="15"/>
      <c r="B252" s="718"/>
      <c r="C252" s="747"/>
      <c r="D252" s="986"/>
      <c r="E252" s="39" t="s">
        <v>277</v>
      </c>
      <c r="F252" s="98">
        <f>2310.63762521991*1.01</f>
        <v>2333.7440014721092</v>
      </c>
      <c r="G252" s="244"/>
      <c r="H252" s="988"/>
      <c r="I252" s="135"/>
      <c r="J252" s="161"/>
      <c r="K252" s="250"/>
      <c r="L252" s="276"/>
      <c r="M252" s="289">
        <f t="shared" ref="M252:W252" si="117">($F252+$G252*курс)*H$85*(IF(H$122="Премиум",1,0)+IF(H$122="Элит",1,0))</f>
        <v>0</v>
      </c>
      <c r="N252" s="289">
        <f t="shared" si="117"/>
        <v>0</v>
      </c>
      <c r="O252" s="289">
        <f t="shared" si="117"/>
        <v>0</v>
      </c>
      <c r="P252" s="289">
        <f t="shared" si="117"/>
        <v>0</v>
      </c>
      <c r="Q252" s="289">
        <f t="shared" si="117"/>
        <v>0</v>
      </c>
      <c r="R252" s="289">
        <f t="shared" si="117"/>
        <v>0</v>
      </c>
      <c r="S252" s="289">
        <f t="shared" si="117"/>
        <v>0</v>
      </c>
      <c r="T252" s="289">
        <f t="shared" si="117"/>
        <v>0</v>
      </c>
      <c r="U252" s="289">
        <f t="shared" si="117"/>
        <v>0</v>
      </c>
      <c r="V252" s="289">
        <f t="shared" si="117"/>
        <v>0</v>
      </c>
      <c r="W252" s="289">
        <f t="shared" si="117"/>
        <v>0</v>
      </c>
    </row>
    <row r="253" spans="1:33" outlineLevel="2">
      <c r="A253" s="15"/>
      <c r="B253" s="718"/>
      <c r="C253" s="747"/>
      <c r="D253" s="985" t="s">
        <v>874</v>
      </c>
      <c r="E253" s="112" t="s">
        <v>279</v>
      </c>
      <c r="F253" s="94">
        <f>1544.83596499512*1.01</f>
        <v>1560.2843246450714</v>
      </c>
      <c r="G253" s="240"/>
      <c r="H253" s="988"/>
      <c r="I253" s="135"/>
      <c r="J253" s="161"/>
      <c r="K253" s="250"/>
      <c r="L253" s="276"/>
      <c r="M253" s="289">
        <f t="shared" ref="M253:W253" si="118">($F253+$G253*курс)*H$85*(IF(H$122="Комфорт",1,0)+IF(H$122="Бизнес",1,0)+IF(H$122="Бизнес+",1,0))</f>
        <v>0</v>
      </c>
      <c r="N253" s="289">
        <f t="shared" si="118"/>
        <v>0</v>
      </c>
      <c r="O253" s="289">
        <f t="shared" si="118"/>
        <v>0</v>
      </c>
      <c r="P253" s="289">
        <f t="shared" si="118"/>
        <v>0</v>
      </c>
      <c r="Q253" s="289">
        <f t="shared" si="118"/>
        <v>0</v>
      </c>
      <c r="R253" s="289">
        <f t="shared" si="118"/>
        <v>0</v>
      </c>
      <c r="S253" s="289">
        <f t="shared" si="118"/>
        <v>0</v>
      </c>
      <c r="T253" s="289">
        <f t="shared" si="118"/>
        <v>0</v>
      </c>
      <c r="U253" s="289">
        <f t="shared" si="118"/>
        <v>0</v>
      </c>
      <c r="V253" s="289">
        <f t="shared" si="118"/>
        <v>0</v>
      </c>
      <c r="W253" s="289">
        <f t="shared" si="118"/>
        <v>0</v>
      </c>
    </row>
    <row r="254" spans="1:33" outlineLevel="2">
      <c r="A254" s="15"/>
      <c r="B254" s="718"/>
      <c r="C254" s="747"/>
      <c r="D254" s="990"/>
      <c r="E254" s="113" t="s">
        <v>44</v>
      </c>
      <c r="F254" s="92">
        <f>3948.27490949272*1.01</f>
        <v>3987.7576585876473</v>
      </c>
      <c r="G254" s="238"/>
      <c r="H254" s="988"/>
      <c r="I254" s="135"/>
      <c r="J254" s="161"/>
      <c r="K254" s="250"/>
      <c r="L254" s="276"/>
      <c r="M254" s="289">
        <f t="shared" ref="M254:W254" si="119">($F254+$G254*курс)*H$85*IF(H$122="Премиум",1,0)</f>
        <v>0</v>
      </c>
      <c r="N254" s="289">
        <f t="shared" si="119"/>
        <v>0</v>
      </c>
      <c r="O254" s="289">
        <f t="shared" si="119"/>
        <v>0</v>
      </c>
      <c r="P254" s="289">
        <f t="shared" si="119"/>
        <v>0</v>
      </c>
      <c r="Q254" s="289">
        <f t="shared" si="119"/>
        <v>0</v>
      </c>
      <c r="R254" s="289">
        <f t="shared" si="119"/>
        <v>0</v>
      </c>
      <c r="S254" s="289">
        <f t="shared" si="119"/>
        <v>0</v>
      </c>
      <c r="T254" s="289">
        <f t="shared" si="119"/>
        <v>0</v>
      </c>
      <c r="U254" s="289">
        <f t="shared" si="119"/>
        <v>0</v>
      </c>
      <c r="V254" s="289">
        <f t="shared" si="119"/>
        <v>0</v>
      </c>
      <c r="W254" s="289">
        <f t="shared" si="119"/>
        <v>0</v>
      </c>
    </row>
    <row r="255" spans="1:33" outlineLevel="2">
      <c r="A255" s="15"/>
      <c r="B255" s="718"/>
      <c r="C255" s="747"/>
      <c r="D255" s="986"/>
      <c r="E255" s="39" t="s">
        <v>45</v>
      </c>
      <c r="F255" s="98">
        <f>4344.24825306184*1.01</f>
        <v>4387.6907355924586</v>
      </c>
      <c r="G255" s="244"/>
      <c r="H255" s="988"/>
      <c r="I255" s="135"/>
      <c r="J255" s="161"/>
      <c r="K255" s="250"/>
      <c r="L255" s="276"/>
      <c r="M255" s="290">
        <f t="shared" ref="M255:W255" si="120">($F255+$G255*курс)*H$85*IF(H$122="Элит",1,0)</f>
        <v>0</v>
      </c>
      <c r="N255" s="290">
        <f t="shared" si="120"/>
        <v>0</v>
      </c>
      <c r="O255" s="290">
        <f t="shared" si="120"/>
        <v>0</v>
      </c>
      <c r="P255" s="290">
        <f t="shared" si="120"/>
        <v>0</v>
      </c>
      <c r="Q255" s="290">
        <f t="shared" si="120"/>
        <v>0</v>
      </c>
      <c r="R255" s="290">
        <f t="shared" si="120"/>
        <v>0</v>
      </c>
      <c r="S255" s="290">
        <f t="shared" si="120"/>
        <v>0</v>
      </c>
      <c r="T255" s="290">
        <f t="shared" si="120"/>
        <v>0</v>
      </c>
      <c r="U255" s="290">
        <f t="shared" si="120"/>
        <v>0</v>
      </c>
      <c r="V255" s="290">
        <f t="shared" si="120"/>
        <v>0</v>
      </c>
      <c r="W255" s="290">
        <f t="shared" si="120"/>
        <v>0</v>
      </c>
    </row>
    <row r="256" spans="1:33" outlineLevel="2">
      <c r="A256" s="15"/>
      <c r="B256" s="718"/>
      <c r="C256" s="747"/>
      <c r="D256" s="991" t="s">
        <v>875</v>
      </c>
      <c r="E256" s="992"/>
      <c r="F256" s="108">
        <f>46.0503214888069*1.01</f>
        <v>46.510824703694972</v>
      </c>
      <c r="G256" s="237"/>
      <c r="H256" s="988"/>
      <c r="I256" s="135"/>
      <c r="J256" s="161"/>
      <c r="K256" s="250"/>
      <c r="L256" s="276"/>
      <c r="M256" s="290">
        <f t="shared" ref="M256:W257" si="121">($F256+$G256*курс)*H$85</f>
        <v>0</v>
      </c>
      <c r="N256" s="290">
        <f t="shared" si="121"/>
        <v>0</v>
      </c>
      <c r="O256" s="290">
        <f t="shared" si="121"/>
        <v>0</v>
      </c>
      <c r="P256" s="290">
        <f t="shared" si="121"/>
        <v>0</v>
      </c>
      <c r="Q256" s="290">
        <f t="shared" si="121"/>
        <v>0</v>
      </c>
      <c r="R256" s="290">
        <f t="shared" si="121"/>
        <v>0</v>
      </c>
      <c r="S256" s="290">
        <f t="shared" si="121"/>
        <v>0</v>
      </c>
      <c r="T256" s="290">
        <f t="shared" si="121"/>
        <v>0</v>
      </c>
      <c r="U256" s="290">
        <f t="shared" si="121"/>
        <v>0</v>
      </c>
      <c r="V256" s="290">
        <f t="shared" si="121"/>
        <v>0</v>
      </c>
      <c r="W256" s="290">
        <f t="shared" si="121"/>
        <v>0</v>
      </c>
    </row>
    <row r="257" spans="1:38" outlineLevel="2">
      <c r="A257" s="15"/>
      <c r="B257" s="718"/>
      <c r="C257" s="747"/>
      <c r="D257" s="993" t="s">
        <v>876</v>
      </c>
      <c r="E257" s="994"/>
      <c r="F257" s="159">
        <f>6082.69966123381*1.01</f>
        <v>6143.5266578461478</v>
      </c>
      <c r="G257" s="236"/>
      <c r="H257" s="989"/>
      <c r="I257" s="135"/>
      <c r="J257" s="161"/>
      <c r="K257" s="250"/>
      <c r="L257" s="276"/>
      <c r="M257" s="290">
        <f t="shared" si="121"/>
        <v>0</v>
      </c>
      <c r="N257" s="290">
        <f t="shared" si="121"/>
        <v>0</v>
      </c>
      <c r="O257" s="290">
        <f t="shared" si="121"/>
        <v>0</v>
      </c>
      <c r="P257" s="290">
        <f t="shared" si="121"/>
        <v>0</v>
      </c>
      <c r="Q257" s="290">
        <f t="shared" si="121"/>
        <v>0</v>
      </c>
      <c r="R257" s="290">
        <f t="shared" si="121"/>
        <v>0</v>
      </c>
      <c r="S257" s="290">
        <f t="shared" si="121"/>
        <v>0</v>
      </c>
      <c r="T257" s="290">
        <f t="shared" si="121"/>
        <v>0</v>
      </c>
      <c r="U257" s="290">
        <f t="shared" si="121"/>
        <v>0</v>
      </c>
      <c r="V257" s="290">
        <f t="shared" si="121"/>
        <v>0</v>
      </c>
      <c r="W257" s="290">
        <f t="shared" si="121"/>
        <v>0</v>
      </c>
    </row>
    <row r="258" spans="1:38" ht="32.25" customHeight="1" outlineLevel="2">
      <c r="A258" s="15"/>
      <c r="B258" s="718"/>
      <c r="C258" s="747"/>
      <c r="D258" s="990" t="s">
        <v>877</v>
      </c>
      <c r="E258" s="112" t="s">
        <v>279</v>
      </c>
      <c r="F258" s="108">
        <f>2617256*1.01</f>
        <v>2643428.56</v>
      </c>
      <c r="G258" s="237"/>
      <c r="H258" s="995" t="s">
        <v>480</v>
      </c>
      <c r="I258" s="135"/>
      <c r="J258" s="161"/>
      <c r="K258" s="250"/>
      <c r="L258" s="276"/>
      <c r="M258" s="289">
        <f t="shared" ref="M258:W258" si="122">($F258+$G258*курс)*IF(H85&gt;0,1,0)*(IF(H$122="Комфорт",1,0)+IF(H$122="Бизнес",1,0)+IF(H$122="Бизнес+",1,0))</f>
        <v>0</v>
      </c>
      <c r="N258" s="289">
        <f t="shared" si="122"/>
        <v>0</v>
      </c>
      <c r="O258" s="289">
        <f t="shared" si="122"/>
        <v>0</v>
      </c>
      <c r="P258" s="289">
        <f t="shared" si="122"/>
        <v>0</v>
      </c>
      <c r="Q258" s="289">
        <f t="shared" si="122"/>
        <v>0</v>
      </c>
      <c r="R258" s="289">
        <f t="shared" si="122"/>
        <v>0</v>
      </c>
      <c r="S258" s="289">
        <f t="shared" si="122"/>
        <v>0</v>
      </c>
      <c r="T258" s="289">
        <f t="shared" si="122"/>
        <v>0</v>
      </c>
      <c r="U258" s="289">
        <f t="shared" si="122"/>
        <v>0</v>
      </c>
      <c r="V258" s="289">
        <f t="shared" si="122"/>
        <v>0</v>
      </c>
      <c r="W258" s="289">
        <f t="shared" si="122"/>
        <v>0</v>
      </c>
    </row>
    <row r="259" spans="1:38" ht="32.25" customHeight="1" outlineLevel="2">
      <c r="A259" s="15"/>
      <c r="B259" s="718"/>
      <c r="C259" s="748"/>
      <c r="D259" s="986"/>
      <c r="E259" s="113" t="s">
        <v>277</v>
      </c>
      <c r="F259" s="158">
        <f>2856753.44*1.01</f>
        <v>2885320.9744000002</v>
      </c>
      <c r="G259" s="244"/>
      <c r="H259" s="996"/>
      <c r="I259" s="135"/>
      <c r="J259" s="161"/>
      <c r="K259" s="250"/>
      <c r="L259" s="276"/>
      <c r="M259" s="289">
        <f t="shared" ref="M259:W259" si="123">($F259+$G259*курс)*IF(H85&gt;0,1,0)*(IF(H$122="Премиум",1,0)+IF(H$122="Элит",1,0))</f>
        <v>0</v>
      </c>
      <c r="N259" s="289">
        <f t="shared" si="123"/>
        <v>0</v>
      </c>
      <c r="O259" s="289">
        <f t="shared" si="123"/>
        <v>0</v>
      </c>
      <c r="P259" s="289">
        <f t="shared" si="123"/>
        <v>0</v>
      </c>
      <c r="Q259" s="289">
        <f t="shared" si="123"/>
        <v>0</v>
      </c>
      <c r="R259" s="289">
        <f t="shared" si="123"/>
        <v>0</v>
      </c>
      <c r="S259" s="289">
        <f t="shared" si="123"/>
        <v>0</v>
      </c>
      <c r="T259" s="289">
        <f t="shared" si="123"/>
        <v>0</v>
      </c>
      <c r="U259" s="289">
        <f t="shared" si="123"/>
        <v>0</v>
      </c>
      <c r="V259" s="289">
        <f t="shared" si="123"/>
        <v>0</v>
      </c>
      <c r="W259" s="289">
        <f t="shared" si="123"/>
        <v>0</v>
      </c>
    </row>
    <row r="260" spans="1:38" ht="15.75" customHeight="1" outlineLevel="2">
      <c r="A260" s="15"/>
      <c r="B260" s="718"/>
      <c r="C260" s="746" t="s">
        <v>864</v>
      </c>
      <c r="D260" s="112" t="s">
        <v>32</v>
      </c>
      <c r="E260" s="726" t="s">
        <v>865</v>
      </c>
      <c r="F260" s="94">
        <f>1153.81933127889*1.01</f>
        <v>1165.3575245916791</v>
      </c>
      <c r="G260" s="240"/>
      <c r="H260" s="701" t="s">
        <v>331</v>
      </c>
      <c r="I260" s="135"/>
      <c r="J260" s="161"/>
      <c r="K260" s="250"/>
      <c r="L260" s="250"/>
      <c r="M260" s="451">
        <f>($F260+$G260*курс)*H$85*IF(H$122="Комфорт",1,0)</f>
        <v>0</v>
      </c>
      <c r="N260" s="451">
        <f t="shared" ref="N260" si="124">($F260+$G260*курс)*I$85*IF(I$122="Комфорт",1,0)</f>
        <v>0</v>
      </c>
      <c r="O260" s="451">
        <f t="shared" ref="O260" si="125">($F260+$G260*курс)*J$85*IF(J$122="Комфорт",1,0)</f>
        <v>0</v>
      </c>
      <c r="P260" s="451">
        <f t="shared" ref="P260" si="126">($F260+$G260*курс)*K$85*IF(K$122="Комфорт",1,0)</f>
        <v>0</v>
      </c>
      <c r="Q260" s="451">
        <f t="shared" ref="Q260" si="127">($F260+$G260*курс)*L$85*IF(L$122="Комфорт",1,0)</f>
        <v>0</v>
      </c>
      <c r="R260" s="451">
        <f t="shared" ref="R260" si="128">($F260+$G260*курс)*M$85*IF(M$122="Комфорт",1,0)</f>
        <v>0</v>
      </c>
      <c r="S260" s="451">
        <f t="shared" ref="S260" si="129">($F260+$G260*курс)*N$85*IF(N$122="Комфорт",1,0)</f>
        <v>0</v>
      </c>
      <c r="T260" s="451">
        <f t="shared" ref="T260" si="130">($F260+$G260*курс)*O$85*IF(O$122="Комфорт",1,0)</f>
        <v>0</v>
      </c>
      <c r="U260" s="451">
        <f t="shared" ref="U260" si="131">($F260+$G260*курс)*P$85*IF(P$122="Комфорт",1,0)</f>
        <v>0</v>
      </c>
      <c r="V260" s="451">
        <f t="shared" ref="V260" si="132">($F260+$G260*курс)*Q$85*IF(Q$122="Комфорт",1,0)</f>
        <v>0</v>
      </c>
      <c r="W260" s="451">
        <f>($F260+$G260*курс)*R$85*IF(R$122="Комфорт",1,0)</f>
        <v>0</v>
      </c>
      <c r="AB260" s="451">
        <f t="shared" ref="AB260" si="133">$G260*H$85*IF(H$122="Комфорт",1,0)</f>
        <v>0</v>
      </c>
      <c r="AC260" s="451">
        <f t="shared" ref="AC260" si="134">$G260*I$85*IF(I$122="Комфорт",1,0)</f>
        <v>0</v>
      </c>
      <c r="AD260" s="451">
        <f t="shared" ref="AD260" si="135">$G260*J$85*IF(J$122="Комфорт",1,0)</f>
        <v>0</v>
      </c>
      <c r="AE260" s="451">
        <f t="shared" ref="AE260" si="136">$G260*K$85*IF(K$122="Комфорт",1,0)</f>
        <v>0</v>
      </c>
      <c r="AF260" s="451">
        <f t="shared" ref="AF260" si="137">$G260*L$85*IF(L$122="Комфорт",1,0)</f>
        <v>0</v>
      </c>
      <c r="AG260" s="451">
        <f t="shared" ref="AG260" si="138">$G260*M$85*IF(M$122="Комфорт",1,0)</f>
        <v>0</v>
      </c>
      <c r="AH260" s="451">
        <f t="shared" ref="AH260" si="139">$G260*N$85*IF(N$122="Комфорт",1,0)</f>
        <v>0</v>
      </c>
      <c r="AI260" s="451">
        <f t="shared" ref="AI260" si="140">$G260*O$85*IF(O$122="Комфорт",1,0)</f>
        <v>0</v>
      </c>
      <c r="AJ260" s="451">
        <f t="shared" ref="AJ260" si="141">$G260*P$85*IF(P$122="Комфорт",1,0)</f>
        <v>0</v>
      </c>
      <c r="AK260" s="451">
        <f t="shared" ref="AK260" si="142">$G260*Q$85*IF(Q$122="Комфорт",1,0)</f>
        <v>0</v>
      </c>
      <c r="AL260" s="451">
        <f t="shared" ref="AL260" si="143">$G260*R$85*IF(R$122="Комфорт",1,0)</f>
        <v>0</v>
      </c>
    </row>
    <row r="261" spans="1:38" outlineLevel="2">
      <c r="A261" s="15"/>
      <c r="B261" s="718"/>
      <c r="C261" s="747"/>
      <c r="D261" s="113" t="s">
        <v>42</v>
      </c>
      <c r="E261" s="727"/>
      <c r="F261" s="92">
        <f>1353.33694546379*1.01</f>
        <v>1366.870314918428</v>
      </c>
      <c r="G261" s="238"/>
      <c r="H261" s="702"/>
      <c r="I261" s="135"/>
      <c r="J261" s="161"/>
      <c r="K261" s="250"/>
      <c r="L261" s="250"/>
      <c r="M261" s="289">
        <f>($F261+$G261*курс)*H$85*IF(H$122="Бизнес",1,0)</f>
        <v>0</v>
      </c>
      <c r="N261" s="289">
        <f t="shared" ref="N261" si="144">($F261+$G261*курс)*I$85*IF(I$122="Бизнес",1,0)</f>
        <v>0</v>
      </c>
      <c r="O261" s="289">
        <f t="shared" ref="O261" si="145">($F261+$G261*курс)*J$85*IF(J$122="Бизнес",1,0)</f>
        <v>0</v>
      </c>
      <c r="P261" s="289">
        <f t="shared" ref="P261" si="146">($F261+$G261*курс)*K$85*IF(K$122="Бизнес",1,0)</f>
        <v>0</v>
      </c>
      <c r="Q261" s="289">
        <f t="shared" ref="Q261" si="147">($F261+$G261*курс)*L$85*IF(L$122="Бизнес",1,0)</f>
        <v>0</v>
      </c>
      <c r="R261" s="289">
        <f t="shared" ref="R261" si="148">($F261+$G261*курс)*M$85*IF(M$122="Бизнес",1,0)</f>
        <v>0</v>
      </c>
      <c r="S261" s="289">
        <f t="shared" ref="S261" si="149">($F261+$G261*курс)*N$85*IF(N$122="Бизнес",1,0)</f>
        <v>0</v>
      </c>
      <c r="T261" s="289">
        <f t="shared" ref="T261" si="150">($F261+$G261*курс)*O$85*IF(O$122="Бизнес",1,0)</f>
        <v>0</v>
      </c>
      <c r="U261" s="289">
        <f t="shared" ref="U261" si="151">($F261+$G261*курс)*P$85*IF(P$122="Бизнес",1,0)</f>
        <v>0</v>
      </c>
      <c r="V261" s="289">
        <f t="shared" ref="V261" si="152">($F261+$G261*курс)*Q$85*IF(Q$122="Бизнес",1,0)</f>
        <v>0</v>
      </c>
      <c r="W261" s="289">
        <f t="shared" ref="W261" si="153">($F261+$G261*курс)*R$85*IF(R$122="Бизнес",1,0)</f>
        <v>0</v>
      </c>
      <c r="AB261" s="289">
        <f t="shared" ref="AB261" si="154">$G261*H$85*IF(H$122="Бизнес",1,0)</f>
        <v>0</v>
      </c>
      <c r="AC261" s="289">
        <f t="shared" ref="AC261" si="155">$G261*I$85*IF(I$122="Бизнес",1,0)</f>
        <v>0</v>
      </c>
      <c r="AD261" s="289">
        <f t="shared" ref="AD261" si="156">$G261*J$85*IF(J$122="Бизнес",1,0)</f>
        <v>0</v>
      </c>
      <c r="AE261" s="289">
        <f t="shared" ref="AE261" si="157">$G261*K$85*IF(K$122="Бизнес",1,0)</f>
        <v>0</v>
      </c>
      <c r="AF261" s="289">
        <f t="shared" ref="AF261" si="158">$G261*L$85*IF(L$122="Бизнес",1,0)</f>
        <v>0</v>
      </c>
      <c r="AG261" s="289">
        <f t="shared" ref="AG261" si="159">$G261*M$85*IF(M$122="Бизнес",1,0)</f>
        <v>0</v>
      </c>
      <c r="AH261" s="289">
        <f t="shared" ref="AH261" si="160">$G261*N$85*IF(N$122="Бизнес",1,0)</f>
        <v>0</v>
      </c>
      <c r="AI261" s="289">
        <f t="shared" ref="AI261" si="161">$G261*O$85*IF(O$122="Бизнес",1,0)</f>
        <v>0</v>
      </c>
      <c r="AJ261" s="289">
        <f t="shared" ref="AJ261" si="162">$G261*P$85*IF(P$122="Бизнес",1,0)</f>
        <v>0</v>
      </c>
      <c r="AK261" s="289">
        <f t="shared" ref="AK261" si="163">$G261*Q$85*IF(Q$122="Бизнес",1,0)</f>
        <v>0</v>
      </c>
      <c r="AL261" s="289">
        <f t="shared" ref="AL261" si="164">$G261*R$85*IF(R$122="Бизнес",1,0)</f>
        <v>0</v>
      </c>
    </row>
    <row r="262" spans="1:38" outlineLevel="2">
      <c r="A262" s="15"/>
      <c r="B262" s="718"/>
      <c r="C262" s="747"/>
      <c r="D262" s="113" t="s">
        <v>43</v>
      </c>
      <c r="E262" s="727"/>
      <c r="F262" s="92">
        <f>12956.8325061917*1.01</f>
        <v>13086.400831253617</v>
      </c>
      <c r="G262" s="238"/>
      <c r="H262" s="702"/>
      <c r="I262" s="135"/>
      <c r="J262" s="161"/>
      <c r="K262" s="250"/>
      <c r="L262" s="250"/>
      <c r="M262" s="289">
        <f>($F262+$G262*курс)*H$85*IF(H$122="Бизнес+",1,0)</f>
        <v>0</v>
      </c>
      <c r="N262" s="289">
        <f t="shared" ref="N262" si="165">($F262+$G262*курс)*I$85*IF(I$122="Бизнес+",1,0)</f>
        <v>0</v>
      </c>
      <c r="O262" s="289">
        <f t="shared" ref="O262" si="166">($F262+$G262*курс)*J$85*IF(J$122="Бизнес+",1,0)</f>
        <v>0</v>
      </c>
      <c r="P262" s="289">
        <f t="shared" ref="P262" si="167">($F262+$G262*курс)*K$85*IF(K$122="Бизнес+",1,0)</f>
        <v>0</v>
      </c>
      <c r="Q262" s="289">
        <f t="shared" ref="Q262" si="168">($F262+$G262*курс)*L$85*IF(L$122="Бизнес+",1,0)</f>
        <v>0</v>
      </c>
      <c r="R262" s="289">
        <f t="shared" ref="R262" si="169">($F262+$G262*курс)*M$85*IF(M$122="Бизнес+",1,0)</f>
        <v>0</v>
      </c>
      <c r="S262" s="289">
        <f t="shared" ref="S262" si="170">($F262+$G262*курс)*N$85*IF(N$122="Бизнес+",1,0)</f>
        <v>0</v>
      </c>
      <c r="T262" s="289">
        <f t="shared" ref="T262" si="171">($F262+$G262*курс)*O$85*IF(O$122="Бизнес+",1,0)</f>
        <v>0</v>
      </c>
      <c r="U262" s="289">
        <f t="shared" ref="U262" si="172">($F262+$G262*курс)*P$85*IF(P$122="Бизнес+",1,0)</f>
        <v>0</v>
      </c>
      <c r="V262" s="289">
        <f t="shared" ref="V262" si="173">($F262+$G262*курс)*Q$85*IF(Q$122="Бизнес+",1,0)</f>
        <v>0</v>
      </c>
      <c r="W262" s="289">
        <f t="shared" ref="W262" si="174">($F262+$G262*курс)*R$85*IF(R$122="Бизнес+",1,0)</f>
        <v>0</v>
      </c>
      <c r="AB262" s="289">
        <f t="shared" ref="AB262" si="175">$G262*H$85*IF(H$122="Бизнес+",1,0)</f>
        <v>0</v>
      </c>
      <c r="AC262" s="289">
        <f t="shared" ref="AC262" si="176">$G262*I$85*IF(I$122="Бизнес+",1,0)</f>
        <v>0</v>
      </c>
      <c r="AD262" s="289">
        <f t="shared" ref="AD262" si="177">$G262*J$85*IF(J$122="Бизнес+",1,0)</f>
        <v>0</v>
      </c>
      <c r="AE262" s="289">
        <f t="shared" ref="AE262" si="178">$G262*K$85*IF(K$122="Бизнес+",1,0)</f>
        <v>0</v>
      </c>
      <c r="AF262" s="289">
        <f t="shared" ref="AF262" si="179">$G262*L$85*IF(L$122="Бизнес+",1,0)</f>
        <v>0</v>
      </c>
      <c r="AG262" s="289">
        <f t="shared" ref="AG262" si="180">$G262*M$85*IF(M$122="Бизнес+",1,0)</f>
        <v>0</v>
      </c>
      <c r="AH262" s="289">
        <f t="shared" ref="AH262" si="181">$G262*N$85*IF(N$122="Бизнес+",1,0)</f>
        <v>0</v>
      </c>
      <c r="AI262" s="289">
        <f t="shared" ref="AI262" si="182">$G262*O$85*IF(O$122="Бизнес+",1,0)</f>
        <v>0</v>
      </c>
      <c r="AJ262" s="289">
        <f t="shared" ref="AJ262" si="183">$G262*P$85*IF(P$122="Бизнес+",1,0)</f>
        <v>0</v>
      </c>
      <c r="AK262" s="289">
        <f t="shared" ref="AK262" si="184">$G262*Q$85*IF(Q$122="Бизнес+",1,0)</f>
        <v>0</v>
      </c>
      <c r="AL262" s="289">
        <f t="shared" ref="AL262" si="185">$G262*R$85*IF(R$122="Бизнес+",1,0)</f>
        <v>0</v>
      </c>
    </row>
    <row r="263" spans="1:38" outlineLevel="2">
      <c r="A263" s="15"/>
      <c r="B263" s="718"/>
      <c r="C263" s="747"/>
      <c r="D263" s="298" t="s">
        <v>44</v>
      </c>
      <c r="E263" s="727"/>
      <c r="F263" s="158">
        <f>6334.6012389016*1.01</f>
        <v>6397.9472512906159</v>
      </c>
      <c r="G263" s="247"/>
      <c r="H263" s="702"/>
      <c r="I263" s="135"/>
      <c r="J263" s="161"/>
      <c r="K263" s="250"/>
      <c r="L263" s="250"/>
      <c r="M263" s="289">
        <f t="shared" ref="M263" si="186">($F263+$G263*курс)*H$85*IF(H$122="Премиум",1,0)</f>
        <v>0</v>
      </c>
      <c r="N263" s="289">
        <f t="shared" ref="N263" si="187">($F263+$G263*курс)*I$85*IF(I$122="Премиум",1,0)</f>
        <v>0</v>
      </c>
      <c r="O263" s="289">
        <f t="shared" ref="O263" si="188">($F263+$G263*курс)*J$85*IF(J$122="Премиум",1,0)</f>
        <v>0</v>
      </c>
      <c r="P263" s="289">
        <f t="shared" ref="P263" si="189">($F263+$G263*курс)*K$85*IF(K$122="Премиум",1,0)</f>
        <v>0</v>
      </c>
      <c r="Q263" s="289">
        <f t="shared" ref="Q263" si="190">($F263+$G263*курс)*L$85*IF(L$122="Премиум",1,0)</f>
        <v>0</v>
      </c>
      <c r="R263" s="289">
        <f t="shared" ref="R263" si="191">($F263+$G263*курс)*M$85*IF(M$122="Премиум",1,0)</f>
        <v>0</v>
      </c>
      <c r="S263" s="289">
        <f t="shared" ref="S263" si="192">($F263+$G263*курс)*N$85*IF(N$122="Премиум",1,0)</f>
        <v>0</v>
      </c>
      <c r="T263" s="289">
        <f t="shared" ref="T263" si="193">($F263+$G263*курс)*O$85*IF(O$122="Премиум",1,0)</f>
        <v>0</v>
      </c>
      <c r="U263" s="289">
        <f t="shared" ref="U263" si="194">($F263+$G263*курс)*P$85*IF(P$122="Премиум",1,0)</f>
        <v>0</v>
      </c>
      <c r="V263" s="289">
        <f t="shared" ref="V263" si="195">($F263+$G263*курс)*Q$85*IF(Q$122="Премиум",1,0)</f>
        <v>0</v>
      </c>
      <c r="W263" s="289">
        <f t="shared" ref="W263" si="196">($F263+$G263*курс)*R$85*IF(R$122="Премиум",1,0)</f>
        <v>0</v>
      </c>
      <c r="AB263" s="289">
        <f t="shared" ref="AB263" si="197">$G263*H$85*IF(H$122="Премиум",1,0)</f>
        <v>0</v>
      </c>
      <c r="AC263" s="289">
        <f t="shared" ref="AC263" si="198">$G263*I$85*IF(I$122="Премиум",1,0)</f>
        <v>0</v>
      </c>
      <c r="AD263" s="289">
        <f t="shared" ref="AD263" si="199">$G263*J$85*IF(J$122="Премиум",1,0)</f>
        <v>0</v>
      </c>
      <c r="AE263" s="289">
        <f t="shared" ref="AE263" si="200">$G263*K$85*IF(K$122="Премиум",1,0)</f>
        <v>0</v>
      </c>
      <c r="AF263" s="289">
        <f t="shared" ref="AF263" si="201">$G263*L$85*IF(L$122="Премиум",1,0)</f>
        <v>0</v>
      </c>
      <c r="AG263" s="289">
        <f t="shared" ref="AG263" si="202">$G263*M$85*IF(M$122="Премиум",1,0)</f>
        <v>0</v>
      </c>
      <c r="AH263" s="289">
        <f t="shared" ref="AH263" si="203">$G263*N$85*IF(N$122="Премиум",1,0)</f>
        <v>0</v>
      </c>
      <c r="AI263" s="289">
        <f t="shared" ref="AI263" si="204">$G263*O$85*IF(O$122="Премиум",1,0)</f>
        <v>0</v>
      </c>
      <c r="AJ263" s="289">
        <f t="shared" ref="AJ263" si="205">$G263*P$85*IF(P$122="Премиум",1,0)</f>
        <v>0</v>
      </c>
      <c r="AK263" s="289">
        <f t="shared" ref="AK263" si="206">$G263*Q$85*IF(Q$122="Премиум",1,0)</f>
        <v>0</v>
      </c>
      <c r="AL263" s="289">
        <f t="shared" ref="AL263" si="207">$G263*R$85*IF(R$122="Премиум",1,0)</f>
        <v>0</v>
      </c>
    </row>
    <row r="264" spans="1:38" outlineLevel="2">
      <c r="A264" s="15"/>
      <c r="B264" s="718"/>
      <c r="C264" s="748"/>
      <c r="D264" s="298" t="s">
        <v>45</v>
      </c>
      <c r="E264" s="942"/>
      <c r="F264" s="158">
        <f>6332.46149222331*1.01</f>
        <v>6395.7861071455436</v>
      </c>
      <c r="G264" s="247"/>
      <c r="H264" s="702"/>
      <c r="I264" s="135"/>
      <c r="J264" s="161"/>
      <c r="K264" s="250"/>
      <c r="L264" s="250"/>
      <c r="M264" s="290">
        <f>($F264+$G264*курс)*H$85*IF(H$122="Элит",1,0)</f>
        <v>0</v>
      </c>
      <c r="N264" s="290">
        <f t="shared" ref="N264" si="208">($F264+$G264*курс)*I$85*IF(I$122="Элит",1,0)</f>
        <v>0</v>
      </c>
      <c r="O264" s="290">
        <f t="shared" ref="O264" si="209">($F264+$G264*курс)*J$85*IF(J$122="Элит",1,0)</f>
        <v>0</v>
      </c>
      <c r="P264" s="290">
        <f t="shared" ref="P264" si="210">($F264+$G264*курс)*K$85*IF(K$122="Элит",1,0)</f>
        <v>0</v>
      </c>
      <c r="Q264" s="290">
        <f t="shared" ref="Q264" si="211">($F264+$G264*курс)*L$85*IF(L$122="Элит",1,0)</f>
        <v>0</v>
      </c>
      <c r="R264" s="290">
        <f t="shared" ref="R264" si="212">($F264+$G264*курс)*M$85*IF(M$122="Элит",1,0)</f>
        <v>0</v>
      </c>
      <c r="S264" s="290">
        <f t="shared" ref="S264" si="213">($F264+$G264*курс)*N$85*IF(N$122="Элит",1,0)</f>
        <v>0</v>
      </c>
      <c r="T264" s="290">
        <f t="shared" ref="T264" si="214">($F264+$G264*курс)*O$85*IF(O$122="Элит",1,0)</f>
        <v>0</v>
      </c>
      <c r="U264" s="290">
        <f t="shared" ref="U264" si="215">($F264+$G264*курс)*P$85*IF(P$122="Элит",1,0)</f>
        <v>0</v>
      </c>
      <c r="V264" s="290">
        <f t="shared" ref="V264" si="216">($F264+$G264*курс)*Q$85*IF(Q$122="Элит",1,0)</f>
        <v>0</v>
      </c>
      <c r="W264" s="290">
        <f t="shared" ref="W264" si="217">($F264+$G264*курс)*R$85*IF(R$122="Элит",1,0)</f>
        <v>0</v>
      </c>
      <c r="AB264" s="290">
        <f t="shared" ref="AB264" si="218">$G264*H$85*IF(H$122="Элит",1,0)</f>
        <v>0</v>
      </c>
      <c r="AC264" s="290">
        <f t="shared" ref="AC264" si="219">$G264*I$85*IF(I$122="Элит",1,0)</f>
        <v>0</v>
      </c>
      <c r="AD264" s="290">
        <f t="shared" ref="AD264" si="220">$G264*J$85*IF(J$122="Элит",1,0)</f>
        <v>0</v>
      </c>
      <c r="AE264" s="290">
        <f t="shared" ref="AE264" si="221">$G264*K$85*IF(K$122="Элит",1,0)</f>
        <v>0</v>
      </c>
      <c r="AF264" s="290">
        <f t="shared" ref="AF264" si="222">$G264*L$85*IF(L$122="Элит",1,0)</f>
        <v>0</v>
      </c>
      <c r="AG264" s="290">
        <f t="shared" ref="AG264" si="223">$G264*M$85*IF(M$122="Элит",1,0)</f>
        <v>0</v>
      </c>
      <c r="AH264" s="290">
        <f t="shared" ref="AH264" si="224">$G264*N$85*IF(N$122="Элит",1,0)</f>
        <v>0</v>
      </c>
      <c r="AI264" s="290">
        <f t="shared" ref="AI264" si="225">$G264*O$85*IF(O$122="Элит",1,0)</f>
        <v>0</v>
      </c>
      <c r="AJ264" s="290">
        <f t="shared" ref="AJ264" si="226">$G264*P$85*IF(P$122="Элит",1,0)</f>
        <v>0</v>
      </c>
      <c r="AK264" s="290">
        <f t="shared" ref="AK264" si="227">$G264*Q$85*IF(Q$122="Элит",1,0)</f>
        <v>0</v>
      </c>
      <c r="AL264" s="290">
        <f t="shared" ref="AL264" si="228">$G264*R$85*IF(R$122="Элит",1,0)</f>
        <v>0</v>
      </c>
    </row>
    <row r="265" spans="1:38" ht="15.75" customHeight="1" outlineLevel="2">
      <c r="A265" s="15"/>
      <c r="B265" s="718"/>
      <c r="C265" s="746" t="s">
        <v>866</v>
      </c>
      <c r="D265" s="112" t="s">
        <v>32</v>
      </c>
      <c r="E265" s="726" t="s">
        <v>867</v>
      </c>
      <c r="F265" s="94">
        <f>15734.2924503804*1.01</f>
        <v>15891.635374884205</v>
      </c>
      <c r="G265" s="240"/>
      <c r="H265" s="702"/>
      <c r="I265" s="135"/>
      <c r="J265" s="161"/>
      <c r="K265" s="250"/>
      <c r="L265" s="250"/>
      <c r="M265" s="451">
        <f t="shared" ref="M265" si="229">($F265+$G265*курс)*H$85*IF(H$122="Комфорт",1,0)</f>
        <v>0</v>
      </c>
      <c r="N265" s="451">
        <f t="shared" ref="N265" si="230">($F265+$G265*курс)*I$85*IF(I$122="Комфорт",1,0)</f>
        <v>0</v>
      </c>
      <c r="O265" s="451">
        <f t="shared" ref="O265" si="231">($F265+$G265*курс)*J$85*IF(J$122="Комфорт",1,0)</f>
        <v>0</v>
      </c>
      <c r="P265" s="451">
        <f t="shared" ref="P265" si="232">($F265+$G265*курс)*K$85*IF(K$122="Комфорт",1,0)</f>
        <v>0</v>
      </c>
      <c r="Q265" s="451">
        <f t="shared" ref="Q265" si="233">($F265+$G265*курс)*L$85*IF(L$122="Комфорт",1,0)</f>
        <v>0</v>
      </c>
      <c r="R265" s="451">
        <f t="shared" ref="R265" si="234">($F265+$G265*курс)*M$85*IF(M$122="Комфорт",1,0)</f>
        <v>0</v>
      </c>
      <c r="S265" s="451">
        <f t="shared" ref="S265" si="235">($F265+$G265*курс)*N$85*IF(N$122="Комфорт",1,0)</f>
        <v>0</v>
      </c>
      <c r="T265" s="451">
        <f t="shared" ref="T265" si="236">($F265+$G265*курс)*O$85*IF(O$122="Комфорт",1,0)</f>
        <v>0</v>
      </c>
      <c r="U265" s="451">
        <f t="shared" ref="U265" si="237">($F265+$G265*курс)*P$85*IF(P$122="Комфорт",1,0)</f>
        <v>0</v>
      </c>
      <c r="V265" s="451">
        <f t="shared" ref="V265" si="238">($F265+$G265*курс)*Q$85*IF(Q$122="Комфорт",1,0)</f>
        <v>0</v>
      </c>
      <c r="W265" s="451">
        <f t="shared" ref="W265" si="239">($F265+$G265*курс)*R$85*IF(R$122="Комфорт",1,0)</f>
        <v>0</v>
      </c>
      <c r="AB265" s="451">
        <f t="shared" ref="AB265" si="240">$G265*H$85*IF(H$122="Комфорт",1,0)</f>
        <v>0</v>
      </c>
      <c r="AC265" s="451">
        <f t="shared" ref="AC265" si="241">$G265*I$85*IF(I$122="Комфорт",1,0)</f>
        <v>0</v>
      </c>
      <c r="AD265" s="451">
        <f t="shared" ref="AD265" si="242">$G265*J$85*IF(J$122="Комфорт",1,0)</f>
        <v>0</v>
      </c>
      <c r="AE265" s="451">
        <f t="shared" ref="AE265" si="243">$G265*K$85*IF(K$122="Комфорт",1,0)</f>
        <v>0</v>
      </c>
      <c r="AF265" s="451">
        <f t="shared" ref="AF265" si="244">$G265*L$85*IF(L$122="Комфорт",1,0)</f>
        <v>0</v>
      </c>
      <c r="AG265" s="451">
        <f t="shared" ref="AG265" si="245">$G265*M$85*IF(M$122="Комфорт",1,0)</f>
        <v>0</v>
      </c>
      <c r="AH265" s="451">
        <f t="shared" ref="AH265" si="246">$G265*N$85*IF(N$122="Комфорт",1,0)</f>
        <v>0</v>
      </c>
      <c r="AI265" s="451">
        <f t="shared" ref="AI265" si="247">$G265*O$85*IF(O$122="Комфорт",1,0)</f>
        <v>0</v>
      </c>
      <c r="AJ265" s="451">
        <f t="shared" ref="AJ265" si="248">$G265*P$85*IF(P$122="Комфорт",1,0)</f>
        <v>0</v>
      </c>
      <c r="AK265" s="451">
        <f t="shared" ref="AK265" si="249">$G265*Q$85*IF(Q$122="Комфорт",1,0)</f>
        <v>0</v>
      </c>
      <c r="AL265" s="451">
        <f t="shared" ref="AL265" si="250">$G265*R$85*IF(R$122="Комфорт",1,0)</f>
        <v>0</v>
      </c>
    </row>
    <row r="266" spans="1:38" outlineLevel="2">
      <c r="A266" s="15"/>
      <c r="B266" s="718"/>
      <c r="C266" s="747"/>
      <c r="D266" s="113" t="s">
        <v>42</v>
      </c>
      <c r="E266" s="727"/>
      <c r="F266" s="92">
        <f>17693.1007613862*1.01</f>
        <v>17870.031769000059</v>
      </c>
      <c r="G266" s="238"/>
      <c r="H266" s="702"/>
      <c r="I266" s="135"/>
      <c r="J266" s="161"/>
      <c r="K266" s="250"/>
      <c r="L266" s="250"/>
      <c r="M266" s="289">
        <f t="shared" ref="M266" si="251">($F266+$G266*курс)*H$85*IF(H$122="Бизнес",1,0)</f>
        <v>0</v>
      </c>
      <c r="N266" s="289">
        <f t="shared" ref="N266" si="252">($F266+$G266*курс)*I$85*IF(I$122="Бизнес",1,0)</f>
        <v>0</v>
      </c>
      <c r="O266" s="289">
        <f t="shared" ref="O266" si="253">($F266+$G266*курс)*J$85*IF(J$122="Бизнес",1,0)</f>
        <v>0</v>
      </c>
      <c r="P266" s="289">
        <f t="shared" ref="P266" si="254">($F266+$G266*курс)*K$85*IF(K$122="Бизнес",1,0)</f>
        <v>0</v>
      </c>
      <c r="Q266" s="289">
        <f t="shared" ref="Q266" si="255">($F266+$G266*курс)*L$85*IF(L$122="Бизнес",1,0)</f>
        <v>0</v>
      </c>
      <c r="R266" s="289">
        <f t="shared" ref="R266" si="256">($F266+$G266*курс)*M$85*IF(M$122="Бизнес",1,0)</f>
        <v>0</v>
      </c>
      <c r="S266" s="289">
        <f t="shared" ref="S266" si="257">($F266+$G266*курс)*N$85*IF(N$122="Бизнес",1,0)</f>
        <v>0</v>
      </c>
      <c r="T266" s="289">
        <f t="shared" ref="T266" si="258">($F266+$G266*курс)*O$85*IF(O$122="Бизнес",1,0)</f>
        <v>0</v>
      </c>
      <c r="U266" s="289">
        <f t="shared" ref="U266" si="259">($F266+$G266*курс)*P$85*IF(P$122="Бизнес",1,0)</f>
        <v>0</v>
      </c>
      <c r="V266" s="289">
        <f t="shared" ref="V266" si="260">($F266+$G266*курс)*Q$85*IF(Q$122="Бизнес",1,0)</f>
        <v>0</v>
      </c>
      <c r="W266" s="289">
        <f t="shared" ref="W266" si="261">($F266+$G266*курс)*R$85*IF(R$122="Бизнес",1,0)</f>
        <v>0</v>
      </c>
      <c r="AB266" s="289">
        <f t="shared" ref="AB266" si="262">$G266*H$85*IF(H$122="Бизнес",1,0)</f>
        <v>0</v>
      </c>
      <c r="AC266" s="289">
        <f t="shared" ref="AC266" si="263">$G266*I$85*IF(I$122="Бизнес",1,0)</f>
        <v>0</v>
      </c>
      <c r="AD266" s="289">
        <f t="shared" ref="AD266" si="264">$G266*J$85*IF(J$122="Бизнес",1,0)</f>
        <v>0</v>
      </c>
      <c r="AE266" s="289">
        <f t="shared" ref="AE266" si="265">$G266*K$85*IF(K$122="Бизнес",1,0)</f>
        <v>0</v>
      </c>
      <c r="AF266" s="289">
        <f t="shared" ref="AF266" si="266">$G266*L$85*IF(L$122="Бизнес",1,0)</f>
        <v>0</v>
      </c>
      <c r="AG266" s="289">
        <f t="shared" ref="AG266" si="267">$G266*M$85*IF(M$122="Бизнес",1,0)</f>
        <v>0</v>
      </c>
      <c r="AH266" s="289">
        <f t="shared" ref="AH266" si="268">$G266*N$85*IF(N$122="Бизнес",1,0)</f>
        <v>0</v>
      </c>
      <c r="AI266" s="289">
        <f t="shared" ref="AI266" si="269">$G266*O$85*IF(O$122="Бизнес",1,0)</f>
        <v>0</v>
      </c>
      <c r="AJ266" s="289">
        <f t="shared" ref="AJ266" si="270">$G266*P$85*IF(P$122="Бизнес",1,0)</f>
        <v>0</v>
      </c>
      <c r="AK266" s="289">
        <f t="shared" ref="AK266" si="271">$G266*Q$85*IF(Q$122="Бизнес",1,0)</f>
        <v>0</v>
      </c>
      <c r="AL266" s="289">
        <f t="shared" ref="AL266" si="272">$G266*R$85*IF(R$122="Бизнес",1,0)</f>
        <v>0</v>
      </c>
    </row>
    <row r="267" spans="1:38" outlineLevel="2">
      <c r="A267" s="15"/>
      <c r="B267" s="718"/>
      <c r="C267" s="747"/>
      <c r="D267" s="113" t="s">
        <v>43</v>
      </c>
      <c r="E267" s="727"/>
      <c r="F267" s="92">
        <f>26704.1602452421*1.01</f>
        <v>26971.20184769452</v>
      </c>
      <c r="G267" s="238"/>
      <c r="H267" s="702"/>
      <c r="I267" s="135"/>
      <c r="J267" s="161"/>
      <c r="K267" s="250"/>
      <c r="L267" s="250"/>
      <c r="M267" s="289">
        <f t="shared" ref="M267" si="273">($F267+$G267*курс)*H$85*IF(H$122="Бизнес+",1,0)</f>
        <v>0</v>
      </c>
      <c r="N267" s="289">
        <f t="shared" ref="N267" si="274">($F267+$G267*курс)*I$85*IF(I$122="Бизнес+",1,0)</f>
        <v>0</v>
      </c>
      <c r="O267" s="289">
        <f t="shared" ref="O267" si="275">($F267+$G267*курс)*J$85*IF(J$122="Бизнес+",1,0)</f>
        <v>0</v>
      </c>
      <c r="P267" s="289">
        <f t="shared" ref="P267" si="276">($F267+$G267*курс)*K$85*IF(K$122="Бизнес+",1,0)</f>
        <v>0</v>
      </c>
      <c r="Q267" s="289">
        <f t="shared" ref="Q267" si="277">($F267+$G267*курс)*L$85*IF(L$122="Бизнес+",1,0)</f>
        <v>0</v>
      </c>
      <c r="R267" s="289">
        <f t="shared" ref="R267" si="278">($F267+$G267*курс)*M$85*IF(M$122="Бизнес+",1,0)</f>
        <v>0</v>
      </c>
      <c r="S267" s="289">
        <f t="shared" ref="S267" si="279">($F267+$G267*курс)*N$85*IF(N$122="Бизнес+",1,0)</f>
        <v>0</v>
      </c>
      <c r="T267" s="289">
        <f t="shared" ref="T267" si="280">($F267+$G267*курс)*O$85*IF(O$122="Бизнес+",1,0)</f>
        <v>0</v>
      </c>
      <c r="U267" s="289">
        <f t="shared" ref="U267" si="281">($F267+$G267*курс)*P$85*IF(P$122="Бизнес+",1,0)</f>
        <v>0</v>
      </c>
      <c r="V267" s="289">
        <f t="shared" ref="V267" si="282">($F267+$G267*курс)*Q$85*IF(Q$122="Бизнес+",1,0)</f>
        <v>0</v>
      </c>
      <c r="W267" s="289">
        <f t="shared" ref="W267" si="283">($F267+$G267*курс)*R$85*IF(R$122="Бизнес+",1,0)</f>
        <v>0</v>
      </c>
      <c r="AB267" s="289">
        <f t="shared" ref="AB267" si="284">$G267*H$85*IF(H$122="Бизнес+",1,0)</f>
        <v>0</v>
      </c>
      <c r="AC267" s="289">
        <f t="shared" ref="AC267" si="285">$G267*I$85*IF(I$122="Бизнес+",1,0)</f>
        <v>0</v>
      </c>
      <c r="AD267" s="289">
        <f t="shared" ref="AD267" si="286">$G267*J$85*IF(J$122="Бизнес+",1,0)</f>
        <v>0</v>
      </c>
      <c r="AE267" s="289">
        <f t="shared" ref="AE267" si="287">$G267*K$85*IF(K$122="Бизнес+",1,0)</f>
        <v>0</v>
      </c>
      <c r="AF267" s="289">
        <f t="shared" ref="AF267" si="288">$G267*L$85*IF(L$122="Бизнес+",1,0)</f>
        <v>0</v>
      </c>
      <c r="AG267" s="289">
        <f t="shared" ref="AG267" si="289">$G267*M$85*IF(M$122="Бизнес+",1,0)</f>
        <v>0</v>
      </c>
      <c r="AH267" s="289">
        <f t="shared" ref="AH267" si="290">$G267*N$85*IF(N$122="Бизнес+",1,0)</f>
        <v>0</v>
      </c>
      <c r="AI267" s="289">
        <f t="shared" ref="AI267" si="291">$G267*O$85*IF(O$122="Бизнес+",1,0)</f>
        <v>0</v>
      </c>
      <c r="AJ267" s="289">
        <f t="shared" ref="AJ267" si="292">$G267*P$85*IF(P$122="Бизнес+",1,0)</f>
        <v>0</v>
      </c>
      <c r="AK267" s="289">
        <f t="shared" ref="AK267" si="293">$G267*Q$85*IF(Q$122="Бизнес+",1,0)</f>
        <v>0</v>
      </c>
      <c r="AL267" s="289">
        <f t="shared" ref="AL267" si="294">$G267*R$85*IF(R$122="Бизнес+",1,0)</f>
        <v>0</v>
      </c>
    </row>
    <row r="268" spans="1:38" outlineLevel="2">
      <c r="A268" s="15"/>
      <c r="B268" s="718"/>
      <c r="C268" s="747"/>
      <c r="D268" s="298" t="s">
        <v>44</v>
      </c>
      <c r="E268" s="727"/>
      <c r="F268" s="158">
        <f>26905.4074284283*1.01</f>
        <v>27174.461502712584</v>
      </c>
      <c r="G268" s="158">
        <f>83.4037575285508*1.01</f>
        <v>84.237795103836305</v>
      </c>
      <c r="H268" s="702"/>
      <c r="I268" s="135"/>
      <c r="J268" s="161"/>
      <c r="K268" s="250"/>
      <c r="L268" s="250"/>
      <c r="M268" s="289">
        <f t="shared" ref="M268" si="295">($F268+$G268*курс)*H$85*IF(H$122="Премиум",1,0)</f>
        <v>0</v>
      </c>
      <c r="N268" s="289">
        <f t="shared" ref="N268" si="296">($F268+$G268*курс)*I$85*IF(I$122="Премиум",1,0)</f>
        <v>0</v>
      </c>
      <c r="O268" s="289">
        <f t="shared" ref="O268" si="297">($F268+$G268*курс)*J$85*IF(J$122="Премиум",1,0)</f>
        <v>0</v>
      </c>
      <c r="P268" s="289">
        <f t="shared" ref="P268" si="298">($F268+$G268*курс)*K$85*IF(K$122="Премиум",1,0)</f>
        <v>0</v>
      </c>
      <c r="Q268" s="289">
        <f t="shared" ref="Q268" si="299">($F268+$G268*курс)*L$85*IF(L$122="Премиум",1,0)</f>
        <v>0</v>
      </c>
      <c r="R268" s="289">
        <f t="shared" ref="R268" si="300">($F268+$G268*курс)*M$85*IF(M$122="Премиум",1,0)</f>
        <v>0</v>
      </c>
      <c r="S268" s="289">
        <f t="shared" ref="S268" si="301">($F268+$G268*курс)*N$85*IF(N$122="Премиум",1,0)</f>
        <v>0</v>
      </c>
      <c r="T268" s="289">
        <f t="shared" ref="T268" si="302">($F268+$G268*курс)*O$85*IF(O$122="Премиум",1,0)</f>
        <v>0</v>
      </c>
      <c r="U268" s="289">
        <f t="shared" ref="U268" si="303">($F268+$G268*курс)*P$85*IF(P$122="Премиум",1,0)</f>
        <v>0</v>
      </c>
      <c r="V268" s="289">
        <f t="shared" ref="V268" si="304">($F268+$G268*курс)*Q$85*IF(Q$122="Премиум",1,0)</f>
        <v>0</v>
      </c>
      <c r="W268" s="289">
        <f t="shared" ref="W268" si="305">($F268+$G268*курс)*R$85*IF(R$122="Премиум",1,0)</f>
        <v>0</v>
      </c>
      <c r="AB268" s="289">
        <f t="shared" ref="AB268" si="306">$G268*H$85*IF(H$122="Премиум",1,0)</f>
        <v>0</v>
      </c>
      <c r="AC268" s="289">
        <f t="shared" ref="AC268" si="307">$G268*I$85*IF(I$122="Премиум",1,0)</f>
        <v>0</v>
      </c>
      <c r="AD268" s="289">
        <f t="shared" ref="AD268" si="308">$G268*J$85*IF(J$122="Премиум",1,0)</f>
        <v>0</v>
      </c>
      <c r="AE268" s="289">
        <f t="shared" ref="AE268" si="309">$G268*K$85*IF(K$122="Премиум",1,0)</f>
        <v>0</v>
      </c>
      <c r="AF268" s="289">
        <f t="shared" ref="AF268" si="310">$G268*L$85*IF(L$122="Премиум",1,0)</f>
        <v>0</v>
      </c>
      <c r="AG268" s="289">
        <f t="shared" ref="AG268" si="311">$G268*M$85*IF(M$122="Премиум",1,0)</f>
        <v>0</v>
      </c>
      <c r="AH268" s="289">
        <f t="shared" ref="AH268" si="312">$G268*N$85*IF(N$122="Премиум",1,0)</f>
        <v>0</v>
      </c>
      <c r="AI268" s="289">
        <f t="shared" ref="AI268" si="313">$G268*O$85*IF(O$122="Премиум",1,0)</f>
        <v>0</v>
      </c>
      <c r="AJ268" s="289">
        <f t="shared" ref="AJ268" si="314">$G268*P$85*IF(P$122="Премиум",1,0)</f>
        <v>0</v>
      </c>
      <c r="AK268" s="289">
        <f t="shared" ref="AK268" si="315">$G268*Q$85*IF(Q$122="Премиум",1,0)</f>
        <v>0</v>
      </c>
      <c r="AL268" s="289">
        <f t="shared" ref="AL268" si="316">$G268*R$85*IF(R$122="Премиум",1,0)</f>
        <v>0</v>
      </c>
    </row>
    <row r="269" spans="1:38" outlineLevel="2">
      <c r="A269" s="15"/>
      <c r="B269" s="718"/>
      <c r="C269" s="747"/>
      <c r="D269" s="298" t="s">
        <v>45</v>
      </c>
      <c r="E269" s="942"/>
      <c r="F269" s="158">
        <f>18452.8463127698*1.01</f>
        <v>18637.374775897501</v>
      </c>
      <c r="G269" s="158">
        <f>351.331380899199*1.01</f>
        <v>354.84469470819101</v>
      </c>
      <c r="H269" s="702"/>
      <c r="I269" s="135"/>
      <c r="J269" s="161"/>
      <c r="K269" s="250"/>
      <c r="L269" s="250"/>
      <c r="M269" s="290">
        <f t="shared" ref="M269" si="317">($F269+$G269*курс)*H$85*IF(H$122="Элит",1,0)</f>
        <v>0</v>
      </c>
      <c r="N269" s="290">
        <f t="shared" ref="N269" si="318">($F269+$G269*курс)*I$85*IF(I$122="Элит",1,0)</f>
        <v>0</v>
      </c>
      <c r="O269" s="290">
        <f t="shared" ref="O269" si="319">($F269+$G269*курс)*J$85*IF(J$122="Элит",1,0)</f>
        <v>0</v>
      </c>
      <c r="P269" s="290">
        <f t="shared" ref="P269" si="320">($F269+$G269*курс)*K$85*IF(K$122="Элит",1,0)</f>
        <v>0</v>
      </c>
      <c r="Q269" s="290">
        <f t="shared" ref="Q269" si="321">($F269+$G269*курс)*L$85*IF(L$122="Элит",1,0)</f>
        <v>0</v>
      </c>
      <c r="R269" s="290">
        <f t="shared" ref="R269" si="322">($F269+$G269*курс)*M$85*IF(M$122="Элит",1,0)</f>
        <v>0</v>
      </c>
      <c r="S269" s="290">
        <f t="shared" ref="S269" si="323">($F269+$G269*курс)*N$85*IF(N$122="Элит",1,0)</f>
        <v>0</v>
      </c>
      <c r="T269" s="290">
        <f t="shared" ref="T269" si="324">($F269+$G269*курс)*O$85*IF(O$122="Элит",1,0)</f>
        <v>0</v>
      </c>
      <c r="U269" s="290">
        <f t="shared" ref="U269" si="325">($F269+$G269*курс)*P$85*IF(P$122="Элит",1,0)</f>
        <v>0</v>
      </c>
      <c r="V269" s="290">
        <f t="shared" ref="V269" si="326">($F269+$G269*курс)*Q$85*IF(Q$122="Элит",1,0)</f>
        <v>0</v>
      </c>
      <c r="W269" s="290">
        <f t="shared" ref="W269" si="327">($F269+$G269*курс)*R$85*IF(R$122="Элит",1,0)</f>
        <v>0</v>
      </c>
      <c r="AB269" s="290">
        <f t="shared" ref="AB269" si="328">$G269*H$85*IF(H$122="Элит",1,0)</f>
        <v>0</v>
      </c>
      <c r="AC269" s="290">
        <f t="shared" ref="AC269" si="329">$G269*I$85*IF(I$122="Элит",1,0)</f>
        <v>0</v>
      </c>
      <c r="AD269" s="290">
        <f t="shared" ref="AD269" si="330">$G269*J$85*IF(J$122="Элит",1,0)</f>
        <v>0</v>
      </c>
      <c r="AE269" s="290">
        <f t="shared" ref="AE269" si="331">$G269*K$85*IF(K$122="Элит",1,0)</f>
        <v>0</v>
      </c>
      <c r="AF269" s="290">
        <f t="shared" ref="AF269" si="332">$G269*L$85*IF(L$122="Элит",1,0)</f>
        <v>0</v>
      </c>
      <c r="AG269" s="290">
        <f t="shared" ref="AG269" si="333">$G269*M$85*IF(M$122="Элит",1,0)</f>
        <v>0</v>
      </c>
      <c r="AH269" s="290">
        <f t="shared" ref="AH269" si="334">$G269*N$85*IF(N$122="Элит",1,0)</f>
        <v>0</v>
      </c>
      <c r="AI269" s="290">
        <f t="shared" ref="AI269" si="335">$G269*O$85*IF(O$122="Элит",1,0)</f>
        <v>0</v>
      </c>
      <c r="AJ269" s="290">
        <f t="shared" ref="AJ269" si="336">$G269*P$85*IF(P$122="Элит",1,0)</f>
        <v>0</v>
      </c>
      <c r="AK269" s="290">
        <f t="shared" ref="AK269" si="337">$G269*Q$85*IF(Q$122="Элит",1,0)</f>
        <v>0</v>
      </c>
      <c r="AL269" s="290">
        <f t="shared" ref="AL269" si="338">$G269*R$85*IF(R$122="Элит",1,0)</f>
        <v>0</v>
      </c>
    </row>
    <row r="270" spans="1:38" ht="15.75" customHeight="1" outlineLevel="2">
      <c r="A270" s="15"/>
      <c r="B270" s="718"/>
      <c r="C270" s="981" t="s">
        <v>868</v>
      </c>
      <c r="D270" s="982"/>
      <c r="E270" s="112" t="s">
        <v>32</v>
      </c>
      <c r="F270" s="94">
        <f>1402.60170647149*1.01</f>
        <v>1416.6277235362049</v>
      </c>
      <c r="G270" s="240"/>
      <c r="H270" s="702"/>
      <c r="I270" s="135"/>
      <c r="J270" s="161"/>
      <c r="K270" s="250"/>
      <c r="L270" s="250"/>
      <c r="M270" s="451">
        <f t="shared" ref="M270" si="339">($F270+$G270*курс)*H$85*IF(H$122="Комфорт",1,0)</f>
        <v>0</v>
      </c>
      <c r="N270" s="451">
        <f t="shared" ref="N270" si="340">($F270+$G270*курс)*I$85*IF(I$122="Комфорт",1,0)</f>
        <v>0</v>
      </c>
      <c r="O270" s="451">
        <f t="shared" ref="O270" si="341">($F270+$G270*курс)*J$85*IF(J$122="Комфорт",1,0)</f>
        <v>0</v>
      </c>
      <c r="P270" s="451">
        <f t="shared" ref="P270" si="342">($F270+$G270*курс)*K$85*IF(K$122="Комфорт",1,0)</f>
        <v>0</v>
      </c>
      <c r="Q270" s="451">
        <f t="shared" ref="Q270" si="343">($F270+$G270*курс)*L$85*IF(L$122="Комфорт",1,0)</f>
        <v>0</v>
      </c>
      <c r="R270" s="451">
        <f t="shared" ref="R270" si="344">($F270+$G270*курс)*M$85*IF(M$122="Комфорт",1,0)</f>
        <v>0</v>
      </c>
      <c r="S270" s="451">
        <f t="shared" ref="S270" si="345">($F270+$G270*курс)*N$85*IF(N$122="Комфорт",1,0)</f>
        <v>0</v>
      </c>
      <c r="T270" s="451">
        <f t="shared" ref="T270" si="346">($F270+$G270*курс)*O$85*IF(O$122="Комфорт",1,0)</f>
        <v>0</v>
      </c>
      <c r="U270" s="451">
        <f t="shared" ref="U270" si="347">($F270+$G270*курс)*P$85*IF(P$122="Комфорт",1,0)</f>
        <v>0</v>
      </c>
      <c r="V270" s="451">
        <f t="shared" ref="V270" si="348">($F270+$G270*курс)*Q$85*IF(Q$122="Комфорт",1,0)</f>
        <v>0</v>
      </c>
      <c r="W270" s="451">
        <f t="shared" ref="W270" si="349">($F270+$G270*курс)*R$85*IF(R$122="Комфорт",1,0)</f>
        <v>0</v>
      </c>
      <c r="AB270" s="451">
        <f t="shared" ref="AB270" si="350">$G270*H$85*IF(H$122="Комфорт",1,0)</f>
        <v>0</v>
      </c>
      <c r="AC270" s="451">
        <f t="shared" ref="AC270" si="351">$G270*I$85*IF(I$122="Комфорт",1,0)</f>
        <v>0</v>
      </c>
      <c r="AD270" s="451">
        <f t="shared" ref="AD270" si="352">$G270*J$85*IF(J$122="Комфорт",1,0)</f>
        <v>0</v>
      </c>
      <c r="AE270" s="451">
        <f t="shared" ref="AE270" si="353">$G270*K$85*IF(K$122="Комфорт",1,0)</f>
        <v>0</v>
      </c>
      <c r="AF270" s="451">
        <f t="shared" ref="AF270" si="354">$G270*L$85*IF(L$122="Комфорт",1,0)</f>
        <v>0</v>
      </c>
      <c r="AG270" s="451">
        <f t="shared" ref="AG270" si="355">$G270*M$85*IF(M$122="Комфорт",1,0)</f>
        <v>0</v>
      </c>
      <c r="AH270" s="451">
        <f t="shared" ref="AH270" si="356">$G270*N$85*IF(N$122="Комфорт",1,0)</f>
        <v>0</v>
      </c>
      <c r="AI270" s="451">
        <f t="shared" ref="AI270" si="357">$G270*O$85*IF(O$122="Комфорт",1,0)</f>
        <v>0</v>
      </c>
      <c r="AJ270" s="451">
        <f t="shared" ref="AJ270" si="358">$G270*P$85*IF(P$122="Комфорт",1,0)</f>
        <v>0</v>
      </c>
      <c r="AK270" s="451">
        <f t="shared" ref="AK270" si="359">$G270*Q$85*IF(Q$122="Комфорт",1,0)</f>
        <v>0</v>
      </c>
      <c r="AL270" s="451">
        <f t="shared" ref="AL270" si="360">$G270*R$85*IF(R$122="Комфорт",1,0)</f>
        <v>0</v>
      </c>
    </row>
    <row r="271" spans="1:38" outlineLevel="2">
      <c r="A271" s="15"/>
      <c r="B271" s="718"/>
      <c r="C271" s="983"/>
      <c r="D271" s="943"/>
      <c r="E271" s="113" t="s">
        <v>42</v>
      </c>
      <c r="F271" s="92">
        <f>2614.72898750988*1.01</f>
        <v>2640.8762773849789</v>
      </c>
      <c r="G271" s="238"/>
      <c r="H271" s="702"/>
      <c r="I271" s="135"/>
      <c r="J271" s="161"/>
      <c r="K271" s="250"/>
      <c r="L271" s="250"/>
      <c r="M271" s="289">
        <f t="shared" ref="M271" si="361">($F271+$G271*курс)*H$85*IF(H$122="Бизнес",1,0)</f>
        <v>0</v>
      </c>
      <c r="N271" s="289">
        <f t="shared" ref="N271" si="362">($F271+$G271*курс)*I$85*IF(I$122="Бизнес",1,0)</f>
        <v>0</v>
      </c>
      <c r="O271" s="289">
        <f t="shared" ref="O271" si="363">($F271+$G271*курс)*J$85*IF(J$122="Бизнес",1,0)</f>
        <v>0</v>
      </c>
      <c r="P271" s="289">
        <f t="shared" ref="P271" si="364">($F271+$G271*курс)*K$85*IF(K$122="Бизнес",1,0)</f>
        <v>0</v>
      </c>
      <c r="Q271" s="289">
        <f t="shared" ref="Q271" si="365">($F271+$G271*курс)*L$85*IF(L$122="Бизнес",1,0)</f>
        <v>0</v>
      </c>
      <c r="R271" s="289">
        <f t="shared" ref="R271" si="366">($F271+$G271*курс)*M$85*IF(M$122="Бизнес",1,0)</f>
        <v>0</v>
      </c>
      <c r="S271" s="289">
        <f t="shared" ref="S271" si="367">($F271+$G271*курс)*N$85*IF(N$122="Бизнес",1,0)</f>
        <v>0</v>
      </c>
      <c r="T271" s="289">
        <f t="shared" ref="T271" si="368">($F271+$G271*курс)*O$85*IF(O$122="Бизнес",1,0)</f>
        <v>0</v>
      </c>
      <c r="U271" s="289">
        <f t="shared" ref="U271" si="369">($F271+$G271*курс)*P$85*IF(P$122="Бизнес",1,0)</f>
        <v>0</v>
      </c>
      <c r="V271" s="289">
        <f t="shared" ref="V271" si="370">($F271+$G271*курс)*Q$85*IF(Q$122="Бизнес",1,0)</f>
        <v>0</v>
      </c>
      <c r="W271" s="289">
        <f t="shared" ref="W271" si="371">($F271+$G271*курс)*R$85*IF(R$122="Бизнес",1,0)</f>
        <v>0</v>
      </c>
      <c r="AB271" s="289">
        <f t="shared" ref="AB271" si="372">$G271*H$85*IF(H$122="Бизнес",1,0)</f>
        <v>0</v>
      </c>
      <c r="AC271" s="289">
        <f t="shared" ref="AC271" si="373">$G271*I$85*IF(I$122="Бизнес",1,0)</f>
        <v>0</v>
      </c>
      <c r="AD271" s="289">
        <f t="shared" ref="AD271" si="374">$G271*J$85*IF(J$122="Бизнес",1,0)</f>
        <v>0</v>
      </c>
      <c r="AE271" s="289">
        <f t="shared" ref="AE271" si="375">$G271*K$85*IF(K$122="Бизнес",1,0)</f>
        <v>0</v>
      </c>
      <c r="AF271" s="289">
        <f t="shared" ref="AF271" si="376">$G271*L$85*IF(L$122="Бизнес",1,0)</f>
        <v>0</v>
      </c>
      <c r="AG271" s="289">
        <f t="shared" ref="AG271" si="377">$G271*M$85*IF(M$122="Бизнес",1,0)</f>
        <v>0</v>
      </c>
      <c r="AH271" s="289">
        <f t="shared" ref="AH271" si="378">$G271*N$85*IF(N$122="Бизнес",1,0)</f>
        <v>0</v>
      </c>
      <c r="AI271" s="289">
        <f t="shared" ref="AI271" si="379">$G271*O$85*IF(O$122="Бизнес",1,0)</f>
        <v>0</v>
      </c>
      <c r="AJ271" s="289">
        <f t="shared" ref="AJ271" si="380">$G271*P$85*IF(P$122="Бизнес",1,0)</f>
        <v>0</v>
      </c>
      <c r="AK271" s="289">
        <f t="shared" ref="AK271" si="381">$G271*Q$85*IF(Q$122="Бизнес",1,0)</f>
        <v>0</v>
      </c>
      <c r="AL271" s="289">
        <f t="shared" ref="AL271" si="382">$G271*R$85*IF(R$122="Бизнес",1,0)</f>
        <v>0</v>
      </c>
    </row>
    <row r="272" spans="1:38" outlineLevel="2">
      <c r="A272" s="15"/>
      <c r="B272" s="718"/>
      <c r="C272" s="983"/>
      <c r="D272" s="943"/>
      <c r="E272" s="113" t="s">
        <v>43</v>
      </c>
      <c r="F272" s="92">
        <f>7088.2751055591*1.01</f>
        <v>7159.1578566146909</v>
      </c>
      <c r="G272" s="238"/>
      <c r="H272" s="702"/>
      <c r="I272" s="135"/>
      <c r="J272" s="161"/>
      <c r="K272" s="250"/>
      <c r="L272" s="250"/>
      <c r="M272" s="289">
        <f t="shared" ref="M272" si="383">($F272+$G272*курс)*H$85*IF(H$122="Бизнес+",1,0)</f>
        <v>0</v>
      </c>
      <c r="N272" s="289">
        <f t="shared" ref="N272" si="384">($F272+$G272*курс)*I$85*IF(I$122="Бизнес+",1,0)</f>
        <v>0</v>
      </c>
      <c r="O272" s="289">
        <f t="shared" ref="O272" si="385">($F272+$G272*курс)*J$85*IF(J$122="Бизнес+",1,0)</f>
        <v>0</v>
      </c>
      <c r="P272" s="289">
        <f t="shared" ref="P272" si="386">($F272+$G272*курс)*K$85*IF(K$122="Бизнес+",1,0)</f>
        <v>0</v>
      </c>
      <c r="Q272" s="289">
        <f t="shared" ref="Q272" si="387">($F272+$G272*курс)*L$85*IF(L$122="Бизнес+",1,0)</f>
        <v>0</v>
      </c>
      <c r="R272" s="289">
        <f t="shared" ref="R272" si="388">($F272+$G272*курс)*M$85*IF(M$122="Бизнес+",1,0)</f>
        <v>0</v>
      </c>
      <c r="S272" s="289">
        <f t="shared" ref="S272" si="389">($F272+$G272*курс)*N$85*IF(N$122="Бизнес+",1,0)</f>
        <v>0</v>
      </c>
      <c r="T272" s="289">
        <f t="shared" ref="T272" si="390">($F272+$G272*курс)*O$85*IF(O$122="Бизнес+",1,0)</f>
        <v>0</v>
      </c>
      <c r="U272" s="289">
        <f t="shared" ref="U272" si="391">($F272+$G272*курс)*P$85*IF(P$122="Бизнес+",1,0)</f>
        <v>0</v>
      </c>
      <c r="V272" s="289">
        <f t="shared" ref="V272" si="392">($F272+$G272*курс)*Q$85*IF(Q$122="Бизнес+",1,0)</f>
        <v>0</v>
      </c>
      <c r="W272" s="289">
        <f t="shared" ref="W272" si="393">($F272+$G272*курс)*R$85*IF(R$122="Бизнес+",1,0)</f>
        <v>0</v>
      </c>
      <c r="AB272" s="289">
        <f t="shared" ref="AB272" si="394">$G272*H$85*IF(H$122="Бизнес+",1,0)</f>
        <v>0</v>
      </c>
      <c r="AC272" s="289">
        <f t="shared" ref="AC272" si="395">$G272*I$85*IF(I$122="Бизнес+",1,0)</f>
        <v>0</v>
      </c>
      <c r="AD272" s="289">
        <f t="shared" ref="AD272" si="396">$G272*J$85*IF(J$122="Бизнес+",1,0)</f>
        <v>0</v>
      </c>
      <c r="AE272" s="289">
        <f t="shared" ref="AE272" si="397">$G272*K$85*IF(K$122="Бизнес+",1,0)</f>
        <v>0</v>
      </c>
      <c r="AF272" s="289">
        <f t="shared" ref="AF272" si="398">$G272*L$85*IF(L$122="Бизнес+",1,0)</f>
        <v>0</v>
      </c>
      <c r="AG272" s="289">
        <f t="shared" ref="AG272" si="399">$G272*M$85*IF(M$122="Бизнес+",1,0)</f>
        <v>0</v>
      </c>
      <c r="AH272" s="289">
        <f t="shared" ref="AH272" si="400">$G272*N$85*IF(N$122="Бизнес+",1,0)</f>
        <v>0</v>
      </c>
      <c r="AI272" s="289">
        <f t="shared" ref="AI272" si="401">$G272*O$85*IF(O$122="Бизнес+",1,0)</f>
        <v>0</v>
      </c>
      <c r="AJ272" s="289">
        <f t="shared" ref="AJ272" si="402">$G272*P$85*IF(P$122="Бизнес+",1,0)</f>
        <v>0</v>
      </c>
      <c r="AK272" s="289">
        <f t="shared" ref="AK272" si="403">$G272*Q$85*IF(Q$122="Бизнес+",1,0)</f>
        <v>0</v>
      </c>
      <c r="AL272" s="289">
        <f t="shared" ref="AL272" si="404">$G272*R$85*IF(R$122="Бизнес+",1,0)</f>
        <v>0</v>
      </c>
    </row>
    <row r="273" spans="1:38" outlineLevel="2">
      <c r="A273" s="15"/>
      <c r="B273" s="718"/>
      <c r="C273" s="983"/>
      <c r="D273" s="943"/>
      <c r="E273" s="298" t="s">
        <v>44</v>
      </c>
      <c r="F273" s="158">
        <f>8216.57749943219*1.01</f>
        <v>8298.7432744265116</v>
      </c>
      <c r="G273" s="247"/>
      <c r="H273" s="702"/>
      <c r="I273" s="135"/>
      <c r="J273" s="161"/>
      <c r="K273" s="250"/>
      <c r="L273" s="250"/>
      <c r="M273" s="289">
        <f t="shared" ref="M273" si="405">($F273+$G273*курс)*H$85*IF(H$122="Премиум",1,0)</f>
        <v>0</v>
      </c>
      <c r="N273" s="289">
        <f t="shared" ref="N273" si="406">($F273+$G273*курс)*I$85*IF(I$122="Премиум",1,0)</f>
        <v>0</v>
      </c>
      <c r="O273" s="289">
        <f t="shared" ref="O273" si="407">($F273+$G273*курс)*J$85*IF(J$122="Премиум",1,0)</f>
        <v>0</v>
      </c>
      <c r="P273" s="289">
        <f t="shared" ref="P273" si="408">($F273+$G273*курс)*K$85*IF(K$122="Премиум",1,0)</f>
        <v>0</v>
      </c>
      <c r="Q273" s="289">
        <f t="shared" ref="Q273" si="409">($F273+$G273*курс)*L$85*IF(L$122="Премиум",1,0)</f>
        <v>0</v>
      </c>
      <c r="R273" s="289">
        <f t="shared" ref="R273" si="410">($F273+$G273*курс)*M$85*IF(M$122="Премиум",1,0)</f>
        <v>0</v>
      </c>
      <c r="S273" s="289">
        <f t="shared" ref="S273" si="411">($F273+$G273*курс)*N$85*IF(N$122="Премиум",1,0)</f>
        <v>0</v>
      </c>
      <c r="T273" s="289">
        <f t="shared" ref="T273" si="412">($F273+$G273*курс)*O$85*IF(O$122="Премиум",1,0)</f>
        <v>0</v>
      </c>
      <c r="U273" s="289">
        <f t="shared" ref="U273" si="413">($F273+$G273*курс)*P$85*IF(P$122="Премиум",1,0)</f>
        <v>0</v>
      </c>
      <c r="V273" s="289">
        <f t="shared" ref="V273" si="414">($F273+$G273*курс)*Q$85*IF(Q$122="Премиум",1,0)</f>
        <v>0</v>
      </c>
      <c r="W273" s="289">
        <f t="shared" ref="W273" si="415">($F273+$G273*курс)*R$85*IF(R$122="Премиум",1,0)</f>
        <v>0</v>
      </c>
      <c r="AB273" s="289">
        <f t="shared" ref="AB273" si="416">$G273*H$85*IF(H$122="Премиум",1,0)</f>
        <v>0</v>
      </c>
      <c r="AC273" s="289">
        <f t="shared" ref="AC273" si="417">$G273*I$85*IF(I$122="Премиум",1,0)</f>
        <v>0</v>
      </c>
      <c r="AD273" s="289">
        <f t="shared" ref="AD273" si="418">$G273*J$85*IF(J$122="Премиум",1,0)</f>
        <v>0</v>
      </c>
      <c r="AE273" s="289">
        <f t="shared" ref="AE273" si="419">$G273*K$85*IF(K$122="Премиум",1,0)</f>
        <v>0</v>
      </c>
      <c r="AF273" s="289">
        <f t="shared" ref="AF273" si="420">$G273*L$85*IF(L$122="Премиум",1,0)</f>
        <v>0</v>
      </c>
      <c r="AG273" s="289">
        <f t="shared" ref="AG273" si="421">$G273*M$85*IF(M$122="Премиум",1,0)</f>
        <v>0</v>
      </c>
      <c r="AH273" s="289">
        <f t="shared" ref="AH273" si="422">$G273*N$85*IF(N$122="Премиум",1,0)</f>
        <v>0</v>
      </c>
      <c r="AI273" s="289">
        <f t="shared" ref="AI273" si="423">$G273*O$85*IF(O$122="Премиум",1,0)</f>
        <v>0</v>
      </c>
      <c r="AJ273" s="289">
        <f t="shared" ref="AJ273" si="424">$G273*P$85*IF(P$122="Премиум",1,0)</f>
        <v>0</v>
      </c>
      <c r="AK273" s="289">
        <f t="shared" ref="AK273" si="425">$G273*Q$85*IF(Q$122="Премиум",1,0)</f>
        <v>0</v>
      </c>
      <c r="AL273" s="289">
        <f t="shared" ref="AL273" si="426">$G273*R$85*IF(R$122="Премиум",1,0)</f>
        <v>0</v>
      </c>
    </row>
    <row r="274" spans="1:38" outlineLevel="2">
      <c r="A274" s="15"/>
      <c r="B274" s="718"/>
      <c r="C274" s="984"/>
      <c r="D274" s="944"/>
      <c r="E274" s="298" t="s">
        <v>45</v>
      </c>
      <c r="F274" s="158">
        <f>9344.87989330528*1.01</f>
        <v>9438.328692238334</v>
      </c>
      <c r="G274" s="247"/>
      <c r="H274" s="702"/>
      <c r="I274" s="135"/>
      <c r="J274" s="161"/>
      <c r="K274" s="250"/>
      <c r="L274" s="250"/>
      <c r="M274" s="290">
        <f t="shared" ref="M274" si="427">($F274+$G274*курс)*H$85*IF(H$122="Элит",1,0)</f>
        <v>0</v>
      </c>
      <c r="N274" s="290">
        <f t="shared" ref="N274" si="428">($F274+$G274*курс)*I$85*IF(I$122="Элит",1,0)</f>
        <v>0</v>
      </c>
      <c r="O274" s="290">
        <f t="shared" ref="O274" si="429">($F274+$G274*курс)*J$85*IF(J$122="Элит",1,0)</f>
        <v>0</v>
      </c>
      <c r="P274" s="290">
        <f t="shared" ref="P274" si="430">($F274+$G274*курс)*K$85*IF(K$122="Элит",1,0)</f>
        <v>0</v>
      </c>
      <c r="Q274" s="290">
        <f t="shared" ref="Q274" si="431">($F274+$G274*курс)*L$85*IF(L$122="Элит",1,0)</f>
        <v>0</v>
      </c>
      <c r="R274" s="290">
        <f t="shared" ref="R274" si="432">($F274+$G274*курс)*M$85*IF(M$122="Элит",1,0)</f>
        <v>0</v>
      </c>
      <c r="S274" s="290">
        <f t="shared" ref="S274" si="433">($F274+$G274*курс)*N$85*IF(N$122="Элит",1,0)</f>
        <v>0</v>
      </c>
      <c r="T274" s="290">
        <f t="shared" ref="T274" si="434">($F274+$G274*курс)*O$85*IF(O$122="Элит",1,0)</f>
        <v>0</v>
      </c>
      <c r="U274" s="290">
        <f t="shared" ref="U274" si="435">($F274+$G274*курс)*P$85*IF(P$122="Элит",1,0)</f>
        <v>0</v>
      </c>
      <c r="V274" s="290">
        <f t="shared" ref="V274" si="436">($F274+$G274*курс)*Q$85*IF(Q$122="Элит",1,0)</f>
        <v>0</v>
      </c>
      <c r="W274" s="290">
        <f t="shared" ref="W274" si="437">($F274+$G274*курс)*R$85*IF(R$122="Элит",1,0)</f>
        <v>0</v>
      </c>
      <c r="AB274" s="290">
        <f t="shared" ref="AB274" si="438">$G274*H$85*IF(H$122="Элит",1,0)</f>
        <v>0</v>
      </c>
      <c r="AC274" s="290">
        <f t="shared" ref="AC274" si="439">$G274*I$85*IF(I$122="Элит",1,0)</f>
        <v>0</v>
      </c>
      <c r="AD274" s="290">
        <f t="shared" ref="AD274" si="440">$G274*J$85*IF(J$122="Элит",1,0)</f>
        <v>0</v>
      </c>
      <c r="AE274" s="290">
        <f t="shared" ref="AE274" si="441">$G274*K$85*IF(K$122="Элит",1,0)</f>
        <v>0</v>
      </c>
      <c r="AF274" s="290">
        <f t="shared" ref="AF274" si="442">$G274*L$85*IF(L$122="Элит",1,0)</f>
        <v>0</v>
      </c>
      <c r="AG274" s="290">
        <f t="shared" ref="AG274" si="443">$G274*M$85*IF(M$122="Элит",1,0)</f>
        <v>0</v>
      </c>
      <c r="AH274" s="290">
        <f t="shared" ref="AH274" si="444">$G274*N$85*IF(N$122="Элит",1,0)</f>
        <v>0</v>
      </c>
      <c r="AI274" s="290">
        <f t="shared" ref="AI274" si="445">$G274*O$85*IF(O$122="Элит",1,0)</f>
        <v>0</v>
      </c>
      <c r="AJ274" s="290">
        <f t="shared" ref="AJ274" si="446">$G274*P$85*IF(P$122="Элит",1,0)</f>
        <v>0</v>
      </c>
      <c r="AK274" s="290">
        <f t="shared" ref="AK274" si="447">$G274*Q$85*IF(Q$122="Элит",1,0)</f>
        <v>0</v>
      </c>
      <c r="AL274" s="290">
        <f t="shared" ref="AL274" si="448">$G274*R$85*IF(R$122="Элит",1,0)</f>
        <v>0</v>
      </c>
    </row>
    <row r="275" spans="1:38" ht="15.75" customHeight="1" outlineLevel="2">
      <c r="A275" s="15"/>
      <c r="B275" s="718"/>
      <c r="C275" s="981" t="s">
        <v>869</v>
      </c>
      <c r="D275" s="982"/>
      <c r="E275" s="112" t="s">
        <v>32</v>
      </c>
      <c r="F275" s="94">
        <f>4935.22968489985*1.01</f>
        <v>4984.5819817488491</v>
      </c>
      <c r="G275" s="240"/>
      <c r="H275" s="702"/>
      <c r="I275" s="135"/>
      <c r="J275" s="161"/>
      <c r="K275" s="250"/>
      <c r="L275" s="250"/>
      <c r="M275" s="451">
        <f t="shared" ref="M275" si="449">($F275+$G275*курс)*H$85*IF(H$122="Комфорт",1,0)</f>
        <v>0</v>
      </c>
      <c r="N275" s="451">
        <f t="shared" ref="N275" si="450">($F275+$G275*курс)*I$85*IF(I$122="Комфорт",1,0)</f>
        <v>0</v>
      </c>
      <c r="O275" s="451">
        <f t="shared" ref="O275" si="451">($F275+$G275*курс)*J$85*IF(J$122="Комфорт",1,0)</f>
        <v>0</v>
      </c>
      <c r="P275" s="451">
        <f t="shared" ref="P275" si="452">($F275+$G275*курс)*K$85*IF(K$122="Комфорт",1,0)</f>
        <v>0</v>
      </c>
      <c r="Q275" s="451">
        <f t="shared" ref="Q275" si="453">($F275+$G275*курс)*L$85*IF(L$122="Комфорт",1,0)</f>
        <v>0</v>
      </c>
      <c r="R275" s="451">
        <f t="shared" ref="R275" si="454">($F275+$G275*курс)*M$85*IF(M$122="Комфорт",1,0)</f>
        <v>0</v>
      </c>
      <c r="S275" s="451">
        <f t="shared" ref="S275" si="455">($F275+$G275*курс)*N$85*IF(N$122="Комфорт",1,0)</f>
        <v>0</v>
      </c>
      <c r="T275" s="451">
        <f t="shared" ref="T275" si="456">($F275+$G275*курс)*O$85*IF(O$122="Комфорт",1,0)</f>
        <v>0</v>
      </c>
      <c r="U275" s="451">
        <f t="shared" ref="U275" si="457">($F275+$G275*курс)*P$85*IF(P$122="Комфорт",1,0)</f>
        <v>0</v>
      </c>
      <c r="V275" s="451">
        <f t="shared" ref="V275" si="458">($F275+$G275*курс)*Q$85*IF(Q$122="Комфорт",1,0)</f>
        <v>0</v>
      </c>
      <c r="W275" s="451">
        <f t="shared" ref="W275" si="459">($F275+$G275*курс)*R$85*IF(R$122="Комфорт",1,0)</f>
        <v>0</v>
      </c>
      <c r="AB275" s="451">
        <f t="shared" ref="AB275" si="460">$G275*H$85*IF(H$122="Комфорт",1,0)</f>
        <v>0</v>
      </c>
      <c r="AC275" s="451">
        <f t="shared" ref="AC275" si="461">$G275*I$85*IF(I$122="Комфорт",1,0)</f>
        <v>0</v>
      </c>
      <c r="AD275" s="451">
        <f t="shared" ref="AD275" si="462">$G275*J$85*IF(J$122="Комфорт",1,0)</f>
        <v>0</v>
      </c>
      <c r="AE275" s="451">
        <f t="shared" ref="AE275" si="463">$G275*K$85*IF(K$122="Комфорт",1,0)</f>
        <v>0</v>
      </c>
      <c r="AF275" s="451">
        <f t="shared" ref="AF275" si="464">$G275*L$85*IF(L$122="Комфорт",1,0)</f>
        <v>0</v>
      </c>
      <c r="AG275" s="451">
        <f t="shared" ref="AG275" si="465">$G275*M$85*IF(M$122="Комфорт",1,0)</f>
        <v>0</v>
      </c>
      <c r="AH275" s="451">
        <f t="shared" ref="AH275" si="466">$G275*N$85*IF(N$122="Комфорт",1,0)</f>
        <v>0</v>
      </c>
      <c r="AI275" s="451">
        <f t="shared" ref="AI275" si="467">$G275*O$85*IF(O$122="Комфорт",1,0)</f>
        <v>0</v>
      </c>
      <c r="AJ275" s="451">
        <f t="shared" ref="AJ275" si="468">$G275*P$85*IF(P$122="Комфорт",1,0)</f>
        <v>0</v>
      </c>
      <c r="AK275" s="451">
        <f t="shared" ref="AK275" si="469">$G275*Q$85*IF(Q$122="Комфорт",1,0)</f>
        <v>0</v>
      </c>
      <c r="AL275" s="451">
        <f t="shared" ref="AL275" si="470">$G275*R$85*IF(R$122="Комфорт",1,0)</f>
        <v>0</v>
      </c>
    </row>
    <row r="276" spans="1:38" outlineLevel="2">
      <c r="A276" s="15"/>
      <c r="B276" s="718"/>
      <c r="C276" s="983"/>
      <c r="D276" s="943"/>
      <c r="E276" s="113" t="s">
        <v>42</v>
      </c>
      <c r="F276" s="92">
        <f>6314.26834703764*1.01</f>
        <v>6377.4110305080158</v>
      </c>
      <c r="G276" s="238"/>
      <c r="H276" s="702"/>
      <c r="I276" s="135"/>
      <c r="J276" s="161"/>
      <c r="K276" s="250"/>
      <c r="L276" s="250"/>
      <c r="M276" s="289">
        <f t="shared" ref="M276" si="471">($F276+$G276*курс)*H$85*IF(H$122="Бизнес",1,0)</f>
        <v>0</v>
      </c>
      <c r="N276" s="289">
        <f t="shared" ref="N276" si="472">($F276+$G276*курс)*I$85*IF(I$122="Бизнес",1,0)</f>
        <v>0</v>
      </c>
      <c r="O276" s="289">
        <f t="shared" ref="O276" si="473">($F276+$G276*курс)*J$85*IF(J$122="Бизнес",1,0)</f>
        <v>0</v>
      </c>
      <c r="P276" s="289">
        <f t="shared" ref="P276" si="474">($F276+$G276*курс)*K$85*IF(K$122="Бизнес",1,0)</f>
        <v>0</v>
      </c>
      <c r="Q276" s="289">
        <f t="shared" ref="Q276" si="475">($F276+$G276*курс)*L$85*IF(L$122="Бизнес",1,0)</f>
        <v>0</v>
      </c>
      <c r="R276" s="289">
        <f t="shared" ref="R276" si="476">($F276+$G276*курс)*M$85*IF(M$122="Бизнес",1,0)</f>
        <v>0</v>
      </c>
      <c r="S276" s="289">
        <f t="shared" ref="S276" si="477">($F276+$G276*курс)*N$85*IF(N$122="Бизнес",1,0)</f>
        <v>0</v>
      </c>
      <c r="T276" s="289">
        <f t="shared" ref="T276" si="478">($F276+$G276*курс)*O$85*IF(O$122="Бизнес",1,0)</f>
        <v>0</v>
      </c>
      <c r="U276" s="289">
        <f t="shared" ref="U276" si="479">($F276+$G276*курс)*P$85*IF(P$122="Бизнес",1,0)</f>
        <v>0</v>
      </c>
      <c r="V276" s="289">
        <f t="shared" ref="V276" si="480">($F276+$G276*курс)*Q$85*IF(Q$122="Бизнес",1,0)</f>
        <v>0</v>
      </c>
      <c r="W276" s="289">
        <f t="shared" ref="W276" si="481">($F276+$G276*курс)*R$85*IF(R$122="Бизнес",1,0)</f>
        <v>0</v>
      </c>
      <c r="AB276" s="289">
        <f t="shared" ref="AB276" si="482">$G276*H$85*IF(H$122="Бизнес",1,0)</f>
        <v>0</v>
      </c>
      <c r="AC276" s="289">
        <f t="shared" ref="AC276" si="483">$G276*I$85*IF(I$122="Бизнес",1,0)</f>
        <v>0</v>
      </c>
      <c r="AD276" s="289">
        <f t="shared" ref="AD276" si="484">$G276*J$85*IF(J$122="Бизнес",1,0)</f>
        <v>0</v>
      </c>
      <c r="AE276" s="289">
        <f t="shared" ref="AE276" si="485">$G276*K$85*IF(K$122="Бизнес",1,0)</f>
        <v>0</v>
      </c>
      <c r="AF276" s="289">
        <f t="shared" ref="AF276" si="486">$G276*L$85*IF(L$122="Бизнес",1,0)</f>
        <v>0</v>
      </c>
      <c r="AG276" s="289">
        <f t="shared" ref="AG276" si="487">$G276*M$85*IF(M$122="Бизнес",1,0)</f>
        <v>0</v>
      </c>
      <c r="AH276" s="289">
        <f t="shared" ref="AH276" si="488">$G276*N$85*IF(N$122="Бизнес",1,0)</f>
        <v>0</v>
      </c>
      <c r="AI276" s="289">
        <f t="shared" ref="AI276" si="489">$G276*O$85*IF(O$122="Бизнес",1,0)</f>
        <v>0</v>
      </c>
      <c r="AJ276" s="289">
        <f t="shared" ref="AJ276" si="490">$G276*P$85*IF(P$122="Бизнес",1,0)</f>
        <v>0</v>
      </c>
      <c r="AK276" s="289">
        <f t="shared" ref="AK276" si="491">$G276*Q$85*IF(Q$122="Бизнес",1,0)</f>
        <v>0</v>
      </c>
      <c r="AL276" s="289">
        <f t="shared" ref="AL276" si="492">$G276*R$85*IF(R$122="Бизнес",1,0)</f>
        <v>0</v>
      </c>
    </row>
    <row r="277" spans="1:38" outlineLevel="2">
      <c r="A277" s="15"/>
      <c r="B277" s="718"/>
      <c r="C277" s="983"/>
      <c r="D277" s="943"/>
      <c r="E277" s="113" t="s">
        <v>43</v>
      </c>
      <c r="F277" s="92">
        <f>9760.3979593286*1.01</f>
        <v>9858.0019389218869</v>
      </c>
      <c r="G277" s="238"/>
      <c r="H277" s="702"/>
      <c r="I277" s="135"/>
      <c r="J277" s="161"/>
      <c r="K277" s="250"/>
      <c r="L277" s="250"/>
      <c r="M277" s="289">
        <f t="shared" ref="M277" si="493">($F277+$G277*курс)*H$85*IF(H$122="Бизнес+",1,0)</f>
        <v>0</v>
      </c>
      <c r="N277" s="289">
        <f t="shared" ref="N277" si="494">($F277+$G277*курс)*I$85*IF(I$122="Бизнес+",1,0)</f>
        <v>0</v>
      </c>
      <c r="O277" s="289">
        <f t="shared" ref="O277" si="495">($F277+$G277*курс)*J$85*IF(J$122="Бизнес+",1,0)</f>
        <v>0</v>
      </c>
      <c r="P277" s="289">
        <f t="shared" ref="P277" si="496">($F277+$G277*курс)*K$85*IF(K$122="Бизнес+",1,0)</f>
        <v>0</v>
      </c>
      <c r="Q277" s="289">
        <f t="shared" ref="Q277" si="497">($F277+$G277*курс)*L$85*IF(L$122="Бизнес+",1,0)</f>
        <v>0</v>
      </c>
      <c r="R277" s="289">
        <f t="shared" ref="R277" si="498">($F277+$G277*курс)*M$85*IF(M$122="Бизнес+",1,0)</f>
        <v>0</v>
      </c>
      <c r="S277" s="289">
        <f t="shared" ref="S277" si="499">($F277+$G277*курс)*N$85*IF(N$122="Бизнес+",1,0)</f>
        <v>0</v>
      </c>
      <c r="T277" s="289">
        <f t="shared" ref="T277" si="500">($F277+$G277*курс)*O$85*IF(O$122="Бизнес+",1,0)</f>
        <v>0</v>
      </c>
      <c r="U277" s="289">
        <f t="shared" ref="U277" si="501">($F277+$G277*курс)*P$85*IF(P$122="Бизнес+",1,0)</f>
        <v>0</v>
      </c>
      <c r="V277" s="289">
        <f t="shared" ref="V277" si="502">($F277+$G277*курс)*Q$85*IF(Q$122="Бизнес+",1,0)</f>
        <v>0</v>
      </c>
      <c r="W277" s="289">
        <f t="shared" ref="W277" si="503">($F277+$G277*курс)*R$85*IF(R$122="Бизнес+",1,0)</f>
        <v>0</v>
      </c>
      <c r="AB277" s="289">
        <f t="shared" ref="AB277" si="504">$G277*H$85*IF(H$122="Бизнес+",1,0)</f>
        <v>0</v>
      </c>
      <c r="AC277" s="289">
        <f t="shared" ref="AC277" si="505">$G277*I$85*IF(I$122="Бизнес+",1,0)</f>
        <v>0</v>
      </c>
      <c r="AD277" s="289">
        <f t="shared" ref="AD277" si="506">$G277*J$85*IF(J$122="Бизнес+",1,0)</f>
        <v>0</v>
      </c>
      <c r="AE277" s="289">
        <f t="shared" ref="AE277" si="507">$G277*K$85*IF(K$122="Бизнес+",1,0)</f>
        <v>0</v>
      </c>
      <c r="AF277" s="289">
        <f t="shared" ref="AF277" si="508">$G277*L$85*IF(L$122="Бизнес+",1,0)</f>
        <v>0</v>
      </c>
      <c r="AG277" s="289">
        <f t="shared" ref="AG277" si="509">$G277*M$85*IF(M$122="Бизнес+",1,0)</f>
        <v>0</v>
      </c>
      <c r="AH277" s="289">
        <f t="shared" ref="AH277" si="510">$G277*N$85*IF(N$122="Бизнес+",1,0)</f>
        <v>0</v>
      </c>
      <c r="AI277" s="289">
        <f t="shared" ref="AI277" si="511">$G277*O$85*IF(O$122="Бизнес+",1,0)</f>
        <v>0</v>
      </c>
      <c r="AJ277" s="289">
        <f t="shared" ref="AJ277" si="512">$G277*P$85*IF(P$122="Бизнес+",1,0)</f>
        <v>0</v>
      </c>
      <c r="AK277" s="289">
        <f t="shared" ref="AK277" si="513">$G277*Q$85*IF(Q$122="Бизнес+",1,0)</f>
        <v>0</v>
      </c>
      <c r="AL277" s="289">
        <f t="shared" ref="AL277" si="514">$G277*R$85*IF(R$122="Бизнес+",1,0)</f>
        <v>0</v>
      </c>
    </row>
    <row r="278" spans="1:38" outlineLevel="2">
      <c r="A278" s="15"/>
      <c r="B278" s="718"/>
      <c r="C278" s="983"/>
      <c r="D278" s="943"/>
      <c r="E278" s="298" t="s">
        <v>44</v>
      </c>
      <c r="F278" s="158">
        <f>10912.0053910335*1.01</f>
        <v>11021.125444943935</v>
      </c>
      <c r="G278" s="158">
        <f>33.8259977740532*1.01</f>
        <v>34.164257751793734</v>
      </c>
      <c r="H278" s="702"/>
      <c r="I278" s="135"/>
      <c r="J278" s="161"/>
      <c r="K278" s="250"/>
      <c r="L278" s="250"/>
      <c r="M278" s="289">
        <f t="shared" ref="M278" si="515">($F278+$G278*курс)*H$85*IF(H$122="Премиум",1,0)</f>
        <v>0</v>
      </c>
      <c r="N278" s="289">
        <f t="shared" ref="N278" si="516">($F278+$G278*курс)*I$85*IF(I$122="Премиум",1,0)</f>
        <v>0</v>
      </c>
      <c r="O278" s="289">
        <f t="shared" ref="O278" si="517">($F278+$G278*курс)*J$85*IF(J$122="Премиум",1,0)</f>
        <v>0</v>
      </c>
      <c r="P278" s="289">
        <f t="shared" ref="P278" si="518">($F278+$G278*курс)*K$85*IF(K$122="Премиум",1,0)</f>
        <v>0</v>
      </c>
      <c r="Q278" s="289">
        <f t="shared" ref="Q278" si="519">($F278+$G278*курс)*L$85*IF(L$122="Премиум",1,0)</f>
        <v>0</v>
      </c>
      <c r="R278" s="289">
        <f t="shared" ref="R278" si="520">($F278+$G278*курс)*M$85*IF(M$122="Премиум",1,0)</f>
        <v>0</v>
      </c>
      <c r="S278" s="289">
        <f t="shared" ref="S278" si="521">($F278+$G278*курс)*N$85*IF(N$122="Премиум",1,0)</f>
        <v>0</v>
      </c>
      <c r="T278" s="289">
        <f t="shared" ref="T278" si="522">($F278+$G278*курс)*O$85*IF(O$122="Премиум",1,0)</f>
        <v>0</v>
      </c>
      <c r="U278" s="289">
        <f t="shared" ref="U278" si="523">($F278+$G278*курс)*P$85*IF(P$122="Премиум",1,0)</f>
        <v>0</v>
      </c>
      <c r="V278" s="289">
        <f t="shared" ref="V278" si="524">($F278+$G278*курс)*Q$85*IF(Q$122="Премиум",1,0)</f>
        <v>0</v>
      </c>
      <c r="W278" s="289">
        <f t="shared" ref="W278" si="525">($F278+$G278*курс)*R$85*IF(R$122="Премиум",1,0)</f>
        <v>0</v>
      </c>
      <c r="AB278" s="289">
        <f t="shared" ref="AB278" si="526">$G278*H$85*IF(H$122="Премиум",1,0)</f>
        <v>0</v>
      </c>
      <c r="AC278" s="289">
        <f t="shared" ref="AC278" si="527">$G278*I$85*IF(I$122="Премиум",1,0)</f>
        <v>0</v>
      </c>
      <c r="AD278" s="289">
        <f t="shared" ref="AD278" si="528">$G278*J$85*IF(J$122="Премиум",1,0)</f>
        <v>0</v>
      </c>
      <c r="AE278" s="289">
        <f t="shared" ref="AE278" si="529">$G278*K$85*IF(K$122="Премиум",1,0)</f>
        <v>0</v>
      </c>
      <c r="AF278" s="289">
        <f t="shared" ref="AF278" si="530">$G278*L$85*IF(L$122="Премиум",1,0)</f>
        <v>0</v>
      </c>
      <c r="AG278" s="289">
        <f t="shared" ref="AG278" si="531">$G278*M$85*IF(M$122="Премиум",1,0)</f>
        <v>0</v>
      </c>
      <c r="AH278" s="289">
        <f t="shared" ref="AH278" si="532">$G278*N$85*IF(N$122="Премиум",1,0)</f>
        <v>0</v>
      </c>
      <c r="AI278" s="289">
        <f t="shared" ref="AI278" si="533">$G278*O$85*IF(O$122="Премиум",1,0)</f>
        <v>0</v>
      </c>
      <c r="AJ278" s="289">
        <f t="shared" ref="AJ278" si="534">$G278*P$85*IF(P$122="Премиум",1,0)</f>
        <v>0</v>
      </c>
      <c r="AK278" s="289">
        <f t="shared" ref="AK278" si="535">$G278*Q$85*IF(Q$122="Премиум",1,0)</f>
        <v>0</v>
      </c>
      <c r="AL278" s="289">
        <f t="shared" ref="AL278" si="536">$G278*R$85*IF(R$122="Премиум",1,0)</f>
        <v>0</v>
      </c>
    </row>
    <row r="279" spans="1:38" outlineLevel="2">
      <c r="A279" s="15"/>
      <c r="B279" s="718"/>
      <c r="C279" s="984"/>
      <c r="D279" s="944"/>
      <c r="E279" s="298" t="s">
        <v>45</v>
      </c>
      <c r="F279" s="158">
        <f>26885.2239931494*1.01</f>
        <v>27154.076233080894</v>
      </c>
      <c r="G279" s="158">
        <f>511.878910775996*1.01</f>
        <v>516.99769988375601</v>
      </c>
      <c r="H279" s="702"/>
      <c r="I279" s="135"/>
      <c r="J279" s="161"/>
      <c r="K279" s="250"/>
      <c r="L279" s="250"/>
      <c r="M279" s="290">
        <f t="shared" ref="M279" si="537">($F279+$G279*курс)*H$85*IF(H$122="Элит",1,0)</f>
        <v>0</v>
      </c>
      <c r="N279" s="290">
        <f t="shared" ref="N279" si="538">($F279+$G279*курс)*I$85*IF(I$122="Элит",1,0)</f>
        <v>0</v>
      </c>
      <c r="O279" s="290">
        <f t="shared" ref="O279" si="539">($F279+$G279*курс)*J$85*IF(J$122="Элит",1,0)</f>
        <v>0</v>
      </c>
      <c r="P279" s="290">
        <f t="shared" ref="P279" si="540">($F279+$G279*курс)*K$85*IF(K$122="Элит",1,0)</f>
        <v>0</v>
      </c>
      <c r="Q279" s="290">
        <f t="shared" ref="Q279" si="541">($F279+$G279*курс)*L$85*IF(L$122="Элит",1,0)</f>
        <v>0</v>
      </c>
      <c r="R279" s="290">
        <f t="shared" ref="R279" si="542">($F279+$G279*курс)*M$85*IF(M$122="Элит",1,0)</f>
        <v>0</v>
      </c>
      <c r="S279" s="290">
        <f t="shared" ref="S279" si="543">($F279+$G279*курс)*N$85*IF(N$122="Элит",1,0)</f>
        <v>0</v>
      </c>
      <c r="T279" s="290">
        <f t="shared" ref="T279" si="544">($F279+$G279*курс)*O$85*IF(O$122="Элит",1,0)</f>
        <v>0</v>
      </c>
      <c r="U279" s="290">
        <f t="shared" ref="U279" si="545">($F279+$G279*курс)*P$85*IF(P$122="Элит",1,0)</f>
        <v>0</v>
      </c>
      <c r="V279" s="290">
        <f t="shared" ref="V279" si="546">($F279+$G279*курс)*Q$85*IF(Q$122="Элит",1,0)</f>
        <v>0</v>
      </c>
      <c r="W279" s="290">
        <f t="shared" ref="W279" si="547">($F279+$G279*курс)*R$85*IF(R$122="Элит",1,0)</f>
        <v>0</v>
      </c>
      <c r="AB279" s="290">
        <f t="shared" ref="AB279" si="548">$G279*H$85*IF(H$122="Элит",1,0)</f>
        <v>0</v>
      </c>
      <c r="AC279" s="290">
        <f t="shared" ref="AC279" si="549">$G279*I$85*IF(I$122="Элит",1,0)</f>
        <v>0</v>
      </c>
      <c r="AD279" s="290">
        <f t="shared" ref="AD279" si="550">$G279*J$85*IF(J$122="Элит",1,0)</f>
        <v>0</v>
      </c>
      <c r="AE279" s="290">
        <f t="shared" ref="AE279" si="551">$G279*K$85*IF(K$122="Элит",1,0)</f>
        <v>0</v>
      </c>
      <c r="AF279" s="290">
        <f t="shared" ref="AF279" si="552">$G279*L$85*IF(L$122="Элит",1,0)</f>
        <v>0</v>
      </c>
      <c r="AG279" s="290">
        <f t="shared" ref="AG279" si="553">$G279*M$85*IF(M$122="Элит",1,0)</f>
        <v>0</v>
      </c>
      <c r="AH279" s="290">
        <f t="shared" ref="AH279" si="554">$G279*N$85*IF(N$122="Элит",1,0)</f>
        <v>0</v>
      </c>
      <c r="AI279" s="290">
        <f t="shared" ref="AI279" si="555">$G279*O$85*IF(O$122="Элит",1,0)</f>
        <v>0</v>
      </c>
      <c r="AJ279" s="290">
        <f t="shared" ref="AJ279" si="556">$G279*P$85*IF(P$122="Элит",1,0)</f>
        <v>0</v>
      </c>
      <c r="AK279" s="290">
        <f t="shared" ref="AK279" si="557">$G279*Q$85*IF(Q$122="Элит",1,0)</f>
        <v>0</v>
      </c>
      <c r="AL279" s="290">
        <f t="shared" ref="AL279" si="558">$G279*R$85*IF(R$122="Элит",1,0)</f>
        <v>0</v>
      </c>
    </row>
    <row r="280" spans="1:38" ht="15.75" customHeight="1" outlineLevel="2">
      <c r="A280" s="15"/>
      <c r="B280" s="718"/>
      <c r="C280" s="981" t="s">
        <v>870</v>
      </c>
      <c r="D280" s="982"/>
      <c r="E280" s="112" t="s">
        <v>32</v>
      </c>
      <c r="F280" s="94">
        <f>6777.48347079275*1.01</f>
        <v>6845.258305500678</v>
      </c>
      <c r="G280" s="240"/>
      <c r="H280" s="702"/>
      <c r="I280" s="135"/>
      <c r="J280" s="161"/>
      <c r="K280" s="250"/>
      <c r="L280" s="250"/>
      <c r="M280" s="451">
        <f>($F280+$G280*курс)*H$85*IF(H$122="Комфорт",1,0)</f>
        <v>0</v>
      </c>
      <c r="N280" s="451">
        <f t="shared" ref="N280" si="559">($F280+$G280*курс)*I$85*IF(I$122="Комфорт",1,0)</f>
        <v>0</v>
      </c>
      <c r="O280" s="451">
        <f t="shared" ref="O280" si="560">($F280+$G280*курс)*J$85*IF(J$122="Комфорт",1,0)</f>
        <v>0</v>
      </c>
      <c r="P280" s="451">
        <f t="shared" ref="P280" si="561">($F280+$G280*курс)*K$85*IF(K$122="Комфорт",1,0)</f>
        <v>0</v>
      </c>
      <c r="Q280" s="451">
        <f t="shared" ref="Q280" si="562">($F280+$G280*курс)*L$85*IF(L$122="Комфорт",1,0)</f>
        <v>0</v>
      </c>
      <c r="R280" s="451">
        <f t="shared" ref="R280" si="563">($F280+$G280*курс)*M$85*IF(M$122="Комфорт",1,0)</f>
        <v>0</v>
      </c>
      <c r="S280" s="451">
        <f t="shared" ref="S280" si="564">($F280+$G280*курс)*N$85*IF(N$122="Комфорт",1,0)</f>
        <v>0</v>
      </c>
      <c r="T280" s="451">
        <f t="shared" ref="T280" si="565">($F280+$G280*курс)*O$85*IF(O$122="Комфорт",1,0)</f>
        <v>0</v>
      </c>
      <c r="U280" s="451">
        <f t="shared" ref="U280" si="566">($F280+$G280*курс)*P$85*IF(P$122="Комфорт",1,0)</f>
        <v>0</v>
      </c>
      <c r="V280" s="451">
        <f t="shared" ref="V280" si="567">($F280+$G280*курс)*Q$85*IF(Q$122="Комфорт",1,0)</f>
        <v>0</v>
      </c>
      <c r="W280" s="451">
        <f t="shared" ref="W280" si="568">($F280+$G280*курс)*R$85*IF(R$122="Комфорт",1,0)</f>
        <v>0</v>
      </c>
      <c r="AB280" s="451">
        <f t="shared" ref="AB280" si="569">$G280*H$85*IF(H$122="Комфорт",1,0)</f>
        <v>0</v>
      </c>
      <c r="AC280" s="451">
        <f t="shared" ref="AC280" si="570">$G280*I$85*IF(I$122="Комфорт",1,0)</f>
        <v>0</v>
      </c>
      <c r="AD280" s="451">
        <f t="shared" ref="AD280" si="571">$G280*J$85*IF(J$122="Комфорт",1,0)</f>
        <v>0</v>
      </c>
      <c r="AE280" s="451">
        <f t="shared" ref="AE280" si="572">$G280*K$85*IF(K$122="Комфорт",1,0)</f>
        <v>0</v>
      </c>
      <c r="AF280" s="451">
        <f t="shared" ref="AF280" si="573">$G280*L$85*IF(L$122="Комфорт",1,0)</f>
        <v>0</v>
      </c>
      <c r="AG280" s="451">
        <f t="shared" ref="AG280" si="574">$G280*M$85*IF(M$122="Комфорт",1,0)</f>
        <v>0</v>
      </c>
      <c r="AH280" s="451">
        <f t="shared" ref="AH280" si="575">$G280*N$85*IF(N$122="Комфорт",1,0)</f>
        <v>0</v>
      </c>
      <c r="AI280" s="451">
        <f t="shared" ref="AI280" si="576">$G280*O$85*IF(O$122="Комфорт",1,0)</f>
        <v>0</v>
      </c>
      <c r="AJ280" s="451">
        <f t="shared" ref="AJ280" si="577">$G280*P$85*IF(P$122="Комфорт",1,0)</f>
        <v>0</v>
      </c>
      <c r="AK280" s="451">
        <f t="shared" ref="AK280" si="578">$G280*Q$85*IF(Q$122="Комфорт",1,0)</f>
        <v>0</v>
      </c>
      <c r="AL280" s="451">
        <f t="shared" ref="AL280" si="579">$G280*R$85*IF(R$122="Комфорт",1,0)</f>
        <v>0</v>
      </c>
    </row>
    <row r="281" spans="1:38" outlineLevel="2">
      <c r="A281" s="15"/>
      <c r="B281" s="718"/>
      <c r="C281" s="983"/>
      <c r="D281" s="943"/>
      <c r="E281" s="113" t="s">
        <v>42</v>
      </c>
      <c r="F281" s="92">
        <f>6777.48347079275*1.01</f>
        <v>6845.258305500678</v>
      </c>
      <c r="G281" s="238"/>
      <c r="H281" s="702"/>
      <c r="I281" s="135"/>
      <c r="J281" s="161"/>
      <c r="K281" s="250"/>
      <c r="L281" s="250"/>
      <c r="M281" s="289">
        <f t="shared" ref="M281" si="580">($F281+$G281*курс)*H$85*IF(H$122="Бизнес",1,0)</f>
        <v>0</v>
      </c>
      <c r="N281" s="289">
        <f t="shared" ref="N281" si="581">($F281+$G281*курс)*I$85*IF(I$122="Бизнес",1,0)</f>
        <v>0</v>
      </c>
      <c r="O281" s="289">
        <f t="shared" ref="O281" si="582">($F281+$G281*курс)*J$85*IF(J$122="Бизнес",1,0)</f>
        <v>0</v>
      </c>
      <c r="P281" s="289">
        <f t="shared" ref="P281" si="583">($F281+$G281*курс)*K$85*IF(K$122="Бизнес",1,0)</f>
        <v>0</v>
      </c>
      <c r="Q281" s="289">
        <f t="shared" ref="Q281" si="584">($F281+$G281*курс)*L$85*IF(L$122="Бизнес",1,0)</f>
        <v>0</v>
      </c>
      <c r="R281" s="289">
        <f t="shared" ref="R281" si="585">($F281+$G281*курс)*M$85*IF(M$122="Бизнес",1,0)</f>
        <v>0</v>
      </c>
      <c r="S281" s="289">
        <f t="shared" ref="S281" si="586">($F281+$G281*курс)*N$85*IF(N$122="Бизнес",1,0)</f>
        <v>0</v>
      </c>
      <c r="T281" s="289">
        <f t="shared" ref="T281" si="587">($F281+$G281*курс)*O$85*IF(O$122="Бизнес",1,0)</f>
        <v>0</v>
      </c>
      <c r="U281" s="289">
        <f t="shared" ref="U281" si="588">($F281+$G281*курс)*P$85*IF(P$122="Бизнес",1,0)</f>
        <v>0</v>
      </c>
      <c r="V281" s="289">
        <f t="shared" ref="V281" si="589">($F281+$G281*курс)*Q$85*IF(Q$122="Бизнес",1,0)</f>
        <v>0</v>
      </c>
      <c r="W281" s="289">
        <f t="shared" ref="W281" si="590">($F281+$G281*курс)*R$85*IF(R$122="Бизнес",1,0)</f>
        <v>0</v>
      </c>
      <c r="AB281" s="289">
        <f t="shared" ref="AB281" si="591">$G281*H$85*IF(H$122="Бизнес",1,0)</f>
        <v>0</v>
      </c>
      <c r="AC281" s="289">
        <f t="shared" ref="AC281" si="592">$G281*I$85*IF(I$122="Бизнес",1,0)</f>
        <v>0</v>
      </c>
      <c r="AD281" s="289">
        <f t="shared" ref="AD281" si="593">$G281*J$85*IF(J$122="Бизнес",1,0)</f>
        <v>0</v>
      </c>
      <c r="AE281" s="289">
        <f t="shared" ref="AE281" si="594">$G281*K$85*IF(K$122="Бизнес",1,0)</f>
        <v>0</v>
      </c>
      <c r="AF281" s="289">
        <f t="shared" ref="AF281" si="595">$G281*L$85*IF(L$122="Бизнес",1,0)</f>
        <v>0</v>
      </c>
      <c r="AG281" s="289">
        <f t="shared" ref="AG281" si="596">$G281*M$85*IF(M$122="Бизнес",1,0)</f>
        <v>0</v>
      </c>
      <c r="AH281" s="289">
        <f t="shared" ref="AH281" si="597">$G281*N$85*IF(N$122="Бизнес",1,0)</f>
        <v>0</v>
      </c>
      <c r="AI281" s="289">
        <f t="shared" ref="AI281" si="598">$G281*O$85*IF(O$122="Бизнес",1,0)</f>
        <v>0</v>
      </c>
      <c r="AJ281" s="289">
        <f t="shared" ref="AJ281" si="599">$G281*P$85*IF(P$122="Бизнес",1,0)</f>
        <v>0</v>
      </c>
      <c r="AK281" s="289">
        <f t="shared" ref="AK281" si="600">$G281*Q$85*IF(Q$122="Бизнес",1,0)</f>
        <v>0</v>
      </c>
      <c r="AL281" s="289">
        <f t="shared" ref="AL281" si="601">$G281*R$85*IF(R$122="Бизнес",1,0)</f>
        <v>0</v>
      </c>
    </row>
    <row r="282" spans="1:38" outlineLevel="2">
      <c r="A282" s="15"/>
      <c r="B282" s="718"/>
      <c r="C282" s="983"/>
      <c r="D282" s="943"/>
      <c r="E282" s="113" t="s">
        <v>43</v>
      </c>
      <c r="F282" s="92">
        <f>8396.95402227255*1.01</f>
        <v>8480.9235624952762</v>
      </c>
      <c r="G282" s="238"/>
      <c r="H282" s="702"/>
      <c r="I282" s="135"/>
      <c r="J282" s="161"/>
      <c r="K282" s="250"/>
      <c r="L282" s="250"/>
      <c r="M282" s="289">
        <f t="shared" ref="M282" si="602">($F282+$G282*курс)*H$85*IF(H$122="Бизнес+",1,0)</f>
        <v>0</v>
      </c>
      <c r="N282" s="289">
        <f t="shared" ref="N282" si="603">($F282+$G282*курс)*I$85*IF(I$122="Бизнес+",1,0)</f>
        <v>0</v>
      </c>
      <c r="O282" s="289">
        <f t="shared" ref="O282" si="604">($F282+$G282*курс)*J$85*IF(J$122="Бизнес+",1,0)</f>
        <v>0</v>
      </c>
      <c r="P282" s="289">
        <f t="shared" ref="P282" si="605">($F282+$G282*курс)*K$85*IF(K$122="Бизнес+",1,0)</f>
        <v>0</v>
      </c>
      <c r="Q282" s="289">
        <f t="shared" ref="Q282" si="606">($F282+$G282*курс)*L$85*IF(L$122="Бизнес+",1,0)</f>
        <v>0</v>
      </c>
      <c r="R282" s="289">
        <f t="shared" ref="R282" si="607">($F282+$G282*курс)*M$85*IF(M$122="Бизнес+",1,0)</f>
        <v>0</v>
      </c>
      <c r="S282" s="289">
        <f t="shared" ref="S282" si="608">($F282+$G282*курс)*N$85*IF(N$122="Бизнес+",1,0)</f>
        <v>0</v>
      </c>
      <c r="T282" s="289">
        <f t="shared" ref="T282" si="609">($F282+$G282*курс)*O$85*IF(O$122="Бизнес+",1,0)</f>
        <v>0</v>
      </c>
      <c r="U282" s="289">
        <f t="shared" ref="U282" si="610">($F282+$G282*курс)*P$85*IF(P$122="Бизнес+",1,0)</f>
        <v>0</v>
      </c>
      <c r="V282" s="289">
        <f t="shared" ref="V282" si="611">($F282+$G282*курс)*Q$85*IF(Q$122="Бизнес+",1,0)</f>
        <v>0</v>
      </c>
      <c r="W282" s="289">
        <f t="shared" ref="W282" si="612">($F282+$G282*курс)*R$85*IF(R$122="Бизнес+",1,0)</f>
        <v>0</v>
      </c>
      <c r="AB282" s="289">
        <f t="shared" ref="AB282" si="613">$G282*H$85*IF(H$122="Бизнес+",1,0)</f>
        <v>0</v>
      </c>
      <c r="AC282" s="289">
        <f t="shared" ref="AC282" si="614">$G282*I$85*IF(I$122="Бизнес+",1,0)</f>
        <v>0</v>
      </c>
      <c r="AD282" s="289">
        <f t="shared" ref="AD282" si="615">$G282*J$85*IF(J$122="Бизнес+",1,0)</f>
        <v>0</v>
      </c>
      <c r="AE282" s="289">
        <f t="shared" ref="AE282" si="616">$G282*K$85*IF(K$122="Бизнес+",1,0)</f>
        <v>0</v>
      </c>
      <c r="AF282" s="289">
        <f t="shared" ref="AF282" si="617">$G282*L$85*IF(L$122="Бизнес+",1,0)</f>
        <v>0</v>
      </c>
      <c r="AG282" s="289">
        <f t="shared" ref="AG282" si="618">$G282*M$85*IF(M$122="Бизнес+",1,0)</f>
        <v>0</v>
      </c>
      <c r="AH282" s="289">
        <f t="shared" ref="AH282" si="619">$G282*N$85*IF(N$122="Бизнес+",1,0)</f>
        <v>0</v>
      </c>
      <c r="AI282" s="289">
        <f t="shared" ref="AI282" si="620">$G282*O$85*IF(O$122="Бизнес+",1,0)</f>
        <v>0</v>
      </c>
      <c r="AJ282" s="289">
        <f t="shared" ref="AJ282" si="621">$G282*P$85*IF(P$122="Бизнес+",1,0)</f>
        <v>0</v>
      </c>
      <c r="AK282" s="289">
        <f t="shared" ref="AK282" si="622">$G282*Q$85*IF(Q$122="Бизнес+",1,0)</f>
        <v>0</v>
      </c>
      <c r="AL282" s="289">
        <f t="shared" ref="AL282" si="623">$G282*R$85*IF(R$122="Бизнес+",1,0)</f>
        <v>0</v>
      </c>
    </row>
    <row r="283" spans="1:38" outlineLevel="2">
      <c r="A283" s="15"/>
      <c r="B283" s="718"/>
      <c r="C283" s="983"/>
      <c r="D283" s="943"/>
      <c r="E283" s="298" t="s">
        <v>44</v>
      </c>
      <c r="F283" s="158">
        <f>8888.50693308758*1.01</f>
        <v>8977.3920024184554</v>
      </c>
      <c r="G283" s="247"/>
      <c r="H283" s="702"/>
      <c r="I283" s="135"/>
      <c r="J283" s="161"/>
      <c r="K283" s="250"/>
      <c r="L283" s="250"/>
      <c r="M283" s="289">
        <f t="shared" ref="M283" si="624">($F283+$G283*курс)*H$85*IF(H$122="Премиум",1,0)</f>
        <v>0</v>
      </c>
      <c r="N283" s="289">
        <f t="shared" ref="N283" si="625">($F283+$G283*курс)*I$85*IF(I$122="Премиум",1,0)</f>
        <v>0</v>
      </c>
      <c r="O283" s="289">
        <f t="shared" ref="O283" si="626">($F283+$G283*курс)*J$85*IF(J$122="Премиум",1,0)</f>
        <v>0</v>
      </c>
      <c r="P283" s="289">
        <f t="shared" ref="P283" si="627">($F283+$G283*курс)*K$85*IF(K$122="Премиум",1,0)</f>
        <v>0</v>
      </c>
      <c r="Q283" s="289">
        <f t="shared" ref="Q283" si="628">($F283+$G283*курс)*L$85*IF(L$122="Премиум",1,0)</f>
        <v>0</v>
      </c>
      <c r="R283" s="289">
        <f t="shared" ref="R283" si="629">($F283+$G283*курс)*M$85*IF(M$122="Премиум",1,0)</f>
        <v>0</v>
      </c>
      <c r="S283" s="289">
        <f t="shared" ref="S283" si="630">($F283+$G283*курс)*N$85*IF(N$122="Премиум",1,0)</f>
        <v>0</v>
      </c>
      <c r="T283" s="289">
        <f t="shared" ref="T283" si="631">($F283+$G283*курс)*O$85*IF(O$122="Премиум",1,0)</f>
        <v>0</v>
      </c>
      <c r="U283" s="289">
        <f t="shared" ref="U283" si="632">($F283+$G283*курс)*P$85*IF(P$122="Премиум",1,0)</f>
        <v>0</v>
      </c>
      <c r="V283" s="289">
        <f t="shared" ref="V283" si="633">($F283+$G283*курс)*Q$85*IF(Q$122="Премиум",1,0)</f>
        <v>0</v>
      </c>
      <c r="W283" s="289">
        <f t="shared" ref="W283" si="634">($F283+$G283*курс)*R$85*IF(R$122="Премиум",1,0)</f>
        <v>0</v>
      </c>
      <c r="AB283" s="289">
        <f t="shared" ref="AB283" si="635">$G283*H$85*IF(H$122="Премиум",1,0)</f>
        <v>0</v>
      </c>
      <c r="AC283" s="289">
        <f t="shared" ref="AC283" si="636">$G283*I$85*IF(I$122="Премиум",1,0)</f>
        <v>0</v>
      </c>
      <c r="AD283" s="289">
        <f t="shared" ref="AD283" si="637">$G283*J$85*IF(J$122="Премиум",1,0)</f>
        <v>0</v>
      </c>
      <c r="AE283" s="289">
        <f t="shared" ref="AE283" si="638">$G283*K$85*IF(K$122="Премиум",1,0)</f>
        <v>0</v>
      </c>
      <c r="AF283" s="289">
        <f t="shared" ref="AF283" si="639">$G283*L$85*IF(L$122="Премиум",1,0)</f>
        <v>0</v>
      </c>
      <c r="AG283" s="289">
        <f t="shared" ref="AG283" si="640">$G283*M$85*IF(M$122="Премиум",1,0)</f>
        <v>0</v>
      </c>
      <c r="AH283" s="289">
        <f t="shared" ref="AH283" si="641">$G283*N$85*IF(N$122="Премиум",1,0)</f>
        <v>0</v>
      </c>
      <c r="AI283" s="289">
        <f t="shared" ref="AI283" si="642">$G283*O$85*IF(O$122="Премиум",1,0)</f>
        <v>0</v>
      </c>
      <c r="AJ283" s="289">
        <f t="shared" ref="AJ283" si="643">$G283*P$85*IF(P$122="Премиум",1,0)</f>
        <v>0</v>
      </c>
      <c r="AK283" s="289">
        <f t="shared" ref="AK283" si="644">$G283*Q$85*IF(Q$122="Премиум",1,0)</f>
        <v>0</v>
      </c>
      <c r="AL283" s="289">
        <f t="shared" ref="AL283" si="645">$G283*R$85*IF(R$122="Премиум",1,0)</f>
        <v>0</v>
      </c>
    </row>
    <row r="284" spans="1:38" outlineLevel="2">
      <c r="A284" s="15"/>
      <c r="B284" s="718"/>
      <c r="C284" s="984"/>
      <c r="D284" s="944"/>
      <c r="E284" s="298" t="s">
        <v>45</v>
      </c>
      <c r="F284" s="158">
        <f>9380.05984390262*1.01</f>
        <v>9473.8604423416455</v>
      </c>
      <c r="G284" s="247"/>
      <c r="H284" s="702"/>
      <c r="I284" s="135"/>
      <c r="J284" s="161"/>
      <c r="K284" s="250"/>
      <c r="L284" s="250"/>
      <c r="M284" s="290">
        <f t="shared" ref="M284" si="646">($F284+$G284*курс)*H$85*IF(H$122="Элит",1,0)</f>
        <v>0</v>
      </c>
      <c r="N284" s="290">
        <f t="shared" ref="N284" si="647">($F284+$G284*курс)*I$85*IF(I$122="Элит",1,0)</f>
        <v>0</v>
      </c>
      <c r="O284" s="290">
        <f t="shared" ref="O284" si="648">($F284+$G284*курс)*J$85*IF(J$122="Элит",1,0)</f>
        <v>0</v>
      </c>
      <c r="P284" s="290">
        <f t="shared" ref="P284" si="649">($F284+$G284*курс)*K$85*IF(K$122="Элит",1,0)</f>
        <v>0</v>
      </c>
      <c r="Q284" s="290">
        <f t="shared" ref="Q284" si="650">($F284+$G284*курс)*L$85*IF(L$122="Элит",1,0)</f>
        <v>0</v>
      </c>
      <c r="R284" s="290">
        <f t="shared" ref="R284" si="651">($F284+$G284*курс)*M$85*IF(M$122="Элит",1,0)</f>
        <v>0</v>
      </c>
      <c r="S284" s="290">
        <f t="shared" ref="S284" si="652">($F284+$G284*курс)*N$85*IF(N$122="Элит",1,0)</f>
        <v>0</v>
      </c>
      <c r="T284" s="290">
        <f t="shared" ref="T284" si="653">($F284+$G284*курс)*O$85*IF(O$122="Элит",1,0)</f>
        <v>0</v>
      </c>
      <c r="U284" s="290">
        <f t="shared" ref="U284" si="654">($F284+$G284*курс)*P$85*IF(P$122="Элит",1,0)</f>
        <v>0</v>
      </c>
      <c r="V284" s="290">
        <f t="shared" ref="V284" si="655">($F284+$G284*курс)*Q$85*IF(Q$122="Элит",1,0)</f>
        <v>0</v>
      </c>
      <c r="W284" s="290">
        <f t="shared" ref="W284" si="656">($F284+$G284*курс)*R$85*IF(R$122="Элит",1,0)</f>
        <v>0</v>
      </c>
      <c r="AB284" s="290">
        <f t="shared" ref="AB284" si="657">$G284*H$85*IF(H$122="Элит",1,0)</f>
        <v>0</v>
      </c>
      <c r="AC284" s="290">
        <f t="shared" ref="AC284" si="658">$G284*I$85*IF(I$122="Элит",1,0)</f>
        <v>0</v>
      </c>
      <c r="AD284" s="290">
        <f t="shared" ref="AD284" si="659">$G284*J$85*IF(J$122="Элит",1,0)</f>
        <v>0</v>
      </c>
      <c r="AE284" s="290">
        <f t="shared" ref="AE284" si="660">$G284*K$85*IF(K$122="Элит",1,0)</f>
        <v>0</v>
      </c>
      <c r="AF284" s="290">
        <f t="shared" ref="AF284" si="661">$G284*L$85*IF(L$122="Элит",1,0)</f>
        <v>0</v>
      </c>
      <c r="AG284" s="290">
        <f t="shared" ref="AG284" si="662">$G284*M$85*IF(M$122="Элит",1,0)</f>
        <v>0</v>
      </c>
      <c r="AH284" s="290">
        <f t="shared" ref="AH284" si="663">$G284*N$85*IF(N$122="Элит",1,0)</f>
        <v>0</v>
      </c>
      <c r="AI284" s="290">
        <f t="shared" ref="AI284" si="664">$G284*O$85*IF(O$122="Элит",1,0)</f>
        <v>0</v>
      </c>
      <c r="AJ284" s="290">
        <f t="shared" ref="AJ284" si="665">$G284*P$85*IF(P$122="Элит",1,0)</f>
        <v>0</v>
      </c>
      <c r="AK284" s="290">
        <f t="shared" ref="AK284" si="666">$G284*Q$85*IF(Q$122="Элит",1,0)</f>
        <v>0</v>
      </c>
      <c r="AL284" s="290">
        <f t="shared" ref="AL284" si="667">$G284*R$85*IF(R$122="Элит",1,0)</f>
        <v>0</v>
      </c>
    </row>
    <row r="285" spans="1:38" ht="15.75" customHeight="1" outlineLevel="2">
      <c r="A285" s="15"/>
      <c r="B285" s="718"/>
      <c r="C285" s="981" t="s">
        <v>871</v>
      </c>
      <c r="D285" s="982"/>
      <c r="E285" s="112" t="s">
        <v>32</v>
      </c>
      <c r="F285" s="94">
        <f>3336.865413975*1.01</f>
        <v>3370.2340681147502</v>
      </c>
      <c r="G285" s="240"/>
      <c r="H285" s="702"/>
      <c r="I285" s="135"/>
      <c r="J285" s="161"/>
      <c r="L285" s="7"/>
      <c r="M285" s="279">
        <f t="shared" ref="M285:W285" si="668">($F285+$G285*курс)*H$85*IF(H$122="Комфорт",1,0)</f>
        <v>0</v>
      </c>
      <c r="N285" s="279">
        <f t="shared" si="668"/>
        <v>0</v>
      </c>
      <c r="O285" s="279">
        <f t="shared" si="668"/>
        <v>0</v>
      </c>
      <c r="P285" s="279">
        <f t="shared" si="668"/>
        <v>0</v>
      </c>
      <c r="Q285" s="279">
        <f t="shared" si="668"/>
        <v>0</v>
      </c>
      <c r="R285" s="279">
        <f t="shared" si="668"/>
        <v>0</v>
      </c>
      <c r="S285" s="279">
        <f t="shared" si="668"/>
        <v>0</v>
      </c>
      <c r="T285" s="279">
        <f t="shared" si="668"/>
        <v>0</v>
      </c>
      <c r="U285" s="279">
        <f t="shared" si="668"/>
        <v>0</v>
      </c>
      <c r="V285" s="279">
        <f t="shared" si="668"/>
        <v>0</v>
      </c>
      <c r="W285" s="279">
        <f t="shared" si="668"/>
        <v>0</v>
      </c>
      <c r="AB285" s="279">
        <f t="shared" ref="AB285:AL285" si="669">$G285*H$85*IF(H$122="Комфорт",1,0)</f>
        <v>0</v>
      </c>
      <c r="AC285" s="279">
        <f t="shared" si="669"/>
        <v>0</v>
      </c>
      <c r="AD285" s="279">
        <f t="shared" si="669"/>
        <v>0</v>
      </c>
      <c r="AE285" s="279">
        <f t="shared" si="669"/>
        <v>0</v>
      </c>
      <c r="AF285" s="279">
        <f t="shared" si="669"/>
        <v>0</v>
      </c>
      <c r="AG285" s="279">
        <f t="shared" si="669"/>
        <v>0</v>
      </c>
      <c r="AH285" s="279">
        <f t="shared" si="669"/>
        <v>0</v>
      </c>
      <c r="AI285" s="279">
        <f t="shared" si="669"/>
        <v>0</v>
      </c>
      <c r="AJ285" s="279">
        <f t="shared" si="669"/>
        <v>0</v>
      </c>
      <c r="AK285" s="279">
        <f t="shared" si="669"/>
        <v>0</v>
      </c>
      <c r="AL285" s="279">
        <f t="shared" si="669"/>
        <v>0</v>
      </c>
    </row>
    <row r="286" spans="1:38" outlineLevel="2">
      <c r="A286" s="15"/>
      <c r="B286" s="718"/>
      <c r="C286" s="983"/>
      <c r="D286" s="943"/>
      <c r="E286" s="113" t="s">
        <v>42</v>
      </c>
      <c r="F286" s="92">
        <f>3577.14966546034*1.01</f>
        <v>3612.9211621149439</v>
      </c>
      <c r="G286" s="238"/>
      <c r="H286" s="702"/>
      <c r="I286" s="135"/>
      <c r="J286" s="161"/>
      <c r="L286" s="7"/>
      <c r="M286" s="289">
        <f t="shared" ref="M286:W286" si="670">($F286+$G286*курс)*H$85*IF(H$122="Бизнес",1,0)</f>
        <v>0</v>
      </c>
      <c r="N286" s="289">
        <f t="shared" si="670"/>
        <v>0</v>
      </c>
      <c r="O286" s="289">
        <f t="shared" si="670"/>
        <v>0</v>
      </c>
      <c r="P286" s="289">
        <f t="shared" si="670"/>
        <v>0</v>
      </c>
      <c r="Q286" s="289">
        <f t="shared" si="670"/>
        <v>0</v>
      </c>
      <c r="R286" s="289">
        <f t="shared" si="670"/>
        <v>0</v>
      </c>
      <c r="S286" s="289">
        <f t="shared" si="670"/>
        <v>0</v>
      </c>
      <c r="T286" s="289">
        <f t="shared" si="670"/>
        <v>0</v>
      </c>
      <c r="U286" s="289">
        <f t="shared" si="670"/>
        <v>0</v>
      </c>
      <c r="V286" s="289">
        <f t="shared" si="670"/>
        <v>0</v>
      </c>
      <c r="W286" s="289">
        <f t="shared" si="670"/>
        <v>0</v>
      </c>
      <c r="AB286" s="289">
        <f t="shared" ref="AB286:AL286" si="671">$G286*H$85*IF(H$122="Бизнес",1,0)</f>
        <v>0</v>
      </c>
      <c r="AC286" s="289">
        <f t="shared" si="671"/>
        <v>0</v>
      </c>
      <c r="AD286" s="289">
        <f t="shared" si="671"/>
        <v>0</v>
      </c>
      <c r="AE286" s="289">
        <f t="shared" si="671"/>
        <v>0</v>
      </c>
      <c r="AF286" s="289">
        <f t="shared" si="671"/>
        <v>0</v>
      </c>
      <c r="AG286" s="289">
        <f t="shared" si="671"/>
        <v>0</v>
      </c>
      <c r="AH286" s="289">
        <f t="shared" si="671"/>
        <v>0</v>
      </c>
      <c r="AI286" s="289">
        <f t="shared" si="671"/>
        <v>0</v>
      </c>
      <c r="AJ286" s="289">
        <f t="shared" si="671"/>
        <v>0</v>
      </c>
      <c r="AK286" s="289">
        <f t="shared" si="671"/>
        <v>0</v>
      </c>
      <c r="AL286" s="289">
        <f t="shared" si="671"/>
        <v>0</v>
      </c>
    </row>
    <row r="287" spans="1:38" outlineLevel="2">
      <c r="A287" s="15"/>
      <c r="B287" s="718"/>
      <c r="C287" s="983"/>
      <c r="D287" s="943"/>
      <c r="E287" s="113" t="s">
        <v>43</v>
      </c>
      <c r="F287" s="92">
        <f>8974.83401909786*1.01</f>
        <v>9064.5823592888391</v>
      </c>
      <c r="G287" s="238"/>
      <c r="H287" s="702"/>
      <c r="I287" s="135"/>
      <c r="J287" s="161"/>
      <c r="L287" s="7"/>
      <c r="M287" s="289">
        <f t="shared" ref="M287:W287" si="672">($F287+$G287*курс)*H$85*IF(H$122="Бизнес+",1,0)</f>
        <v>0</v>
      </c>
      <c r="N287" s="289">
        <f t="shared" si="672"/>
        <v>0</v>
      </c>
      <c r="O287" s="289">
        <f t="shared" si="672"/>
        <v>0</v>
      </c>
      <c r="P287" s="289">
        <f t="shared" si="672"/>
        <v>0</v>
      </c>
      <c r="Q287" s="289">
        <f t="shared" si="672"/>
        <v>0</v>
      </c>
      <c r="R287" s="289">
        <f t="shared" si="672"/>
        <v>0</v>
      </c>
      <c r="S287" s="289">
        <f t="shared" si="672"/>
        <v>0</v>
      </c>
      <c r="T287" s="289">
        <f t="shared" si="672"/>
        <v>0</v>
      </c>
      <c r="U287" s="289">
        <f t="shared" si="672"/>
        <v>0</v>
      </c>
      <c r="V287" s="289">
        <f t="shared" si="672"/>
        <v>0</v>
      </c>
      <c r="W287" s="289">
        <f t="shared" si="672"/>
        <v>0</v>
      </c>
      <c r="AB287" s="289">
        <f t="shared" ref="AB287:AL287" si="673">$G287*H$85*IF(H$122="Бизнес+",1,0)</f>
        <v>0</v>
      </c>
      <c r="AC287" s="289">
        <f t="shared" si="673"/>
        <v>0</v>
      </c>
      <c r="AD287" s="289">
        <f t="shared" si="673"/>
        <v>0</v>
      </c>
      <c r="AE287" s="289">
        <f t="shared" si="673"/>
        <v>0</v>
      </c>
      <c r="AF287" s="289">
        <f t="shared" si="673"/>
        <v>0</v>
      </c>
      <c r="AG287" s="289">
        <f t="shared" si="673"/>
        <v>0</v>
      </c>
      <c r="AH287" s="289">
        <f t="shared" si="673"/>
        <v>0</v>
      </c>
      <c r="AI287" s="289">
        <f t="shared" si="673"/>
        <v>0</v>
      </c>
      <c r="AJ287" s="289">
        <f t="shared" si="673"/>
        <v>0</v>
      </c>
      <c r="AK287" s="289">
        <f t="shared" si="673"/>
        <v>0</v>
      </c>
      <c r="AL287" s="289">
        <f t="shared" si="673"/>
        <v>0</v>
      </c>
    </row>
    <row r="288" spans="1:38" outlineLevel="2">
      <c r="A288" s="15"/>
      <c r="B288" s="718"/>
      <c r="C288" s="983"/>
      <c r="D288" s="943"/>
      <c r="E288" s="298" t="s">
        <v>44</v>
      </c>
      <c r="F288" s="158">
        <f>12658.4706549985*1.01</f>
        <v>12785.055361548486</v>
      </c>
      <c r="G288" s="158">
        <f>39.2398450014271*1.01</f>
        <v>39.632243451441369</v>
      </c>
      <c r="H288" s="702"/>
      <c r="I288" s="135"/>
      <c r="J288" s="161"/>
      <c r="L288" s="7"/>
      <c r="M288" s="289">
        <f t="shared" ref="M288:W288" si="674">($F288+$G288*курс)*H$85*IF(H$122="Премиум",1,0)</f>
        <v>0</v>
      </c>
      <c r="N288" s="289">
        <f t="shared" si="674"/>
        <v>0</v>
      </c>
      <c r="O288" s="289">
        <f t="shared" si="674"/>
        <v>0</v>
      </c>
      <c r="P288" s="289">
        <f t="shared" si="674"/>
        <v>0</v>
      </c>
      <c r="Q288" s="289">
        <f t="shared" si="674"/>
        <v>0</v>
      </c>
      <c r="R288" s="289">
        <f t="shared" si="674"/>
        <v>0</v>
      </c>
      <c r="S288" s="289">
        <f t="shared" si="674"/>
        <v>0</v>
      </c>
      <c r="T288" s="289">
        <f t="shared" si="674"/>
        <v>0</v>
      </c>
      <c r="U288" s="289">
        <f t="shared" si="674"/>
        <v>0</v>
      </c>
      <c r="V288" s="289">
        <f t="shared" si="674"/>
        <v>0</v>
      </c>
      <c r="W288" s="289">
        <f t="shared" si="674"/>
        <v>0</v>
      </c>
      <c r="AB288" s="289">
        <f t="shared" ref="AB288:AL288" si="675">$G288*H$85*IF(H$122="Премиум",1,0)</f>
        <v>0</v>
      </c>
      <c r="AC288" s="289">
        <f t="shared" si="675"/>
        <v>0</v>
      </c>
      <c r="AD288" s="289">
        <f t="shared" si="675"/>
        <v>0</v>
      </c>
      <c r="AE288" s="289">
        <f t="shared" si="675"/>
        <v>0</v>
      </c>
      <c r="AF288" s="289">
        <f t="shared" si="675"/>
        <v>0</v>
      </c>
      <c r="AG288" s="289">
        <f t="shared" si="675"/>
        <v>0</v>
      </c>
      <c r="AH288" s="289">
        <f t="shared" si="675"/>
        <v>0</v>
      </c>
      <c r="AI288" s="289">
        <f t="shared" si="675"/>
        <v>0</v>
      </c>
      <c r="AJ288" s="289">
        <f t="shared" si="675"/>
        <v>0</v>
      </c>
      <c r="AK288" s="289">
        <f t="shared" si="675"/>
        <v>0</v>
      </c>
      <c r="AL288" s="289">
        <f t="shared" si="675"/>
        <v>0</v>
      </c>
    </row>
    <row r="289" spans="1:39" outlineLevel="2">
      <c r="A289" s="15"/>
      <c r="B289" s="719"/>
      <c r="C289" s="984"/>
      <c r="D289" s="944"/>
      <c r="E289" s="39" t="s">
        <v>45</v>
      </c>
      <c r="F289" s="98">
        <f>15511.8605489653*1.01</f>
        <v>15666.979154454953</v>
      </c>
      <c r="G289" s="98">
        <f>295.336735298792*1.01</f>
        <v>298.29010265177993</v>
      </c>
      <c r="H289" s="707"/>
      <c r="I289" s="135"/>
      <c r="J289" s="161"/>
      <c r="L289" s="7"/>
      <c r="M289" s="290">
        <f t="shared" ref="M289:W289" si="676">($F289+$G289*курс)*H$85*IF(H$122="Элит",1,0)</f>
        <v>0</v>
      </c>
      <c r="N289" s="290">
        <f t="shared" si="676"/>
        <v>0</v>
      </c>
      <c r="O289" s="290">
        <f t="shared" si="676"/>
        <v>0</v>
      </c>
      <c r="P289" s="290">
        <f t="shared" si="676"/>
        <v>0</v>
      </c>
      <c r="Q289" s="290">
        <f t="shared" si="676"/>
        <v>0</v>
      </c>
      <c r="R289" s="290">
        <f t="shared" si="676"/>
        <v>0</v>
      </c>
      <c r="S289" s="290">
        <f t="shared" si="676"/>
        <v>0</v>
      </c>
      <c r="T289" s="290">
        <f t="shared" si="676"/>
        <v>0</v>
      </c>
      <c r="U289" s="290">
        <f t="shared" si="676"/>
        <v>0</v>
      </c>
      <c r="V289" s="290">
        <f t="shared" si="676"/>
        <v>0</v>
      </c>
      <c r="W289" s="290">
        <f t="shared" si="676"/>
        <v>0</v>
      </c>
      <c r="AB289" s="290">
        <f t="shared" ref="AB289:AL289" si="677">$G289*H$85*IF(H$122="Элит",1,0)</f>
        <v>0</v>
      </c>
      <c r="AC289" s="290">
        <f t="shared" si="677"/>
        <v>0</v>
      </c>
      <c r="AD289" s="290">
        <f t="shared" si="677"/>
        <v>0</v>
      </c>
      <c r="AE289" s="290">
        <f t="shared" si="677"/>
        <v>0</v>
      </c>
      <c r="AF289" s="290">
        <f t="shared" si="677"/>
        <v>0</v>
      </c>
      <c r="AG289" s="290">
        <f t="shared" si="677"/>
        <v>0</v>
      </c>
      <c r="AH289" s="290">
        <f t="shared" si="677"/>
        <v>0</v>
      </c>
      <c r="AI289" s="290">
        <f t="shared" si="677"/>
        <v>0</v>
      </c>
      <c r="AJ289" s="290">
        <f t="shared" si="677"/>
        <v>0</v>
      </c>
      <c r="AK289" s="290">
        <f t="shared" si="677"/>
        <v>0</v>
      </c>
      <c r="AL289" s="290">
        <f t="shared" si="677"/>
        <v>0</v>
      </c>
    </row>
    <row r="290" spans="1:39" outlineLevel="1">
      <c r="A290" s="15"/>
      <c r="B290" s="717" t="s">
        <v>280</v>
      </c>
      <c r="C290" s="135"/>
      <c r="D290" s="135"/>
      <c r="E290" s="135"/>
      <c r="F290" s="135"/>
      <c r="G290" s="135"/>
      <c r="H290" s="135"/>
      <c r="I290" s="135"/>
      <c r="J290" s="161"/>
      <c r="K290" s="250"/>
      <c r="L290" s="250"/>
      <c r="M290" s="250"/>
      <c r="N290" s="250"/>
      <c r="O290" s="250"/>
      <c r="P290" s="250"/>
      <c r="Q290" s="250"/>
      <c r="R290" s="250"/>
      <c r="S290" s="250"/>
      <c r="T290" s="250"/>
      <c r="U290" s="250"/>
      <c r="V290" s="250"/>
      <c r="W290" s="250"/>
      <c r="X290" s="250"/>
      <c r="Y290" s="250"/>
      <c r="Z290" s="250"/>
      <c r="AA290" s="250"/>
      <c r="AB290" s="250"/>
      <c r="AC290" s="250"/>
      <c r="AD290" s="250"/>
      <c r="AE290" s="250"/>
      <c r="AF290" s="250"/>
      <c r="AG290" s="250"/>
      <c r="AH290" s="250"/>
      <c r="AI290" s="250"/>
      <c r="AJ290" s="250"/>
      <c r="AK290" s="250"/>
      <c r="AL290" s="250"/>
      <c r="AM290" s="250"/>
    </row>
    <row r="291" spans="1:39" ht="30" customHeight="1" outlineLevel="2">
      <c r="A291" s="15"/>
      <c r="B291" s="718"/>
      <c r="C291" s="746" t="s">
        <v>718</v>
      </c>
      <c r="D291" s="112" t="s">
        <v>710</v>
      </c>
      <c r="E291" s="871" t="s">
        <v>327</v>
      </c>
      <c r="F291" s="94">
        <f>16159.0001*1.01</f>
        <v>16320.590101</v>
      </c>
      <c r="G291" s="240"/>
      <c r="H291" s="701" t="s">
        <v>331</v>
      </c>
      <c r="I291" s="135"/>
      <c r="J291" s="135"/>
      <c r="L291" s="7"/>
      <c r="M291" s="409">
        <f t="shared" ref="M291:W291" si="678">($F291+$G291*курс)*H$96</f>
        <v>0</v>
      </c>
      <c r="N291" s="409">
        <f t="shared" si="678"/>
        <v>0</v>
      </c>
      <c r="O291" s="409">
        <f t="shared" si="678"/>
        <v>0</v>
      </c>
      <c r="P291" s="409">
        <f t="shared" si="678"/>
        <v>0</v>
      </c>
      <c r="Q291" s="409">
        <f t="shared" si="678"/>
        <v>0</v>
      </c>
      <c r="R291" s="409">
        <f t="shared" si="678"/>
        <v>0</v>
      </c>
      <c r="S291" s="409">
        <f t="shared" si="678"/>
        <v>0</v>
      </c>
      <c r="T291" s="409">
        <f t="shared" si="678"/>
        <v>0</v>
      </c>
      <c r="U291" s="409">
        <f t="shared" si="678"/>
        <v>0</v>
      </c>
      <c r="V291" s="409">
        <f t="shared" si="678"/>
        <v>0</v>
      </c>
      <c r="W291" s="409">
        <f t="shared" si="678"/>
        <v>0</v>
      </c>
      <c r="AB291" s="409">
        <f>$G291*H$96</f>
        <v>0</v>
      </c>
      <c r="AC291" s="409">
        <f t="shared" ref="AC291:AL291" si="679">$G291*I$96</f>
        <v>0</v>
      </c>
      <c r="AD291" s="409">
        <f t="shared" si="679"/>
        <v>0</v>
      </c>
      <c r="AE291" s="409">
        <f t="shared" si="679"/>
        <v>0</v>
      </c>
      <c r="AF291" s="409">
        <f t="shared" si="679"/>
        <v>0</v>
      </c>
      <c r="AG291" s="409">
        <f t="shared" si="679"/>
        <v>0</v>
      </c>
      <c r="AH291" s="409">
        <f t="shared" si="679"/>
        <v>0</v>
      </c>
      <c r="AI291" s="409">
        <f t="shared" si="679"/>
        <v>0</v>
      </c>
      <c r="AJ291" s="409">
        <f t="shared" si="679"/>
        <v>0</v>
      </c>
      <c r="AK291" s="409">
        <f t="shared" si="679"/>
        <v>0</v>
      </c>
      <c r="AL291" s="409">
        <f t="shared" si="679"/>
        <v>0</v>
      </c>
    </row>
    <row r="292" spans="1:39" outlineLevel="2">
      <c r="A292" s="15"/>
      <c r="B292" s="718"/>
      <c r="C292" s="747"/>
      <c r="D292" s="113" t="s">
        <v>711</v>
      </c>
      <c r="E292" s="872"/>
      <c r="F292" s="92">
        <f>16612.0154*1.01</f>
        <v>16778.135554</v>
      </c>
      <c r="G292" s="238"/>
      <c r="H292" s="702"/>
      <c r="I292" s="135"/>
      <c r="J292" s="135"/>
      <c r="L292" s="7"/>
      <c r="M292" s="289">
        <f t="shared" ref="M292:W292" si="680">($F292+$G292*курс)*H$97</f>
        <v>0</v>
      </c>
      <c r="N292" s="289">
        <f t="shared" si="680"/>
        <v>0</v>
      </c>
      <c r="O292" s="289">
        <f t="shared" si="680"/>
        <v>0</v>
      </c>
      <c r="P292" s="289">
        <f t="shared" si="680"/>
        <v>0</v>
      </c>
      <c r="Q292" s="289">
        <f t="shared" si="680"/>
        <v>0</v>
      </c>
      <c r="R292" s="289">
        <f t="shared" si="680"/>
        <v>0</v>
      </c>
      <c r="S292" s="289">
        <f t="shared" si="680"/>
        <v>0</v>
      </c>
      <c r="T292" s="289">
        <f t="shared" si="680"/>
        <v>0</v>
      </c>
      <c r="U292" s="289">
        <f t="shared" si="680"/>
        <v>0</v>
      </c>
      <c r="V292" s="289">
        <f t="shared" si="680"/>
        <v>0</v>
      </c>
      <c r="W292" s="289">
        <f t="shared" si="680"/>
        <v>0</v>
      </c>
      <c r="AB292" s="289">
        <f>$G292*H$97</f>
        <v>0</v>
      </c>
      <c r="AC292" s="289">
        <f t="shared" ref="AC292:AL292" si="681">$G292*I$97</f>
        <v>0</v>
      </c>
      <c r="AD292" s="289">
        <f t="shared" si="681"/>
        <v>0</v>
      </c>
      <c r="AE292" s="289">
        <f t="shared" si="681"/>
        <v>0</v>
      </c>
      <c r="AF292" s="289">
        <f t="shared" si="681"/>
        <v>0</v>
      </c>
      <c r="AG292" s="289">
        <f t="shared" si="681"/>
        <v>0</v>
      </c>
      <c r="AH292" s="289">
        <f t="shared" si="681"/>
        <v>0</v>
      </c>
      <c r="AI292" s="289">
        <f t="shared" si="681"/>
        <v>0</v>
      </c>
      <c r="AJ292" s="289">
        <f t="shared" si="681"/>
        <v>0</v>
      </c>
      <c r="AK292" s="289">
        <f t="shared" si="681"/>
        <v>0</v>
      </c>
      <c r="AL292" s="289">
        <f t="shared" si="681"/>
        <v>0</v>
      </c>
    </row>
    <row r="293" spans="1:39" outlineLevel="2">
      <c r="A293" s="15"/>
      <c r="B293" s="718"/>
      <c r="C293" s="747"/>
      <c r="D293" s="113" t="s">
        <v>712</v>
      </c>
      <c r="E293" s="872"/>
      <c r="F293" s="92">
        <f>14122.9007*1.01</f>
        <v>14264.129707</v>
      </c>
      <c r="G293" s="238"/>
      <c r="H293" s="702"/>
      <c r="I293" s="135"/>
      <c r="J293" s="135"/>
      <c r="L293" s="7"/>
      <c r="M293" s="289">
        <f t="shared" ref="M293:W293" si="682">($F293+$G293*курс)*H$98</f>
        <v>0</v>
      </c>
      <c r="N293" s="289">
        <f t="shared" si="682"/>
        <v>0</v>
      </c>
      <c r="O293" s="289">
        <f t="shared" si="682"/>
        <v>0</v>
      </c>
      <c r="P293" s="289">
        <f t="shared" si="682"/>
        <v>0</v>
      </c>
      <c r="Q293" s="289">
        <f t="shared" si="682"/>
        <v>0</v>
      </c>
      <c r="R293" s="289">
        <f t="shared" si="682"/>
        <v>0</v>
      </c>
      <c r="S293" s="289">
        <f t="shared" si="682"/>
        <v>0</v>
      </c>
      <c r="T293" s="289">
        <f t="shared" si="682"/>
        <v>0</v>
      </c>
      <c r="U293" s="289">
        <f t="shared" si="682"/>
        <v>0</v>
      </c>
      <c r="V293" s="289">
        <f t="shared" si="682"/>
        <v>0</v>
      </c>
      <c r="W293" s="289">
        <f t="shared" si="682"/>
        <v>0</v>
      </c>
      <c r="AB293" s="289">
        <f>$G293*H$98</f>
        <v>0</v>
      </c>
      <c r="AC293" s="289">
        <f t="shared" ref="AC293:AL293" si="683">$G293*I$98</f>
        <v>0</v>
      </c>
      <c r="AD293" s="289">
        <f t="shared" si="683"/>
        <v>0</v>
      </c>
      <c r="AE293" s="289">
        <f t="shared" si="683"/>
        <v>0</v>
      </c>
      <c r="AF293" s="289">
        <f t="shared" si="683"/>
        <v>0</v>
      </c>
      <c r="AG293" s="289">
        <f t="shared" si="683"/>
        <v>0</v>
      </c>
      <c r="AH293" s="289">
        <f t="shared" si="683"/>
        <v>0</v>
      </c>
      <c r="AI293" s="289">
        <f t="shared" si="683"/>
        <v>0</v>
      </c>
      <c r="AJ293" s="289">
        <f t="shared" si="683"/>
        <v>0</v>
      </c>
      <c r="AK293" s="289">
        <f t="shared" si="683"/>
        <v>0</v>
      </c>
      <c r="AL293" s="289">
        <f t="shared" si="683"/>
        <v>0</v>
      </c>
    </row>
    <row r="294" spans="1:39" outlineLevel="2">
      <c r="A294" s="15"/>
      <c r="B294" s="718"/>
      <c r="C294" s="748"/>
      <c r="D294" s="39" t="s">
        <v>713</v>
      </c>
      <c r="E294" s="873"/>
      <c r="F294" s="98">
        <f>15631.3054*1.01</f>
        <v>15787.618453999999</v>
      </c>
      <c r="G294" s="244"/>
      <c r="H294" s="707"/>
      <c r="I294" s="135"/>
      <c r="J294" s="135"/>
      <c r="L294" s="7"/>
      <c r="M294" s="289">
        <f t="shared" ref="M294:W294" si="684">($F294+$G294*курс)*H$99</f>
        <v>0</v>
      </c>
      <c r="N294" s="289">
        <f t="shared" si="684"/>
        <v>0</v>
      </c>
      <c r="O294" s="289">
        <f t="shared" si="684"/>
        <v>0</v>
      </c>
      <c r="P294" s="289">
        <f t="shared" si="684"/>
        <v>0</v>
      </c>
      <c r="Q294" s="289">
        <f t="shared" si="684"/>
        <v>0</v>
      </c>
      <c r="R294" s="289">
        <f t="shared" si="684"/>
        <v>0</v>
      </c>
      <c r="S294" s="289">
        <f t="shared" si="684"/>
        <v>0</v>
      </c>
      <c r="T294" s="289">
        <f t="shared" si="684"/>
        <v>0</v>
      </c>
      <c r="U294" s="289">
        <f t="shared" si="684"/>
        <v>0</v>
      </c>
      <c r="V294" s="289">
        <f t="shared" si="684"/>
        <v>0</v>
      </c>
      <c r="W294" s="289">
        <f t="shared" si="684"/>
        <v>0</v>
      </c>
      <c r="AB294" s="289">
        <f>$G294*H$99</f>
        <v>0</v>
      </c>
      <c r="AC294" s="289">
        <f t="shared" ref="AC294:AL294" si="685">$G294*I$99</f>
        <v>0</v>
      </c>
      <c r="AD294" s="289">
        <f t="shared" si="685"/>
        <v>0</v>
      </c>
      <c r="AE294" s="289">
        <f t="shared" si="685"/>
        <v>0</v>
      </c>
      <c r="AF294" s="289">
        <f t="shared" si="685"/>
        <v>0</v>
      </c>
      <c r="AG294" s="289">
        <f t="shared" si="685"/>
        <v>0</v>
      </c>
      <c r="AH294" s="289">
        <f t="shared" si="685"/>
        <v>0</v>
      </c>
      <c r="AI294" s="289">
        <f t="shared" si="685"/>
        <v>0</v>
      </c>
      <c r="AJ294" s="289">
        <f t="shared" si="685"/>
        <v>0</v>
      </c>
      <c r="AK294" s="289">
        <f t="shared" si="685"/>
        <v>0</v>
      </c>
      <c r="AL294" s="289">
        <f t="shared" si="685"/>
        <v>0</v>
      </c>
    </row>
    <row r="295" spans="1:39" ht="15.75" customHeight="1" outlineLevel="2">
      <c r="A295" s="15"/>
      <c r="B295" s="718"/>
      <c r="C295" s="746" t="s">
        <v>511</v>
      </c>
      <c r="D295" s="166" t="s">
        <v>32</v>
      </c>
      <c r="E295" s="149" t="s">
        <v>327</v>
      </c>
      <c r="F295" s="108">
        <f>43454.6409425662*1.01</f>
        <v>43889.187351991859</v>
      </c>
      <c r="G295" s="237"/>
      <c r="H295" s="701" t="s">
        <v>514</v>
      </c>
      <c r="I295" s="135"/>
      <c r="J295" s="135"/>
      <c r="L295" s="7"/>
      <c r="M295" s="279">
        <f t="shared" ref="M295:W295" si="686">($F295+$G295*курс)*H$86*IF(H$122="Комфорт",1,0)</f>
        <v>0</v>
      </c>
      <c r="N295" s="279">
        <f t="shared" si="686"/>
        <v>0</v>
      </c>
      <c r="O295" s="279">
        <f t="shared" si="686"/>
        <v>0</v>
      </c>
      <c r="P295" s="279">
        <f t="shared" si="686"/>
        <v>0</v>
      </c>
      <c r="Q295" s="279">
        <f t="shared" si="686"/>
        <v>0</v>
      </c>
      <c r="R295" s="279">
        <f t="shared" si="686"/>
        <v>0</v>
      </c>
      <c r="S295" s="279">
        <f t="shared" si="686"/>
        <v>0</v>
      </c>
      <c r="T295" s="279">
        <f t="shared" si="686"/>
        <v>0</v>
      </c>
      <c r="U295" s="279">
        <f t="shared" si="686"/>
        <v>0</v>
      </c>
      <c r="V295" s="279">
        <f t="shared" si="686"/>
        <v>0</v>
      </c>
      <c r="W295" s="279">
        <f t="shared" si="686"/>
        <v>0</v>
      </c>
      <c r="AB295" s="279">
        <f t="shared" ref="AB295:AL295" si="687">$G295*H$86*IF(H$122="Комфорт",1,0)</f>
        <v>0</v>
      </c>
      <c r="AC295" s="279">
        <f t="shared" si="687"/>
        <v>0</v>
      </c>
      <c r="AD295" s="279">
        <f t="shared" si="687"/>
        <v>0</v>
      </c>
      <c r="AE295" s="279">
        <f t="shared" si="687"/>
        <v>0</v>
      </c>
      <c r="AF295" s="279">
        <f t="shared" si="687"/>
        <v>0</v>
      </c>
      <c r="AG295" s="279">
        <f t="shared" si="687"/>
        <v>0</v>
      </c>
      <c r="AH295" s="279">
        <f t="shared" si="687"/>
        <v>0</v>
      </c>
      <c r="AI295" s="279">
        <f t="shared" si="687"/>
        <v>0</v>
      </c>
      <c r="AJ295" s="279">
        <f t="shared" si="687"/>
        <v>0</v>
      </c>
      <c r="AK295" s="279">
        <f t="shared" si="687"/>
        <v>0</v>
      </c>
      <c r="AL295" s="279">
        <f t="shared" si="687"/>
        <v>0</v>
      </c>
    </row>
    <row r="296" spans="1:39" outlineLevel="2">
      <c r="A296" s="15"/>
      <c r="B296" s="718"/>
      <c r="C296" s="747"/>
      <c r="D296" s="113" t="s">
        <v>42</v>
      </c>
      <c r="E296" s="150" t="s">
        <v>327</v>
      </c>
      <c r="F296" s="92">
        <f>48684.7013139037*1.01</f>
        <v>49171.548327042736</v>
      </c>
      <c r="G296" s="238"/>
      <c r="H296" s="702"/>
      <c r="I296" s="135"/>
      <c r="J296" s="135"/>
      <c r="L296" s="7"/>
      <c r="M296" s="289">
        <f t="shared" ref="M296:W296" si="688">($F296+$G296*курс)*H$86*IF(H$122="Бизнес",1,0)</f>
        <v>0</v>
      </c>
      <c r="N296" s="289">
        <f t="shared" si="688"/>
        <v>0</v>
      </c>
      <c r="O296" s="289">
        <f t="shared" si="688"/>
        <v>0</v>
      </c>
      <c r="P296" s="289">
        <f t="shared" si="688"/>
        <v>0</v>
      </c>
      <c r="Q296" s="289">
        <f t="shared" si="688"/>
        <v>0</v>
      </c>
      <c r="R296" s="289">
        <f t="shared" si="688"/>
        <v>0</v>
      </c>
      <c r="S296" s="289">
        <f t="shared" si="688"/>
        <v>0</v>
      </c>
      <c r="T296" s="289">
        <f t="shared" si="688"/>
        <v>0</v>
      </c>
      <c r="U296" s="289">
        <f t="shared" si="688"/>
        <v>0</v>
      </c>
      <c r="V296" s="289">
        <f t="shared" si="688"/>
        <v>0</v>
      </c>
      <c r="W296" s="289">
        <f t="shared" si="688"/>
        <v>0</v>
      </c>
      <c r="AB296" s="289">
        <f t="shared" ref="AB296:AL296" si="689">$G296*H$86*IF(H$122="Бизнес",1,0)</f>
        <v>0</v>
      </c>
      <c r="AC296" s="289">
        <f t="shared" si="689"/>
        <v>0</v>
      </c>
      <c r="AD296" s="289">
        <f t="shared" si="689"/>
        <v>0</v>
      </c>
      <c r="AE296" s="289">
        <f t="shared" si="689"/>
        <v>0</v>
      </c>
      <c r="AF296" s="289">
        <f t="shared" si="689"/>
        <v>0</v>
      </c>
      <c r="AG296" s="289">
        <f t="shared" si="689"/>
        <v>0</v>
      </c>
      <c r="AH296" s="289">
        <f t="shared" si="689"/>
        <v>0</v>
      </c>
      <c r="AI296" s="289">
        <f t="shared" si="689"/>
        <v>0</v>
      </c>
      <c r="AJ296" s="289">
        <f t="shared" si="689"/>
        <v>0</v>
      </c>
      <c r="AK296" s="289">
        <f t="shared" si="689"/>
        <v>0</v>
      </c>
      <c r="AL296" s="289">
        <f t="shared" si="689"/>
        <v>0</v>
      </c>
    </row>
    <row r="297" spans="1:39" outlineLevel="2">
      <c r="A297" s="15"/>
      <c r="B297" s="718"/>
      <c r="C297" s="747"/>
      <c r="D297" s="113" t="s">
        <v>43</v>
      </c>
      <c r="E297" s="150" t="s">
        <v>327</v>
      </c>
      <c r="F297" s="92">
        <f>91253.2418990623*1.01</f>
        <v>92165.774318052921</v>
      </c>
      <c r="G297" s="238"/>
      <c r="H297" s="702"/>
      <c r="I297" s="135"/>
      <c r="J297" s="135"/>
      <c r="L297" s="7"/>
      <c r="M297" s="289">
        <f t="shared" ref="M297:W297" si="690">($F297+$G297*курс)*H$86*IF(H$122="Бизнес+",1,0)</f>
        <v>0</v>
      </c>
      <c r="N297" s="289">
        <f t="shared" si="690"/>
        <v>0</v>
      </c>
      <c r="O297" s="289">
        <f t="shared" si="690"/>
        <v>0</v>
      </c>
      <c r="P297" s="289">
        <f t="shared" si="690"/>
        <v>0</v>
      </c>
      <c r="Q297" s="289">
        <f t="shared" si="690"/>
        <v>0</v>
      </c>
      <c r="R297" s="289">
        <f t="shared" si="690"/>
        <v>0</v>
      </c>
      <c r="S297" s="289">
        <f t="shared" si="690"/>
        <v>0</v>
      </c>
      <c r="T297" s="289">
        <f t="shared" si="690"/>
        <v>0</v>
      </c>
      <c r="U297" s="289">
        <f t="shared" si="690"/>
        <v>0</v>
      </c>
      <c r="V297" s="289">
        <f t="shared" si="690"/>
        <v>0</v>
      </c>
      <c r="W297" s="289">
        <f t="shared" si="690"/>
        <v>0</v>
      </c>
      <c r="AB297" s="289">
        <f t="shared" ref="AB297:AL297" si="691">$G297*H$86*IF(H$122="Бизнес+",1,0)</f>
        <v>0</v>
      </c>
      <c r="AC297" s="289">
        <f t="shared" si="691"/>
        <v>0</v>
      </c>
      <c r="AD297" s="289">
        <f t="shared" si="691"/>
        <v>0</v>
      </c>
      <c r="AE297" s="289">
        <f t="shared" si="691"/>
        <v>0</v>
      </c>
      <c r="AF297" s="289">
        <f t="shared" si="691"/>
        <v>0</v>
      </c>
      <c r="AG297" s="289">
        <f t="shared" si="691"/>
        <v>0</v>
      </c>
      <c r="AH297" s="289">
        <f t="shared" si="691"/>
        <v>0</v>
      </c>
      <c r="AI297" s="289">
        <f t="shared" si="691"/>
        <v>0</v>
      </c>
      <c r="AJ297" s="289">
        <f t="shared" si="691"/>
        <v>0</v>
      </c>
      <c r="AK297" s="289">
        <f t="shared" si="691"/>
        <v>0</v>
      </c>
      <c r="AL297" s="289">
        <f t="shared" si="691"/>
        <v>0</v>
      </c>
    </row>
    <row r="298" spans="1:39" outlineLevel="2">
      <c r="A298" s="15"/>
      <c r="B298" s="718"/>
      <c r="C298" s="747"/>
      <c r="D298" s="298" t="s">
        <v>44</v>
      </c>
      <c r="E298" s="280" t="s">
        <v>327</v>
      </c>
      <c r="F298" s="158">
        <f>95462.5467339679*1.01</f>
        <v>96417.172201307578</v>
      </c>
      <c r="G298" s="158">
        <f>195.709445305458*1.01</f>
        <v>197.66653975851258</v>
      </c>
      <c r="H298" s="702"/>
      <c r="I298" s="135"/>
      <c r="J298" s="135"/>
      <c r="L298" s="7"/>
      <c r="M298" s="289">
        <f t="shared" ref="M298:W298" si="692">($F298+$G298*курс)*H$86*IF(H$122="Премиум",1,0)</f>
        <v>0</v>
      </c>
      <c r="N298" s="289">
        <f t="shared" si="692"/>
        <v>0</v>
      </c>
      <c r="O298" s="289">
        <f t="shared" si="692"/>
        <v>0</v>
      </c>
      <c r="P298" s="289">
        <f t="shared" si="692"/>
        <v>0</v>
      </c>
      <c r="Q298" s="289">
        <f t="shared" si="692"/>
        <v>0</v>
      </c>
      <c r="R298" s="289">
        <f t="shared" si="692"/>
        <v>0</v>
      </c>
      <c r="S298" s="289">
        <f t="shared" si="692"/>
        <v>0</v>
      </c>
      <c r="T298" s="289">
        <f t="shared" si="692"/>
        <v>0</v>
      </c>
      <c r="U298" s="289">
        <f t="shared" si="692"/>
        <v>0</v>
      </c>
      <c r="V298" s="289">
        <f t="shared" si="692"/>
        <v>0</v>
      </c>
      <c r="W298" s="289">
        <f t="shared" si="692"/>
        <v>0</v>
      </c>
      <c r="AB298" s="289">
        <f t="shared" ref="AB298:AL298" si="693">$G298*H$86*IF(H$122="Премиум",1,0)</f>
        <v>0</v>
      </c>
      <c r="AC298" s="289">
        <f t="shared" si="693"/>
        <v>0</v>
      </c>
      <c r="AD298" s="289">
        <f t="shared" si="693"/>
        <v>0</v>
      </c>
      <c r="AE298" s="289">
        <f t="shared" si="693"/>
        <v>0</v>
      </c>
      <c r="AF298" s="289">
        <f t="shared" si="693"/>
        <v>0</v>
      </c>
      <c r="AG298" s="289">
        <f t="shared" si="693"/>
        <v>0</v>
      </c>
      <c r="AH298" s="289">
        <f t="shared" si="693"/>
        <v>0</v>
      </c>
      <c r="AI298" s="289">
        <f t="shared" si="693"/>
        <v>0</v>
      </c>
      <c r="AJ298" s="289">
        <f t="shared" si="693"/>
        <v>0</v>
      </c>
      <c r="AK298" s="289">
        <f t="shared" si="693"/>
        <v>0</v>
      </c>
      <c r="AL298" s="289">
        <f t="shared" si="693"/>
        <v>0</v>
      </c>
    </row>
    <row r="299" spans="1:39" outlineLevel="2">
      <c r="A299" s="15"/>
      <c r="B299" s="718"/>
      <c r="C299" s="747"/>
      <c r="D299" s="39" t="s">
        <v>45</v>
      </c>
      <c r="E299" s="280" t="s">
        <v>327</v>
      </c>
      <c r="F299" s="98">
        <f>110799.252477184*1.01</f>
        <v>111907.24500195583</v>
      </c>
      <c r="G299" s="98">
        <f>1453.88376227278*1.01</f>
        <v>1468.4225998955078</v>
      </c>
      <c r="H299" s="702"/>
      <c r="I299" s="135"/>
      <c r="J299" s="135"/>
      <c r="L299" s="7"/>
      <c r="M299" s="290">
        <f t="shared" ref="M299:W299" si="694">($F299+$G299*курс)*H$86*IF(H$122="Элит",1,0)</f>
        <v>0</v>
      </c>
      <c r="N299" s="290">
        <f t="shared" si="694"/>
        <v>0</v>
      </c>
      <c r="O299" s="290">
        <f t="shared" si="694"/>
        <v>0</v>
      </c>
      <c r="P299" s="290">
        <f t="shared" si="694"/>
        <v>0</v>
      </c>
      <c r="Q299" s="290">
        <f t="shared" si="694"/>
        <v>0</v>
      </c>
      <c r="R299" s="290">
        <f t="shared" si="694"/>
        <v>0</v>
      </c>
      <c r="S299" s="290">
        <f t="shared" si="694"/>
        <v>0</v>
      </c>
      <c r="T299" s="290">
        <f t="shared" si="694"/>
        <v>0</v>
      </c>
      <c r="U299" s="290">
        <f t="shared" si="694"/>
        <v>0</v>
      </c>
      <c r="V299" s="290">
        <f t="shared" si="694"/>
        <v>0</v>
      </c>
      <c r="W299" s="290">
        <f t="shared" si="694"/>
        <v>0</v>
      </c>
      <c r="AB299" s="290">
        <f t="shared" ref="AB299:AL299" si="695">$G299*H$86*IF(H$122="Элит",1,0)</f>
        <v>0</v>
      </c>
      <c r="AC299" s="290">
        <f t="shared" si="695"/>
        <v>0</v>
      </c>
      <c r="AD299" s="290">
        <f t="shared" si="695"/>
        <v>0</v>
      </c>
      <c r="AE299" s="290">
        <f t="shared" si="695"/>
        <v>0</v>
      </c>
      <c r="AF299" s="290">
        <f t="shared" si="695"/>
        <v>0</v>
      </c>
      <c r="AG299" s="290">
        <f t="shared" si="695"/>
        <v>0</v>
      </c>
      <c r="AH299" s="290">
        <f t="shared" si="695"/>
        <v>0</v>
      </c>
      <c r="AI299" s="290">
        <f t="shared" si="695"/>
        <v>0</v>
      </c>
      <c r="AJ299" s="290">
        <f t="shared" si="695"/>
        <v>0</v>
      </c>
      <c r="AK299" s="290">
        <f t="shared" si="695"/>
        <v>0</v>
      </c>
      <c r="AL299" s="290">
        <f t="shared" si="695"/>
        <v>0</v>
      </c>
    </row>
    <row r="300" spans="1:39" outlineLevel="2">
      <c r="A300" s="15"/>
      <c r="B300" s="718"/>
      <c r="C300" s="747"/>
      <c r="D300" s="166" t="s">
        <v>710</v>
      </c>
      <c r="E300" s="871" t="s">
        <v>327</v>
      </c>
      <c r="F300" s="108">
        <f>21967.8636*1.01</f>
        <v>22187.542236000001</v>
      </c>
      <c r="G300" s="237"/>
      <c r="H300" s="702"/>
      <c r="I300" s="135"/>
      <c r="J300" s="135"/>
      <c r="L300" s="7"/>
      <c r="M300" s="409">
        <f t="shared" ref="M300:W300" si="696">($F300+$G300*курс)*H$100</f>
        <v>0</v>
      </c>
      <c r="N300" s="409">
        <f t="shared" si="696"/>
        <v>0</v>
      </c>
      <c r="O300" s="409">
        <f t="shared" si="696"/>
        <v>0</v>
      </c>
      <c r="P300" s="409">
        <f t="shared" si="696"/>
        <v>0</v>
      </c>
      <c r="Q300" s="409">
        <f t="shared" si="696"/>
        <v>0</v>
      </c>
      <c r="R300" s="409">
        <f t="shared" si="696"/>
        <v>0</v>
      </c>
      <c r="S300" s="409">
        <f t="shared" si="696"/>
        <v>0</v>
      </c>
      <c r="T300" s="409">
        <f t="shared" si="696"/>
        <v>0</v>
      </c>
      <c r="U300" s="409">
        <f t="shared" si="696"/>
        <v>0</v>
      </c>
      <c r="V300" s="409">
        <f t="shared" si="696"/>
        <v>0</v>
      </c>
      <c r="W300" s="409">
        <f t="shared" si="696"/>
        <v>0</v>
      </c>
      <c r="AB300" s="409">
        <f>$G300*H$100</f>
        <v>0</v>
      </c>
      <c r="AC300" s="409">
        <f t="shared" ref="AC300:AL300" si="697">$G300*I$100</f>
        <v>0</v>
      </c>
      <c r="AD300" s="409">
        <f t="shared" si="697"/>
        <v>0</v>
      </c>
      <c r="AE300" s="409">
        <f t="shared" si="697"/>
        <v>0</v>
      </c>
      <c r="AF300" s="409">
        <f t="shared" si="697"/>
        <v>0</v>
      </c>
      <c r="AG300" s="409">
        <f t="shared" si="697"/>
        <v>0</v>
      </c>
      <c r="AH300" s="409">
        <f t="shared" si="697"/>
        <v>0</v>
      </c>
      <c r="AI300" s="409">
        <f t="shared" si="697"/>
        <v>0</v>
      </c>
      <c r="AJ300" s="409">
        <f t="shared" si="697"/>
        <v>0</v>
      </c>
      <c r="AK300" s="409">
        <f t="shared" si="697"/>
        <v>0</v>
      </c>
      <c r="AL300" s="409">
        <f t="shared" si="697"/>
        <v>0</v>
      </c>
    </row>
    <row r="301" spans="1:39" outlineLevel="2">
      <c r="A301" s="15"/>
      <c r="B301" s="718"/>
      <c r="C301" s="747"/>
      <c r="D301" s="113" t="s">
        <v>711</v>
      </c>
      <c r="E301" s="872"/>
      <c r="F301" s="92">
        <f>23043.9277*1.01</f>
        <v>23274.366977000001</v>
      </c>
      <c r="G301" s="238"/>
      <c r="H301" s="702"/>
      <c r="I301" s="135"/>
      <c r="J301" s="135"/>
      <c r="L301" s="7"/>
      <c r="M301" s="289">
        <f t="shared" ref="M301:W301" si="698">($F301+$G301*курс)*H$101</f>
        <v>0</v>
      </c>
      <c r="N301" s="289">
        <f t="shared" si="698"/>
        <v>0</v>
      </c>
      <c r="O301" s="289">
        <f t="shared" si="698"/>
        <v>0</v>
      </c>
      <c r="P301" s="289">
        <f t="shared" si="698"/>
        <v>0</v>
      </c>
      <c r="Q301" s="289">
        <f t="shared" si="698"/>
        <v>0</v>
      </c>
      <c r="R301" s="289">
        <f t="shared" si="698"/>
        <v>0</v>
      </c>
      <c r="S301" s="289">
        <f t="shared" si="698"/>
        <v>0</v>
      </c>
      <c r="T301" s="289">
        <f t="shared" si="698"/>
        <v>0</v>
      </c>
      <c r="U301" s="289">
        <f t="shared" si="698"/>
        <v>0</v>
      </c>
      <c r="V301" s="289">
        <f t="shared" si="698"/>
        <v>0</v>
      </c>
      <c r="W301" s="289">
        <f t="shared" si="698"/>
        <v>0</v>
      </c>
      <c r="AB301" s="289">
        <f>$G301*H$101</f>
        <v>0</v>
      </c>
      <c r="AC301" s="289">
        <f t="shared" ref="AC301:AL301" si="699">$G301*I$101</f>
        <v>0</v>
      </c>
      <c r="AD301" s="289">
        <f t="shared" si="699"/>
        <v>0</v>
      </c>
      <c r="AE301" s="289">
        <f t="shared" si="699"/>
        <v>0</v>
      </c>
      <c r="AF301" s="289">
        <f t="shared" si="699"/>
        <v>0</v>
      </c>
      <c r="AG301" s="289">
        <f t="shared" si="699"/>
        <v>0</v>
      </c>
      <c r="AH301" s="289">
        <f t="shared" si="699"/>
        <v>0</v>
      </c>
      <c r="AI301" s="289">
        <f t="shared" si="699"/>
        <v>0</v>
      </c>
      <c r="AJ301" s="289">
        <f t="shared" si="699"/>
        <v>0</v>
      </c>
      <c r="AK301" s="289">
        <f t="shared" si="699"/>
        <v>0</v>
      </c>
      <c r="AL301" s="289">
        <f t="shared" si="699"/>
        <v>0</v>
      </c>
    </row>
    <row r="302" spans="1:39" outlineLevel="2">
      <c r="A302" s="15"/>
      <c r="B302" s="718"/>
      <c r="C302" s="747"/>
      <c r="D302" s="113" t="s">
        <v>712</v>
      </c>
      <c r="E302" s="872"/>
      <c r="F302" s="92">
        <f>19553.8525*1.01</f>
        <v>19749.391025000001</v>
      </c>
      <c r="G302" s="238"/>
      <c r="H302" s="702"/>
      <c r="I302" s="135"/>
      <c r="J302" s="135"/>
      <c r="L302" s="7"/>
      <c r="M302" s="289">
        <f t="shared" ref="M302:W302" si="700">($F302+$G302*курс)*H$102</f>
        <v>0</v>
      </c>
      <c r="N302" s="289">
        <f t="shared" si="700"/>
        <v>0</v>
      </c>
      <c r="O302" s="289">
        <f t="shared" si="700"/>
        <v>0</v>
      </c>
      <c r="P302" s="289">
        <f t="shared" si="700"/>
        <v>0</v>
      </c>
      <c r="Q302" s="289">
        <f t="shared" si="700"/>
        <v>0</v>
      </c>
      <c r="R302" s="289">
        <f t="shared" si="700"/>
        <v>0</v>
      </c>
      <c r="S302" s="289">
        <f t="shared" si="700"/>
        <v>0</v>
      </c>
      <c r="T302" s="289">
        <f t="shared" si="700"/>
        <v>0</v>
      </c>
      <c r="U302" s="289">
        <f t="shared" si="700"/>
        <v>0</v>
      </c>
      <c r="V302" s="289">
        <f t="shared" si="700"/>
        <v>0</v>
      </c>
      <c r="W302" s="289">
        <f t="shared" si="700"/>
        <v>0</v>
      </c>
      <c r="AB302" s="289">
        <f>$G302*H$102</f>
        <v>0</v>
      </c>
      <c r="AC302" s="289">
        <f t="shared" ref="AC302:AL302" si="701">$G302*I$102</f>
        <v>0</v>
      </c>
      <c r="AD302" s="289">
        <f t="shared" si="701"/>
        <v>0</v>
      </c>
      <c r="AE302" s="289">
        <f t="shared" si="701"/>
        <v>0</v>
      </c>
      <c r="AF302" s="289">
        <f t="shared" si="701"/>
        <v>0</v>
      </c>
      <c r="AG302" s="289">
        <f t="shared" si="701"/>
        <v>0</v>
      </c>
      <c r="AH302" s="289">
        <f t="shared" si="701"/>
        <v>0</v>
      </c>
      <c r="AI302" s="289">
        <f t="shared" si="701"/>
        <v>0</v>
      </c>
      <c r="AJ302" s="289">
        <f t="shared" si="701"/>
        <v>0</v>
      </c>
      <c r="AK302" s="289">
        <f t="shared" si="701"/>
        <v>0</v>
      </c>
      <c r="AL302" s="289">
        <f t="shared" si="701"/>
        <v>0</v>
      </c>
    </row>
    <row r="303" spans="1:39" outlineLevel="2">
      <c r="A303" s="15"/>
      <c r="B303" s="718"/>
      <c r="C303" s="748"/>
      <c r="D303" s="39" t="s">
        <v>713</v>
      </c>
      <c r="E303" s="873"/>
      <c r="F303" s="98">
        <f>21521.8812666666*1.01</f>
        <v>21737.100079333268</v>
      </c>
      <c r="G303" s="244"/>
      <c r="H303" s="707"/>
      <c r="I303" s="135"/>
      <c r="J303" s="161"/>
      <c r="L303" s="7"/>
      <c r="M303" s="290">
        <f t="shared" ref="M303:W303" si="702">($F303+$G303*курс)*H$103</f>
        <v>0</v>
      </c>
      <c r="N303" s="290">
        <f t="shared" si="702"/>
        <v>0</v>
      </c>
      <c r="O303" s="290">
        <f t="shared" si="702"/>
        <v>0</v>
      </c>
      <c r="P303" s="290">
        <f t="shared" si="702"/>
        <v>0</v>
      </c>
      <c r="Q303" s="290">
        <f t="shared" si="702"/>
        <v>0</v>
      </c>
      <c r="R303" s="290">
        <f t="shared" si="702"/>
        <v>0</v>
      </c>
      <c r="S303" s="290">
        <f t="shared" si="702"/>
        <v>0</v>
      </c>
      <c r="T303" s="290">
        <f t="shared" si="702"/>
        <v>0</v>
      </c>
      <c r="U303" s="290">
        <f t="shared" si="702"/>
        <v>0</v>
      </c>
      <c r="V303" s="290">
        <f t="shared" si="702"/>
        <v>0</v>
      </c>
      <c r="W303" s="290">
        <f t="shared" si="702"/>
        <v>0</v>
      </c>
      <c r="AB303" s="290">
        <f>$G303*H$103</f>
        <v>0</v>
      </c>
      <c r="AC303" s="290">
        <f t="shared" ref="AC303:AL303" si="703">$G303*I$103</f>
        <v>0</v>
      </c>
      <c r="AD303" s="290">
        <f t="shared" si="703"/>
        <v>0</v>
      </c>
      <c r="AE303" s="290">
        <f t="shared" si="703"/>
        <v>0</v>
      </c>
      <c r="AF303" s="290">
        <f t="shared" si="703"/>
        <v>0</v>
      </c>
      <c r="AG303" s="290">
        <f t="shared" si="703"/>
        <v>0</v>
      </c>
      <c r="AH303" s="290">
        <f t="shared" si="703"/>
        <v>0</v>
      </c>
      <c r="AI303" s="290">
        <f t="shared" si="703"/>
        <v>0</v>
      </c>
      <c r="AJ303" s="290">
        <f t="shared" si="703"/>
        <v>0</v>
      </c>
      <c r="AK303" s="290">
        <f t="shared" si="703"/>
        <v>0</v>
      </c>
      <c r="AL303" s="290">
        <f t="shared" si="703"/>
        <v>0</v>
      </c>
    </row>
    <row r="304" spans="1:39" ht="31.5" customHeight="1" outlineLevel="2">
      <c r="A304" s="15"/>
      <c r="B304" s="718"/>
      <c r="C304" s="746" t="s">
        <v>96</v>
      </c>
      <c r="D304" s="699" t="s">
        <v>861</v>
      </c>
      <c r="E304" s="141" t="s">
        <v>279</v>
      </c>
      <c r="F304" s="94">
        <f>291437.983156556*1.01</f>
        <v>294352.36298812152</v>
      </c>
      <c r="G304" s="240"/>
      <c r="H304" s="701" t="s">
        <v>862</v>
      </c>
      <c r="I304" s="135"/>
      <c r="J304" s="161"/>
      <c r="L304" s="7"/>
      <c r="M304" s="289">
        <f t="shared" ref="M304:W304" si="704">($F304+$G304*курс)*H87*IF(H88="до 4,8",1,0)*(IF(H$122="Комфорт",1,0)+IF(H$122="Бизнес",1,0)+IF(H$122="Бизнес+",1,0))</f>
        <v>3826580.7188455798</v>
      </c>
      <c r="N304" s="289">
        <f t="shared" si="704"/>
        <v>2354818.9039049721</v>
      </c>
      <c r="O304" s="289">
        <f t="shared" si="704"/>
        <v>3826580.7188455798</v>
      </c>
      <c r="P304" s="289">
        <f t="shared" si="704"/>
        <v>0</v>
      </c>
      <c r="Q304" s="289">
        <f t="shared" si="704"/>
        <v>0</v>
      </c>
      <c r="R304" s="289">
        <f t="shared" si="704"/>
        <v>0</v>
      </c>
      <c r="S304" s="289">
        <f t="shared" si="704"/>
        <v>0</v>
      </c>
      <c r="T304" s="289">
        <f t="shared" si="704"/>
        <v>0</v>
      </c>
      <c r="U304" s="289">
        <f t="shared" si="704"/>
        <v>0</v>
      </c>
      <c r="V304" s="289">
        <f t="shared" si="704"/>
        <v>0</v>
      </c>
      <c r="W304" s="289">
        <f t="shared" si="704"/>
        <v>0</v>
      </c>
    </row>
    <row r="305" spans="1:39" outlineLevel="2">
      <c r="A305" s="15"/>
      <c r="B305" s="718"/>
      <c r="C305" s="747"/>
      <c r="D305" s="700"/>
      <c r="E305" s="450" t="s">
        <v>277</v>
      </c>
      <c r="F305" s="95">
        <f>499927.571740225*1.01</f>
        <v>504926.84745762724</v>
      </c>
      <c r="G305" s="239"/>
      <c r="H305" s="702"/>
      <c r="I305" s="135"/>
      <c r="J305" s="161"/>
      <c r="K305" s="250"/>
      <c r="L305" s="250"/>
      <c r="M305" s="503">
        <f t="shared" ref="M305:W305" si="705">($F305+$G305*курс)*H87*IF(H88="до 4,8",1,0)*(IF(H$122="Премиум",1,0)+IF(H$122="Элит",1,0))</f>
        <v>0</v>
      </c>
      <c r="N305" s="289">
        <f t="shared" si="705"/>
        <v>0</v>
      </c>
      <c r="O305" s="289">
        <f t="shared" si="705"/>
        <v>0</v>
      </c>
      <c r="P305" s="289">
        <f t="shared" si="705"/>
        <v>0</v>
      </c>
      <c r="Q305" s="289">
        <f t="shared" si="705"/>
        <v>0</v>
      </c>
      <c r="R305" s="289">
        <f t="shared" si="705"/>
        <v>0</v>
      </c>
      <c r="S305" s="289">
        <f t="shared" si="705"/>
        <v>0</v>
      </c>
      <c r="T305" s="289">
        <f t="shared" si="705"/>
        <v>0</v>
      </c>
      <c r="U305" s="289">
        <f t="shared" si="705"/>
        <v>0</v>
      </c>
      <c r="V305" s="289">
        <f t="shared" si="705"/>
        <v>0</v>
      </c>
      <c r="W305" s="289">
        <f t="shared" si="705"/>
        <v>0</v>
      </c>
    </row>
    <row r="306" spans="1:39" ht="31.5" customHeight="1" outlineLevel="2">
      <c r="A306" s="15"/>
      <c r="B306" s="718"/>
      <c r="C306" s="747"/>
      <c r="D306" s="699" t="s">
        <v>863</v>
      </c>
      <c r="E306" s="141" t="s">
        <v>279</v>
      </c>
      <c r="F306" s="94">
        <f>224716.356037912*1.01</f>
        <v>226963.51959829111</v>
      </c>
      <c r="G306" s="240"/>
      <c r="H306" s="702"/>
      <c r="I306" s="135"/>
      <c r="J306" s="161"/>
      <c r="K306" s="250"/>
      <c r="L306" s="250"/>
      <c r="M306" s="504">
        <f t="shared" ref="M306:W306" si="706">($F306+$G306*курс)*H87*IF(H88="до 3,2",1,0)*(IF(H$122="Комфорт",1,0)+IF(H$122="Бизнес",1,0)+IF(H$122="Бизнес+",1,0))</f>
        <v>0</v>
      </c>
      <c r="N306" s="504">
        <f t="shared" si="706"/>
        <v>0</v>
      </c>
      <c r="O306" s="504">
        <f t="shared" si="706"/>
        <v>0</v>
      </c>
      <c r="P306" s="504">
        <f t="shared" si="706"/>
        <v>0</v>
      </c>
      <c r="Q306" s="504">
        <f t="shared" si="706"/>
        <v>0</v>
      </c>
      <c r="R306" s="504">
        <f t="shared" si="706"/>
        <v>0</v>
      </c>
      <c r="S306" s="504">
        <f t="shared" si="706"/>
        <v>0</v>
      </c>
      <c r="T306" s="504">
        <f t="shared" si="706"/>
        <v>0</v>
      </c>
      <c r="U306" s="504">
        <f t="shared" si="706"/>
        <v>0</v>
      </c>
      <c r="V306" s="504">
        <f t="shared" si="706"/>
        <v>0</v>
      </c>
      <c r="W306" s="504">
        <f t="shared" si="706"/>
        <v>0</v>
      </c>
    </row>
    <row r="307" spans="1:39" outlineLevel="2">
      <c r="A307" s="15"/>
      <c r="B307" s="718"/>
      <c r="C307" s="747"/>
      <c r="D307" s="700"/>
      <c r="E307" s="450" t="s">
        <v>277</v>
      </c>
      <c r="F307" s="95">
        <f>385474.470374703*1.01</f>
        <v>389329.21507845004</v>
      </c>
      <c r="G307" s="239"/>
      <c r="H307" s="703"/>
      <c r="I307" s="135"/>
      <c r="J307" s="161"/>
      <c r="K307" s="250"/>
      <c r="L307" s="250"/>
      <c r="M307" s="290">
        <f t="shared" ref="M307:W307" si="707">($F307+$G307*курс)*H87*IF(H88="до 3,2",1,0)*(IF(H$122="Премиум",1,0)+IF(H$122="Элит",1,0))</f>
        <v>0</v>
      </c>
      <c r="N307" s="290">
        <f t="shared" si="707"/>
        <v>0</v>
      </c>
      <c r="O307" s="290">
        <f t="shared" si="707"/>
        <v>0</v>
      </c>
      <c r="P307" s="290">
        <f t="shared" si="707"/>
        <v>0</v>
      </c>
      <c r="Q307" s="290">
        <f t="shared" si="707"/>
        <v>0</v>
      </c>
      <c r="R307" s="290">
        <f t="shared" si="707"/>
        <v>0</v>
      </c>
      <c r="S307" s="290">
        <f t="shared" si="707"/>
        <v>0</v>
      </c>
      <c r="T307" s="290">
        <f t="shared" si="707"/>
        <v>0</v>
      </c>
      <c r="U307" s="290">
        <f t="shared" si="707"/>
        <v>0</v>
      </c>
      <c r="V307" s="290">
        <f t="shared" si="707"/>
        <v>0</v>
      </c>
      <c r="W307" s="290">
        <f t="shared" si="707"/>
        <v>0</v>
      </c>
    </row>
    <row r="308" spans="1:39" outlineLevel="2">
      <c r="A308" s="15"/>
      <c r="B308" s="718"/>
      <c r="C308" s="748"/>
      <c r="D308" s="166" t="s">
        <v>72</v>
      </c>
      <c r="E308" s="450" t="s">
        <v>512</v>
      </c>
      <c r="F308" s="95">
        <f>39424.3423141889*1.01</f>
        <v>39818.585737330788</v>
      </c>
      <c r="G308" s="239"/>
      <c r="H308" s="500" t="s">
        <v>513</v>
      </c>
      <c r="I308" s="135"/>
      <c r="J308" s="161"/>
      <c r="L308" s="7"/>
      <c r="M308" s="192">
        <f t="shared" ref="M308:W308" si="708">$F$308*H89</f>
        <v>0</v>
      </c>
      <c r="N308" s="192">
        <f t="shared" si="708"/>
        <v>0</v>
      </c>
      <c r="O308" s="192">
        <f t="shared" si="708"/>
        <v>0</v>
      </c>
      <c r="P308" s="192">
        <f t="shared" si="708"/>
        <v>0</v>
      </c>
      <c r="Q308" s="192">
        <f t="shared" si="708"/>
        <v>0</v>
      </c>
      <c r="R308" s="192">
        <f t="shared" si="708"/>
        <v>0</v>
      </c>
      <c r="S308" s="192">
        <f t="shared" si="708"/>
        <v>0</v>
      </c>
      <c r="T308" s="192">
        <f t="shared" si="708"/>
        <v>0</v>
      </c>
      <c r="U308" s="192">
        <f t="shared" si="708"/>
        <v>0</v>
      </c>
      <c r="V308" s="192">
        <f t="shared" si="708"/>
        <v>0</v>
      </c>
      <c r="W308" s="192">
        <f t="shared" si="708"/>
        <v>0</v>
      </c>
    </row>
    <row r="309" spans="1:39" outlineLevel="2">
      <c r="A309" s="15"/>
      <c r="B309" s="718"/>
      <c r="C309" s="885" t="s">
        <v>95</v>
      </c>
      <c r="D309" s="769"/>
      <c r="E309" s="292" t="s">
        <v>502</v>
      </c>
      <c r="F309" s="159">
        <f>7831.49481932669*1.01</f>
        <v>7909.8097675199569</v>
      </c>
      <c r="G309" s="236"/>
      <c r="H309" s="501" t="s">
        <v>501</v>
      </c>
      <c r="I309" s="135"/>
      <c r="J309" s="161"/>
      <c r="L309" s="192">
        <f t="shared" ref="L309:W309" si="709">$F$309*G91</f>
        <v>0</v>
      </c>
      <c r="M309" s="192">
        <f t="shared" si="709"/>
        <v>209998211.85171756</v>
      </c>
      <c r="N309" s="192">
        <f t="shared" si="709"/>
        <v>138452527.89048332</v>
      </c>
      <c r="O309" s="192">
        <f t="shared" si="709"/>
        <v>205141153.61492309</v>
      </c>
      <c r="P309" s="192">
        <f t="shared" si="709"/>
        <v>20184086.458752312</v>
      </c>
      <c r="Q309" s="192">
        <f t="shared" si="709"/>
        <v>0</v>
      </c>
      <c r="R309" s="192">
        <f t="shared" si="709"/>
        <v>0</v>
      </c>
      <c r="S309" s="192">
        <f t="shared" si="709"/>
        <v>0</v>
      </c>
      <c r="T309" s="192">
        <f t="shared" si="709"/>
        <v>0</v>
      </c>
      <c r="U309" s="192">
        <f t="shared" si="709"/>
        <v>0</v>
      </c>
      <c r="V309" s="192">
        <f t="shared" si="709"/>
        <v>0</v>
      </c>
      <c r="W309" s="192">
        <f t="shared" si="709"/>
        <v>0</v>
      </c>
    </row>
    <row r="310" spans="1:39" ht="50.25" customHeight="1" outlineLevel="2">
      <c r="A310" s="15"/>
      <c r="B310" s="719"/>
      <c r="C310" s="885" t="s">
        <v>94</v>
      </c>
      <c r="D310" s="769"/>
      <c r="E310" s="292" t="s">
        <v>1847</v>
      </c>
      <c r="F310" s="159">
        <f>13211.8689644438*1.01</f>
        <v>13343.987654088238</v>
      </c>
      <c r="G310" s="236"/>
      <c r="H310" s="501" t="s">
        <v>500</v>
      </c>
      <c r="I310" s="135"/>
      <c r="J310" s="136"/>
      <c r="L310" s="192">
        <f t="shared" ref="L310:W310" si="710">$F$310*G92</f>
        <v>24003897.577096131</v>
      </c>
      <c r="M310" s="192">
        <f t="shared" si="710"/>
        <v>20610574.7185601</v>
      </c>
      <c r="N310" s="192">
        <f t="shared" si="710"/>
        <v>14487622.108326891</v>
      </c>
      <c r="O310" s="192">
        <f t="shared" si="710"/>
        <v>21020417.952171471</v>
      </c>
      <c r="P310" s="192">
        <f t="shared" si="710"/>
        <v>2126385.7830592077</v>
      </c>
      <c r="Q310" s="192">
        <f t="shared" si="710"/>
        <v>0</v>
      </c>
      <c r="R310" s="192">
        <f t="shared" si="710"/>
        <v>0</v>
      </c>
      <c r="S310" s="192">
        <f t="shared" si="710"/>
        <v>0</v>
      </c>
      <c r="T310" s="192">
        <f t="shared" si="710"/>
        <v>0</v>
      </c>
      <c r="U310" s="192">
        <f t="shared" si="710"/>
        <v>0</v>
      </c>
      <c r="V310" s="192">
        <f t="shared" si="710"/>
        <v>0</v>
      </c>
      <c r="W310" s="192">
        <f t="shared" si="710"/>
        <v>0</v>
      </c>
    </row>
    <row r="311" spans="1:39" ht="26.25" customHeight="1" outlineLevel="1">
      <c r="A311" s="15"/>
      <c r="B311" s="932" t="s">
        <v>860</v>
      </c>
      <c r="C311" s="931"/>
      <c r="D311" s="980"/>
      <c r="E311" s="136"/>
      <c r="F311" s="136"/>
      <c r="G311" s="136"/>
      <c r="H311" s="136"/>
      <c r="I311" s="136"/>
      <c r="J311" s="136"/>
      <c r="L311" s="276"/>
      <c r="M311" s="276"/>
      <c r="N311" s="276"/>
      <c r="O311" s="276"/>
      <c r="P311" s="276"/>
      <c r="Q311" s="276"/>
      <c r="R311" s="276"/>
      <c r="S311" s="276"/>
      <c r="T311" s="276"/>
      <c r="U311" s="276"/>
      <c r="V311" s="276"/>
      <c r="W311" s="276"/>
      <c r="X311" s="276"/>
    </row>
    <row r="312" spans="1:39" ht="24" customHeight="1" outlineLevel="2">
      <c r="A312" s="15"/>
      <c r="B312" s="698" t="s">
        <v>854</v>
      </c>
      <c r="C312" s="23" t="s">
        <v>32</v>
      </c>
      <c r="D312" s="879" t="s">
        <v>880</v>
      </c>
      <c r="E312" s="880"/>
      <c r="F312" s="94">
        <f>7417.23542714849*1.01</f>
        <v>7491.4077814199754</v>
      </c>
      <c r="G312" s="240">
        <v>0</v>
      </c>
      <c r="H312" s="695" t="s">
        <v>17</v>
      </c>
      <c r="I312" s="96"/>
      <c r="J312" s="136"/>
      <c r="K312" s="250"/>
      <c r="L312" s="451">
        <f>($G312*курс+$F312)*G$93*IF($F$122="Комфорт",1,0)</f>
        <v>0</v>
      </c>
      <c r="M312" s="451">
        <f t="shared" ref="M312:W312" si="711">($G312*курс+$F312)*H$93*IF(H$122="Комфорт",1,0)</f>
        <v>0</v>
      </c>
      <c r="N312" s="451">
        <f t="shared" si="711"/>
        <v>0</v>
      </c>
      <c r="O312" s="451">
        <f t="shared" si="711"/>
        <v>0</v>
      </c>
      <c r="P312" s="451">
        <f t="shared" si="711"/>
        <v>0</v>
      </c>
      <c r="Q312" s="451">
        <f t="shared" si="711"/>
        <v>0</v>
      </c>
      <c r="R312" s="451">
        <f t="shared" si="711"/>
        <v>0</v>
      </c>
      <c r="S312" s="451">
        <f t="shared" si="711"/>
        <v>0</v>
      </c>
      <c r="T312" s="451">
        <f t="shared" si="711"/>
        <v>0</v>
      </c>
      <c r="U312" s="451">
        <f t="shared" si="711"/>
        <v>0</v>
      </c>
      <c r="V312" s="451">
        <f t="shared" si="711"/>
        <v>0</v>
      </c>
      <c r="W312" s="451">
        <f t="shared" si="711"/>
        <v>0</v>
      </c>
    </row>
    <row r="313" spans="1:39" ht="24" customHeight="1" outlineLevel="2">
      <c r="A313" s="15"/>
      <c r="B313" s="690"/>
      <c r="C313" s="105" t="s">
        <v>371</v>
      </c>
      <c r="D313" s="881"/>
      <c r="E313" s="882"/>
      <c r="F313" s="108">
        <f>8613.49953414039*1.01</f>
        <v>8699.6345294817947</v>
      </c>
      <c r="G313" s="237">
        <v>0</v>
      </c>
      <c r="H313" s="696"/>
      <c r="I313" s="160"/>
      <c r="J313" s="136"/>
      <c r="K313" s="250"/>
      <c r="L313" s="289">
        <f>($G313*курс+$F313)*G$93*(IF($F$122="Бизнес",1,0)+IF($F$122="Бизнес+",1,0))</f>
        <v>7453976.36828034</v>
      </c>
      <c r="M313" s="289">
        <f t="shared" ref="M313:W313" si="712">($G313*курс+$F313)*H$93*(IF(H$122="Бизнес",1,0)+IF(H$122="Бизнес+",1,0))</f>
        <v>56324775.905836284</v>
      </c>
      <c r="N313" s="289">
        <f t="shared" si="712"/>
        <v>52165471.029549398</v>
      </c>
      <c r="O313" s="289">
        <f t="shared" si="712"/>
        <v>56324775.905836284</v>
      </c>
      <c r="P313" s="289">
        <f t="shared" si="712"/>
        <v>0</v>
      </c>
      <c r="Q313" s="289">
        <f t="shared" si="712"/>
        <v>0</v>
      </c>
      <c r="R313" s="289">
        <f t="shared" si="712"/>
        <v>0</v>
      </c>
      <c r="S313" s="289">
        <f t="shared" si="712"/>
        <v>0</v>
      </c>
      <c r="T313" s="289">
        <f t="shared" si="712"/>
        <v>0</v>
      </c>
      <c r="U313" s="289">
        <f t="shared" si="712"/>
        <v>0</v>
      </c>
      <c r="V313" s="289">
        <f t="shared" si="712"/>
        <v>0</v>
      </c>
      <c r="W313" s="289">
        <f t="shared" si="712"/>
        <v>0</v>
      </c>
    </row>
    <row r="314" spans="1:39" ht="24" customHeight="1" outlineLevel="2">
      <c r="A314" s="15"/>
      <c r="B314" s="690"/>
      <c r="C314" s="105" t="s">
        <v>44</v>
      </c>
      <c r="D314" s="881"/>
      <c r="E314" s="882"/>
      <c r="F314" s="108">
        <f>14327.6397807832*1.01</f>
        <v>14470.916178591033</v>
      </c>
      <c r="G314" s="108">
        <f>2.91026094016644*1.01</f>
        <v>2.9393635495681041</v>
      </c>
      <c r="H314" s="696"/>
      <c r="I314" s="160"/>
      <c r="J314" s="135"/>
      <c r="K314" s="250"/>
      <c r="L314" s="289">
        <f>($G314*курс+$F314)*G$93*IF(F$122="Премиум",1,0)</f>
        <v>0</v>
      </c>
      <c r="M314" s="289">
        <f t="shared" ref="M314:W314" si="713">($G314*курс+$F314)*H$93*IF(H$122="Премиум",1,0)</f>
        <v>0</v>
      </c>
      <c r="N314" s="289">
        <f t="shared" si="713"/>
        <v>0</v>
      </c>
      <c r="O314" s="289">
        <f t="shared" si="713"/>
        <v>0</v>
      </c>
      <c r="P314" s="289">
        <f t="shared" si="713"/>
        <v>0</v>
      </c>
      <c r="Q314" s="289">
        <f t="shared" si="713"/>
        <v>0</v>
      </c>
      <c r="R314" s="289">
        <f t="shared" si="713"/>
        <v>0</v>
      </c>
      <c r="S314" s="289">
        <f t="shared" si="713"/>
        <v>0</v>
      </c>
      <c r="T314" s="289">
        <f t="shared" si="713"/>
        <v>0</v>
      </c>
      <c r="U314" s="289">
        <f t="shared" si="713"/>
        <v>0</v>
      </c>
      <c r="V314" s="289">
        <f t="shared" si="713"/>
        <v>0</v>
      </c>
      <c r="W314" s="289">
        <f t="shared" si="713"/>
        <v>0</v>
      </c>
      <c r="AB314" s="452">
        <f>IF(L314=0,0,(L314-$F314*G$93)/курс)</f>
        <v>0</v>
      </c>
      <c r="AC314" s="452">
        <f t="shared" ref="AC314:AM314" si="714">IF(M314=0,0,(M314-$F314*H$93)/курс)</f>
        <v>0</v>
      </c>
      <c r="AD314" s="452">
        <f t="shared" si="714"/>
        <v>0</v>
      </c>
      <c r="AE314" s="452">
        <f t="shared" si="714"/>
        <v>0</v>
      </c>
      <c r="AF314" s="452">
        <f t="shared" si="714"/>
        <v>0</v>
      </c>
      <c r="AG314" s="452">
        <f t="shared" si="714"/>
        <v>0</v>
      </c>
      <c r="AH314" s="452">
        <f t="shared" si="714"/>
        <v>0</v>
      </c>
      <c r="AI314" s="452">
        <f t="shared" si="714"/>
        <v>0</v>
      </c>
      <c r="AJ314" s="452">
        <f t="shared" si="714"/>
        <v>0</v>
      </c>
      <c r="AK314" s="452">
        <f t="shared" si="714"/>
        <v>0</v>
      </c>
      <c r="AL314" s="452">
        <f t="shared" si="714"/>
        <v>0</v>
      </c>
      <c r="AM314" s="452">
        <f t="shared" si="714"/>
        <v>0</v>
      </c>
    </row>
    <row r="315" spans="1:39" ht="24" customHeight="1" outlineLevel="2">
      <c r="A315" s="15"/>
      <c r="B315" s="690"/>
      <c r="C315" s="25" t="s">
        <v>45</v>
      </c>
      <c r="D315" s="883"/>
      <c r="E315" s="884"/>
      <c r="F315" s="95">
        <f>22782.7422301259*1.01</f>
        <v>23010.569652427159</v>
      </c>
      <c r="G315" s="239">
        <v>0</v>
      </c>
      <c r="H315" s="696"/>
      <c r="I315" s="449"/>
      <c r="J315" s="135"/>
      <c r="K315" s="250"/>
      <c r="L315" s="289">
        <f>($G315*курс+$F315)*G$93*IF(F$122="Элит",1,0)</f>
        <v>0</v>
      </c>
      <c r="M315" s="289">
        <f t="shared" ref="M315:W315" si="715">($G315*курс+$F315)*H$93*IF(H$122="Элит",1,0)</f>
        <v>0</v>
      </c>
      <c r="N315" s="289">
        <f t="shared" si="715"/>
        <v>0</v>
      </c>
      <c r="O315" s="289">
        <f t="shared" si="715"/>
        <v>0</v>
      </c>
      <c r="P315" s="289">
        <f t="shared" si="715"/>
        <v>0</v>
      </c>
      <c r="Q315" s="289">
        <f t="shared" si="715"/>
        <v>0</v>
      </c>
      <c r="R315" s="289">
        <f t="shared" si="715"/>
        <v>0</v>
      </c>
      <c r="S315" s="289">
        <f t="shared" si="715"/>
        <v>0</v>
      </c>
      <c r="T315" s="289">
        <f t="shared" si="715"/>
        <v>0</v>
      </c>
      <c r="U315" s="289">
        <f t="shared" si="715"/>
        <v>0</v>
      </c>
      <c r="V315" s="289">
        <f t="shared" si="715"/>
        <v>0</v>
      </c>
      <c r="W315" s="289">
        <f t="shared" si="715"/>
        <v>0</v>
      </c>
    </row>
    <row r="316" spans="1:39" ht="18.75" outlineLevel="2">
      <c r="A316" s="15"/>
      <c r="B316" s="698" t="s">
        <v>856</v>
      </c>
      <c r="C316" s="699" t="s">
        <v>32</v>
      </c>
      <c r="D316" s="23" t="s">
        <v>473</v>
      </c>
      <c r="E316" s="726" t="s">
        <v>881</v>
      </c>
      <c r="F316" s="94">
        <f>8827.29348955579*1.01</f>
        <v>8915.5664244513482</v>
      </c>
      <c r="G316" s="240"/>
      <c r="H316" s="696"/>
      <c r="I316" s="96"/>
      <c r="J316" s="136"/>
      <c r="K316" s="250"/>
      <c r="L316" s="728">
        <f>($G316*курс+$F316)*G$93*IF($F$122="Комфорт",1,0)</f>
        <v>0</v>
      </c>
      <c r="M316" s="451">
        <f t="shared" ref="M316:W316" si="716">($G316*курс+$F316)*H$93*IF(H$64&lt;=75,1,0)*IF(H$122="Комфорт",1,0)</f>
        <v>0</v>
      </c>
      <c r="N316" s="451">
        <f t="shared" si="716"/>
        <v>0</v>
      </c>
      <c r="O316" s="451">
        <f t="shared" si="716"/>
        <v>0</v>
      </c>
      <c r="P316" s="451">
        <f t="shared" si="716"/>
        <v>0</v>
      </c>
      <c r="Q316" s="451">
        <f t="shared" si="716"/>
        <v>0</v>
      </c>
      <c r="R316" s="451">
        <f t="shared" si="716"/>
        <v>0</v>
      </c>
      <c r="S316" s="451">
        <f t="shared" si="716"/>
        <v>0</v>
      </c>
      <c r="T316" s="451">
        <f t="shared" si="716"/>
        <v>0</v>
      </c>
      <c r="U316" s="451">
        <f t="shared" si="716"/>
        <v>0</v>
      </c>
      <c r="V316" s="451">
        <f t="shared" si="716"/>
        <v>0</v>
      </c>
      <c r="W316" s="451">
        <f t="shared" si="716"/>
        <v>0</v>
      </c>
    </row>
    <row r="317" spans="1:39" ht="18.75" outlineLevel="2">
      <c r="A317" s="15"/>
      <c r="B317" s="690"/>
      <c r="C317" s="738"/>
      <c r="D317" s="105" t="s">
        <v>508</v>
      </c>
      <c r="E317" s="727"/>
      <c r="F317" s="108">
        <f>9037.77726091355*1.01</f>
        <v>9128.1550335226857</v>
      </c>
      <c r="G317" s="237"/>
      <c r="H317" s="696"/>
      <c r="I317" s="160"/>
      <c r="J317" s="136"/>
      <c r="K317" s="250"/>
      <c r="L317" s="729"/>
      <c r="M317" s="289">
        <f t="shared" ref="M317:W317" si="717">($G317*курс+$F317)*H$93*IF(AND(H$64&gt;75,H$64&lt;=120),1,0)*IF(H$122="Комфорт",1,0)</f>
        <v>0</v>
      </c>
      <c r="N317" s="289">
        <f t="shared" si="717"/>
        <v>0</v>
      </c>
      <c r="O317" s="289">
        <f t="shared" si="717"/>
        <v>0</v>
      </c>
      <c r="P317" s="289">
        <f t="shared" si="717"/>
        <v>0</v>
      </c>
      <c r="Q317" s="289">
        <f t="shared" si="717"/>
        <v>0</v>
      </c>
      <c r="R317" s="289">
        <f t="shared" si="717"/>
        <v>0</v>
      </c>
      <c r="S317" s="289">
        <f t="shared" si="717"/>
        <v>0</v>
      </c>
      <c r="T317" s="289">
        <f t="shared" si="717"/>
        <v>0</v>
      </c>
      <c r="U317" s="289">
        <f t="shared" si="717"/>
        <v>0</v>
      </c>
      <c r="V317" s="289">
        <f t="shared" si="717"/>
        <v>0</v>
      </c>
      <c r="W317" s="289">
        <f t="shared" si="717"/>
        <v>0</v>
      </c>
    </row>
    <row r="318" spans="1:39" ht="18.75" outlineLevel="2">
      <c r="A318" s="15"/>
      <c r="B318" s="690"/>
      <c r="C318" s="738"/>
      <c r="D318" s="25" t="s">
        <v>509</v>
      </c>
      <c r="E318" s="727"/>
      <c r="F318" s="95">
        <f>9178.09977515206*1.01</f>
        <v>9269.8807729035816</v>
      </c>
      <c r="G318" s="239"/>
      <c r="H318" s="696"/>
      <c r="I318" s="449"/>
      <c r="J318" s="136"/>
      <c r="K318" s="250"/>
      <c r="L318" s="730"/>
      <c r="M318" s="290">
        <f t="shared" ref="M318:W318" si="718">($G318*курс+$F318)*H$93*IF(H$64&gt;120,1,0)*IF(H$122="Комфорт",1,0)</f>
        <v>0</v>
      </c>
      <c r="N318" s="290">
        <f t="shared" si="718"/>
        <v>0</v>
      </c>
      <c r="O318" s="290">
        <f t="shared" si="718"/>
        <v>0</v>
      </c>
      <c r="P318" s="290">
        <f t="shared" si="718"/>
        <v>0</v>
      </c>
      <c r="Q318" s="290">
        <f t="shared" si="718"/>
        <v>0</v>
      </c>
      <c r="R318" s="290">
        <f t="shared" si="718"/>
        <v>0</v>
      </c>
      <c r="S318" s="290">
        <f t="shared" si="718"/>
        <v>0</v>
      </c>
      <c r="T318" s="290">
        <f t="shared" si="718"/>
        <v>0</v>
      </c>
      <c r="U318" s="290">
        <f t="shared" si="718"/>
        <v>0</v>
      </c>
      <c r="V318" s="290">
        <f t="shared" si="718"/>
        <v>0</v>
      </c>
      <c r="W318" s="290">
        <f t="shared" si="718"/>
        <v>0</v>
      </c>
    </row>
    <row r="319" spans="1:39" ht="18.75" outlineLevel="2">
      <c r="A319" s="15"/>
      <c r="B319" s="690"/>
      <c r="C319" s="699" t="s">
        <v>371</v>
      </c>
      <c r="D319" s="23" t="s">
        <v>473</v>
      </c>
      <c r="E319" s="727"/>
      <c r="F319" s="94">
        <f>9379.54967187973*1.01</f>
        <v>9473.3451685985274</v>
      </c>
      <c r="G319" s="240"/>
      <c r="H319" s="696"/>
      <c r="I319" s="96"/>
      <c r="J319" s="136"/>
      <c r="K319" s="250"/>
      <c r="L319" s="728">
        <f>($G319*курс+$F319)*G$93*(IF($F$122="Бизнес",1,0)+IF($F$122="Бизнес+",1,0))</f>
        <v>8116903.1613908932</v>
      </c>
      <c r="M319" s="451">
        <f t="shared" ref="M319:W319" si="719">($G319*курс+$F319)*H$93*IF(H$64&lt;=75,1,0)*(IF(H$122="Бизнес",1,0)+IF(H$122="Бизнес+",1,0))</f>
        <v>61334075.80418583</v>
      </c>
      <c r="N319" s="451">
        <f t="shared" si="719"/>
        <v>56804859.016863182</v>
      </c>
      <c r="O319" s="451">
        <f t="shared" si="719"/>
        <v>61334075.80418583</v>
      </c>
      <c r="P319" s="451">
        <f t="shared" si="719"/>
        <v>0</v>
      </c>
      <c r="Q319" s="451">
        <f t="shared" si="719"/>
        <v>0</v>
      </c>
      <c r="R319" s="451">
        <f t="shared" si="719"/>
        <v>0</v>
      </c>
      <c r="S319" s="451">
        <f t="shared" si="719"/>
        <v>0</v>
      </c>
      <c r="T319" s="451">
        <f t="shared" si="719"/>
        <v>0</v>
      </c>
      <c r="U319" s="451">
        <f t="shared" si="719"/>
        <v>0</v>
      </c>
      <c r="V319" s="451">
        <f t="shared" si="719"/>
        <v>0</v>
      </c>
      <c r="W319" s="451">
        <f t="shared" si="719"/>
        <v>0</v>
      </c>
    </row>
    <row r="320" spans="1:39" outlineLevel="2">
      <c r="A320" s="15"/>
      <c r="B320" s="690"/>
      <c r="C320" s="738"/>
      <c r="D320" s="105" t="s">
        <v>508</v>
      </c>
      <c r="E320" s="727"/>
      <c r="F320" s="108">
        <f>9603.20180159656*1.01</f>
        <v>9699.2338196125256</v>
      </c>
      <c r="G320" s="237"/>
      <c r="H320" s="696"/>
      <c r="I320" s="160"/>
      <c r="J320" s="135"/>
      <c r="K320" s="250"/>
      <c r="L320" s="729"/>
      <c r="M320" s="289">
        <f t="shared" ref="M320:W320" si="720">($G320*курс+$F320)*H$93*IF(AND(H$64&gt;75,H$64&lt;=120),1,0)*(IF(H$122="Бизнес",1,0)+IF(H$122="Бизнес+",1,0))</f>
        <v>0</v>
      </c>
      <c r="N320" s="289">
        <f t="shared" si="720"/>
        <v>0</v>
      </c>
      <c r="O320" s="289">
        <f t="shared" si="720"/>
        <v>0</v>
      </c>
      <c r="P320" s="289">
        <f t="shared" si="720"/>
        <v>0</v>
      </c>
      <c r="Q320" s="289">
        <f t="shared" si="720"/>
        <v>0</v>
      </c>
      <c r="R320" s="289">
        <f t="shared" si="720"/>
        <v>0</v>
      </c>
      <c r="S320" s="289">
        <f t="shared" si="720"/>
        <v>0</v>
      </c>
      <c r="T320" s="289">
        <f t="shared" si="720"/>
        <v>0</v>
      </c>
      <c r="U320" s="289">
        <f t="shared" si="720"/>
        <v>0</v>
      </c>
      <c r="V320" s="289">
        <f t="shared" si="720"/>
        <v>0</v>
      </c>
      <c r="W320" s="289">
        <f t="shared" si="720"/>
        <v>0</v>
      </c>
    </row>
    <row r="321" spans="1:39" outlineLevel="2">
      <c r="A321" s="15"/>
      <c r="B321" s="690"/>
      <c r="C321" s="738"/>
      <c r="D321" s="25" t="s">
        <v>509</v>
      </c>
      <c r="E321" s="727"/>
      <c r="F321" s="95">
        <f>9752.30322140779*1.01</f>
        <v>9849.8262536218681</v>
      </c>
      <c r="G321" s="239"/>
      <c r="H321" s="696"/>
      <c r="I321" s="449"/>
      <c r="J321" s="135"/>
      <c r="K321" s="250"/>
      <c r="L321" s="730"/>
      <c r="M321" s="290">
        <f t="shared" ref="M321:W321" si="721">($G321*курс+$F321)*H$93*IF(H$64&gt;120,1,0)*(IF(H$122="Бизнес",1,0)+IF(H$122="Бизнес+",1,0))</f>
        <v>0</v>
      </c>
      <c r="N321" s="290">
        <f t="shared" si="721"/>
        <v>0</v>
      </c>
      <c r="O321" s="290">
        <f t="shared" si="721"/>
        <v>0</v>
      </c>
      <c r="P321" s="290">
        <f t="shared" si="721"/>
        <v>0</v>
      </c>
      <c r="Q321" s="290">
        <f t="shared" si="721"/>
        <v>0</v>
      </c>
      <c r="R321" s="290">
        <f t="shared" si="721"/>
        <v>0</v>
      </c>
      <c r="S321" s="290">
        <f t="shared" si="721"/>
        <v>0</v>
      </c>
      <c r="T321" s="290">
        <f t="shared" si="721"/>
        <v>0</v>
      </c>
      <c r="U321" s="290">
        <f t="shared" si="721"/>
        <v>0</v>
      </c>
      <c r="V321" s="290">
        <f t="shared" si="721"/>
        <v>0</v>
      </c>
      <c r="W321" s="290">
        <f t="shared" si="721"/>
        <v>0</v>
      </c>
    </row>
    <row r="322" spans="1:39" outlineLevel="2">
      <c r="A322" s="15"/>
      <c r="B322" s="690"/>
      <c r="C322" s="699" t="s">
        <v>44</v>
      </c>
      <c r="D322" s="23" t="s">
        <v>473</v>
      </c>
      <c r="E322" s="727"/>
      <c r="F322" s="94">
        <f>13518.980092113*1.01</f>
        <v>13654.169893034132</v>
      </c>
      <c r="G322" s="240"/>
      <c r="H322" s="696"/>
      <c r="I322" s="96"/>
      <c r="J322" s="135"/>
      <c r="K322" s="250"/>
      <c r="L322" s="728">
        <f>($G322*курс+$F322)*G$93*IF(F$122="Премиум",1,0)</f>
        <v>0</v>
      </c>
      <c r="M322" s="451">
        <f t="shared" ref="M322:W322" si="722">($G322*курс+$F322)*H$93*IF(H$64&lt;=75,1,0)*IF(H$122="Премиум",1,0)</f>
        <v>0</v>
      </c>
      <c r="N322" s="451">
        <f t="shared" si="722"/>
        <v>0</v>
      </c>
      <c r="O322" s="451">
        <f t="shared" si="722"/>
        <v>0</v>
      </c>
      <c r="P322" s="451">
        <f t="shared" si="722"/>
        <v>0</v>
      </c>
      <c r="Q322" s="451">
        <f t="shared" si="722"/>
        <v>0</v>
      </c>
      <c r="R322" s="451">
        <f t="shared" si="722"/>
        <v>0</v>
      </c>
      <c r="S322" s="451">
        <f t="shared" si="722"/>
        <v>0</v>
      </c>
      <c r="T322" s="451">
        <f t="shared" si="722"/>
        <v>0</v>
      </c>
      <c r="U322" s="451">
        <f t="shared" si="722"/>
        <v>0</v>
      </c>
      <c r="V322" s="451">
        <f t="shared" si="722"/>
        <v>0</v>
      </c>
      <c r="W322" s="451">
        <f t="shared" si="722"/>
        <v>0</v>
      </c>
    </row>
    <row r="323" spans="1:39" outlineLevel="2">
      <c r="A323" s="15"/>
      <c r="B323" s="690"/>
      <c r="C323" s="738"/>
      <c r="D323" s="105" t="s">
        <v>508</v>
      </c>
      <c r="E323" s="727"/>
      <c r="F323" s="108">
        <f>13841.3355137454*1.01</f>
        <v>13979.748868882854</v>
      </c>
      <c r="G323" s="237"/>
      <c r="H323" s="696"/>
      <c r="I323" s="160"/>
      <c r="J323" s="135"/>
      <c r="K323" s="250"/>
      <c r="L323" s="729"/>
      <c r="M323" s="289">
        <f t="shared" ref="M323:W323" si="723">($G323*курс+$F323)*H$93*IF(AND(H$64&gt;75,H$64&lt;=120),1,0)*IF(H$122="Премиум",1,0)</f>
        <v>0</v>
      </c>
      <c r="N323" s="289">
        <f t="shared" si="723"/>
        <v>0</v>
      </c>
      <c r="O323" s="289">
        <f t="shared" si="723"/>
        <v>0</v>
      </c>
      <c r="P323" s="289">
        <f t="shared" si="723"/>
        <v>0</v>
      </c>
      <c r="Q323" s="289">
        <f t="shared" si="723"/>
        <v>0</v>
      </c>
      <c r="R323" s="289">
        <f t="shared" si="723"/>
        <v>0</v>
      </c>
      <c r="S323" s="289">
        <f t="shared" si="723"/>
        <v>0</v>
      </c>
      <c r="T323" s="289">
        <f t="shared" si="723"/>
        <v>0</v>
      </c>
      <c r="U323" s="289">
        <f t="shared" si="723"/>
        <v>0</v>
      </c>
      <c r="V323" s="289">
        <f t="shared" si="723"/>
        <v>0</v>
      </c>
      <c r="W323" s="289">
        <f t="shared" si="723"/>
        <v>0</v>
      </c>
    </row>
    <row r="324" spans="1:39" outlineLevel="2">
      <c r="A324" s="15"/>
      <c r="B324" s="690"/>
      <c r="C324" s="738"/>
      <c r="D324" s="25" t="s">
        <v>509</v>
      </c>
      <c r="E324" s="727"/>
      <c r="F324" s="95">
        <f>14056.239128167*1.01</f>
        <v>14196.801519448671</v>
      </c>
      <c r="G324" s="239"/>
      <c r="H324" s="696"/>
      <c r="I324" s="449"/>
      <c r="J324" s="135"/>
      <c r="K324" s="250"/>
      <c r="L324" s="730"/>
      <c r="M324" s="290">
        <f t="shared" ref="M324:W324" si="724">($G324*курс+$F324)*H$93*IF(H$64&gt;120,1,0)*IF(H$123="Премиум",1,0)</f>
        <v>0</v>
      </c>
      <c r="N324" s="290">
        <f t="shared" si="724"/>
        <v>0</v>
      </c>
      <c r="O324" s="290">
        <f t="shared" si="724"/>
        <v>0</v>
      </c>
      <c r="P324" s="290">
        <f t="shared" si="724"/>
        <v>0</v>
      </c>
      <c r="Q324" s="290">
        <f t="shared" si="724"/>
        <v>0</v>
      </c>
      <c r="R324" s="290">
        <f t="shared" si="724"/>
        <v>0</v>
      </c>
      <c r="S324" s="290">
        <f t="shared" si="724"/>
        <v>0</v>
      </c>
      <c r="T324" s="290">
        <f t="shared" si="724"/>
        <v>0</v>
      </c>
      <c r="U324" s="290">
        <f t="shared" si="724"/>
        <v>0</v>
      </c>
      <c r="V324" s="290">
        <f t="shared" si="724"/>
        <v>0</v>
      </c>
      <c r="W324" s="290">
        <f t="shared" si="724"/>
        <v>0</v>
      </c>
    </row>
    <row r="325" spans="1:39" outlineLevel="2">
      <c r="A325" s="15"/>
      <c r="B325" s="690"/>
      <c r="C325" s="699" t="s">
        <v>45</v>
      </c>
      <c r="D325" s="23" t="s">
        <v>473</v>
      </c>
      <c r="E325" s="727"/>
      <c r="F325" s="94">
        <f>27192.7012686221*1.01</f>
        <v>27464.62828130832</v>
      </c>
      <c r="G325" s="240"/>
      <c r="H325" s="696"/>
      <c r="I325" s="96"/>
      <c r="J325" s="135"/>
      <c r="K325" s="250"/>
      <c r="L325" s="728">
        <f>($G325*курс+$F325)*G$93*IF(F$122="Элит",1,0)</f>
        <v>0</v>
      </c>
      <c r="M325" s="451">
        <f t="shared" ref="M325:W325" si="725">($G325*курс+$F325)*H$93*IF(H$64&lt;=75,1,0)*IF(H$122="Элит",1,0)</f>
        <v>0</v>
      </c>
      <c r="N325" s="451">
        <f t="shared" si="725"/>
        <v>0</v>
      </c>
      <c r="O325" s="451">
        <f t="shared" si="725"/>
        <v>0</v>
      </c>
      <c r="P325" s="451">
        <f t="shared" si="725"/>
        <v>0</v>
      </c>
      <c r="Q325" s="451">
        <f t="shared" si="725"/>
        <v>0</v>
      </c>
      <c r="R325" s="451">
        <f t="shared" si="725"/>
        <v>0</v>
      </c>
      <c r="S325" s="451">
        <f t="shared" si="725"/>
        <v>0</v>
      </c>
      <c r="T325" s="451">
        <f t="shared" si="725"/>
        <v>0</v>
      </c>
      <c r="U325" s="451">
        <f t="shared" si="725"/>
        <v>0</v>
      </c>
      <c r="V325" s="451">
        <f t="shared" si="725"/>
        <v>0</v>
      </c>
      <c r="W325" s="451">
        <f t="shared" si="725"/>
        <v>0</v>
      </c>
    </row>
    <row r="326" spans="1:39" outlineLevel="2">
      <c r="A326" s="15"/>
      <c r="B326" s="690"/>
      <c r="C326" s="738"/>
      <c r="D326" s="105" t="s">
        <v>508</v>
      </c>
      <c r="E326" s="727"/>
      <c r="F326" s="158">
        <f>27841.1018597202*1.01</f>
        <v>28119.5128783174</v>
      </c>
      <c r="G326" s="247"/>
      <c r="H326" s="696"/>
      <c r="I326" s="160"/>
      <c r="J326" s="135"/>
      <c r="K326" s="250"/>
      <c r="L326" s="729"/>
      <c r="M326" s="289">
        <f t="shared" ref="M326:W326" si="726">($G326*курс+$F326)*H$93*IF(AND(H$64&gt;75,H$64&lt;=120),1,0)*IF(H$122="Элит",1,0)</f>
        <v>0</v>
      </c>
      <c r="N326" s="289">
        <f t="shared" si="726"/>
        <v>0</v>
      </c>
      <c r="O326" s="289">
        <f t="shared" si="726"/>
        <v>0</v>
      </c>
      <c r="P326" s="289">
        <f t="shared" si="726"/>
        <v>0</v>
      </c>
      <c r="Q326" s="289">
        <f t="shared" si="726"/>
        <v>0</v>
      </c>
      <c r="R326" s="289">
        <f t="shared" si="726"/>
        <v>0</v>
      </c>
      <c r="S326" s="289">
        <f t="shared" si="726"/>
        <v>0</v>
      </c>
      <c r="T326" s="289">
        <f t="shared" si="726"/>
        <v>0</v>
      </c>
      <c r="U326" s="289">
        <f t="shared" si="726"/>
        <v>0</v>
      </c>
      <c r="V326" s="289">
        <f t="shared" si="726"/>
        <v>0</v>
      </c>
      <c r="W326" s="289">
        <f t="shared" si="726"/>
        <v>0</v>
      </c>
    </row>
    <row r="327" spans="1:39" outlineLevel="2">
      <c r="A327" s="15"/>
      <c r="B327" s="691"/>
      <c r="C327" s="700"/>
      <c r="D327" s="25" t="s">
        <v>509</v>
      </c>
      <c r="E327" s="942"/>
      <c r="F327" s="98">
        <f>28273.3689204523*1.01</f>
        <v>28556.102609656824</v>
      </c>
      <c r="G327" s="244"/>
      <c r="H327" s="696"/>
      <c r="I327" s="449"/>
      <c r="J327" s="135"/>
      <c r="K327" s="250"/>
      <c r="L327" s="730"/>
      <c r="M327" s="290">
        <f t="shared" ref="M327:W327" si="727">($G327*курс+$F327)*H$93*IF(H$64&gt;120,1,0)*IF(H$122="Элит",1,0)</f>
        <v>0</v>
      </c>
      <c r="N327" s="290">
        <f t="shared" si="727"/>
        <v>0</v>
      </c>
      <c r="O327" s="290">
        <f t="shared" si="727"/>
        <v>0</v>
      </c>
      <c r="P327" s="290">
        <f t="shared" si="727"/>
        <v>0</v>
      </c>
      <c r="Q327" s="290">
        <f t="shared" si="727"/>
        <v>0</v>
      </c>
      <c r="R327" s="290">
        <f t="shared" si="727"/>
        <v>0</v>
      </c>
      <c r="S327" s="290">
        <f t="shared" si="727"/>
        <v>0</v>
      </c>
      <c r="T327" s="290">
        <f t="shared" si="727"/>
        <v>0</v>
      </c>
      <c r="U327" s="290">
        <f t="shared" si="727"/>
        <v>0</v>
      </c>
      <c r="V327" s="290">
        <f t="shared" si="727"/>
        <v>0</v>
      </c>
      <c r="W327" s="290">
        <f t="shared" si="727"/>
        <v>0</v>
      </c>
    </row>
    <row r="328" spans="1:39" ht="18.75" outlineLevel="2">
      <c r="A328" s="15"/>
      <c r="B328" s="698" t="s">
        <v>858</v>
      </c>
      <c r="C328" s="699" t="s">
        <v>32</v>
      </c>
      <c r="D328" s="23" t="s">
        <v>473</v>
      </c>
      <c r="E328" s="726" t="s">
        <v>882</v>
      </c>
      <c r="F328" s="94">
        <f>6967.16909217909*1.01</f>
        <v>7036.8407831008808</v>
      </c>
      <c r="G328" s="240"/>
      <c r="H328" s="696"/>
      <c r="I328" s="96"/>
      <c r="J328" s="136"/>
      <c r="L328" s="728">
        <f>($G328*курс+$F328)*G$93*IF($F$122="Комфорт",1,0)</f>
        <v>0</v>
      </c>
      <c r="M328" s="190">
        <f t="shared" ref="M328:W328" si="728">($G328*курс+$F328)*H$93*IF(H$64&lt;=75,1,0)*IF(H$122="Комфорт",1,0)</f>
        <v>0</v>
      </c>
      <c r="N328" s="190">
        <f t="shared" si="728"/>
        <v>0</v>
      </c>
      <c r="O328" s="190">
        <f t="shared" si="728"/>
        <v>0</v>
      </c>
      <c r="P328" s="190">
        <f t="shared" si="728"/>
        <v>0</v>
      </c>
      <c r="Q328" s="190">
        <f t="shared" si="728"/>
        <v>0</v>
      </c>
      <c r="R328" s="190">
        <f t="shared" si="728"/>
        <v>0</v>
      </c>
      <c r="S328" s="190">
        <f t="shared" si="728"/>
        <v>0</v>
      </c>
      <c r="T328" s="190">
        <f t="shared" si="728"/>
        <v>0</v>
      </c>
      <c r="U328" s="190">
        <f t="shared" si="728"/>
        <v>0</v>
      </c>
      <c r="V328" s="190">
        <f t="shared" si="728"/>
        <v>0</v>
      </c>
      <c r="W328" s="190">
        <f t="shared" si="728"/>
        <v>0</v>
      </c>
    </row>
    <row r="329" spans="1:39" ht="18.75" outlineLevel="2">
      <c r="A329" s="15"/>
      <c r="B329" s="690"/>
      <c r="C329" s="738"/>
      <c r="D329" s="105" t="s">
        <v>508</v>
      </c>
      <c r="E329" s="727"/>
      <c r="F329" s="108">
        <f>7133.29883828351*1.01</f>
        <v>7204.6318266663457</v>
      </c>
      <c r="G329" s="237"/>
      <c r="H329" s="696"/>
      <c r="I329" s="160"/>
      <c r="J329" s="136"/>
      <c r="L329" s="729"/>
      <c r="M329" s="289">
        <f t="shared" ref="M329:W329" si="729">($G329*курс+$F329)*H$93*IF(AND(H$64&gt;75,H$64&lt;=120),1,0)*IF(H$122="Комфорт",1,0)</f>
        <v>0</v>
      </c>
      <c r="N329" s="289">
        <f t="shared" si="729"/>
        <v>0</v>
      </c>
      <c r="O329" s="289">
        <f t="shared" si="729"/>
        <v>0</v>
      </c>
      <c r="P329" s="289">
        <f t="shared" si="729"/>
        <v>0</v>
      </c>
      <c r="Q329" s="289">
        <f t="shared" si="729"/>
        <v>0</v>
      </c>
      <c r="R329" s="289">
        <f t="shared" si="729"/>
        <v>0</v>
      </c>
      <c r="S329" s="289">
        <f t="shared" si="729"/>
        <v>0</v>
      </c>
      <c r="T329" s="289">
        <f t="shared" si="729"/>
        <v>0</v>
      </c>
      <c r="U329" s="289">
        <f t="shared" si="729"/>
        <v>0</v>
      </c>
      <c r="V329" s="289">
        <f t="shared" si="729"/>
        <v>0</v>
      </c>
      <c r="W329" s="289">
        <f t="shared" si="729"/>
        <v>0</v>
      </c>
    </row>
    <row r="330" spans="1:39" ht="18.75" outlineLevel="2">
      <c r="A330" s="15"/>
      <c r="B330" s="690"/>
      <c r="C330" s="738"/>
      <c r="D330" s="25" t="s">
        <v>509</v>
      </c>
      <c r="E330" s="727"/>
      <c r="F330" s="95">
        <f>7244.05200235312*1.01</f>
        <v>7316.4925223766513</v>
      </c>
      <c r="G330" s="239"/>
      <c r="H330" s="696"/>
      <c r="I330" s="122"/>
      <c r="J330" s="136"/>
      <c r="L330" s="730"/>
      <c r="M330" s="290">
        <f t="shared" ref="M330:W330" si="730">($G330*курс+$F330)*H$93*IF(H$64&gt;120,1,0)*IF(H$122="Комфорт",1,0)</f>
        <v>0</v>
      </c>
      <c r="N330" s="290">
        <f t="shared" si="730"/>
        <v>0</v>
      </c>
      <c r="O330" s="290">
        <f t="shared" si="730"/>
        <v>0</v>
      </c>
      <c r="P330" s="290">
        <f t="shared" si="730"/>
        <v>0</v>
      </c>
      <c r="Q330" s="290">
        <f t="shared" si="730"/>
        <v>0</v>
      </c>
      <c r="R330" s="290">
        <f t="shared" si="730"/>
        <v>0</v>
      </c>
      <c r="S330" s="290">
        <f t="shared" si="730"/>
        <v>0</v>
      </c>
      <c r="T330" s="290">
        <f t="shared" si="730"/>
        <v>0</v>
      </c>
      <c r="U330" s="290">
        <f t="shared" si="730"/>
        <v>0</v>
      </c>
      <c r="V330" s="290">
        <f t="shared" si="730"/>
        <v>0</v>
      </c>
      <c r="W330" s="290">
        <f t="shared" si="730"/>
        <v>0</v>
      </c>
    </row>
    <row r="331" spans="1:39" ht="18.75" outlineLevel="2">
      <c r="A331" s="15"/>
      <c r="B331" s="690"/>
      <c r="C331" s="699" t="s">
        <v>371</v>
      </c>
      <c r="D331" s="23" t="s">
        <v>473</v>
      </c>
      <c r="E331" s="727"/>
      <c r="F331" s="94">
        <f>13831.0610156893*1.01</f>
        <v>13969.371625846194</v>
      </c>
      <c r="G331" s="240"/>
      <c r="H331" s="696"/>
      <c r="I331" s="96"/>
      <c r="J331" s="136"/>
      <c r="L331" s="728">
        <f>($G331*курс+$F331)*G$93*(IF($F$122="Бизнес",1,0)+IF($F$122="Бизнес+",1,0))</f>
        <v>11969165.558152007</v>
      </c>
      <c r="M331" s="190">
        <f t="shared" ref="M331:W331" si="731">($G331*курс+$F331)*H$93*IF(H$64&lt;=75,1,0)*(IF(H$122="Бизнес",1,0)+IF(H$122="Бизнес+",1,0))</f>
        <v>90443078.235609829</v>
      </c>
      <c r="N331" s="190">
        <f t="shared" si="731"/>
        <v>83764306.233735099</v>
      </c>
      <c r="O331" s="190">
        <f t="shared" si="731"/>
        <v>90443078.235609829</v>
      </c>
      <c r="P331" s="190">
        <f t="shared" si="731"/>
        <v>0</v>
      </c>
      <c r="Q331" s="190">
        <f t="shared" si="731"/>
        <v>0</v>
      </c>
      <c r="R331" s="190">
        <f t="shared" si="731"/>
        <v>0</v>
      </c>
      <c r="S331" s="190">
        <f t="shared" si="731"/>
        <v>0</v>
      </c>
      <c r="T331" s="190">
        <f t="shared" si="731"/>
        <v>0</v>
      </c>
      <c r="U331" s="190">
        <f t="shared" si="731"/>
        <v>0</v>
      </c>
      <c r="V331" s="190">
        <f t="shared" si="731"/>
        <v>0</v>
      </c>
      <c r="W331" s="190">
        <f t="shared" si="731"/>
        <v>0</v>
      </c>
    </row>
    <row r="332" spans="1:39" outlineLevel="2">
      <c r="A332" s="15"/>
      <c r="B332" s="690"/>
      <c r="C332" s="738"/>
      <c r="D332" s="105" t="s">
        <v>508</v>
      </c>
      <c r="E332" s="727"/>
      <c r="F332" s="108">
        <f>14160.8578994007*1.01</f>
        <v>14302.466478394708</v>
      </c>
      <c r="G332" s="237"/>
      <c r="H332" s="696"/>
      <c r="I332" s="160"/>
      <c r="J332" s="135"/>
      <c r="L332" s="729"/>
      <c r="M332" s="289">
        <f t="shared" ref="M332:W332" si="732">($G332*курс+$F332)*H$93*IF(AND(H$64&gt;75,H$64&lt;=120),1,0)*(IF(H$122="Бизнес",1,0)+IF(H$122="Бизнес+",1,0))</f>
        <v>0</v>
      </c>
      <c r="N332" s="289">
        <f t="shared" si="732"/>
        <v>0</v>
      </c>
      <c r="O332" s="289">
        <f t="shared" si="732"/>
        <v>0</v>
      </c>
      <c r="P332" s="289">
        <f t="shared" si="732"/>
        <v>0</v>
      </c>
      <c r="Q332" s="289">
        <f t="shared" si="732"/>
        <v>0</v>
      </c>
      <c r="R332" s="289">
        <f t="shared" si="732"/>
        <v>0</v>
      </c>
      <c r="S332" s="289">
        <f t="shared" si="732"/>
        <v>0</v>
      </c>
      <c r="T332" s="289">
        <f t="shared" si="732"/>
        <v>0</v>
      </c>
      <c r="U332" s="289">
        <f t="shared" si="732"/>
        <v>0</v>
      </c>
      <c r="V332" s="289">
        <f t="shared" si="732"/>
        <v>0</v>
      </c>
      <c r="W332" s="289">
        <f t="shared" si="732"/>
        <v>0</v>
      </c>
    </row>
    <row r="333" spans="1:39" outlineLevel="2">
      <c r="A333" s="15"/>
      <c r="B333" s="690"/>
      <c r="C333" s="738"/>
      <c r="D333" s="25" t="s">
        <v>509</v>
      </c>
      <c r="E333" s="727"/>
      <c r="F333" s="95">
        <f>14380.7224885417*1.01</f>
        <v>14524.529713427117</v>
      </c>
      <c r="G333" s="239"/>
      <c r="H333" s="696"/>
      <c r="I333" s="122"/>
      <c r="J333" s="135"/>
      <c r="L333" s="730"/>
      <c r="M333" s="290">
        <f t="shared" ref="M333:W333" si="733">($G333*курс+$F333)*H$93*IF(H$64&gt;120,1,0)*(IF(H$122="Бизнес",1,0)+IF(H$122="Бизнес+",1,0))</f>
        <v>0</v>
      </c>
      <c r="N333" s="290">
        <f t="shared" si="733"/>
        <v>0</v>
      </c>
      <c r="O333" s="290">
        <f t="shared" si="733"/>
        <v>0</v>
      </c>
      <c r="P333" s="290">
        <f t="shared" si="733"/>
        <v>0</v>
      </c>
      <c r="Q333" s="290">
        <f t="shared" si="733"/>
        <v>0</v>
      </c>
      <c r="R333" s="290">
        <f t="shared" si="733"/>
        <v>0</v>
      </c>
      <c r="S333" s="290">
        <f t="shared" si="733"/>
        <v>0</v>
      </c>
      <c r="T333" s="290">
        <f t="shared" si="733"/>
        <v>0</v>
      </c>
      <c r="U333" s="290">
        <f t="shared" si="733"/>
        <v>0</v>
      </c>
      <c r="V333" s="290">
        <f t="shared" si="733"/>
        <v>0</v>
      </c>
      <c r="W333" s="290">
        <f t="shared" si="733"/>
        <v>0</v>
      </c>
    </row>
    <row r="334" spans="1:39" outlineLevel="2">
      <c r="A334" s="15"/>
      <c r="B334" s="690"/>
      <c r="C334" s="699" t="s">
        <v>44</v>
      </c>
      <c r="D334" s="23" t="s">
        <v>473</v>
      </c>
      <c r="E334" s="727"/>
      <c r="F334" s="94">
        <f>23460.9220205414*1.01</f>
        <v>23695.531240746812</v>
      </c>
      <c r="G334" s="94">
        <f>148.574406204286*1.01</f>
        <v>150.06015026632886</v>
      </c>
      <c r="H334" s="696"/>
      <c r="I334" s="96"/>
      <c r="J334" s="135"/>
      <c r="L334" s="728">
        <f>($G334*курс+$F334)*G$93*IF(F$122="Премиум",1,0)</f>
        <v>0</v>
      </c>
      <c r="M334" s="190">
        <f t="shared" ref="M334:W334" si="734">($G334*курс+$F334)*H$93*IF(H$64&lt;=75,1,0)*IF(H$122="Премиум",1,0)</f>
        <v>0</v>
      </c>
      <c r="N334" s="190">
        <f t="shared" si="734"/>
        <v>0</v>
      </c>
      <c r="O334" s="190">
        <f t="shared" si="734"/>
        <v>0</v>
      </c>
      <c r="P334" s="190">
        <f t="shared" si="734"/>
        <v>0</v>
      </c>
      <c r="Q334" s="190">
        <f t="shared" si="734"/>
        <v>0</v>
      </c>
      <c r="R334" s="190">
        <f t="shared" si="734"/>
        <v>0</v>
      </c>
      <c r="S334" s="190">
        <f t="shared" si="734"/>
        <v>0</v>
      </c>
      <c r="T334" s="190">
        <f t="shared" si="734"/>
        <v>0</v>
      </c>
      <c r="U334" s="190">
        <f t="shared" si="734"/>
        <v>0</v>
      </c>
      <c r="V334" s="190">
        <f t="shared" si="734"/>
        <v>0</v>
      </c>
      <c r="W334" s="190">
        <f t="shared" si="734"/>
        <v>0</v>
      </c>
      <c r="AB334" s="728">
        <f>IF(L334=0,0,(L334-$F334*G$93)/курс)</f>
        <v>0</v>
      </c>
      <c r="AC334" s="452">
        <f t="shared" ref="AC334:AM334" si="735">IF(M334=0,0,(M334-$F334*H$93)/курс)</f>
        <v>0</v>
      </c>
      <c r="AD334" s="452">
        <f t="shared" si="735"/>
        <v>0</v>
      </c>
      <c r="AE334" s="452">
        <f t="shared" si="735"/>
        <v>0</v>
      </c>
      <c r="AF334" s="452">
        <f t="shared" si="735"/>
        <v>0</v>
      </c>
      <c r="AG334" s="452">
        <f t="shared" si="735"/>
        <v>0</v>
      </c>
      <c r="AH334" s="452">
        <f t="shared" si="735"/>
        <v>0</v>
      </c>
      <c r="AI334" s="452">
        <f t="shared" si="735"/>
        <v>0</v>
      </c>
      <c r="AJ334" s="452">
        <f t="shared" si="735"/>
        <v>0</v>
      </c>
      <c r="AK334" s="452">
        <f t="shared" si="735"/>
        <v>0</v>
      </c>
      <c r="AL334" s="452">
        <f t="shared" si="735"/>
        <v>0</v>
      </c>
      <c r="AM334" s="452">
        <f t="shared" si="735"/>
        <v>0</v>
      </c>
    </row>
    <row r="335" spans="1:39" outlineLevel="2">
      <c r="A335" s="15"/>
      <c r="B335" s="690"/>
      <c r="C335" s="738"/>
      <c r="D335" s="105" t="s">
        <v>508</v>
      </c>
      <c r="E335" s="727"/>
      <c r="F335" s="108">
        <f>24020.3396214466*1.01</f>
        <v>24260.543017661068</v>
      </c>
      <c r="G335" s="108">
        <f>152.117111721228*1.01</f>
        <v>153.63828283844029</v>
      </c>
      <c r="H335" s="696"/>
      <c r="I335" s="160"/>
      <c r="J335" s="135"/>
      <c r="L335" s="729"/>
      <c r="M335" s="289">
        <f t="shared" ref="M335:W335" si="736">($G335*курс+$F335)*H$93*IF(AND(H$64&gt;75,H$64&lt;=120),1,0)*IF(H$122="Премиум",1,0)</f>
        <v>0</v>
      </c>
      <c r="N335" s="289">
        <f t="shared" si="736"/>
        <v>0</v>
      </c>
      <c r="O335" s="289">
        <f t="shared" si="736"/>
        <v>0</v>
      </c>
      <c r="P335" s="289">
        <f t="shared" si="736"/>
        <v>0</v>
      </c>
      <c r="Q335" s="289">
        <f t="shared" si="736"/>
        <v>0</v>
      </c>
      <c r="R335" s="289">
        <f t="shared" si="736"/>
        <v>0</v>
      </c>
      <c r="S335" s="289">
        <f t="shared" si="736"/>
        <v>0</v>
      </c>
      <c r="T335" s="289">
        <f t="shared" si="736"/>
        <v>0</v>
      </c>
      <c r="U335" s="289">
        <f t="shared" si="736"/>
        <v>0</v>
      </c>
      <c r="V335" s="289">
        <f t="shared" si="736"/>
        <v>0</v>
      </c>
      <c r="W335" s="289">
        <f t="shared" si="736"/>
        <v>0</v>
      </c>
      <c r="AB335" s="729"/>
      <c r="AC335" s="452">
        <f t="shared" ref="AC335:AM339" si="737">IF(M335=0,0,(M335-$F335*H$93)/курс)</f>
        <v>0</v>
      </c>
      <c r="AD335" s="452">
        <f t="shared" si="737"/>
        <v>0</v>
      </c>
      <c r="AE335" s="452">
        <f t="shared" si="737"/>
        <v>0</v>
      </c>
      <c r="AF335" s="452">
        <f t="shared" si="737"/>
        <v>0</v>
      </c>
      <c r="AG335" s="452">
        <f t="shared" si="737"/>
        <v>0</v>
      </c>
      <c r="AH335" s="452">
        <f t="shared" si="737"/>
        <v>0</v>
      </c>
      <c r="AI335" s="452">
        <f t="shared" si="737"/>
        <v>0</v>
      </c>
      <c r="AJ335" s="452">
        <f t="shared" si="737"/>
        <v>0</v>
      </c>
      <c r="AK335" s="452">
        <f t="shared" si="737"/>
        <v>0</v>
      </c>
      <c r="AL335" s="452">
        <f t="shared" si="737"/>
        <v>0</v>
      </c>
      <c r="AM335" s="452">
        <f t="shared" si="737"/>
        <v>0</v>
      </c>
    </row>
    <row r="336" spans="1:39" outlineLevel="2">
      <c r="A336" s="15"/>
      <c r="B336" s="690"/>
      <c r="C336" s="738"/>
      <c r="D336" s="25" t="s">
        <v>509</v>
      </c>
      <c r="E336" s="727"/>
      <c r="F336" s="95">
        <f>24393.2846887168*1.01</f>
        <v>24637.21753560397</v>
      </c>
      <c r="G336" s="95">
        <f>154.47891539919*1.01</f>
        <v>156.02370455318189</v>
      </c>
      <c r="H336" s="696"/>
      <c r="I336" s="122"/>
      <c r="J336" s="135"/>
      <c r="K336" s="29"/>
      <c r="L336" s="730"/>
      <c r="M336" s="290">
        <f t="shared" ref="M336:W336" si="738">($G336*курс+$F336)*H$93*IF(H$64&gt;120,1,0)*IF(H$123="Премиум",1,0)</f>
        <v>0</v>
      </c>
      <c r="N336" s="290">
        <f t="shared" si="738"/>
        <v>0</v>
      </c>
      <c r="O336" s="290">
        <f t="shared" si="738"/>
        <v>0</v>
      </c>
      <c r="P336" s="290">
        <f t="shared" si="738"/>
        <v>0</v>
      </c>
      <c r="Q336" s="290">
        <f t="shared" si="738"/>
        <v>0</v>
      </c>
      <c r="R336" s="290">
        <f t="shared" si="738"/>
        <v>0</v>
      </c>
      <c r="S336" s="290">
        <f t="shared" si="738"/>
        <v>0</v>
      </c>
      <c r="T336" s="290">
        <f t="shared" si="738"/>
        <v>0</v>
      </c>
      <c r="U336" s="290">
        <f t="shared" si="738"/>
        <v>0</v>
      </c>
      <c r="V336" s="290">
        <f t="shared" si="738"/>
        <v>0</v>
      </c>
      <c r="W336" s="290">
        <f t="shared" si="738"/>
        <v>0</v>
      </c>
      <c r="AB336" s="730"/>
      <c r="AC336" s="452">
        <f t="shared" si="737"/>
        <v>0</v>
      </c>
      <c r="AD336" s="452">
        <f t="shared" si="737"/>
        <v>0</v>
      </c>
      <c r="AE336" s="452">
        <f t="shared" si="737"/>
        <v>0</v>
      </c>
      <c r="AF336" s="452">
        <f t="shared" si="737"/>
        <v>0</v>
      </c>
      <c r="AG336" s="452">
        <f t="shared" si="737"/>
        <v>0</v>
      </c>
      <c r="AH336" s="452">
        <f t="shared" si="737"/>
        <v>0</v>
      </c>
      <c r="AI336" s="452">
        <f t="shared" si="737"/>
        <v>0</v>
      </c>
      <c r="AJ336" s="452">
        <f t="shared" si="737"/>
        <v>0</v>
      </c>
      <c r="AK336" s="452">
        <f t="shared" si="737"/>
        <v>0</v>
      </c>
      <c r="AL336" s="452">
        <f t="shared" si="737"/>
        <v>0</v>
      </c>
      <c r="AM336" s="452">
        <f t="shared" si="737"/>
        <v>0</v>
      </c>
    </row>
    <row r="337" spans="1:39" outlineLevel="2">
      <c r="A337" s="15"/>
      <c r="B337" s="690"/>
      <c r="C337" s="699" t="s">
        <v>45</v>
      </c>
      <c r="D337" s="23" t="s">
        <v>473</v>
      </c>
      <c r="E337" s="727"/>
      <c r="F337" s="94">
        <f>12649.4121107511*1.01</f>
        <v>12775.906231858611</v>
      </c>
      <c r="G337" s="94">
        <f>605.172946641425*1.01</f>
        <v>611.22467610783929</v>
      </c>
      <c r="H337" s="696"/>
      <c r="I337" s="96"/>
      <c r="J337" s="135"/>
      <c r="K337" s="29"/>
      <c r="L337" s="728">
        <f>($G337*курс+$F337)*G$93*IF(F$122="Элит",1,0)</f>
        <v>0</v>
      </c>
      <c r="M337" s="190">
        <f>($G337*курс+$F337)*H$93*IF(H$64&lt;=75,1,0)*IF(H$122="Элит",1,0)</f>
        <v>0</v>
      </c>
      <c r="N337" s="190">
        <f t="shared" ref="N337:W337" si="739">($G337*курс+$F337)*I$93*IF(I$64&lt;=75,1,0)*IF(I$122="Элит",1,0)</f>
        <v>0</v>
      </c>
      <c r="O337" s="190">
        <f t="shared" si="739"/>
        <v>0</v>
      </c>
      <c r="P337" s="190">
        <f t="shared" si="739"/>
        <v>0</v>
      </c>
      <c r="Q337" s="190">
        <f t="shared" si="739"/>
        <v>0</v>
      </c>
      <c r="R337" s="190">
        <f t="shared" si="739"/>
        <v>0</v>
      </c>
      <c r="S337" s="190">
        <f t="shared" si="739"/>
        <v>0</v>
      </c>
      <c r="T337" s="190">
        <f t="shared" si="739"/>
        <v>0</v>
      </c>
      <c r="U337" s="190">
        <f t="shared" si="739"/>
        <v>0</v>
      </c>
      <c r="V337" s="190">
        <f t="shared" si="739"/>
        <v>0</v>
      </c>
      <c r="W337" s="190">
        <f t="shared" si="739"/>
        <v>0</v>
      </c>
      <c r="AB337" s="728">
        <f>IF(L337=0,0,(L337-$F337*G$93)/курс)</f>
        <v>0</v>
      </c>
      <c r="AC337" s="628">
        <f>IF(M337=0,0,(M337-$F337*H$93)/курс)</f>
        <v>0</v>
      </c>
      <c r="AD337" s="628">
        <f t="shared" si="737"/>
        <v>0</v>
      </c>
      <c r="AE337" s="628">
        <f t="shared" si="737"/>
        <v>0</v>
      </c>
      <c r="AF337" s="628">
        <f t="shared" si="737"/>
        <v>0</v>
      </c>
      <c r="AG337" s="628">
        <f t="shared" si="737"/>
        <v>0</v>
      </c>
      <c r="AH337" s="628">
        <f t="shared" si="737"/>
        <v>0</v>
      </c>
      <c r="AI337" s="628">
        <f t="shared" si="737"/>
        <v>0</v>
      </c>
      <c r="AJ337" s="628">
        <f t="shared" si="737"/>
        <v>0</v>
      </c>
      <c r="AK337" s="628">
        <f t="shared" si="737"/>
        <v>0</v>
      </c>
      <c r="AL337" s="628">
        <f t="shared" si="737"/>
        <v>0</v>
      </c>
      <c r="AM337" s="628">
        <f t="shared" si="737"/>
        <v>0</v>
      </c>
    </row>
    <row r="338" spans="1:39" outlineLevel="2">
      <c r="A338" s="15"/>
      <c r="B338" s="690"/>
      <c r="C338" s="738"/>
      <c r="D338" s="105" t="s">
        <v>508</v>
      </c>
      <c r="E338" s="727"/>
      <c r="F338" s="158">
        <f>12951.0329835225*1.01</f>
        <v>13080.543313357726</v>
      </c>
      <c r="G338" s="108">
        <f>619.60308701044*1.01</f>
        <v>625.79911788054449</v>
      </c>
      <c r="H338" s="696"/>
      <c r="I338" s="160"/>
      <c r="J338" s="135"/>
      <c r="K338" s="29"/>
      <c r="L338" s="729"/>
      <c r="M338" s="289">
        <f t="shared" ref="M338:W338" si="740">($G338*курс+$F338)*H$93*IF(AND(H$64&gt;75,H$64&lt;=120),1,0)*IF(H$122="Элит",1,0)</f>
        <v>0</v>
      </c>
      <c r="N338" s="289">
        <f t="shared" si="740"/>
        <v>0</v>
      </c>
      <c r="O338" s="289">
        <f t="shared" si="740"/>
        <v>0</v>
      </c>
      <c r="P338" s="289">
        <f t="shared" si="740"/>
        <v>0</v>
      </c>
      <c r="Q338" s="289">
        <f t="shared" si="740"/>
        <v>0</v>
      </c>
      <c r="R338" s="289">
        <f t="shared" si="740"/>
        <v>0</v>
      </c>
      <c r="S338" s="289">
        <f t="shared" si="740"/>
        <v>0</v>
      </c>
      <c r="T338" s="289">
        <f t="shared" si="740"/>
        <v>0</v>
      </c>
      <c r="U338" s="289">
        <f t="shared" si="740"/>
        <v>0</v>
      </c>
      <c r="V338" s="289">
        <f t="shared" si="740"/>
        <v>0</v>
      </c>
      <c r="W338" s="289">
        <f t="shared" si="740"/>
        <v>0</v>
      </c>
      <c r="AB338" s="729"/>
      <c r="AC338" s="628">
        <f>IF(M338=0,0,(M338-$F338*H$93)/курс)</f>
        <v>0</v>
      </c>
      <c r="AD338" s="628">
        <f t="shared" si="737"/>
        <v>0</v>
      </c>
      <c r="AE338" s="628">
        <f t="shared" si="737"/>
        <v>0</v>
      </c>
      <c r="AF338" s="628">
        <f t="shared" si="737"/>
        <v>0</v>
      </c>
      <c r="AG338" s="628">
        <f t="shared" si="737"/>
        <v>0</v>
      </c>
      <c r="AH338" s="628">
        <f t="shared" si="737"/>
        <v>0</v>
      </c>
      <c r="AI338" s="628">
        <f t="shared" si="737"/>
        <v>0</v>
      </c>
      <c r="AJ338" s="628">
        <f t="shared" si="737"/>
        <v>0</v>
      </c>
      <c r="AK338" s="628">
        <f t="shared" si="737"/>
        <v>0</v>
      </c>
      <c r="AL338" s="628">
        <f t="shared" si="737"/>
        <v>0</v>
      </c>
      <c r="AM338" s="628">
        <f t="shared" si="737"/>
        <v>0</v>
      </c>
    </row>
    <row r="339" spans="1:39" outlineLevel="2">
      <c r="A339" s="15"/>
      <c r="B339" s="691"/>
      <c r="C339" s="700"/>
      <c r="D339" s="25" t="s">
        <v>509</v>
      </c>
      <c r="E339" s="499"/>
      <c r="F339" s="98">
        <f>13152.1135653701*1.01</f>
        <v>13283.634701023802</v>
      </c>
      <c r="G339" s="95">
        <f>629.223180589783*1.01</f>
        <v>635.51541239568087</v>
      </c>
      <c r="H339" s="697"/>
      <c r="I339" s="122"/>
      <c r="J339" s="135"/>
      <c r="K339" s="29"/>
      <c r="L339" s="730"/>
      <c r="M339" s="290">
        <f t="shared" ref="M339:W339" si="741">($G339*курс+$F339)*H$93*IF(H$64&gt;120,1,0)*IF(H$122="Элит",1,0)</f>
        <v>0</v>
      </c>
      <c r="N339" s="290">
        <f t="shared" si="741"/>
        <v>0</v>
      </c>
      <c r="O339" s="290">
        <f t="shared" si="741"/>
        <v>0</v>
      </c>
      <c r="P339" s="290">
        <f t="shared" si="741"/>
        <v>0</v>
      </c>
      <c r="Q339" s="290">
        <f t="shared" si="741"/>
        <v>0</v>
      </c>
      <c r="R339" s="290">
        <f t="shared" si="741"/>
        <v>0</v>
      </c>
      <c r="S339" s="290">
        <f t="shared" si="741"/>
        <v>0</v>
      </c>
      <c r="T339" s="290">
        <f t="shared" si="741"/>
        <v>0</v>
      </c>
      <c r="U339" s="290">
        <f t="shared" si="741"/>
        <v>0</v>
      </c>
      <c r="V339" s="290">
        <f t="shared" si="741"/>
        <v>0</v>
      </c>
      <c r="W339" s="290">
        <f t="shared" si="741"/>
        <v>0</v>
      </c>
      <c r="AB339" s="730"/>
      <c r="AC339" s="628">
        <f t="shared" ref="AC339" si="742">IF(M339=0,0,(M339-$F339*H$93)/курс)</f>
        <v>0</v>
      </c>
      <c r="AD339" s="628">
        <f t="shared" si="737"/>
        <v>0</v>
      </c>
      <c r="AE339" s="628">
        <f t="shared" si="737"/>
        <v>0</v>
      </c>
      <c r="AF339" s="628">
        <f t="shared" si="737"/>
        <v>0</v>
      </c>
      <c r="AG339" s="628">
        <f t="shared" si="737"/>
        <v>0</v>
      </c>
      <c r="AH339" s="628">
        <f t="shared" si="737"/>
        <v>0</v>
      </c>
      <c r="AI339" s="628">
        <f t="shared" si="737"/>
        <v>0</v>
      </c>
      <c r="AJ339" s="628">
        <f t="shared" si="737"/>
        <v>0</v>
      </c>
      <c r="AK339" s="628">
        <f t="shared" si="737"/>
        <v>0</v>
      </c>
      <c r="AL339" s="628">
        <f t="shared" si="737"/>
        <v>0</v>
      </c>
      <c r="AM339" s="628">
        <f t="shared" si="737"/>
        <v>0</v>
      </c>
    </row>
    <row r="340" spans="1:39" ht="18.75" customHeight="1" outlineLevel="1">
      <c r="A340" s="15"/>
      <c r="B340" s="721" t="s">
        <v>397</v>
      </c>
      <c r="C340" s="294"/>
      <c r="D340"/>
      <c r="E340"/>
      <c r="F340"/>
      <c r="G340"/>
      <c r="H340"/>
      <c r="I340"/>
      <c r="J340"/>
      <c r="K340" s="15"/>
    </row>
    <row r="341" spans="1:39" ht="15.75" customHeight="1" outlineLevel="3">
      <c r="A341" s="15"/>
      <c r="B341" s="722"/>
      <c r="C341" s="699" t="s">
        <v>504</v>
      </c>
      <c r="D341" s="23" t="s">
        <v>473</v>
      </c>
      <c r="E341" s="771" t="s">
        <v>846</v>
      </c>
      <c r="F341" s="94">
        <f>1819.9637424322*1.01</f>
        <v>1838.1633798565219</v>
      </c>
      <c r="G341" s="240"/>
      <c r="H341" s="695" t="s">
        <v>380</v>
      </c>
      <c r="I341" s="96"/>
      <c r="J341" s="135"/>
      <c r="L341" s="7"/>
      <c r="M341" s="190">
        <f>($G341*курс+$F341)*(H$69-H$71)*IF(H$64&lt;=75,1,0)</f>
        <v>74012425.711674526</v>
      </c>
      <c r="N341" s="190">
        <f t="shared" ref="N341:W341" si="743">($G341*курс+$F341)*(I$69-I$71)*IF(I$64&lt;=75,1,0)</f>
        <v>52049165.998723999</v>
      </c>
      <c r="O341" s="190">
        <f t="shared" si="743"/>
        <v>74601740.891256511</v>
      </c>
      <c r="P341" s="190">
        <f t="shared" si="743"/>
        <v>5937451.5332745519</v>
      </c>
      <c r="Q341" s="190">
        <f t="shared" si="743"/>
        <v>0</v>
      </c>
      <c r="R341" s="190">
        <f t="shared" si="743"/>
        <v>0</v>
      </c>
      <c r="S341" s="190">
        <f t="shared" si="743"/>
        <v>0</v>
      </c>
      <c r="T341" s="190">
        <f t="shared" si="743"/>
        <v>0</v>
      </c>
      <c r="U341" s="190">
        <f t="shared" si="743"/>
        <v>0</v>
      </c>
      <c r="V341" s="190">
        <f t="shared" si="743"/>
        <v>0</v>
      </c>
      <c r="W341" s="190">
        <f t="shared" si="743"/>
        <v>0</v>
      </c>
    </row>
    <row r="342" spans="1:39" outlineLevel="3">
      <c r="A342" s="15"/>
      <c r="B342" s="722"/>
      <c r="C342" s="738"/>
      <c r="D342" s="105" t="s">
        <v>508</v>
      </c>
      <c r="E342" s="772"/>
      <c r="F342" s="108">
        <f>1895.43150618117*1.01</f>
        <v>1914.3858212429818</v>
      </c>
      <c r="G342" s="237"/>
      <c r="H342" s="696"/>
      <c r="I342" s="160"/>
      <c r="J342" s="135"/>
      <c r="L342" s="7"/>
      <c r="M342" s="289">
        <f>($G342*курс+$F342)*(H$69-H$71)*IF(AND(H$64&gt;75,H$64&lt;=120),1,0)</f>
        <v>0</v>
      </c>
      <c r="N342" s="289">
        <f t="shared" ref="N342:W342" si="744">($G342*курс+$F342)*(I$69-I$71)*IF(AND(I$64&gt;75,I$64&lt;=120),1,0)</f>
        <v>0</v>
      </c>
      <c r="O342" s="289">
        <f t="shared" si="744"/>
        <v>0</v>
      </c>
      <c r="P342" s="289">
        <f t="shared" si="744"/>
        <v>0</v>
      </c>
      <c r="Q342" s="289">
        <f t="shared" si="744"/>
        <v>0</v>
      </c>
      <c r="R342" s="289">
        <f t="shared" si="744"/>
        <v>0</v>
      </c>
      <c r="S342" s="289">
        <f t="shared" si="744"/>
        <v>0</v>
      </c>
      <c r="T342" s="289">
        <f t="shared" si="744"/>
        <v>0</v>
      </c>
      <c r="U342" s="289">
        <f t="shared" si="744"/>
        <v>0</v>
      </c>
      <c r="V342" s="289">
        <f t="shared" si="744"/>
        <v>0</v>
      </c>
      <c r="W342" s="289">
        <f t="shared" si="744"/>
        <v>0</v>
      </c>
    </row>
    <row r="343" spans="1:39" outlineLevel="3">
      <c r="A343" s="15"/>
      <c r="B343" s="722"/>
      <c r="C343" s="738"/>
      <c r="D343" s="25" t="s">
        <v>509</v>
      </c>
      <c r="E343" s="772"/>
      <c r="F343" s="95">
        <f>1945.74334868049*1.01</f>
        <v>1965.2007821672951</v>
      </c>
      <c r="G343" s="239"/>
      <c r="H343" s="697"/>
      <c r="I343" s="122"/>
      <c r="J343" s="135"/>
      <c r="L343" s="7"/>
      <c r="M343" s="290">
        <f>($G343*курс+$F343)*(H$69-H$71)*IF(H$64&gt;120,1,0)</f>
        <v>0</v>
      </c>
      <c r="N343" s="290">
        <f t="shared" ref="N343:W343" si="745">($G343*курс+$F343)*(I$69-I$71)*IF(I$64&gt;120,1,0)</f>
        <v>0</v>
      </c>
      <c r="O343" s="290">
        <f t="shared" si="745"/>
        <v>0</v>
      </c>
      <c r="P343" s="290">
        <f t="shared" si="745"/>
        <v>0</v>
      </c>
      <c r="Q343" s="290">
        <f t="shared" si="745"/>
        <v>0</v>
      </c>
      <c r="R343" s="290">
        <f t="shared" si="745"/>
        <v>0</v>
      </c>
      <c r="S343" s="290">
        <f t="shared" si="745"/>
        <v>0</v>
      </c>
      <c r="T343" s="290">
        <f t="shared" si="745"/>
        <v>0</v>
      </c>
      <c r="U343" s="290">
        <f t="shared" si="745"/>
        <v>0</v>
      </c>
      <c r="V343" s="290">
        <f t="shared" si="745"/>
        <v>0</v>
      </c>
      <c r="W343" s="290">
        <f t="shared" si="745"/>
        <v>0</v>
      </c>
    </row>
    <row r="344" spans="1:39" outlineLevel="3">
      <c r="A344" s="15"/>
      <c r="B344" s="722"/>
      <c r="C344" s="699" t="s">
        <v>505</v>
      </c>
      <c r="D344" s="23" t="s">
        <v>473</v>
      </c>
      <c r="E344" s="772"/>
      <c r="F344" s="94">
        <f>4497.79581756165*1.01</f>
        <v>4542.773775737267</v>
      </c>
      <c r="G344" s="240"/>
      <c r="H344" s="695" t="s">
        <v>515</v>
      </c>
      <c r="I344" s="160"/>
      <c r="J344" s="135"/>
      <c r="L344" s="7"/>
      <c r="M344" s="190">
        <f t="shared" ref="M344:W344" si="746">($G344*курс+$F344)*H$71*IF(H$64&lt;=75,1,0)</f>
        <v>0</v>
      </c>
      <c r="N344" s="190">
        <f t="shared" si="746"/>
        <v>0</v>
      </c>
      <c r="O344" s="190">
        <f t="shared" si="746"/>
        <v>0</v>
      </c>
      <c r="P344" s="190">
        <f t="shared" si="746"/>
        <v>0</v>
      </c>
      <c r="Q344" s="190">
        <f t="shared" si="746"/>
        <v>0</v>
      </c>
      <c r="R344" s="190">
        <f t="shared" si="746"/>
        <v>0</v>
      </c>
      <c r="S344" s="190">
        <f t="shared" si="746"/>
        <v>0</v>
      </c>
      <c r="T344" s="190">
        <f t="shared" si="746"/>
        <v>0</v>
      </c>
      <c r="U344" s="190">
        <f t="shared" si="746"/>
        <v>0</v>
      </c>
      <c r="V344" s="190">
        <f t="shared" si="746"/>
        <v>0</v>
      </c>
      <c r="W344" s="190">
        <f t="shared" si="746"/>
        <v>0</v>
      </c>
    </row>
    <row r="345" spans="1:39" outlineLevel="3">
      <c r="A345" s="15"/>
      <c r="B345" s="722"/>
      <c r="C345" s="738"/>
      <c r="D345" s="105" t="s">
        <v>508</v>
      </c>
      <c r="E345" s="772"/>
      <c r="F345" s="158">
        <f>4684.30425409635*1.01</f>
        <v>4731.147296637313</v>
      </c>
      <c r="G345" s="247"/>
      <c r="H345" s="696"/>
      <c r="I345" s="57"/>
      <c r="J345" s="135"/>
      <c r="L345" s="7"/>
      <c r="M345" s="289">
        <f t="shared" ref="M345:W345" si="747">($G345*курс+$F345)*H$71*IF(AND(H$64&gt;75,H$64&lt;=120),1,0)</f>
        <v>0</v>
      </c>
      <c r="N345" s="289">
        <f t="shared" si="747"/>
        <v>0</v>
      </c>
      <c r="O345" s="289">
        <f t="shared" si="747"/>
        <v>0</v>
      </c>
      <c r="P345" s="289">
        <f t="shared" si="747"/>
        <v>0</v>
      </c>
      <c r="Q345" s="289">
        <f t="shared" si="747"/>
        <v>0</v>
      </c>
      <c r="R345" s="289">
        <f t="shared" si="747"/>
        <v>0</v>
      </c>
      <c r="S345" s="289">
        <f t="shared" si="747"/>
        <v>0</v>
      </c>
      <c r="T345" s="289">
        <f t="shared" si="747"/>
        <v>0</v>
      </c>
      <c r="U345" s="289">
        <f t="shared" si="747"/>
        <v>0</v>
      </c>
      <c r="V345" s="289">
        <f t="shared" si="747"/>
        <v>0</v>
      </c>
      <c r="W345" s="289">
        <f t="shared" si="747"/>
        <v>0</v>
      </c>
    </row>
    <row r="346" spans="1:39" outlineLevel="3">
      <c r="A346" s="15"/>
      <c r="B346" s="722"/>
      <c r="C346" s="700"/>
      <c r="D346" s="25" t="s">
        <v>509</v>
      </c>
      <c r="E346" s="773"/>
      <c r="F346" s="98">
        <f>4808.64321178615*1.01</f>
        <v>4856.729643904011</v>
      </c>
      <c r="G346" s="244"/>
      <c r="H346" s="697"/>
      <c r="I346" s="97"/>
      <c r="J346" s="135"/>
      <c r="L346" s="7"/>
      <c r="M346" s="290">
        <f t="shared" ref="M346:W346" si="748">($G346*курс+$F346)*H$71*IF(H$64&gt;120,1,0)</f>
        <v>0</v>
      </c>
      <c r="N346" s="290">
        <f t="shared" si="748"/>
        <v>0</v>
      </c>
      <c r="O346" s="290">
        <f t="shared" si="748"/>
        <v>0</v>
      </c>
      <c r="P346" s="290">
        <f t="shared" si="748"/>
        <v>0</v>
      </c>
      <c r="Q346" s="290">
        <f t="shared" si="748"/>
        <v>0</v>
      </c>
      <c r="R346" s="290">
        <f t="shared" si="748"/>
        <v>0</v>
      </c>
      <c r="S346" s="290">
        <f t="shared" si="748"/>
        <v>0</v>
      </c>
      <c r="T346" s="290">
        <f t="shared" si="748"/>
        <v>0</v>
      </c>
      <c r="U346" s="290">
        <f t="shared" si="748"/>
        <v>0</v>
      </c>
      <c r="V346" s="290">
        <f t="shared" si="748"/>
        <v>0</v>
      </c>
      <c r="W346" s="290">
        <f t="shared" si="748"/>
        <v>0</v>
      </c>
    </row>
    <row r="347" spans="1:39" ht="31.5" customHeight="1" outlineLevel="3">
      <c r="A347" s="15"/>
      <c r="B347" s="722"/>
      <c r="C347" s="886" t="s">
        <v>849</v>
      </c>
      <c r="D347" s="888" t="s">
        <v>850</v>
      </c>
      <c r="E347" s="63" t="s">
        <v>504</v>
      </c>
      <c r="F347" s="94">
        <f>48.4412326101427*1.01</f>
        <v>48.925644936244126</v>
      </c>
      <c r="G347" s="240"/>
      <c r="H347" s="447" t="str">
        <f>H341</f>
        <v>к общей надз. площади, кв.м.</v>
      </c>
      <c r="I347" s="96"/>
      <c r="J347" s="135"/>
      <c r="K347" s="250"/>
      <c r="L347" s="250"/>
      <c r="M347" s="451">
        <f t="shared" ref="M347:W347" si="749">($G347*курс+$F347)*(H$69-H71)</f>
        <v>1969958.5471679776</v>
      </c>
      <c r="N347" s="490">
        <f t="shared" si="749"/>
        <v>1385371.4217067969</v>
      </c>
      <c r="O347" s="490">
        <f t="shared" si="749"/>
        <v>1985644.1089345373</v>
      </c>
      <c r="P347" s="490">
        <f t="shared" si="749"/>
        <v>158034.72570856218</v>
      </c>
      <c r="Q347" s="490">
        <f t="shared" si="749"/>
        <v>0</v>
      </c>
      <c r="R347" s="490">
        <f t="shared" si="749"/>
        <v>0</v>
      </c>
      <c r="S347" s="490">
        <f t="shared" si="749"/>
        <v>0</v>
      </c>
      <c r="T347" s="490">
        <f t="shared" si="749"/>
        <v>0</v>
      </c>
      <c r="U347" s="490">
        <f t="shared" si="749"/>
        <v>0</v>
      </c>
      <c r="V347" s="490">
        <f t="shared" si="749"/>
        <v>0</v>
      </c>
      <c r="W347" s="490">
        <f t="shared" si="749"/>
        <v>0</v>
      </c>
    </row>
    <row r="348" spans="1:39" ht="30" outlineLevel="3">
      <c r="A348" s="15"/>
      <c r="B348" s="722"/>
      <c r="C348" s="887"/>
      <c r="D348" s="889"/>
      <c r="E348" s="497" t="s">
        <v>505</v>
      </c>
      <c r="F348" s="95">
        <f>115.188381122887*1.01</f>
        <v>116.34026493411587</v>
      </c>
      <c r="G348" s="239"/>
      <c r="H348" s="448" t="str">
        <f>H344</f>
        <v>к общей надз. Площади 2-х светных квартир, кв.м.</v>
      </c>
      <c r="I348" s="160"/>
      <c r="J348" s="135"/>
      <c r="K348" s="250"/>
      <c r="L348" s="250"/>
      <c r="M348" s="290">
        <f>($G348*курс+$F348)*H$71</f>
        <v>0</v>
      </c>
      <c r="N348" s="290">
        <f t="shared" ref="N348:W348" si="750">($G348*курс+$F348)*I$71</f>
        <v>0</v>
      </c>
      <c r="O348" s="290">
        <f t="shared" si="750"/>
        <v>0</v>
      </c>
      <c r="P348" s="290">
        <f t="shared" si="750"/>
        <v>0</v>
      </c>
      <c r="Q348" s="290">
        <f t="shared" si="750"/>
        <v>0</v>
      </c>
      <c r="R348" s="290">
        <f t="shared" si="750"/>
        <v>0</v>
      </c>
      <c r="S348" s="290">
        <f t="shared" si="750"/>
        <v>0</v>
      </c>
      <c r="T348" s="290">
        <f t="shared" si="750"/>
        <v>0</v>
      </c>
      <c r="U348" s="290">
        <f t="shared" si="750"/>
        <v>0</v>
      </c>
      <c r="V348" s="290">
        <f t="shared" si="750"/>
        <v>0</v>
      </c>
      <c r="W348" s="290">
        <f t="shared" si="750"/>
        <v>0</v>
      </c>
    </row>
    <row r="349" spans="1:39" ht="31.5" customHeight="1" outlineLevel="3">
      <c r="A349" s="15"/>
      <c r="B349" s="722"/>
      <c r="C349" s="699" t="s">
        <v>506</v>
      </c>
      <c r="D349" s="496" t="s">
        <v>847</v>
      </c>
      <c r="E349" s="724" t="s">
        <v>851</v>
      </c>
      <c r="F349" s="94">
        <f>611.154669814395*1.01</f>
        <v>617.2662165125389</v>
      </c>
      <c r="G349" s="240"/>
      <c r="H349" s="695" t="s">
        <v>507</v>
      </c>
      <c r="I349" s="96"/>
      <c r="J349" s="135"/>
      <c r="L349" s="452">
        <f>$F$349*G58*(IF(G57=1,1,0)+IF(G57=2,1,0))</f>
        <v>0</v>
      </c>
      <c r="M349" s="452">
        <f t="shared" ref="M349:W349" si="751">$F$349*H56</f>
        <v>913862.63354681386</v>
      </c>
      <c r="N349" s="452">
        <f t="shared" si="751"/>
        <v>634241.03746663372</v>
      </c>
      <c r="O349" s="452">
        <f t="shared" si="751"/>
        <v>1228359.7708599523</v>
      </c>
      <c r="P349" s="452">
        <f t="shared" si="751"/>
        <v>664610.53531905066</v>
      </c>
      <c r="Q349" s="452">
        <f t="shared" si="751"/>
        <v>0</v>
      </c>
      <c r="R349" s="452">
        <f t="shared" si="751"/>
        <v>0</v>
      </c>
      <c r="S349" s="452">
        <f t="shared" si="751"/>
        <v>0</v>
      </c>
      <c r="T349" s="452">
        <f t="shared" si="751"/>
        <v>0</v>
      </c>
      <c r="U349" s="452">
        <f t="shared" si="751"/>
        <v>0</v>
      </c>
      <c r="V349" s="452">
        <f t="shared" si="751"/>
        <v>0</v>
      </c>
      <c r="W349" s="452">
        <f t="shared" si="751"/>
        <v>0</v>
      </c>
    </row>
    <row r="350" spans="1:39" ht="31.5" outlineLevel="3">
      <c r="A350" s="15"/>
      <c r="B350" s="723"/>
      <c r="C350" s="700"/>
      <c r="D350" s="497" t="s">
        <v>848</v>
      </c>
      <c r="E350" s="725"/>
      <c r="F350" s="95">
        <f>467.596940975929*1.01</f>
        <v>472.27291038568831</v>
      </c>
      <c r="G350" s="239"/>
      <c r="H350" s="697"/>
      <c r="I350" s="449"/>
      <c r="J350" s="135"/>
      <c r="L350" s="192">
        <f>$F$350*G58*(IF(G57=3,1,0)+IF(G57="3+тех.эт.",1,0))</f>
        <v>20328042.881731182</v>
      </c>
    </row>
    <row r="351" spans="1:39" ht="18.75" outlineLevel="1">
      <c r="A351" s="15"/>
      <c r="B351" s="721" t="s">
        <v>477</v>
      </c>
      <c r="C351" s="806"/>
      <c r="D351" s="136"/>
      <c r="E351" s="136"/>
      <c r="F351" s="136"/>
      <c r="G351" s="136"/>
      <c r="H351" s="136"/>
      <c r="I351" s="136"/>
      <c r="J351" s="136"/>
      <c r="L351" s="7"/>
      <c r="M351" s="7"/>
      <c r="N351" s="7"/>
      <c r="O351" s="7"/>
      <c r="P351" s="7"/>
      <c r="Q351" s="7"/>
      <c r="R351" s="7"/>
      <c r="S351" s="7"/>
      <c r="T351" s="7"/>
      <c r="U351" s="7"/>
      <c r="V351" s="7"/>
      <c r="W351" s="7"/>
      <c r="X351" s="7"/>
      <c r="Y351" s="7"/>
    </row>
    <row r="352" spans="1:39" ht="18.75" outlineLevel="2">
      <c r="A352" s="15"/>
      <c r="B352" s="722"/>
      <c r="C352" s="807"/>
      <c r="D352" s="112" t="s">
        <v>947</v>
      </c>
      <c r="E352" s="112" t="s">
        <v>279</v>
      </c>
      <c r="F352" s="94">
        <f>167750*1.01</f>
        <v>169427.5</v>
      </c>
      <c r="G352" s="240"/>
      <c r="H352" s="749" t="s">
        <v>480</v>
      </c>
      <c r="I352" s="136"/>
      <c r="J352" s="136"/>
      <c r="K352" s="250"/>
      <c r="L352" s="250"/>
      <c r="M352" s="152">
        <f t="shared" ref="M352:W352" si="752">($F352+$G352*курс)*(IF(H$122="Комфорт",1,0)+IF(H$122="Бизнес",1,0)+IF(H$122="Бизнес+",1,0))</f>
        <v>169427.5</v>
      </c>
      <c r="N352" s="152">
        <f t="shared" si="752"/>
        <v>169427.5</v>
      </c>
      <c r="O352" s="152">
        <f t="shared" si="752"/>
        <v>169427.5</v>
      </c>
      <c r="P352" s="152">
        <f t="shared" si="752"/>
        <v>169427.5</v>
      </c>
      <c r="Q352" s="152">
        <f t="shared" si="752"/>
        <v>0</v>
      </c>
      <c r="R352" s="152">
        <f t="shared" si="752"/>
        <v>0</v>
      </c>
      <c r="S352" s="152">
        <f t="shared" si="752"/>
        <v>0</v>
      </c>
      <c r="T352" s="152">
        <f t="shared" si="752"/>
        <v>0</v>
      </c>
      <c r="U352" s="152">
        <f t="shared" si="752"/>
        <v>0</v>
      </c>
      <c r="V352" s="152">
        <f t="shared" si="752"/>
        <v>0</v>
      </c>
      <c r="W352" s="152">
        <f t="shared" si="752"/>
        <v>0</v>
      </c>
      <c r="X352" s="250"/>
      <c r="Y352" s="250"/>
    </row>
    <row r="353" spans="1:39" ht="18.75" outlineLevel="2" collapsed="1">
      <c r="A353" s="15"/>
      <c r="B353" s="722"/>
      <c r="C353" s="807"/>
      <c r="D353" s="39" t="s">
        <v>884</v>
      </c>
      <c r="E353" s="39" t="s">
        <v>277</v>
      </c>
      <c r="F353" s="95">
        <f>2602671.90598008*1.01</f>
        <v>2628698.6250398806</v>
      </c>
      <c r="G353" s="239"/>
      <c r="H353" s="749"/>
      <c r="I353" s="136"/>
      <c r="J353" s="136"/>
      <c r="K353" s="250"/>
      <c r="L353" s="250"/>
      <c r="M353" s="157">
        <f t="shared" ref="M353:W353" si="753">($F353+$G353*курс)*(IF(H$122="Премиум",1,0)+IF(H$122="Элит",1,0))</f>
        <v>0</v>
      </c>
      <c r="N353" s="157">
        <f t="shared" si="753"/>
        <v>0</v>
      </c>
      <c r="O353" s="157">
        <f t="shared" si="753"/>
        <v>0</v>
      </c>
      <c r="P353" s="157">
        <f t="shared" si="753"/>
        <v>0</v>
      </c>
      <c r="Q353" s="157">
        <f t="shared" si="753"/>
        <v>0</v>
      </c>
      <c r="R353" s="157">
        <f t="shared" si="753"/>
        <v>0</v>
      </c>
      <c r="S353" s="157">
        <f t="shared" si="753"/>
        <v>0</v>
      </c>
      <c r="T353" s="157">
        <f t="shared" si="753"/>
        <v>0</v>
      </c>
      <c r="U353" s="157">
        <f t="shared" si="753"/>
        <v>0</v>
      </c>
      <c r="V353" s="157">
        <f t="shared" si="753"/>
        <v>0</v>
      </c>
      <c r="W353" s="157">
        <f t="shared" si="753"/>
        <v>0</v>
      </c>
      <c r="X353" s="250"/>
      <c r="Y353" s="250"/>
    </row>
    <row r="354" spans="1:39" ht="18.75" customHeight="1" outlineLevel="2">
      <c r="A354" s="15"/>
      <c r="B354" s="722"/>
      <c r="C354" s="807"/>
      <c r="D354" s="699" t="s">
        <v>478</v>
      </c>
      <c r="E354" s="112" t="s">
        <v>279</v>
      </c>
      <c r="F354" s="94">
        <f>13503.9756271405*1.01</f>
        <v>13639.015383411905</v>
      </c>
      <c r="G354" s="240"/>
      <c r="H354" s="749" t="s">
        <v>888</v>
      </c>
      <c r="I354" s="136"/>
      <c r="J354" s="136"/>
      <c r="M354" s="152">
        <f t="shared" ref="M354:W354" si="754">($F354+$G354*курс)*H$90*(IF(H$122="Комфорт",1,0)+IF(H$122="Бизнес",1,0)+IF(H$122="Бизнес+",1,0))</f>
        <v>5155547.8149296995</v>
      </c>
      <c r="N354" s="152">
        <f t="shared" si="754"/>
        <v>3259724.6766354451</v>
      </c>
      <c r="O354" s="152">
        <f t="shared" si="754"/>
        <v>5114630.7687794641</v>
      </c>
      <c r="P354" s="152">
        <f t="shared" si="754"/>
        <v>122751.13845070713</v>
      </c>
      <c r="Q354" s="152">
        <f t="shared" si="754"/>
        <v>0</v>
      </c>
      <c r="R354" s="152">
        <f t="shared" si="754"/>
        <v>0</v>
      </c>
      <c r="S354" s="152">
        <f t="shared" si="754"/>
        <v>0</v>
      </c>
      <c r="T354" s="152">
        <f t="shared" si="754"/>
        <v>0</v>
      </c>
      <c r="U354" s="152">
        <f t="shared" si="754"/>
        <v>0</v>
      </c>
      <c r="V354" s="152">
        <f t="shared" si="754"/>
        <v>0</v>
      </c>
      <c r="W354" s="152">
        <f t="shared" si="754"/>
        <v>0</v>
      </c>
    </row>
    <row r="355" spans="1:39" ht="18.75" customHeight="1" outlineLevel="2">
      <c r="A355" s="15"/>
      <c r="B355" s="722"/>
      <c r="C355" s="807"/>
      <c r="D355" s="720"/>
      <c r="E355" s="113" t="s">
        <v>277</v>
      </c>
      <c r="F355" s="108">
        <f>22369.285*1.01</f>
        <v>22592.977849999999</v>
      </c>
      <c r="G355" s="237"/>
      <c r="H355" s="749"/>
      <c r="I355" s="136"/>
      <c r="J355" s="136"/>
      <c r="M355" s="157">
        <f t="shared" ref="M355:W355" si="755">($F355+$G355*курс)*H$90*(IF(H$122="Премиум",1,0)+IF(H$122="Элит",1,0))</f>
        <v>0</v>
      </c>
      <c r="N355" s="157">
        <f t="shared" si="755"/>
        <v>0</v>
      </c>
      <c r="O355" s="157">
        <f t="shared" si="755"/>
        <v>0</v>
      </c>
      <c r="P355" s="157">
        <f t="shared" si="755"/>
        <v>0</v>
      </c>
      <c r="Q355" s="157">
        <f t="shared" si="755"/>
        <v>0</v>
      </c>
      <c r="R355" s="157">
        <f t="shared" si="755"/>
        <v>0</v>
      </c>
      <c r="S355" s="157">
        <f t="shared" si="755"/>
        <v>0</v>
      </c>
      <c r="T355" s="157">
        <f t="shared" si="755"/>
        <v>0</v>
      </c>
      <c r="U355" s="157">
        <f t="shared" si="755"/>
        <v>0</v>
      </c>
      <c r="V355" s="157">
        <f t="shared" si="755"/>
        <v>0</v>
      </c>
      <c r="W355" s="157">
        <f t="shared" si="755"/>
        <v>0</v>
      </c>
    </row>
    <row r="356" spans="1:39" ht="18.75" customHeight="1" outlineLevel="2">
      <c r="A356" s="15"/>
      <c r="B356" s="722"/>
      <c r="C356" s="807"/>
      <c r="D356" s="113" t="s">
        <v>886</v>
      </c>
      <c r="E356" s="113" t="s">
        <v>885</v>
      </c>
      <c r="F356" s="108">
        <f>1421.26124408532*1.01</f>
        <v>1435.4738565261732</v>
      </c>
      <c r="G356" s="237"/>
      <c r="H356" s="749"/>
      <c r="I356" s="136"/>
      <c r="J356" s="136"/>
      <c r="K356" s="250"/>
      <c r="M356" s="157">
        <f t="shared" ref="M356:W357" si="756">($F356+$G356*курс)*H$90</f>
        <v>542609.11776689347</v>
      </c>
      <c r="N356" s="157">
        <f t="shared" si="756"/>
        <v>343078.25170975539</v>
      </c>
      <c r="O356" s="157">
        <f t="shared" si="756"/>
        <v>538302.696197315</v>
      </c>
      <c r="P356" s="157">
        <f t="shared" si="756"/>
        <v>12919.264708735558</v>
      </c>
      <c r="Q356" s="157">
        <f t="shared" si="756"/>
        <v>0</v>
      </c>
      <c r="R356" s="157">
        <f t="shared" si="756"/>
        <v>0</v>
      </c>
      <c r="S356" s="157">
        <f t="shared" si="756"/>
        <v>0</v>
      </c>
      <c r="T356" s="157">
        <f t="shared" si="756"/>
        <v>0</v>
      </c>
      <c r="U356" s="157">
        <f t="shared" si="756"/>
        <v>0</v>
      </c>
      <c r="V356" s="157">
        <f t="shared" si="756"/>
        <v>0</v>
      </c>
      <c r="W356" s="157">
        <f t="shared" si="756"/>
        <v>0</v>
      </c>
    </row>
    <row r="357" spans="1:39" ht="18.75" customHeight="1" outlineLevel="2">
      <c r="A357" s="15"/>
      <c r="B357" s="722"/>
      <c r="C357" s="807"/>
      <c r="D357" s="39" t="s">
        <v>887</v>
      </c>
      <c r="E357" s="39" t="s">
        <v>885</v>
      </c>
      <c r="F357" s="95">
        <f>747.933464722113*1.01</f>
        <v>755.41279936933404</v>
      </c>
      <c r="G357" s="239"/>
      <c r="H357" s="749"/>
      <c r="I357" s="136"/>
      <c r="J357" s="136"/>
      <c r="K357" s="250"/>
      <c r="M357" s="157">
        <f t="shared" si="756"/>
        <v>285546.03816160827</v>
      </c>
      <c r="N357" s="157">
        <f t="shared" si="756"/>
        <v>180543.65904927085</v>
      </c>
      <c r="O357" s="157">
        <f t="shared" si="756"/>
        <v>283279.79976350028</v>
      </c>
      <c r="P357" s="157">
        <f t="shared" si="756"/>
        <v>6798.715194324006</v>
      </c>
      <c r="Q357" s="157">
        <f t="shared" si="756"/>
        <v>0</v>
      </c>
      <c r="R357" s="157">
        <f t="shared" si="756"/>
        <v>0</v>
      </c>
      <c r="S357" s="157">
        <f t="shared" si="756"/>
        <v>0</v>
      </c>
      <c r="T357" s="157">
        <f t="shared" si="756"/>
        <v>0</v>
      </c>
      <c r="U357" s="157">
        <f t="shared" si="756"/>
        <v>0</v>
      </c>
      <c r="V357" s="157">
        <f t="shared" si="756"/>
        <v>0</v>
      </c>
      <c r="W357" s="157">
        <f t="shared" si="756"/>
        <v>0</v>
      </c>
    </row>
    <row r="358" spans="1:39" ht="18.75" customHeight="1" outlineLevel="2">
      <c r="A358" s="15"/>
      <c r="B358" s="722"/>
      <c r="C358" s="807"/>
      <c r="D358" s="699" t="s">
        <v>890</v>
      </c>
      <c r="E358" s="112" t="s">
        <v>279</v>
      </c>
      <c r="F358" s="94">
        <f>12444.8826658323*1.01</f>
        <v>12569.331492490623</v>
      </c>
      <c r="G358" s="505"/>
      <c r="H358" s="706" t="s">
        <v>889</v>
      </c>
      <c r="I358" s="136"/>
      <c r="J358" s="136"/>
      <c r="M358" s="152">
        <f t="shared" ref="M358:W358" si="757">($F358+$G358*курс)*H$94*(IF(H$122="Комфорт",1,0)+IF(H$122="Бизнес",1,0)+IF(H$122="Бизнес+",1,0))</f>
        <v>1275149.5717019474</v>
      </c>
      <c r="N358" s="152">
        <f t="shared" si="757"/>
        <v>1275149.5717019474</v>
      </c>
      <c r="O358" s="152">
        <f t="shared" si="757"/>
        <v>1275149.5717019474</v>
      </c>
      <c r="P358" s="152">
        <f t="shared" si="757"/>
        <v>0</v>
      </c>
      <c r="Q358" s="152">
        <f t="shared" si="757"/>
        <v>0</v>
      </c>
      <c r="R358" s="152">
        <f t="shared" si="757"/>
        <v>0</v>
      </c>
      <c r="S358" s="152">
        <f t="shared" si="757"/>
        <v>0</v>
      </c>
      <c r="T358" s="152">
        <f t="shared" si="757"/>
        <v>0</v>
      </c>
      <c r="U358" s="152">
        <f t="shared" si="757"/>
        <v>0</v>
      </c>
      <c r="V358" s="152">
        <f t="shared" si="757"/>
        <v>0</v>
      </c>
      <c r="W358" s="152">
        <f t="shared" si="757"/>
        <v>0</v>
      </c>
    </row>
    <row r="359" spans="1:39" ht="18.75" customHeight="1" outlineLevel="2">
      <c r="A359" s="15"/>
      <c r="B359" s="722"/>
      <c r="C359" s="807"/>
      <c r="D359" s="720"/>
      <c r="E359" s="113" t="s">
        <v>277</v>
      </c>
      <c r="F359" s="108">
        <f>21027.9930913428*1.01</f>
        <v>21238.273022256228</v>
      </c>
      <c r="G359" s="506"/>
      <c r="H359" s="749"/>
      <c r="I359" s="136"/>
      <c r="J359" s="136"/>
      <c r="M359" s="157">
        <f t="shared" ref="M359:W359" si="758">($F359+$G359*курс)*H$94*(IF(H$122="Премиум",1,0)+IF(H$122="Элит",1,0))</f>
        <v>0</v>
      </c>
      <c r="N359" s="157">
        <f t="shared" si="758"/>
        <v>0</v>
      </c>
      <c r="O359" s="157">
        <f t="shared" si="758"/>
        <v>0</v>
      </c>
      <c r="P359" s="157">
        <f t="shared" si="758"/>
        <v>0</v>
      </c>
      <c r="Q359" s="157">
        <f t="shared" si="758"/>
        <v>0</v>
      </c>
      <c r="R359" s="157">
        <f t="shared" si="758"/>
        <v>0</v>
      </c>
      <c r="S359" s="157">
        <f t="shared" si="758"/>
        <v>0</v>
      </c>
      <c r="T359" s="157">
        <f t="shared" si="758"/>
        <v>0</v>
      </c>
      <c r="U359" s="157">
        <f t="shared" si="758"/>
        <v>0</v>
      </c>
      <c r="V359" s="157">
        <f t="shared" si="758"/>
        <v>0</v>
      </c>
      <c r="W359" s="157">
        <f t="shared" si="758"/>
        <v>0</v>
      </c>
    </row>
    <row r="360" spans="1:39" ht="18.75" customHeight="1" outlineLevel="2">
      <c r="A360" s="15"/>
      <c r="B360" s="722"/>
      <c r="C360" s="807"/>
      <c r="D360" s="39" t="s">
        <v>891</v>
      </c>
      <c r="E360" s="39" t="s">
        <v>885</v>
      </c>
      <c r="F360" s="95">
        <f>3252.01072118329*1.01</f>
        <v>3284.5308283951231</v>
      </c>
      <c r="G360" s="507"/>
      <c r="H360" s="749"/>
      <c r="I360" s="136"/>
      <c r="J360" s="136"/>
      <c r="M360" s="157">
        <f t="shared" ref="M360:W360" si="759">($F360+$G360*курс)*H$94</f>
        <v>333213.27244588209</v>
      </c>
      <c r="N360" s="157">
        <f t="shared" si="759"/>
        <v>333213.27244588209</v>
      </c>
      <c r="O360" s="157">
        <f t="shared" si="759"/>
        <v>333213.27244588209</v>
      </c>
      <c r="P360" s="157">
        <f t="shared" si="759"/>
        <v>0</v>
      </c>
      <c r="Q360" s="157">
        <f t="shared" si="759"/>
        <v>0</v>
      </c>
      <c r="R360" s="157">
        <f t="shared" si="759"/>
        <v>0</v>
      </c>
      <c r="S360" s="157">
        <f t="shared" si="759"/>
        <v>0</v>
      </c>
      <c r="T360" s="157">
        <f t="shared" si="759"/>
        <v>0</v>
      </c>
      <c r="U360" s="157">
        <f t="shared" si="759"/>
        <v>0</v>
      </c>
      <c r="V360" s="157">
        <f t="shared" si="759"/>
        <v>0</v>
      </c>
      <c r="W360" s="157">
        <f t="shared" si="759"/>
        <v>0</v>
      </c>
    </row>
    <row r="361" spans="1:39" ht="18.75" customHeight="1" outlineLevel="2">
      <c r="A361" s="15"/>
      <c r="B361" s="722"/>
      <c r="C361" s="807"/>
      <c r="D361" s="738" t="s">
        <v>892</v>
      </c>
      <c r="E361" s="166" t="s">
        <v>279</v>
      </c>
      <c r="F361" s="108">
        <f>22514.1133274616*1.01</f>
        <v>22739.254460736218</v>
      </c>
      <c r="G361" s="237"/>
      <c r="H361" s="749"/>
      <c r="I361" s="136"/>
      <c r="J361" s="136"/>
      <c r="K361" s="250"/>
      <c r="M361" s="152">
        <f t="shared" ref="M361:W361" si="760">($F361+$G361*курс)*H$94*(IF(H$122="Комфорт",1,0)+IF(H$122="Бизнес",1,0)+IF(H$122="Бизнес+",1,0))</f>
        <v>2306880.8873210656</v>
      </c>
      <c r="N361" s="152">
        <f t="shared" si="760"/>
        <v>2306880.8873210656</v>
      </c>
      <c r="O361" s="152">
        <f t="shared" si="760"/>
        <v>2306880.8873210656</v>
      </c>
      <c r="P361" s="152">
        <f t="shared" si="760"/>
        <v>0</v>
      </c>
      <c r="Q361" s="152">
        <f t="shared" si="760"/>
        <v>0</v>
      </c>
      <c r="R361" s="152">
        <f t="shared" si="760"/>
        <v>0</v>
      </c>
      <c r="S361" s="152">
        <f t="shared" si="760"/>
        <v>0</v>
      </c>
      <c r="T361" s="152">
        <f t="shared" si="760"/>
        <v>0</v>
      </c>
      <c r="U361" s="152">
        <f t="shared" si="760"/>
        <v>0</v>
      </c>
      <c r="V361" s="152">
        <f t="shared" si="760"/>
        <v>0</v>
      </c>
      <c r="W361" s="152">
        <f t="shared" si="760"/>
        <v>0</v>
      </c>
    </row>
    <row r="362" spans="1:39" ht="18.75" customHeight="1" outlineLevel="2">
      <c r="A362" s="15"/>
      <c r="B362" s="722"/>
      <c r="C362" s="807"/>
      <c r="D362" s="720"/>
      <c r="E362" s="113" t="s">
        <v>277</v>
      </c>
      <c r="F362" s="108">
        <f>52730.560900801*1.01</f>
        <v>53257.866509809013</v>
      </c>
      <c r="G362" s="237"/>
      <c r="H362" s="749"/>
      <c r="I362" s="136"/>
      <c r="J362" s="136"/>
      <c r="K362" s="250"/>
      <c r="M362" s="157">
        <f t="shared" ref="M362:W362" si="761">($F362+$G362*курс)*H$94*(IF(H$122="Премиум",1,0)+IF(H$122="Элит",1,0))</f>
        <v>0</v>
      </c>
      <c r="N362" s="157">
        <f t="shared" si="761"/>
        <v>0</v>
      </c>
      <c r="O362" s="157">
        <f t="shared" si="761"/>
        <v>0</v>
      </c>
      <c r="P362" s="157">
        <f t="shared" si="761"/>
        <v>0</v>
      </c>
      <c r="Q362" s="157">
        <f t="shared" si="761"/>
        <v>0</v>
      </c>
      <c r="R362" s="157">
        <f t="shared" si="761"/>
        <v>0</v>
      </c>
      <c r="S362" s="157">
        <f t="shared" si="761"/>
        <v>0</v>
      </c>
      <c r="T362" s="157">
        <f t="shared" si="761"/>
        <v>0</v>
      </c>
      <c r="U362" s="157">
        <f t="shared" si="761"/>
        <v>0</v>
      </c>
      <c r="V362" s="157">
        <f t="shared" si="761"/>
        <v>0</v>
      </c>
      <c r="W362" s="157">
        <f t="shared" si="761"/>
        <v>0</v>
      </c>
    </row>
    <row r="363" spans="1:39" ht="18.75" customHeight="1" outlineLevel="2">
      <c r="A363" s="15"/>
      <c r="B363" s="722"/>
      <c r="C363" s="807"/>
      <c r="D363" s="113" t="s">
        <v>893</v>
      </c>
      <c r="E363" s="113" t="s">
        <v>885</v>
      </c>
      <c r="F363" s="108">
        <f>3608.4055543407*1.01</f>
        <v>3644.4896098841068</v>
      </c>
      <c r="G363" s="237"/>
      <c r="H363" s="749"/>
      <c r="I363" s="136"/>
      <c r="J363" s="136"/>
      <c r="K363" s="250"/>
      <c r="M363" s="157">
        <f t="shared" ref="M363:W365" si="762">($F363+$G363*курс)*H$94</f>
        <v>369730.82998824271</v>
      </c>
      <c r="N363" s="157">
        <f t="shared" si="762"/>
        <v>369730.82998824271</v>
      </c>
      <c r="O363" s="157">
        <f t="shared" si="762"/>
        <v>369730.82998824271</v>
      </c>
      <c r="P363" s="157">
        <f t="shared" si="762"/>
        <v>0</v>
      </c>
      <c r="Q363" s="157">
        <f t="shared" si="762"/>
        <v>0</v>
      </c>
      <c r="R363" s="157">
        <f t="shared" si="762"/>
        <v>0</v>
      </c>
      <c r="S363" s="157">
        <f t="shared" si="762"/>
        <v>0</v>
      </c>
      <c r="T363" s="157">
        <f t="shared" si="762"/>
        <v>0</v>
      </c>
      <c r="U363" s="157">
        <f t="shared" si="762"/>
        <v>0</v>
      </c>
      <c r="V363" s="157">
        <f t="shared" si="762"/>
        <v>0</v>
      </c>
      <c r="W363" s="157">
        <f t="shared" si="762"/>
        <v>0</v>
      </c>
    </row>
    <row r="364" spans="1:39" ht="18.75" customHeight="1" outlineLevel="2">
      <c r="A364" s="15"/>
      <c r="B364" s="722"/>
      <c r="C364" s="807"/>
      <c r="D364" s="113" t="s">
        <v>894</v>
      </c>
      <c r="E364" s="113" t="s">
        <v>885</v>
      </c>
      <c r="F364" s="108">
        <f>2252.10891891892*1.01</f>
        <v>2274.6300081081095</v>
      </c>
      <c r="G364" s="108">
        <f>20.7329842931937*1.01</f>
        <v>20.940314136125636</v>
      </c>
      <c r="H364" s="749"/>
      <c r="I364" s="136"/>
      <c r="J364" s="136"/>
      <c r="K364" s="250"/>
      <c r="M364" s="157">
        <f t="shared" si="762"/>
        <v>416412.71902879892</v>
      </c>
      <c r="N364" s="157">
        <f t="shared" si="762"/>
        <v>416412.71902879892</v>
      </c>
      <c r="O364" s="157">
        <f t="shared" si="762"/>
        <v>416412.71902879892</v>
      </c>
      <c r="P364" s="157">
        <f t="shared" si="762"/>
        <v>0</v>
      </c>
      <c r="Q364" s="157">
        <f t="shared" si="762"/>
        <v>0</v>
      </c>
      <c r="R364" s="157">
        <f t="shared" si="762"/>
        <v>0</v>
      </c>
      <c r="S364" s="157">
        <f t="shared" si="762"/>
        <v>0</v>
      </c>
      <c r="T364" s="157">
        <f t="shared" si="762"/>
        <v>0</v>
      </c>
      <c r="U364" s="157">
        <f t="shared" si="762"/>
        <v>0</v>
      </c>
      <c r="V364" s="157">
        <f t="shared" si="762"/>
        <v>0</v>
      </c>
      <c r="W364" s="157">
        <f t="shared" si="762"/>
        <v>0</v>
      </c>
      <c r="AC364" s="490">
        <f t="shared" ref="AC364:AM364" si="763">IF(M364=0,0,(M364-$F364*H$94)/курс)</f>
        <v>2124.3796949692678</v>
      </c>
      <c r="AD364" s="490">
        <f t="shared" si="763"/>
        <v>2124.3796949692678</v>
      </c>
      <c r="AE364" s="490">
        <f t="shared" si="763"/>
        <v>2124.3796949692678</v>
      </c>
      <c r="AF364" s="490">
        <f t="shared" si="763"/>
        <v>0</v>
      </c>
      <c r="AG364" s="490">
        <f t="shared" si="763"/>
        <v>0</v>
      </c>
      <c r="AH364" s="490">
        <f t="shared" si="763"/>
        <v>0</v>
      </c>
      <c r="AI364" s="490">
        <f t="shared" si="763"/>
        <v>0</v>
      </c>
      <c r="AJ364" s="490">
        <f t="shared" si="763"/>
        <v>0</v>
      </c>
      <c r="AK364" s="490">
        <f t="shared" si="763"/>
        <v>0</v>
      </c>
      <c r="AL364" s="490">
        <f t="shared" si="763"/>
        <v>0</v>
      </c>
      <c r="AM364" s="490">
        <f t="shared" si="763"/>
        <v>0</v>
      </c>
    </row>
    <row r="365" spans="1:39" ht="18.75" customHeight="1" outlineLevel="2">
      <c r="A365" s="15"/>
      <c r="B365" s="722"/>
      <c r="C365" s="807"/>
      <c r="D365" s="298" t="s">
        <v>895</v>
      </c>
      <c r="E365" s="298" t="s">
        <v>885</v>
      </c>
      <c r="F365" s="93">
        <f>25808.7653350987*1.01</f>
        <v>26066.852988449686</v>
      </c>
      <c r="G365" s="242"/>
      <c r="H365" s="749"/>
      <c r="I365" s="136"/>
      <c r="J365" s="136"/>
      <c r="K365" s="250"/>
      <c r="M365" s="157">
        <f>($F365+$G365*курс)*H$94</f>
        <v>2644463.3466543159</v>
      </c>
      <c r="N365" s="157">
        <f t="shared" si="762"/>
        <v>2644463.3466543159</v>
      </c>
      <c r="O365" s="157">
        <f t="shared" si="762"/>
        <v>2644463.3466543159</v>
      </c>
      <c r="P365" s="157">
        <f t="shared" si="762"/>
        <v>0</v>
      </c>
      <c r="Q365" s="157">
        <f t="shared" si="762"/>
        <v>0</v>
      </c>
      <c r="R365" s="157">
        <f t="shared" si="762"/>
        <v>0</v>
      </c>
      <c r="S365" s="157">
        <f t="shared" si="762"/>
        <v>0</v>
      </c>
      <c r="T365" s="157">
        <f t="shared" si="762"/>
        <v>0</v>
      </c>
      <c r="U365" s="157">
        <f t="shared" si="762"/>
        <v>0</v>
      </c>
      <c r="V365" s="157">
        <f t="shared" si="762"/>
        <v>0</v>
      </c>
      <c r="W365" s="157">
        <f t="shared" si="762"/>
        <v>0</v>
      </c>
    </row>
    <row r="366" spans="1:39" ht="18.75" customHeight="1" outlineLevel="2">
      <c r="A366" s="15"/>
      <c r="B366" s="722"/>
      <c r="C366" s="807"/>
      <c r="D366" s="632" t="s">
        <v>1840</v>
      </c>
      <c r="E366" s="632" t="s">
        <v>885</v>
      </c>
      <c r="F366" s="94">
        <f>16064.4048635021*1.01</f>
        <v>16225.048912137123</v>
      </c>
      <c r="G366" s="505"/>
      <c r="H366" s="749"/>
      <c r="I366" s="136"/>
      <c r="J366" s="136"/>
      <c r="K366" s="599"/>
      <c r="M366" s="157">
        <f t="shared" ref="M366:W366" si="764">($F366+$G366*курс)*IF(H$94&lt;=100,H$94,0)</f>
        <v>0</v>
      </c>
      <c r="N366" s="157">
        <f t="shared" si="764"/>
        <v>0</v>
      </c>
      <c r="O366" s="157">
        <f t="shared" si="764"/>
        <v>0</v>
      </c>
      <c r="P366" s="157">
        <f t="shared" si="764"/>
        <v>0</v>
      </c>
      <c r="Q366" s="157">
        <f t="shared" si="764"/>
        <v>0</v>
      </c>
      <c r="R366" s="157">
        <f t="shared" si="764"/>
        <v>0</v>
      </c>
      <c r="S366" s="157">
        <f t="shared" si="764"/>
        <v>0</v>
      </c>
      <c r="T366" s="157">
        <f t="shared" si="764"/>
        <v>0</v>
      </c>
      <c r="U366" s="157">
        <f t="shared" si="764"/>
        <v>0</v>
      </c>
      <c r="V366" s="157">
        <f t="shared" si="764"/>
        <v>0</v>
      </c>
      <c r="W366" s="157">
        <f t="shared" si="764"/>
        <v>0</v>
      </c>
    </row>
    <row r="367" spans="1:39" ht="18.75" customHeight="1" outlineLevel="2">
      <c r="A367" s="15"/>
      <c r="B367" s="722"/>
      <c r="C367" s="807"/>
      <c r="D367" s="633" t="s">
        <v>1841</v>
      </c>
      <c r="E367" s="298" t="s">
        <v>885</v>
      </c>
      <c r="F367" s="108">
        <f>10204.7278813299*1.01</f>
        <v>10306.775160143199</v>
      </c>
      <c r="G367" s="506"/>
      <c r="H367" s="749"/>
      <c r="I367" s="136"/>
      <c r="J367" s="136"/>
      <c r="K367" s="599"/>
      <c r="M367" s="157">
        <f t="shared" ref="M367:W367" si="765">($F367+$G367*курс)*IF(AND(H$94&gt;100,H$94&lt;200),H$94,0)</f>
        <v>1045614.8713188753</v>
      </c>
      <c r="N367" s="157">
        <f t="shared" si="765"/>
        <v>1045614.8713188753</v>
      </c>
      <c r="O367" s="157">
        <f t="shared" si="765"/>
        <v>1045614.8713188753</v>
      </c>
      <c r="P367" s="157">
        <f t="shared" si="765"/>
        <v>0</v>
      </c>
      <c r="Q367" s="157">
        <f t="shared" si="765"/>
        <v>0</v>
      </c>
      <c r="R367" s="157">
        <f t="shared" si="765"/>
        <v>0</v>
      </c>
      <c r="S367" s="157">
        <f t="shared" si="765"/>
        <v>0</v>
      </c>
      <c r="T367" s="157">
        <f t="shared" si="765"/>
        <v>0</v>
      </c>
      <c r="U367" s="157">
        <f t="shared" si="765"/>
        <v>0</v>
      </c>
      <c r="V367" s="157">
        <f t="shared" si="765"/>
        <v>0</v>
      </c>
      <c r="W367" s="157">
        <f t="shared" si="765"/>
        <v>0</v>
      </c>
    </row>
    <row r="368" spans="1:39" ht="18.75" customHeight="1" outlineLevel="2">
      <c r="A368" s="15"/>
      <c r="B368" s="722"/>
      <c r="C368" s="807"/>
      <c r="D368" s="634" t="s">
        <v>1842</v>
      </c>
      <c r="E368" s="635" t="s">
        <v>885</v>
      </c>
      <c r="F368" s="95">
        <f>4345.05089915775*1.01</f>
        <v>4388.5014081493273</v>
      </c>
      <c r="G368" s="507"/>
      <c r="H368" s="749"/>
      <c r="I368" s="136"/>
      <c r="J368" s="136"/>
      <c r="K368" s="599"/>
      <c r="M368" s="157">
        <f t="shared" ref="M368:W368" si="766">($F368+$G368*курс)*IF(H$94&gt;=200,H$94,0)</f>
        <v>0</v>
      </c>
      <c r="N368" s="157">
        <f t="shared" si="766"/>
        <v>0</v>
      </c>
      <c r="O368" s="157">
        <f t="shared" si="766"/>
        <v>0</v>
      </c>
      <c r="P368" s="157">
        <f t="shared" si="766"/>
        <v>0</v>
      </c>
      <c r="Q368" s="157">
        <f t="shared" si="766"/>
        <v>0</v>
      </c>
      <c r="R368" s="157">
        <f t="shared" si="766"/>
        <v>0</v>
      </c>
      <c r="S368" s="157">
        <f t="shared" si="766"/>
        <v>0</v>
      </c>
      <c r="T368" s="157">
        <f t="shared" si="766"/>
        <v>0</v>
      </c>
      <c r="U368" s="157">
        <f t="shared" si="766"/>
        <v>0</v>
      </c>
      <c r="V368" s="157">
        <f t="shared" si="766"/>
        <v>0</v>
      </c>
      <c r="W368" s="157">
        <f t="shared" si="766"/>
        <v>0</v>
      </c>
    </row>
    <row r="369" spans="1:39" ht="18.75" customHeight="1" outlineLevel="2">
      <c r="A369" s="15"/>
      <c r="B369" s="722"/>
      <c r="C369" s="807"/>
      <c r="D369" s="633" t="s">
        <v>1843</v>
      </c>
      <c r="E369" s="633" t="s">
        <v>885</v>
      </c>
      <c r="F369" s="108">
        <f>340.579558388345*1.01</f>
        <v>343.98535397222844</v>
      </c>
      <c r="G369" s="506"/>
      <c r="H369" s="749"/>
      <c r="I369" s="136"/>
      <c r="J369" s="136"/>
      <c r="K369" s="599"/>
      <c r="M369" s="157">
        <f t="shared" ref="M369:W370" si="767">($F369+$G369*курс)*H$94</f>
        <v>34897.064895733318</v>
      </c>
      <c r="N369" s="157">
        <f t="shared" si="767"/>
        <v>34897.064895733318</v>
      </c>
      <c r="O369" s="157">
        <f t="shared" si="767"/>
        <v>34897.064895733318</v>
      </c>
      <c r="P369" s="157">
        <f t="shared" si="767"/>
        <v>0</v>
      </c>
      <c r="Q369" s="157">
        <f t="shared" si="767"/>
        <v>0</v>
      </c>
      <c r="R369" s="157">
        <f t="shared" si="767"/>
        <v>0</v>
      </c>
      <c r="S369" s="157">
        <f t="shared" si="767"/>
        <v>0</v>
      </c>
      <c r="T369" s="157">
        <f t="shared" si="767"/>
        <v>0</v>
      </c>
      <c r="U369" s="157">
        <f t="shared" si="767"/>
        <v>0</v>
      </c>
      <c r="V369" s="157">
        <f t="shared" si="767"/>
        <v>0</v>
      </c>
      <c r="W369" s="157">
        <f t="shared" si="767"/>
        <v>0</v>
      </c>
    </row>
    <row r="370" spans="1:39" ht="18.75" customHeight="1" outlineLevel="2">
      <c r="A370" s="15"/>
      <c r="B370" s="722"/>
      <c r="C370" s="807"/>
      <c r="D370" s="634" t="s">
        <v>1845</v>
      </c>
      <c r="E370" s="635" t="s">
        <v>885</v>
      </c>
      <c r="F370" s="95">
        <f>1258.60232187571*1.01</f>
        <v>1271.1883450944672</v>
      </c>
      <c r="G370" s="507"/>
      <c r="H370" s="749"/>
      <c r="I370" s="136"/>
      <c r="J370" s="136"/>
      <c r="K370" s="599"/>
      <c r="M370" s="157">
        <f t="shared" si="767"/>
        <v>128961.13645885899</v>
      </c>
      <c r="N370" s="157">
        <f t="shared" si="767"/>
        <v>128961.13645885899</v>
      </c>
      <c r="O370" s="157">
        <f t="shared" si="767"/>
        <v>128961.13645885899</v>
      </c>
      <c r="P370" s="157">
        <f t="shared" si="767"/>
        <v>0</v>
      </c>
      <c r="Q370" s="157">
        <f t="shared" si="767"/>
        <v>0</v>
      </c>
      <c r="R370" s="157">
        <f t="shared" si="767"/>
        <v>0</v>
      </c>
      <c r="S370" s="157">
        <f t="shared" si="767"/>
        <v>0</v>
      </c>
      <c r="T370" s="157">
        <f t="shared" si="767"/>
        <v>0</v>
      </c>
      <c r="U370" s="157">
        <f t="shared" si="767"/>
        <v>0</v>
      </c>
      <c r="V370" s="157">
        <f t="shared" si="767"/>
        <v>0</v>
      </c>
      <c r="W370" s="157">
        <f t="shared" si="767"/>
        <v>0</v>
      </c>
    </row>
    <row r="371" spans="1:39" ht="18.75" customHeight="1" outlineLevel="2">
      <c r="A371" s="15"/>
      <c r="B371" s="722"/>
      <c r="C371" s="807"/>
      <c r="D371" s="699" t="s">
        <v>896</v>
      </c>
      <c r="E371" s="112" t="s">
        <v>279</v>
      </c>
      <c r="F371" s="94">
        <f>5675.76996891755*1.01</f>
        <v>5732.5276686067255</v>
      </c>
      <c r="G371" s="508">
        <f>46.568864880756*1.01</f>
        <v>47.03455352956356</v>
      </c>
      <c r="H371" s="749"/>
      <c r="I371" s="136"/>
      <c r="J371" s="136"/>
      <c r="K371" s="250"/>
      <c r="M371" s="152">
        <f>($F371+$G371*курс)*H$94*(IF(H$122="Комфорт",1,0)+IF(H$122="Бизнес",1,0)+IF(H$122="Бизнес+",1,0))</f>
        <v>998560.88147933327</v>
      </c>
      <c r="N371" s="152">
        <f t="shared" ref="N371:W371" si="768">($F371+$G371*курс)*I$94*(IF(I$122="Комфорт",1,0)+IF(I$122="Бизнес",1,0)+IF(I$122="Бизнес+",1,0))</f>
        <v>998560.88147933327</v>
      </c>
      <c r="O371" s="152">
        <f t="shared" si="768"/>
        <v>998560.88147933327</v>
      </c>
      <c r="P371" s="152">
        <f t="shared" si="768"/>
        <v>0</v>
      </c>
      <c r="Q371" s="152">
        <f t="shared" si="768"/>
        <v>0</v>
      </c>
      <c r="R371" s="152">
        <f t="shared" si="768"/>
        <v>0</v>
      </c>
      <c r="S371" s="152">
        <f t="shared" si="768"/>
        <v>0</v>
      </c>
      <c r="T371" s="152">
        <f t="shared" si="768"/>
        <v>0</v>
      </c>
      <c r="U371" s="152">
        <f t="shared" si="768"/>
        <v>0</v>
      </c>
      <c r="V371" s="152">
        <f t="shared" si="768"/>
        <v>0</v>
      </c>
      <c r="W371" s="152">
        <f t="shared" si="768"/>
        <v>0</v>
      </c>
      <c r="AC371" s="490">
        <f t="shared" ref="AC371:AM372" si="769">IF(M371=0,0,(M371-$F371*H$94)/курс)</f>
        <v>4771.6213725644193</v>
      </c>
      <c r="AD371" s="490">
        <f t="shared" si="769"/>
        <v>4771.6213725644193</v>
      </c>
      <c r="AE371" s="490">
        <f t="shared" si="769"/>
        <v>4771.6213725644193</v>
      </c>
      <c r="AF371" s="490">
        <f t="shared" si="769"/>
        <v>0</v>
      </c>
      <c r="AG371" s="490">
        <f t="shared" si="769"/>
        <v>0</v>
      </c>
      <c r="AH371" s="490">
        <f t="shared" si="769"/>
        <v>0</v>
      </c>
      <c r="AI371" s="490">
        <f t="shared" si="769"/>
        <v>0</v>
      </c>
      <c r="AJ371" s="490">
        <f t="shared" si="769"/>
        <v>0</v>
      </c>
      <c r="AK371" s="490">
        <f t="shared" si="769"/>
        <v>0</v>
      </c>
      <c r="AL371" s="490">
        <f t="shared" si="769"/>
        <v>0</v>
      </c>
      <c r="AM371" s="490">
        <f t="shared" si="769"/>
        <v>0</v>
      </c>
    </row>
    <row r="372" spans="1:39" ht="18.75" customHeight="1" outlineLevel="2">
      <c r="A372" s="15"/>
      <c r="B372" s="723"/>
      <c r="C372" s="808"/>
      <c r="D372" s="700"/>
      <c r="E372" s="39" t="s">
        <v>277</v>
      </c>
      <c r="F372" s="95">
        <f>15925.5064889919*1.01</f>
        <v>16084.761553881819</v>
      </c>
      <c r="G372" s="509">
        <f>304.012036477499*1.01</f>
        <v>307.05215684227403</v>
      </c>
      <c r="H372" s="749"/>
      <c r="I372" s="455"/>
      <c r="J372" s="136"/>
      <c r="K372" s="250"/>
      <c r="M372" s="157">
        <f t="shared" ref="M372:W372" si="770">($F372+$G372*курс)*H$94*(IF(H$122="Премиум",1,0)+IF(H$122="Элит",1,0))</f>
        <v>0</v>
      </c>
      <c r="N372" s="157">
        <f t="shared" si="770"/>
        <v>0</v>
      </c>
      <c r="O372" s="157">
        <f t="shared" si="770"/>
        <v>0</v>
      </c>
      <c r="P372" s="157">
        <f t="shared" si="770"/>
        <v>0</v>
      </c>
      <c r="Q372" s="157">
        <f t="shared" si="770"/>
        <v>0</v>
      </c>
      <c r="R372" s="157">
        <f t="shared" si="770"/>
        <v>0</v>
      </c>
      <c r="S372" s="157">
        <f t="shared" si="770"/>
        <v>0</v>
      </c>
      <c r="T372" s="157">
        <f t="shared" si="770"/>
        <v>0</v>
      </c>
      <c r="U372" s="157">
        <f t="shared" si="770"/>
        <v>0</v>
      </c>
      <c r="V372" s="157">
        <f t="shared" si="770"/>
        <v>0</v>
      </c>
      <c r="W372" s="157">
        <f t="shared" si="770"/>
        <v>0</v>
      </c>
      <c r="AC372" s="490">
        <f t="shared" si="769"/>
        <v>0</v>
      </c>
      <c r="AD372" s="490">
        <f t="shared" si="769"/>
        <v>0</v>
      </c>
      <c r="AE372" s="490">
        <f t="shared" si="769"/>
        <v>0</v>
      </c>
      <c r="AF372" s="490">
        <f t="shared" si="769"/>
        <v>0</v>
      </c>
      <c r="AG372" s="490">
        <f t="shared" si="769"/>
        <v>0</v>
      </c>
      <c r="AH372" s="490">
        <f t="shared" si="769"/>
        <v>0</v>
      </c>
      <c r="AI372" s="490">
        <f t="shared" si="769"/>
        <v>0</v>
      </c>
      <c r="AJ372" s="490">
        <f t="shared" si="769"/>
        <v>0</v>
      </c>
      <c r="AK372" s="490">
        <f t="shared" si="769"/>
        <v>0</v>
      </c>
      <c r="AL372" s="490">
        <f t="shared" si="769"/>
        <v>0</v>
      </c>
      <c r="AM372" s="490">
        <f t="shared" si="769"/>
        <v>0</v>
      </c>
    </row>
    <row r="373" spans="1:39" ht="15" customHeight="1" outlineLevel="1">
      <c r="A373" s="15"/>
      <c r="B373" s="717" t="s">
        <v>80</v>
      </c>
      <c r="C373" s="277"/>
      <c r="D373"/>
      <c r="E373"/>
      <c r="F373"/>
      <c r="G373"/>
      <c r="H373"/>
      <c r="I373"/>
      <c r="J373"/>
      <c r="K373"/>
      <c r="M373" s="276"/>
      <c r="N373" s="276"/>
      <c r="O373" s="276"/>
      <c r="P373" s="276"/>
      <c r="Q373" s="276"/>
      <c r="R373" s="276"/>
      <c r="S373" s="276"/>
      <c r="T373" s="276"/>
      <c r="U373" s="276"/>
      <c r="V373" s="276"/>
      <c r="W373" s="276"/>
    </row>
    <row r="374" spans="1:39" ht="18.75" customHeight="1" outlineLevel="3">
      <c r="A374" s="15"/>
      <c r="B374" s="718"/>
      <c r="C374" s="740" t="s">
        <v>81</v>
      </c>
      <c r="D374" s="741"/>
      <c r="E374" s="63" t="s">
        <v>473</v>
      </c>
      <c r="F374" s="94">
        <f>514.569475741193*5.0943</f>
        <v>2621.371280268359</v>
      </c>
      <c r="G374" s="271">
        <v>3.0268792690658386</v>
      </c>
      <c r="H374" s="695" t="s">
        <v>370</v>
      </c>
      <c r="I374" s="96"/>
      <c r="J374" s="136"/>
      <c r="L374" s="728">
        <f>F374*$G$58+$G$58*G374*курс</f>
        <v>124217595.92975888</v>
      </c>
      <c r="M374" s="261">
        <f>($F374+$G374*курс)*(H$69+H$56)*IF(H$64&lt;=75,1,0)</f>
        <v>120471226.8935862</v>
      </c>
      <c r="N374" s="261">
        <f t="shared" ref="N374:W374" si="771">($F374+$G374*курс)*(I$69+I$56)*IF(I$64&lt;=75,1,0)</f>
        <v>84681850.651601732</v>
      </c>
      <c r="O374" s="261">
        <f t="shared" si="771"/>
        <v>122866808.66951476</v>
      </c>
      <c r="P374" s="261">
        <f t="shared" si="771"/>
        <v>12428974.331489107</v>
      </c>
      <c r="Q374" s="261">
        <f t="shared" si="771"/>
        <v>0</v>
      </c>
      <c r="R374" s="261">
        <f t="shared" si="771"/>
        <v>0</v>
      </c>
      <c r="S374" s="261">
        <f t="shared" si="771"/>
        <v>0</v>
      </c>
      <c r="T374" s="261">
        <f t="shared" si="771"/>
        <v>0</v>
      </c>
      <c r="U374" s="261">
        <f t="shared" si="771"/>
        <v>0</v>
      </c>
      <c r="V374" s="261">
        <f t="shared" si="771"/>
        <v>0</v>
      </c>
      <c r="W374" s="261">
        <f t="shared" si="771"/>
        <v>0</v>
      </c>
    </row>
    <row r="375" spans="1:39" ht="18.75" customHeight="1" outlineLevel="3">
      <c r="A375" s="15"/>
      <c r="B375" s="718"/>
      <c r="C375" s="742"/>
      <c r="D375" s="743"/>
      <c r="E375" s="146" t="s">
        <v>474</v>
      </c>
      <c r="F375" s="92">
        <f>529.93474290143*5.0943</f>
        <v>2699.6465607627547</v>
      </c>
      <c r="G375" s="272">
        <v>3.1172631935378261</v>
      </c>
      <c r="H375" s="696"/>
      <c r="I375" s="56"/>
      <c r="J375" s="136"/>
      <c r="L375" s="729"/>
      <c r="M375" s="262">
        <f>($F375+$G375*курс)*(H$69+H$56)*IF(AND(H$64&gt;75,H$64&lt;=130),1,0)</f>
        <v>0</v>
      </c>
      <c r="N375" s="262">
        <f t="shared" ref="N375:W375" si="772">($F375+$G375*курс)*(I$69+I$56)*IF(AND(I$64&gt;75,I$64&lt;=130),1,0)</f>
        <v>0</v>
      </c>
      <c r="O375" s="262">
        <f t="shared" si="772"/>
        <v>0</v>
      </c>
      <c r="P375" s="262">
        <f t="shared" si="772"/>
        <v>0</v>
      </c>
      <c r="Q375" s="262">
        <f t="shared" si="772"/>
        <v>0</v>
      </c>
      <c r="R375" s="262">
        <f t="shared" si="772"/>
        <v>0</v>
      </c>
      <c r="S375" s="262">
        <f t="shared" si="772"/>
        <v>0</v>
      </c>
      <c r="T375" s="262">
        <f t="shared" si="772"/>
        <v>0</v>
      </c>
      <c r="U375" s="262">
        <f t="shared" si="772"/>
        <v>0</v>
      </c>
      <c r="V375" s="262">
        <f t="shared" si="772"/>
        <v>0</v>
      </c>
      <c r="W375" s="262">
        <f t="shared" si="772"/>
        <v>0</v>
      </c>
    </row>
    <row r="376" spans="1:39" ht="18.75" customHeight="1" outlineLevel="3">
      <c r="A376" s="15"/>
      <c r="B376" s="718"/>
      <c r="C376" s="744"/>
      <c r="D376" s="745"/>
      <c r="E376" s="126" t="s">
        <v>453</v>
      </c>
      <c r="F376" s="98">
        <f>540.178254341589*5.0943</f>
        <v>2751.8300810923565</v>
      </c>
      <c r="G376" s="273">
        <v>3.1775191431858185</v>
      </c>
      <c r="H376" s="696"/>
      <c r="I376" s="97"/>
      <c r="J376" s="136"/>
      <c r="L376" s="730"/>
      <c r="M376" s="214">
        <f>($F376+$G376*курс)*(H$69+H$56)*IF(H$64&gt;130,1,0)</f>
        <v>0</v>
      </c>
      <c r="N376" s="214">
        <f t="shared" ref="N376:W376" si="773">($F376+$G376*курс)*(I$69+I$56)*IF(I$64&gt;130,1,0)</f>
        <v>0</v>
      </c>
      <c r="O376" s="214">
        <f t="shared" si="773"/>
        <v>0</v>
      </c>
      <c r="P376" s="214">
        <f t="shared" si="773"/>
        <v>0</v>
      </c>
      <c r="Q376" s="214">
        <f t="shared" si="773"/>
        <v>0</v>
      </c>
      <c r="R376" s="214">
        <f t="shared" si="773"/>
        <v>0</v>
      </c>
      <c r="S376" s="214">
        <f t="shared" si="773"/>
        <v>0</v>
      </c>
      <c r="T376" s="214">
        <f t="shared" si="773"/>
        <v>0</v>
      </c>
      <c r="U376" s="214">
        <f t="shared" si="773"/>
        <v>0</v>
      </c>
      <c r="V376" s="214">
        <f t="shared" si="773"/>
        <v>0</v>
      </c>
      <c r="W376" s="214">
        <f t="shared" si="773"/>
        <v>0</v>
      </c>
    </row>
    <row r="377" spans="1:39" ht="18.75" customHeight="1" outlineLevel="3">
      <c r="A377" s="15"/>
      <c r="B377" s="718"/>
      <c r="C377" s="740" t="s">
        <v>83</v>
      </c>
      <c r="D377" s="741"/>
      <c r="E377" s="63" t="s">
        <v>473</v>
      </c>
      <c r="F377" s="94">
        <f>1368.74492633032*1.38066</f>
        <v>1889.7713699872195</v>
      </c>
      <c r="G377" s="271">
        <v>8.0514407431195405</v>
      </c>
      <c r="H377" s="696"/>
      <c r="I377" s="96"/>
      <c r="J377" s="136"/>
      <c r="L377" s="728">
        <f>F377*$G$58+$G$58*G377*курс</f>
        <v>111627736.17099212</v>
      </c>
      <c r="M377" s="261">
        <f t="shared" ref="M377:W377" si="774">($F377+$G377*курс)*(H$69+H$56)*IF(H$64&lt;=75,1,0)</f>
        <v>108261073.8938898</v>
      </c>
      <c r="N377" s="261">
        <f t="shared" si="774"/>
        <v>76099068.028603911</v>
      </c>
      <c r="O377" s="261">
        <f t="shared" si="774"/>
        <v>110413855.61903769</v>
      </c>
      <c r="P377" s="261">
        <f t="shared" si="774"/>
        <v>11169257.118259156</v>
      </c>
      <c r="Q377" s="261">
        <f t="shared" si="774"/>
        <v>0</v>
      </c>
      <c r="R377" s="261">
        <f t="shared" si="774"/>
        <v>0</v>
      </c>
      <c r="S377" s="261">
        <f t="shared" si="774"/>
        <v>0</v>
      </c>
      <c r="T377" s="261">
        <f t="shared" si="774"/>
        <v>0</v>
      </c>
      <c r="U377" s="261">
        <f t="shared" si="774"/>
        <v>0</v>
      </c>
      <c r="V377" s="261">
        <f t="shared" si="774"/>
        <v>0</v>
      </c>
      <c r="W377" s="261">
        <f t="shared" si="774"/>
        <v>0</v>
      </c>
    </row>
    <row r="378" spans="1:39" ht="18.75" customHeight="1" outlineLevel="3">
      <c r="A378" s="15"/>
      <c r="B378" s="718"/>
      <c r="C378" s="742"/>
      <c r="D378" s="743"/>
      <c r="E378" s="146" t="s">
        <v>474</v>
      </c>
      <c r="F378" s="92">
        <f>1412.37221762137*1.38066</f>
        <v>1950.0058259811208</v>
      </c>
      <c r="G378" s="272">
        <v>8.3080718683610293</v>
      </c>
      <c r="H378" s="696"/>
      <c r="I378" s="56"/>
      <c r="J378" s="136"/>
      <c r="L378" s="729"/>
      <c r="M378" s="262">
        <f t="shared" ref="M378:W378" si="775">($F378+$G378*курс)*(H$69+H$56)*IF(AND(H$64&gt;75,H$64&lt;=130),1,0)</f>
        <v>0</v>
      </c>
      <c r="N378" s="262">
        <f t="shared" si="775"/>
        <v>0</v>
      </c>
      <c r="O378" s="262">
        <f t="shared" si="775"/>
        <v>0</v>
      </c>
      <c r="P378" s="262">
        <f t="shared" si="775"/>
        <v>0</v>
      </c>
      <c r="Q378" s="262">
        <f t="shared" si="775"/>
        <v>0</v>
      </c>
      <c r="R378" s="262">
        <f t="shared" si="775"/>
        <v>0</v>
      </c>
      <c r="S378" s="262">
        <f t="shared" si="775"/>
        <v>0</v>
      </c>
      <c r="T378" s="262">
        <f t="shared" si="775"/>
        <v>0</v>
      </c>
      <c r="U378" s="262">
        <f t="shared" si="775"/>
        <v>0</v>
      </c>
      <c r="V378" s="262">
        <f t="shared" si="775"/>
        <v>0</v>
      </c>
      <c r="W378" s="262">
        <f t="shared" si="775"/>
        <v>0</v>
      </c>
    </row>
    <row r="379" spans="1:39" ht="18.75" customHeight="1" outlineLevel="3">
      <c r="A379" s="15"/>
      <c r="B379" s="718"/>
      <c r="C379" s="744"/>
      <c r="D379" s="745"/>
      <c r="E379" s="126" t="s">
        <v>453</v>
      </c>
      <c r="F379" s="98">
        <f>1441.45707848208*1.38066</f>
        <v>1990.1621299770686</v>
      </c>
      <c r="G379" s="273">
        <v>8.4791592851886879</v>
      </c>
      <c r="H379" s="696"/>
      <c r="I379" s="97"/>
      <c r="J379" s="136"/>
      <c r="L379" s="730"/>
      <c r="M379" s="214">
        <f t="shared" ref="M379:W379" si="776">($F379+$G379*курс)*(H$69+H$56)*IF(H$64&gt;130,1,0)</f>
        <v>0</v>
      </c>
      <c r="N379" s="214">
        <f t="shared" si="776"/>
        <v>0</v>
      </c>
      <c r="O379" s="214">
        <f t="shared" si="776"/>
        <v>0</v>
      </c>
      <c r="P379" s="214">
        <f t="shared" si="776"/>
        <v>0</v>
      </c>
      <c r="Q379" s="214">
        <f t="shared" si="776"/>
        <v>0</v>
      </c>
      <c r="R379" s="214">
        <f t="shared" si="776"/>
        <v>0</v>
      </c>
      <c r="S379" s="214">
        <f t="shared" si="776"/>
        <v>0</v>
      </c>
      <c r="T379" s="214">
        <f t="shared" si="776"/>
        <v>0</v>
      </c>
      <c r="U379" s="214">
        <f t="shared" si="776"/>
        <v>0</v>
      </c>
      <c r="V379" s="214">
        <f t="shared" si="776"/>
        <v>0</v>
      </c>
      <c r="W379" s="214">
        <f t="shared" si="776"/>
        <v>0</v>
      </c>
    </row>
    <row r="380" spans="1:39" ht="18.75" customHeight="1" outlineLevel="3">
      <c r="A380" s="15"/>
      <c r="B380" s="718"/>
      <c r="C380" s="740" t="s">
        <v>84</v>
      </c>
      <c r="D380" s="741"/>
      <c r="E380" s="63" t="s">
        <v>473</v>
      </c>
      <c r="F380" s="92">
        <f>2905.18816014308*1.1781</f>
        <v>3422.6021714645622</v>
      </c>
      <c r="G380" s="240"/>
      <c r="H380" s="696"/>
      <c r="I380" s="96"/>
      <c r="J380" s="136"/>
      <c r="L380" s="728">
        <f>F380*$G$58</f>
        <v>147319065.26634914</v>
      </c>
      <c r="M380" s="261">
        <f>$F380*(H$69+H$56)*IF(H$64&lt;=75,1,0)</f>
        <v>142875962.17438591</v>
      </c>
      <c r="N380" s="261">
        <f t="shared" ref="N380" si="777">$F380*(I$69+I$56)*IF(I$64&lt;=75,1,0)</f>
        <v>100430627.31686504</v>
      </c>
      <c r="O380" s="261">
        <f t="shared" ref="O380" si="778">$F380*(J$69+J$56)*IF(J$64&lt;=75,1,0)</f>
        <v>145717064.23691863</v>
      </c>
      <c r="P380" s="261">
        <f t="shared" ref="P380" si="779">$F380*(K$69+K$56)*IF(K$64&lt;=75,1,0)</f>
        <v>14740463.032063577</v>
      </c>
      <c r="Q380" s="261">
        <f t="shared" ref="Q380" si="780">$F380*(L$69+L$56)*IF(L$64&lt;=75,1,0)</f>
        <v>0</v>
      </c>
      <c r="R380" s="261">
        <f t="shared" ref="R380" si="781">$F380*(M$69+M$56)*IF(M$64&lt;=75,1,0)</f>
        <v>0</v>
      </c>
      <c r="S380" s="261">
        <f t="shared" ref="S380" si="782">$F380*(N$69+N$56)*IF(N$64&lt;=75,1,0)</f>
        <v>0</v>
      </c>
      <c r="T380" s="261">
        <f t="shared" ref="T380" si="783">$F380*(O$69+O$56)*IF(O$64&lt;=75,1,0)</f>
        <v>0</v>
      </c>
      <c r="U380" s="261">
        <f t="shared" ref="U380" si="784">$F380*(P$69+P$56)*IF(P$64&lt;=75,1,0)</f>
        <v>0</v>
      </c>
      <c r="V380" s="261">
        <f t="shared" ref="V380" si="785">$F380*(Q$69+Q$56)*IF(Q$64&lt;=75,1,0)</f>
        <v>0</v>
      </c>
      <c r="W380" s="261">
        <f t="shared" ref="W380" si="786">$F380*(R$69+R$56)*IF(R$64&lt;=75,1,0)</f>
        <v>0</v>
      </c>
    </row>
    <row r="381" spans="1:39" ht="18.75" customHeight="1" outlineLevel="3">
      <c r="A381" s="15"/>
      <c r="B381" s="718"/>
      <c r="C381" s="742"/>
      <c r="D381" s="743"/>
      <c r="E381" s="146" t="s">
        <v>474</v>
      </c>
      <c r="F381" s="92">
        <f>2970.84740994712*1.1781</f>
        <v>3499.9553336587019</v>
      </c>
      <c r="G381" s="238"/>
      <c r="H381" s="696"/>
      <c r="I381" s="56"/>
      <c r="J381" s="136"/>
      <c r="L381" s="729"/>
      <c r="M381" s="262">
        <f>$F381*(H$69+H$56)*IF(AND(H$64&gt;75,H$64&lt;=130),1,0)</f>
        <v>0</v>
      </c>
      <c r="N381" s="262">
        <f t="shared" ref="N381" si="787">$F381*(I$69+I$56)*IF(AND(I$64&gt;75,I$64&lt;=130),1,0)</f>
        <v>0</v>
      </c>
      <c r="O381" s="262">
        <f t="shared" ref="O381" si="788">$F381*(J$69+J$56)*IF(AND(J$64&gt;75,J$64&lt;=130),1,0)</f>
        <v>0</v>
      </c>
      <c r="P381" s="262">
        <f t="shared" ref="P381" si="789">$F381*(K$69+K$56)*IF(AND(K$64&gt;75,K$64&lt;=130),1,0)</f>
        <v>0</v>
      </c>
      <c r="Q381" s="262">
        <f t="shared" ref="Q381" si="790">$F381*(L$69+L$56)*IF(AND(L$64&gt;75,L$64&lt;=130),1,0)</f>
        <v>0</v>
      </c>
      <c r="R381" s="262">
        <f t="shared" ref="R381" si="791">$F381*(M$69+M$56)*IF(AND(M$64&gt;75,M$64&lt;=130),1,0)</f>
        <v>0</v>
      </c>
      <c r="S381" s="262">
        <f t="shared" ref="S381" si="792">$F381*(N$69+N$56)*IF(AND(N$64&gt;75,N$64&lt;=130),1,0)</f>
        <v>0</v>
      </c>
      <c r="T381" s="262">
        <f t="shared" ref="T381" si="793">$F381*(O$69+O$56)*IF(AND(O$64&gt;75,O$64&lt;=130),1,0)</f>
        <v>0</v>
      </c>
      <c r="U381" s="262">
        <f t="shared" ref="U381" si="794">$F381*(P$69+P$56)*IF(AND(P$64&gt;75,P$64&lt;=130),1,0)</f>
        <v>0</v>
      </c>
      <c r="V381" s="262">
        <f t="shared" ref="V381" si="795">$F381*(Q$69+Q$56)*IF(AND(Q$64&gt;75,Q$64&lt;=130),1,0)</f>
        <v>0</v>
      </c>
      <c r="W381" s="262">
        <f t="shared" ref="W381" si="796">$F381*(R$69+R$56)*IF(AND(R$64&gt;75,R$64&lt;=130),1,0)</f>
        <v>0</v>
      </c>
    </row>
    <row r="382" spans="1:39" ht="18.75" customHeight="1" outlineLevel="3">
      <c r="A382" s="15"/>
      <c r="B382" s="718"/>
      <c r="C382" s="744"/>
      <c r="D382" s="745"/>
      <c r="E382" s="126" t="s">
        <v>453</v>
      </c>
      <c r="F382" s="92">
        <f>3014.62024314982*1.1781</f>
        <v>3551.5241084548029</v>
      </c>
      <c r="G382" s="244"/>
      <c r="H382" s="696"/>
      <c r="I382" s="97"/>
      <c r="J382" s="136"/>
      <c r="L382" s="730"/>
      <c r="M382" s="214">
        <f>$F382*(H$69+H$56)*IF(H$64&gt;130,1,0)</f>
        <v>0</v>
      </c>
      <c r="N382" s="214">
        <f t="shared" ref="N382" si="797">$F382*(I$69+I$56)*IF(I$64&gt;130,1,0)</f>
        <v>0</v>
      </c>
      <c r="O382" s="214">
        <f t="shared" ref="O382" si="798">$F382*(J$69+J$56)*IF(J$64&gt;130,1,0)</f>
        <v>0</v>
      </c>
      <c r="P382" s="214">
        <f t="shared" ref="P382" si="799">$F382*(K$69+K$56)*IF(K$64&gt;130,1,0)</f>
        <v>0</v>
      </c>
      <c r="Q382" s="214">
        <f t="shared" ref="Q382" si="800">$F382*(L$69+L$56)*IF(L$64&gt;130,1,0)</f>
        <v>0</v>
      </c>
      <c r="R382" s="214">
        <f t="shared" ref="R382" si="801">$F382*(M$69+M$56)*IF(M$64&gt;130,1,0)</f>
        <v>0</v>
      </c>
      <c r="S382" s="214">
        <f t="shared" ref="S382" si="802">$F382*(N$69+N$56)*IF(N$64&gt;130,1,0)</f>
        <v>0</v>
      </c>
      <c r="T382" s="214">
        <f t="shared" ref="T382" si="803">$F382*(O$69+O$56)*IF(O$64&gt;130,1,0)</f>
        <v>0</v>
      </c>
      <c r="U382" s="214">
        <f t="shared" ref="U382" si="804">$F382*(P$69+P$56)*IF(P$64&gt;130,1,0)</f>
        <v>0</v>
      </c>
      <c r="V382" s="214">
        <f t="shared" ref="V382" si="805">$F382*(Q$69+Q$56)*IF(Q$64&gt;130,1,0)</f>
        <v>0</v>
      </c>
      <c r="W382" s="214">
        <f t="shared" ref="W382" si="806">$F382*(R$69+R$56)*IF(R$64&gt;130,1,0)</f>
        <v>0</v>
      </c>
    </row>
    <row r="383" spans="1:39" ht="18.75" customHeight="1" outlineLevel="3">
      <c r="A383" s="15"/>
      <c r="B383" s="718"/>
      <c r="C383" s="740" t="s">
        <v>86</v>
      </c>
      <c r="D383" s="741"/>
      <c r="E383" s="63" t="s">
        <v>473</v>
      </c>
      <c r="F383" s="94">
        <f>206.439349283906*2.3741</f>
        <v>490.10765913492122</v>
      </c>
      <c r="G383" s="271">
        <v>2.4217573023424084</v>
      </c>
      <c r="H383" s="696"/>
      <c r="I383" s="96"/>
      <c r="J383" s="136"/>
      <c r="L383" s="728">
        <f>F383*$G$58+$G$58*G383*курс</f>
        <v>30205388.524594929</v>
      </c>
      <c r="M383" s="261">
        <f t="shared" ref="M383:W383" si="807">($F383+$G383*курс)*(H$69+H$56)*IF(H$64&lt;=75,1,0)</f>
        <v>29294402.190918852</v>
      </c>
      <c r="N383" s="261">
        <f t="shared" si="807"/>
        <v>20591673.67366967</v>
      </c>
      <c r="O383" s="261">
        <f t="shared" si="807"/>
        <v>29876924.157655977</v>
      </c>
      <c r="P383" s="261">
        <f t="shared" si="807"/>
        <v>3022293.2253264282</v>
      </c>
      <c r="Q383" s="261">
        <f t="shared" si="807"/>
        <v>0</v>
      </c>
      <c r="R383" s="261">
        <f t="shared" si="807"/>
        <v>0</v>
      </c>
      <c r="S383" s="261">
        <f t="shared" si="807"/>
        <v>0</v>
      </c>
      <c r="T383" s="261">
        <f t="shared" si="807"/>
        <v>0</v>
      </c>
      <c r="U383" s="261">
        <f t="shared" si="807"/>
        <v>0</v>
      </c>
      <c r="V383" s="261">
        <f t="shared" si="807"/>
        <v>0</v>
      </c>
      <c r="W383" s="261">
        <f t="shared" si="807"/>
        <v>0</v>
      </c>
    </row>
    <row r="384" spans="1:39" ht="18.75" customHeight="1" outlineLevel="3">
      <c r="A384" s="15"/>
      <c r="B384" s="718"/>
      <c r="C384" s="742"/>
      <c r="D384" s="743"/>
      <c r="E384" s="146" t="s">
        <v>474</v>
      </c>
      <c r="F384" s="92">
        <f>210.609441159096*2.3741</f>
        <v>500.00787425580978</v>
      </c>
      <c r="G384" s="272">
        <v>2.4706769995087319</v>
      </c>
      <c r="H384" s="696"/>
      <c r="I384" s="56"/>
      <c r="J384" s="136"/>
      <c r="L384" s="729"/>
      <c r="M384" s="262">
        <f t="shared" ref="M384:W384" si="808">($F384+$G384*курс)*(H$69+H$56)*IF(AND(H$64&gt;75,H$64&lt;=130),1,0)</f>
        <v>0</v>
      </c>
      <c r="N384" s="262">
        <f t="shared" si="808"/>
        <v>0</v>
      </c>
      <c r="O384" s="262">
        <f t="shared" si="808"/>
        <v>0</v>
      </c>
      <c r="P384" s="262">
        <f t="shared" si="808"/>
        <v>0</v>
      </c>
      <c r="Q384" s="262">
        <f t="shared" si="808"/>
        <v>0</v>
      </c>
      <c r="R384" s="262">
        <f t="shared" si="808"/>
        <v>0</v>
      </c>
      <c r="S384" s="262">
        <f t="shared" si="808"/>
        <v>0</v>
      </c>
      <c r="T384" s="262">
        <f t="shared" si="808"/>
        <v>0</v>
      </c>
      <c r="U384" s="262">
        <f t="shared" si="808"/>
        <v>0</v>
      </c>
      <c r="V384" s="262">
        <f t="shared" si="808"/>
        <v>0</v>
      </c>
      <c r="W384" s="262">
        <f t="shared" si="808"/>
        <v>0</v>
      </c>
    </row>
    <row r="385" spans="1:23" ht="18.75" customHeight="1" outlineLevel="3">
      <c r="A385" s="15"/>
      <c r="B385" s="718"/>
      <c r="C385" s="744"/>
      <c r="D385" s="745"/>
      <c r="E385" s="126" t="s">
        <v>453</v>
      </c>
      <c r="F385" s="98">
        <f>213.389502409223*2.3741</f>
        <v>506.60801766973634</v>
      </c>
      <c r="G385" s="273">
        <v>2.5032901309529474</v>
      </c>
      <c r="H385" s="696"/>
      <c r="I385" s="97"/>
      <c r="J385" s="136"/>
      <c r="L385" s="730"/>
      <c r="M385" s="214">
        <f t="shared" ref="M385:W385" si="809">($F385+$G385*курс)*(H$69+H$56)*IF(H$64&gt;130,1,0)</f>
        <v>0</v>
      </c>
      <c r="N385" s="214">
        <f t="shared" si="809"/>
        <v>0</v>
      </c>
      <c r="O385" s="214">
        <f t="shared" si="809"/>
        <v>0</v>
      </c>
      <c r="P385" s="214">
        <f t="shared" si="809"/>
        <v>0</v>
      </c>
      <c r="Q385" s="214">
        <f t="shared" si="809"/>
        <v>0</v>
      </c>
      <c r="R385" s="214">
        <f t="shared" si="809"/>
        <v>0</v>
      </c>
      <c r="S385" s="214">
        <f t="shared" si="809"/>
        <v>0</v>
      </c>
      <c r="T385" s="214">
        <f t="shared" si="809"/>
        <v>0</v>
      </c>
      <c r="U385" s="214">
        <f t="shared" si="809"/>
        <v>0</v>
      </c>
      <c r="V385" s="214">
        <f t="shared" si="809"/>
        <v>0</v>
      </c>
      <c r="W385" s="214">
        <f t="shared" si="809"/>
        <v>0</v>
      </c>
    </row>
    <row r="386" spans="1:23" ht="18.75" customHeight="1" outlineLevel="3">
      <c r="A386" s="15"/>
      <c r="B386" s="718"/>
      <c r="C386" s="740" t="s">
        <v>88</v>
      </c>
      <c r="D386" s="741"/>
      <c r="E386" s="63" t="s">
        <v>473</v>
      </c>
      <c r="F386" s="94">
        <f>72.2360499084814*6.1418</f>
        <v>443.65937132791112</v>
      </c>
      <c r="G386" s="271">
        <v>3.719517267906808</v>
      </c>
      <c r="H386" s="696"/>
      <c r="I386" s="96"/>
      <c r="J386" s="136"/>
      <c r="L386" s="728">
        <f>F386*$G$58+$G$58*G386*курс</f>
        <v>33087769.982902266</v>
      </c>
      <c r="M386" s="261">
        <f t="shared" ref="M386:W386" si="810">($F386+$G386*курс)*(H$69+H$56)*IF(H$64&lt;=75,1,0)</f>
        <v>32089851.805432111</v>
      </c>
      <c r="N386" s="261">
        <f t="shared" si="810"/>
        <v>22556656.125200529</v>
      </c>
      <c r="O386" s="261">
        <f t="shared" si="810"/>
        <v>32727961.552959166</v>
      </c>
      <c r="P386" s="261">
        <f t="shared" si="810"/>
        <v>3310698.7840616005</v>
      </c>
      <c r="Q386" s="261">
        <f t="shared" si="810"/>
        <v>0</v>
      </c>
      <c r="R386" s="261">
        <f t="shared" si="810"/>
        <v>0</v>
      </c>
      <c r="S386" s="261">
        <f t="shared" si="810"/>
        <v>0</v>
      </c>
      <c r="T386" s="261">
        <f t="shared" si="810"/>
        <v>0</v>
      </c>
      <c r="U386" s="261">
        <f t="shared" si="810"/>
        <v>0</v>
      </c>
      <c r="V386" s="261">
        <f t="shared" si="810"/>
        <v>0</v>
      </c>
      <c r="W386" s="261">
        <f t="shared" si="810"/>
        <v>0</v>
      </c>
    </row>
    <row r="387" spans="1:23" ht="18.75" customHeight="1" outlineLevel="3">
      <c r="A387" s="15"/>
      <c r="B387" s="718"/>
      <c r="C387" s="742"/>
      <c r="D387" s="743"/>
      <c r="E387" s="146" t="s">
        <v>474</v>
      </c>
      <c r="F387" s="92">
        <f>73.2682474574138*6.1418</f>
        <v>449.99892223394409</v>
      </c>
      <c r="G387" s="272">
        <v>3.7726663065379267</v>
      </c>
      <c r="H387" s="696"/>
      <c r="I387" s="56"/>
      <c r="J387" s="136"/>
      <c r="L387" s="729"/>
      <c r="M387" s="262">
        <f t="shared" ref="M387:W387" si="811">($F387+$G387*курс)*(H$69+H$56)*IF(AND(H$64&gt;75,H$64&lt;=130),1,0)</f>
        <v>0</v>
      </c>
      <c r="N387" s="262">
        <f t="shared" si="811"/>
        <v>0</v>
      </c>
      <c r="O387" s="262">
        <f t="shared" si="811"/>
        <v>0</v>
      </c>
      <c r="P387" s="262">
        <f t="shared" si="811"/>
        <v>0</v>
      </c>
      <c r="Q387" s="262">
        <f t="shared" si="811"/>
        <v>0</v>
      </c>
      <c r="R387" s="262">
        <f t="shared" si="811"/>
        <v>0</v>
      </c>
      <c r="S387" s="262">
        <f t="shared" si="811"/>
        <v>0</v>
      </c>
      <c r="T387" s="262">
        <f t="shared" si="811"/>
        <v>0</v>
      </c>
      <c r="U387" s="262">
        <f t="shared" si="811"/>
        <v>0</v>
      </c>
      <c r="V387" s="262">
        <f t="shared" si="811"/>
        <v>0</v>
      </c>
      <c r="W387" s="262">
        <f t="shared" si="811"/>
        <v>0</v>
      </c>
    </row>
    <row r="388" spans="1:23" ht="18.75" customHeight="1" outlineLevel="3">
      <c r="A388" s="15"/>
      <c r="B388" s="718"/>
      <c r="C388" s="744"/>
      <c r="D388" s="745"/>
      <c r="E388" s="126" t="s">
        <v>453</v>
      </c>
      <c r="F388" s="98">
        <f>73.9563791567021*6.1418</f>
        <v>454.22528950463294</v>
      </c>
      <c r="G388" s="273">
        <v>3.808098998958672</v>
      </c>
      <c r="H388" s="696"/>
      <c r="I388" s="97"/>
      <c r="J388" s="136"/>
      <c r="L388" s="730"/>
      <c r="M388" s="214">
        <f t="shared" ref="M388:W388" si="812">($F388+$G388*курс)*(H$69+H$56)*IF(H$64&gt;130,1,0)</f>
        <v>0</v>
      </c>
      <c r="N388" s="214">
        <f t="shared" si="812"/>
        <v>0</v>
      </c>
      <c r="O388" s="214">
        <f t="shared" si="812"/>
        <v>0</v>
      </c>
      <c r="P388" s="214">
        <f t="shared" si="812"/>
        <v>0</v>
      </c>
      <c r="Q388" s="214">
        <f t="shared" si="812"/>
        <v>0</v>
      </c>
      <c r="R388" s="214">
        <f t="shared" si="812"/>
        <v>0</v>
      </c>
      <c r="S388" s="214">
        <f t="shared" si="812"/>
        <v>0</v>
      </c>
      <c r="T388" s="214">
        <f t="shared" si="812"/>
        <v>0</v>
      </c>
      <c r="U388" s="214">
        <f t="shared" si="812"/>
        <v>0</v>
      </c>
      <c r="V388" s="214">
        <f t="shared" si="812"/>
        <v>0</v>
      </c>
      <c r="W388" s="214">
        <f t="shared" si="812"/>
        <v>0</v>
      </c>
    </row>
    <row r="389" spans="1:23" ht="18.75" customHeight="1" outlineLevel="3">
      <c r="A389" s="15"/>
      <c r="B389" s="718"/>
      <c r="C389" s="740" t="s">
        <v>481</v>
      </c>
      <c r="D389" s="741"/>
      <c r="E389" s="63" t="s">
        <v>473</v>
      </c>
      <c r="F389" s="94">
        <f>66.9328308535722*4.3657</f>
        <v>292.20865965744019</v>
      </c>
      <c r="G389" s="271">
        <v>0.39372253443277783</v>
      </c>
      <c r="H389" s="696"/>
      <c r="I389" s="96"/>
      <c r="J389" s="136"/>
      <c r="L389" s="728">
        <f>F389*$G$58+$G$58*G389*курс</f>
        <v>14058564.394477258</v>
      </c>
      <c r="M389" s="261">
        <f t="shared" ref="M389:W389" si="813">($F389+$G389*курс)*(H$69+H$56)*IF(H$64&lt;=75,1,0)</f>
        <v>13634561.90154307</v>
      </c>
      <c r="N389" s="261">
        <f t="shared" si="813"/>
        <v>9584030.6803413071</v>
      </c>
      <c r="O389" s="261">
        <f t="shared" si="813"/>
        <v>13905686.458471155</v>
      </c>
      <c r="P389" s="261">
        <f t="shared" si="813"/>
        <v>1406672.9813009002</v>
      </c>
      <c r="Q389" s="261">
        <f t="shared" si="813"/>
        <v>0</v>
      </c>
      <c r="R389" s="261">
        <f t="shared" si="813"/>
        <v>0</v>
      </c>
      <c r="S389" s="261">
        <f t="shared" si="813"/>
        <v>0</v>
      </c>
      <c r="T389" s="261">
        <f t="shared" si="813"/>
        <v>0</v>
      </c>
      <c r="U389" s="261">
        <f t="shared" si="813"/>
        <v>0</v>
      </c>
      <c r="V389" s="261">
        <f t="shared" si="813"/>
        <v>0</v>
      </c>
      <c r="W389" s="261">
        <f t="shared" si="813"/>
        <v>0</v>
      </c>
    </row>
    <row r="390" spans="1:23" ht="18.75" customHeight="1" outlineLevel="3">
      <c r="A390" s="15"/>
      <c r="B390" s="718"/>
      <c r="C390" s="742"/>
      <c r="D390" s="743"/>
      <c r="E390" s="146" t="s">
        <v>474</v>
      </c>
      <c r="F390" s="92">
        <f>68.7175830947184*4.3657</f>
        <v>300.00035251661217</v>
      </c>
      <c r="G390" s="272">
        <v>0.40422107702775556</v>
      </c>
      <c r="H390" s="696"/>
      <c r="I390" s="56"/>
      <c r="J390" s="136"/>
      <c r="L390" s="729"/>
      <c r="M390" s="262">
        <f t="shared" ref="M390:W390" si="814">($F390+$G390*курс)*(H$69+H$56)*IF(AND(H$64&gt;75,H$64&lt;=130),1,0)</f>
        <v>0</v>
      </c>
      <c r="N390" s="262">
        <f t="shared" si="814"/>
        <v>0</v>
      </c>
      <c r="O390" s="262">
        <f t="shared" si="814"/>
        <v>0</v>
      </c>
      <c r="P390" s="262">
        <f t="shared" si="814"/>
        <v>0</v>
      </c>
      <c r="Q390" s="262">
        <f t="shared" si="814"/>
        <v>0</v>
      </c>
      <c r="R390" s="262">
        <f t="shared" si="814"/>
        <v>0</v>
      </c>
      <c r="S390" s="262">
        <f t="shared" si="814"/>
        <v>0</v>
      </c>
      <c r="T390" s="262">
        <f t="shared" si="814"/>
        <v>0</v>
      </c>
      <c r="U390" s="262">
        <f t="shared" si="814"/>
        <v>0</v>
      </c>
      <c r="V390" s="262">
        <f t="shared" si="814"/>
        <v>0</v>
      </c>
      <c r="W390" s="262">
        <f t="shared" si="814"/>
        <v>0</v>
      </c>
    </row>
    <row r="391" spans="1:23" ht="18.75" customHeight="1" outlineLevel="3">
      <c r="A391" s="15"/>
      <c r="B391" s="718"/>
      <c r="C391" s="744"/>
      <c r="D391" s="745"/>
      <c r="E391" s="126" t="s">
        <v>453</v>
      </c>
      <c r="F391" s="98">
        <f>69.9074179221492*4.3657</f>
        <v>305.19481442272678</v>
      </c>
      <c r="G391" s="273">
        <v>0.41122010542440729</v>
      </c>
      <c r="H391" s="696"/>
      <c r="I391" s="97"/>
      <c r="J391" s="136"/>
      <c r="L391" s="730"/>
      <c r="M391" s="214">
        <f t="shared" ref="M391:W391" si="815">($F391+$G391*курс)*(H$69+H$56)*IF(H$64&gt;130,1,0)</f>
        <v>0</v>
      </c>
      <c r="N391" s="214">
        <f t="shared" si="815"/>
        <v>0</v>
      </c>
      <c r="O391" s="214">
        <f t="shared" si="815"/>
        <v>0</v>
      </c>
      <c r="P391" s="214">
        <f t="shared" si="815"/>
        <v>0</v>
      </c>
      <c r="Q391" s="214">
        <f t="shared" si="815"/>
        <v>0</v>
      </c>
      <c r="R391" s="214">
        <f t="shared" si="815"/>
        <v>0</v>
      </c>
      <c r="S391" s="214">
        <f t="shared" si="815"/>
        <v>0</v>
      </c>
      <c r="T391" s="214">
        <f t="shared" si="815"/>
        <v>0</v>
      </c>
      <c r="U391" s="214">
        <f t="shared" si="815"/>
        <v>0</v>
      </c>
      <c r="V391" s="214">
        <f t="shared" si="815"/>
        <v>0</v>
      </c>
      <c r="W391" s="214">
        <f t="shared" si="815"/>
        <v>0</v>
      </c>
    </row>
    <row r="392" spans="1:23" ht="18.75" customHeight="1" outlineLevel="3">
      <c r="A392" s="15"/>
      <c r="B392" s="718"/>
      <c r="C392" s="740" t="s">
        <v>89</v>
      </c>
      <c r="D392" s="741"/>
      <c r="E392" s="63" t="s">
        <v>473</v>
      </c>
      <c r="F392" s="94">
        <v>339.56395115552448</v>
      </c>
      <c r="G392" s="271">
        <v>1.9974350067972029</v>
      </c>
      <c r="H392" s="696"/>
      <c r="I392" s="96"/>
      <c r="J392" s="136"/>
      <c r="L392" s="728">
        <f>F392*$G$58+$G$58*G392*курс</f>
        <v>22129404.554936554</v>
      </c>
      <c r="M392" s="261">
        <f t="shared" ref="M392:W392" si="816">($F392+$G392*курс)*(H$69+H$56)*IF(H$64&lt;=75,1,0)</f>
        <v>21461987.709577277</v>
      </c>
      <c r="N392" s="261">
        <f t="shared" si="816"/>
        <v>15086098.853415877</v>
      </c>
      <c r="O392" s="261">
        <f t="shared" si="816"/>
        <v>21888761.371288888</v>
      </c>
      <c r="P392" s="261">
        <f t="shared" si="816"/>
        <v>2214225.7634737529</v>
      </c>
      <c r="Q392" s="261">
        <f t="shared" si="816"/>
        <v>0</v>
      </c>
      <c r="R392" s="261">
        <f t="shared" si="816"/>
        <v>0</v>
      </c>
      <c r="S392" s="261">
        <f t="shared" si="816"/>
        <v>0</v>
      </c>
      <c r="T392" s="261">
        <f t="shared" si="816"/>
        <v>0</v>
      </c>
      <c r="U392" s="261">
        <f t="shared" si="816"/>
        <v>0</v>
      </c>
      <c r="V392" s="261">
        <f t="shared" si="816"/>
        <v>0</v>
      </c>
      <c r="W392" s="261">
        <f t="shared" si="816"/>
        <v>0</v>
      </c>
    </row>
    <row r="393" spans="1:23" ht="18.75" customHeight="1" outlineLevel="3">
      <c r="A393" s="15"/>
      <c r="B393" s="718"/>
      <c r="C393" s="742"/>
      <c r="D393" s="743"/>
      <c r="E393" s="146" t="s">
        <v>474</v>
      </c>
      <c r="F393" s="92">
        <v>346.97073653881603</v>
      </c>
      <c r="G393" s="272">
        <v>2.0410043325812706</v>
      </c>
      <c r="H393" s="696"/>
      <c r="I393" s="56"/>
      <c r="J393" s="136"/>
      <c r="L393" s="729"/>
      <c r="M393" s="262">
        <f t="shared" ref="M393:W393" si="817">($F393+$G393*курс)*(H$69+H$56)*IF(AND(H$64&gt;75,H$64&lt;=130),1,0)</f>
        <v>0</v>
      </c>
      <c r="N393" s="262">
        <f t="shared" si="817"/>
        <v>0</v>
      </c>
      <c r="O393" s="262">
        <f t="shared" si="817"/>
        <v>0</v>
      </c>
      <c r="P393" s="262">
        <f t="shared" si="817"/>
        <v>0</v>
      </c>
      <c r="Q393" s="262">
        <f t="shared" si="817"/>
        <v>0</v>
      </c>
      <c r="R393" s="262">
        <f t="shared" si="817"/>
        <v>0</v>
      </c>
      <c r="S393" s="262">
        <f t="shared" si="817"/>
        <v>0</v>
      </c>
      <c r="T393" s="262">
        <f t="shared" si="817"/>
        <v>0</v>
      </c>
      <c r="U393" s="262">
        <f t="shared" si="817"/>
        <v>0</v>
      </c>
      <c r="V393" s="262">
        <f t="shared" si="817"/>
        <v>0</v>
      </c>
      <c r="W393" s="262">
        <f t="shared" si="817"/>
        <v>0</v>
      </c>
    </row>
    <row r="394" spans="1:23" ht="18.75" customHeight="1" outlineLevel="3">
      <c r="A394" s="15"/>
      <c r="B394" s="718"/>
      <c r="C394" s="744"/>
      <c r="D394" s="745"/>
      <c r="E394" s="126" t="s">
        <v>453</v>
      </c>
      <c r="F394" s="98">
        <v>351.90859346101035</v>
      </c>
      <c r="G394" s="273">
        <v>2.0700505497706492</v>
      </c>
      <c r="H394" s="696"/>
      <c r="I394" s="97"/>
      <c r="J394" s="136"/>
      <c r="L394" s="730"/>
      <c r="M394" s="214">
        <f t="shared" ref="M394:W394" si="818">($F394+$G394*курс)*(H$69+H$56)*IF(H$64&gt;130,1,0)</f>
        <v>0</v>
      </c>
      <c r="N394" s="214">
        <f t="shared" si="818"/>
        <v>0</v>
      </c>
      <c r="O394" s="214">
        <f t="shared" si="818"/>
        <v>0</v>
      </c>
      <c r="P394" s="214">
        <f t="shared" si="818"/>
        <v>0</v>
      </c>
      <c r="Q394" s="214">
        <f t="shared" si="818"/>
        <v>0</v>
      </c>
      <c r="R394" s="214">
        <f t="shared" si="818"/>
        <v>0</v>
      </c>
      <c r="S394" s="214">
        <f t="shared" si="818"/>
        <v>0</v>
      </c>
      <c r="T394" s="214">
        <f t="shared" si="818"/>
        <v>0</v>
      </c>
      <c r="U394" s="214">
        <f t="shared" si="818"/>
        <v>0</v>
      </c>
      <c r="V394" s="214">
        <f t="shared" si="818"/>
        <v>0</v>
      </c>
      <c r="W394" s="214">
        <f t="shared" si="818"/>
        <v>0</v>
      </c>
    </row>
    <row r="395" spans="1:23" ht="18.75" customHeight="1" outlineLevel="3">
      <c r="A395" s="15"/>
      <c r="B395" s="718"/>
      <c r="C395" s="740" t="s">
        <v>194</v>
      </c>
      <c r="D395" s="741"/>
      <c r="E395" s="63" t="s">
        <v>473</v>
      </c>
      <c r="F395" s="92">
        <f>96.0348330887122*3.5588</f>
        <v>341.76876399610899</v>
      </c>
      <c r="G395" s="271">
        <v>2.6895684153875794</v>
      </c>
      <c r="H395" s="696"/>
      <c r="I395" s="96"/>
      <c r="J395" s="136"/>
      <c r="L395" s="728">
        <f>F395*$G$58+$G$58*G395*курс</f>
        <v>24827835.996538412</v>
      </c>
      <c r="M395" s="261">
        <f t="shared" ref="M395:W395" si="819">($F395+$G395*курс)*(H$69+H$56)*IF(H$64&lt;=75,1,0)</f>
        <v>24079035.190047186</v>
      </c>
      <c r="N395" s="261">
        <f t="shared" si="819"/>
        <v>16925678.55724889</v>
      </c>
      <c r="O395" s="261">
        <f t="shared" si="819"/>
        <v>24557849.089188196</v>
      </c>
      <c r="P395" s="261">
        <f t="shared" si="819"/>
        <v>2484225.636454049</v>
      </c>
      <c r="Q395" s="261">
        <f t="shared" si="819"/>
        <v>0</v>
      </c>
      <c r="R395" s="261">
        <f t="shared" si="819"/>
        <v>0</v>
      </c>
      <c r="S395" s="261">
        <f t="shared" si="819"/>
        <v>0</v>
      </c>
      <c r="T395" s="261">
        <f t="shared" si="819"/>
        <v>0</v>
      </c>
      <c r="U395" s="261">
        <f t="shared" si="819"/>
        <v>0</v>
      </c>
      <c r="V395" s="261">
        <f t="shared" si="819"/>
        <v>0</v>
      </c>
      <c r="W395" s="261">
        <f t="shared" si="819"/>
        <v>0</v>
      </c>
    </row>
    <row r="396" spans="1:23" ht="18.75" customHeight="1" outlineLevel="3">
      <c r="A396" s="15"/>
      <c r="B396" s="718"/>
      <c r="C396" s="742"/>
      <c r="D396" s="743"/>
      <c r="E396" s="146" t="s">
        <v>474</v>
      </c>
      <c r="F396" s="92">
        <f>98.3477302431783*3.5588</f>
        <v>349.99990238942297</v>
      </c>
      <c r="G396" s="272">
        <v>2.7543438196301757</v>
      </c>
      <c r="H396" s="696"/>
      <c r="I396" s="56"/>
      <c r="J396" s="136"/>
      <c r="L396" s="729"/>
      <c r="M396" s="262">
        <f t="shared" ref="M396:W396" si="820">($F396+$G396*курс)*(H$69+H$56)*IF(AND(H$64&gt;75,H$64&lt;=130),1,0)</f>
        <v>0</v>
      </c>
      <c r="N396" s="262">
        <f t="shared" si="820"/>
        <v>0</v>
      </c>
      <c r="O396" s="262">
        <f t="shared" si="820"/>
        <v>0</v>
      </c>
      <c r="P396" s="262">
        <f t="shared" si="820"/>
        <v>0</v>
      </c>
      <c r="Q396" s="262">
        <f t="shared" si="820"/>
        <v>0</v>
      </c>
      <c r="R396" s="262">
        <f t="shared" si="820"/>
        <v>0</v>
      </c>
      <c r="S396" s="262">
        <f t="shared" si="820"/>
        <v>0</v>
      </c>
      <c r="T396" s="262">
        <f t="shared" si="820"/>
        <v>0</v>
      </c>
      <c r="U396" s="262">
        <f t="shared" si="820"/>
        <v>0</v>
      </c>
      <c r="V396" s="262">
        <f t="shared" si="820"/>
        <v>0</v>
      </c>
      <c r="W396" s="262">
        <f t="shared" si="820"/>
        <v>0</v>
      </c>
    </row>
    <row r="397" spans="1:23" ht="18.75" customHeight="1" outlineLevel="3">
      <c r="A397" s="15"/>
      <c r="B397" s="718"/>
      <c r="C397" s="744"/>
      <c r="D397" s="745"/>
      <c r="E397" s="126" t="s">
        <v>453</v>
      </c>
      <c r="F397" s="92">
        <f>99.889661679489*3.5588</f>
        <v>355.48732798496548</v>
      </c>
      <c r="G397" s="273">
        <v>2.7975274224585736</v>
      </c>
      <c r="H397" s="696"/>
      <c r="I397" s="97"/>
      <c r="J397" s="136"/>
      <c r="L397" s="730"/>
      <c r="M397" s="214">
        <f t="shared" ref="M397:W397" si="821">($F397+$G397*курс)*(H$69+H$56)*IF(H$64&gt;130,1,0)</f>
        <v>0</v>
      </c>
      <c r="N397" s="214">
        <f t="shared" si="821"/>
        <v>0</v>
      </c>
      <c r="O397" s="214">
        <f t="shared" si="821"/>
        <v>0</v>
      </c>
      <c r="P397" s="214">
        <f t="shared" si="821"/>
        <v>0</v>
      </c>
      <c r="Q397" s="214">
        <f t="shared" si="821"/>
        <v>0</v>
      </c>
      <c r="R397" s="214">
        <f t="shared" si="821"/>
        <v>0</v>
      </c>
      <c r="S397" s="214">
        <f t="shared" si="821"/>
        <v>0</v>
      </c>
      <c r="T397" s="214">
        <f t="shared" si="821"/>
        <v>0</v>
      </c>
      <c r="U397" s="214">
        <f t="shared" si="821"/>
        <v>0</v>
      </c>
      <c r="V397" s="214">
        <f t="shared" si="821"/>
        <v>0</v>
      </c>
      <c r="W397" s="214">
        <f t="shared" si="821"/>
        <v>0</v>
      </c>
    </row>
    <row r="398" spans="1:23" ht="18.75" customHeight="1" outlineLevel="3">
      <c r="A398" s="15"/>
      <c r="B398" s="718"/>
      <c r="C398" s="740" t="s">
        <v>85</v>
      </c>
      <c r="D398" s="741"/>
      <c r="E398" s="63" t="s">
        <v>473</v>
      </c>
      <c r="F398" s="94">
        <f>483.149469694388*1.70575</f>
        <v>824.1322079312024</v>
      </c>
      <c r="G398" s="271">
        <v>2.8420557040846326</v>
      </c>
      <c r="H398" s="696"/>
      <c r="I398" s="96"/>
      <c r="J398" s="136"/>
      <c r="L398" s="728">
        <f>F398*$G$58+$G$58*G398*курс</f>
        <v>46163802.042810231</v>
      </c>
      <c r="M398" s="261">
        <f t="shared" ref="M398:W398" si="822">($F398+$G398*курс)*(H$69+H$56)*IF(H$64&lt;=75,1,0)</f>
        <v>44771514.281396911</v>
      </c>
      <c r="N398" s="261">
        <f t="shared" si="822"/>
        <v>31470873.034041908</v>
      </c>
      <c r="O398" s="261">
        <f t="shared" si="822"/>
        <v>45661800.090372503</v>
      </c>
      <c r="P398" s="261">
        <f t="shared" si="822"/>
        <v>4619061.4649995379</v>
      </c>
      <c r="Q398" s="261">
        <f t="shared" si="822"/>
        <v>0</v>
      </c>
      <c r="R398" s="261">
        <f t="shared" si="822"/>
        <v>0</v>
      </c>
      <c r="S398" s="261">
        <f t="shared" si="822"/>
        <v>0</v>
      </c>
      <c r="T398" s="261">
        <f t="shared" si="822"/>
        <v>0</v>
      </c>
      <c r="U398" s="261">
        <f t="shared" si="822"/>
        <v>0</v>
      </c>
      <c r="V398" s="261">
        <f t="shared" si="822"/>
        <v>0</v>
      </c>
      <c r="W398" s="261">
        <f t="shared" si="822"/>
        <v>0</v>
      </c>
    </row>
    <row r="399" spans="1:23" ht="18.75" customHeight="1" outlineLevel="3">
      <c r="A399" s="15"/>
      <c r="B399" s="718"/>
      <c r="C399" s="742"/>
      <c r="D399" s="743"/>
      <c r="E399" s="146" t="s">
        <v>474</v>
      </c>
      <c r="F399" s="92">
        <f>498.313466746924*1.70575</f>
        <v>849.99819590356572</v>
      </c>
      <c r="G399" s="272">
        <v>2.9312556867466144</v>
      </c>
      <c r="H399" s="696"/>
      <c r="I399" s="56"/>
      <c r="J399" s="136"/>
      <c r="L399" s="729"/>
      <c r="M399" s="262">
        <f t="shared" ref="M399:W399" si="823">($F399+$G399*курс)*(H$69+H$56)*IF(AND(H$64&gt;75,H$64&lt;=130),1,0)</f>
        <v>0</v>
      </c>
      <c r="N399" s="262">
        <f t="shared" si="823"/>
        <v>0</v>
      </c>
      <c r="O399" s="262">
        <f t="shared" si="823"/>
        <v>0</v>
      </c>
      <c r="P399" s="262">
        <f t="shared" si="823"/>
        <v>0</v>
      </c>
      <c r="Q399" s="262">
        <f t="shared" si="823"/>
        <v>0</v>
      </c>
      <c r="R399" s="262">
        <f t="shared" si="823"/>
        <v>0</v>
      </c>
      <c r="S399" s="262">
        <f t="shared" si="823"/>
        <v>0</v>
      </c>
      <c r="T399" s="262">
        <f t="shared" si="823"/>
        <v>0</v>
      </c>
      <c r="U399" s="262">
        <f t="shared" si="823"/>
        <v>0</v>
      </c>
      <c r="V399" s="262">
        <f t="shared" si="823"/>
        <v>0</v>
      </c>
      <c r="W399" s="262">
        <f t="shared" si="823"/>
        <v>0</v>
      </c>
    </row>
    <row r="400" spans="1:23" ht="18.75" customHeight="1" outlineLevel="3">
      <c r="A400" s="15"/>
      <c r="B400" s="718"/>
      <c r="C400" s="744"/>
      <c r="D400" s="745"/>
      <c r="E400" s="126" t="s">
        <v>453</v>
      </c>
      <c r="F400" s="98">
        <f>508.422798115282*1.70575</f>
        <v>867.24218788514224</v>
      </c>
      <c r="G400" s="273">
        <v>2.9907223418546018</v>
      </c>
      <c r="H400" s="696"/>
      <c r="I400" s="97"/>
      <c r="J400" s="136"/>
      <c r="L400" s="730"/>
      <c r="M400" s="214">
        <f t="shared" ref="M400:W400" si="824">($F400+$G400*курс)*(H$69+H$56)*IF(H$64&gt;130,1,0)</f>
        <v>0</v>
      </c>
      <c r="N400" s="214">
        <f t="shared" si="824"/>
        <v>0</v>
      </c>
      <c r="O400" s="214">
        <f t="shared" si="824"/>
        <v>0</v>
      </c>
      <c r="P400" s="214">
        <f t="shared" si="824"/>
        <v>0</v>
      </c>
      <c r="Q400" s="214">
        <f t="shared" si="824"/>
        <v>0</v>
      </c>
      <c r="R400" s="214">
        <f t="shared" si="824"/>
        <v>0</v>
      </c>
      <c r="S400" s="214">
        <f t="shared" si="824"/>
        <v>0</v>
      </c>
      <c r="T400" s="214">
        <f t="shared" si="824"/>
        <v>0</v>
      </c>
      <c r="U400" s="214">
        <f t="shared" si="824"/>
        <v>0</v>
      </c>
      <c r="V400" s="214">
        <f t="shared" si="824"/>
        <v>0</v>
      </c>
      <c r="W400" s="214">
        <f t="shared" si="824"/>
        <v>0</v>
      </c>
    </row>
    <row r="401" spans="1:39" ht="18.75" customHeight="1" outlineLevel="3">
      <c r="A401" s="15"/>
      <c r="B401" s="718"/>
      <c r="C401" s="740" t="s">
        <v>90</v>
      </c>
      <c r="D401" s="741"/>
      <c r="E401" s="631" t="s">
        <v>473</v>
      </c>
      <c r="F401" s="92">
        <f>242.646802197958*3.7813</f>
        <v>917.52035315113858</v>
      </c>
      <c r="G401" s="271">
        <v>2.6953691502648973</v>
      </c>
      <c r="H401" s="696"/>
      <c r="I401" s="96"/>
      <c r="J401" s="136"/>
      <c r="L401" s="728">
        <f>F401*$G$58+$G$58*G401*курс</f>
        <v>49631731.69832354</v>
      </c>
      <c r="M401" s="261">
        <f t="shared" ref="M401:W401" si="825">($F401+$G401*курс)*(H$69+H$56)*IF(H$64&lt;=75,1,0)</f>
        <v>48134852.118144162</v>
      </c>
      <c r="N401" s="261">
        <f t="shared" si="825"/>
        <v>33835036.492208496</v>
      </c>
      <c r="O401" s="261">
        <f t="shared" si="825"/>
        <v>49092018.219084576</v>
      </c>
      <c r="P401" s="261">
        <f t="shared" si="825"/>
        <v>4966055.8529456556</v>
      </c>
      <c r="Q401" s="261">
        <f t="shared" si="825"/>
        <v>0</v>
      </c>
      <c r="R401" s="261">
        <f t="shared" si="825"/>
        <v>0</v>
      </c>
      <c r="S401" s="261">
        <f t="shared" si="825"/>
        <v>0</v>
      </c>
      <c r="T401" s="261">
        <f t="shared" si="825"/>
        <v>0</v>
      </c>
      <c r="U401" s="261">
        <f t="shared" si="825"/>
        <v>0</v>
      </c>
      <c r="V401" s="261">
        <f t="shared" si="825"/>
        <v>0</v>
      </c>
      <c r="W401" s="261">
        <f t="shared" si="825"/>
        <v>0</v>
      </c>
    </row>
    <row r="402" spans="1:39" ht="18.75" customHeight="1" outlineLevel="3">
      <c r="A402" s="15"/>
      <c r="B402" s="718"/>
      <c r="C402" s="742"/>
      <c r="D402" s="743"/>
      <c r="E402" s="630" t="s">
        <v>474</v>
      </c>
      <c r="F402" s="92">
        <f>251.239017106322*3.7813</f>
        <v>950.0100953841353</v>
      </c>
      <c r="G402" s="272">
        <v>2.7908131898593567</v>
      </c>
      <c r="H402" s="696"/>
      <c r="I402" s="56"/>
      <c r="J402" s="136"/>
      <c r="L402" s="729"/>
      <c r="M402" s="262">
        <f t="shared" ref="M402:W402" si="826">($F402+$G402*курс)*(H$69+H$56)*IF(AND(H$64&gt;75,H$64&lt;=130),1,0)</f>
        <v>0</v>
      </c>
      <c r="N402" s="262">
        <f t="shared" si="826"/>
        <v>0</v>
      </c>
      <c r="O402" s="262">
        <f t="shared" si="826"/>
        <v>0</v>
      </c>
      <c r="P402" s="262">
        <f t="shared" si="826"/>
        <v>0</v>
      </c>
      <c r="Q402" s="262">
        <f t="shared" si="826"/>
        <v>0</v>
      </c>
      <c r="R402" s="262">
        <f t="shared" si="826"/>
        <v>0</v>
      </c>
      <c r="S402" s="262">
        <f t="shared" si="826"/>
        <v>0</v>
      </c>
      <c r="T402" s="262">
        <f t="shared" si="826"/>
        <v>0</v>
      </c>
      <c r="U402" s="262">
        <f t="shared" si="826"/>
        <v>0</v>
      </c>
      <c r="V402" s="262">
        <f t="shared" si="826"/>
        <v>0</v>
      </c>
      <c r="W402" s="262">
        <f t="shared" si="826"/>
        <v>0</v>
      </c>
    </row>
    <row r="403" spans="1:39" ht="20.25" customHeight="1" outlineLevel="3">
      <c r="A403" s="15"/>
      <c r="B403" s="718"/>
      <c r="C403" s="744"/>
      <c r="D403" s="745"/>
      <c r="E403" s="629" t="s">
        <v>453</v>
      </c>
      <c r="F403" s="98">
        <f>256.967160378565*3.7813</f>
        <v>971.66992353946773</v>
      </c>
      <c r="G403" s="273">
        <v>2.8544425495889958</v>
      </c>
      <c r="H403" s="696"/>
      <c r="I403" s="57"/>
      <c r="J403" s="136"/>
      <c r="L403" s="730"/>
      <c r="M403" s="214">
        <f t="shared" ref="M403:W403" si="827">($F403+$G403*курс)*(H$69+H$56)*IF(H$64&gt;130,1,0)</f>
        <v>0</v>
      </c>
      <c r="N403" s="214">
        <f t="shared" si="827"/>
        <v>0</v>
      </c>
      <c r="O403" s="214">
        <f t="shared" si="827"/>
        <v>0</v>
      </c>
      <c r="P403" s="214">
        <f t="shared" si="827"/>
        <v>0</v>
      </c>
      <c r="Q403" s="214">
        <f t="shared" si="827"/>
        <v>0</v>
      </c>
      <c r="R403" s="214">
        <f t="shared" si="827"/>
        <v>0</v>
      </c>
      <c r="S403" s="214">
        <f t="shared" si="827"/>
        <v>0</v>
      </c>
      <c r="T403" s="214">
        <f t="shared" si="827"/>
        <v>0</v>
      </c>
      <c r="U403" s="214">
        <f t="shared" si="827"/>
        <v>0</v>
      </c>
      <c r="V403" s="214">
        <f t="shared" si="827"/>
        <v>0</v>
      </c>
      <c r="W403" s="214">
        <f t="shared" si="827"/>
        <v>0</v>
      </c>
    </row>
    <row r="404" spans="1:39" ht="20.25" customHeight="1" outlineLevel="1">
      <c r="A404" s="15"/>
      <c r="B404" s="689" t="s">
        <v>82</v>
      </c>
      <c r="C404" s="512"/>
      <c r="D404"/>
      <c r="E404"/>
      <c r="F404"/>
      <c r="G404"/>
      <c r="H404"/>
      <c r="I404"/>
      <c r="J404"/>
      <c r="K404"/>
    </row>
    <row r="405" spans="1:39" ht="15.75" customHeight="1" outlineLevel="3">
      <c r="A405" s="15"/>
      <c r="B405" s="690"/>
      <c r="C405" s="711" t="s">
        <v>898</v>
      </c>
      <c r="D405" s="419" t="s">
        <v>473</v>
      </c>
      <c r="E405" s="731" t="s">
        <v>897</v>
      </c>
      <c r="F405" s="94">
        <f>764.482509140668*1.24267</f>
        <v>949.99947963383386</v>
      </c>
      <c r="G405" s="271">
        <v>0</v>
      </c>
      <c r="H405" s="828" t="s">
        <v>429</v>
      </c>
      <c r="I405" s="285"/>
      <c r="J405"/>
      <c r="L405" s="250"/>
      <c r="M405" s="261">
        <f t="shared" ref="M405:W405" si="828">($F405+$G405*курс)*(H$69)*IF(H$64&lt;=75,1,0)*(IF(H$122="Комфорт",1,0)+IF(H$122="Бизнес",1,0)+IF(H$122="Бизнес+",1,0))</f>
        <v>38251097.091280736</v>
      </c>
      <c r="N405" s="261">
        <f t="shared" si="828"/>
        <v>26900046.620460037</v>
      </c>
      <c r="O405" s="261">
        <f t="shared" si="828"/>
        <v>38555666.924451344</v>
      </c>
      <c r="P405" s="261">
        <f t="shared" si="828"/>
        <v>3068593.319165247</v>
      </c>
      <c r="Q405" s="261">
        <f t="shared" si="828"/>
        <v>0</v>
      </c>
      <c r="R405" s="261">
        <f t="shared" si="828"/>
        <v>0</v>
      </c>
      <c r="S405" s="261">
        <f t="shared" si="828"/>
        <v>0</v>
      </c>
      <c r="T405" s="261">
        <f t="shared" si="828"/>
        <v>0</v>
      </c>
      <c r="U405" s="261">
        <f t="shared" si="828"/>
        <v>0</v>
      </c>
      <c r="V405" s="261">
        <f t="shared" si="828"/>
        <v>0</v>
      </c>
      <c r="W405" s="261">
        <f t="shared" si="828"/>
        <v>0</v>
      </c>
    </row>
    <row r="406" spans="1:39" ht="15.75" customHeight="1" outlineLevel="3">
      <c r="A406" s="15"/>
      <c r="B406" s="690"/>
      <c r="C406" s="976"/>
      <c r="D406" s="420" t="s">
        <v>474</v>
      </c>
      <c r="E406" s="732"/>
      <c r="F406" s="92">
        <f>782.569739718781*1.24267</f>
        <v>972.47593845633753</v>
      </c>
      <c r="G406" s="272">
        <v>0</v>
      </c>
      <c r="H406" s="829"/>
      <c r="I406" s="285"/>
      <c r="J406"/>
      <c r="L406" s="250"/>
      <c r="M406" s="262">
        <f t="shared" ref="M406:W406" si="829">($F406+$G406*курс)*(H$69)*IF(AND(H$64&gt;75,H$64&lt;=130),1,0)*(IF(H$122="Комфорт",1,0)+IF(H$122="Бизнес",1,0)+IF(H$122="Бизнес+",1,0))</f>
        <v>0</v>
      </c>
      <c r="N406" s="262">
        <f t="shared" si="829"/>
        <v>0</v>
      </c>
      <c r="O406" s="262">
        <f t="shared" si="829"/>
        <v>0</v>
      </c>
      <c r="P406" s="262">
        <f t="shared" si="829"/>
        <v>0</v>
      </c>
      <c r="Q406" s="262">
        <f t="shared" si="829"/>
        <v>0</v>
      </c>
      <c r="R406" s="262">
        <f t="shared" si="829"/>
        <v>0</v>
      </c>
      <c r="S406" s="262">
        <f t="shared" si="829"/>
        <v>0</v>
      </c>
      <c r="T406" s="262">
        <f t="shared" si="829"/>
        <v>0</v>
      </c>
      <c r="U406" s="262">
        <f t="shared" si="829"/>
        <v>0</v>
      </c>
      <c r="V406" s="262">
        <f t="shared" si="829"/>
        <v>0</v>
      </c>
      <c r="W406" s="262">
        <f t="shared" si="829"/>
        <v>0</v>
      </c>
    </row>
    <row r="407" spans="1:39" ht="15.75" customHeight="1" outlineLevel="3">
      <c r="A407" s="15"/>
      <c r="B407" s="690"/>
      <c r="C407" s="976"/>
      <c r="D407" s="420" t="s">
        <v>453</v>
      </c>
      <c r="E407" s="732"/>
      <c r="F407" s="92">
        <f>794.627893437523*1.24267</f>
        <v>987.46024433800665</v>
      </c>
      <c r="G407" s="272">
        <v>0</v>
      </c>
      <c r="H407" s="829"/>
      <c r="I407" s="285"/>
      <c r="J407"/>
      <c r="L407" s="250"/>
      <c r="M407" s="214">
        <f t="shared" ref="M407:W407" si="830">($F407+$G407*курс)*(H$69)*IF(H$64&gt;130,1,0)*(IF(H$122="Комфорт",1,0)+IF(H$122="Бизнес",1,0)+IF(H$122="Бизнес+",1,0))</f>
        <v>0</v>
      </c>
      <c r="N407" s="214">
        <f t="shared" si="830"/>
        <v>0</v>
      </c>
      <c r="O407" s="214">
        <f t="shared" si="830"/>
        <v>0</v>
      </c>
      <c r="P407" s="214">
        <f t="shared" si="830"/>
        <v>0</v>
      </c>
      <c r="Q407" s="214">
        <f t="shared" si="830"/>
        <v>0</v>
      </c>
      <c r="R407" s="214">
        <f t="shared" si="830"/>
        <v>0</v>
      </c>
      <c r="S407" s="214">
        <f t="shared" si="830"/>
        <v>0</v>
      </c>
      <c r="T407" s="214">
        <f t="shared" si="830"/>
        <v>0</v>
      </c>
      <c r="U407" s="214">
        <f t="shared" si="830"/>
        <v>0</v>
      </c>
      <c r="V407" s="214">
        <f t="shared" si="830"/>
        <v>0</v>
      </c>
      <c r="W407" s="214">
        <f t="shared" si="830"/>
        <v>0</v>
      </c>
    </row>
    <row r="408" spans="1:39" ht="15.75" customHeight="1" outlineLevel="3">
      <c r="A408" s="15"/>
      <c r="B408" s="690"/>
      <c r="C408" s="976"/>
      <c r="D408" s="420" t="s">
        <v>473</v>
      </c>
      <c r="E408" s="732" t="s">
        <v>277</v>
      </c>
      <c r="F408" s="92">
        <f>893.575632044674*1.24267</f>
        <v>1110.419630672955</v>
      </c>
      <c r="G408" s="272">
        <v>3.5743025281786962</v>
      </c>
      <c r="H408" s="829"/>
      <c r="I408" s="285"/>
      <c r="J408"/>
      <c r="K408" s="599"/>
      <c r="L408" s="250"/>
      <c r="M408" s="261">
        <f t="shared" ref="M408:W408" si="831">($F408+$G408*курс)*(H$69)*IF(H$64&lt;=75,1,0)*(IF(H$122="Премиум",1,0)+IF(H$122="Элит",1,0))</f>
        <v>0</v>
      </c>
      <c r="N408" s="261">
        <f t="shared" si="831"/>
        <v>0</v>
      </c>
      <c r="O408" s="261">
        <f t="shared" si="831"/>
        <v>0</v>
      </c>
      <c r="P408" s="261">
        <f t="shared" si="831"/>
        <v>0</v>
      </c>
      <c r="Q408" s="261">
        <f t="shared" si="831"/>
        <v>0</v>
      </c>
      <c r="R408" s="261">
        <f t="shared" si="831"/>
        <v>0</v>
      </c>
      <c r="S408" s="261">
        <f t="shared" si="831"/>
        <v>0</v>
      </c>
      <c r="T408" s="261">
        <f t="shared" si="831"/>
        <v>0</v>
      </c>
      <c r="U408" s="261">
        <f t="shared" si="831"/>
        <v>0</v>
      </c>
      <c r="V408" s="261">
        <f t="shared" si="831"/>
        <v>0</v>
      </c>
      <c r="W408" s="261">
        <f t="shared" si="831"/>
        <v>0</v>
      </c>
      <c r="AC408" s="289">
        <f t="shared" ref="AC408:AM410" si="832">IF(M408=0,0,(M408-$F408*H$69)/курс)</f>
        <v>0</v>
      </c>
      <c r="AD408" s="289">
        <f t="shared" si="832"/>
        <v>0</v>
      </c>
      <c r="AE408" s="289">
        <f t="shared" si="832"/>
        <v>0</v>
      </c>
      <c r="AF408" s="289">
        <f t="shared" si="832"/>
        <v>0</v>
      </c>
      <c r="AG408" s="289">
        <f t="shared" si="832"/>
        <v>0</v>
      </c>
      <c r="AH408" s="289">
        <f t="shared" si="832"/>
        <v>0</v>
      </c>
      <c r="AI408" s="289">
        <f t="shared" si="832"/>
        <v>0</v>
      </c>
      <c r="AJ408" s="289">
        <f t="shared" si="832"/>
        <v>0</v>
      </c>
      <c r="AK408" s="289">
        <f t="shared" si="832"/>
        <v>0</v>
      </c>
      <c r="AL408" s="289">
        <f t="shared" si="832"/>
        <v>0</v>
      </c>
      <c r="AM408" s="289">
        <f t="shared" si="832"/>
        <v>0</v>
      </c>
    </row>
    <row r="409" spans="1:39" ht="15.75" customHeight="1" outlineLevel="3">
      <c r="A409" s="15"/>
      <c r="B409" s="690"/>
      <c r="C409" s="976"/>
      <c r="D409" s="420" t="s">
        <v>474</v>
      </c>
      <c r="E409" s="732"/>
      <c r="F409" s="92">
        <f>914.717134044429*1.24267</f>
        <v>1136.6915409629905</v>
      </c>
      <c r="G409" s="272">
        <v>3.658868536177716</v>
      </c>
      <c r="H409" s="829"/>
      <c r="I409" s="285"/>
      <c r="J409"/>
      <c r="K409" s="599"/>
      <c r="L409" s="250"/>
      <c r="M409" s="262">
        <f t="shared" ref="M409:W409" si="833">($F409+$G409*курс)*(H$69)*IF(AND(H$64&gt;75,H$64&lt;=130),1,0)*(IF(H$122="Премиум",1,0)+IF(H$122="Элит",1,0))</f>
        <v>0</v>
      </c>
      <c r="N409" s="262">
        <f t="shared" si="833"/>
        <v>0</v>
      </c>
      <c r="O409" s="262">
        <f t="shared" si="833"/>
        <v>0</v>
      </c>
      <c r="P409" s="262">
        <f t="shared" si="833"/>
        <v>0</v>
      </c>
      <c r="Q409" s="262">
        <f t="shared" si="833"/>
        <v>0</v>
      </c>
      <c r="R409" s="262">
        <f t="shared" si="833"/>
        <v>0</v>
      </c>
      <c r="S409" s="262">
        <f t="shared" si="833"/>
        <v>0</v>
      </c>
      <c r="T409" s="262">
        <f t="shared" si="833"/>
        <v>0</v>
      </c>
      <c r="U409" s="262">
        <f t="shared" si="833"/>
        <v>0</v>
      </c>
      <c r="V409" s="262">
        <f t="shared" si="833"/>
        <v>0</v>
      </c>
      <c r="W409" s="262">
        <f t="shared" si="833"/>
        <v>0</v>
      </c>
      <c r="AC409" s="289">
        <f t="shared" si="832"/>
        <v>0</v>
      </c>
      <c r="AD409" s="289">
        <f t="shared" si="832"/>
        <v>0</v>
      </c>
      <c r="AE409" s="289">
        <f t="shared" si="832"/>
        <v>0</v>
      </c>
      <c r="AF409" s="289">
        <f t="shared" si="832"/>
        <v>0</v>
      </c>
      <c r="AG409" s="289">
        <f t="shared" si="832"/>
        <v>0</v>
      </c>
      <c r="AH409" s="289">
        <f t="shared" si="832"/>
        <v>0</v>
      </c>
      <c r="AI409" s="289">
        <f t="shared" si="832"/>
        <v>0</v>
      </c>
      <c r="AJ409" s="289">
        <f t="shared" si="832"/>
        <v>0</v>
      </c>
      <c r="AK409" s="289">
        <f t="shared" si="832"/>
        <v>0</v>
      </c>
      <c r="AL409" s="289">
        <f t="shared" si="832"/>
        <v>0</v>
      </c>
      <c r="AM409" s="289">
        <f t="shared" si="832"/>
        <v>0</v>
      </c>
    </row>
    <row r="410" spans="1:39" ht="15.75" customHeight="1" outlineLevel="3">
      <c r="A410" s="15"/>
      <c r="B410" s="690"/>
      <c r="C410" s="976"/>
      <c r="D410" s="513" t="s">
        <v>453</v>
      </c>
      <c r="E410" s="733"/>
      <c r="F410" s="158">
        <v>928.81146871093233</v>
      </c>
      <c r="G410" s="510">
        <v>3.7152458748437298</v>
      </c>
      <c r="H410" s="829"/>
      <c r="I410" s="285"/>
      <c r="J410"/>
      <c r="K410" s="599"/>
      <c r="L410" s="250"/>
      <c r="M410" s="214">
        <f t="shared" ref="M410:W410" si="834">($F410+$G410*курс)*(H$69)*IF(H$64&gt;130,1,0)*(IF(H$122="Премиум",1,0)+IF(H$122="Элит",1,0))</f>
        <v>0</v>
      </c>
      <c r="N410" s="214">
        <f t="shared" si="834"/>
        <v>0</v>
      </c>
      <c r="O410" s="214">
        <f t="shared" si="834"/>
        <v>0</v>
      </c>
      <c r="P410" s="214">
        <f t="shared" si="834"/>
        <v>0</v>
      </c>
      <c r="Q410" s="214">
        <f t="shared" si="834"/>
        <v>0</v>
      </c>
      <c r="R410" s="214">
        <f t="shared" si="834"/>
        <v>0</v>
      </c>
      <c r="S410" s="214">
        <f t="shared" si="834"/>
        <v>0</v>
      </c>
      <c r="T410" s="214">
        <f t="shared" si="834"/>
        <v>0</v>
      </c>
      <c r="U410" s="214">
        <f t="shared" si="834"/>
        <v>0</v>
      </c>
      <c r="V410" s="214">
        <f t="shared" si="834"/>
        <v>0</v>
      </c>
      <c r="W410" s="214">
        <f t="shared" si="834"/>
        <v>0</v>
      </c>
      <c r="AC410" s="289">
        <f t="shared" si="832"/>
        <v>0</v>
      </c>
      <c r="AD410" s="289">
        <f t="shared" si="832"/>
        <v>0</v>
      </c>
      <c r="AE410" s="289">
        <f t="shared" si="832"/>
        <v>0</v>
      </c>
      <c r="AF410" s="289">
        <f t="shared" si="832"/>
        <v>0</v>
      </c>
      <c r="AG410" s="289">
        <f t="shared" si="832"/>
        <v>0</v>
      </c>
      <c r="AH410" s="289">
        <f t="shared" si="832"/>
        <v>0</v>
      </c>
      <c r="AI410" s="289">
        <f t="shared" si="832"/>
        <v>0</v>
      </c>
      <c r="AJ410" s="289">
        <f t="shared" si="832"/>
        <v>0</v>
      </c>
      <c r="AK410" s="289">
        <f t="shared" si="832"/>
        <v>0</v>
      </c>
      <c r="AL410" s="289">
        <f t="shared" si="832"/>
        <v>0</v>
      </c>
      <c r="AM410" s="289">
        <f t="shared" si="832"/>
        <v>0</v>
      </c>
    </row>
    <row r="411" spans="1:39" ht="15.75" customHeight="1" outlineLevel="3">
      <c r="A411" s="15"/>
      <c r="B411" s="690"/>
      <c r="C411" s="711" t="s">
        <v>899</v>
      </c>
      <c r="D411" s="419" t="s">
        <v>473</v>
      </c>
      <c r="E411" s="731" t="s">
        <v>897</v>
      </c>
      <c r="F411" s="94">
        <v>1934.1832292366303</v>
      </c>
      <c r="G411" s="271">
        <v>0</v>
      </c>
      <c r="H411" s="829"/>
      <c r="I411" s="285"/>
      <c r="J411"/>
      <c r="K411" s="599"/>
      <c r="L411" s="250"/>
      <c r="M411" s="261">
        <f t="shared" ref="M411:W411" si="835">($F411+$G411*курс)*(H$69)*IF(H$64&lt;=75,1,0)*(IF(H$122="Комфорт",1,0)+IF(H$122="Бизнес",1,0)+IF(H$122="Бизнес+",1,0))</f>
        <v>77878601.072890863</v>
      </c>
      <c r="N411" s="261">
        <f t="shared" si="835"/>
        <v>54768050.040439501</v>
      </c>
      <c r="O411" s="261">
        <f t="shared" si="835"/>
        <v>78498700.216184124</v>
      </c>
      <c r="P411" s="261">
        <f t="shared" si="835"/>
        <v>6247605.2487572404</v>
      </c>
      <c r="Q411" s="261">
        <f t="shared" si="835"/>
        <v>0</v>
      </c>
      <c r="R411" s="261">
        <f t="shared" si="835"/>
        <v>0</v>
      </c>
      <c r="S411" s="261">
        <f t="shared" si="835"/>
        <v>0</v>
      </c>
      <c r="T411" s="261">
        <f t="shared" si="835"/>
        <v>0</v>
      </c>
      <c r="U411" s="261">
        <f t="shared" si="835"/>
        <v>0</v>
      </c>
      <c r="V411" s="261">
        <f t="shared" si="835"/>
        <v>0</v>
      </c>
      <c r="W411" s="261">
        <f t="shared" si="835"/>
        <v>0</v>
      </c>
      <c r="AC411" s="289">
        <f>IF(M411=0,0,(M411-$F411*H$69)/курс)</f>
        <v>0</v>
      </c>
      <c r="AD411" s="289">
        <f t="shared" ref="AD411:AD422" si="836">IF(N411=0,0,(N411-$F411*I$69)/курс)</f>
        <v>0</v>
      </c>
      <c r="AE411" s="289">
        <f t="shared" ref="AE411:AE422" si="837">IF(O411=0,0,(O411-$F411*J$69)/курс)</f>
        <v>0</v>
      </c>
      <c r="AF411" s="289">
        <f t="shared" ref="AF411:AF422" si="838">IF(P411=0,0,(P411-$F411*K$69)/курс)</f>
        <v>0</v>
      </c>
      <c r="AG411" s="289">
        <f t="shared" ref="AG411:AG422" si="839">IF(Q411=0,0,(Q411-$F411*L$69)/курс)</f>
        <v>0</v>
      </c>
      <c r="AH411" s="289">
        <f t="shared" ref="AH411:AH422" si="840">IF(R411=0,0,(R411-$F411*M$69)/курс)</f>
        <v>0</v>
      </c>
      <c r="AI411" s="289">
        <f t="shared" ref="AI411:AI422" si="841">IF(S411=0,0,(S411-$F411*N$69)/курс)</f>
        <v>0</v>
      </c>
      <c r="AJ411" s="289">
        <f t="shared" ref="AJ411:AJ422" si="842">IF(T411=0,0,(T411-$F411*O$69)/курс)</f>
        <v>0</v>
      </c>
      <c r="AK411" s="289">
        <f t="shared" ref="AK411:AK422" si="843">IF(U411=0,0,(U411-$F411*P$69)/курс)</f>
        <v>0</v>
      </c>
      <c r="AL411" s="289">
        <f t="shared" ref="AL411:AL422" si="844">IF(V411=0,0,(V411-$F411*Q$69)/курс)</f>
        <v>0</v>
      </c>
      <c r="AM411" s="289">
        <f t="shared" ref="AM411:AM422" si="845">IF(W411=0,0,(W411-$F411*R$69)/курс)</f>
        <v>0</v>
      </c>
    </row>
    <row r="412" spans="1:39" ht="15.75" customHeight="1" outlineLevel="3">
      <c r="A412" s="15"/>
      <c r="B412" s="690"/>
      <c r="C412" s="976"/>
      <c r="D412" s="420" t="s">
        <v>474</v>
      </c>
      <c r="E412" s="732"/>
      <c r="F412" s="92">
        <v>1979.9449276786868</v>
      </c>
      <c r="G412" s="272">
        <v>0</v>
      </c>
      <c r="H412" s="829"/>
      <c r="I412" s="285"/>
      <c r="J412"/>
      <c r="K412" s="250"/>
      <c r="L412" s="250"/>
      <c r="M412" s="262">
        <f t="shared" ref="M412:W412" si="846">($F412+$G412*курс)*(H$69)*IF(AND(H$64&gt;75,H$64&lt;=130),1,0)*(IF(H$122="Комфорт",1,0)+IF(H$122="Бизнес",1,0)+IF(H$122="Бизнес+",1,0))</f>
        <v>0</v>
      </c>
      <c r="N412" s="262">
        <f t="shared" si="846"/>
        <v>0</v>
      </c>
      <c r="O412" s="262">
        <f t="shared" si="846"/>
        <v>0</v>
      </c>
      <c r="P412" s="262">
        <f t="shared" si="846"/>
        <v>0</v>
      </c>
      <c r="Q412" s="262">
        <f t="shared" si="846"/>
        <v>0</v>
      </c>
      <c r="R412" s="262">
        <f t="shared" si="846"/>
        <v>0</v>
      </c>
      <c r="S412" s="262">
        <f t="shared" si="846"/>
        <v>0</v>
      </c>
      <c r="T412" s="262">
        <f t="shared" si="846"/>
        <v>0</v>
      </c>
      <c r="U412" s="262">
        <f t="shared" si="846"/>
        <v>0</v>
      </c>
      <c r="V412" s="262">
        <f t="shared" si="846"/>
        <v>0</v>
      </c>
      <c r="W412" s="262">
        <f t="shared" si="846"/>
        <v>0</v>
      </c>
      <c r="AC412" s="289">
        <f t="shared" ref="AC412:AC422" si="847">IF(M412=0,0,(M412-$F412*H$69)/курс)</f>
        <v>0</v>
      </c>
      <c r="AD412" s="289">
        <f t="shared" si="836"/>
        <v>0</v>
      </c>
      <c r="AE412" s="289">
        <f t="shared" si="837"/>
        <v>0</v>
      </c>
      <c r="AF412" s="289">
        <f t="shared" si="838"/>
        <v>0</v>
      </c>
      <c r="AG412" s="289">
        <f t="shared" si="839"/>
        <v>0</v>
      </c>
      <c r="AH412" s="289">
        <f t="shared" si="840"/>
        <v>0</v>
      </c>
      <c r="AI412" s="289">
        <f t="shared" si="841"/>
        <v>0</v>
      </c>
      <c r="AJ412" s="289">
        <f t="shared" si="842"/>
        <v>0</v>
      </c>
      <c r="AK412" s="289">
        <f t="shared" si="843"/>
        <v>0</v>
      </c>
      <c r="AL412" s="289">
        <f t="shared" si="844"/>
        <v>0</v>
      </c>
      <c r="AM412" s="289">
        <f t="shared" si="845"/>
        <v>0</v>
      </c>
    </row>
    <row r="413" spans="1:39" ht="15.75" customHeight="1" outlineLevel="3">
      <c r="A413" s="15"/>
      <c r="B413" s="690"/>
      <c r="C413" s="976"/>
      <c r="D413" s="420" t="s">
        <v>453</v>
      </c>
      <c r="E413" s="732"/>
      <c r="F413" s="92">
        <v>2010.4527266400582</v>
      </c>
      <c r="G413" s="272">
        <v>0</v>
      </c>
      <c r="H413" s="829"/>
      <c r="I413" s="285"/>
      <c r="J413"/>
      <c r="K413" s="250"/>
      <c r="L413" s="250"/>
      <c r="M413" s="214">
        <f t="shared" ref="M413:W413" si="848">($F413+$G413*курс)*(H$69)*IF(H$64&gt;130,1,0)*(IF(H$122="Комфорт",1,0)+IF(H$122="Бизнес",1,0)+IF(H$122="Бизнес+",1,0))</f>
        <v>0</v>
      </c>
      <c r="N413" s="214">
        <f t="shared" si="848"/>
        <v>0</v>
      </c>
      <c r="O413" s="214">
        <f t="shared" si="848"/>
        <v>0</v>
      </c>
      <c r="P413" s="214">
        <f t="shared" si="848"/>
        <v>0</v>
      </c>
      <c r="Q413" s="214">
        <f t="shared" si="848"/>
        <v>0</v>
      </c>
      <c r="R413" s="214">
        <f t="shared" si="848"/>
        <v>0</v>
      </c>
      <c r="S413" s="214">
        <f t="shared" si="848"/>
        <v>0</v>
      </c>
      <c r="T413" s="214">
        <f t="shared" si="848"/>
        <v>0</v>
      </c>
      <c r="U413" s="214">
        <f t="shared" si="848"/>
        <v>0</v>
      </c>
      <c r="V413" s="214">
        <f t="shared" si="848"/>
        <v>0</v>
      </c>
      <c r="W413" s="214">
        <f t="shared" si="848"/>
        <v>0</v>
      </c>
      <c r="AC413" s="289">
        <f t="shared" si="847"/>
        <v>0</v>
      </c>
      <c r="AD413" s="289">
        <f t="shared" si="836"/>
        <v>0</v>
      </c>
      <c r="AE413" s="289">
        <f t="shared" si="837"/>
        <v>0</v>
      </c>
      <c r="AF413" s="289">
        <f t="shared" si="838"/>
        <v>0</v>
      </c>
      <c r="AG413" s="289">
        <f t="shared" si="839"/>
        <v>0</v>
      </c>
      <c r="AH413" s="289">
        <f t="shared" si="840"/>
        <v>0</v>
      </c>
      <c r="AI413" s="289">
        <f t="shared" si="841"/>
        <v>0</v>
      </c>
      <c r="AJ413" s="289">
        <f t="shared" si="842"/>
        <v>0</v>
      </c>
      <c r="AK413" s="289">
        <f t="shared" si="843"/>
        <v>0</v>
      </c>
      <c r="AL413" s="289">
        <f t="shared" si="844"/>
        <v>0</v>
      </c>
      <c r="AM413" s="289">
        <f t="shared" si="845"/>
        <v>0</v>
      </c>
    </row>
    <row r="414" spans="1:39" ht="15.75" customHeight="1" outlineLevel="3">
      <c r="A414" s="15"/>
      <c r="B414" s="690"/>
      <c r="C414" s="976"/>
      <c r="D414" s="420" t="s">
        <v>473</v>
      </c>
      <c r="E414" s="732" t="s">
        <v>277</v>
      </c>
      <c r="F414" s="92">
        <v>549.46135941231933</v>
      </c>
      <c r="G414" s="272">
        <v>19.324893762165566</v>
      </c>
      <c r="H414" s="829"/>
      <c r="I414" s="285"/>
      <c r="J414"/>
      <c r="K414" s="250"/>
      <c r="L414" s="250"/>
      <c r="M414" s="261">
        <f t="shared" ref="M414:W414" si="849">($F414+$G414*курс)*(H$69)*IF(H$64&lt;=75,1,0)*(IF(H$122="Премиум",1,0)+IF(H$122="Элит",1,0))</f>
        <v>0</v>
      </c>
      <c r="N414" s="261">
        <f t="shared" si="849"/>
        <v>0</v>
      </c>
      <c r="O414" s="261">
        <f t="shared" si="849"/>
        <v>0</v>
      </c>
      <c r="P414" s="261">
        <f t="shared" si="849"/>
        <v>0</v>
      </c>
      <c r="Q414" s="261">
        <f t="shared" si="849"/>
        <v>0</v>
      </c>
      <c r="R414" s="261">
        <f t="shared" si="849"/>
        <v>0</v>
      </c>
      <c r="S414" s="261">
        <f t="shared" si="849"/>
        <v>0</v>
      </c>
      <c r="T414" s="261">
        <f t="shared" si="849"/>
        <v>0</v>
      </c>
      <c r="U414" s="261">
        <f t="shared" si="849"/>
        <v>0</v>
      </c>
      <c r="V414" s="261">
        <f t="shared" si="849"/>
        <v>0</v>
      </c>
      <c r="W414" s="261">
        <f t="shared" si="849"/>
        <v>0</v>
      </c>
      <c r="AC414" s="289">
        <f t="shared" si="847"/>
        <v>0</v>
      </c>
      <c r="AD414" s="289">
        <f t="shared" si="836"/>
        <v>0</v>
      </c>
      <c r="AE414" s="289">
        <f t="shared" si="837"/>
        <v>0</v>
      </c>
      <c r="AF414" s="289">
        <f t="shared" si="838"/>
        <v>0</v>
      </c>
      <c r="AG414" s="289">
        <f t="shared" si="839"/>
        <v>0</v>
      </c>
      <c r="AH414" s="289">
        <f t="shared" si="840"/>
        <v>0</v>
      </c>
      <c r="AI414" s="289">
        <f t="shared" si="841"/>
        <v>0</v>
      </c>
      <c r="AJ414" s="289">
        <f t="shared" si="842"/>
        <v>0</v>
      </c>
      <c r="AK414" s="289">
        <f t="shared" si="843"/>
        <v>0</v>
      </c>
      <c r="AL414" s="289">
        <f t="shared" si="844"/>
        <v>0</v>
      </c>
      <c r="AM414" s="289">
        <f t="shared" si="845"/>
        <v>0</v>
      </c>
    </row>
    <row r="415" spans="1:39" ht="15.75" customHeight="1" outlineLevel="3">
      <c r="A415" s="15"/>
      <c r="B415" s="690"/>
      <c r="C415" s="976"/>
      <c r="D415" s="420" t="s">
        <v>474</v>
      </c>
      <c r="E415" s="732"/>
      <c r="F415" s="92">
        <v>562.46130929034211</v>
      </c>
      <c r="G415" s="272">
        <v>19.782109990391287</v>
      </c>
      <c r="H415" s="829"/>
      <c r="I415" s="285"/>
      <c r="J415"/>
      <c r="K415" s="250"/>
      <c r="L415" s="250"/>
      <c r="M415" s="262">
        <f t="shared" ref="M415:W415" si="850">($F415+$G415*курс)*(H$69)*IF(AND(H$64&gt;75,H$64&lt;=130),1,0)*(IF(H$122="Премиум",1,0)+IF(H$122="Элит",1,0))</f>
        <v>0</v>
      </c>
      <c r="N415" s="262">
        <f t="shared" si="850"/>
        <v>0</v>
      </c>
      <c r="O415" s="262">
        <f t="shared" si="850"/>
        <v>0</v>
      </c>
      <c r="P415" s="262">
        <f t="shared" si="850"/>
        <v>0</v>
      </c>
      <c r="Q415" s="262">
        <f t="shared" si="850"/>
        <v>0</v>
      </c>
      <c r="R415" s="262">
        <f t="shared" si="850"/>
        <v>0</v>
      </c>
      <c r="S415" s="262">
        <f t="shared" si="850"/>
        <v>0</v>
      </c>
      <c r="T415" s="262">
        <f t="shared" si="850"/>
        <v>0</v>
      </c>
      <c r="U415" s="262">
        <f t="shared" si="850"/>
        <v>0</v>
      </c>
      <c r="V415" s="262">
        <f t="shared" si="850"/>
        <v>0</v>
      </c>
      <c r="W415" s="262">
        <f t="shared" si="850"/>
        <v>0</v>
      </c>
      <c r="AC415" s="289">
        <f t="shared" si="847"/>
        <v>0</v>
      </c>
      <c r="AD415" s="289">
        <f t="shared" si="836"/>
        <v>0</v>
      </c>
      <c r="AE415" s="289">
        <f t="shared" si="837"/>
        <v>0</v>
      </c>
      <c r="AF415" s="289">
        <f t="shared" si="838"/>
        <v>0</v>
      </c>
      <c r="AG415" s="289">
        <f t="shared" si="839"/>
        <v>0</v>
      </c>
      <c r="AH415" s="289">
        <f t="shared" si="840"/>
        <v>0</v>
      </c>
      <c r="AI415" s="289">
        <f t="shared" si="841"/>
        <v>0</v>
      </c>
      <c r="AJ415" s="289">
        <f t="shared" si="842"/>
        <v>0</v>
      </c>
      <c r="AK415" s="289">
        <f t="shared" si="843"/>
        <v>0</v>
      </c>
      <c r="AL415" s="289">
        <f t="shared" si="844"/>
        <v>0</v>
      </c>
      <c r="AM415" s="289">
        <f t="shared" si="845"/>
        <v>0</v>
      </c>
    </row>
    <row r="416" spans="1:39" ht="15.75" customHeight="1" outlineLevel="3">
      <c r="A416" s="15"/>
      <c r="B416" s="690"/>
      <c r="C416" s="712"/>
      <c r="D416" s="516" t="s">
        <v>453</v>
      </c>
      <c r="E416" s="973"/>
      <c r="F416" s="98">
        <v>571.12794254235791</v>
      </c>
      <c r="G416" s="273">
        <v>20.086920809208422</v>
      </c>
      <c r="H416" s="829"/>
      <c r="I416" s="285"/>
      <c r="J416"/>
      <c r="K416" s="250"/>
      <c r="L416" s="250"/>
      <c r="M416" s="214">
        <f t="shared" ref="M416:W416" si="851">($F416+$G416*курс)*(H$69)*IF(H$64&gt;130,1,0)*(IF(H$122="Премиум",1,0)+IF(H$122="Элит",1,0))</f>
        <v>0</v>
      </c>
      <c r="N416" s="214">
        <f t="shared" si="851"/>
        <v>0</v>
      </c>
      <c r="O416" s="214">
        <f t="shared" si="851"/>
        <v>0</v>
      </c>
      <c r="P416" s="214">
        <f t="shared" si="851"/>
        <v>0</v>
      </c>
      <c r="Q416" s="214">
        <f t="shared" si="851"/>
        <v>0</v>
      </c>
      <c r="R416" s="214">
        <f t="shared" si="851"/>
        <v>0</v>
      </c>
      <c r="S416" s="214">
        <f t="shared" si="851"/>
        <v>0</v>
      </c>
      <c r="T416" s="214">
        <f t="shared" si="851"/>
        <v>0</v>
      </c>
      <c r="U416" s="214">
        <f t="shared" si="851"/>
        <v>0</v>
      </c>
      <c r="V416" s="214">
        <f t="shared" si="851"/>
        <v>0</v>
      </c>
      <c r="W416" s="214">
        <f t="shared" si="851"/>
        <v>0</v>
      </c>
      <c r="AC416" s="289">
        <f t="shared" si="847"/>
        <v>0</v>
      </c>
      <c r="AD416" s="289">
        <f t="shared" si="836"/>
        <v>0</v>
      </c>
      <c r="AE416" s="289">
        <f t="shared" si="837"/>
        <v>0</v>
      </c>
      <c r="AF416" s="289">
        <f t="shared" si="838"/>
        <v>0</v>
      </c>
      <c r="AG416" s="289">
        <f t="shared" si="839"/>
        <v>0</v>
      </c>
      <c r="AH416" s="289">
        <f t="shared" si="840"/>
        <v>0</v>
      </c>
      <c r="AI416" s="289">
        <f t="shared" si="841"/>
        <v>0</v>
      </c>
      <c r="AJ416" s="289">
        <f t="shared" si="842"/>
        <v>0</v>
      </c>
      <c r="AK416" s="289">
        <f t="shared" si="843"/>
        <v>0</v>
      </c>
      <c r="AL416" s="289">
        <f t="shared" si="844"/>
        <v>0</v>
      </c>
      <c r="AM416" s="289">
        <f t="shared" si="845"/>
        <v>0</v>
      </c>
    </row>
    <row r="417" spans="1:39" ht="15.75" customHeight="1" outlineLevel="3">
      <c r="A417" s="15"/>
      <c r="B417" s="690"/>
      <c r="C417" s="976" t="s">
        <v>900</v>
      </c>
      <c r="D417" s="515" t="s">
        <v>473</v>
      </c>
      <c r="E417" s="974" t="s">
        <v>897</v>
      </c>
      <c r="F417" s="108">
        <f>572.715668027172*2.3572</f>
        <v>1350.0053726736498</v>
      </c>
      <c r="G417" s="514">
        <v>0</v>
      </c>
      <c r="H417" s="829"/>
      <c r="I417" s="285"/>
      <c r="J417"/>
      <c r="K417" s="250"/>
      <c r="L417" s="250"/>
      <c r="M417" s="261">
        <f t="shared" ref="M417:W417" si="852">($F417+$G417*курс)*(H$69)*IF(H$64&lt;=75,1,0)*(IF(H$122="Комфорт",1,0)+IF(H$122="Бизнес",1,0)+IF(H$122="Бизнес+",1,0))</f>
        <v>54357068.283652253</v>
      </c>
      <c r="N417" s="261">
        <f t="shared" si="852"/>
        <v>38226555.110103831</v>
      </c>
      <c r="O417" s="261">
        <f t="shared" si="852"/>
        <v>54789880.006131425</v>
      </c>
      <c r="P417" s="261">
        <f t="shared" si="852"/>
        <v>4360652.3542731572</v>
      </c>
      <c r="Q417" s="261">
        <f t="shared" si="852"/>
        <v>0</v>
      </c>
      <c r="R417" s="261">
        <f t="shared" si="852"/>
        <v>0</v>
      </c>
      <c r="S417" s="261">
        <f t="shared" si="852"/>
        <v>0</v>
      </c>
      <c r="T417" s="261">
        <f t="shared" si="852"/>
        <v>0</v>
      </c>
      <c r="U417" s="261">
        <f t="shared" si="852"/>
        <v>0</v>
      </c>
      <c r="V417" s="261">
        <f t="shared" si="852"/>
        <v>0</v>
      </c>
      <c r="W417" s="261">
        <f t="shared" si="852"/>
        <v>0</v>
      </c>
      <c r="AC417" s="289">
        <f t="shared" si="847"/>
        <v>0</v>
      </c>
      <c r="AD417" s="289">
        <f t="shared" si="836"/>
        <v>0</v>
      </c>
      <c r="AE417" s="289">
        <f t="shared" si="837"/>
        <v>0</v>
      </c>
      <c r="AF417" s="289">
        <f t="shared" si="838"/>
        <v>0</v>
      </c>
      <c r="AG417" s="289">
        <f t="shared" si="839"/>
        <v>0</v>
      </c>
      <c r="AH417" s="289">
        <f t="shared" si="840"/>
        <v>0</v>
      </c>
      <c r="AI417" s="289">
        <f t="shared" si="841"/>
        <v>0</v>
      </c>
      <c r="AJ417" s="289">
        <f t="shared" si="842"/>
        <v>0</v>
      </c>
      <c r="AK417" s="289">
        <f t="shared" si="843"/>
        <v>0</v>
      </c>
      <c r="AL417" s="289">
        <f t="shared" si="844"/>
        <v>0</v>
      </c>
      <c r="AM417" s="289">
        <f t="shared" si="845"/>
        <v>0</v>
      </c>
    </row>
    <row r="418" spans="1:39" ht="15.75" customHeight="1" outlineLevel="3">
      <c r="A418" s="15"/>
      <c r="B418" s="690"/>
      <c r="C418" s="976"/>
      <c r="D418" s="420" t="s">
        <v>474</v>
      </c>
      <c r="E418" s="732"/>
      <c r="F418" s="92">
        <f>586.265801901327*2.3572</f>
        <v>1381.9457482418081</v>
      </c>
      <c r="G418" s="272">
        <v>0</v>
      </c>
      <c r="H418" s="829"/>
      <c r="I418" s="285"/>
      <c r="J418"/>
      <c r="K418" s="250"/>
      <c r="L418" s="250"/>
      <c r="M418" s="262">
        <f t="shared" ref="M418:W418" si="853">($F418+$G418*курс)*(H$69)*IF(AND(H$64&gt;75,H$64&lt;=130),1,0)*(IF(H$122="Комфорт",1,0)+IF(H$122="Бизнес",1,0)+IF(H$122="Бизнес+",1,0))</f>
        <v>0</v>
      </c>
      <c r="N418" s="262">
        <f t="shared" si="853"/>
        <v>0</v>
      </c>
      <c r="O418" s="262">
        <f t="shared" si="853"/>
        <v>0</v>
      </c>
      <c r="P418" s="262">
        <f t="shared" si="853"/>
        <v>0</v>
      </c>
      <c r="Q418" s="262">
        <f t="shared" si="853"/>
        <v>0</v>
      </c>
      <c r="R418" s="262">
        <f t="shared" si="853"/>
        <v>0</v>
      </c>
      <c r="S418" s="262">
        <f t="shared" si="853"/>
        <v>0</v>
      </c>
      <c r="T418" s="262">
        <f t="shared" si="853"/>
        <v>0</v>
      </c>
      <c r="U418" s="262">
        <f t="shared" si="853"/>
        <v>0</v>
      </c>
      <c r="V418" s="262">
        <f t="shared" si="853"/>
        <v>0</v>
      </c>
      <c r="W418" s="262">
        <f t="shared" si="853"/>
        <v>0</v>
      </c>
      <c r="AC418" s="289">
        <f t="shared" si="847"/>
        <v>0</v>
      </c>
      <c r="AD418" s="289">
        <f t="shared" si="836"/>
        <v>0</v>
      </c>
      <c r="AE418" s="289">
        <f t="shared" si="837"/>
        <v>0</v>
      </c>
      <c r="AF418" s="289">
        <f t="shared" si="838"/>
        <v>0</v>
      </c>
      <c r="AG418" s="289">
        <f t="shared" si="839"/>
        <v>0</v>
      </c>
      <c r="AH418" s="289">
        <f t="shared" si="840"/>
        <v>0</v>
      </c>
      <c r="AI418" s="289">
        <f t="shared" si="841"/>
        <v>0</v>
      </c>
      <c r="AJ418" s="289">
        <f t="shared" si="842"/>
        <v>0</v>
      </c>
      <c r="AK418" s="289">
        <f t="shared" si="843"/>
        <v>0</v>
      </c>
      <c r="AL418" s="289">
        <f t="shared" si="844"/>
        <v>0</v>
      </c>
      <c r="AM418" s="289">
        <f t="shared" si="845"/>
        <v>0</v>
      </c>
    </row>
    <row r="419" spans="1:39" ht="15.75" customHeight="1" outlineLevel="3">
      <c r="A419" s="15"/>
      <c r="B419" s="690"/>
      <c r="C419" s="976"/>
      <c r="D419" s="420" t="s">
        <v>453</v>
      </c>
      <c r="E419" s="732"/>
      <c r="F419" s="92">
        <f>595.299224484096*2.3572</f>
        <v>1403.2393319539112</v>
      </c>
      <c r="G419" s="272">
        <v>0</v>
      </c>
      <c r="H419" s="829"/>
      <c r="I419" s="285"/>
      <c r="J419"/>
      <c r="K419" s="250"/>
      <c r="L419" s="250"/>
      <c r="M419" s="214">
        <f t="shared" ref="M419:W419" si="854">($F419+$G419*курс)*(H$69)*IF(H$64&gt;130,1,0)*(IF(H$122="Комфорт",1,0)+IF(H$122="Бизнес",1,0)+IF(H$122="Бизнес+",1,0))</f>
        <v>0</v>
      </c>
      <c r="N419" s="214">
        <f t="shared" si="854"/>
        <v>0</v>
      </c>
      <c r="O419" s="214">
        <f t="shared" si="854"/>
        <v>0</v>
      </c>
      <c r="P419" s="214">
        <f t="shared" si="854"/>
        <v>0</v>
      </c>
      <c r="Q419" s="214">
        <f t="shared" si="854"/>
        <v>0</v>
      </c>
      <c r="R419" s="214">
        <f t="shared" si="854"/>
        <v>0</v>
      </c>
      <c r="S419" s="214">
        <f t="shared" si="854"/>
        <v>0</v>
      </c>
      <c r="T419" s="214">
        <f t="shared" si="854"/>
        <v>0</v>
      </c>
      <c r="U419" s="214">
        <f t="shared" si="854"/>
        <v>0</v>
      </c>
      <c r="V419" s="214">
        <f t="shared" si="854"/>
        <v>0</v>
      </c>
      <c r="W419" s="214">
        <f t="shared" si="854"/>
        <v>0</v>
      </c>
      <c r="AC419" s="289">
        <f t="shared" si="847"/>
        <v>0</v>
      </c>
      <c r="AD419" s="289">
        <f t="shared" si="836"/>
        <v>0</v>
      </c>
      <c r="AE419" s="289">
        <f t="shared" si="837"/>
        <v>0</v>
      </c>
      <c r="AF419" s="289">
        <f t="shared" si="838"/>
        <v>0</v>
      </c>
      <c r="AG419" s="289">
        <f t="shared" si="839"/>
        <v>0</v>
      </c>
      <c r="AH419" s="289">
        <f t="shared" si="840"/>
        <v>0</v>
      </c>
      <c r="AI419" s="289">
        <f t="shared" si="841"/>
        <v>0</v>
      </c>
      <c r="AJ419" s="289">
        <f t="shared" si="842"/>
        <v>0</v>
      </c>
      <c r="AK419" s="289">
        <f t="shared" si="843"/>
        <v>0</v>
      </c>
      <c r="AL419" s="289">
        <f t="shared" si="844"/>
        <v>0</v>
      </c>
      <c r="AM419" s="289">
        <f t="shared" si="845"/>
        <v>0</v>
      </c>
    </row>
    <row r="420" spans="1:39" ht="15.75" customHeight="1" outlineLevel="3">
      <c r="A420" s="15"/>
      <c r="B420" s="690"/>
      <c r="C420" s="976"/>
      <c r="D420" s="420" t="s">
        <v>473</v>
      </c>
      <c r="E420" s="732" t="s">
        <v>277</v>
      </c>
      <c r="F420" s="92">
        <v>1780.2771810607867</v>
      </c>
      <c r="G420" s="272">
        <v>10.472218712122274</v>
      </c>
      <c r="H420" s="829"/>
      <c r="I420" s="285"/>
      <c r="J420"/>
      <c r="K420" s="250"/>
      <c r="L420" s="250"/>
      <c r="M420" s="261">
        <f t="shared" ref="M420:W420" si="855">($F420+$G420*курс)*(H$69)*IF(H$64&lt;=75,1,0)*(IF(H$122="Премиум",1,0)+IF(H$122="Элит",1,0))</f>
        <v>0</v>
      </c>
      <c r="N420" s="261">
        <f t="shared" si="855"/>
        <v>0</v>
      </c>
      <c r="O420" s="261">
        <f t="shared" si="855"/>
        <v>0</v>
      </c>
      <c r="P420" s="261">
        <f t="shared" si="855"/>
        <v>0</v>
      </c>
      <c r="Q420" s="261">
        <f t="shared" si="855"/>
        <v>0</v>
      </c>
      <c r="R420" s="261">
        <f t="shared" si="855"/>
        <v>0</v>
      </c>
      <c r="S420" s="261">
        <f t="shared" si="855"/>
        <v>0</v>
      </c>
      <c r="T420" s="261">
        <f t="shared" si="855"/>
        <v>0</v>
      </c>
      <c r="U420" s="261">
        <f t="shared" si="855"/>
        <v>0</v>
      </c>
      <c r="V420" s="261">
        <f t="shared" si="855"/>
        <v>0</v>
      </c>
      <c r="W420" s="261">
        <f t="shared" si="855"/>
        <v>0</v>
      </c>
      <c r="AC420" s="289">
        <f t="shared" si="847"/>
        <v>0</v>
      </c>
      <c r="AD420" s="289">
        <f t="shared" si="836"/>
        <v>0</v>
      </c>
      <c r="AE420" s="289">
        <f t="shared" si="837"/>
        <v>0</v>
      </c>
      <c r="AF420" s="289">
        <f t="shared" si="838"/>
        <v>0</v>
      </c>
      <c r="AG420" s="289">
        <f t="shared" si="839"/>
        <v>0</v>
      </c>
      <c r="AH420" s="289">
        <f t="shared" si="840"/>
        <v>0</v>
      </c>
      <c r="AI420" s="289">
        <f t="shared" si="841"/>
        <v>0</v>
      </c>
      <c r="AJ420" s="289">
        <f t="shared" si="842"/>
        <v>0</v>
      </c>
      <c r="AK420" s="289">
        <f t="shared" si="843"/>
        <v>0</v>
      </c>
      <c r="AL420" s="289">
        <f t="shared" si="844"/>
        <v>0</v>
      </c>
      <c r="AM420" s="289">
        <f t="shared" si="845"/>
        <v>0</v>
      </c>
    </row>
    <row r="421" spans="1:39" ht="15.75" customHeight="1" outlineLevel="3">
      <c r="A421" s="15"/>
      <c r="B421" s="690"/>
      <c r="C421" s="976"/>
      <c r="D421" s="420" t="s">
        <v>474</v>
      </c>
      <c r="E421" s="732"/>
      <c r="F421" s="92">
        <v>1822.3975480826496</v>
      </c>
      <c r="G421" s="272">
        <v>10.719985576956763</v>
      </c>
      <c r="H421" s="829"/>
      <c r="I421" s="285"/>
      <c r="J421"/>
      <c r="K421" s="250"/>
      <c r="L421" s="250"/>
      <c r="M421" s="262">
        <f t="shared" ref="M421:W421" si="856">($F421+$G421*курс)*(H$69)*IF(AND(H$64&gt;75,H$64&lt;=130),1,0)*(IF(H$122="Премиум",1,0)+IF(H$122="Элит",1,0))</f>
        <v>0</v>
      </c>
      <c r="N421" s="262">
        <f t="shared" si="856"/>
        <v>0</v>
      </c>
      <c r="O421" s="262">
        <f t="shared" si="856"/>
        <v>0</v>
      </c>
      <c r="P421" s="262">
        <f t="shared" si="856"/>
        <v>0</v>
      </c>
      <c r="Q421" s="262">
        <f t="shared" si="856"/>
        <v>0</v>
      </c>
      <c r="R421" s="262">
        <f t="shared" si="856"/>
        <v>0</v>
      </c>
      <c r="S421" s="262">
        <f t="shared" si="856"/>
        <v>0</v>
      </c>
      <c r="T421" s="262">
        <f t="shared" si="856"/>
        <v>0</v>
      </c>
      <c r="U421" s="262">
        <f t="shared" si="856"/>
        <v>0</v>
      </c>
      <c r="V421" s="262">
        <f t="shared" si="856"/>
        <v>0</v>
      </c>
      <c r="W421" s="262">
        <f t="shared" si="856"/>
        <v>0</v>
      </c>
      <c r="AC421" s="289">
        <f t="shared" si="847"/>
        <v>0</v>
      </c>
      <c r="AD421" s="289">
        <f t="shared" si="836"/>
        <v>0</v>
      </c>
      <c r="AE421" s="289">
        <f t="shared" si="837"/>
        <v>0</v>
      </c>
      <c r="AF421" s="289">
        <f t="shared" si="838"/>
        <v>0</v>
      </c>
      <c r="AG421" s="289">
        <f t="shared" si="839"/>
        <v>0</v>
      </c>
      <c r="AH421" s="289">
        <f t="shared" si="840"/>
        <v>0</v>
      </c>
      <c r="AI421" s="289">
        <f t="shared" si="841"/>
        <v>0</v>
      </c>
      <c r="AJ421" s="289">
        <f t="shared" si="842"/>
        <v>0</v>
      </c>
      <c r="AK421" s="289">
        <f t="shared" si="843"/>
        <v>0</v>
      </c>
      <c r="AL421" s="289">
        <f t="shared" si="844"/>
        <v>0</v>
      </c>
      <c r="AM421" s="289">
        <f t="shared" si="845"/>
        <v>0</v>
      </c>
    </row>
    <row r="422" spans="1:39" ht="15.75" customHeight="1" outlineLevel="3">
      <c r="A422" s="15"/>
      <c r="B422" s="690"/>
      <c r="C422" s="976"/>
      <c r="D422" s="513" t="s">
        <v>453</v>
      </c>
      <c r="E422" s="733"/>
      <c r="F422" s="158">
        <v>1850.4777927638911</v>
      </c>
      <c r="G422" s="510">
        <v>10.88516348684642</v>
      </c>
      <c r="H422" s="975"/>
      <c r="I422" s="285"/>
      <c r="J422"/>
      <c r="K422" s="250"/>
      <c r="L422" s="250"/>
      <c r="M422" s="214">
        <f t="shared" ref="M422:W422" si="857">($F422+$G422*курс)*(H$69)*IF(H$64&gt;130,1,0)*(IF(H$122="Премиум",1,0)+IF(H$122="Элит",1,0))</f>
        <v>0</v>
      </c>
      <c r="N422" s="214">
        <f t="shared" si="857"/>
        <v>0</v>
      </c>
      <c r="O422" s="214">
        <f t="shared" si="857"/>
        <v>0</v>
      </c>
      <c r="P422" s="214">
        <f t="shared" si="857"/>
        <v>0</v>
      </c>
      <c r="Q422" s="214">
        <f t="shared" si="857"/>
        <v>0</v>
      </c>
      <c r="R422" s="214">
        <f t="shared" si="857"/>
        <v>0</v>
      </c>
      <c r="S422" s="214">
        <f t="shared" si="857"/>
        <v>0</v>
      </c>
      <c r="T422" s="214">
        <f t="shared" si="857"/>
        <v>0</v>
      </c>
      <c r="U422" s="214">
        <f t="shared" si="857"/>
        <v>0</v>
      </c>
      <c r="V422" s="214">
        <f t="shared" si="857"/>
        <v>0</v>
      </c>
      <c r="W422" s="214">
        <f t="shared" si="857"/>
        <v>0</v>
      </c>
      <c r="AC422" s="289">
        <f t="shared" si="847"/>
        <v>0</v>
      </c>
      <c r="AD422" s="289">
        <f t="shared" si="836"/>
        <v>0</v>
      </c>
      <c r="AE422" s="289">
        <f t="shared" si="837"/>
        <v>0</v>
      </c>
      <c r="AF422" s="289">
        <f t="shared" si="838"/>
        <v>0</v>
      </c>
      <c r="AG422" s="289">
        <f t="shared" si="839"/>
        <v>0</v>
      </c>
      <c r="AH422" s="289">
        <f t="shared" si="840"/>
        <v>0</v>
      </c>
      <c r="AI422" s="289">
        <f t="shared" si="841"/>
        <v>0</v>
      </c>
      <c r="AJ422" s="289">
        <f t="shared" si="842"/>
        <v>0</v>
      </c>
      <c r="AK422" s="289">
        <f t="shared" si="843"/>
        <v>0</v>
      </c>
      <c r="AL422" s="289">
        <f t="shared" si="844"/>
        <v>0</v>
      </c>
      <c r="AM422" s="289">
        <f t="shared" si="845"/>
        <v>0</v>
      </c>
    </row>
    <row r="423" spans="1:39" ht="15.75" customHeight="1" outlineLevel="3">
      <c r="A423" s="15"/>
      <c r="B423" s="690"/>
      <c r="C423" s="750" t="s">
        <v>911</v>
      </c>
      <c r="D423" s="750"/>
      <c r="E423" s="23" t="s">
        <v>912</v>
      </c>
      <c r="F423" s="94">
        <f>805.533378750406*1.01</f>
        <v>813.58871253791006</v>
      </c>
      <c r="G423" s="271">
        <v>5.9339937185411156</v>
      </c>
      <c r="H423" s="828" t="s">
        <v>908</v>
      </c>
      <c r="I423" s="285"/>
      <c r="J423"/>
      <c r="K423" s="250"/>
      <c r="L423" s="493">
        <f>($F$423+G423*курс)*G58*(IF(G57=1,1,0)+IF(G57=2,1,0))</f>
        <v>0</v>
      </c>
      <c r="M423" s="262">
        <f t="shared" ref="M423:W423" si="858">($F423+$G423*курс)*H$56</f>
        <v>1972278.4421136938</v>
      </c>
      <c r="N423" s="262">
        <f t="shared" si="858"/>
        <v>1368805.2004537794</v>
      </c>
      <c r="O423" s="262">
        <f t="shared" si="858"/>
        <v>2651019.3176671737</v>
      </c>
      <c r="P423" s="262">
        <f t="shared" si="858"/>
        <v>1434347.989614194</v>
      </c>
      <c r="Q423" s="262">
        <f t="shared" si="858"/>
        <v>0</v>
      </c>
      <c r="R423" s="262">
        <f t="shared" si="858"/>
        <v>0</v>
      </c>
      <c r="S423" s="262">
        <f t="shared" si="858"/>
        <v>0</v>
      </c>
      <c r="T423" s="262">
        <f t="shared" si="858"/>
        <v>0</v>
      </c>
      <c r="U423" s="262">
        <f t="shared" si="858"/>
        <v>0</v>
      </c>
      <c r="V423" s="262">
        <f t="shared" si="858"/>
        <v>0</v>
      </c>
      <c r="W423" s="262">
        <f t="shared" si="858"/>
        <v>0</v>
      </c>
      <c r="AB423" s="289">
        <f>IF(L423=0,0,(L423-$F423*G$58)/курс)</f>
        <v>0</v>
      </c>
      <c r="AC423" s="289">
        <f t="shared" ref="AC423:AM423" si="859">IF(M423=0,0,(M423-$F423*H$56)/курс)</f>
        <v>8785.2777003001211</v>
      </c>
      <c r="AD423" s="289">
        <f t="shared" si="859"/>
        <v>6097.1785458009963</v>
      </c>
      <c r="AE423" s="289">
        <f t="shared" si="859"/>
        <v>11808.647499896817</v>
      </c>
      <c r="AF423" s="289">
        <f t="shared" si="859"/>
        <v>6389.1310367532178</v>
      </c>
      <c r="AG423" s="289">
        <f t="shared" si="859"/>
        <v>0</v>
      </c>
      <c r="AH423" s="289">
        <f t="shared" si="859"/>
        <v>0</v>
      </c>
      <c r="AI423" s="289">
        <f t="shared" si="859"/>
        <v>0</v>
      </c>
      <c r="AJ423" s="289">
        <f t="shared" si="859"/>
        <v>0</v>
      </c>
      <c r="AK423" s="289">
        <f t="shared" si="859"/>
        <v>0</v>
      </c>
      <c r="AL423" s="289">
        <f t="shared" si="859"/>
        <v>0</v>
      </c>
      <c r="AM423" s="289">
        <f t="shared" si="859"/>
        <v>0</v>
      </c>
    </row>
    <row r="424" spans="1:39" ht="15.75" customHeight="1" outlineLevel="3">
      <c r="A424" s="15"/>
      <c r="B424" s="690"/>
      <c r="C424" s="948"/>
      <c r="D424" s="948"/>
      <c r="E424" s="24" t="s">
        <v>913</v>
      </c>
      <c r="F424" s="98">
        <f>511.468549764878*1.01</f>
        <v>516.58323526252673</v>
      </c>
      <c r="G424" s="273">
        <v>0</v>
      </c>
      <c r="H424" s="830"/>
      <c r="I424" s="285"/>
      <c r="J424"/>
      <c r="K424" s="250"/>
      <c r="L424" s="493">
        <f>($F$424+G424*курс)*G58*(IF(G57=3,1,0)+IF(G57="3+тех.эт.",1,0))</f>
        <v>22235292.195404939</v>
      </c>
    </row>
    <row r="425" spans="1:39" ht="15.75" customHeight="1" outlineLevel="3">
      <c r="A425" s="15"/>
      <c r="B425" s="690"/>
      <c r="C425" s="877" t="s">
        <v>904</v>
      </c>
      <c r="D425" s="877"/>
      <c r="E425" s="877"/>
      <c r="F425" s="108">
        <f>776.072883622184*1.01</f>
        <v>783.83361245840581</v>
      </c>
      <c r="G425" s="514">
        <v>0</v>
      </c>
      <c r="H425" s="502" t="s">
        <v>908</v>
      </c>
      <c r="I425" s="285"/>
      <c r="J425"/>
      <c r="K425" s="250"/>
      <c r="L425" s="262">
        <f>($F425+$G425*курс)*G$58</f>
        <v>33738550.181047164</v>
      </c>
      <c r="M425" s="262">
        <f t="shared" ref="M425:W425" si="860">($F425+$G425*курс)*H$56</f>
        <v>1160465.6632446698</v>
      </c>
      <c r="N425" s="262">
        <f t="shared" si="860"/>
        <v>805389.036801012</v>
      </c>
      <c r="O425" s="262">
        <f t="shared" si="860"/>
        <v>1559828.8887922275</v>
      </c>
      <c r="P425" s="262">
        <f t="shared" si="860"/>
        <v>843953.65053396556</v>
      </c>
      <c r="Q425" s="262">
        <f t="shared" si="860"/>
        <v>0</v>
      </c>
      <c r="R425" s="262">
        <f t="shared" si="860"/>
        <v>0</v>
      </c>
      <c r="S425" s="262">
        <f t="shared" si="860"/>
        <v>0</v>
      </c>
      <c r="T425" s="262">
        <f t="shared" si="860"/>
        <v>0</v>
      </c>
      <c r="U425" s="262">
        <f t="shared" si="860"/>
        <v>0</v>
      </c>
      <c r="V425" s="262">
        <f t="shared" si="860"/>
        <v>0</v>
      </c>
      <c r="W425" s="262">
        <f t="shared" si="860"/>
        <v>0</v>
      </c>
    </row>
    <row r="426" spans="1:39" ht="33.75" customHeight="1" outlineLevel="3">
      <c r="A426" s="15"/>
      <c r="B426" s="690"/>
      <c r="C426" s="878" t="s">
        <v>905</v>
      </c>
      <c r="D426" s="878"/>
      <c r="E426" s="878"/>
      <c r="F426" s="92">
        <f>228983.04*1.01</f>
        <v>231272.87040000001</v>
      </c>
      <c r="G426" s="272">
        <v>0</v>
      </c>
      <c r="H426" s="517" t="s">
        <v>909</v>
      </c>
      <c r="I426" s="285"/>
      <c r="J426"/>
      <c r="K426" s="250"/>
      <c r="L426" s="250"/>
      <c r="M426" s="214">
        <f t="shared" ref="M426:W426" si="861">($F426+$G426*курс)*H$75</f>
        <v>0</v>
      </c>
      <c r="N426" s="214">
        <f t="shared" si="861"/>
        <v>0</v>
      </c>
      <c r="O426" s="214">
        <f t="shared" si="861"/>
        <v>0</v>
      </c>
      <c r="P426" s="214">
        <f t="shared" si="861"/>
        <v>0</v>
      </c>
      <c r="Q426" s="214">
        <f t="shared" si="861"/>
        <v>0</v>
      </c>
      <c r="R426" s="214">
        <f t="shared" si="861"/>
        <v>0</v>
      </c>
      <c r="S426" s="214">
        <f t="shared" si="861"/>
        <v>0</v>
      </c>
      <c r="T426" s="214">
        <f t="shared" si="861"/>
        <v>0</v>
      </c>
      <c r="U426" s="214">
        <f t="shared" si="861"/>
        <v>0</v>
      </c>
      <c r="V426" s="214">
        <f t="shared" si="861"/>
        <v>0</v>
      </c>
      <c r="W426" s="214">
        <f t="shared" si="861"/>
        <v>0</v>
      </c>
    </row>
    <row r="427" spans="1:39" ht="33.75" customHeight="1" outlineLevel="3">
      <c r="A427" s="15"/>
      <c r="B427" s="690"/>
      <c r="C427" s="878" t="s">
        <v>906</v>
      </c>
      <c r="D427" s="878"/>
      <c r="E427" s="878"/>
      <c r="F427" s="92">
        <f>96143.3328358209*1.01</f>
        <v>97104.766164179106</v>
      </c>
      <c r="G427" s="272">
        <v>0</v>
      </c>
      <c r="H427" s="517" t="s">
        <v>910</v>
      </c>
      <c r="I427" s="285"/>
      <c r="J427"/>
      <c r="K427" s="250"/>
      <c r="L427" s="250"/>
      <c r="M427" s="214">
        <f t="shared" ref="M427:W427" si="862">($F427+$G427*курс)*H$74</f>
        <v>0</v>
      </c>
      <c r="N427" s="214">
        <f t="shared" si="862"/>
        <v>0</v>
      </c>
      <c r="O427" s="214">
        <f t="shared" si="862"/>
        <v>0</v>
      </c>
      <c r="P427" s="214">
        <f t="shared" si="862"/>
        <v>0</v>
      </c>
      <c r="Q427" s="214">
        <f t="shared" si="862"/>
        <v>0</v>
      </c>
      <c r="R427" s="214">
        <f t="shared" si="862"/>
        <v>0</v>
      </c>
      <c r="S427" s="214">
        <f t="shared" si="862"/>
        <v>0</v>
      </c>
      <c r="T427" s="214">
        <f t="shared" si="862"/>
        <v>0</v>
      </c>
      <c r="U427" s="214">
        <f t="shared" si="862"/>
        <v>0</v>
      </c>
      <c r="V427" s="214">
        <f t="shared" si="862"/>
        <v>0</v>
      </c>
      <c r="W427" s="214">
        <f t="shared" si="862"/>
        <v>0</v>
      </c>
    </row>
    <row r="428" spans="1:39" ht="15.75" customHeight="1" outlineLevel="3">
      <c r="A428" s="15"/>
      <c r="B428" s="690"/>
      <c r="C428" s="977" t="s">
        <v>907</v>
      </c>
      <c r="D428" s="977"/>
      <c r="E428" s="977"/>
      <c r="F428" s="158">
        <f>384564.865536723*1.01</f>
        <v>388410.51419209025</v>
      </c>
      <c r="G428" s="510">
        <v>0</v>
      </c>
      <c r="H428" s="518" t="s">
        <v>836</v>
      </c>
      <c r="I428" s="285"/>
      <c r="J428"/>
      <c r="K428" s="250"/>
      <c r="L428" s="250"/>
      <c r="M428" s="214">
        <f t="shared" ref="M428:W428" si="863">($F428+$G428*курс)*H$73</f>
        <v>19808936.223796602</v>
      </c>
      <c r="N428" s="214">
        <f t="shared" si="863"/>
        <v>12429136.454146888</v>
      </c>
      <c r="O428" s="214">
        <f t="shared" si="863"/>
        <v>19808936.223796602</v>
      </c>
      <c r="P428" s="214">
        <f t="shared" si="863"/>
        <v>0</v>
      </c>
      <c r="Q428" s="214">
        <f t="shared" si="863"/>
        <v>0</v>
      </c>
      <c r="R428" s="214">
        <f t="shared" si="863"/>
        <v>0</v>
      </c>
      <c r="S428" s="214">
        <f t="shared" si="863"/>
        <v>0</v>
      </c>
      <c r="T428" s="214">
        <f t="shared" si="863"/>
        <v>0</v>
      </c>
      <c r="U428" s="214">
        <f t="shared" si="863"/>
        <v>0</v>
      </c>
      <c r="V428" s="214">
        <f t="shared" si="863"/>
        <v>0</v>
      </c>
      <c r="W428" s="214">
        <f t="shared" si="863"/>
        <v>0</v>
      </c>
    </row>
    <row r="429" spans="1:39" ht="42" customHeight="1" outlineLevel="3">
      <c r="A429" s="15"/>
      <c r="B429" s="690"/>
      <c r="C429" s="494" t="s">
        <v>901</v>
      </c>
      <c r="D429" s="875" t="s">
        <v>902</v>
      </c>
      <c r="E429" s="875"/>
      <c r="F429" s="94">
        <f>434.746430024724*1.01</f>
        <v>439.09389432497125</v>
      </c>
      <c r="G429" s="271">
        <v>0</v>
      </c>
      <c r="H429" s="519" t="s">
        <v>429</v>
      </c>
      <c r="I429" s="285"/>
      <c r="J429"/>
      <c r="K429" s="250"/>
      <c r="L429" s="250"/>
      <c r="M429" s="262">
        <f t="shared" ref="M429:W429" si="864">($F429+$G429*курс)*H$69</f>
        <v>17679823.562100049</v>
      </c>
      <c r="N429" s="262">
        <f t="shared" si="864"/>
        <v>12433318.629452029</v>
      </c>
      <c r="O429" s="262">
        <f t="shared" si="864"/>
        <v>17820597.064620633</v>
      </c>
      <c r="P429" s="262">
        <f t="shared" si="864"/>
        <v>1418317.1880590897</v>
      </c>
      <c r="Q429" s="262">
        <f t="shared" si="864"/>
        <v>0</v>
      </c>
      <c r="R429" s="262">
        <f t="shared" si="864"/>
        <v>0</v>
      </c>
      <c r="S429" s="262">
        <f t="shared" si="864"/>
        <v>0</v>
      </c>
      <c r="T429" s="262">
        <f t="shared" si="864"/>
        <v>0</v>
      </c>
      <c r="U429" s="262">
        <f t="shared" si="864"/>
        <v>0</v>
      </c>
      <c r="V429" s="262">
        <f t="shared" si="864"/>
        <v>0</v>
      </c>
      <c r="W429" s="262">
        <f t="shared" si="864"/>
        <v>0</v>
      </c>
    </row>
    <row r="430" spans="1:39" ht="42" customHeight="1" outlineLevel="3">
      <c r="A430" s="15"/>
      <c r="B430" s="691"/>
      <c r="C430" s="495" t="s">
        <v>903</v>
      </c>
      <c r="D430" s="876"/>
      <c r="E430" s="876"/>
      <c r="F430" s="98">
        <f>250.023413119531*1.01</f>
        <v>252.5236472507263</v>
      </c>
      <c r="G430" s="273">
        <v>0</v>
      </c>
      <c r="H430" s="500" t="s">
        <v>908</v>
      </c>
      <c r="I430" s="285"/>
      <c r="J430"/>
      <c r="K430" s="250"/>
      <c r="L430" s="262">
        <f>($F430+$G430*курс)*G$58</f>
        <v>10869375.348613013</v>
      </c>
      <c r="M430" s="262">
        <f t="shared" ref="M430:W430" si="865">($F430+$G430*курс)*H$56</f>
        <v>373861.2597547003</v>
      </c>
      <c r="N430" s="262">
        <f t="shared" si="865"/>
        <v>259468.04755012126</v>
      </c>
      <c r="O430" s="262">
        <f t="shared" si="865"/>
        <v>502522.05802894535</v>
      </c>
      <c r="P430" s="262">
        <f t="shared" si="865"/>
        <v>271892.21099485701</v>
      </c>
      <c r="Q430" s="262">
        <f t="shared" si="865"/>
        <v>0</v>
      </c>
      <c r="R430" s="262">
        <f t="shared" si="865"/>
        <v>0</v>
      </c>
      <c r="S430" s="262">
        <f t="shared" si="865"/>
        <v>0</v>
      </c>
      <c r="T430" s="262">
        <f t="shared" si="865"/>
        <v>0</v>
      </c>
      <c r="U430" s="262">
        <f t="shared" si="865"/>
        <v>0</v>
      </c>
      <c r="V430" s="262">
        <f t="shared" si="865"/>
        <v>0</v>
      </c>
      <c r="W430" s="262">
        <f t="shared" si="865"/>
        <v>0</v>
      </c>
    </row>
    <row r="431" spans="1:39" ht="15.75" customHeight="1" outlineLevel="1">
      <c r="A431" s="15"/>
      <c r="B431" s="718" t="s">
        <v>489</v>
      </c>
      <c r="C431" s="511"/>
      <c r="D431" s="281"/>
      <c r="E431" s="281"/>
      <c r="F431" s="281"/>
      <c r="G431" s="281"/>
      <c r="H431" s="281"/>
      <c r="I431" s="281"/>
      <c r="J431" s="281"/>
      <c r="K431" s="281"/>
      <c r="L431" s="281"/>
      <c r="M431" s="281"/>
      <c r="N431" s="281"/>
      <c r="O431" s="281"/>
      <c r="P431" s="281"/>
      <c r="Q431" s="281"/>
      <c r="R431" s="281"/>
      <c r="S431" s="281"/>
      <c r="T431" s="281"/>
      <c r="U431" s="281"/>
      <c r="V431" s="281"/>
      <c r="W431" s="281"/>
      <c r="AB431" t="s">
        <v>420</v>
      </c>
    </row>
    <row r="432" spans="1:39" ht="15.75" customHeight="1" outlineLevel="2">
      <c r="A432" s="15"/>
      <c r="B432" s="718"/>
      <c r="C432" s="736" t="s">
        <v>483</v>
      </c>
      <c r="D432" s="737"/>
      <c r="E432" s="283" t="s">
        <v>361</v>
      </c>
      <c r="F432" s="236"/>
      <c r="G432" s="159">
        <f>250835.140901992*1.01</f>
        <v>253343.49231101194</v>
      </c>
      <c r="H432" s="291" t="s">
        <v>498</v>
      </c>
      <c r="I432" s="131"/>
      <c r="J432" s="135"/>
      <c r="L432" s="7"/>
      <c r="M432" s="192">
        <f t="shared" ref="M432:W432" si="866">$G$432*H129*курс</f>
        <v>66420355.430988781</v>
      </c>
      <c r="N432" s="192">
        <f t="shared" si="866"/>
        <v>66420355.430988781</v>
      </c>
      <c r="O432" s="192">
        <f t="shared" si="866"/>
        <v>66420355.430988781</v>
      </c>
      <c r="P432" s="192">
        <f t="shared" si="866"/>
        <v>0</v>
      </c>
      <c r="Q432" s="192">
        <f t="shared" si="866"/>
        <v>0</v>
      </c>
      <c r="R432" s="192">
        <f t="shared" si="866"/>
        <v>0</v>
      </c>
      <c r="S432" s="192">
        <f t="shared" si="866"/>
        <v>0</v>
      </c>
      <c r="T432" s="192">
        <f t="shared" si="866"/>
        <v>0</v>
      </c>
      <c r="U432" s="192">
        <f t="shared" si="866"/>
        <v>0</v>
      </c>
      <c r="V432" s="192">
        <f t="shared" si="866"/>
        <v>0</v>
      </c>
      <c r="W432" s="192">
        <f t="shared" si="866"/>
        <v>0</v>
      </c>
      <c r="AA432" s="135"/>
      <c r="AB432" s="7"/>
      <c r="AC432" s="190">
        <f t="shared" ref="AC432:AL432" si="867">IF(M432=0,0,(M432-$F432*H$129)/курс)</f>
        <v>760030.47693303577</v>
      </c>
      <c r="AD432" s="190">
        <f t="shared" si="867"/>
        <v>760030.47693303577</v>
      </c>
      <c r="AE432" s="190">
        <f t="shared" si="867"/>
        <v>760030.47693303577</v>
      </c>
      <c r="AF432" s="190">
        <f t="shared" si="867"/>
        <v>0</v>
      </c>
      <c r="AG432" s="190">
        <f t="shared" si="867"/>
        <v>0</v>
      </c>
      <c r="AH432" s="190">
        <f t="shared" si="867"/>
        <v>0</v>
      </c>
      <c r="AI432" s="190">
        <f t="shared" si="867"/>
        <v>0</v>
      </c>
      <c r="AJ432" s="190">
        <f t="shared" si="867"/>
        <v>0</v>
      </c>
      <c r="AK432" s="190">
        <f t="shared" si="867"/>
        <v>0</v>
      </c>
      <c r="AL432" s="190">
        <f t="shared" si="867"/>
        <v>0</v>
      </c>
      <c r="AM432" s="190">
        <f>IF(W432=0,0,(W432-$F432*R$129)/курс)</f>
        <v>0</v>
      </c>
    </row>
    <row r="433" spans="1:39" ht="30" customHeight="1" outlineLevel="2">
      <c r="A433" s="15"/>
      <c r="B433" s="718"/>
      <c r="C433" s="699" t="s">
        <v>276</v>
      </c>
      <c r="D433" s="23" t="s">
        <v>843</v>
      </c>
      <c r="E433" s="708" t="s">
        <v>29</v>
      </c>
      <c r="F433" s="94">
        <f>360887.199119237*1.01</f>
        <v>364496.07111042942</v>
      </c>
      <c r="G433" s="240"/>
      <c r="H433" s="695" t="s">
        <v>487</v>
      </c>
      <c r="I433" s="692"/>
      <c r="J433" s="135"/>
      <c r="L433" s="190">
        <f>($G433*курс+$F433)*G$128*G$127*(IF(F$122="Комфорт",1,0)+IF(F$122="Бизнес",1,0))*IF(G$127&lt;=10,1,0)</f>
        <v>0</v>
      </c>
      <c r="M433" s="190">
        <f t="shared" ref="M433:W433" si="868">($G433*курс+$F433)*H$128*H$127*(IF(H$122="Комфорт",1,0)+IF(H$122="Бизнес",1,0))*IF(H$127&lt;=10,1,0)</f>
        <v>0</v>
      </c>
      <c r="N433" s="438">
        <f t="shared" si="868"/>
        <v>0</v>
      </c>
      <c r="O433" s="438">
        <f t="shared" si="868"/>
        <v>0</v>
      </c>
      <c r="P433" s="438">
        <f t="shared" si="868"/>
        <v>0</v>
      </c>
      <c r="Q433" s="438">
        <f t="shared" si="868"/>
        <v>0</v>
      </c>
      <c r="R433" s="438">
        <f t="shared" si="868"/>
        <v>0</v>
      </c>
      <c r="S433" s="438">
        <f t="shared" si="868"/>
        <v>0</v>
      </c>
      <c r="T433" s="438">
        <f t="shared" si="868"/>
        <v>0</v>
      </c>
      <c r="U433" s="438">
        <f t="shared" si="868"/>
        <v>0</v>
      </c>
      <c r="V433" s="438">
        <f t="shared" si="868"/>
        <v>0</v>
      </c>
      <c r="W433" s="438">
        <f t="shared" si="868"/>
        <v>0</v>
      </c>
      <c r="AA433" s="135"/>
      <c r="AB433" s="190">
        <f t="shared" ref="AB433:AB439" si="869">IF(L433=0,0,(L433-$F433*G$128)/курс)</f>
        <v>0</v>
      </c>
      <c r="AC433" s="190">
        <f t="shared" ref="AC433:AC450" si="870">IF(M433=0,0,(M433-$F433*H$128)/курс)</f>
        <v>0</v>
      </c>
      <c r="AD433" s="190">
        <f t="shared" ref="AD433:AD450" si="871">IF(N433=0,0,(N433-$F433*I$128)/курс)</f>
        <v>0</v>
      </c>
      <c r="AE433" s="190">
        <f t="shared" ref="AE433:AE450" si="872">IF(O433=0,0,(O433-$F433*J$128)/курс)</f>
        <v>0</v>
      </c>
      <c r="AF433" s="190">
        <f t="shared" ref="AF433:AF450" si="873">IF(P433=0,0,(P433-$F433*K$128)/курс)</f>
        <v>0</v>
      </c>
      <c r="AG433" s="190">
        <f t="shared" ref="AG433:AG450" si="874">IF(Q433=0,0,(Q433-$F433*L$128)/курс)</f>
        <v>0</v>
      </c>
      <c r="AH433" s="190">
        <f t="shared" ref="AH433:AH450" si="875">IF(R433=0,0,(R433-$F433*M$128)/курс)</f>
        <v>0</v>
      </c>
      <c r="AI433" s="190">
        <f t="shared" ref="AI433:AI450" si="876">IF(S433=0,0,(S433-$F433*N$128)/курс)</f>
        <v>0</v>
      </c>
      <c r="AJ433" s="190">
        <f t="shared" ref="AJ433:AJ450" si="877">IF(T433=0,0,(T433-$F433*O$128)/курс)</f>
        <v>0</v>
      </c>
      <c r="AK433" s="190">
        <f t="shared" ref="AK433:AK450" si="878">IF(U433=0,0,(U433-$F433*P$128)/курс)</f>
        <v>0</v>
      </c>
      <c r="AL433" s="190">
        <f t="shared" ref="AL433:AL450" si="879">IF(V433=0,0,(V433-$F433*Q$128)/курс)</f>
        <v>0</v>
      </c>
      <c r="AM433" s="190">
        <f t="shared" ref="AM433:AM450" si="880">IF(W433=0,0,(W433-$F433*R$128)/курс)</f>
        <v>0</v>
      </c>
    </row>
    <row r="434" spans="1:39" ht="30" customHeight="1" outlineLevel="2">
      <c r="A434" s="15"/>
      <c r="B434" s="718"/>
      <c r="C434" s="738"/>
      <c r="D434" s="105" t="s">
        <v>844</v>
      </c>
      <c r="E434" s="709"/>
      <c r="F434" s="108">
        <f>219348.580172673*1.01</f>
        <v>221542.06597439974</v>
      </c>
      <c r="G434" s="237"/>
      <c r="H434" s="696"/>
      <c r="I434" s="693"/>
      <c r="J434" s="135"/>
      <c r="K434" s="250"/>
      <c r="L434" s="289">
        <f>($G434*курс+$F434)*G$128*G$127*(IF(F$122="Комфорт",1,0)+IF(F$122="Бизнес",1,0))*IF(AND(G$127&gt;10,G$127&lt;=15),1,0)</f>
        <v>0</v>
      </c>
      <c r="M434" s="289">
        <f t="shared" ref="M434:W434" si="881">($G434*курс+$F434)*H$128*H$127*(IF(H$122="Комфорт",1,0)+IF(H$122="Бизнес",1,0))*IF(AND(H$127&gt;10,H$127&lt;=15),1,0)</f>
        <v>0</v>
      </c>
      <c r="N434" s="289">
        <f t="shared" si="881"/>
        <v>0</v>
      </c>
      <c r="O434" s="289">
        <f t="shared" si="881"/>
        <v>0</v>
      </c>
      <c r="P434" s="289">
        <f t="shared" si="881"/>
        <v>0</v>
      </c>
      <c r="Q434" s="289">
        <f t="shared" si="881"/>
        <v>0</v>
      </c>
      <c r="R434" s="289">
        <f t="shared" si="881"/>
        <v>0</v>
      </c>
      <c r="S434" s="289">
        <f t="shared" si="881"/>
        <v>0</v>
      </c>
      <c r="T434" s="289">
        <f t="shared" si="881"/>
        <v>0</v>
      </c>
      <c r="U434" s="289">
        <f t="shared" si="881"/>
        <v>0</v>
      </c>
      <c r="V434" s="289">
        <f t="shared" si="881"/>
        <v>0</v>
      </c>
      <c r="W434" s="289">
        <f t="shared" si="881"/>
        <v>0</v>
      </c>
      <c r="AA434" s="135"/>
      <c r="AB434" s="289">
        <f t="shared" si="869"/>
        <v>0</v>
      </c>
      <c r="AC434" s="289">
        <f t="shared" ref="AC434" si="882">IF(M434=0,0,(M434-$F434*H$128)/курс)</f>
        <v>0</v>
      </c>
      <c r="AD434" s="289">
        <f t="shared" ref="AD434" si="883">IF(N434=0,0,(N434-$F434*I$128)/курс)</f>
        <v>0</v>
      </c>
      <c r="AE434" s="289">
        <f t="shared" ref="AE434" si="884">IF(O434=0,0,(O434-$F434*J$128)/курс)</f>
        <v>0</v>
      </c>
      <c r="AF434" s="289">
        <f t="shared" ref="AF434" si="885">IF(P434=0,0,(P434-$F434*K$128)/курс)</f>
        <v>0</v>
      </c>
      <c r="AG434" s="289">
        <f t="shared" ref="AG434" si="886">IF(Q434=0,0,(Q434-$F434*L$128)/курс)</f>
        <v>0</v>
      </c>
      <c r="AH434" s="289">
        <f t="shared" ref="AH434" si="887">IF(R434=0,0,(R434-$F434*M$128)/курс)</f>
        <v>0</v>
      </c>
      <c r="AI434" s="289">
        <f t="shared" ref="AI434" si="888">IF(S434=0,0,(S434-$F434*N$128)/курс)</f>
        <v>0</v>
      </c>
      <c r="AJ434" s="289">
        <f t="shared" ref="AJ434" si="889">IF(T434=0,0,(T434-$F434*O$128)/курс)</f>
        <v>0</v>
      </c>
      <c r="AK434" s="289">
        <f t="shared" ref="AK434" si="890">IF(U434=0,0,(U434-$F434*P$128)/курс)</f>
        <v>0</v>
      </c>
      <c r="AL434" s="289">
        <f t="shared" ref="AL434" si="891">IF(V434=0,0,(V434-$F434*Q$128)/курс)</f>
        <v>0</v>
      </c>
      <c r="AM434" s="289">
        <f t="shared" ref="AM434" si="892">IF(W434=0,0,(W434-$F434*R$128)/курс)</f>
        <v>0</v>
      </c>
    </row>
    <row r="435" spans="1:39" outlineLevel="2">
      <c r="A435" s="15"/>
      <c r="B435" s="718"/>
      <c r="C435" s="738"/>
      <c r="D435" s="105" t="s">
        <v>484</v>
      </c>
      <c r="E435" s="709"/>
      <c r="F435" s="92">
        <f>107722.842260502*1.01</f>
        <v>108800.07068310703</v>
      </c>
      <c r="G435" s="238"/>
      <c r="H435" s="696"/>
      <c r="I435" s="693"/>
      <c r="J435" s="135"/>
      <c r="L435" s="289">
        <f>($G435*курс+$F435)*G$128*G$127*(IF(F$122="Комфорт",1,0)+IF(F$122="Бизнес",1,0))*IF(AND(G$127&gt;15,G$127&lt;=30),1,0)</f>
        <v>0</v>
      </c>
      <c r="M435" s="289">
        <f t="shared" ref="M435:W435" si="893">($G435*курс+$F435)*H$128*H$127*(IF(H$122="Комфорт",1,0)+IF(H$122="Бизнес",1,0))*IF(AND(H$127&gt;15,H$127&lt;=30),1,0)</f>
        <v>0</v>
      </c>
      <c r="N435" s="289">
        <f t="shared" si="893"/>
        <v>0</v>
      </c>
      <c r="O435" s="289">
        <f t="shared" si="893"/>
        <v>0</v>
      </c>
      <c r="P435" s="289">
        <f t="shared" si="893"/>
        <v>0</v>
      </c>
      <c r="Q435" s="289">
        <f t="shared" si="893"/>
        <v>0</v>
      </c>
      <c r="R435" s="289">
        <f t="shared" si="893"/>
        <v>0</v>
      </c>
      <c r="S435" s="289">
        <f t="shared" si="893"/>
        <v>0</v>
      </c>
      <c r="T435" s="289">
        <f t="shared" si="893"/>
        <v>0</v>
      </c>
      <c r="U435" s="289">
        <f t="shared" si="893"/>
        <v>0</v>
      </c>
      <c r="V435" s="289">
        <f t="shared" si="893"/>
        <v>0</v>
      </c>
      <c r="W435" s="289">
        <f t="shared" si="893"/>
        <v>0</v>
      </c>
      <c r="AA435" s="135"/>
      <c r="AB435" s="289">
        <f t="shared" si="869"/>
        <v>0</v>
      </c>
      <c r="AC435" s="289">
        <f t="shared" si="870"/>
        <v>0</v>
      </c>
      <c r="AD435" s="289">
        <f t="shared" si="871"/>
        <v>0</v>
      </c>
      <c r="AE435" s="289">
        <f t="shared" si="872"/>
        <v>0</v>
      </c>
      <c r="AF435" s="289">
        <f t="shared" si="873"/>
        <v>0</v>
      </c>
      <c r="AG435" s="289">
        <f t="shared" si="874"/>
        <v>0</v>
      </c>
      <c r="AH435" s="289">
        <f t="shared" si="875"/>
        <v>0</v>
      </c>
      <c r="AI435" s="289">
        <f t="shared" si="876"/>
        <v>0</v>
      </c>
      <c r="AJ435" s="289">
        <f t="shared" si="877"/>
        <v>0</v>
      </c>
      <c r="AK435" s="289">
        <f t="shared" si="878"/>
        <v>0</v>
      </c>
      <c r="AL435" s="289">
        <f t="shared" si="879"/>
        <v>0</v>
      </c>
      <c r="AM435" s="289">
        <f t="shared" si="880"/>
        <v>0</v>
      </c>
    </row>
    <row r="436" spans="1:39" outlineLevel="2">
      <c r="A436" s="15"/>
      <c r="B436" s="718"/>
      <c r="C436" s="738"/>
      <c r="D436" s="105" t="s">
        <v>485</v>
      </c>
      <c r="E436" s="709"/>
      <c r="F436" s="92">
        <f>86262.2127482583*1.01</f>
        <v>87124.834875740882</v>
      </c>
      <c r="G436" s="238"/>
      <c r="H436" s="696"/>
      <c r="I436" s="693"/>
      <c r="J436" s="135"/>
      <c r="L436" s="289">
        <f>($G436*курс+$F436)*G$128*G$127*(IF(F$122="Комфорт",1,0)+IF(F$122="Бизнес",1,0))*IF(AND(G$127&gt;30,G$127&lt;=50),1,0)</f>
        <v>0</v>
      </c>
      <c r="M436" s="289">
        <f t="shared" ref="M436:W436" si="894">($G436*курс+$F436)*H$128*H$127*(IF(H$122="Комфорт",1,0)+IF(H$122="Бизнес",1,0))*IF(AND(H$127&gt;30,H$127&lt;=50),1,0)</f>
        <v>0</v>
      </c>
      <c r="N436" s="289">
        <f t="shared" si="894"/>
        <v>0</v>
      </c>
      <c r="O436" s="289">
        <f t="shared" si="894"/>
        <v>0</v>
      </c>
      <c r="P436" s="289">
        <f t="shared" si="894"/>
        <v>0</v>
      </c>
      <c r="Q436" s="289">
        <f t="shared" si="894"/>
        <v>0</v>
      </c>
      <c r="R436" s="289">
        <f t="shared" si="894"/>
        <v>0</v>
      </c>
      <c r="S436" s="289">
        <f t="shared" si="894"/>
        <v>0</v>
      </c>
      <c r="T436" s="289">
        <f t="shared" si="894"/>
        <v>0</v>
      </c>
      <c r="U436" s="289">
        <f t="shared" si="894"/>
        <v>0</v>
      </c>
      <c r="V436" s="289">
        <f t="shared" si="894"/>
        <v>0</v>
      </c>
      <c r="W436" s="289">
        <f t="shared" si="894"/>
        <v>0</v>
      </c>
      <c r="AA436" s="135"/>
      <c r="AB436" s="289">
        <f t="shared" si="869"/>
        <v>0</v>
      </c>
      <c r="AC436" s="289">
        <f t="shared" si="870"/>
        <v>0</v>
      </c>
      <c r="AD436" s="289">
        <f t="shared" si="871"/>
        <v>0</v>
      </c>
      <c r="AE436" s="289">
        <f t="shared" si="872"/>
        <v>0</v>
      </c>
      <c r="AF436" s="289">
        <f t="shared" si="873"/>
        <v>0</v>
      </c>
      <c r="AG436" s="289">
        <f t="shared" si="874"/>
        <v>0</v>
      </c>
      <c r="AH436" s="289">
        <f t="shared" si="875"/>
        <v>0</v>
      </c>
      <c r="AI436" s="289">
        <f t="shared" si="876"/>
        <v>0</v>
      </c>
      <c r="AJ436" s="289">
        <f t="shared" si="877"/>
        <v>0</v>
      </c>
      <c r="AK436" s="289">
        <f t="shared" si="878"/>
        <v>0</v>
      </c>
      <c r="AL436" s="289">
        <f t="shared" si="879"/>
        <v>0</v>
      </c>
      <c r="AM436" s="289">
        <f t="shared" si="880"/>
        <v>0</v>
      </c>
    </row>
    <row r="437" spans="1:39" outlineLevel="2">
      <c r="A437" s="15"/>
      <c r="B437" s="718"/>
      <c r="C437" s="738"/>
      <c r="D437" s="105" t="s">
        <v>486</v>
      </c>
      <c r="E437" s="709"/>
      <c r="F437" s="92">
        <f>68596.4927413687*1.01</f>
        <v>69282.457668782386</v>
      </c>
      <c r="G437" s="238"/>
      <c r="H437" s="696"/>
      <c r="I437" s="693"/>
      <c r="J437" s="135"/>
      <c r="L437" s="289">
        <f>($G437*курс+$F437)*G$128*G$127*(IF(F$122="Комфорт",1,0)+IF(F$122="Бизнес",1,0))*IF(AND(G$127&gt;50,G$127&lt;=75),1,0)</f>
        <v>0</v>
      </c>
      <c r="M437" s="289">
        <f t="shared" ref="M437:W437" si="895">($G437*курс+$F437)*H$128*H$127*(IF(H$122="Комфорт",1,0)+IF(H$122="Бизнес",1,0))*IF(AND(H$127&gt;50,H$127&lt;=75),1,0)</f>
        <v>0</v>
      </c>
      <c r="N437" s="289">
        <f t="shared" si="895"/>
        <v>0</v>
      </c>
      <c r="O437" s="289">
        <f t="shared" si="895"/>
        <v>0</v>
      </c>
      <c r="P437" s="289">
        <f t="shared" si="895"/>
        <v>0</v>
      </c>
      <c r="Q437" s="289">
        <f t="shared" si="895"/>
        <v>0</v>
      </c>
      <c r="R437" s="289">
        <f t="shared" si="895"/>
        <v>0</v>
      </c>
      <c r="S437" s="289">
        <f t="shared" si="895"/>
        <v>0</v>
      </c>
      <c r="T437" s="289">
        <f t="shared" si="895"/>
        <v>0</v>
      </c>
      <c r="U437" s="289">
        <f t="shared" si="895"/>
        <v>0</v>
      </c>
      <c r="V437" s="289">
        <f t="shared" si="895"/>
        <v>0</v>
      </c>
      <c r="W437" s="289">
        <f t="shared" si="895"/>
        <v>0</v>
      </c>
      <c r="AA437" s="135"/>
      <c r="AB437" s="289">
        <f t="shared" si="869"/>
        <v>0</v>
      </c>
      <c r="AC437" s="289">
        <f t="shared" si="870"/>
        <v>0</v>
      </c>
      <c r="AD437" s="289">
        <f t="shared" si="871"/>
        <v>0</v>
      </c>
      <c r="AE437" s="289">
        <f t="shared" si="872"/>
        <v>0</v>
      </c>
      <c r="AF437" s="289">
        <f t="shared" si="873"/>
        <v>0</v>
      </c>
      <c r="AG437" s="289">
        <f t="shared" si="874"/>
        <v>0</v>
      </c>
      <c r="AH437" s="289">
        <f t="shared" si="875"/>
        <v>0</v>
      </c>
      <c r="AI437" s="289">
        <f t="shared" si="876"/>
        <v>0</v>
      </c>
      <c r="AJ437" s="289">
        <f t="shared" si="877"/>
        <v>0</v>
      </c>
      <c r="AK437" s="289">
        <f t="shared" si="878"/>
        <v>0</v>
      </c>
      <c r="AL437" s="289">
        <f t="shared" si="879"/>
        <v>0</v>
      </c>
      <c r="AM437" s="289">
        <f t="shared" si="880"/>
        <v>0</v>
      </c>
    </row>
    <row r="438" spans="1:39" outlineLevel="2">
      <c r="A438" s="15"/>
      <c r="B438" s="718"/>
      <c r="C438" s="700"/>
      <c r="D438" s="25" t="s">
        <v>499</v>
      </c>
      <c r="E438" s="710"/>
      <c r="F438" s="98">
        <f>77304.3853677875*1.01</f>
        <v>78077.429221465383</v>
      </c>
      <c r="G438" s="244"/>
      <c r="H438" s="696"/>
      <c r="I438" s="694"/>
      <c r="J438" s="135"/>
      <c r="L438" s="290">
        <f>($G438*курс+$F438)*G$128*G$127*(IF(F$122="Комфорт",1,0)+IF(F$122="Бизнес",1,0))*IF(AND(G$127&gt;75,G$127&lt;=140),1,0)</f>
        <v>0</v>
      </c>
      <c r="M438" s="290">
        <f t="shared" ref="M438:W438" si="896">($G438*курс+$F438)*H$128*H$127*(IF(H$122="Комфорт",1,0)+IF(H$122="Бизнес",1,0))*IF(AND(H$127&gt;75,H$127&lt;=140),1,0)</f>
        <v>0</v>
      </c>
      <c r="N438" s="290">
        <f t="shared" si="896"/>
        <v>0</v>
      </c>
      <c r="O438" s="290">
        <f t="shared" si="896"/>
        <v>0</v>
      </c>
      <c r="P438" s="290">
        <f t="shared" si="896"/>
        <v>0</v>
      </c>
      <c r="Q438" s="290">
        <f t="shared" si="896"/>
        <v>0</v>
      </c>
      <c r="R438" s="290">
        <f t="shared" si="896"/>
        <v>0</v>
      </c>
      <c r="S438" s="290">
        <f t="shared" si="896"/>
        <v>0</v>
      </c>
      <c r="T438" s="290">
        <f t="shared" si="896"/>
        <v>0</v>
      </c>
      <c r="U438" s="290">
        <f t="shared" si="896"/>
        <v>0</v>
      </c>
      <c r="V438" s="290">
        <f t="shared" si="896"/>
        <v>0</v>
      </c>
      <c r="W438" s="290">
        <f t="shared" si="896"/>
        <v>0</v>
      </c>
      <c r="AA438" s="135"/>
      <c r="AB438" s="290">
        <f t="shared" si="869"/>
        <v>0</v>
      </c>
      <c r="AC438" s="290">
        <f t="shared" si="870"/>
        <v>0</v>
      </c>
      <c r="AD438" s="290">
        <f t="shared" si="871"/>
        <v>0</v>
      </c>
      <c r="AE438" s="290">
        <f t="shared" si="872"/>
        <v>0</v>
      </c>
      <c r="AF438" s="290">
        <f t="shared" si="873"/>
        <v>0</v>
      </c>
      <c r="AG438" s="290">
        <f t="shared" si="874"/>
        <v>0</v>
      </c>
      <c r="AH438" s="290">
        <f t="shared" si="875"/>
        <v>0</v>
      </c>
      <c r="AI438" s="290">
        <f t="shared" si="876"/>
        <v>0</v>
      </c>
      <c r="AJ438" s="290">
        <f t="shared" si="877"/>
        <v>0</v>
      </c>
      <c r="AK438" s="290">
        <f t="shared" si="878"/>
        <v>0</v>
      </c>
      <c r="AL438" s="290">
        <f t="shared" si="879"/>
        <v>0</v>
      </c>
      <c r="AM438" s="290">
        <f t="shared" si="880"/>
        <v>0</v>
      </c>
    </row>
    <row r="439" spans="1:39" outlineLevel="2">
      <c r="A439" s="15"/>
      <c r="B439" s="718"/>
      <c r="C439" s="724" t="s">
        <v>43</v>
      </c>
      <c r="D439" s="23" t="s">
        <v>843</v>
      </c>
      <c r="E439" s="854" t="s">
        <v>30</v>
      </c>
      <c r="F439" s="94">
        <f>39006.327027027*1.01</f>
        <v>39396.390297297272</v>
      </c>
      <c r="G439" s="94">
        <f>5166.48648648649*1.01</f>
        <v>5218.1513513513555</v>
      </c>
      <c r="H439" s="696"/>
      <c r="I439" s="692"/>
      <c r="J439" s="135"/>
      <c r="K439" s="213"/>
      <c r="L439" s="190">
        <f>($G439*курс+$F439)*G$128*G$127*IF(F$122="Бизнес+",1,0)*IF(G$127&lt;=10,1,0)</f>
        <v>0</v>
      </c>
      <c r="M439" s="190">
        <f t="shared" ref="M439:W439" si="897">($G439*курс+$F439)*H$128*H$127*IF(H$122="Бизнес+",1,0)*IF(H$127&lt;=10,1,0)</f>
        <v>0</v>
      </c>
      <c r="N439" s="438">
        <f t="shared" si="897"/>
        <v>0</v>
      </c>
      <c r="O439" s="438">
        <f t="shared" si="897"/>
        <v>0</v>
      </c>
      <c r="P439" s="438">
        <f t="shared" si="897"/>
        <v>0</v>
      </c>
      <c r="Q439" s="438">
        <f t="shared" si="897"/>
        <v>0</v>
      </c>
      <c r="R439" s="438">
        <f t="shared" si="897"/>
        <v>0</v>
      </c>
      <c r="S439" s="438">
        <f t="shared" si="897"/>
        <v>0</v>
      </c>
      <c r="T439" s="438">
        <f t="shared" si="897"/>
        <v>0</v>
      </c>
      <c r="U439" s="438">
        <f t="shared" si="897"/>
        <v>0</v>
      </c>
      <c r="V439" s="438">
        <f t="shared" si="897"/>
        <v>0</v>
      </c>
      <c r="W439" s="438">
        <f t="shared" si="897"/>
        <v>0</v>
      </c>
      <c r="AA439" s="135"/>
      <c r="AB439" s="190">
        <f t="shared" si="869"/>
        <v>0</v>
      </c>
      <c r="AC439" s="190">
        <f t="shared" si="870"/>
        <v>0</v>
      </c>
      <c r="AD439" s="190">
        <f t="shared" si="871"/>
        <v>0</v>
      </c>
      <c r="AE439" s="190">
        <f t="shared" si="872"/>
        <v>0</v>
      </c>
      <c r="AF439" s="190">
        <f t="shared" si="873"/>
        <v>0</v>
      </c>
      <c r="AG439" s="190">
        <f t="shared" si="874"/>
        <v>0</v>
      </c>
      <c r="AH439" s="190">
        <f t="shared" si="875"/>
        <v>0</v>
      </c>
      <c r="AI439" s="190">
        <f t="shared" si="876"/>
        <v>0</v>
      </c>
      <c r="AJ439" s="190">
        <f t="shared" si="877"/>
        <v>0</v>
      </c>
      <c r="AK439" s="190">
        <f t="shared" si="878"/>
        <v>0</v>
      </c>
      <c r="AL439" s="190">
        <f t="shared" si="879"/>
        <v>0</v>
      </c>
      <c r="AM439" s="190">
        <f t="shared" si="880"/>
        <v>0</v>
      </c>
    </row>
    <row r="440" spans="1:39" outlineLevel="2">
      <c r="A440" s="15"/>
      <c r="B440" s="718"/>
      <c r="C440" s="891"/>
      <c r="D440" s="105" t="s">
        <v>844</v>
      </c>
      <c r="E440" s="874"/>
      <c r="F440" s="108">
        <f>144700.395364489*1.01</f>
        <v>146147.39931813389</v>
      </c>
      <c r="G440" s="108">
        <f>1497.19486944572*1.01</f>
        <v>1512.1668181401774</v>
      </c>
      <c r="H440" s="696"/>
      <c r="I440" s="693"/>
      <c r="J440" s="135"/>
      <c r="K440" s="213"/>
      <c r="L440" s="289">
        <f>($G440*курс+$F440)*G$128*G$127*IF(F$122="Бизнес+",1,0)*IF(AND(G$127&gt;10,G$127&lt;=15),1,0)</f>
        <v>0</v>
      </c>
      <c r="M440" s="289">
        <f t="shared" ref="M440:W440" si="898">($G440*курс+$F440)*H$128*H$127*IF(H$122="Бизнес+",1,0)*IF(AND(H$127&gt;10,H$127&lt;=15),1,0)</f>
        <v>0</v>
      </c>
      <c r="N440" s="289">
        <f t="shared" si="898"/>
        <v>0</v>
      </c>
      <c r="O440" s="289">
        <f t="shared" si="898"/>
        <v>0</v>
      </c>
      <c r="P440" s="289">
        <f t="shared" si="898"/>
        <v>0</v>
      </c>
      <c r="Q440" s="289">
        <f t="shared" si="898"/>
        <v>0</v>
      </c>
      <c r="R440" s="289">
        <f t="shared" si="898"/>
        <v>0</v>
      </c>
      <c r="S440" s="289">
        <f t="shared" si="898"/>
        <v>0</v>
      </c>
      <c r="T440" s="289">
        <f t="shared" si="898"/>
        <v>0</v>
      </c>
      <c r="U440" s="289">
        <f t="shared" si="898"/>
        <v>0</v>
      </c>
      <c r="V440" s="289">
        <f t="shared" si="898"/>
        <v>0</v>
      </c>
      <c r="W440" s="289">
        <f t="shared" si="898"/>
        <v>0</v>
      </c>
      <c r="AA440" s="135"/>
      <c r="AB440" s="289">
        <f t="shared" ref="AB440" si="899">IF(L440=0,0,(L440-$F440*G$128)/курс)</f>
        <v>0</v>
      </c>
      <c r="AC440" s="289">
        <f t="shared" ref="AC440" si="900">IF(M440=0,0,(M440-$F440*H$128)/курс)</f>
        <v>0</v>
      </c>
      <c r="AD440" s="289">
        <f t="shared" ref="AD440" si="901">IF(N440=0,0,(N440-$F440*I$128)/курс)</f>
        <v>0</v>
      </c>
      <c r="AE440" s="289">
        <f t="shared" ref="AE440" si="902">IF(O440=0,0,(O440-$F440*J$128)/курс)</f>
        <v>0</v>
      </c>
      <c r="AF440" s="289">
        <f t="shared" ref="AF440" si="903">IF(P440=0,0,(P440-$F440*K$128)/курс)</f>
        <v>0</v>
      </c>
      <c r="AG440" s="289">
        <f t="shared" ref="AG440" si="904">IF(Q440=0,0,(Q440-$F440*L$128)/курс)</f>
        <v>0</v>
      </c>
      <c r="AH440" s="289">
        <f t="shared" ref="AH440" si="905">IF(R440=0,0,(R440-$F440*M$128)/курс)</f>
        <v>0</v>
      </c>
      <c r="AI440" s="289">
        <f t="shared" ref="AI440" si="906">IF(S440=0,0,(S440-$F440*N$128)/курс)</f>
        <v>0</v>
      </c>
      <c r="AJ440" s="289">
        <f t="shared" ref="AJ440" si="907">IF(T440=0,0,(T440-$F440*O$128)/курс)</f>
        <v>0</v>
      </c>
      <c r="AK440" s="289">
        <f t="shared" ref="AK440" si="908">IF(U440=0,0,(U440-$F440*P$128)/курс)</f>
        <v>0</v>
      </c>
      <c r="AL440" s="289">
        <f t="shared" ref="AL440" si="909">IF(V440=0,0,(V440-$F440*Q$128)/курс)</f>
        <v>0</v>
      </c>
      <c r="AM440" s="289">
        <f t="shared" ref="AM440" si="910">IF(W440=0,0,(W440-$F440*R$128)/курс)</f>
        <v>0</v>
      </c>
    </row>
    <row r="441" spans="1:39" outlineLevel="2">
      <c r="A441" s="15"/>
      <c r="B441" s="718"/>
      <c r="C441" s="891"/>
      <c r="D441" s="105" t="s">
        <v>484</v>
      </c>
      <c r="E441" s="874"/>
      <c r="F441" s="92">
        <f>11802.7065638835*1.01</f>
        <v>11920.733629522334</v>
      </c>
      <c r="G441" s="92">
        <f>1289.29566342727*1.01</f>
        <v>1302.1886200615427</v>
      </c>
      <c r="H441" s="696"/>
      <c r="I441" s="693"/>
      <c r="J441" s="135"/>
      <c r="K441" s="213"/>
      <c r="L441" s="289">
        <f>($G441*курс+$F441)*G$128*G$127*IF(F$122="Бизнес+",1,0)*IF(AND(G$127&gt;15,G$127&lt;=30),1,0)</f>
        <v>0</v>
      </c>
      <c r="M441" s="289">
        <f t="shared" ref="M441:W441" si="911">($G441*курс+$F441)*H$128*H$127*IF(H$122="Бизнес+",1,0)*IF(AND(H$127&gt;15,H$127&lt;=30),1,0)</f>
        <v>0</v>
      </c>
      <c r="N441" s="289">
        <f t="shared" si="911"/>
        <v>0</v>
      </c>
      <c r="O441" s="289">
        <f t="shared" si="911"/>
        <v>0</v>
      </c>
      <c r="P441" s="289">
        <f t="shared" si="911"/>
        <v>0</v>
      </c>
      <c r="Q441" s="289">
        <f t="shared" si="911"/>
        <v>0</v>
      </c>
      <c r="R441" s="289">
        <f t="shared" si="911"/>
        <v>0</v>
      </c>
      <c r="S441" s="289">
        <f t="shared" si="911"/>
        <v>0</v>
      </c>
      <c r="T441" s="289">
        <f t="shared" si="911"/>
        <v>0</v>
      </c>
      <c r="U441" s="289">
        <f t="shared" si="911"/>
        <v>0</v>
      </c>
      <c r="V441" s="289">
        <f t="shared" si="911"/>
        <v>0</v>
      </c>
      <c r="W441" s="289">
        <f t="shared" si="911"/>
        <v>0</v>
      </c>
      <c r="AA441" s="135"/>
      <c r="AB441" s="289">
        <f>IF(L441=0,0,(L441-$F441*G$128)/курс)</f>
        <v>0</v>
      </c>
      <c r="AC441" s="289">
        <f t="shared" si="870"/>
        <v>0</v>
      </c>
      <c r="AD441" s="289">
        <f t="shared" si="871"/>
        <v>0</v>
      </c>
      <c r="AE441" s="289">
        <f t="shared" si="872"/>
        <v>0</v>
      </c>
      <c r="AF441" s="289">
        <f t="shared" si="873"/>
        <v>0</v>
      </c>
      <c r="AG441" s="289">
        <f t="shared" si="874"/>
        <v>0</v>
      </c>
      <c r="AH441" s="289">
        <f t="shared" si="875"/>
        <v>0</v>
      </c>
      <c r="AI441" s="289">
        <f t="shared" si="876"/>
        <v>0</v>
      </c>
      <c r="AJ441" s="289">
        <f t="shared" si="877"/>
        <v>0</v>
      </c>
      <c r="AK441" s="289">
        <f t="shared" si="878"/>
        <v>0</v>
      </c>
      <c r="AL441" s="289">
        <f t="shared" si="879"/>
        <v>0</v>
      </c>
      <c r="AM441" s="289">
        <f t="shared" si="880"/>
        <v>0</v>
      </c>
    </row>
    <row r="442" spans="1:39" outlineLevel="2">
      <c r="A442" s="15"/>
      <c r="B442" s="718"/>
      <c r="C442" s="891"/>
      <c r="D442" s="105" t="s">
        <v>485</v>
      </c>
      <c r="E442" s="874"/>
      <c r="F442" s="92">
        <f>9385.61914126516*1.01</f>
        <v>9479.4753326778118</v>
      </c>
      <c r="G442" s="92">
        <f>1025.25958702065*1.01</f>
        <v>1035.5121828908566</v>
      </c>
      <c r="H442" s="696"/>
      <c r="I442" s="693"/>
      <c r="J442" s="135"/>
      <c r="K442" s="213"/>
      <c r="L442" s="289">
        <f>($G442*курс+$F442)*G$128*G$127*IF(F$122="Бизнес+",1,0)*IF(AND(G$127&gt;30,G$127&lt;=50),1,0)</f>
        <v>0</v>
      </c>
      <c r="M442" s="289">
        <f t="shared" ref="M442:W442" si="912">($G442*курс+$F442)*H$128*H$127*IF(H$122="Бизнес+",1,0)*IF(AND(H$127&gt;30,H$127&lt;=50),1,0)</f>
        <v>0</v>
      </c>
      <c r="N442" s="289">
        <f t="shared" si="912"/>
        <v>0</v>
      </c>
      <c r="O442" s="289">
        <f t="shared" si="912"/>
        <v>0</v>
      </c>
      <c r="P442" s="289">
        <f t="shared" si="912"/>
        <v>0</v>
      </c>
      <c r="Q442" s="289">
        <f t="shared" si="912"/>
        <v>0</v>
      </c>
      <c r="R442" s="289">
        <f t="shared" si="912"/>
        <v>0</v>
      </c>
      <c r="S442" s="289">
        <f t="shared" si="912"/>
        <v>0</v>
      </c>
      <c r="T442" s="289">
        <f t="shared" si="912"/>
        <v>0</v>
      </c>
      <c r="U442" s="289">
        <f t="shared" si="912"/>
        <v>0</v>
      </c>
      <c r="V442" s="289">
        <f t="shared" si="912"/>
        <v>0</v>
      </c>
      <c r="W442" s="289">
        <f t="shared" si="912"/>
        <v>0</v>
      </c>
      <c r="AA442" s="135"/>
      <c r="AB442" s="289">
        <f>IF(L442=0,0,(L442-$F442*G$128)/курс)</f>
        <v>0</v>
      </c>
      <c r="AC442" s="289">
        <f t="shared" si="870"/>
        <v>0</v>
      </c>
      <c r="AD442" s="289">
        <f t="shared" si="871"/>
        <v>0</v>
      </c>
      <c r="AE442" s="289">
        <f t="shared" si="872"/>
        <v>0</v>
      </c>
      <c r="AF442" s="289">
        <f t="shared" si="873"/>
        <v>0</v>
      </c>
      <c r="AG442" s="289">
        <f t="shared" si="874"/>
        <v>0</v>
      </c>
      <c r="AH442" s="289">
        <f t="shared" si="875"/>
        <v>0</v>
      </c>
      <c r="AI442" s="289">
        <f t="shared" si="876"/>
        <v>0</v>
      </c>
      <c r="AJ442" s="289">
        <f t="shared" si="877"/>
        <v>0</v>
      </c>
      <c r="AK442" s="289">
        <f t="shared" si="878"/>
        <v>0</v>
      </c>
      <c r="AL442" s="289">
        <f t="shared" si="879"/>
        <v>0</v>
      </c>
      <c r="AM442" s="289">
        <f t="shared" si="880"/>
        <v>0</v>
      </c>
    </row>
    <row r="443" spans="1:39" outlineLevel="2">
      <c r="A443" s="15"/>
      <c r="B443" s="718"/>
      <c r="C443" s="891"/>
      <c r="D443" s="105" t="s">
        <v>486</v>
      </c>
      <c r="E443" s="874"/>
      <c r="F443" s="92">
        <f>8226.06906586478*1.01</f>
        <v>8308.3297565234279</v>
      </c>
      <c r="G443" s="92">
        <f>805.763961389669*1.01</f>
        <v>813.82160100356577</v>
      </c>
      <c r="H443" s="696"/>
      <c r="I443" s="693"/>
      <c r="J443" s="135"/>
      <c r="K443" s="213"/>
      <c r="L443" s="289">
        <f>($G443*курс+$F443)*G$128*G$127*IF(F$122="Бизнес+",1,0)*IF(AND(G$127&gt;50,G$127&lt;=75),1,0)</f>
        <v>0</v>
      </c>
      <c r="M443" s="289">
        <f>($G443*курс+$F443)*H$128*H$127*IF(H$122="Бизнес+",1,0)*IF(AND(H$127&gt;50,H$127&lt;=75),1,0)</f>
        <v>0</v>
      </c>
      <c r="N443" s="289">
        <f t="shared" ref="N443:W443" si="913">($G443*курс+$F443)*I$128*I$127*IF(I$122="Бизнес+",1,0)*IF(AND(I$127&gt;50,I$127&lt;=75),1,0)</f>
        <v>0</v>
      </c>
      <c r="O443" s="289">
        <f t="shared" si="913"/>
        <v>0</v>
      </c>
      <c r="P443" s="289">
        <f t="shared" si="913"/>
        <v>0</v>
      </c>
      <c r="Q443" s="289">
        <f t="shared" si="913"/>
        <v>0</v>
      </c>
      <c r="R443" s="289">
        <f t="shared" si="913"/>
        <v>0</v>
      </c>
      <c r="S443" s="289">
        <f t="shared" si="913"/>
        <v>0</v>
      </c>
      <c r="T443" s="289">
        <f t="shared" si="913"/>
        <v>0</v>
      </c>
      <c r="U443" s="289">
        <f t="shared" si="913"/>
        <v>0</v>
      </c>
      <c r="V443" s="289">
        <f t="shared" si="913"/>
        <v>0</v>
      </c>
      <c r="W443" s="289">
        <f t="shared" si="913"/>
        <v>0</v>
      </c>
      <c r="AA443" s="135"/>
      <c r="AB443" s="289">
        <f>IF(L443=0,0,(L443-$F443*G$128)/курс)</f>
        <v>0</v>
      </c>
      <c r="AC443" s="289">
        <f t="shared" si="870"/>
        <v>0</v>
      </c>
      <c r="AD443" s="289">
        <f t="shared" si="871"/>
        <v>0</v>
      </c>
      <c r="AE443" s="289">
        <f t="shared" si="872"/>
        <v>0</v>
      </c>
      <c r="AF443" s="289">
        <f t="shared" si="873"/>
        <v>0</v>
      </c>
      <c r="AG443" s="289">
        <f t="shared" si="874"/>
        <v>0</v>
      </c>
      <c r="AH443" s="289">
        <f t="shared" si="875"/>
        <v>0</v>
      </c>
      <c r="AI443" s="289">
        <f t="shared" si="876"/>
        <v>0</v>
      </c>
      <c r="AJ443" s="289">
        <f t="shared" si="877"/>
        <v>0</v>
      </c>
      <c r="AK443" s="289">
        <f t="shared" si="878"/>
        <v>0</v>
      </c>
      <c r="AL443" s="289">
        <f t="shared" si="879"/>
        <v>0</v>
      </c>
      <c r="AM443" s="289">
        <f t="shared" si="880"/>
        <v>0</v>
      </c>
    </row>
    <row r="444" spans="1:39" outlineLevel="2">
      <c r="A444" s="15"/>
      <c r="B444" s="718"/>
      <c r="C444" s="725"/>
      <c r="D444" s="25" t="s">
        <v>499</v>
      </c>
      <c r="E444" s="855"/>
      <c r="F444" s="98">
        <f>8304.88419838524*1.01</f>
        <v>8387.9330403690929</v>
      </c>
      <c r="G444" s="98">
        <f>920.118526772623*1.01</f>
        <v>929.31971204034926</v>
      </c>
      <c r="H444" s="696"/>
      <c r="I444" s="694"/>
      <c r="J444" s="135"/>
      <c r="K444" s="213"/>
      <c r="L444" s="290">
        <f>($G444*курс+$F444)*G$128*G$127*IF(F$122="Бизнес+",1,0)*IF(AND(G$127&gt;75,G$127&lt;=140),1,0)</f>
        <v>0</v>
      </c>
      <c r="M444" s="290">
        <f t="shared" ref="M444:W444" si="914">($G444*курс+$F444)*H$128*H$127*IF(H$122="Бизнес+",1,0)*IF(AND(H$127&gt;75,H$127&lt;=140),1,0)</f>
        <v>23399761.431859229</v>
      </c>
      <c r="N444" s="290">
        <f t="shared" si="914"/>
        <v>23399761.431859229</v>
      </c>
      <c r="O444" s="290">
        <f t="shared" si="914"/>
        <v>23399761.431859229</v>
      </c>
      <c r="P444" s="290">
        <f t="shared" si="914"/>
        <v>0</v>
      </c>
      <c r="Q444" s="290">
        <f t="shared" si="914"/>
        <v>0</v>
      </c>
      <c r="R444" s="290">
        <f t="shared" si="914"/>
        <v>0</v>
      </c>
      <c r="S444" s="290">
        <f t="shared" si="914"/>
        <v>0</v>
      </c>
      <c r="T444" s="290">
        <f t="shared" si="914"/>
        <v>0</v>
      </c>
      <c r="U444" s="290">
        <f t="shared" si="914"/>
        <v>0</v>
      </c>
      <c r="V444" s="290">
        <f t="shared" si="914"/>
        <v>0</v>
      </c>
      <c r="W444" s="290">
        <f t="shared" si="914"/>
        <v>0</v>
      </c>
      <c r="AA444" s="135"/>
      <c r="AB444" s="290">
        <f>IF(L444=0,0,(L444-$F444*G$128)/курс)</f>
        <v>0</v>
      </c>
      <c r="AC444" s="290">
        <f t="shared" si="870"/>
        <v>267469.30924490676</v>
      </c>
      <c r="AD444" s="290">
        <f t="shared" si="871"/>
        <v>267469.30924490676</v>
      </c>
      <c r="AE444" s="290">
        <f t="shared" si="872"/>
        <v>267469.30924490676</v>
      </c>
      <c r="AF444" s="290">
        <f t="shared" si="873"/>
        <v>0</v>
      </c>
      <c r="AG444" s="290">
        <f t="shared" si="874"/>
        <v>0</v>
      </c>
      <c r="AH444" s="290">
        <f t="shared" si="875"/>
        <v>0</v>
      </c>
      <c r="AI444" s="290">
        <f t="shared" si="876"/>
        <v>0</v>
      </c>
      <c r="AJ444" s="290">
        <f t="shared" si="877"/>
        <v>0</v>
      </c>
      <c r="AK444" s="290">
        <f t="shared" si="878"/>
        <v>0</v>
      </c>
      <c r="AL444" s="290">
        <f t="shared" si="879"/>
        <v>0</v>
      </c>
      <c r="AM444" s="290">
        <f t="shared" si="880"/>
        <v>0</v>
      </c>
    </row>
    <row r="445" spans="1:39" ht="15.75" customHeight="1" outlineLevel="2">
      <c r="A445" s="15"/>
      <c r="B445" s="718"/>
      <c r="C445" s="724" t="s">
        <v>277</v>
      </c>
      <c r="D445" s="23" t="s">
        <v>843</v>
      </c>
      <c r="E445" s="854" t="s">
        <v>46</v>
      </c>
      <c r="F445" s="94">
        <v>0</v>
      </c>
      <c r="G445" s="94">
        <f>7078.84558594894*1.01</f>
        <v>7149.6340418084301</v>
      </c>
      <c r="H445" s="696"/>
      <c r="I445" s="692"/>
      <c r="J445" s="135"/>
      <c r="L445" s="190">
        <f>($G445*курс+$F445)*G$128*G$127*(IF(F$122="Премиум",1,0)+IF(F$122="Элит",1,0))*IF(G$127&lt;=10,1,0)</f>
        <v>0</v>
      </c>
      <c r="M445" s="190">
        <f t="shared" ref="M445:W445" si="915">($G445*курс+$F445)*H$128*H$127*(IF(H$122="Премиум",1,0)+IF(H$122="Элит",1,0))*IF(H$127&lt;=10,1,0)</f>
        <v>0</v>
      </c>
      <c r="N445" s="438">
        <f t="shared" si="915"/>
        <v>0</v>
      </c>
      <c r="O445" s="438">
        <f t="shared" si="915"/>
        <v>0</v>
      </c>
      <c r="P445" s="438">
        <f t="shared" si="915"/>
        <v>0</v>
      </c>
      <c r="Q445" s="438">
        <f t="shared" si="915"/>
        <v>0</v>
      </c>
      <c r="R445" s="438">
        <f t="shared" si="915"/>
        <v>0</v>
      </c>
      <c r="S445" s="438">
        <f t="shared" si="915"/>
        <v>0</v>
      </c>
      <c r="T445" s="438">
        <f t="shared" si="915"/>
        <v>0</v>
      </c>
      <c r="U445" s="438">
        <f t="shared" si="915"/>
        <v>0</v>
      </c>
      <c r="V445" s="438">
        <f t="shared" si="915"/>
        <v>0</v>
      </c>
      <c r="W445" s="438">
        <f t="shared" si="915"/>
        <v>0</v>
      </c>
      <c r="AA445" s="135"/>
      <c r="AB445" s="190">
        <f>IF(L445=0,0,(L445-$F445*G$128)/курс)</f>
        <v>0</v>
      </c>
      <c r="AC445" s="190">
        <f t="shared" si="870"/>
        <v>0</v>
      </c>
      <c r="AD445" s="190">
        <f t="shared" si="871"/>
        <v>0</v>
      </c>
      <c r="AE445" s="190">
        <f t="shared" si="872"/>
        <v>0</v>
      </c>
      <c r="AF445" s="190">
        <f t="shared" si="873"/>
        <v>0</v>
      </c>
      <c r="AG445" s="190">
        <f t="shared" si="874"/>
        <v>0</v>
      </c>
      <c r="AH445" s="190">
        <f t="shared" si="875"/>
        <v>0</v>
      </c>
      <c r="AI445" s="190">
        <f t="shared" si="876"/>
        <v>0</v>
      </c>
      <c r="AJ445" s="190">
        <f t="shared" si="877"/>
        <v>0</v>
      </c>
      <c r="AK445" s="190">
        <f t="shared" si="878"/>
        <v>0</v>
      </c>
      <c r="AL445" s="190">
        <f t="shared" si="879"/>
        <v>0</v>
      </c>
      <c r="AM445" s="190">
        <f t="shared" si="880"/>
        <v>0</v>
      </c>
    </row>
    <row r="446" spans="1:39" ht="15.75" customHeight="1" outlineLevel="2">
      <c r="A446" s="15"/>
      <c r="B446" s="718"/>
      <c r="C446" s="891"/>
      <c r="D446" s="105" t="s">
        <v>844</v>
      </c>
      <c r="E446" s="874"/>
      <c r="F446" s="108">
        <v>0</v>
      </c>
      <c r="G446" s="108">
        <f>4139.02313704862*1.01</f>
        <v>4180.4133684191065</v>
      </c>
      <c r="H446" s="696"/>
      <c r="I446" s="693"/>
      <c r="J446" s="135"/>
      <c r="K446" s="250"/>
      <c r="L446" s="289">
        <f>($G446*курс+$F446)*G$128*G$127*(IF(F$122="Премиум",1,0)+IF(F$122="Элит",1,0))*IF(AND(G$127&gt;10,G$127&lt;=15),1,0)</f>
        <v>0</v>
      </c>
      <c r="M446" s="289">
        <f t="shared" ref="M446:W446" si="916">($G446*курс+$F446)*H$128*H$127*(IF(H$122="Премиум",1,0)+IF(H$122="Элит",1,0))*IF(AND(H$127&gt;10,H$127&lt;=15),1,0)</f>
        <v>0</v>
      </c>
      <c r="N446" s="289">
        <f t="shared" si="916"/>
        <v>0</v>
      </c>
      <c r="O446" s="289">
        <f t="shared" si="916"/>
        <v>0</v>
      </c>
      <c r="P446" s="289">
        <f t="shared" si="916"/>
        <v>0</v>
      </c>
      <c r="Q446" s="289">
        <f t="shared" si="916"/>
        <v>0</v>
      </c>
      <c r="R446" s="289">
        <f t="shared" si="916"/>
        <v>0</v>
      </c>
      <c r="S446" s="289">
        <f t="shared" si="916"/>
        <v>0</v>
      </c>
      <c r="T446" s="289">
        <f t="shared" si="916"/>
        <v>0</v>
      </c>
      <c r="U446" s="289">
        <f t="shared" si="916"/>
        <v>0</v>
      </c>
      <c r="V446" s="289">
        <f t="shared" si="916"/>
        <v>0</v>
      </c>
      <c r="W446" s="289">
        <f t="shared" si="916"/>
        <v>0</v>
      </c>
      <c r="AA446" s="135"/>
      <c r="AB446" s="289">
        <f t="shared" ref="AB446" si="917">IF(L446=0,0,(L446-$F446*G$128)/курс)</f>
        <v>0</v>
      </c>
      <c r="AC446" s="289">
        <f t="shared" ref="AC446" si="918">IF(M446=0,0,(M446-$F446*H$128)/курс)</f>
        <v>0</v>
      </c>
      <c r="AD446" s="289">
        <f t="shared" ref="AD446" si="919">IF(N446=0,0,(N446-$F446*I$128)/курс)</f>
        <v>0</v>
      </c>
      <c r="AE446" s="289">
        <f t="shared" ref="AE446" si="920">IF(O446=0,0,(O446-$F446*J$128)/курс)</f>
        <v>0</v>
      </c>
      <c r="AF446" s="289">
        <f t="shared" ref="AF446" si="921">IF(P446=0,0,(P446-$F446*K$128)/курс)</f>
        <v>0</v>
      </c>
      <c r="AG446" s="289">
        <f t="shared" ref="AG446" si="922">IF(Q446=0,0,(Q446-$F446*L$128)/курс)</f>
        <v>0</v>
      </c>
      <c r="AH446" s="289">
        <f t="shared" ref="AH446" si="923">IF(R446=0,0,(R446-$F446*M$128)/курс)</f>
        <v>0</v>
      </c>
      <c r="AI446" s="289">
        <f t="shared" ref="AI446" si="924">IF(S446=0,0,(S446-$F446*N$128)/курс)</f>
        <v>0</v>
      </c>
      <c r="AJ446" s="289">
        <f t="shared" ref="AJ446" si="925">IF(T446=0,0,(T446-$F446*O$128)/курс)</f>
        <v>0</v>
      </c>
      <c r="AK446" s="289">
        <f t="shared" ref="AK446" si="926">IF(U446=0,0,(U446-$F446*P$128)/курс)</f>
        <v>0</v>
      </c>
      <c r="AL446" s="289">
        <f t="shared" ref="AL446" si="927">IF(V446=0,0,(V446-$F446*Q$128)/курс)</f>
        <v>0</v>
      </c>
      <c r="AM446" s="289">
        <f t="shared" ref="AM446" si="928">IF(W446=0,0,(W446-$F446*R$128)/курс)</f>
        <v>0</v>
      </c>
    </row>
    <row r="447" spans="1:39" ht="15.75" customHeight="1" outlineLevel="2">
      <c r="A447" s="15"/>
      <c r="B447" s="718"/>
      <c r="C447" s="891"/>
      <c r="D447" s="105" t="s">
        <v>484</v>
      </c>
      <c r="E447" s="874"/>
      <c r="F447" s="92">
        <v>0</v>
      </c>
      <c r="G447" s="92">
        <f>1798.89921652096*1.01</f>
        <v>1816.8882086861695</v>
      </c>
      <c r="H447" s="696"/>
      <c r="I447" s="693"/>
      <c r="J447" s="135"/>
      <c r="L447" s="289">
        <f>($G447*курс+$F447)*G$128*G$127*(IF(F$122="Премиум",1,0)+IF(F$122="Элит",1,0))*IF(AND(G$127&gt;15,G$127&lt;=30),1,0)</f>
        <v>0</v>
      </c>
      <c r="M447" s="289">
        <f t="shared" ref="M447:W447" si="929">($G447*курс+$F447)*H$128*H$127*(IF(H$122="Премиум",1,0)+IF(H$122="Элит",1,0))*IF(AND(H$127&gt;15,H$127&lt;=30),1,0)</f>
        <v>0</v>
      </c>
      <c r="N447" s="289">
        <f t="shared" si="929"/>
        <v>0</v>
      </c>
      <c r="O447" s="289">
        <f t="shared" si="929"/>
        <v>0</v>
      </c>
      <c r="P447" s="289">
        <f t="shared" si="929"/>
        <v>0</v>
      </c>
      <c r="Q447" s="289">
        <f t="shared" si="929"/>
        <v>0</v>
      </c>
      <c r="R447" s="289">
        <f t="shared" si="929"/>
        <v>0</v>
      </c>
      <c r="S447" s="289">
        <f t="shared" si="929"/>
        <v>0</v>
      </c>
      <c r="T447" s="289">
        <f t="shared" si="929"/>
        <v>0</v>
      </c>
      <c r="U447" s="289">
        <f t="shared" si="929"/>
        <v>0</v>
      </c>
      <c r="V447" s="289">
        <f t="shared" si="929"/>
        <v>0</v>
      </c>
      <c r="W447" s="289">
        <f t="shared" si="929"/>
        <v>0</v>
      </c>
      <c r="AA447" s="135"/>
      <c r="AB447" s="289">
        <f>IF(L447=0,0,(L447-$F447*G$128)/курс)</f>
        <v>0</v>
      </c>
      <c r="AC447" s="289">
        <f t="shared" si="870"/>
        <v>0</v>
      </c>
      <c r="AD447" s="289">
        <f t="shared" si="871"/>
        <v>0</v>
      </c>
      <c r="AE447" s="289">
        <f t="shared" si="872"/>
        <v>0</v>
      </c>
      <c r="AF447" s="289">
        <f t="shared" si="873"/>
        <v>0</v>
      </c>
      <c r="AG447" s="289">
        <f t="shared" si="874"/>
        <v>0</v>
      </c>
      <c r="AH447" s="289">
        <f t="shared" si="875"/>
        <v>0</v>
      </c>
      <c r="AI447" s="289">
        <f t="shared" si="876"/>
        <v>0</v>
      </c>
      <c r="AJ447" s="289">
        <f t="shared" si="877"/>
        <v>0</v>
      </c>
      <c r="AK447" s="289">
        <f t="shared" si="878"/>
        <v>0</v>
      </c>
      <c r="AL447" s="289">
        <f t="shared" si="879"/>
        <v>0</v>
      </c>
      <c r="AM447" s="289">
        <f t="shared" si="880"/>
        <v>0</v>
      </c>
    </row>
    <row r="448" spans="1:39" ht="15.75" customHeight="1" outlineLevel="2">
      <c r="A448" s="15"/>
      <c r="B448" s="718"/>
      <c r="C448" s="891"/>
      <c r="D448" s="105" t="s">
        <v>485</v>
      </c>
      <c r="E448" s="874"/>
      <c r="F448" s="92">
        <v>0</v>
      </c>
      <c r="G448" s="92">
        <f>1754.85940221749*1.01</f>
        <v>1772.407996239665</v>
      </c>
      <c r="H448" s="696"/>
      <c r="I448" s="693"/>
      <c r="J448" s="135"/>
      <c r="L448" s="289">
        <f>($G448*курс+$F448)*G$128*G$127*(IF(F$122="Премиум",1,0)+IF(F$122="Элит",1,0))*IF(AND(G$127&gt;30,G$127&lt;=50),1,0)</f>
        <v>0</v>
      </c>
      <c r="M448" s="289">
        <f t="shared" ref="M448:W448" si="930">($G448*курс+$F448)*H$128*H$127*(IF(H$122="Премиум",1,0)+IF(H$122="Элит",1,0))*IF(AND(H$127&gt;30,H$127&lt;=50),1,0)</f>
        <v>0</v>
      </c>
      <c r="N448" s="289">
        <f t="shared" si="930"/>
        <v>0</v>
      </c>
      <c r="O448" s="289">
        <f t="shared" si="930"/>
        <v>0</v>
      </c>
      <c r="P448" s="289">
        <f t="shared" si="930"/>
        <v>0</v>
      </c>
      <c r="Q448" s="289">
        <f t="shared" si="930"/>
        <v>0</v>
      </c>
      <c r="R448" s="289">
        <f t="shared" si="930"/>
        <v>0</v>
      </c>
      <c r="S448" s="289">
        <f t="shared" si="930"/>
        <v>0</v>
      </c>
      <c r="T448" s="289">
        <f t="shared" si="930"/>
        <v>0</v>
      </c>
      <c r="U448" s="289">
        <f t="shared" si="930"/>
        <v>0</v>
      </c>
      <c r="V448" s="289">
        <f t="shared" si="930"/>
        <v>0</v>
      </c>
      <c r="W448" s="289">
        <f t="shared" si="930"/>
        <v>0</v>
      </c>
      <c r="AA448" s="135"/>
      <c r="AB448" s="289">
        <f>IF(L448=0,0,(L448-$F448*G$128)/курс)</f>
        <v>0</v>
      </c>
      <c r="AC448" s="289">
        <f t="shared" si="870"/>
        <v>0</v>
      </c>
      <c r="AD448" s="289">
        <f t="shared" si="871"/>
        <v>0</v>
      </c>
      <c r="AE448" s="289">
        <f t="shared" si="872"/>
        <v>0</v>
      </c>
      <c r="AF448" s="289">
        <f t="shared" si="873"/>
        <v>0</v>
      </c>
      <c r="AG448" s="289">
        <f t="shared" si="874"/>
        <v>0</v>
      </c>
      <c r="AH448" s="289">
        <f t="shared" si="875"/>
        <v>0</v>
      </c>
      <c r="AI448" s="289">
        <f t="shared" si="876"/>
        <v>0</v>
      </c>
      <c r="AJ448" s="289">
        <f t="shared" si="877"/>
        <v>0</v>
      </c>
      <c r="AK448" s="289">
        <f t="shared" si="878"/>
        <v>0</v>
      </c>
      <c r="AL448" s="289">
        <f t="shared" si="879"/>
        <v>0</v>
      </c>
      <c r="AM448" s="289">
        <f t="shared" si="880"/>
        <v>0</v>
      </c>
    </row>
    <row r="449" spans="1:39" ht="15.75" customHeight="1" outlineLevel="2">
      <c r="A449" s="15"/>
      <c r="B449" s="718"/>
      <c r="C449" s="891"/>
      <c r="D449" s="105" t="s">
        <v>486</v>
      </c>
      <c r="E449" s="874"/>
      <c r="F449" s="92">
        <v>0</v>
      </c>
      <c r="G449" s="92">
        <f>1269.14157041387*1.01</f>
        <v>1281.8329861180089</v>
      </c>
      <c r="H449" s="696"/>
      <c r="I449" s="693"/>
      <c r="J449" s="135"/>
      <c r="L449" s="289">
        <f>($G449*курс+$F449)*G$128*G$127*(IF(F$122="Премиум",1,0)+IF(F$122="Элит",1,0))*IF(AND(G$127&gt;50,G$127&lt;=75),1,0)</f>
        <v>0</v>
      </c>
      <c r="M449" s="289">
        <f t="shared" ref="M449:W449" si="931">($G449*курс+$F449)*H$128*H$127*(IF(H$122="Премиум",1,0)+IF(H$122="Элит",1,0))*IF(AND(H$127&gt;50,H$127&lt;=75),1,0)</f>
        <v>0</v>
      </c>
      <c r="N449" s="289">
        <f t="shared" si="931"/>
        <v>0</v>
      </c>
      <c r="O449" s="289">
        <f t="shared" si="931"/>
        <v>0</v>
      </c>
      <c r="P449" s="289">
        <f t="shared" si="931"/>
        <v>0</v>
      </c>
      <c r="Q449" s="289">
        <f t="shared" si="931"/>
        <v>0</v>
      </c>
      <c r="R449" s="289">
        <f t="shared" si="931"/>
        <v>0</v>
      </c>
      <c r="S449" s="289">
        <f t="shared" si="931"/>
        <v>0</v>
      </c>
      <c r="T449" s="289">
        <f t="shared" si="931"/>
        <v>0</v>
      </c>
      <c r="U449" s="289">
        <f t="shared" si="931"/>
        <v>0</v>
      </c>
      <c r="V449" s="289">
        <f t="shared" si="931"/>
        <v>0</v>
      </c>
      <c r="W449" s="289">
        <f t="shared" si="931"/>
        <v>0</v>
      </c>
      <c r="AA449" s="135"/>
      <c r="AB449" s="289">
        <f>IF(L449=0,0,(L449-$F449*G$128)/курс)</f>
        <v>0</v>
      </c>
      <c r="AC449" s="289">
        <f t="shared" si="870"/>
        <v>0</v>
      </c>
      <c r="AD449" s="289">
        <f t="shared" si="871"/>
        <v>0</v>
      </c>
      <c r="AE449" s="289">
        <f t="shared" si="872"/>
        <v>0</v>
      </c>
      <c r="AF449" s="289">
        <f t="shared" si="873"/>
        <v>0</v>
      </c>
      <c r="AG449" s="289">
        <f t="shared" si="874"/>
        <v>0</v>
      </c>
      <c r="AH449" s="289">
        <f t="shared" si="875"/>
        <v>0</v>
      </c>
      <c r="AI449" s="289">
        <f t="shared" si="876"/>
        <v>0</v>
      </c>
      <c r="AJ449" s="289">
        <f t="shared" si="877"/>
        <v>0</v>
      </c>
      <c r="AK449" s="289">
        <f t="shared" si="878"/>
        <v>0</v>
      </c>
      <c r="AL449" s="289">
        <f t="shared" si="879"/>
        <v>0</v>
      </c>
      <c r="AM449" s="289">
        <f t="shared" si="880"/>
        <v>0</v>
      </c>
    </row>
    <row r="450" spans="1:39" ht="18" customHeight="1" outlineLevel="2">
      <c r="A450" s="15"/>
      <c r="B450" s="719"/>
      <c r="C450" s="725"/>
      <c r="D450" s="25" t="s">
        <v>499</v>
      </c>
      <c r="E450" s="855"/>
      <c r="F450" s="98">
        <v>0</v>
      </c>
      <c r="G450" s="98">
        <f>1137.34862484771*1.01</f>
        <v>1148.7221110961871</v>
      </c>
      <c r="H450" s="697"/>
      <c r="I450" s="694"/>
      <c r="J450" s="135"/>
      <c r="L450" s="290">
        <f>($G450*курс+$F450)*G$128*G$127*(IF(F$122="Премиум",1,0)+IF(F$122="Элит",1,0))*IF(AND(G$127&gt;75,G$127&lt;=140),1,0)</f>
        <v>0</v>
      </c>
      <c r="M450" s="290">
        <f t="shared" ref="M450:W450" si="932">($G450*курс+$F450)*H$128*H$127*(IF(H$122="Премиум",1,0)+IF(H$122="Элит",1,0))*IF(AND(H$127&gt;75,H$127&lt;=140),1,0)</f>
        <v>0</v>
      </c>
      <c r="N450" s="290">
        <f t="shared" si="932"/>
        <v>0</v>
      </c>
      <c r="O450" s="290">
        <f t="shared" si="932"/>
        <v>0</v>
      </c>
      <c r="P450" s="290">
        <f t="shared" si="932"/>
        <v>0</v>
      </c>
      <c r="Q450" s="290">
        <f t="shared" si="932"/>
        <v>0</v>
      </c>
      <c r="R450" s="290">
        <f t="shared" si="932"/>
        <v>0</v>
      </c>
      <c r="S450" s="290">
        <f t="shared" si="932"/>
        <v>0</v>
      </c>
      <c r="T450" s="290">
        <f t="shared" si="932"/>
        <v>0</v>
      </c>
      <c r="U450" s="290">
        <f t="shared" si="932"/>
        <v>0</v>
      </c>
      <c r="V450" s="290">
        <f t="shared" si="932"/>
        <v>0</v>
      </c>
      <c r="W450" s="290">
        <f t="shared" si="932"/>
        <v>0</v>
      </c>
      <c r="AA450" s="135"/>
      <c r="AB450" s="290">
        <f>IF(L450=0,0,(L450-$F450*G$128)/курс)</f>
        <v>0</v>
      </c>
      <c r="AC450" s="290">
        <f t="shared" si="870"/>
        <v>0</v>
      </c>
      <c r="AD450" s="290">
        <f t="shared" si="871"/>
        <v>0</v>
      </c>
      <c r="AE450" s="290">
        <f t="shared" si="872"/>
        <v>0</v>
      </c>
      <c r="AF450" s="290">
        <f t="shared" si="873"/>
        <v>0</v>
      </c>
      <c r="AG450" s="290">
        <f t="shared" si="874"/>
        <v>0</v>
      </c>
      <c r="AH450" s="290">
        <f t="shared" si="875"/>
        <v>0</v>
      </c>
      <c r="AI450" s="290">
        <f t="shared" si="876"/>
        <v>0</v>
      </c>
      <c r="AJ450" s="290">
        <f t="shared" si="877"/>
        <v>0</v>
      </c>
      <c r="AK450" s="290">
        <f t="shared" si="878"/>
        <v>0</v>
      </c>
      <c r="AL450" s="290">
        <f t="shared" si="879"/>
        <v>0</v>
      </c>
      <c r="AM450" s="290">
        <f t="shared" si="880"/>
        <v>0</v>
      </c>
    </row>
    <row r="451" spans="1:39" ht="15.75" customHeight="1" outlineLevel="1">
      <c r="A451" s="15"/>
      <c r="B451" s="717" t="s">
        <v>488</v>
      </c>
      <c r="C451" s="282"/>
      <c r="D451" s="281"/>
      <c r="E451" s="281"/>
      <c r="F451" s="281"/>
      <c r="G451" s="281"/>
      <c r="H451" s="281"/>
      <c r="I451" s="281"/>
      <c r="J451" s="281"/>
      <c r="K451" s="281"/>
      <c r="L451" s="281"/>
      <c r="M451" s="281"/>
      <c r="N451" s="281"/>
      <c r="O451" s="281"/>
      <c r="P451" s="281"/>
      <c r="Q451" s="281"/>
      <c r="R451" s="281"/>
      <c r="S451" s="281"/>
      <c r="T451" s="281"/>
      <c r="U451" s="281"/>
      <c r="V451" s="281"/>
      <c r="W451" s="281"/>
    </row>
    <row r="452" spans="1:39" ht="15.75" customHeight="1" outlineLevel="2">
      <c r="A452" s="15"/>
      <c r="B452" s="718"/>
      <c r="C452" s="736" t="s">
        <v>483</v>
      </c>
      <c r="D452" s="737"/>
      <c r="E452" s="283" t="s">
        <v>361</v>
      </c>
      <c r="F452" s="236"/>
      <c r="G452" s="159">
        <f>304517.978891871*1.01</f>
        <v>307563.1586807897</v>
      </c>
      <c r="H452" s="291" t="s">
        <v>498</v>
      </c>
      <c r="I452" s="131"/>
      <c r="J452" s="135"/>
      <c r="L452" s="7"/>
      <c r="M452" s="192">
        <f t="shared" ref="M452:W452" si="933">$G$452*H134*курс</f>
        <v>0</v>
      </c>
      <c r="N452" s="192">
        <f t="shared" si="933"/>
        <v>0</v>
      </c>
      <c r="O452" s="192">
        <f t="shared" si="933"/>
        <v>0</v>
      </c>
      <c r="P452" s="192">
        <f t="shared" si="933"/>
        <v>0</v>
      </c>
      <c r="Q452" s="192">
        <f t="shared" si="933"/>
        <v>0</v>
      </c>
      <c r="R452" s="192">
        <f t="shared" si="933"/>
        <v>0</v>
      </c>
      <c r="S452" s="192">
        <f t="shared" si="933"/>
        <v>0</v>
      </c>
      <c r="T452" s="192">
        <f t="shared" si="933"/>
        <v>0</v>
      </c>
      <c r="U452" s="192">
        <f t="shared" si="933"/>
        <v>0</v>
      </c>
      <c r="V452" s="192">
        <f t="shared" si="933"/>
        <v>0</v>
      </c>
      <c r="W452" s="192">
        <f t="shared" si="933"/>
        <v>0</v>
      </c>
      <c r="AA452" s="135"/>
      <c r="AB452" s="7"/>
      <c r="AC452" s="190">
        <f t="shared" ref="AC452:AM452" si="934">IF(M452=0,0,(M452-$F452*H$134)/курс)</f>
        <v>0</v>
      </c>
      <c r="AD452" s="190">
        <f t="shared" si="934"/>
        <v>0</v>
      </c>
      <c r="AE452" s="190">
        <f t="shared" si="934"/>
        <v>0</v>
      </c>
      <c r="AF452" s="190">
        <f t="shared" si="934"/>
        <v>0</v>
      </c>
      <c r="AG452" s="190">
        <f t="shared" si="934"/>
        <v>0</v>
      </c>
      <c r="AH452" s="190">
        <f t="shared" si="934"/>
        <v>0</v>
      </c>
      <c r="AI452" s="190">
        <f t="shared" si="934"/>
        <v>0</v>
      </c>
      <c r="AJ452" s="190">
        <f t="shared" si="934"/>
        <v>0</v>
      </c>
      <c r="AK452" s="190">
        <f t="shared" si="934"/>
        <v>0</v>
      </c>
      <c r="AL452" s="190">
        <f t="shared" si="934"/>
        <v>0</v>
      </c>
      <c r="AM452" s="190">
        <f t="shared" si="934"/>
        <v>0</v>
      </c>
    </row>
    <row r="453" spans="1:39" outlineLevel="2">
      <c r="A453" s="15"/>
      <c r="B453" s="718"/>
      <c r="C453" s="699" t="s">
        <v>276</v>
      </c>
      <c r="D453" s="23" t="s">
        <v>843</v>
      </c>
      <c r="E453" s="708" t="s">
        <v>29</v>
      </c>
      <c r="F453" s="94">
        <f>392486.556945754*1.01</f>
        <v>396411.42251521151</v>
      </c>
      <c r="G453" s="240"/>
      <c r="H453" s="695" t="s">
        <v>487</v>
      </c>
      <c r="I453" s="692"/>
      <c r="J453" s="135"/>
      <c r="L453" s="190">
        <f>($G453*курс+$F453)*G$133*G$132*(IF(F$122="Комфорт",1,0)+IF(F$122="Бизнес",1,0))*IF(G$132&lt;=10,1,0)</f>
        <v>0</v>
      </c>
      <c r="M453" s="286">
        <f t="shared" ref="M453:W453" si="935">($G453*курс+$F453)*H$133*H$132*(IF(H$122="Комфорт",1,0)+IF(H$122="Бизнес",1,0))*IF(H$132&lt;=10,1,0)</f>
        <v>0</v>
      </c>
      <c r="N453" s="286">
        <f t="shared" si="935"/>
        <v>0</v>
      </c>
      <c r="O453" s="286">
        <f t="shared" si="935"/>
        <v>0</v>
      </c>
      <c r="P453" s="286">
        <f t="shared" si="935"/>
        <v>0</v>
      </c>
      <c r="Q453" s="286">
        <f t="shared" si="935"/>
        <v>0</v>
      </c>
      <c r="R453" s="286">
        <f t="shared" si="935"/>
        <v>0</v>
      </c>
      <c r="S453" s="286">
        <f t="shared" si="935"/>
        <v>0</v>
      </c>
      <c r="T453" s="286">
        <f t="shared" si="935"/>
        <v>0</v>
      </c>
      <c r="U453" s="286">
        <f t="shared" si="935"/>
        <v>0</v>
      </c>
      <c r="V453" s="286">
        <f t="shared" si="935"/>
        <v>0</v>
      </c>
      <c r="W453" s="286">
        <f t="shared" si="935"/>
        <v>0</v>
      </c>
      <c r="AA453" s="135"/>
      <c r="AB453" s="438">
        <f t="shared" ref="AB453:AB470" si="936">IF(L453=0,0,(L453-$F453*G$133)/курс)</f>
        <v>0</v>
      </c>
      <c r="AC453" s="438">
        <f t="shared" ref="AC453:AC470" si="937">IF(M453=0,0,(M453-$F453*H$133)/курс)</f>
        <v>0</v>
      </c>
      <c r="AD453" s="438">
        <f t="shared" ref="AD453:AD470" si="938">IF(N453=0,0,(N453-$F453*I$133)/курс)</f>
        <v>0</v>
      </c>
      <c r="AE453" s="438">
        <f t="shared" ref="AE453:AE470" si="939">IF(O453=0,0,(O453-$F453*J$133)/курс)</f>
        <v>0</v>
      </c>
      <c r="AF453" s="438">
        <f t="shared" ref="AF453:AF470" si="940">IF(P453=0,0,(P453-$F453*K$133)/курс)</f>
        <v>0</v>
      </c>
      <c r="AG453" s="438">
        <f t="shared" ref="AG453:AG470" si="941">IF(Q453=0,0,(Q453-$F453*L$133)/курс)</f>
        <v>0</v>
      </c>
      <c r="AH453" s="438">
        <f t="shared" ref="AH453:AH470" si="942">IF(R453=0,0,(R453-$F453*M$133)/курс)</f>
        <v>0</v>
      </c>
      <c r="AI453" s="438">
        <f t="shared" ref="AI453:AI470" si="943">IF(S453=0,0,(S453-$F453*N$133)/курс)</f>
        <v>0</v>
      </c>
      <c r="AJ453" s="438">
        <f t="shared" ref="AJ453:AJ470" si="944">IF(T453=0,0,(T453-$F453*O$133)/курс)</f>
        <v>0</v>
      </c>
      <c r="AK453" s="438">
        <f t="shared" ref="AK453:AK470" si="945">IF(U453=0,0,(U453-$F453*P$133)/курс)</f>
        <v>0</v>
      </c>
      <c r="AL453" s="438">
        <f t="shared" ref="AL453:AL470" si="946">IF(V453=0,0,(V453-$F453*Q$133)/курс)</f>
        <v>0</v>
      </c>
      <c r="AM453" s="438">
        <f t="shared" ref="AM453:AM470" si="947">IF(W453=0,0,(W453-$F453*R$133)/курс)</f>
        <v>0</v>
      </c>
    </row>
    <row r="454" spans="1:39" outlineLevel="2">
      <c r="A454" s="15"/>
      <c r="B454" s="718"/>
      <c r="C454" s="738"/>
      <c r="D454" s="105" t="s">
        <v>844</v>
      </c>
      <c r="E454" s="709"/>
      <c r="F454" s="108">
        <f>238554.78723829*1.01</f>
        <v>240940.33511067292</v>
      </c>
      <c r="G454" s="237"/>
      <c r="H454" s="696"/>
      <c r="I454" s="693"/>
      <c r="J454" s="135"/>
      <c r="K454" s="250"/>
      <c r="L454" s="289">
        <f>($G454*курс+$F454)*G$133*G$132*(IF(F$122="Комфорт",1,0)+IF(F$122="Бизнес",1,0))*IF(AND(G$132&gt;10,G$132&lt;=15),1,0)</f>
        <v>0</v>
      </c>
      <c r="M454" s="287">
        <f t="shared" ref="M454:W454" si="948">($G454*курс+$F454)*H$133*H$132*(IF(H$122="Комфорт",1,0)+IF(H$122="Бизнес",1,0))*IF(AND(H$132&gt;10,H$132&lt;=15),1,0)</f>
        <v>0</v>
      </c>
      <c r="N454" s="287">
        <f t="shared" si="948"/>
        <v>0</v>
      </c>
      <c r="O454" s="287">
        <f t="shared" si="948"/>
        <v>0</v>
      </c>
      <c r="P454" s="287">
        <f t="shared" si="948"/>
        <v>0</v>
      </c>
      <c r="Q454" s="287">
        <f t="shared" si="948"/>
        <v>0</v>
      </c>
      <c r="R454" s="287">
        <f t="shared" si="948"/>
        <v>0</v>
      </c>
      <c r="S454" s="287">
        <f t="shared" si="948"/>
        <v>0</v>
      </c>
      <c r="T454" s="287">
        <f t="shared" si="948"/>
        <v>0</v>
      </c>
      <c r="U454" s="287">
        <f t="shared" si="948"/>
        <v>0</v>
      </c>
      <c r="V454" s="287">
        <f t="shared" si="948"/>
        <v>0</v>
      </c>
      <c r="W454" s="287">
        <f t="shared" si="948"/>
        <v>0</v>
      </c>
      <c r="AA454" s="135"/>
      <c r="AB454" s="289">
        <f t="shared" si="936"/>
        <v>0</v>
      </c>
      <c r="AC454" s="289">
        <f t="shared" si="937"/>
        <v>0</v>
      </c>
      <c r="AD454" s="289">
        <f t="shared" si="938"/>
        <v>0</v>
      </c>
      <c r="AE454" s="289">
        <f t="shared" si="939"/>
        <v>0</v>
      </c>
      <c r="AF454" s="289">
        <f t="shared" si="940"/>
        <v>0</v>
      </c>
      <c r="AG454" s="289">
        <f t="shared" si="941"/>
        <v>0</v>
      </c>
      <c r="AH454" s="289">
        <f t="shared" si="942"/>
        <v>0</v>
      </c>
      <c r="AI454" s="289">
        <f t="shared" si="943"/>
        <v>0</v>
      </c>
      <c r="AJ454" s="289">
        <f t="shared" si="944"/>
        <v>0</v>
      </c>
      <c r="AK454" s="289">
        <f t="shared" si="945"/>
        <v>0</v>
      </c>
      <c r="AL454" s="289">
        <f t="shared" si="946"/>
        <v>0</v>
      </c>
      <c r="AM454" s="289">
        <f t="shared" si="947"/>
        <v>0</v>
      </c>
    </row>
    <row r="455" spans="1:39" outlineLevel="2">
      <c r="A455" s="15"/>
      <c r="B455" s="718"/>
      <c r="C455" s="738"/>
      <c r="D455" s="105" t="s">
        <v>484</v>
      </c>
      <c r="E455" s="709"/>
      <c r="F455" s="92">
        <f>117155.076617904*1.01</f>
        <v>118326.62738408304</v>
      </c>
      <c r="G455" s="238"/>
      <c r="H455" s="696"/>
      <c r="I455" s="693"/>
      <c r="J455" s="135"/>
      <c r="L455" s="289">
        <f>($G455*курс+$F455)*G$133*G$132*(IF(F$122="Комфорт",1,0)+IF(F$122="Бизнес",1,0))*IF(AND(G$132&gt;15,G$132&lt;=30),1,0)</f>
        <v>0</v>
      </c>
      <c r="M455" s="287">
        <f t="shared" ref="M455:W455" si="949">($G455*курс+$F455)*H$133*H$132*(IF(H$122="Комфорт",1,0)+IF(H$122="Бизнес",1,0))*IF(AND(H$132&gt;15,H$132&lt;=30),1,0)</f>
        <v>0</v>
      </c>
      <c r="N455" s="287">
        <f t="shared" si="949"/>
        <v>0</v>
      </c>
      <c r="O455" s="287">
        <f t="shared" si="949"/>
        <v>0</v>
      </c>
      <c r="P455" s="287">
        <f t="shared" si="949"/>
        <v>0</v>
      </c>
      <c r="Q455" s="287">
        <f t="shared" si="949"/>
        <v>0</v>
      </c>
      <c r="R455" s="287">
        <f t="shared" si="949"/>
        <v>0</v>
      </c>
      <c r="S455" s="287">
        <f t="shared" si="949"/>
        <v>0</v>
      </c>
      <c r="T455" s="287">
        <f t="shared" si="949"/>
        <v>0</v>
      </c>
      <c r="U455" s="287">
        <f t="shared" si="949"/>
        <v>0</v>
      </c>
      <c r="V455" s="287">
        <f t="shared" si="949"/>
        <v>0</v>
      </c>
      <c r="W455" s="287">
        <f t="shared" si="949"/>
        <v>0</v>
      </c>
      <c r="AA455" s="135"/>
      <c r="AB455" s="289">
        <f t="shared" si="936"/>
        <v>0</v>
      </c>
      <c r="AC455" s="289">
        <f t="shared" si="937"/>
        <v>0</v>
      </c>
      <c r="AD455" s="289">
        <f t="shared" si="938"/>
        <v>0</v>
      </c>
      <c r="AE455" s="289">
        <f t="shared" si="939"/>
        <v>0</v>
      </c>
      <c r="AF455" s="289">
        <f t="shared" si="940"/>
        <v>0</v>
      </c>
      <c r="AG455" s="289">
        <f t="shared" si="941"/>
        <v>0</v>
      </c>
      <c r="AH455" s="289">
        <f t="shared" si="942"/>
        <v>0</v>
      </c>
      <c r="AI455" s="289">
        <f t="shared" si="943"/>
        <v>0</v>
      </c>
      <c r="AJ455" s="289">
        <f t="shared" si="944"/>
        <v>0</v>
      </c>
      <c r="AK455" s="289">
        <f t="shared" si="945"/>
        <v>0</v>
      </c>
      <c r="AL455" s="289">
        <f t="shared" si="946"/>
        <v>0</v>
      </c>
      <c r="AM455" s="289">
        <f t="shared" si="947"/>
        <v>0</v>
      </c>
    </row>
    <row r="456" spans="1:39" outlineLevel="2">
      <c r="A456" s="15"/>
      <c r="B456" s="718"/>
      <c r="C456" s="738"/>
      <c r="D456" s="105" t="s">
        <v>485</v>
      </c>
      <c r="E456" s="709"/>
      <c r="F456" s="92">
        <f>94857.1818019625*1.01</f>
        <v>95805.753619982133</v>
      </c>
      <c r="G456" s="238"/>
      <c r="H456" s="696"/>
      <c r="I456" s="693"/>
      <c r="J456" s="135"/>
      <c r="L456" s="289">
        <f>($G456*курс+$F456)*G$133*G$132*(IF(F$122="Комфорт",1,0)+IF(F$122="Бизнес",1,0))*IF(AND(G$132&gt;30,G$132&lt;=50),1,0)</f>
        <v>0</v>
      </c>
      <c r="M456" s="287">
        <f t="shared" ref="M456:W456" si="950">($G456*курс+$F456)*H$133*H$132*(IF(H$122="Комфорт",1,0)+IF(H$122="Бизнес",1,0))*IF(AND(H$132&gt;30,H$132&lt;=50),1,0)</f>
        <v>0</v>
      </c>
      <c r="N456" s="287">
        <f t="shared" si="950"/>
        <v>0</v>
      </c>
      <c r="O456" s="287">
        <f t="shared" si="950"/>
        <v>0</v>
      </c>
      <c r="P456" s="287">
        <f t="shared" si="950"/>
        <v>0</v>
      </c>
      <c r="Q456" s="287">
        <f t="shared" si="950"/>
        <v>0</v>
      </c>
      <c r="R456" s="287">
        <f t="shared" si="950"/>
        <v>0</v>
      </c>
      <c r="S456" s="287">
        <f t="shared" si="950"/>
        <v>0</v>
      </c>
      <c r="T456" s="287">
        <f t="shared" si="950"/>
        <v>0</v>
      </c>
      <c r="U456" s="287">
        <f t="shared" si="950"/>
        <v>0</v>
      </c>
      <c r="V456" s="287">
        <f t="shared" si="950"/>
        <v>0</v>
      </c>
      <c r="W456" s="287">
        <f t="shared" si="950"/>
        <v>0</v>
      </c>
      <c r="AA456" s="135"/>
      <c r="AB456" s="289">
        <f t="shared" si="936"/>
        <v>0</v>
      </c>
      <c r="AC456" s="289">
        <f t="shared" si="937"/>
        <v>0</v>
      </c>
      <c r="AD456" s="289">
        <f t="shared" si="938"/>
        <v>0</v>
      </c>
      <c r="AE456" s="289">
        <f t="shared" si="939"/>
        <v>0</v>
      </c>
      <c r="AF456" s="289">
        <f t="shared" si="940"/>
        <v>0</v>
      </c>
      <c r="AG456" s="289">
        <f t="shared" si="941"/>
        <v>0</v>
      </c>
      <c r="AH456" s="289">
        <f t="shared" si="942"/>
        <v>0</v>
      </c>
      <c r="AI456" s="289">
        <f t="shared" si="943"/>
        <v>0</v>
      </c>
      <c r="AJ456" s="289">
        <f t="shared" si="944"/>
        <v>0</v>
      </c>
      <c r="AK456" s="289">
        <f t="shared" si="945"/>
        <v>0</v>
      </c>
      <c r="AL456" s="289">
        <f t="shared" si="946"/>
        <v>0</v>
      </c>
      <c r="AM456" s="289">
        <f t="shared" si="947"/>
        <v>0</v>
      </c>
    </row>
    <row r="457" spans="1:39" outlineLevel="2">
      <c r="A457" s="15"/>
      <c r="B457" s="718"/>
      <c r="C457" s="738"/>
      <c r="D457" s="105" t="s">
        <v>486</v>
      </c>
      <c r="E457" s="709"/>
      <c r="F457" s="92">
        <f>75431.2899662593*1.01</f>
        <v>76185.602865921886</v>
      </c>
      <c r="G457" s="238"/>
      <c r="H457" s="696"/>
      <c r="I457" s="693"/>
      <c r="J457" s="135"/>
      <c r="L457" s="289">
        <f>($G457*курс+$F457)*G$133*G$132*(IF(F$122="Комфорт",1,0)+IF(F$122="Бизнес",1,0))*IF(AND(G$132&gt;50,G$132&lt;=75),1,0)</f>
        <v>0</v>
      </c>
      <c r="M457" s="287">
        <f t="shared" ref="M457:W457" si="951">($G457*курс+$F457)*H$133*H$132*(IF(H$122="Комфорт",1,0)+IF(H$122="Бизнес",1,0))*IF(AND(H$132&gt;50,H$132&lt;=75),1,0)</f>
        <v>0</v>
      </c>
      <c r="N457" s="287">
        <f t="shared" si="951"/>
        <v>0</v>
      </c>
      <c r="O457" s="287">
        <f t="shared" si="951"/>
        <v>0</v>
      </c>
      <c r="P457" s="287">
        <f t="shared" si="951"/>
        <v>0</v>
      </c>
      <c r="Q457" s="287">
        <f t="shared" si="951"/>
        <v>0</v>
      </c>
      <c r="R457" s="287">
        <f t="shared" si="951"/>
        <v>0</v>
      </c>
      <c r="S457" s="287">
        <f t="shared" si="951"/>
        <v>0</v>
      </c>
      <c r="T457" s="287">
        <f t="shared" si="951"/>
        <v>0</v>
      </c>
      <c r="U457" s="287">
        <f t="shared" si="951"/>
        <v>0</v>
      </c>
      <c r="V457" s="287">
        <f t="shared" si="951"/>
        <v>0</v>
      </c>
      <c r="W457" s="287">
        <f t="shared" si="951"/>
        <v>0</v>
      </c>
      <c r="AA457" s="135"/>
      <c r="AB457" s="289">
        <f t="shared" si="936"/>
        <v>0</v>
      </c>
      <c r="AC457" s="289">
        <f t="shared" si="937"/>
        <v>0</v>
      </c>
      <c r="AD457" s="289">
        <f t="shared" si="938"/>
        <v>0</v>
      </c>
      <c r="AE457" s="289">
        <f t="shared" si="939"/>
        <v>0</v>
      </c>
      <c r="AF457" s="289">
        <f t="shared" si="940"/>
        <v>0</v>
      </c>
      <c r="AG457" s="289">
        <f t="shared" si="941"/>
        <v>0</v>
      </c>
      <c r="AH457" s="289">
        <f t="shared" si="942"/>
        <v>0</v>
      </c>
      <c r="AI457" s="289">
        <f t="shared" si="943"/>
        <v>0</v>
      </c>
      <c r="AJ457" s="289">
        <f t="shared" si="944"/>
        <v>0</v>
      </c>
      <c r="AK457" s="289">
        <f t="shared" si="945"/>
        <v>0</v>
      </c>
      <c r="AL457" s="289">
        <f t="shared" si="946"/>
        <v>0</v>
      </c>
      <c r="AM457" s="289">
        <f t="shared" si="947"/>
        <v>0</v>
      </c>
    </row>
    <row r="458" spans="1:39" outlineLevel="2">
      <c r="A458" s="15"/>
      <c r="B458" s="718"/>
      <c r="C458" s="700"/>
      <c r="D458" s="25" t="s">
        <v>499</v>
      </c>
      <c r="E458" s="710"/>
      <c r="F458" s="98">
        <f>85006.8170442249*1.01</f>
        <v>85856.885214667142</v>
      </c>
      <c r="G458" s="244"/>
      <c r="H458" s="696"/>
      <c r="I458" s="694"/>
      <c r="J458" s="135"/>
      <c r="L458" s="290">
        <f>($G458*курс+$F458)*G$133*G$132*(IF(F$122="Комфорт",1,0)+IF(F$122="Бизнес",1,0))*IF(AND(G$132&gt;75,G$132&lt;=140),1,0)</f>
        <v>0</v>
      </c>
      <c r="M458" s="288">
        <f t="shared" ref="M458:W458" si="952">($G458*курс+$F458)*H$133*H$132*(IF(H$122="Комфорт",1,0)+IF(H$122="Бизнес",1,0))*IF(AND(H$132&gt;75,H$132&lt;=140),1,0)</f>
        <v>0</v>
      </c>
      <c r="N458" s="288">
        <f t="shared" si="952"/>
        <v>0</v>
      </c>
      <c r="O458" s="288">
        <f t="shared" si="952"/>
        <v>0</v>
      </c>
      <c r="P458" s="288">
        <f t="shared" si="952"/>
        <v>0</v>
      </c>
      <c r="Q458" s="288">
        <f t="shared" si="952"/>
        <v>0</v>
      </c>
      <c r="R458" s="288">
        <f t="shared" si="952"/>
        <v>0</v>
      </c>
      <c r="S458" s="288">
        <f t="shared" si="952"/>
        <v>0</v>
      </c>
      <c r="T458" s="288">
        <f t="shared" si="952"/>
        <v>0</v>
      </c>
      <c r="U458" s="288">
        <f t="shared" si="952"/>
        <v>0</v>
      </c>
      <c r="V458" s="288">
        <f t="shared" si="952"/>
        <v>0</v>
      </c>
      <c r="W458" s="288">
        <f t="shared" si="952"/>
        <v>0</v>
      </c>
      <c r="AA458" s="135"/>
      <c r="AB458" s="290">
        <f t="shared" si="936"/>
        <v>0</v>
      </c>
      <c r="AC458" s="290">
        <f t="shared" si="937"/>
        <v>0</v>
      </c>
      <c r="AD458" s="290">
        <f t="shared" si="938"/>
        <v>0</v>
      </c>
      <c r="AE458" s="290">
        <f t="shared" si="939"/>
        <v>0</v>
      </c>
      <c r="AF458" s="290">
        <f t="shared" si="940"/>
        <v>0</v>
      </c>
      <c r="AG458" s="290">
        <f t="shared" si="941"/>
        <v>0</v>
      </c>
      <c r="AH458" s="290">
        <f t="shared" si="942"/>
        <v>0</v>
      </c>
      <c r="AI458" s="290">
        <f t="shared" si="943"/>
        <v>0</v>
      </c>
      <c r="AJ458" s="290">
        <f t="shared" si="944"/>
        <v>0</v>
      </c>
      <c r="AK458" s="290">
        <f t="shared" si="945"/>
        <v>0</v>
      </c>
      <c r="AL458" s="290">
        <f t="shared" si="946"/>
        <v>0</v>
      </c>
      <c r="AM458" s="290">
        <f t="shared" si="947"/>
        <v>0</v>
      </c>
    </row>
    <row r="459" spans="1:39" outlineLevel="2">
      <c r="A459" s="15"/>
      <c r="B459" s="718"/>
      <c r="C459" s="724" t="s">
        <v>43</v>
      </c>
      <c r="D459" s="23" t="s">
        <v>843</v>
      </c>
      <c r="E459" s="854" t="s">
        <v>30</v>
      </c>
      <c r="F459" s="94">
        <f>50209.2652205518*1.01</f>
        <v>50711.357872757319</v>
      </c>
      <c r="G459" s="94">
        <f>6667.52953131892*1.01</f>
        <v>6734.204826632109</v>
      </c>
      <c r="H459" s="696"/>
      <c r="I459" s="692"/>
      <c r="J459" s="135"/>
      <c r="L459" s="190">
        <f>($G459*курс+$F459)*G$133*G$132*IF(F$122="Бизнес+",1,0)*IF(G$132&lt;=10,1,0)</f>
        <v>0</v>
      </c>
      <c r="M459" s="286">
        <f t="shared" ref="M459:W459" si="953">($G459*курс+$F459)*H$133*H$132*IF(H$122="Бизнес+",1,0)*IF(H$132&lt;=10,1,0)</f>
        <v>0</v>
      </c>
      <c r="N459" s="286">
        <f t="shared" si="953"/>
        <v>0</v>
      </c>
      <c r="O459" s="286">
        <f t="shared" si="953"/>
        <v>0</v>
      </c>
      <c r="P459" s="286">
        <f t="shared" si="953"/>
        <v>0</v>
      </c>
      <c r="Q459" s="286">
        <f t="shared" si="953"/>
        <v>0</v>
      </c>
      <c r="R459" s="286">
        <f t="shared" si="953"/>
        <v>0</v>
      </c>
      <c r="S459" s="286">
        <f t="shared" si="953"/>
        <v>0</v>
      </c>
      <c r="T459" s="286">
        <f t="shared" si="953"/>
        <v>0</v>
      </c>
      <c r="U459" s="286">
        <f t="shared" si="953"/>
        <v>0</v>
      </c>
      <c r="V459" s="286">
        <f t="shared" si="953"/>
        <v>0</v>
      </c>
      <c r="W459" s="286">
        <f t="shared" si="953"/>
        <v>0</v>
      </c>
      <c r="AA459" s="135"/>
      <c r="AB459" s="438">
        <f t="shared" si="936"/>
        <v>0</v>
      </c>
      <c r="AC459" s="438">
        <f t="shared" si="937"/>
        <v>0</v>
      </c>
      <c r="AD459" s="438">
        <f t="shared" si="938"/>
        <v>0</v>
      </c>
      <c r="AE459" s="438">
        <f t="shared" si="939"/>
        <v>0</v>
      </c>
      <c r="AF459" s="438">
        <f t="shared" si="940"/>
        <v>0</v>
      </c>
      <c r="AG459" s="438">
        <f t="shared" si="941"/>
        <v>0</v>
      </c>
      <c r="AH459" s="438">
        <f t="shared" si="942"/>
        <v>0</v>
      </c>
      <c r="AI459" s="438">
        <f t="shared" si="943"/>
        <v>0</v>
      </c>
      <c r="AJ459" s="438">
        <f t="shared" si="944"/>
        <v>0</v>
      </c>
      <c r="AK459" s="438">
        <f t="shared" si="945"/>
        <v>0</v>
      </c>
      <c r="AL459" s="438">
        <f t="shared" si="946"/>
        <v>0</v>
      </c>
      <c r="AM459" s="438">
        <f t="shared" si="947"/>
        <v>0</v>
      </c>
    </row>
    <row r="460" spans="1:39" outlineLevel="2">
      <c r="A460" s="15"/>
      <c r="B460" s="718"/>
      <c r="C460" s="891"/>
      <c r="D460" s="105" t="s">
        <v>844</v>
      </c>
      <c r="E460" s="874"/>
      <c r="F460" s="108">
        <f>29357.5142894173*1.01</f>
        <v>29651.089432311474</v>
      </c>
      <c r="G460" s="108">
        <f>3898.52535445361*1.01</f>
        <v>3937.510607998146</v>
      </c>
      <c r="H460" s="696"/>
      <c r="I460" s="693"/>
      <c r="J460" s="135"/>
      <c r="K460" s="250"/>
      <c r="L460" s="289">
        <f>($G460*курс+$F460)*G$133*G$132*IF(F$122="Бизнес+",1,0)*IF(AND(G$132&gt;10,G$132&lt;=15),1,0)</f>
        <v>0</v>
      </c>
      <c r="M460" s="287">
        <f t="shared" ref="M460:W460" si="954">($G460*курс+$F460)*H$133*H$132*IF(H$122="Бизнес+",1,0)*IF(AND(H$132&gt;10,H$132&lt;=15),1,0)</f>
        <v>0</v>
      </c>
      <c r="N460" s="287">
        <f t="shared" si="954"/>
        <v>0</v>
      </c>
      <c r="O460" s="287">
        <f t="shared" si="954"/>
        <v>0</v>
      </c>
      <c r="P460" s="287">
        <f t="shared" si="954"/>
        <v>0</v>
      </c>
      <c r="Q460" s="287">
        <f t="shared" si="954"/>
        <v>0</v>
      </c>
      <c r="R460" s="287">
        <f t="shared" si="954"/>
        <v>0</v>
      </c>
      <c r="S460" s="287">
        <f t="shared" si="954"/>
        <v>0</v>
      </c>
      <c r="T460" s="287">
        <f t="shared" si="954"/>
        <v>0</v>
      </c>
      <c r="U460" s="287">
        <f t="shared" si="954"/>
        <v>0</v>
      </c>
      <c r="V460" s="287">
        <f t="shared" si="954"/>
        <v>0</v>
      </c>
      <c r="W460" s="287">
        <f t="shared" si="954"/>
        <v>0</v>
      </c>
      <c r="AA460" s="135"/>
      <c r="AB460" s="289">
        <f t="shared" si="936"/>
        <v>0</v>
      </c>
      <c r="AC460" s="289">
        <f t="shared" si="937"/>
        <v>0</v>
      </c>
      <c r="AD460" s="289">
        <f t="shared" si="938"/>
        <v>0</v>
      </c>
      <c r="AE460" s="289">
        <f t="shared" si="939"/>
        <v>0</v>
      </c>
      <c r="AF460" s="289">
        <f t="shared" si="940"/>
        <v>0</v>
      </c>
      <c r="AG460" s="289">
        <f t="shared" si="941"/>
        <v>0</v>
      </c>
      <c r="AH460" s="289">
        <f t="shared" si="942"/>
        <v>0</v>
      </c>
      <c r="AI460" s="289">
        <f t="shared" si="943"/>
        <v>0</v>
      </c>
      <c r="AJ460" s="289">
        <f t="shared" si="944"/>
        <v>0</v>
      </c>
      <c r="AK460" s="289">
        <f t="shared" si="945"/>
        <v>0</v>
      </c>
      <c r="AL460" s="289">
        <f t="shared" si="946"/>
        <v>0</v>
      </c>
      <c r="AM460" s="289">
        <f t="shared" si="947"/>
        <v>0</v>
      </c>
    </row>
    <row r="461" spans="1:39" outlineLevel="2">
      <c r="A461" s="15"/>
      <c r="B461" s="718"/>
      <c r="C461" s="891"/>
      <c r="D461" s="105" t="s">
        <v>484</v>
      </c>
      <c r="E461" s="874"/>
      <c r="F461" s="92">
        <f>12759.3414449704*1.01</f>
        <v>12886.934859420104</v>
      </c>
      <c r="G461" s="92">
        <f>1694.37424568601*1.01</f>
        <v>1711.31798814287</v>
      </c>
      <c r="H461" s="696"/>
      <c r="I461" s="693"/>
      <c r="J461" s="135"/>
      <c r="L461" s="289">
        <f>($G461*курс+$F461)*G$133*G$132*IF(F$122="Бизнес+",1,0)*IF(AND(G$132&gt;15,G$132&lt;=30),1,0)</f>
        <v>0</v>
      </c>
      <c r="M461" s="287">
        <f t="shared" ref="M461:W461" si="955">($G461*курс+$F461)*H$133*H$132*IF(H$122="Бизнес+",1,0)*IF(AND(H$132&gt;15,H$132&lt;=30),1,0)</f>
        <v>0</v>
      </c>
      <c r="N461" s="287">
        <f t="shared" si="955"/>
        <v>0</v>
      </c>
      <c r="O461" s="287">
        <f t="shared" si="955"/>
        <v>0</v>
      </c>
      <c r="P461" s="287">
        <f t="shared" si="955"/>
        <v>0</v>
      </c>
      <c r="Q461" s="287">
        <f t="shared" si="955"/>
        <v>0</v>
      </c>
      <c r="R461" s="287">
        <f t="shared" si="955"/>
        <v>0</v>
      </c>
      <c r="S461" s="287">
        <f t="shared" si="955"/>
        <v>0</v>
      </c>
      <c r="T461" s="287">
        <f t="shared" si="955"/>
        <v>0</v>
      </c>
      <c r="U461" s="287">
        <f t="shared" si="955"/>
        <v>0</v>
      </c>
      <c r="V461" s="287">
        <f t="shared" si="955"/>
        <v>0</v>
      </c>
      <c r="W461" s="287">
        <f t="shared" si="955"/>
        <v>0</v>
      </c>
      <c r="AA461" s="135"/>
      <c r="AB461" s="289">
        <f t="shared" si="936"/>
        <v>0</v>
      </c>
      <c r="AC461" s="289">
        <f t="shared" si="937"/>
        <v>0</v>
      </c>
      <c r="AD461" s="289">
        <f t="shared" si="938"/>
        <v>0</v>
      </c>
      <c r="AE461" s="289">
        <f t="shared" si="939"/>
        <v>0</v>
      </c>
      <c r="AF461" s="289">
        <f t="shared" si="940"/>
        <v>0</v>
      </c>
      <c r="AG461" s="289">
        <f t="shared" si="941"/>
        <v>0</v>
      </c>
      <c r="AH461" s="289">
        <f t="shared" si="942"/>
        <v>0</v>
      </c>
      <c r="AI461" s="289">
        <f t="shared" si="943"/>
        <v>0</v>
      </c>
      <c r="AJ461" s="289">
        <f t="shared" si="944"/>
        <v>0</v>
      </c>
      <c r="AK461" s="289">
        <f t="shared" si="945"/>
        <v>0</v>
      </c>
      <c r="AL461" s="289">
        <f t="shared" si="946"/>
        <v>0</v>
      </c>
      <c r="AM461" s="289">
        <f t="shared" si="947"/>
        <v>0</v>
      </c>
    </row>
    <row r="462" spans="1:39" outlineLevel="2">
      <c r="A462" s="15"/>
      <c r="B462" s="718"/>
      <c r="C462" s="891"/>
      <c r="D462" s="105" t="s">
        <v>485</v>
      </c>
      <c r="E462" s="874"/>
      <c r="F462" s="92">
        <f>10688.5577140187*1.01</f>
        <v>10795.443291158886</v>
      </c>
      <c r="G462" s="92">
        <f>1373.94556002289*1.01</f>
        <v>1387.6850156231189</v>
      </c>
      <c r="H462" s="696"/>
      <c r="I462" s="693"/>
      <c r="J462" s="135"/>
      <c r="L462" s="289">
        <f>($G462*курс+$F462)*G$133*G$132*IF(F$122="Бизнес+",1,0)*IF(AND(G$132&gt;30,G$132&lt;=50),1,0)</f>
        <v>0</v>
      </c>
      <c r="M462" s="287">
        <f t="shared" ref="M462:W462" si="956">($G462*курс+$F462)*H$133*H$132*IF(H$122="Бизнес+",1,0)*IF(AND(H$132&gt;30,H$132&lt;=50),1,0)</f>
        <v>0</v>
      </c>
      <c r="N462" s="287">
        <f t="shared" si="956"/>
        <v>0</v>
      </c>
      <c r="O462" s="287">
        <f t="shared" si="956"/>
        <v>0</v>
      </c>
      <c r="P462" s="287">
        <f t="shared" si="956"/>
        <v>0</v>
      </c>
      <c r="Q462" s="287">
        <f t="shared" si="956"/>
        <v>0</v>
      </c>
      <c r="R462" s="287">
        <f t="shared" si="956"/>
        <v>0</v>
      </c>
      <c r="S462" s="287">
        <f t="shared" si="956"/>
        <v>0</v>
      </c>
      <c r="T462" s="287">
        <f t="shared" si="956"/>
        <v>0</v>
      </c>
      <c r="U462" s="287">
        <f t="shared" si="956"/>
        <v>0</v>
      </c>
      <c r="V462" s="287">
        <f t="shared" si="956"/>
        <v>0</v>
      </c>
      <c r="W462" s="287">
        <f t="shared" si="956"/>
        <v>0</v>
      </c>
      <c r="AA462" s="135"/>
      <c r="AB462" s="289">
        <f t="shared" si="936"/>
        <v>0</v>
      </c>
      <c r="AC462" s="289">
        <f t="shared" si="937"/>
        <v>0</v>
      </c>
      <c r="AD462" s="289">
        <f t="shared" si="938"/>
        <v>0</v>
      </c>
      <c r="AE462" s="289">
        <f t="shared" si="939"/>
        <v>0</v>
      </c>
      <c r="AF462" s="289">
        <f t="shared" si="940"/>
        <v>0</v>
      </c>
      <c r="AG462" s="289">
        <f t="shared" si="941"/>
        <v>0</v>
      </c>
      <c r="AH462" s="289">
        <f t="shared" si="942"/>
        <v>0</v>
      </c>
      <c r="AI462" s="289">
        <f t="shared" si="943"/>
        <v>0</v>
      </c>
      <c r="AJ462" s="289">
        <f t="shared" si="944"/>
        <v>0</v>
      </c>
      <c r="AK462" s="289">
        <f t="shared" si="945"/>
        <v>0</v>
      </c>
      <c r="AL462" s="289">
        <f t="shared" si="946"/>
        <v>0</v>
      </c>
      <c r="AM462" s="289">
        <f t="shared" si="947"/>
        <v>0</v>
      </c>
    </row>
    <row r="463" spans="1:39" outlineLevel="2">
      <c r="A463" s="15"/>
      <c r="B463" s="718"/>
      <c r="C463" s="891"/>
      <c r="D463" s="105" t="s">
        <v>486</v>
      </c>
      <c r="E463" s="874"/>
      <c r="F463" s="92">
        <f>9586.15752027961*1.01</f>
        <v>9682.0190954824066</v>
      </c>
      <c r="G463" s="92">
        <f>1113.36842118784*1.01</f>
        <v>1124.5021053997186</v>
      </c>
      <c r="H463" s="696"/>
      <c r="I463" s="693"/>
      <c r="J463" s="135"/>
      <c r="L463" s="289">
        <f>($G463*курс+$F463)*G$133*G$132*IF(F$122="Бизнес+",1,0)*IF(AND(G$132&gt;50,G$132&lt;=75),1,0)</f>
        <v>0</v>
      </c>
      <c r="M463" s="287">
        <f t="shared" ref="M463:W463" si="957">($G463*курс+$F463)*H$133*H$132*IF(H$122="Бизнес+",1,0)*IF(AND(H$132&gt;50,H$132&lt;=75),1,0)</f>
        <v>0</v>
      </c>
      <c r="N463" s="287">
        <f t="shared" si="957"/>
        <v>0</v>
      </c>
      <c r="O463" s="287">
        <f t="shared" si="957"/>
        <v>0</v>
      </c>
      <c r="P463" s="287">
        <f t="shared" si="957"/>
        <v>0</v>
      </c>
      <c r="Q463" s="287">
        <f t="shared" si="957"/>
        <v>0</v>
      </c>
      <c r="R463" s="287">
        <f t="shared" si="957"/>
        <v>0</v>
      </c>
      <c r="S463" s="287">
        <f t="shared" si="957"/>
        <v>0</v>
      </c>
      <c r="T463" s="287">
        <f t="shared" si="957"/>
        <v>0</v>
      </c>
      <c r="U463" s="287">
        <f t="shared" si="957"/>
        <v>0</v>
      </c>
      <c r="V463" s="287">
        <f t="shared" si="957"/>
        <v>0</v>
      </c>
      <c r="W463" s="287">
        <f t="shared" si="957"/>
        <v>0</v>
      </c>
      <c r="AA463" s="135"/>
      <c r="AB463" s="289">
        <f t="shared" si="936"/>
        <v>0</v>
      </c>
      <c r="AC463" s="289">
        <f t="shared" si="937"/>
        <v>0</v>
      </c>
      <c r="AD463" s="289">
        <f t="shared" si="938"/>
        <v>0</v>
      </c>
      <c r="AE463" s="289">
        <f t="shared" si="939"/>
        <v>0</v>
      </c>
      <c r="AF463" s="289">
        <f t="shared" si="940"/>
        <v>0</v>
      </c>
      <c r="AG463" s="289">
        <f t="shared" si="941"/>
        <v>0</v>
      </c>
      <c r="AH463" s="289">
        <f t="shared" si="942"/>
        <v>0</v>
      </c>
      <c r="AI463" s="289">
        <f t="shared" si="943"/>
        <v>0</v>
      </c>
      <c r="AJ463" s="289">
        <f t="shared" si="944"/>
        <v>0</v>
      </c>
      <c r="AK463" s="289">
        <f t="shared" si="945"/>
        <v>0</v>
      </c>
      <c r="AL463" s="289">
        <f t="shared" si="946"/>
        <v>0</v>
      </c>
      <c r="AM463" s="289">
        <f t="shared" si="947"/>
        <v>0</v>
      </c>
    </row>
    <row r="464" spans="1:39" outlineLevel="2">
      <c r="A464" s="15"/>
      <c r="B464" s="718"/>
      <c r="C464" s="725"/>
      <c r="D464" s="25" t="s">
        <v>499</v>
      </c>
      <c r="E464" s="855"/>
      <c r="F464" s="98">
        <f>9162.23875432527*1.01</f>
        <v>9253.8611418685232</v>
      </c>
      <c r="G464" s="98">
        <f>986.80417570817*1.01</f>
        <v>996.67221746525172</v>
      </c>
      <c r="H464" s="696"/>
      <c r="I464" s="694"/>
      <c r="J464" s="135"/>
      <c r="L464" s="290">
        <f>($G464*курс+$F464)*G$133*G$132*IF(F$122="Бизнес+",1,0)*IF(AND(G$132&gt;75,G$132&lt;=140),1,0)</f>
        <v>0</v>
      </c>
      <c r="M464" s="288">
        <f t="shared" ref="M464:W464" si="958">($G464*курс+$F464)*H$133*H$132*IF(H$122="Бизнес+",1,0)*IF(AND(H$132&gt;75,H$132&lt;=140),1,0)</f>
        <v>0</v>
      </c>
      <c r="N464" s="288">
        <f t="shared" si="958"/>
        <v>0</v>
      </c>
      <c r="O464" s="288">
        <f t="shared" si="958"/>
        <v>0</v>
      </c>
      <c r="P464" s="288">
        <f t="shared" si="958"/>
        <v>0</v>
      </c>
      <c r="Q464" s="288">
        <f t="shared" si="958"/>
        <v>0</v>
      </c>
      <c r="R464" s="288">
        <f t="shared" si="958"/>
        <v>0</v>
      </c>
      <c r="S464" s="288">
        <f t="shared" si="958"/>
        <v>0</v>
      </c>
      <c r="T464" s="288">
        <f t="shared" si="958"/>
        <v>0</v>
      </c>
      <c r="U464" s="288">
        <f t="shared" si="958"/>
        <v>0</v>
      </c>
      <c r="V464" s="288">
        <f t="shared" si="958"/>
        <v>0</v>
      </c>
      <c r="W464" s="288">
        <f t="shared" si="958"/>
        <v>0</v>
      </c>
      <c r="AA464" s="135"/>
      <c r="AB464" s="290">
        <f t="shared" si="936"/>
        <v>0</v>
      </c>
      <c r="AC464" s="290">
        <f t="shared" si="937"/>
        <v>0</v>
      </c>
      <c r="AD464" s="290">
        <f t="shared" si="938"/>
        <v>0</v>
      </c>
      <c r="AE464" s="290">
        <f t="shared" si="939"/>
        <v>0</v>
      </c>
      <c r="AF464" s="290">
        <f t="shared" si="940"/>
        <v>0</v>
      </c>
      <c r="AG464" s="290">
        <f t="shared" si="941"/>
        <v>0</v>
      </c>
      <c r="AH464" s="290">
        <f t="shared" si="942"/>
        <v>0</v>
      </c>
      <c r="AI464" s="290">
        <f t="shared" si="943"/>
        <v>0</v>
      </c>
      <c r="AJ464" s="290">
        <f t="shared" si="944"/>
        <v>0</v>
      </c>
      <c r="AK464" s="290">
        <f t="shared" si="945"/>
        <v>0</v>
      </c>
      <c r="AL464" s="290">
        <f t="shared" si="946"/>
        <v>0</v>
      </c>
      <c r="AM464" s="290">
        <f t="shared" si="947"/>
        <v>0</v>
      </c>
    </row>
    <row r="465" spans="1:39" ht="15.75" customHeight="1" outlineLevel="2">
      <c r="A465" s="15"/>
      <c r="B465" s="718"/>
      <c r="C465" s="724" t="s">
        <v>277</v>
      </c>
      <c r="D465" s="23" t="s">
        <v>843</v>
      </c>
      <c r="E465" s="854" t="s">
        <v>46</v>
      </c>
      <c r="F465" s="94">
        <f>60696.1343701136*1.01</f>
        <v>61303.095713814735</v>
      </c>
      <c r="G465" s="94">
        <f>7849.94547651341*1.01</f>
        <v>7928.4449312785437</v>
      </c>
      <c r="H465" s="696"/>
      <c r="I465" s="692"/>
      <c r="J465" s="135"/>
      <c r="L465" s="190">
        <f>($G465*курс+$F465)*G$133*G$132*(IF(F$122="Премиум",1,0)+IF(F$122="Элит",1,0))*IF(G$132&lt;=10,1,0)</f>
        <v>0</v>
      </c>
      <c r="M465" s="190">
        <f t="shared" ref="M465:W465" si="959">($G465*курс+$F465)*H$133*H$132*(IF(H$122="Премиум",1,0)+IF(H$122="Элит",1,0))*IF(H$132&lt;=10,1,0)</f>
        <v>0</v>
      </c>
      <c r="N465" s="438">
        <f t="shared" si="959"/>
        <v>0</v>
      </c>
      <c r="O465" s="438">
        <f t="shared" si="959"/>
        <v>0</v>
      </c>
      <c r="P465" s="438">
        <f t="shared" si="959"/>
        <v>0</v>
      </c>
      <c r="Q465" s="438">
        <f t="shared" si="959"/>
        <v>0</v>
      </c>
      <c r="R465" s="438">
        <f t="shared" si="959"/>
        <v>0</v>
      </c>
      <c r="S465" s="438">
        <f t="shared" si="959"/>
        <v>0</v>
      </c>
      <c r="T465" s="438">
        <f t="shared" si="959"/>
        <v>0</v>
      </c>
      <c r="U465" s="438">
        <f t="shared" si="959"/>
        <v>0</v>
      </c>
      <c r="V465" s="438">
        <f t="shared" si="959"/>
        <v>0</v>
      </c>
      <c r="W465" s="438">
        <f t="shared" si="959"/>
        <v>0</v>
      </c>
      <c r="AA465" s="135"/>
      <c r="AB465" s="438">
        <f t="shared" si="936"/>
        <v>0</v>
      </c>
      <c r="AC465" s="438">
        <f t="shared" si="937"/>
        <v>0</v>
      </c>
      <c r="AD465" s="438">
        <f t="shared" si="938"/>
        <v>0</v>
      </c>
      <c r="AE465" s="438">
        <f t="shared" si="939"/>
        <v>0</v>
      </c>
      <c r="AF465" s="438">
        <f t="shared" si="940"/>
        <v>0</v>
      </c>
      <c r="AG465" s="438">
        <f t="shared" si="941"/>
        <v>0</v>
      </c>
      <c r="AH465" s="438">
        <f t="shared" si="942"/>
        <v>0</v>
      </c>
      <c r="AI465" s="438">
        <f t="shared" si="943"/>
        <v>0</v>
      </c>
      <c r="AJ465" s="438">
        <f t="shared" si="944"/>
        <v>0</v>
      </c>
      <c r="AK465" s="438">
        <f t="shared" si="945"/>
        <v>0</v>
      </c>
      <c r="AL465" s="438">
        <f t="shared" si="946"/>
        <v>0</v>
      </c>
      <c r="AM465" s="438">
        <f t="shared" si="947"/>
        <v>0</v>
      </c>
    </row>
    <row r="466" spans="1:39" ht="15.75" customHeight="1" outlineLevel="2">
      <c r="A466" s="15"/>
      <c r="B466" s="718"/>
      <c r="C466" s="891"/>
      <c r="D466" s="105" t="s">
        <v>844</v>
      </c>
      <c r="E466" s="874"/>
      <c r="F466" s="108">
        <f>35489.2194549311*1.01</f>
        <v>35844.111649480416</v>
      </c>
      <c r="G466" s="108">
        <f>4589.88765291787*1.01</f>
        <v>4635.7865294470485</v>
      </c>
      <c r="H466" s="696"/>
      <c r="I466" s="693"/>
      <c r="J466" s="135"/>
      <c r="K466" s="250"/>
      <c r="L466" s="289">
        <f>($G466*курс+$F466)*G$133*G$132*(IF(F$122="Премиум",1,0)+IF(F$122="Элит",1,0))*IF(AND(G$132&gt;10,G$132&lt;=15),1,0)</f>
        <v>0</v>
      </c>
      <c r="M466" s="289">
        <f t="shared" ref="M466:W466" si="960">($G466*курс+$F466)*H$133*H$132*(IF(H$122="Премиум",1,0)+IF(H$122="Элит",1,0))*IF(AND(H$132&gt;10,H$132&lt;=15),1,0)</f>
        <v>0</v>
      </c>
      <c r="N466" s="289">
        <f t="shared" si="960"/>
        <v>0</v>
      </c>
      <c r="O466" s="289">
        <f t="shared" si="960"/>
        <v>0</v>
      </c>
      <c r="P466" s="289">
        <f t="shared" si="960"/>
        <v>0</v>
      </c>
      <c r="Q466" s="289">
        <f t="shared" si="960"/>
        <v>0</v>
      </c>
      <c r="R466" s="289">
        <f t="shared" si="960"/>
        <v>0</v>
      </c>
      <c r="S466" s="289">
        <f t="shared" si="960"/>
        <v>0</v>
      </c>
      <c r="T466" s="289">
        <f t="shared" si="960"/>
        <v>0</v>
      </c>
      <c r="U466" s="289">
        <f t="shared" si="960"/>
        <v>0</v>
      </c>
      <c r="V466" s="289">
        <f t="shared" si="960"/>
        <v>0</v>
      </c>
      <c r="W466" s="289">
        <f t="shared" si="960"/>
        <v>0</v>
      </c>
      <c r="AA466" s="135"/>
      <c r="AB466" s="289">
        <f t="shared" si="936"/>
        <v>0</v>
      </c>
      <c r="AC466" s="289">
        <f t="shared" si="937"/>
        <v>0</v>
      </c>
      <c r="AD466" s="289">
        <f t="shared" si="938"/>
        <v>0</v>
      </c>
      <c r="AE466" s="289">
        <f t="shared" si="939"/>
        <v>0</v>
      </c>
      <c r="AF466" s="289">
        <f t="shared" si="940"/>
        <v>0</v>
      </c>
      <c r="AG466" s="289">
        <f t="shared" si="941"/>
        <v>0</v>
      </c>
      <c r="AH466" s="289">
        <f t="shared" si="942"/>
        <v>0</v>
      </c>
      <c r="AI466" s="289">
        <f t="shared" si="943"/>
        <v>0</v>
      </c>
      <c r="AJ466" s="289">
        <f t="shared" si="944"/>
        <v>0</v>
      </c>
      <c r="AK466" s="289">
        <f t="shared" si="945"/>
        <v>0</v>
      </c>
      <c r="AL466" s="289">
        <f t="shared" si="946"/>
        <v>0</v>
      </c>
      <c r="AM466" s="289">
        <f t="shared" si="947"/>
        <v>0</v>
      </c>
    </row>
    <row r="467" spans="1:39" ht="15.75" customHeight="1" outlineLevel="2">
      <c r="A467" s="15"/>
      <c r="B467" s="718"/>
      <c r="C467" s="891"/>
      <c r="D467" s="105" t="s">
        <v>484</v>
      </c>
      <c r="E467" s="874"/>
      <c r="F467" s="92">
        <f>15424.2986710964*1.01</f>
        <v>15578.541657807364</v>
      </c>
      <c r="G467" s="92">
        <f>1994.85362351484*1.01</f>
        <v>2014.8021597499883</v>
      </c>
      <c r="H467" s="696"/>
      <c r="I467" s="693"/>
      <c r="J467" s="135"/>
      <c r="L467" s="289">
        <f>($G467*курс+$F467)*G$133*G$132*(IF(F$122="Премиум",1,0)+IF(F$122="Элит",1,0))*IF(AND(G$132&gt;15,G$132&lt;=30),1,0)</f>
        <v>0</v>
      </c>
      <c r="M467" s="289">
        <f t="shared" ref="M467:W467" si="961">($G467*курс+$F467)*H$133*H$132*(IF(H$122="Премиум",1,0)+IF(H$122="Элит",1,0))*IF(AND(H$132&gt;15,H$132&lt;=30),1,0)</f>
        <v>0</v>
      </c>
      <c r="N467" s="289">
        <f t="shared" si="961"/>
        <v>0</v>
      </c>
      <c r="O467" s="289">
        <f t="shared" si="961"/>
        <v>0</v>
      </c>
      <c r="P467" s="289">
        <f t="shared" si="961"/>
        <v>0</v>
      </c>
      <c r="Q467" s="289">
        <f t="shared" si="961"/>
        <v>0</v>
      </c>
      <c r="R467" s="289">
        <f t="shared" si="961"/>
        <v>0</v>
      </c>
      <c r="S467" s="289">
        <f t="shared" si="961"/>
        <v>0</v>
      </c>
      <c r="T467" s="289">
        <f t="shared" si="961"/>
        <v>0</v>
      </c>
      <c r="U467" s="289">
        <f t="shared" si="961"/>
        <v>0</v>
      </c>
      <c r="V467" s="289">
        <f t="shared" si="961"/>
        <v>0</v>
      </c>
      <c r="W467" s="289">
        <f t="shared" si="961"/>
        <v>0</v>
      </c>
      <c r="AB467" s="289">
        <f t="shared" si="936"/>
        <v>0</v>
      </c>
      <c r="AC467" s="289">
        <f t="shared" si="937"/>
        <v>0</v>
      </c>
      <c r="AD467" s="289">
        <f t="shared" si="938"/>
        <v>0</v>
      </c>
      <c r="AE467" s="289">
        <f t="shared" si="939"/>
        <v>0</v>
      </c>
      <c r="AF467" s="289">
        <f t="shared" si="940"/>
        <v>0</v>
      </c>
      <c r="AG467" s="289">
        <f t="shared" si="941"/>
        <v>0</v>
      </c>
      <c r="AH467" s="289">
        <f t="shared" si="942"/>
        <v>0</v>
      </c>
      <c r="AI467" s="289">
        <f t="shared" si="943"/>
        <v>0</v>
      </c>
      <c r="AJ467" s="289">
        <f t="shared" si="944"/>
        <v>0</v>
      </c>
      <c r="AK467" s="289">
        <f t="shared" si="945"/>
        <v>0</v>
      </c>
      <c r="AL467" s="289">
        <f t="shared" si="946"/>
        <v>0</v>
      </c>
      <c r="AM467" s="289">
        <f t="shared" si="947"/>
        <v>0</v>
      </c>
    </row>
    <row r="468" spans="1:39" ht="15.75" customHeight="1" outlineLevel="2">
      <c r="A468" s="15"/>
      <c r="B468" s="718"/>
      <c r="C468" s="891"/>
      <c r="D468" s="105" t="s">
        <v>485</v>
      </c>
      <c r="E468" s="874"/>
      <c r="F468" s="92">
        <v>0</v>
      </c>
      <c r="G468" s="92">
        <f>2134.10014654243*1.01</f>
        <v>2155.4411480078543</v>
      </c>
      <c r="H468" s="696"/>
      <c r="I468" s="693"/>
      <c r="J468" s="135"/>
      <c r="L468" s="289">
        <f>($G468*курс+$F468)*G$133*G$132*(IF(F$122="Премиум",1,0)+IF(F$122="Элит",1,0))*IF(AND(G$132&gt;30,G$132&lt;=50),1,0)</f>
        <v>0</v>
      </c>
      <c r="M468" s="289">
        <f t="shared" ref="M468:W468" si="962">($G468*курс+$F468)*H$133*H$132*(IF(H$122="Премиум",1,0)+IF(H$122="Элит",1,0))*IF(AND(H$132&gt;30,H$132&lt;=50),1,0)</f>
        <v>0</v>
      </c>
      <c r="N468" s="289">
        <f t="shared" si="962"/>
        <v>0</v>
      </c>
      <c r="O468" s="289">
        <f t="shared" si="962"/>
        <v>0</v>
      </c>
      <c r="P468" s="289">
        <f t="shared" si="962"/>
        <v>0</v>
      </c>
      <c r="Q468" s="289">
        <f t="shared" si="962"/>
        <v>0</v>
      </c>
      <c r="R468" s="289">
        <f t="shared" si="962"/>
        <v>0</v>
      </c>
      <c r="S468" s="289">
        <f t="shared" si="962"/>
        <v>0</v>
      </c>
      <c r="T468" s="289">
        <f t="shared" si="962"/>
        <v>0</v>
      </c>
      <c r="U468" s="289">
        <f t="shared" si="962"/>
        <v>0</v>
      </c>
      <c r="V468" s="289">
        <f t="shared" si="962"/>
        <v>0</v>
      </c>
      <c r="W468" s="289">
        <f t="shared" si="962"/>
        <v>0</v>
      </c>
      <c r="AB468" s="289">
        <f t="shared" si="936"/>
        <v>0</v>
      </c>
      <c r="AC468" s="289">
        <f t="shared" si="937"/>
        <v>0</v>
      </c>
      <c r="AD468" s="289">
        <f t="shared" si="938"/>
        <v>0</v>
      </c>
      <c r="AE468" s="289">
        <f t="shared" si="939"/>
        <v>0</v>
      </c>
      <c r="AF468" s="289">
        <f t="shared" si="940"/>
        <v>0</v>
      </c>
      <c r="AG468" s="289">
        <f t="shared" si="941"/>
        <v>0</v>
      </c>
      <c r="AH468" s="289">
        <f t="shared" si="942"/>
        <v>0</v>
      </c>
      <c r="AI468" s="289">
        <f t="shared" si="943"/>
        <v>0</v>
      </c>
      <c r="AJ468" s="289">
        <f t="shared" si="944"/>
        <v>0</v>
      </c>
      <c r="AK468" s="289">
        <f t="shared" si="945"/>
        <v>0</v>
      </c>
      <c r="AL468" s="289">
        <f t="shared" si="946"/>
        <v>0</v>
      </c>
      <c r="AM468" s="289">
        <f t="shared" si="947"/>
        <v>0</v>
      </c>
    </row>
    <row r="469" spans="1:39" ht="15.75" customHeight="1" outlineLevel="2">
      <c r="A469" s="15"/>
      <c r="B469" s="718"/>
      <c r="C469" s="891"/>
      <c r="D469" s="105" t="s">
        <v>486</v>
      </c>
      <c r="E469" s="874"/>
      <c r="F469" s="92">
        <f>10803.8297336066*1.01</f>
        <v>10911.868030942667</v>
      </c>
      <c r="G469" s="92">
        <f>1408.36649416505*1.01</f>
        <v>1422.4501591067005</v>
      </c>
      <c r="H469" s="696"/>
      <c r="I469" s="693"/>
      <c r="J469" s="135"/>
      <c r="L469" s="289">
        <f>($G469*курс+$F469)*G$133*G$132*(IF(F$122="Премиум",1,0)+IF(F$122="Элит",1,0))*IF(AND(G$132&gt;50,G$132&lt;=75),1,0)</f>
        <v>0</v>
      </c>
      <c r="M469" s="289">
        <f t="shared" ref="M469:W469" si="963">($G469*курс+$F469)*H$133*H$132*(IF(H$122="Премиум",1,0)+IF(H$122="Элит",1,0))*IF(AND(H$132&gt;50,H$132&lt;=75),1,0)</f>
        <v>0</v>
      </c>
      <c r="N469" s="289">
        <f t="shared" si="963"/>
        <v>0</v>
      </c>
      <c r="O469" s="289">
        <f t="shared" si="963"/>
        <v>0</v>
      </c>
      <c r="P469" s="289">
        <f t="shared" si="963"/>
        <v>0</v>
      </c>
      <c r="Q469" s="289">
        <f t="shared" si="963"/>
        <v>0</v>
      </c>
      <c r="R469" s="289">
        <f t="shared" si="963"/>
        <v>0</v>
      </c>
      <c r="S469" s="289">
        <f t="shared" si="963"/>
        <v>0</v>
      </c>
      <c r="T469" s="289">
        <f t="shared" si="963"/>
        <v>0</v>
      </c>
      <c r="U469" s="289">
        <f t="shared" si="963"/>
        <v>0</v>
      </c>
      <c r="V469" s="289">
        <f t="shared" si="963"/>
        <v>0</v>
      </c>
      <c r="W469" s="289">
        <f t="shared" si="963"/>
        <v>0</v>
      </c>
      <c r="AB469" s="289">
        <f t="shared" si="936"/>
        <v>0</v>
      </c>
      <c r="AC469" s="289">
        <f t="shared" si="937"/>
        <v>0</v>
      </c>
      <c r="AD469" s="289">
        <f t="shared" si="938"/>
        <v>0</v>
      </c>
      <c r="AE469" s="289">
        <f t="shared" si="939"/>
        <v>0</v>
      </c>
      <c r="AF469" s="289">
        <f t="shared" si="940"/>
        <v>0</v>
      </c>
      <c r="AG469" s="289">
        <f t="shared" si="941"/>
        <v>0</v>
      </c>
      <c r="AH469" s="289">
        <f t="shared" si="942"/>
        <v>0</v>
      </c>
      <c r="AI469" s="289">
        <f t="shared" si="943"/>
        <v>0</v>
      </c>
      <c r="AJ469" s="289">
        <f t="shared" si="944"/>
        <v>0</v>
      </c>
      <c r="AK469" s="289">
        <f t="shared" si="945"/>
        <v>0</v>
      </c>
      <c r="AL469" s="289">
        <f t="shared" si="946"/>
        <v>0</v>
      </c>
      <c r="AM469" s="289">
        <f t="shared" si="947"/>
        <v>0</v>
      </c>
    </row>
    <row r="470" spans="1:39" ht="18" customHeight="1" outlineLevel="2">
      <c r="A470" s="15"/>
      <c r="B470" s="719"/>
      <c r="C470" s="725"/>
      <c r="D470" s="25" t="s">
        <v>499</v>
      </c>
      <c r="E470" s="855"/>
      <c r="F470" s="98">
        <f>9648.59683461978*1.01</f>
        <v>9745.0828029659788</v>
      </c>
      <c r="G470" s="98">
        <f>1257.77255220119*1.01</f>
        <v>1270.3502777232018</v>
      </c>
      <c r="H470" s="697"/>
      <c r="I470" s="694"/>
      <c r="J470" s="135"/>
      <c r="L470" s="290">
        <f>($G470*курс+$F470)*G$133*G$132*(IF(F$122="Премиум",1,0)+IF(F$122="Элит",1,0))*IF(AND(G$132&gt;75,G$132&lt;=140),1,0)</f>
        <v>0</v>
      </c>
      <c r="M470" s="290">
        <f t="shared" ref="M470:W470" si="964">($G470*курс+$F470)*H$133*H$132*(IF(H$122="Премиум",1,0)+IF(H$122="Элит",1,0))*IF(AND(H$132&gt;75,H$132&lt;=140),1,0)</f>
        <v>0</v>
      </c>
      <c r="N470" s="290">
        <f t="shared" si="964"/>
        <v>0</v>
      </c>
      <c r="O470" s="290">
        <f t="shared" si="964"/>
        <v>0</v>
      </c>
      <c r="P470" s="290">
        <f t="shared" si="964"/>
        <v>0</v>
      </c>
      <c r="Q470" s="290">
        <f t="shared" si="964"/>
        <v>0</v>
      </c>
      <c r="R470" s="290">
        <f t="shared" si="964"/>
        <v>0</v>
      </c>
      <c r="S470" s="290">
        <f t="shared" si="964"/>
        <v>0</v>
      </c>
      <c r="T470" s="290">
        <f t="shared" si="964"/>
        <v>0</v>
      </c>
      <c r="U470" s="290">
        <f t="shared" si="964"/>
        <v>0</v>
      </c>
      <c r="V470" s="290">
        <f t="shared" si="964"/>
        <v>0</v>
      </c>
      <c r="W470" s="290">
        <f t="shared" si="964"/>
        <v>0</v>
      </c>
      <c r="AB470" s="290">
        <f t="shared" si="936"/>
        <v>0</v>
      </c>
      <c r="AC470" s="290">
        <f t="shared" si="937"/>
        <v>0</v>
      </c>
      <c r="AD470" s="290">
        <f t="shared" si="938"/>
        <v>0</v>
      </c>
      <c r="AE470" s="290">
        <f t="shared" si="939"/>
        <v>0</v>
      </c>
      <c r="AF470" s="290">
        <f t="shared" si="940"/>
        <v>0</v>
      </c>
      <c r="AG470" s="290">
        <f t="shared" si="941"/>
        <v>0</v>
      </c>
      <c r="AH470" s="290">
        <f t="shared" si="942"/>
        <v>0</v>
      </c>
      <c r="AI470" s="290">
        <f t="shared" si="943"/>
        <v>0</v>
      </c>
      <c r="AJ470" s="290">
        <f t="shared" si="944"/>
        <v>0</v>
      </c>
      <c r="AK470" s="290">
        <f t="shared" si="945"/>
        <v>0</v>
      </c>
      <c r="AL470" s="290">
        <f t="shared" si="946"/>
        <v>0</v>
      </c>
      <c r="AM470" s="290">
        <f t="shared" si="947"/>
        <v>0</v>
      </c>
    </row>
    <row r="471" spans="1:39" ht="18" customHeight="1" outlineLevel="1">
      <c r="A471" s="15"/>
      <c r="B471" s="717" t="s">
        <v>835</v>
      </c>
      <c r="C471" s="209"/>
      <c r="D471" s="209"/>
      <c r="E471" s="209"/>
      <c r="F471" s="209"/>
      <c r="G471" s="209"/>
      <c r="H471" s="209"/>
      <c r="I471" s="455"/>
      <c r="J471" s="135"/>
      <c r="K471" s="250"/>
      <c r="L471" s="276"/>
      <c r="M471" s="276"/>
      <c r="N471" s="276"/>
      <c r="O471" s="276"/>
      <c r="P471" s="276"/>
      <c r="Q471" s="276"/>
      <c r="R471" s="276"/>
      <c r="S471" s="276"/>
      <c r="T471" s="276"/>
      <c r="U471" s="276"/>
      <c r="V471" s="276"/>
      <c r="W471" s="276"/>
      <c r="AB471" s="276"/>
      <c r="AC471" s="276"/>
      <c r="AD471" s="276"/>
      <c r="AE471" s="276"/>
      <c r="AF471" s="276"/>
      <c r="AG471" s="276"/>
      <c r="AH471" s="276"/>
      <c r="AI471" s="276"/>
      <c r="AJ471" s="276"/>
      <c r="AK471" s="276"/>
      <c r="AL471" s="276"/>
      <c r="AM471" s="276"/>
    </row>
    <row r="472" spans="1:39" ht="18" customHeight="1" outlineLevel="2">
      <c r="A472" s="15"/>
      <c r="B472" s="718"/>
      <c r="C472" s="787" t="s">
        <v>837</v>
      </c>
      <c r="D472" s="788"/>
      <c r="E472" s="788"/>
      <c r="F472" s="677">
        <f>4809436.85670644*1.01</f>
        <v>4857531.2252735049</v>
      </c>
      <c r="G472" s="159">
        <f>542.710169491525*1.01</f>
        <v>548.13727118644022</v>
      </c>
      <c r="H472" s="784" t="s">
        <v>836</v>
      </c>
      <c r="I472" s="484"/>
      <c r="J472" s="135"/>
      <c r="K472" s="250"/>
      <c r="L472" s="438">
        <f t="shared" ref="L472:W472" si="965">($G472*курс+$F472)*(G$133+G$128+G$134+G$129)*IF(G125="да",1,0)</f>
        <v>0</v>
      </c>
      <c r="M472" s="438">
        <f t="shared" si="965"/>
        <v>0</v>
      </c>
      <c r="N472" s="438">
        <f t="shared" si="965"/>
        <v>0</v>
      </c>
      <c r="O472" s="438">
        <f t="shared" si="965"/>
        <v>0</v>
      </c>
      <c r="P472" s="438">
        <f t="shared" si="965"/>
        <v>0</v>
      </c>
      <c r="Q472" s="438">
        <f t="shared" si="965"/>
        <v>0</v>
      </c>
      <c r="R472" s="438">
        <f t="shared" si="965"/>
        <v>0</v>
      </c>
      <c r="S472" s="438">
        <f t="shared" si="965"/>
        <v>0</v>
      </c>
      <c r="T472" s="438">
        <f t="shared" si="965"/>
        <v>0</v>
      </c>
      <c r="U472" s="438">
        <f t="shared" si="965"/>
        <v>0</v>
      </c>
      <c r="V472" s="438">
        <f t="shared" si="965"/>
        <v>0</v>
      </c>
      <c r="W472" s="438">
        <f t="shared" si="965"/>
        <v>0</v>
      </c>
      <c r="AB472" s="438">
        <f t="shared" ref="AB472:AM472" si="966">($G472)*(G$133+G$128+G$134+G$129)*IF(G125="да",1,0)</f>
        <v>0</v>
      </c>
      <c r="AC472" s="438">
        <f t="shared" si="966"/>
        <v>0</v>
      </c>
      <c r="AD472" s="438">
        <f t="shared" si="966"/>
        <v>0</v>
      </c>
      <c r="AE472" s="438">
        <f t="shared" si="966"/>
        <v>0</v>
      </c>
      <c r="AF472" s="438">
        <f t="shared" si="966"/>
        <v>0</v>
      </c>
      <c r="AG472" s="438">
        <f t="shared" si="966"/>
        <v>0</v>
      </c>
      <c r="AH472" s="438">
        <f t="shared" si="966"/>
        <v>0</v>
      </c>
      <c r="AI472" s="438">
        <f t="shared" si="966"/>
        <v>0</v>
      </c>
      <c r="AJ472" s="438">
        <f t="shared" si="966"/>
        <v>0</v>
      </c>
      <c r="AK472" s="438">
        <f t="shared" si="966"/>
        <v>0</v>
      </c>
      <c r="AL472" s="438">
        <f t="shared" si="966"/>
        <v>0</v>
      </c>
      <c r="AM472" s="438">
        <f t="shared" si="966"/>
        <v>0</v>
      </c>
    </row>
    <row r="473" spans="1:39" ht="18" customHeight="1" outlineLevel="2">
      <c r="A473" s="15"/>
      <c r="B473" s="718"/>
      <c r="C473" s="787" t="s">
        <v>838</v>
      </c>
      <c r="D473" s="788"/>
      <c r="E473" s="788"/>
      <c r="F473" s="677">
        <f>47332.9203755932*1.01</f>
        <v>47806.249579349133</v>
      </c>
      <c r="G473" s="108">
        <f>90.4516949152542*1.01</f>
        <v>91.356211864406731</v>
      </c>
      <c r="H473" s="785"/>
      <c r="I473" s="484"/>
      <c r="J473" s="135"/>
      <c r="K473" s="250"/>
      <c r="L473" s="438">
        <f t="shared" ref="L473:W474" si="967">($G473*курс+$F473)*(G$133+G$128+G$134+G$129)</f>
        <v>0</v>
      </c>
      <c r="M473" s="438">
        <f t="shared" si="967"/>
        <v>334740.14543843881</v>
      </c>
      <c r="N473" s="438">
        <f t="shared" si="967"/>
        <v>334740.14543843881</v>
      </c>
      <c r="O473" s="438">
        <f t="shared" si="967"/>
        <v>334740.14543843881</v>
      </c>
      <c r="P473" s="438">
        <f t="shared" si="967"/>
        <v>0</v>
      </c>
      <c r="Q473" s="438">
        <f t="shared" si="967"/>
        <v>0</v>
      </c>
      <c r="R473" s="438">
        <f t="shared" si="967"/>
        <v>0</v>
      </c>
      <c r="S473" s="438">
        <f t="shared" si="967"/>
        <v>0</v>
      </c>
      <c r="T473" s="438">
        <f t="shared" si="967"/>
        <v>0</v>
      </c>
      <c r="U473" s="438">
        <f t="shared" si="967"/>
        <v>0</v>
      </c>
      <c r="V473" s="438">
        <f t="shared" si="967"/>
        <v>0</v>
      </c>
      <c r="W473" s="438">
        <f t="shared" si="967"/>
        <v>0</v>
      </c>
      <c r="AB473" s="438">
        <f t="shared" ref="AB473" si="968">($G473)*(G$133+G$128+G$134+G$129)</f>
        <v>0</v>
      </c>
      <c r="AC473" s="438">
        <f t="shared" ref="AC473:AM474" si="969">($G473)*(H$133+H$128+H$134+H$129)</f>
        <v>548.13727118644033</v>
      </c>
      <c r="AD473" s="438">
        <f t="shared" si="969"/>
        <v>548.13727118644033</v>
      </c>
      <c r="AE473" s="438">
        <f t="shared" si="969"/>
        <v>548.13727118644033</v>
      </c>
      <c r="AF473" s="438">
        <f t="shared" si="969"/>
        <v>0</v>
      </c>
      <c r="AG473" s="438">
        <f t="shared" si="969"/>
        <v>0</v>
      </c>
      <c r="AH473" s="438">
        <f t="shared" si="969"/>
        <v>0</v>
      </c>
      <c r="AI473" s="438">
        <f t="shared" si="969"/>
        <v>0</v>
      </c>
      <c r="AJ473" s="438">
        <f t="shared" si="969"/>
        <v>0</v>
      </c>
      <c r="AK473" s="438">
        <f t="shared" si="969"/>
        <v>0</v>
      </c>
      <c r="AL473" s="438">
        <f t="shared" si="969"/>
        <v>0</v>
      </c>
      <c r="AM473" s="438">
        <f t="shared" si="969"/>
        <v>0</v>
      </c>
    </row>
    <row r="474" spans="1:39" ht="18" customHeight="1" outlineLevel="2">
      <c r="A474" s="15"/>
      <c r="B474" s="718"/>
      <c r="C474" s="787" t="s">
        <v>839</v>
      </c>
      <c r="D474" s="788"/>
      <c r="E474" s="789"/>
      <c r="F474" s="485">
        <f>22420*1.01</f>
        <v>22644.2</v>
      </c>
      <c r="G474" s="247"/>
      <c r="H474" s="785"/>
      <c r="I474" s="484"/>
      <c r="J474" s="135"/>
      <c r="K474" s="250"/>
      <c r="L474" s="440">
        <f t="shared" si="967"/>
        <v>0</v>
      </c>
      <c r="M474" s="440">
        <f t="shared" si="967"/>
        <v>135865.20000000001</v>
      </c>
      <c r="N474" s="440">
        <f t="shared" si="967"/>
        <v>135865.20000000001</v>
      </c>
      <c r="O474" s="440">
        <f t="shared" si="967"/>
        <v>135865.20000000001</v>
      </c>
      <c r="P474" s="440">
        <f t="shared" si="967"/>
        <v>0</v>
      </c>
      <c r="Q474" s="440">
        <f t="shared" si="967"/>
        <v>0</v>
      </c>
      <c r="R474" s="440">
        <f t="shared" si="967"/>
        <v>0</v>
      </c>
      <c r="S474" s="440">
        <f t="shared" si="967"/>
        <v>0</v>
      </c>
      <c r="T474" s="440">
        <f t="shared" si="967"/>
        <v>0</v>
      </c>
      <c r="U474" s="440">
        <f t="shared" si="967"/>
        <v>0</v>
      </c>
      <c r="V474" s="440">
        <f t="shared" si="967"/>
        <v>0</v>
      </c>
      <c r="W474" s="440">
        <f t="shared" si="967"/>
        <v>0</v>
      </c>
      <c r="AB474" s="438">
        <f>($G474)*(G$133+G$128+G$134+G$129)</f>
        <v>0</v>
      </c>
      <c r="AC474" s="438">
        <f t="shared" si="969"/>
        <v>0</v>
      </c>
      <c r="AD474" s="438">
        <f t="shared" si="969"/>
        <v>0</v>
      </c>
      <c r="AE474" s="438">
        <f t="shared" si="969"/>
        <v>0</v>
      </c>
      <c r="AF474" s="438">
        <f t="shared" si="969"/>
        <v>0</v>
      </c>
      <c r="AG474" s="438">
        <f t="shared" si="969"/>
        <v>0</v>
      </c>
      <c r="AH474" s="438">
        <f t="shared" si="969"/>
        <v>0</v>
      </c>
      <c r="AI474" s="438">
        <f t="shared" si="969"/>
        <v>0</v>
      </c>
      <c r="AJ474" s="438">
        <f t="shared" si="969"/>
        <v>0</v>
      </c>
      <c r="AK474" s="438">
        <f t="shared" si="969"/>
        <v>0</v>
      </c>
      <c r="AL474" s="438">
        <f t="shared" si="969"/>
        <v>0</v>
      </c>
      <c r="AM474" s="438">
        <f t="shared" si="969"/>
        <v>0</v>
      </c>
    </row>
    <row r="475" spans="1:39" ht="18" customHeight="1" outlineLevel="2">
      <c r="A475" s="15"/>
      <c r="B475" s="718"/>
      <c r="C475" s="790" t="s">
        <v>840</v>
      </c>
      <c r="D475" s="791"/>
      <c r="E475" s="23" t="s">
        <v>841</v>
      </c>
      <c r="F475" s="486">
        <f>39423.8971577966*1.01</f>
        <v>39818.136129374565</v>
      </c>
      <c r="G475" s="240"/>
      <c r="H475" s="785"/>
      <c r="I475" s="481"/>
      <c r="J475" s="135"/>
      <c r="K475" s="250"/>
      <c r="L475" s="487">
        <f>($G475*курс+$F475)*(G$133+G$128+G$134+G$129)*(IF(F$122="Комфорт",1,0)+IF(F$122="Бизнес",1,0)+IF(F$122="Бизнес+",1,0))</f>
        <v>0</v>
      </c>
      <c r="M475" s="487">
        <f t="shared" ref="M475:W475" si="970">($G475*курс+$F475)*(H$133+H$128+H$134+H$129)*(IF(H$122="Комфорт",1,0)+IF(H$122="Бизнес",1,0)+IF(H$122="Бизнес+",1,0))</f>
        <v>238908.8167762474</v>
      </c>
      <c r="N475" s="487">
        <f t="shared" si="970"/>
        <v>238908.8167762474</v>
      </c>
      <c r="O475" s="487">
        <f t="shared" si="970"/>
        <v>238908.8167762474</v>
      </c>
      <c r="P475" s="487">
        <f t="shared" si="970"/>
        <v>0</v>
      </c>
      <c r="Q475" s="487">
        <f t="shared" si="970"/>
        <v>0</v>
      </c>
      <c r="R475" s="487">
        <f t="shared" si="970"/>
        <v>0</v>
      </c>
      <c r="S475" s="487">
        <f t="shared" si="970"/>
        <v>0</v>
      </c>
      <c r="T475" s="487">
        <f t="shared" si="970"/>
        <v>0</v>
      </c>
      <c r="U475" s="487">
        <f t="shared" si="970"/>
        <v>0</v>
      </c>
      <c r="V475" s="487">
        <f t="shared" si="970"/>
        <v>0</v>
      </c>
      <c r="W475" s="487">
        <f t="shared" si="970"/>
        <v>0</v>
      </c>
      <c r="AB475" s="289">
        <f>($G475)*(G$133+G$128+G$134+G$129)*(IF(F$122="Комфорт",1,0)+IF(F$122="Бизнес",1,0)+IF(F$122="Бизнес+",1,0))</f>
        <v>0</v>
      </c>
      <c r="AC475" s="289">
        <f>($G475)*(H$133+H$128+H$134+H$129)*(IF(H$122="Комфорт",1,0)+IF(H$122="Бизнес",1,0)+IF(H$122="Бизнес+",1,0))</f>
        <v>0</v>
      </c>
      <c r="AD475" s="289">
        <f t="shared" ref="AD475:AM475" si="971">($G475)*(I$133+I$128+I$134+I$129)*(IF(I$122="Комфорт",1,0)+IF(I$122="Бизнес",1,0)+IF(I$122="Бизнес+",1,0))</f>
        <v>0</v>
      </c>
      <c r="AE475" s="289">
        <f t="shared" si="971"/>
        <v>0</v>
      </c>
      <c r="AF475" s="289">
        <f t="shared" si="971"/>
        <v>0</v>
      </c>
      <c r="AG475" s="289">
        <f t="shared" si="971"/>
        <v>0</v>
      </c>
      <c r="AH475" s="289">
        <f t="shared" si="971"/>
        <v>0</v>
      </c>
      <c r="AI475" s="289">
        <f t="shared" si="971"/>
        <v>0</v>
      </c>
      <c r="AJ475" s="289">
        <f t="shared" si="971"/>
        <v>0</v>
      </c>
      <c r="AK475" s="289">
        <f t="shared" si="971"/>
        <v>0</v>
      </c>
      <c r="AL475" s="289">
        <f t="shared" si="971"/>
        <v>0</v>
      </c>
      <c r="AM475" s="289">
        <f t="shared" si="971"/>
        <v>0</v>
      </c>
    </row>
    <row r="476" spans="1:39" ht="18" customHeight="1" outlineLevel="2">
      <c r="A476" s="15"/>
      <c r="B476" s="718"/>
      <c r="C476" s="792"/>
      <c r="D476" s="793"/>
      <c r="E476" s="233" t="s">
        <v>277</v>
      </c>
      <c r="F476" s="454">
        <f>208677.966101695*1.01</f>
        <v>210764.74576271194</v>
      </c>
      <c r="G476" s="247"/>
      <c r="H476" s="785"/>
      <c r="I476" s="480"/>
      <c r="J476" s="135"/>
      <c r="K476" s="250"/>
      <c r="L476" s="289">
        <f>($G476*курс+$F476)*(G$133+G$128+G$134+G$129)*(IF(F$122="Премиум",1,0)+IF(F$122="Элит",1,0))</f>
        <v>0</v>
      </c>
      <c r="M476" s="289">
        <f t="shared" ref="M476:W476" si="972">($G476*курс+$F476)*(H$133+H$128+H$134+H$129)*(IF(H$122="Премиум",1,0)+IF(H$122="Элит",1,0))</f>
        <v>0</v>
      </c>
      <c r="N476" s="289">
        <f t="shared" si="972"/>
        <v>0</v>
      </c>
      <c r="O476" s="289">
        <f t="shared" si="972"/>
        <v>0</v>
      </c>
      <c r="P476" s="289">
        <f t="shared" si="972"/>
        <v>0</v>
      </c>
      <c r="Q476" s="289">
        <f t="shared" si="972"/>
        <v>0</v>
      </c>
      <c r="R476" s="289">
        <f t="shared" si="972"/>
        <v>0</v>
      </c>
      <c r="S476" s="289">
        <f t="shared" si="972"/>
        <v>0</v>
      </c>
      <c r="T476" s="289">
        <f t="shared" si="972"/>
        <v>0</v>
      </c>
      <c r="U476" s="289">
        <f t="shared" si="972"/>
        <v>0</v>
      </c>
      <c r="V476" s="289">
        <f t="shared" si="972"/>
        <v>0</v>
      </c>
      <c r="W476" s="289">
        <f t="shared" si="972"/>
        <v>0</v>
      </c>
      <c r="AB476" s="289">
        <f>($G476)*(G$133+G$128+G$134+G$129)*(IF(F$122="Премиум",1,0)+IF(F$122="Элит",1,0))</f>
        <v>0</v>
      </c>
      <c r="AC476" s="289">
        <f>($G476)*(H$133+H$128+H$134+H$129)*(IF(H$122="Премиум",1,0)+IF(H$122="Элит",1,0))</f>
        <v>0</v>
      </c>
      <c r="AD476" s="289">
        <f t="shared" ref="AD476:AM476" si="973">($G476)*(I$133+I$128+I$134+I$129)*(IF(I$122="Премиум",1,0)+IF(I$122="Элит",1,0))</f>
        <v>0</v>
      </c>
      <c r="AE476" s="289">
        <f t="shared" si="973"/>
        <v>0</v>
      </c>
      <c r="AF476" s="289">
        <f t="shared" si="973"/>
        <v>0</v>
      </c>
      <c r="AG476" s="289">
        <f t="shared" si="973"/>
        <v>0</v>
      </c>
      <c r="AH476" s="289">
        <f t="shared" si="973"/>
        <v>0</v>
      </c>
      <c r="AI476" s="289">
        <f t="shared" si="973"/>
        <v>0</v>
      </c>
      <c r="AJ476" s="289">
        <f t="shared" si="973"/>
        <v>0</v>
      </c>
      <c r="AK476" s="289">
        <f t="shared" si="973"/>
        <v>0</v>
      </c>
      <c r="AL476" s="289">
        <f t="shared" si="973"/>
        <v>0</v>
      </c>
      <c r="AM476" s="289">
        <f t="shared" si="973"/>
        <v>0</v>
      </c>
    </row>
    <row r="477" spans="1:39" ht="18" customHeight="1" outlineLevel="2">
      <c r="A477" s="15"/>
      <c r="B477" s="719"/>
      <c r="C477" s="787" t="s">
        <v>842</v>
      </c>
      <c r="D477" s="788"/>
      <c r="E477" s="788"/>
      <c r="F477" s="677">
        <f>89530.8751851852*1.01</f>
        <v>90426.183937037058</v>
      </c>
      <c r="G477" s="236"/>
      <c r="H477" s="786"/>
      <c r="I477" s="484"/>
      <c r="J477" s="135"/>
      <c r="K477" s="250"/>
      <c r="L477" s="440">
        <f t="shared" ref="L477:W477" si="974">($G477*курс+$F477)*(G$133+G$128+G$134+G$129)</f>
        <v>0</v>
      </c>
      <c r="M477" s="440">
        <f t="shared" si="974"/>
        <v>542557.10362222232</v>
      </c>
      <c r="N477" s="440">
        <f t="shared" si="974"/>
        <v>542557.10362222232</v>
      </c>
      <c r="O477" s="440">
        <f t="shared" si="974"/>
        <v>542557.10362222232</v>
      </c>
      <c r="P477" s="440">
        <f t="shared" si="974"/>
        <v>0</v>
      </c>
      <c r="Q477" s="440">
        <f t="shared" si="974"/>
        <v>0</v>
      </c>
      <c r="R477" s="440">
        <f t="shared" si="974"/>
        <v>0</v>
      </c>
      <c r="S477" s="440">
        <f t="shared" si="974"/>
        <v>0</v>
      </c>
      <c r="T477" s="440">
        <f t="shared" si="974"/>
        <v>0</v>
      </c>
      <c r="U477" s="440">
        <f t="shared" si="974"/>
        <v>0</v>
      </c>
      <c r="V477" s="440">
        <f t="shared" si="974"/>
        <v>0</v>
      </c>
      <c r="W477" s="440">
        <f t="shared" si="974"/>
        <v>0</v>
      </c>
      <c r="AB477" s="438">
        <f>($G477)*(G$133+G$128+G$134+G$129)</f>
        <v>0</v>
      </c>
      <c r="AC477" s="438">
        <f t="shared" ref="AC477:AM477" si="975">($G477)*(H$133+H$128+H$134+H$129)</f>
        <v>0</v>
      </c>
      <c r="AD477" s="438">
        <f t="shared" si="975"/>
        <v>0</v>
      </c>
      <c r="AE477" s="438">
        <f t="shared" si="975"/>
        <v>0</v>
      </c>
      <c r="AF477" s="438">
        <f t="shared" si="975"/>
        <v>0</v>
      </c>
      <c r="AG477" s="438">
        <f t="shared" si="975"/>
        <v>0</v>
      </c>
      <c r="AH477" s="438">
        <f t="shared" si="975"/>
        <v>0</v>
      </c>
      <c r="AI477" s="438">
        <f t="shared" si="975"/>
        <v>0</v>
      </c>
      <c r="AJ477" s="438">
        <f t="shared" si="975"/>
        <v>0</v>
      </c>
      <c r="AK477" s="438">
        <f t="shared" si="975"/>
        <v>0</v>
      </c>
      <c r="AL477" s="438">
        <f t="shared" si="975"/>
        <v>0</v>
      </c>
      <c r="AM477" s="438">
        <f t="shared" si="975"/>
        <v>0</v>
      </c>
    </row>
    <row r="478" spans="1:39" ht="18" customHeight="1" outlineLevel="1">
      <c r="A478" s="15"/>
      <c r="B478" s="717" t="s">
        <v>19</v>
      </c>
      <c r="C478" s="284"/>
      <c r="D478" s="135"/>
      <c r="E478" s="135"/>
      <c r="F478" s="135"/>
      <c r="G478" s="135"/>
      <c r="H478" s="135"/>
      <c r="I478" s="135"/>
      <c r="J478" s="135"/>
      <c r="L478" s="7" t="s">
        <v>420</v>
      </c>
      <c r="M478" s="7"/>
      <c r="N478" s="7"/>
      <c r="O478" s="7"/>
      <c r="P478" s="7"/>
      <c r="Q478" s="7"/>
      <c r="R478" s="7"/>
      <c r="S478" s="7"/>
      <c r="T478" s="7"/>
      <c r="U478" s="7"/>
      <c r="V478" s="7"/>
      <c r="W478" s="7"/>
      <c r="X478" s="7"/>
      <c r="Y478" s="7"/>
      <c r="Z478" s="7"/>
    </row>
    <row r="479" spans="1:39" ht="20.25" customHeight="1" outlineLevel="2">
      <c r="A479" s="15"/>
      <c r="B479" s="718"/>
      <c r="C479" s="711" t="s">
        <v>805</v>
      </c>
      <c r="D479" s="714" t="s">
        <v>806</v>
      </c>
      <c r="E479" s="109" t="s">
        <v>807</v>
      </c>
      <c r="F479" s="94">
        <f>408.705384615385*1.01</f>
        <v>412.79243846153889</v>
      </c>
      <c r="G479" s="235"/>
      <c r="H479" s="695" t="s">
        <v>810</v>
      </c>
      <c r="I479" s="96">
        <f>IF(($F$112*$F$113)&lt;=500,1,0)</f>
        <v>0</v>
      </c>
      <c r="J479" s="162"/>
      <c r="K479" s="728">
        <f>SUMPRODUCT(I479:I481,F479:F481)*$F$112*$F$113</f>
        <v>24831679.860951062</v>
      </c>
      <c r="L479" s="15"/>
      <c r="M479" s="15"/>
      <c r="N479" s="15"/>
      <c r="O479" s="15"/>
      <c r="P479" s="15"/>
      <c r="Q479" s="15"/>
      <c r="R479" s="15"/>
      <c r="S479" s="15"/>
      <c r="T479" s="15"/>
      <c r="U479" s="15"/>
      <c r="V479" s="15"/>
      <c r="W479" s="15"/>
    </row>
    <row r="480" spans="1:39" ht="20.25" customHeight="1" outlineLevel="2">
      <c r="A480" s="15"/>
      <c r="B480" s="718"/>
      <c r="C480" s="713"/>
      <c r="D480" s="715"/>
      <c r="E480" s="445" t="s">
        <v>808</v>
      </c>
      <c r="F480" s="93">
        <f>3160.36966685488*1.01</f>
        <v>3191.9733635234288</v>
      </c>
      <c r="G480" s="467"/>
      <c r="H480" s="696"/>
      <c r="I480" s="56">
        <f>IF(AND(($F$112*$F$113)&gt;=501,($F$112*$F$113)&lt;=1500),1,0)</f>
        <v>0</v>
      </c>
      <c r="J480" s="189"/>
      <c r="K480" s="729"/>
      <c r="L480" s="15"/>
      <c r="M480" s="15"/>
      <c r="N480" s="15"/>
      <c r="O480" s="15"/>
      <c r="P480" s="15"/>
      <c r="Q480" s="15"/>
      <c r="R480" s="15"/>
      <c r="S480" s="15"/>
      <c r="T480" s="15"/>
      <c r="U480" s="15"/>
      <c r="V480" s="15"/>
      <c r="W480" s="15"/>
    </row>
    <row r="481" spans="1:23" ht="20.25" customHeight="1" outlineLevel="2">
      <c r="A481" s="15"/>
      <c r="B481" s="718"/>
      <c r="C481" s="688"/>
      <c r="D481" s="716"/>
      <c r="E481" s="110" t="s">
        <v>809</v>
      </c>
      <c r="F481" s="98">
        <f>4685.9618417018*1.01</f>
        <v>4732.8214601188183</v>
      </c>
      <c r="G481" s="256"/>
      <c r="H481" s="697"/>
      <c r="I481" s="97">
        <f>IF(($F$112*$F$113)&gt;=1501,1,0)</f>
        <v>1</v>
      </c>
      <c r="J481" s="162"/>
      <c r="K481" s="730"/>
      <c r="L481" s="15"/>
      <c r="M481" s="15"/>
      <c r="N481" s="15"/>
      <c r="O481" s="15"/>
      <c r="P481" s="15"/>
      <c r="Q481" s="15"/>
      <c r="R481" s="15"/>
      <c r="S481" s="15"/>
      <c r="T481" s="15"/>
      <c r="U481" s="15"/>
      <c r="V481" s="15"/>
      <c r="W481" s="15"/>
    </row>
    <row r="482" spans="1:23" ht="25.5" customHeight="1" outlineLevel="2">
      <c r="A482" s="15"/>
      <c r="B482" s="718"/>
      <c r="C482" s="711" t="s">
        <v>811</v>
      </c>
      <c r="D482" s="714" t="s">
        <v>812</v>
      </c>
      <c r="E482" s="109" t="s">
        <v>807</v>
      </c>
      <c r="F482" s="94">
        <f>2050.8487032967*1.01</f>
        <v>2071.357190329667</v>
      </c>
      <c r="G482" s="235"/>
      <c r="H482" s="695" t="s">
        <v>810</v>
      </c>
      <c r="I482" s="96">
        <f>IF(($F$112*$F$113)&lt;=500,1,0)</f>
        <v>0</v>
      </c>
      <c r="J482" s="189"/>
      <c r="K482" s="728">
        <f>SUMPRODUCT(I482:I484,F482:F484)*$F$112*$F$113</f>
        <v>2691697.7815775238</v>
      </c>
      <c r="L482" s="15"/>
      <c r="M482" s="15"/>
      <c r="N482" s="15"/>
      <c r="O482" s="15"/>
      <c r="P482" s="15"/>
      <c r="Q482" s="15"/>
      <c r="R482" s="15"/>
      <c r="S482" s="15"/>
      <c r="T482" s="15"/>
      <c r="U482" s="15"/>
      <c r="V482" s="15"/>
      <c r="W482" s="15"/>
    </row>
    <row r="483" spans="1:23" ht="25.5" customHeight="1" outlineLevel="2">
      <c r="A483" s="15"/>
      <c r="B483" s="718"/>
      <c r="C483" s="713"/>
      <c r="D483" s="715"/>
      <c r="E483" s="445" t="s">
        <v>808</v>
      </c>
      <c r="F483" s="93">
        <f>1279.39816986152*1.01</f>
        <v>1292.1921515601352</v>
      </c>
      <c r="G483" s="467"/>
      <c r="H483" s="696"/>
      <c r="I483" s="56">
        <f>IF(AND(($F$112*$F$113)&gt;=501,($F$112*$F$113)&lt;=1500),1,0)</f>
        <v>0</v>
      </c>
      <c r="J483" s="189"/>
      <c r="K483" s="729"/>
      <c r="L483" s="15"/>
      <c r="M483" s="15"/>
      <c r="N483" s="15"/>
      <c r="O483" s="15"/>
      <c r="P483" s="15"/>
      <c r="Q483" s="15"/>
      <c r="R483" s="15"/>
      <c r="S483" s="15"/>
      <c r="T483" s="15"/>
      <c r="U483" s="15"/>
      <c r="V483" s="15"/>
      <c r="W483" s="15"/>
    </row>
    <row r="484" spans="1:23" ht="25.5" customHeight="1" outlineLevel="2">
      <c r="A484" s="15"/>
      <c r="B484" s="718"/>
      <c r="C484" s="688"/>
      <c r="D484" s="716"/>
      <c r="E484" s="110" t="s">
        <v>809</v>
      </c>
      <c r="F484" s="98">
        <f>507.947636426341*1.01</f>
        <v>513.02711279060441</v>
      </c>
      <c r="G484" s="256"/>
      <c r="H484" s="697"/>
      <c r="I484" s="97">
        <f>IF(($F$112*$F$113)&gt;=1501,1,0)</f>
        <v>1</v>
      </c>
      <c r="J484" s="189"/>
      <c r="K484" s="730"/>
      <c r="L484" s="15"/>
      <c r="M484" s="15"/>
      <c r="N484" s="15"/>
      <c r="O484" s="15"/>
      <c r="P484" s="15"/>
      <c r="Q484" s="15"/>
      <c r="R484" s="15"/>
      <c r="S484" s="15"/>
      <c r="T484" s="15"/>
      <c r="U484" s="15"/>
      <c r="V484" s="15"/>
      <c r="W484" s="15"/>
    </row>
    <row r="485" spans="1:23" ht="20.25" customHeight="1" outlineLevel="2">
      <c r="A485" s="15"/>
      <c r="B485" s="718"/>
      <c r="C485" s="711" t="s">
        <v>813</v>
      </c>
      <c r="D485" s="714" t="s">
        <v>814</v>
      </c>
      <c r="E485" s="109" t="s">
        <v>807</v>
      </c>
      <c r="F485" s="94">
        <f>13108.3046504004*1.01</f>
        <v>13239.387696904403</v>
      </c>
      <c r="G485" s="235">
        <v>0</v>
      </c>
      <c r="H485" s="695" t="s">
        <v>810</v>
      </c>
      <c r="I485" s="96">
        <f>IF(($F$112*$F$113)&lt;=500,1,0)</f>
        <v>0</v>
      </c>
      <c r="J485" s="189"/>
      <c r="K485" s="728">
        <f>SUMPRODUCT(I485:I487,F485:F487)*$F$112*$F$113+SUMPRODUCT(I485:I487,G485:G487)*$F$112*$F$113*курс</f>
        <v>38411794.60705997</v>
      </c>
      <c r="L485" s="728">
        <f>SUMPRODUCT(I485:I487,G485:G487)*$F$112*$F$113</f>
        <v>319046.06352585839</v>
      </c>
      <c r="M485" s="15"/>
      <c r="N485" s="15"/>
      <c r="O485" s="15"/>
      <c r="P485" s="15"/>
      <c r="Q485" s="15"/>
      <c r="R485" s="15"/>
      <c r="S485" s="15"/>
      <c r="T485" s="15"/>
      <c r="U485" s="15"/>
      <c r="V485" s="15"/>
      <c r="W485" s="15"/>
    </row>
    <row r="486" spans="1:23" ht="20.25" customHeight="1" outlineLevel="2">
      <c r="A486" s="15"/>
      <c r="B486" s="718"/>
      <c r="C486" s="713"/>
      <c r="D486" s="715"/>
      <c r="E486" s="445" t="s">
        <v>808</v>
      </c>
      <c r="F486" s="93">
        <f>4162.12644358554*1.01</f>
        <v>4203.7477080213957</v>
      </c>
      <c r="G486" s="467">
        <v>0</v>
      </c>
      <c r="H486" s="696"/>
      <c r="I486" s="56">
        <f>IF(AND(($F$112*$F$113)&gt;=501,($F$112*$F$113)&lt;=1500),1,0)</f>
        <v>0</v>
      </c>
      <c r="J486" s="189"/>
      <c r="K486" s="729"/>
      <c r="L486" s="729"/>
      <c r="M486" s="15"/>
      <c r="N486" s="15"/>
      <c r="O486" s="15"/>
      <c r="P486" s="15"/>
      <c r="Q486" s="15"/>
      <c r="R486" s="15"/>
      <c r="S486" s="15"/>
      <c r="T486" s="15"/>
      <c r="U486" s="15"/>
      <c r="V486" s="15"/>
      <c r="W486" s="15"/>
    </row>
    <row r="487" spans="1:23" ht="20.25" customHeight="1" outlineLevel="2">
      <c r="A487" s="15"/>
      <c r="B487" s="718"/>
      <c r="C487" s="688"/>
      <c r="D487" s="716"/>
      <c r="E487" s="110" t="s">
        <v>809</v>
      </c>
      <c r="F487" s="98">
        <f>1987.07134221526*1.01</f>
        <v>2006.9420556374128</v>
      </c>
      <c r="G487" s="98">
        <f>60.2068683149526*1.01</f>
        <v>60.808936998102126</v>
      </c>
      <c r="H487" s="697"/>
      <c r="I487" s="97">
        <f>IF(($F$112*$F$113)&gt;=1501,1,0)</f>
        <v>1</v>
      </c>
      <c r="J487" s="189"/>
      <c r="K487" s="730"/>
      <c r="L487" s="730"/>
      <c r="M487" s="15"/>
      <c r="N487" s="15"/>
      <c r="O487" s="15"/>
      <c r="P487" s="15"/>
      <c r="Q487" s="15"/>
      <c r="R487" s="15"/>
      <c r="S487" s="15"/>
      <c r="T487" s="15"/>
      <c r="U487" s="15"/>
      <c r="V487" s="15"/>
      <c r="W487" s="15"/>
    </row>
    <row r="488" spans="1:23" ht="87" customHeight="1" outlineLevel="2">
      <c r="A488" s="15"/>
      <c r="B488" s="718"/>
      <c r="C488" s="711" t="s">
        <v>31</v>
      </c>
      <c r="D488" s="699" t="s">
        <v>825</v>
      </c>
      <c r="E488" s="111" t="s">
        <v>822</v>
      </c>
      <c r="F488" s="94">
        <f>25890.6129473338*1.01</f>
        <v>26149.519076807137</v>
      </c>
      <c r="G488" s="235"/>
      <c r="H488" s="695" t="s">
        <v>821</v>
      </c>
      <c r="I488" s="96">
        <f>IF(($F$112*$F$114)&lt;=2500,1,0)</f>
        <v>0</v>
      </c>
      <c r="J488" s="162"/>
      <c r="K488" s="728">
        <f>SUMPRODUCT(I488:I490,F488:F490)*F112*F114</f>
        <v>100560418.39191011</v>
      </c>
      <c r="L488" s="15"/>
      <c r="M488" s="15"/>
      <c r="N488" s="15"/>
      <c r="O488" s="15"/>
      <c r="P488" s="15"/>
      <c r="Q488" s="15"/>
      <c r="R488" s="15"/>
      <c r="S488" s="15"/>
      <c r="T488" s="15"/>
      <c r="U488" s="15"/>
      <c r="V488" s="15"/>
      <c r="W488" s="15"/>
    </row>
    <row r="489" spans="1:23" ht="87" customHeight="1" outlineLevel="2">
      <c r="A489" s="15"/>
      <c r="B489" s="718"/>
      <c r="C489" s="976"/>
      <c r="D489" s="738"/>
      <c r="E489" s="111" t="s">
        <v>823</v>
      </c>
      <c r="F489" s="108">
        <f>15304.7973922666*1.01</f>
        <v>15457.845366189267</v>
      </c>
      <c r="G489" s="468"/>
      <c r="H489" s="696"/>
      <c r="I489" s="56">
        <f>IF(AND(($F$112*$F$114)&gt;=2501,($F$112*$F$114)&lt;=8500),1,0)</f>
        <v>0</v>
      </c>
      <c r="J489" s="189"/>
      <c r="K489" s="729"/>
      <c r="L489" s="15"/>
      <c r="M489" s="15"/>
      <c r="N489" s="15"/>
      <c r="O489" s="15"/>
      <c r="P489" s="15"/>
      <c r="Q489" s="15"/>
      <c r="R489" s="15"/>
      <c r="S489" s="15"/>
      <c r="T489" s="15"/>
      <c r="U489" s="15"/>
      <c r="V489" s="15"/>
      <c r="W489" s="15"/>
    </row>
    <row r="490" spans="1:23" ht="87" customHeight="1" outlineLevel="2">
      <c r="A490" s="15"/>
      <c r="B490" s="718"/>
      <c r="C490" s="976"/>
      <c r="D490" s="700"/>
      <c r="E490" s="111" t="s">
        <v>824</v>
      </c>
      <c r="F490" s="92">
        <f>8132.85320564139*1.01</f>
        <v>8214.1817376978033</v>
      </c>
      <c r="G490" s="234"/>
      <c r="H490" s="697"/>
      <c r="I490" s="97">
        <f>IF(($F$112*$F$114)&gt;=8501,1,0)</f>
        <v>1</v>
      </c>
      <c r="J490" s="162"/>
      <c r="K490" s="730"/>
      <c r="L490" s="15"/>
      <c r="M490" s="15"/>
      <c r="N490" s="15"/>
      <c r="O490" s="15"/>
      <c r="P490" s="15"/>
      <c r="Q490" s="15"/>
      <c r="R490" s="15"/>
      <c r="S490" s="15"/>
      <c r="T490" s="15"/>
      <c r="U490" s="15"/>
      <c r="V490" s="15"/>
      <c r="W490" s="15"/>
    </row>
    <row r="491" spans="1:23" ht="21" customHeight="1" outlineLevel="2">
      <c r="A491" s="15"/>
      <c r="B491" s="718"/>
      <c r="C491" s="794" t="s">
        <v>112</v>
      </c>
      <c r="D491" s="699" t="s">
        <v>815</v>
      </c>
      <c r="E491" s="109" t="s">
        <v>816</v>
      </c>
      <c r="F491" s="94">
        <f>776.733003256658*1.01</f>
        <v>784.50033328922461</v>
      </c>
      <c r="G491" s="235"/>
      <c r="H491" s="695" t="s">
        <v>820</v>
      </c>
      <c r="I491" s="96">
        <f>IF(($F$112)&gt;=13001,1,0)</f>
        <v>1</v>
      </c>
      <c r="J491" s="162"/>
      <c r="K491" s="728">
        <f>SUMPRODUCT(I491:I494,F491:F494)*F112</f>
        <v>13720118.320681645</v>
      </c>
      <c r="L491" s="15"/>
      <c r="M491" s="15"/>
      <c r="N491" s="15"/>
      <c r="O491" s="15"/>
      <c r="P491" s="15"/>
      <c r="Q491" s="15"/>
      <c r="R491" s="15"/>
      <c r="S491" s="15"/>
      <c r="T491" s="15"/>
      <c r="U491" s="15"/>
      <c r="V491" s="15"/>
      <c r="W491" s="15"/>
    </row>
    <row r="492" spans="1:23" ht="21" customHeight="1" outlineLevel="2">
      <c r="A492" s="15"/>
      <c r="B492" s="718"/>
      <c r="C492" s="795"/>
      <c r="D492" s="738"/>
      <c r="E492" s="111" t="s">
        <v>817</v>
      </c>
      <c r="F492" s="92">
        <f>1280.64893595973*1.01</f>
        <v>1293.4554253193271</v>
      </c>
      <c r="G492" s="234"/>
      <c r="H492" s="696"/>
      <c r="I492" s="56">
        <f>IF(AND(($F$112)&gt;=4001,($F$112)&lt;=13000),1,0)</f>
        <v>0</v>
      </c>
      <c r="J492" s="162"/>
      <c r="K492" s="729"/>
      <c r="L492" s="15"/>
      <c r="M492" s="15"/>
      <c r="N492" s="15"/>
      <c r="O492" s="15"/>
      <c r="P492" s="15"/>
      <c r="Q492" s="15"/>
      <c r="R492" s="15"/>
      <c r="S492" s="15"/>
      <c r="T492" s="15"/>
      <c r="U492" s="15"/>
      <c r="V492" s="15"/>
      <c r="W492" s="15"/>
    </row>
    <row r="493" spans="1:23" ht="21" customHeight="1" outlineLevel="2">
      <c r="A493" s="15"/>
      <c r="B493" s="718"/>
      <c r="C493" s="795"/>
      <c r="D493" s="738"/>
      <c r="E493" s="111" t="s">
        <v>818</v>
      </c>
      <c r="F493" s="92">
        <f>4110.87654875333*1.01</f>
        <v>4151.9853142408638</v>
      </c>
      <c r="G493" s="234"/>
      <c r="H493" s="696"/>
      <c r="I493" s="56">
        <f>IF(AND(($F$112)&gt;=2001,($F$112)&lt;=4000),1,0)</f>
        <v>0</v>
      </c>
      <c r="J493" s="189"/>
      <c r="K493" s="729"/>
      <c r="L493" s="15"/>
      <c r="M493" s="15"/>
      <c r="N493" s="15"/>
      <c r="O493" s="15"/>
      <c r="P493" s="15"/>
      <c r="Q493" s="15"/>
      <c r="R493" s="15"/>
      <c r="S493" s="15"/>
      <c r="T493" s="15"/>
      <c r="U493" s="15"/>
      <c r="V493" s="15"/>
      <c r="W493" s="15"/>
    </row>
    <row r="494" spans="1:23" ht="21" customHeight="1" outlineLevel="2">
      <c r="A494" s="15"/>
      <c r="B494" s="718"/>
      <c r="C494" s="796"/>
      <c r="D494" s="700"/>
      <c r="E494" s="111" t="s">
        <v>819</v>
      </c>
      <c r="F494" s="92">
        <f>6941.10416154693*1.01</f>
        <v>7010.5152031623993</v>
      </c>
      <c r="G494" s="234"/>
      <c r="H494" s="697"/>
      <c r="I494" s="56">
        <f>IF(($F$112)&lt;=2000,1,0)</f>
        <v>0</v>
      </c>
      <c r="J494" s="162"/>
      <c r="K494" s="730"/>
      <c r="L494" s="15"/>
      <c r="M494" s="15"/>
      <c r="N494" s="15"/>
      <c r="O494" s="15"/>
      <c r="P494" s="15"/>
      <c r="Q494" s="15"/>
      <c r="R494" s="15"/>
      <c r="S494" s="15"/>
      <c r="T494" s="15"/>
      <c r="U494" s="15"/>
      <c r="V494" s="15"/>
      <c r="W494" s="15"/>
    </row>
    <row r="495" spans="1:23" ht="48" customHeight="1" outlineLevel="2">
      <c r="A495" s="15"/>
      <c r="B495" s="718"/>
      <c r="C495" s="711" t="s">
        <v>1822</v>
      </c>
      <c r="D495" s="699" t="s">
        <v>1823</v>
      </c>
      <c r="E495" s="109" t="s">
        <v>1824</v>
      </c>
      <c r="F495" s="94">
        <f>566.545895428074*1.01</f>
        <v>572.21135438235478</v>
      </c>
      <c r="G495" s="235"/>
      <c r="H495" s="695" t="s">
        <v>820</v>
      </c>
      <c r="I495" s="96">
        <f>IF(($F$112)&gt;=10001,1,0)</f>
        <v>1</v>
      </c>
      <c r="J495" s="189"/>
      <c r="K495" s="728">
        <f>SUMPRODUCT(I495:I496,F495:F496)*F112</f>
        <v>10007398.535634551</v>
      </c>
      <c r="L495" s="15"/>
      <c r="M495" s="15"/>
      <c r="N495" s="15"/>
      <c r="O495" s="15"/>
      <c r="P495" s="15"/>
      <c r="Q495" s="15"/>
      <c r="R495" s="15"/>
      <c r="S495" s="15"/>
      <c r="T495" s="15"/>
      <c r="U495" s="15"/>
      <c r="V495" s="15"/>
      <c r="W495" s="15"/>
    </row>
    <row r="496" spans="1:23" ht="48" customHeight="1" outlineLevel="2">
      <c r="A496" s="15"/>
      <c r="B496" s="718"/>
      <c r="C496" s="712"/>
      <c r="D496" s="700"/>
      <c r="E496" s="110" t="s">
        <v>1825</v>
      </c>
      <c r="F496" s="98">
        <f>817.579710956032*1.01</f>
        <v>825.75550806559238</v>
      </c>
      <c r="G496" s="256"/>
      <c r="H496" s="697"/>
      <c r="I496" s="97">
        <f>IF(($F$112)&lt;=10000,1,0)</f>
        <v>0</v>
      </c>
      <c r="J496" s="189"/>
      <c r="K496" s="730"/>
      <c r="L496" s="15"/>
      <c r="M496" s="15"/>
      <c r="N496" s="15"/>
      <c r="O496" s="15"/>
      <c r="P496" s="15"/>
      <c r="Q496" s="15"/>
      <c r="R496" s="15"/>
      <c r="S496" s="15"/>
      <c r="T496" s="15"/>
      <c r="U496" s="15"/>
      <c r="V496" s="15"/>
      <c r="W496" s="15"/>
    </row>
    <row r="497" spans="1:23" ht="48" customHeight="1" outlineLevel="2">
      <c r="A497" s="15"/>
      <c r="B497" s="718"/>
      <c r="C497" s="711" t="s">
        <v>273</v>
      </c>
      <c r="D497" s="699" t="s">
        <v>1828</v>
      </c>
      <c r="E497" s="109" t="s">
        <v>1826</v>
      </c>
      <c r="F497" s="94">
        <f>2601.71786931773*1.01</f>
        <v>2627.7350480109076</v>
      </c>
      <c r="G497" s="235"/>
      <c r="H497" s="695" t="s">
        <v>820</v>
      </c>
      <c r="I497" s="626">
        <f>IF($F$122="Комфорт",1,0)+IF($F$122="Бизнес",1,0)+IF($F$122="Бизнес+",1,0)</f>
        <v>1</v>
      </c>
      <c r="J497" s="189"/>
      <c r="K497" s="728">
        <f>SUMPRODUCT(I497:I498,F497:F498)*F112</f>
        <v>45956431.430628829</v>
      </c>
      <c r="L497" s="15"/>
      <c r="M497" s="15"/>
      <c r="N497" s="15"/>
      <c r="O497" s="15"/>
      <c r="P497" s="15"/>
      <c r="Q497" s="15"/>
      <c r="R497" s="15"/>
      <c r="S497" s="15"/>
      <c r="T497" s="15"/>
      <c r="U497" s="15"/>
      <c r="V497" s="15"/>
      <c r="W497" s="15"/>
    </row>
    <row r="498" spans="1:23" ht="48" customHeight="1" outlineLevel="2">
      <c r="A498" s="15"/>
      <c r="B498" s="718"/>
      <c r="C498" s="712"/>
      <c r="D498" s="700"/>
      <c r="E498" s="110" t="s">
        <v>1827</v>
      </c>
      <c r="F498" s="98">
        <f>4698.25084395871*1.01</f>
        <v>4745.233352398297</v>
      </c>
      <c r="G498" s="256"/>
      <c r="H498" s="697"/>
      <c r="I498" s="97">
        <f>IF($F$122="Премиум",1,0)+IF($F$122="Элит",1,0)</f>
        <v>0</v>
      </c>
      <c r="J498" s="189"/>
      <c r="K498" s="730"/>
      <c r="L498" s="15"/>
      <c r="M498" s="15"/>
      <c r="N498" s="15"/>
      <c r="O498" s="15"/>
      <c r="P498" s="15"/>
      <c r="Q498" s="15"/>
      <c r="R498" s="15"/>
      <c r="S498" s="15"/>
      <c r="T498" s="15"/>
      <c r="U498" s="15"/>
      <c r="V498" s="15"/>
      <c r="W498" s="15"/>
    </row>
    <row r="499" spans="1:23" ht="48" customHeight="1" outlineLevel="2">
      <c r="A499" s="15"/>
      <c r="B499" s="718"/>
      <c r="C499" s="711" t="s">
        <v>1829</v>
      </c>
      <c r="D499" s="699" t="s">
        <v>1830</v>
      </c>
      <c r="E499" s="109" t="s">
        <v>1831</v>
      </c>
      <c r="F499" s="94">
        <f>1562.63226576615*1.01</f>
        <v>1578.2585884238117</v>
      </c>
      <c r="G499" s="235"/>
      <c r="H499" s="695" t="s">
        <v>820</v>
      </c>
      <c r="I499" s="96">
        <f>IF(($F$112)&gt;=8001,1,0)</f>
        <v>1</v>
      </c>
      <c r="J499" s="162"/>
      <c r="K499" s="728">
        <f>SUMPRODUCT(I499:I501,F499:F501)*F112</f>
        <v>27602148.342011563</v>
      </c>
      <c r="L499" s="15"/>
      <c r="M499" s="15"/>
      <c r="N499" s="15"/>
      <c r="O499" s="15"/>
      <c r="P499" s="15"/>
      <c r="Q499" s="15"/>
      <c r="R499" s="15"/>
      <c r="S499" s="15"/>
      <c r="T499" s="15"/>
      <c r="U499" s="15"/>
      <c r="V499" s="15"/>
      <c r="W499" s="15"/>
    </row>
    <row r="500" spans="1:23" ht="48" customHeight="1" outlineLevel="2">
      <c r="A500" s="15"/>
      <c r="B500" s="718"/>
      <c r="C500" s="976"/>
      <c r="D500" s="738"/>
      <c r="E500" s="111" t="s">
        <v>829</v>
      </c>
      <c r="F500" s="108">
        <f>5490.74265177207*1.01</f>
        <v>5545.6500782897901</v>
      </c>
      <c r="G500" s="468"/>
      <c r="H500" s="696"/>
      <c r="I500" s="56">
        <f>IF(AND(($F$112)&gt;=2001,($F$112)&lt;=8000),1,0)</f>
        <v>0</v>
      </c>
      <c r="J500" s="189"/>
      <c r="K500" s="729"/>
      <c r="L500" s="15"/>
      <c r="M500" s="15"/>
      <c r="N500" s="15"/>
      <c r="O500" s="15"/>
      <c r="P500" s="15"/>
      <c r="Q500" s="15"/>
      <c r="R500" s="15"/>
      <c r="S500" s="15"/>
      <c r="T500" s="15"/>
      <c r="U500" s="15"/>
      <c r="V500" s="15"/>
      <c r="W500" s="15"/>
    </row>
    <row r="501" spans="1:23" ht="48" customHeight="1" outlineLevel="2">
      <c r="A501" s="15"/>
      <c r="B501" s="718"/>
      <c r="C501" s="712"/>
      <c r="D501" s="700"/>
      <c r="E501" s="110" t="s">
        <v>819</v>
      </c>
      <c r="F501" s="98">
        <f>9418.85303777798*1.01</f>
        <v>9513.0415681557606</v>
      </c>
      <c r="G501" s="256"/>
      <c r="H501" s="697"/>
      <c r="I501" s="97">
        <f>IF(($F$112)&lt;=2000,1,0)</f>
        <v>0</v>
      </c>
      <c r="J501" s="162"/>
      <c r="K501" s="730"/>
      <c r="L501" s="15"/>
      <c r="M501" s="15"/>
      <c r="N501" s="15"/>
      <c r="O501" s="15"/>
      <c r="P501" s="15"/>
      <c r="Q501" s="15"/>
      <c r="R501" s="15"/>
      <c r="S501" s="15"/>
      <c r="T501" s="15"/>
      <c r="U501" s="15"/>
      <c r="V501" s="15"/>
      <c r="W501" s="15"/>
    </row>
    <row r="502" spans="1:23" ht="32.25" customHeight="1" outlineLevel="2">
      <c r="A502" s="15"/>
      <c r="B502" s="718"/>
      <c r="C502" s="794" t="s">
        <v>111</v>
      </c>
      <c r="D502" s="837"/>
      <c r="E502" s="109" t="s">
        <v>826</v>
      </c>
      <c r="F502" s="94">
        <f>117.379563705988*1.01</f>
        <v>118.55335934304789</v>
      </c>
      <c r="G502" s="235"/>
      <c r="H502" s="695" t="s">
        <v>828</v>
      </c>
      <c r="I502" s="96">
        <f>IF(F112=0,0,1)</f>
        <v>1</v>
      </c>
      <c r="J502" s="162"/>
      <c r="K502" s="438">
        <f>I502*F112*F502</f>
        <v>2073378.4913527037</v>
      </c>
      <c r="L502" s="15"/>
      <c r="M502" s="15"/>
      <c r="N502" s="15"/>
      <c r="O502" s="15"/>
      <c r="P502" s="15"/>
      <c r="Q502" s="15"/>
      <c r="R502" s="15"/>
      <c r="S502" s="15"/>
      <c r="T502" s="15"/>
      <c r="U502" s="15"/>
      <c r="V502" s="15"/>
      <c r="W502" s="15"/>
    </row>
    <row r="503" spans="1:23" ht="32.25" customHeight="1" outlineLevel="2">
      <c r="A503" s="15"/>
      <c r="B503" s="718"/>
      <c r="C503" s="796"/>
      <c r="D503" s="838"/>
      <c r="E503" s="125" t="s">
        <v>827</v>
      </c>
      <c r="F503" s="92">
        <f>847.867896439936*1.01</f>
        <v>856.34657540433534</v>
      </c>
      <c r="G503" s="234"/>
      <c r="H503" s="697"/>
      <c r="I503" s="56">
        <f>I502</f>
        <v>1</v>
      </c>
      <c r="J503" s="189"/>
      <c r="K503" s="438">
        <f>I503*F112*F503</f>
        <v>14976636.515623245</v>
      </c>
      <c r="L503" s="15"/>
      <c r="M503" s="15"/>
      <c r="N503" s="15"/>
      <c r="O503" s="15"/>
      <c r="P503" s="15"/>
      <c r="Q503" s="15"/>
      <c r="R503" s="15"/>
      <c r="S503" s="15"/>
      <c r="T503" s="15"/>
      <c r="U503" s="15"/>
      <c r="V503" s="15"/>
      <c r="W503" s="15"/>
    </row>
    <row r="504" spans="1:23" ht="21" customHeight="1" outlineLevel="2">
      <c r="A504" s="15"/>
      <c r="B504" s="718"/>
      <c r="C504" s="971" t="s">
        <v>114</v>
      </c>
      <c r="D504" s="972"/>
      <c r="E504" s="109" t="s">
        <v>374</v>
      </c>
      <c r="F504" s="94">
        <f>F120</f>
        <v>0</v>
      </c>
      <c r="G504" s="235"/>
      <c r="H504" s="674" t="s">
        <v>375</v>
      </c>
      <c r="I504" s="131">
        <v>1</v>
      </c>
      <c r="J504" s="162"/>
      <c r="K504" s="155">
        <f>SUMPRODUCT(I504:I504,F504:F504)</f>
        <v>0</v>
      </c>
      <c r="L504" s="15"/>
      <c r="M504" s="15"/>
      <c r="N504" s="15"/>
      <c r="O504" s="15"/>
      <c r="P504" s="15"/>
      <c r="Q504" s="15"/>
      <c r="R504" s="15"/>
      <c r="S504" s="15"/>
      <c r="T504" s="15"/>
      <c r="U504" s="15"/>
      <c r="V504" s="15"/>
      <c r="W504" s="15"/>
    </row>
    <row r="505" spans="1:23" ht="98.25" customHeight="1" outlineLevel="2">
      <c r="A505" s="15"/>
      <c r="B505" s="718"/>
      <c r="C505" s="124" t="s">
        <v>272</v>
      </c>
      <c r="D505" s="19" t="s">
        <v>277</v>
      </c>
      <c r="E505" s="141" t="s">
        <v>801</v>
      </c>
      <c r="F505" s="94">
        <f>10361400.3767797*1.01</f>
        <v>10465014.380547497</v>
      </c>
      <c r="G505" s="235"/>
      <c r="H505" s="674" t="s">
        <v>802</v>
      </c>
      <c r="I505" s="131">
        <f>IF(F115="да",1,0)</f>
        <v>0</v>
      </c>
      <c r="J505" s="162"/>
      <c r="K505" s="155">
        <f>SUMPRODUCT(I505:I505,F505:F505)</f>
        <v>0</v>
      </c>
      <c r="L505" s="15"/>
      <c r="M505" s="15"/>
      <c r="N505" s="15"/>
      <c r="O505" s="15"/>
      <c r="P505" s="15"/>
      <c r="Q505" s="15"/>
      <c r="R505" s="15"/>
      <c r="S505" s="15"/>
      <c r="T505" s="15"/>
      <c r="U505" s="15"/>
      <c r="V505" s="15"/>
      <c r="W505" s="15"/>
    </row>
    <row r="506" spans="1:23" ht="19.5" customHeight="1" outlineLevel="2">
      <c r="A506" s="15"/>
      <c r="B506" s="718"/>
      <c r="C506" s="441" t="s">
        <v>437</v>
      </c>
      <c r="D506" s="19" t="s">
        <v>803</v>
      </c>
      <c r="E506" s="141" t="s">
        <v>804</v>
      </c>
      <c r="F506" s="94">
        <f>4138183.89667017*1.01</f>
        <v>4179565.7356368718</v>
      </c>
      <c r="G506" s="235"/>
      <c r="H506" s="674" t="s">
        <v>802</v>
      </c>
      <c r="I506" s="131">
        <f>IF(F116="да",1,0)</f>
        <v>0</v>
      </c>
      <c r="J506" s="189"/>
      <c r="K506" s="184">
        <f>SUMPRODUCT(I506:I506,F506:F506)</f>
        <v>0</v>
      </c>
      <c r="L506" s="15"/>
      <c r="M506" s="15"/>
      <c r="N506" s="15"/>
      <c r="O506" s="15"/>
      <c r="P506" s="15"/>
      <c r="Q506" s="15"/>
      <c r="R506" s="15"/>
      <c r="S506" s="15"/>
      <c r="T506" s="15"/>
      <c r="U506" s="15"/>
      <c r="V506" s="15"/>
      <c r="W506" s="15"/>
    </row>
    <row r="507" spans="1:23" ht="37.5" customHeight="1" outlineLevel="2">
      <c r="A507" s="15"/>
      <c r="B507" s="718"/>
      <c r="C507" s="687" t="s">
        <v>34</v>
      </c>
      <c r="D507" s="839" t="s">
        <v>831</v>
      </c>
      <c r="E507" s="283" t="s">
        <v>378</v>
      </c>
      <c r="F507" s="159">
        <f>4952484.09861299*1.01</f>
        <v>5002008.9395991201</v>
      </c>
      <c r="G507" s="474"/>
      <c r="H507" s="16" t="s">
        <v>737</v>
      </c>
      <c r="I507" s="131">
        <f>IF($F$117=E507,1,0)</f>
        <v>0</v>
      </c>
      <c r="J507" s="189"/>
      <c r="K507" s="157">
        <f>I507*F507</f>
        <v>0</v>
      </c>
      <c r="L507" s="15"/>
      <c r="M507" s="15"/>
      <c r="N507" s="15"/>
      <c r="O507" s="15"/>
      <c r="P507" s="15"/>
      <c r="Q507" s="15"/>
      <c r="R507" s="15"/>
      <c r="S507" s="15"/>
      <c r="T507" s="15"/>
      <c r="U507" s="15"/>
      <c r="V507" s="15"/>
      <c r="W507" s="15"/>
    </row>
    <row r="508" spans="1:23" ht="37.5" customHeight="1" outlineLevel="2">
      <c r="A508" s="15"/>
      <c r="B508" s="718"/>
      <c r="C508" s="713"/>
      <c r="D508" s="840"/>
      <c r="E508" s="283" t="s">
        <v>832</v>
      </c>
      <c r="F508"/>
      <c r="G508"/>
      <c r="H508"/>
      <c r="I508"/>
      <c r="J508"/>
      <c r="K508"/>
    </row>
    <row r="509" spans="1:23" ht="37.5" customHeight="1" outlineLevel="3">
      <c r="A509" s="15"/>
      <c r="B509" s="718"/>
      <c r="C509" s="713"/>
      <c r="D509" s="840"/>
      <c r="E509" s="444" t="s">
        <v>834</v>
      </c>
      <c r="F509" s="475">
        <v>0.85961533747412022</v>
      </c>
      <c r="G509" s="476"/>
      <c r="H509" s="704" t="s">
        <v>830</v>
      </c>
      <c r="I509" s="479">
        <f>IF(($F$112)&gt;=4001,1,0)</f>
        <v>1</v>
      </c>
      <c r="J509"/>
      <c r="K509" s="15"/>
      <c r="L509" s="15"/>
      <c r="M509" s="15"/>
      <c r="N509" s="15"/>
      <c r="O509" s="15"/>
      <c r="P509" s="15"/>
      <c r="Q509" s="15"/>
      <c r="R509" s="15"/>
      <c r="S509" s="15"/>
      <c r="T509" s="15"/>
      <c r="U509" s="15"/>
      <c r="V509" s="15"/>
      <c r="W509" s="15"/>
    </row>
    <row r="510" spans="1:23" ht="37.5" customHeight="1" outlineLevel="3">
      <c r="A510" s="15"/>
      <c r="B510" s="718"/>
      <c r="C510" s="713"/>
      <c r="D510" s="840"/>
      <c r="E510" s="111" t="s">
        <v>818</v>
      </c>
      <c r="F510" s="272">
        <v>1.4916197183098592</v>
      </c>
      <c r="G510" s="472"/>
      <c r="H510" s="705"/>
      <c r="I510" s="56">
        <f>IF(AND(($F$112)&gt;=2001,($F$112)&lt;=4000),1,0)</f>
        <v>0</v>
      </c>
      <c r="J510"/>
      <c r="K510" s="15"/>
      <c r="L510" s="15"/>
      <c r="M510" s="15"/>
      <c r="N510" s="15"/>
      <c r="O510" s="15"/>
      <c r="P510" s="15"/>
      <c r="Q510" s="15"/>
      <c r="R510" s="15"/>
      <c r="S510" s="15"/>
      <c r="T510" s="15"/>
      <c r="U510" s="15"/>
      <c r="V510" s="15"/>
      <c r="W510" s="15"/>
    </row>
    <row r="511" spans="1:23" ht="37.5" customHeight="1" outlineLevel="3">
      <c r="A511" s="15"/>
      <c r="B511" s="718"/>
      <c r="C511" s="713"/>
      <c r="D511" s="840"/>
      <c r="E511" s="477" t="s">
        <v>819</v>
      </c>
      <c r="F511" s="273">
        <v>1.9333333333333333</v>
      </c>
      <c r="G511" s="478"/>
      <c r="H511" s="706"/>
      <c r="I511" s="480">
        <f>IF(($F$112)&lt;=2000,1,0)</f>
        <v>0</v>
      </c>
      <c r="J511"/>
      <c r="K511" s="15"/>
      <c r="L511" s="15"/>
      <c r="M511" s="15"/>
      <c r="N511" s="15"/>
      <c r="O511" s="15"/>
      <c r="P511" s="15"/>
      <c r="Q511" s="15"/>
      <c r="R511" s="15"/>
      <c r="S511" s="15"/>
      <c r="T511" s="15"/>
      <c r="U511" s="15"/>
      <c r="V511" s="15"/>
      <c r="W511" s="15"/>
    </row>
    <row r="512" spans="1:23" ht="37.5" customHeight="1" outlineLevel="2">
      <c r="A512" s="15"/>
      <c r="B512" s="718"/>
      <c r="C512" s="713"/>
      <c r="D512" s="840"/>
      <c r="E512" s="283" t="s">
        <v>1244</v>
      </c>
      <c r="F512" s="483">
        <f>IF((SUMPRODUCT(F509:F511,I509:I511)*SUM(H90:R90))&gt;=500,500,SUMPRODUCT(F509:F511,I509:I511)*SUM(H90:R90))</f>
        <v>500</v>
      </c>
      <c r="G512" s="458"/>
      <c r="H512" s="458"/>
      <c r="I512" s="458"/>
      <c r="J512" s="15"/>
      <c r="K512" s="458"/>
      <c r="L512" s="15"/>
      <c r="M512" s="15"/>
      <c r="N512" s="15"/>
      <c r="O512" s="15"/>
      <c r="P512" s="15"/>
      <c r="Q512" s="15"/>
      <c r="R512" s="15"/>
      <c r="S512" s="15"/>
      <c r="T512" s="15"/>
      <c r="U512" s="15"/>
      <c r="V512" s="15"/>
      <c r="W512" s="15"/>
    </row>
    <row r="513" spans="1:25" ht="37.5" customHeight="1" outlineLevel="3">
      <c r="A513" s="15"/>
      <c r="B513" s="718"/>
      <c r="C513" s="713"/>
      <c r="D513" s="840"/>
      <c r="E513" s="473" t="s">
        <v>834</v>
      </c>
      <c r="F513" s="94">
        <f>197988.920654693*1.01</f>
        <v>199968.80986123995</v>
      </c>
      <c r="G513" s="235"/>
      <c r="H513" s="701" t="s">
        <v>833</v>
      </c>
      <c r="I513" s="481">
        <f>I509</f>
        <v>1</v>
      </c>
      <c r="J513" s="471"/>
      <c r="K513" s="728">
        <f>SUMPRODUCT(F513:F515,I513:I515)*F512*IF($F$117=E512,1,0)</f>
        <v>99984404.93061997</v>
      </c>
      <c r="L513" s="15"/>
      <c r="M513" s="15"/>
      <c r="N513" s="15"/>
      <c r="O513" s="15"/>
      <c r="P513" s="15"/>
      <c r="Q513" s="15"/>
      <c r="R513" s="15"/>
      <c r="S513" s="15"/>
      <c r="T513" s="15"/>
      <c r="U513" s="15"/>
      <c r="V513" s="15"/>
      <c r="W513" s="15"/>
    </row>
    <row r="514" spans="1:25" ht="37.5" customHeight="1" outlineLevel="3">
      <c r="A514" s="15"/>
      <c r="B514" s="718"/>
      <c r="C514" s="713"/>
      <c r="D514" s="840"/>
      <c r="E514" s="111" t="s">
        <v>818</v>
      </c>
      <c r="F514" s="92">
        <f>168270.372841958*1.01</f>
        <v>169953.07657037757</v>
      </c>
      <c r="G514" s="234"/>
      <c r="H514" s="702"/>
      <c r="I514" s="482">
        <f>I510</f>
        <v>0</v>
      </c>
      <c r="J514" s="471"/>
      <c r="K514" s="729"/>
      <c r="L514" s="15"/>
      <c r="M514" s="15"/>
      <c r="N514" s="15"/>
      <c r="O514" s="15"/>
      <c r="P514" s="15"/>
      <c r="Q514" s="15"/>
      <c r="R514" s="15"/>
      <c r="S514" s="15"/>
      <c r="T514" s="15"/>
      <c r="U514" s="15"/>
      <c r="V514" s="15"/>
      <c r="W514" s="15"/>
    </row>
    <row r="515" spans="1:25" ht="37.5" customHeight="1" outlineLevel="3">
      <c r="A515" s="15"/>
      <c r="B515" s="719"/>
      <c r="C515" s="688"/>
      <c r="D515" s="841"/>
      <c r="E515" s="25" t="s">
        <v>819</v>
      </c>
      <c r="F515" s="95">
        <f>138551.825029223*1.01</f>
        <v>139937.34327951522</v>
      </c>
      <c r="G515" s="470"/>
      <c r="H515" s="707"/>
      <c r="I515" s="480">
        <f>I511</f>
        <v>0</v>
      </c>
      <c r="J515" s="471"/>
      <c r="K515" s="730"/>
      <c r="L515" s="15"/>
      <c r="M515" s="15"/>
      <c r="N515" s="15"/>
      <c r="O515" s="15"/>
      <c r="P515" s="15"/>
      <c r="Q515" s="15"/>
      <c r="R515" s="15"/>
      <c r="S515" s="15"/>
      <c r="T515" s="15"/>
      <c r="U515" s="15"/>
      <c r="V515" s="15"/>
      <c r="W515" s="15"/>
    </row>
    <row r="516" spans="1:25">
      <c r="A516" s="15"/>
      <c r="B516" s="863" t="s">
        <v>20</v>
      </c>
      <c r="C516" s="864"/>
      <c r="D516" s="864"/>
      <c r="E516" s="864"/>
      <c r="F516" s="21"/>
      <c r="G516" s="21"/>
      <c r="H516" s="21"/>
      <c r="I516" s="22"/>
      <c r="J516" s="15"/>
      <c r="K516" s="15"/>
      <c r="L516" s="15"/>
      <c r="M516" s="15"/>
      <c r="N516" s="15"/>
      <c r="O516" s="15"/>
      <c r="P516" s="15"/>
      <c r="Q516" s="15"/>
      <c r="R516" s="15"/>
      <c r="S516" s="15"/>
      <c r="T516" s="15"/>
      <c r="U516" s="15"/>
      <c r="V516" s="15"/>
      <c r="W516" s="15"/>
      <c r="X516" s="15"/>
      <c r="Y516" s="15"/>
    </row>
    <row r="517" spans="1:25" ht="15" outlineLevel="1">
      <c r="A517" s="636"/>
      <c r="B517" s="978" t="s">
        <v>21</v>
      </c>
      <c r="C517" s="275"/>
      <c r="D517" s="15"/>
      <c r="E517" s="15"/>
      <c r="F517" s="15"/>
      <c r="G517" s="15"/>
      <c r="H517" s="15"/>
      <c r="I517" s="15"/>
      <c r="J517" s="15"/>
      <c r="K517" s="15"/>
      <c r="L517" t="s">
        <v>420</v>
      </c>
      <c r="M517" s="15"/>
      <c r="N517" s="15"/>
      <c r="O517" s="15"/>
      <c r="P517" s="15"/>
      <c r="Q517" s="15"/>
      <c r="R517" s="15"/>
      <c r="S517" s="15"/>
      <c r="T517" s="15"/>
      <c r="U517" s="15"/>
      <c r="V517" s="15"/>
      <c r="W517" s="15"/>
      <c r="X517" s="15"/>
      <c r="Y517" s="15"/>
    </row>
    <row r="518" spans="1:25" ht="39" customHeight="1" outlineLevel="2">
      <c r="A518" s="636"/>
      <c r="B518" s="978"/>
      <c r="C518" s="687" t="s">
        <v>275</v>
      </c>
      <c r="D518" s="23" t="s">
        <v>353</v>
      </c>
      <c r="E518" s="854" t="s">
        <v>278</v>
      </c>
      <c r="F518" s="94">
        <f>1748.9059981135*1.01</f>
        <v>1766.3950580946348</v>
      </c>
      <c r="G518" s="240"/>
      <c r="H518" s="695" t="s">
        <v>528</v>
      </c>
      <c r="I518" s="96">
        <f>F11</f>
        <v>3814.6</v>
      </c>
      <c r="J518" s="103"/>
      <c r="K518" s="152">
        <f>I518*F518</f>
        <v>6738090.5886077937</v>
      </c>
      <c r="L518" s="15"/>
      <c r="M518" s="15"/>
      <c r="N518" s="15"/>
      <c r="O518" s="15"/>
      <c r="P518" s="15"/>
      <c r="Q518" s="15"/>
      <c r="R518" s="15"/>
      <c r="S518" s="15"/>
      <c r="T518" s="15"/>
      <c r="U518" s="15"/>
      <c r="V518" s="15"/>
      <c r="W518" s="15"/>
    </row>
    <row r="519" spans="1:25" ht="39" customHeight="1" outlineLevel="2">
      <c r="A519" s="636"/>
      <c r="B519" s="978"/>
      <c r="C519" s="713"/>
      <c r="D519" s="25" t="s">
        <v>354</v>
      </c>
      <c r="E519" s="855"/>
      <c r="F519" s="98">
        <f>2118.19270662018*1.01</f>
        <v>2139.3746336863819</v>
      </c>
      <c r="G519" s="244"/>
      <c r="H519" s="696"/>
      <c r="I519" s="97">
        <f>F12</f>
        <v>0</v>
      </c>
      <c r="J519" s="103"/>
      <c r="K519" s="152">
        <f>I519*F519</f>
        <v>0</v>
      </c>
      <c r="L519" s="15"/>
      <c r="M519" s="15"/>
      <c r="N519" s="15"/>
      <c r="O519" s="15"/>
      <c r="P519" s="15"/>
      <c r="Q519" s="15"/>
      <c r="R519" s="15"/>
      <c r="S519" s="15"/>
      <c r="T519" s="15"/>
      <c r="U519" s="15"/>
      <c r="V519" s="15"/>
      <c r="W519" s="15"/>
    </row>
    <row r="520" spans="1:25" ht="39" customHeight="1" outlineLevel="2">
      <c r="A520" s="636"/>
      <c r="B520" s="978"/>
      <c r="C520" s="713"/>
      <c r="D520" s="233" t="s">
        <v>526</v>
      </c>
      <c r="E520" s="297" t="s">
        <v>527</v>
      </c>
      <c r="F520" s="93">
        <f>4211.50217736185*1.01</f>
        <v>4253.6171991354686</v>
      </c>
      <c r="G520" s="242"/>
      <c r="H520" s="696"/>
      <c r="I520" s="296">
        <f>IF(F15&gt;0,1,0)</f>
        <v>0</v>
      </c>
      <c r="J520" s="103"/>
      <c r="K520" s="152">
        <f>I520*F520*F15</f>
        <v>0</v>
      </c>
      <c r="L520" s="15"/>
      <c r="M520" s="15"/>
      <c r="N520" s="15"/>
      <c r="O520" s="15"/>
      <c r="P520" s="15"/>
      <c r="Q520" s="15"/>
      <c r="R520" s="15"/>
      <c r="S520" s="15"/>
      <c r="T520" s="15"/>
      <c r="U520" s="15"/>
      <c r="V520" s="15"/>
      <c r="W520" s="15"/>
    </row>
    <row r="521" spans="1:25" ht="60.75" customHeight="1" outlineLevel="2">
      <c r="A521" s="636"/>
      <c r="B521" s="978"/>
      <c r="C521" s="688"/>
      <c r="D521" s="129" t="s">
        <v>526</v>
      </c>
      <c r="E521" s="64" t="s">
        <v>261</v>
      </c>
      <c r="F521" s="158">
        <f>3581.51771610314*1.01</f>
        <v>3617.3328932641716</v>
      </c>
      <c r="G521" s="247"/>
      <c r="H521" s="696"/>
      <c r="I521" s="97">
        <f>IF(F15=0,0,IF(F17="да",1,0))</f>
        <v>0</v>
      </c>
      <c r="J521" s="103"/>
      <c r="K521" s="152">
        <f>F521*I521*F15</f>
        <v>0</v>
      </c>
      <c r="L521" s="15"/>
      <c r="M521" s="15"/>
      <c r="N521" s="15"/>
      <c r="O521" s="15"/>
      <c r="P521" s="15"/>
      <c r="Q521" s="15"/>
      <c r="R521" s="15"/>
      <c r="S521" s="15"/>
      <c r="T521" s="15"/>
      <c r="U521" s="15"/>
      <c r="V521" s="15"/>
      <c r="W521" s="15"/>
    </row>
    <row r="522" spans="1:25" ht="39.75" customHeight="1" outlineLevel="2">
      <c r="A522" s="636"/>
      <c r="B522" s="978"/>
      <c r="C522" s="734" t="s">
        <v>22</v>
      </c>
      <c r="D522" s="735"/>
      <c r="E522" s="130" t="s">
        <v>309</v>
      </c>
      <c r="F522" s="159">
        <f>1150.25812496475*1.01</f>
        <v>1161.7607062143977</v>
      </c>
      <c r="G522" s="236"/>
      <c r="H522" s="697"/>
      <c r="I522" s="131">
        <f>F9</f>
        <v>0</v>
      </c>
      <c r="J522" s="103"/>
      <c r="K522" s="152">
        <f>F522*I522</f>
        <v>0</v>
      </c>
      <c r="L522" s="15"/>
      <c r="M522" s="15"/>
      <c r="N522" s="15"/>
      <c r="O522" s="15"/>
      <c r="P522" s="15"/>
      <c r="Q522" s="15"/>
      <c r="R522" s="15"/>
      <c r="S522" s="15"/>
      <c r="T522" s="15"/>
      <c r="U522" s="15"/>
      <c r="V522" s="15"/>
      <c r="W522" s="15"/>
    </row>
    <row r="523" spans="1:25" ht="29.25" customHeight="1" outlineLevel="2">
      <c r="A523" s="636"/>
      <c r="B523" s="979"/>
      <c r="C523" s="842" t="s">
        <v>262</v>
      </c>
      <c r="D523" s="843"/>
      <c r="E523" s="120" t="s">
        <v>263</v>
      </c>
      <c r="F523" s="95">
        <f>77816.2203389831*1.01</f>
        <v>78594.382542372929</v>
      </c>
      <c r="G523" s="239"/>
      <c r="H523" s="119" t="s">
        <v>316</v>
      </c>
      <c r="I523" s="122">
        <f>F13+F16</f>
        <v>0</v>
      </c>
      <c r="J523" s="103"/>
      <c r="K523" s="157">
        <f>F523*I523</f>
        <v>0</v>
      </c>
      <c r="L523" s="15"/>
      <c r="M523" s="15"/>
      <c r="N523" s="15"/>
      <c r="O523" s="15"/>
      <c r="P523" s="15"/>
      <c r="Q523" s="15"/>
      <c r="R523" s="15"/>
      <c r="S523" s="15"/>
      <c r="T523" s="15"/>
      <c r="U523" s="15"/>
      <c r="V523" s="15"/>
      <c r="W523" s="15"/>
    </row>
    <row r="524" spans="1:25" ht="21" customHeight="1" outlineLevel="1">
      <c r="A524" s="458"/>
      <c r="B524" s="717" t="s">
        <v>270</v>
      </c>
      <c r="C524" s="812"/>
      <c r="D524" s="578"/>
      <c r="E524" s="15"/>
      <c r="F524" s="15"/>
      <c r="G524" s="15"/>
      <c r="H524" s="15"/>
      <c r="I524" s="15"/>
      <c r="J524" s="15"/>
      <c r="K524" s="15"/>
      <c r="L524" s="15"/>
      <c r="M524" s="15"/>
      <c r="N524" s="15"/>
      <c r="O524" s="15"/>
      <c r="P524" s="15"/>
      <c r="Q524" s="15"/>
      <c r="R524" s="15"/>
      <c r="S524" s="15"/>
      <c r="T524" s="15"/>
      <c r="U524" s="15"/>
      <c r="V524" s="15"/>
      <c r="W524" s="15"/>
    </row>
    <row r="525" spans="1:25" ht="50.25" customHeight="1" outlineLevel="2">
      <c r="A525" s="15"/>
      <c r="B525" s="718"/>
      <c r="C525" s="813"/>
      <c r="D525" s="23" t="s">
        <v>271</v>
      </c>
      <c r="E525" s="165" t="s">
        <v>1817</v>
      </c>
      <c r="F525" s="94">
        <f>137798.979384061*1.01</f>
        <v>139176.96917790163</v>
      </c>
      <c r="G525" s="240"/>
      <c r="H525" s="695" t="s">
        <v>317</v>
      </c>
      <c r="I525" s="442">
        <f>IF(F51=D525,1,0)</f>
        <v>1</v>
      </c>
      <c r="J525" s="14"/>
      <c r="K525" s="728">
        <f>SUMPRODUCT(F525:F526,I525:I526)*F50+SUMPRODUCT(G525:G526,I525:I526)*F50*курс</f>
        <v>34794242.294475406</v>
      </c>
      <c r="L525" s="728">
        <f>SUMPRODUCT(G525:G526,I525:I526)*F50</f>
        <v>0</v>
      </c>
      <c r="M525" s="15"/>
      <c r="N525" s="15"/>
      <c r="O525" s="15"/>
      <c r="P525" s="15"/>
      <c r="Q525" s="15"/>
      <c r="R525" s="15"/>
      <c r="S525" s="15"/>
      <c r="T525" s="15"/>
      <c r="U525" s="15"/>
      <c r="V525" s="15"/>
      <c r="W525" s="15"/>
    </row>
    <row r="526" spans="1:25" ht="18.75" outlineLevel="2">
      <c r="A526" s="15"/>
      <c r="B526" s="718"/>
      <c r="C526" s="813"/>
      <c r="D526" s="25" t="s">
        <v>759</v>
      </c>
      <c r="E526" s="453" t="s">
        <v>1816</v>
      </c>
      <c r="F526" s="98">
        <f>67628.3715674362*1.01</f>
        <v>68304.655283110566</v>
      </c>
      <c r="G526" s="244"/>
      <c r="H526" s="696"/>
      <c r="I526" s="97">
        <f>IF(F51=D526,1,0)</f>
        <v>0</v>
      </c>
      <c r="J526" s="625"/>
      <c r="K526" s="730"/>
      <c r="L526" s="730"/>
      <c r="M526" s="15"/>
      <c r="N526" s="15"/>
      <c r="O526" s="15"/>
      <c r="P526" s="15"/>
      <c r="Q526" s="15"/>
      <c r="R526" s="15"/>
      <c r="S526" s="15"/>
      <c r="T526" s="15"/>
      <c r="U526" s="15"/>
      <c r="V526" s="15"/>
      <c r="W526" s="15"/>
    </row>
    <row r="527" spans="1:25" ht="18.75" outlineLevel="2">
      <c r="A527" s="15"/>
      <c r="B527" s="718"/>
      <c r="C527" s="813"/>
      <c r="D527" s="734" t="s">
        <v>1821</v>
      </c>
      <c r="E527" s="735"/>
      <c r="F527" s="159">
        <f>4273.42858573216*1.01</f>
        <v>4316.1628715894822</v>
      </c>
      <c r="G527" s="236"/>
      <c r="H527" s="696"/>
      <c r="I527" s="589">
        <f>I525</f>
        <v>1</v>
      </c>
      <c r="J527" s="625"/>
      <c r="K527" s="586">
        <f>I527*F50*F527</f>
        <v>1079040.7178973705</v>
      </c>
      <c r="L527" s="15"/>
      <c r="M527" s="15"/>
      <c r="N527" s="15"/>
      <c r="O527" s="15"/>
      <c r="P527" s="15"/>
      <c r="Q527" s="15"/>
      <c r="R527" s="15"/>
      <c r="S527" s="15"/>
      <c r="T527" s="15"/>
      <c r="U527" s="15"/>
      <c r="V527" s="15"/>
      <c r="W527" s="15"/>
    </row>
    <row r="528" spans="1:25" ht="18.75" outlineLevel="2">
      <c r="A528" s="15"/>
      <c r="B528" s="718"/>
      <c r="C528" s="813"/>
      <c r="D528" s="687" t="s">
        <v>1820</v>
      </c>
      <c r="E528" s="590" t="s">
        <v>279</v>
      </c>
      <c r="F528" s="94">
        <f>3063.82978723404*1.01</f>
        <v>3094.4680851063804</v>
      </c>
      <c r="G528" s="240"/>
      <c r="H528" s="696"/>
      <c r="I528" s="588">
        <f>IF($F$122="Комфорт",1,0)+IF($F$122="Бизнес",1,0)+IF($F$122="Бизнес+",1,0)</f>
        <v>1</v>
      </c>
      <c r="J528" s="625"/>
      <c r="K528" s="157">
        <f>$F$50*I528*F528</f>
        <v>773617.02127659507</v>
      </c>
      <c r="L528" s="15"/>
      <c r="M528" s="15"/>
      <c r="N528" s="15"/>
      <c r="O528" s="15"/>
      <c r="P528" s="15"/>
      <c r="Q528" s="15"/>
      <c r="R528" s="15"/>
      <c r="S528" s="15"/>
      <c r="T528" s="15"/>
      <c r="U528" s="15"/>
      <c r="V528" s="15"/>
      <c r="W528" s="15"/>
    </row>
    <row r="529" spans="1:23" ht="18.75" outlineLevel="2">
      <c r="A529" s="15"/>
      <c r="B529" s="718"/>
      <c r="C529" s="813"/>
      <c r="D529" s="688"/>
      <c r="E529" s="576" t="s">
        <v>277</v>
      </c>
      <c r="F529" s="98">
        <f>4942.64472681591*1.01</f>
        <v>4992.0711740840688</v>
      </c>
      <c r="G529" s="244"/>
      <c r="H529" s="697"/>
      <c r="I529" s="97">
        <f>IF($F$122="Премиум",1,0)+IF($F$122="Элит",1,0)</f>
        <v>0</v>
      </c>
      <c r="J529" s="625"/>
      <c r="K529" s="157">
        <f>$F$50*I529*F529</f>
        <v>0</v>
      </c>
      <c r="L529" s="15"/>
      <c r="M529" s="15"/>
      <c r="N529" s="15"/>
      <c r="O529" s="15"/>
      <c r="P529" s="15"/>
      <c r="Q529" s="15"/>
      <c r="R529" s="15"/>
      <c r="S529" s="15"/>
      <c r="T529" s="15"/>
      <c r="U529" s="15"/>
      <c r="V529" s="15"/>
      <c r="W529" s="15"/>
    </row>
    <row r="530" spans="1:23" ht="18.75" outlineLevel="2">
      <c r="A530" s="15"/>
      <c r="B530" s="718"/>
      <c r="C530" s="813"/>
      <c r="D530" s="687" t="s">
        <v>1819</v>
      </c>
      <c r="E530" s="590" t="s">
        <v>279</v>
      </c>
      <c r="F530" s="94">
        <f>194400*1.01</f>
        <v>196344</v>
      </c>
      <c r="G530" s="240"/>
      <c r="H530" s="696" t="str">
        <f>H532</f>
        <v>руб.</v>
      </c>
      <c r="I530" s="589">
        <f>IF($F$122="Комфорт",1,0)+IF($F$122="Бизнес",1,0)+IF($F$122="Бизнес+",1,0)</f>
        <v>1</v>
      </c>
      <c r="J530" s="625"/>
      <c r="K530" s="586">
        <f>I530*F530</f>
        <v>196344</v>
      </c>
      <c r="L530" s="15"/>
      <c r="M530" s="15"/>
      <c r="N530" s="15"/>
      <c r="O530" s="15"/>
      <c r="P530" s="15"/>
      <c r="Q530" s="15"/>
      <c r="R530" s="15"/>
      <c r="S530" s="15"/>
      <c r="T530" s="15"/>
      <c r="U530" s="15"/>
      <c r="V530" s="15"/>
      <c r="W530" s="15"/>
    </row>
    <row r="531" spans="1:23" ht="18.75" outlineLevel="2">
      <c r="A531" s="15"/>
      <c r="B531" s="718"/>
      <c r="C531" s="813"/>
      <c r="D531" s="688"/>
      <c r="E531" s="576" t="s">
        <v>277</v>
      </c>
      <c r="F531" s="98">
        <f>417696*1.01</f>
        <v>421872.96</v>
      </c>
      <c r="G531" s="244"/>
      <c r="H531" s="697"/>
      <c r="I531" s="589">
        <f>IF($F$122="Премиум",1,0)+IF($F$122="Элит",1,0)</f>
        <v>0</v>
      </c>
      <c r="J531" s="625"/>
      <c r="K531" s="586">
        <f>I531*F531</f>
        <v>0</v>
      </c>
      <c r="L531" s="15"/>
      <c r="M531" s="15"/>
      <c r="N531" s="15"/>
      <c r="O531" s="15"/>
      <c r="P531" s="15"/>
      <c r="Q531" s="15"/>
      <c r="R531" s="15"/>
      <c r="S531" s="15"/>
      <c r="T531" s="15"/>
      <c r="U531" s="15"/>
      <c r="V531" s="15"/>
      <c r="W531" s="15"/>
    </row>
    <row r="532" spans="1:23" ht="18.75" outlineLevel="2">
      <c r="A532" s="15"/>
      <c r="B532" s="718"/>
      <c r="C532" s="813"/>
      <c r="D532" s="770" t="s">
        <v>760</v>
      </c>
      <c r="E532" s="456" t="s">
        <v>32</v>
      </c>
      <c r="F532" s="108">
        <f>1453610.42305085*1.01</f>
        <v>1468146.5272813584</v>
      </c>
      <c r="G532" s="237">
        <v>0</v>
      </c>
      <c r="H532" s="695" t="s">
        <v>737</v>
      </c>
      <c r="I532" s="442">
        <f>IF(F$122="Комфорт",1,0)</f>
        <v>0</v>
      </c>
      <c r="J532" s="625"/>
      <c r="K532" s="728">
        <f>SUMPRODUCT(F532:F534,I532:I534)+SUMPRODUCT(G532:G534,I532:I534)*курс</f>
        <v>2097352.181830511</v>
      </c>
      <c r="L532" s="728">
        <f>SUMPRODUCT(G532:G534,I532:I534)</f>
        <v>0</v>
      </c>
      <c r="M532" s="15"/>
      <c r="N532" s="15"/>
      <c r="O532" s="15"/>
      <c r="P532" s="15"/>
      <c r="Q532" s="15"/>
      <c r="R532" s="15"/>
      <c r="S532" s="15"/>
      <c r="T532" s="15"/>
      <c r="U532" s="15"/>
      <c r="V532" s="15"/>
      <c r="W532" s="15"/>
    </row>
    <row r="533" spans="1:23" ht="18.75" outlineLevel="2">
      <c r="A533" s="15"/>
      <c r="B533" s="718"/>
      <c r="C533" s="813"/>
      <c r="D533" s="751"/>
      <c r="E533" s="457" t="s">
        <v>371</v>
      </c>
      <c r="F533" s="92">
        <f>2076586.31864407*1.01</f>
        <v>2097352.181830511</v>
      </c>
      <c r="G533" s="238">
        <v>0</v>
      </c>
      <c r="H533" s="696"/>
      <c r="I533" s="57">
        <f>IF(F$122="Бизнес",1,0)+IF(F$122="бизнес+",1,0)</f>
        <v>1</v>
      </c>
      <c r="J533" s="625"/>
      <c r="K533" s="729"/>
      <c r="L533" s="729"/>
      <c r="M533" s="15"/>
      <c r="N533" s="15"/>
      <c r="O533" s="15"/>
      <c r="P533" s="15"/>
      <c r="Q533" s="15"/>
      <c r="R533" s="15"/>
      <c r="S533" s="15"/>
      <c r="T533" s="15"/>
      <c r="U533" s="15"/>
      <c r="V533" s="15"/>
      <c r="W533" s="15"/>
    </row>
    <row r="534" spans="1:23" ht="18.75" outlineLevel="2">
      <c r="A534" s="15"/>
      <c r="B534" s="718"/>
      <c r="C534" s="813"/>
      <c r="D534" s="774"/>
      <c r="E534" s="457" t="s">
        <v>277</v>
      </c>
      <c r="F534" s="93">
        <f>2196450.57418644*1.01</f>
        <v>2218415.0799283045</v>
      </c>
      <c r="G534" s="158">
        <f>2752.48822033898*1.01</f>
        <v>2780.0131025423702</v>
      </c>
      <c r="H534" s="696"/>
      <c r="I534" s="57">
        <f>IF(F$122="Элит",1,0)+IF(F$122="Премиум",1,0)</f>
        <v>0</v>
      </c>
      <c r="J534" s="625"/>
      <c r="K534" s="730"/>
      <c r="L534" s="730"/>
      <c r="M534" s="15"/>
      <c r="N534" s="15"/>
      <c r="O534" s="15"/>
      <c r="P534" s="15"/>
      <c r="Q534" s="15"/>
      <c r="R534" s="15"/>
      <c r="S534" s="15"/>
      <c r="T534" s="15"/>
      <c r="U534" s="15"/>
      <c r="V534" s="15"/>
      <c r="W534" s="15"/>
    </row>
    <row r="535" spans="1:23" outlineLevel="2">
      <c r="A535" s="15"/>
      <c r="B535" s="718"/>
      <c r="C535" s="813"/>
      <c r="D535" s="734" t="s">
        <v>1223</v>
      </c>
      <c r="E535" s="735"/>
      <c r="F535" s="159">
        <f>1336000*1.01</f>
        <v>1349360</v>
      </c>
      <c r="G535" s="236"/>
      <c r="H535" s="696"/>
      <c r="I535" s="131">
        <f>IF(F50&gt;0,1,0)</f>
        <v>1</v>
      </c>
      <c r="J535" s="29"/>
      <c r="K535" s="157">
        <f>I535*F535+L535*курс</f>
        <v>1349360</v>
      </c>
      <c r="L535" s="157">
        <f>I535*G535</f>
        <v>0</v>
      </c>
    </row>
    <row r="536" spans="1:23" outlineLevel="2">
      <c r="A536" s="15"/>
      <c r="B536" s="718"/>
      <c r="C536" s="813"/>
      <c r="D536" s="579" t="s">
        <v>1232</v>
      </c>
      <c r="E536" s="819" t="s">
        <v>1229</v>
      </c>
      <c r="F536" s="94">
        <f>1256654.72176271*1.01</f>
        <v>1269221.2689803371</v>
      </c>
      <c r="G536" s="237"/>
      <c r="H536" s="696"/>
      <c r="I536" s="553">
        <f>IF($F$50=0,0,IF($F$50&lt;=100,1,0))</f>
        <v>0</v>
      </c>
      <c r="J536" s="29"/>
      <c r="K536" s="728">
        <f>SUMPRODUCT(F536:F538,I536:I538)+L536*курс</f>
        <v>1946521.5093440653</v>
      </c>
      <c r="L536" s="728">
        <f>SUMPRODUCT(G536:G538,I536:I538)</f>
        <v>0</v>
      </c>
    </row>
    <row r="537" spans="1:23" outlineLevel="2">
      <c r="A537" s="15"/>
      <c r="B537" s="718"/>
      <c r="C537" s="813"/>
      <c r="D537" s="580" t="s">
        <v>1233</v>
      </c>
      <c r="E537" s="819"/>
      <c r="F537" s="92">
        <f>1591951.87045763*1.01</f>
        <v>1607871.3891622063</v>
      </c>
      <c r="G537" s="238"/>
      <c r="H537" s="696"/>
      <c r="I537" s="57">
        <f>IF(AND($F$50&gt;100,$F$50&lt;200),1,0)</f>
        <v>0</v>
      </c>
      <c r="J537" s="29"/>
      <c r="K537" s="729"/>
      <c r="L537" s="729"/>
    </row>
    <row r="538" spans="1:23" outlineLevel="2">
      <c r="A538" s="15"/>
      <c r="B538" s="718"/>
      <c r="C538" s="813"/>
      <c r="D538" s="581" t="s">
        <v>1234</v>
      </c>
      <c r="E538" s="819"/>
      <c r="F538" s="158">
        <f>1927249.01915254*1.01</f>
        <v>1946521.5093440653</v>
      </c>
      <c r="G538" s="247"/>
      <c r="H538" s="696"/>
      <c r="I538" s="57">
        <f>IF($F$50&gt;=200,1,0)</f>
        <v>1</v>
      </c>
      <c r="J538" s="29"/>
      <c r="K538" s="730"/>
      <c r="L538" s="730"/>
    </row>
    <row r="539" spans="1:23" outlineLevel="2">
      <c r="A539" s="15"/>
      <c r="B539" s="718"/>
      <c r="C539" s="813"/>
      <c r="D539" s="582" t="s">
        <v>279</v>
      </c>
      <c r="E539" s="818" t="s">
        <v>1230</v>
      </c>
      <c r="F539" s="94">
        <f>962488.876*1.01</f>
        <v>972113.76476000005</v>
      </c>
      <c r="G539" s="240"/>
      <c r="H539" s="696"/>
      <c r="I539" s="552">
        <f>IF(F$122="Комфорт",1,0)+IF(F$122="Бизнес",1,0)+IF(F$122="бизнес+",1,0)</f>
        <v>1</v>
      </c>
      <c r="J539" s="29"/>
      <c r="K539" s="728">
        <f>SUMPRODUCT(F539:F541,I539:I541)+L539*курс</f>
        <v>972113.76476000005</v>
      </c>
      <c r="L539" s="728">
        <f>SUMPRODUCT(G539:G541,I539:I541)</f>
        <v>0</v>
      </c>
    </row>
    <row r="540" spans="1:23" outlineLevel="2">
      <c r="A540" s="15"/>
      <c r="B540" s="718"/>
      <c r="C540" s="813"/>
      <c r="D540" s="583" t="s">
        <v>44</v>
      </c>
      <c r="E540" s="819"/>
      <c r="F540" s="92">
        <f>2832975.60198305*1.01</f>
        <v>2861305.3580028806</v>
      </c>
      <c r="G540" s="238"/>
      <c r="H540" s="696"/>
      <c r="I540" s="57">
        <f>IF(F$122="Премиум",1,0)</f>
        <v>0</v>
      </c>
      <c r="J540" s="29"/>
      <c r="K540" s="729"/>
      <c r="L540" s="729"/>
    </row>
    <row r="541" spans="1:23" outlineLevel="2">
      <c r="A541" s="15"/>
      <c r="B541" s="718"/>
      <c r="C541" s="813"/>
      <c r="D541" s="581" t="s">
        <v>45</v>
      </c>
      <c r="E541" s="820"/>
      <c r="F541" s="98">
        <f>4703462.3279661*1.01</f>
        <v>4750496.9512457605</v>
      </c>
      <c r="G541" s="244"/>
      <c r="H541" s="696"/>
      <c r="I541" s="97">
        <f>IF(F$122="Элит",1,0)</f>
        <v>0</v>
      </c>
      <c r="J541" s="29"/>
      <c r="K541" s="730"/>
      <c r="L541" s="730"/>
    </row>
    <row r="542" spans="1:23" outlineLevel="2">
      <c r="A542" s="15"/>
      <c r="B542" s="718"/>
      <c r="C542" s="813"/>
      <c r="D542" s="579" t="s">
        <v>1232</v>
      </c>
      <c r="E542" s="815" t="s">
        <v>1231</v>
      </c>
      <c r="F542" s="94">
        <f>1262519.41728814*1.01</f>
        <v>1275144.6114610212</v>
      </c>
      <c r="G542" s="94">
        <f>12761.3318644068*1.01</f>
        <v>12888.945183050868</v>
      </c>
      <c r="H542" s="696"/>
      <c r="I542" s="552">
        <f>I536</f>
        <v>0</v>
      </c>
      <c r="J542" s="29"/>
      <c r="K542" s="728">
        <f>SUMPRODUCT(F542:F545,I542:I545)+L542*курс</f>
        <v>4010517.9766686182</v>
      </c>
      <c r="L542" s="728">
        <f>SUMPRODUCT(G542:G545,I542:I545)</f>
        <v>21524.326289583427</v>
      </c>
    </row>
    <row r="543" spans="1:23" outlineLevel="2">
      <c r="A543" s="15"/>
      <c r="B543" s="718"/>
      <c r="C543" s="813"/>
      <c r="D543" s="580" t="s">
        <v>1236</v>
      </c>
      <c r="E543" s="816"/>
      <c r="F543" s="92">
        <f>1574046.08990206*1.01</f>
        <v>1589786.5508010807</v>
      </c>
      <c r="G543" s="92">
        <f>15910.1905666198*1.01</f>
        <v>16069.292472285999</v>
      </c>
      <c r="H543" s="696"/>
      <c r="I543" s="57">
        <f>IF(AND($F$50&gt;100,$F$50&lt;=150),1,0)</f>
        <v>0</v>
      </c>
      <c r="J543" s="29"/>
      <c r="K543" s="729"/>
      <c r="L543" s="729"/>
    </row>
    <row r="544" spans="1:23" outlineLevel="2">
      <c r="A544" s="15"/>
      <c r="B544" s="718"/>
      <c r="C544" s="813"/>
      <c r="D544" s="580" t="s">
        <v>1235</v>
      </c>
      <c r="E544" s="816"/>
      <c r="F544" s="92">
        <f>1841216.36716253*1.01</f>
        <v>1859628.5308341554</v>
      </c>
      <c r="G544" s="92">
        <f>18610.7023573611*1.01</f>
        <v>18796.809380934712</v>
      </c>
      <c r="H544" s="696"/>
      <c r="I544" s="57">
        <f>IF(AND($F$50&gt;150,$F$50&lt;200),1,0)</f>
        <v>0</v>
      </c>
      <c r="J544" s="29"/>
      <c r="K544" s="729"/>
      <c r="L544" s="729"/>
    </row>
    <row r="545" spans="1:23" outlineLevel="2">
      <c r="A545" s="15"/>
      <c r="B545" s="718"/>
      <c r="C545" s="813"/>
      <c r="D545" s="580" t="s">
        <v>1234</v>
      </c>
      <c r="E545" s="817"/>
      <c r="F545" s="98">
        <f>2108386.644423*1.01</f>
        <v>2129470.5108672301</v>
      </c>
      <c r="G545" s="98">
        <f>21311.2141481024*1.01</f>
        <v>21524.326289583427</v>
      </c>
      <c r="H545" s="697"/>
      <c r="I545" s="97">
        <f>IF($F$50&gt;=200,1,0)</f>
        <v>1</v>
      </c>
      <c r="J545" s="29"/>
      <c r="K545" s="730"/>
      <c r="L545" s="730"/>
    </row>
    <row r="546" spans="1:23" outlineLevel="2">
      <c r="A546" s="15"/>
      <c r="B546" s="718"/>
      <c r="C546" s="813"/>
      <c r="D546" s="734" t="s">
        <v>1818</v>
      </c>
      <c r="E546" s="735"/>
      <c r="F546" s="93">
        <f>204400*1.01</f>
        <v>206444</v>
      </c>
      <c r="G546" s="236"/>
      <c r="H546" s="587" t="str">
        <f>H532</f>
        <v>руб.</v>
      </c>
      <c r="I546" s="589">
        <f>I547</f>
        <v>1</v>
      </c>
      <c r="J546" s="29"/>
      <c r="K546" s="586">
        <f>I546*F546</f>
        <v>206444</v>
      </c>
      <c r="L546" s="586">
        <f>I546*G546</f>
        <v>0</v>
      </c>
    </row>
    <row r="547" spans="1:23" outlineLevel="2">
      <c r="A547" s="15"/>
      <c r="B547" s="718"/>
      <c r="C547" s="813"/>
      <c r="D547" s="687" t="s">
        <v>1226</v>
      </c>
      <c r="E547" s="574" t="s">
        <v>1227</v>
      </c>
      <c r="F547" s="94">
        <f>68595.0827399459*1.01</f>
        <v>69281.033567345352</v>
      </c>
      <c r="G547" s="240"/>
      <c r="H547" s="575" t="s">
        <v>1222</v>
      </c>
      <c r="I547" s="552">
        <f>IF(F53&gt;0,1,0)</f>
        <v>1</v>
      </c>
      <c r="J547" s="29"/>
      <c r="K547" s="157">
        <f>I547*F547*F53*F52+L547*курс</f>
        <v>6928103.3567345347</v>
      </c>
      <c r="L547" s="157">
        <f>I547*G547*F53*F52</f>
        <v>0</v>
      </c>
    </row>
    <row r="548" spans="1:23" outlineLevel="2">
      <c r="A548" s="15"/>
      <c r="B548" s="719"/>
      <c r="C548" s="814"/>
      <c r="D548" s="688"/>
      <c r="E548" s="576" t="s">
        <v>1228</v>
      </c>
      <c r="F548" s="98">
        <f>3036678.83389831*1.01</f>
        <v>3067045.622237293</v>
      </c>
      <c r="G548" s="244"/>
      <c r="H548" s="577" t="s">
        <v>737</v>
      </c>
      <c r="I548" s="97">
        <f>F52</f>
        <v>1</v>
      </c>
      <c r="J548" s="29"/>
      <c r="K548" s="157">
        <f>I548*F548+L548*курс</f>
        <v>3067045.622237293</v>
      </c>
      <c r="L548" s="157">
        <f>I548*G548</f>
        <v>0</v>
      </c>
    </row>
    <row r="549" spans="1:23" ht="15" outlineLevel="1">
      <c r="A549" s="636"/>
      <c r="B549" s="813" t="s">
        <v>23</v>
      </c>
      <c r="C549" s="813"/>
      <c r="D549" s="275"/>
      <c r="E549" s="15"/>
      <c r="F549" s="15"/>
      <c r="G549" s="15"/>
      <c r="H549" s="15"/>
      <c r="I549" s="15"/>
      <c r="J549" s="15"/>
      <c r="K549" s="15"/>
      <c r="L549" s="15"/>
      <c r="M549" s="15"/>
      <c r="N549" s="15"/>
      <c r="O549" s="15"/>
      <c r="P549" s="15"/>
      <c r="Q549" s="15"/>
      <c r="R549" s="15"/>
      <c r="S549" s="15"/>
      <c r="T549" s="15"/>
      <c r="U549" s="15"/>
      <c r="V549" s="15"/>
      <c r="W549" s="15"/>
    </row>
    <row r="550" spans="1:23" ht="35.25" customHeight="1" outlineLevel="2">
      <c r="A550" s="636"/>
      <c r="B550" s="813"/>
      <c r="C550" s="813"/>
      <c r="D550" s="23" t="s">
        <v>101</v>
      </c>
      <c r="E550" s="844" t="s">
        <v>24</v>
      </c>
      <c r="F550" s="94">
        <f>уникальные!D155</f>
        <v>1171.4419766788633</v>
      </c>
      <c r="G550" s="240"/>
      <c r="H550" s="797" t="s">
        <v>429</v>
      </c>
      <c r="I550" s="96">
        <f t="shared" ref="I550:I558" si="976">IF($F$69&gt;0,1,0)</f>
        <v>1</v>
      </c>
      <c r="J550" s="14"/>
      <c r="K550" s="215">
        <f>I550*F550*$F$69</f>
        <v>131664482.93041071</v>
      </c>
      <c r="L550" s="15"/>
      <c r="M550" s="15"/>
      <c r="N550" s="15"/>
      <c r="O550" s="15"/>
      <c r="P550" s="15"/>
      <c r="Q550" s="15"/>
      <c r="R550" s="15"/>
      <c r="S550" s="15"/>
      <c r="T550" s="15"/>
      <c r="U550" s="15"/>
      <c r="V550" s="15"/>
      <c r="W550" s="15"/>
    </row>
    <row r="551" spans="1:23" outlineLevel="2">
      <c r="A551" s="636"/>
      <c r="B551" s="813"/>
      <c r="C551" s="813"/>
      <c r="D551" s="40" t="s">
        <v>102</v>
      </c>
      <c r="E551" s="845"/>
      <c r="F551" s="92">
        <f>уникальные!B156</f>
        <v>1799.9360587224792</v>
      </c>
      <c r="G551" s="238"/>
      <c r="H551" s="798"/>
      <c r="I551" s="56">
        <f t="shared" si="976"/>
        <v>1</v>
      </c>
      <c r="K551" s="211">
        <f>I551*F551*$F$69</f>
        <v>202304215.82755345</v>
      </c>
      <c r="L551" s="15"/>
      <c r="M551" s="15"/>
      <c r="O551" s="15"/>
    </row>
    <row r="552" spans="1:23" outlineLevel="2">
      <c r="A552" s="636"/>
      <c r="B552" s="813"/>
      <c r="C552" s="813"/>
      <c r="D552" s="40" t="s">
        <v>103</v>
      </c>
      <c r="E552" s="845"/>
      <c r="F552" s="92">
        <f>уникальные!B157</f>
        <v>752.41521126563111</v>
      </c>
      <c r="G552" s="238"/>
      <c r="H552" s="798"/>
      <c r="I552" s="56">
        <f t="shared" si="976"/>
        <v>1</v>
      </c>
      <c r="K552" s="211">
        <f t="shared" ref="K552:K558" si="977">I552*F552*$F$69</f>
        <v>84567875.927689165</v>
      </c>
      <c r="L552" s="15"/>
      <c r="M552" s="15"/>
      <c r="O552" s="15"/>
    </row>
    <row r="553" spans="1:23" outlineLevel="2">
      <c r="A553" s="636"/>
      <c r="B553" s="813"/>
      <c r="C553" s="813"/>
      <c r="D553" s="40" t="s">
        <v>104</v>
      </c>
      <c r="E553" s="845"/>
      <c r="F553" s="92">
        <f>уникальные!B158</f>
        <v>0</v>
      </c>
      <c r="G553" s="238"/>
      <c r="H553" s="798"/>
      <c r="I553" s="56">
        <f t="shared" si="976"/>
        <v>1</v>
      </c>
      <c r="K553" s="211">
        <f t="shared" si="977"/>
        <v>0</v>
      </c>
      <c r="L553" s="15"/>
      <c r="M553" s="15"/>
      <c r="O553" s="15"/>
    </row>
    <row r="554" spans="1:23" outlineLevel="2">
      <c r="A554" s="636"/>
      <c r="B554" s="813"/>
      <c r="C554" s="813"/>
      <c r="D554" s="40" t="s">
        <v>105</v>
      </c>
      <c r="E554" s="845"/>
      <c r="F554" s="92">
        <f>уникальные!B159</f>
        <v>74.431184469848134</v>
      </c>
      <c r="G554" s="238"/>
      <c r="H554" s="798"/>
      <c r="I554" s="56">
        <f t="shared" si="976"/>
        <v>1</v>
      </c>
      <c r="K554" s="211">
        <f t="shared" si="977"/>
        <v>8365709.6230273694</v>
      </c>
      <c r="L554" s="15"/>
      <c r="M554" s="15"/>
      <c r="O554" s="15"/>
    </row>
    <row r="555" spans="1:23" outlineLevel="2">
      <c r="A555" s="636"/>
      <c r="B555" s="813"/>
      <c r="C555" s="813"/>
      <c r="D555" s="113" t="s">
        <v>106</v>
      </c>
      <c r="E555" s="845"/>
      <c r="F555" s="92">
        <f>уникальные!E162</f>
        <v>18.619603547918423</v>
      </c>
      <c r="G555" s="238"/>
      <c r="H555" s="798"/>
      <c r="I555" s="56">
        <f t="shared" si="976"/>
        <v>1</v>
      </c>
      <c r="K555" s="211">
        <f t="shared" si="977"/>
        <v>2092754.5045434036</v>
      </c>
      <c r="L555" s="15"/>
      <c r="M555" s="15"/>
      <c r="O555" s="15"/>
    </row>
    <row r="556" spans="1:23" outlineLevel="2">
      <c r="A556" s="636"/>
      <c r="B556" s="813"/>
      <c r="C556" s="813"/>
      <c r="D556" s="17" t="s">
        <v>107</v>
      </c>
      <c r="E556" s="845"/>
      <c r="F556" s="92">
        <f>уникальные!D165</f>
        <v>1164.3340389596494</v>
      </c>
      <c r="G556" s="238"/>
      <c r="H556" s="798"/>
      <c r="I556" s="56">
        <f t="shared" si="976"/>
        <v>1</v>
      </c>
      <c r="K556" s="211">
        <f t="shared" si="977"/>
        <v>130865584.68095997</v>
      </c>
      <c r="L556" s="15"/>
      <c r="M556" s="15"/>
    </row>
    <row r="557" spans="1:23" outlineLevel="2">
      <c r="A557" s="636"/>
      <c r="B557" s="814"/>
      <c r="C557" s="814"/>
      <c r="D557" s="37" t="s">
        <v>108</v>
      </c>
      <c r="E557" s="846"/>
      <c r="F557" s="93">
        <f>уникальные!B166</f>
        <v>926.13414428832903</v>
      </c>
      <c r="G557" s="242"/>
      <c r="H557" s="798"/>
      <c r="I557" s="56">
        <f t="shared" si="976"/>
        <v>1</v>
      </c>
      <c r="K557" s="216">
        <f t="shared" si="977"/>
        <v>104093054.25235699</v>
      </c>
      <c r="L557" s="15"/>
      <c r="M557" s="15"/>
    </row>
    <row r="558" spans="1:23" ht="15.75" customHeight="1" outlineLevel="2">
      <c r="A558" s="15"/>
      <c r="B558" s="861" t="s">
        <v>428</v>
      </c>
      <c r="C558" s="770"/>
      <c r="D558" s="770"/>
      <c r="E558" s="19" t="s">
        <v>196</v>
      </c>
      <c r="F558" s="94">
        <f>уникальные!E169</f>
        <v>366.73981726318038</v>
      </c>
      <c r="G558" s="240"/>
      <c r="H558" s="798"/>
      <c r="I558" s="56">
        <f t="shared" si="976"/>
        <v>1</v>
      </c>
      <c r="J558" s="14"/>
      <c r="K558" s="215">
        <f t="shared" si="977"/>
        <v>41219803.772822417</v>
      </c>
      <c r="L558" s="15"/>
      <c r="M558" s="15"/>
    </row>
    <row r="559" spans="1:23" ht="18.75" outlineLevel="2">
      <c r="A559" s="15"/>
      <c r="B559" s="862"/>
      <c r="C559" s="752"/>
      <c r="D559" s="752"/>
      <c r="E559" s="37" t="s">
        <v>197</v>
      </c>
      <c r="F559" s="98">
        <f>уникальные!E172</f>
        <v>2334.4730427973464</v>
      </c>
      <c r="G559" s="244"/>
      <c r="H559" s="799"/>
      <c r="I559" s="97">
        <f>IF($F$69&gt;0,1,0)</f>
        <v>1</v>
      </c>
      <c r="J559" s="14"/>
      <c r="K559" s="214">
        <f>I559*F559*$F$69</f>
        <v>262383619.68751284</v>
      </c>
      <c r="L559" s="15"/>
    </row>
    <row r="560" spans="1:23" ht="23.25" customHeight="1" outlineLevel="1">
      <c r="A560" s="15"/>
      <c r="B560" s="717" t="s">
        <v>39</v>
      </c>
      <c r="C560" s="858"/>
      <c r="D560" s="23" t="s">
        <v>756</v>
      </c>
      <c r="E560" s="844" t="s">
        <v>355</v>
      </c>
      <c r="F560" s="94">
        <f>517963.606779661*1.01</f>
        <v>523143.24284745759</v>
      </c>
      <c r="G560" s="240"/>
      <c r="H560" s="695" t="s">
        <v>40</v>
      </c>
      <c r="I560" s="442">
        <f>IF(F43&lt;=300,F43,0)</f>
        <v>0</v>
      </c>
      <c r="J560" s="41"/>
      <c r="K560" s="728">
        <f>SUMPRODUCT(I560:I562,F560:F562)</f>
        <v>0</v>
      </c>
      <c r="L560" s="15"/>
      <c r="M560" s="15"/>
      <c r="N560" s="15"/>
      <c r="O560" s="15"/>
      <c r="P560" s="15"/>
      <c r="Q560" s="15"/>
      <c r="R560" s="15"/>
      <c r="S560" s="15"/>
      <c r="T560" s="15"/>
      <c r="U560" s="15"/>
      <c r="V560" s="15"/>
      <c r="W560" s="15"/>
    </row>
    <row r="561" spans="1:23" ht="23.25" customHeight="1" outlineLevel="1">
      <c r="A561" s="15"/>
      <c r="B561" s="718"/>
      <c r="C561" s="860"/>
      <c r="D561" s="233" t="s">
        <v>757</v>
      </c>
      <c r="E561" s="845"/>
      <c r="F561" s="92">
        <f>474165.213559322*1.01</f>
        <v>478906.86569491524</v>
      </c>
      <c r="G561" s="238"/>
      <c r="H561" s="696"/>
      <c r="I561" s="56">
        <f>IF(AND(F43&gt;=301,F43&lt;=999),F43,0)</f>
        <v>0</v>
      </c>
      <c r="J561" s="446"/>
      <c r="K561" s="729"/>
      <c r="L561" s="15"/>
      <c r="M561" s="15"/>
      <c r="N561" s="15"/>
      <c r="O561" s="15"/>
      <c r="P561" s="15"/>
      <c r="Q561" s="15"/>
      <c r="R561" s="15"/>
      <c r="S561" s="15"/>
      <c r="T561" s="15"/>
      <c r="U561" s="15"/>
      <c r="V561" s="15"/>
      <c r="W561" s="15"/>
    </row>
    <row r="562" spans="1:23" ht="23.25" customHeight="1" outlineLevel="1">
      <c r="A562" s="15"/>
      <c r="B562" s="718"/>
      <c r="C562" s="860"/>
      <c r="D562" s="129" t="s">
        <v>758</v>
      </c>
      <c r="E562" s="845"/>
      <c r="F562" s="158">
        <f>430366.820338983*1.01</f>
        <v>434670.48854237283</v>
      </c>
      <c r="G562" s="247"/>
      <c r="H562" s="696"/>
      <c r="I562" s="57">
        <f>IF(F43&gt;=1000,F43,0)</f>
        <v>0</v>
      </c>
      <c r="J562" s="446"/>
      <c r="K562" s="730"/>
      <c r="L562" s="15"/>
      <c r="M562" s="15"/>
      <c r="N562" s="15"/>
      <c r="O562" s="15"/>
      <c r="P562" s="15"/>
      <c r="Q562" s="15"/>
      <c r="R562" s="15"/>
      <c r="S562" s="15"/>
      <c r="T562" s="15"/>
      <c r="U562" s="15"/>
      <c r="V562" s="15"/>
      <c r="W562" s="15"/>
    </row>
    <row r="563" spans="1:23" ht="111" customHeight="1" outlineLevel="1">
      <c r="A563" s="15"/>
      <c r="B563" s="866" t="s">
        <v>767</v>
      </c>
      <c r="C563" s="867"/>
      <c r="D563" s="867"/>
      <c r="E563" s="173" t="s">
        <v>765</v>
      </c>
      <c r="F563" s="159">
        <f>45960.8010236967*1.01</f>
        <v>46420.409033933669</v>
      </c>
      <c r="G563" s="236"/>
      <c r="H563" s="784" t="s">
        <v>766</v>
      </c>
      <c r="I563" s="131">
        <f>F48</f>
        <v>0</v>
      </c>
      <c r="J563" s="446"/>
      <c r="K563" s="439">
        <f>F563*I563</f>
        <v>0</v>
      </c>
      <c r="L563" s="15"/>
      <c r="M563" s="15"/>
      <c r="N563" s="15"/>
      <c r="O563" s="15"/>
      <c r="P563" s="15"/>
      <c r="Q563" s="15"/>
      <c r="R563" s="15"/>
      <c r="S563" s="15"/>
      <c r="T563" s="15"/>
      <c r="U563" s="15"/>
      <c r="V563" s="15"/>
      <c r="W563" s="15"/>
    </row>
    <row r="564" spans="1:23" outlineLevel="1">
      <c r="A564" s="15"/>
      <c r="B564" s="868"/>
      <c r="C564" s="869"/>
      <c r="D564" s="869"/>
      <c r="E564" s="645" t="s">
        <v>1224</v>
      </c>
      <c r="F564" s="159"/>
      <c r="G564" s="159">
        <f>78992*1.01</f>
        <v>79781.919999999998</v>
      </c>
      <c r="H564" s="786"/>
      <c r="I564" s="646">
        <f>IF(I563=0,0,1)</f>
        <v>0</v>
      </c>
      <c r="J564" s="642"/>
      <c r="K564" s="637">
        <f>G564*курс*I564</f>
        <v>0</v>
      </c>
      <c r="L564" s="15"/>
      <c r="M564" s="15"/>
      <c r="N564" s="15"/>
      <c r="O564" s="15"/>
      <c r="P564" s="15"/>
      <c r="Q564" s="15"/>
      <c r="R564" s="15"/>
      <c r="S564" s="15"/>
      <c r="T564" s="15"/>
      <c r="U564" s="15"/>
      <c r="V564" s="15"/>
      <c r="W564" s="15"/>
    </row>
    <row r="565" spans="1:23" ht="15" outlineLevel="1">
      <c r="A565" s="15"/>
      <c r="B565" s="850" t="s">
        <v>260</v>
      </c>
      <c r="C565" s="851"/>
      <c r="D565" s="15"/>
      <c r="E565" s="15"/>
      <c r="F565" s="15"/>
      <c r="G565" s="15"/>
      <c r="H565" s="15"/>
      <c r="I565" s="15"/>
      <c r="J565" s="15"/>
      <c r="K565" s="15"/>
      <c r="L565" s="15"/>
      <c r="M565" s="15"/>
      <c r="N565" s="15"/>
      <c r="O565" s="15"/>
      <c r="P565" s="15"/>
      <c r="Q565" s="15"/>
      <c r="R565" s="15"/>
      <c r="S565" s="15"/>
      <c r="T565" s="15"/>
      <c r="U565" s="15"/>
      <c r="V565" s="15"/>
      <c r="W565" s="15"/>
    </row>
    <row r="566" spans="1:23" ht="62.25" customHeight="1" outlineLevel="2">
      <c r="A566" s="15"/>
      <c r="B566" s="850"/>
      <c r="C566" s="851"/>
      <c r="D566" s="847" t="s">
        <v>386</v>
      </c>
      <c r="E566" s="112" t="s">
        <v>773</v>
      </c>
      <c r="F566" s="94">
        <f>146263.635189341*1.01</f>
        <v>147726.27154123443</v>
      </c>
      <c r="G566" s="240"/>
      <c r="H566" s="695" t="s">
        <v>385</v>
      </c>
      <c r="I566" s="692">
        <f>F45</f>
        <v>0</v>
      </c>
      <c r="J566" s="20"/>
      <c r="K566" s="440">
        <f>I566*F566</f>
        <v>0</v>
      </c>
      <c r="M566" s="15"/>
      <c r="N566" s="15"/>
      <c r="O566" s="15"/>
      <c r="P566" s="15"/>
      <c r="Q566" s="15"/>
      <c r="R566" s="15"/>
      <c r="S566" s="15"/>
      <c r="T566" s="15"/>
      <c r="U566" s="15"/>
      <c r="V566" s="15"/>
      <c r="W566" s="15"/>
    </row>
    <row r="567" spans="1:23" ht="41.25" customHeight="1" outlineLevel="2">
      <c r="A567" s="15"/>
      <c r="B567" s="850"/>
      <c r="C567" s="851"/>
      <c r="D567" s="848"/>
      <c r="E567" s="113" t="s">
        <v>770</v>
      </c>
      <c r="F567" s="92">
        <f>54884.977171675*1.01</f>
        <v>55433.826943391745</v>
      </c>
      <c r="G567" s="238"/>
      <c r="H567" s="696"/>
      <c r="I567" s="693"/>
      <c r="J567" s="446"/>
      <c r="K567" s="440">
        <f>I566*F567</f>
        <v>0</v>
      </c>
      <c r="M567" s="15"/>
      <c r="N567" s="15"/>
      <c r="O567" s="15"/>
      <c r="P567" s="15"/>
      <c r="Q567" s="15"/>
      <c r="R567" s="15"/>
      <c r="S567" s="15"/>
      <c r="T567" s="15"/>
      <c r="U567" s="15"/>
      <c r="V567" s="15"/>
      <c r="W567" s="15"/>
    </row>
    <row r="568" spans="1:23" ht="41.25" customHeight="1" outlineLevel="2">
      <c r="A568" s="15"/>
      <c r="B568" s="850"/>
      <c r="C568" s="851"/>
      <c r="D568" s="848"/>
      <c r="E568" s="113" t="s">
        <v>771</v>
      </c>
      <c r="F568" s="92">
        <f>114194.219495091*1.01</f>
        <v>115336.16169004192</v>
      </c>
      <c r="G568" s="238"/>
      <c r="H568" s="696"/>
      <c r="I568" s="693"/>
      <c r="J568" s="446"/>
      <c r="K568" s="440">
        <f>I566*F568</f>
        <v>0</v>
      </c>
      <c r="M568" s="15"/>
      <c r="N568" s="15"/>
      <c r="O568" s="15"/>
      <c r="P568" s="15"/>
      <c r="Q568" s="15"/>
      <c r="R568" s="15"/>
      <c r="S568" s="15"/>
      <c r="T568" s="15"/>
      <c r="U568" s="15"/>
      <c r="V568" s="15"/>
      <c r="W568" s="15"/>
    </row>
    <row r="569" spans="1:23" ht="24.75" customHeight="1" outlineLevel="2">
      <c r="A569" s="15"/>
      <c r="B569" s="850"/>
      <c r="C569" s="851"/>
      <c r="D569" s="849"/>
      <c r="E569" s="39" t="s">
        <v>772</v>
      </c>
      <c r="F569" s="95">
        <f>69476.4465399421*1.01</f>
        <v>70171.211005341524</v>
      </c>
      <c r="G569" s="239"/>
      <c r="H569" s="697"/>
      <c r="I569" s="694"/>
      <c r="J569" s="446"/>
      <c r="K569" s="440">
        <f>I566*F569</f>
        <v>0</v>
      </c>
      <c r="M569" s="15"/>
      <c r="N569" s="15"/>
      <c r="O569" s="15"/>
      <c r="P569" s="15"/>
      <c r="Q569" s="15"/>
      <c r="R569" s="15"/>
      <c r="S569" s="15"/>
      <c r="T569" s="15"/>
      <c r="U569" s="15"/>
      <c r="V569" s="15"/>
      <c r="W569" s="15"/>
    </row>
    <row r="570" spans="1:23" ht="24.75" customHeight="1" outlineLevel="2">
      <c r="A570" s="15"/>
      <c r="B570" s="852"/>
      <c r="C570" s="853"/>
      <c r="D570" s="421" t="s">
        <v>734</v>
      </c>
      <c r="E570" s="422" t="s">
        <v>735</v>
      </c>
      <c r="F570" s="159">
        <f>15569490.64*1.01</f>
        <v>15725185.546400001</v>
      </c>
      <c r="G570" s="416"/>
      <c r="H570" s="417" t="s">
        <v>737</v>
      </c>
      <c r="I570" s="131">
        <f>IF(F46="да",1,0)</f>
        <v>1</v>
      </c>
      <c r="J570" s="413"/>
      <c r="K570" s="414">
        <f>I570*F570</f>
        <v>15725185.546400001</v>
      </c>
      <c r="M570" s="15"/>
      <c r="N570" s="15"/>
      <c r="O570" s="15"/>
      <c r="P570" s="15"/>
      <c r="Q570" s="15"/>
      <c r="R570" s="15"/>
      <c r="S570" s="15"/>
      <c r="T570" s="15"/>
      <c r="U570" s="15"/>
      <c r="V570" s="15"/>
      <c r="W570" s="15"/>
    </row>
    <row r="571" spans="1:23" ht="40.5" customHeight="1">
      <c r="A571" s="15"/>
      <c r="B571" s="863" t="s">
        <v>212</v>
      </c>
      <c r="C571" s="864"/>
      <c r="D571" s="864"/>
      <c r="E571" s="864"/>
      <c r="F571" s="864"/>
      <c r="G571" s="864"/>
      <c r="H571" s="864"/>
      <c r="I571" s="865"/>
      <c r="J571" s="15"/>
      <c r="K571" s="15"/>
    </row>
    <row r="572" spans="1:23" outlineLevel="1">
      <c r="A572" s="15"/>
      <c r="B572" s="274" t="s">
        <v>482</v>
      </c>
      <c r="C572" s="15"/>
      <c r="D572" s="15"/>
      <c r="E572" s="15"/>
      <c r="F572" s="15"/>
      <c r="G572" s="15"/>
      <c r="H572" s="15"/>
      <c r="I572" s="15"/>
      <c r="J572" s="15"/>
      <c r="K572" s="15"/>
    </row>
    <row r="573" spans="1:23" ht="39" customHeight="1" outlineLevel="2">
      <c r="A573" s="15"/>
      <c r="B573" s="717" t="s">
        <v>213</v>
      </c>
      <c r="C573" s="858"/>
      <c r="D573" s="23" t="s">
        <v>183</v>
      </c>
      <c r="E573" s="88" t="s">
        <v>186</v>
      </c>
      <c r="F573" s="94">
        <f>IF(I573=0,0,LOOKUP(I573,сад,уникальные!D32:D43))*IF(F23="да",1.03,1)</f>
        <v>1284200.5246167823</v>
      </c>
      <c r="G573" s="240"/>
      <c r="H573" s="695" t="s">
        <v>35</v>
      </c>
      <c r="I573" s="96">
        <f>F20</f>
        <v>100</v>
      </c>
      <c r="J573" s="856"/>
      <c r="K573" s="215">
        <f>SUMPRODUCT(I573,F573)</f>
        <v>128420052.46167824</v>
      </c>
    </row>
    <row r="574" spans="1:23" ht="34.5" customHeight="1" outlineLevel="2">
      <c r="A574" s="15"/>
      <c r="B574" s="719"/>
      <c r="C574" s="843"/>
      <c r="D574" s="24" t="s">
        <v>182</v>
      </c>
      <c r="E574" s="86" t="s">
        <v>185</v>
      </c>
      <c r="F574" s="95">
        <f>IF(I574=0,0,LOOKUP(I574,сад_бас,уникальные!L29:L36))*IF(F23="да",1.03,1)</f>
        <v>0</v>
      </c>
      <c r="G574" s="239"/>
      <c r="H574" s="697"/>
      <c r="I574" s="97">
        <f>F21</f>
        <v>0</v>
      </c>
      <c r="J574" s="856"/>
      <c r="K574" s="163">
        <f>SUMPRODUCT(I574,F574)</f>
        <v>0</v>
      </c>
    </row>
    <row r="575" spans="1:23" ht="39" customHeight="1" outlineLevel="2">
      <c r="A575" s="15"/>
      <c r="B575" s="717" t="s">
        <v>36</v>
      </c>
      <c r="C575" s="858"/>
      <c r="D575" s="87" t="s">
        <v>37</v>
      </c>
      <c r="E575" s="88" t="s">
        <v>186</v>
      </c>
      <c r="F575" s="94">
        <f>IF(I575=0,0,LOOKUP(I575,школа,уникальные!D9:D28))*IF(F30="да",1.03,1)</f>
        <v>1494100.8862265598</v>
      </c>
      <c r="G575" s="240"/>
      <c r="H575" s="695" t="s">
        <v>35</v>
      </c>
      <c r="I575" s="96">
        <f>F27</f>
        <v>200</v>
      </c>
      <c r="J575" s="958"/>
      <c r="K575" s="215">
        <f>SUMPRODUCT(I575,F575)</f>
        <v>298820177.24531198</v>
      </c>
    </row>
    <row r="576" spans="1:23" ht="33.75" customHeight="1" outlineLevel="2">
      <c r="A576" s="15"/>
      <c r="B576" s="719"/>
      <c r="C576" s="843"/>
      <c r="D576" s="24" t="s">
        <v>38</v>
      </c>
      <c r="E576" s="86" t="s">
        <v>185</v>
      </c>
      <c r="F576" s="95">
        <f>IF(I576=0,0,LOOKUP(I576,школа_басс,уникальные!L9:L20))*IF(F30="да",1.03,1)</f>
        <v>0</v>
      </c>
      <c r="G576" s="239"/>
      <c r="H576" s="697"/>
      <c r="I576" s="97">
        <f>F28</f>
        <v>0</v>
      </c>
      <c r="J576" s="958"/>
      <c r="K576" s="163">
        <f>SUMPRODUCT(I576,F576)</f>
        <v>0</v>
      </c>
    </row>
    <row r="577" spans="1:11" ht="61.5" customHeight="1" outlineLevel="2">
      <c r="A577" s="15"/>
      <c r="B577" s="932" t="s">
        <v>41</v>
      </c>
      <c r="C577" s="735"/>
      <c r="D577" s="25" t="s">
        <v>259</v>
      </c>
      <c r="E577" s="62" t="s">
        <v>181</v>
      </c>
      <c r="F577" s="95">
        <f>IF(I577=0,0,LOOKUP(I577,поликл,уникальные!D46:D54))*IF(F36="да",1.06,1)</f>
        <v>0</v>
      </c>
      <c r="G577" s="239"/>
      <c r="H577" s="26" t="s">
        <v>35</v>
      </c>
      <c r="I577" s="122">
        <f>F34</f>
        <v>0</v>
      </c>
      <c r="J577" s="42"/>
      <c r="K577" s="186">
        <f>I577*F577</f>
        <v>0</v>
      </c>
    </row>
    <row r="578" spans="1:11" ht="15" outlineLevel="1">
      <c r="A578" s="15"/>
      <c r="B578" s="962" t="s">
        <v>19</v>
      </c>
      <c r="C578"/>
      <c r="D578"/>
      <c r="E578"/>
      <c r="F578"/>
      <c r="G578"/>
      <c r="H578"/>
      <c r="I578"/>
      <c r="J578"/>
      <c r="K578"/>
    </row>
    <row r="579" spans="1:11" ht="18.75" customHeight="1" outlineLevel="2">
      <c r="A579" s="15"/>
      <c r="B579" s="718"/>
      <c r="C579" s="687" t="s">
        <v>175</v>
      </c>
      <c r="D579" s="23" t="s">
        <v>213</v>
      </c>
      <c r="E579" s="854" t="s">
        <v>174</v>
      </c>
      <c r="F579" s="94">
        <f>уникальные!D58</f>
        <v>14308.337998617601</v>
      </c>
      <c r="G579" s="240"/>
      <c r="H579" s="695" t="s">
        <v>35</v>
      </c>
      <c r="I579" s="55">
        <f>SUM(I573:I574)</f>
        <v>100</v>
      </c>
      <c r="J579" s="856"/>
      <c r="K579" s="215">
        <f>SUMPRODUCT(I579,F579)</f>
        <v>1430833.7998617601</v>
      </c>
    </row>
    <row r="580" spans="1:11" ht="18" customHeight="1" outlineLevel="2">
      <c r="A580" s="15"/>
      <c r="B580" s="718"/>
      <c r="C580" s="713"/>
      <c r="D580" s="40" t="s">
        <v>36</v>
      </c>
      <c r="E580" s="874"/>
      <c r="F580" s="92">
        <f>уникальные!D59</f>
        <v>19610.239964851204</v>
      </c>
      <c r="G580" s="238"/>
      <c r="H580" s="696"/>
      <c r="I580" s="56">
        <f>SUM(I575:I576)</f>
        <v>200</v>
      </c>
      <c r="J580" s="856"/>
      <c r="K580" s="228">
        <f>SUMPRODUCT(I580,F580)</f>
        <v>3922047.9929702408</v>
      </c>
    </row>
    <row r="581" spans="1:11" ht="15.75" customHeight="1" outlineLevel="2">
      <c r="A581" s="15"/>
      <c r="B581" s="718"/>
      <c r="C581" s="688"/>
      <c r="D581" s="25" t="s">
        <v>41</v>
      </c>
      <c r="E581" s="855"/>
      <c r="F581" s="95">
        <f>уникальные!D60</f>
        <v>37962.977540275206</v>
      </c>
      <c r="G581" s="239"/>
      <c r="H581" s="697"/>
      <c r="I581" s="97">
        <f>SUM(I577)</f>
        <v>0</v>
      </c>
      <c r="J581" s="856"/>
      <c r="K581" s="210">
        <f>SUMPRODUCT(I581,F581)</f>
        <v>0</v>
      </c>
    </row>
    <row r="582" spans="1:11" ht="30.75" customHeight="1" outlineLevel="2">
      <c r="A582" s="15"/>
      <c r="B582" s="718"/>
      <c r="C582" s="734" t="s">
        <v>208</v>
      </c>
      <c r="D582" s="735"/>
      <c r="E582" s="102" t="s">
        <v>209</v>
      </c>
      <c r="F582" s="93">
        <f>IF(I582=0,0,IF(I582=4200,уникальные!D68,IF(I582=5260,уникальные!D69,IF(I582=10200,уникальные!D70,0))))</f>
        <v>0</v>
      </c>
      <c r="G582" s="242"/>
      <c r="H582" s="101" t="s">
        <v>216</v>
      </c>
      <c r="I582" s="123">
        <f>F40</f>
        <v>0</v>
      </c>
      <c r="J582" s="230"/>
      <c r="K582" s="152">
        <f>F582</f>
        <v>0</v>
      </c>
    </row>
    <row r="583" spans="1:11" ht="15.75" customHeight="1" outlineLevel="2">
      <c r="A583" s="15"/>
      <c r="B583" s="718"/>
      <c r="C583" s="687" t="s">
        <v>274</v>
      </c>
      <c r="D583" s="23" t="s">
        <v>213</v>
      </c>
      <c r="E583" s="88" t="s">
        <v>227</v>
      </c>
      <c r="F583" s="963">
        <f>AVERAGE(уникальные!D75,уникальные!D82)/100</f>
        <v>3386.6748473093762</v>
      </c>
      <c r="G583" s="927"/>
      <c r="H583" s="695" t="s">
        <v>226</v>
      </c>
      <c r="I583" s="96">
        <f>(F22-(IF(I573=0,0,LOOKUP(I573,сад,уникальные!G32:G43))+IF(I574=0,0,LOOKUP(I574,сад_бас,уникальные!O29:O36))))*20%</f>
        <v>172.56826569236947</v>
      </c>
      <c r="J583" s="230"/>
      <c r="K583" s="215">
        <f>SUM(I583)*F583</f>
        <v>584432.60486414924</v>
      </c>
    </row>
    <row r="584" spans="1:11" ht="15.75" customHeight="1" outlineLevel="2">
      <c r="A584" s="15"/>
      <c r="B584" s="718"/>
      <c r="C584" s="713"/>
      <c r="D584" s="40" t="s">
        <v>36</v>
      </c>
      <c r="E584" s="65" t="s">
        <v>228</v>
      </c>
      <c r="F584" s="964"/>
      <c r="G584" s="928"/>
      <c r="H584" s="696"/>
      <c r="I584" s="56">
        <f>(F29-(IF(I575=0,0,LOOKUP(I575,школа,уникальные!G9:G28))+IF(I576=0,0,LOOKUP(I576,школа_басс,уникальные!O9:O20))))*40%</f>
        <v>3143.1925531590396</v>
      </c>
      <c r="J584" s="231"/>
      <c r="K584" s="211">
        <f>SUM(I584)*F583</f>
        <v>10644971.160033859</v>
      </c>
    </row>
    <row r="585" spans="1:11" ht="31.5" customHeight="1" outlineLevel="2">
      <c r="A585" s="15"/>
      <c r="B585" s="718"/>
      <c r="C585" s="688"/>
      <c r="D585" s="25" t="s">
        <v>41</v>
      </c>
      <c r="E585" s="86" t="s">
        <v>229</v>
      </c>
      <c r="F585" s="965"/>
      <c r="G585" s="929"/>
      <c r="H585" s="697"/>
      <c r="I585" s="97">
        <f>70%*F35</f>
        <v>0</v>
      </c>
      <c r="J585" s="231"/>
      <c r="K585" s="163">
        <f>SUM(I585)*F583</f>
        <v>0</v>
      </c>
    </row>
    <row r="586" spans="1:11" ht="18" customHeight="1" outlineLevel="2">
      <c r="A586" s="15"/>
      <c r="B586" s="718"/>
      <c r="C586" s="857" t="s">
        <v>304</v>
      </c>
      <c r="D586" s="858"/>
      <c r="E586" s="66" t="s">
        <v>256</v>
      </c>
      <c r="F586" s="108">
        <f>уникальные!E89/100</f>
        <v>12225.302283806977</v>
      </c>
      <c r="G586" s="237"/>
      <c r="H586" s="696" t="s">
        <v>313</v>
      </c>
      <c r="I586" s="55">
        <f>IF($E$25=E586,1,0)</f>
        <v>0</v>
      </c>
      <c r="J586" s="856"/>
      <c r="K586" s="728">
        <f>SUMPRODUCT(F586:F589,I586:I589)*F24</f>
        <v>0</v>
      </c>
    </row>
    <row r="587" spans="1:11" ht="18" customHeight="1" outlineLevel="2">
      <c r="A587" s="15"/>
      <c r="B587" s="718"/>
      <c r="C587" s="859"/>
      <c r="D587" s="860"/>
      <c r="E587" s="65" t="s">
        <v>257</v>
      </c>
      <c r="F587" s="92">
        <f>уникальные!G89/100</f>
        <v>13257.558806046913</v>
      </c>
      <c r="G587" s="238"/>
      <c r="H587" s="696"/>
      <c r="I587" s="57">
        <f>IF($E$25=E587,1,0)</f>
        <v>0</v>
      </c>
      <c r="J587" s="856"/>
      <c r="K587" s="729"/>
    </row>
    <row r="588" spans="1:11" ht="18" customHeight="1" outlineLevel="2">
      <c r="A588" s="15"/>
      <c r="B588" s="718"/>
      <c r="C588" s="859"/>
      <c r="D588" s="860"/>
      <c r="E588" s="65" t="s">
        <v>253</v>
      </c>
      <c r="F588" s="108">
        <f>уникальные!D102/100</f>
        <v>5527.8275644421765</v>
      </c>
      <c r="G588" s="237"/>
      <c r="H588" s="696"/>
      <c r="I588" s="57">
        <f t="shared" ref="I588:I589" si="978">IF($E$25=E588,1,0)</f>
        <v>0</v>
      </c>
      <c r="J588" s="856"/>
      <c r="K588" s="729"/>
    </row>
    <row r="589" spans="1:11" ht="18" customHeight="1" outlineLevel="2">
      <c r="A589" s="15"/>
      <c r="B589" s="718"/>
      <c r="C589" s="842"/>
      <c r="D589" s="843"/>
      <c r="E589" s="65" t="s">
        <v>251</v>
      </c>
      <c r="F589" s="93">
        <f>уникальные!D109/100</f>
        <v>6854.4642631619854</v>
      </c>
      <c r="G589" s="242"/>
      <c r="H589" s="696"/>
      <c r="I589" s="97">
        <f t="shared" si="978"/>
        <v>0</v>
      </c>
      <c r="J589" s="856"/>
      <c r="K589" s="730"/>
    </row>
    <row r="590" spans="1:11" ht="18" customHeight="1" outlineLevel="2">
      <c r="A590" s="15"/>
      <c r="B590" s="718"/>
      <c r="C590" s="857" t="s">
        <v>305</v>
      </c>
      <c r="D590" s="858"/>
      <c r="E590" s="88" t="s">
        <v>256</v>
      </c>
      <c r="F590" s="94">
        <f>F586</f>
        <v>12225.302283806977</v>
      </c>
      <c r="G590" s="240"/>
      <c r="H590" s="695" t="s">
        <v>314</v>
      </c>
      <c r="I590" s="123">
        <f>IF($E$32=E590,1,0)</f>
        <v>0</v>
      </c>
      <c r="J590" s="856"/>
      <c r="K590" s="728">
        <f>SUMPRODUCT(F590:F593,I590:I593)*F31</f>
        <v>0</v>
      </c>
    </row>
    <row r="591" spans="1:11" ht="18" customHeight="1" outlineLevel="2">
      <c r="A591" s="15"/>
      <c r="B591" s="718"/>
      <c r="C591" s="859"/>
      <c r="D591" s="860"/>
      <c r="E591" s="65" t="s">
        <v>257</v>
      </c>
      <c r="F591" s="92">
        <f t="shared" ref="F591:F597" si="979">F587</f>
        <v>13257.558806046913</v>
      </c>
      <c r="G591" s="238"/>
      <c r="H591" s="696"/>
      <c r="I591" s="57">
        <f>IF($E$32=E591,1,0)</f>
        <v>0</v>
      </c>
      <c r="J591" s="856"/>
      <c r="K591" s="729"/>
    </row>
    <row r="592" spans="1:11" ht="18" customHeight="1" outlineLevel="2">
      <c r="A592" s="15"/>
      <c r="B592" s="718"/>
      <c r="C592" s="859"/>
      <c r="D592" s="860"/>
      <c r="E592" s="65" t="s">
        <v>253</v>
      </c>
      <c r="F592" s="108">
        <f t="shared" si="979"/>
        <v>5527.8275644421765</v>
      </c>
      <c r="G592" s="237"/>
      <c r="H592" s="696"/>
      <c r="I592" s="57">
        <f t="shared" ref="I592:I593" si="980">IF($E$32=E592,1,0)</f>
        <v>0</v>
      </c>
      <c r="J592" s="856"/>
      <c r="K592" s="729"/>
    </row>
    <row r="593" spans="1:13" ht="18" customHeight="1" outlineLevel="2">
      <c r="A593" s="15"/>
      <c r="B593" s="718"/>
      <c r="C593" s="842"/>
      <c r="D593" s="843"/>
      <c r="E593" s="86" t="s">
        <v>251</v>
      </c>
      <c r="F593" s="95">
        <f t="shared" si="979"/>
        <v>6854.4642631619854</v>
      </c>
      <c r="G593" s="239"/>
      <c r="H593" s="697"/>
      <c r="I593" s="57">
        <f t="shared" si="980"/>
        <v>0</v>
      </c>
      <c r="J593" s="856"/>
      <c r="K593" s="730"/>
    </row>
    <row r="594" spans="1:13" ht="18" customHeight="1" outlineLevel="2">
      <c r="A594" s="15"/>
      <c r="B594" s="718"/>
      <c r="C594" s="857" t="s">
        <v>306</v>
      </c>
      <c r="D594" s="858"/>
      <c r="E594" s="66" t="s">
        <v>256</v>
      </c>
      <c r="F594" s="108">
        <f t="shared" si="979"/>
        <v>12225.302283806977</v>
      </c>
      <c r="G594" s="237"/>
      <c r="H594" s="696" t="s">
        <v>315</v>
      </c>
      <c r="I594" s="55">
        <f>IF($E$38=E594,1,0)</f>
        <v>0</v>
      </c>
      <c r="J594" s="856"/>
      <c r="K594" s="728">
        <f>SUMPRODUCT(F594:F597,I594:I597)*F37</f>
        <v>0</v>
      </c>
    </row>
    <row r="595" spans="1:13" ht="18" customHeight="1" outlineLevel="2">
      <c r="A595" s="15"/>
      <c r="B595" s="718"/>
      <c r="C595" s="859"/>
      <c r="D595" s="860"/>
      <c r="E595" s="65" t="s">
        <v>257</v>
      </c>
      <c r="F595" s="92">
        <f t="shared" si="979"/>
        <v>13257.558806046913</v>
      </c>
      <c r="G595" s="238"/>
      <c r="H595" s="696"/>
      <c r="I595" s="57">
        <f t="shared" ref="I595:I597" si="981">IF($E$38=E595,1,0)</f>
        <v>0</v>
      </c>
      <c r="J595" s="856"/>
      <c r="K595" s="729"/>
    </row>
    <row r="596" spans="1:13" ht="18" customHeight="1" outlineLevel="2">
      <c r="A596" s="15"/>
      <c r="B596" s="718"/>
      <c r="C596" s="859"/>
      <c r="D596" s="860"/>
      <c r="E596" s="65" t="s">
        <v>253</v>
      </c>
      <c r="F596" s="108">
        <f t="shared" si="979"/>
        <v>5527.8275644421765</v>
      </c>
      <c r="G596" s="237"/>
      <c r="H596" s="696"/>
      <c r="I596" s="57">
        <f t="shared" si="981"/>
        <v>0</v>
      </c>
      <c r="J596" s="856"/>
      <c r="K596" s="729"/>
    </row>
    <row r="597" spans="1:13" ht="18" customHeight="1" outlineLevel="2">
      <c r="A597" s="15"/>
      <c r="B597" s="718"/>
      <c r="C597" s="842"/>
      <c r="D597" s="843"/>
      <c r="E597" s="65" t="s">
        <v>251</v>
      </c>
      <c r="F597" s="93">
        <f t="shared" si="979"/>
        <v>6854.4642631619854</v>
      </c>
      <c r="G597" s="242"/>
      <c r="H597" s="696"/>
      <c r="I597" s="97">
        <f t="shared" si="981"/>
        <v>0</v>
      </c>
      <c r="J597" s="856"/>
      <c r="K597" s="730"/>
    </row>
    <row r="598" spans="1:13" ht="15.75" customHeight="1" outlineLevel="2">
      <c r="A598" s="15"/>
      <c r="B598" s="718"/>
      <c r="C598" s="687" t="s">
        <v>273</v>
      </c>
      <c r="D598" s="23" t="s">
        <v>213</v>
      </c>
      <c r="E598" s="63" t="s">
        <v>307</v>
      </c>
      <c r="F598" s="94">
        <f>IF(I573=0,0,LOOKUP(I573,сад,уникальные!F32:F43))+IF(I574=0,0,LOOKUP(I574,сад_бас,уникальные!N29:N36))</f>
        <v>73920.748567680013</v>
      </c>
      <c r="G598" s="240"/>
      <c r="H598" s="695" t="s">
        <v>35</v>
      </c>
      <c r="I598" s="55">
        <f>SUM(I573:I574)</f>
        <v>100</v>
      </c>
      <c r="J598" s="229"/>
      <c r="K598" s="152">
        <f>SUMPRODUCT(I598,F598)</f>
        <v>7392074.8567680009</v>
      </c>
    </row>
    <row r="599" spans="1:13" ht="20.25" customHeight="1" outlineLevel="2">
      <c r="A599" s="15"/>
      <c r="B599" s="718"/>
      <c r="C599" s="713"/>
      <c r="D599" s="36" t="s">
        <v>36</v>
      </c>
      <c r="E599" s="64" t="s">
        <v>308</v>
      </c>
      <c r="F599" s="99">
        <f>IF(I575=0,0,LOOKUP(I575,школа,уникальные!F9:F28))+IF(I576=0,0,LOOKUP(I576,школа_басс,уникальные!N9:N20))</f>
        <v>16823.342777472004</v>
      </c>
      <c r="G599" s="243"/>
      <c r="H599" s="950"/>
      <c r="I599" s="57">
        <f>SUM(I575:I576)</f>
        <v>200</v>
      </c>
      <c r="J599" s="229"/>
      <c r="K599" s="211">
        <f>SUMPRODUCT(I599,F599)</f>
        <v>3364668.5554944007</v>
      </c>
    </row>
    <row r="600" spans="1:13" ht="32.25" customHeight="1" outlineLevel="2">
      <c r="A600" s="15"/>
      <c r="B600" s="719"/>
      <c r="C600" s="688"/>
      <c r="D600" s="24" t="s">
        <v>41</v>
      </c>
      <c r="E600" s="86" t="s">
        <v>201</v>
      </c>
      <c r="F600" s="98">
        <f>уникальные!$D$63/100</f>
        <v>2362.0652990592002</v>
      </c>
      <c r="G600" s="244"/>
      <c r="H600" s="100" t="s">
        <v>202</v>
      </c>
      <c r="I600" s="97">
        <f>F35</f>
        <v>0</v>
      </c>
      <c r="J600" s="229"/>
      <c r="K600" s="214">
        <f>SUMPRODUCT(I600,F600)</f>
        <v>0</v>
      </c>
    </row>
    <row r="601" spans="1:13" ht="18.75">
      <c r="A601" s="15"/>
      <c r="B601" s="863" t="s">
        <v>412</v>
      </c>
      <c r="C601" s="864"/>
      <c r="D601" s="864"/>
      <c r="E601" s="183"/>
      <c r="F601" s="21"/>
      <c r="G601" s="21"/>
      <c r="H601" s="21"/>
      <c r="I601" s="22"/>
      <c r="J601" s="6"/>
    </row>
    <row r="602" spans="1:13" ht="18.75" customHeight="1" outlineLevel="1">
      <c r="A602" s="15"/>
      <c r="C602" s="924" t="s">
        <v>405</v>
      </c>
      <c r="D602" s="925"/>
      <c r="E602" s="926"/>
      <c r="F602" s="159">
        <f>уникальные!A117</f>
        <v>1733.6287095514397</v>
      </c>
      <c r="G602" s="236"/>
      <c r="H602" s="16" t="s">
        <v>413</v>
      </c>
      <c r="I602" s="131">
        <v>1</v>
      </c>
      <c r="J602" s="136"/>
      <c r="K602" s="152">
        <f>F602*I602*F111</f>
        <v>45589754.263687074</v>
      </c>
      <c r="M602" s="34"/>
    </row>
    <row r="603" spans="1:13" ht="18.75" customHeight="1" outlineLevel="1">
      <c r="A603" s="15"/>
      <c r="C603" s="949" t="s">
        <v>49</v>
      </c>
      <c r="D603" s="877"/>
      <c r="E603" s="166" t="s">
        <v>276</v>
      </c>
      <c r="F603" s="108">
        <f>уникальные!E128</f>
        <v>188.73555190165484</v>
      </c>
      <c r="G603" s="237"/>
      <c r="H603" s="696" t="s">
        <v>536</v>
      </c>
      <c r="I603" s="96">
        <f>IF($F$122="Комфорт",1,0)+IF($F$122="Бизнес",1,0)</f>
        <v>0</v>
      </c>
      <c r="J603" s="136"/>
      <c r="K603" s="728">
        <f>SUMPRODUCT(I603:I606,F603:F606)*$F$68</f>
        <v>52692503.97630851</v>
      </c>
      <c r="M603" s="34"/>
    </row>
    <row r="604" spans="1:13" ht="18.75" outlineLevel="1">
      <c r="A604" s="15"/>
      <c r="C604" s="946"/>
      <c r="D604" s="878"/>
      <c r="E604" s="113" t="s">
        <v>43</v>
      </c>
      <c r="F604" s="92">
        <f>уникальные!E129</f>
        <v>327.25636421348702</v>
      </c>
      <c r="G604" s="238"/>
      <c r="H604" s="696"/>
      <c r="I604" s="56">
        <f>IF($F$122="Бизнес+",1,0)</f>
        <v>1</v>
      </c>
      <c r="J604" s="136"/>
      <c r="K604" s="729"/>
      <c r="M604" s="34"/>
    </row>
    <row r="605" spans="1:13" ht="18.75" outlineLevel="1">
      <c r="A605" s="15"/>
      <c r="C605" s="946"/>
      <c r="D605" s="878"/>
      <c r="E605" s="113" t="s">
        <v>44</v>
      </c>
      <c r="F605" s="92">
        <f>уникальные!E130</f>
        <v>395.33860546089073</v>
      </c>
      <c r="G605" s="238"/>
      <c r="H605" s="696"/>
      <c r="I605" s="56">
        <f>IF($F$122="Премиум",1,0)</f>
        <v>0</v>
      </c>
      <c r="J605" s="136"/>
      <c r="K605" s="729"/>
      <c r="M605" s="34"/>
    </row>
    <row r="606" spans="1:13" ht="18.75" outlineLevel="1">
      <c r="A606" s="15"/>
      <c r="C606" s="947"/>
      <c r="D606" s="948"/>
      <c r="E606" s="39" t="s">
        <v>45</v>
      </c>
      <c r="F606" s="95">
        <f>уникальные!E131</f>
        <v>729.04868501975375</v>
      </c>
      <c r="G606" s="239"/>
      <c r="H606" s="696"/>
      <c r="I606" s="97">
        <f>IF($F$122="Элит",1,0)</f>
        <v>0</v>
      </c>
      <c r="J606" s="136"/>
      <c r="K606" s="730"/>
      <c r="M606" s="34"/>
    </row>
    <row r="607" spans="1:13" ht="18.75" customHeight="1" outlineLevel="1">
      <c r="A607" s="15"/>
      <c r="C607" s="945" t="s">
        <v>408</v>
      </c>
      <c r="D607" s="750"/>
      <c r="E607" s="112" t="s">
        <v>276</v>
      </c>
      <c r="F607" s="94">
        <f>уникальные!E137</f>
        <v>648.30353015707601</v>
      </c>
      <c r="G607" s="240"/>
      <c r="H607" s="696"/>
      <c r="I607" s="96">
        <f>IF($F$122="Комфорт",1,0)+IF($F$122="Бизнес",1,0)</f>
        <v>0</v>
      </c>
      <c r="J607" s="136"/>
      <c r="K607" s="728">
        <f>SUMPRODUCT(I607:I610,F607:F610)*$F$68</f>
        <v>148466012.33388945</v>
      </c>
      <c r="M607" s="34"/>
    </row>
    <row r="608" spans="1:13" ht="18.75" outlineLevel="1">
      <c r="A608" s="15"/>
      <c r="C608" s="946"/>
      <c r="D608" s="878"/>
      <c r="E608" s="113" t="s">
        <v>43</v>
      </c>
      <c r="F608" s="92">
        <f>уникальные!E138</f>
        <v>922.07512908304216</v>
      </c>
      <c r="G608" s="238"/>
      <c r="H608" s="696"/>
      <c r="I608" s="56">
        <f>IF($F$122="Бизнес+",1,0)</f>
        <v>1</v>
      </c>
      <c r="J608" s="136"/>
      <c r="K608" s="729"/>
      <c r="M608" s="34"/>
    </row>
    <row r="609" spans="1:13" ht="18.75" outlineLevel="1">
      <c r="A609" s="15"/>
      <c r="C609" s="946"/>
      <c r="D609" s="878"/>
      <c r="E609" s="113" t="s">
        <v>44</v>
      </c>
      <c r="F609" s="92">
        <f>уникальные!E139</f>
        <v>1757.3225443569108</v>
      </c>
      <c r="G609" s="238"/>
      <c r="H609" s="696"/>
      <c r="I609" s="56">
        <f>IF($F$122="Премиум",1,0)</f>
        <v>0</v>
      </c>
      <c r="J609" s="136"/>
      <c r="K609" s="729"/>
      <c r="M609" s="34"/>
    </row>
    <row r="610" spans="1:13" ht="18.75" outlineLevel="1">
      <c r="A610" s="15"/>
      <c r="C610" s="947"/>
      <c r="D610" s="948"/>
      <c r="E610" s="39" t="s">
        <v>45</v>
      </c>
      <c r="F610" s="95">
        <f>уникальные!E140</f>
        <v>3270.6956455506065</v>
      </c>
      <c r="G610" s="239"/>
      <c r="H610" s="696"/>
      <c r="I610" s="97">
        <f>IF($F$122="Элит",1,0)</f>
        <v>0</v>
      </c>
      <c r="J610" s="136"/>
      <c r="K610" s="730"/>
      <c r="M610" s="34"/>
    </row>
    <row r="611" spans="1:13" ht="18.75" customHeight="1" outlineLevel="1">
      <c r="A611" s="15"/>
      <c r="C611" s="945" t="s">
        <v>409</v>
      </c>
      <c r="D611" s="750"/>
      <c r="E611" s="112" t="s">
        <v>276</v>
      </c>
      <c r="F611" s="94">
        <f>уникальные!E145</f>
        <v>958.09264332080704</v>
      </c>
      <c r="G611" s="240"/>
      <c r="H611" s="696"/>
      <c r="I611" s="96">
        <f>IF($F$122="Комфорт",1,0)+IF($F$122="Бизнес",1,0)</f>
        <v>0</v>
      </c>
      <c r="J611" s="136"/>
      <c r="K611" s="728">
        <f>SUMPRODUCT(I611:I614,F611:F614)*$F$68</f>
        <v>182660302.90192947</v>
      </c>
      <c r="M611" s="34"/>
    </row>
    <row r="612" spans="1:13" ht="18.75" outlineLevel="1">
      <c r="A612" s="15"/>
      <c r="C612" s="946"/>
      <c r="D612" s="878"/>
      <c r="E612" s="113" t="s">
        <v>43</v>
      </c>
      <c r="F612" s="92">
        <f>уникальные!E146</f>
        <v>1134.4449798911887</v>
      </c>
      <c r="G612" s="238"/>
      <c r="H612" s="696"/>
      <c r="I612" s="56">
        <f>IF($F$122="Бизнес+",1,0)</f>
        <v>1</v>
      </c>
      <c r="J612" s="136"/>
      <c r="K612" s="729"/>
      <c r="M612" s="34"/>
    </row>
    <row r="613" spans="1:13" ht="18.75" outlineLevel="1">
      <c r="A613" s="15"/>
      <c r="C613" s="946"/>
      <c r="D613" s="878"/>
      <c r="E613" s="113" t="s">
        <v>44</v>
      </c>
      <c r="F613" s="92">
        <f>уникальные!E147</f>
        <v>2010.4296836330807</v>
      </c>
      <c r="G613" s="238"/>
      <c r="H613" s="696"/>
      <c r="I613" s="56">
        <f>IF($F$122="Премиум",1,0)</f>
        <v>0</v>
      </c>
      <c r="J613" s="136"/>
      <c r="K613" s="729"/>
      <c r="M613" s="34"/>
    </row>
    <row r="614" spans="1:13" ht="18.75" outlineLevel="1">
      <c r="A614" s="15"/>
      <c r="C614" s="947"/>
      <c r="D614" s="948"/>
      <c r="E614" s="39" t="s">
        <v>45</v>
      </c>
      <c r="F614" s="95">
        <f>уникальные!E148</f>
        <v>2613.3614098653247</v>
      </c>
      <c r="G614" s="239"/>
      <c r="H614" s="696"/>
      <c r="I614" s="97">
        <f>IF($F$122="Элит",1,0)</f>
        <v>0</v>
      </c>
      <c r="J614" s="136"/>
      <c r="K614" s="730"/>
      <c r="M614" s="34"/>
    </row>
    <row r="615" spans="1:13" ht="18.75" outlineLevel="1">
      <c r="A615" s="15"/>
      <c r="C615" s="924" t="s">
        <v>410</v>
      </c>
      <c r="D615" s="925"/>
      <c r="E615" s="926"/>
      <c r="F615" s="223">
        <f>уникальные!E124</f>
        <v>2.5284916799978143</v>
      </c>
      <c r="G615" s="241"/>
      <c r="H615" s="697"/>
      <c r="I615" s="122">
        <v>1</v>
      </c>
      <c r="J615" s="136"/>
      <c r="K615" s="214">
        <f>I615*F615*$F$68</f>
        <v>407119.83775335539</v>
      </c>
      <c r="M615" s="34"/>
    </row>
    <row r="616" spans="1:13" ht="18.75">
      <c r="A616" s="15"/>
      <c r="B616" s="863" t="s">
        <v>421</v>
      </c>
      <c r="C616" s="864"/>
      <c r="D616" s="864"/>
      <c r="E616" s="183"/>
      <c r="F616" s="21"/>
      <c r="G616" s="21"/>
      <c r="H616" s="21"/>
      <c r="I616" s="22"/>
      <c r="J616" s="6"/>
    </row>
    <row r="617" spans="1:13" ht="39" customHeight="1" outlineLevel="1">
      <c r="A617" s="15"/>
      <c r="B617" s="250"/>
      <c r="C617" s="969" t="s">
        <v>782</v>
      </c>
      <c r="D617" s="87" t="s">
        <v>778</v>
      </c>
      <c r="E617" s="88" t="s">
        <v>779</v>
      </c>
      <c r="F617" s="94">
        <f>105714.285714286*1.01</f>
        <v>106771.42857142886</v>
      </c>
      <c r="G617" s="240"/>
      <c r="H617" s="443" t="s">
        <v>783</v>
      </c>
      <c r="I617" s="96">
        <f>F118</f>
        <v>394.45949999999999</v>
      </c>
      <c r="J617" s="958"/>
      <c r="K617" s="215">
        <f>F617*I617</f>
        <v>42117004.328571543</v>
      </c>
    </row>
    <row r="618" spans="1:13" ht="78" customHeight="1" outlineLevel="1">
      <c r="A618" s="15"/>
      <c r="B618" s="250"/>
      <c r="C618" s="970"/>
      <c r="D618" s="24" t="s">
        <v>780</v>
      </c>
      <c r="E618" s="86" t="s">
        <v>781</v>
      </c>
      <c r="F618" s="239"/>
      <c r="G618" s="239"/>
      <c r="H618" s="437" t="s">
        <v>737</v>
      </c>
      <c r="I618" s="97"/>
      <c r="J618" s="958"/>
      <c r="K618" s="163">
        <f>F119</f>
        <v>0</v>
      </c>
    </row>
    <row r="619" spans="1:13" ht="15" outlineLevel="1">
      <c r="A619" s="15"/>
      <c r="B619"/>
      <c r="C619" s="698" t="s">
        <v>27</v>
      </c>
      <c r="D619" s="464"/>
      <c r="E619"/>
      <c r="F619"/>
      <c r="G619"/>
      <c r="H619"/>
      <c r="I619"/>
      <c r="J619"/>
      <c r="K619"/>
    </row>
    <row r="620" spans="1:13" outlineLevel="2">
      <c r="A620" s="15"/>
      <c r="C620" s="690"/>
      <c r="D620" s="951" t="s">
        <v>784</v>
      </c>
      <c r="E620" s="459" t="s">
        <v>785</v>
      </c>
      <c r="F620" s="94">
        <f>3731.80134193655*1.01</f>
        <v>3769.1193553559156</v>
      </c>
      <c r="G620" s="240"/>
      <c r="H620" s="695" t="s">
        <v>422</v>
      </c>
      <c r="I620" s="96">
        <f>IF($F$112&lt;=4999,1,0)</f>
        <v>0</v>
      </c>
      <c r="K620" s="728">
        <f>SUMPRODUCT(I620:I622,F620:F622)*F112</f>
        <v>65454753.642054148</v>
      </c>
    </row>
    <row r="621" spans="1:13" outlineLevel="2">
      <c r="A621" s="15"/>
      <c r="C621" s="690"/>
      <c r="D621" s="952"/>
      <c r="E621" s="460" t="s">
        <v>425</v>
      </c>
      <c r="F621" s="92">
        <f>3718.68598176184*1.01</f>
        <v>3755.8728415794585</v>
      </c>
      <c r="G621" s="238"/>
      <c r="H621" s="696"/>
      <c r="I621" s="56">
        <f>IF(AND($F$112&gt;=5000,$F$112&lt;=9999),1,0)</f>
        <v>0</v>
      </c>
      <c r="K621" s="729"/>
    </row>
    <row r="622" spans="1:13" outlineLevel="2">
      <c r="A622" s="15"/>
      <c r="C622" s="690"/>
      <c r="D622" s="952"/>
      <c r="E622" s="463" t="s">
        <v>426</v>
      </c>
      <c r="F622" s="98">
        <f>3705.57062158714*1.01</f>
        <v>3742.6263278030115</v>
      </c>
      <c r="G622" s="244"/>
      <c r="H622" s="967"/>
      <c r="I622" s="97">
        <f>IF($F$112&gt;=10000,1,0)</f>
        <v>1</v>
      </c>
      <c r="K622" s="730"/>
    </row>
    <row r="623" spans="1:13" outlineLevel="2">
      <c r="A623" s="15"/>
      <c r="C623" s="690"/>
      <c r="D623" s="955" t="s">
        <v>786</v>
      </c>
      <c r="E623" s="954"/>
      <c r="F623" s="462">
        <f>357831.451016949*1.01</f>
        <v>361409.76552711852</v>
      </c>
      <c r="G623" s="236"/>
      <c r="H623" s="465" t="s">
        <v>737</v>
      </c>
      <c r="I623" s="466">
        <f>IF(F112=0,0,1)</f>
        <v>1</v>
      </c>
      <c r="K623" s="157">
        <f>I623*F623</f>
        <v>361409.76552711852</v>
      </c>
    </row>
    <row r="624" spans="1:13" ht="15.75" customHeight="1" outlineLevel="2">
      <c r="A624" s="15"/>
      <c r="C624" s="690"/>
      <c r="D624" s="834" t="s">
        <v>787</v>
      </c>
      <c r="E624" s="166" t="s">
        <v>423</v>
      </c>
      <c r="F624" s="108">
        <f>1048.29498729071*1.01</f>
        <v>1058.777937163617</v>
      </c>
      <c r="G624" s="237"/>
      <c r="H624" s="785" t="s">
        <v>422</v>
      </c>
      <c r="I624" s="160">
        <f>IF($F$112&lt;=1999,1,0)</f>
        <v>0</v>
      </c>
      <c r="J624" s="250"/>
      <c r="K624" s="728">
        <f>SUMPRODUCT(I624:I627,F624:F627)*$F$112</f>
        <v>4218764.89678689</v>
      </c>
    </row>
    <row r="625" spans="1:11" outlineLevel="2">
      <c r="A625" s="15"/>
      <c r="C625" s="690"/>
      <c r="D625" s="835"/>
      <c r="E625" s="113" t="s">
        <v>424</v>
      </c>
      <c r="F625" s="92">
        <f>643.565338729661*1.01</f>
        <v>650.0009921169576</v>
      </c>
      <c r="G625" s="238"/>
      <c r="H625" s="785"/>
      <c r="I625" s="56">
        <f>IF(AND($F$112&gt;=2000,$F$112&lt;=4999),1,0)</f>
        <v>0</v>
      </c>
      <c r="J625" s="250"/>
      <c r="K625" s="729"/>
    </row>
    <row r="626" spans="1:11" outlineLevel="2">
      <c r="A626" s="15"/>
      <c r="C626" s="690"/>
      <c r="D626" s="835"/>
      <c r="E626" s="113" t="s">
        <v>425</v>
      </c>
      <c r="F626" s="92">
        <f>573.560668783879*1.01</f>
        <v>579.29627547171776</v>
      </c>
      <c r="G626" s="238"/>
      <c r="H626" s="966"/>
      <c r="I626" s="56">
        <f>IF(AND($F$112&gt;=5000,$F$112&lt;=9999),1,0)</f>
        <v>0</v>
      </c>
      <c r="J626" s="250"/>
      <c r="K626" s="729"/>
    </row>
    <row r="627" spans="1:11" outlineLevel="2">
      <c r="A627" s="15"/>
      <c r="C627" s="690"/>
      <c r="D627" s="836"/>
      <c r="E627" s="39" t="s">
        <v>426</v>
      </c>
      <c r="F627" s="98">
        <f>238.835690168614*1.01</f>
        <v>241.22404707030014</v>
      </c>
      <c r="G627" s="244"/>
      <c r="H627" s="967"/>
      <c r="I627" s="97">
        <f>IF($F$112&gt;=10000,1,0)</f>
        <v>1</v>
      </c>
      <c r="J627" s="250"/>
      <c r="K627" s="730"/>
    </row>
    <row r="628" spans="1:11" outlineLevel="2">
      <c r="A628" s="15"/>
      <c r="C628" s="690"/>
      <c r="D628" s="952" t="s">
        <v>788</v>
      </c>
      <c r="E628" s="459" t="s">
        <v>789</v>
      </c>
      <c r="F628" s="94">
        <f>1929.35942700133*1.01</f>
        <v>1948.6530212713433</v>
      </c>
      <c r="G628" s="240"/>
      <c r="H628" s="968" t="s">
        <v>422</v>
      </c>
      <c r="I628" s="96">
        <f>IF($F$112&lt;=3999,1,0)</f>
        <v>0</v>
      </c>
      <c r="K628" s="728">
        <f>SUMPRODUCT(I628:I630,F628:F630)*F112</f>
        <v>8519993.1992698722</v>
      </c>
    </row>
    <row r="629" spans="1:11" outlineLevel="2">
      <c r="A629" s="15"/>
      <c r="C629" s="690"/>
      <c r="D629" s="952"/>
      <c r="E629" s="460" t="s">
        <v>790</v>
      </c>
      <c r="F629" s="92">
        <f>964.679713500664*1.01</f>
        <v>974.32651063567062</v>
      </c>
      <c r="G629" s="238"/>
      <c r="H629" s="696"/>
      <c r="I629" s="56">
        <f>IF(AND($F$112&gt;=4000,$F$112&lt;=9999),1,0)</f>
        <v>0</v>
      </c>
      <c r="K629" s="729"/>
    </row>
    <row r="630" spans="1:11" outlineLevel="2">
      <c r="A630" s="15"/>
      <c r="C630" s="690"/>
      <c r="D630" s="953"/>
      <c r="E630" s="461" t="s">
        <v>426</v>
      </c>
      <c r="F630" s="98">
        <f>482.339856750332*1.01</f>
        <v>487.16325531783531</v>
      </c>
      <c r="G630" s="244"/>
      <c r="H630" s="697"/>
      <c r="I630" s="97">
        <f>IF($F$112&gt;=10000,1,0)</f>
        <v>1</v>
      </c>
      <c r="K630" s="730"/>
    </row>
    <row r="631" spans="1:11" outlineLevel="2">
      <c r="A631" s="15"/>
      <c r="C631" s="690"/>
      <c r="D631" s="951" t="s">
        <v>791</v>
      </c>
      <c r="E631" s="459" t="s">
        <v>785</v>
      </c>
      <c r="F631" s="94">
        <f>202271.186440678*1.01</f>
        <v>204293.89830508479</v>
      </c>
      <c r="G631" s="240"/>
      <c r="H631" s="695" t="s">
        <v>737</v>
      </c>
      <c r="I631" s="96">
        <f>IF($F$112&lt;=4999,1,0)</f>
        <v>0</v>
      </c>
      <c r="K631" s="728">
        <f>SUMPRODUCT(I631:I633,F631:F633)*IF(F112=0,0,1)</f>
        <v>612881.69491525437</v>
      </c>
    </row>
    <row r="632" spans="1:11" outlineLevel="2">
      <c r="A632" s="15"/>
      <c r="C632" s="690"/>
      <c r="D632" s="952"/>
      <c r="E632" s="460" t="s">
        <v>792</v>
      </c>
      <c r="F632" s="92">
        <f>404542.372881356*1.01</f>
        <v>408587.79661016958</v>
      </c>
      <c r="G632" s="238"/>
      <c r="H632" s="696"/>
      <c r="I632" s="56">
        <f>IF(AND($F$112&gt;=5000,$F$112&lt;=14999),1,0)</f>
        <v>0</v>
      </c>
      <c r="K632" s="729"/>
    </row>
    <row r="633" spans="1:11" outlineLevel="2">
      <c r="A633" s="15"/>
      <c r="C633" s="690"/>
      <c r="D633" s="953"/>
      <c r="E633" s="461" t="s">
        <v>793</v>
      </c>
      <c r="F633" s="98">
        <f>606813.559322034*1.01</f>
        <v>612881.69491525437</v>
      </c>
      <c r="G633" s="244"/>
      <c r="H633" s="697"/>
      <c r="I633" s="97">
        <f>IF($F$112&gt;=15000,1,0)</f>
        <v>1</v>
      </c>
      <c r="K633" s="730"/>
    </row>
    <row r="634" spans="1:11" outlineLevel="2">
      <c r="A634" s="15"/>
      <c r="C634" s="690"/>
      <c r="D634" s="834" t="s">
        <v>794</v>
      </c>
      <c r="E634" s="112" t="s">
        <v>423</v>
      </c>
      <c r="F634" s="94">
        <f>1312.7868852459*1.01</f>
        <v>1325.914754098359</v>
      </c>
      <c r="G634" s="240"/>
      <c r="H634" s="695" t="s">
        <v>422</v>
      </c>
      <c r="I634" s="160">
        <f>IF($F$112&lt;=1999,1,0)</f>
        <v>0</v>
      </c>
      <c r="J634" s="250"/>
      <c r="K634" s="728">
        <f>SUMPRODUCT(I634:I637,F634:F637)*$F$112</f>
        <v>16893778.047443297</v>
      </c>
    </row>
    <row r="635" spans="1:11" outlineLevel="2">
      <c r="A635" s="15"/>
      <c r="C635" s="690"/>
      <c r="D635" s="835"/>
      <c r="E635" s="113" t="s">
        <v>424</v>
      </c>
      <c r="F635" s="92">
        <f>1134.59467429025*1.01</f>
        <v>1145.9406210331524</v>
      </c>
      <c r="G635" s="238"/>
      <c r="H635" s="696"/>
      <c r="I635" s="56">
        <f>IF(AND($F$112&gt;=2000,$F$112&lt;=4999),1,0)</f>
        <v>0</v>
      </c>
      <c r="J635" s="250"/>
      <c r="K635" s="729"/>
    </row>
    <row r="636" spans="1:11" outlineLevel="2">
      <c r="A636" s="15"/>
      <c r="C636" s="690"/>
      <c r="D636" s="835"/>
      <c r="E636" s="113" t="s">
        <v>425</v>
      </c>
      <c r="F636" s="92">
        <f>1359.14813945615*1.01</f>
        <v>1372.7396208507114</v>
      </c>
      <c r="G636" s="238"/>
      <c r="H636" s="696"/>
      <c r="I636" s="56">
        <f>IF(AND($F$112&gt;=5000,$F$112&lt;=9999),1,0)</f>
        <v>0</v>
      </c>
      <c r="J636" s="250"/>
      <c r="K636" s="729"/>
    </row>
    <row r="637" spans="1:11" outlineLevel="2">
      <c r="A637" s="15"/>
      <c r="C637" s="690"/>
      <c r="D637" s="836"/>
      <c r="E637" s="39" t="s">
        <v>426</v>
      </c>
      <c r="F637" s="98">
        <f>956.402463334595*1.01</f>
        <v>965.96648796794102</v>
      </c>
      <c r="G637" s="244"/>
      <c r="H637" s="697"/>
      <c r="I637" s="97">
        <f>IF($F$112&gt;=10000,1,0)</f>
        <v>1</v>
      </c>
      <c r="J637" s="250"/>
      <c r="K637" s="730"/>
    </row>
    <row r="638" spans="1:11" outlineLevel="2">
      <c r="A638" s="15"/>
      <c r="C638" s="690"/>
      <c r="D638" s="953" t="s">
        <v>795</v>
      </c>
      <c r="E638" s="954"/>
      <c r="F638" s="462">
        <f>99895.9322033898*1.01</f>
        <v>100894.89152542371</v>
      </c>
      <c r="G638" s="236"/>
      <c r="H638" s="465" t="s">
        <v>737</v>
      </c>
      <c r="I638" s="466">
        <f>IF(F112=0,0,1)</f>
        <v>1</v>
      </c>
      <c r="K638" s="157">
        <f>I638*F638</f>
        <v>100894.89152542371</v>
      </c>
    </row>
    <row r="639" spans="1:11" outlineLevel="2">
      <c r="A639" s="15"/>
      <c r="C639" s="690"/>
      <c r="D639" s="834" t="s">
        <v>796</v>
      </c>
      <c r="E639" s="112" t="s">
        <v>423</v>
      </c>
      <c r="F639" s="94">
        <f>6121.19022773816*1.01</f>
        <v>6182.4021300155409</v>
      </c>
      <c r="G639" s="240"/>
      <c r="H639" s="695" t="s">
        <v>422</v>
      </c>
      <c r="I639" s="160">
        <f>IF($F$112&lt;=1999,1,0)</f>
        <v>0</v>
      </c>
      <c r="J639" s="250"/>
      <c r="K639" s="728">
        <f>SUMPRODUCT(I639:I642,F639:F642)*$F$112</f>
        <v>24702361.623464055</v>
      </c>
    </row>
    <row r="640" spans="1:11" outlineLevel="2">
      <c r="A640" s="15"/>
      <c r="C640" s="690"/>
      <c r="D640" s="835"/>
      <c r="E640" s="113" t="s">
        <v>424</v>
      </c>
      <c r="F640" s="92">
        <f>3759.82886254611*0.01</f>
        <v>37.598288625461102</v>
      </c>
      <c r="G640" s="238"/>
      <c r="H640" s="696"/>
      <c r="I640" s="56">
        <f>IF(AND($F$112&gt;=2000,$F$112&lt;=4999),1,0)</f>
        <v>0</v>
      </c>
      <c r="J640" s="250"/>
      <c r="K640" s="729"/>
    </row>
    <row r="641" spans="1:11" outlineLevel="2">
      <c r="A641" s="15"/>
      <c r="C641" s="690"/>
      <c r="D641" s="835"/>
      <c r="E641" s="113" t="s">
        <v>425</v>
      </c>
      <c r="F641" s="92">
        <f>3352.89263393511*1.01</f>
        <v>3386.4215602744612</v>
      </c>
      <c r="G641" s="238"/>
      <c r="H641" s="696"/>
      <c r="I641" s="56">
        <f>IF(AND($F$112&gt;=5000,$F$112&lt;=9999),1,0)</f>
        <v>0</v>
      </c>
      <c r="J641" s="250"/>
      <c r="K641" s="729"/>
    </row>
    <row r="642" spans="1:11" outlineLevel="2">
      <c r="A642" s="15"/>
      <c r="C642" s="690"/>
      <c r="D642" s="836"/>
      <c r="E642" s="39" t="s">
        <v>426</v>
      </c>
      <c r="F642" s="98">
        <f>1398.46749735406*1.01</f>
        <v>1412.4521723276007</v>
      </c>
      <c r="G642" s="244"/>
      <c r="H642" s="697"/>
      <c r="I642" s="97">
        <f>IF($F$112&gt;=10000,1,0)</f>
        <v>1</v>
      </c>
      <c r="J642" s="250"/>
      <c r="K642" s="730"/>
    </row>
    <row r="643" spans="1:11" ht="15.75" customHeight="1" outlineLevel="2">
      <c r="A643" s="15"/>
      <c r="C643" s="690"/>
      <c r="D643" s="834" t="s">
        <v>797</v>
      </c>
      <c r="E643" s="112" t="s">
        <v>423</v>
      </c>
      <c r="F643" s="94">
        <f>886.337809885462*1.01</f>
        <v>895.20118798431656</v>
      </c>
      <c r="G643" s="240"/>
      <c r="H643" s="695" t="s">
        <v>422</v>
      </c>
      <c r="I643" s="160">
        <f>IF($F$112&lt;=1999,1,0)</f>
        <v>0</v>
      </c>
      <c r="J643" s="250"/>
      <c r="K643" s="728">
        <f>SUMPRODUCT(I643:I646,F643:F646)*$F$112</f>
        <v>3914467.4922795412</v>
      </c>
    </row>
    <row r="644" spans="1:11" outlineLevel="2">
      <c r="A644" s="15"/>
      <c r="C644" s="690"/>
      <c r="D644" s="835"/>
      <c r="E644" s="113" t="s">
        <v>424</v>
      </c>
      <c r="F644" s="92">
        <f>553.973200516685*1.01</f>
        <v>559.51293252185189</v>
      </c>
      <c r="G644" s="238"/>
      <c r="H644" s="696"/>
      <c r="I644" s="56">
        <f>IF(AND($F$112&gt;=2000,$F$112&lt;=4999),1,0)</f>
        <v>0</v>
      </c>
      <c r="J644" s="250"/>
      <c r="K644" s="729"/>
    </row>
    <row r="645" spans="1:11" outlineLevel="2">
      <c r="A645" s="15"/>
      <c r="C645" s="690"/>
      <c r="D645" s="835"/>
      <c r="E645" s="113" t="s">
        <v>425</v>
      </c>
      <c r="F645" s="92">
        <f>504.128164581985*1.01</f>
        <v>509.16944622780488</v>
      </c>
      <c r="G645" s="238"/>
      <c r="H645" s="696"/>
      <c r="I645" s="56">
        <f>IF(AND($F$112&gt;=5000,$F$112&lt;=9999),1,0)</f>
        <v>0</v>
      </c>
      <c r="J645" s="250"/>
      <c r="K645" s="729"/>
    </row>
    <row r="646" spans="1:11" outlineLevel="2">
      <c r="A646" s="15"/>
      <c r="C646" s="690"/>
      <c r="D646" s="836"/>
      <c r="E646" s="39" t="s">
        <v>426</v>
      </c>
      <c r="F646" s="98">
        <f>221.608591147907*1.01</f>
        <v>223.82467705938606</v>
      </c>
      <c r="G646" s="244"/>
      <c r="H646" s="697"/>
      <c r="I646" s="97">
        <f>IF($F$112&gt;=10000,1,0)</f>
        <v>1</v>
      </c>
      <c r="J646" s="250"/>
      <c r="K646" s="730"/>
    </row>
    <row r="647" spans="1:11" ht="15.75" customHeight="1" outlineLevel="2">
      <c r="A647" s="15"/>
      <c r="C647" s="690"/>
      <c r="D647" s="834" t="s">
        <v>798</v>
      </c>
      <c r="E647" s="112" t="s">
        <v>423</v>
      </c>
      <c r="F647" s="94">
        <f>2361.8700667881*1.01</f>
        <v>2385.4887674559809</v>
      </c>
      <c r="G647" s="240"/>
      <c r="H647" s="695" t="s">
        <v>422</v>
      </c>
      <c r="I647" s="160">
        <f>IF($F$112&lt;=1999,1,0)</f>
        <v>0</v>
      </c>
      <c r="J647" s="250"/>
      <c r="K647" s="728">
        <f>SUMPRODUCT(I647:I650,F647:F650)*$F$112</f>
        <v>16322423.580925336</v>
      </c>
    </row>
    <row r="648" spans="1:11" outlineLevel="2">
      <c r="A648" s="15"/>
      <c r="C648" s="690"/>
      <c r="D648" s="835"/>
      <c r="E648" s="113" t="s">
        <v>424</v>
      </c>
      <c r="F648" s="92">
        <f>1642.96330429199*1.01</f>
        <v>1659.3929373349099</v>
      </c>
      <c r="G648" s="238"/>
      <c r="H648" s="696"/>
      <c r="I648" s="56">
        <f>IF(AND($F$112&gt;=2000,$F$112&lt;=4999),1,0)</f>
        <v>0</v>
      </c>
      <c r="J648" s="250"/>
      <c r="K648" s="729"/>
    </row>
    <row r="649" spans="1:11" outlineLevel="2">
      <c r="A649" s="15"/>
      <c r="C649" s="690"/>
      <c r="D649" s="835"/>
      <c r="E649" s="113" t="s">
        <v>425</v>
      </c>
      <c r="F649" s="92">
        <f>1668.56289995712*1.01</f>
        <v>1685.2485289566912</v>
      </c>
      <c r="G649" s="238"/>
      <c r="H649" s="696"/>
      <c r="I649" s="56">
        <f>IF(AND($F$112&gt;=5000,$F$112&lt;=9999),1,0)</f>
        <v>0</v>
      </c>
      <c r="J649" s="250"/>
      <c r="K649" s="729"/>
    </row>
    <row r="650" spans="1:11" outlineLevel="2">
      <c r="A650" s="15"/>
      <c r="C650" s="690"/>
      <c r="D650" s="836"/>
      <c r="E650" s="39" t="s">
        <v>426</v>
      </c>
      <c r="F650" s="98">
        <f>924.056541795884*1.01</f>
        <v>933.29710721384276</v>
      </c>
      <c r="G650" s="244"/>
      <c r="H650" s="697"/>
      <c r="I650" s="97">
        <f>IF($F$112&gt;=10000,1,0)</f>
        <v>1</v>
      </c>
      <c r="J650" s="250"/>
      <c r="K650" s="730"/>
    </row>
    <row r="651" spans="1:11" ht="15.75" customHeight="1" outlineLevel="2">
      <c r="A651" s="15"/>
      <c r="C651" s="690"/>
      <c r="D651" s="834" t="s">
        <v>799</v>
      </c>
      <c r="E651" s="112" t="s">
        <v>423</v>
      </c>
      <c r="F651" s="94">
        <f>357.226667078304*1.01</f>
        <v>360.79893374908704</v>
      </c>
      <c r="G651" s="240"/>
      <c r="H651" s="695" t="s">
        <v>422</v>
      </c>
      <c r="I651" s="160">
        <f>IF($F$112&lt;=1999,1,0)</f>
        <v>0</v>
      </c>
      <c r="K651" s="728">
        <f>SUMPRODUCT(I651:I654,F651:F654)*$F$112</f>
        <v>2188761.9524884117</v>
      </c>
    </row>
    <row r="652" spans="1:11" outlineLevel="2">
      <c r="A652" s="15"/>
      <c r="C652" s="690"/>
      <c r="D652" s="835"/>
      <c r="E652" s="113" t="s">
        <v>424</v>
      </c>
      <c r="F652" s="92">
        <f>240.569200282937*1.01</f>
        <v>242.97489228576637</v>
      </c>
      <c r="G652" s="238"/>
      <c r="H652" s="696"/>
      <c r="I652" s="56">
        <f>IF(AND($F$112&gt;=2000,$F$112&lt;=4999),1,0)</f>
        <v>0</v>
      </c>
      <c r="K652" s="729"/>
    </row>
    <row r="653" spans="1:11" outlineLevel="2">
      <c r="A653" s="15"/>
      <c r="C653" s="690"/>
      <c r="D653" s="835"/>
      <c r="E653" s="113" t="s">
        <v>425</v>
      </c>
      <c r="F653" s="92">
        <f>236.912606950829*1.01</f>
        <v>239.2817330203373</v>
      </c>
      <c r="G653" s="238"/>
      <c r="H653" s="696"/>
      <c r="I653" s="56">
        <f>IF(AND($F$112&gt;=5000,$F$112&lt;=9999),1,0)</f>
        <v>0</v>
      </c>
      <c r="K653" s="729"/>
    </row>
    <row r="654" spans="1:11" outlineLevel="2">
      <c r="A654" s="15"/>
      <c r="C654" s="691"/>
      <c r="D654" s="836"/>
      <c r="E654" s="39" t="s">
        <v>426</v>
      </c>
      <c r="F654" s="98">
        <f>123.91173348757*1.01</f>
        <v>125.1508508224457</v>
      </c>
      <c r="G654" s="244"/>
      <c r="H654" s="697"/>
      <c r="I654" s="97">
        <f>IF($F$112&gt;=10000,1,0)</f>
        <v>1</v>
      </c>
      <c r="K654" s="730"/>
    </row>
    <row r="655" spans="1:11">
      <c r="A655" s="15"/>
    </row>
    <row r="656" spans="1:11">
      <c r="A656" s="15"/>
      <c r="B656" s="959" t="s">
        <v>25</v>
      </c>
      <c r="C656" s="960"/>
      <c r="D656" s="960"/>
      <c r="E656" s="960"/>
      <c r="F656" s="960"/>
      <c r="G656" s="960"/>
      <c r="H656" s="960"/>
      <c r="I656" s="960"/>
      <c r="J656" s="961"/>
      <c r="K656" s="43">
        <f>SUM(K139:W654)-L525-L532-L485-L548-L547-L542-L539-L536-L535</f>
        <v>13356884718.705791</v>
      </c>
    </row>
    <row r="657" spans="1:25">
      <c r="A657" s="15"/>
      <c r="B657"/>
      <c r="C657"/>
      <c r="D657"/>
      <c r="E657"/>
      <c r="F657"/>
      <c r="G657"/>
      <c r="H657"/>
      <c r="I657"/>
      <c r="J657"/>
    </row>
    <row r="658" spans="1:25" ht="59.25" customHeight="1">
      <c r="A658" s="15"/>
      <c r="B658" s="585"/>
      <c r="F658" s="27"/>
      <c r="G658" s="27"/>
      <c r="J658" s="921" t="s">
        <v>258</v>
      </c>
      <c r="K658" s="923"/>
    </row>
    <row r="659" spans="1:25">
      <c r="A659" s="15"/>
      <c r="B659" s="29"/>
      <c r="F659" s="28"/>
      <c r="G659" s="28"/>
      <c r="K659"/>
    </row>
    <row r="660" spans="1:25" s="33" customFormat="1" ht="24.75" customHeight="1">
      <c r="A660" s="15"/>
      <c r="B660" s="140"/>
      <c r="C660" s="30"/>
      <c r="E660" s="31" t="s">
        <v>970</v>
      </c>
      <c r="F660" s="32"/>
      <c r="G660" s="32"/>
      <c r="H660" s="956">
        <f>K656</f>
        <v>13356884718.705791</v>
      </c>
      <c r="I660" s="957"/>
      <c r="J660" s="919">
        <f>H660/$F$68</f>
        <v>82955.357980855828</v>
      </c>
      <c r="K660" s="920"/>
      <c r="L660" s="133"/>
      <c r="M660"/>
      <c r="N660"/>
      <c r="O660"/>
      <c r="P660"/>
      <c r="Q660"/>
      <c r="R660"/>
      <c r="S660"/>
      <c r="T660"/>
      <c r="U660"/>
      <c r="V660"/>
      <c r="W660"/>
      <c r="X660"/>
      <c r="Y660"/>
    </row>
    <row r="661" spans="1:25" s="33" customFormat="1" ht="15.75" customHeight="1">
      <c r="A661" s="15"/>
      <c r="B661" s="140"/>
      <c r="C661" s="30"/>
      <c r="E661" s="31"/>
      <c r="F661" s="32"/>
      <c r="G661" s="32"/>
      <c r="H661" s="32"/>
      <c r="I661" s="32"/>
      <c r="J661" s="32"/>
      <c r="K661" s="32"/>
      <c r="L661" s="32"/>
      <c r="M661"/>
      <c r="N661"/>
      <c r="O661"/>
      <c r="P661"/>
      <c r="Q661"/>
      <c r="R661"/>
      <c r="S661"/>
      <c r="T661"/>
      <c r="U661"/>
      <c r="V661"/>
      <c r="W661"/>
      <c r="X661"/>
      <c r="Y661"/>
    </row>
    <row r="662" spans="1:25" ht="21" customHeight="1">
      <c r="A662" s="15"/>
      <c r="B662" s="29"/>
      <c r="E662" s="31" t="s">
        <v>971</v>
      </c>
      <c r="H662" s="956">
        <f>H660-SUM(K573:K600)</f>
        <v>12902305460.028809</v>
      </c>
      <c r="I662" s="957"/>
      <c r="J662" s="919">
        <f>H662/$F$68</f>
        <v>80132.110949202543</v>
      </c>
      <c r="K662" s="920"/>
    </row>
    <row r="663" spans="1:25">
      <c r="A663" s="15"/>
      <c r="B663" s="29"/>
      <c r="K663" s="18"/>
    </row>
    <row r="664" spans="1:25">
      <c r="A664" s="15"/>
      <c r="B664" s="29"/>
    </row>
    <row r="665" spans="1:25">
      <c r="A665" s="15"/>
      <c r="B665" s="29"/>
      <c r="D665" s="167" t="s">
        <v>382</v>
      </c>
    </row>
    <row r="666" spans="1:25" ht="15.75" customHeight="1" outlineLevel="1">
      <c r="A666" s="15"/>
      <c r="B666" s="717" t="s">
        <v>333</v>
      </c>
      <c r="C666" s="858"/>
      <c r="D666" s="19" t="s">
        <v>32</v>
      </c>
      <c r="E666" s="168" t="s">
        <v>327</v>
      </c>
      <c r="K666"/>
    </row>
    <row r="667" spans="1:25" outlineLevel="1">
      <c r="A667" s="15"/>
      <c r="B667" s="718"/>
      <c r="C667" s="860"/>
      <c r="D667" s="17" t="s">
        <v>42</v>
      </c>
      <c r="E667" s="169" t="s">
        <v>327</v>
      </c>
      <c r="K667"/>
    </row>
    <row r="668" spans="1:25" outlineLevel="1">
      <c r="A668" s="15"/>
      <c r="B668" s="718"/>
      <c r="C668" s="860"/>
      <c r="D668" s="17" t="s">
        <v>43</v>
      </c>
      <c r="E668" s="169" t="s">
        <v>327</v>
      </c>
      <c r="K668"/>
    </row>
    <row r="669" spans="1:25" outlineLevel="1">
      <c r="A669" s="15"/>
      <c r="B669" s="718"/>
      <c r="C669" s="860"/>
      <c r="D669" s="17" t="s">
        <v>44</v>
      </c>
      <c r="E669" s="169" t="s">
        <v>327</v>
      </c>
      <c r="K669"/>
    </row>
    <row r="670" spans="1:25" outlineLevel="1">
      <c r="A670" s="15"/>
      <c r="B670" s="719"/>
      <c r="C670" s="843"/>
      <c r="D670" s="54" t="s">
        <v>45</v>
      </c>
      <c r="E670" s="170" t="s">
        <v>327</v>
      </c>
      <c r="K670"/>
    </row>
    <row r="671" spans="1:25" ht="15.75" customHeight="1" outlineLevel="1">
      <c r="A671" s="15"/>
      <c r="B671" s="717" t="s">
        <v>332</v>
      </c>
      <c r="C671" s="858"/>
      <c r="D671" s="19" t="s">
        <v>32</v>
      </c>
      <c r="E671" s="168" t="s">
        <v>327</v>
      </c>
      <c r="K671"/>
    </row>
    <row r="672" spans="1:25" outlineLevel="1">
      <c r="A672" s="15"/>
      <c r="B672" s="718"/>
      <c r="C672" s="860"/>
      <c r="D672" s="17" t="s">
        <v>42</v>
      </c>
      <c r="E672" s="171" t="s">
        <v>327</v>
      </c>
      <c r="K672"/>
    </row>
    <row r="673" spans="1:11" outlineLevel="1">
      <c r="A673" s="15"/>
      <c r="B673" s="718"/>
      <c r="C673" s="860"/>
      <c r="D673" s="17" t="s">
        <v>43</v>
      </c>
      <c r="E673" s="171" t="s">
        <v>327</v>
      </c>
      <c r="K673"/>
    </row>
    <row r="674" spans="1:11" outlineLevel="1">
      <c r="A674" s="15"/>
      <c r="B674" s="718"/>
      <c r="C674" s="860"/>
      <c r="D674" s="17" t="s">
        <v>44</v>
      </c>
      <c r="E674" s="171" t="s">
        <v>327</v>
      </c>
      <c r="K674"/>
    </row>
    <row r="675" spans="1:11" outlineLevel="1">
      <c r="A675" s="15"/>
      <c r="B675" s="719"/>
      <c r="C675" s="843"/>
      <c r="D675" s="37" t="s">
        <v>45</v>
      </c>
      <c r="E675" s="172" t="s">
        <v>327</v>
      </c>
      <c r="K675"/>
    </row>
    <row r="676" spans="1:11" ht="15.75" customHeight="1" outlineLevel="1">
      <c r="A676" s="15"/>
      <c r="B676" s="722" t="s">
        <v>383</v>
      </c>
      <c r="C676" s="943"/>
      <c r="D676" s="17" t="s">
        <v>276</v>
      </c>
      <c r="E676" s="171" t="s">
        <v>327</v>
      </c>
      <c r="K676"/>
    </row>
    <row r="677" spans="1:11" outlineLevel="1">
      <c r="A677" s="15"/>
      <c r="B677" s="723"/>
      <c r="C677" s="944"/>
      <c r="D677" s="37" t="s">
        <v>285</v>
      </c>
      <c r="E677" s="172" t="s">
        <v>327</v>
      </c>
      <c r="K677"/>
    </row>
    <row r="678" spans="1:11">
      <c r="A678" s="15"/>
    </row>
    <row r="679" spans="1:11">
      <c r="A679" s="15"/>
    </row>
    <row r="680" spans="1:11">
      <c r="B680" s="250"/>
    </row>
    <row r="681" spans="1:11">
      <c r="B681" s="250"/>
    </row>
  </sheetData>
  <dataConsolidate/>
  <mergeCells count="473">
    <mergeCell ref="AB337:AB339"/>
    <mergeCell ref="M245:M246"/>
    <mergeCell ref="AB334:AB336"/>
    <mergeCell ref="C291:C294"/>
    <mergeCell ref="H291:H294"/>
    <mergeCell ref="B290:B310"/>
    <mergeCell ref="D251:D252"/>
    <mergeCell ref="H251:H257"/>
    <mergeCell ref="D253:D255"/>
    <mergeCell ref="D256:E256"/>
    <mergeCell ref="D257:E257"/>
    <mergeCell ref="D258:D259"/>
    <mergeCell ref="H258:H259"/>
    <mergeCell ref="H260:H289"/>
    <mergeCell ref="C260:C264"/>
    <mergeCell ref="C265:C269"/>
    <mergeCell ref="B250:B289"/>
    <mergeCell ref="E265:E269"/>
    <mergeCell ref="L328:L330"/>
    <mergeCell ref="L331:L333"/>
    <mergeCell ref="C328:C330"/>
    <mergeCell ref="M247:M248"/>
    <mergeCell ref="N245:N246"/>
    <mergeCell ref="O245:O246"/>
    <mergeCell ref="L236:L237"/>
    <mergeCell ref="L238:L239"/>
    <mergeCell ref="C316:C318"/>
    <mergeCell ref="E316:E327"/>
    <mergeCell ref="L316:L318"/>
    <mergeCell ref="C319:C321"/>
    <mergeCell ref="L319:L321"/>
    <mergeCell ref="C322:C324"/>
    <mergeCell ref="L322:L324"/>
    <mergeCell ref="C325:C327"/>
    <mergeCell ref="L325:L327"/>
    <mergeCell ref="B311:D311"/>
    <mergeCell ref="H312:H339"/>
    <mergeCell ref="C270:D274"/>
    <mergeCell ref="C275:D279"/>
    <mergeCell ref="C280:D284"/>
    <mergeCell ref="C285:D289"/>
    <mergeCell ref="E260:E264"/>
    <mergeCell ref="L337:L339"/>
    <mergeCell ref="L334:L336"/>
    <mergeCell ref="L242:L243"/>
    <mergeCell ref="D236:D237"/>
    <mergeCell ref="D238:D239"/>
    <mergeCell ref="D242:D243"/>
    <mergeCell ref="K651:K654"/>
    <mergeCell ref="K647:K650"/>
    <mergeCell ref="K643:K646"/>
    <mergeCell ref="H423:H424"/>
    <mergeCell ref="C423:D424"/>
    <mergeCell ref="C504:D504"/>
    <mergeCell ref="C479:C481"/>
    <mergeCell ref="H499:H501"/>
    <mergeCell ref="E414:E416"/>
    <mergeCell ref="E417:E419"/>
    <mergeCell ref="E420:E422"/>
    <mergeCell ref="H405:H422"/>
    <mergeCell ref="C405:C410"/>
    <mergeCell ref="C411:C416"/>
    <mergeCell ref="C417:C422"/>
    <mergeCell ref="C428:E428"/>
    <mergeCell ref="C459:C464"/>
    <mergeCell ref="C488:C490"/>
    <mergeCell ref="C499:C501"/>
    <mergeCell ref="B516:E516"/>
    <mergeCell ref="B478:B515"/>
    <mergeCell ref="B517:B523"/>
    <mergeCell ref="K497:K498"/>
    <mergeCell ref="K495:K496"/>
    <mergeCell ref="J660:K660"/>
    <mergeCell ref="K611:K614"/>
    <mergeCell ref="J658:K658"/>
    <mergeCell ref="H575:H576"/>
    <mergeCell ref="J575:J576"/>
    <mergeCell ref="B656:J656"/>
    <mergeCell ref="K586:K589"/>
    <mergeCell ref="B578:B600"/>
    <mergeCell ref="H583:H585"/>
    <mergeCell ref="F583:F585"/>
    <mergeCell ref="J579:J581"/>
    <mergeCell ref="K590:K593"/>
    <mergeCell ref="D651:D654"/>
    <mergeCell ref="H651:H654"/>
    <mergeCell ref="C619:C654"/>
    <mergeCell ref="D624:D627"/>
    <mergeCell ref="H624:H627"/>
    <mergeCell ref="D628:D630"/>
    <mergeCell ref="H628:H630"/>
    <mergeCell ref="D620:D622"/>
    <mergeCell ref="H620:H622"/>
    <mergeCell ref="J617:J618"/>
    <mergeCell ref="C617:C618"/>
    <mergeCell ref="J590:J593"/>
    <mergeCell ref="B671:C675"/>
    <mergeCell ref="B676:C677"/>
    <mergeCell ref="C615:E615"/>
    <mergeCell ref="C611:D614"/>
    <mergeCell ref="C607:D610"/>
    <mergeCell ref="C603:D606"/>
    <mergeCell ref="H603:H615"/>
    <mergeCell ref="C598:C600"/>
    <mergeCell ref="C590:D593"/>
    <mergeCell ref="C594:D597"/>
    <mergeCell ref="B616:D616"/>
    <mergeCell ref="H598:H599"/>
    <mergeCell ref="D631:D633"/>
    <mergeCell ref="H631:H633"/>
    <mergeCell ref="D634:D637"/>
    <mergeCell ref="H634:H637"/>
    <mergeCell ref="D638:E638"/>
    <mergeCell ref="D639:D642"/>
    <mergeCell ref="H639:H642"/>
    <mergeCell ref="D643:D646"/>
    <mergeCell ref="H643:H646"/>
    <mergeCell ref="D623:E623"/>
    <mergeCell ref="H662:I662"/>
    <mergeCell ref="H660:I660"/>
    <mergeCell ref="B666:C670"/>
    <mergeCell ref="C582:D582"/>
    <mergeCell ref="C579:C581"/>
    <mergeCell ref="C583:C585"/>
    <mergeCell ref="B573:C574"/>
    <mergeCell ref="B575:C576"/>
    <mergeCell ref="B577:C577"/>
    <mergeCell ref="E579:E581"/>
    <mergeCell ref="D151:E151"/>
    <mergeCell ref="E152:E157"/>
    <mergeCell ref="E158:E163"/>
    <mergeCell ref="C445:C450"/>
    <mergeCell ref="C223:D224"/>
    <mergeCell ref="D361:D362"/>
    <mergeCell ref="D371:D372"/>
    <mergeCell ref="B164:D164"/>
    <mergeCell ref="C233:E233"/>
    <mergeCell ref="C228:D230"/>
    <mergeCell ref="E228:E230"/>
    <mergeCell ref="C231:C232"/>
    <mergeCell ref="C395:D397"/>
    <mergeCell ref="C465:C470"/>
    <mergeCell ref="E465:E470"/>
    <mergeCell ref="C392:D394"/>
    <mergeCell ref="J662:K662"/>
    <mergeCell ref="E72:F72"/>
    <mergeCell ref="K138:W138"/>
    <mergeCell ref="B601:D601"/>
    <mergeCell ref="C602:E602"/>
    <mergeCell ref="K603:K606"/>
    <mergeCell ref="K607:K610"/>
    <mergeCell ref="J586:J589"/>
    <mergeCell ref="H158:H163"/>
    <mergeCell ref="H151:H157"/>
    <mergeCell ref="G583:G585"/>
    <mergeCell ref="L141:L148"/>
    <mergeCell ref="I137:I138"/>
    <mergeCell ref="E137:E138"/>
    <mergeCell ref="H137:H138"/>
    <mergeCell ref="B137:D138"/>
    <mergeCell ref="B140:B148"/>
    <mergeCell ref="C140:D140"/>
    <mergeCell ref="K525:K526"/>
    <mergeCell ref="K479:K481"/>
    <mergeCell ref="H479:H481"/>
    <mergeCell ref="J573:J574"/>
    <mergeCell ref="H573:H574"/>
    <mergeCell ref="B549:C557"/>
    <mergeCell ref="D5:E5"/>
    <mergeCell ref="B152:D163"/>
    <mergeCell ref="D6:F6"/>
    <mergeCell ref="D18:F18"/>
    <mergeCell ref="E10:F10"/>
    <mergeCell ref="E8:F8"/>
    <mergeCell ref="D41:F41"/>
    <mergeCell ref="E19:F19"/>
    <mergeCell ref="E141:E150"/>
    <mergeCell ref="E55:F55"/>
    <mergeCell ref="E104:F104"/>
    <mergeCell ref="E110:F110"/>
    <mergeCell ref="E63:F63"/>
    <mergeCell ref="F117:H117"/>
    <mergeCell ref="E25:F25"/>
    <mergeCell ref="G137:G138"/>
    <mergeCell ref="H141:H148"/>
    <mergeCell ref="C141:C144"/>
    <mergeCell ref="E26:F26"/>
    <mergeCell ref="F137:F138"/>
    <mergeCell ref="C145:C148"/>
    <mergeCell ref="E14:F14"/>
    <mergeCell ref="E32:F32"/>
    <mergeCell ref="E38:F38"/>
    <mergeCell ref="E33:F33"/>
    <mergeCell ref="E39:F39"/>
    <mergeCell ref="D54:F54"/>
    <mergeCell ref="D121:F121"/>
    <mergeCell ref="E76:F76"/>
    <mergeCell ref="E124:F124"/>
    <mergeCell ref="E84:F84"/>
    <mergeCell ref="E42:F42"/>
    <mergeCell ref="E47:F47"/>
    <mergeCell ref="E95:F95"/>
    <mergeCell ref="H236:H243"/>
    <mergeCell ref="D306:D307"/>
    <mergeCell ref="H212:H214"/>
    <mergeCell ref="H223:H224"/>
    <mergeCell ref="E44:F44"/>
    <mergeCell ref="E49:F49"/>
    <mergeCell ref="B139:D139"/>
    <mergeCell ref="C198:C200"/>
    <mergeCell ref="B149:C150"/>
    <mergeCell ref="B236:B243"/>
    <mergeCell ref="C236:C237"/>
    <mergeCell ref="C238:C239"/>
    <mergeCell ref="C242:C243"/>
    <mergeCell ref="C226:D226"/>
    <mergeCell ref="C234:D234"/>
    <mergeCell ref="B225:B234"/>
    <mergeCell ref="C189:C191"/>
    <mergeCell ref="C192:C194"/>
    <mergeCell ref="C195:C197"/>
    <mergeCell ref="H226:H232"/>
    <mergeCell ref="B201:B202"/>
    <mergeCell ref="E219:E222"/>
    <mergeCell ref="D175:D177"/>
    <mergeCell ref="D178:D180"/>
    <mergeCell ref="H497:H498"/>
    <mergeCell ref="C495:C496"/>
    <mergeCell ref="D495:D496"/>
    <mergeCell ref="H495:H496"/>
    <mergeCell ref="C386:D388"/>
    <mergeCell ref="H374:H403"/>
    <mergeCell ref="I192:I194"/>
    <mergeCell ref="I195:I197"/>
    <mergeCell ref="I198:I200"/>
    <mergeCell ref="C452:D452"/>
    <mergeCell ref="C398:D400"/>
    <mergeCell ref="C401:D403"/>
    <mergeCell ref="E439:E444"/>
    <mergeCell ref="C439:C444"/>
    <mergeCell ref="E445:E450"/>
    <mergeCell ref="H219:H222"/>
    <mergeCell ref="H186:H200"/>
    <mergeCell ref="I186:I188"/>
    <mergeCell ref="I439:I444"/>
    <mergeCell ref="H352:H353"/>
    <mergeCell ref="H354:H357"/>
    <mergeCell ref="I445:I450"/>
    <mergeCell ref="D201:E202"/>
    <mergeCell ref="C204:C208"/>
    <mergeCell ref="K488:K490"/>
    <mergeCell ref="K491:K494"/>
    <mergeCell ref="C251:C259"/>
    <mergeCell ref="E291:E294"/>
    <mergeCell ref="H295:H303"/>
    <mergeCell ref="E300:E303"/>
    <mergeCell ref="C295:C303"/>
    <mergeCell ref="H485:H487"/>
    <mergeCell ref="K485:K487"/>
    <mergeCell ref="E459:E464"/>
    <mergeCell ref="H349:H350"/>
    <mergeCell ref="C389:D391"/>
    <mergeCell ref="C341:C343"/>
    <mergeCell ref="C344:C346"/>
    <mergeCell ref="D429:E430"/>
    <mergeCell ref="C425:E425"/>
    <mergeCell ref="C426:E426"/>
    <mergeCell ref="C427:E427"/>
    <mergeCell ref="D312:E315"/>
    <mergeCell ref="C309:D309"/>
    <mergeCell ref="C310:D310"/>
    <mergeCell ref="E341:E346"/>
    <mergeCell ref="C347:C348"/>
    <mergeCell ref="D347:D348"/>
    <mergeCell ref="L374:L376"/>
    <mergeCell ref="L377:L379"/>
    <mergeCell ref="L380:L382"/>
    <mergeCell ref="L383:L385"/>
    <mergeCell ref="L386:L388"/>
    <mergeCell ref="L389:L391"/>
    <mergeCell ref="L392:L394"/>
    <mergeCell ref="I459:I464"/>
    <mergeCell ref="I433:I438"/>
    <mergeCell ref="L395:L397"/>
    <mergeCell ref="L398:L400"/>
    <mergeCell ref="J594:J597"/>
    <mergeCell ref="C586:D589"/>
    <mergeCell ref="H586:H589"/>
    <mergeCell ref="H579:H581"/>
    <mergeCell ref="B558:D559"/>
    <mergeCell ref="E560:E562"/>
    <mergeCell ref="B560:C562"/>
    <mergeCell ref="B571:I571"/>
    <mergeCell ref="H594:H597"/>
    <mergeCell ref="H560:H562"/>
    <mergeCell ref="B563:D564"/>
    <mergeCell ref="H563:H564"/>
    <mergeCell ref="D647:D650"/>
    <mergeCell ref="H647:H650"/>
    <mergeCell ref="B373:B403"/>
    <mergeCell ref="E411:E413"/>
    <mergeCell ref="I465:I470"/>
    <mergeCell ref="I566:I569"/>
    <mergeCell ref="H482:H484"/>
    <mergeCell ref="C502:D503"/>
    <mergeCell ref="H502:H503"/>
    <mergeCell ref="D499:D501"/>
    <mergeCell ref="D507:D515"/>
    <mergeCell ref="C507:C515"/>
    <mergeCell ref="H590:H593"/>
    <mergeCell ref="C523:D523"/>
    <mergeCell ref="C522:D522"/>
    <mergeCell ref="E550:E557"/>
    <mergeCell ref="H566:H569"/>
    <mergeCell ref="D566:D569"/>
    <mergeCell ref="B565:C570"/>
    <mergeCell ref="D479:D481"/>
    <mergeCell ref="C482:C484"/>
    <mergeCell ref="D482:D484"/>
    <mergeCell ref="D532:D534"/>
    <mergeCell ref="E518:E519"/>
    <mergeCell ref="K594:K597"/>
    <mergeCell ref="I166:I168"/>
    <mergeCell ref="I189:I191"/>
    <mergeCell ref="C453:C458"/>
    <mergeCell ref="B351:C372"/>
    <mergeCell ref="I175:I177"/>
    <mergeCell ref="I178:I180"/>
    <mergeCell ref="D166:D168"/>
    <mergeCell ref="H166:H180"/>
    <mergeCell ref="B524:C548"/>
    <mergeCell ref="E542:E545"/>
    <mergeCell ref="E539:E541"/>
    <mergeCell ref="E536:E538"/>
    <mergeCell ref="J166:J180"/>
    <mergeCell ref="D169:D171"/>
    <mergeCell ref="D172:D174"/>
    <mergeCell ref="I169:I171"/>
    <mergeCell ref="I172:I174"/>
    <mergeCell ref="E212:E214"/>
    <mergeCell ref="H201:H202"/>
    <mergeCell ref="H204:H211"/>
    <mergeCell ref="H181:H183"/>
    <mergeCell ref="C186:C188"/>
    <mergeCell ref="J186:J200"/>
    <mergeCell ref="K639:K642"/>
    <mergeCell ref="K634:K637"/>
    <mergeCell ref="K624:K627"/>
    <mergeCell ref="K620:K622"/>
    <mergeCell ref="K628:K630"/>
    <mergeCell ref="K631:K633"/>
    <mergeCell ref="B471:B477"/>
    <mergeCell ref="H472:H477"/>
    <mergeCell ref="C472:E472"/>
    <mergeCell ref="C473:E473"/>
    <mergeCell ref="C474:E474"/>
    <mergeCell ref="C477:E477"/>
    <mergeCell ref="C475:D476"/>
    <mergeCell ref="C491:C494"/>
    <mergeCell ref="C518:C521"/>
    <mergeCell ref="H550:H559"/>
    <mergeCell ref="K482:K484"/>
    <mergeCell ref="D546:E546"/>
    <mergeCell ref="H530:H531"/>
    <mergeCell ref="H525:H529"/>
    <mergeCell ref="D530:D531"/>
    <mergeCell ref="D528:D529"/>
    <mergeCell ref="K560:K562"/>
    <mergeCell ref="K532:K534"/>
    <mergeCell ref="C219:C222"/>
    <mergeCell ref="E186:E200"/>
    <mergeCell ref="B186:B200"/>
    <mergeCell ref="E209:E211"/>
    <mergeCell ref="E204:E208"/>
    <mergeCell ref="C209:C211"/>
    <mergeCell ref="B203:B214"/>
    <mergeCell ref="D181:E183"/>
    <mergeCell ref="B215:B224"/>
    <mergeCell ref="C217:E217"/>
    <mergeCell ref="C218:E218"/>
    <mergeCell ref="C216:E216"/>
    <mergeCell ref="C184:D184"/>
    <mergeCell ref="B181:B184"/>
    <mergeCell ref="E125:F125"/>
    <mergeCell ref="L401:L403"/>
    <mergeCell ref="C374:D376"/>
    <mergeCell ref="C377:D379"/>
    <mergeCell ref="C380:D382"/>
    <mergeCell ref="C383:D385"/>
    <mergeCell ref="C337:C339"/>
    <mergeCell ref="C331:C333"/>
    <mergeCell ref="C334:C336"/>
    <mergeCell ref="C304:C308"/>
    <mergeCell ref="H341:H343"/>
    <mergeCell ref="H344:H346"/>
    <mergeCell ref="H358:H372"/>
    <mergeCell ref="D358:D359"/>
    <mergeCell ref="C212:C214"/>
    <mergeCell ref="C227:E227"/>
    <mergeCell ref="C166:C180"/>
    <mergeCell ref="C240:D241"/>
    <mergeCell ref="L240:L241"/>
    <mergeCell ref="H245:H249"/>
    <mergeCell ref="B245:D246"/>
    <mergeCell ref="B247:D248"/>
    <mergeCell ref="B249:E249"/>
    <mergeCell ref="B166:B180"/>
    <mergeCell ref="K536:K538"/>
    <mergeCell ref="L536:L538"/>
    <mergeCell ref="H532:H545"/>
    <mergeCell ref="K539:K541"/>
    <mergeCell ref="L539:L541"/>
    <mergeCell ref="K542:K545"/>
    <mergeCell ref="L542:L545"/>
    <mergeCell ref="E405:E407"/>
    <mergeCell ref="E408:E410"/>
    <mergeCell ref="L525:L526"/>
    <mergeCell ref="D535:E535"/>
    <mergeCell ref="L532:L534"/>
    <mergeCell ref="H433:H450"/>
    <mergeCell ref="C432:D432"/>
    <mergeCell ref="C433:C438"/>
    <mergeCell ref="E433:E438"/>
    <mergeCell ref="L485:L487"/>
    <mergeCell ref="D491:D494"/>
    <mergeCell ref="H491:H494"/>
    <mergeCell ref="H488:H490"/>
    <mergeCell ref="D488:D490"/>
    <mergeCell ref="K513:K515"/>
    <mergeCell ref="D527:E527"/>
    <mergeCell ref="K499:K501"/>
    <mergeCell ref="D547:D548"/>
    <mergeCell ref="B404:B430"/>
    <mergeCell ref="I453:I458"/>
    <mergeCell ref="H518:H522"/>
    <mergeCell ref="B312:B315"/>
    <mergeCell ref="B316:B327"/>
    <mergeCell ref="B328:B339"/>
    <mergeCell ref="D304:D305"/>
    <mergeCell ref="H304:H307"/>
    <mergeCell ref="H509:H511"/>
    <mergeCell ref="H513:H515"/>
    <mergeCell ref="E453:E458"/>
    <mergeCell ref="H453:H470"/>
    <mergeCell ref="C497:C498"/>
    <mergeCell ref="D497:D498"/>
    <mergeCell ref="C485:C487"/>
    <mergeCell ref="D485:D487"/>
    <mergeCell ref="B451:B470"/>
    <mergeCell ref="D354:D355"/>
    <mergeCell ref="B431:B450"/>
    <mergeCell ref="B340:B350"/>
    <mergeCell ref="C349:C350"/>
    <mergeCell ref="E349:E350"/>
    <mergeCell ref="E328:E338"/>
    <mergeCell ref="P245:P246"/>
    <mergeCell ref="Q245:Q246"/>
    <mergeCell ref="R245:R246"/>
    <mergeCell ref="S245:S246"/>
    <mergeCell ref="T245:T246"/>
    <mergeCell ref="U245:U246"/>
    <mergeCell ref="V245:V246"/>
    <mergeCell ref="W245:W246"/>
    <mergeCell ref="N247:N248"/>
    <mergeCell ref="O247:O248"/>
    <mergeCell ref="P247:P248"/>
    <mergeCell ref="Q247:Q248"/>
    <mergeCell ref="R247:R248"/>
    <mergeCell ref="S247:S248"/>
    <mergeCell ref="T247:T248"/>
    <mergeCell ref="U247:U248"/>
    <mergeCell ref="V247:V248"/>
    <mergeCell ref="W247:W248"/>
  </mergeCells>
  <dataValidations count="18">
    <dataValidation type="list" allowBlank="1" showInputMessage="1" showErrorMessage="1" sqref="F34">
      <formula1>поликл</formula1>
    </dataValidation>
    <dataValidation type="list" allowBlank="1" showInputMessage="1" showErrorMessage="1" sqref="F21">
      <formula1>сад_бас</formula1>
    </dataValidation>
    <dataValidation type="list" allowBlank="1" showInputMessage="1" showErrorMessage="1" sqref="F20">
      <formula1>сад</formula1>
    </dataValidation>
    <dataValidation type="list" allowBlank="1" showInputMessage="1" showErrorMessage="1" sqref="F28">
      <formula1>школа_басс</formula1>
    </dataValidation>
    <dataValidation type="list" allowBlank="1" showInputMessage="1" showErrorMessage="1" sqref="F27">
      <formula1>школа</formula1>
    </dataValidation>
    <dataValidation type="list" allowBlank="1" showInputMessage="1" showErrorMessage="1" sqref="H108:R108 F36 F23 F30 F115:F116 H82:R82 F46 G125:R125">
      <formula1>"да,нет"</formula1>
    </dataValidation>
    <dataValidation type="list" allowBlank="1" showInputMessage="1" showErrorMessage="1" sqref="F122 H122:R122">
      <formula1>"Комфорт,Бизнес,Бизнес+,Премиум,Элит"</formula1>
    </dataValidation>
    <dataValidation type="list" allowBlank="1" showInputMessage="1" showErrorMessage="1" sqref="F40">
      <formula1>"4200,5260,10200"</formula1>
    </dataValidation>
    <dataValidation type="list" allowBlank="1" showInputMessage="1" showErrorMessage="1" sqref="F17">
      <formula1>"да, нет"</formula1>
    </dataValidation>
    <dataValidation type="list" allowBlank="1" showInputMessage="1" showErrorMessage="1" sqref="F51">
      <formula1>офис_продаж</formula1>
    </dataValidation>
    <dataValidation type="list" allowBlank="1" showInputMessage="1" showErrorMessage="1" sqref="E25 E32 E38">
      <formula1>ограждение</formula1>
    </dataValidation>
    <dataValidation type="list" allowBlank="1" showInputMessage="1" showErrorMessage="1" sqref="G57">
      <formula1>"1,2,3,3+тех.эт."</formula1>
    </dataValidation>
    <dataValidation type="list" allowBlank="1" showInputMessage="1" showErrorMessage="1" sqref="H67:R67">
      <formula1>"дев,редев"</formula1>
    </dataValidation>
    <dataValidation type="list" allowBlank="1" showInputMessage="1" showErrorMessage="1" sqref="H109:R109">
      <formula1>"мансарда, плоская, скатная"</formula1>
    </dataValidation>
    <dataValidation type="list" allowBlank="1" showInputMessage="1" showErrorMessage="1" sqref="F117:H117">
      <mc:AlternateContent xmlns:x12ac="http://schemas.microsoft.com/office/spreadsheetml/2011/1/ac" xmlns:mc="http://schemas.openxmlformats.org/markup-compatibility/2006">
        <mc:Choice Requires="x12ac">
          <x12ac:list>"серийное про-во (Kompan ,Hugs, Lappset)",Индивид. проект</x12ac:list>
        </mc:Choice>
        <mc:Fallback>
          <formula1>"серийное про-во (Kompan ,Hugs, Lappset),Индивид. проект"</formula1>
        </mc:Fallback>
      </mc:AlternateContent>
    </dataValidation>
    <dataValidation type="list" allowBlank="1" showInputMessage="1" showErrorMessage="1" sqref="H88:R88">
      <mc:AlternateContent xmlns:x12ac="http://schemas.microsoft.com/office/spreadsheetml/2011/1/ac" xmlns:mc="http://schemas.openxmlformats.org/markup-compatibility/2006">
        <mc:Choice Requires="x12ac">
          <x12ac:list>"до 3,2","до 4,8"</x12ac:list>
        </mc:Choice>
        <mc:Fallback>
          <formula1>"до 3,2,до 4,8"</formula1>
        </mc:Fallback>
      </mc:AlternateContent>
    </dataValidation>
    <dataValidation type="list" allowBlank="1" showInputMessage="1" showErrorMessage="1" sqref="G59">
      <formula1>"стена в грунте,шпунтовое ограждение,up-down"</formula1>
    </dataValidation>
    <dataValidation type="list" allowBlank="1" showInputMessage="1" showErrorMessage="1" sqref="G62">
      <formula1>"правильная,многоугольная"</formula1>
    </dataValidation>
  </dataValidations>
  <pageMargins left="0.23622047244094491" right="0.23622047244094491" top="0.15748031496062992" bottom="0.15748031496062992" header="0.31496062992125984" footer="0.31496062992125984"/>
  <pageSetup paperSize="9" scale="31"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Q34"/>
  <sheetViews>
    <sheetView workbookViewId="0">
      <selection activeCell="C8" activeCellId="1" sqref="D9 C8"/>
    </sheetView>
  </sheetViews>
  <sheetFormatPr defaultRowHeight="15"/>
  <cols>
    <col min="2" max="2" width="20.28515625" bestFit="1" customWidth="1"/>
    <col min="3" max="3" width="6.42578125" bestFit="1" customWidth="1"/>
    <col min="13" max="14" width="9.140625" style="678"/>
  </cols>
  <sheetData>
    <row r="2" spans="2:17">
      <c r="B2" s="678" t="s">
        <v>1869</v>
      </c>
      <c r="C2" s="678">
        <v>3672.3046985434944</v>
      </c>
    </row>
    <row r="3" spans="2:17">
      <c r="B3" s="678" t="s">
        <v>1871</v>
      </c>
      <c r="C3" s="678">
        <v>10540.874597671142</v>
      </c>
    </row>
    <row r="8" spans="2:17">
      <c r="B8" s="678" t="s">
        <v>1870</v>
      </c>
      <c r="C8" s="678">
        <v>1237.4633700816471</v>
      </c>
    </row>
    <row r="9" spans="2:17">
      <c r="B9" s="678" t="s">
        <v>1872</v>
      </c>
      <c r="C9" s="678">
        <v>3449.6796443206313</v>
      </c>
      <c r="D9">
        <f>C9/3</f>
        <v>1149.8932147735438</v>
      </c>
    </row>
    <row r="11" spans="2:17">
      <c r="M11" s="678">
        <v>30000</v>
      </c>
      <c r="N11" s="678">
        <v>30000</v>
      </c>
      <c r="Q11" s="678">
        <f>SUM(M11:N11,O12:O16,M17:N17)</f>
        <v>289000</v>
      </c>
    </row>
    <row r="12" spans="2:17">
      <c r="K12">
        <v>17000</v>
      </c>
      <c r="O12">
        <v>27800</v>
      </c>
      <c r="Q12" s="678">
        <f>Q11-17000*3</f>
        <v>238000</v>
      </c>
    </row>
    <row r="13" spans="2:17">
      <c r="O13">
        <v>42200</v>
      </c>
      <c r="Q13" s="678">
        <f>30000*2*2</f>
        <v>120000</v>
      </c>
    </row>
    <row r="14" spans="2:17">
      <c r="K14">
        <v>17000</v>
      </c>
      <c r="M14" s="678">
        <v>30000</v>
      </c>
      <c r="N14" s="678">
        <v>30000</v>
      </c>
      <c r="O14">
        <v>29000</v>
      </c>
      <c r="Q14" s="678">
        <f>(30000*2-17000)*2</f>
        <v>86000</v>
      </c>
    </row>
    <row r="15" spans="2:17">
      <c r="I15" s="678">
        <v>73.807000000000002</v>
      </c>
      <c r="O15">
        <v>42200</v>
      </c>
      <c r="Q15" s="678">
        <f>30000*2-17000+7</f>
        <v>43007</v>
      </c>
    </row>
    <row r="16" spans="2:17">
      <c r="C16">
        <v>27800</v>
      </c>
      <c r="D16">
        <v>42200</v>
      </c>
      <c r="E16">
        <v>29000</v>
      </c>
      <c r="F16">
        <v>42200</v>
      </c>
      <c r="G16">
        <v>27800</v>
      </c>
      <c r="H16" s="679">
        <f>SUM(C16:G16)</f>
        <v>169000</v>
      </c>
      <c r="I16" s="678">
        <f>H16/1000</f>
        <v>169</v>
      </c>
      <c r="K16">
        <v>17000</v>
      </c>
      <c r="O16">
        <v>27800</v>
      </c>
      <c r="Q16" s="678">
        <f>SUM(Q11:Q15)</f>
        <v>776007</v>
      </c>
    </row>
    <row r="17" spans="3:14">
      <c r="H17" s="679">
        <f>25000+30100 + 25000/3</f>
        <v>63433.333333333336</v>
      </c>
      <c r="I17" s="678">
        <f>H17/1000</f>
        <v>63.433333333333337</v>
      </c>
      <c r="M17" s="678">
        <v>30000</v>
      </c>
      <c r="N17" s="678">
        <v>30000</v>
      </c>
    </row>
    <row r="18" spans="3:14">
      <c r="I18" s="678">
        <f>I16*I17</f>
        <v>10720.233333333334</v>
      </c>
    </row>
    <row r="20" spans="3:14">
      <c r="H20" s="678">
        <v>1011296.78</v>
      </c>
    </row>
    <row r="21" spans="3:14">
      <c r="C21">
        <v>33.92</v>
      </c>
      <c r="E21">
        <v>50.03</v>
      </c>
    </row>
    <row r="22" spans="3:14">
      <c r="C22">
        <v>15.23</v>
      </c>
      <c r="E22">
        <v>18.239999999999998</v>
      </c>
    </row>
    <row r="23" spans="3:14">
      <c r="C23">
        <v>11.07</v>
      </c>
      <c r="E23">
        <v>22.91</v>
      </c>
    </row>
    <row r="24" spans="3:14">
      <c r="C24">
        <v>30.47</v>
      </c>
      <c r="E24">
        <v>30.23</v>
      </c>
    </row>
    <row r="25" spans="3:14">
      <c r="C25">
        <v>46.1</v>
      </c>
      <c r="E25">
        <v>16.78</v>
      </c>
    </row>
    <row r="26" spans="3:14">
      <c r="C26">
        <v>161.59</v>
      </c>
      <c r="E26">
        <v>13.88</v>
      </c>
    </row>
    <row r="27" spans="3:14">
      <c r="C27">
        <v>9</v>
      </c>
      <c r="E27">
        <v>18.95</v>
      </c>
    </row>
    <row r="28" spans="3:14">
      <c r="C28">
        <v>42.53</v>
      </c>
      <c r="E28">
        <v>31</v>
      </c>
    </row>
    <row r="29" spans="3:14">
      <c r="C29">
        <v>15</v>
      </c>
      <c r="E29">
        <v>21.62</v>
      </c>
    </row>
    <row r="30" spans="3:14">
      <c r="C30">
        <v>28.35</v>
      </c>
      <c r="E30" s="61">
        <f>SUM(E21:E29)</f>
        <v>223.64</v>
      </c>
    </row>
    <row r="31" spans="3:14">
      <c r="C31">
        <v>33.15</v>
      </c>
    </row>
    <row r="32" spans="3:14">
      <c r="C32">
        <v>18.399999999999999</v>
      </c>
    </row>
    <row r="33" spans="2:3">
      <c r="C33">
        <v>77</v>
      </c>
    </row>
    <row r="34" spans="2:3">
      <c r="B34" t="s">
        <v>1873</v>
      </c>
      <c r="C34" s="61">
        <f>SUM(C21:C33)</f>
        <v>521.80999999999995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rgb="FF00B050"/>
    <outlinePr summaryBelow="0"/>
  </sheetPr>
  <dimension ref="A1:AJ629"/>
  <sheetViews>
    <sheetView zoomScaleNormal="100" workbookViewId="0">
      <pane xSplit="2" ySplit="4" topLeftCell="C29" activePane="bottomRight" state="frozen"/>
      <selection pane="topRight" activeCell="C1" sqref="C1"/>
      <selection pane="bottomLeft" activeCell="A5" sqref="A5"/>
      <selection pane="bottomRight" activeCell="B10" sqref="B10"/>
    </sheetView>
  </sheetViews>
  <sheetFormatPr defaultRowHeight="15" outlineLevelRow="7" outlineLevelCol="1"/>
  <cols>
    <col min="1" max="1" width="27.85546875" style="116" customWidth="1"/>
    <col min="2" max="2" width="66.7109375" style="68" customWidth="1"/>
    <col min="3" max="3" width="20" style="114" hidden="1" customWidth="1" outlineLevel="1"/>
    <col min="4" max="4" width="13.28515625" style="225" hidden="1" customWidth="1" outlineLevel="1"/>
    <col min="5" max="5" width="17.140625" style="114" hidden="1" customWidth="1" outlineLevel="1"/>
    <col min="6" max="6" width="6.28515625" style="225" hidden="1" customWidth="1" outlineLevel="1"/>
    <col min="7" max="7" width="15.85546875" style="114" hidden="1" customWidth="1" outlineLevel="1"/>
    <col min="8" max="8" width="14" style="225" hidden="1" customWidth="1" outlineLevel="1"/>
    <col min="9" max="9" width="14" style="114" hidden="1" customWidth="1" outlineLevel="1"/>
    <col min="10" max="10" width="11.42578125" style="225" hidden="1" customWidth="1" outlineLevel="1"/>
    <col min="11" max="11" width="7" style="114" hidden="1" customWidth="1" outlineLevel="1"/>
    <col min="12" max="12" width="7" style="225" hidden="1" customWidth="1" outlineLevel="1"/>
    <col min="13" max="13" width="7" style="114" hidden="1" customWidth="1" outlineLevel="1"/>
    <col min="14" max="14" width="7" style="225" hidden="1" customWidth="1" outlineLevel="1"/>
    <col min="15" max="15" width="7" style="114" hidden="1" customWidth="1" outlineLevel="1"/>
    <col min="16" max="16" width="7" style="225" hidden="1" customWidth="1" outlineLevel="1"/>
    <col min="17" max="17" width="7" style="114" hidden="1" customWidth="1" outlineLevel="1"/>
    <col min="18" max="18" width="7" style="225" hidden="1" customWidth="1" outlineLevel="1"/>
    <col min="19" max="19" width="7" style="114" hidden="1" customWidth="1" outlineLevel="1"/>
    <col min="20" max="20" width="7" style="225" hidden="1" customWidth="1" outlineLevel="1"/>
    <col min="21" max="21" width="7" style="114" hidden="1" customWidth="1" outlineLevel="1"/>
    <col min="22" max="22" width="7" style="225" hidden="1" customWidth="1" outlineLevel="1"/>
    <col min="23" max="23" width="7" style="114" hidden="1" customWidth="1" outlineLevel="1"/>
    <col min="24" max="24" width="7" style="225" hidden="1" customWidth="1" outlineLevel="1"/>
    <col min="25" max="25" width="7" style="114" hidden="1" customWidth="1" outlineLevel="1"/>
    <col min="26" max="26" width="7" style="225" hidden="1" customWidth="1" outlineLevel="1"/>
    <col min="27" max="27" width="7" style="114" hidden="1" customWidth="1" outlineLevel="1"/>
    <col min="28" max="28" width="7" style="225" hidden="1" customWidth="1" outlineLevel="1"/>
    <col min="29" max="29" width="17.5703125" style="114" customWidth="1" collapsed="1"/>
    <col min="30" max="30" width="15.140625" style="225" customWidth="1"/>
    <col min="31" max="31" width="18.7109375" style="114" customWidth="1"/>
    <col min="32" max="32" width="5.85546875" style="114" customWidth="1"/>
    <col min="33" max="35" width="35.85546875" style="114" customWidth="1"/>
    <col min="36" max="38" width="26.5703125" style="114" customWidth="1"/>
    <col min="39" max="39" width="40.5703125" style="114" customWidth="1"/>
    <col min="40" max="42" width="26.5703125" style="114" customWidth="1"/>
    <col min="43" max="43" width="40.5703125" style="114" customWidth="1"/>
    <col min="44" max="46" width="26.5703125" style="114" customWidth="1"/>
    <col min="47" max="47" width="40.5703125" style="114" customWidth="1"/>
    <col min="48" max="50" width="26.5703125" style="114" customWidth="1"/>
    <col min="51" max="51" width="40.5703125" style="114" customWidth="1"/>
    <col min="52" max="57" width="26.5703125" style="114" customWidth="1"/>
    <col min="58" max="58" width="40.5703125" style="114" customWidth="1"/>
    <col min="59" max="61" width="26.5703125" style="114" customWidth="1"/>
    <col min="62" max="62" width="40.5703125" style="114" customWidth="1"/>
    <col min="63" max="65" width="26.5703125" style="114" customWidth="1"/>
    <col min="66" max="66" width="40.5703125" style="114" customWidth="1"/>
    <col min="67" max="72" width="26.5703125" style="114" customWidth="1"/>
    <col min="73" max="73" width="40.5703125" style="114" customWidth="1"/>
    <col min="74" max="76" width="26.5703125" style="114" customWidth="1"/>
    <col min="77" max="77" width="40.5703125" style="114" customWidth="1"/>
    <col min="78" max="80" width="26.5703125" style="114" customWidth="1"/>
    <col min="81" max="81" width="40.5703125" style="114" customWidth="1"/>
    <col min="82" max="87" width="26.5703125" style="114" customWidth="1"/>
    <col min="88" max="88" width="40.5703125" style="114" customWidth="1"/>
    <col min="89" max="91" width="26.5703125" style="114" customWidth="1"/>
    <col min="92" max="92" width="40.5703125" style="114" customWidth="1"/>
    <col min="93" max="95" width="26.5703125" style="114" customWidth="1"/>
    <col min="96" max="96" width="40.5703125" style="114" customWidth="1"/>
    <col min="97" max="102" width="26.5703125" style="114" customWidth="1"/>
    <col min="103" max="103" width="40.5703125" style="114" customWidth="1"/>
    <col min="104" max="106" width="26.5703125" style="114" customWidth="1"/>
    <col min="107" max="107" width="40.5703125" style="114" customWidth="1"/>
    <col min="108" max="110" width="26.5703125" style="114" customWidth="1"/>
    <col min="111" max="111" width="40.5703125" style="114" customWidth="1"/>
    <col min="112" max="114" width="26.5703125" style="114" customWidth="1"/>
    <col min="115" max="16384" width="9.140625" style="114"/>
  </cols>
  <sheetData>
    <row r="1" spans="1:31" s="250" customFormat="1" ht="15.75">
      <c r="A1" s="139"/>
      <c r="B1" s="249" t="s">
        <v>427</v>
      </c>
      <c r="C1" s="248">
        <f>курс</f>
        <v>87.3917</v>
      </c>
    </row>
    <row r="2" spans="1:31">
      <c r="A2" s="997" t="s">
        <v>188</v>
      </c>
      <c r="B2" s="999" t="s">
        <v>189</v>
      </c>
      <c r="C2" s="1001" t="s">
        <v>400</v>
      </c>
      <c r="D2" s="1001"/>
      <c r="E2" s="1000" t="str">
        <f>Калькулятор_жилье!G5</f>
        <v>паркинг</v>
      </c>
      <c r="F2" s="1000"/>
      <c r="G2" s="1000" t="str">
        <f>Калькулятор_жилье!H5</f>
        <v>Секция 1</v>
      </c>
      <c r="H2" s="1000"/>
      <c r="I2" s="1000" t="str">
        <f>Калькулятор_жилье!I5</f>
        <v>Секция 2</v>
      </c>
      <c r="J2" s="1000"/>
      <c r="K2" s="1000" t="str">
        <f>Калькулятор_жилье!J5</f>
        <v>Секция 3</v>
      </c>
      <c r="L2" s="1000"/>
      <c r="M2" s="1000" t="str">
        <f>Калькулятор_жилье!K5</f>
        <v>Таунхаусы</v>
      </c>
      <c r="N2" s="1000"/>
      <c r="O2" s="1000">
        <f>Калькулятор_жилье!L5</f>
        <v>0</v>
      </c>
      <c r="P2" s="1000"/>
      <c r="Q2" s="1000">
        <f>Калькулятор_жилье!M5</f>
        <v>0</v>
      </c>
      <c r="R2" s="1000"/>
      <c r="S2" s="1000">
        <f>Калькулятор_жилье!N5</f>
        <v>0</v>
      </c>
      <c r="T2" s="1000"/>
      <c r="U2" s="1000">
        <f>Калькулятор_жилье!O5</f>
        <v>0</v>
      </c>
      <c r="V2" s="1000"/>
      <c r="W2" s="1000">
        <f>Калькулятор_жилье!P5</f>
        <v>0</v>
      </c>
      <c r="X2" s="1000"/>
      <c r="Y2" s="1000">
        <f>Калькулятор_жилье!Q5</f>
        <v>0</v>
      </c>
      <c r="Z2" s="1000"/>
      <c r="AA2" s="1000">
        <f>Калькулятор_жилье!R5</f>
        <v>0</v>
      </c>
      <c r="AB2" s="1000"/>
      <c r="AC2" s="999" t="s">
        <v>190</v>
      </c>
      <c r="AD2" s="999"/>
    </row>
    <row r="3" spans="1:31" ht="38.25">
      <c r="A3" s="998"/>
      <c r="B3" s="999"/>
      <c r="C3" s="193" t="s">
        <v>190</v>
      </c>
      <c r="D3" s="224" t="s">
        <v>191</v>
      </c>
      <c r="E3" s="194" t="s">
        <v>190</v>
      </c>
      <c r="F3" s="226" t="s">
        <v>191</v>
      </c>
      <c r="G3" s="194" t="s">
        <v>190</v>
      </c>
      <c r="H3" s="226" t="s">
        <v>191</v>
      </c>
      <c r="I3" s="194" t="s">
        <v>190</v>
      </c>
      <c r="J3" s="226" t="s">
        <v>191</v>
      </c>
      <c r="K3" s="194" t="s">
        <v>190</v>
      </c>
      <c r="L3" s="226" t="s">
        <v>191</v>
      </c>
      <c r="M3" s="194" t="s">
        <v>190</v>
      </c>
      <c r="N3" s="226" t="s">
        <v>191</v>
      </c>
      <c r="O3" s="194" t="s">
        <v>190</v>
      </c>
      <c r="P3" s="226" t="s">
        <v>191</v>
      </c>
      <c r="Q3" s="194" t="s">
        <v>190</v>
      </c>
      <c r="R3" s="226" t="s">
        <v>191</v>
      </c>
      <c r="S3" s="194" t="s">
        <v>190</v>
      </c>
      <c r="T3" s="226" t="s">
        <v>191</v>
      </c>
      <c r="U3" s="194" t="s">
        <v>190</v>
      </c>
      <c r="V3" s="226" t="s">
        <v>191</v>
      </c>
      <c r="W3" s="194" t="s">
        <v>190</v>
      </c>
      <c r="X3" s="226" t="s">
        <v>191</v>
      </c>
      <c r="Y3" s="194" t="s">
        <v>190</v>
      </c>
      <c r="Z3" s="226" t="s">
        <v>191</v>
      </c>
      <c r="AA3" s="194" t="s">
        <v>190</v>
      </c>
      <c r="AB3" s="226" t="s">
        <v>191</v>
      </c>
      <c r="AC3" s="104" t="s">
        <v>190</v>
      </c>
      <c r="AD3" s="227" t="s">
        <v>191</v>
      </c>
      <c r="AE3" s="156" t="s">
        <v>373</v>
      </c>
    </row>
    <row r="4" spans="1:31">
      <c r="A4" s="115"/>
      <c r="B4" s="115" t="s">
        <v>192</v>
      </c>
      <c r="C4" s="649">
        <f>Калькулятор_жилье!F68</f>
        <v>161012.9236231884</v>
      </c>
      <c r="D4" s="650"/>
      <c r="E4" s="649">
        <f>Калькулятор_жилье!G58</f>
        <v>43043</v>
      </c>
      <c r="F4" s="650"/>
      <c r="G4" s="649">
        <f>Калькулятор_жилье!H56+Калькулятор_жилье!H69</f>
        <v>41744.834782608697</v>
      </c>
      <c r="H4" s="650"/>
      <c r="I4" s="649">
        <f>Калькулятор_жилье!I56+Калькулятор_жилье!I69</f>
        <v>29343.354057971006</v>
      </c>
      <c r="J4" s="650"/>
      <c r="K4" s="649">
        <f>Калькулятор_жилье!J56+Калькулятор_жилье!J69</f>
        <v>42574.934782608696</v>
      </c>
      <c r="L4" s="650"/>
      <c r="M4" s="649">
        <f>Калькулятор_жилье!K56+Калькулятор_жилье!K69</f>
        <v>4306.8</v>
      </c>
      <c r="N4" s="650"/>
      <c r="O4" s="649">
        <f>Калькулятор_жилье!L56+Калькулятор_жилье!L69</f>
        <v>0</v>
      </c>
      <c r="P4" s="650"/>
      <c r="Q4" s="649">
        <f>Калькулятор_жилье!M56+Калькулятор_жилье!M69</f>
        <v>0</v>
      </c>
      <c r="R4" s="650"/>
      <c r="S4" s="649">
        <f>Калькулятор_жилье!N56+Калькулятор_жилье!N69</f>
        <v>0</v>
      </c>
      <c r="T4" s="650"/>
      <c r="U4" s="649">
        <f>Калькулятор_жилье!O56+Калькулятор_жилье!O69</f>
        <v>0</v>
      </c>
      <c r="V4" s="650"/>
      <c r="W4" s="649">
        <f>Калькулятор_жилье!P56+Калькулятор_жилье!P69</f>
        <v>0</v>
      </c>
      <c r="X4" s="650"/>
      <c r="Y4" s="649">
        <f>Калькулятор_жилье!Q56+Калькулятор_жилье!Q69</f>
        <v>0</v>
      </c>
      <c r="Z4" s="650"/>
      <c r="AA4" s="649">
        <f>Калькулятор_жилье!R56+Калькулятор_жилье!R69</f>
        <v>0</v>
      </c>
      <c r="AB4" s="650"/>
      <c r="AC4" s="649">
        <f>C4</f>
        <v>161012.9236231884</v>
      </c>
      <c r="AD4" s="650"/>
      <c r="AE4" s="651">
        <f>AC5-Калькулятор_жилье!H660</f>
        <v>0</v>
      </c>
    </row>
    <row r="5" spans="1:31" s="556" customFormat="1" ht="15.75">
      <c r="A5" s="614" t="s">
        <v>193</v>
      </c>
      <c r="B5" s="613" t="s">
        <v>1616</v>
      </c>
      <c r="C5" s="652">
        <f>C6+C109+C569</f>
        <v>2379210194.3183064</v>
      </c>
      <c r="D5" s="653">
        <f>IF(C5=0,0,C5/C$4)</f>
        <v>14776.516945225276</v>
      </c>
      <c r="E5" s="652">
        <f>E6+E109+E569</f>
        <v>2901196690.8933907</v>
      </c>
      <c r="F5" s="653">
        <f>IF(E5=0,0,E5/E$4)</f>
        <v>67402.288197695118</v>
      </c>
      <c r="G5" s="652">
        <f>G6+G109+G569</f>
        <v>2848923052.0941415</v>
      </c>
      <c r="H5" s="653">
        <f>IF(G5=0,0,G5/G$4)</f>
        <v>68246.121153197862</v>
      </c>
      <c r="I5" s="652">
        <f>I6+I109+I569</f>
        <v>2044843703.5394013</v>
      </c>
      <c r="J5" s="653">
        <f>IF(I5=0,0,I5/I$4)</f>
        <v>69686.774712242812</v>
      </c>
      <c r="K5" s="652">
        <f>K6+K109+K569</f>
        <v>2904809764.1126356</v>
      </c>
      <c r="L5" s="653">
        <f>IF(K5=0,0,K5/K$4)</f>
        <v>68228.167088096452</v>
      </c>
      <c r="M5" s="652">
        <f>M6+M109+M569</f>
        <v>277901313.747908</v>
      </c>
      <c r="N5" s="653">
        <f>IF(M5=0,0,M5/M$4)</f>
        <v>64526.171112637683</v>
      </c>
      <c r="O5" s="652">
        <f>O6+O109+O569</f>
        <v>0</v>
      </c>
      <c r="P5" s="653">
        <f>IF(O5=0,0,O5/O$4)</f>
        <v>0</v>
      </c>
      <c r="Q5" s="652">
        <f>Q6+Q109+Q569</f>
        <v>0</v>
      </c>
      <c r="R5" s="653">
        <f>IF(Q5=0,0,Q5/Q$4)</f>
        <v>0</v>
      </c>
      <c r="S5" s="652">
        <f>S6+S109+S569</f>
        <v>0</v>
      </c>
      <c r="T5" s="653">
        <f>IF(S5=0,0,S5/S$4)</f>
        <v>0</v>
      </c>
      <c r="U5" s="652">
        <f>U6+U109+U569</f>
        <v>0</v>
      </c>
      <c r="V5" s="653">
        <f>IF(U5=0,0,U5/U$4)</f>
        <v>0</v>
      </c>
      <c r="W5" s="652">
        <f>W6+W109+W569</f>
        <v>0</v>
      </c>
      <c r="X5" s="653">
        <f>IF(W5=0,0,W5/W$4)</f>
        <v>0</v>
      </c>
      <c r="Y5" s="652">
        <f>Y6+Y109+Y569</f>
        <v>0</v>
      </c>
      <c r="Z5" s="653">
        <f>IF(Y5=0,0,Y5/Y$4)</f>
        <v>0</v>
      </c>
      <c r="AA5" s="652">
        <f>AA6+AA109+AA569</f>
        <v>0</v>
      </c>
      <c r="AB5" s="653">
        <f>IF(AA5=0,0,AA5/AA$4)</f>
        <v>0</v>
      </c>
      <c r="AC5" s="652">
        <f>AC6+AC109+AC569</f>
        <v>13356884718.705782</v>
      </c>
      <c r="AD5" s="653">
        <f>IF(AC5=0,0,AC5/AC$4)</f>
        <v>82955.35798085577</v>
      </c>
      <c r="AE5" s="654"/>
    </row>
    <row r="6" spans="1:31" s="556" customFormat="1" ht="15.75">
      <c r="A6" s="611" t="s">
        <v>1615</v>
      </c>
      <c r="B6" s="557" t="s">
        <v>1614</v>
      </c>
      <c r="C6" s="655">
        <f>C7</f>
        <v>723515538.00631022</v>
      </c>
      <c r="D6" s="656">
        <f t="shared" ref="D6:F69" si="0">IF(C6=0,0,C6/C$4)</f>
        <v>4493.5246297342101</v>
      </c>
      <c r="E6" s="655">
        <f t="shared" ref="E6" si="1">E7</f>
        <v>0</v>
      </c>
      <c r="F6" s="656">
        <f t="shared" si="0"/>
        <v>0</v>
      </c>
      <c r="G6" s="655">
        <f t="shared" ref="G6" si="2">G7</f>
        <v>0</v>
      </c>
      <c r="H6" s="656">
        <f t="shared" ref="H6" si="3">IF(G6=0,0,G6/G$4)</f>
        <v>0</v>
      </c>
      <c r="I6" s="655">
        <f t="shared" ref="I6" si="4">I7</f>
        <v>0</v>
      </c>
      <c r="J6" s="656">
        <f t="shared" ref="J6" si="5">IF(I6=0,0,I6/I$4)</f>
        <v>0</v>
      </c>
      <c r="K6" s="655">
        <f t="shared" ref="K6" si="6">K7</f>
        <v>0</v>
      </c>
      <c r="L6" s="656">
        <f t="shared" ref="L6" si="7">IF(K6=0,0,K6/K$4)</f>
        <v>0</v>
      </c>
      <c r="M6" s="655">
        <f t="shared" ref="M6" si="8">M7</f>
        <v>0</v>
      </c>
      <c r="N6" s="656">
        <f t="shared" ref="N6" si="9">IF(M6=0,0,M6/M$4)</f>
        <v>0</v>
      </c>
      <c r="O6" s="655">
        <f t="shared" ref="O6" si="10">O7</f>
        <v>0</v>
      </c>
      <c r="P6" s="656">
        <f t="shared" ref="P6" si="11">IF(O6=0,0,O6/O$4)</f>
        <v>0</v>
      </c>
      <c r="Q6" s="655">
        <f t="shared" ref="Q6" si="12">Q7</f>
        <v>0</v>
      </c>
      <c r="R6" s="656">
        <f t="shared" ref="R6" si="13">IF(Q6=0,0,Q6/Q$4)</f>
        <v>0</v>
      </c>
      <c r="S6" s="655">
        <f t="shared" ref="S6" si="14">S7</f>
        <v>0</v>
      </c>
      <c r="T6" s="656">
        <f t="shared" ref="T6" si="15">IF(S6=0,0,S6/S$4)</f>
        <v>0</v>
      </c>
      <c r="U6" s="655">
        <f t="shared" ref="U6" si="16">U7</f>
        <v>0</v>
      </c>
      <c r="V6" s="656">
        <f t="shared" ref="V6" si="17">IF(U6=0,0,U6/U$4)</f>
        <v>0</v>
      </c>
      <c r="W6" s="655">
        <f t="shared" ref="W6" si="18">W7</f>
        <v>0</v>
      </c>
      <c r="X6" s="656">
        <f t="shared" ref="X6" si="19">IF(W6=0,0,W6/W$4)</f>
        <v>0</v>
      </c>
      <c r="Y6" s="655">
        <f t="shared" ref="Y6" si="20">Y7</f>
        <v>0</v>
      </c>
      <c r="Z6" s="656">
        <f t="shared" ref="Z6" si="21">IF(Y6=0,0,Y6/Y$4)</f>
        <v>0</v>
      </c>
      <c r="AA6" s="655">
        <f t="shared" ref="AA6" si="22">AA7</f>
        <v>0</v>
      </c>
      <c r="AB6" s="656">
        <f t="shared" ref="AB6" si="23">IF(AA6=0,0,AA6/AA$4)</f>
        <v>0</v>
      </c>
      <c r="AC6" s="655">
        <f t="shared" ref="AC6" si="24">AC7</f>
        <v>723515538.00631022</v>
      </c>
      <c r="AD6" s="656">
        <f t="shared" ref="AD6" si="25">IF(AC6=0,0,AC6/AC$4)</f>
        <v>4493.5246297342101</v>
      </c>
      <c r="AE6" s="654"/>
    </row>
    <row r="7" spans="1:31" s="556" customFormat="1" ht="15.75" outlineLevel="1">
      <c r="A7" s="610" t="s">
        <v>1613</v>
      </c>
      <c r="B7" s="558" t="s">
        <v>26</v>
      </c>
      <c r="C7" s="657">
        <f>SUM(C8,C49,C80,C102)</f>
        <v>723515538.00631022</v>
      </c>
      <c r="D7" s="658">
        <f t="shared" si="0"/>
        <v>4493.5246297342101</v>
      </c>
      <c r="E7" s="657"/>
      <c r="F7" s="658">
        <f t="shared" si="0"/>
        <v>0</v>
      </c>
      <c r="G7" s="657"/>
      <c r="H7" s="658">
        <f t="shared" ref="H7" si="26">IF(G7=0,0,G7/G$4)</f>
        <v>0</v>
      </c>
      <c r="I7" s="657"/>
      <c r="J7" s="658">
        <f t="shared" ref="J7" si="27">IF(I7=0,0,I7/I$4)</f>
        <v>0</v>
      </c>
      <c r="K7" s="657"/>
      <c r="L7" s="658">
        <f t="shared" ref="L7" si="28">IF(K7=0,0,K7/K$4)</f>
        <v>0</v>
      </c>
      <c r="M7" s="657"/>
      <c r="N7" s="658">
        <f t="shared" ref="N7" si="29">IF(M7=0,0,M7/M$4)</f>
        <v>0</v>
      </c>
      <c r="O7" s="657"/>
      <c r="P7" s="658">
        <f t="shared" ref="P7" si="30">IF(O7=0,0,O7/O$4)</f>
        <v>0</v>
      </c>
      <c r="Q7" s="657"/>
      <c r="R7" s="658">
        <f t="shared" ref="R7" si="31">IF(Q7=0,0,Q7/Q$4)</f>
        <v>0</v>
      </c>
      <c r="S7" s="657"/>
      <c r="T7" s="658">
        <f t="shared" ref="T7" si="32">IF(S7=0,0,S7/S$4)</f>
        <v>0</v>
      </c>
      <c r="U7" s="657"/>
      <c r="V7" s="658">
        <f t="shared" ref="V7" si="33">IF(U7=0,0,U7/U$4)</f>
        <v>0</v>
      </c>
      <c r="W7" s="657"/>
      <c r="X7" s="658">
        <f t="shared" ref="X7" si="34">IF(W7=0,0,W7/W$4)</f>
        <v>0</v>
      </c>
      <c r="Y7" s="657"/>
      <c r="Z7" s="658">
        <f t="shared" ref="Z7" si="35">IF(Y7=0,0,Y7/Y$4)</f>
        <v>0</v>
      </c>
      <c r="AA7" s="657"/>
      <c r="AB7" s="658">
        <f t="shared" ref="AB7" si="36">IF(AA7=0,0,AA7/AA$4)</f>
        <v>0</v>
      </c>
      <c r="AC7" s="657">
        <f>SUM(AC8,AC49,AC80,AC102)</f>
        <v>723515538.00631022</v>
      </c>
      <c r="AD7" s="658">
        <f t="shared" ref="AD7" si="37">IF(AC7=0,0,AC7/AC$4)</f>
        <v>4493.5246297342101</v>
      </c>
      <c r="AE7" s="654"/>
    </row>
    <row r="8" spans="1:31" s="556" customFormat="1" ht="15.75" outlineLevel="1">
      <c r="A8" s="609" t="s">
        <v>1612</v>
      </c>
      <c r="B8" s="559" t="s">
        <v>405</v>
      </c>
      <c r="C8" s="659">
        <f>SUM(C9:C24,C45,C40,C32,C47:C48)</f>
        <v>307973373.95119989</v>
      </c>
      <c r="D8" s="660">
        <f t="shared" si="0"/>
        <v>1912.7245628551948</v>
      </c>
      <c r="E8" s="659"/>
      <c r="F8" s="660">
        <f t="shared" si="0"/>
        <v>0</v>
      </c>
      <c r="G8" s="659"/>
      <c r="H8" s="660">
        <f t="shared" ref="H8" si="38">IF(G8=0,0,G8/G$4)</f>
        <v>0</v>
      </c>
      <c r="I8" s="659"/>
      <c r="J8" s="660">
        <f t="shared" ref="J8" si="39">IF(I8=0,0,I8/I$4)</f>
        <v>0</v>
      </c>
      <c r="K8" s="659"/>
      <c r="L8" s="660">
        <f t="shared" ref="L8" si="40">IF(K8=0,0,K8/K$4)</f>
        <v>0</v>
      </c>
      <c r="M8" s="659"/>
      <c r="N8" s="660">
        <f t="shared" ref="N8" si="41">IF(M8=0,0,M8/M$4)</f>
        <v>0</v>
      </c>
      <c r="O8" s="659"/>
      <c r="P8" s="660">
        <f t="shared" ref="P8" si="42">IF(O8=0,0,O8/O$4)</f>
        <v>0</v>
      </c>
      <c r="Q8" s="659"/>
      <c r="R8" s="660">
        <f t="shared" ref="R8" si="43">IF(Q8=0,0,Q8/Q$4)</f>
        <v>0</v>
      </c>
      <c r="S8" s="659"/>
      <c r="T8" s="660">
        <f t="shared" ref="T8" si="44">IF(S8=0,0,S8/S$4)</f>
        <v>0</v>
      </c>
      <c r="U8" s="659"/>
      <c r="V8" s="660">
        <f t="shared" ref="V8" si="45">IF(U8=0,0,U8/U$4)</f>
        <v>0</v>
      </c>
      <c r="W8" s="659"/>
      <c r="X8" s="660">
        <f t="shared" ref="X8" si="46">IF(W8=0,0,W8/W$4)</f>
        <v>0</v>
      </c>
      <c r="Y8" s="659"/>
      <c r="Z8" s="660">
        <f t="shared" ref="Z8" si="47">IF(Y8=0,0,Y8/Y$4)</f>
        <v>0</v>
      </c>
      <c r="AA8" s="659"/>
      <c r="AB8" s="660">
        <f t="shared" ref="AB8" si="48">IF(AA8=0,0,AA8/AA$4)</f>
        <v>0</v>
      </c>
      <c r="AC8" s="659">
        <f>SUM(AC9:AC24,AC45,AC40,AC32,AC47:AC48)</f>
        <v>307973373.95119989</v>
      </c>
      <c r="AD8" s="660">
        <f t="shared" ref="AD8" si="49">IF(AC8=0,0,AC8/AC$4)</f>
        <v>1912.7245628551948</v>
      </c>
      <c r="AE8" s="654"/>
    </row>
    <row r="9" spans="1:31" s="556" customFormat="1" ht="15.75" outlineLevel="2">
      <c r="A9" s="612" t="s">
        <v>1716</v>
      </c>
      <c r="B9" s="560" t="s">
        <v>1623</v>
      </c>
      <c r="C9" s="661">
        <f>Калькулятор_жилье!K602</f>
        <v>45589754.263687074</v>
      </c>
      <c r="D9" s="662">
        <f t="shared" si="0"/>
        <v>283.14344735692652</v>
      </c>
      <c r="E9" s="661"/>
      <c r="F9" s="662">
        <f t="shared" si="0"/>
        <v>0</v>
      </c>
      <c r="G9" s="661"/>
      <c r="H9" s="662">
        <f t="shared" ref="H9" si="50">IF(G9=0,0,G9/G$4)</f>
        <v>0</v>
      </c>
      <c r="I9" s="661"/>
      <c r="J9" s="662">
        <f t="shared" ref="J9" si="51">IF(I9=0,0,I9/I$4)</f>
        <v>0</v>
      </c>
      <c r="K9" s="661"/>
      <c r="L9" s="662">
        <f t="shared" ref="L9" si="52">IF(K9=0,0,K9/K$4)</f>
        <v>0</v>
      </c>
      <c r="M9" s="661"/>
      <c r="N9" s="662">
        <f t="shared" ref="N9" si="53">IF(M9=0,0,M9/M$4)</f>
        <v>0</v>
      </c>
      <c r="O9" s="661"/>
      <c r="P9" s="662">
        <f t="shared" ref="P9" si="54">IF(O9=0,0,O9/O$4)</f>
        <v>0</v>
      </c>
      <c r="Q9" s="661"/>
      <c r="R9" s="662">
        <f t="shared" ref="R9" si="55">IF(Q9=0,0,Q9/Q$4)</f>
        <v>0</v>
      </c>
      <c r="S9" s="661"/>
      <c r="T9" s="662">
        <f t="shared" ref="T9" si="56">IF(S9=0,0,S9/S$4)</f>
        <v>0</v>
      </c>
      <c r="U9" s="661"/>
      <c r="V9" s="662">
        <f t="shared" ref="V9" si="57">IF(U9=0,0,U9/U$4)</f>
        <v>0</v>
      </c>
      <c r="W9" s="661"/>
      <c r="X9" s="662">
        <f t="shared" ref="X9" si="58">IF(W9=0,0,W9/W$4)</f>
        <v>0</v>
      </c>
      <c r="Y9" s="661"/>
      <c r="Z9" s="662">
        <f t="shared" ref="Z9" si="59">IF(Y9=0,0,Y9/Y$4)</f>
        <v>0</v>
      </c>
      <c r="AA9" s="661"/>
      <c r="AB9" s="662">
        <f t="shared" ref="AB9" si="60">IF(AA9=0,0,AA9/AA$4)</f>
        <v>0</v>
      </c>
      <c r="AC9" s="661">
        <f>C9+E9+G9+I9+K9+M9+O9+Q9+S9+U9+W9+AA9+Y9</f>
        <v>45589754.263687074</v>
      </c>
      <c r="AD9" s="662">
        <f t="shared" ref="AD9" si="61">IF(AC9=0,0,AC9/AC$4)</f>
        <v>283.14344735692652</v>
      </c>
      <c r="AE9" s="654"/>
    </row>
    <row r="10" spans="1:31" s="556" customFormat="1" ht="15.75" outlineLevel="2">
      <c r="A10" s="612" t="s">
        <v>1717</v>
      </c>
      <c r="B10" s="560" t="s">
        <v>1624</v>
      </c>
      <c r="C10" s="661"/>
      <c r="D10" s="662">
        <f t="shared" si="0"/>
        <v>0</v>
      </c>
      <c r="E10" s="661"/>
      <c r="F10" s="662">
        <f t="shared" si="0"/>
        <v>0</v>
      </c>
      <c r="G10" s="661"/>
      <c r="H10" s="662">
        <f t="shared" ref="H10" si="62">IF(G10=0,0,G10/G$4)</f>
        <v>0</v>
      </c>
      <c r="I10" s="661"/>
      <c r="J10" s="662">
        <f t="shared" ref="J10" si="63">IF(I10=0,0,I10/I$4)</f>
        <v>0</v>
      </c>
      <c r="K10" s="661"/>
      <c r="L10" s="662">
        <f t="shared" ref="L10" si="64">IF(K10=0,0,K10/K$4)</f>
        <v>0</v>
      </c>
      <c r="M10" s="661"/>
      <c r="N10" s="662">
        <f t="shared" ref="N10" si="65">IF(M10=0,0,M10/M$4)</f>
        <v>0</v>
      </c>
      <c r="O10" s="661"/>
      <c r="P10" s="662">
        <f t="shared" ref="P10" si="66">IF(O10=0,0,O10/O$4)</f>
        <v>0</v>
      </c>
      <c r="Q10" s="661"/>
      <c r="R10" s="662">
        <f t="shared" ref="R10" si="67">IF(Q10=0,0,Q10/Q$4)</f>
        <v>0</v>
      </c>
      <c r="S10" s="661"/>
      <c r="T10" s="662">
        <f t="shared" ref="T10" si="68">IF(S10=0,0,S10/S$4)</f>
        <v>0</v>
      </c>
      <c r="U10" s="661"/>
      <c r="V10" s="662">
        <f t="shared" ref="V10" si="69">IF(U10=0,0,U10/U$4)</f>
        <v>0</v>
      </c>
      <c r="W10" s="661"/>
      <c r="X10" s="662">
        <f t="shared" ref="X10" si="70">IF(W10=0,0,W10/W$4)</f>
        <v>0</v>
      </c>
      <c r="Y10" s="661"/>
      <c r="Z10" s="662">
        <f t="shared" ref="Z10" si="71">IF(Y10=0,0,Y10/Y$4)</f>
        <v>0</v>
      </c>
      <c r="AA10" s="661"/>
      <c r="AB10" s="662">
        <f t="shared" ref="AB10" si="72">IF(AA10=0,0,AA10/AA$4)</f>
        <v>0</v>
      </c>
      <c r="AC10" s="661"/>
      <c r="AD10" s="662">
        <f t="shared" ref="AD10" si="73">IF(AC10=0,0,AC10/AC$4)</f>
        <v>0</v>
      </c>
      <c r="AE10" s="654"/>
    </row>
    <row r="11" spans="1:31" s="556" customFormat="1" ht="15.75" outlineLevel="2">
      <c r="A11" s="612" t="s">
        <v>1718</v>
      </c>
      <c r="B11" s="560" t="s">
        <v>1625</v>
      </c>
      <c r="C11" s="661"/>
      <c r="D11" s="662">
        <f t="shared" si="0"/>
        <v>0</v>
      </c>
      <c r="E11" s="661"/>
      <c r="F11" s="662">
        <f t="shared" si="0"/>
        <v>0</v>
      </c>
      <c r="G11" s="661"/>
      <c r="H11" s="662">
        <f t="shared" ref="H11" si="74">IF(G11=0,0,G11/G$4)</f>
        <v>0</v>
      </c>
      <c r="I11" s="661"/>
      <c r="J11" s="662">
        <f t="shared" ref="J11" si="75">IF(I11=0,0,I11/I$4)</f>
        <v>0</v>
      </c>
      <c r="K11" s="661"/>
      <c r="L11" s="662">
        <f t="shared" ref="L11" si="76">IF(K11=0,0,K11/K$4)</f>
        <v>0</v>
      </c>
      <c r="M11" s="661"/>
      <c r="N11" s="662">
        <f t="shared" ref="N11" si="77">IF(M11=0,0,M11/M$4)</f>
        <v>0</v>
      </c>
      <c r="O11" s="661"/>
      <c r="P11" s="662">
        <f t="shared" ref="P11" si="78">IF(O11=0,0,O11/O$4)</f>
        <v>0</v>
      </c>
      <c r="Q11" s="661"/>
      <c r="R11" s="662">
        <f t="shared" ref="R11" si="79">IF(Q11=0,0,Q11/Q$4)</f>
        <v>0</v>
      </c>
      <c r="S11" s="661"/>
      <c r="T11" s="662">
        <f t="shared" ref="T11" si="80">IF(S11=0,0,S11/S$4)</f>
        <v>0</v>
      </c>
      <c r="U11" s="661"/>
      <c r="V11" s="662">
        <f t="shared" ref="V11" si="81">IF(U11=0,0,U11/U$4)</f>
        <v>0</v>
      </c>
      <c r="W11" s="661"/>
      <c r="X11" s="662">
        <f t="shared" ref="X11" si="82">IF(W11=0,0,W11/W$4)</f>
        <v>0</v>
      </c>
      <c r="Y11" s="661"/>
      <c r="Z11" s="662">
        <f t="shared" ref="Z11" si="83">IF(Y11=0,0,Y11/Y$4)</f>
        <v>0</v>
      </c>
      <c r="AA11" s="661"/>
      <c r="AB11" s="662">
        <f t="shared" ref="AB11" si="84">IF(AA11=0,0,AA11/AA$4)</f>
        <v>0</v>
      </c>
      <c r="AC11" s="661"/>
      <c r="AD11" s="662">
        <f t="shared" ref="AD11" si="85">IF(AC11=0,0,AC11/AC$4)</f>
        <v>0</v>
      </c>
      <c r="AE11" s="654"/>
    </row>
    <row r="12" spans="1:31" s="556" customFormat="1" ht="15.75" outlineLevel="2">
      <c r="A12" s="612" t="s">
        <v>1719</v>
      </c>
      <c r="B12" s="560" t="s">
        <v>1626</v>
      </c>
      <c r="C12" s="661"/>
      <c r="D12" s="662">
        <f t="shared" si="0"/>
        <v>0</v>
      </c>
      <c r="E12" s="661"/>
      <c r="F12" s="662">
        <f t="shared" si="0"/>
        <v>0</v>
      </c>
      <c r="G12" s="661"/>
      <c r="H12" s="662">
        <f t="shared" ref="H12" si="86">IF(G12=0,0,G12/G$4)</f>
        <v>0</v>
      </c>
      <c r="I12" s="661"/>
      <c r="J12" s="662">
        <f t="shared" ref="J12" si="87">IF(I12=0,0,I12/I$4)</f>
        <v>0</v>
      </c>
      <c r="K12" s="661"/>
      <c r="L12" s="662">
        <f t="shared" ref="L12" si="88">IF(K12=0,0,K12/K$4)</f>
        <v>0</v>
      </c>
      <c r="M12" s="661"/>
      <c r="N12" s="662">
        <f t="shared" ref="N12" si="89">IF(M12=0,0,M12/M$4)</f>
        <v>0</v>
      </c>
      <c r="O12" s="661"/>
      <c r="P12" s="662">
        <f t="shared" ref="P12" si="90">IF(O12=0,0,O12/O$4)</f>
        <v>0</v>
      </c>
      <c r="Q12" s="661"/>
      <c r="R12" s="662">
        <f t="shared" ref="R12" si="91">IF(Q12=0,0,Q12/Q$4)</f>
        <v>0</v>
      </c>
      <c r="S12" s="661"/>
      <c r="T12" s="662">
        <f t="shared" ref="T12" si="92">IF(S12=0,0,S12/S$4)</f>
        <v>0</v>
      </c>
      <c r="U12" s="661"/>
      <c r="V12" s="662">
        <f t="shared" ref="V12" si="93">IF(U12=0,0,U12/U$4)</f>
        <v>0</v>
      </c>
      <c r="W12" s="661"/>
      <c r="X12" s="662">
        <f t="shared" ref="X12" si="94">IF(W12=0,0,W12/W$4)</f>
        <v>0</v>
      </c>
      <c r="Y12" s="661"/>
      <c r="Z12" s="662">
        <f t="shared" ref="Z12" si="95">IF(Y12=0,0,Y12/Y$4)</f>
        <v>0</v>
      </c>
      <c r="AA12" s="661"/>
      <c r="AB12" s="662">
        <f t="shared" ref="AB12" si="96">IF(AA12=0,0,AA12/AA$4)</f>
        <v>0</v>
      </c>
      <c r="AC12" s="661"/>
      <c r="AD12" s="662">
        <f t="shared" ref="AD12" si="97">IF(AC12=0,0,AC12/AC$4)</f>
        <v>0</v>
      </c>
      <c r="AE12" s="654"/>
    </row>
    <row r="13" spans="1:31" s="556" customFormat="1" ht="15.75" outlineLevel="2">
      <c r="A13" s="612" t="s">
        <v>1720</v>
      </c>
      <c r="B13" s="560" t="s">
        <v>1627</v>
      </c>
      <c r="C13" s="661"/>
      <c r="D13" s="662">
        <f t="shared" si="0"/>
        <v>0</v>
      </c>
      <c r="E13" s="661"/>
      <c r="F13" s="662">
        <f t="shared" si="0"/>
        <v>0</v>
      </c>
      <c r="G13" s="661"/>
      <c r="H13" s="662">
        <f t="shared" ref="H13" si="98">IF(G13=0,0,G13/G$4)</f>
        <v>0</v>
      </c>
      <c r="I13" s="661"/>
      <c r="J13" s="662">
        <f t="shared" ref="J13" si="99">IF(I13=0,0,I13/I$4)</f>
        <v>0</v>
      </c>
      <c r="K13" s="661"/>
      <c r="L13" s="662">
        <f t="shared" ref="L13" si="100">IF(K13=0,0,K13/K$4)</f>
        <v>0</v>
      </c>
      <c r="M13" s="661"/>
      <c r="N13" s="662">
        <f t="shared" ref="N13" si="101">IF(M13=0,0,M13/M$4)</f>
        <v>0</v>
      </c>
      <c r="O13" s="661"/>
      <c r="P13" s="662">
        <f t="shared" ref="P13" si="102">IF(O13=0,0,O13/O$4)</f>
        <v>0</v>
      </c>
      <c r="Q13" s="661"/>
      <c r="R13" s="662">
        <f t="shared" ref="R13" si="103">IF(Q13=0,0,Q13/Q$4)</f>
        <v>0</v>
      </c>
      <c r="S13" s="661"/>
      <c r="T13" s="662">
        <f t="shared" ref="T13" si="104">IF(S13=0,0,S13/S$4)</f>
        <v>0</v>
      </c>
      <c r="U13" s="661"/>
      <c r="V13" s="662">
        <f t="shared" ref="V13" si="105">IF(U13=0,0,U13/U$4)</f>
        <v>0</v>
      </c>
      <c r="W13" s="661"/>
      <c r="X13" s="662">
        <f t="shared" ref="X13" si="106">IF(W13=0,0,W13/W$4)</f>
        <v>0</v>
      </c>
      <c r="Y13" s="661"/>
      <c r="Z13" s="662">
        <f t="shared" ref="Z13" si="107">IF(Y13=0,0,Y13/Y$4)</f>
        <v>0</v>
      </c>
      <c r="AA13" s="661"/>
      <c r="AB13" s="662">
        <f t="shared" ref="AB13" si="108">IF(AA13=0,0,AA13/AA$4)</f>
        <v>0</v>
      </c>
      <c r="AC13" s="661"/>
      <c r="AD13" s="662">
        <f t="shared" ref="AD13" si="109">IF(AC13=0,0,AC13/AC$4)</f>
        <v>0</v>
      </c>
      <c r="AE13" s="654"/>
    </row>
    <row r="14" spans="1:31" s="556" customFormat="1" ht="31.5" outlineLevel="2">
      <c r="A14" s="612" t="s">
        <v>1721</v>
      </c>
      <c r="B14" s="560" t="s">
        <v>1628</v>
      </c>
      <c r="C14" s="661"/>
      <c r="D14" s="662">
        <f t="shared" si="0"/>
        <v>0</v>
      </c>
      <c r="E14" s="661"/>
      <c r="F14" s="662">
        <f t="shared" si="0"/>
        <v>0</v>
      </c>
      <c r="G14" s="661"/>
      <c r="H14" s="662">
        <f t="shared" ref="H14" si="110">IF(G14=0,0,G14/G$4)</f>
        <v>0</v>
      </c>
      <c r="I14" s="661"/>
      <c r="J14" s="662">
        <f t="shared" ref="J14" si="111">IF(I14=0,0,I14/I$4)</f>
        <v>0</v>
      </c>
      <c r="K14" s="661"/>
      <c r="L14" s="662">
        <f t="shared" ref="L14" si="112">IF(K14=0,0,K14/K$4)</f>
        <v>0</v>
      </c>
      <c r="M14" s="661"/>
      <c r="N14" s="662">
        <f t="shared" ref="N14" si="113">IF(M14=0,0,M14/M$4)</f>
        <v>0</v>
      </c>
      <c r="O14" s="661"/>
      <c r="P14" s="662">
        <f t="shared" ref="P14" si="114">IF(O14=0,0,O14/O$4)</f>
        <v>0</v>
      </c>
      <c r="Q14" s="661"/>
      <c r="R14" s="662">
        <f t="shared" ref="R14" si="115">IF(Q14=0,0,Q14/Q$4)</f>
        <v>0</v>
      </c>
      <c r="S14" s="661"/>
      <c r="T14" s="662">
        <f t="shared" ref="T14" si="116">IF(S14=0,0,S14/S$4)</f>
        <v>0</v>
      </c>
      <c r="U14" s="661"/>
      <c r="V14" s="662">
        <f t="shared" ref="V14" si="117">IF(U14=0,0,U14/U$4)</f>
        <v>0</v>
      </c>
      <c r="W14" s="661"/>
      <c r="X14" s="662">
        <f t="shared" ref="X14" si="118">IF(W14=0,0,W14/W$4)</f>
        <v>0</v>
      </c>
      <c r="Y14" s="661"/>
      <c r="Z14" s="662">
        <f t="shared" ref="Z14" si="119">IF(Y14=0,0,Y14/Y$4)</f>
        <v>0</v>
      </c>
      <c r="AA14" s="661"/>
      <c r="AB14" s="662">
        <f t="shared" ref="AB14" si="120">IF(AA14=0,0,AA14/AA$4)</f>
        <v>0</v>
      </c>
      <c r="AC14" s="661"/>
      <c r="AD14" s="662">
        <f t="shared" ref="AD14" si="121">IF(AC14=0,0,AC14/AC$4)</f>
        <v>0</v>
      </c>
      <c r="AE14" s="654"/>
    </row>
    <row r="15" spans="1:31" s="556" customFormat="1" ht="15.75" outlineLevel="2">
      <c r="A15" s="612" t="s">
        <v>1722</v>
      </c>
      <c r="B15" s="560" t="s">
        <v>1629</v>
      </c>
      <c r="C15" s="661"/>
      <c r="D15" s="662">
        <f t="shared" si="0"/>
        <v>0</v>
      </c>
      <c r="E15" s="661"/>
      <c r="F15" s="662">
        <f t="shared" si="0"/>
        <v>0</v>
      </c>
      <c r="G15" s="661"/>
      <c r="H15" s="662">
        <f t="shared" ref="H15" si="122">IF(G15=0,0,G15/G$4)</f>
        <v>0</v>
      </c>
      <c r="I15" s="661"/>
      <c r="J15" s="662">
        <f t="shared" ref="J15" si="123">IF(I15=0,0,I15/I$4)</f>
        <v>0</v>
      </c>
      <c r="K15" s="661"/>
      <c r="L15" s="662">
        <f t="shared" ref="L15" si="124">IF(K15=0,0,K15/K$4)</f>
        <v>0</v>
      </c>
      <c r="M15" s="661"/>
      <c r="N15" s="662">
        <f t="shared" ref="N15" si="125">IF(M15=0,0,M15/M$4)</f>
        <v>0</v>
      </c>
      <c r="O15" s="661"/>
      <c r="P15" s="662">
        <f t="shared" ref="P15" si="126">IF(O15=0,0,O15/O$4)</f>
        <v>0</v>
      </c>
      <c r="Q15" s="661"/>
      <c r="R15" s="662">
        <f t="shared" ref="R15" si="127">IF(Q15=0,0,Q15/Q$4)</f>
        <v>0</v>
      </c>
      <c r="S15" s="661"/>
      <c r="T15" s="662">
        <f t="shared" ref="T15" si="128">IF(S15=0,0,S15/S$4)</f>
        <v>0</v>
      </c>
      <c r="U15" s="661"/>
      <c r="V15" s="662">
        <f t="shared" ref="V15" si="129">IF(U15=0,0,U15/U$4)</f>
        <v>0</v>
      </c>
      <c r="W15" s="661"/>
      <c r="X15" s="662">
        <f t="shared" ref="X15" si="130">IF(W15=0,0,W15/W$4)</f>
        <v>0</v>
      </c>
      <c r="Y15" s="661"/>
      <c r="Z15" s="662">
        <f t="shared" ref="Z15" si="131">IF(Y15=0,0,Y15/Y$4)</f>
        <v>0</v>
      </c>
      <c r="AA15" s="661"/>
      <c r="AB15" s="662">
        <f t="shared" ref="AB15" si="132">IF(AA15=0,0,AA15/AA$4)</f>
        <v>0</v>
      </c>
      <c r="AC15" s="661"/>
      <c r="AD15" s="662">
        <f t="shared" ref="AD15" si="133">IF(AC15=0,0,AC15/AC$4)</f>
        <v>0</v>
      </c>
      <c r="AE15" s="654"/>
    </row>
    <row r="16" spans="1:31" s="556" customFormat="1" ht="15.75" outlineLevel="2">
      <c r="A16" s="612" t="s">
        <v>1723</v>
      </c>
      <c r="B16" s="560" t="s">
        <v>1630</v>
      </c>
      <c r="C16" s="661"/>
      <c r="D16" s="662">
        <f t="shared" si="0"/>
        <v>0</v>
      </c>
      <c r="E16" s="661"/>
      <c r="F16" s="662">
        <f t="shared" si="0"/>
        <v>0</v>
      </c>
      <c r="G16" s="661"/>
      <c r="H16" s="662">
        <f t="shared" ref="H16" si="134">IF(G16=0,0,G16/G$4)</f>
        <v>0</v>
      </c>
      <c r="I16" s="661"/>
      <c r="J16" s="662">
        <f t="shared" ref="J16" si="135">IF(I16=0,0,I16/I$4)</f>
        <v>0</v>
      </c>
      <c r="K16" s="661"/>
      <c r="L16" s="662">
        <f t="shared" ref="L16" si="136">IF(K16=0,0,K16/K$4)</f>
        <v>0</v>
      </c>
      <c r="M16" s="661"/>
      <c r="N16" s="662">
        <f t="shared" ref="N16" si="137">IF(M16=0,0,M16/M$4)</f>
        <v>0</v>
      </c>
      <c r="O16" s="661"/>
      <c r="P16" s="662">
        <f t="shared" ref="P16" si="138">IF(O16=0,0,O16/O$4)</f>
        <v>0</v>
      </c>
      <c r="Q16" s="661"/>
      <c r="R16" s="662">
        <f t="shared" ref="R16" si="139">IF(Q16=0,0,Q16/Q$4)</f>
        <v>0</v>
      </c>
      <c r="S16" s="661"/>
      <c r="T16" s="662">
        <f t="shared" ref="T16" si="140">IF(S16=0,0,S16/S$4)</f>
        <v>0</v>
      </c>
      <c r="U16" s="661"/>
      <c r="V16" s="662">
        <f t="shared" ref="V16" si="141">IF(U16=0,0,U16/U$4)</f>
        <v>0</v>
      </c>
      <c r="W16" s="661"/>
      <c r="X16" s="662">
        <f t="shared" ref="X16" si="142">IF(W16=0,0,W16/W$4)</f>
        <v>0</v>
      </c>
      <c r="Y16" s="661"/>
      <c r="Z16" s="662">
        <f t="shared" ref="Z16" si="143">IF(Y16=0,0,Y16/Y$4)</f>
        <v>0</v>
      </c>
      <c r="AA16" s="661"/>
      <c r="AB16" s="662">
        <f t="shared" ref="AB16" si="144">IF(AA16=0,0,AA16/AA$4)</f>
        <v>0</v>
      </c>
      <c r="AC16" s="661"/>
      <c r="AD16" s="662">
        <f t="shared" ref="AD16" si="145">IF(AC16=0,0,AC16/AC$4)</f>
        <v>0</v>
      </c>
      <c r="AE16" s="654"/>
    </row>
    <row r="17" spans="1:31" s="556" customFormat="1" ht="31.5" outlineLevel="2">
      <c r="A17" s="612" t="s">
        <v>1724</v>
      </c>
      <c r="B17" s="560" t="s">
        <v>1631</v>
      </c>
      <c r="C17" s="661"/>
      <c r="D17" s="662">
        <f t="shared" si="0"/>
        <v>0</v>
      </c>
      <c r="E17" s="661"/>
      <c r="F17" s="662">
        <f t="shared" si="0"/>
        <v>0</v>
      </c>
      <c r="G17" s="661"/>
      <c r="H17" s="662">
        <f t="shared" ref="H17" si="146">IF(G17=0,0,G17/G$4)</f>
        <v>0</v>
      </c>
      <c r="I17" s="661"/>
      <c r="J17" s="662">
        <f t="shared" ref="J17" si="147">IF(I17=0,0,I17/I$4)</f>
        <v>0</v>
      </c>
      <c r="K17" s="661"/>
      <c r="L17" s="662">
        <f t="shared" ref="L17" si="148">IF(K17=0,0,K17/K$4)</f>
        <v>0</v>
      </c>
      <c r="M17" s="661"/>
      <c r="N17" s="662">
        <f t="shared" ref="N17" si="149">IF(M17=0,0,M17/M$4)</f>
        <v>0</v>
      </c>
      <c r="O17" s="661"/>
      <c r="P17" s="662">
        <f t="shared" ref="P17" si="150">IF(O17=0,0,O17/O$4)</f>
        <v>0</v>
      </c>
      <c r="Q17" s="661"/>
      <c r="R17" s="662">
        <f t="shared" ref="R17" si="151">IF(Q17=0,0,Q17/Q$4)</f>
        <v>0</v>
      </c>
      <c r="S17" s="661"/>
      <c r="T17" s="662">
        <f t="shared" ref="T17" si="152">IF(S17=0,0,S17/S$4)</f>
        <v>0</v>
      </c>
      <c r="U17" s="661"/>
      <c r="V17" s="662">
        <f t="shared" ref="V17" si="153">IF(U17=0,0,U17/U$4)</f>
        <v>0</v>
      </c>
      <c r="W17" s="661"/>
      <c r="X17" s="662">
        <f t="shared" ref="X17" si="154">IF(W17=0,0,W17/W$4)</f>
        <v>0</v>
      </c>
      <c r="Y17" s="661"/>
      <c r="Z17" s="662">
        <f t="shared" ref="Z17" si="155">IF(Y17=0,0,Y17/Y$4)</f>
        <v>0</v>
      </c>
      <c r="AA17" s="661"/>
      <c r="AB17" s="662">
        <f t="shared" ref="AB17" si="156">IF(AA17=0,0,AA17/AA$4)</f>
        <v>0</v>
      </c>
      <c r="AC17" s="661"/>
      <c r="AD17" s="662">
        <f t="shared" ref="AD17" si="157">IF(AC17=0,0,AC17/AC$4)</f>
        <v>0</v>
      </c>
      <c r="AE17" s="654"/>
    </row>
    <row r="18" spans="1:31" s="556" customFormat="1" ht="15.75" outlineLevel="2">
      <c r="A18" s="612" t="s">
        <v>1725</v>
      </c>
      <c r="B18" s="560" t="s">
        <v>1632</v>
      </c>
      <c r="C18" s="661"/>
      <c r="D18" s="662">
        <f t="shared" si="0"/>
        <v>0</v>
      </c>
      <c r="E18" s="661"/>
      <c r="F18" s="662">
        <f t="shared" si="0"/>
        <v>0</v>
      </c>
      <c r="G18" s="661"/>
      <c r="H18" s="662">
        <f t="shared" ref="H18" si="158">IF(G18=0,0,G18/G$4)</f>
        <v>0</v>
      </c>
      <c r="I18" s="661"/>
      <c r="J18" s="662">
        <f t="shared" ref="J18" si="159">IF(I18=0,0,I18/I$4)</f>
        <v>0</v>
      </c>
      <c r="K18" s="661"/>
      <c r="L18" s="662">
        <f t="shared" ref="L18" si="160">IF(K18=0,0,K18/K$4)</f>
        <v>0</v>
      </c>
      <c r="M18" s="661"/>
      <c r="N18" s="662">
        <f t="shared" ref="N18" si="161">IF(M18=0,0,M18/M$4)</f>
        <v>0</v>
      </c>
      <c r="O18" s="661"/>
      <c r="P18" s="662">
        <f t="shared" ref="P18" si="162">IF(O18=0,0,O18/O$4)</f>
        <v>0</v>
      </c>
      <c r="Q18" s="661"/>
      <c r="R18" s="662">
        <f t="shared" ref="R18" si="163">IF(Q18=0,0,Q18/Q$4)</f>
        <v>0</v>
      </c>
      <c r="S18" s="661"/>
      <c r="T18" s="662">
        <f t="shared" ref="T18" si="164">IF(S18=0,0,S18/S$4)</f>
        <v>0</v>
      </c>
      <c r="U18" s="661"/>
      <c r="V18" s="662">
        <f t="shared" ref="V18" si="165">IF(U18=0,0,U18/U$4)</f>
        <v>0</v>
      </c>
      <c r="W18" s="661"/>
      <c r="X18" s="662">
        <f t="shared" ref="X18" si="166">IF(W18=0,0,W18/W$4)</f>
        <v>0</v>
      </c>
      <c r="Y18" s="661"/>
      <c r="Z18" s="662">
        <f t="shared" ref="Z18" si="167">IF(Y18=0,0,Y18/Y$4)</f>
        <v>0</v>
      </c>
      <c r="AA18" s="661"/>
      <c r="AB18" s="662">
        <f t="shared" ref="AB18" si="168">IF(AA18=0,0,AA18/AA$4)</f>
        <v>0</v>
      </c>
      <c r="AC18" s="661"/>
      <c r="AD18" s="662">
        <f t="shared" ref="AD18" si="169">IF(AC18=0,0,AC18/AC$4)</f>
        <v>0</v>
      </c>
      <c r="AE18" s="654"/>
    </row>
    <row r="19" spans="1:31" s="556" customFormat="1" ht="31.5" outlineLevel="2">
      <c r="A19" s="612" t="s">
        <v>1726</v>
      </c>
      <c r="B19" s="560" t="s">
        <v>1633</v>
      </c>
      <c r="C19" s="661"/>
      <c r="D19" s="662">
        <f t="shared" si="0"/>
        <v>0</v>
      </c>
      <c r="E19" s="661"/>
      <c r="F19" s="662">
        <f t="shared" si="0"/>
        <v>0</v>
      </c>
      <c r="G19" s="661"/>
      <c r="H19" s="662">
        <f t="shared" ref="H19" si="170">IF(G19=0,0,G19/G$4)</f>
        <v>0</v>
      </c>
      <c r="I19" s="661"/>
      <c r="J19" s="662">
        <f t="shared" ref="J19" si="171">IF(I19=0,0,I19/I$4)</f>
        <v>0</v>
      </c>
      <c r="K19" s="661"/>
      <c r="L19" s="662">
        <f t="shared" ref="L19" si="172">IF(K19=0,0,K19/K$4)</f>
        <v>0</v>
      </c>
      <c r="M19" s="661"/>
      <c r="N19" s="662">
        <f t="shared" ref="N19" si="173">IF(M19=0,0,M19/M$4)</f>
        <v>0</v>
      </c>
      <c r="O19" s="661"/>
      <c r="P19" s="662">
        <f t="shared" ref="P19" si="174">IF(O19=0,0,O19/O$4)</f>
        <v>0</v>
      </c>
      <c r="Q19" s="661"/>
      <c r="R19" s="662">
        <f t="shared" ref="R19" si="175">IF(Q19=0,0,Q19/Q$4)</f>
        <v>0</v>
      </c>
      <c r="S19" s="661"/>
      <c r="T19" s="662">
        <f t="shared" ref="T19" si="176">IF(S19=0,0,S19/S$4)</f>
        <v>0</v>
      </c>
      <c r="U19" s="661"/>
      <c r="V19" s="662">
        <f t="shared" ref="V19" si="177">IF(U19=0,0,U19/U$4)</f>
        <v>0</v>
      </c>
      <c r="W19" s="661"/>
      <c r="X19" s="662">
        <f t="shared" ref="X19" si="178">IF(W19=0,0,W19/W$4)</f>
        <v>0</v>
      </c>
      <c r="Y19" s="661"/>
      <c r="Z19" s="662">
        <f t="shared" ref="Z19" si="179">IF(Y19=0,0,Y19/Y$4)</f>
        <v>0</v>
      </c>
      <c r="AA19" s="661"/>
      <c r="AB19" s="662">
        <f t="shared" ref="AB19" si="180">IF(AA19=0,0,AA19/AA$4)</f>
        <v>0</v>
      </c>
      <c r="AC19" s="661"/>
      <c r="AD19" s="662">
        <f t="shared" ref="AD19" si="181">IF(AC19=0,0,AC19/AC$4)</f>
        <v>0</v>
      </c>
      <c r="AE19" s="654"/>
    </row>
    <row r="20" spans="1:31" s="556" customFormat="1" ht="15.75" outlineLevel="2">
      <c r="A20" s="612" t="s">
        <v>1727</v>
      </c>
      <c r="B20" s="560" t="s">
        <v>1634</v>
      </c>
      <c r="C20" s="661"/>
      <c r="D20" s="662">
        <f t="shared" si="0"/>
        <v>0</v>
      </c>
      <c r="E20" s="661"/>
      <c r="F20" s="662">
        <f t="shared" si="0"/>
        <v>0</v>
      </c>
      <c r="G20" s="661"/>
      <c r="H20" s="662">
        <f t="shared" ref="H20" si="182">IF(G20=0,0,G20/G$4)</f>
        <v>0</v>
      </c>
      <c r="I20" s="661"/>
      <c r="J20" s="662">
        <f t="shared" ref="J20" si="183">IF(I20=0,0,I20/I$4)</f>
        <v>0</v>
      </c>
      <c r="K20" s="661"/>
      <c r="L20" s="662">
        <f t="shared" ref="L20" si="184">IF(K20=0,0,K20/K$4)</f>
        <v>0</v>
      </c>
      <c r="M20" s="661"/>
      <c r="N20" s="662">
        <f t="shared" ref="N20" si="185">IF(M20=0,0,M20/M$4)</f>
        <v>0</v>
      </c>
      <c r="O20" s="661"/>
      <c r="P20" s="662">
        <f t="shared" ref="P20" si="186">IF(O20=0,0,O20/O$4)</f>
        <v>0</v>
      </c>
      <c r="Q20" s="661"/>
      <c r="R20" s="662">
        <f t="shared" ref="R20" si="187">IF(Q20=0,0,Q20/Q$4)</f>
        <v>0</v>
      </c>
      <c r="S20" s="661"/>
      <c r="T20" s="662">
        <f t="shared" ref="T20" si="188">IF(S20=0,0,S20/S$4)</f>
        <v>0</v>
      </c>
      <c r="U20" s="661"/>
      <c r="V20" s="662">
        <f t="shared" ref="V20" si="189">IF(U20=0,0,U20/U$4)</f>
        <v>0</v>
      </c>
      <c r="W20" s="661"/>
      <c r="X20" s="662">
        <f t="shared" ref="X20" si="190">IF(W20=0,0,W20/W$4)</f>
        <v>0</v>
      </c>
      <c r="Y20" s="661"/>
      <c r="Z20" s="662">
        <f t="shared" ref="Z20" si="191">IF(Y20=0,0,Y20/Y$4)</f>
        <v>0</v>
      </c>
      <c r="AA20" s="661"/>
      <c r="AB20" s="662">
        <f t="shared" ref="AB20" si="192">IF(AA20=0,0,AA20/AA$4)</f>
        <v>0</v>
      </c>
      <c r="AC20" s="661"/>
      <c r="AD20" s="662">
        <f t="shared" ref="AD20" si="193">IF(AC20=0,0,AC20/AC$4)</f>
        <v>0</v>
      </c>
      <c r="AE20" s="654"/>
    </row>
    <row r="21" spans="1:31" s="556" customFormat="1" ht="31.5" outlineLevel="2">
      <c r="A21" s="612" t="s">
        <v>1728</v>
      </c>
      <c r="B21" s="560" t="s">
        <v>1635</v>
      </c>
      <c r="C21" s="661"/>
      <c r="D21" s="662">
        <f t="shared" si="0"/>
        <v>0</v>
      </c>
      <c r="E21" s="661"/>
      <c r="F21" s="662">
        <f t="shared" si="0"/>
        <v>0</v>
      </c>
      <c r="G21" s="661"/>
      <c r="H21" s="662">
        <f t="shared" ref="H21" si="194">IF(G21=0,0,G21/G$4)</f>
        <v>0</v>
      </c>
      <c r="I21" s="661"/>
      <c r="J21" s="662">
        <f t="shared" ref="J21" si="195">IF(I21=0,0,I21/I$4)</f>
        <v>0</v>
      </c>
      <c r="K21" s="661"/>
      <c r="L21" s="662">
        <f t="shared" ref="L21" si="196">IF(K21=0,0,K21/K$4)</f>
        <v>0</v>
      </c>
      <c r="M21" s="661"/>
      <c r="N21" s="662">
        <f t="shared" ref="N21" si="197">IF(M21=0,0,M21/M$4)</f>
        <v>0</v>
      </c>
      <c r="O21" s="661"/>
      <c r="P21" s="662">
        <f t="shared" ref="P21" si="198">IF(O21=0,0,O21/O$4)</f>
        <v>0</v>
      </c>
      <c r="Q21" s="661"/>
      <c r="R21" s="662">
        <f t="shared" ref="R21" si="199">IF(Q21=0,0,Q21/Q$4)</f>
        <v>0</v>
      </c>
      <c r="S21" s="661"/>
      <c r="T21" s="662">
        <f t="shared" ref="T21" si="200">IF(S21=0,0,S21/S$4)</f>
        <v>0</v>
      </c>
      <c r="U21" s="661"/>
      <c r="V21" s="662">
        <f t="shared" ref="V21" si="201">IF(U21=0,0,U21/U$4)</f>
        <v>0</v>
      </c>
      <c r="W21" s="661"/>
      <c r="X21" s="662">
        <f t="shared" ref="X21" si="202">IF(W21=0,0,W21/W$4)</f>
        <v>0</v>
      </c>
      <c r="Y21" s="661"/>
      <c r="Z21" s="662">
        <f t="shared" ref="Z21" si="203">IF(Y21=0,0,Y21/Y$4)</f>
        <v>0</v>
      </c>
      <c r="AA21" s="661"/>
      <c r="AB21" s="662">
        <f t="shared" ref="AB21" si="204">IF(AA21=0,0,AA21/AA$4)</f>
        <v>0</v>
      </c>
      <c r="AC21" s="661"/>
      <c r="AD21" s="662">
        <f t="shared" ref="AD21" si="205">IF(AC21=0,0,AC21/AC$4)</f>
        <v>0</v>
      </c>
      <c r="AE21" s="654"/>
    </row>
    <row r="22" spans="1:31" s="556" customFormat="1" ht="31.5" outlineLevel="2">
      <c r="A22" s="612" t="s">
        <v>1729</v>
      </c>
      <c r="B22" s="560" t="s">
        <v>1636</v>
      </c>
      <c r="C22" s="661"/>
      <c r="D22" s="662">
        <f t="shared" si="0"/>
        <v>0</v>
      </c>
      <c r="E22" s="661"/>
      <c r="F22" s="662">
        <f t="shared" si="0"/>
        <v>0</v>
      </c>
      <c r="G22" s="661"/>
      <c r="H22" s="662">
        <f t="shared" ref="H22" si="206">IF(G22=0,0,G22/G$4)</f>
        <v>0</v>
      </c>
      <c r="I22" s="661"/>
      <c r="J22" s="662">
        <f t="shared" ref="J22" si="207">IF(I22=0,0,I22/I$4)</f>
        <v>0</v>
      </c>
      <c r="K22" s="661"/>
      <c r="L22" s="662">
        <f t="shared" ref="L22" si="208">IF(K22=0,0,K22/K$4)</f>
        <v>0</v>
      </c>
      <c r="M22" s="661"/>
      <c r="N22" s="662">
        <f t="shared" ref="N22" si="209">IF(M22=0,0,M22/M$4)</f>
        <v>0</v>
      </c>
      <c r="O22" s="661"/>
      <c r="P22" s="662">
        <f t="shared" ref="P22" si="210">IF(O22=0,0,O22/O$4)</f>
        <v>0</v>
      </c>
      <c r="Q22" s="661"/>
      <c r="R22" s="662">
        <f t="shared" ref="R22" si="211">IF(Q22=0,0,Q22/Q$4)</f>
        <v>0</v>
      </c>
      <c r="S22" s="661"/>
      <c r="T22" s="662">
        <f t="shared" ref="T22" si="212">IF(S22=0,0,S22/S$4)</f>
        <v>0</v>
      </c>
      <c r="U22" s="661"/>
      <c r="V22" s="662">
        <f t="shared" ref="V22" si="213">IF(U22=0,0,U22/U$4)</f>
        <v>0</v>
      </c>
      <c r="W22" s="661"/>
      <c r="X22" s="662">
        <f t="shared" ref="X22" si="214">IF(W22=0,0,W22/W$4)</f>
        <v>0</v>
      </c>
      <c r="Y22" s="661"/>
      <c r="Z22" s="662">
        <f t="shared" ref="Z22" si="215">IF(Y22=0,0,Y22/Y$4)</f>
        <v>0</v>
      </c>
      <c r="AA22" s="661"/>
      <c r="AB22" s="662">
        <f t="shared" ref="AB22" si="216">IF(AA22=0,0,AA22/AA$4)</f>
        <v>0</v>
      </c>
      <c r="AC22" s="661"/>
      <c r="AD22" s="662">
        <f t="shared" ref="AD22" si="217">IF(AC22=0,0,AC22/AC$4)</f>
        <v>0</v>
      </c>
      <c r="AE22" s="654"/>
    </row>
    <row r="23" spans="1:31" s="556" customFormat="1" ht="15.75" outlineLevel="2" collapsed="1">
      <c r="A23" s="612" t="s">
        <v>1730</v>
      </c>
      <c r="B23" s="560" t="s">
        <v>1637</v>
      </c>
      <c r="C23" s="661"/>
      <c r="D23" s="662">
        <f t="shared" si="0"/>
        <v>0</v>
      </c>
      <c r="E23" s="661"/>
      <c r="F23" s="662">
        <f t="shared" si="0"/>
        <v>0</v>
      </c>
      <c r="G23" s="661"/>
      <c r="H23" s="662">
        <f t="shared" ref="H23" si="218">IF(G23=0,0,G23/G$4)</f>
        <v>0</v>
      </c>
      <c r="I23" s="661"/>
      <c r="J23" s="662">
        <f t="shared" ref="J23" si="219">IF(I23=0,0,I23/I$4)</f>
        <v>0</v>
      </c>
      <c r="K23" s="661"/>
      <c r="L23" s="662">
        <f t="shared" ref="L23" si="220">IF(K23=0,0,K23/K$4)</f>
        <v>0</v>
      </c>
      <c r="M23" s="661"/>
      <c r="N23" s="662">
        <f t="shared" ref="N23" si="221">IF(M23=0,0,M23/M$4)</f>
        <v>0</v>
      </c>
      <c r="O23" s="661"/>
      <c r="P23" s="662">
        <f t="shared" ref="P23" si="222">IF(O23=0,0,O23/O$4)</f>
        <v>0</v>
      </c>
      <c r="Q23" s="661"/>
      <c r="R23" s="662">
        <f t="shared" ref="R23" si="223">IF(Q23=0,0,Q23/Q$4)</f>
        <v>0</v>
      </c>
      <c r="S23" s="661"/>
      <c r="T23" s="662">
        <f t="shared" ref="T23" si="224">IF(S23=0,0,S23/S$4)</f>
        <v>0</v>
      </c>
      <c r="U23" s="661"/>
      <c r="V23" s="662">
        <f t="shared" ref="V23" si="225">IF(U23=0,0,U23/U$4)</f>
        <v>0</v>
      </c>
      <c r="W23" s="661"/>
      <c r="X23" s="662">
        <f t="shared" ref="X23" si="226">IF(W23=0,0,W23/W$4)</f>
        <v>0</v>
      </c>
      <c r="Y23" s="661"/>
      <c r="Z23" s="662">
        <f t="shared" ref="Z23" si="227">IF(Y23=0,0,Y23/Y$4)</f>
        <v>0</v>
      </c>
      <c r="AA23" s="661"/>
      <c r="AB23" s="662">
        <f t="shared" ref="AB23" si="228">IF(AA23=0,0,AA23/AA$4)</f>
        <v>0</v>
      </c>
      <c r="AC23" s="661"/>
      <c r="AD23" s="662">
        <f t="shared" ref="AD23" si="229">IF(AC23=0,0,AC23/AC$4)</f>
        <v>0</v>
      </c>
      <c r="AE23" s="654"/>
    </row>
    <row r="24" spans="1:31" s="556" customFormat="1" ht="15.75" outlineLevel="2">
      <c r="A24" s="612" t="s">
        <v>1731</v>
      </c>
      <c r="B24" s="560" t="s">
        <v>1638</v>
      </c>
      <c r="C24" s="661"/>
      <c r="D24" s="662">
        <f t="shared" si="0"/>
        <v>0</v>
      </c>
      <c r="E24" s="661"/>
      <c r="F24" s="662">
        <f t="shared" si="0"/>
        <v>0</v>
      </c>
      <c r="G24" s="661"/>
      <c r="H24" s="662">
        <f t="shared" ref="H24" si="230">IF(G24=0,0,G24/G$4)</f>
        <v>0</v>
      </c>
      <c r="I24" s="661"/>
      <c r="J24" s="662">
        <f t="shared" ref="J24" si="231">IF(I24=0,0,I24/I$4)</f>
        <v>0</v>
      </c>
      <c r="K24" s="661"/>
      <c r="L24" s="662">
        <f t="shared" ref="L24" si="232">IF(K24=0,0,K24/K$4)</f>
        <v>0</v>
      </c>
      <c r="M24" s="661"/>
      <c r="N24" s="662">
        <f t="shared" ref="N24" si="233">IF(M24=0,0,M24/M$4)</f>
        <v>0</v>
      </c>
      <c r="O24" s="661"/>
      <c r="P24" s="662">
        <f t="shared" ref="P24" si="234">IF(O24=0,0,O24/O$4)</f>
        <v>0</v>
      </c>
      <c r="Q24" s="661"/>
      <c r="R24" s="662">
        <f t="shared" ref="R24" si="235">IF(Q24=0,0,Q24/Q$4)</f>
        <v>0</v>
      </c>
      <c r="S24" s="661"/>
      <c r="T24" s="662">
        <f t="shared" ref="T24" si="236">IF(S24=0,0,S24/S$4)</f>
        <v>0</v>
      </c>
      <c r="U24" s="661"/>
      <c r="V24" s="662">
        <f t="shared" ref="V24" si="237">IF(U24=0,0,U24/U$4)</f>
        <v>0</v>
      </c>
      <c r="W24" s="661"/>
      <c r="X24" s="662">
        <f t="shared" ref="X24" si="238">IF(W24=0,0,W24/W$4)</f>
        <v>0</v>
      </c>
      <c r="Y24" s="661"/>
      <c r="Z24" s="662">
        <f t="shared" ref="Z24" si="239">IF(Y24=0,0,Y24/Y$4)</f>
        <v>0</v>
      </c>
      <c r="AA24" s="661"/>
      <c r="AB24" s="662">
        <f t="shared" ref="AB24" si="240">IF(AA24=0,0,AA24/AA$4)</f>
        <v>0</v>
      </c>
      <c r="AC24" s="661"/>
      <c r="AD24" s="662">
        <f t="shared" ref="AD24" si="241">IF(AC24=0,0,AC24/AC$4)</f>
        <v>0</v>
      </c>
      <c r="AE24" s="654"/>
    </row>
    <row r="25" spans="1:31" s="556" customFormat="1" ht="15.75" outlineLevel="3">
      <c r="A25" s="609" t="s">
        <v>1732</v>
      </c>
      <c r="B25" s="559" t="s">
        <v>1639</v>
      </c>
      <c r="C25" s="661"/>
      <c r="D25" s="662">
        <f t="shared" si="0"/>
        <v>0</v>
      </c>
      <c r="E25" s="661"/>
      <c r="F25" s="662">
        <f t="shared" si="0"/>
        <v>0</v>
      </c>
      <c r="G25" s="661"/>
      <c r="H25" s="662">
        <f t="shared" ref="H25" si="242">IF(G25=0,0,G25/G$4)</f>
        <v>0</v>
      </c>
      <c r="I25" s="661"/>
      <c r="J25" s="662">
        <f t="shared" ref="J25" si="243">IF(I25=0,0,I25/I$4)</f>
        <v>0</v>
      </c>
      <c r="K25" s="661"/>
      <c r="L25" s="662">
        <f t="shared" ref="L25" si="244">IF(K25=0,0,K25/K$4)</f>
        <v>0</v>
      </c>
      <c r="M25" s="661"/>
      <c r="N25" s="662">
        <f t="shared" ref="N25" si="245">IF(M25=0,0,M25/M$4)</f>
        <v>0</v>
      </c>
      <c r="O25" s="661"/>
      <c r="P25" s="662">
        <f t="shared" ref="P25" si="246">IF(O25=0,0,O25/O$4)</f>
        <v>0</v>
      </c>
      <c r="Q25" s="661"/>
      <c r="R25" s="662">
        <f t="shared" ref="R25" si="247">IF(Q25=0,0,Q25/Q$4)</f>
        <v>0</v>
      </c>
      <c r="S25" s="661"/>
      <c r="T25" s="662">
        <f t="shared" ref="T25" si="248">IF(S25=0,0,S25/S$4)</f>
        <v>0</v>
      </c>
      <c r="U25" s="661"/>
      <c r="V25" s="662">
        <f t="shared" ref="V25" si="249">IF(U25=0,0,U25/U$4)</f>
        <v>0</v>
      </c>
      <c r="W25" s="661"/>
      <c r="X25" s="662">
        <f t="shared" ref="X25" si="250">IF(W25=0,0,W25/W$4)</f>
        <v>0</v>
      </c>
      <c r="Y25" s="661"/>
      <c r="Z25" s="662">
        <f t="shared" ref="Z25" si="251">IF(Y25=0,0,Y25/Y$4)</f>
        <v>0</v>
      </c>
      <c r="AA25" s="661"/>
      <c r="AB25" s="662">
        <f t="shared" ref="AB25" si="252">IF(AA25=0,0,AA25/AA$4)</f>
        <v>0</v>
      </c>
      <c r="AC25" s="661"/>
      <c r="AD25" s="662">
        <f t="shared" ref="AD25" si="253">IF(AC25=0,0,AC25/AC$4)</f>
        <v>0</v>
      </c>
      <c r="AE25" s="654"/>
    </row>
    <row r="26" spans="1:31" s="556" customFormat="1" ht="15.75" outlineLevel="3">
      <c r="A26" s="609" t="s">
        <v>1733</v>
      </c>
      <c r="B26" s="559" t="s">
        <v>1640</v>
      </c>
      <c r="C26" s="661"/>
      <c r="D26" s="662">
        <f t="shared" si="0"/>
        <v>0</v>
      </c>
      <c r="E26" s="661"/>
      <c r="F26" s="662">
        <f t="shared" si="0"/>
        <v>0</v>
      </c>
      <c r="G26" s="661"/>
      <c r="H26" s="662">
        <f t="shared" ref="H26" si="254">IF(G26=0,0,G26/G$4)</f>
        <v>0</v>
      </c>
      <c r="I26" s="661"/>
      <c r="J26" s="662">
        <f t="shared" ref="J26" si="255">IF(I26=0,0,I26/I$4)</f>
        <v>0</v>
      </c>
      <c r="K26" s="661"/>
      <c r="L26" s="662">
        <f t="shared" ref="L26" si="256">IF(K26=0,0,K26/K$4)</f>
        <v>0</v>
      </c>
      <c r="M26" s="661"/>
      <c r="N26" s="662">
        <f t="shared" ref="N26" si="257">IF(M26=0,0,M26/M$4)</f>
        <v>0</v>
      </c>
      <c r="O26" s="661"/>
      <c r="P26" s="662">
        <f t="shared" ref="P26" si="258">IF(O26=0,0,O26/O$4)</f>
        <v>0</v>
      </c>
      <c r="Q26" s="661"/>
      <c r="R26" s="662">
        <f t="shared" ref="R26" si="259">IF(Q26=0,0,Q26/Q$4)</f>
        <v>0</v>
      </c>
      <c r="S26" s="661"/>
      <c r="T26" s="662">
        <f t="shared" ref="T26" si="260">IF(S26=0,0,S26/S$4)</f>
        <v>0</v>
      </c>
      <c r="U26" s="661"/>
      <c r="V26" s="662">
        <f t="shared" ref="V26" si="261">IF(U26=0,0,U26/U$4)</f>
        <v>0</v>
      </c>
      <c r="W26" s="661"/>
      <c r="X26" s="662">
        <f t="shared" ref="X26" si="262">IF(W26=0,0,W26/W$4)</f>
        <v>0</v>
      </c>
      <c r="Y26" s="661"/>
      <c r="Z26" s="662">
        <f t="shared" ref="Z26" si="263">IF(Y26=0,0,Y26/Y$4)</f>
        <v>0</v>
      </c>
      <c r="AA26" s="661"/>
      <c r="AB26" s="662">
        <f t="shared" ref="AB26" si="264">IF(AA26=0,0,AA26/AA$4)</f>
        <v>0</v>
      </c>
      <c r="AC26" s="661"/>
      <c r="AD26" s="662">
        <f t="shared" ref="AD26" si="265">IF(AC26=0,0,AC26/AC$4)</f>
        <v>0</v>
      </c>
      <c r="AE26" s="654"/>
    </row>
    <row r="27" spans="1:31" s="556" customFormat="1" ht="15.75" outlineLevel="3">
      <c r="A27" s="609" t="s">
        <v>1734</v>
      </c>
      <c r="B27" s="559" t="s">
        <v>1641</v>
      </c>
      <c r="C27" s="661"/>
      <c r="D27" s="662">
        <f t="shared" si="0"/>
        <v>0</v>
      </c>
      <c r="E27" s="661"/>
      <c r="F27" s="662">
        <f t="shared" si="0"/>
        <v>0</v>
      </c>
      <c r="G27" s="661"/>
      <c r="H27" s="662">
        <f t="shared" ref="H27" si="266">IF(G27=0,0,G27/G$4)</f>
        <v>0</v>
      </c>
      <c r="I27" s="661"/>
      <c r="J27" s="662">
        <f t="shared" ref="J27" si="267">IF(I27=0,0,I27/I$4)</f>
        <v>0</v>
      </c>
      <c r="K27" s="661"/>
      <c r="L27" s="662">
        <f t="shared" ref="L27" si="268">IF(K27=0,0,K27/K$4)</f>
        <v>0</v>
      </c>
      <c r="M27" s="661"/>
      <c r="N27" s="662">
        <f t="shared" ref="N27" si="269">IF(M27=0,0,M27/M$4)</f>
        <v>0</v>
      </c>
      <c r="O27" s="661"/>
      <c r="P27" s="662">
        <f t="shared" ref="P27" si="270">IF(O27=0,0,O27/O$4)</f>
        <v>0</v>
      </c>
      <c r="Q27" s="661"/>
      <c r="R27" s="662">
        <f t="shared" ref="R27" si="271">IF(Q27=0,0,Q27/Q$4)</f>
        <v>0</v>
      </c>
      <c r="S27" s="661"/>
      <c r="T27" s="662">
        <f t="shared" ref="T27" si="272">IF(S27=0,0,S27/S$4)</f>
        <v>0</v>
      </c>
      <c r="U27" s="661"/>
      <c r="V27" s="662">
        <f t="shared" ref="V27" si="273">IF(U27=0,0,U27/U$4)</f>
        <v>0</v>
      </c>
      <c r="W27" s="661"/>
      <c r="X27" s="662">
        <f t="shared" ref="X27" si="274">IF(W27=0,0,W27/W$4)</f>
        <v>0</v>
      </c>
      <c r="Y27" s="661"/>
      <c r="Z27" s="662">
        <f t="shared" ref="Z27" si="275">IF(Y27=0,0,Y27/Y$4)</f>
        <v>0</v>
      </c>
      <c r="AA27" s="661"/>
      <c r="AB27" s="662">
        <f t="shared" ref="AB27" si="276">IF(AA27=0,0,AA27/AA$4)</f>
        <v>0</v>
      </c>
      <c r="AC27" s="661"/>
      <c r="AD27" s="662">
        <f t="shared" ref="AD27" si="277">IF(AC27=0,0,AC27/AC$4)</f>
        <v>0</v>
      </c>
      <c r="AE27" s="654"/>
    </row>
    <row r="28" spans="1:31" s="556" customFormat="1" ht="15.75" outlineLevel="3">
      <c r="A28" s="609" t="s">
        <v>1735</v>
      </c>
      <c r="B28" s="559" t="s">
        <v>1642</v>
      </c>
      <c r="C28" s="661"/>
      <c r="D28" s="662">
        <f t="shared" si="0"/>
        <v>0</v>
      </c>
      <c r="E28" s="661"/>
      <c r="F28" s="662">
        <f t="shared" si="0"/>
        <v>0</v>
      </c>
      <c r="G28" s="661"/>
      <c r="H28" s="662">
        <f t="shared" ref="H28" si="278">IF(G28=0,0,G28/G$4)</f>
        <v>0</v>
      </c>
      <c r="I28" s="661"/>
      <c r="J28" s="662">
        <f t="shared" ref="J28" si="279">IF(I28=0,0,I28/I$4)</f>
        <v>0</v>
      </c>
      <c r="K28" s="661"/>
      <c r="L28" s="662">
        <f t="shared" ref="L28" si="280">IF(K28=0,0,K28/K$4)</f>
        <v>0</v>
      </c>
      <c r="M28" s="661"/>
      <c r="N28" s="662">
        <f t="shared" ref="N28" si="281">IF(M28=0,0,M28/M$4)</f>
        <v>0</v>
      </c>
      <c r="O28" s="661"/>
      <c r="P28" s="662">
        <f t="shared" ref="P28" si="282">IF(O28=0,0,O28/O$4)</f>
        <v>0</v>
      </c>
      <c r="Q28" s="661"/>
      <c r="R28" s="662">
        <f t="shared" ref="R28" si="283">IF(Q28=0,0,Q28/Q$4)</f>
        <v>0</v>
      </c>
      <c r="S28" s="661"/>
      <c r="T28" s="662">
        <f t="shared" ref="T28" si="284">IF(S28=0,0,S28/S$4)</f>
        <v>0</v>
      </c>
      <c r="U28" s="661"/>
      <c r="V28" s="662">
        <f t="shared" ref="V28" si="285">IF(U28=0,0,U28/U$4)</f>
        <v>0</v>
      </c>
      <c r="W28" s="661"/>
      <c r="X28" s="662">
        <f t="shared" ref="X28" si="286">IF(W28=0,0,W28/W$4)</f>
        <v>0</v>
      </c>
      <c r="Y28" s="661"/>
      <c r="Z28" s="662">
        <f t="shared" ref="Z28" si="287">IF(Y28=0,0,Y28/Y$4)</f>
        <v>0</v>
      </c>
      <c r="AA28" s="661"/>
      <c r="AB28" s="662">
        <f t="shared" ref="AB28" si="288">IF(AA28=0,0,AA28/AA$4)</f>
        <v>0</v>
      </c>
      <c r="AC28" s="661"/>
      <c r="AD28" s="662">
        <f t="shared" ref="AD28" si="289">IF(AC28=0,0,AC28/AC$4)</f>
        <v>0</v>
      </c>
      <c r="AE28" s="654"/>
    </row>
    <row r="29" spans="1:31" s="556" customFormat="1" ht="15.75" outlineLevel="3">
      <c r="A29" s="609" t="s">
        <v>1736</v>
      </c>
      <c r="B29" s="559" t="s">
        <v>1643</v>
      </c>
      <c r="C29" s="661"/>
      <c r="D29" s="662">
        <f t="shared" si="0"/>
        <v>0</v>
      </c>
      <c r="E29" s="661"/>
      <c r="F29" s="662">
        <f t="shared" si="0"/>
        <v>0</v>
      </c>
      <c r="G29" s="661"/>
      <c r="H29" s="662">
        <f t="shared" ref="H29" si="290">IF(G29=0,0,G29/G$4)</f>
        <v>0</v>
      </c>
      <c r="I29" s="661"/>
      <c r="J29" s="662">
        <f t="shared" ref="J29" si="291">IF(I29=0,0,I29/I$4)</f>
        <v>0</v>
      </c>
      <c r="K29" s="661"/>
      <c r="L29" s="662">
        <f t="shared" ref="L29" si="292">IF(K29=0,0,K29/K$4)</f>
        <v>0</v>
      </c>
      <c r="M29" s="661"/>
      <c r="N29" s="662">
        <f t="shared" ref="N29" si="293">IF(M29=0,0,M29/M$4)</f>
        <v>0</v>
      </c>
      <c r="O29" s="661"/>
      <c r="P29" s="662">
        <f t="shared" ref="P29" si="294">IF(O29=0,0,O29/O$4)</f>
        <v>0</v>
      </c>
      <c r="Q29" s="661"/>
      <c r="R29" s="662">
        <f t="shared" ref="R29" si="295">IF(Q29=0,0,Q29/Q$4)</f>
        <v>0</v>
      </c>
      <c r="S29" s="661"/>
      <c r="T29" s="662">
        <f t="shared" ref="T29" si="296">IF(S29=0,0,S29/S$4)</f>
        <v>0</v>
      </c>
      <c r="U29" s="661"/>
      <c r="V29" s="662">
        <f t="shared" ref="V29" si="297">IF(U29=0,0,U29/U$4)</f>
        <v>0</v>
      </c>
      <c r="W29" s="661"/>
      <c r="X29" s="662">
        <f t="shared" ref="X29" si="298">IF(W29=0,0,W29/W$4)</f>
        <v>0</v>
      </c>
      <c r="Y29" s="661"/>
      <c r="Z29" s="662">
        <f t="shared" ref="Z29" si="299">IF(Y29=0,0,Y29/Y$4)</f>
        <v>0</v>
      </c>
      <c r="AA29" s="661"/>
      <c r="AB29" s="662">
        <f t="shared" ref="AB29" si="300">IF(AA29=0,0,AA29/AA$4)</f>
        <v>0</v>
      </c>
      <c r="AC29" s="661"/>
      <c r="AD29" s="662">
        <f t="shared" ref="AD29" si="301">IF(AC29=0,0,AC29/AC$4)</f>
        <v>0</v>
      </c>
      <c r="AE29" s="654"/>
    </row>
    <row r="30" spans="1:31" s="556" customFormat="1" ht="15.75" outlineLevel="3">
      <c r="A30" s="609" t="s">
        <v>1737</v>
      </c>
      <c r="B30" s="559" t="s">
        <v>1644</v>
      </c>
      <c r="C30" s="661"/>
      <c r="D30" s="662">
        <f t="shared" si="0"/>
        <v>0</v>
      </c>
      <c r="E30" s="661"/>
      <c r="F30" s="662">
        <f t="shared" si="0"/>
        <v>0</v>
      </c>
      <c r="G30" s="661"/>
      <c r="H30" s="662">
        <f t="shared" ref="H30" si="302">IF(G30=0,0,G30/G$4)</f>
        <v>0</v>
      </c>
      <c r="I30" s="661"/>
      <c r="J30" s="662">
        <f t="shared" ref="J30" si="303">IF(I30=0,0,I30/I$4)</f>
        <v>0</v>
      </c>
      <c r="K30" s="661"/>
      <c r="L30" s="662">
        <f t="shared" ref="L30" si="304">IF(K30=0,0,K30/K$4)</f>
        <v>0</v>
      </c>
      <c r="M30" s="661"/>
      <c r="N30" s="662">
        <f t="shared" ref="N30" si="305">IF(M30=0,0,M30/M$4)</f>
        <v>0</v>
      </c>
      <c r="O30" s="661"/>
      <c r="P30" s="662">
        <f t="shared" ref="P30" si="306">IF(O30=0,0,O30/O$4)</f>
        <v>0</v>
      </c>
      <c r="Q30" s="661"/>
      <c r="R30" s="662">
        <f t="shared" ref="R30" si="307">IF(Q30=0,0,Q30/Q$4)</f>
        <v>0</v>
      </c>
      <c r="S30" s="661"/>
      <c r="T30" s="662">
        <f t="shared" ref="T30" si="308">IF(S30=0,0,S30/S$4)</f>
        <v>0</v>
      </c>
      <c r="U30" s="661"/>
      <c r="V30" s="662">
        <f t="shared" ref="V30" si="309">IF(U30=0,0,U30/U$4)</f>
        <v>0</v>
      </c>
      <c r="W30" s="661"/>
      <c r="X30" s="662">
        <f t="shared" ref="X30" si="310">IF(W30=0,0,W30/W$4)</f>
        <v>0</v>
      </c>
      <c r="Y30" s="661"/>
      <c r="Z30" s="662">
        <f t="shared" ref="Z30" si="311">IF(Y30=0,0,Y30/Y$4)</f>
        <v>0</v>
      </c>
      <c r="AA30" s="661"/>
      <c r="AB30" s="662">
        <f t="shared" ref="AB30" si="312">IF(AA30=0,0,AA30/AA$4)</f>
        <v>0</v>
      </c>
      <c r="AC30" s="661"/>
      <c r="AD30" s="662">
        <f t="shared" ref="AD30" si="313">IF(AC30=0,0,AC30/AC$4)</f>
        <v>0</v>
      </c>
      <c r="AE30" s="654"/>
    </row>
    <row r="31" spans="1:31" s="556" customFormat="1" ht="15.75" outlineLevel="3">
      <c r="A31" s="609" t="s">
        <v>1738</v>
      </c>
      <c r="B31" s="559" t="s">
        <v>1645</v>
      </c>
      <c r="C31" s="661"/>
      <c r="D31" s="662">
        <f t="shared" si="0"/>
        <v>0</v>
      </c>
      <c r="E31" s="661"/>
      <c r="F31" s="662">
        <f t="shared" si="0"/>
        <v>0</v>
      </c>
      <c r="G31" s="661"/>
      <c r="H31" s="662">
        <f t="shared" ref="H31" si="314">IF(G31=0,0,G31/G$4)</f>
        <v>0</v>
      </c>
      <c r="I31" s="661"/>
      <c r="J31" s="662">
        <f t="shared" ref="J31" si="315">IF(I31=0,0,I31/I$4)</f>
        <v>0</v>
      </c>
      <c r="K31" s="661"/>
      <c r="L31" s="662">
        <f t="shared" ref="L31" si="316">IF(K31=0,0,K31/K$4)</f>
        <v>0</v>
      </c>
      <c r="M31" s="661"/>
      <c r="N31" s="662">
        <f t="shared" ref="N31" si="317">IF(M31=0,0,M31/M$4)</f>
        <v>0</v>
      </c>
      <c r="O31" s="661"/>
      <c r="P31" s="662">
        <f t="shared" ref="P31" si="318">IF(O31=0,0,O31/O$4)</f>
        <v>0</v>
      </c>
      <c r="Q31" s="661"/>
      <c r="R31" s="662">
        <f t="shared" ref="R31" si="319">IF(Q31=0,0,Q31/Q$4)</f>
        <v>0</v>
      </c>
      <c r="S31" s="661"/>
      <c r="T31" s="662">
        <f t="shared" ref="T31" si="320">IF(S31=0,0,S31/S$4)</f>
        <v>0</v>
      </c>
      <c r="U31" s="661"/>
      <c r="V31" s="662">
        <f t="shared" ref="V31" si="321">IF(U31=0,0,U31/U$4)</f>
        <v>0</v>
      </c>
      <c r="W31" s="661"/>
      <c r="X31" s="662">
        <f t="shared" ref="X31" si="322">IF(W31=0,0,W31/W$4)</f>
        <v>0</v>
      </c>
      <c r="Y31" s="661"/>
      <c r="Z31" s="662">
        <f t="shared" ref="Z31" si="323">IF(Y31=0,0,Y31/Y$4)</f>
        <v>0</v>
      </c>
      <c r="AA31" s="661"/>
      <c r="AB31" s="662">
        <f t="shared" ref="AB31" si="324">IF(AA31=0,0,AA31/AA$4)</f>
        <v>0</v>
      </c>
      <c r="AC31" s="661"/>
      <c r="AD31" s="662">
        <f t="shared" ref="AD31" si="325">IF(AC31=0,0,AC31/AC$4)</f>
        <v>0</v>
      </c>
      <c r="AE31" s="654"/>
    </row>
    <row r="32" spans="1:31" s="556" customFormat="1" ht="15.75" outlineLevel="2">
      <c r="A32" s="612" t="s">
        <v>1739</v>
      </c>
      <c r="B32" s="560" t="s">
        <v>1646</v>
      </c>
      <c r="C32" s="661"/>
      <c r="D32" s="662">
        <f t="shared" si="0"/>
        <v>0</v>
      </c>
      <c r="E32" s="661"/>
      <c r="F32" s="662">
        <f t="shared" si="0"/>
        <v>0</v>
      </c>
      <c r="G32" s="661"/>
      <c r="H32" s="662">
        <f t="shared" ref="H32" si="326">IF(G32=0,0,G32/G$4)</f>
        <v>0</v>
      </c>
      <c r="I32" s="661"/>
      <c r="J32" s="662">
        <f t="shared" ref="J32" si="327">IF(I32=0,0,I32/I$4)</f>
        <v>0</v>
      </c>
      <c r="K32" s="661"/>
      <c r="L32" s="662">
        <f t="shared" ref="L32" si="328">IF(K32=0,0,K32/K$4)</f>
        <v>0</v>
      </c>
      <c r="M32" s="661"/>
      <c r="N32" s="662">
        <f t="shared" ref="N32" si="329">IF(M32=0,0,M32/M$4)</f>
        <v>0</v>
      </c>
      <c r="O32" s="661"/>
      <c r="P32" s="662">
        <f t="shared" ref="P32" si="330">IF(O32=0,0,O32/O$4)</f>
        <v>0</v>
      </c>
      <c r="Q32" s="661"/>
      <c r="R32" s="662">
        <f t="shared" ref="R32" si="331">IF(Q32=0,0,Q32/Q$4)</f>
        <v>0</v>
      </c>
      <c r="S32" s="661"/>
      <c r="T32" s="662">
        <f t="shared" ref="T32" si="332">IF(S32=0,0,S32/S$4)</f>
        <v>0</v>
      </c>
      <c r="U32" s="661"/>
      <c r="V32" s="662">
        <f t="shared" ref="V32" si="333">IF(U32=0,0,U32/U$4)</f>
        <v>0</v>
      </c>
      <c r="W32" s="661"/>
      <c r="X32" s="662">
        <f t="shared" ref="X32" si="334">IF(W32=0,0,W32/W$4)</f>
        <v>0</v>
      </c>
      <c r="Y32" s="661"/>
      <c r="Z32" s="662">
        <f t="shared" ref="Z32" si="335">IF(Y32=0,0,Y32/Y$4)</f>
        <v>0</v>
      </c>
      <c r="AA32" s="661"/>
      <c r="AB32" s="662">
        <f t="shared" ref="AB32" si="336">IF(AA32=0,0,AA32/AA$4)</f>
        <v>0</v>
      </c>
      <c r="AC32" s="661"/>
      <c r="AD32" s="662">
        <f t="shared" ref="AD32" si="337">IF(AC32=0,0,AC32/AC$4)</f>
        <v>0</v>
      </c>
      <c r="AE32" s="654"/>
    </row>
    <row r="33" spans="1:36" s="556" customFormat="1" ht="15.75" outlineLevel="3">
      <c r="A33" s="609" t="s">
        <v>1740</v>
      </c>
      <c r="B33" s="559" t="s">
        <v>1647</v>
      </c>
      <c r="C33" s="663"/>
      <c r="D33" s="664">
        <f t="shared" si="0"/>
        <v>0</v>
      </c>
      <c r="E33" s="663"/>
      <c r="F33" s="664">
        <f t="shared" si="0"/>
        <v>0</v>
      </c>
      <c r="G33" s="663"/>
      <c r="H33" s="664">
        <f t="shared" ref="H33" si="338">IF(G33=0,0,G33/G$4)</f>
        <v>0</v>
      </c>
      <c r="I33" s="663"/>
      <c r="J33" s="664">
        <f t="shared" ref="J33" si="339">IF(I33=0,0,I33/I$4)</f>
        <v>0</v>
      </c>
      <c r="K33" s="663"/>
      <c r="L33" s="664">
        <f t="shared" ref="L33" si="340">IF(K33=0,0,K33/K$4)</f>
        <v>0</v>
      </c>
      <c r="M33" s="663"/>
      <c r="N33" s="664">
        <f t="shared" ref="N33" si="341">IF(M33=0,0,M33/M$4)</f>
        <v>0</v>
      </c>
      <c r="O33" s="663"/>
      <c r="P33" s="664">
        <f t="shared" ref="P33" si="342">IF(O33=0,0,O33/O$4)</f>
        <v>0</v>
      </c>
      <c r="Q33" s="663"/>
      <c r="R33" s="664">
        <f t="shared" ref="R33" si="343">IF(Q33=0,0,Q33/Q$4)</f>
        <v>0</v>
      </c>
      <c r="S33" s="663"/>
      <c r="T33" s="664">
        <f t="shared" ref="T33" si="344">IF(S33=0,0,S33/S$4)</f>
        <v>0</v>
      </c>
      <c r="U33" s="663"/>
      <c r="V33" s="664">
        <f t="shared" ref="V33" si="345">IF(U33=0,0,U33/U$4)</f>
        <v>0</v>
      </c>
      <c r="W33" s="663"/>
      <c r="X33" s="664">
        <f t="shared" ref="X33" si="346">IF(W33=0,0,W33/W$4)</f>
        <v>0</v>
      </c>
      <c r="Y33" s="663"/>
      <c r="Z33" s="664">
        <f t="shared" ref="Z33" si="347">IF(Y33=0,0,Y33/Y$4)</f>
        <v>0</v>
      </c>
      <c r="AA33" s="663"/>
      <c r="AB33" s="664">
        <f t="shared" ref="AB33" si="348">IF(AA33=0,0,AA33/AA$4)</f>
        <v>0</v>
      </c>
      <c r="AC33" s="663"/>
      <c r="AD33" s="664">
        <f t="shared" ref="AD33" si="349">IF(AC33=0,0,AC33/AC$4)</f>
        <v>0</v>
      </c>
      <c r="AE33" s="654"/>
    </row>
    <row r="34" spans="1:36" s="556" customFormat="1" ht="15.75" outlineLevel="3">
      <c r="A34" s="609" t="s">
        <v>1741</v>
      </c>
      <c r="B34" s="559" t="s">
        <v>1648</v>
      </c>
      <c r="C34" s="663"/>
      <c r="D34" s="664">
        <f t="shared" si="0"/>
        <v>0</v>
      </c>
      <c r="E34" s="663"/>
      <c r="F34" s="664">
        <f t="shared" si="0"/>
        <v>0</v>
      </c>
      <c r="G34" s="663"/>
      <c r="H34" s="664">
        <f t="shared" ref="H34" si="350">IF(G34=0,0,G34/G$4)</f>
        <v>0</v>
      </c>
      <c r="I34" s="663"/>
      <c r="J34" s="664">
        <f t="shared" ref="J34" si="351">IF(I34=0,0,I34/I$4)</f>
        <v>0</v>
      </c>
      <c r="K34" s="663"/>
      <c r="L34" s="664">
        <f t="shared" ref="L34" si="352">IF(K34=0,0,K34/K$4)</f>
        <v>0</v>
      </c>
      <c r="M34" s="663"/>
      <c r="N34" s="664">
        <f t="shared" ref="N34" si="353">IF(M34=0,0,M34/M$4)</f>
        <v>0</v>
      </c>
      <c r="O34" s="663"/>
      <c r="P34" s="664">
        <f t="shared" ref="P34" si="354">IF(O34=0,0,O34/O$4)</f>
        <v>0</v>
      </c>
      <c r="Q34" s="663"/>
      <c r="R34" s="664">
        <f t="shared" ref="R34" si="355">IF(Q34=0,0,Q34/Q$4)</f>
        <v>0</v>
      </c>
      <c r="S34" s="663"/>
      <c r="T34" s="664">
        <f t="shared" ref="T34" si="356">IF(S34=0,0,S34/S$4)</f>
        <v>0</v>
      </c>
      <c r="U34" s="663"/>
      <c r="V34" s="664">
        <f t="shared" ref="V34" si="357">IF(U34=0,0,U34/U$4)</f>
        <v>0</v>
      </c>
      <c r="W34" s="663"/>
      <c r="X34" s="664">
        <f t="shared" ref="X34" si="358">IF(W34=0,0,W34/W$4)</f>
        <v>0</v>
      </c>
      <c r="Y34" s="663"/>
      <c r="Z34" s="664">
        <f t="shared" ref="Z34" si="359">IF(Y34=0,0,Y34/Y$4)</f>
        <v>0</v>
      </c>
      <c r="AA34" s="663"/>
      <c r="AB34" s="664">
        <f t="shared" ref="AB34" si="360">IF(AA34=0,0,AA34/AA$4)</f>
        <v>0</v>
      </c>
      <c r="AC34" s="663"/>
      <c r="AD34" s="664">
        <f t="shared" ref="AD34" si="361">IF(AC34=0,0,AC34/AC$4)</f>
        <v>0</v>
      </c>
      <c r="AE34" s="654"/>
    </row>
    <row r="35" spans="1:36" s="556" customFormat="1" ht="15.75" outlineLevel="3">
      <c r="A35" s="609" t="s">
        <v>1742</v>
      </c>
      <c r="B35" s="559" t="s">
        <v>1649</v>
      </c>
      <c r="C35" s="663"/>
      <c r="D35" s="664">
        <f t="shared" si="0"/>
        <v>0</v>
      </c>
      <c r="E35" s="663"/>
      <c r="F35" s="664">
        <f t="shared" si="0"/>
        <v>0</v>
      </c>
      <c r="G35" s="663"/>
      <c r="H35" s="664">
        <f t="shared" ref="H35" si="362">IF(G35=0,0,G35/G$4)</f>
        <v>0</v>
      </c>
      <c r="I35" s="663"/>
      <c r="J35" s="664">
        <f t="shared" ref="J35" si="363">IF(I35=0,0,I35/I$4)</f>
        <v>0</v>
      </c>
      <c r="K35" s="663"/>
      <c r="L35" s="664">
        <f t="shared" ref="L35" si="364">IF(K35=0,0,K35/K$4)</f>
        <v>0</v>
      </c>
      <c r="M35" s="663"/>
      <c r="N35" s="664">
        <f t="shared" ref="N35" si="365">IF(M35=0,0,M35/M$4)</f>
        <v>0</v>
      </c>
      <c r="O35" s="663"/>
      <c r="P35" s="664">
        <f t="shared" ref="P35" si="366">IF(O35=0,0,O35/O$4)</f>
        <v>0</v>
      </c>
      <c r="Q35" s="663"/>
      <c r="R35" s="664">
        <f t="shared" ref="R35" si="367">IF(Q35=0,0,Q35/Q$4)</f>
        <v>0</v>
      </c>
      <c r="S35" s="663"/>
      <c r="T35" s="664">
        <f t="shared" ref="T35" si="368">IF(S35=0,0,S35/S$4)</f>
        <v>0</v>
      </c>
      <c r="U35" s="663"/>
      <c r="V35" s="664">
        <f t="shared" ref="V35" si="369">IF(U35=0,0,U35/U$4)</f>
        <v>0</v>
      </c>
      <c r="W35" s="663"/>
      <c r="X35" s="664">
        <f t="shared" ref="X35" si="370">IF(W35=0,0,W35/W$4)</f>
        <v>0</v>
      </c>
      <c r="Y35" s="663"/>
      <c r="Z35" s="664">
        <f t="shared" ref="Z35" si="371">IF(Y35=0,0,Y35/Y$4)</f>
        <v>0</v>
      </c>
      <c r="AA35" s="663"/>
      <c r="AB35" s="664">
        <f t="shared" ref="AB35" si="372">IF(AA35=0,0,AA35/AA$4)</f>
        <v>0</v>
      </c>
      <c r="AC35" s="663"/>
      <c r="AD35" s="664">
        <f t="shared" ref="AD35" si="373">IF(AC35=0,0,AC35/AC$4)</f>
        <v>0</v>
      </c>
      <c r="AE35" s="654"/>
    </row>
    <row r="36" spans="1:36" s="556" customFormat="1" ht="31.5" outlineLevel="3">
      <c r="A36" s="609" t="s">
        <v>1743</v>
      </c>
      <c r="B36" s="559" t="s">
        <v>1650</v>
      </c>
      <c r="C36" s="663"/>
      <c r="D36" s="664">
        <f t="shared" si="0"/>
        <v>0</v>
      </c>
      <c r="E36" s="663"/>
      <c r="F36" s="664">
        <f t="shared" si="0"/>
        <v>0</v>
      </c>
      <c r="G36" s="663"/>
      <c r="H36" s="664">
        <f t="shared" ref="H36" si="374">IF(G36=0,0,G36/G$4)</f>
        <v>0</v>
      </c>
      <c r="I36" s="663"/>
      <c r="J36" s="664">
        <f t="shared" ref="J36" si="375">IF(I36=0,0,I36/I$4)</f>
        <v>0</v>
      </c>
      <c r="K36" s="663"/>
      <c r="L36" s="664">
        <f t="shared" ref="L36" si="376">IF(K36=0,0,K36/K$4)</f>
        <v>0</v>
      </c>
      <c r="M36" s="663"/>
      <c r="N36" s="664">
        <f t="shared" ref="N36" si="377">IF(M36=0,0,M36/M$4)</f>
        <v>0</v>
      </c>
      <c r="O36" s="663"/>
      <c r="P36" s="664">
        <f t="shared" ref="P36" si="378">IF(O36=0,0,O36/O$4)</f>
        <v>0</v>
      </c>
      <c r="Q36" s="663"/>
      <c r="R36" s="664">
        <f t="shared" ref="R36" si="379">IF(Q36=0,0,Q36/Q$4)</f>
        <v>0</v>
      </c>
      <c r="S36" s="663"/>
      <c r="T36" s="664">
        <f t="shared" ref="T36" si="380">IF(S36=0,0,S36/S$4)</f>
        <v>0</v>
      </c>
      <c r="U36" s="663"/>
      <c r="V36" s="664">
        <f t="shared" ref="V36" si="381">IF(U36=0,0,U36/U$4)</f>
        <v>0</v>
      </c>
      <c r="W36" s="663"/>
      <c r="X36" s="664">
        <f t="shared" ref="X36" si="382">IF(W36=0,0,W36/W$4)</f>
        <v>0</v>
      </c>
      <c r="Y36" s="663"/>
      <c r="Z36" s="664">
        <f t="shared" ref="Z36" si="383">IF(Y36=0,0,Y36/Y$4)</f>
        <v>0</v>
      </c>
      <c r="AA36" s="663"/>
      <c r="AB36" s="664">
        <f t="shared" ref="AB36" si="384">IF(AA36=0,0,AA36/AA$4)</f>
        <v>0</v>
      </c>
      <c r="AC36" s="663"/>
      <c r="AD36" s="664">
        <f t="shared" ref="AD36" si="385">IF(AC36=0,0,AC36/AC$4)</f>
        <v>0</v>
      </c>
      <c r="AE36" s="654"/>
    </row>
    <row r="37" spans="1:36" s="556" customFormat="1" ht="15.75" outlineLevel="3">
      <c r="A37" s="609" t="s">
        <v>1744</v>
      </c>
      <c r="B37" s="559" t="s">
        <v>1651</v>
      </c>
      <c r="C37" s="663"/>
      <c r="D37" s="664">
        <f t="shared" si="0"/>
        <v>0</v>
      </c>
      <c r="E37" s="663"/>
      <c r="F37" s="664">
        <f t="shared" si="0"/>
        <v>0</v>
      </c>
      <c r="G37" s="663"/>
      <c r="H37" s="664">
        <f t="shared" ref="H37" si="386">IF(G37=0,0,G37/G$4)</f>
        <v>0</v>
      </c>
      <c r="I37" s="663"/>
      <c r="J37" s="664">
        <f t="shared" ref="J37" si="387">IF(I37=0,0,I37/I$4)</f>
        <v>0</v>
      </c>
      <c r="K37" s="663"/>
      <c r="L37" s="664">
        <f t="shared" ref="L37" si="388">IF(K37=0,0,K37/K$4)</f>
        <v>0</v>
      </c>
      <c r="M37" s="663"/>
      <c r="N37" s="664">
        <f t="shared" ref="N37" si="389">IF(M37=0,0,M37/M$4)</f>
        <v>0</v>
      </c>
      <c r="O37" s="663"/>
      <c r="P37" s="664">
        <f t="shared" ref="P37" si="390">IF(O37=0,0,O37/O$4)</f>
        <v>0</v>
      </c>
      <c r="Q37" s="663"/>
      <c r="R37" s="664">
        <f t="shared" ref="R37" si="391">IF(Q37=0,0,Q37/Q$4)</f>
        <v>0</v>
      </c>
      <c r="S37" s="663"/>
      <c r="T37" s="664">
        <f t="shared" ref="T37" si="392">IF(S37=0,0,S37/S$4)</f>
        <v>0</v>
      </c>
      <c r="U37" s="663"/>
      <c r="V37" s="664">
        <f t="shared" ref="V37" si="393">IF(U37=0,0,U37/U$4)</f>
        <v>0</v>
      </c>
      <c r="W37" s="663"/>
      <c r="X37" s="664">
        <f t="shared" ref="X37" si="394">IF(W37=0,0,W37/W$4)</f>
        <v>0</v>
      </c>
      <c r="Y37" s="663"/>
      <c r="Z37" s="664">
        <f t="shared" ref="Z37" si="395">IF(Y37=0,0,Y37/Y$4)</f>
        <v>0</v>
      </c>
      <c r="AA37" s="663"/>
      <c r="AB37" s="664">
        <f t="shared" ref="AB37" si="396">IF(AA37=0,0,AA37/AA$4)</f>
        <v>0</v>
      </c>
      <c r="AC37" s="663"/>
      <c r="AD37" s="664">
        <f t="shared" ref="AD37" si="397">IF(AC37=0,0,AC37/AC$4)</f>
        <v>0</v>
      </c>
      <c r="AE37" s="654"/>
    </row>
    <row r="38" spans="1:36" s="556" customFormat="1" ht="15.75" outlineLevel="3">
      <c r="A38" s="609" t="s">
        <v>1745</v>
      </c>
      <c r="B38" s="559" t="s">
        <v>1652</v>
      </c>
      <c r="C38" s="663"/>
      <c r="D38" s="664">
        <f t="shared" si="0"/>
        <v>0</v>
      </c>
      <c r="E38" s="663"/>
      <c r="F38" s="664">
        <f t="shared" si="0"/>
        <v>0</v>
      </c>
      <c r="G38" s="663"/>
      <c r="H38" s="664">
        <f t="shared" ref="H38" si="398">IF(G38=0,0,G38/G$4)</f>
        <v>0</v>
      </c>
      <c r="I38" s="663"/>
      <c r="J38" s="664">
        <f t="shared" ref="J38" si="399">IF(I38=0,0,I38/I$4)</f>
        <v>0</v>
      </c>
      <c r="K38" s="663"/>
      <c r="L38" s="664">
        <f t="shared" ref="L38" si="400">IF(K38=0,0,K38/K$4)</f>
        <v>0</v>
      </c>
      <c r="M38" s="663"/>
      <c r="N38" s="664">
        <f t="shared" ref="N38" si="401">IF(M38=0,0,M38/M$4)</f>
        <v>0</v>
      </c>
      <c r="O38" s="663"/>
      <c r="P38" s="664">
        <f t="shared" ref="P38" si="402">IF(O38=0,0,O38/O$4)</f>
        <v>0</v>
      </c>
      <c r="Q38" s="663"/>
      <c r="R38" s="664">
        <f t="shared" ref="R38" si="403">IF(Q38=0,0,Q38/Q$4)</f>
        <v>0</v>
      </c>
      <c r="S38" s="663"/>
      <c r="T38" s="664">
        <f t="shared" ref="T38" si="404">IF(S38=0,0,S38/S$4)</f>
        <v>0</v>
      </c>
      <c r="U38" s="663"/>
      <c r="V38" s="664">
        <f t="shared" ref="V38" si="405">IF(U38=0,0,U38/U$4)</f>
        <v>0</v>
      </c>
      <c r="W38" s="663"/>
      <c r="X38" s="664">
        <f t="shared" ref="X38" si="406">IF(W38=0,0,W38/W$4)</f>
        <v>0</v>
      </c>
      <c r="Y38" s="663"/>
      <c r="Z38" s="664">
        <f t="shared" ref="Z38" si="407">IF(Y38=0,0,Y38/Y$4)</f>
        <v>0</v>
      </c>
      <c r="AA38" s="663"/>
      <c r="AB38" s="664">
        <f t="shared" ref="AB38" si="408">IF(AA38=0,0,AA38/AA$4)</f>
        <v>0</v>
      </c>
      <c r="AC38" s="663"/>
      <c r="AD38" s="664">
        <f t="shared" ref="AD38" si="409">IF(AC38=0,0,AC38/AC$4)</f>
        <v>0</v>
      </c>
      <c r="AE38" s="654"/>
    </row>
    <row r="39" spans="1:36" s="556" customFormat="1" ht="15.75" outlineLevel="3">
      <c r="A39" s="609" t="s">
        <v>1746</v>
      </c>
      <c r="B39" s="559" t="s">
        <v>1653</v>
      </c>
      <c r="C39" s="663"/>
      <c r="D39" s="664">
        <f t="shared" si="0"/>
        <v>0</v>
      </c>
      <c r="E39" s="663"/>
      <c r="F39" s="664">
        <f t="shared" si="0"/>
        <v>0</v>
      </c>
      <c r="G39" s="663"/>
      <c r="H39" s="664">
        <f t="shared" ref="H39" si="410">IF(G39=0,0,G39/G$4)</f>
        <v>0</v>
      </c>
      <c r="I39" s="663"/>
      <c r="J39" s="664">
        <f t="shared" ref="J39" si="411">IF(I39=0,0,I39/I$4)</f>
        <v>0</v>
      </c>
      <c r="K39" s="663"/>
      <c r="L39" s="664">
        <f t="shared" ref="L39" si="412">IF(K39=0,0,K39/K$4)</f>
        <v>0</v>
      </c>
      <c r="M39" s="663"/>
      <c r="N39" s="664">
        <f t="shared" ref="N39" si="413">IF(M39=0,0,M39/M$4)</f>
        <v>0</v>
      </c>
      <c r="O39" s="663"/>
      <c r="P39" s="664">
        <f t="shared" ref="P39" si="414">IF(O39=0,0,O39/O$4)</f>
        <v>0</v>
      </c>
      <c r="Q39" s="663"/>
      <c r="R39" s="664">
        <f t="shared" ref="R39" si="415">IF(Q39=0,0,Q39/Q$4)</f>
        <v>0</v>
      </c>
      <c r="S39" s="663"/>
      <c r="T39" s="664">
        <f t="shared" ref="T39" si="416">IF(S39=0,0,S39/S$4)</f>
        <v>0</v>
      </c>
      <c r="U39" s="663"/>
      <c r="V39" s="664">
        <f t="shared" ref="V39" si="417">IF(U39=0,0,U39/U$4)</f>
        <v>0</v>
      </c>
      <c r="W39" s="663"/>
      <c r="X39" s="664">
        <f t="shared" ref="X39" si="418">IF(W39=0,0,W39/W$4)</f>
        <v>0</v>
      </c>
      <c r="Y39" s="663"/>
      <c r="Z39" s="664">
        <f t="shared" ref="Z39" si="419">IF(Y39=0,0,Y39/Y$4)</f>
        <v>0</v>
      </c>
      <c r="AA39" s="663"/>
      <c r="AB39" s="664">
        <f t="shared" ref="AB39" si="420">IF(AA39=0,0,AA39/AA$4)</f>
        <v>0</v>
      </c>
      <c r="AC39" s="663"/>
      <c r="AD39" s="664">
        <f t="shared" ref="AD39" si="421">IF(AC39=0,0,AC39/AC$4)</f>
        <v>0</v>
      </c>
      <c r="AE39" s="654"/>
    </row>
    <row r="40" spans="1:36" s="556" customFormat="1" ht="15.75" outlineLevel="2">
      <c r="A40" s="612" t="s">
        <v>1747</v>
      </c>
      <c r="B40" s="560" t="s">
        <v>1654</v>
      </c>
      <c r="C40" s="661"/>
      <c r="D40" s="662">
        <f t="shared" si="0"/>
        <v>0</v>
      </c>
      <c r="E40" s="661"/>
      <c r="F40" s="662">
        <f t="shared" si="0"/>
        <v>0</v>
      </c>
      <c r="G40" s="661"/>
      <c r="H40" s="662">
        <f t="shared" ref="H40" si="422">IF(G40=0,0,G40/G$4)</f>
        <v>0</v>
      </c>
      <c r="I40" s="661"/>
      <c r="J40" s="662">
        <f t="shared" ref="J40" si="423">IF(I40=0,0,I40/I$4)</f>
        <v>0</v>
      </c>
      <c r="K40" s="661"/>
      <c r="L40" s="662">
        <f t="shared" ref="L40" si="424">IF(K40=0,0,K40/K$4)</f>
        <v>0</v>
      </c>
      <c r="M40" s="661"/>
      <c r="N40" s="662">
        <f t="shared" ref="N40" si="425">IF(M40=0,0,M40/M$4)</f>
        <v>0</v>
      </c>
      <c r="O40" s="661"/>
      <c r="P40" s="662">
        <f t="shared" ref="P40" si="426">IF(O40=0,0,O40/O$4)</f>
        <v>0</v>
      </c>
      <c r="Q40" s="661"/>
      <c r="R40" s="662">
        <f t="shared" ref="R40" si="427">IF(Q40=0,0,Q40/Q$4)</f>
        <v>0</v>
      </c>
      <c r="S40" s="661"/>
      <c r="T40" s="662">
        <f t="shared" ref="T40" si="428">IF(S40=0,0,S40/S$4)</f>
        <v>0</v>
      </c>
      <c r="U40" s="661"/>
      <c r="V40" s="662">
        <f t="shared" ref="V40" si="429">IF(U40=0,0,U40/U$4)</f>
        <v>0</v>
      </c>
      <c r="W40" s="661"/>
      <c r="X40" s="662">
        <f t="shared" ref="X40" si="430">IF(W40=0,0,W40/W$4)</f>
        <v>0</v>
      </c>
      <c r="Y40" s="661"/>
      <c r="Z40" s="662">
        <f t="shared" ref="Z40" si="431">IF(Y40=0,0,Y40/Y$4)</f>
        <v>0</v>
      </c>
      <c r="AA40" s="661"/>
      <c r="AB40" s="662">
        <f t="shared" ref="AB40" si="432">IF(AA40=0,0,AA40/AA$4)</f>
        <v>0</v>
      </c>
      <c r="AC40" s="661"/>
      <c r="AD40" s="662">
        <f t="shared" ref="AD40" si="433">IF(AC40=0,0,AC40/AC$4)</f>
        <v>0</v>
      </c>
      <c r="AE40" s="654"/>
    </row>
    <row r="41" spans="1:36" s="556" customFormat="1" ht="15.75" outlineLevel="3">
      <c r="A41" s="609" t="s">
        <v>1748</v>
      </c>
      <c r="B41" s="559" t="s">
        <v>1655</v>
      </c>
      <c r="C41" s="663"/>
      <c r="D41" s="664">
        <f t="shared" si="0"/>
        <v>0</v>
      </c>
      <c r="E41" s="663"/>
      <c r="F41" s="664">
        <f t="shared" si="0"/>
        <v>0</v>
      </c>
      <c r="G41" s="663"/>
      <c r="H41" s="664">
        <f t="shared" ref="H41" si="434">IF(G41=0,0,G41/G$4)</f>
        <v>0</v>
      </c>
      <c r="I41" s="663"/>
      <c r="J41" s="664">
        <f t="shared" ref="J41" si="435">IF(I41=0,0,I41/I$4)</f>
        <v>0</v>
      </c>
      <c r="K41" s="663"/>
      <c r="L41" s="664">
        <f t="shared" ref="L41" si="436">IF(K41=0,0,K41/K$4)</f>
        <v>0</v>
      </c>
      <c r="M41" s="663"/>
      <c r="N41" s="664">
        <f t="shared" ref="N41" si="437">IF(M41=0,0,M41/M$4)</f>
        <v>0</v>
      </c>
      <c r="O41" s="663"/>
      <c r="P41" s="664">
        <f t="shared" ref="P41" si="438">IF(O41=0,0,O41/O$4)</f>
        <v>0</v>
      </c>
      <c r="Q41" s="663"/>
      <c r="R41" s="664">
        <f t="shared" ref="R41" si="439">IF(Q41=0,0,Q41/Q$4)</f>
        <v>0</v>
      </c>
      <c r="S41" s="663"/>
      <c r="T41" s="664">
        <f t="shared" ref="T41" si="440">IF(S41=0,0,S41/S$4)</f>
        <v>0</v>
      </c>
      <c r="U41" s="663"/>
      <c r="V41" s="664">
        <f t="shared" ref="V41" si="441">IF(U41=0,0,U41/U$4)</f>
        <v>0</v>
      </c>
      <c r="W41" s="663"/>
      <c r="X41" s="664">
        <f t="shared" ref="X41" si="442">IF(W41=0,0,W41/W$4)</f>
        <v>0</v>
      </c>
      <c r="Y41" s="663"/>
      <c r="Z41" s="664">
        <f t="shared" ref="Z41" si="443">IF(Y41=0,0,Y41/Y$4)</f>
        <v>0</v>
      </c>
      <c r="AA41" s="663"/>
      <c r="AB41" s="664">
        <f t="shared" ref="AB41" si="444">IF(AA41=0,0,AA41/AA$4)</f>
        <v>0</v>
      </c>
      <c r="AC41" s="663"/>
      <c r="AD41" s="664">
        <f t="shared" ref="AD41" si="445">IF(AC41=0,0,AC41/AC$4)</f>
        <v>0</v>
      </c>
      <c r="AE41" s="654"/>
    </row>
    <row r="42" spans="1:36" s="556" customFormat="1" ht="15.75" outlineLevel="3">
      <c r="A42" s="609" t="s">
        <v>1749</v>
      </c>
      <c r="B42" s="559" t="s">
        <v>1656</v>
      </c>
      <c r="C42" s="663"/>
      <c r="D42" s="664">
        <f t="shared" si="0"/>
        <v>0</v>
      </c>
      <c r="E42" s="663"/>
      <c r="F42" s="664">
        <f t="shared" si="0"/>
        <v>0</v>
      </c>
      <c r="G42" s="663"/>
      <c r="H42" s="664">
        <f t="shared" ref="H42" si="446">IF(G42=0,0,G42/G$4)</f>
        <v>0</v>
      </c>
      <c r="I42" s="663"/>
      <c r="J42" s="664">
        <f t="shared" ref="J42" si="447">IF(I42=0,0,I42/I$4)</f>
        <v>0</v>
      </c>
      <c r="K42" s="663"/>
      <c r="L42" s="664">
        <f t="shared" ref="L42" si="448">IF(K42=0,0,K42/K$4)</f>
        <v>0</v>
      </c>
      <c r="M42" s="663"/>
      <c r="N42" s="664">
        <f t="shared" ref="N42" si="449">IF(M42=0,0,M42/M$4)</f>
        <v>0</v>
      </c>
      <c r="O42" s="663"/>
      <c r="P42" s="664">
        <f t="shared" ref="P42" si="450">IF(O42=0,0,O42/O$4)</f>
        <v>0</v>
      </c>
      <c r="Q42" s="663"/>
      <c r="R42" s="664">
        <f t="shared" ref="R42" si="451">IF(Q42=0,0,Q42/Q$4)</f>
        <v>0</v>
      </c>
      <c r="S42" s="663"/>
      <c r="T42" s="664">
        <f t="shared" ref="T42" si="452">IF(S42=0,0,S42/S$4)</f>
        <v>0</v>
      </c>
      <c r="U42" s="663"/>
      <c r="V42" s="664">
        <f t="shared" ref="V42" si="453">IF(U42=0,0,U42/U$4)</f>
        <v>0</v>
      </c>
      <c r="W42" s="663"/>
      <c r="X42" s="664">
        <f t="shared" ref="X42" si="454">IF(W42=0,0,W42/W$4)</f>
        <v>0</v>
      </c>
      <c r="Y42" s="663"/>
      <c r="Z42" s="664">
        <f t="shared" ref="Z42" si="455">IF(Y42=0,0,Y42/Y$4)</f>
        <v>0</v>
      </c>
      <c r="AA42" s="663"/>
      <c r="AB42" s="664">
        <f t="shared" ref="AB42" si="456">IF(AA42=0,0,AA42/AA$4)</f>
        <v>0</v>
      </c>
      <c r="AC42" s="663"/>
      <c r="AD42" s="664">
        <f t="shared" ref="AD42" si="457">IF(AC42=0,0,AC42/AC$4)</f>
        <v>0</v>
      </c>
      <c r="AE42" s="654"/>
    </row>
    <row r="43" spans="1:36" s="556" customFormat="1" ht="15.75" outlineLevel="3">
      <c r="A43" s="609" t="s">
        <v>1750</v>
      </c>
      <c r="B43" s="559" t="s">
        <v>1657</v>
      </c>
      <c r="C43" s="663"/>
      <c r="D43" s="664">
        <f t="shared" si="0"/>
        <v>0</v>
      </c>
      <c r="E43" s="663"/>
      <c r="F43" s="664">
        <f t="shared" si="0"/>
        <v>0</v>
      </c>
      <c r="G43" s="663"/>
      <c r="H43" s="664">
        <f t="shared" ref="H43" si="458">IF(G43=0,0,G43/G$4)</f>
        <v>0</v>
      </c>
      <c r="I43" s="663"/>
      <c r="J43" s="664">
        <f t="shared" ref="J43" si="459">IF(I43=0,0,I43/I$4)</f>
        <v>0</v>
      </c>
      <c r="K43" s="663"/>
      <c r="L43" s="664">
        <f t="shared" ref="L43" si="460">IF(K43=0,0,K43/K$4)</f>
        <v>0</v>
      </c>
      <c r="M43" s="663"/>
      <c r="N43" s="664">
        <f t="shared" ref="N43" si="461">IF(M43=0,0,M43/M$4)</f>
        <v>0</v>
      </c>
      <c r="O43" s="663"/>
      <c r="P43" s="664">
        <f t="shared" ref="P43" si="462">IF(O43=0,0,O43/O$4)</f>
        <v>0</v>
      </c>
      <c r="Q43" s="663"/>
      <c r="R43" s="664">
        <f t="shared" ref="R43" si="463">IF(Q43=0,0,Q43/Q$4)</f>
        <v>0</v>
      </c>
      <c r="S43" s="663"/>
      <c r="T43" s="664">
        <f t="shared" ref="T43" si="464">IF(S43=0,0,S43/S$4)</f>
        <v>0</v>
      </c>
      <c r="U43" s="663"/>
      <c r="V43" s="664">
        <f t="shared" ref="V43" si="465">IF(U43=0,0,U43/U$4)</f>
        <v>0</v>
      </c>
      <c r="W43" s="663"/>
      <c r="X43" s="664">
        <f t="shared" ref="X43" si="466">IF(W43=0,0,W43/W$4)</f>
        <v>0</v>
      </c>
      <c r="Y43" s="663"/>
      <c r="Z43" s="664">
        <f t="shared" ref="Z43" si="467">IF(Y43=0,0,Y43/Y$4)</f>
        <v>0</v>
      </c>
      <c r="AA43" s="663"/>
      <c r="AB43" s="664">
        <f t="shared" ref="AB43" si="468">IF(AA43=0,0,AA43/AA$4)</f>
        <v>0</v>
      </c>
      <c r="AC43" s="663"/>
      <c r="AD43" s="664">
        <f t="shared" ref="AD43" si="469">IF(AC43=0,0,AC43/AC$4)</f>
        <v>0</v>
      </c>
      <c r="AE43" s="654"/>
    </row>
    <row r="44" spans="1:36" s="556" customFormat="1" ht="15.75" outlineLevel="3">
      <c r="A44" s="609" t="s">
        <v>1751</v>
      </c>
      <c r="B44" s="559" t="s">
        <v>1658</v>
      </c>
      <c r="C44" s="663"/>
      <c r="D44" s="664">
        <f t="shared" si="0"/>
        <v>0</v>
      </c>
      <c r="E44" s="663"/>
      <c r="F44" s="664">
        <f t="shared" si="0"/>
        <v>0</v>
      </c>
      <c r="G44" s="663"/>
      <c r="H44" s="664">
        <f t="shared" ref="H44" si="470">IF(G44=0,0,G44/G$4)</f>
        <v>0</v>
      </c>
      <c r="I44" s="663"/>
      <c r="J44" s="664">
        <f t="shared" ref="J44" si="471">IF(I44=0,0,I44/I$4)</f>
        <v>0</v>
      </c>
      <c r="K44" s="663"/>
      <c r="L44" s="664">
        <f t="shared" ref="L44" si="472">IF(K44=0,0,K44/K$4)</f>
        <v>0</v>
      </c>
      <c r="M44" s="663"/>
      <c r="N44" s="664">
        <f t="shared" ref="N44" si="473">IF(M44=0,0,M44/M$4)</f>
        <v>0</v>
      </c>
      <c r="O44" s="663"/>
      <c r="P44" s="664">
        <f t="shared" ref="P44" si="474">IF(O44=0,0,O44/O$4)</f>
        <v>0</v>
      </c>
      <c r="Q44" s="663"/>
      <c r="R44" s="664">
        <f t="shared" ref="R44" si="475">IF(Q44=0,0,Q44/Q$4)</f>
        <v>0</v>
      </c>
      <c r="S44" s="663"/>
      <c r="T44" s="664">
        <f t="shared" ref="T44" si="476">IF(S44=0,0,S44/S$4)</f>
        <v>0</v>
      </c>
      <c r="U44" s="663"/>
      <c r="V44" s="664">
        <f t="shared" ref="V44" si="477">IF(U44=0,0,U44/U$4)</f>
        <v>0</v>
      </c>
      <c r="W44" s="663"/>
      <c r="X44" s="664">
        <f t="shared" ref="X44" si="478">IF(W44=0,0,W44/W$4)</f>
        <v>0</v>
      </c>
      <c r="Y44" s="663"/>
      <c r="Z44" s="664">
        <f t="shared" ref="Z44" si="479">IF(Y44=0,0,Y44/Y$4)</f>
        <v>0</v>
      </c>
      <c r="AA44" s="663"/>
      <c r="AB44" s="664">
        <f t="shared" ref="AB44" si="480">IF(AA44=0,0,AA44/AA$4)</f>
        <v>0</v>
      </c>
      <c r="AC44" s="663"/>
      <c r="AD44" s="664">
        <f t="shared" ref="AD44" si="481">IF(AC44=0,0,AC44/AC$4)</f>
        <v>0</v>
      </c>
      <c r="AE44" s="654"/>
    </row>
    <row r="45" spans="1:36" s="556" customFormat="1" ht="15.75" outlineLevel="2">
      <c r="A45" s="612" t="s">
        <v>1752</v>
      </c>
      <c r="B45" s="560" t="s">
        <v>1659</v>
      </c>
      <c r="C45" s="661">
        <f>C46</f>
        <v>262383619.68751284</v>
      </c>
      <c r="D45" s="662">
        <f t="shared" si="0"/>
        <v>1629.5811154982684</v>
      </c>
      <c r="E45" s="661"/>
      <c r="F45" s="662">
        <f t="shared" si="0"/>
        <v>0</v>
      </c>
      <c r="G45" s="661"/>
      <c r="H45" s="662">
        <f t="shared" ref="H45" si="482">IF(G45=0,0,G45/G$4)</f>
        <v>0</v>
      </c>
      <c r="I45" s="661"/>
      <c r="J45" s="662">
        <f t="shared" ref="J45" si="483">IF(I45=0,0,I45/I$4)</f>
        <v>0</v>
      </c>
      <c r="K45" s="661"/>
      <c r="L45" s="662">
        <f t="shared" ref="L45" si="484">IF(K45=0,0,K45/K$4)</f>
        <v>0</v>
      </c>
      <c r="M45" s="661"/>
      <c r="N45" s="662">
        <f t="shared" ref="N45" si="485">IF(M45=0,0,M45/M$4)</f>
        <v>0</v>
      </c>
      <c r="O45" s="661"/>
      <c r="P45" s="662">
        <f t="shared" ref="P45" si="486">IF(O45=0,0,O45/O$4)</f>
        <v>0</v>
      </c>
      <c r="Q45" s="661"/>
      <c r="R45" s="662">
        <f t="shared" ref="R45" si="487">IF(Q45=0,0,Q45/Q$4)</f>
        <v>0</v>
      </c>
      <c r="S45" s="661"/>
      <c r="T45" s="662">
        <f t="shared" ref="T45" si="488">IF(S45=0,0,S45/S$4)</f>
        <v>0</v>
      </c>
      <c r="U45" s="661"/>
      <c r="V45" s="662">
        <f t="shared" ref="V45" si="489">IF(U45=0,0,U45/U$4)</f>
        <v>0</v>
      </c>
      <c r="W45" s="661"/>
      <c r="X45" s="662">
        <f t="shared" ref="X45" si="490">IF(W45=0,0,W45/W$4)</f>
        <v>0</v>
      </c>
      <c r="Y45" s="661"/>
      <c r="Z45" s="662">
        <f t="shared" ref="Z45" si="491">IF(Y45=0,0,Y45/Y$4)</f>
        <v>0</v>
      </c>
      <c r="AA45" s="661"/>
      <c r="AB45" s="662">
        <f t="shared" ref="AB45" si="492">IF(AA45=0,0,AA45/AA$4)</f>
        <v>0</v>
      </c>
      <c r="AC45" s="661">
        <f>AC46</f>
        <v>262383619.68751284</v>
      </c>
      <c r="AD45" s="662">
        <f t="shared" ref="AD45" si="493">IF(AC45=0,0,AC45/AC$4)</f>
        <v>1629.5811154982684</v>
      </c>
      <c r="AE45" s="654"/>
    </row>
    <row r="46" spans="1:36" s="68" customFormat="1" outlineLevel="3">
      <c r="A46" s="117"/>
      <c r="B46" s="118" t="s">
        <v>197</v>
      </c>
      <c r="C46" s="663">
        <f>Калькулятор_жилье!K559</f>
        <v>262383619.68751284</v>
      </c>
      <c r="D46" s="664">
        <f t="shared" si="0"/>
        <v>1629.5811154982684</v>
      </c>
      <c r="E46" s="663"/>
      <c r="F46" s="664">
        <f t="shared" si="0"/>
        <v>0</v>
      </c>
      <c r="G46" s="663"/>
      <c r="H46" s="664">
        <f t="shared" ref="H46" si="494">IF(G46=0,0,G46/G$4)</f>
        <v>0</v>
      </c>
      <c r="I46" s="663"/>
      <c r="J46" s="664">
        <f t="shared" ref="J46" si="495">IF(I46=0,0,I46/I$4)</f>
        <v>0</v>
      </c>
      <c r="K46" s="663"/>
      <c r="L46" s="664">
        <f t="shared" ref="L46" si="496">IF(K46=0,0,K46/K$4)</f>
        <v>0</v>
      </c>
      <c r="M46" s="663"/>
      <c r="N46" s="664">
        <f t="shared" ref="N46" si="497">IF(M46=0,0,M46/M$4)</f>
        <v>0</v>
      </c>
      <c r="O46" s="663"/>
      <c r="P46" s="664">
        <f t="shared" ref="P46" si="498">IF(O46=0,0,O46/O$4)</f>
        <v>0</v>
      </c>
      <c r="Q46" s="663"/>
      <c r="R46" s="664">
        <f t="shared" ref="R46" si="499">IF(Q46=0,0,Q46/Q$4)</f>
        <v>0</v>
      </c>
      <c r="S46" s="663"/>
      <c r="T46" s="664">
        <f t="shared" ref="T46" si="500">IF(S46=0,0,S46/S$4)</f>
        <v>0</v>
      </c>
      <c r="U46" s="663"/>
      <c r="V46" s="664">
        <f t="shared" ref="V46" si="501">IF(U46=0,0,U46/U$4)</f>
        <v>0</v>
      </c>
      <c r="W46" s="663"/>
      <c r="X46" s="664">
        <f t="shared" ref="X46" si="502">IF(W46=0,0,W46/W$4)</f>
        <v>0</v>
      </c>
      <c r="Y46" s="663"/>
      <c r="Z46" s="664">
        <f t="shared" ref="Z46" si="503">IF(Y46=0,0,Y46/Y$4)</f>
        <v>0</v>
      </c>
      <c r="AA46" s="663"/>
      <c r="AB46" s="664">
        <f t="shared" ref="AB46" si="504">IF(AA46=0,0,AA46/AA$4)</f>
        <v>0</v>
      </c>
      <c r="AC46" s="663">
        <f>C46+E46+G46+I46+K46+M46+O46+Q46+S46+U46+W46+AA46+Y46</f>
        <v>262383619.68751284</v>
      </c>
      <c r="AD46" s="664">
        <f t="shared" ref="AD46" si="505">IF(AC46=0,0,AC46/AC$4)</f>
        <v>1629.5811154982684</v>
      </c>
      <c r="AE46" s="665"/>
      <c r="AF46" s="114"/>
      <c r="AG46" s="114"/>
      <c r="AH46" s="114"/>
      <c r="AI46" s="114"/>
      <c r="AJ46" s="114"/>
    </row>
    <row r="47" spans="1:36" s="556" customFormat="1" ht="15.75" outlineLevel="2">
      <c r="A47" s="612" t="s">
        <v>1753</v>
      </c>
      <c r="B47" s="560" t="s">
        <v>1660</v>
      </c>
      <c r="C47" s="661"/>
      <c r="D47" s="662">
        <f t="shared" si="0"/>
        <v>0</v>
      </c>
      <c r="E47" s="661"/>
      <c r="F47" s="662">
        <f t="shared" si="0"/>
        <v>0</v>
      </c>
      <c r="G47" s="661"/>
      <c r="H47" s="662">
        <f t="shared" ref="H47" si="506">IF(G47=0,0,G47/G$4)</f>
        <v>0</v>
      </c>
      <c r="I47" s="661"/>
      <c r="J47" s="662">
        <f t="shared" ref="J47" si="507">IF(I47=0,0,I47/I$4)</f>
        <v>0</v>
      </c>
      <c r="K47" s="661"/>
      <c r="L47" s="662">
        <f t="shared" ref="L47" si="508">IF(K47=0,0,K47/K$4)</f>
        <v>0</v>
      </c>
      <c r="M47" s="661"/>
      <c r="N47" s="662">
        <f t="shared" ref="N47" si="509">IF(M47=0,0,M47/M$4)</f>
        <v>0</v>
      </c>
      <c r="O47" s="661"/>
      <c r="P47" s="662">
        <f t="shared" ref="P47" si="510">IF(O47=0,0,O47/O$4)</f>
        <v>0</v>
      </c>
      <c r="Q47" s="661"/>
      <c r="R47" s="662">
        <f t="shared" ref="R47" si="511">IF(Q47=0,0,Q47/Q$4)</f>
        <v>0</v>
      </c>
      <c r="S47" s="661"/>
      <c r="T47" s="662">
        <f t="shared" ref="T47" si="512">IF(S47=0,0,S47/S$4)</f>
        <v>0</v>
      </c>
      <c r="U47" s="661"/>
      <c r="V47" s="662">
        <f t="shared" ref="V47" si="513">IF(U47=0,0,U47/U$4)</f>
        <v>0</v>
      </c>
      <c r="W47" s="661"/>
      <c r="X47" s="662">
        <f t="shared" ref="X47" si="514">IF(W47=0,0,W47/W$4)</f>
        <v>0</v>
      </c>
      <c r="Y47" s="661"/>
      <c r="Z47" s="662">
        <f t="shared" ref="Z47" si="515">IF(Y47=0,0,Y47/Y$4)</f>
        <v>0</v>
      </c>
      <c r="AA47" s="661"/>
      <c r="AB47" s="662">
        <f t="shared" ref="AB47" si="516">IF(AA47=0,0,AA47/AA$4)</f>
        <v>0</v>
      </c>
      <c r="AC47" s="661"/>
      <c r="AD47" s="662">
        <f t="shared" ref="AD47" si="517">IF(AC47=0,0,AC47/AC$4)</f>
        <v>0</v>
      </c>
      <c r="AE47" s="654"/>
    </row>
    <row r="48" spans="1:36" s="556" customFormat="1" ht="15.75" outlineLevel="2">
      <c r="A48" s="612" t="s">
        <v>1754</v>
      </c>
      <c r="B48" s="560" t="s">
        <v>1661</v>
      </c>
      <c r="C48" s="661"/>
      <c r="D48" s="662">
        <f t="shared" si="0"/>
        <v>0</v>
      </c>
      <c r="E48" s="661"/>
      <c r="F48" s="662">
        <f t="shared" si="0"/>
        <v>0</v>
      </c>
      <c r="G48" s="661"/>
      <c r="H48" s="662">
        <f t="shared" ref="H48" si="518">IF(G48=0,0,G48/G$4)</f>
        <v>0</v>
      </c>
      <c r="I48" s="661"/>
      <c r="J48" s="662">
        <f t="shared" ref="J48" si="519">IF(I48=0,0,I48/I$4)</f>
        <v>0</v>
      </c>
      <c r="K48" s="661"/>
      <c r="L48" s="662">
        <f t="shared" ref="L48" si="520">IF(K48=0,0,K48/K$4)</f>
        <v>0</v>
      </c>
      <c r="M48" s="661"/>
      <c r="N48" s="662">
        <f t="shared" ref="N48" si="521">IF(M48=0,0,M48/M$4)</f>
        <v>0</v>
      </c>
      <c r="O48" s="661"/>
      <c r="P48" s="662">
        <f t="shared" ref="P48" si="522">IF(O48=0,0,O48/O$4)</f>
        <v>0</v>
      </c>
      <c r="Q48" s="661"/>
      <c r="R48" s="662">
        <f t="shared" ref="R48" si="523">IF(Q48=0,0,Q48/Q$4)</f>
        <v>0</v>
      </c>
      <c r="S48" s="661"/>
      <c r="T48" s="662">
        <f t="shared" ref="T48" si="524">IF(S48=0,0,S48/S$4)</f>
        <v>0</v>
      </c>
      <c r="U48" s="661"/>
      <c r="V48" s="662">
        <f t="shared" ref="V48" si="525">IF(U48=0,0,U48/U$4)</f>
        <v>0</v>
      </c>
      <c r="W48" s="661"/>
      <c r="X48" s="662">
        <f t="shared" ref="X48" si="526">IF(W48=0,0,W48/W$4)</f>
        <v>0</v>
      </c>
      <c r="Y48" s="661"/>
      <c r="Z48" s="662">
        <f t="shared" ref="Z48" si="527">IF(Y48=0,0,Y48/Y$4)</f>
        <v>0</v>
      </c>
      <c r="AA48" s="661"/>
      <c r="AB48" s="662">
        <f t="shared" ref="AB48" si="528">IF(AA48=0,0,AA48/AA$4)</f>
        <v>0</v>
      </c>
      <c r="AC48" s="661"/>
      <c r="AD48" s="662">
        <f t="shared" ref="AD48" si="529">IF(AC48=0,0,AC48/AC$4)</f>
        <v>0</v>
      </c>
      <c r="AE48" s="654"/>
    </row>
    <row r="49" spans="1:31" s="556" customFormat="1" ht="15.75" outlineLevel="1" collapsed="1">
      <c r="A49" s="609" t="s">
        <v>1611</v>
      </c>
      <c r="B49" s="559" t="s">
        <v>408</v>
      </c>
      <c r="C49" s="659">
        <f>SUM(C50:C51,C73:C79,)</f>
        <v>148466012.33388945</v>
      </c>
      <c r="D49" s="660">
        <f t="shared" si="0"/>
        <v>922.07512908304216</v>
      </c>
      <c r="E49" s="659"/>
      <c r="F49" s="660">
        <f t="shared" si="0"/>
        <v>0</v>
      </c>
      <c r="G49" s="659"/>
      <c r="H49" s="660">
        <f t="shared" ref="H49" si="530">IF(G49=0,0,G49/G$4)</f>
        <v>0</v>
      </c>
      <c r="I49" s="659"/>
      <c r="J49" s="660">
        <f t="shared" ref="J49" si="531">IF(I49=0,0,I49/I$4)</f>
        <v>0</v>
      </c>
      <c r="K49" s="659"/>
      <c r="L49" s="660">
        <f t="shared" ref="L49" si="532">IF(K49=0,0,K49/K$4)</f>
        <v>0</v>
      </c>
      <c r="M49" s="659"/>
      <c r="N49" s="660">
        <f t="shared" ref="N49" si="533">IF(M49=0,0,M49/M$4)</f>
        <v>0</v>
      </c>
      <c r="O49" s="659"/>
      <c r="P49" s="660">
        <f t="shared" ref="P49" si="534">IF(O49=0,0,O49/O$4)</f>
        <v>0</v>
      </c>
      <c r="Q49" s="659"/>
      <c r="R49" s="660">
        <f t="shared" ref="R49" si="535">IF(Q49=0,0,Q49/Q$4)</f>
        <v>0</v>
      </c>
      <c r="S49" s="659"/>
      <c r="T49" s="660">
        <f t="shared" ref="T49" si="536">IF(S49=0,0,S49/S$4)</f>
        <v>0</v>
      </c>
      <c r="U49" s="659"/>
      <c r="V49" s="660">
        <f t="shared" ref="V49" si="537">IF(U49=0,0,U49/U$4)</f>
        <v>0</v>
      </c>
      <c r="W49" s="659"/>
      <c r="X49" s="660">
        <f t="shared" ref="X49" si="538">IF(W49=0,0,W49/W$4)</f>
        <v>0</v>
      </c>
      <c r="Y49" s="659"/>
      <c r="Z49" s="660">
        <f t="shared" ref="Z49" si="539">IF(Y49=0,0,Y49/Y$4)</f>
        <v>0</v>
      </c>
      <c r="AA49" s="659"/>
      <c r="AB49" s="660">
        <f t="shared" ref="AB49" si="540">IF(AA49=0,0,AA49/AA$4)</f>
        <v>0</v>
      </c>
      <c r="AC49" s="659">
        <f>SUM(AC50:AC51,AC73:AC79,)</f>
        <v>148466012.33388945</v>
      </c>
      <c r="AD49" s="660">
        <f t="shared" ref="AD49" si="541">IF(AC49=0,0,AC49/AC$4)</f>
        <v>922.07512908304216</v>
      </c>
      <c r="AE49" s="654"/>
    </row>
    <row r="50" spans="1:31" s="556" customFormat="1" ht="15.75" hidden="1" outlineLevel="2">
      <c r="A50" s="612" t="s">
        <v>1755</v>
      </c>
      <c r="B50" s="560" t="s">
        <v>1662</v>
      </c>
      <c r="C50" s="661">
        <f>Калькулятор_жилье!K607</f>
        <v>148466012.33388945</v>
      </c>
      <c r="D50" s="662">
        <f t="shared" si="0"/>
        <v>922.07512908304216</v>
      </c>
      <c r="E50" s="661"/>
      <c r="F50" s="662">
        <f t="shared" si="0"/>
        <v>0</v>
      </c>
      <c r="G50" s="661"/>
      <c r="H50" s="662">
        <f t="shared" ref="H50" si="542">IF(G50=0,0,G50/G$4)</f>
        <v>0</v>
      </c>
      <c r="I50" s="661"/>
      <c r="J50" s="662">
        <f t="shared" ref="J50" si="543">IF(I50=0,0,I50/I$4)</f>
        <v>0</v>
      </c>
      <c r="K50" s="661"/>
      <c r="L50" s="662">
        <f t="shared" ref="L50" si="544">IF(K50=0,0,K50/K$4)</f>
        <v>0</v>
      </c>
      <c r="M50" s="661"/>
      <c r="N50" s="662">
        <f t="shared" ref="N50" si="545">IF(M50=0,0,M50/M$4)</f>
        <v>0</v>
      </c>
      <c r="O50" s="661"/>
      <c r="P50" s="662">
        <f t="shared" ref="P50" si="546">IF(O50=0,0,O50/O$4)</f>
        <v>0</v>
      </c>
      <c r="Q50" s="661"/>
      <c r="R50" s="662">
        <f t="shared" ref="R50" si="547">IF(Q50=0,0,Q50/Q$4)</f>
        <v>0</v>
      </c>
      <c r="S50" s="661"/>
      <c r="T50" s="662">
        <f t="shared" ref="T50" si="548">IF(S50=0,0,S50/S$4)</f>
        <v>0</v>
      </c>
      <c r="U50" s="661"/>
      <c r="V50" s="662">
        <f t="shared" ref="V50" si="549">IF(U50=0,0,U50/U$4)</f>
        <v>0</v>
      </c>
      <c r="W50" s="661"/>
      <c r="X50" s="662">
        <f t="shared" ref="X50" si="550">IF(W50=0,0,W50/W$4)</f>
        <v>0</v>
      </c>
      <c r="Y50" s="661"/>
      <c r="Z50" s="662">
        <f t="shared" ref="Z50" si="551">IF(Y50=0,0,Y50/Y$4)</f>
        <v>0</v>
      </c>
      <c r="AA50" s="661"/>
      <c r="AB50" s="662">
        <f t="shared" ref="AB50" si="552">IF(AA50=0,0,AA50/AA$4)</f>
        <v>0</v>
      </c>
      <c r="AC50" s="661">
        <f>C50+E50+G50+I50+K50+M50+O50+Q50+S50+U50+W50+AA50+Y50</f>
        <v>148466012.33388945</v>
      </c>
      <c r="AD50" s="662">
        <f t="shared" ref="AD50" si="553">IF(AC50=0,0,AC50/AC$4)</f>
        <v>922.07512908304216</v>
      </c>
      <c r="AE50" s="654"/>
    </row>
    <row r="51" spans="1:31" s="556" customFormat="1" ht="15.75" hidden="1" outlineLevel="2">
      <c r="A51" s="612" t="s">
        <v>1756</v>
      </c>
      <c r="B51" s="560" t="s">
        <v>1663</v>
      </c>
      <c r="C51" s="661"/>
      <c r="D51" s="662">
        <f t="shared" si="0"/>
        <v>0</v>
      </c>
      <c r="E51" s="661"/>
      <c r="F51" s="662">
        <f t="shared" si="0"/>
        <v>0</v>
      </c>
      <c r="G51" s="661"/>
      <c r="H51" s="662">
        <f t="shared" ref="H51" si="554">IF(G51=0,0,G51/G$4)</f>
        <v>0</v>
      </c>
      <c r="I51" s="661"/>
      <c r="J51" s="662">
        <f t="shared" ref="J51" si="555">IF(I51=0,0,I51/I$4)</f>
        <v>0</v>
      </c>
      <c r="K51" s="661"/>
      <c r="L51" s="662">
        <f t="shared" ref="L51" si="556">IF(K51=0,0,K51/K$4)</f>
        <v>0</v>
      </c>
      <c r="M51" s="661"/>
      <c r="N51" s="662">
        <f t="shared" ref="N51" si="557">IF(M51=0,0,M51/M$4)</f>
        <v>0</v>
      </c>
      <c r="O51" s="661"/>
      <c r="P51" s="662">
        <f t="shared" ref="P51" si="558">IF(O51=0,0,O51/O$4)</f>
        <v>0</v>
      </c>
      <c r="Q51" s="661"/>
      <c r="R51" s="662">
        <f t="shared" ref="R51" si="559">IF(Q51=0,0,Q51/Q$4)</f>
        <v>0</v>
      </c>
      <c r="S51" s="661"/>
      <c r="T51" s="662">
        <f t="shared" ref="T51" si="560">IF(S51=0,0,S51/S$4)</f>
        <v>0</v>
      </c>
      <c r="U51" s="661"/>
      <c r="V51" s="662">
        <f t="shared" ref="V51" si="561">IF(U51=0,0,U51/U$4)</f>
        <v>0</v>
      </c>
      <c r="W51" s="661"/>
      <c r="X51" s="662">
        <f t="shared" ref="X51" si="562">IF(W51=0,0,W51/W$4)</f>
        <v>0</v>
      </c>
      <c r="Y51" s="661"/>
      <c r="Z51" s="662">
        <f t="shared" ref="Z51" si="563">IF(Y51=0,0,Y51/Y$4)</f>
        <v>0</v>
      </c>
      <c r="AA51" s="661"/>
      <c r="AB51" s="662">
        <f t="shared" ref="AB51" si="564">IF(AA51=0,0,AA51/AA$4)</f>
        <v>0</v>
      </c>
      <c r="AC51" s="661"/>
      <c r="AD51" s="662">
        <f t="shared" ref="AD51" si="565">IF(AC51=0,0,AC51/AC$4)</f>
        <v>0</v>
      </c>
      <c r="AE51" s="654"/>
    </row>
    <row r="52" spans="1:31" s="556" customFormat="1" ht="31.5" hidden="1" outlineLevel="3">
      <c r="A52" s="609" t="s">
        <v>1757</v>
      </c>
      <c r="B52" s="559" t="s">
        <v>1664</v>
      </c>
      <c r="C52" s="661"/>
      <c r="D52" s="662">
        <f t="shared" si="0"/>
        <v>0</v>
      </c>
      <c r="E52" s="661"/>
      <c r="F52" s="662">
        <f t="shared" si="0"/>
        <v>0</v>
      </c>
      <c r="G52" s="661"/>
      <c r="H52" s="662">
        <f t="shared" ref="H52" si="566">IF(G52=0,0,G52/G$4)</f>
        <v>0</v>
      </c>
      <c r="I52" s="661"/>
      <c r="J52" s="662">
        <f t="shared" ref="J52" si="567">IF(I52=0,0,I52/I$4)</f>
        <v>0</v>
      </c>
      <c r="K52" s="661"/>
      <c r="L52" s="662">
        <f t="shared" ref="L52" si="568">IF(K52=0,0,K52/K$4)</f>
        <v>0</v>
      </c>
      <c r="M52" s="661"/>
      <c r="N52" s="662">
        <f t="shared" ref="N52" si="569">IF(M52=0,0,M52/M$4)</f>
        <v>0</v>
      </c>
      <c r="O52" s="661"/>
      <c r="P52" s="662">
        <f t="shared" ref="P52" si="570">IF(O52=0,0,O52/O$4)</f>
        <v>0</v>
      </c>
      <c r="Q52" s="661"/>
      <c r="R52" s="662">
        <f t="shared" ref="R52" si="571">IF(Q52=0,0,Q52/Q$4)</f>
        <v>0</v>
      </c>
      <c r="S52" s="661"/>
      <c r="T52" s="662">
        <f t="shared" ref="T52" si="572">IF(S52=0,0,S52/S$4)</f>
        <v>0</v>
      </c>
      <c r="U52" s="661"/>
      <c r="V52" s="662">
        <f t="shared" ref="V52" si="573">IF(U52=0,0,U52/U$4)</f>
        <v>0</v>
      </c>
      <c r="W52" s="661"/>
      <c r="X52" s="662">
        <f t="shared" ref="X52" si="574">IF(W52=0,0,W52/W$4)</f>
        <v>0</v>
      </c>
      <c r="Y52" s="661"/>
      <c r="Z52" s="662">
        <f t="shared" ref="Z52" si="575">IF(Y52=0,0,Y52/Y$4)</f>
        <v>0</v>
      </c>
      <c r="AA52" s="661"/>
      <c r="AB52" s="662">
        <f t="shared" ref="AB52" si="576">IF(AA52=0,0,AA52/AA$4)</f>
        <v>0</v>
      </c>
      <c r="AC52" s="661"/>
      <c r="AD52" s="662">
        <f t="shared" ref="AD52" si="577">IF(AC52=0,0,AC52/AC$4)</f>
        <v>0</v>
      </c>
      <c r="AE52" s="654"/>
    </row>
    <row r="53" spans="1:31" s="556" customFormat="1" ht="15.75" hidden="1" outlineLevel="3">
      <c r="A53" s="609" t="s">
        <v>1758</v>
      </c>
      <c r="B53" s="559" t="s">
        <v>1665</v>
      </c>
      <c r="C53" s="661"/>
      <c r="D53" s="662">
        <f t="shared" si="0"/>
        <v>0</v>
      </c>
      <c r="E53" s="661"/>
      <c r="F53" s="662">
        <f t="shared" si="0"/>
        <v>0</v>
      </c>
      <c r="G53" s="661"/>
      <c r="H53" s="662">
        <f t="shared" ref="H53" si="578">IF(G53=0,0,G53/G$4)</f>
        <v>0</v>
      </c>
      <c r="I53" s="661"/>
      <c r="J53" s="662">
        <f t="shared" ref="J53" si="579">IF(I53=0,0,I53/I$4)</f>
        <v>0</v>
      </c>
      <c r="K53" s="661"/>
      <c r="L53" s="662">
        <f t="shared" ref="L53" si="580">IF(K53=0,0,K53/K$4)</f>
        <v>0</v>
      </c>
      <c r="M53" s="661"/>
      <c r="N53" s="662">
        <f t="shared" ref="N53" si="581">IF(M53=0,0,M53/M$4)</f>
        <v>0</v>
      </c>
      <c r="O53" s="661"/>
      <c r="P53" s="662">
        <f t="shared" ref="P53" si="582">IF(O53=0,0,O53/O$4)</f>
        <v>0</v>
      </c>
      <c r="Q53" s="661"/>
      <c r="R53" s="662">
        <f t="shared" ref="R53" si="583">IF(Q53=0,0,Q53/Q$4)</f>
        <v>0</v>
      </c>
      <c r="S53" s="661"/>
      <c r="T53" s="662">
        <f t="shared" ref="T53" si="584">IF(S53=0,0,S53/S$4)</f>
        <v>0</v>
      </c>
      <c r="U53" s="661"/>
      <c r="V53" s="662">
        <f t="shared" ref="V53" si="585">IF(U53=0,0,U53/U$4)</f>
        <v>0</v>
      </c>
      <c r="W53" s="661"/>
      <c r="X53" s="662">
        <f t="shared" ref="X53" si="586">IF(W53=0,0,W53/W$4)</f>
        <v>0</v>
      </c>
      <c r="Y53" s="661"/>
      <c r="Z53" s="662">
        <f t="shared" ref="Z53" si="587">IF(Y53=0,0,Y53/Y$4)</f>
        <v>0</v>
      </c>
      <c r="AA53" s="661"/>
      <c r="AB53" s="662">
        <f t="shared" ref="AB53" si="588">IF(AA53=0,0,AA53/AA$4)</f>
        <v>0</v>
      </c>
      <c r="AC53" s="661"/>
      <c r="AD53" s="662">
        <f t="shared" ref="AD53" si="589">IF(AC53=0,0,AC53/AC$4)</f>
        <v>0</v>
      </c>
      <c r="AE53" s="654"/>
    </row>
    <row r="54" spans="1:31" s="556" customFormat="1" ht="31.5" hidden="1" outlineLevel="3">
      <c r="A54" s="609" t="s">
        <v>1759</v>
      </c>
      <c r="B54" s="559" t="s">
        <v>1666</v>
      </c>
      <c r="C54" s="661"/>
      <c r="D54" s="662">
        <f t="shared" si="0"/>
        <v>0</v>
      </c>
      <c r="E54" s="661"/>
      <c r="F54" s="662">
        <f t="shared" si="0"/>
        <v>0</v>
      </c>
      <c r="G54" s="661"/>
      <c r="H54" s="662">
        <f t="shared" ref="H54" si="590">IF(G54=0,0,G54/G$4)</f>
        <v>0</v>
      </c>
      <c r="I54" s="661"/>
      <c r="J54" s="662">
        <f t="shared" ref="J54" si="591">IF(I54=0,0,I54/I$4)</f>
        <v>0</v>
      </c>
      <c r="K54" s="661"/>
      <c r="L54" s="662">
        <f t="shared" ref="L54" si="592">IF(K54=0,0,K54/K$4)</f>
        <v>0</v>
      </c>
      <c r="M54" s="661"/>
      <c r="N54" s="662">
        <f t="shared" ref="N54" si="593">IF(M54=0,0,M54/M$4)</f>
        <v>0</v>
      </c>
      <c r="O54" s="661"/>
      <c r="P54" s="662">
        <f t="shared" ref="P54" si="594">IF(O54=0,0,O54/O$4)</f>
        <v>0</v>
      </c>
      <c r="Q54" s="661"/>
      <c r="R54" s="662">
        <f t="shared" ref="R54" si="595">IF(Q54=0,0,Q54/Q$4)</f>
        <v>0</v>
      </c>
      <c r="S54" s="661"/>
      <c r="T54" s="662">
        <f t="shared" ref="T54" si="596">IF(S54=0,0,S54/S$4)</f>
        <v>0</v>
      </c>
      <c r="U54" s="661"/>
      <c r="V54" s="662">
        <f t="shared" ref="V54" si="597">IF(U54=0,0,U54/U$4)</f>
        <v>0</v>
      </c>
      <c r="W54" s="661"/>
      <c r="X54" s="662">
        <f t="shared" ref="X54" si="598">IF(W54=0,0,W54/W$4)</f>
        <v>0</v>
      </c>
      <c r="Y54" s="661"/>
      <c r="Z54" s="662">
        <f t="shared" ref="Z54" si="599">IF(Y54=0,0,Y54/Y$4)</f>
        <v>0</v>
      </c>
      <c r="AA54" s="661"/>
      <c r="AB54" s="662">
        <f t="shared" ref="AB54" si="600">IF(AA54=0,0,AA54/AA$4)</f>
        <v>0</v>
      </c>
      <c r="AC54" s="661"/>
      <c r="AD54" s="662">
        <f t="shared" ref="AD54" si="601">IF(AC54=0,0,AC54/AC$4)</f>
        <v>0</v>
      </c>
      <c r="AE54" s="654"/>
    </row>
    <row r="55" spans="1:31" s="556" customFormat="1" ht="31.5" hidden="1" outlineLevel="3">
      <c r="A55" s="609" t="s">
        <v>1760</v>
      </c>
      <c r="B55" s="559" t="s">
        <v>1667</v>
      </c>
      <c r="C55" s="661"/>
      <c r="D55" s="662">
        <f t="shared" si="0"/>
        <v>0</v>
      </c>
      <c r="E55" s="661"/>
      <c r="F55" s="662">
        <f t="shared" si="0"/>
        <v>0</v>
      </c>
      <c r="G55" s="661"/>
      <c r="H55" s="662">
        <f t="shared" ref="H55" si="602">IF(G55=0,0,G55/G$4)</f>
        <v>0</v>
      </c>
      <c r="I55" s="661"/>
      <c r="J55" s="662">
        <f t="shared" ref="J55" si="603">IF(I55=0,0,I55/I$4)</f>
        <v>0</v>
      </c>
      <c r="K55" s="661"/>
      <c r="L55" s="662">
        <f t="shared" ref="L55" si="604">IF(K55=0,0,K55/K$4)</f>
        <v>0</v>
      </c>
      <c r="M55" s="661"/>
      <c r="N55" s="662">
        <f t="shared" ref="N55" si="605">IF(M55=0,0,M55/M$4)</f>
        <v>0</v>
      </c>
      <c r="O55" s="661"/>
      <c r="P55" s="662">
        <f t="shared" ref="P55" si="606">IF(O55=0,0,O55/O$4)</f>
        <v>0</v>
      </c>
      <c r="Q55" s="661"/>
      <c r="R55" s="662">
        <f t="shared" ref="R55" si="607">IF(Q55=0,0,Q55/Q$4)</f>
        <v>0</v>
      </c>
      <c r="S55" s="661"/>
      <c r="T55" s="662">
        <f t="shared" ref="T55" si="608">IF(S55=0,0,S55/S$4)</f>
        <v>0</v>
      </c>
      <c r="U55" s="661"/>
      <c r="V55" s="662">
        <f t="shared" ref="V55" si="609">IF(U55=0,0,U55/U$4)</f>
        <v>0</v>
      </c>
      <c r="W55" s="661"/>
      <c r="X55" s="662">
        <f t="shared" ref="X55" si="610">IF(W55=0,0,W55/W$4)</f>
        <v>0</v>
      </c>
      <c r="Y55" s="661"/>
      <c r="Z55" s="662">
        <f t="shared" ref="Z55" si="611">IF(Y55=0,0,Y55/Y$4)</f>
        <v>0</v>
      </c>
      <c r="AA55" s="661"/>
      <c r="AB55" s="662">
        <f t="shared" ref="AB55" si="612">IF(AA55=0,0,AA55/AA$4)</f>
        <v>0</v>
      </c>
      <c r="AC55" s="661"/>
      <c r="AD55" s="662">
        <f t="shared" ref="AD55" si="613">IF(AC55=0,0,AC55/AC$4)</f>
        <v>0</v>
      </c>
      <c r="AE55" s="654"/>
    </row>
    <row r="56" spans="1:31" s="556" customFormat="1" ht="15.75" hidden="1" outlineLevel="3">
      <c r="A56" s="609" t="s">
        <v>1761</v>
      </c>
      <c r="B56" s="559" t="s">
        <v>1668</v>
      </c>
      <c r="C56" s="661"/>
      <c r="D56" s="662">
        <f t="shared" si="0"/>
        <v>0</v>
      </c>
      <c r="E56" s="661"/>
      <c r="F56" s="662">
        <f t="shared" si="0"/>
        <v>0</v>
      </c>
      <c r="G56" s="661"/>
      <c r="H56" s="662">
        <f t="shared" ref="H56" si="614">IF(G56=0,0,G56/G$4)</f>
        <v>0</v>
      </c>
      <c r="I56" s="661"/>
      <c r="J56" s="662">
        <f t="shared" ref="J56" si="615">IF(I56=0,0,I56/I$4)</f>
        <v>0</v>
      </c>
      <c r="K56" s="661"/>
      <c r="L56" s="662">
        <f t="shared" ref="L56" si="616">IF(K56=0,0,K56/K$4)</f>
        <v>0</v>
      </c>
      <c r="M56" s="661"/>
      <c r="N56" s="662">
        <f t="shared" ref="N56" si="617">IF(M56=0,0,M56/M$4)</f>
        <v>0</v>
      </c>
      <c r="O56" s="661"/>
      <c r="P56" s="662">
        <f t="shared" ref="P56" si="618">IF(O56=0,0,O56/O$4)</f>
        <v>0</v>
      </c>
      <c r="Q56" s="661"/>
      <c r="R56" s="662">
        <f t="shared" ref="R56" si="619">IF(Q56=0,0,Q56/Q$4)</f>
        <v>0</v>
      </c>
      <c r="S56" s="661"/>
      <c r="T56" s="662">
        <f t="shared" ref="T56" si="620">IF(S56=0,0,S56/S$4)</f>
        <v>0</v>
      </c>
      <c r="U56" s="661"/>
      <c r="V56" s="662">
        <f t="shared" ref="V56" si="621">IF(U56=0,0,U56/U$4)</f>
        <v>0</v>
      </c>
      <c r="W56" s="661"/>
      <c r="X56" s="662">
        <f t="shared" ref="X56" si="622">IF(W56=0,0,W56/W$4)</f>
        <v>0</v>
      </c>
      <c r="Y56" s="661"/>
      <c r="Z56" s="662">
        <f t="shared" ref="Z56" si="623">IF(Y56=0,0,Y56/Y$4)</f>
        <v>0</v>
      </c>
      <c r="AA56" s="661"/>
      <c r="AB56" s="662">
        <f t="shared" ref="AB56" si="624">IF(AA56=0,0,AA56/AA$4)</f>
        <v>0</v>
      </c>
      <c r="AC56" s="661"/>
      <c r="AD56" s="662">
        <f t="shared" ref="AD56" si="625">IF(AC56=0,0,AC56/AC$4)</f>
        <v>0</v>
      </c>
      <c r="AE56" s="654"/>
    </row>
    <row r="57" spans="1:31" s="556" customFormat="1" ht="15.75" hidden="1" outlineLevel="3">
      <c r="A57" s="609" t="s">
        <v>1762</v>
      </c>
      <c r="B57" s="559" t="s">
        <v>1669</v>
      </c>
      <c r="C57" s="661"/>
      <c r="D57" s="662">
        <f t="shared" si="0"/>
        <v>0</v>
      </c>
      <c r="E57" s="661"/>
      <c r="F57" s="662">
        <f t="shared" si="0"/>
        <v>0</v>
      </c>
      <c r="G57" s="661"/>
      <c r="H57" s="662">
        <f t="shared" ref="H57" si="626">IF(G57=0,0,G57/G$4)</f>
        <v>0</v>
      </c>
      <c r="I57" s="661"/>
      <c r="J57" s="662">
        <f t="shared" ref="J57" si="627">IF(I57=0,0,I57/I$4)</f>
        <v>0</v>
      </c>
      <c r="K57" s="661"/>
      <c r="L57" s="662">
        <f t="shared" ref="L57" si="628">IF(K57=0,0,K57/K$4)</f>
        <v>0</v>
      </c>
      <c r="M57" s="661"/>
      <c r="N57" s="662">
        <f t="shared" ref="N57" si="629">IF(M57=0,0,M57/M$4)</f>
        <v>0</v>
      </c>
      <c r="O57" s="661"/>
      <c r="P57" s="662">
        <f t="shared" ref="P57" si="630">IF(O57=0,0,O57/O$4)</f>
        <v>0</v>
      </c>
      <c r="Q57" s="661"/>
      <c r="R57" s="662">
        <f t="shared" ref="R57" si="631">IF(Q57=0,0,Q57/Q$4)</f>
        <v>0</v>
      </c>
      <c r="S57" s="661"/>
      <c r="T57" s="662">
        <f t="shared" ref="T57" si="632">IF(S57=0,0,S57/S$4)</f>
        <v>0</v>
      </c>
      <c r="U57" s="661"/>
      <c r="V57" s="662">
        <f t="shared" ref="V57" si="633">IF(U57=0,0,U57/U$4)</f>
        <v>0</v>
      </c>
      <c r="W57" s="661"/>
      <c r="X57" s="662">
        <f t="shared" ref="X57" si="634">IF(W57=0,0,W57/W$4)</f>
        <v>0</v>
      </c>
      <c r="Y57" s="661"/>
      <c r="Z57" s="662">
        <f t="shared" ref="Z57" si="635">IF(Y57=0,0,Y57/Y$4)</f>
        <v>0</v>
      </c>
      <c r="AA57" s="661"/>
      <c r="AB57" s="662">
        <f t="shared" ref="AB57" si="636">IF(AA57=0,0,AA57/AA$4)</f>
        <v>0</v>
      </c>
      <c r="AC57" s="661"/>
      <c r="AD57" s="662">
        <f t="shared" ref="AD57" si="637">IF(AC57=0,0,AC57/AC$4)</f>
        <v>0</v>
      </c>
      <c r="AE57" s="654"/>
    </row>
    <row r="58" spans="1:31" s="556" customFormat="1" ht="15.75" hidden="1" outlineLevel="3">
      <c r="A58" s="609" t="s">
        <v>1763</v>
      </c>
      <c r="B58" s="559" t="s">
        <v>1670</v>
      </c>
      <c r="C58" s="661"/>
      <c r="D58" s="662">
        <f t="shared" si="0"/>
        <v>0</v>
      </c>
      <c r="E58" s="661"/>
      <c r="F58" s="662">
        <f t="shared" si="0"/>
        <v>0</v>
      </c>
      <c r="G58" s="661"/>
      <c r="H58" s="662">
        <f t="shared" ref="H58" si="638">IF(G58=0,0,G58/G$4)</f>
        <v>0</v>
      </c>
      <c r="I58" s="661"/>
      <c r="J58" s="662">
        <f t="shared" ref="J58" si="639">IF(I58=0,0,I58/I$4)</f>
        <v>0</v>
      </c>
      <c r="K58" s="661"/>
      <c r="L58" s="662">
        <f t="shared" ref="L58" si="640">IF(K58=0,0,K58/K$4)</f>
        <v>0</v>
      </c>
      <c r="M58" s="661"/>
      <c r="N58" s="662">
        <f t="shared" ref="N58" si="641">IF(M58=0,0,M58/M$4)</f>
        <v>0</v>
      </c>
      <c r="O58" s="661"/>
      <c r="P58" s="662">
        <f t="shared" ref="P58" si="642">IF(O58=0,0,O58/O$4)</f>
        <v>0</v>
      </c>
      <c r="Q58" s="661"/>
      <c r="R58" s="662">
        <f t="shared" ref="R58" si="643">IF(Q58=0,0,Q58/Q$4)</f>
        <v>0</v>
      </c>
      <c r="S58" s="661"/>
      <c r="T58" s="662">
        <f t="shared" ref="T58" si="644">IF(S58=0,0,S58/S$4)</f>
        <v>0</v>
      </c>
      <c r="U58" s="661"/>
      <c r="V58" s="662">
        <f t="shared" ref="V58" si="645">IF(U58=0,0,U58/U$4)</f>
        <v>0</v>
      </c>
      <c r="W58" s="661"/>
      <c r="X58" s="662">
        <f t="shared" ref="X58" si="646">IF(W58=0,0,W58/W$4)</f>
        <v>0</v>
      </c>
      <c r="Y58" s="661"/>
      <c r="Z58" s="662">
        <f t="shared" ref="Z58" si="647">IF(Y58=0,0,Y58/Y$4)</f>
        <v>0</v>
      </c>
      <c r="AA58" s="661"/>
      <c r="AB58" s="662">
        <f t="shared" ref="AB58" si="648">IF(AA58=0,0,AA58/AA$4)</f>
        <v>0</v>
      </c>
      <c r="AC58" s="661"/>
      <c r="AD58" s="662">
        <f t="shared" ref="AD58" si="649">IF(AC58=0,0,AC58/AC$4)</f>
        <v>0</v>
      </c>
      <c r="AE58" s="654"/>
    </row>
    <row r="59" spans="1:31" s="556" customFormat="1" ht="15.75" hidden="1" outlineLevel="3">
      <c r="A59" s="609" t="s">
        <v>1764</v>
      </c>
      <c r="B59" s="559" t="s">
        <v>1671</v>
      </c>
      <c r="C59" s="661"/>
      <c r="D59" s="662">
        <f t="shared" si="0"/>
        <v>0</v>
      </c>
      <c r="E59" s="661"/>
      <c r="F59" s="662">
        <f t="shared" si="0"/>
        <v>0</v>
      </c>
      <c r="G59" s="661"/>
      <c r="H59" s="662">
        <f t="shared" ref="H59" si="650">IF(G59=0,0,G59/G$4)</f>
        <v>0</v>
      </c>
      <c r="I59" s="661"/>
      <c r="J59" s="662">
        <f t="shared" ref="J59" si="651">IF(I59=0,0,I59/I$4)</f>
        <v>0</v>
      </c>
      <c r="K59" s="661"/>
      <c r="L59" s="662">
        <f t="shared" ref="L59" si="652">IF(K59=0,0,K59/K$4)</f>
        <v>0</v>
      </c>
      <c r="M59" s="661"/>
      <c r="N59" s="662">
        <f t="shared" ref="N59" si="653">IF(M59=0,0,M59/M$4)</f>
        <v>0</v>
      </c>
      <c r="O59" s="661"/>
      <c r="P59" s="662">
        <f t="shared" ref="P59" si="654">IF(O59=0,0,O59/O$4)</f>
        <v>0</v>
      </c>
      <c r="Q59" s="661"/>
      <c r="R59" s="662">
        <f t="shared" ref="R59" si="655">IF(Q59=0,0,Q59/Q$4)</f>
        <v>0</v>
      </c>
      <c r="S59" s="661"/>
      <c r="T59" s="662">
        <f t="shared" ref="T59" si="656">IF(S59=0,0,S59/S$4)</f>
        <v>0</v>
      </c>
      <c r="U59" s="661"/>
      <c r="V59" s="662">
        <f t="shared" ref="V59" si="657">IF(U59=0,0,U59/U$4)</f>
        <v>0</v>
      </c>
      <c r="W59" s="661"/>
      <c r="X59" s="662">
        <f t="shared" ref="X59" si="658">IF(W59=0,0,W59/W$4)</f>
        <v>0</v>
      </c>
      <c r="Y59" s="661"/>
      <c r="Z59" s="662">
        <f t="shared" ref="Z59" si="659">IF(Y59=0,0,Y59/Y$4)</f>
        <v>0</v>
      </c>
      <c r="AA59" s="661"/>
      <c r="AB59" s="662">
        <f t="shared" ref="AB59" si="660">IF(AA59=0,0,AA59/AA$4)</f>
        <v>0</v>
      </c>
      <c r="AC59" s="661"/>
      <c r="AD59" s="662">
        <f t="shared" ref="AD59" si="661">IF(AC59=0,0,AC59/AC$4)</f>
        <v>0</v>
      </c>
      <c r="AE59" s="654"/>
    </row>
    <row r="60" spans="1:31" s="556" customFormat="1" ht="15.75" hidden="1" outlineLevel="3">
      <c r="A60" s="609" t="s">
        <v>1765</v>
      </c>
      <c r="B60" s="559" t="s">
        <v>1672</v>
      </c>
      <c r="C60" s="661"/>
      <c r="D60" s="662">
        <f t="shared" si="0"/>
        <v>0</v>
      </c>
      <c r="E60" s="661"/>
      <c r="F60" s="662">
        <f t="shared" si="0"/>
        <v>0</v>
      </c>
      <c r="G60" s="661"/>
      <c r="H60" s="662">
        <f t="shared" ref="H60" si="662">IF(G60=0,0,G60/G$4)</f>
        <v>0</v>
      </c>
      <c r="I60" s="661"/>
      <c r="J60" s="662">
        <f t="shared" ref="J60" si="663">IF(I60=0,0,I60/I$4)</f>
        <v>0</v>
      </c>
      <c r="K60" s="661"/>
      <c r="L60" s="662">
        <f t="shared" ref="L60" si="664">IF(K60=0,0,K60/K$4)</f>
        <v>0</v>
      </c>
      <c r="M60" s="661"/>
      <c r="N60" s="662">
        <f t="shared" ref="N60" si="665">IF(M60=0,0,M60/M$4)</f>
        <v>0</v>
      </c>
      <c r="O60" s="661"/>
      <c r="P60" s="662">
        <f t="shared" ref="P60" si="666">IF(O60=0,0,O60/O$4)</f>
        <v>0</v>
      </c>
      <c r="Q60" s="661"/>
      <c r="R60" s="662">
        <f t="shared" ref="R60" si="667">IF(Q60=0,0,Q60/Q$4)</f>
        <v>0</v>
      </c>
      <c r="S60" s="661"/>
      <c r="T60" s="662">
        <f t="shared" ref="T60" si="668">IF(S60=0,0,S60/S$4)</f>
        <v>0</v>
      </c>
      <c r="U60" s="661"/>
      <c r="V60" s="662">
        <f t="shared" ref="V60" si="669">IF(U60=0,0,U60/U$4)</f>
        <v>0</v>
      </c>
      <c r="W60" s="661"/>
      <c r="X60" s="662">
        <f t="shared" ref="X60" si="670">IF(W60=0,0,W60/W$4)</f>
        <v>0</v>
      </c>
      <c r="Y60" s="661"/>
      <c r="Z60" s="662">
        <f t="shared" ref="Z60" si="671">IF(Y60=0,0,Y60/Y$4)</f>
        <v>0</v>
      </c>
      <c r="AA60" s="661"/>
      <c r="AB60" s="662">
        <f t="shared" ref="AB60" si="672">IF(AA60=0,0,AA60/AA$4)</f>
        <v>0</v>
      </c>
      <c r="AC60" s="661"/>
      <c r="AD60" s="662">
        <f t="shared" ref="AD60" si="673">IF(AC60=0,0,AC60/AC$4)</f>
        <v>0</v>
      </c>
      <c r="AE60" s="654"/>
    </row>
    <row r="61" spans="1:31" s="556" customFormat="1" ht="31.5" hidden="1" outlineLevel="3">
      <c r="A61" s="609" t="s">
        <v>1766</v>
      </c>
      <c r="B61" s="559" t="s">
        <v>1673</v>
      </c>
      <c r="C61" s="661"/>
      <c r="D61" s="662">
        <f t="shared" si="0"/>
        <v>0</v>
      </c>
      <c r="E61" s="661"/>
      <c r="F61" s="662">
        <f t="shared" si="0"/>
        <v>0</v>
      </c>
      <c r="G61" s="661"/>
      <c r="H61" s="662">
        <f t="shared" ref="H61" si="674">IF(G61=0,0,G61/G$4)</f>
        <v>0</v>
      </c>
      <c r="I61" s="661"/>
      <c r="J61" s="662">
        <f t="shared" ref="J61" si="675">IF(I61=0,0,I61/I$4)</f>
        <v>0</v>
      </c>
      <c r="K61" s="661"/>
      <c r="L61" s="662">
        <f t="shared" ref="L61" si="676">IF(K61=0,0,K61/K$4)</f>
        <v>0</v>
      </c>
      <c r="M61" s="661"/>
      <c r="N61" s="662">
        <f t="shared" ref="N61" si="677">IF(M61=0,0,M61/M$4)</f>
        <v>0</v>
      </c>
      <c r="O61" s="661"/>
      <c r="P61" s="662">
        <f t="shared" ref="P61" si="678">IF(O61=0,0,O61/O$4)</f>
        <v>0</v>
      </c>
      <c r="Q61" s="661"/>
      <c r="R61" s="662">
        <f t="shared" ref="R61" si="679">IF(Q61=0,0,Q61/Q$4)</f>
        <v>0</v>
      </c>
      <c r="S61" s="661"/>
      <c r="T61" s="662">
        <f t="shared" ref="T61" si="680">IF(S61=0,0,S61/S$4)</f>
        <v>0</v>
      </c>
      <c r="U61" s="661"/>
      <c r="V61" s="662">
        <f t="shared" ref="V61" si="681">IF(U61=0,0,U61/U$4)</f>
        <v>0</v>
      </c>
      <c r="W61" s="661"/>
      <c r="X61" s="662">
        <f t="shared" ref="X61" si="682">IF(W61=0,0,W61/W$4)</f>
        <v>0</v>
      </c>
      <c r="Y61" s="661"/>
      <c r="Z61" s="662">
        <f t="shared" ref="Z61" si="683">IF(Y61=0,0,Y61/Y$4)</f>
        <v>0</v>
      </c>
      <c r="AA61" s="661"/>
      <c r="AB61" s="662">
        <f t="shared" ref="AB61" si="684">IF(AA61=0,0,AA61/AA$4)</f>
        <v>0</v>
      </c>
      <c r="AC61" s="661"/>
      <c r="AD61" s="662">
        <f t="shared" ref="AD61" si="685">IF(AC61=0,0,AC61/AC$4)</f>
        <v>0</v>
      </c>
      <c r="AE61" s="654"/>
    </row>
    <row r="62" spans="1:31" s="556" customFormat="1" ht="31.5" hidden="1" outlineLevel="3">
      <c r="A62" s="609" t="s">
        <v>1767</v>
      </c>
      <c r="B62" s="559" t="s">
        <v>1674</v>
      </c>
      <c r="C62" s="661"/>
      <c r="D62" s="662">
        <f t="shared" si="0"/>
        <v>0</v>
      </c>
      <c r="E62" s="661"/>
      <c r="F62" s="662">
        <f t="shared" si="0"/>
        <v>0</v>
      </c>
      <c r="G62" s="661"/>
      <c r="H62" s="662">
        <f t="shared" ref="H62" si="686">IF(G62=0,0,G62/G$4)</f>
        <v>0</v>
      </c>
      <c r="I62" s="661"/>
      <c r="J62" s="662">
        <f t="shared" ref="J62" si="687">IF(I62=0,0,I62/I$4)</f>
        <v>0</v>
      </c>
      <c r="K62" s="661"/>
      <c r="L62" s="662">
        <f t="shared" ref="L62" si="688">IF(K62=0,0,K62/K$4)</f>
        <v>0</v>
      </c>
      <c r="M62" s="661"/>
      <c r="N62" s="662">
        <f t="shared" ref="N62" si="689">IF(M62=0,0,M62/M$4)</f>
        <v>0</v>
      </c>
      <c r="O62" s="661"/>
      <c r="P62" s="662">
        <f t="shared" ref="P62" si="690">IF(O62=0,0,O62/O$4)</f>
        <v>0</v>
      </c>
      <c r="Q62" s="661"/>
      <c r="R62" s="662">
        <f t="shared" ref="R62" si="691">IF(Q62=0,0,Q62/Q$4)</f>
        <v>0</v>
      </c>
      <c r="S62" s="661"/>
      <c r="T62" s="662">
        <f t="shared" ref="T62" si="692">IF(S62=0,0,S62/S$4)</f>
        <v>0</v>
      </c>
      <c r="U62" s="661"/>
      <c r="V62" s="662">
        <f t="shared" ref="V62" si="693">IF(U62=0,0,U62/U$4)</f>
        <v>0</v>
      </c>
      <c r="W62" s="661"/>
      <c r="X62" s="662">
        <f t="shared" ref="X62" si="694">IF(W62=0,0,W62/W$4)</f>
        <v>0</v>
      </c>
      <c r="Y62" s="661"/>
      <c r="Z62" s="662">
        <f t="shared" ref="Z62" si="695">IF(Y62=0,0,Y62/Y$4)</f>
        <v>0</v>
      </c>
      <c r="AA62" s="661"/>
      <c r="AB62" s="662">
        <f t="shared" ref="AB62" si="696">IF(AA62=0,0,AA62/AA$4)</f>
        <v>0</v>
      </c>
      <c r="AC62" s="661"/>
      <c r="AD62" s="662">
        <f t="shared" ref="AD62" si="697">IF(AC62=0,0,AC62/AC$4)</f>
        <v>0</v>
      </c>
      <c r="AE62" s="654"/>
    </row>
    <row r="63" spans="1:31" s="556" customFormat="1" ht="15.75" hidden="1" outlineLevel="3">
      <c r="A63" s="609" t="s">
        <v>1768</v>
      </c>
      <c r="B63" s="559" t="s">
        <v>1675</v>
      </c>
      <c r="C63" s="661"/>
      <c r="D63" s="662">
        <f t="shared" si="0"/>
        <v>0</v>
      </c>
      <c r="E63" s="661"/>
      <c r="F63" s="662">
        <f t="shared" si="0"/>
        <v>0</v>
      </c>
      <c r="G63" s="661"/>
      <c r="H63" s="662">
        <f t="shared" ref="H63" si="698">IF(G63=0,0,G63/G$4)</f>
        <v>0</v>
      </c>
      <c r="I63" s="661"/>
      <c r="J63" s="662">
        <f t="shared" ref="J63" si="699">IF(I63=0,0,I63/I$4)</f>
        <v>0</v>
      </c>
      <c r="K63" s="661"/>
      <c r="L63" s="662">
        <f t="shared" ref="L63" si="700">IF(K63=0,0,K63/K$4)</f>
        <v>0</v>
      </c>
      <c r="M63" s="661"/>
      <c r="N63" s="662">
        <f t="shared" ref="N63" si="701">IF(M63=0,0,M63/M$4)</f>
        <v>0</v>
      </c>
      <c r="O63" s="661"/>
      <c r="P63" s="662">
        <f t="shared" ref="P63" si="702">IF(O63=0,0,O63/O$4)</f>
        <v>0</v>
      </c>
      <c r="Q63" s="661"/>
      <c r="R63" s="662">
        <f t="shared" ref="R63" si="703">IF(Q63=0,0,Q63/Q$4)</f>
        <v>0</v>
      </c>
      <c r="S63" s="661"/>
      <c r="T63" s="662">
        <f t="shared" ref="T63" si="704">IF(S63=0,0,S63/S$4)</f>
        <v>0</v>
      </c>
      <c r="U63" s="661"/>
      <c r="V63" s="662">
        <f t="shared" ref="V63" si="705">IF(U63=0,0,U63/U$4)</f>
        <v>0</v>
      </c>
      <c r="W63" s="661"/>
      <c r="X63" s="662">
        <f t="shared" ref="X63" si="706">IF(W63=0,0,W63/W$4)</f>
        <v>0</v>
      </c>
      <c r="Y63" s="661"/>
      <c r="Z63" s="662">
        <f t="shared" ref="Z63" si="707">IF(Y63=0,0,Y63/Y$4)</f>
        <v>0</v>
      </c>
      <c r="AA63" s="661"/>
      <c r="AB63" s="662">
        <f t="shared" ref="AB63" si="708">IF(AA63=0,0,AA63/AA$4)</f>
        <v>0</v>
      </c>
      <c r="AC63" s="661"/>
      <c r="AD63" s="662">
        <f t="shared" ref="AD63" si="709">IF(AC63=0,0,AC63/AC$4)</f>
        <v>0</v>
      </c>
      <c r="AE63" s="654"/>
    </row>
    <row r="64" spans="1:31" s="556" customFormat="1" ht="15.75" hidden="1" outlineLevel="3">
      <c r="A64" s="609" t="s">
        <v>1769</v>
      </c>
      <c r="B64" s="559" t="s">
        <v>1676</v>
      </c>
      <c r="C64" s="661"/>
      <c r="D64" s="662">
        <f t="shared" si="0"/>
        <v>0</v>
      </c>
      <c r="E64" s="661"/>
      <c r="F64" s="662">
        <f t="shared" si="0"/>
        <v>0</v>
      </c>
      <c r="G64" s="661"/>
      <c r="H64" s="662">
        <f t="shared" ref="H64" si="710">IF(G64=0,0,G64/G$4)</f>
        <v>0</v>
      </c>
      <c r="I64" s="661"/>
      <c r="J64" s="662">
        <f t="shared" ref="J64" si="711">IF(I64=0,0,I64/I$4)</f>
        <v>0</v>
      </c>
      <c r="K64" s="661"/>
      <c r="L64" s="662">
        <f t="shared" ref="L64" si="712">IF(K64=0,0,K64/K$4)</f>
        <v>0</v>
      </c>
      <c r="M64" s="661"/>
      <c r="N64" s="662">
        <f t="shared" ref="N64" si="713">IF(M64=0,0,M64/M$4)</f>
        <v>0</v>
      </c>
      <c r="O64" s="661"/>
      <c r="P64" s="662">
        <f t="shared" ref="P64" si="714">IF(O64=0,0,O64/O$4)</f>
        <v>0</v>
      </c>
      <c r="Q64" s="661"/>
      <c r="R64" s="662">
        <f t="shared" ref="R64" si="715">IF(Q64=0,0,Q64/Q$4)</f>
        <v>0</v>
      </c>
      <c r="S64" s="661"/>
      <c r="T64" s="662">
        <f t="shared" ref="T64" si="716">IF(S64=0,0,S64/S$4)</f>
        <v>0</v>
      </c>
      <c r="U64" s="661"/>
      <c r="V64" s="662">
        <f t="shared" ref="V64" si="717">IF(U64=0,0,U64/U$4)</f>
        <v>0</v>
      </c>
      <c r="W64" s="661"/>
      <c r="X64" s="662">
        <f t="shared" ref="X64" si="718">IF(W64=0,0,W64/W$4)</f>
        <v>0</v>
      </c>
      <c r="Y64" s="661"/>
      <c r="Z64" s="662">
        <f t="shared" ref="Z64" si="719">IF(Y64=0,0,Y64/Y$4)</f>
        <v>0</v>
      </c>
      <c r="AA64" s="661"/>
      <c r="AB64" s="662">
        <f t="shared" ref="AB64" si="720">IF(AA64=0,0,AA64/AA$4)</f>
        <v>0</v>
      </c>
      <c r="AC64" s="661"/>
      <c r="AD64" s="662">
        <f t="shared" ref="AD64" si="721">IF(AC64=0,0,AC64/AC$4)</f>
        <v>0</v>
      </c>
      <c r="AE64" s="654"/>
    </row>
    <row r="65" spans="1:31" s="556" customFormat="1" ht="15.75" hidden="1" outlineLevel="3">
      <c r="A65" s="609" t="s">
        <v>1770</v>
      </c>
      <c r="B65" s="559" t="s">
        <v>1677</v>
      </c>
      <c r="C65" s="661"/>
      <c r="D65" s="662">
        <f t="shared" si="0"/>
        <v>0</v>
      </c>
      <c r="E65" s="661"/>
      <c r="F65" s="662">
        <f t="shared" si="0"/>
        <v>0</v>
      </c>
      <c r="G65" s="661"/>
      <c r="H65" s="662">
        <f t="shared" ref="H65" si="722">IF(G65=0,0,G65/G$4)</f>
        <v>0</v>
      </c>
      <c r="I65" s="661"/>
      <c r="J65" s="662">
        <f t="shared" ref="J65" si="723">IF(I65=0,0,I65/I$4)</f>
        <v>0</v>
      </c>
      <c r="K65" s="661"/>
      <c r="L65" s="662">
        <f t="shared" ref="L65" si="724">IF(K65=0,0,K65/K$4)</f>
        <v>0</v>
      </c>
      <c r="M65" s="661"/>
      <c r="N65" s="662">
        <f t="shared" ref="N65" si="725">IF(M65=0,0,M65/M$4)</f>
        <v>0</v>
      </c>
      <c r="O65" s="661"/>
      <c r="P65" s="662">
        <f t="shared" ref="P65" si="726">IF(O65=0,0,O65/O$4)</f>
        <v>0</v>
      </c>
      <c r="Q65" s="661"/>
      <c r="R65" s="662">
        <f t="shared" ref="R65" si="727">IF(Q65=0,0,Q65/Q$4)</f>
        <v>0</v>
      </c>
      <c r="S65" s="661"/>
      <c r="T65" s="662">
        <f t="shared" ref="T65" si="728">IF(S65=0,0,S65/S$4)</f>
        <v>0</v>
      </c>
      <c r="U65" s="661"/>
      <c r="V65" s="662">
        <f t="shared" ref="V65" si="729">IF(U65=0,0,U65/U$4)</f>
        <v>0</v>
      </c>
      <c r="W65" s="661"/>
      <c r="X65" s="662">
        <f t="shared" ref="X65" si="730">IF(W65=0,0,W65/W$4)</f>
        <v>0</v>
      </c>
      <c r="Y65" s="661"/>
      <c r="Z65" s="662">
        <f t="shared" ref="Z65" si="731">IF(Y65=0,0,Y65/Y$4)</f>
        <v>0</v>
      </c>
      <c r="AA65" s="661"/>
      <c r="AB65" s="662">
        <f t="shared" ref="AB65" si="732">IF(AA65=0,0,AA65/AA$4)</f>
        <v>0</v>
      </c>
      <c r="AC65" s="661"/>
      <c r="AD65" s="662">
        <f t="shared" ref="AD65" si="733">IF(AC65=0,0,AC65/AC$4)</f>
        <v>0</v>
      </c>
      <c r="AE65" s="654"/>
    </row>
    <row r="66" spans="1:31" s="556" customFormat="1" ht="31.5" hidden="1" outlineLevel="3">
      <c r="A66" s="609" t="s">
        <v>1771</v>
      </c>
      <c r="B66" s="559" t="s">
        <v>1678</v>
      </c>
      <c r="C66" s="661"/>
      <c r="D66" s="662">
        <f t="shared" si="0"/>
        <v>0</v>
      </c>
      <c r="E66" s="661"/>
      <c r="F66" s="662">
        <f t="shared" si="0"/>
        <v>0</v>
      </c>
      <c r="G66" s="661"/>
      <c r="H66" s="662">
        <f t="shared" ref="H66" si="734">IF(G66=0,0,G66/G$4)</f>
        <v>0</v>
      </c>
      <c r="I66" s="661"/>
      <c r="J66" s="662">
        <f t="shared" ref="J66" si="735">IF(I66=0,0,I66/I$4)</f>
        <v>0</v>
      </c>
      <c r="K66" s="661"/>
      <c r="L66" s="662">
        <f t="shared" ref="L66" si="736">IF(K66=0,0,K66/K$4)</f>
        <v>0</v>
      </c>
      <c r="M66" s="661"/>
      <c r="N66" s="662">
        <f t="shared" ref="N66" si="737">IF(M66=0,0,M66/M$4)</f>
        <v>0</v>
      </c>
      <c r="O66" s="661"/>
      <c r="P66" s="662">
        <f t="shared" ref="P66" si="738">IF(O66=0,0,O66/O$4)</f>
        <v>0</v>
      </c>
      <c r="Q66" s="661"/>
      <c r="R66" s="662">
        <f t="shared" ref="R66" si="739">IF(Q66=0,0,Q66/Q$4)</f>
        <v>0</v>
      </c>
      <c r="S66" s="661"/>
      <c r="T66" s="662">
        <f t="shared" ref="T66" si="740">IF(S66=0,0,S66/S$4)</f>
        <v>0</v>
      </c>
      <c r="U66" s="661"/>
      <c r="V66" s="662">
        <f t="shared" ref="V66" si="741">IF(U66=0,0,U66/U$4)</f>
        <v>0</v>
      </c>
      <c r="W66" s="661"/>
      <c r="X66" s="662">
        <f t="shared" ref="X66" si="742">IF(W66=0,0,W66/W$4)</f>
        <v>0</v>
      </c>
      <c r="Y66" s="661"/>
      <c r="Z66" s="662">
        <f t="shared" ref="Z66" si="743">IF(Y66=0,0,Y66/Y$4)</f>
        <v>0</v>
      </c>
      <c r="AA66" s="661"/>
      <c r="AB66" s="662">
        <f t="shared" ref="AB66" si="744">IF(AA66=0,0,AA66/AA$4)</f>
        <v>0</v>
      </c>
      <c r="AC66" s="661"/>
      <c r="AD66" s="662">
        <f t="shared" ref="AD66" si="745">IF(AC66=0,0,AC66/AC$4)</f>
        <v>0</v>
      </c>
      <c r="AE66" s="654"/>
    </row>
    <row r="67" spans="1:31" s="556" customFormat="1" ht="15.75" hidden="1" outlineLevel="3">
      <c r="A67" s="609" t="s">
        <v>1772</v>
      </c>
      <c r="B67" s="559" t="s">
        <v>1679</v>
      </c>
      <c r="C67" s="661"/>
      <c r="D67" s="662">
        <f t="shared" si="0"/>
        <v>0</v>
      </c>
      <c r="E67" s="661"/>
      <c r="F67" s="662">
        <f t="shared" si="0"/>
        <v>0</v>
      </c>
      <c r="G67" s="661"/>
      <c r="H67" s="662">
        <f t="shared" ref="H67" si="746">IF(G67=0,0,G67/G$4)</f>
        <v>0</v>
      </c>
      <c r="I67" s="661"/>
      <c r="J67" s="662">
        <f t="shared" ref="J67" si="747">IF(I67=0,0,I67/I$4)</f>
        <v>0</v>
      </c>
      <c r="K67" s="661"/>
      <c r="L67" s="662">
        <f t="shared" ref="L67" si="748">IF(K67=0,0,K67/K$4)</f>
        <v>0</v>
      </c>
      <c r="M67" s="661"/>
      <c r="N67" s="662">
        <f t="shared" ref="N67" si="749">IF(M67=0,0,M67/M$4)</f>
        <v>0</v>
      </c>
      <c r="O67" s="661"/>
      <c r="P67" s="662">
        <f t="shared" ref="P67" si="750">IF(O67=0,0,O67/O$4)</f>
        <v>0</v>
      </c>
      <c r="Q67" s="661"/>
      <c r="R67" s="662">
        <f t="shared" ref="R67" si="751">IF(Q67=0,0,Q67/Q$4)</f>
        <v>0</v>
      </c>
      <c r="S67" s="661"/>
      <c r="T67" s="662">
        <f t="shared" ref="T67" si="752">IF(S67=0,0,S67/S$4)</f>
        <v>0</v>
      </c>
      <c r="U67" s="661"/>
      <c r="V67" s="662">
        <f t="shared" ref="V67" si="753">IF(U67=0,0,U67/U$4)</f>
        <v>0</v>
      </c>
      <c r="W67" s="661"/>
      <c r="X67" s="662">
        <f t="shared" ref="X67" si="754">IF(W67=0,0,W67/W$4)</f>
        <v>0</v>
      </c>
      <c r="Y67" s="661"/>
      <c r="Z67" s="662">
        <f t="shared" ref="Z67" si="755">IF(Y67=0,0,Y67/Y$4)</f>
        <v>0</v>
      </c>
      <c r="AA67" s="661"/>
      <c r="AB67" s="662">
        <f t="shared" ref="AB67" si="756">IF(AA67=0,0,AA67/AA$4)</f>
        <v>0</v>
      </c>
      <c r="AC67" s="661"/>
      <c r="AD67" s="662">
        <f t="shared" ref="AD67" si="757">IF(AC67=0,0,AC67/AC$4)</f>
        <v>0</v>
      </c>
      <c r="AE67" s="654"/>
    </row>
    <row r="68" spans="1:31" s="556" customFormat="1" ht="31.5" hidden="1" outlineLevel="3">
      <c r="A68" s="609" t="s">
        <v>1773</v>
      </c>
      <c r="B68" s="559" t="s">
        <v>1680</v>
      </c>
      <c r="C68" s="661"/>
      <c r="D68" s="662">
        <f t="shared" si="0"/>
        <v>0</v>
      </c>
      <c r="E68" s="661"/>
      <c r="F68" s="662">
        <f t="shared" si="0"/>
        <v>0</v>
      </c>
      <c r="G68" s="661"/>
      <c r="H68" s="662">
        <f t="shared" ref="H68" si="758">IF(G68=0,0,G68/G$4)</f>
        <v>0</v>
      </c>
      <c r="I68" s="661"/>
      <c r="J68" s="662">
        <f t="shared" ref="J68" si="759">IF(I68=0,0,I68/I$4)</f>
        <v>0</v>
      </c>
      <c r="K68" s="661"/>
      <c r="L68" s="662">
        <f t="shared" ref="L68" si="760">IF(K68=0,0,K68/K$4)</f>
        <v>0</v>
      </c>
      <c r="M68" s="661"/>
      <c r="N68" s="662">
        <f t="shared" ref="N68" si="761">IF(M68=0,0,M68/M$4)</f>
        <v>0</v>
      </c>
      <c r="O68" s="661"/>
      <c r="P68" s="662">
        <f t="shared" ref="P68" si="762">IF(O68=0,0,O68/O$4)</f>
        <v>0</v>
      </c>
      <c r="Q68" s="661"/>
      <c r="R68" s="662">
        <f t="shared" ref="R68" si="763">IF(Q68=0,0,Q68/Q$4)</f>
        <v>0</v>
      </c>
      <c r="S68" s="661"/>
      <c r="T68" s="662">
        <f t="shared" ref="T68" si="764">IF(S68=0,0,S68/S$4)</f>
        <v>0</v>
      </c>
      <c r="U68" s="661"/>
      <c r="V68" s="662">
        <f t="shared" ref="V68" si="765">IF(U68=0,0,U68/U$4)</f>
        <v>0</v>
      </c>
      <c r="W68" s="661"/>
      <c r="X68" s="662">
        <f t="shared" ref="X68" si="766">IF(W68=0,0,W68/W$4)</f>
        <v>0</v>
      </c>
      <c r="Y68" s="661"/>
      <c r="Z68" s="662">
        <f t="shared" ref="Z68" si="767">IF(Y68=0,0,Y68/Y$4)</f>
        <v>0</v>
      </c>
      <c r="AA68" s="661"/>
      <c r="AB68" s="662">
        <f t="shared" ref="AB68" si="768">IF(AA68=0,0,AA68/AA$4)</f>
        <v>0</v>
      </c>
      <c r="AC68" s="661"/>
      <c r="AD68" s="662">
        <f t="shared" ref="AD68" si="769">IF(AC68=0,0,AC68/AC$4)</f>
        <v>0</v>
      </c>
      <c r="AE68" s="654"/>
    </row>
    <row r="69" spans="1:31" s="556" customFormat="1" ht="31.5" hidden="1" outlineLevel="3">
      <c r="A69" s="609" t="s">
        <v>1774</v>
      </c>
      <c r="B69" s="559" t="s">
        <v>1681</v>
      </c>
      <c r="C69" s="661"/>
      <c r="D69" s="662">
        <f t="shared" si="0"/>
        <v>0</v>
      </c>
      <c r="E69" s="661"/>
      <c r="F69" s="662">
        <f t="shared" si="0"/>
        <v>0</v>
      </c>
      <c r="G69" s="661"/>
      <c r="H69" s="662">
        <f t="shared" ref="H69" si="770">IF(G69=0,0,G69/G$4)</f>
        <v>0</v>
      </c>
      <c r="I69" s="661"/>
      <c r="J69" s="662">
        <f t="shared" ref="J69" si="771">IF(I69=0,0,I69/I$4)</f>
        <v>0</v>
      </c>
      <c r="K69" s="661"/>
      <c r="L69" s="662">
        <f t="shared" ref="L69" si="772">IF(K69=0,0,K69/K$4)</f>
        <v>0</v>
      </c>
      <c r="M69" s="661"/>
      <c r="N69" s="662">
        <f t="shared" ref="N69" si="773">IF(M69=0,0,M69/M$4)</f>
        <v>0</v>
      </c>
      <c r="O69" s="661"/>
      <c r="P69" s="662">
        <f t="shared" ref="P69" si="774">IF(O69=0,0,O69/O$4)</f>
        <v>0</v>
      </c>
      <c r="Q69" s="661"/>
      <c r="R69" s="662">
        <f t="shared" ref="R69" si="775">IF(Q69=0,0,Q69/Q$4)</f>
        <v>0</v>
      </c>
      <c r="S69" s="661"/>
      <c r="T69" s="662">
        <f t="shared" ref="T69" si="776">IF(S69=0,0,S69/S$4)</f>
        <v>0</v>
      </c>
      <c r="U69" s="661"/>
      <c r="V69" s="662">
        <f t="shared" ref="V69" si="777">IF(U69=0,0,U69/U$4)</f>
        <v>0</v>
      </c>
      <c r="W69" s="661"/>
      <c r="X69" s="662">
        <f t="shared" ref="X69" si="778">IF(W69=0,0,W69/W$4)</f>
        <v>0</v>
      </c>
      <c r="Y69" s="661"/>
      <c r="Z69" s="662">
        <f t="shared" ref="Z69" si="779">IF(Y69=0,0,Y69/Y$4)</f>
        <v>0</v>
      </c>
      <c r="AA69" s="661"/>
      <c r="AB69" s="662">
        <f t="shared" ref="AB69" si="780">IF(AA69=0,0,AA69/AA$4)</f>
        <v>0</v>
      </c>
      <c r="AC69" s="661"/>
      <c r="AD69" s="662">
        <f t="shared" ref="AD69" si="781">IF(AC69=0,0,AC69/AC$4)</f>
        <v>0</v>
      </c>
      <c r="AE69" s="654"/>
    </row>
    <row r="70" spans="1:31" s="556" customFormat="1" ht="15.75" hidden="1" outlineLevel="3">
      <c r="A70" s="609" t="s">
        <v>1775</v>
      </c>
      <c r="B70" s="559" t="s">
        <v>1682</v>
      </c>
      <c r="C70" s="661"/>
      <c r="D70" s="662">
        <f t="shared" ref="D70:F133" si="782">IF(C70=0,0,C70/C$4)</f>
        <v>0</v>
      </c>
      <c r="E70" s="661"/>
      <c r="F70" s="662">
        <f t="shared" si="782"/>
        <v>0</v>
      </c>
      <c r="G70" s="661"/>
      <c r="H70" s="662">
        <f t="shared" ref="H70" si="783">IF(G70=0,0,G70/G$4)</f>
        <v>0</v>
      </c>
      <c r="I70" s="661"/>
      <c r="J70" s="662">
        <f t="shared" ref="J70" si="784">IF(I70=0,0,I70/I$4)</f>
        <v>0</v>
      </c>
      <c r="K70" s="661"/>
      <c r="L70" s="662">
        <f t="shared" ref="L70" si="785">IF(K70=0,0,K70/K$4)</f>
        <v>0</v>
      </c>
      <c r="M70" s="661"/>
      <c r="N70" s="662">
        <f t="shared" ref="N70" si="786">IF(M70=0,0,M70/M$4)</f>
        <v>0</v>
      </c>
      <c r="O70" s="661"/>
      <c r="P70" s="662">
        <f t="shared" ref="P70" si="787">IF(O70=0,0,O70/O$4)</f>
        <v>0</v>
      </c>
      <c r="Q70" s="661"/>
      <c r="R70" s="662">
        <f t="shared" ref="R70" si="788">IF(Q70=0,0,Q70/Q$4)</f>
        <v>0</v>
      </c>
      <c r="S70" s="661"/>
      <c r="T70" s="662">
        <f t="shared" ref="T70" si="789">IF(S70=0,0,S70/S$4)</f>
        <v>0</v>
      </c>
      <c r="U70" s="661"/>
      <c r="V70" s="662">
        <f t="shared" ref="V70" si="790">IF(U70=0,0,U70/U$4)</f>
        <v>0</v>
      </c>
      <c r="W70" s="661"/>
      <c r="X70" s="662">
        <f t="shared" ref="X70" si="791">IF(W70=0,0,W70/W$4)</f>
        <v>0</v>
      </c>
      <c r="Y70" s="661"/>
      <c r="Z70" s="662">
        <f t="shared" ref="Z70" si="792">IF(Y70=0,0,Y70/Y$4)</f>
        <v>0</v>
      </c>
      <c r="AA70" s="661"/>
      <c r="AB70" s="662">
        <f t="shared" ref="AB70" si="793">IF(AA70=0,0,AA70/AA$4)</f>
        <v>0</v>
      </c>
      <c r="AC70" s="661"/>
      <c r="AD70" s="662">
        <f t="shared" ref="AD70" si="794">IF(AC70=0,0,AC70/AC$4)</f>
        <v>0</v>
      </c>
      <c r="AE70" s="654"/>
    </row>
    <row r="71" spans="1:31" s="556" customFormat="1" ht="15.75" hidden="1" outlineLevel="3">
      <c r="A71" s="609" t="s">
        <v>1776</v>
      </c>
      <c r="B71" s="559" t="s">
        <v>1683</v>
      </c>
      <c r="C71" s="661"/>
      <c r="D71" s="662">
        <f t="shared" si="782"/>
        <v>0</v>
      </c>
      <c r="E71" s="661"/>
      <c r="F71" s="662">
        <f t="shared" si="782"/>
        <v>0</v>
      </c>
      <c r="G71" s="661"/>
      <c r="H71" s="662">
        <f t="shared" ref="H71" si="795">IF(G71=0,0,G71/G$4)</f>
        <v>0</v>
      </c>
      <c r="I71" s="661"/>
      <c r="J71" s="662">
        <f t="shared" ref="J71" si="796">IF(I71=0,0,I71/I$4)</f>
        <v>0</v>
      </c>
      <c r="K71" s="661"/>
      <c r="L71" s="662">
        <f t="shared" ref="L71" si="797">IF(K71=0,0,K71/K$4)</f>
        <v>0</v>
      </c>
      <c r="M71" s="661"/>
      <c r="N71" s="662">
        <f t="shared" ref="N71" si="798">IF(M71=0,0,M71/M$4)</f>
        <v>0</v>
      </c>
      <c r="O71" s="661"/>
      <c r="P71" s="662">
        <f t="shared" ref="P71" si="799">IF(O71=0,0,O71/O$4)</f>
        <v>0</v>
      </c>
      <c r="Q71" s="661"/>
      <c r="R71" s="662">
        <f t="shared" ref="R71" si="800">IF(Q71=0,0,Q71/Q$4)</f>
        <v>0</v>
      </c>
      <c r="S71" s="661"/>
      <c r="T71" s="662">
        <f t="shared" ref="T71" si="801">IF(S71=0,0,S71/S$4)</f>
        <v>0</v>
      </c>
      <c r="U71" s="661"/>
      <c r="V71" s="662">
        <f t="shared" ref="V71" si="802">IF(U71=0,0,U71/U$4)</f>
        <v>0</v>
      </c>
      <c r="W71" s="661"/>
      <c r="X71" s="662">
        <f t="shared" ref="X71" si="803">IF(W71=0,0,W71/W$4)</f>
        <v>0</v>
      </c>
      <c r="Y71" s="661"/>
      <c r="Z71" s="662">
        <f t="shared" ref="Z71" si="804">IF(Y71=0,0,Y71/Y$4)</f>
        <v>0</v>
      </c>
      <c r="AA71" s="661"/>
      <c r="AB71" s="662">
        <f t="shared" ref="AB71" si="805">IF(AA71=0,0,AA71/AA$4)</f>
        <v>0</v>
      </c>
      <c r="AC71" s="661"/>
      <c r="AD71" s="662">
        <f t="shared" ref="AD71" si="806">IF(AC71=0,0,AC71/AC$4)</f>
        <v>0</v>
      </c>
      <c r="AE71" s="654"/>
    </row>
    <row r="72" spans="1:31" s="556" customFormat="1" ht="15.75" hidden="1" outlineLevel="3">
      <c r="A72" s="609" t="s">
        <v>1777</v>
      </c>
      <c r="B72" s="559" t="s">
        <v>1684</v>
      </c>
      <c r="C72" s="661"/>
      <c r="D72" s="662">
        <f t="shared" si="782"/>
        <v>0</v>
      </c>
      <c r="E72" s="661"/>
      <c r="F72" s="662">
        <f t="shared" si="782"/>
        <v>0</v>
      </c>
      <c r="G72" s="661"/>
      <c r="H72" s="662">
        <f t="shared" ref="H72" si="807">IF(G72=0,0,G72/G$4)</f>
        <v>0</v>
      </c>
      <c r="I72" s="661"/>
      <c r="J72" s="662">
        <f t="shared" ref="J72" si="808">IF(I72=0,0,I72/I$4)</f>
        <v>0</v>
      </c>
      <c r="K72" s="661"/>
      <c r="L72" s="662">
        <f t="shared" ref="L72" si="809">IF(K72=0,0,K72/K$4)</f>
        <v>0</v>
      </c>
      <c r="M72" s="661"/>
      <c r="N72" s="662">
        <f t="shared" ref="N72" si="810">IF(M72=0,0,M72/M$4)</f>
        <v>0</v>
      </c>
      <c r="O72" s="661"/>
      <c r="P72" s="662">
        <f t="shared" ref="P72" si="811">IF(O72=0,0,O72/O$4)</f>
        <v>0</v>
      </c>
      <c r="Q72" s="661"/>
      <c r="R72" s="662">
        <f t="shared" ref="R72" si="812">IF(Q72=0,0,Q72/Q$4)</f>
        <v>0</v>
      </c>
      <c r="S72" s="661"/>
      <c r="T72" s="662">
        <f t="shared" ref="T72" si="813">IF(S72=0,0,S72/S$4)</f>
        <v>0</v>
      </c>
      <c r="U72" s="661"/>
      <c r="V72" s="662">
        <f t="shared" ref="V72" si="814">IF(U72=0,0,U72/U$4)</f>
        <v>0</v>
      </c>
      <c r="W72" s="661"/>
      <c r="X72" s="662">
        <f t="shared" ref="X72" si="815">IF(W72=0,0,W72/W$4)</f>
        <v>0</v>
      </c>
      <c r="Y72" s="661"/>
      <c r="Z72" s="662">
        <f t="shared" ref="Z72" si="816">IF(Y72=0,0,Y72/Y$4)</f>
        <v>0</v>
      </c>
      <c r="AA72" s="661"/>
      <c r="AB72" s="662">
        <f t="shared" ref="AB72" si="817">IF(AA72=0,0,AA72/AA$4)</f>
        <v>0</v>
      </c>
      <c r="AC72" s="661"/>
      <c r="AD72" s="662">
        <f t="shared" ref="AD72" si="818">IF(AC72=0,0,AC72/AC$4)</f>
        <v>0</v>
      </c>
      <c r="AE72" s="654"/>
    </row>
    <row r="73" spans="1:31" s="556" customFormat="1" ht="15.75" hidden="1" outlineLevel="2">
      <c r="A73" s="612" t="s">
        <v>1778</v>
      </c>
      <c r="B73" s="560" t="s">
        <v>1685</v>
      </c>
      <c r="C73" s="661"/>
      <c r="D73" s="662">
        <f t="shared" si="782"/>
        <v>0</v>
      </c>
      <c r="E73" s="661"/>
      <c r="F73" s="662">
        <f t="shared" si="782"/>
        <v>0</v>
      </c>
      <c r="G73" s="661"/>
      <c r="H73" s="662">
        <f t="shared" ref="H73" si="819">IF(G73=0,0,G73/G$4)</f>
        <v>0</v>
      </c>
      <c r="I73" s="661"/>
      <c r="J73" s="662">
        <f t="shared" ref="J73" si="820">IF(I73=0,0,I73/I$4)</f>
        <v>0</v>
      </c>
      <c r="K73" s="661"/>
      <c r="L73" s="662">
        <f t="shared" ref="L73" si="821">IF(K73=0,0,K73/K$4)</f>
        <v>0</v>
      </c>
      <c r="M73" s="661"/>
      <c r="N73" s="662">
        <f t="shared" ref="N73" si="822">IF(M73=0,0,M73/M$4)</f>
        <v>0</v>
      </c>
      <c r="O73" s="661"/>
      <c r="P73" s="662">
        <f t="shared" ref="P73" si="823">IF(O73=0,0,O73/O$4)</f>
        <v>0</v>
      </c>
      <c r="Q73" s="661"/>
      <c r="R73" s="662">
        <f t="shared" ref="R73" si="824">IF(Q73=0,0,Q73/Q$4)</f>
        <v>0</v>
      </c>
      <c r="S73" s="661"/>
      <c r="T73" s="662">
        <f t="shared" ref="T73" si="825">IF(S73=0,0,S73/S$4)</f>
        <v>0</v>
      </c>
      <c r="U73" s="661"/>
      <c r="V73" s="662">
        <f t="shared" ref="V73" si="826">IF(U73=0,0,U73/U$4)</f>
        <v>0</v>
      </c>
      <c r="W73" s="661"/>
      <c r="X73" s="662">
        <f t="shared" ref="X73" si="827">IF(W73=0,0,W73/W$4)</f>
        <v>0</v>
      </c>
      <c r="Y73" s="661"/>
      <c r="Z73" s="662">
        <f t="shared" ref="Z73" si="828">IF(Y73=0,0,Y73/Y$4)</f>
        <v>0</v>
      </c>
      <c r="AA73" s="661"/>
      <c r="AB73" s="662">
        <f t="shared" ref="AB73" si="829">IF(AA73=0,0,AA73/AA$4)</f>
        <v>0</v>
      </c>
      <c r="AC73" s="661"/>
      <c r="AD73" s="662">
        <f t="shared" ref="AD73" si="830">IF(AC73=0,0,AC73/AC$4)</f>
        <v>0</v>
      </c>
      <c r="AE73" s="654"/>
    </row>
    <row r="74" spans="1:31" s="556" customFormat="1" ht="15.75" hidden="1" outlineLevel="2">
      <c r="A74" s="612" t="s">
        <v>1779</v>
      </c>
      <c r="B74" s="560" t="s">
        <v>1686</v>
      </c>
      <c r="C74" s="661"/>
      <c r="D74" s="662">
        <f t="shared" si="782"/>
        <v>0</v>
      </c>
      <c r="E74" s="661"/>
      <c r="F74" s="662">
        <f t="shared" si="782"/>
        <v>0</v>
      </c>
      <c r="G74" s="661"/>
      <c r="H74" s="662">
        <f t="shared" ref="H74" si="831">IF(G74=0,0,G74/G$4)</f>
        <v>0</v>
      </c>
      <c r="I74" s="661"/>
      <c r="J74" s="662">
        <f t="shared" ref="J74" si="832">IF(I74=0,0,I74/I$4)</f>
        <v>0</v>
      </c>
      <c r="K74" s="661"/>
      <c r="L74" s="662">
        <f t="shared" ref="L74" si="833">IF(K74=0,0,K74/K$4)</f>
        <v>0</v>
      </c>
      <c r="M74" s="661"/>
      <c r="N74" s="662">
        <f t="shared" ref="N74" si="834">IF(M74=0,0,M74/M$4)</f>
        <v>0</v>
      </c>
      <c r="O74" s="661"/>
      <c r="P74" s="662">
        <f t="shared" ref="P74" si="835">IF(O74=0,0,O74/O$4)</f>
        <v>0</v>
      </c>
      <c r="Q74" s="661"/>
      <c r="R74" s="662">
        <f t="shared" ref="R74" si="836">IF(Q74=0,0,Q74/Q$4)</f>
        <v>0</v>
      </c>
      <c r="S74" s="661"/>
      <c r="T74" s="662">
        <f t="shared" ref="T74" si="837">IF(S74=0,0,S74/S$4)</f>
        <v>0</v>
      </c>
      <c r="U74" s="661"/>
      <c r="V74" s="662">
        <f t="shared" ref="V74" si="838">IF(U74=0,0,U74/U$4)</f>
        <v>0</v>
      </c>
      <c r="W74" s="661"/>
      <c r="X74" s="662">
        <f t="shared" ref="X74" si="839">IF(W74=0,0,W74/W$4)</f>
        <v>0</v>
      </c>
      <c r="Y74" s="661"/>
      <c r="Z74" s="662">
        <f t="shared" ref="Z74" si="840">IF(Y74=0,0,Y74/Y$4)</f>
        <v>0</v>
      </c>
      <c r="AA74" s="661"/>
      <c r="AB74" s="662">
        <f t="shared" ref="AB74" si="841">IF(AA74=0,0,AA74/AA$4)</f>
        <v>0</v>
      </c>
      <c r="AC74" s="661"/>
      <c r="AD74" s="662">
        <f t="shared" ref="AD74" si="842">IF(AC74=0,0,AC74/AC$4)</f>
        <v>0</v>
      </c>
      <c r="AE74" s="654"/>
    </row>
    <row r="75" spans="1:31" s="556" customFormat="1" ht="31.5" hidden="1" outlineLevel="2">
      <c r="A75" s="612" t="s">
        <v>1780</v>
      </c>
      <c r="B75" s="560" t="s">
        <v>1687</v>
      </c>
      <c r="C75" s="661"/>
      <c r="D75" s="662">
        <f t="shared" si="782"/>
        <v>0</v>
      </c>
      <c r="E75" s="661"/>
      <c r="F75" s="662">
        <f t="shared" si="782"/>
        <v>0</v>
      </c>
      <c r="G75" s="661"/>
      <c r="H75" s="662">
        <f t="shared" ref="H75" si="843">IF(G75=0,0,G75/G$4)</f>
        <v>0</v>
      </c>
      <c r="I75" s="661"/>
      <c r="J75" s="662">
        <f t="shared" ref="J75" si="844">IF(I75=0,0,I75/I$4)</f>
        <v>0</v>
      </c>
      <c r="K75" s="661"/>
      <c r="L75" s="662">
        <f t="shared" ref="L75" si="845">IF(K75=0,0,K75/K$4)</f>
        <v>0</v>
      </c>
      <c r="M75" s="661"/>
      <c r="N75" s="662">
        <f t="shared" ref="N75" si="846">IF(M75=0,0,M75/M$4)</f>
        <v>0</v>
      </c>
      <c r="O75" s="661"/>
      <c r="P75" s="662">
        <f t="shared" ref="P75" si="847">IF(O75=0,0,O75/O$4)</f>
        <v>0</v>
      </c>
      <c r="Q75" s="661"/>
      <c r="R75" s="662">
        <f t="shared" ref="R75" si="848">IF(Q75=0,0,Q75/Q$4)</f>
        <v>0</v>
      </c>
      <c r="S75" s="661"/>
      <c r="T75" s="662">
        <f t="shared" ref="T75" si="849">IF(S75=0,0,S75/S$4)</f>
        <v>0</v>
      </c>
      <c r="U75" s="661"/>
      <c r="V75" s="662">
        <f t="shared" ref="V75" si="850">IF(U75=0,0,U75/U$4)</f>
        <v>0</v>
      </c>
      <c r="W75" s="661"/>
      <c r="X75" s="662">
        <f t="shared" ref="X75" si="851">IF(W75=0,0,W75/W$4)</f>
        <v>0</v>
      </c>
      <c r="Y75" s="661"/>
      <c r="Z75" s="662">
        <f t="shared" ref="Z75" si="852">IF(Y75=0,0,Y75/Y$4)</f>
        <v>0</v>
      </c>
      <c r="AA75" s="661"/>
      <c r="AB75" s="662">
        <f t="shared" ref="AB75" si="853">IF(AA75=0,0,AA75/AA$4)</f>
        <v>0</v>
      </c>
      <c r="AC75" s="661"/>
      <c r="AD75" s="662">
        <f t="shared" ref="AD75" si="854">IF(AC75=0,0,AC75/AC$4)</f>
        <v>0</v>
      </c>
      <c r="AE75" s="654"/>
    </row>
    <row r="76" spans="1:31" s="556" customFormat="1" ht="15.75" hidden="1" outlineLevel="2">
      <c r="A76" s="612" t="s">
        <v>1781</v>
      </c>
      <c r="B76" s="560" t="s">
        <v>1688</v>
      </c>
      <c r="C76" s="661"/>
      <c r="D76" s="662">
        <f t="shared" si="782"/>
        <v>0</v>
      </c>
      <c r="E76" s="661"/>
      <c r="F76" s="662">
        <f t="shared" si="782"/>
        <v>0</v>
      </c>
      <c r="G76" s="661"/>
      <c r="H76" s="662">
        <f t="shared" ref="H76" si="855">IF(G76=0,0,G76/G$4)</f>
        <v>0</v>
      </c>
      <c r="I76" s="661"/>
      <c r="J76" s="662">
        <f t="shared" ref="J76" si="856">IF(I76=0,0,I76/I$4)</f>
        <v>0</v>
      </c>
      <c r="K76" s="661"/>
      <c r="L76" s="662">
        <f t="shared" ref="L76" si="857">IF(K76=0,0,K76/K$4)</f>
        <v>0</v>
      </c>
      <c r="M76" s="661"/>
      <c r="N76" s="662">
        <f t="shared" ref="N76" si="858">IF(M76=0,0,M76/M$4)</f>
        <v>0</v>
      </c>
      <c r="O76" s="661"/>
      <c r="P76" s="662">
        <f t="shared" ref="P76" si="859">IF(O76=0,0,O76/O$4)</f>
        <v>0</v>
      </c>
      <c r="Q76" s="661"/>
      <c r="R76" s="662">
        <f t="shared" ref="R76" si="860">IF(Q76=0,0,Q76/Q$4)</f>
        <v>0</v>
      </c>
      <c r="S76" s="661"/>
      <c r="T76" s="662">
        <f t="shared" ref="T76" si="861">IF(S76=0,0,S76/S$4)</f>
        <v>0</v>
      </c>
      <c r="U76" s="661"/>
      <c r="V76" s="662">
        <f t="shared" ref="V76" si="862">IF(U76=0,0,U76/U$4)</f>
        <v>0</v>
      </c>
      <c r="W76" s="661"/>
      <c r="X76" s="662">
        <f t="shared" ref="X76" si="863">IF(W76=0,0,W76/W$4)</f>
        <v>0</v>
      </c>
      <c r="Y76" s="661"/>
      <c r="Z76" s="662">
        <f t="shared" ref="Z76" si="864">IF(Y76=0,0,Y76/Y$4)</f>
        <v>0</v>
      </c>
      <c r="AA76" s="661"/>
      <c r="AB76" s="662">
        <f t="shared" ref="AB76" si="865">IF(AA76=0,0,AA76/AA$4)</f>
        <v>0</v>
      </c>
      <c r="AC76" s="661"/>
      <c r="AD76" s="662">
        <f t="shared" ref="AD76" si="866">IF(AC76=0,0,AC76/AC$4)</f>
        <v>0</v>
      </c>
      <c r="AE76" s="654"/>
    </row>
    <row r="77" spans="1:31" s="556" customFormat="1" ht="31.5" hidden="1" outlineLevel="2">
      <c r="A77" s="612" t="s">
        <v>1782</v>
      </c>
      <c r="B77" s="560" t="s">
        <v>1689</v>
      </c>
      <c r="C77" s="661"/>
      <c r="D77" s="662">
        <f t="shared" si="782"/>
        <v>0</v>
      </c>
      <c r="E77" s="661"/>
      <c r="F77" s="662">
        <f t="shared" si="782"/>
        <v>0</v>
      </c>
      <c r="G77" s="661"/>
      <c r="H77" s="662">
        <f t="shared" ref="H77" si="867">IF(G77=0,0,G77/G$4)</f>
        <v>0</v>
      </c>
      <c r="I77" s="661"/>
      <c r="J77" s="662">
        <f t="shared" ref="J77" si="868">IF(I77=0,0,I77/I$4)</f>
        <v>0</v>
      </c>
      <c r="K77" s="661"/>
      <c r="L77" s="662">
        <f t="shared" ref="L77" si="869">IF(K77=0,0,K77/K$4)</f>
        <v>0</v>
      </c>
      <c r="M77" s="661"/>
      <c r="N77" s="662">
        <f t="shared" ref="N77" si="870">IF(M77=0,0,M77/M$4)</f>
        <v>0</v>
      </c>
      <c r="O77" s="661"/>
      <c r="P77" s="662">
        <f t="shared" ref="P77" si="871">IF(O77=0,0,O77/O$4)</f>
        <v>0</v>
      </c>
      <c r="Q77" s="661"/>
      <c r="R77" s="662">
        <f t="shared" ref="R77" si="872">IF(Q77=0,0,Q77/Q$4)</f>
        <v>0</v>
      </c>
      <c r="S77" s="661"/>
      <c r="T77" s="662">
        <f t="shared" ref="T77" si="873">IF(S77=0,0,S77/S$4)</f>
        <v>0</v>
      </c>
      <c r="U77" s="661"/>
      <c r="V77" s="662">
        <f t="shared" ref="V77" si="874">IF(U77=0,0,U77/U$4)</f>
        <v>0</v>
      </c>
      <c r="W77" s="661"/>
      <c r="X77" s="662">
        <f t="shared" ref="X77" si="875">IF(W77=0,0,W77/W$4)</f>
        <v>0</v>
      </c>
      <c r="Y77" s="661"/>
      <c r="Z77" s="662">
        <f t="shared" ref="Z77" si="876">IF(Y77=0,0,Y77/Y$4)</f>
        <v>0</v>
      </c>
      <c r="AA77" s="661"/>
      <c r="AB77" s="662">
        <f t="shared" ref="AB77" si="877">IF(AA77=0,0,AA77/AA$4)</f>
        <v>0</v>
      </c>
      <c r="AC77" s="661"/>
      <c r="AD77" s="662">
        <f t="shared" ref="AD77" si="878">IF(AC77=0,0,AC77/AC$4)</f>
        <v>0</v>
      </c>
      <c r="AE77" s="654"/>
    </row>
    <row r="78" spans="1:31" s="556" customFormat="1" ht="31.5" hidden="1" outlineLevel="2">
      <c r="A78" s="612" t="s">
        <v>1783</v>
      </c>
      <c r="B78" s="560" t="s">
        <v>1690</v>
      </c>
      <c r="C78" s="661"/>
      <c r="D78" s="662">
        <f t="shared" si="782"/>
        <v>0</v>
      </c>
      <c r="E78" s="661"/>
      <c r="F78" s="662">
        <f t="shared" si="782"/>
        <v>0</v>
      </c>
      <c r="G78" s="661"/>
      <c r="H78" s="662">
        <f t="shared" ref="H78" si="879">IF(G78=0,0,G78/G$4)</f>
        <v>0</v>
      </c>
      <c r="I78" s="661"/>
      <c r="J78" s="662">
        <f t="shared" ref="J78" si="880">IF(I78=0,0,I78/I$4)</f>
        <v>0</v>
      </c>
      <c r="K78" s="661"/>
      <c r="L78" s="662">
        <f t="shared" ref="L78" si="881">IF(K78=0,0,K78/K$4)</f>
        <v>0</v>
      </c>
      <c r="M78" s="661"/>
      <c r="N78" s="662">
        <f t="shared" ref="N78" si="882">IF(M78=0,0,M78/M$4)</f>
        <v>0</v>
      </c>
      <c r="O78" s="661"/>
      <c r="P78" s="662">
        <f t="shared" ref="P78" si="883">IF(O78=0,0,O78/O$4)</f>
        <v>0</v>
      </c>
      <c r="Q78" s="661"/>
      <c r="R78" s="662">
        <f t="shared" ref="R78" si="884">IF(Q78=0,0,Q78/Q$4)</f>
        <v>0</v>
      </c>
      <c r="S78" s="661"/>
      <c r="T78" s="662">
        <f t="shared" ref="T78" si="885">IF(S78=0,0,S78/S$4)</f>
        <v>0</v>
      </c>
      <c r="U78" s="661"/>
      <c r="V78" s="662">
        <f t="shared" ref="V78" si="886">IF(U78=0,0,U78/U$4)</f>
        <v>0</v>
      </c>
      <c r="W78" s="661"/>
      <c r="X78" s="662">
        <f t="shared" ref="X78" si="887">IF(W78=0,0,W78/W$4)</f>
        <v>0</v>
      </c>
      <c r="Y78" s="661"/>
      <c r="Z78" s="662">
        <f t="shared" ref="Z78" si="888">IF(Y78=0,0,Y78/Y$4)</f>
        <v>0</v>
      </c>
      <c r="AA78" s="661"/>
      <c r="AB78" s="662">
        <f t="shared" ref="AB78" si="889">IF(AA78=0,0,AA78/AA$4)</f>
        <v>0</v>
      </c>
      <c r="AC78" s="661"/>
      <c r="AD78" s="662">
        <f t="shared" ref="AD78" si="890">IF(AC78=0,0,AC78/AC$4)</f>
        <v>0</v>
      </c>
      <c r="AE78" s="654"/>
    </row>
    <row r="79" spans="1:31" s="556" customFormat="1" ht="15.75" hidden="1" outlineLevel="2">
      <c r="A79" s="612" t="s">
        <v>1784</v>
      </c>
      <c r="B79" s="560" t="s">
        <v>1691</v>
      </c>
      <c r="C79" s="661"/>
      <c r="D79" s="662">
        <f t="shared" si="782"/>
        <v>0</v>
      </c>
      <c r="E79" s="661"/>
      <c r="F79" s="662">
        <f t="shared" si="782"/>
        <v>0</v>
      </c>
      <c r="G79" s="661"/>
      <c r="H79" s="662">
        <f t="shared" ref="H79" si="891">IF(G79=0,0,G79/G$4)</f>
        <v>0</v>
      </c>
      <c r="I79" s="661"/>
      <c r="J79" s="662">
        <f t="shared" ref="J79" si="892">IF(I79=0,0,I79/I$4)</f>
        <v>0</v>
      </c>
      <c r="K79" s="661"/>
      <c r="L79" s="662">
        <f t="shared" ref="L79" si="893">IF(K79=0,0,K79/K$4)</f>
        <v>0</v>
      </c>
      <c r="M79" s="661"/>
      <c r="N79" s="662">
        <f t="shared" ref="N79" si="894">IF(M79=0,0,M79/M$4)</f>
        <v>0</v>
      </c>
      <c r="O79" s="661"/>
      <c r="P79" s="662">
        <f t="shared" ref="P79" si="895">IF(O79=0,0,O79/O$4)</f>
        <v>0</v>
      </c>
      <c r="Q79" s="661"/>
      <c r="R79" s="662">
        <f t="shared" ref="R79" si="896">IF(Q79=0,0,Q79/Q$4)</f>
        <v>0</v>
      </c>
      <c r="S79" s="661"/>
      <c r="T79" s="662">
        <f t="shared" ref="T79" si="897">IF(S79=0,0,S79/S$4)</f>
        <v>0</v>
      </c>
      <c r="U79" s="661"/>
      <c r="V79" s="662">
        <f t="shared" ref="V79" si="898">IF(U79=0,0,U79/U$4)</f>
        <v>0</v>
      </c>
      <c r="W79" s="661"/>
      <c r="X79" s="662">
        <f t="shared" ref="X79" si="899">IF(W79=0,0,W79/W$4)</f>
        <v>0</v>
      </c>
      <c r="Y79" s="661"/>
      <c r="Z79" s="662">
        <f t="shared" ref="Z79" si="900">IF(Y79=0,0,Y79/Y$4)</f>
        <v>0</v>
      </c>
      <c r="AA79" s="661"/>
      <c r="AB79" s="662">
        <f t="shared" ref="AB79" si="901">IF(AA79=0,0,AA79/AA$4)</f>
        <v>0</v>
      </c>
      <c r="AC79" s="661"/>
      <c r="AD79" s="662">
        <f t="shared" ref="AD79" si="902">IF(AC79=0,0,AC79/AC$4)</f>
        <v>0</v>
      </c>
      <c r="AE79" s="654"/>
    </row>
    <row r="80" spans="1:31" s="556" customFormat="1" ht="15.75" outlineLevel="1" collapsed="1">
      <c r="A80" s="609" t="s">
        <v>1610</v>
      </c>
      <c r="B80" s="559" t="s">
        <v>338</v>
      </c>
      <c r="C80" s="659">
        <f>SUM(C81:C85,C94:C101)</f>
        <v>224959147.39264926</v>
      </c>
      <c r="D80" s="660">
        <f t="shared" si="782"/>
        <v>1397.1496345169874</v>
      </c>
      <c r="E80" s="659"/>
      <c r="F80" s="660">
        <f t="shared" si="782"/>
        <v>0</v>
      </c>
      <c r="G80" s="659"/>
      <c r="H80" s="660">
        <f t="shared" ref="H80" si="903">IF(G80=0,0,G80/G$4)</f>
        <v>0</v>
      </c>
      <c r="I80" s="659"/>
      <c r="J80" s="660">
        <f t="shared" ref="J80" si="904">IF(I80=0,0,I80/I$4)</f>
        <v>0</v>
      </c>
      <c r="K80" s="659"/>
      <c r="L80" s="660">
        <f t="shared" ref="L80" si="905">IF(K80=0,0,K80/K$4)</f>
        <v>0</v>
      </c>
      <c r="M80" s="659"/>
      <c r="N80" s="660">
        <f t="shared" ref="N80" si="906">IF(M80=0,0,M80/M$4)</f>
        <v>0</v>
      </c>
      <c r="O80" s="659"/>
      <c r="P80" s="660">
        <f t="shared" ref="P80" si="907">IF(O80=0,0,O80/O$4)</f>
        <v>0</v>
      </c>
      <c r="Q80" s="659"/>
      <c r="R80" s="660">
        <f t="shared" ref="R80" si="908">IF(Q80=0,0,Q80/Q$4)</f>
        <v>0</v>
      </c>
      <c r="S80" s="659"/>
      <c r="T80" s="660">
        <f t="shared" ref="T80" si="909">IF(S80=0,0,S80/S$4)</f>
        <v>0</v>
      </c>
      <c r="U80" s="659"/>
      <c r="V80" s="660">
        <f t="shared" ref="V80" si="910">IF(U80=0,0,U80/U$4)</f>
        <v>0</v>
      </c>
      <c r="W80" s="659"/>
      <c r="X80" s="660">
        <f t="shared" ref="X80" si="911">IF(W80=0,0,W80/W$4)</f>
        <v>0</v>
      </c>
      <c r="Y80" s="659"/>
      <c r="Z80" s="660">
        <f t="shared" ref="Z80" si="912">IF(Y80=0,0,Y80/Y$4)</f>
        <v>0</v>
      </c>
      <c r="AA80" s="659"/>
      <c r="AB80" s="660">
        <f t="shared" ref="AB80" si="913">IF(AA80=0,0,AA80/AA$4)</f>
        <v>0</v>
      </c>
      <c r="AC80" s="659">
        <f>SUM(AC81:AC85,AC94:AC101)</f>
        <v>224959147.39264926</v>
      </c>
      <c r="AD80" s="660">
        <f t="shared" ref="AD80" si="914">IF(AC80=0,0,AC80/AC$4)</f>
        <v>1397.1496345169874</v>
      </c>
      <c r="AE80" s="654"/>
    </row>
    <row r="81" spans="1:31" s="556" customFormat="1" ht="15.75" hidden="1" outlineLevel="2">
      <c r="A81" s="612" t="s">
        <v>1785</v>
      </c>
      <c r="B81" s="560" t="s">
        <v>1692</v>
      </c>
      <c r="C81" s="661">
        <f>Калькулятор_жилье!K611</f>
        <v>182660302.90192947</v>
      </c>
      <c r="D81" s="662">
        <f t="shared" si="782"/>
        <v>1134.4449798911887</v>
      </c>
      <c r="E81" s="661"/>
      <c r="F81" s="662">
        <f t="shared" si="782"/>
        <v>0</v>
      </c>
      <c r="G81" s="661"/>
      <c r="H81" s="662">
        <f t="shared" ref="H81" si="915">IF(G81=0,0,G81/G$4)</f>
        <v>0</v>
      </c>
      <c r="I81" s="661"/>
      <c r="J81" s="662">
        <f t="shared" ref="J81" si="916">IF(I81=0,0,I81/I$4)</f>
        <v>0</v>
      </c>
      <c r="K81" s="661"/>
      <c r="L81" s="662">
        <f t="shared" ref="L81" si="917">IF(K81=0,0,K81/K$4)</f>
        <v>0</v>
      </c>
      <c r="M81" s="661"/>
      <c r="N81" s="662">
        <f t="shared" ref="N81" si="918">IF(M81=0,0,M81/M$4)</f>
        <v>0</v>
      </c>
      <c r="O81" s="661"/>
      <c r="P81" s="662">
        <f t="shared" ref="P81" si="919">IF(O81=0,0,O81/O$4)</f>
        <v>0</v>
      </c>
      <c r="Q81" s="661"/>
      <c r="R81" s="662">
        <f t="shared" ref="R81" si="920">IF(Q81=0,0,Q81/Q$4)</f>
        <v>0</v>
      </c>
      <c r="S81" s="661"/>
      <c r="T81" s="662">
        <f t="shared" ref="T81" si="921">IF(S81=0,0,S81/S$4)</f>
        <v>0</v>
      </c>
      <c r="U81" s="661"/>
      <c r="V81" s="662">
        <f t="shared" ref="V81" si="922">IF(U81=0,0,U81/U$4)</f>
        <v>0</v>
      </c>
      <c r="W81" s="661"/>
      <c r="X81" s="662">
        <f t="shared" ref="X81" si="923">IF(W81=0,0,W81/W$4)</f>
        <v>0</v>
      </c>
      <c r="Y81" s="661"/>
      <c r="Z81" s="662">
        <f t="shared" ref="Z81" si="924">IF(Y81=0,0,Y81/Y$4)</f>
        <v>0</v>
      </c>
      <c r="AA81" s="661"/>
      <c r="AB81" s="662">
        <f t="shared" ref="AB81" si="925">IF(AA81=0,0,AA81/AA$4)</f>
        <v>0</v>
      </c>
      <c r="AC81" s="661">
        <f>C81+E81+G81+I81+K81+M81+O81+Q81+S81+U81+W81+AA81+Y81</f>
        <v>182660302.90192947</v>
      </c>
      <c r="AD81" s="662">
        <f t="shared" ref="AD81" si="926">IF(AC81=0,0,AC81/AC$4)</f>
        <v>1134.4449798911887</v>
      </c>
      <c r="AE81" s="654"/>
    </row>
    <row r="82" spans="1:31" s="556" customFormat="1" ht="15.75" hidden="1" outlineLevel="2">
      <c r="A82" s="612" t="s">
        <v>1786</v>
      </c>
      <c r="B82" s="560" t="s">
        <v>1693</v>
      </c>
      <c r="C82" s="661">
        <f>Калькулятор_жилье!K527</f>
        <v>1079040.7178973705</v>
      </c>
      <c r="D82" s="662">
        <f t="shared" si="782"/>
        <v>6.7015783181640929</v>
      </c>
      <c r="E82" s="661"/>
      <c r="F82" s="662">
        <f t="shared" si="782"/>
        <v>0</v>
      </c>
      <c r="G82" s="661"/>
      <c r="H82" s="662">
        <f t="shared" ref="H82" si="927">IF(G82=0,0,G82/G$4)</f>
        <v>0</v>
      </c>
      <c r="I82" s="661"/>
      <c r="J82" s="662">
        <f t="shared" ref="J82" si="928">IF(I82=0,0,I82/I$4)</f>
        <v>0</v>
      </c>
      <c r="K82" s="661"/>
      <c r="L82" s="662">
        <f t="shared" ref="L82" si="929">IF(K82=0,0,K82/K$4)</f>
        <v>0</v>
      </c>
      <c r="M82" s="661"/>
      <c r="N82" s="662">
        <f t="shared" ref="N82" si="930">IF(M82=0,0,M82/M$4)</f>
        <v>0</v>
      </c>
      <c r="O82" s="661"/>
      <c r="P82" s="662">
        <f t="shared" ref="P82" si="931">IF(O82=0,0,O82/O$4)</f>
        <v>0</v>
      </c>
      <c r="Q82" s="661"/>
      <c r="R82" s="662">
        <f t="shared" ref="R82" si="932">IF(Q82=0,0,Q82/Q$4)</f>
        <v>0</v>
      </c>
      <c r="S82" s="661"/>
      <c r="T82" s="662">
        <f t="shared" ref="T82" si="933">IF(S82=0,0,S82/S$4)</f>
        <v>0</v>
      </c>
      <c r="U82" s="661"/>
      <c r="V82" s="662">
        <f t="shared" ref="V82" si="934">IF(U82=0,0,U82/U$4)</f>
        <v>0</v>
      </c>
      <c r="W82" s="661"/>
      <c r="X82" s="662">
        <f t="shared" ref="X82" si="935">IF(W82=0,0,W82/W$4)</f>
        <v>0</v>
      </c>
      <c r="Y82" s="661"/>
      <c r="Z82" s="662">
        <f t="shared" ref="Z82" si="936">IF(Y82=0,0,Y82/Y$4)</f>
        <v>0</v>
      </c>
      <c r="AA82" s="661"/>
      <c r="AB82" s="662">
        <f t="shared" ref="AB82" si="937">IF(AA82=0,0,AA82/AA$4)</f>
        <v>0</v>
      </c>
      <c r="AC82" s="661">
        <f>C82+E82+G82+I82+K82+M82+O82+Q82+S82+U82+W82+AA82+Y82</f>
        <v>1079040.7178973705</v>
      </c>
      <c r="AD82" s="662">
        <f t="shared" ref="AD82" si="938">IF(AC82=0,0,AC82/AC$4)</f>
        <v>6.7015783181640929</v>
      </c>
      <c r="AE82" s="654"/>
    </row>
    <row r="83" spans="1:31" s="556" customFormat="1" ht="15.75" hidden="1" outlineLevel="2">
      <c r="A83" s="612" t="s">
        <v>1787</v>
      </c>
      <c r="B83" s="560" t="s">
        <v>1694</v>
      </c>
      <c r="C83" s="661"/>
      <c r="D83" s="662">
        <f t="shared" si="782"/>
        <v>0</v>
      </c>
      <c r="E83" s="661"/>
      <c r="F83" s="662">
        <f t="shared" si="782"/>
        <v>0</v>
      </c>
      <c r="G83" s="661"/>
      <c r="H83" s="662">
        <f t="shared" ref="H83" si="939">IF(G83=0,0,G83/G$4)</f>
        <v>0</v>
      </c>
      <c r="I83" s="661"/>
      <c r="J83" s="662">
        <f t="shared" ref="J83" si="940">IF(I83=0,0,I83/I$4)</f>
        <v>0</v>
      </c>
      <c r="K83" s="661"/>
      <c r="L83" s="662">
        <f t="shared" ref="L83" si="941">IF(K83=0,0,K83/K$4)</f>
        <v>0</v>
      </c>
      <c r="M83" s="661"/>
      <c r="N83" s="662">
        <f t="shared" ref="N83" si="942">IF(M83=0,0,M83/M$4)</f>
        <v>0</v>
      </c>
      <c r="O83" s="661"/>
      <c r="P83" s="662">
        <f t="shared" ref="P83" si="943">IF(O83=0,0,O83/O$4)</f>
        <v>0</v>
      </c>
      <c r="Q83" s="661"/>
      <c r="R83" s="662">
        <f t="shared" ref="R83" si="944">IF(Q83=0,0,Q83/Q$4)</f>
        <v>0</v>
      </c>
      <c r="S83" s="661"/>
      <c r="T83" s="662">
        <f t="shared" ref="T83" si="945">IF(S83=0,0,S83/S$4)</f>
        <v>0</v>
      </c>
      <c r="U83" s="661"/>
      <c r="V83" s="662">
        <f t="shared" ref="V83" si="946">IF(U83=0,0,U83/U$4)</f>
        <v>0</v>
      </c>
      <c r="W83" s="661"/>
      <c r="X83" s="662">
        <f t="shared" ref="X83" si="947">IF(W83=0,0,W83/W$4)</f>
        <v>0</v>
      </c>
      <c r="Y83" s="661"/>
      <c r="Z83" s="662">
        <f t="shared" ref="Z83" si="948">IF(Y83=0,0,Y83/Y$4)</f>
        <v>0</v>
      </c>
      <c r="AA83" s="661"/>
      <c r="AB83" s="662">
        <f t="shared" ref="AB83" si="949">IF(AA83=0,0,AA83/AA$4)</f>
        <v>0</v>
      </c>
      <c r="AC83" s="661"/>
      <c r="AD83" s="662">
        <f t="shared" ref="AD83" si="950">IF(AC83=0,0,AC83/AC$4)</f>
        <v>0</v>
      </c>
      <c r="AE83" s="654"/>
    </row>
    <row r="84" spans="1:31" s="556" customFormat="1" ht="15.75" hidden="1" outlineLevel="2">
      <c r="A84" s="612" t="s">
        <v>1788</v>
      </c>
      <c r="B84" s="560" t="s">
        <v>1695</v>
      </c>
      <c r="C84" s="661"/>
      <c r="D84" s="662">
        <f t="shared" si="782"/>
        <v>0</v>
      </c>
      <c r="E84" s="661"/>
      <c r="F84" s="662">
        <f t="shared" si="782"/>
        <v>0</v>
      </c>
      <c r="G84" s="661"/>
      <c r="H84" s="662">
        <f t="shared" ref="H84" si="951">IF(G84=0,0,G84/G$4)</f>
        <v>0</v>
      </c>
      <c r="I84" s="661"/>
      <c r="J84" s="662">
        <f t="shared" ref="J84" si="952">IF(I84=0,0,I84/I$4)</f>
        <v>0</v>
      </c>
      <c r="K84" s="661"/>
      <c r="L84" s="662">
        <f t="shared" ref="L84" si="953">IF(K84=0,0,K84/K$4)</f>
        <v>0</v>
      </c>
      <c r="M84" s="661"/>
      <c r="N84" s="662">
        <f t="shared" ref="N84" si="954">IF(M84=0,0,M84/M$4)</f>
        <v>0</v>
      </c>
      <c r="O84" s="661"/>
      <c r="P84" s="662">
        <f t="shared" ref="P84" si="955">IF(O84=0,0,O84/O$4)</f>
        <v>0</v>
      </c>
      <c r="Q84" s="661"/>
      <c r="R84" s="662">
        <f t="shared" ref="R84" si="956">IF(Q84=0,0,Q84/Q$4)</f>
        <v>0</v>
      </c>
      <c r="S84" s="661"/>
      <c r="T84" s="662">
        <f t="shared" ref="T84" si="957">IF(S84=0,0,S84/S$4)</f>
        <v>0</v>
      </c>
      <c r="U84" s="661"/>
      <c r="V84" s="662">
        <f t="shared" ref="V84" si="958">IF(U84=0,0,U84/U$4)</f>
        <v>0</v>
      </c>
      <c r="W84" s="661"/>
      <c r="X84" s="662">
        <f t="shared" ref="X84" si="959">IF(W84=0,0,W84/W$4)</f>
        <v>0</v>
      </c>
      <c r="Y84" s="661"/>
      <c r="Z84" s="662">
        <f t="shared" ref="Z84" si="960">IF(Y84=0,0,Y84/Y$4)</f>
        <v>0</v>
      </c>
      <c r="AA84" s="661"/>
      <c r="AB84" s="662">
        <f t="shared" ref="AB84" si="961">IF(AA84=0,0,AA84/AA$4)</f>
        <v>0</v>
      </c>
      <c r="AC84" s="661"/>
      <c r="AD84" s="662">
        <f t="shared" ref="AD84" si="962">IF(AC84=0,0,AC84/AC$4)</f>
        <v>0</v>
      </c>
      <c r="AE84" s="654"/>
    </row>
    <row r="85" spans="1:31" s="556" customFormat="1" ht="15.75" hidden="1" outlineLevel="2">
      <c r="A85" s="612" t="s">
        <v>1789</v>
      </c>
      <c r="B85" s="560" t="s">
        <v>1696</v>
      </c>
      <c r="C85" s="661">
        <f>SUM(C86:C93)</f>
        <v>41219803.772822417</v>
      </c>
      <c r="D85" s="662">
        <f t="shared" si="782"/>
        <v>256.00307630763444</v>
      </c>
      <c r="E85" s="661"/>
      <c r="F85" s="662">
        <f t="shared" si="782"/>
        <v>0</v>
      </c>
      <c r="G85" s="661"/>
      <c r="H85" s="662">
        <f t="shared" ref="H85" si="963">IF(G85=0,0,G85/G$4)</f>
        <v>0</v>
      </c>
      <c r="I85" s="661"/>
      <c r="J85" s="662">
        <f t="shared" ref="J85" si="964">IF(I85=0,0,I85/I$4)</f>
        <v>0</v>
      </c>
      <c r="K85" s="661"/>
      <c r="L85" s="662">
        <f t="shared" ref="L85" si="965">IF(K85=0,0,K85/K$4)</f>
        <v>0</v>
      </c>
      <c r="M85" s="661"/>
      <c r="N85" s="662">
        <f t="shared" ref="N85" si="966">IF(M85=0,0,M85/M$4)</f>
        <v>0</v>
      </c>
      <c r="O85" s="661"/>
      <c r="P85" s="662">
        <f t="shared" ref="P85" si="967">IF(O85=0,0,O85/O$4)</f>
        <v>0</v>
      </c>
      <c r="Q85" s="661"/>
      <c r="R85" s="662">
        <f t="shared" ref="R85" si="968">IF(Q85=0,0,Q85/Q$4)</f>
        <v>0</v>
      </c>
      <c r="S85" s="661"/>
      <c r="T85" s="662">
        <f t="shared" ref="T85" si="969">IF(S85=0,0,S85/S$4)</f>
        <v>0</v>
      </c>
      <c r="U85" s="661"/>
      <c r="V85" s="662">
        <f t="shared" ref="V85" si="970">IF(U85=0,0,U85/U$4)</f>
        <v>0</v>
      </c>
      <c r="W85" s="661"/>
      <c r="X85" s="662">
        <f t="shared" ref="X85" si="971">IF(W85=0,0,W85/W$4)</f>
        <v>0</v>
      </c>
      <c r="Y85" s="661"/>
      <c r="Z85" s="662">
        <f t="shared" ref="Z85" si="972">IF(Y85=0,0,Y85/Y$4)</f>
        <v>0</v>
      </c>
      <c r="AA85" s="661"/>
      <c r="AB85" s="662">
        <f t="shared" ref="AB85" si="973">IF(AA85=0,0,AA85/AA$4)</f>
        <v>0</v>
      </c>
      <c r="AC85" s="661">
        <f>SUM(AC86:AC93)</f>
        <v>41219803.772822417</v>
      </c>
      <c r="AD85" s="662">
        <f t="shared" ref="AD85" si="974">IF(AC85=0,0,AC85/AC$4)</f>
        <v>256.00307630763444</v>
      </c>
      <c r="AE85" s="654"/>
    </row>
    <row r="86" spans="1:31" s="556" customFormat="1" ht="15.75" hidden="1" outlineLevel="3">
      <c r="A86" s="609" t="s">
        <v>1790</v>
      </c>
      <c r="B86" s="559" t="s">
        <v>1697</v>
      </c>
      <c r="C86" s="663">
        <f>Калькулятор_жилье!K558</f>
        <v>41219803.772822417</v>
      </c>
      <c r="D86" s="664">
        <f t="shared" si="782"/>
        <v>256.00307630763444</v>
      </c>
      <c r="E86" s="663"/>
      <c r="F86" s="664">
        <f t="shared" si="782"/>
        <v>0</v>
      </c>
      <c r="G86" s="663"/>
      <c r="H86" s="664">
        <f t="shared" ref="H86" si="975">IF(G86=0,0,G86/G$4)</f>
        <v>0</v>
      </c>
      <c r="I86" s="663"/>
      <c r="J86" s="664">
        <f t="shared" ref="J86" si="976">IF(I86=0,0,I86/I$4)</f>
        <v>0</v>
      </c>
      <c r="K86" s="663"/>
      <c r="L86" s="664">
        <f t="shared" ref="L86" si="977">IF(K86=0,0,K86/K$4)</f>
        <v>0</v>
      </c>
      <c r="M86" s="663"/>
      <c r="N86" s="664">
        <f t="shared" ref="N86" si="978">IF(M86=0,0,M86/M$4)</f>
        <v>0</v>
      </c>
      <c r="O86" s="663"/>
      <c r="P86" s="664">
        <f t="shared" ref="P86" si="979">IF(O86=0,0,O86/O$4)</f>
        <v>0</v>
      </c>
      <c r="Q86" s="663"/>
      <c r="R86" s="664">
        <f t="shared" ref="R86" si="980">IF(Q86=0,0,Q86/Q$4)</f>
        <v>0</v>
      </c>
      <c r="S86" s="663"/>
      <c r="T86" s="664">
        <f t="shared" ref="T86" si="981">IF(S86=0,0,S86/S$4)</f>
        <v>0</v>
      </c>
      <c r="U86" s="663"/>
      <c r="V86" s="664">
        <f t="shared" ref="V86" si="982">IF(U86=0,0,U86/U$4)</f>
        <v>0</v>
      </c>
      <c r="W86" s="663"/>
      <c r="X86" s="664">
        <f t="shared" ref="X86" si="983">IF(W86=0,0,W86/W$4)</f>
        <v>0</v>
      </c>
      <c r="Y86" s="663"/>
      <c r="Z86" s="664">
        <f t="shared" ref="Z86" si="984">IF(Y86=0,0,Y86/Y$4)</f>
        <v>0</v>
      </c>
      <c r="AA86" s="663"/>
      <c r="AB86" s="664">
        <f t="shared" ref="AB86" si="985">IF(AA86=0,0,AA86/AA$4)</f>
        <v>0</v>
      </c>
      <c r="AC86" s="663">
        <f t="shared" ref="AC86" si="986">C86+E86+G86+I86+K86+M86+O86+Q86+S86+U86+W86+AA86+Y86</f>
        <v>41219803.772822417</v>
      </c>
      <c r="AD86" s="664">
        <f t="shared" ref="AD86" si="987">IF(AC86=0,0,AC86/AC$4)</f>
        <v>256.00307630763444</v>
      </c>
      <c r="AE86" s="654"/>
    </row>
    <row r="87" spans="1:31" s="556" customFormat="1" ht="15.75" hidden="1" outlineLevel="3">
      <c r="A87" s="609" t="s">
        <v>1791</v>
      </c>
      <c r="B87" s="559" t="s">
        <v>1698</v>
      </c>
      <c r="C87" s="663"/>
      <c r="D87" s="664">
        <f t="shared" si="782"/>
        <v>0</v>
      </c>
      <c r="E87" s="663"/>
      <c r="F87" s="664">
        <f t="shared" si="782"/>
        <v>0</v>
      </c>
      <c r="G87" s="663"/>
      <c r="H87" s="664">
        <f t="shared" ref="H87" si="988">IF(G87=0,0,G87/G$4)</f>
        <v>0</v>
      </c>
      <c r="I87" s="663"/>
      <c r="J87" s="664">
        <f t="shared" ref="J87" si="989">IF(I87=0,0,I87/I$4)</f>
        <v>0</v>
      </c>
      <c r="K87" s="663"/>
      <c r="L87" s="664">
        <f t="shared" ref="L87" si="990">IF(K87=0,0,K87/K$4)</f>
        <v>0</v>
      </c>
      <c r="M87" s="663"/>
      <c r="N87" s="664">
        <f t="shared" ref="N87" si="991">IF(M87=0,0,M87/M$4)</f>
        <v>0</v>
      </c>
      <c r="O87" s="663"/>
      <c r="P87" s="664">
        <f t="shared" ref="P87" si="992">IF(O87=0,0,O87/O$4)</f>
        <v>0</v>
      </c>
      <c r="Q87" s="663"/>
      <c r="R87" s="664">
        <f t="shared" ref="R87" si="993">IF(Q87=0,0,Q87/Q$4)</f>
        <v>0</v>
      </c>
      <c r="S87" s="663"/>
      <c r="T87" s="664">
        <f t="shared" ref="T87" si="994">IF(S87=0,0,S87/S$4)</f>
        <v>0</v>
      </c>
      <c r="U87" s="663"/>
      <c r="V87" s="664">
        <f t="shared" ref="V87" si="995">IF(U87=0,0,U87/U$4)</f>
        <v>0</v>
      </c>
      <c r="W87" s="663"/>
      <c r="X87" s="664">
        <f t="shared" ref="X87" si="996">IF(W87=0,0,W87/W$4)</f>
        <v>0</v>
      </c>
      <c r="Y87" s="663"/>
      <c r="Z87" s="664">
        <f t="shared" ref="Z87" si="997">IF(Y87=0,0,Y87/Y$4)</f>
        <v>0</v>
      </c>
      <c r="AA87" s="663"/>
      <c r="AB87" s="664">
        <f t="shared" ref="AB87" si="998">IF(AA87=0,0,AA87/AA$4)</f>
        <v>0</v>
      </c>
      <c r="AC87" s="663"/>
      <c r="AD87" s="664">
        <f t="shared" ref="AD87" si="999">IF(AC87=0,0,AC87/AC$4)</f>
        <v>0</v>
      </c>
      <c r="AE87" s="654"/>
    </row>
    <row r="88" spans="1:31" s="556" customFormat="1" ht="31.5" hidden="1" outlineLevel="3">
      <c r="A88" s="609" t="s">
        <v>1792</v>
      </c>
      <c r="B88" s="559" t="s">
        <v>1699</v>
      </c>
      <c r="C88" s="663"/>
      <c r="D88" s="664">
        <f t="shared" si="782"/>
        <v>0</v>
      </c>
      <c r="E88" s="663"/>
      <c r="F88" s="664">
        <f t="shared" si="782"/>
        <v>0</v>
      </c>
      <c r="G88" s="663"/>
      <c r="H88" s="664">
        <f t="shared" ref="H88" si="1000">IF(G88=0,0,G88/G$4)</f>
        <v>0</v>
      </c>
      <c r="I88" s="663"/>
      <c r="J88" s="664">
        <f t="shared" ref="J88" si="1001">IF(I88=0,0,I88/I$4)</f>
        <v>0</v>
      </c>
      <c r="K88" s="663"/>
      <c r="L88" s="664">
        <f t="shared" ref="L88" si="1002">IF(K88=0,0,K88/K$4)</f>
        <v>0</v>
      </c>
      <c r="M88" s="663"/>
      <c r="N88" s="664">
        <f t="shared" ref="N88" si="1003">IF(M88=0,0,M88/M$4)</f>
        <v>0</v>
      </c>
      <c r="O88" s="663"/>
      <c r="P88" s="664">
        <f t="shared" ref="P88" si="1004">IF(O88=0,0,O88/O$4)</f>
        <v>0</v>
      </c>
      <c r="Q88" s="663"/>
      <c r="R88" s="664">
        <f t="shared" ref="R88" si="1005">IF(Q88=0,0,Q88/Q$4)</f>
        <v>0</v>
      </c>
      <c r="S88" s="663"/>
      <c r="T88" s="664">
        <f t="shared" ref="T88" si="1006">IF(S88=0,0,S88/S$4)</f>
        <v>0</v>
      </c>
      <c r="U88" s="663"/>
      <c r="V88" s="664">
        <f t="shared" ref="V88" si="1007">IF(U88=0,0,U88/U$4)</f>
        <v>0</v>
      </c>
      <c r="W88" s="663"/>
      <c r="X88" s="664">
        <f t="shared" ref="X88" si="1008">IF(W88=0,0,W88/W$4)</f>
        <v>0</v>
      </c>
      <c r="Y88" s="663"/>
      <c r="Z88" s="664">
        <f t="shared" ref="Z88" si="1009">IF(Y88=0,0,Y88/Y$4)</f>
        <v>0</v>
      </c>
      <c r="AA88" s="663"/>
      <c r="AB88" s="664">
        <f t="shared" ref="AB88" si="1010">IF(AA88=0,0,AA88/AA$4)</f>
        <v>0</v>
      </c>
      <c r="AC88" s="663"/>
      <c r="AD88" s="664">
        <f t="shared" ref="AD88" si="1011">IF(AC88=0,0,AC88/AC$4)</f>
        <v>0</v>
      </c>
      <c r="AE88" s="654"/>
    </row>
    <row r="89" spans="1:31" s="556" customFormat="1" ht="15.75" hidden="1" outlineLevel="3">
      <c r="A89" s="609" t="s">
        <v>1793</v>
      </c>
      <c r="B89" s="559" t="s">
        <v>1700</v>
      </c>
      <c r="C89" s="663"/>
      <c r="D89" s="664">
        <f t="shared" si="782"/>
        <v>0</v>
      </c>
      <c r="E89" s="663"/>
      <c r="F89" s="664">
        <f t="shared" si="782"/>
        <v>0</v>
      </c>
      <c r="G89" s="663"/>
      <c r="H89" s="664">
        <f t="shared" ref="H89" si="1012">IF(G89=0,0,G89/G$4)</f>
        <v>0</v>
      </c>
      <c r="I89" s="663"/>
      <c r="J89" s="664">
        <f t="shared" ref="J89" si="1013">IF(I89=0,0,I89/I$4)</f>
        <v>0</v>
      </c>
      <c r="K89" s="663"/>
      <c r="L89" s="664">
        <f t="shared" ref="L89" si="1014">IF(K89=0,0,K89/K$4)</f>
        <v>0</v>
      </c>
      <c r="M89" s="663"/>
      <c r="N89" s="664">
        <f t="shared" ref="N89" si="1015">IF(M89=0,0,M89/M$4)</f>
        <v>0</v>
      </c>
      <c r="O89" s="663"/>
      <c r="P89" s="664">
        <f t="shared" ref="P89" si="1016">IF(O89=0,0,O89/O$4)</f>
        <v>0</v>
      </c>
      <c r="Q89" s="663"/>
      <c r="R89" s="664">
        <f t="shared" ref="R89" si="1017">IF(Q89=0,0,Q89/Q$4)</f>
        <v>0</v>
      </c>
      <c r="S89" s="663"/>
      <c r="T89" s="664">
        <f t="shared" ref="T89" si="1018">IF(S89=0,0,S89/S$4)</f>
        <v>0</v>
      </c>
      <c r="U89" s="663"/>
      <c r="V89" s="664">
        <f t="shared" ref="V89" si="1019">IF(U89=0,0,U89/U$4)</f>
        <v>0</v>
      </c>
      <c r="W89" s="663"/>
      <c r="X89" s="664">
        <f t="shared" ref="X89" si="1020">IF(W89=0,0,W89/W$4)</f>
        <v>0</v>
      </c>
      <c r="Y89" s="663"/>
      <c r="Z89" s="664">
        <f t="shared" ref="Z89" si="1021">IF(Y89=0,0,Y89/Y$4)</f>
        <v>0</v>
      </c>
      <c r="AA89" s="663"/>
      <c r="AB89" s="664">
        <f t="shared" ref="AB89" si="1022">IF(AA89=0,0,AA89/AA$4)</f>
        <v>0</v>
      </c>
      <c r="AC89" s="663"/>
      <c r="AD89" s="664">
        <f t="shared" ref="AD89" si="1023">IF(AC89=0,0,AC89/AC$4)</f>
        <v>0</v>
      </c>
      <c r="AE89" s="654"/>
    </row>
    <row r="90" spans="1:31" s="556" customFormat="1" ht="15.75" hidden="1" outlineLevel="3">
      <c r="A90" s="609" t="s">
        <v>1794</v>
      </c>
      <c r="B90" s="559" t="s">
        <v>1701</v>
      </c>
      <c r="C90" s="663"/>
      <c r="D90" s="664">
        <f t="shared" si="782"/>
        <v>0</v>
      </c>
      <c r="E90" s="663"/>
      <c r="F90" s="664">
        <f t="shared" si="782"/>
        <v>0</v>
      </c>
      <c r="G90" s="663"/>
      <c r="H90" s="664">
        <f t="shared" ref="H90" si="1024">IF(G90=0,0,G90/G$4)</f>
        <v>0</v>
      </c>
      <c r="I90" s="663"/>
      <c r="J90" s="664">
        <f t="shared" ref="J90" si="1025">IF(I90=0,0,I90/I$4)</f>
        <v>0</v>
      </c>
      <c r="K90" s="663"/>
      <c r="L90" s="664">
        <f t="shared" ref="L90" si="1026">IF(K90=0,0,K90/K$4)</f>
        <v>0</v>
      </c>
      <c r="M90" s="663"/>
      <c r="N90" s="664">
        <f t="shared" ref="N90" si="1027">IF(M90=0,0,M90/M$4)</f>
        <v>0</v>
      </c>
      <c r="O90" s="663"/>
      <c r="P90" s="664">
        <f t="shared" ref="P90" si="1028">IF(O90=0,0,O90/O$4)</f>
        <v>0</v>
      </c>
      <c r="Q90" s="663"/>
      <c r="R90" s="664">
        <f t="shared" ref="R90" si="1029">IF(Q90=0,0,Q90/Q$4)</f>
        <v>0</v>
      </c>
      <c r="S90" s="663"/>
      <c r="T90" s="664">
        <f t="shared" ref="T90" si="1030">IF(S90=0,0,S90/S$4)</f>
        <v>0</v>
      </c>
      <c r="U90" s="663"/>
      <c r="V90" s="664">
        <f t="shared" ref="V90" si="1031">IF(U90=0,0,U90/U$4)</f>
        <v>0</v>
      </c>
      <c r="W90" s="663"/>
      <c r="X90" s="664">
        <f t="shared" ref="X90" si="1032">IF(W90=0,0,W90/W$4)</f>
        <v>0</v>
      </c>
      <c r="Y90" s="663"/>
      <c r="Z90" s="664">
        <f t="shared" ref="Z90" si="1033">IF(Y90=0,0,Y90/Y$4)</f>
        <v>0</v>
      </c>
      <c r="AA90" s="663"/>
      <c r="AB90" s="664">
        <f t="shared" ref="AB90" si="1034">IF(AA90=0,0,AA90/AA$4)</f>
        <v>0</v>
      </c>
      <c r="AC90" s="663"/>
      <c r="AD90" s="664">
        <f t="shared" ref="AD90" si="1035">IF(AC90=0,0,AC90/AC$4)</f>
        <v>0</v>
      </c>
      <c r="AE90" s="654"/>
    </row>
    <row r="91" spans="1:31" s="556" customFormat="1" ht="15.75" hidden="1" outlineLevel="3">
      <c r="A91" s="609" t="s">
        <v>1795</v>
      </c>
      <c r="B91" s="559" t="s">
        <v>1702</v>
      </c>
      <c r="C91" s="663"/>
      <c r="D91" s="664">
        <f t="shared" si="782"/>
        <v>0</v>
      </c>
      <c r="E91" s="663"/>
      <c r="F91" s="664">
        <f t="shared" si="782"/>
        <v>0</v>
      </c>
      <c r="G91" s="663"/>
      <c r="H91" s="664">
        <f t="shared" ref="H91" si="1036">IF(G91=0,0,G91/G$4)</f>
        <v>0</v>
      </c>
      <c r="I91" s="663"/>
      <c r="J91" s="664">
        <f t="shared" ref="J91" si="1037">IF(I91=0,0,I91/I$4)</f>
        <v>0</v>
      </c>
      <c r="K91" s="663"/>
      <c r="L91" s="664">
        <f t="shared" ref="L91" si="1038">IF(K91=0,0,K91/K$4)</f>
        <v>0</v>
      </c>
      <c r="M91" s="663"/>
      <c r="N91" s="664">
        <f t="shared" ref="N91" si="1039">IF(M91=0,0,M91/M$4)</f>
        <v>0</v>
      </c>
      <c r="O91" s="663"/>
      <c r="P91" s="664">
        <f t="shared" ref="P91" si="1040">IF(O91=0,0,O91/O$4)</f>
        <v>0</v>
      </c>
      <c r="Q91" s="663"/>
      <c r="R91" s="664">
        <f t="shared" ref="R91" si="1041">IF(Q91=0,0,Q91/Q$4)</f>
        <v>0</v>
      </c>
      <c r="S91" s="663"/>
      <c r="T91" s="664">
        <f t="shared" ref="T91" si="1042">IF(S91=0,0,S91/S$4)</f>
        <v>0</v>
      </c>
      <c r="U91" s="663"/>
      <c r="V91" s="664">
        <f t="shared" ref="V91" si="1043">IF(U91=0,0,U91/U$4)</f>
        <v>0</v>
      </c>
      <c r="W91" s="663"/>
      <c r="X91" s="664">
        <f t="shared" ref="X91" si="1044">IF(W91=0,0,W91/W$4)</f>
        <v>0</v>
      </c>
      <c r="Y91" s="663"/>
      <c r="Z91" s="664">
        <f t="shared" ref="Z91" si="1045">IF(Y91=0,0,Y91/Y$4)</f>
        <v>0</v>
      </c>
      <c r="AA91" s="663"/>
      <c r="AB91" s="664">
        <f t="shared" ref="AB91" si="1046">IF(AA91=0,0,AA91/AA$4)</f>
        <v>0</v>
      </c>
      <c r="AC91" s="663"/>
      <c r="AD91" s="664">
        <f t="shared" ref="AD91" si="1047">IF(AC91=0,0,AC91/AC$4)</f>
        <v>0</v>
      </c>
      <c r="AE91" s="654"/>
    </row>
    <row r="92" spans="1:31" s="556" customFormat="1" ht="15.75" hidden="1" outlineLevel="3">
      <c r="A92" s="609" t="s">
        <v>1796</v>
      </c>
      <c r="B92" s="559" t="s">
        <v>1703</v>
      </c>
      <c r="C92" s="663"/>
      <c r="D92" s="664">
        <f t="shared" si="782"/>
        <v>0</v>
      </c>
      <c r="E92" s="663"/>
      <c r="F92" s="664">
        <f t="shared" si="782"/>
        <v>0</v>
      </c>
      <c r="G92" s="663"/>
      <c r="H92" s="664">
        <f t="shared" ref="H92" si="1048">IF(G92=0,0,G92/G$4)</f>
        <v>0</v>
      </c>
      <c r="I92" s="663"/>
      <c r="J92" s="664">
        <f t="shared" ref="J92" si="1049">IF(I92=0,0,I92/I$4)</f>
        <v>0</v>
      </c>
      <c r="K92" s="663"/>
      <c r="L92" s="664">
        <f t="shared" ref="L92" si="1050">IF(K92=0,0,K92/K$4)</f>
        <v>0</v>
      </c>
      <c r="M92" s="663"/>
      <c r="N92" s="664">
        <f t="shared" ref="N92" si="1051">IF(M92=0,0,M92/M$4)</f>
        <v>0</v>
      </c>
      <c r="O92" s="663"/>
      <c r="P92" s="664">
        <f t="shared" ref="P92" si="1052">IF(O92=0,0,O92/O$4)</f>
        <v>0</v>
      </c>
      <c r="Q92" s="663"/>
      <c r="R92" s="664">
        <f t="shared" ref="R92" si="1053">IF(Q92=0,0,Q92/Q$4)</f>
        <v>0</v>
      </c>
      <c r="S92" s="663"/>
      <c r="T92" s="664">
        <f t="shared" ref="T92" si="1054">IF(S92=0,0,S92/S$4)</f>
        <v>0</v>
      </c>
      <c r="U92" s="663"/>
      <c r="V92" s="664">
        <f t="shared" ref="V92" si="1055">IF(U92=0,0,U92/U$4)</f>
        <v>0</v>
      </c>
      <c r="W92" s="663"/>
      <c r="X92" s="664">
        <f t="shared" ref="X92" si="1056">IF(W92=0,0,W92/W$4)</f>
        <v>0</v>
      </c>
      <c r="Y92" s="663"/>
      <c r="Z92" s="664">
        <f t="shared" ref="Z92" si="1057">IF(Y92=0,0,Y92/Y$4)</f>
        <v>0</v>
      </c>
      <c r="AA92" s="663"/>
      <c r="AB92" s="664">
        <f t="shared" ref="AB92" si="1058">IF(AA92=0,0,AA92/AA$4)</f>
        <v>0</v>
      </c>
      <c r="AC92" s="663"/>
      <c r="AD92" s="664">
        <f t="shared" ref="AD92" si="1059">IF(AC92=0,0,AC92/AC$4)</f>
        <v>0</v>
      </c>
      <c r="AE92" s="654"/>
    </row>
    <row r="93" spans="1:31" s="556" customFormat="1" ht="15.75" hidden="1" outlineLevel="3">
      <c r="A93" s="609" t="s">
        <v>1797</v>
      </c>
      <c r="B93" s="559" t="s">
        <v>1704</v>
      </c>
      <c r="C93" s="663"/>
      <c r="D93" s="664">
        <f t="shared" si="782"/>
        <v>0</v>
      </c>
      <c r="E93" s="663"/>
      <c r="F93" s="664">
        <f t="shared" si="782"/>
        <v>0</v>
      </c>
      <c r="G93" s="663"/>
      <c r="H93" s="664">
        <f t="shared" ref="H93" si="1060">IF(G93=0,0,G93/G$4)</f>
        <v>0</v>
      </c>
      <c r="I93" s="663"/>
      <c r="J93" s="664">
        <f t="shared" ref="J93" si="1061">IF(I93=0,0,I93/I$4)</f>
        <v>0</v>
      </c>
      <c r="K93" s="663"/>
      <c r="L93" s="664">
        <f t="shared" ref="L93" si="1062">IF(K93=0,0,K93/K$4)</f>
        <v>0</v>
      </c>
      <c r="M93" s="663"/>
      <c r="N93" s="664">
        <f t="shared" ref="N93" si="1063">IF(M93=0,0,M93/M$4)</f>
        <v>0</v>
      </c>
      <c r="O93" s="663"/>
      <c r="P93" s="664">
        <f t="shared" ref="P93" si="1064">IF(O93=0,0,O93/O$4)</f>
        <v>0</v>
      </c>
      <c r="Q93" s="663"/>
      <c r="R93" s="664">
        <f t="shared" ref="R93" si="1065">IF(Q93=0,0,Q93/Q$4)</f>
        <v>0</v>
      </c>
      <c r="S93" s="663"/>
      <c r="T93" s="664">
        <f t="shared" ref="T93" si="1066">IF(S93=0,0,S93/S$4)</f>
        <v>0</v>
      </c>
      <c r="U93" s="663"/>
      <c r="V93" s="664">
        <f t="shared" ref="V93" si="1067">IF(U93=0,0,U93/U$4)</f>
        <v>0</v>
      </c>
      <c r="W93" s="663"/>
      <c r="X93" s="664">
        <f t="shared" ref="X93" si="1068">IF(W93=0,0,W93/W$4)</f>
        <v>0</v>
      </c>
      <c r="Y93" s="663"/>
      <c r="Z93" s="664">
        <f t="shared" ref="Z93" si="1069">IF(Y93=0,0,Y93/Y$4)</f>
        <v>0</v>
      </c>
      <c r="AA93" s="663"/>
      <c r="AB93" s="664">
        <f t="shared" ref="AB93" si="1070">IF(AA93=0,0,AA93/AA$4)</f>
        <v>0</v>
      </c>
      <c r="AC93" s="663"/>
      <c r="AD93" s="664">
        <f t="shared" ref="AD93" si="1071">IF(AC93=0,0,AC93/AC$4)</f>
        <v>0</v>
      </c>
      <c r="AE93" s="654"/>
    </row>
    <row r="94" spans="1:31" s="556" customFormat="1" ht="15.75" hidden="1" outlineLevel="2">
      <c r="A94" s="612" t="s">
        <v>1798</v>
      </c>
      <c r="B94" s="560" t="s">
        <v>1705</v>
      </c>
      <c r="C94" s="661"/>
      <c r="D94" s="662">
        <f t="shared" si="782"/>
        <v>0</v>
      </c>
      <c r="E94" s="661"/>
      <c r="F94" s="662">
        <f t="shared" si="782"/>
        <v>0</v>
      </c>
      <c r="G94" s="661"/>
      <c r="H94" s="662">
        <f t="shared" ref="H94" si="1072">IF(G94=0,0,G94/G$4)</f>
        <v>0</v>
      </c>
      <c r="I94" s="661"/>
      <c r="J94" s="662">
        <f t="shared" ref="J94" si="1073">IF(I94=0,0,I94/I$4)</f>
        <v>0</v>
      </c>
      <c r="K94" s="661"/>
      <c r="L94" s="662">
        <f t="shared" ref="L94" si="1074">IF(K94=0,0,K94/K$4)</f>
        <v>0</v>
      </c>
      <c r="M94" s="661"/>
      <c r="N94" s="662">
        <f t="shared" ref="N94" si="1075">IF(M94=0,0,M94/M$4)</f>
        <v>0</v>
      </c>
      <c r="O94" s="661"/>
      <c r="P94" s="662">
        <f t="shared" ref="P94" si="1076">IF(O94=0,0,O94/O$4)</f>
        <v>0</v>
      </c>
      <c r="Q94" s="661"/>
      <c r="R94" s="662">
        <f t="shared" ref="R94" si="1077">IF(Q94=0,0,Q94/Q$4)</f>
        <v>0</v>
      </c>
      <c r="S94" s="661"/>
      <c r="T94" s="662">
        <f t="shared" ref="T94" si="1078">IF(S94=0,0,S94/S$4)</f>
        <v>0</v>
      </c>
      <c r="U94" s="661"/>
      <c r="V94" s="662">
        <f t="shared" ref="V94" si="1079">IF(U94=0,0,U94/U$4)</f>
        <v>0</v>
      </c>
      <c r="W94" s="661"/>
      <c r="X94" s="662">
        <f t="shared" ref="X94" si="1080">IF(W94=0,0,W94/W$4)</f>
        <v>0</v>
      </c>
      <c r="Y94" s="661"/>
      <c r="Z94" s="662">
        <f t="shared" ref="Z94" si="1081">IF(Y94=0,0,Y94/Y$4)</f>
        <v>0</v>
      </c>
      <c r="AA94" s="661"/>
      <c r="AB94" s="662">
        <f t="shared" ref="AB94" si="1082">IF(AA94=0,0,AA94/AA$4)</f>
        <v>0</v>
      </c>
      <c r="AC94" s="661"/>
      <c r="AD94" s="662">
        <f t="shared" ref="AD94" si="1083">IF(AC94=0,0,AC94/AC$4)</f>
        <v>0</v>
      </c>
      <c r="AE94" s="654"/>
    </row>
    <row r="95" spans="1:31" s="556" customFormat="1" ht="31.5" hidden="1" outlineLevel="2">
      <c r="A95" s="612" t="s">
        <v>1799</v>
      </c>
      <c r="B95" s="560" t="s">
        <v>1706</v>
      </c>
      <c r="C95" s="661"/>
      <c r="D95" s="662">
        <f t="shared" si="782"/>
        <v>0</v>
      </c>
      <c r="E95" s="661"/>
      <c r="F95" s="662">
        <f t="shared" si="782"/>
        <v>0</v>
      </c>
      <c r="G95" s="661"/>
      <c r="H95" s="662">
        <f t="shared" ref="H95" si="1084">IF(G95=0,0,G95/G$4)</f>
        <v>0</v>
      </c>
      <c r="I95" s="661"/>
      <c r="J95" s="662">
        <f t="shared" ref="J95" si="1085">IF(I95=0,0,I95/I$4)</f>
        <v>0</v>
      </c>
      <c r="K95" s="661"/>
      <c r="L95" s="662">
        <f t="shared" ref="L95" si="1086">IF(K95=0,0,K95/K$4)</f>
        <v>0</v>
      </c>
      <c r="M95" s="661"/>
      <c r="N95" s="662">
        <f t="shared" ref="N95" si="1087">IF(M95=0,0,M95/M$4)</f>
        <v>0</v>
      </c>
      <c r="O95" s="661"/>
      <c r="P95" s="662">
        <f t="shared" ref="P95" si="1088">IF(O95=0,0,O95/O$4)</f>
        <v>0</v>
      </c>
      <c r="Q95" s="661"/>
      <c r="R95" s="662">
        <f t="shared" ref="R95" si="1089">IF(Q95=0,0,Q95/Q$4)</f>
        <v>0</v>
      </c>
      <c r="S95" s="661"/>
      <c r="T95" s="662">
        <f t="shared" ref="T95" si="1090">IF(S95=0,0,S95/S$4)</f>
        <v>0</v>
      </c>
      <c r="U95" s="661"/>
      <c r="V95" s="662">
        <f t="shared" ref="V95" si="1091">IF(U95=0,0,U95/U$4)</f>
        <v>0</v>
      </c>
      <c r="W95" s="661"/>
      <c r="X95" s="662">
        <f t="shared" ref="X95" si="1092">IF(W95=0,0,W95/W$4)</f>
        <v>0</v>
      </c>
      <c r="Y95" s="661"/>
      <c r="Z95" s="662">
        <f t="shared" ref="Z95" si="1093">IF(Y95=0,0,Y95/Y$4)</f>
        <v>0</v>
      </c>
      <c r="AA95" s="661"/>
      <c r="AB95" s="662">
        <f t="shared" ref="AB95" si="1094">IF(AA95=0,0,AA95/AA$4)</f>
        <v>0</v>
      </c>
      <c r="AC95" s="661"/>
      <c r="AD95" s="662">
        <f t="shared" ref="AD95" si="1095">IF(AC95=0,0,AC95/AC$4)</f>
        <v>0</v>
      </c>
      <c r="AE95" s="654"/>
    </row>
    <row r="96" spans="1:31" s="556" customFormat="1" ht="15.75" hidden="1" outlineLevel="2">
      <c r="A96" s="612" t="s">
        <v>1800</v>
      </c>
      <c r="B96" s="560" t="s">
        <v>1707</v>
      </c>
      <c r="C96" s="661"/>
      <c r="D96" s="662">
        <f t="shared" si="782"/>
        <v>0</v>
      </c>
      <c r="E96" s="661"/>
      <c r="F96" s="662">
        <f t="shared" si="782"/>
        <v>0</v>
      </c>
      <c r="G96" s="661"/>
      <c r="H96" s="662">
        <f t="shared" ref="H96" si="1096">IF(G96=0,0,G96/G$4)</f>
        <v>0</v>
      </c>
      <c r="I96" s="661"/>
      <c r="J96" s="662">
        <f t="shared" ref="J96" si="1097">IF(I96=0,0,I96/I$4)</f>
        <v>0</v>
      </c>
      <c r="K96" s="661"/>
      <c r="L96" s="662">
        <f t="shared" ref="L96" si="1098">IF(K96=0,0,K96/K$4)</f>
        <v>0</v>
      </c>
      <c r="M96" s="661"/>
      <c r="N96" s="662">
        <f t="shared" ref="N96" si="1099">IF(M96=0,0,M96/M$4)</f>
        <v>0</v>
      </c>
      <c r="O96" s="661"/>
      <c r="P96" s="662">
        <f t="shared" ref="P96" si="1100">IF(O96=0,0,O96/O$4)</f>
        <v>0</v>
      </c>
      <c r="Q96" s="661"/>
      <c r="R96" s="662">
        <f t="shared" ref="R96" si="1101">IF(Q96=0,0,Q96/Q$4)</f>
        <v>0</v>
      </c>
      <c r="S96" s="661"/>
      <c r="T96" s="662">
        <f t="shared" ref="T96" si="1102">IF(S96=0,0,S96/S$4)</f>
        <v>0</v>
      </c>
      <c r="U96" s="661"/>
      <c r="V96" s="662">
        <f t="shared" ref="V96" si="1103">IF(U96=0,0,U96/U$4)</f>
        <v>0</v>
      </c>
      <c r="W96" s="661"/>
      <c r="X96" s="662">
        <f t="shared" ref="X96" si="1104">IF(W96=0,0,W96/W$4)</f>
        <v>0</v>
      </c>
      <c r="Y96" s="661"/>
      <c r="Z96" s="662">
        <f t="shared" ref="Z96" si="1105">IF(Y96=0,0,Y96/Y$4)</f>
        <v>0</v>
      </c>
      <c r="AA96" s="661"/>
      <c r="AB96" s="662">
        <f t="shared" ref="AB96" si="1106">IF(AA96=0,0,AA96/AA$4)</f>
        <v>0</v>
      </c>
      <c r="AC96" s="661"/>
      <c r="AD96" s="662">
        <f t="shared" ref="AD96" si="1107">IF(AC96=0,0,AC96/AC$4)</f>
        <v>0</v>
      </c>
      <c r="AE96" s="654"/>
    </row>
    <row r="97" spans="1:36" s="556" customFormat="1" ht="31.5" hidden="1" outlineLevel="2">
      <c r="A97" s="612" t="s">
        <v>1801</v>
      </c>
      <c r="B97" s="560" t="s">
        <v>1708</v>
      </c>
      <c r="C97" s="661"/>
      <c r="D97" s="662">
        <f t="shared" si="782"/>
        <v>0</v>
      </c>
      <c r="E97" s="661"/>
      <c r="F97" s="662">
        <f t="shared" si="782"/>
        <v>0</v>
      </c>
      <c r="G97" s="661"/>
      <c r="H97" s="662">
        <f t="shared" ref="H97" si="1108">IF(G97=0,0,G97/G$4)</f>
        <v>0</v>
      </c>
      <c r="I97" s="661"/>
      <c r="J97" s="662">
        <f t="shared" ref="J97" si="1109">IF(I97=0,0,I97/I$4)</f>
        <v>0</v>
      </c>
      <c r="K97" s="661"/>
      <c r="L97" s="662">
        <f t="shared" ref="L97" si="1110">IF(K97=0,0,K97/K$4)</f>
        <v>0</v>
      </c>
      <c r="M97" s="661"/>
      <c r="N97" s="662">
        <f t="shared" ref="N97" si="1111">IF(M97=0,0,M97/M$4)</f>
        <v>0</v>
      </c>
      <c r="O97" s="661"/>
      <c r="P97" s="662">
        <f t="shared" ref="P97" si="1112">IF(O97=0,0,O97/O$4)</f>
        <v>0</v>
      </c>
      <c r="Q97" s="661"/>
      <c r="R97" s="662">
        <f t="shared" ref="R97" si="1113">IF(Q97=0,0,Q97/Q$4)</f>
        <v>0</v>
      </c>
      <c r="S97" s="661"/>
      <c r="T97" s="662">
        <f t="shared" ref="T97" si="1114">IF(S97=0,0,S97/S$4)</f>
        <v>0</v>
      </c>
      <c r="U97" s="661"/>
      <c r="V97" s="662">
        <f t="shared" ref="V97" si="1115">IF(U97=0,0,U97/U$4)</f>
        <v>0</v>
      </c>
      <c r="W97" s="661"/>
      <c r="X97" s="662">
        <f t="shared" ref="X97" si="1116">IF(W97=0,0,W97/W$4)</f>
        <v>0</v>
      </c>
      <c r="Y97" s="661"/>
      <c r="Z97" s="662">
        <f t="shared" ref="Z97" si="1117">IF(Y97=0,0,Y97/Y$4)</f>
        <v>0</v>
      </c>
      <c r="AA97" s="661"/>
      <c r="AB97" s="662">
        <f t="shared" ref="AB97" si="1118">IF(AA97=0,0,AA97/AA$4)</f>
        <v>0</v>
      </c>
      <c r="AC97" s="661"/>
      <c r="AD97" s="662">
        <f t="shared" ref="AD97" si="1119">IF(AC97=0,0,AC97/AC$4)</f>
        <v>0</v>
      </c>
      <c r="AE97" s="654"/>
    </row>
    <row r="98" spans="1:36" s="556" customFormat="1" ht="15.75" hidden="1" outlineLevel="2">
      <c r="A98" s="612" t="s">
        <v>1802</v>
      </c>
      <c r="B98" s="560" t="s">
        <v>1709</v>
      </c>
      <c r="C98" s="661"/>
      <c r="D98" s="662">
        <f t="shared" si="782"/>
        <v>0</v>
      </c>
      <c r="E98" s="661"/>
      <c r="F98" s="662">
        <f t="shared" si="782"/>
        <v>0</v>
      </c>
      <c r="G98" s="661"/>
      <c r="H98" s="662">
        <f t="shared" ref="H98" si="1120">IF(G98=0,0,G98/G$4)</f>
        <v>0</v>
      </c>
      <c r="I98" s="661"/>
      <c r="J98" s="662">
        <f t="shared" ref="J98" si="1121">IF(I98=0,0,I98/I$4)</f>
        <v>0</v>
      </c>
      <c r="K98" s="661"/>
      <c r="L98" s="662">
        <f t="shared" ref="L98" si="1122">IF(K98=0,0,K98/K$4)</f>
        <v>0</v>
      </c>
      <c r="M98" s="661"/>
      <c r="N98" s="662">
        <f t="shared" ref="N98" si="1123">IF(M98=0,0,M98/M$4)</f>
        <v>0</v>
      </c>
      <c r="O98" s="661"/>
      <c r="P98" s="662">
        <f t="shared" ref="P98" si="1124">IF(O98=0,0,O98/O$4)</f>
        <v>0</v>
      </c>
      <c r="Q98" s="661"/>
      <c r="R98" s="662">
        <f t="shared" ref="R98" si="1125">IF(Q98=0,0,Q98/Q$4)</f>
        <v>0</v>
      </c>
      <c r="S98" s="661"/>
      <c r="T98" s="662">
        <f t="shared" ref="T98" si="1126">IF(S98=0,0,S98/S$4)</f>
        <v>0</v>
      </c>
      <c r="U98" s="661"/>
      <c r="V98" s="662">
        <f t="shared" ref="V98" si="1127">IF(U98=0,0,U98/U$4)</f>
        <v>0</v>
      </c>
      <c r="W98" s="661"/>
      <c r="X98" s="662">
        <f t="shared" ref="X98" si="1128">IF(W98=0,0,W98/W$4)</f>
        <v>0</v>
      </c>
      <c r="Y98" s="661"/>
      <c r="Z98" s="662">
        <f t="shared" ref="Z98" si="1129">IF(Y98=0,0,Y98/Y$4)</f>
        <v>0</v>
      </c>
      <c r="AA98" s="661"/>
      <c r="AB98" s="662">
        <f t="shared" ref="AB98" si="1130">IF(AA98=0,0,AA98/AA$4)</f>
        <v>0</v>
      </c>
      <c r="AC98" s="661"/>
      <c r="AD98" s="662">
        <f t="shared" ref="AD98" si="1131">IF(AC98=0,0,AC98/AC$4)</f>
        <v>0</v>
      </c>
      <c r="AE98" s="654"/>
    </row>
    <row r="99" spans="1:36" s="556" customFormat="1" ht="15.75" hidden="1" outlineLevel="2">
      <c r="A99" s="612" t="s">
        <v>1803</v>
      </c>
      <c r="B99" s="560" t="s">
        <v>1710</v>
      </c>
      <c r="C99" s="661"/>
      <c r="D99" s="662">
        <f t="shared" si="782"/>
        <v>0</v>
      </c>
      <c r="E99" s="661"/>
      <c r="F99" s="662">
        <f t="shared" si="782"/>
        <v>0</v>
      </c>
      <c r="G99" s="661"/>
      <c r="H99" s="662">
        <f t="shared" ref="H99" si="1132">IF(G99=0,0,G99/G$4)</f>
        <v>0</v>
      </c>
      <c r="I99" s="661"/>
      <c r="J99" s="662">
        <f t="shared" ref="J99" si="1133">IF(I99=0,0,I99/I$4)</f>
        <v>0</v>
      </c>
      <c r="K99" s="661"/>
      <c r="L99" s="662">
        <f t="shared" ref="L99" si="1134">IF(K99=0,0,K99/K$4)</f>
        <v>0</v>
      </c>
      <c r="M99" s="661"/>
      <c r="N99" s="662">
        <f t="shared" ref="N99" si="1135">IF(M99=0,0,M99/M$4)</f>
        <v>0</v>
      </c>
      <c r="O99" s="661"/>
      <c r="P99" s="662">
        <f t="shared" ref="P99" si="1136">IF(O99=0,0,O99/O$4)</f>
        <v>0</v>
      </c>
      <c r="Q99" s="661"/>
      <c r="R99" s="662">
        <f t="shared" ref="R99" si="1137">IF(Q99=0,0,Q99/Q$4)</f>
        <v>0</v>
      </c>
      <c r="S99" s="661"/>
      <c r="T99" s="662">
        <f t="shared" ref="T99" si="1138">IF(S99=0,0,S99/S$4)</f>
        <v>0</v>
      </c>
      <c r="U99" s="661"/>
      <c r="V99" s="662">
        <f t="shared" ref="V99" si="1139">IF(U99=0,0,U99/U$4)</f>
        <v>0</v>
      </c>
      <c r="W99" s="661"/>
      <c r="X99" s="662">
        <f t="shared" ref="X99" si="1140">IF(W99=0,0,W99/W$4)</f>
        <v>0</v>
      </c>
      <c r="Y99" s="661"/>
      <c r="Z99" s="662">
        <f t="shared" ref="Z99" si="1141">IF(Y99=0,0,Y99/Y$4)</f>
        <v>0</v>
      </c>
      <c r="AA99" s="661"/>
      <c r="AB99" s="662">
        <f t="shared" ref="AB99" si="1142">IF(AA99=0,0,AA99/AA$4)</f>
        <v>0</v>
      </c>
      <c r="AC99" s="661"/>
      <c r="AD99" s="662">
        <f t="shared" ref="AD99" si="1143">IF(AC99=0,0,AC99/AC$4)</f>
        <v>0</v>
      </c>
      <c r="AE99" s="654"/>
    </row>
    <row r="100" spans="1:36" s="556" customFormat="1" ht="15.75" hidden="1" outlineLevel="2">
      <c r="A100" s="612" t="s">
        <v>1804</v>
      </c>
      <c r="B100" s="560" t="s">
        <v>1711</v>
      </c>
      <c r="C100" s="661"/>
      <c r="D100" s="662">
        <f t="shared" si="782"/>
        <v>0</v>
      </c>
      <c r="E100" s="661"/>
      <c r="F100" s="662">
        <f t="shared" si="782"/>
        <v>0</v>
      </c>
      <c r="G100" s="661"/>
      <c r="H100" s="662">
        <f t="shared" ref="H100" si="1144">IF(G100=0,0,G100/G$4)</f>
        <v>0</v>
      </c>
      <c r="I100" s="661"/>
      <c r="J100" s="662">
        <f t="shared" ref="J100" si="1145">IF(I100=0,0,I100/I$4)</f>
        <v>0</v>
      </c>
      <c r="K100" s="661"/>
      <c r="L100" s="662">
        <f t="shared" ref="L100" si="1146">IF(K100=0,0,K100/K$4)</f>
        <v>0</v>
      </c>
      <c r="M100" s="661"/>
      <c r="N100" s="662">
        <f t="shared" ref="N100" si="1147">IF(M100=0,0,M100/M$4)</f>
        <v>0</v>
      </c>
      <c r="O100" s="661"/>
      <c r="P100" s="662">
        <f t="shared" ref="P100" si="1148">IF(O100=0,0,O100/O$4)</f>
        <v>0</v>
      </c>
      <c r="Q100" s="661"/>
      <c r="R100" s="662">
        <f t="shared" ref="R100" si="1149">IF(Q100=0,0,Q100/Q$4)</f>
        <v>0</v>
      </c>
      <c r="S100" s="661"/>
      <c r="T100" s="662">
        <f t="shared" ref="T100" si="1150">IF(S100=0,0,S100/S$4)</f>
        <v>0</v>
      </c>
      <c r="U100" s="661"/>
      <c r="V100" s="662">
        <f t="shared" ref="V100" si="1151">IF(U100=0,0,U100/U$4)</f>
        <v>0</v>
      </c>
      <c r="W100" s="661"/>
      <c r="X100" s="662">
        <f t="shared" ref="X100" si="1152">IF(W100=0,0,W100/W$4)</f>
        <v>0</v>
      </c>
      <c r="Y100" s="661"/>
      <c r="Z100" s="662">
        <f t="shared" ref="Z100" si="1153">IF(Y100=0,0,Y100/Y$4)</f>
        <v>0</v>
      </c>
      <c r="AA100" s="661"/>
      <c r="AB100" s="662">
        <f t="shared" ref="AB100" si="1154">IF(AA100=0,0,AA100/AA$4)</f>
        <v>0</v>
      </c>
      <c r="AC100" s="661"/>
      <c r="AD100" s="662">
        <f t="shared" ref="AD100" si="1155">IF(AC100=0,0,AC100/AC$4)</f>
        <v>0</v>
      </c>
      <c r="AE100" s="654"/>
    </row>
    <row r="101" spans="1:36" s="556" customFormat="1" ht="15.75" hidden="1" outlineLevel="2">
      <c r="A101" s="612" t="s">
        <v>1805</v>
      </c>
      <c r="B101" s="560" t="s">
        <v>1712</v>
      </c>
      <c r="C101" s="661"/>
      <c r="D101" s="662">
        <f t="shared" si="782"/>
        <v>0</v>
      </c>
      <c r="E101" s="661"/>
      <c r="F101" s="662">
        <f t="shared" si="782"/>
        <v>0</v>
      </c>
      <c r="G101" s="661"/>
      <c r="H101" s="662">
        <f t="shared" ref="H101" si="1156">IF(G101=0,0,G101/G$4)</f>
        <v>0</v>
      </c>
      <c r="I101" s="661"/>
      <c r="J101" s="662">
        <f t="shared" ref="J101" si="1157">IF(I101=0,0,I101/I$4)</f>
        <v>0</v>
      </c>
      <c r="K101" s="661"/>
      <c r="L101" s="662">
        <f t="shared" ref="L101" si="1158">IF(K101=0,0,K101/K$4)</f>
        <v>0</v>
      </c>
      <c r="M101" s="661"/>
      <c r="N101" s="662">
        <f t="shared" ref="N101" si="1159">IF(M101=0,0,M101/M$4)</f>
        <v>0</v>
      </c>
      <c r="O101" s="661"/>
      <c r="P101" s="662">
        <f t="shared" ref="P101" si="1160">IF(O101=0,0,O101/O$4)</f>
        <v>0</v>
      </c>
      <c r="Q101" s="661"/>
      <c r="R101" s="662">
        <f t="shared" ref="R101" si="1161">IF(Q101=0,0,Q101/Q$4)</f>
        <v>0</v>
      </c>
      <c r="S101" s="661"/>
      <c r="T101" s="662">
        <f t="shared" ref="T101" si="1162">IF(S101=0,0,S101/S$4)</f>
        <v>0</v>
      </c>
      <c r="U101" s="661"/>
      <c r="V101" s="662">
        <f t="shared" ref="V101" si="1163">IF(U101=0,0,U101/U$4)</f>
        <v>0</v>
      </c>
      <c r="W101" s="661"/>
      <c r="X101" s="662">
        <f t="shared" ref="X101" si="1164">IF(W101=0,0,W101/W$4)</f>
        <v>0</v>
      </c>
      <c r="Y101" s="661"/>
      <c r="Z101" s="662">
        <f t="shared" ref="Z101" si="1165">IF(Y101=0,0,Y101/Y$4)</f>
        <v>0</v>
      </c>
      <c r="AA101" s="661"/>
      <c r="AB101" s="662">
        <f t="shared" ref="AB101" si="1166">IF(AA101=0,0,AA101/AA$4)</f>
        <v>0</v>
      </c>
      <c r="AC101" s="661"/>
      <c r="AD101" s="662">
        <f t="shared" ref="AD101" si="1167">IF(AC101=0,0,AC101/AC$4)</f>
        <v>0</v>
      </c>
      <c r="AE101" s="654"/>
    </row>
    <row r="102" spans="1:36" s="556" customFormat="1" ht="15.75" outlineLevel="1" collapsed="1">
      <c r="A102" s="609" t="s">
        <v>1833</v>
      </c>
      <c r="B102" s="559" t="s">
        <v>1713</v>
      </c>
      <c r="C102" s="659">
        <f>C107+C108+C103</f>
        <v>42117004.328571543</v>
      </c>
      <c r="D102" s="660">
        <f t="shared" si="782"/>
        <v>261.57530327898496</v>
      </c>
      <c r="E102" s="659">
        <f t="shared" ref="E102" si="1168">E107+E108+E103</f>
        <v>0</v>
      </c>
      <c r="F102" s="660">
        <f t="shared" si="782"/>
        <v>0</v>
      </c>
      <c r="G102" s="659">
        <f t="shared" ref="G102" si="1169">G107+G108+G103</f>
        <v>0</v>
      </c>
      <c r="H102" s="660">
        <f t="shared" ref="H102" si="1170">IF(G102=0,0,G102/G$4)</f>
        <v>0</v>
      </c>
      <c r="I102" s="659">
        <f t="shared" ref="I102" si="1171">I107+I108+I103</f>
        <v>0</v>
      </c>
      <c r="J102" s="660">
        <f t="shared" ref="J102" si="1172">IF(I102=0,0,I102/I$4)</f>
        <v>0</v>
      </c>
      <c r="K102" s="659">
        <f t="shared" ref="K102" si="1173">K107+K108+K103</f>
        <v>0</v>
      </c>
      <c r="L102" s="660">
        <f t="shared" ref="L102" si="1174">IF(K102=0,0,K102/K$4)</f>
        <v>0</v>
      </c>
      <c r="M102" s="659">
        <f t="shared" ref="M102" si="1175">M107+M108+M103</f>
        <v>0</v>
      </c>
      <c r="N102" s="660">
        <f t="shared" ref="N102" si="1176">IF(M102=0,0,M102/M$4)</f>
        <v>0</v>
      </c>
      <c r="O102" s="659">
        <f t="shared" ref="O102" si="1177">O107+O108+O103</f>
        <v>0</v>
      </c>
      <c r="P102" s="660">
        <f t="shared" ref="P102" si="1178">IF(O102=0,0,O102/O$4)</f>
        <v>0</v>
      </c>
      <c r="Q102" s="659">
        <f t="shared" ref="Q102" si="1179">Q107+Q108+Q103</f>
        <v>0</v>
      </c>
      <c r="R102" s="660">
        <f t="shared" ref="R102" si="1180">IF(Q102=0,0,Q102/Q$4)</f>
        <v>0</v>
      </c>
      <c r="S102" s="659">
        <f t="shared" ref="S102" si="1181">S107+S108+S103</f>
        <v>0</v>
      </c>
      <c r="T102" s="660">
        <f t="shared" ref="T102" si="1182">IF(S102=0,0,S102/S$4)</f>
        <v>0</v>
      </c>
      <c r="U102" s="659">
        <f t="shared" ref="U102" si="1183">U107+U108+U103</f>
        <v>0</v>
      </c>
      <c r="V102" s="660">
        <f t="shared" ref="V102" si="1184">IF(U102=0,0,U102/U$4)</f>
        <v>0</v>
      </c>
      <c r="W102" s="659">
        <f t="shared" ref="W102" si="1185">W107+W108+W103</f>
        <v>0</v>
      </c>
      <c r="X102" s="660">
        <f t="shared" ref="X102" si="1186">IF(W102=0,0,W102/W$4)</f>
        <v>0</v>
      </c>
      <c r="Y102" s="659">
        <f t="shared" ref="Y102" si="1187">Y107+Y108+Y103</f>
        <v>0</v>
      </c>
      <c r="Z102" s="660">
        <f t="shared" ref="Z102" si="1188">IF(Y102=0,0,Y102/Y$4)</f>
        <v>0</v>
      </c>
      <c r="AA102" s="659">
        <f t="shared" ref="AA102" si="1189">AA107+AA108+AA103</f>
        <v>0</v>
      </c>
      <c r="AB102" s="660">
        <f t="shared" ref="AB102" si="1190">IF(AA102=0,0,AA102/AA$4)</f>
        <v>0</v>
      </c>
      <c r="AC102" s="659">
        <f t="shared" ref="AC102" si="1191">AC107+AC108+AC103</f>
        <v>42117004.328571543</v>
      </c>
      <c r="AD102" s="660">
        <f t="shared" ref="AD102" si="1192">IF(AC102=0,0,AC102/AC$4)</f>
        <v>261.57530327898496</v>
      </c>
      <c r="AE102" s="654"/>
    </row>
    <row r="103" spans="1:36" s="556" customFormat="1" ht="15.75" hidden="1" outlineLevel="2">
      <c r="A103" s="612" t="s">
        <v>1834</v>
      </c>
      <c r="B103" s="560" t="s">
        <v>55</v>
      </c>
      <c r="C103" s="661">
        <f>C104+C106</f>
        <v>42117004.328571543</v>
      </c>
      <c r="D103" s="662">
        <f t="shared" si="782"/>
        <v>261.57530327898496</v>
      </c>
      <c r="E103" s="661">
        <f t="shared" ref="E103" si="1193">E104+E106</f>
        <v>0</v>
      </c>
      <c r="F103" s="662">
        <f t="shared" si="782"/>
        <v>0</v>
      </c>
      <c r="G103" s="661">
        <f t="shared" ref="G103" si="1194">G104+G106</f>
        <v>0</v>
      </c>
      <c r="H103" s="662">
        <f t="shared" ref="H103" si="1195">IF(G103=0,0,G103/G$4)</f>
        <v>0</v>
      </c>
      <c r="I103" s="661">
        <f t="shared" ref="I103" si="1196">I104+I106</f>
        <v>0</v>
      </c>
      <c r="J103" s="662">
        <f t="shared" ref="J103" si="1197">IF(I103=0,0,I103/I$4)</f>
        <v>0</v>
      </c>
      <c r="K103" s="661">
        <f t="shared" ref="K103" si="1198">K104+K106</f>
        <v>0</v>
      </c>
      <c r="L103" s="662">
        <f t="shared" ref="L103" si="1199">IF(K103=0,0,K103/K$4)</f>
        <v>0</v>
      </c>
      <c r="M103" s="661">
        <f t="shared" ref="M103" si="1200">M104+M106</f>
        <v>0</v>
      </c>
      <c r="N103" s="662">
        <f t="shared" ref="N103" si="1201">IF(M103=0,0,M103/M$4)</f>
        <v>0</v>
      </c>
      <c r="O103" s="661">
        <f t="shared" ref="O103" si="1202">O104+O106</f>
        <v>0</v>
      </c>
      <c r="P103" s="662">
        <f t="shared" ref="P103" si="1203">IF(O103=0,0,O103/O$4)</f>
        <v>0</v>
      </c>
      <c r="Q103" s="661">
        <f t="shared" ref="Q103" si="1204">Q104+Q106</f>
        <v>0</v>
      </c>
      <c r="R103" s="662">
        <f t="shared" ref="R103" si="1205">IF(Q103=0,0,Q103/Q$4)</f>
        <v>0</v>
      </c>
      <c r="S103" s="661">
        <f t="shared" ref="S103" si="1206">S104+S106</f>
        <v>0</v>
      </c>
      <c r="T103" s="662">
        <f t="shared" ref="T103" si="1207">IF(S103=0,0,S103/S$4)</f>
        <v>0</v>
      </c>
      <c r="U103" s="661">
        <f t="shared" ref="U103" si="1208">U104+U106</f>
        <v>0</v>
      </c>
      <c r="V103" s="662">
        <f t="shared" ref="V103" si="1209">IF(U103=0,0,U103/U$4)</f>
        <v>0</v>
      </c>
      <c r="W103" s="661">
        <f t="shared" ref="W103" si="1210">W104+W106</f>
        <v>0</v>
      </c>
      <c r="X103" s="662">
        <f t="shared" ref="X103" si="1211">IF(W103=0,0,W103/W$4)</f>
        <v>0</v>
      </c>
      <c r="Y103" s="661">
        <f t="shared" ref="Y103" si="1212">Y104+Y106</f>
        <v>0</v>
      </c>
      <c r="Z103" s="662">
        <f t="shared" ref="Z103" si="1213">IF(Y103=0,0,Y103/Y$4)</f>
        <v>0</v>
      </c>
      <c r="AA103" s="661">
        <f t="shared" ref="AA103" si="1214">AA104+AA106</f>
        <v>0</v>
      </c>
      <c r="AB103" s="662">
        <f t="shared" ref="AB103" si="1215">IF(AA103=0,0,AA103/AA$4)</f>
        <v>0</v>
      </c>
      <c r="AC103" s="661">
        <f>AC104+AC106</f>
        <v>42117004.328571543</v>
      </c>
      <c r="AD103" s="662">
        <f t="shared" ref="AD103" si="1216">IF(AC103=0,0,AC103/AC$4)</f>
        <v>261.57530327898496</v>
      </c>
      <c r="AE103" s="654"/>
    </row>
    <row r="104" spans="1:36" s="68" customFormat="1" hidden="1" outlineLevel="3">
      <c r="A104" s="117"/>
      <c r="B104" s="118" t="s">
        <v>778</v>
      </c>
      <c r="C104" s="661">
        <f>C105</f>
        <v>42117004.328571543</v>
      </c>
      <c r="D104" s="662">
        <f t="shared" si="782"/>
        <v>261.57530327898496</v>
      </c>
      <c r="E104" s="661"/>
      <c r="F104" s="662">
        <f t="shared" si="782"/>
        <v>0</v>
      </c>
      <c r="G104" s="661"/>
      <c r="H104" s="662">
        <f t="shared" ref="H104" si="1217">IF(G104=0,0,G104/G$4)</f>
        <v>0</v>
      </c>
      <c r="I104" s="661"/>
      <c r="J104" s="662">
        <f t="shared" ref="J104" si="1218">IF(I104=0,0,I104/I$4)</f>
        <v>0</v>
      </c>
      <c r="K104" s="661"/>
      <c r="L104" s="662">
        <f t="shared" ref="L104" si="1219">IF(K104=0,0,K104/K$4)</f>
        <v>0</v>
      </c>
      <c r="M104" s="661"/>
      <c r="N104" s="662">
        <f t="shared" ref="N104" si="1220">IF(M104=0,0,M104/M$4)</f>
        <v>0</v>
      </c>
      <c r="O104" s="661"/>
      <c r="P104" s="662">
        <f t="shared" ref="P104" si="1221">IF(O104=0,0,O104/O$4)</f>
        <v>0</v>
      </c>
      <c r="Q104" s="661"/>
      <c r="R104" s="662">
        <f t="shared" ref="R104" si="1222">IF(Q104=0,0,Q104/Q$4)</f>
        <v>0</v>
      </c>
      <c r="S104" s="661"/>
      <c r="T104" s="662">
        <f t="shared" ref="T104" si="1223">IF(S104=0,0,S104/S$4)</f>
        <v>0</v>
      </c>
      <c r="U104" s="661"/>
      <c r="V104" s="662">
        <f t="shared" ref="V104" si="1224">IF(U104=0,0,U104/U$4)</f>
        <v>0</v>
      </c>
      <c r="W104" s="661"/>
      <c r="X104" s="662">
        <f t="shared" ref="X104" si="1225">IF(W104=0,0,W104/W$4)</f>
        <v>0</v>
      </c>
      <c r="Y104" s="661"/>
      <c r="Z104" s="662">
        <f t="shared" ref="Z104" si="1226">IF(Y104=0,0,Y104/Y$4)</f>
        <v>0</v>
      </c>
      <c r="AA104" s="661"/>
      <c r="AB104" s="662">
        <f t="shared" ref="AB104" si="1227">IF(AA104=0,0,AA104/AA$4)</f>
        <v>0</v>
      </c>
      <c r="AC104" s="661">
        <f>C104+E104+G104+I104+K104+M104+O104+Q104+S104+U104+W104+AA104+Y104</f>
        <v>42117004.328571543</v>
      </c>
      <c r="AD104" s="662">
        <f t="shared" ref="AD104" si="1228">IF(AC104=0,0,AC104/AC$4)</f>
        <v>261.57530327898496</v>
      </c>
      <c r="AE104" s="665"/>
      <c r="AF104" s="114"/>
      <c r="AG104" s="114"/>
      <c r="AH104" s="114"/>
      <c r="AI104" s="114"/>
      <c r="AJ104" s="114"/>
    </row>
    <row r="105" spans="1:36" s="68" customFormat="1" hidden="1" outlineLevel="3">
      <c r="A105" s="117"/>
      <c r="B105" s="118" t="str">
        <f>"Вырубка деревьев"&amp;" - "&amp;Калькулятор_жилье!I617&amp;" шт. "</f>
        <v xml:space="preserve">Вырубка деревьев - 394,4595 шт. </v>
      </c>
      <c r="C105" s="663">
        <f>Калькулятор_жилье!K617</f>
        <v>42117004.328571543</v>
      </c>
      <c r="D105" s="663">
        <f t="shared" si="782"/>
        <v>261.57530327898496</v>
      </c>
      <c r="E105" s="663"/>
      <c r="F105" s="663">
        <f t="shared" si="782"/>
        <v>0</v>
      </c>
      <c r="G105" s="663"/>
      <c r="H105" s="663">
        <f t="shared" ref="H105" si="1229">IF(G105=0,0,G105/G$4)</f>
        <v>0</v>
      </c>
      <c r="I105" s="663"/>
      <c r="J105" s="663">
        <f t="shared" ref="J105" si="1230">IF(I105=0,0,I105/I$4)</f>
        <v>0</v>
      </c>
      <c r="K105" s="663"/>
      <c r="L105" s="663">
        <f t="shared" ref="L105" si="1231">IF(K105=0,0,K105/K$4)</f>
        <v>0</v>
      </c>
      <c r="M105" s="663"/>
      <c r="N105" s="663">
        <f t="shared" ref="N105" si="1232">IF(M105=0,0,M105/M$4)</f>
        <v>0</v>
      </c>
      <c r="O105" s="663"/>
      <c r="P105" s="663">
        <f t="shared" ref="P105" si="1233">IF(O105=0,0,O105/O$4)</f>
        <v>0</v>
      </c>
      <c r="Q105" s="663"/>
      <c r="R105" s="663">
        <f t="shared" ref="R105" si="1234">IF(Q105=0,0,Q105/Q$4)</f>
        <v>0</v>
      </c>
      <c r="S105" s="663"/>
      <c r="T105" s="663">
        <f t="shared" ref="T105" si="1235">IF(S105=0,0,S105/S$4)</f>
        <v>0</v>
      </c>
      <c r="U105" s="663"/>
      <c r="V105" s="663">
        <f t="shared" ref="V105" si="1236">IF(U105=0,0,U105/U$4)</f>
        <v>0</v>
      </c>
      <c r="W105" s="663"/>
      <c r="X105" s="663">
        <f t="shared" ref="X105" si="1237">IF(W105=0,0,W105/W$4)</f>
        <v>0</v>
      </c>
      <c r="Y105" s="663"/>
      <c r="Z105" s="663">
        <f t="shared" ref="Z105" si="1238">IF(Y105=0,0,Y105/Y$4)</f>
        <v>0</v>
      </c>
      <c r="AA105" s="663"/>
      <c r="AB105" s="663">
        <f t="shared" ref="AB105" si="1239">IF(AA105=0,0,AA105/AA$4)</f>
        <v>0</v>
      </c>
      <c r="AC105" s="663">
        <f>C105+E105+G105+I105+K105+M105+O105+Q105+S105+U105+W105+AA105+Y105</f>
        <v>42117004.328571543</v>
      </c>
      <c r="AD105" s="663">
        <f t="shared" ref="AD105" si="1240">IF(AC105=0,0,AC105/AC$4)</f>
        <v>261.57530327898496</v>
      </c>
      <c r="AE105" s="665"/>
      <c r="AF105" s="114"/>
      <c r="AG105" s="114"/>
      <c r="AH105" s="114"/>
      <c r="AI105" s="114"/>
      <c r="AJ105" s="114"/>
    </row>
    <row r="106" spans="1:36" s="68" customFormat="1" hidden="1" outlineLevel="3">
      <c r="A106" s="117"/>
      <c r="B106" s="118" t="s">
        <v>1620</v>
      </c>
      <c r="C106" s="661">
        <f>Калькулятор_жилье!K618</f>
        <v>0</v>
      </c>
      <c r="D106" s="662">
        <f t="shared" si="782"/>
        <v>0</v>
      </c>
      <c r="E106" s="661"/>
      <c r="F106" s="662">
        <f t="shared" si="782"/>
        <v>0</v>
      </c>
      <c r="G106" s="661"/>
      <c r="H106" s="662">
        <f t="shared" ref="H106" si="1241">IF(G106=0,0,G106/G$4)</f>
        <v>0</v>
      </c>
      <c r="I106" s="661"/>
      <c r="J106" s="662">
        <f t="shared" ref="J106" si="1242">IF(I106=0,0,I106/I$4)</f>
        <v>0</v>
      </c>
      <c r="K106" s="661"/>
      <c r="L106" s="662">
        <f t="shared" ref="L106" si="1243">IF(K106=0,0,K106/K$4)</f>
        <v>0</v>
      </c>
      <c r="M106" s="661"/>
      <c r="N106" s="662">
        <f t="shared" ref="N106" si="1244">IF(M106=0,0,M106/M$4)</f>
        <v>0</v>
      </c>
      <c r="O106" s="661"/>
      <c r="P106" s="662">
        <f t="shared" ref="P106" si="1245">IF(O106=0,0,O106/O$4)</f>
        <v>0</v>
      </c>
      <c r="Q106" s="661"/>
      <c r="R106" s="662">
        <f t="shared" ref="R106" si="1246">IF(Q106=0,0,Q106/Q$4)</f>
        <v>0</v>
      </c>
      <c r="S106" s="661"/>
      <c r="T106" s="662">
        <f t="shared" ref="T106" si="1247">IF(S106=0,0,S106/S$4)</f>
        <v>0</v>
      </c>
      <c r="U106" s="661"/>
      <c r="V106" s="662">
        <f t="shared" ref="V106" si="1248">IF(U106=0,0,U106/U$4)</f>
        <v>0</v>
      </c>
      <c r="W106" s="661"/>
      <c r="X106" s="662">
        <f t="shared" ref="X106" si="1249">IF(W106=0,0,W106/W$4)</f>
        <v>0</v>
      </c>
      <c r="Y106" s="661"/>
      <c r="Z106" s="662">
        <f t="shared" ref="Z106" si="1250">IF(Y106=0,0,Y106/Y$4)</f>
        <v>0</v>
      </c>
      <c r="AA106" s="661"/>
      <c r="AB106" s="662">
        <f t="shared" ref="AB106" si="1251">IF(AA106=0,0,AA106/AA$4)</f>
        <v>0</v>
      </c>
      <c r="AC106" s="661">
        <f>C106+E106+G106+I106+K106+M106+O106+Q106+S106+U106+W106+AA106+Y106</f>
        <v>0</v>
      </c>
      <c r="AD106" s="662">
        <f t="shared" ref="AD106" si="1252">IF(AC106=0,0,AC106/AC$4)</f>
        <v>0</v>
      </c>
      <c r="AE106" s="665"/>
      <c r="AF106" s="114"/>
      <c r="AG106" s="114"/>
      <c r="AH106" s="114"/>
      <c r="AI106" s="114"/>
      <c r="AJ106" s="114"/>
    </row>
    <row r="107" spans="1:36" s="556" customFormat="1" ht="15.75" hidden="1" outlineLevel="2">
      <c r="A107" s="612" t="s">
        <v>1835</v>
      </c>
      <c r="B107" s="560" t="s">
        <v>1714</v>
      </c>
      <c r="C107" s="661"/>
      <c r="D107" s="662">
        <f t="shared" si="782"/>
        <v>0</v>
      </c>
      <c r="E107" s="661"/>
      <c r="F107" s="662">
        <f t="shared" si="782"/>
        <v>0</v>
      </c>
      <c r="G107" s="661"/>
      <c r="H107" s="662">
        <f t="shared" ref="H107" si="1253">IF(G107=0,0,G107/G$4)</f>
        <v>0</v>
      </c>
      <c r="I107" s="661"/>
      <c r="J107" s="662">
        <f t="shared" ref="J107" si="1254">IF(I107=0,0,I107/I$4)</f>
        <v>0</v>
      </c>
      <c r="K107" s="661"/>
      <c r="L107" s="662">
        <f t="shared" ref="L107" si="1255">IF(K107=0,0,K107/K$4)</f>
        <v>0</v>
      </c>
      <c r="M107" s="661"/>
      <c r="N107" s="662">
        <f t="shared" ref="N107" si="1256">IF(M107=0,0,M107/M$4)</f>
        <v>0</v>
      </c>
      <c r="O107" s="661"/>
      <c r="P107" s="662">
        <f t="shared" ref="P107" si="1257">IF(O107=0,0,O107/O$4)</f>
        <v>0</v>
      </c>
      <c r="Q107" s="661"/>
      <c r="R107" s="662">
        <f t="shared" ref="R107" si="1258">IF(Q107=0,0,Q107/Q$4)</f>
        <v>0</v>
      </c>
      <c r="S107" s="661"/>
      <c r="T107" s="662">
        <f t="shared" ref="T107" si="1259">IF(S107=0,0,S107/S$4)</f>
        <v>0</v>
      </c>
      <c r="U107" s="661"/>
      <c r="V107" s="662">
        <f t="shared" ref="V107" si="1260">IF(U107=0,0,U107/U$4)</f>
        <v>0</v>
      </c>
      <c r="W107" s="661"/>
      <c r="X107" s="662">
        <f t="shared" ref="X107" si="1261">IF(W107=0,0,W107/W$4)</f>
        <v>0</v>
      </c>
      <c r="Y107" s="661"/>
      <c r="Z107" s="662">
        <f t="shared" ref="Z107" si="1262">IF(Y107=0,0,Y107/Y$4)</f>
        <v>0</v>
      </c>
      <c r="AA107" s="661"/>
      <c r="AB107" s="662">
        <f t="shared" ref="AB107" si="1263">IF(AA107=0,0,AA107/AA$4)</f>
        <v>0</v>
      </c>
      <c r="AC107" s="661">
        <f t="shared" ref="AC107:AC108" si="1264">C107+E107+G107+I107+K107+M107+O107+Q107+S107+U107+W107+AA107+Y107</f>
        <v>0</v>
      </c>
      <c r="AD107" s="662">
        <f t="shared" ref="AD107" si="1265">IF(AC107=0,0,AC107/AC$4)</f>
        <v>0</v>
      </c>
      <c r="AE107" s="654"/>
    </row>
    <row r="108" spans="1:36" s="556" customFormat="1" ht="15.75" hidden="1" outlineLevel="2">
      <c r="A108" s="612" t="s">
        <v>1836</v>
      </c>
      <c r="B108" s="560" t="s">
        <v>1715</v>
      </c>
      <c r="C108" s="661"/>
      <c r="D108" s="662">
        <f t="shared" si="782"/>
        <v>0</v>
      </c>
      <c r="E108" s="661"/>
      <c r="F108" s="662">
        <f t="shared" si="782"/>
        <v>0</v>
      </c>
      <c r="G108" s="661"/>
      <c r="H108" s="662">
        <f t="shared" ref="H108" si="1266">IF(G108=0,0,G108/G$4)</f>
        <v>0</v>
      </c>
      <c r="I108" s="661"/>
      <c r="J108" s="662">
        <f t="shared" ref="J108" si="1267">IF(I108=0,0,I108/I$4)</f>
        <v>0</v>
      </c>
      <c r="K108" s="661"/>
      <c r="L108" s="662">
        <f t="shared" ref="L108" si="1268">IF(K108=0,0,K108/K$4)</f>
        <v>0</v>
      </c>
      <c r="M108" s="661"/>
      <c r="N108" s="662">
        <f t="shared" ref="N108" si="1269">IF(M108=0,0,M108/M$4)</f>
        <v>0</v>
      </c>
      <c r="O108" s="661"/>
      <c r="P108" s="662">
        <f t="shared" ref="P108" si="1270">IF(O108=0,0,O108/O$4)</f>
        <v>0</v>
      </c>
      <c r="Q108" s="661"/>
      <c r="R108" s="662">
        <f t="shared" ref="R108" si="1271">IF(Q108=0,0,Q108/Q$4)</f>
        <v>0</v>
      </c>
      <c r="S108" s="661"/>
      <c r="T108" s="662">
        <f t="shared" ref="T108" si="1272">IF(S108=0,0,S108/S$4)</f>
        <v>0</v>
      </c>
      <c r="U108" s="661"/>
      <c r="V108" s="662">
        <f t="shared" ref="V108" si="1273">IF(U108=0,0,U108/U$4)</f>
        <v>0</v>
      </c>
      <c r="W108" s="661"/>
      <c r="X108" s="662">
        <f t="shared" ref="X108" si="1274">IF(W108=0,0,W108/W$4)</f>
        <v>0</v>
      </c>
      <c r="Y108" s="661"/>
      <c r="Z108" s="662">
        <f t="shared" ref="Z108" si="1275">IF(Y108=0,0,Y108/Y$4)</f>
        <v>0</v>
      </c>
      <c r="AA108" s="661"/>
      <c r="AB108" s="662">
        <f t="shared" ref="AB108" si="1276">IF(AA108=0,0,AA108/AA$4)</f>
        <v>0</v>
      </c>
      <c r="AC108" s="661">
        <f t="shared" si="1264"/>
        <v>0</v>
      </c>
      <c r="AD108" s="662">
        <f t="shared" ref="AD108" si="1277">IF(AC108=0,0,AC108/AC$4)</f>
        <v>0</v>
      </c>
      <c r="AE108" s="654"/>
    </row>
    <row r="109" spans="1:36" s="556" customFormat="1" ht="15.75">
      <c r="A109" s="611" t="s">
        <v>1608</v>
      </c>
      <c r="B109" s="557" t="s">
        <v>979</v>
      </c>
      <c r="C109" s="655">
        <f>C110+C113+C158+C186+C204+C211+C223+C253+C285+C351+C370+C471+C393+C485+C505+C535+C544+C567</f>
        <v>1581454732.9028358</v>
      </c>
      <c r="D109" s="656">
        <f t="shared" si="782"/>
        <v>9821.9117901606842</v>
      </c>
      <c r="E109" s="655">
        <f>E110+E113+E158+E186+E204+E211+E223+E253+E285+E351+E370+E471+E393+E485+E505+E535+E544+E567</f>
        <v>2901196690.8933907</v>
      </c>
      <c r="F109" s="656">
        <f t="shared" si="782"/>
        <v>67402.288197695118</v>
      </c>
      <c r="G109" s="655">
        <f>G110+G113+G158+G186+G204+G211+G223+G253+G285+G351+G370+G471+G393+G485+G505+G535+G544+G567</f>
        <v>2833216037.0419903</v>
      </c>
      <c r="H109" s="656">
        <f t="shared" ref="H109" si="1278">IF(G109=0,0,G109/G$4)</f>
        <v>67869.858673445648</v>
      </c>
      <c r="I109" s="655">
        <f>I110+I113+I158+I186+I204+I211+I223+I253+I285+I351+I370+I471+I393+I485+I505+I535+I544+I567</f>
        <v>2031337044.8707137</v>
      </c>
      <c r="J109" s="656">
        <f t="shared" ref="J109" si="1279">IF(I109=0,0,I109/I$4)</f>
        <v>69226.477684097903</v>
      </c>
      <c r="K109" s="655">
        <f>K110+K113+K158+K186+K204+K211+K223+K253+K285+K351+K370+K471+K393+K485+K505+K535+K544+K567</f>
        <v>2889150238.7666025</v>
      </c>
      <c r="L109" s="656">
        <f t="shared" ref="L109" si="1280">IF(K109=0,0,K109/K$4)</f>
        <v>67860.356181843934</v>
      </c>
      <c r="M109" s="655">
        <f>M110+M113+M158+M186+M204+M211+M223+M253+M285+M351+M370+M471+M393+M485+M505+M535+M544+M567</f>
        <v>277589417.12955421</v>
      </c>
      <c r="N109" s="656">
        <f t="shared" ref="N109" si="1281">IF(M109=0,0,M109/M$4)</f>
        <v>64453.751539322511</v>
      </c>
      <c r="O109" s="655">
        <f>O110+O113+O158+O186+O204+O211+O223+O253+O285+O351+O370+O471+O393+O485+O505+O535+O544+O567</f>
        <v>0</v>
      </c>
      <c r="P109" s="656">
        <f t="shared" ref="P109" si="1282">IF(O109=0,0,O109/O$4)</f>
        <v>0</v>
      </c>
      <c r="Q109" s="655">
        <f>Q110+Q113+Q158+Q186+Q204+Q211+Q223+Q253+Q285+Q351+Q370+Q471+Q393+Q485+Q505+Q535+Q544+Q567</f>
        <v>0</v>
      </c>
      <c r="R109" s="656">
        <f t="shared" ref="R109" si="1283">IF(Q109=0,0,Q109/Q$4)</f>
        <v>0</v>
      </c>
      <c r="S109" s="655">
        <f>S110+S113+S158+S186+S204+S211+S223+S253+S285+S351+S370+S471+S393+S485+S505+S535+S544+S567</f>
        <v>0</v>
      </c>
      <c r="T109" s="656">
        <f t="shared" ref="T109" si="1284">IF(S109=0,0,S109/S$4)</f>
        <v>0</v>
      </c>
      <c r="U109" s="655">
        <f>U110+U113+U158+U186+U204+U211+U223+U253+U285+U351+U370+U471+U393+U485+U505+U535+U544+U567</f>
        <v>0</v>
      </c>
      <c r="V109" s="656">
        <f t="shared" ref="V109" si="1285">IF(U109=0,0,U109/U$4)</f>
        <v>0</v>
      </c>
      <c r="W109" s="655">
        <f>W110+W113+W158+W186+W204+W211+W223+W253+W285+W351+W370+W471+W393+W485+W505+W535+W544+W567</f>
        <v>0</v>
      </c>
      <c r="X109" s="656">
        <f t="shared" ref="X109" si="1286">IF(W109=0,0,W109/W$4)</f>
        <v>0</v>
      </c>
      <c r="Y109" s="655">
        <f>Y110+Y113+Y158+Y186+Y204+Y211+Y223+Y253+Y285+Y351+Y370+Y471+Y393+Y485+Y505+Y535+Y544+Y567</f>
        <v>0</v>
      </c>
      <c r="Z109" s="656">
        <f t="shared" ref="Z109" si="1287">IF(Y109=0,0,Y109/Y$4)</f>
        <v>0</v>
      </c>
      <c r="AA109" s="655">
        <f>AA110+AA113+AA158+AA186+AA204+AA211+AA223+AA253+AA285+AA351+AA370+AA471+AA393+AA485+AA505+AA535+AA544+AA567</f>
        <v>0</v>
      </c>
      <c r="AB109" s="656">
        <f t="shared" ref="AB109" si="1288">IF(AA109=0,0,AA109/AA$4)</f>
        <v>0</v>
      </c>
      <c r="AC109" s="655">
        <f>AC110+AC113+AC158+AC186+AC204+AC211+AC223+AC253+AC285+AC351+AC370+AC471+AC393+AC485+AC505+AC535+AC544+AC567</f>
        <v>12513944161.605087</v>
      </c>
      <c r="AD109" s="656">
        <f t="shared" ref="AD109" si="1289">IF(AC109=0,0,AC109/AC$4)</f>
        <v>77720.122584016499</v>
      </c>
      <c r="AE109" s="654"/>
    </row>
    <row r="110" spans="1:36" s="556" customFormat="1" ht="15.75" outlineLevel="1" collapsed="1">
      <c r="A110" s="610" t="s">
        <v>1607</v>
      </c>
      <c r="B110" s="558" t="s">
        <v>980</v>
      </c>
      <c r="C110" s="657">
        <f>SUM(C111:C112)</f>
        <v>6738090.5886077937</v>
      </c>
      <c r="D110" s="658">
        <f t="shared" si="782"/>
        <v>41.848135149552697</v>
      </c>
      <c r="E110" s="657"/>
      <c r="F110" s="658">
        <f t="shared" si="782"/>
        <v>0</v>
      </c>
      <c r="G110" s="657"/>
      <c r="H110" s="658">
        <f t="shared" ref="H110" si="1290">IF(G110=0,0,G110/G$4)</f>
        <v>0</v>
      </c>
      <c r="I110" s="657"/>
      <c r="J110" s="658">
        <f t="shared" ref="J110" si="1291">IF(I110=0,0,I110/I$4)</f>
        <v>0</v>
      </c>
      <c r="K110" s="657"/>
      <c r="L110" s="658">
        <f t="shared" ref="L110" si="1292">IF(K110=0,0,K110/K$4)</f>
        <v>0</v>
      </c>
      <c r="M110" s="657"/>
      <c r="N110" s="658">
        <f t="shared" ref="N110" si="1293">IF(M110=0,0,M110/M$4)</f>
        <v>0</v>
      </c>
      <c r="O110" s="657"/>
      <c r="P110" s="658">
        <f t="shared" ref="P110" si="1294">IF(O110=0,0,O110/O$4)</f>
        <v>0</v>
      </c>
      <c r="Q110" s="657"/>
      <c r="R110" s="658">
        <f t="shared" ref="R110" si="1295">IF(Q110=0,0,Q110/Q$4)</f>
        <v>0</v>
      </c>
      <c r="S110" s="657"/>
      <c r="T110" s="658">
        <f t="shared" ref="T110" si="1296">IF(S110=0,0,S110/S$4)</f>
        <v>0</v>
      </c>
      <c r="U110" s="657"/>
      <c r="V110" s="658">
        <f t="shared" ref="V110" si="1297">IF(U110=0,0,U110/U$4)</f>
        <v>0</v>
      </c>
      <c r="W110" s="657"/>
      <c r="X110" s="658">
        <f t="shared" ref="X110" si="1298">IF(W110=0,0,W110/W$4)</f>
        <v>0</v>
      </c>
      <c r="Y110" s="657"/>
      <c r="Z110" s="658">
        <f t="shared" ref="Z110" si="1299">IF(Y110=0,0,Y110/Y$4)</f>
        <v>0</v>
      </c>
      <c r="AA110" s="657"/>
      <c r="AB110" s="658">
        <f t="shared" ref="AB110" si="1300">IF(AA110=0,0,AA110/AA$4)</f>
        <v>0</v>
      </c>
      <c r="AC110" s="657">
        <f>SUM(AC111:AC112)</f>
        <v>6738090.5886077937</v>
      </c>
      <c r="AD110" s="658">
        <f t="shared" ref="AD110" si="1301">IF(AC110=0,0,AC110/AC$4)</f>
        <v>41.848135149552697</v>
      </c>
      <c r="AE110" s="654"/>
    </row>
    <row r="111" spans="1:36" s="556" customFormat="1" ht="15.75" hidden="1" outlineLevel="2">
      <c r="A111" s="609" t="s">
        <v>1606</v>
      </c>
      <c r="B111" s="559" t="s">
        <v>53</v>
      </c>
      <c r="C111" s="659">
        <f>Калькулятор_жилье!K520+Калькулятор_жилье!K521+Калькулятор_жилье!K523</f>
        <v>0</v>
      </c>
      <c r="D111" s="660">
        <f t="shared" si="782"/>
        <v>0</v>
      </c>
      <c r="E111" s="659"/>
      <c r="F111" s="660">
        <f t="shared" si="782"/>
        <v>0</v>
      </c>
      <c r="G111" s="659"/>
      <c r="H111" s="660">
        <f t="shared" ref="H111" si="1302">IF(G111=0,0,G111/G$4)</f>
        <v>0</v>
      </c>
      <c r="I111" s="659"/>
      <c r="J111" s="660">
        <f t="shared" ref="J111" si="1303">IF(I111=0,0,I111/I$4)</f>
        <v>0</v>
      </c>
      <c r="K111" s="659"/>
      <c r="L111" s="660">
        <f t="shared" ref="L111" si="1304">IF(K111=0,0,K111/K$4)</f>
        <v>0</v>
      </c>
      <c r="M111" s="659"/>
      <c r="N111" s="660">
        <f t="shared" ref="N111" si="1305">IF(M111=0,0,M111/M$4)</f>
        <v>0</v>
      </c>
      <c r="O111" s="659"/>
      <c r="P111" s="660">
        <f t="shared" ref="P111" si="1306">IF(O111=0,0,O111/O$4)</f>
        <v>0</v>
      </c>
      <c r="Q111" s="659"/>
      <c r="R111" s="660">
        <f t="shared" ref="R111" si="1307">IF(Q111=0,0,Q111/Q$4)</f>
        <v>0</v>
      </c>
      <c r="S111" s="659"/>
      <c r="T111" s="660">
        <f t="shared" ref="T111" si="1308">IF(S111=0,0,S111/S$4)</f>
        <v>0</v>
      </c>
      <c r="U111" s="659"/>
      <c r="V111" s="660">
        <f t="shared" ref="V111" si="1309">IF(U111=0,0,U111/U$4)</f>
        <v>0</v>
      </c>
      <c r="W111" s="659"/>
      <c r="X111" s="660">
        <f t="shared" ref="X111" si="1310">IF(W111=0,0,W111/W$4)</f>
        <v>0</v>
      </c>
      <c r="Y111" s="659"/>
      <c r="Z111" s="660">
        <f t="shared" ref="Z111" si="1311">IF(Y111=0,0,Y111/Y$4)</f>
        <v>0</v>
      </c>
      <c r="AA111" s="659"/>
      <c r="AB111" s="660">
        <f t="shared" ref="AB111" si="1312">IF(AA111=0,0,AA111/AA$4)</f>
        <v>0</v>
      </c>
      <c r="AC111" s="659">
        <f>C111+E111+G111+I111+K111+M111+O111+Q111+S111+U111+W111+AA111+Y111</f>
        <v>0</v>
      </c>
      <c r="AD111" s="660">
        <f t="shared" ref="AD111" si="1313">IF(AC111=0,0,AC111/AC$4)</f>
        <v>0</v>
      </c>
      <c r="AE111" s="654"/>
    </row>
    <row r="112" spans="1:36" s="556" customFormat="1" ht="15.75" hidden="1" outlineLevel="2">
      <c r="A112" s="609" t="s">
        <v>1605</v>
      </c>
      <c r="B112" s="559" t="s">
        <v>339</v>
      </c>
      <c r="C112" s="659">
        <f>Калькулятор_жилье!K522+Калькулятор_жилье!K519+Калькулятор_жилье!K518</f>
        <v>6738090.5886077937</v>
      </c>
      <c r="D112" s="660">
        <f t="shared" si="782"/>
        <v>41.848135149552697</v>
      </c>
      <c r="E112" s="659"/>
      <c r="F112" s="660">
        <f t="shared" si="782"/>
        <v>0</v>
      </c>
      <c r="G112" s="659"/>
      <c r="H112" s="660">
        <f t="shared" ref="H112" si="1314">IF(G112=0,0,G112/G$4)</f>
        <v>0</v>
      </c>
      <c r="I112" s="659"/>
      <c r="J112" s="660">
        <f t="shared" ref="J112" si="1315">IF(I112=0,0,I112/I$4)</f>
        <v>0</v>
      </c>
      <c r="K112" s="659"/>
      <c r="L112" s="660">
        <f t="shared" ref="L112" si="1316">IF(K112=0,0,K112/K$4)</f>
        <v>0</v>
      </c>
      <c r="M112" s="659"/>
      <c r="N112" s="660">
        <f t="shared" ref="N112" si="1317">IF(M112=0,0,M112/M$4)</f>
        <v>0</v>
      </c>
      <c r="O112" s="659"/>
      <c r="P112" s="660">
        <f t="shared" ref="P112" si="1318">IF(O112=0,0,O112/O$4)</f>
        <v>0</v>
      </c>
      <c r="Q112" s="659"/>
      <c r="R112" s="660">
        <f t="shared" ref="R112" si="1319">IF(Q112=0,0,Q112/Q$4)</f>
        <v>0</v>
      </c>
      <c r="S112" s="659"/>
      <c r="T112" s="660">
        <f t="shared" ref="T112" si="1320">IF(S112=0,0,S112/S$4)</f>
        <v>0</v>
      </c>
      <c r="U112" s="659"/>
      <c r="V112" s="660">
        <f t="shared" ref="V112" si="1321">IF(U112=0,0,U112/U$4)</f>
        <v>0</v>
      </c>
      <c r="W112" s="659"/>
      <c r="X112" s="660">
        <f t="shared" ref="X112" si="1322">IF(W112=0,0,W112/W$4)</f>
        <v>0</v>
      </c>
      <c r="Y112" s="659"/>
      <c r="Z112" s="660">
        <f t="shared" ref="Z112" si="1323">IF(Y112=0,0,Y112/Y$4)</f>
        <v>0</v>
      </c>
      <c r="AA112" s="659"/>
      <c r="AB112" s="660">
        <f t="shared" ref="AB112" si="1324">IF(AA112=0,0,AA112/AA$4)</f>
        <v>0</v>
      </c>
      <c r="AC112" s="659">
        <f>C112+E112+G112+I112+K112+M112+O112+Q112+S112+U112+W112+AA112+Y112</f>
        <v>6738090.5886077937</v>
      </c>
      <c r="AD112" s="660">
        <f t="shared" ref="AD112" si="1325">IF(AC112=0,0,AC112/AC$4)</f>
        <v>41.848135149552697</v>
      </c>
      <c r="AE112" s="654"/>
    </row>
    <row r="113" spans="1:36" s="556" customFormat="1" ht="15.75" outlineLevel="1" collapsed="1">
      <c r="A113" s="610" t="s">
        <v>1604</v>
      </c>
      <c r="B113" s="558" t="s">
        <v>984</v>
      </c>
      <c r="C113" s="657">
        <f>C114+C125+C131+C132+C133+C140+C141+C142+C148+C150</f>
        <v>143697610.62443271</v>
      </c>
      <c r="D113" s="658">
        <f t="shared" si="782"/>
        <v>892.4601043871611</v>
      </c>
      <c r="E113" s="657">
        <f t="shared" ref="E113" si="1326">E114+E125+E131+E132+E133+E140+E141+E142+E148+E150</f>
        <v>0</v>
      </c>
      <c r="F113" s="658">
        <f t="shared" si="782"/>
        <v>0</v>
      </c>
      <c r="G113" s="657">
        <f t="shared" ref="G113" si="1327">G114+G125+G131+G132+G133+G140+G141+G142+G148+G150</f>
        <v>0</v>
      </c>
      <c r="H113" s="658">
        <f t="shared" ref="H113" si="1328">IF(G113=0,0,G113/G$4)</f>
        <v>0</v>
      </c>
      <c r="I113" s="657">
        <f t="shared" ref="I113" si="1329">I114+I125+I131+I132+I133+I140+I141+I142+I148+I150</f>
        <v>0</v>
      </c>
      <c r="J113" s="658">
        <f t="shared" ref="J113" si="1330">IF(I113=0,0,I113/I$4)</f>
        <v>0</v>
      </c>
      <c r="K113" s="657">
        <f t="shared" ref="K113" si="1331">K114+K125+K131+K132+K133+K140+K141+K142+K148+K150</f>
        <v>0</v>
      </c>
      <c r="L113" s="658">
        <f t="shared" ref="L113" si="1332">IF(K113=0,0,K113/K$4)</f>
        <v>0</v>
      </c>
      <c r="M113" s="657">
        <f t="shared" ref="M113" si="1333">M114+M125+M131+M132+M133+M140+M141+M142+M148+M150</f>
        <v>0</v>
      </c>
      <c r="N113" s="658">
        <f t="shared" ref="N113" si="1334">IF(M113=0,0,M113/M$4)</f>
        <v>0</v>
      </c>
      <c r="O113" s="657">
        <f t="shared" ref="O113" si="1335">O114+O125+O131+O132+O133+O140+O141+O142+O148+O150</f>
        <v>0</v>
      </c>
      <c r="P113" s="658">
        <f t="shared" ref="P113" si="1336">IF(O113=0,0,O113/O$4)</f>
        <v>0</v>
      </c>
      <c r="Q113" s="657">
        <f t="shared" ref="Q113" si="1337">Q114+Q125+Q131+Q132+Q133+Q140+Q141+Q142+Q148+Q150</f>
        <v>0</v>
      </c>
      <c r="R113" s="658">
        <f t="shared" ref="R113" si="1338">IF(Q113=0,0,Q113/Q$4)</f>
        <v>0</v>
      </c>
      <c r="S113" s="657">
        <f t="shared" ref="S113" si="1339">S114+S125+S131+S132+S133+S140+S141+S142+S148+S150</f>
        <v>0</v>
      </c>
      <c r="T113" s="658">
        <f t="shared" ref="T113" si="1340">IF(S113=0,0,S113/S$4)</f>
        <v>0</v>
      </c>
      <c r="U113" s="657">
        <f t="shared" ref="U113" si="1341">U114+U125+U131+U132+U133+U140+U141+U142+U148+U150</f>
        <v>0</v>
      </c>
      <c r="V113" s="658">
        <f t="shared" ref="V113" si="1342">IF(U113=0,0,U113/U$4)</f>
        <v>0</v>
      </c>
      <c r="W113" s="657">
        <f t="shared" ref="W113" si="1343">W114+W125+W131+W132+W133+W140+W141+W142+W148+W150</f>
        <v>0</v>
      </c>
      <c r="X113" s="658">
        <f t="shared" ref="X113" si="1344">IF(W113=0,0,W113/W$4)</f>
        <v>0</v>
      </c>
      <c r="Y113" s="657">
        <f t="shared" ref="Y113" si="1345">Y114+Y125+Y131+Y132+Y133+Y140+Y141+Y142+Y148+Y150</f>
        <v>0</v>
      </c>
      <c r="Z113" s="658">
        <f t="shared" ref="Z113" si="1346">IF(Y113=0,0,Y113/Y$4)</f>
        <v>0</v>
      </c>
      <c r="AA113" s="657">
        <f t="shared" ref="AA113" si="1347">AA114+AA125+AA131+AA132+AA133+AA140+AA141+AA142+AA148+AA150</f>
        <v>0</v>
      </c>
      <c r="AB113" s="658">
        <f t="shared" ref="AB113" si="1348">IF(AA113=0,0,AA113/AA$4)</f>
        <v>0</v>
      </c>
      <c r="AC113" s="657">
        <f t="shared" ref="AC113" si="1349">AC114+AC125+AC131+AC132+AC133+AC140+AC141+AC142+AC148+AC150</f>
        <v>143697610.62443271</v>
      </c>
      <c r="AD113" s="658">
        <f t="shared" ref="AD113" si="1350">IF(AC113=0,0,AC113/AC$4)</f>
        <v>892.4601043871611</v>
      </c>
      <c r="AE113" s="654"/>
    </row>
    <row r="114" spans="1:36" s="556" customFormat="1" ht="15.75" hidden="1" outlineLevel="2">
      <c r="A114" s="609" t="s">
        <v>1603</v>
      </c>
      <c r="B114" s="559" t="s">
        <v>984</v>
      </c>
      <c r="C114" s="659">
        <f>SUM(C115:C124)</f>
        <v>612881.69491525437</v>
      </c>
      <c r="D114" s="660">
        <f t="shared" si="782"/>
        <v>3.8064130575602424</v>
      </c>
      <c r="E114" s="659">
        <f t="shared" ref="E114" si="1351">SUM(E115:E124)</f>
        <v>0</v>
      </c>
      <c r="F114" s="660">
        <f t="shared" si="782"/>
        <v>0</v>
      </c>
      <c r="G114" s="659">
        <f t="shared" ref="G114" si="1352">SUM(G115:G124)</f>
        <v>0</v>
      </c>
      <c r="H114" s="660">
        <f t="shared" ref="H114" si="1353">IF(G114=0,0,G114/G$4)</f>
        <v>0</v>
      </c>
      <c r="I114" s="659">
        <f t="shared" ref="I114" si="1354">SUM(I115:I124)</f>
        <v>0</v>
      </c>
      <c r="J114" s="660">
        <f t="shared" ref="J114" si="1355">IF(I114=0,0,I114/I$4)</f>
        <v>0</v>
      </c>
      <c r="K114" s="659">
        <f t="shared" ref="K114" si="1356">SUM(K115:K124)</f>
        <v>0</v>
      </c>
      <c r="L114" s="660">
        <f t="shared" ref="L114" si="1357">IF(K114=0,0,K114/K$4)</f>
        <v>0</v>
      </c>
      <c r="M114" s="659">
        <f t="shared" ref="M114" si="1358">SUM(M115:M124)</f>
        <v>0</v>
      </c>
      <c r="N114" s="660">
        <f t="shared" ref="N114" si="1359">IF(M114=0,0,M114/M$4)</f>
        <v>0</v>
      </c>
      <c r="O114" s="659">
        <f t="shared" ref="O114" si="1360">SUM(O115:O124)</f>
        <v>0</v>
      </c>
      <c r="P114" s="660">
        <f t="shared" ref="P114" si="1361">IF(O114=0,0,O114/O$4)</f>
        <v>0</v>
      </c>
      <c r="Q114" s="659">
        <f t="shared" ref="Q114" si="1362">SUM(Q115:Q124)</f>
        <v>0</v>
      </c>
      <c r="R114" s="660">
        <f t="shared" ref="R114" si="1363">IF(Q114=0,0,Q114/Q$4)</f>
        <v>0</v>
      </c>
      <c r="S114" s="659">
        <f t="shared" ref="S114" si="1364">SUM(S115:S124)</f>
        <v>0</v>
      </c>
      <c r="T114" s="660">
        <f t="shared" ref="T114" si="1365">IF(S114=0,0,S114/S$4)</f>
        <v>0</v>
      </c>
      <c r="U114" s="659">
        <f t="shared" ref="U114" si="1366">SUM(U115:U124)</f>
        <v>0</v>
      </c>
      <c r="V114" s="660">
        <f t="shared" ref="V114" si="1367">IF(U114=0,0,U114/U$4)</f>
        <v>0</v>
      </c>
      <c r="W114" s="659">
        <f t="shared" ref="W114" si="1368">SUM(W115:W124)</f>
        <v>0</v>
      </c>
      <c r="X114" s="660">
        <f t="shared" ref="X114" si="1369">IF(W114=0,0,W114/W$4)</f>
        <v>0</v>
      </c>
      <c r="Y114" s="659">
        <f t="shared" ref="Y114" si="1370">SUM(Y115:Y124)</f>
        <v>0</v>
      </c>
      <c r="Z114" s="660">
        <f t="shared" ref="Z114" si="1371">IF(Y114=0,0,Y114/Y$4)</f>
        <v>0</v>
      </c>
      <c r="AA114" s="659">
        <f t="shared" ref="AA114" si="1372">SUM(AA115:AA124)</f>
        <v>0</v>
      </c>
      <c r="AB114" s="660">
        <f t="shared" ref="AB114" si="1373">IF(AA114=0,0,AA114/AA$4)</f>
        <v>0</v>
      </c>
      <c r="AC114" s="659">
        <f t="shared" ref="AC114" si="1374">SUM(AC115:AC124)</f>
        <v>612881.69491525437</v>
      </c>
      <c r="AD114" s="660">
        <f t="shared" ref="AD114" si="1375">IF(AC114=0,0,AC114/AC$4)</f>
        <v>3.8064130575602424</v>
      </c>
      <c r="AE114" s="654"/>
    </row>
    <row r="115" spans="1:36" s="556" customFormat="1" ht="15.75" hidden="1" outlineLevel="3">
      <c r="A115" s="612" t="s">
        <v>1602</v>
      </c>
      <c r="B115" s="560" t="s">
        <v>985</v>
      </c>
      <c r="C115" s="661"/>
      <c r="D115" s="661">
        <f t="shared" si="782"/>
        <v>0</v>
      </c>
      <c r="E115" s="661"/>
      <c r="F115" s="661">
        <f t="shared" si="782"/>
        <v>0</v>
      </c>
      <c r="G115" s="661"/>
      <c r="H115" s="661">
        <f t="shared" ref="H115" si="1376">IF(G115=0,0,G115/G$4)</f>
        <v>0</v>
      </c>
      <c r="I115" s="661"/>
      <c r="J115" s="661">
        <f t="shared" ref="J115" si="1377">IF(I115=0,0,I115/I$4)</f>
        <v>0</v>
      </c>
      <c r="K115" s="661"/>
      <c r="L115" s="661">
        <f t="shared" ref="L115" si="1378">IF(K115=0,0,K115/K$4)</f>
        <v>0</v>
      </c>
      <c r="M115" s="661"/>
      <c r="N115" s="661">
        <f t="shared" ref="N115" si="1379">IF(M115=0,0,M115/M$4)</f>
        <v>0</v>
      </c>
      <c r="O115" s="661"/>
      <c r="P115" s="661">
        <f t="shared" ref="P115" si="1380">IF(O115=0,0,O115/O$4)</f>
        <v>0</v>
      </c>
      <c r="Q115" s="661"/>
      <c r="R115" s="661">
        <f t="shared" ref="R115" si="1381">IF(Q115=0,0,Q115/Q$4)</f>
        <v>0</v>
      </c>
      <c r="S115" s="661"/>
      <c r="T115" s="661">
        <f t="shared" ref="T115" si="1382">IF(S115=0,0,S115/S$4)</f>
        <v>0</v>
      </c>
      <c r="U115" s="661"/>
      <c r="V115" s="661">
        <f t="shared" ref="V115" si="1383">IF(U115=0,0,U115/U$4)</f>
        <v>0</v>
      </c>
      <c r="W115" s="661"/>
      <c r="X115" s="661">
        <f t="shared" ref="X115" si="1384">IF(W115=0,0,W115/W$4)</f>
        <v>0</v>
      </c>
      <c r="Y115" s="661"/>
      <c r="Z115" s="661">
        <f t="shared" ref="Z115" si="1385">IF(Y115=0,0,Y115/Y$4)</f>
        <v>0</v>
      </c>
      <c r="AA115" s="661"/>
      <c r="AB115" s="661">
        <f t="shared" ref="AB115" si="1386">IF(AA115=0,0,AA115/AA$4)</f>
        <v>0</v>
      </c>
      <c r="AC115" s="661"/>
      <c r="AD115" s="661">
        <f t="shared" ref="AD115" si="1387">IF(AC115=0,0,AC115/AC$4)</f>
        <v>0</v>
      </c>
      <c r="AE115" s="654"/>
    </row>
    <row r="116" spans="1:36" s="556" customFormat="1" ht="15.75" hidden="1" outlineLevel="3">
      <c r="A116" s="612" t="s">
        <v>1601</v>
      </c>
      <c r="B116" s="560" t="s">
        <v>987</v>
      </c>
      <c r="C116" s="661"/>
      <c r="D116" s="661">
        <f t="shared" si="782"/>
        <v>0</v>
      </c>
      <c r="E116" s="661"/>
      <c r="F116" s="661">
        <f t="shared" si="782"/>
        <v>0</v>
      </c>
      <c r="G116" s="661"/>
      <c r="H116" s="661">
        <f t="shared" ref="H116" si="1388">IF(G116=0,0,G116/G$4)</f>
        <v>0</v>
      </c>
      <c r="I116" s="661"/>
      <c r="J116" s="661">
        <f t="shared" ref="J116" si="1389">IF(I116=0,0,I116/I$4)</f>
        <v>0</v>
      </c>
      <c r="K116" s="661"/>
      <c r="L116" s="661">
        <f t="shared" ref="L116" si="1390">IF(K116=0,0,K116/K$4)</f>
        <v>0</v>
      </c>
      <c r="M116" s="661"/>
      <c r="N116" s="661">
        <f t="shared" ref="N116" si="1391">IF(M116=0,0,M116/M$4)</f>
        <v>0</v>
      </c>
      <c r="O116" s="661"/>
      <c r="P116" s="661">
        <f t="shared" ref="P116" si="1392">IF(O116=0,0,O116/O$4)</f>
        <v>0</v>
      </c>
      <c r="Q116" s="661"/>
      <c r="R116" s="661">
        <f t="shared" ref="R116" si="1393">IF(Q116=0,0,Q116/Q$4)</f>
        <v>0</v>
      </c>
      <c r="S116" s="661"/>
      <c r="T116" s="661">
        <f t="shared" ref="T116" si="1394">IF(S116=0,0,S116/S$4)</f>
        <v>0</v>
      </c>
      <c r="U116" s="661"/>
      <c r="V116" s="661">
        <f t="shared" ref="V116" si="1395">IF(U116=0,0,U116/U$4)</f>
        <v>0</v>
      </c>
      <c r="W116" s="661"/>
      <c r="X116" s="661">
        <f t="shared" ref="X116" si="1396">IF(W116=0,0,W116/W$4)</f>
        <v>0</v>
      </c>
      <c r="Y116" s="661"/>
      <c r="Z116" s="661">
        <f t="shared" ref="Z116" si="1397">IF(Y116=0,0,Y116/Y$4)</f>
        <v>0</v>
      </c>
      <c r="AA116" s="661"/>
      <c r="AB116" s="661">
        <f t="shared" ref="AB116" si="1398">IF(AA116=0,0,AA116/AA$4)</f>
        <v>0</v>
      </c>
      <c r="AC116" s="661"/>
      <c r="AD116" s="661">
        <f t="shared" ref="AD116" si="1399">IF(AC116=0,0,AC116/AC$4)</f>
        <v>0</v>
      </c>
      <c r="AE116" s="654"/>
    </row>
    <row r="117" spans="1:36" s="556" customFormat="1" ht="15.75" hidden="1" outlineLevel="3">
      <c r="A117" s="612" t="s">
        <v>1600</v>
      </c>
      <c r="B117" s="560" t="s">
        <v>989</v>
      </c>
      <c r="C117" s="661"/>
      <c r="D117" s="661">
        <f t="shared" si="782"/>
        <v>0</v>
      </c>
      <c r="E117" s="661"/>
      <c r="F117" s="661">
        <f t="shared" si="782"/>
        <v>0</v>
      </c>
      <c r="G117" s="661"/>
      <c r="H117" s="661">
        <f t="shared" ref="H117" si="1400">IF(G117=0,0,G117/G$4)</f>
        <v>0</v>
      </c>
      <c r="I117" s="661"/>
      <c r="J117" s="661">
        <f t="shared" ref="J117" si="1401">IF(I117=0,0,I117/I$4)</f>
        <v>0</v>
      </c>
      <c r="K117" s="661"/>
      <c r="L117" s="661">
        <f t="shared" ref="L117" si="1402">IF(K117=0,0,K117/K$4)</f>
        <v>0</v>
      </c>
      <c r="M117" s="661"/>
      <c r="N117" s="661">
        <f t="shared" ref="N117" si="1403">IF(M117=0,0,M117/M$4)</f>
        <v>0</v>
      </c>
      <c r="O117" s="661"/>
      <c r="P117" s="661">
        <f t="shared" ref="P117" si="1404">IF(O117=0,0,O117/O$4)</f>
        <v>0</v>
      </c>
      <c r="Q117" s="661"/>
      <c r="R117" s="661">
        <f t="shared" ref="R117" si="1405">IF(Q117=0,0,Q117/Q$4)</f>
        <v>0</v>
      </c>
      <c r="S117" s="661"/>
      <c r="T117" s="661">
        <f t="shared" ref="T117" si="1406">IF(S117=0,0,S117/S$4)</f>
        <v>0</v>
      </c>
      <c r="U117" s="661"/>
      <c r="V117" s="661">
        <f t="shared" ref="V117" si="1407">IF(U117=0,0,U117/U$4)</f>
        <v>0</v>
      </c>
      <c r="W117" s="661"/>
      <c r="X117" s="661">
        <f t="shared" ref="X117" si="1408">IF(W117=0,0,W117/W$4)</f>
        <v>0</v>
      </c>
      <c r="Y117" s="661"/>
      <c r="Z117" s="661">
        <f t="shared" ref="Z117" si="1409">IF(Y117=0,0,Y117/Y$4)</f>
        <v>0</v>
      </c>
      <c r="AA117" s="661"/>
      <c r="AB117" s="661">
        <f t="shared" ref="AB117" si="1410">IF(AA117=0,0,AA117/AA$4)</f>
        <v>0</v>
      </c>
      <c r="AC117" s="661"/>
      <c r="AD117" s="661">
        <f t="shared" ref="AD117" si="1411">IF(AC117=0,0,AC117/AC$4)</f>
        <v>0</v>
      </c>
      <c r="AE117" s="654"/>
    </row>
    <row r="118" spans="1:36" s="556" customFormat="1" ht="15.75" hidden="1" outlineLevel="3">
      <c r="A118" s="612" t="s">
        <v>1599</v>
      </c>
      <c r="B118" s="560" t="s">
        <v>991</v>
      </c>
      <c r="C118" s="661"/>
      <c r="D118" s="661">
        <f t="shared" si="782"/>
        <v>0</v>
      </c>
      <c r="E118" s="661"/>
      <c r="F118" s="661">
        <f t="shared" si="782"/>
        <v>0</v>
      </c>
      <c r="G118" s="661"/>
      <c r="H118" s="661">
        <f t="shared" ref="H118" si="1412">IF(G118=0,0,G118/G$4)</f>
        <v>0</v>
      </c>
      <c r="I118" s="661"/>
      <c r="J118" s="661">
        <f t="shared" ref="J118" si="1413">IF(I118=0,0,I118/I$4)</f>
        <v>0</v>
      </c>
      <c r="K118" s="661"/>
      <c r="L118" s="661">
        <f t="shared" ref="L118" si="1414">IF(K118=0,0,K118/K$4)</f>
        <v>0</v>
      </c>
      <c r="M118" s="661"/>
      <c r="N118" s="661">
        <f t="shared" ref="N118" si="1415">IF(M118=0,0,M118/M$4)</f>
        <v>0</v>
      </c>
      <c r="O118" s="661"/>
      <c r="P118" s="661">
        <f t="shared" ref="P118" si="1416">IF(O118=0,0,O118/O$4)</f>
        <v>0</v>
      </c>
      <c r="Q118" s="661"/>
      <c r="R118" s="661">
        <f t="shared" ref="R118" si="1417">IF(Q118=0,0,Q118/Q$4)</f>
        <v>0</v>
      </c>
      <c r="S118" s="661"/>
      <c r="T118" s="661">
        <f t="shared" ref="T118" si="1418">IF(S118=0,0,S118/S$4)</f>
        <v>0</v>
      </c>
      <c r="U118" s="661"/>
      <c r="V118" s="661">
        <f t="shared" ref="V118" si="1419">IF(U118=0,0,U118/U$4)</f>
        <v>0</v>
      </c>
      <c r="W118" s="661"/>
      <c r="X118" s="661">
        <f t="shared" ref="X118" si="1420">IF(W118=0,0,W118/W$4)</f>
        <v>0</v>
      </c>
      <c r="Y118" s="661"/>
      <c r="Z118" s="661">
        <f t="shared" ref="Z118" si="1421">IF(Y118=0,0,Y118/Y$4)</f>
        <v>0</v>
      </c>
      <c r="AA118" s="661"/>
      <c r="AB118" s="661">
        <f t="shared" ref="AB118" si="1422">IF(AA118=0,0,AA118/AA$4)</f>
        <v>0</v>
      </c>
      <c r="AC118" s="661"/>
      <c r="AD118" s="661">
        <f t="shared" ref="AD118" si="1423">IF(AC118=0,0,AC118/AC$4)</f>
        <v>0</v>
      </c>
      <c r="AE118" s="654"/>
    </row>
    <row r="119" spans="1:36" s="556" customFormat="1" ht="15.75" hidden="1" outlineLevel="3">
      <c r="A119" s="612" t="s">
        <v>1598</v>
      </c>
      <c r="B119" s="560" t="s">
        <v>992</v>
      </c>
      <c r="C119" s="661">
        <f>Калькулятор_жилье!K631</f>
        <v>612881.69491525437</v>
      </c>
      <c r="D119" s="661">
        <f t="shared" si="782"/>
        <v>3.8064130575602424</v>
      </c>
      <c r="E119" s="661"/>
      <c r="F119" s="661">
        <f t="shared" si="782"/>
        <v>0</v>
      </c>
      <c r="G119" s="661"/>
      <c r="H119" s="661">
        <f t="shared" ref="H119" si="1424">IF(G119=0,0,G119/G$4)</f>
        <v>0</v>
      </c>
      <c r="I119" s="661"/>
      <c r="J119" s="661">
        <f t="shared" ref="J119" si="1425">IF(I119=0,0,I119/I$4)</f>
        <v>0</v>
      </c>
      <c r="K119" s="661"/>
      <c r="L119" s="661">
        <f t="shared" ref="L119" si="1426">IF(K119=0,0,K119/K$4)</f>
        <v>0</v>
      </c>
      <c r="M119" s="661"/>
      <c r="N119" s="661">
        <f t="shared" ref="N119" si="1427">IF(M119=0,0,M119/M$4)</f>
        <v>0</v>
      </c>
      <c r="O119" s="661"/>
      <c r="P119" s="661">
        <f t="shared" ref="P119" si="1428">IF(O119=0,0,O119/O$4)</f>
        <v>0</v>
      </c>
      <c r="Q119" s="661"/>
      <c r="R119" s="661">
        <f t="shared" ref="R119" si="1429">IF(Q119=0,0,Q119/Q$4)</f>
        <v>0</v>
      </c>
      <c r="S119" s="661"/>
      <c r="T119" s="661">
        <f t="shared" ref="T119" si="1430">IF(S119=0,0,S119/S$4)</f>
        <v>0</v>
      </c>
      <c r="U119" s="661"/>
      <c r="V119" s="661">
        <f t="shared" ref="V119" si="1431">IF(U119=0,0,U119/U$4)</f>
        <v>0</v>
      </c>
      <c r="W119" s="661"/>
      <c r="X119" s="661">
        <f t="shared" ref="X119" si="1432">IF(W119=0,0,W119/W$4)</f>
        <v>0</v>
      </c>
      <c r="Y119" s="661"/>
      <c r="Z119" s="661">
        <f t="shared" ref="Z119" si="1433">IF(Y119=0,0,Y119/Y$4)</f>
        <v>0</v>
      </c>
      <c r="AA119" s="661"/>
      <c r="AB119" s="661">
        <f t="shared" ref="AB119" si="1434">IF(AA119=0,0,AA119/AA$4)</f>
        <v>0</v>
      </c>
      <c r="AC119" s="661">
        <f>C119+E119+G119+I119+K119+M119+O119+Q119+S119+U119+W119+AA119+Y119</f>
        <v>612881.69491525437</v>
      </c>
      <c r="AD119" s="661">
        <f t="shared" ref="AD119" si="1435">IF(AC119=0,0,AC119/AC$4)</f>
        <v>3.8064130575602424</v>
      </c>
      <c r="AE119" s="654"/>
    </row>
    <row r="120" spans="1:36" s="556" customFormat="1" ht="15.75" hidden="1" outlineLevel="3">
      <c r="A120" s="612" t="s">
        <v>1597</v>
      </c>
      <c r="B120" s="560" t="s">
        <v>994</v>
      </c>
      <c r="C120" s="661"/>
      <c r="D120" s="661">
        <f t="shared" si="782"/>
        <v>0</v>
      </c>
      <c r="E120" s="661"/>
      <c r="F120" s="661">
        <f t="shared" si="782"/>
        <v>0</v>
      </c>
      <c r="G120" s="661"/>
      <c r="H120" s="661">
        <f t="shared" ref="H120" si="1436">IF(G120=0,0,G120/G$4)</f>
        <v>0</v>
      </c>
      <c r="I120" s="661"/>
      <c r="J120" s="661">
        <f t="shared" ref="J120" si="1437">IF(I120=0,0,I120/I$4)</f>
        <v>0</v>
      </c>
      <c r="K120" s="661"/>
      <c r="L120" s="661">
        <f t="shared" ref="L120" si="1438">IF(K120=0,0,K120/K$4)</f>
        <v>0</v>
      </c>
      <c r="M120" s="661"/>
      <c r="N120" s="661">
        <f t="shared" ref="N120" si="1439">IF(M120=0,0,M120/M$4)</f>
        <v>0</v>
      </c>
      <c r="O120" s="661"/>
      <c r="P120" s="661">
        <f t="shared" ref="P120" si="1440">IF(O120=0,0,O120/O$4)</f>
        <v>0</v>
      </c>
      <c r="Q120" s="661"/>
      <c r="R120" s="661">
        <f t="shared" ref="R120" si="1441">IF(Q120=0,0,Q120/Q$4)</f>
        <v>0</v>
      </c>
      <c r="S120" s="661"/>
      <c r="T120" s="661">
        <f t="shared" ref="T120" si="1442">IF(S120=0,0,S120/S$4)</f>
        <v>0</v>
      </c>
      <c r="U120" s="661"/>
      <c r="V120" s="661">
        <f t="shared" ref="V120" si="1443">IF(U120=0,0,U120/U$4)</f>
        <v>0</v>
      </c>
      <c r="W120" s="661"/>
      <c r="X120" s="661">
        <f t="shared" ref="X120" si="1444">IF(W120=0,0,W120/W$4)</f>
        <v>0</v>
      </c>
      <c r="Y120" s="661"/>
      <c r="Z120" s="661">
        <f t="shared" ref="Z120" si="1445">IF(Y120=0,0,Y120/Y$4)</f>
        <v>0</v>
      </c>
      <c r="AA120" s="661"/>
      <c r="AB120" s="661">
        <f t="shared" ref="AB120" si="1446">IF(AA120=0,0,AA120/AA$4)</f>
        <v>0</v>
      </c>
      <c r="AC120" s="661"/>
      <c r="AD120" s="661">
        <f t="shared" ref="AD120" si="1447">IF(AC120=0,0,AC120/AC$4)</f>
        <v>0</v>
      </c>
      <c r="AE120" s="654"/>
    </row>
    <row r="121" spans="1:36" s="556" customFormat="1" ht="15.75" hidden="1" outlineLevel="3">
      <c r="A121" s="612" t="s">
        <v>1596</v>
      </c>
      <c r="B121" s="560" t="s">
        <v>995</v>
      </c>
      <c r="C121" s="661"/>
      <c r="D121" s="661">
        <f t="shared" si="782"/>
        <v>0</v>
      </c>
      <c r="E121" s="661"/>
      <c r="F121" s="661">
        <f t="shared" si="782"/>
        <v>0</v>
      </c>
      <c r="G121" s="661"/>
      <c r="H121" s="661">
        <f t="shared" ref="H121" si="1448">IF(G121=0,0,G121/G$4)</f>
        <v>0</v>
      </c>
      <c r="I121" s="661"/>
      <c r="J121" s="661">
        <f t="shared" ref="J121" si="1449">IF(I121=0,0,I121/I$4)</f>
        <v>0</v>
      </c>
      <c r="K121" s="661"/>
      <c r="L121" s="661">
        <f t="shared" ref="L121" si="1450">IF(K121=0,0,K121/K$4)</f>
        <v>0</v>
      </c>
      <c r="M121" s="661"/>
      <c r="N121" s="661">
        <f t="shared" ref="N121" si="1451">IF(M121=0,0,M121/M$4)</f>
        <v>0</v>
      </c>
      <c r="O121" s="661"/>
      <c r="P121" s="661">
        <f t="shared" ref="P121" si="1452">IF(O121=0,0,O121/O$4)</f>
        <v>0</v>
      </c>
      <c r="Q121" s="661"/>
      <c r="R121" s="661">
        <f t="shared" ref="R121" si="1453">IF(Q121=0,0,Q121/Q$4)</f>
        <v>0</v>
      </c>
      <c r="S121" s="661"/>
      <c r="T121" s="661">
        <f t="shared" ref="T121" si="1454">IF(S121=0,0,S121/S$4)</f>
        <v>0</v>
      </c>
      <c r="U121" s="661"/>
      <c r="V121" s="661">
        <f t="shared" ref="V121" si="1455">IF(U121=0,0,U121/U$4)</f>
        <v>0</v>
      </c>
      <c r="W121" s="661"/>
      <c r="X121" s="661">
        <f t="shared" ref="X121" si="1456">IF(W121=0,0,W121/W$4)</f>
        <v>0</v>
      </c>
      <c r="Y121" s="661"/>
      <c r="Z121" s="661">
        <f t="shared" ref="Z121" si="1457">IF(Y121=0,0,Y121/Y$4)</f>
        <v>0</v>
      </c>
      <c r="AA121" s="661"/>
      <c r="AB121" s="661">
        <f t="shared" ref="AB121" si="1458">IF(AA121=0,0,AA121/AA$4)</f>
        <v>0</v>
      </c>
      <c r="AC121" s="661"/>
      <c r="AD121" s="661">
        <f t="shared" ref="AD121" si="1459">IF(AC121=0,0,AC121/AC$4)</f>
        <v>0</v>
      </c>
      <c r="AE121" s="654"/>
    </row>
    <row r="122" spans="1:36" s="556" customFormat="1" ht="15.75" hidden="1" outlineLevel="3">
      <c r="A122" s="612" t="s">
        <v>1595</v>
      </c>
      <c r="B122" s="560" t="s">
        <v>996</v>
      </c>
      <c r="C122" s="661"/>
      <c r="D122" s="661">
        <f t="shared" si="782"/>
        <v>0</v>
      </c>
      <c r="E122" s="661"/>
      <c r="F122" s="661">
        <f t="shared" si="782"/>
        <v>0</v>
      </c>
      <c r="G122" s="661"/>
      <c r="H122" s="661">
        <f t="shared" ref="H122" si="1460">IF(G122=0,0,G122/G$4)</f>
        <v>0</v>
      </c>
      <c r="I122" s="661"/>
      <c r="J122" s="661">
        <f t="shared" ref="J122" si="1461">IF(I122=0,0,I122/I$4)</f>
        <v>0</v>
      </c>
      <c r="K122" s="661"/>
      <c r="L122" s="661">
        <f t="shared" ref="L122" si="1462">IF(K122=0,0,K122/K$4)</f>
        <v>0</v>
      </c>
      <c r="M122" s="661"/>
      <c r="N122" s="661">
        <f t="shared" ref="N122" si="1463">IF(M122=0,0,M122/M$4)</f>
        <v>0</v>
      </c>
      <c r="O122" s="661"/>
      <c r="P122" s="661">
        <f t="shared" ref="P122" si="1464">IF(O122=0,0,O122/O$4)</f>
        <v>0</v>
      </c>
      <c r="Q122" s="661"/>
      <c r="R122" s="661">
        <f t="shared" ref="R122" si="1465">IF(Q122=0,0,Q122/Q$4)</f>
        <v>0</v>
      </c>
      <c r="S122" s="661"/>
      <c r="T122" s="661">
        <f t="shared" ref="T122" si="1466">IF(S122=0,0,S122/S$4)</f>
        <v>0</v>
      </c>
      <c r="U122" s="661"/>
      <c r="V122" s="661">
        <f t="shared" ref="V122" si="1467">IF(U122=0,0,U122/U$4)</f>
        <v>0</v>
      </c>
      <c r="W122" s="661"/>
      <c r="X122" s="661">
        <f t="shared" ref="X122" si="1468">IF(W122=0,0,W122/W$4)</f>
        <v>0</v>
      </c>
      <c r="Y122" s="661"/>
      <c r="Z122" s="661">
        <f t="shared" ref="Z122" si="1469">IF(Y122=0,0,Y122/Y$4)</f>
        <v>0</v>
      </c>
      <c r="AA122" s="661"/>
      <c r="AB122" s="661">
        <f t="shared" ref="AB122" si="1470">IF(AA122=0,0,AA122/AA$4)</f>
        <v>0</v>
      </c>
      <c r="AC122" s="661"/>
      <c r="AD122" s="661">
        <f t="shared" ref="AD122" si="1471">IF(AC122=0,0,AC122/AC$4)</f>
        <v>0</v>
      </c>
      <c r="AE122" s="654"/>
    </row>
    <row r="123" spans="1:36" s="556" customFormat="1" ht="15.75" hidden="1" outlineLevel="3">
      <c r="A123" s="612" t="s">
        <v>1594</v>
      </c>
      <c r="B123" s="560" t="s">
        <v>997</v>
      </c>
      <c r="C123" s="661"/>
      <c r="D123" s="661">
        <f t="shared" si="782"/>
        <v>0</v>
      </c>
      <c r="E123" s="661"/>
      <c r="F123" s="661">
        <f t="shared" si="782"/>
        <v>0</v>
      </c>
      <c r="G123" s="661"/>
      <c r="H123" s="661">
        <f t="shared" ref="H123" si="1472">IF(G123=0,0,G123/G$4)</f>
        <v>0</v>
      </c>
      <c r="I123" s="661"/>
      <c r="J123" s="661">
        <f t="shared" ref="J123" si="1473">IF(I123=0,0,I123/I$4)</f>
        <v>0</v>
      </c>
      <c r="K123" s="661"/>
      <c r="L123" s="661">
        <f t="shared" ref="L123" si="1474">IF(K123=0,0,K123/K$4)</f>
        <v>0</v>
      </c>
      <c r="M123" s="661"/>
      <c r="N123" s="661">
        <f t="shared" ref="N123" si="1475">IF(M123=0,0,M123/M$4)</f>
        <v>0</v>
      </c>
      <c r="O123" s="661"/>
      <c r="P123" s="661">
        <f t="shared" ref="P123" si="1476">IF(O123=0,0,O123/O$4)</f>
        <v>0</v>
      </c>
      <c r="Q123" s="661"/>
      <c r="R123" s="661">
        <f t="shared" ref="R123" si="1477">IF(Q123=0,0,Q123/Q$4)</f>
        <v>0</v>
      </c>
      <c r="S123" s="661"/>
      <c r="T123" s="661">
        <f t="shared" ref="T123" si="1478">IF(S123=0,0,S123/S$4)</f>
        <v>0</v>
      </c>
      <c r="U123" s="661"/>
      <c r="V123" s="661">
        <f t="shared" ref="V123" si="1479">IF(U123=0,0,U123/U$4)</f>
        <v>0</v>
      </c>
      <c r="W123" s="661"/>
      <c r="X123" s="661">
        <f t="shared" ref="X123" si="1480">IF(W123=0,0,W123/W$4)</f>
        <v>0</v>
      </c>
      <c r="Y123" s="661"/>
      <c r="Z123" s="661">
        <f t="shared" ref="Z123" si="1481">IF(Y123=0,0,Y123/Y$4)</f>
        <v>0</v>
      </c>
      <c r="AA123" s="661"/>
      <c r="AB123" s="661">
        <f t="shared" ref="AB123" si="1482">IF(AA123=0,0,AA123/AA$4)</f>
        <v>0</v>
      </c>
      <c r="AC123" s="661"/>
      <c r="AD123" s="661">
        <f t="shared" ref="AD123" si="1483">IF(AC123=0,0,AC123/AC$4)</f>
        <v>0</v>
      </c>
      <c r="AE123" s="654"/>
    </row>
    <row r="124" spans="1:36" s="556" customFormat="1" ht="15.75" hidden="1" outlineLevel="3">
      <c r="A124" s="612" t="s">
        <v>1593</v>
      </c>
      <c r="B124" s="560" t="s">
        <v>998</v>
      </c>
      <c r="C124" s="661"/>
      <c r="D124" s="661">
        <f t="shared" si="782"/>
        <v>0</v>
      </c>
      <c r="E124" s="661"/>
      <c r="F124" s="661">
        <f t="shared" si="782"/>
        <v>0</v>
      </c>
      <c r="G124" s="661"/>
      <c r="H124" s="661">
        <f t="shared" ref="H124" si="1484">IF(G124=0,0,G124/G$4)</f>
        <v>0</v>
      </c>
      <c r="I124" s="661"/>
      <c r="J124" s="661">
        <f t="shared" ref="J124" si="1485">IF(I124=0,0,I124/I$4)</f>
        <v>0</v>
      </c>
      <c r="K124" s="661"/>
      <c r="L124" s="661">
        <f t="shared" ref="L124" si="1486">IF(K124=0,0,K124/K$4)</f>
        <v>0</v>
      </c>
      <c r="M124" s="661"/>
      <c r="N124" s="661">
        <f t="shared" ref="N124" si="1487">IF(M124=0,0,M124/M$4)</f>
        <v>0</v>
      </c>
      <c r="O124" s="661"/>
      <c r="P124" s="661">
        <f t="shared" ref="P124" si="1488">IF(O124=0,0,O124/O$4)</f>
        <v>0</v>
      </c>
      <c r="Q124" s="661"/>
      <c r="R124" s="661">
        <f t="shared" ref="R124" si="1489">IF(Q124=0,0,Q124/Q$4)</f>
        <v>0</v>
      </c>
      <c r="S124" s="661"/>
      <c r="T124" s="661">
        <f t="shared" ref="T124" si="1490">IF(S124=0,0,S124/S$4)</f>
        <v>0</v>
      </c>
      <c r="U124" s="661"/>
      <c r="V124" s="661">
        <f t="shared" ref="V124" si="1491">IF(U124=0,0,U124/U$4)</f>
        <v>0</v>
      </c>
      <c r="W124" s="661"/>
      <c r="X124" s="661">
        <f t="shared" ref="X124" si="1492">IF(W124=0,0,W124/W$4)</f>
        <v>0</v>
      </c>
      <c r="Y124" s="661"/>
      <c r="Z124" s="661">
        <f t="shared" ref="Z124" si="1493">IF(Y124=0,0,Y124/Y$4)</f>
        <v>0</v>
      </c>
      <c r="AA124" s="661"/>
      <c r="AB124" s="661">
        <f t="shared" ref="AB124" si="1494">IF(AA124=0,0,AA124/AA$4)</f>
        <v>0</v>
      </c>
      <c r="AC124" s="661"/>
      <c r="AD124" s="661">
        <f t="shared" ref="AD124" si="1495">IF(AC124=0,0,AC124/AC$4)</f>
        <v>0</v>
      </c>
      <c r="AE124" s="654"/>
    </row>
    <row r="125" spans="1:36" s="556" customFormat="1" ht="15.75" hidden="1" outlineLevel="2">
      <c r="A125" s="609" t="s">
        <v>1592</v>
      </c>
      <c r="B125" s="559" t="s">
        <v>999</v>
      </c>
      <c r="C125" s="659">
        <f>SUM(C126:C130)</f>
        <v>31350838.520995934</v>
      </c>
      <c r="D125" s="660">
        <f t="shared" si="782"/>
        <v>194.71007553632742</v>
      </c>
      <c r="E125" s="659">
        <f t="shared" ref="E125" si="1496">SUM(E126:E130)</f>
        <v>0</v>
      </c>
      <c r="F125" s="660">
        <f t="shared" si="782"/>
        <v>0</v>
      </c>
      <c r="G125" s="659">
        <f t="shared" ref="G125" si="1497">SUM(G126:G130)</f>
        <v>0</v>
      </c>
      <c r="H125" s="660">
        <f t="shared" ref="H125" si="1498">IF(G125=0,0,G125/G$4)</f>
        <v>0</v>
      </c>
      <c r="I125" s="659">
        <f t="shared" ref="I125" si="1499">SUM(I126:I130)</f>
        <v>0</v>
      </c>
      <c r="J125" s="660">
        <f t="shared" ref="J125" si="1500">IF(I125=0,0,I125/I$4)</f>
        <v>0</v>
      </c>
      <c r="K125" s="659">
        <f t="shared" ref="K125" si="1501">SUM(K126:K130)</f>
        <v>0</v>
      </c>
      <c r="L125" s="660">
        <f t="shared" ref="L125" si="1502">IF(K125=0,0,K125/K$4)</f>
        <v>0</v>
      </c>
      <c r="M125" s="659">
        <f t="shared" ref="M125" si="1503">SUM(M126:M130)</f>
        <v>0</v>
      </c>
      <c r="N125" s="660">
        <f t="shared" ref="N125" si="1504">IF(M125=0,0,M125/M$4)</f>
        <v>0</v>
      </c>
      <c r="O125" s="659">
        <f t="shared" ref="O125" si="1505">SUM(O126:O130)</f>
        <v>0</v>
      </c>
      <c r="P125" s="660">
        <f t="shared" ref="P125" si="1506">IF(O125=0,0,O125/O$4)</f>
        <v>0</v>
      </c>
      <c r="Q125" s="659">
        <f t="shared" ref="Q125" si="1507">SUM(Q126:Q130)</f>
        <v>0</v>
      </c>
      <c r="R125" s="660">
        <f t="shared" ref="R125" si="1508">IF(Q125=0,0,Q125/Q$4)</f>
        <v>0</v>
      </c>
      <c r="S125" s="659">
        <f t="shared" ref="S125" si="1509">SUM(S126:S130)</f>
        <v>0</v>
      </c>
      <c r="T125" s="660">
        <f t="shared" ref="T125" si="1510">IF(S125=0,0,S125/S$4)</f>
        <v>0</v>
      </c>
      <c r="U125" s="659">
        <f t="shared" ref="U125" si="1511">SUM(U126:U130)</f>
        <v>0</v>
      </c>
      <c r="V125" s="660">
        <f t="shared" ref="V125" si="1512">IF(U125=0,0,U125/U$4)</f>
        <v>0</v>
      </c>
      <c r="W125" s="659">
        <f t="shared" ref="W125" si="1513">SUM(W126:W130)</f>
        <v>0</v>
      </c>
      <c r="X125" s="660">
        <f t="shared" ref="X125" si="1514">IF(W125=0,0,W125/W$4)</f>
        <v>0</v>
      </c>
      <c r="Y125" s="659">
        <f t="shared" ref="Y125" si="1515">SUM(Y126:Y130)</f>
        <v>0</v>
      </c>
      <c r="Z125" s="660">
        <f t="shared" ref="Z125" si="1516">IF(Y125=0,0,Y125/Y$4)</f>
        <v>0</v>
      </c>
      <c r="AA125" s="659">
        <f t="shared" ref="AA125" si="1517">SUM(AA126:AA130)</f>
        <v>0</v>
      </c>
      <c r="AB125" s="660">
        <f t="shared" ref="AB125" si="1518">IF(AA125=0,0,AA125/AA$4)</f>
        <v>0</v>
      </c>
      <c r="AC125" s="659">
        <f t="shared" ref="AC125" si="1519">SUM(AC126:AC130)</f>
        <v>31350838.520995934</v>
      </c>
      <c r="AD125" s="660">
        <f t="shared" ref="AD125" si="1520">IF(AC125=0,0,AC125/AC$4)</f>
        <v>194.71007553632742</v>
      </c>
      <c r="AE125" s="654"/>
    </row>
    <row r="126" spans="1:36" s="68" customFormat="1" ht="15.75" hidden="1" outlineLevel="3">
      <c r="A126" s="117"/>
      <c r="B126" s="118" t="s">
        <v>788</v>
      </c>
      <c r="C126" s="663">
        <f>Калькулятор_жилье!K628</f>
        <v>8519993.1992698722</v>
      </c>
      <c r="D126" s="663">
        <f t="shared" si="782"/>
        <v>52.914964883246547</v>
      </c>
      <c r="E126" s="663"/>
      <c r="F126" s="663">
        <f t="shared" si="782"/>
        <v>0</v>
      </c>
      <c r="G126" s="663"/>
      <c r="H126" s="663">
        <f t="shared" ref="H126" si="1521">IF(G126=0,0,G126/G$4)</f>
        <v>0</v>
      </c>
      <c r="I126" s="663"/>
      <c r="J126" s="663">
        <f t="shared" ref="J126" si="1522">IF(I126=0,0,I126/I$4)</f>
        <v>0</v>
      </c>
      <c r="K126" s="663"/>
      <c r="L126" s="663">
        <f t="shared" ref="L126" si="1523">IF(K126=0,0,K126/K$4)</f>
        <v>0</v>
      </c>
      <c r="M126" s="663"/>
      <c r="N126" s="663">
        <f t="shared" ref="N126" si="1524">IF(M126=0,0,M126/M$4)</f>
        <v>0</v>
      </c>
      <c r="O126" s="663"/>
      <c r="P126" s="663">
        <f t="shared" ref="P126" si="1525">IF(O126=0,0,O126/O$4)</f>
        <v>0</v>
      </c>
      <c r="Q126" s="663"/>
      <c r="R126" s="663">
        <f t="shared" ref="R126" si="1526">IF(Q126=0,0,Q126/Q$4)</f>
        <v>0</v>
      </c>
      <c r="S126" s="663"/>
      <c r="T126" s="663">
        <f t="shared" ref="T126" si="1527">IF(S126=0,0,S126/S$4)</f>
        <v>0</v>
      </c>
      <c r="U126" s="663"/>
      <c r="V126" s="663">
        <f t="shared" ref="V126" si="1528">IF(U126=0,0,U126/U$4)</f>
        <v>0</v>
      </c>
      <c r="W126" s="663"/>
      <c r="X126" s="663">
        <f t="shared" ref="X126" si="1529">IF(W126=0,0,W126/W$4)</f>
        <v>0</v>
      </c>
      <c r="Y126" s="663"/>
      <c r="Z126" s="663">
        <f t="shared" ref="Z126" si="1530">IF(Y126=0,0,Y126/Y$4)</f>
        <v>0</v>
      </c>
      <c r="AA126" s="663"/>
      <c r="AB126" s="663">
        <f t="shared" ref="AB126" si="1531">IF(AA126=0,0,AA126/AA$4)</f>
        <v>0</v>
      </c>
      <c r="AC126" s="663">
        <f>C126+E126+G126+I126+K126+M126+O126+Q126+S126+U126+W126+AA126+Y126</f>
        <v>8519993.1992698722</v>
      </c>
      <c r="AD126" s="663">
        <f t="shared" ref="AD126" si="1532">IF(AC126=0,0,AC126/AC$4)</f>
        <v>52.914964883246547</v>
      </c>
      <c r="AE126" s="665"/>
      <c r="AF126" s="556"/>
      <c r="AG126" s="114"/>
      <c r="AH126" s="114"/>
      <c r="AI126" s="114"/>
      <c r="AJ126" s="114"/>
    </row>
    <row r="127" spans="1:36" s="68" customFormat="1" ht="30" hidden="1" outlineLevel="3">
      <c r="A127" s="117"/>
      <c r="B127" s="118" t="s">
        <v>787</v>
      </c>
      <c r="C127" s="663">
        <f>Калькулятор_жилье!K624</f>
        <v>4218764.89678689</v>
      </c>
      <c r="D127" s="663">
        <f t="shared" si="782"/>
        <v>26.201405463948245</v>
      </c>
      <c r="E127" s="663"/>
      <c r="F127" s="663">
        <f t="shared" si="782"/>
        <v>0</v>
      </c>
      <c r="G127" s="663"/>
      <c r="H127" s="663">
        <f t="shared" ref="H127" si="1533">IF(G127=0,0,G127/G$4)</f>
        <v>0</v>
      </c>
      <c r="I127" s="663"/>
      <c r="J127" s="663">
        <f t="shared" ref="J127" si="1534">IF(I127=0,0,I127/I$4)</f>
        <v>0</v>
      </c>
      <c r="K127" s="663"/>
      <c r="L127" s="663">
        <f t="shared" ref="L127" si="1535">IF(K127=0,0,K127/K$4)</f>
        <v>0</v>
      </c>
      <c r="M127" s="663"/>
      <c r="N127" s="663">
        <f t="shared" ref="N127" si="1536">IF(M127=0,0,M127/M$4)</f>
        <v>0</v>
      </c>
      <c r="O127" s="663"/>
      <c r="P127" s="663">
        <f t="shared" ref="P127" si="1537">IF(O127=0,0,O127/O$4)</f>
        <v>0</v>
      </c>
      <c r="Q127" s="663"/>
      <c r="R127" s="663">
        <f t="shared" ref="R127" si="1538">IF(Q127=0,0,Q127/Q$4)</f>
        <v>0</v>
      </c>
      <c r="S127" s="663"/>
      <c r="T127" s="663">
        <f t="shared" ref="T127" si="1539">IF(S127=0,0,S127/S$4)</f>
        <v>0</v>
      </c>
      <c r="U127" s="663"/>
      <c r="V127" s="663">
        <f t="shared" ref="V127" si="1540">IF(U127=0,0,U127/U$4)</f>
        <v>0</v>
      </c>
      <c r="W127" s="663"/>
      <c r="X127" s="663">
        <f t="shared" ref="X127" si="1541">IF(W127=0,0,W127/W$4)</f>
        <v>0</v>
      </c>
      <c r="Y127" s="663"/>
      <c r="Z127" s="663">
        <f t="shared" ref="Z127" si="1542">IF(Y127=0,0,Y127/Y$4)</f>
        <v>0</v>
      </c>
      <c r="AA127" s="663"/>
      <c r="AB127" s="663">
        <f t="shared" ref="AB127" si="1543">IF(AA127=0,0,AA127/AA$4)</f>
        <v>0</v>
      </c>
      <c r="AC127" s="663">
        <f>C127+E127+G127+I127+K127+M127+O127+Q127+S127+U127+W127+AA127+Y127</f>
        <v>4218764.89678689</v>
      </c>
      <c r="AD127" s="663">
        <f t="shared" ref="AD127" si="1544">IF(AC127=0,0,AC127/AC$4)</f>
        <v>26.201405463948245</v>
      </c>
      <c r="AE127" s="665"/>
      <c r="AF127" s="556"/>
      <c r="AG127" s="114"/>
      <c r="AH127" s="114"/>
      <c r="AI127" s="114"/>
      <c r="AJ127" s="114"/>
    </row>
    <row r="128" spans="1:36" s="68" customFormat="1" ht="15.75" hidden="1" outlineLevel="3">
      <c r="A128" s="117"/>
      <c r="B128" s="118" t="s">
        <v>799</v>
      </c>
      <c r="C128" s="663">
        <f>Калькулятор_жилье!K651</f>
        <v>2188761.9524884117</v>
      </c>
      <c r="D128" s="663">
        <f t="shared" si="782"/>
        <v>13.593703556434246</v>
      </c>
      <c r="E128" s="663"/>
      <c r="F128" s="663">
        <f t="shared" si="782"/>
        <v>0</v>
      </c>
      <c r="G128" s="663"/>
      <c r="H128" s="663">
        <f t="shared" ref="H128" si="1545">IF(G128=0,0,G128/G$4)</f>
        <v>0</v>
      </c>
      <c r="I128" s="663"/>
      <c r="J128" s="663">
        <f t="shared" ref="J128" si="1546">IF(I128=0,0,I128/I$4)</f>
        <v>0</v>
      </c>
      <c r="K128" s="663"/>
      <c r="L128" s="663">
        <f t="shared" ref="L128" si="1547">IF(K128=0,0,K128/K$4)</f>
        <v>0</v>
      </c>
      <c r="M128" s="663"/>
      <c r="N128" s="663">
        <f t="shared" ref="N128" si="1548">IF(M128=0,0,M128/M$4)</f>
        <v>0</v>
      </c>
      <c r="O128" s="663"/>
      <c r="P128" s="663">
        <f t="shared" ref="P128" si="1549">IF(O128=0,0,O128/O$4)</f>
        <v>0</v>
      </c>
      <c r="Q128" s="663"/>
      <c r="R128" s="663">
        <f t="shared" ref="R128" si="1550">IF(Q128=0,0,Q128/Q$4)</f>
        <v>0</v>
      </c>
      <c r="S128" s="663"/>
      <c r="T128" s="663">
        <f t="shared" ref="T128" si="1551">IF(S128=0,0,S128/S$4)</f>
        <v>0</v>
      </c>
      <c r="U128" s="663"/>
      <c r="V128" s="663">
        <f t="shared" ref="V128" si="1552">IF(U128=0,0,U128/U$4)</f>
        <v>0</v>
      </c>
      <c r="W128" s="663"/>
      <c r="X128" s="663">
        <f t="shared" ref="X128" si="1553">IF(W128=0,0,W128/W$4)</f>
        <v>0</v>
      </c>
      <c r="Y128" s="663"/>
      <c r="Z128" s="663">
        <f t="shared" ref="Z128" si="1554">IF(Y128=0,0,Y128/Y$4)</f>
        <v>0</v>
      </c>
      <c r="AA128" s="663"/>
      <c r="AB128" s="663">
        <f t="shared" ref="AB128" si="1555">IF(AA128=0,0,AA128/AA$4)</f>
        <v>0</v>
      </c>
      <c r="AC128" s="663">
        <f>C128+E128+G128+I128+K128+M128+O128+Q128+S128+U128+W128+AA128+Y128</f>
        <v>2188761.9524884117</v>
      </c>
      <c r="AD128" s="663">
        <f t="shared" ref="AD128" si="1556">IF(AC128=0,0,AC128/AC$4)</f>
        <v>13.593703556434246</v>
      </c>
      <c r="AE128" s="665"/>
      <c r="AF128" s="556"/>
      <c r="AG128" s="114"/>
      <c r="AH128" s="114"/>
      <c r="AI128" s="114"/>
      <c r="AJ128" s="114"/>
    </row>
    <row r="129" spans="1:36" s="68" customFormat="1" ht="15.75" hidden="1" outlineLevel="3">
      <c r="A129" s="117"/>
      <c r="B129" s="118" t="s">
        <v>795</v>
      </c>
      <c r="C129" s="663">
        <f>Калькулятор_жилье!K638</f>
        <v>100894.89152542371</v>
      </c>
      <c r="D129" s="663">
        <f t="shared" si="782"/>
        <v>0.62662604500955255</v>
      </c>
      <c r="E129" s="663"/>
      <c r="F129" s="663">
        <f t="shared" si="782"/>
        <v>0</v>
      </c>
      <c r="G129" s="663"/>
      <c r="H129" s="663">
        <f t="shared" ref="H129" si="1557">IF(G129=0,0,G129/G$4)</f>
        <v>0</v>
      </c>
      <c r="I129" s="663"/>
      <c r="J129" s="663">
        <f t="shared" ref="J129" si="1558">IF(I129=0,0,I129/I$4)</f>
        <v>0</v>
      </c>
      <c r="K129" s="663"/>
      <c r="L129" s="663">
        <f t="shared" ref="L129" si="1559">IF(K129=0,0,K129/K$4)</f>
        <v>0</v>
      </c>
      <c r="M129" s="663"/>
      <c r="N129" s="663">
        <f t="shared" ref="N129" si="1560">IF(M129=0,0,M129/M$4)</f>
        <v>0</v>
      </c>
      <c r="O129" s="663"/>
      <c r="P129" s="663">
        <f t="shared" ref="P129" si="1561">IF(O129=0,0,O129/O$4)</f>
        <v>0</v>
      </c>
      <c r="Q129" s="663"/>
      <c r="R129" s="663">
        <f t="shared" ref="R129" si="1562">IF(Q129=0,0,Q129/Q$4)</f>
        <v>0</v>
      </c>
      <c r="S129" s="663"/>
      <c r="T129" s="663">
        <f t="shared" ref="T129" si="1563">IF(S129=0,0,S129/S$4)</f>
        <v>0</v>
      </c>
      <c r="U129" s="663"/>
      <c r="V129" s="663">
        <f t="shared" ref="V129" si="1564">IF(U129=0,0,U129/U$4)</f>
        <v>0</v>
      </c>
      <c r="W129" s="663"/>
      <c r="X129" s="663">
        <f t="shared" ref="X129" si="1565">IF(W129=0,0,W129/W$4)</f>
        <v>0</v>
      </c>
      <c r="Y129" s="663"/>
      <c r="Z129" s="663">
        <f t="shared" ref="Z129" si="1566">IF(Y129=0,0,Y129/Y$4)</f>
        <v>0</v>
      </c>
      <c r="AA129" s="663"/>
      <c r="AB129" s="663">
        <f t="shared" ref="AB129" si="1567">IF(AA129=0,0,AA129/AA$4)</f>
        <v>0</v>
      </c>
      <c r="AC129" s="663">
        <f t="shared" ref="AC129:AC130" si="1568">C129+E129+G129+I129+K129+M129+O129+Q129+S129+U129+W129+AA129+Y129</f>
        <v>100894.89152542371</v>
      </c>
      <c r="AD129" s="663">
        <f t="shared" ref="AD129" si="1569">IF(AC129=0,0,AC129/AC$4)</f>
        <v>0.62662604500955255</v>
      </c>
      <c r="AE129" s="665"/>
      <c r="AF129" s="556"/>
      <c r="AG129" s="114"/>
      <c r="AH129" s="114"/>
      <c r="AI129" s="114"/>
      <c r="AJ129" s="114"/>
    </row>
    <row r="130" spans="1:36" s="68" customFormat="1" ht="15.75" hidden="1" outlineLevel="3">
      <c r="A130" s="117"/>
      <c r="B130" s="118" t="s">
        <v>798</v>
      </c>
      <c r="C130" s="663">
        <f>Калькулятор_жилье!K647</f>
        <v>16322423.580925336</v>
      </c>
      <c r="D130" s="663">
        <f t="shared" si="782"/>
        <v>101.37337558768886</v>
      </c>
      <c r="E130" s="663"/>
      <c r="F130" s="663">
        <f t="shared" si="782"/>
        <v>0</v>
      </c>
      <c r="G130" s="663"/>
      <c r="H130" s="663">
        <f t="shared" ref="H130" si="1570">IF(G130=0,0,G130/G$4)</f>
        <v>0</v>
      </c>
      <c r="I130" s="663"/>
      <c r="J130" s="663">
        <f t="shared" ref="J130" si="1571">IF(I130=0,0,I130/I$4)</f>
        <v>0</v>
      </c>
      <c r="K130" s="663"/>
      <c r="L130" s="663">
        <f t="shared" ref="L130" si="1572">IF(K130=0,0,K130/K$4)</f>
        <v>0</v>
      </c>
      <c r="M130" s="663"/>
      <c r="N130" s="663">
        <f t="shared" ref="N130" si="1573">IF(M130=0,0,M130/M$4)</f>
        <v>0</v>
      </c>
      <c r="O130" s="663"/>
      <c r="P130" s="663">
        <f t="shared" ref="P130" si="1574">IF(O130=0,0,O130/O$4)</f>
        <v>0</v>
      </c>
      <c r="Q130" s="663"/>
      <c r="R130" s="663">
        <f t="shared" ref="R130" si="1575">IF(Q130=0,0,Q130/Q$4)</f>
        <v>0</v>
      </c>
      <c r="S130" s="663"/>
      <c r="T130" s="663">
        <f t="shared" ref="T130" si="1576">IF(S130=0,0,S130/S$4)</f>
        <v>0</v>
      </c>
      <c r="U130" s="663"/>
      <c r="V130" s="663">
        <f t="shared" ref="V130" si="1577">IF(U130=0,0,U130/U$4)</f>
        <v>0</v>
      </c>
      <c r="W130" s="663"/>
      <c r="X130" s="663">
        <f t="shared" ref="X130" si="1578">IF(W130=0,0,W130/W$4)</f>
        <v>0</v>
      </c>
      <c r="Y130" s="663"/>
      <c r="Z130" s="663">
        <f t="shared" ref="Z130" si="1579">IF(Y130=0,0,Y130/Y$4)</f>
        <v>0</v>
      </c>
      <c r="AA130" s="663"/>
      <c r="AB130" s="663">
        <f t="shared" ref="AB130" si="1580">IF(AA130=0,0,AA130/AA$4)</f>
        <v>0</v>
      </c>
      <c r="AC130" s="663">
        <f t="shared" si="1568"/>
        <v>16322423.580925336</v>
      </c>
      <c r="AD130" s="663">
        <f t="shared" ref="AD130" si="1581">IF(AC130=0,0,AC130/AC$4)</f>
        <v>101.37337558768886</v>
      </c>
      <c r="AE130" s="665"/>
      <c r="AF130" s="556"/>
      <c r="AG130" s="114"/>
      <c r="AH130" s="114"/>
      <c r="AI130" s="114"/>
      <c r="AJ130" s="114"/>
    </row>
    <row r="131" spans="1:36" s="556" customFormat="1" ht="15.75" hidden="1" outlineLevel="2">
      <c r="A131" s="609" t="s">
        <v>1591</v>
      </c>
      <c r="B131" s="559" t="s">
        <v>1000</v>
      </c>
      <c r="C131" s="659"/>
      <c r="D131" s="660">
        <f t="shared" si="782"/>
        <v>0</v>
      </c>
      <c r="E131" s="659"/>
      <c r="F131" s="660">
        <f t="shared" si="782"/>
        <v>0</v>
      </c>
      <c r="G131" s="659"/>
      <c r="H131" s="660">
        <f t="shared" ref="H131" si="1582">IF(G131=0,0,G131/G$4)</f>
        <v>0</v>
      </c>
      <c r="I131" s="659"/>
      <c r="J131" s="660">
        <f t="shared" ref="J131" si="1583">IF(I131=0,0,I131/I$4)</f>
        <v>0</v>
      </c>
      <c r="K131" s="659"/>
      <c r="L131" s="660">
        <f t="shared" ref="L131" si="1584">IF(K131=0,0,K131/K$4)</f>
        <v>0</v>
      </c>
      <c r="M131" s="659"/>
      <c r="N131" s="660">
        <f t="shared" ref="N131" si="1585">IF(M131=0,0,M131/M$4)</f>
        <v>0</v>
      </c>
      <c r="O131" s="659"/>
      <c r="P131" s="660">
        <f t="shared" ref="P131" si="1586">IF(O131=0,0,O131/O$4)</f>
        <v>0</v>
      </c>
      <c r="Q131" s="659"/>
      <c r="R131" s="660">
        <f t="shared" ref="R131" si="1587">IF(Q131=0,0,Q131/Q$4)</f>
        <v>0</v>
      </c>
      <c r="S131" s="659"/>
      <c r="T131" s="660">
        <f t="shared" ref="T131" si="1588">IF(S131=0,0,S131/S$4)</f>
        <v>0</v>
      </c>
      <c r="U131" s="659"/>
      <c r="V131" s="660">
        <f t="shared" ref="V131" si="1589">IF(U131=0,0,U131/U$4)</f>
        <v>0</v>
      </c>
      <c r="W131" s="659"/>
      <c r="X131" s="660">
        <f t="shared" ref="X131" si="1590">IF(W131=0,0,W131/W$4)</f>
        <v>0</v>
      </c>
      <c r="Y131" s="659"/>
      <c r="Z131" s="660">
        <f t="shared" ref="Z131" si="1591">IF(Y131=0,0,Y131/Y$4)</f>
        <v>0</v>
      </c>
      <c r="AA131" s="659"/>
      <c r="AB131" s="660">
        <f t="shared" ref="AB131" si="1592">IF(AA131=0,0,AA131/AA$4)</f>
        <v>0</v>
      </c>
      <c r="AC131" s="659"/>
      <c r="AD131" s="660">
        <f t="shared" ref="AD131" si="1593">IF(AC131=0,0,AC131/AC$4)</f>
        <v>0</v>
      </c>
      <c r="AE131" s="654"/>
    </row>
    <row r="132" spans="1:36" s="556" customFormat="1" ht="15.75" hidden="1" outlineLevel="2">
      <c r="A132" s="609" t="s">
        <v>1590</v>
      </c>
      <c r="B132" s="559" t="s">
        <v>1001</v>
      </c>
      <c r="C132" s="659"/>
      <c r="D132" s="660">
        <f t="shared" si="782"/>
        <v>0</v>
      </c>
      <c r="E132" s="659"/>
      <c r="F132" s="660">
        <f t="shared" si="782"/>
        <v>0</v>
      </c>
      <c r="G132" s="659"/>
      <c r="H132" s="660">
        <f t="shared" ref="H132" si="1594">IF(G132=0,0,G132/G$4)</f>
        <v>0</v>
      </c>
      <c r="I132" s="659"/>
      <c r="J132" s="660">
        <f t="shared" ref="J132" si="1595">IF(I132=0,0,I132/I$4)</f>
        <v>0</v>
      </c>
      <c r="K132" s="659"/>
      <c r="L132" s="660">
        <f t="shared" ref="L132" si="1596">IF(K132=0,0,K132/K$4)</f>
        <v>0</v>
      </c>
      <c r="M132" s="659"/>
      <c r="N132" s="660">
        <f t="shared" ref="N132" si="1597">IF(M132=0,0,M132/M$4)</f>
        <v>0</v>
      </c>
      <c r="O132" s="659"/>
      <c r="P132" s="660">
        <f t="shared" ref="P132" si="1598">IF(O132=0,0,O132/O$4)</f>
        <v>0</v>
      </c>
      <c r="Q132" s="659"/>
      <c r="R132" s="660">
        <f t="shared" ref="R132" si="1599">IF(Q132=0,0,Q132/Q$4)</f>
        <v>0</v>
      </c>
      <c r="S132" s="659"/>
      <c r="T132" s="660">
        <f t="shared" ref="T132" si="1600">IF(S132=0,0,S132/S$4)</f>
        <v>0</v>
      </c>
      <c r="U132" s="659"/>
      <c r="V132" s="660">
        <f t="shared" ref="V132" si="1601">IF(U132=0,0,U132/U$4)</f>
        <v>0</v>
      </c>
      <c r="W132" s="659"/>
      <c r="X132" s="660">
        <f t="shared" ref="X132" si="1602">IF(W132=0,0,W132/W$4)</f>
        <v>0</v>
      </c>
      <c r="Y132" s="659"/>
      <c r="Z132" s="660">
        <f t="shared" ref="Z132" si="1603">IF(Y132=0,0,Y132/Y$4)</f>
        <v>0</v>
      </c>
      <c r="AA132" s="659"/>
      <c r="AB132" s="660">
        <f t="shared" ref="AB132" si="1604">IF(AA132=0,0,AA132/AA$4)</f>
        <v>0</v>
      </c>
      <c r="AC132" s="659"/>
      <c r="AD132" s="660">
        <f t="shared" ref="AD132" si="1605">IF(AC132=0,0,AC132/AC$4)</f>
        <v>0</v>
      </c>
      <c r="AE132" s="654"/>
    </row>
    <row r="133" spans="1:36" s="556" customFormat="1" ht="15.75" hidden="1" outlineLevel="2">
      <c r="A133" s="609" t="s">
        <v>1589</v>
      </c>
      <c r="B133" s="559" t="s">
        <v>1002</v>
      </c>
      <c r="C133" s="659">
        <f>C134+C135+C136+C137</f>
        <v>65816163.40758127</v>
      </c>
      <c r="D133" s="660">
        <f t="shared" si="782"/>
        <v>408.76323419608229</v>
      </c>
      <c r="E133" s="659">
        <f t="shared" ref="E133" si="1606">E134+E135+E136+E137</f>
        <v>0</v>
      </c>
      <c r="F133" s="660">
        <f t="shared" si="782"/>
        <v>0</v>
      </c>
      <c r="G133" s="659">
        <f t="shared" ref="G133" si="1607">G134+G135+G136+G137</f>
        <v>0</v>
      </c>
      <c r="H133" s="660">
        <f t="shared" ref="H133" si="1608">IF(G133=0,0,G133/G$4)</f>
        <v>0</v>
      </c>
      <c r="I133" s="659">
        <f t="shared" ref="I133" si="1609">I134+I135+I136+I137</f>
        <v>0</v>
      </c>
      <c r="J133" s="660">
        <f t="shared" ref="J133" si="1610">IF(I133=0,0,I133/I$4)</f>
        <v>0</v>
      </c>
      <c r="K133" s="659">
        <f t="shared" ref="K133" si="1611">K134+K135+K136+K137</f>
        <v>0</v>
      </c>
      <c r="L133" s="660">
        <f t="shared" ref="L133" si="1612">IF(K133=0,0,K133/K$4)</f>
        <v>0</v>
      </c>
      <c r="M133" s="659">
        <f t="shared" ref="M133" si="1613">M134+M135+M136+M137</f>
        <v>0</v>
      </c>
      <c r="N133" s="660">
        <f t="shared" ref="N133" si="1614">IF(M133=0,0,M133/M$4)</f>
        <v>0</v>
      </c>
      <c r="O133" s="659">
        <f t="shared" ref="O133" si="1615">O134+O135+O136+O137</f>
        <v>0</v>
      </c>
      <c r="P133" s="660">
        <f t="shared" ref="P133" si="1616">IF(O133=0,0,O133/O$4)</f>
        <v>0</v>
      </c>
      <c r="Q133" s="659">
        <f t="shared" ref="Q133" si="1617">Q134+Q135+Q136+Q137</f>
        <v>0</v>
      </c>
      <c r="R133" s="660">
        <f t="shared" ref="R133" si="1618">IF(Q133=0,0,Q133/Q$4)</f>
        <v>0</v>
      </c>
      <c r="S133" s="659">
        <f t="shared" ref="S133" si="1619">S134+S135+S136+S137</f>
        <v>0</v>
      </c>
      <c r="T133" s="660">
        <f t="shared" ref="T133" si="1620">IF(S133=0,0,S133/S$4)</f>
        <v>0</v>
      </c>
      <c r="U133" s="659">
        <f t="shared" ref="U133" si="1621">U134+U135+U136+U137</f>
        <v>0</v>
      </c>
      <c r="V133" s="660">
        <f t="shared" ref="V133" si="1622">IF(U133=0,0,U133/U$4)</f>
        <v>0</v>
      </c>
      <c r="W133" s="659">
        <f t="shared" ref="W133" si="1623">W134+W135+W136+W137</f>
        <v>0</v>
      </c>
      <c r="X133" s="660">
        <f t="shared" ref="X133" si="1624">IF(W133=0,0,W133/W$4)</f>
        <v>0</v>
      </c>
      <c r="Y133" s="659">
        <f t="shared" ref="Y133" si="1625">Y134+Y135+Y136+Y137</f>
        <v>0</v>
      </c>
      <c r="Z133" s="660">
        <f t="shared" ref="Z133" si="1626">IF(Y133=0,0,Y133/Y$4)</f>
        <v>0</v>
      </c>
      <c r="AA133" s="659">
        <f t="shared" ref="AA133" si="1627">AA134+AA135+AA136+AA137</f>
        <v>0</v>
      </c>
      <c r="AB133" s="660">
        <f t="shared" ref="AB133" si="1628">IF(AA133=0,0,AA133/AA$4)</f>
        <v>0</v>
      </c>
      <c r="AC133" s="659">
        <f t="shared" ref="AC133" si="1629">AC134+AC135+AC136+AC137</f>
        <v>65816163.40758127</v>
      </c>
      <c r="AD133" s="660">
        <f t="shared" ref="AD133" si="1630">IF(AC133=0,0,AC133/AC$4)</f>
        <v>408.76323419608229</v>
      </c>
      <c r="AE133" s="654"/>
    </row>
    <row r="134" spans="1:36" s="556" customFormat="1" ht="15.75" hidden="1" outlineLevel="3">
      <c r="A134" s="612" t="s">
        <v>1588</v>
      </c>
      <c r="B134" s="560" t="s">
        <v>1004</v>
      </c>
      <c r="C134" s="661"/>
      <c r="D134" s="662">
        <f t="shared" ref="D134:F197" si="1631">IF(C134=0,0,C134/C$4)</f>
        <v>0</v>
      </c>
      <c r="E134" s="661"/>
      <c r="F134" s="662">
        <f t="shared" si="1631"/>
        <v>0</v>
      </c>
      <c r="G134" s="661"/>
      <c r="H134" s="662">
        <f t="shared" ref="H134" si="1632">IF(G134=0,0,G134/G$4)</f>
        <v>0</v>
      </c>
      <c r="I134" s="661"/>
      <c r="J134" s="662">
        <f t="shared" ref="J134" si="1633">IF(I134=0,0,I134/I$4)</f>
        <v>0</v>
      </c>
      <c r="K134" s="661"/>
      <c r="L134" s="662">
        <f t="shared" ref="L134" si="1634">IF(K134=0,0,K134/K$4)</f>
        <v>0</v>
      </c>
      <c r="M134" s="661"/>
      <c r="N134" s="662">
        <f t="shared" ref="N134" si="1635">IF(M134=0,0,M134/M$4)</f>
        <v>0</v>
      </c>
      <c r="O134" s="661"/>
      <c r="P134" s="662">
        <f t="shared" ref="P134" si="1636">IF(O134=0,0,O134/O$4)</f>
        <v>0</v>
      </c>
      <c r="Q134" s="661"/>
      <c r="R134" s="662">
        <f t="shared" ref="R134" si="1637">IF(Q134=0,0,Q134/Q$4)</f>
        <v>0</v>
      </c>
      <c r="S134" s="661"/>
      <c r="T134" s="662">
        <f t="shared" ref="T134" si="1638">IF(S134=0,0,S134/S$4)</f>
        <v>0</v>
      </c>
      <c r="U134" s="661"/>
      <c r="V134" s="662">
        <f t="shared" ref="V134" si="1639">IF(U134=0,0,U134/U$4)</f>
        <v>0</v>
      </c>
      <c r="W134" s="661"/>
      <c r="X134" s="662">
        <f t="shared" ref="X134" si="1640">IF(W134=0,0,W134/W$4)</f>
        <v>0</v>
      </c>
      <c r="Y134" s="661"/>
      <c r="Z134" s="662">
        <f t="shared" ref="Z134" si="1641">IF(Y134=0,0,Y134/Y$4)</f>
        <v>0</v>
      </c>
      <c r="AA134" s="661"/>
      <c r="AB134" s="662">
        <f t="shared" ref="AB134" si="1642">IF(AA134=0,0,AA134/AA$4)</f>
        <v>0</v>
      </c>
      <c r="AC134" s="661"/>
      <c r="AD134" s="662">
        <f t="shared" ref="AD134" si="1643">IF(AC134=0,0,AC134/AC$4)</f>
        <v>0</v>
      </c>
      <c r="AE134" s="654"/>
    </row>
    <row r="135" spans="1:36" s="556" customFormat="1" ht="15.75" hidden="1" outlineLevel="3">
      <c r="A135" s="612" t="s">
        <v>1587</v>
      </c>
      <c r="B135" s="560" t="s">
        <v>1005</v>
      </c>
      <c r="C135" s="661"/>
      <c r="D135" s="662">
        <f t="shared" si="1631"/>
        <v>0</v>
      </c>
      <c r="E135" s="661"/>
      <c r="F135" s="662">
        <f t="shared" si="1631"/>
        <v>0</v>
      </c>
      <c r="G135" s="661"/>
      <c r="H135" s="662">
        <f t="shared" ref="H135" si="1644">IF(G135=0,0,G135/G$4)</f>
        <v>0</v>
      </c>
      <c r="I135" s="661"/>
      <c r="J135" s="662">
        <f t="shared" ref="J135" si="1645">IF(I135=0,0,I135/I$4)</f>
        <v>0</v>
      </c>
      <c r="K135" s="661"/>
      <c r="L135" s="662">
        <f t="shared" ref="L135" si="1646">IF(K135=0,0,K135/K$4)</f>
        <v>0</v>
      </c>
      <c r="M135" s="661"/>
      <c r="N135" s="662">
        <f t="shared" ref="N135" si="1647">IF(M135=0,0,M135/M$4)</f>
        <v>0</v>
      </c>
      <c r="O135" s="661"/>
      <c r="P135" s="662">
        <f t="shared" ref="P135" si="1648">IF(O135=0,0,O135/O$4)</f>
        <v>0</v>
      </c>
      <c r="Q135" s="661"/>
      <c r="R135" s="662">
        <f t="shared" ref="R135" si="1649">IF(Q135=0,0,Q135/Q$4)</f>
        <v>0</v>
      </c>
      <c r="S135" s="661"/>
      <c r="T135" s="662">
        <f t="shared" ref="T135" si="1650">IF(S135=0,0,S135/S$4)</f>
        <v>0</v>
      </c>
      <c r="U135" s="661"/>
      <c r="V135" s="662">
        <f t="shared" ref="V135" si="1651">IF(U135=0,0,U135/U$4)</f>
        <v>0</v>
      </c>
      <c r="W135" s="661"/>
      <c r="X135" s="662">
        <f t="shared" ref="X135" si="1652">IF(W135=0,0,W135/W$4)</f>
        <v>0</v>
      </c>
      <c r="Y135" s="661"/>
      <c r="Z135" s="662">
        <f t="shared" ref="Z135" si="1653">IF(Y135=0,0,Y135/Y$4)</f>
        <v>0</v>
      </c>
      <c r="AA135" s="661"/>
      <c r="AB135" s="662">
        <f t="shared" ref="AB135" si="1654">IF(AA135=0,0,AA135/AA$4)</f>
        <v>0</v>
      </c>
      <c r="AC135" s="661"/>
      <c r="AD135" s="662">
        <f t="shared" ref="AD135" si="1655">IF(AC135=0,0,AC135/AC$4)</f>
        <v>0</v>
      </c>
      <c r="AE135" s="654"/>
    </row>
    <row r="136" spans="1:36" s="556" customFormat="1" ht="31.5" hidden="1" outlineLevel="3">
      <c r="A136" s="612" t="s">
        <v>1586</v>
      </c>
      <c r="B136" s="560" t="s">
        <v>1006</v>
      </c>
      <c r="C136" s="661"/>
      <c r="D136" s="662">
        <f t="shared" si="1631"/>
        <v>0</v>
      </c>
      <c r="E136" s="661"/>
      <c r="F136" s="662">
        <f t="shared" si="1631"/>
        <v>0</v>
      </c>
      <c r="G136" s="661"/>
      <c r="H136" s="662">
        <f t="shared" ref="H136" si="1656">IF(G136=0,0,G136/G$4)</f>
        <v>0</v>
      </c>
      <c r="I136" s="661"/>
      <c r="J136" s="662">
        <f t="shared" ref="J136" si="1657">IF(I136=0,0,I136/I$4)</f>
        <v>0</v>
      </c>
      <c r="K136" s="661"/>
      <c r="L136" s="662">
        <f t="shared" ref="L136" si="1658">IF(K136=0,0,K136/K$4)</f>
        <v>0</v>
      </c>
      <c r="M136" s="661"/>
      <c r="N136" s="662">
        <f t="shared" ref="N136" si="1659">IF(M136=0,0,M136/M$4)</f>
        <v>0</v>
      </c>
      <c r="O136" s="661"/>
      <c r="P136" s="662">
        <f t="shared" ref="P136" si="1660">IF(O136=0,0,O136/O$4)</f>
        <v>0</v>
      </c>
      <c r="Q136" s="661"/>
      <c r="R136" s="662">
        <f t="shared" ref="R136" si="1661">IF(Q136=0,0,Q136/Q$4)</f>
        <v>0</v>
      </c>
      <c r="S136" s="661"/>
      <c r="T136" s="662">
        <f t="shared" ref="T136" si="1662">IF(S136=0,0,S136/S$4)</f>
        <v>0</v>
      </c>
      <c r="U136" s="661"/>
      <c r="V136" s="662">
        <f t="shared" ref="V136" si="1663">IF(U136=0,0,U136/U$4)</f>
        <v>0</v>
      </c>
      <c r="W136" s="661"/>
      <c r="X136" s="662">
        <f t="shared" ref="X136" si="1664">IF(W136=0,0,W136/W$4)</f>
        <v>0</v>
      </c>
      <c r="Y136" s="661"/>
      <c r="Z136" s="662">
        <f t="shared" ref="Z136" si="1665">IF(Y136=0,0,Y136/Y$4)</f>
        <v>0</v>
      </c>
      <c r="AA136" s="661"/>
      <c r="AB136" s="662">
        <f t="shared" ref="AB136" si="1666">IF(AA136=0,0,AA136/AA$4)</f>
        <v>0</v>
      </c>
      <c r="AC136" s="661"/>
      <c r="AD136" s="662">
        <f t="shared" ref="AD136" si="1667">IF(AC136=0,0,AC136/AC$4)</f>
        <v>0</v>
      </c>
      <c r="AE136" s="654"/>
    </row>
    <row r="137" spans="1:36" s="556" customFormat="1" ht="15.75" hidden="1" outlineLevel="3">
      <c r="A137" s="612" t="s">
        <v>1585</v>
      </c>
      <c r="B137" s="560" t="s">
        <v>1007</v>
      </c>
      <c r="C137" s="661">
        <f>C138+C139</f>
        <v>65816163.40758127</v>
      </c>
      <c r="D137" s="662">
        <f t="shared" si="1631"/>
        <v>408.76323419608229</v>
      </c>
      <c r="E137" s="661">
        <f t="shared" ref="E137" si="1668">E138+E139</f>
        <v>0</v>
      </c>
      <c r="F137" s="662">
        <f t="shared" si="1631"/>
        <v>0</v>
      </c>
      <c r="G137" s="661">
        <f t="shared" ref="G137" si="1669">G138+G139</f>
        <v>0</v>
      </c>
      <c r="H137" s="662">
        <f t="shared" ref="H137" si="1670">IF(G137=0,0,G137/G$4)</f>
        <v>0</v>
      </c>
      <c r="I137" s="661">
        <f t="shared" ref="I137" si="1671">I138+I139</f>
        <v>0</v>
      </c>
      <c r="J137" s="662">
        <f t="shared" ref="J137" si="1672">IF(I137=0,0,I137/I$4)</f>
        <v>0</v>
      </c>
      <c r="K137" s="661">
        <f t="shared" ref="K137" si="1673">K138+K139</f>
        <v>0</v>
      </c>
      <c r="L137" s="662">
        <f t="shared" ref="L137" si="1674">IF(K137=0,0,K137/K$4)</f>
        <v>0</v>
      </c>
      <c r="M137" s="661">
        <f t="shared" ref="M137" si="1675">M138+M139</f>
        <v>0</v>
      </c>
      <c r="N137" s="662">
        <f t="shared" ref="N137" si="1676">IF(M137=0,0,M137/M$4)</f>
        <v>0</v>
      </c>
      <c r="O137" s="661">
        <f t="shared" ref="O137" si="1677">O138+O139</f>
        <v>0</v>
      </c>
      <c r="P137" s="662">
        <f t="shared" ref="P137" si="1678">IF(O137=0,0,O137/O$4)</f>
        <v>0</v>
      </c>
      <c r="Q137" s="661">
        <f t="shared" ref="Q137" si="1679">Q138+Q139</f>
        <v>0</v>
      </c>
      <c r="R137" s="662">
        <f t="shared" ref="R137" si="1680">IF(Q137=0,0,Q137/Q$4)</f>
        <v>0</v>
      </c>
      <c r="S137" s="661">
        <f t="shared" ref="S137" si="1681">S138+S139</f>
        <v>0</v>
      </c>
      <c r="T137" s="662">
        <f t="shared" ref="T137" si="1682">IF(S137=0,0,S137/S$4)</f>
        <v>0</v>
      </c>
      <c r="U137" s="661">
        <f t="shared" ref="U137" si="1683">U138+U139</f>
        <v>0</v>
      </c>
      <c r="V137" s="662">
        <f t="shared" ref="V137" si="1684">IF(U137=0,0,U137/U$4)</f>
        <v>0</v>
      </c>
      <c r="W137" s="661">
        <f t="shared" ref="W137" si="1685">W138+W139</f>
        <v>0</v>
      </c>
      <c r="X137" s="662">
        <f t="shared" ref="X137" si="1686">IF(W137=0,0,W137/W$4)</f>
        <v>0</v>
      </c>
      <c r="Y137" s="661">
        <f t="shared" ref="Y137" si="1687">Y138+Y139</f>
        <v>0</v>
      </c>
      <c r="Z137" s="662">
        <f t="shared" ref="Z137" si="1688">IF(Y137=0,0,Y137/Y$4)</f>
        <v>0</v>
      </c>
      <c r="AA137" s="661">
        <f t="shared" ref="AA137" si="1689">AA138+AA139</f>
        <v>0</v>
      </c>
      <c r="AB137" s="662">
        <f t="shared" ref="AB137" si="1690">IF(AA137=0,0,AA137/AA$4)</f>
        <v>0</v>
      </c>
      <c r="AC137" s="661">
        <f t="shared" ref="AC137" si="1691">AC138+AC139</f>
        <v>65816163.40758127</v>
      </c>
      <c r="AD137" s="662">
        <f t="shared" ref="AD137" si="1692">IF(AC137=0,0,AC137/AC$4)</f>
        <v>408.76323419608229</v>
      </c>
      <c r="AE137" s="654"/>
    </row>
    <row r="138" spans="1:36" s="68" customFormat="1" hidden="1" outlineLevel="4">
      <c r="A138" s="117"/>
      <c r="B138" s="118" t="s">
        <v>784</v>
      </c>
      <c r="C138" s="663">
        <f>Калькулятор_жилье!K620</f>
        <v>65454753.642054148</v>
      </c>
      <c r="D138" s="663">
        <f t="shared" si="1631"/>
        <v>406.51863321999593</v>
      </c>
      <c r="E138" s="663"/>
      <c r="F138" s="663">
        <f t="shared" si="1631"/>
        <v>0</v>
      </c>
      <c r="G138" s="663"/>
      <c r="H138" s="663">
        <f t="shared" ref="H138" si="1693">IF(G138=0,0,G138/G$4)</f>
        <v>0</v>
      </c>
      <c r="I138" s="663"/>
      <c r="J138" s="663">
        <f t="shared" ref="J138" si="1694">IF(I138=0,0,I138/I$4)</f>
        <v>0</v>
      </c>
      <c r="K138" s="663"/>
      <c r="L138" s="663">
        <f t="shared" ref="L138" si="1695">IF(K138=0,0,K138/K$4)</f>
        <v>0</v>
      </c>
      <c r="M138" s="663"/>
      <c r="N138" s="663">
        <f t="shared" ref="N138" si="1696">IF(M138=0,0,M138/M$4)</f>
        <v>0</v>
      </c>
      <c r="O138" s="663"/>
      <c r="P138" s="663">
        <f t="shared" ref="P138" si="1697">IF(O138=0,0,O138/O$4)</f>
        <v>0</v>
      </c>
      <c r="Q138" s="663"/>
      <c r="R138" s="663">
        <f t="shared" ref="R138" si="1698">IF(Q138=0,0,Q138/Q$4)</f>
        <v>0</v>
      </c>
      <c r="S138" s="663"/>
      <c r="T138" s="663">
        <f t="shared" ref="T138" si="1699">IF(S138=0,0,S138/S$4)</f>
        <v>0</v>
      </c>
      <c r="U138" s="663"/>
      <c r="V138" s="663">
        <f t="shared" ref="V138" si="1700">IF(U138=0,0,U138/U$4)</f>
        <v>0</v>
      </c>
      <c r="W138" s="663"/>
      <c r="X138" s="663">
        <f t="shared" ref="X138" si="1701">IF(W138=0,0,W138/W$4)</f>
        <v>0</v>
      </c>
      <c r="Y138" s="663"/>
      <c r="Z138" s="663">
        <f t="shared" ref="Z138" si="1702">IF(Y138=0,0,Y138/Y$4)</f>
        <v>0</v>
      </c>
      <c r="AA138" s="663"/>
      <c r="AB138" s="663">
        <f t="shared" ref="AB138" si="1703">IF(AA138=0,0,AA138/AA$4)</f>
        <v>0</v>
      </c>
      <c r="AC138" s="663">
        <f t="shared" ref="AC138" si="1704">C138+E138+G138+I138+K138+M138+O138+Q138+S138+U138+W138+AA138+Y138</f>
        <v>65454753.642054148</v>
      </c>
      <c r="AD138" s="663">
        <f t="shared" ref="AD138" si="1705">IF(AC138=0,0,AC138/AC$4)</f>
        <v>406.51863321999593</v>
      </c>
      <c r="AE138" s="665"/>
      <c r="AF138" s="114"/>
      <c r="AG138" s="114"/>
      <c r="AH138" s="114"/>
      <c r="AI138" s="114"/>
      <c r="AJ138" s="114"/>
    </row>
    <row r="139" spans="1:36" s="68" customFormat="1" hidden="1" outlineLevel="4">
      <c r="A139" s="117"/>
      <c r="B139" s="118" t="s">
        <v>786</v>
      </c>
      <c r="C139" s="663">
        <f>Калькулятор_жилье!K623</f>
        <v>361409.76552711852</v>
      </c>
      <c r="D139" s="663">
        <f t="shared" si="1631"/>
        <v>2.2446009760863062</v>
      </c>
      <c r="E139" s="663"/>
      <c r="F139" s="663">
        <f t="shared" si="1631"/>
        <v>0</v>
      </c>
      <c r="G139" s="663"/>
      <c r="H139" s="663">
        <f t="shared" ref="H139" si="1706">IF(G139=0,0,G139/G$4)</f>
        <v>0</v>
      </c>
      <c r="I139" s="663"/>
      <c r="J139" s="663">
        <f t="shared" ref="J139" si="1707">IF(I139=0,0,I139/I$4)</f>
        <v>0</v>
      </c>
      <c r="K139" s="663"/>
      <c r="L139" s="663">
        <f t="shared" ref="L139" si="1708">IF(K139=0,0,K139/K$4)</f>
        <v>0</v>
      </c>
      <c r="M139" s="663"/>
      <c r="N139" s="663">
        <f t="shared" ref="N139" si="1709">IF(M139=0,0,M139/M$4)</f>
        <v>0</v>
      </c>
      <c r="O139" s="663"/>
      <c r="P139" s="663">
        <f t="shared" ref="P139" si="1710">IF(O139=0,0,O139/O$4)</f>
        <v>0</v>
      </c>
      <c r="Q139" s="663"/>
      <c r="R139" s="663">
        <f t="shared" ref="R139" si="1711">IF(Q139=0,0,Q139/Q$4)</f>
        <v>0</v>
      </c>
      <c r="S139" s="663"/>
      <c r="T139" s="663">
        <f t="shared" ref="T139" si="1712">IF(S139=0,0,S139/S$4)</f>
        <v>0</v>
      </c>
      <c r="U139" s="663"/>
      <c r="V139" s="663">
        <f t="shared" ref="V139" si="1713">IF(U139=0,0,U139/U$4)</f>
        <v>0</v>
      </c>
      <c r="W139" s="663"/>
      <c r="X139" s="663">
        <f t="shared" ref="X139" si="1714">IF(W139=0,0,W139/W$4)</f>
        <v>0</v>
      </c>
      <c r="Y139" s="663"/>
      <c r="Z139" s="663">
        <f t="shared" ref="Z139" si="1715">IF(Y139=0,0,Y139/Y$4)</f>
        <v>0</v>
      </c>
      <c r="AA139" s="663"/>
      <c r="AB139" s="663">
        <f t="shared" ref="AB139" si="1716">IF(AA139=0,0,AA139/AA$4)</f>
        <v>0</v>
      </c>
      <c r="AC139" s="663">
        <f>C139+E139+G139+I139+K139+M139+O139+Q139+S139+U139+W139+AA139+Y139</f>
        <v>361409.76552711852</v>
      </c>
      <c r="AD139" s="663">
        <f t="shared" ref="AD139" si="1717">IF(AC139=0,0,AC139/AC$4)</f>
        <v>2.2446009760863062</v>
      </c>
      <c r="AE139" s="665"/>
      <c r="AF139" s="114"/>
      <c r="AG139" s="114"/>
      <c r="AH139" s="114"/>
      <c r="AI139" s="114"/>
      <c r="AJ139" s="114"/>
    </row>
    <row r="140" spans="1:36" s="556" customFormat="1" ht="15.75" hidden="1" outlineLevel="2">
      <c r="A140" s="609" t="s">
        <v>1584</v>
      </c>
      <c r="B140" s="559" t="s">
        <v>1008</v>
      </c>
      <c r="C140" s="659"/>
      <c r="D140" s="660">
        <f t="shared" si="1631"/>
        <v>0</v>
      </c>
      <c r="E140" s="659"/>
      <c r="F140" s="660">
        <f t="shared" si="1631"/>
        <v>0</v>
      </c>
      <c r="G140" s="659"/>
      <c r="H140" s="660">
        <f t="shared" ref="H140" si="1718">IF(G140=0,0,G140/G$4)</f>
        <v>0</v>
      </c>
      <c r="I140" s="659"/>
      <c r="J140" s="660">
        <f t="shared" ref="J140" si="1719">IF(I140=0,0,I140/I$4)</f>
        <v>0</v>
      </c>
      <c r="K140" s="659"/>
      <c r="L140" s="660">
        <f t="shared" ref="L140" si="1720">IF(K140=0,0,K140/K$4)</f>
        <v>0</v>
      </c>
      <c r="M140" s="659"/>
      <c r="N140" s="660">
        <f t="shared" ref="N140" si="1721">IF(M140=0,0,M140/M$4)</f>
        <v>0</v>
      </c>
      <c r="O140" s="659"/>
      <c r="P140" s="660">
        <f t="shared" ref="P140" si="1722">IF(O140=0,0,O140/O$4)</f>
        <v>0</v>
      </c>
      <c r="Q140" s="659"/>
      <c r="R140" s="660">
        <f t="shared" ref="R140" si="1723">IF(Q140=0,0,Q140/Q$4)</f>
        <v>0</v>
      </c>
      <c r="S140" s="659"/>
      <c r="T140" s="660">
        <f t="shared" ref="T140" si="1724">IF(S140=0,0,S140/S$4)</f>
        <v>0</v>
      </c>
      <c r="U140" s="659"/>
      <c r="V140" s="660">
        <f t="shared" ref="V140" si="1725">IF(U140=0,0,U140/U$4)</f>
        <v>0</v>
      </c>
      <c r="W140" s="659"/>
      <c r="X140" s="660">
        <f t="shared" ref="X140" si="1726">IF(W140=0,0,W140/W$4)</f>
        <v>0</v>
      </c>
      <c r="Y140" s="659"/>
      <c r="Z140" s="660">
        <f t="shared" ref="Z140" si="1727">IF(Y140=0,0,Y140/Y$4)</f>
        <v>0</v>
      </c>
      <c r="AA140" s="659"/>
      <c r="AB140" s="660">
        <f t="shared" ref="AB140" si="1728">IF(AA140=0,0,AA140/AA$4)</f>
        <v>0</v>
      </c>
      <c r="AC140" s="659"/>
      <c r="AD140" s="660">
        <f t="shared" ref="AD140" si="1729">IF(AC140=0,0,AC140/AC$4)</f>
        <v>0</v>
      </c>
      <c r="AE140" s="654"/>
    </row>
    <row r="141" spans="1:36" s="556" customFormat="1" ht="15.75" hidden="1" outlineLevel="2">
      <c r="A141" s="609" t="s">
        <v>1583</v>
      </c>
      <c r="B141" s="559" t="s">
        <v>1009</v>
      </c>
      <c r="C141" s="659">
        <f>Калькулятор_жилье!K634</f>
        <v>16893778.047443297</v>
      </c>
      <c r="D141" s="660">
        <f t="shared" si="1631"/>
        <v>104.9218762524869</v>
      </c>
      <c r="E141" s="659"/>
      <c r="F141" s="660">
        <f t="shared" si="1631"/>
        <v>0</v>
      </c>
      <c r="G141" s="659"/>
      <c r="H141" s="660">
        <f t="shared" ref="H141" si="1730">IF(G141=0,0,G141/G$4)</f>
        <v>0</v>
      </c>
      <c r="I141" s="659"/>
      <c r="J141" s="660">
        <f t="shared" ref="J141" si="1731">IF(I141=0,0,I141/I$4)</f>
        <v>0</v>
      </c>
      <c r="K141" s="659"/>
      <c r="L141" s="660">
        <f t="shared" ref="L141" si="1732">IF(K141=0,0,K141/K$4)</f>
        <v>0</v>
      </c>
      <c r="M141" s="659"/>
      <c r="N141" s="660">
        <f t="shared" ref="N141" si="1733">IF(M141=0,0,M141/M$4)</f>
        <v>0</v>
      </c>
      <c r="O141" s="659"/>
      <c r="P141" s="660">
        <f t="shared" ref="P141" si="1734">IF(O141=0,0,O141/O$4)</f>
        <v>0</v>
      </c>
      <c r="Q141" s="659"/>
      <c r="R141" s="660">
        <f t="shared" ref="R141" si="1735">IF(Q141=0,0,Q141/Q$4)</f>
        <v>0</v>
      </c>
      <c r="S141" s="659"/>
      <c r="T141" s="660">
        <f t="shared" ref="T141" si="1736">IF(S141=0,0,S141/S$4)</f>
        <v>0</v>
      </c>
      <c r="U141" s="659"/>
      <c r="V141" s="660">
        <f t="shared" ref="V141" si="1737">IF(U141=0,0,U141/U$4)</f>
        <v>0</v>
      </c>
      <c r="W141" s="659"/>
      <c r="X141" s="660">
        <f t="shared" ref="X141" si="1738">IF(W141=0,0,W141/W$4)</f>
        <v>0</v>
      </c>
      <c r="Y141" s="659"/>
      <c r="Z141" s="660">
        <f t="shared" ref="Z141" si="1739">IF(Y141=0,0,Y141/Y$4)</f>
        <v>0</v>
      </c>
      <c r="AA141" s="659"/>
      <c r="AB141" s="660">
        <f t="shared" ref="AB141" si="1740">IF(AA141=0,0,AA141/AA$4)</f>
        <v>0</v>
      </c>
      <c r="AC141" s="659">
        <f>C141+E141+G141+I141+K141+M141+O141+Q141+S141+U141+W141+AA141+Y141</f>
        <v>16893778.047443297</v>
      </c>
      <c r="AD141" s="660">
        <f t="shared" ref="AD141" si="1741">IF(AC141=0,0,AC141/AC$4)</f>
        <v>104.9218762524869</v>
      </c>
      <c r="AE141" s="654"/>
    </row>
    <row r="142" spans="1:36" s="556" customFormat="1" ht="15.75" hidden="1" outlineLevel="2">
      <c r="A142" s="609" t="s">
        <v>1582</v>
      </c>
      <c r="B142" s="559" t="s">
        <v>1010</v>
      </c>
      <c r="C142" s="659">
        <f>C143+C145+C147</f>
        <v>28616829.115743596</v>
      </c>
      <c r="D142" s="660">
        <f t="shared" si="1631"/>
        <v>177.73001366470638</v>
      </c>
      <c r="E142" s="659">
        <f t="shared" ref="E142" si="1742">E143+E145+E147</f>
        <v>0</v>
      </c>
      <c r="F142" s="660">
        <f t="shared" si="1631"/>
        <v>0</v>
      </c>
      <c r="G142" s="659">
        <f t="shared" ref="G142" si="1743">G143+G145+G147</f>
        <v>0</v>
      </c>
      <c r="H142" s="660">
        <f t="shared" ref="H142" si="1744">IF(G142=0,0,G142/G$4)</f>
        <v>0</v>
      </c>
      <c r="I142" s="659">
        <f t="shared" ref="I142" si="1745">I143+I145+I147</f>
        <v>0</v>
      </c>
      <c r="J142" s="660">
        <f t="shared" ref="J142" si="1746">IF(I142=0,0,I142/I$4)</f>
        <v>0</v>
      </c>
      <c r="K142" s="659">
        <f t="shared" ref="K142" si="1747">K143+K145+K147</f>
        <v>0</v>
      </c>
      <c r="L142" s="660">
        <f t="shared" ref="L142" si="1748">IF(K142=0,0,K142/K$4)</f>
        <v>0</v>
      </c>
      <c r="M142" s="659">
        <f t="shared" ref="M142" si="1749">M143+M145+M147</f>
        <v>0</v>
      </c>
      <c r="N142" s="660">
        <f t="shared" ref="N142" si="1750">IF(M142=0,0,M142/M$4)</f>
        <v>0</v>
      </c>
      <c r="O142" s="659">
        <f t="shared" ref="O142" si="1751">O143+O145+O147</f>
        <v>0</v>
      </c>
      <c r="P142" s="660">
        <f t="shared" ref="P142" si="1752">IF(O142=0,0,O142/O$4)</f>
        <v>0</v>
      </c>
      <c r="Q142" s="659">
        <f t="shared" ref="Q142" si="1753">Q143+Q145+Q147</f>
        <v>0</v>
      </c>
      <c r="R142" s="660">
        <f t="shared" ref="R142" si="1754">IF(Q142=0,0,Q142/Q$4)</f>
        <v>0</v>
      </c>
      <c r="S142" s="659">
        <f t="shared" ref="S142" si="1755">S143+S145+S147</f>
        <v>0</v>
      </c>
      <c r="T142" s="660">
        <f t="shared" ref="T142" si="1756">IF(S142=0,0,S142/S$4)</f>
        <v>0</v>
      </c>
      <c r="U142" s="659">
        <f t="shared" ref="U142" si="1757">U143+U145+U147</f>
        <v>0</v>
      </c>
      <c r="V142" s="660">
        <f t="shared" ref="V142" si="1758">IF(U142=0,0,U142/U$4)</f>
        <v>0</v>
      </c>
      <c r="W142" s="659">
        <f t="shared" ref="W142" si="1759">W143+W145+W147</f>
        <v>0</v>
      </c>
      <c r="X142" s="660">
        <f t="shared" ref="X142" si="1760">IF(W142=0,0,W142/W$4)</f>
        <v>0</v>
      </c>
      <c r="Y142" s="659">
        <f t="shared" ref="Y142" si="1761">Y143+Y145+Y147</f>
        <v>0</v>
      </c>
      <c r="Z142" s="660">
        <f t="shared" ref="Z142" si="1762">IF(Y142=0,0,Y142/Y$4)</f>
        <v>0</v>
      </c>
      <c r="AA142" s="659">
        <f t="shared" ref="AA142" si="1763">AA143+AA145+AA147</f>
        <v>0</v>
      </c>
      <c r="AB142" s="660">
        <f t="shared" ref="AB142" si="1764">IF(AA142=0,0,AA142/AA$4)</f>
        <v>0</v>
      </c>
      <c r="AC142" s="659">
        <f t="shared" ref="AC142" si="1765">AC143+AC145+AC147</f>
        <v>28616829.115743596</v>
      </c>
      <c r="AD142" s="660">
        <f t="shared" ref="AD142" si="1766">IF(AC142=0,0,AC142/AC$4)</f>
        <v>177.73001366470638</v>
      </c>
      <c r="AE142" s="654"/>
    </row>
    <row r="143" spans="1:36" s="556" customFormat="1" ht="15.75" hidden="1" outlineLevel="3">
      <c r="A143" s="612" t="s">
        <v>1581</v>
      </c>
      <c r="B143" s="560" t="s">
        <v>1011</v>
      </c>
      <c r="C143" s="661">
        <f t="shared" ref="C143" si="1767">C144</f>
        <v>3914467.4922795412</v>
      </c>
      <c r="D143" s="661">
        <f t="shared" si="1631"/>
        <v>24.311511176831996</v>
      </c>
      <c r="E143" s="661">
        <f t="shared" ref="E143" si="1768">E144</f>
        <v>0</v>
      </c>
      <c r="F143" s="661">
        <f t="shared" si="1631"/>
        <v>0</v>
      </c>
      <c r="G143" s="661">
        <f t="shared" ref="G143" si="1769">G144</f>
        <v>0</v>
      </c>
      <c r="H143" s="661">
        <f t="shared" ref="H143" si="1770">IF(G143=0,0,G143/G$4)</f>
        <v>0</v>
      </c>
      <c r="I143" s="661">
        <f t="shared" ref="I143" si="1771">I144</f>
        <v>0</v>
      </c>
      <c r="J143" s="661">
        <f t="shared" ref="J143" si="1772">IF(I143=0,0,I143/I$4)</f>
        <v>0</v>
      </c>
      <c r="K143" s="661">
        <f t="shared" ref="K143" si="1773">K144</f>
        <v>0</v>
      </c>
      <c r="L143" s="661">
        <f t="shared" ref="L143" si="1774">IF(K143=0,0,K143/K$4)</f>
        <v>0</v>
      </c>
      <c r="M143" s="661">
        <f t="shared" ref="M143" si="1775">M144</f>
        <v>0</v>
      </c>
      <c r="N143" s="661">
        <f t="shared" ref="N143" si="1776">IF(M143=0,0,M143/M$4)</f>
        <v>0</v>
      </c>
      <c r="O143" s="661">
        <f t="shared" ref="O143" si="1777">O144</f>
        <v>0</v>
      </c>
      <c r="P143" s="661">
        <f t="shared" ref="P143" si="1778">IF(O143=0,0,O143/O$4)</f>
        <v>0</v>
      </c>
      <c r="Q143" s="661">
        <f t="shared" ref="Q143" si="1779">Q144</f>
        <v>0</v>
      </c>
      <c r="R143" s="661">
        <f t="shared" ref="R143" si="1780">IF(Q143=0,0,Q143/Q$4)</f>
        <v>0</v>
      </c>
      <c r="S143" s="661">
        <f t="shared" ref="S143" si="1781">S144</f>
        <v>0</v>
      </c>
      <c r="T143" s="661">
        <f t="shared" ref="T143" si="1782">IF(S143=0,0,S143/S$4)</f>
        <v>0</v>
      </c>
      <c r="U143" s="661">
        <f t="shared" ref="U143" si="1783">U144</f>
        <v>0</v>
      </c>
      <c r="V143" s="661">
        <f t="shared" ref="V143" si="1784">IF(U143=0,0,U143/U$4)</f>
        <v>0</v>
      </c>
      <c r="W143" s="661">
        <f t="shared" ref="W143" si="1785">W144</f>
        <v>0</v>
      </c>
      <c r="X143" s="661">
        <f t="shared" ref="X143" si="1786">IF(W143=0,0,W143/W$4)</f>
        <v>0</v>
      </c>
      <c r="Y143" s="661">
        <f t="shared" ref="Y143" si="1787">Y144</f>
        <v>0</v>
      </c>
      <c r="Z143" s="661">
        <f t="shared" ref="Z143" si="1788">IF(Y143=0,0,Y143/Y$4)</f>
        <v>0</v>
      </c>
      <c r="AA143" s="661">
        <f t="shared" ref="AA143" si="1789">AA144</f>
        <v>0</v>
      </c>
      <c r="AB143" s="661">
        <f t="shared" ref="AB143" si="1790">IF(AA143=0,0,AA143/AA$4)</f>
        <v>0</v>
      </c>
      <c r="AC143" s="661">
        <f t="shared" ref="AC143" si="1791">AC144</f>
        <v>3914467.4922795412</v>
      </c>
      <c r="AD143" s="661">
        <f t="shared" ref="AD143" si="1792">IF(AC143=0,0,AC143/AC$4)</f>
        <v>24.311511176831996</v>
      </c>
      <c r="AE143" s="654"/>
    </row>
    <row r="144" spans="1:36" s="68" customFormat="1" hidden="1" outlineLevel="4">
      <c r="A144" s="117"/>
      <c r="B144" s="118" t="s">
        <v>797</v>
      </c>
      <c r="C144" s="663">
        <f>Калькулятор_жилье!K643</f>
        <v>3914467.4922795412</v>
      </c>
      <c r="D144" s="663">
        <f t="shared" si="1631"/>
        <v>24.311511176831996</v>
      </c>
      <c r="E144" s="663"/>
      <c r="F144" s="663">
        <f t="shared" si="1631"/>
        <v>0</v>
      </c>
      <c r="G144" s="663"/>
      <c r="H144" s="663">
        <f t="shared" ref="H144" si="1793">IF(G144=0,0,G144/G$4)</f>
        <v>0</v>
      </c>
      <c r="I144" s="663"/>
      <c r="J144" s="663">
        <f t="shared" ref="J144" si="1794">IF(I144=0,0,I144/I$4)</f>
        <v>0</v>
      </c>
      <c r="K144" s="663"/>
      <c r="L144" s="663">
        <f t="shared" ref="L144" si="1795">IF(K144=0,0,K144/K$4)</f>
        <v>0</v>
      </c>
      <c r="M144" s="663"/>
      <c r="N144" s="663">
        <f t="shared" ref="N144" si="1796">IF(M144=0,0,M144/M$4)</f>
        <v>0</v>
      </c>
      <c r="O144" s="663"/>
      <c r="P144" s="663">
        <f t="shared" ref="P144" si="1797">IF(O144=0,0,O144/O$4)</f>
        <v>0</v>
      </c>
      <c r="Q144" s="663"/>
      <c r="R144" s="663">
        <f t="shared" ref="R144" si="1798">IF(Q144=0,0,Q144/Q$4)</f>
        <v>0</v>
      </c>
      <c r="S144" s="663"/>
      <c r="T144" s="663">
        <f t="shared" ref="T144" si="1799">IF(S144=0,0,S144/S$4)</f>
        <v>0</v>
      </c>
      <c r="U144" s="663"/>
      <c r="V144" s="663">
        <f t="shared" ref="V144" si="1800">IF(U144=0,0,U144/U$4)</f>
        <v>0</v>
      </c>
      <c r="W144" s="663"/>
      <c r="X144" s="663">
        <f t="shared" ref="X144" si="1801">IF(W144=0,0,W144/W$4)</f>
        <v>0</v>
      </c>
      <c r="Y144" s="663"/>
      <c r="Z144" s="663">
        <f t="shared" ref="Z144" si="1802">IF(Y144=0,0,Y144/Y$4)</f>
        <v>0</v>
      </c>
      <c r="AA144" s="663"/>
      <c r="AB144" s="663">
        <f t="shared" ref="AB144" si="1803">IF(AA144=0,0,AA144/AA$4)</f>
        <v>0</v>
      </c>
      <c r="AC144" s="663">
        <f>C144+E144+G144+I144+K144+M144+O144+Q144+S144+U144+W144+AA144+Y144</f>
        <v>3914467.4922795412</v>
      </c>
      <c r="AD144" s="663">
        <f t="shared" ref="AD144" si="1804">IF(AC144=0,0,AC144/AC$4)</f>
        <v>24.311511176831996</v>
      </c>
      <c r="AE144" s="665"/>
      <c r="AF144" s="114"/>
      <c r="AG144" s="114"/>
      <c r="AH144" s="114"/>
      <c r="AI144" s="114"/>
      <c r="AJ144" s="114"/>
    </row>
    <row r="145" spans="1:36" s="556" customFormat="1" ht="15.75" hidden="1" outlineLevel="3">
      <c r="A145" s="612" t="s">
        <v>1580</v>
      </c>
      <c r="B145" s="560" t="s">
        <v>1012</v>
      </c>
      <c r="C145" s="661">
        <f>C146</f>
        <v>24702361.623464055</v>
      </c>
      <c r="D145" s="661">
        <f t="shared" si="1631"/>
        <v>153.41850248787438</v>
      </c>
      <c r="E145" s="661">
        <f t="shared" ref="E145" si="1805">E146</f>
        <v>0</v>
      </c>
      <c r="F145" s="661">
        <f t="shared" si="1631"/>
        <v>0</v>
      </c>
      <c r="G145" s="661">
        <f t="shared" ref="G145" si="1806">G146</f>
        <v>0</v>
      </c>
      <c r="H145" s="661">
        <f t="shared" ref="H145" si="1807">IF(G145=0,0,G145/G$4)</f>
        <v>0</v>
      </c>
      <c r="I145" s="661">
        <f t="shared" ref="I145" si="1808">I146</f>
        <v>0</v>
      </c>
      <c r="J145" s="661">
        <f t="shared" ref="J145" si="1809">IF(I145=0,0,I145/I$4)</f>
        <v>0</v>
      </c>
      <c r="K145" s="661">
        <f t="shared" ref="K145" si="1810">K146</f>
        <v>0</v>
      </c>
      <c r="L145" s="661">
        <f t="shared" ref="L145" si="1811">IF(K145=0,0,K145/K$4)</f>
        <v>0</v>
      </c>
      <c r="M145" s="661">
        <f t="shared" ref="M145" si="1812">M146</f>
        <v>0</v>
      </c>
      <c r="N145" s="661">
        <f t="shared" ref="N145" si="1813">IF(M145=0,0,M145/M$4)</f>
        <v>0</v>
      </c>
      <c r="O145" s="661">
        <f t="shared" ref="O145" si="1814">O146</f>
        <v>0</v>
      </c>
      <c r="P145" s="661">
        <f t="shared" ref="P145" si="1815">IF(O145=0,0,O145/O$4)</f>
        <v>0</v>
      </c>
      <c r="Q145" s="661">
        <f t="shared" ref="Q145" si="1816">Q146</f>
        <v>0</v>
      </c>
      <c r="R145" s="661">
        <f t="shared" ref="R145" si="1817">IF(Q145=0,0,Q145/Q$4)</f>
        <v>0</v>
      </c>
      <c r="S145" s="661">
        <f t="shared" ref="S145" si="1818">S146</f>
        <v>0</v>
      </c>
      <c r="T145" s="661">
        <f t="shared" ref="T145" si="1819">IF(S145=0,0,S145/S$4)</f>
        <v>0</v>
      </c>
      <c r="U145" s="661">
        <f t="shared" ref="U145" si="1820">U146</f>
        <v>0</v>
      </c>
      <c r="V145" s="661">
        <f t="shared" ref="V145" si="1821">IF(U145=0,0,U145/U$4)</f>
        <v>0</v>
      </c>
      <c r="W145" s="661">
        <f t="shared" ref="W145" si="1822">W146</f>
        <v>0</v>
      </c>
      <c r="X145" s="661">
        <f t="shared" ref="X145" si="1823">IF(W145=0,0,W145/W$4)</f>
        <v>0</v>
      </c>
      <c r="Y145" s="661">
        <f t="shared" ref="Y145" si="1824">Y146</f>
        <v>0</v>
      </c>
      <c r="Z145" s="661">
        <f t="shared" ref="Z145" si="1825">IF(Y145=0,0,Y145/Y$4)</f>
        <v>0</v>
      </c>
      <c r="AA145" s="661">
        <f t="shared" ref="AA145" si="1826">AA146</f>
        <v>0</v>
      </c>
      <c r="AB145" s="661">
        <f t="shared" ref="AB145" si="1827">IF(AA145=0,0,AA145/AA$4)</f>
        <v>0</v>
      </c>
      <c r="AC145" s="661">
        <f t="shared" ref="AC145" si="1828">AC146</f>
        <v>24702361.623464055</v>
      </c>
      <c r="AD145" s="661">
        <f t="shared" ref="AD145" si="1829">IF(AC145=0,0,AC145/AC$4)</f>
        <v>153.41850248787438</v>
      </c>
      <c r="AE145" s="654"/>
    </row>
    <row r="146" spans="1:36" s="68" customFormat="1" hidden="1" outlineLevel="4">
      <c r="A146" s="117"/>
      <c r="B146" s="118" t="s">
        <v>796</v>
      </c>
      <c r="C146" s="663">
        <f>Калькулятор_жилье!K639</f>
        <v>24702361.623464055</v>
      </c>
      <c r="D146" s="663">
        <f t="shared" si="1631"/>
        <v>153.41850248787438</v>
      </c>
      <c r="E146" s="663"/>
      <c r="F146" s="663">
        <f t="shared" si="1631"/>
        <v>0</v>
      </c>
      <c r="G146" s="663"/>
      <c r="H146" s="663">
        <f t="shared" ref="H146" si="1830">IF(G146=0,0,G146/G$4)</f>
        <v>0</v>
      </c>
      <c r="I146" s="663"/>
      <c r="J146" s="663">
        <f t="shared" ref="J146" si="1831">IF(I146=0,0,I146/I$4)</f>
        <v>0</v>
      </c>
      <c r="K146" s="663"/>
      <c r="L146" s="663">
        <f t="shared" ref="L146" si="1832">IF(K146=0,0,K146/K$4)</f>
        <v>0</v>
      </c>
      <c r="M146" s="663"/>
      <c r="N146" s="663">
        <f t="shared" ref="N146" si="1833">IF(M146=0,0,M146/M$4)</f>
        <v>0</v>
      </c>
      <c r="O146" s="663"/>
      <c r="P146" s="663">
        <f t="shared" ref="P146" si="1834">IF(O146=0,0,O146/O$4)</f>
        <v>0</v>
      </c>
      <c r="Q146" s="663"/>
      <c r="R146" s="663">
        <f t="shared" ref="R146" si="1835">IF(Q146=0,0,Q146/Q$4)</f>
        <v>0</v>
      </c>
      <c r="S146" s="663"/>
      <c r="T146" s="663">
        <f t="shared" ref="T146" si="1836">IF(S146=0,0,S146/S$4)</f>
        <v>0</v>
      </c>
      <c r="U146" s="663"/>
      <c r="V146" s="663">
        <f t="shared" ref="V146" si="1837">IF(U146=0,0,U146/U$4)</f>
        <v>0</v>
      </c>
      <c r="W146" s="663"/>
      <c r="X146" s="663">
        <f t="shared" ref="X146" si="1838">IF(W146=0,0,W146/W$4)</f>
        <v>0</v>
      </c>
      <c r="Y146" s="663"/>
      <c r="Z146" s="663">
        <f t="shared" ref="Z146" si="1839">IF(Y146=0,0,Y146/Y$4)</f>
        <v>0</v>
      </c>
      <c r="AA146" s="663"/>
      <c r="AB146" s="663">
        <f t="shared" ref="AB146" si="1840">IF(AA146=0,0,AA146/AA$4)</f>
        <v>0</v>
      </c>
      <c r="AC146" s="663">
        <f>C146+E146+G146+I146+K146+M146+O146+Q146+S146+U146+W146+AA146+Y146</f>
        <v>24702361.623464055</v>
      </c>
      <c r="AD146" s="663">
        <f t="shared" ref="AD146" si="1841">IF(AC146=0,0,AC146/AC$4)</f>
        <v>153.41850248787438</v>
      </c>
      <c r="AE146" s="665"/>
      <c r="AF146" s="114"/>
      <c r="AG146" s="114"/>
      <c r="AH146" s="114"/>
      <c r="AI146" s="114"/>
      <c r="AJ146" s="114"/>
    </row>
    <row r="147" spans="1:36" s="556" customFormat="1" ht="31.5" hidden="1" outlineLevel="3">
      <c r="A147" s="612" t="s">
        <v>1579</v>
      </c>
      <c r="B147" s="560" t="s">
        <v>1013</v>
      </c>
      <c r="C147" s="661"/>
      <c r="D147" s="662">
        <f t="shared" si="1631"/>
        <v>0</v>
      </c>
      <c r="E147" s="661"/>
      <c r="F147" s="662">
        <f t="shared" si="1631"/>
        <v>0</v>
      </c>
      <c r="G147" s="661"/>
      <c r="H147" s="662">
        <f t="shared" ref="H147" si="1842">IF(G147=0,0,G147/G$4)</f>
        <v>0</v>
      </c>
      <c r="I147" s="661"/>
      <c r="J147" s="662">
        <f t="shared" ref="J147" si="1843">IF(I147=0,0,I147/I$4)</f>
        <v>0</v>
      </c>
      <c r="K147" s="661"/>
      <c r="L147" s="662">
        <f t="shared" ref="L147" si="1844">IF(K147=0,0,K147/K$4)</f>
        <v>0</v>
      </c>
      <c r="M147" s="661"/>
      <c r="N147" s="662">
        <f t="shared" ref="N147" si="1845">IF(M147=0,0,M147/M$4)</f>
        <v>0</v>
      </c>
      <c r="O147" s="661"/>
      <c r="P147" s="662">
        <f t="shared" ref="P147" si="1846">IF(O147=0,0,O147/O$4)</f>
        <v>0</v>
      </c>
      <c r="Q147" s="661"/>
      <c r="R147" s="662">
        <f t="shared" ref="R147" si="1847">IF(Q147=0,0,Q147/Q$4)</f>
        <v>0</v>
      </c>
      <c r="S147" s="661"/>
      <c r="T147" s="662">
        <f t="shared" ref="T147" si="1848">IF(S147=0,0,S147/S$4)</f>
        <v>0</v>
      </c>
      <c r="U147" s="661"/>
      <c r="V147" s="662">
        <f t="shared" ref="V147" si="1849">IF(U147=0,0,U147/U$4)</f>
        <v>0</v>
      </c>
      <c r="W147" s="661"/>
      <c r="X147" s="662">
        <f t="shared" ref="X147" si="1850">IF(W147=0,0,W147/W$4)</f>
        <v>0</v>
      </c>
      <c r="Y147" s="661"/>
      <c r="Z147" s="662">
        <f t="shared" ref="Z147" si="1851">IF(Y147=0,0,Y147/Y$4)</f>
        <v>0</v>
      </c>
      <c r="AA147" s="661"/>
      <c r="AB147" s="662">
        <f t="shared" ref="AB147" si="1852">IF(AA147=0,0,AA147/AA$4)</f>
        <v>0</v>
      </c>
      <c r="AC147" s="661"/>
      <c r="AD147" s="662">
        <f t="shared" ref="AD147" si="1853">IF(AC147=0,0,AC147/AC$4)</f>
        <v>0</v>
      </c>
      <c r="AE147" s="654"/>
    </row>
    <row r="148" spans="1:36" s="556" customFormat="1" ht="15.75" hidden="1" outlineLevel="2">
      <c r="A148" s="609" t="s">
        <v>1578</v>
      </c>
      <c r="B148" s="559" t="s">
        <v>1014</v>
      </c>
      <c r="C148" s="659">
        <f>C149</f>
        <v>407119.83775335539</v>
      </c>
      <c r="D148" s="660">
        <f t="shared" si="1631"/>
        <v>2.5284916799978143</v>
      </c>
      <c r="E148" s="659"/>
      <c r="F148" s="660">
        <f t="shared" si="1631"/>
        <v>0</v>
      </c>
      <c r="G148" s="659"/>
      <c r="H148" s="660">
        <f t="shared" ref="H148" si="1854">IF(G148=0,0,G148/G$4)</f>
        <v>0</v>
      </c>
      <c r="I148" s="659"/>
      <c r="J148" s="660">
        <f t="shared" ref="J148" si="1855">IF(I148=0,0,I148/I$4)</f>
        <v>0</v>
      </c>
      <c r="K148" s="659"/>
      <c r="L148" s="660">
        <f t="shared" ref="L148" si="1856">IF(K148=0,0,K148/K$4)</f>
        <v>0</v>
      </c>
      <c r="M148" s="659"/>
      <c r="N148" s="660">
        <f t="shared" ref="N148" si="1857">IF(M148=0,0,M148/M$4)</f>
        <v>0</v>
      </c>
      <c r="O148" s="659"/>
      <c r="P148" s="660">
        <f t="shared" ref="P148" si="1858">IF(O148=0,0,O148/O$4)</f>
        <v>0</v>
      </c>
      <c r="Q148" s="659"/>
      <c r="R148" s="660">
        <f t="shared" ref="R148" si="1859">IF(Q148=0,0,Q148/Q$4)</f>
        <v>0</v>
      </c>
      <c r="S148" s="659"/>
      <c r="T148" s="660">
        <f t="shared" ref="T148" si="1860">IF(S148=0,0,S148/S$4)</f>
        <v>0</v>
      </c>
      <c r="U148" s="659"/>
      <c r="V148" s="660">
        <f t="shared" ref="V148" si="1861">IF(U148=0,0,U148/U$4)</f>
        <v>0</v>
      </c>
      <c r="W148" s="659"/>
      <c r="X148" s="660">
        <f t="shared" ref="X148" si="1862">IF(W148=0,0,W148/W$4)</f>
        <v>0</v>
      </c>
      <c r="Y148" s="659"/>
      <c r="Z148" s="660">
        <f t="shared" ref="Z148" si="1863">IF(Y148=0,0,Y148/Y$4)</f>
        <v>0</v>
      </c>
      <c r="AA148" s="659"/>
      <c r="AB148" s="660">
        <f t="shared" ref="AB148" si="1864">IF(AA148=0,0,AA148/AA$4)</f>
        <v>0</v>
      </c>
      <c r="AC148" s="659">
        <f>AC149</f>
        <v>407119.83775335539</v>
      </c>
      <c r="AD148" s="660">
        <f t="shared" ref="AD148" si="1865">IF(AC148=0,0,AC148/AC$4)</f>
        <v>2.5284916799978143</v>
      </c>
      <c r="AE148" s="654"/>
    </row>
    <row r="149" spans="1:36" s="68" customFormat="1" hidden="1" outlineLevel="3">
      <c r="A149" s="117"/>
      <c r="B149" s="118" t="s">
        <v>410</v>
      </c>
      <c r="C149" s="661">
        <f>Калькулятор_жилье!K615</f>
        <v>407119.83775335539</v>
      </c>
      <c r="D149" s="662">
        <f t="shared" si="1631"/>
        <v>2.5284916799978143</v>
      </c>
      <c r="E149" s="661"/>
      <c r="F149" s="662">
        <f t="shared" si="1631"/>
        <v>0</v>
      </c>
      <c r="G149" s="661"/>
      <c r="H149" s="662">
        <f t="shared" ref="H149" si="1866">IF(G149=0,0,G149/G$4)</f>
        <v>0</v>
      </c>
      <c r="I149" s="661"/>
      <c r="J149" s="662">
        <f t="shared" ref="J149" si="1867">IF(I149=0,0,I149/I$4)</f>
        <v>0</v>
      </c>
      <c r="K149" s="661"/>
      <c r="L149" s="662">
        <f t="shared" ref="L149" si="1868">IF(K149=0,0,K149/K$4)</f>
        <v>0</v>
      </c>
      <c r="M149" s="661"/>
      <c r="N149" s="662">
        <f t="shared" ref="N149" si="1869">IF(M149=0,0,M149/M$4)</f>
        <v>0</v>
      </c>
      <c r="O149" s="661"/>
      <c r="P149" s="662">
        <f t="shared" ref="P149" si="1870">IF(O149=0,0,O149/O$4)</f>
        <v>0</v>
      </c>
      <c r="Q149" s="661"/>
      <c r="R149" s="662">
        <f t="shared" ref="R149" si="1871">IF(Q149=0,0,Q149/Q$4)</f>
        <v>0</v>
      </c>
      <c r="S149" s="661"/>
      <c r="T149" s="662">
        <f t="shared" ref="T149" si="1872">IF(S149=0,0,S149/S$4)</f>
        <v>0</v>
      </c>
      <c r="U149" s="661"/>
      <c r="V149" s="662">
        <f t="shared" ref="V149" si="1873">IF(U149=0,0,U149/U$4)</f>
        <v>0</v>
      </c>
      <c r="W149" s="661"/>
      <c r="X149" s="662">
        <f t="shared" ref="X149" si="1874">IF(W149=0,0,W149/W$4)</f>
        <v>0</v>
      </c>
      <c r="Y149" s="661"/>
      <c r="Z149" s="662">
        <f t="shared" ref="Z149" si="1875">IF(Y149=0,0,Y149/Y$4)</f>
        <v>0</v>
      </c>
      <c r="AA149" s="661"/>
      <c r="AB149" s="662">
        <f t="shared" ref="AB149" si="1876">IF(AA149=0,0,AA149/AA$4)</f>
        <v>0</v>
      </c>
      <c r="AC149" s="661">
        <f>C149+E149+G149+I149+K149+M149+O149+Q149+S149+U149+W149+AA149+Y149</f>
        <v>407119.83775335539</v>
      </c>
      <c r="AD149" s="662">
        <f t="shared" ref="AD149" si="1877">IF(AC149=0,0,AC149/AC$4)</f>
        <v>2.5284916799978143</v>
      </c>
      <c r="AE149" s="665"/>
      <c r="AF149" s="114"/>
      <c r="AG149" s="114"/>
      <c r="AH149" s="114"/>
      <c r="AI149" s="114"/>
      <c r="AJ149" s="114"/>
    </row>
    <row r="150" spans="1:36" s="556" customFormat="1" ht="15.75" hidden="1" outlineLevel="2">
      <c r="A150" s="609" t="s">
        <v>1577</v>
      </c>
      <c r="B150" s="559" t="s">
        <v>1576</v>
      </c>
      <c r="C150" s="659">
        <f>SUM(C151:C157)</f>
        <v>0</v>
      </c>
      <c r="D150" s="660">
        <f t="shared" si="1631"/>
        <v>0</v>
      </c>
      <c r="E150" s="659">
        <f t="shared" ref="E150" si="1878">SUM(E151:E157)</f>
        <v>0</v>
      </c>
      <c r="F150" s="660">
        <f t="shared" si="1631"/>
        <v>0</v>
      </c>
      <c r="G150" s="659">
        <f t="shared" ref="G150" si="1879">SUM(G151:G157)</f>
        <v>0</v>
      </c>
      <c r="H150" s="660">
        <f t="shared" ref="H150" si="1880">IF(G150=0,0,G150/G$4)</f>
        <v>0</v>
      </c>
      <c r="I150" s="659">
        <f t="shared" ref="I150" si="1881">SUM(I151:I157)</f>
        <v>0</v>
      </c>
      <c r="J150" s="660">
        <f t="shared" ref="J150" si="1882">IF(I150=0,0,I150/I$4)</f>
        <v>0</v>
      </c>
      <c r="K150" s="659">
        <f t="shared" ref="K150" si="1883">SUM(K151:K157)</f>
        <v>0</v>
      </c>
      <c r="L150" s="660">
        <f t="shared" ref="L150" si="1884">IF(K150=0,0,K150/K$4)</f>
        <v>0</v>
      </c>
      <c r="M150" s="659">
        <f t="shared" ref="M150" si="1885">SUM(M151:M157)</f>
        <v>0</v>
      </c>
      <c r="N150" s="660">
        <f t="shared" ref="N150" si="1886">IF(M150=0,0,M150/M$4)</f>
        <v>0</v>
      </c>
      <c r="O150" s="659">
        <f t="shared" ref="O150" si="1887">SUM(O151:O157)</f>
        <v>0</v>
      </c>
      <c r="P150" s="660">
        <f t="shared" ref="P150" si="1888">IF(O150=0,0,O150/O$4)</f>
        <v>0</v>
      </c>
      <c r="Q150" s="659">
        <f t="shared" ref="Q150" si="1889">SUM(Q151:Q157)</f>
        <v>0</v>
      </c>
      <c r="R150" s="660">
        <f t="shared" ref="R150" si="1890">IF(Q150=0,0,Q150/Q$4)</f>
        <v>0</v>
      </c>
      <c r="S150" s="659">
        <f t="shared" ref="S150" si="1891">SUM(S151:S157)</f>
        <v>0</v>
      </c>
      <c r="T150" s="660">
        <f t="shared" ref="T150" si="1892">IF(S150=0,0,S150/S$4)</f>
        <v>0</v>
      </c>
      <c r="U150" s="659">
        <f t="shared" ref="U150" si="1893">SUM(U151:U157)</f>
        <v>0</v>
      </c>
      <c r="V150" s="660">
        <f t="shared" ref="V150" si="1894">IF(U150=0,0,U150/U$4)</f>
        <v>0</v>
      </c>
      <c r="W150" s="659">
        <f t="shared" ref="W150" si="1895">SUM(W151:W157)</f>
        <v>0</v>
      </c>
      <c r="X150" s="660">
        <f t="shared" ref="X150" si="1896">IF(W150=0,0,W150/W$4)</f>
        <v>0</v>
      </c>
      <c r="Y150" s="659">
        <f t="shared" ref="Y150" si="1897">SUM(Y151:Y157)</f>
        <v>0</v>
      </c>
      <c r="Z150" s="660">
        <f t="shared" ref="Z150" si="1898">IF(Y150=0,0,Y150/Y$4)</f>
        <v>0</v>
      </c>
      <c r="AA150" s="659">
        <f t="shared" ref="AA150" si="1899">SUM(AA151:AA157)</f>
        <v>0</v>
      </c>
      <c r="AB150" s="660">
        <f t="shared" ref="AB150" si="1900">IF(AA150=0,0,AA150/AA$4)</f>
        <v>0</v>
      </c>
      <c r="AC150" s="659">
        <f t="shared" ref="AC150" si="1901">SUM(AC151:AC157)</f>
        <v>0</v>
      </c>
      <c r="AD150" s="660">
        <f t="shared" ref="AD150" si="1902">IF(AC150=0,0,AC150/AC$4)</f>
        <v>0</v>
      </c>
      <c r="AE150" s="654"/>
    </row>
    <row r="151" spans="1:36" s="556" customFormat="1" ht="15.75" hidden="1" outlineLevel="3">
      <c r="A151" s="612" t="s">
        <v>1575</v>
      </c>
      <c r="B151" s="560" t="s">
        <v>1574</v>
      </c>
      <c r="C151" s="661"/>
      <c r="D151" s="662">
        <f t="shared" si="1631"/>
        <v>0</v>
      </c>
      <c r="E151" s="661"/>
      <c r="F151" s="662">
        <f t="shared" si="1631"/>
        <v>0</v>
      </c>
      <c r="G151" s="661"/>
      <c r="H151" s="662">
        <f t="shared" ref="H151" si="1903">IF(G151=0,0,G151/G$4)</f>
        <v>0</v>
      </c>
      <c r="I151" s="661"/>
      <c r="J151" s="662">
        <f t="shared" ref="J151" si="1904">IF(I151=0,0,I151/I$4)</f>
        <v>0</v>
      </c>
      <c r="K151" s="661"/>
      <c r="L151" s="662">
        <f t="shared" ref="L151" si="1905">IF(K151=0,0,K151/K$4)</f>
        <v>0</v>
      </c>
      <c r="M151" s="661"/>
      <c r="N151" s="662">
        <f t="shared" ref="N151" si="1906">IF(M151=0,0,M151/M$4)</f>
        <v>0</v>
      </c>
      <c r="O151" s="661"/>
      <c r="P151" s="662">
        <f t="shared" ref="P151" si="1907">IF(O151=0,0,O151/O$4)</f>
        <v>0</v>
      </c>
      <c r="Q151" s="661"/>
      <c r="R151" s="662">
        <f t="shared" ref="R151" si="1908">IF(Q151=0,0,Q151/Q$4)</f>
        <v>0</v>
      </c>
      <c r="S151" s="661"/>
      <c r="T151" s="662">
        <f t="shared" ref="T151" si="1909">IF(S151=0,0,S151/S$4)</f>
        <v>0</v>
      </c>
      <c r="U151" s="661"/>
      <c r="V151" s="662">
        <f t="shared" ref="V151" si="1910">IF(U151=0,0,U151/U$4)</f>
        <v>0</v>
      </c>
      <c r="W151" s="661"/>
      <c r="X151" s="662">
        <f t="shared" ref="X151" si="1911">IF(W151=0,0,W151/W$4)</f>
        <v>0</v>
      </c>
      <c r="Y151" s="661"/>
      <c r="Z151" s="662">
        <f t="shared" ref="Z151" si="1912">IF(Y151=0,0,Y151/Y$4)</f>
        <v>0</v>
      </c>
      <c r="AA151" s="661"/>
      <c r="AB151" s="662">
        <f t="shared" ref="AB151" si="1913">IF(AA151=0,0,AA151/AA$4)</f>
        <v>0</v>
      </c>
      <c r="AC151" s="661"/>
      <c r="AD151" s="662">
        <f t="shared" ref="AD151" si="1914">IF(AC151=0,0,AC151/AC$4)</f>
        <v>0</v>
      </c>
      <c r="AE151" s="654"/>
    </row>
    <row r="152" spans="1:36" s="556" customFormat="1" ht="15.75" hidden="1" outlineLevel="3">
      <c r="A152" s="612" t="s">
        <v>1573</v>
      </c>
      <c r="B152" s="560" t="s">
        <v>1572</v>
      </c>
      <c r="C152" s="661"/>
      <c r="D152" s="662">
        <f t="shared" si="1631"/>
        <v>0</v>
      </c>
      <c r="E152" s="661"/>
      <c r="F152" s="662">
        <f t="shared" si="1631"/>
        <v>0</v>
      </c>
      <c r="G152" s="661"/>
      <c r="H152" s="662">
        <f t="shared" ref="H152" si="1915">IF(G152=0,0,G152/G$4)</f>
        <v>0</v>
      </c>
      <c r="I152" s="661"/>
      <c r="J152" s="662">
        <f t="shared" ref="J152" si="1916">IF(I152=0,0,I152/I$4)</f>
        <v>0</v>
      </c>
      <c r="K152" s="661"/>
      <c r="L152" s="662">
        <f t="shared" ref="L152" si="1917">IF(K152=0,0,K152/K$4)</f>
        <v>0</v>
      </c>
      <c r="M152" s="661"/>
      <c r="N152" s="662">
        <f t="shared" ref="N152" si="1918">IF(M152=0,0,M152/M$4)</f>
        <v>0</v>
      </c>
      <c r="O152" s="661"/>
      <c r="P152" s="662">
        <f t="shared" ref="P152" si="1919">IF(O152=0,0,O152/O$4)</f>
        <v>0</v>
      </c>
      <c r="Q152" s="661"/>
      <c r="R152" s="662">
        <f t="shared" ref="R152" si="1920">IF(Q152=0,0,Q152/Q$4)</f>
        <v>0</v>
      </c>
      <c r="S152" s="661"/>
      <c r="T152" s="662">
        <f t="shared" ref="T152" si="1921">IF(S152=0,0,S152/S$4)</f>
        <v>0</v>
      </c>
      <c r="U152" s="661"/>
      <c r="V152" s="662">
        <f t="shared" ref="V152" si="1922">IF(U152=0,0,U152/U$4)</f>
        <v>0</v>
      </c>
      <c r="W152" s="661"/>
      <c r="X152" s="662">
        <f t="shared" ref="X152" si="1923">IF(W152=0,0,W152/W$4)</f>
        <v>0</v>
      </c>
      <c r="Y152" s="661"/>
      <c r="Z152" s="662">
        <f t="shared" ref="Z152" si="1924">IF(Y152=0,0,Y152/Y$4)</f>
        <v>0</v>
      </c>
      <c r="AA152" s="661"/>
      <c r="AB152" s="662">
        <f t="shared" ref="AB152" si="1925">IF(AA152=0,0,AA152/AA$4)</f>
        <v>0</v>
      </c>
      <c r="AC152" s="661"/>
      <c r="AD152" s="662">
        <f t="shared" ref="AD152" si="1926">IF(AC152=0,0,AC152/AC$4)</f>
        <v>0</v>
      </c>
      <c r="AE152" s="654"/>
    </row>
    <row r="153" spans="1:36" s="556" customFormat="1" ht="15.75" hidden="1" outlineLevel="3">
      <c r="A153" s="612" t="s">
        <v>1571</v>
      </c>
      <c r="B153" s="560" t="s">
        <v>1570</v>
      </c>
      <c r="C153" s="661"/>
      <c r="D153" s="662">
        <f t="shared" si="1631"/>
        <v>0</v>
      </c>
      <c r="E153" s="661"/>
      <c r="F153" s="662">
        <f t="shared" si="1631"/>
        <v>0</v>
      </c>
      <c r="G153" s="661"/>
      <c r="H153" s="662">
        <f t="shared" ref="H153" si="1927">IF(G153=0,0,G153/G$4)</f>
        <v>0</v>
      </c>
      <c r="I153" s="661"/>
      <c r="J153" s="662">
        <f t="shared" ref="J153" si="1928">IF(I153=0,0,I153/I$4)</f>
        <v>0</v>
      </c>
      <c r="K153" s="661"/>
      <c r="L153" s="662">
        <f t="shared" ref="L153" si="1929">IF(K153=0,0,K153/K$4)</f>
        <v>0</v>
      </c>
      <c r="M153" s="661"/>
      <c r="N153" s="662">
        <f t="shared" ref="N153" si="1930">IF(M153=0,0,M153/M$4)</f>
        <v>0</v>
      </c>
      <c r="O153" s="661"/>
      <c r="P153" s="662">
        <f t="shared" ref="P153" si="1931">IF(O153=0,0,O153/O$4)</f>
        <v>0</v>
      </c>
      <c r="Q153" s="661"/>
      <c r="R153" s="662">
        <f t="shared" ref="R153" si="1932">IF(Q153=0,0,Q153/Q$4)</f>
        <v>0</v>
      </c>
      <c r="S153" s="661"/>
      <c r="T153" s="662">
        <f t="shared" ref="T153" si="1933">IF(S153=0,0,S153/S$4)</f>
        <v>0</v>
      </c>
      <c r="U153" s="661"/>
      <c r="V153" s="662">
        <f t="shared" ref="V153" si="1934">IF(U153=0,0,U153/U$4)</f>
        <v>0</v>
      </c>
      <c r="W153" s="661"/>
      <c r="X153" s="662">
        <f t="shared" ref="X153" si="1935">IF(W153=0,0,W153/W$4)</f>
        <v>0</v>
      </c>
      <c r="Y153" s="661"/>
      <c r="Z153" s="662">
        <f t="shared" ref="Z153" si="1936">IF(Y153=0,0,Y153/Y$4)</f>
        <v>0</v>
      </c>
      <c r="AA153" s="661"/>
      <c r="AB153" s="662">
        <f t="shared" ref="AB153" si="1937">IF(AA153=0,0,AA153/AA$4)</f>
        <v>0</v>
      </c>
      <c r="AC153" s="661"/>
      <c r="AD153" s="662">
        <f t="shared" ref="AD153" si="1938">IF(AC153=0,0,AC153/AC$4)</f>
        <v>0</v>
      </c>
      <c r="AE153" s="654"/>
    </row>
    <row r="154" spans="1:36" s="556" customFormat="1" ht="15.75" hidden="1" outlineLevel="3">
      <c r="A154" s="612" t="s">
        <v>1569</v>
      </c>
      <c r="B154" s="560" t="s">
        <v>1568</v>
      </c>
      <c r="C154" s="661"/>
      <c r="D154" s="662">
        <f t="shared" si="1631"/>
        <v>0</v>
      </c>
      <c r="E154" s="661"/>
      <c r="F154" s="662">
        <f t="shared" si="1631"/>
        <v>0</v>
      </c>
      <c r="G154" s="661"/>
      <c r="H154" s="662">
        <f t="shared" ref="H154" si="1939">IF(G154=0,0,G154/G$4)</f>
        <v>0</v>
      </c>
      <c r="I154" s="661"/>
      <c r="J154" s="662">
        <f t="shared" ref="J154" si="1940">IF(I154=0,0,I154/I$4)</f>
        <v>0</v>
      </c>
      <c r="K154" s="661"/>
      <c r="L154" s="662">
        <f t="shared" ref="L154" si="1941">IF(K154=0,0,K154/K$4)</f>
        <v>0</v>
      </c>
      <c r="M154" s="661"/>
      <c r="N154" s="662">
        <f t="shared" ref="N154" si="1942">IF(M154=0,0,M154/M$4)</f>
        <v>0</v>
      </c>
      <c r="O154" s="661"/>
      <c r="P154" s="662">
        <f t="shared" ref="P154" si="1943">IF(O154=0,0,O154/O$4)</f>
        <v>0</v>
      </c>
      <c r="Q154" s="661"/>
      <c r="R154" s="662">
        <f t="shared" ref="R154" si="1944">IF(Q154=0,0,Q154/Q$4)</f>
        <v>0</v>
      </c>
      <c r="S154" s="661"/>
      <c r="T154" s="662">
        <f t="shared" ref="T154" si="1945">IF(S154=0,0,S154/S$4)</f>
        <v>0</v>
      </c>
      <c r="U154" s="661"/>
      <c r="V154" s="662">
        <f t="shared" ref="V154" si="1946">IF(U154=0,0,U154/U$4)</f>
        <v>0</v>
      </c>
      <c r="W154" s="661"/>
      <c r="X154" s="662">
        <f t="shared" ref="X154" si="1947">IF(W154=0,0,W154/W$4)</f>
        <v>0</v>
      </c>
      <c r="Y154" s="661"/>
      <c r="Z154" s="662">
        <f t="shared" ref="Z154" si="1948">IF(Y154=0,0,Y154/Y$4)</f>
        <v>0</v>
      </c>
      <c r="AA154" s="661"/>
      <c r="AB154" s="662">
        <f t="shared" ref="AB154" si="1949">IF(AA154=0,0,AA154/AA$4)</f>
        <v>0</v>
      </c>
      <c r="AC154" s="661"/>
      <c r="AD154" s="662">
        <f t="shared" ref="AD154" si="1950">IF(AC154=0,0,AC154/AC$4)</f>
        <v>0</v>
      </c>
      <c r="AE154" s="654"/>
    </row>
    <row r="155" spans="1:36" s="556" customFormat="1" ht="15.75" hidden="1" outlineLevel="3">
      <c r="A155" s="612" t="s">
        <v>1567</v>
      </c>
      <c r="B155" s="560" t="s">
        <v>1566</v>
      </c>
      <c r="C155" s="661"/>
      <c r="D155" s="662">
        <f t="shared" si="1631"/>
        <v>0</v>
      </c>
      <c r="E155" s="661"/>
      <c r="F155" s="662">
        <f t="shared" si="1631"/>
        <v>0</v>
      </c>
      <c r="G155" s="661"/>
      <c r="H155" s="662">
        <f t="shared" ref="H155" si="1951">IF(G155=0,0,G155/G$4)</f>
        <v>0</v>
      </c>
      <c r="I155" s="661"/>
      <c r="J155" s="662">
        <f t="shared" ref="J155" si="1952">IF(I155=0,0,I155/I$4)</f>
        <v>0</v>
      </c>
      <c r="K155" s="661"/>
      <c r="L155" s="662">
        <f t="shared" ref="L155" si="1953">IF(K155=0,0,K155/K$4)</f>
        <v>0</v>
      </c>
      <c r="M155" s="661"/>
      <c r="N155" s="662">
        <f t="shared" ref="N155" si="1954">IF(M155=0,0,M155/M$4)</f>
        <v>0</v>
      </c>
      <c r="O155" s="661"/>
      <c r="P155" s="662">
        <f t="shared" ref="P155" si="1955">IF(O155=0,0,O155/O$4)</f>
        <v>0</v>
      </c>
      <c r="Q155" s="661"/>
      <c r="R155" s="662">
        <f t="shared" ref="R155" si="1956">IF(Q155=0,0,Q155/Q$4)</f>
        <v>0</v>
      </c>
      <c r="S155" s="661"/>
      <c r="T155" s="662">
        <f t="shared" ref="T155" si="1957">IF(S155=0,0,S155/S$4)</f>
        <v>0</v>
      </c>
      <c r="U155" s="661"/>
      <c r="V155" s="662">
        <f t="shared" ref="V155" si="1958">IF(U155=0,0,U155/U$4)</f>
        <v>0</v>
      </c>
      <c r="W155" s="661"/>
      <c r="X155" s="662">
        <f t="shared" ref="X155" si="1959">IF(W155=0,0,W155/W$4)</f>
        <v>0</v>
      </c>
      <c r="Y155" s="661"/>
      <c r="Z155" s="662">
        <f t="shared" ref="Z155" si="1960">IF(Y155=0,0,Y155/Y$4)</f>
        <v>0</v>
      </c>
      <c r="AA155" s="661"/>
      <c r="AB155" s="662">
        <f t="shared" ref="AB155" si="1961">IF(AA155=0,0,AA155/AA$4)</f>
        <v>0</v>
      </c>
      <c r="AC155" s="661"/>
      <c r="AD155" s="662">
        <f t="shared" ref="AD155" si="1962">IF(AC155=0,0,AC155/AC$4)</f>
        <v>0</v>
      </c>
      <c r="AE155" s="654"/>
    </row>
    <row r="156" spans="1:36" s="556" customFormat="1" ht="15.75" hidden="1" outlineLevel="3">
      <c r="A156" s="612" t="s">
        <v>1565</v>
      </c>
      <c r="B156" s="560" t="s">
        <v>1564</v>
      </c>
      <c r="C156" s="661"/>
      <c r="D156" s="662">
        <f t="shared" si="1631"/>
        <v>0</v>
      </c>
      <c r="E156" s="661"/>
      <c r="F156" s="662">
        <f t="shared" si="1631"/>
        <v>0</v>
      </c>
      <c r="G156" s="661"/>
      <c r="H156" s="662">
        <f t="shared" ref="H156" si="1963">IF(G156=0,0,G156/G$4)</f>
        <v>0</v>
      </c>
      <c r="I156" s="661"/>
      <c r="J156" s="662">
        <f t="shared" ref="J156" si="1964">IF(I156=0,0,I156/I$4)</f>
        <v>0</v>
      </c>
      <c r="K156" s="661"/>
      <c r="L156" s="662">
        <f t="shared" ref="L156" si="1965">IF(K156=0,0,K156/K$4)</f>
        <v>0</v>
      </c>
      <c r="M156" s="661"/>
      <c r="N156" s="662">
        <f t="shared" ref="N156" si="1966">IF(M156=0,0,M156/M$4)</f>
        <v>0</v>
      </c>
      <c r="O156" s="661"/>
      <c r="P156" s="662">
        <f t="shared" ref="P156" si="1967">IF(O156=0,0,O156/O$4)</f>
        <v>0</v>
      </c>
      <c r="Q156" s="661"/>
      <c r="R156" s="662">
        <f t="shared" ref="R156" si="1968">IF(Q156=0,0,Q156/Q$4)</f>
        <v>0</v>
      </c>
      <c r="S156" s="661"/>
      <c r="T156" s="662">
        <f t="shared" ref="T156" si="1969">IF(S156=0,0,S156/S$4)</f>
        <v>0</v>
      </c>
      <c r="U156" s="661"/>
      <c r="V156" s="662">
        <f t="shared" ref="V156" si="1970">IF(U156=0,0,U156/U$4)</f>
        <v>0</v>
      </c>
      <c r="W156" s="661"/>
      <c r="X156" s="662">
        <f t="shared" ref="X156" si="1971">IF(W156=0,0,W156/W$4)</f>
        <v>0</v>
      </c>
      <c r="Y156" s="661"/>
      <c r="Z156" s="662">
        <f t="shared" ref="Z156" si="1972">IF(Y156=0,0,Y156/Y$4)</f>
        <v>0</v>
      </c>
      <c r="AA156" s="661"/>
      <c r="AB156" s="662">
        <f t="shared" ref="AB156" si="1973">IF(AA156=0,0,AA156/AA$4)</f>
        <v>0</v>
      </c>
      <c r="AC156" s="661"/>
      <c r="AD156" s="662">
        <f t="shared" ref="AD156" si="1974">IF(AC156=0,0,AC156/AC$4)</f>
        <v>0</v>
      </c>
      <c r="AE156" s="654"/>
    </row>
    <row r="157" spans="1:36" s="556" customFormat="1" ht="15.75" hidden="1" outlineLevel="3">
      <c r="A157" s="612" t="s">
        <v>1563</v>
      </c>
      <c r="B157" s="560" t="s">
        <v>1562</v>
      </c>
      <c r="C157" s="661"/>
      <c r="D157" s="662">
        <f t="shared" si="1631"/>
        <v>0</v>
      </c>
      <c r="E157" s="661"/>
      <c r="F157" s="662">
        <f t="shared" si="1631"/>
        <v>0</v>
      </c>
      <c r="G157" s="661"/>
      <c r="H157" s="662">
        <f t="shared" ref="H157" si="1975">IF(G157=0,0,G157/G$4)</f>
        <v>0</v>
      </c>
      <c r="I157" s="661"/>
      <c r="J157" s="662">
        <f t="shared" ref="J157" si="1976">IF(I157=0,0,I157/I$4)</f>
        <v>0</v>
      </c>
      <c r="K157" s="661"/>
      <c r="L157" s="662">
        <f t="shared" ref="L157" si="1977">IF(K157=0,0,K157/K$4)</f>
        <v>0</v>
      </c>
      <c r="M157" s="661"/>
      <c r="N157" s="662">
        <f t="shared" ref="N157" si="1978">IF(M157=0,0,M157/M$4)</f>
        <v>0</v>
      </c>
      <c r="O157" s="661"/>
      <c r="P157" s="662">
        <f t="shared" ref="P157" si="1979">IF(O157=0,0,O157/O$4)</f>
        <v>0</v>
      </c>
      <c r="Q157" s="661"/>
      <c r="R157" s="662">
        <f t="shared" ref="R157" si="1980">IF(Q157=0,0,Q157/Q$4)</f>
        <v>0</v>
      </c>
      <c r="S157" s="661"/>
      <c r="T157" s="662">
        <f t="shared" ref="T157" si="1981">IF(S157=0,0,S157/S$4)</f>
        <v>0</v>
      </c>
      <c r="U157" s="661"/>
      <c r="V157" s="662">
        <f t="shared" ref="V157" si="1982">IF(U157=0,0,U157/U$4)</f>
        <v>0</v>
      </c>
      <c r="W157" s="661"/>
      <c r="X157" s="662">
        <f t="shared" ref="X157" si="1983">IF(W157=0,0,W157/W$4)</f>
        <v>0</v>
      </c>
      <c r="Y157" s="661"/>
      <c r="Z157" s="662">
        <f t="shared" ref="Z157" si="1984">IF(Y157=0,0,Y157/Y$4)</f>
        <v>0</v>
      </c>
      <c r="AA157" s="661"/>
      <c r="AB157" s="662">
        <f t="shared" ref="AB157" si="1985">IF(AA157=0,0,AA157/AA$4)</f>
        <v>0</v>
      </c>
      <c r="AC157" s="661"/>
      <c r="AD157" s="662">
        <f t="shared" ref="AD157" si="1986">IF(AC157=0,0,AC157/AC$4)</f>
        <v>0</v>
      </c>
      <c r="AE157" s="654"/>
    </row>
    <row r="158" spans="1:36" s="556" customFormat="1" ht="15.75" outlineLevel="1" collapsed="1">
      <c r="A158" s="610" t="s">
        <v>1561</v>
      </c>
      <c r="B158" s="558" t="s">
        <v>1025</v>
      </c>
      <c r="C158" s="657">
        <f>C159+C164+C168+C171+C172+C173+C180+C181+C182+C183</f>
        <v>0</v>
      </c>
      <c r="D158" s="658">
        <f t="shared" si="1631"/>
        <v>0</v>
      </c>
      <c r="E158" s="657">
        <f t="shared" ref="E158" si="1987">E159+E164+E168+E171+E172+E173+E180+E181+E182+E183</f>
        <v>1645679761.6907582</v>
      </c>
      <c r="F158" s="658">
        <f t="shared" si="1631"/>
        <v>38233.388975925431</v>
      </c>
      <c r="G158" s="657">
        <f t="shared" ref="G158" si="1988">G159+G164+G168+G171+G172+G173+G180+G181+G182+G183</f>
        <v>12559037.326003784</v>
      </c>
      <c r="H158" s="658">
        <f t="shared" ref="H158" si="1989">IF(G158=0,0,G158/G$4)</f>
        <v>300.85248609574091</v>
      </c>
      <c r="I158" s="657">
        <f t="shared" ref="I158" si="1990">I159+I164+I168+I171+I172+I173+I180+I181+I182+I183</f>
        <v>8716251.842261998</v>
      </c>
      <c r="J158" s="658">
        <f t="shared" ref="J158" si="1991">IF(I158=0,0,I158/I$4)</f>
        <v>297.04347447950528</v>
      </c>
      <c r="K158" s="657">
        <f t="shared" ref="K158" si="1992">K159+K164+K168+K171+K172+K173+K180+K181+K182+K183</f>
        <v>16881110.623942945</v>
      </c>
      <c r="L158" s="658">
        <f t="shared" ref="L158" si="1993">IF(K158=0,0,K158/K$4)</f>
        <v>396.50349930397681</v>
      </c>
      <c r="M158" s="657">
        <f t="shared" ref="M158" si="1994">M159+M164+M168+M171+M172+M173+M180+M181+M182+M183</f>
        <v>9133613.9742710404</v>
      </c>
      <c r="N158" s="658">
        <f t="shared" ref="N158" si="1995">IF(M158=0,0,M158/M$4)</f>
        <v>2120.7425406963498</v>
      </c>
      <c r="O158" s="657">
        <f t="shared" ref="O158" si="1996">O159+O164+O168+O171+O172+O173+O180+O181+O182+O183</f>
        <v>0</v>
      </c>
      <c r="P158" s="658">
        <f t="shared" ref="P158" si="1997">IF(O158=0,0,O158/O$4)</f>
        <v>0</v>
      </c>
      <c r="Q158" s="657">
        <f t="shared" ref="Q158" si="1998">Q159+Q164+Q168+Q171+Q172+Q173+Q180+Q181+Q182+Q183</f>
        <v>0</v>
      </c>
      <c r="R158" s="658">
        <f t="shared" ref="R158" si="1999">IF(Q158=0,0,Q158/Q$4)</f>
        <v>0</v>
      </c>
      <c r="S158" s="657">
        <f t="shared" ref="S158" si="2000">S159+S164+S168+S171+S172+S173+S180+S181+S182+S183</f>
        <v>0</v>
      </c>
      <c r="T158" s="658">
        <f t="shared" ref="T158" si="2001">IF(S158=0,0,S158/S$4)</f>
        <v>0</v>
      </c>
      <c r="U158" s="657">
        <f t="shared" ref="U158" si="2002">U159+U164+U168+U171+U172+U173+U180+U181+U182+U183</f>
        <v>0</v>
      </c>
      <c r="V158" s="658">
        <f t="shared" ref="V158" si="2003">IF(U158=0,0,U158/U$4)</f>
        <v>0</v>
      </c>
      <c r="W158" s="657">
        <f t="shared" ref="W158" si="2004">W159+W164+W168+W171+W172+W173+W180+W181+W182+W183</f>
        <v>0</v>
      </c>
      <c r="X158" s="658">
        <f t="shared" ref="X158" si="2005">IF(W158=0,0,W158/W$4)</f>
        <v>0</v>
      </c>
      <c r="Y158" s="657">
        <f t="shared" ref="Y158" si="2006">Y159+Y164+Y168+Y171+Y172+Y173+Y180+Y181+Y182+Y183</f>
        <v>0</v>
      </c>
      <c r="Z158" s="658">
        <f t="shared" ref="Z158" si="2007">IF(Y158=0,0,Y158/Y$4)</f>
        <v>0</v>
      </c>
      <c r="AA158" s="657">
        <f t="shared" ref="AA158" si="2008">AA159+AA164+AA168+AA171+AA172+AA173+AA180+AA181+AA182+AA183</f>
        <v>0</v>
      </c>
      <c r="AB158" s="658">
        <f t="shared" ref="AB158" si="2009">IF(AA158=0,0,AA158/AA$4)</f>
        <v>0</v>
      </c>
      <c r="AC158" s="657">
        <f t="shared" ref="AC158" si="2010">AC159+AC164+AC168+AC171+AC172+AC173+AC180+AC181+AC182+AC183</f>
        <v>1692969775.4572382</v>
      </c>
      <c r="AD158" s="658">
        <f t="shared" ref="AD158" si="2011">IF(AC158=0,0,AC158/AC$4)</f>
        <v>10514.496211616046</v>
      </c>
      <c r="AE158" s="654"/>
    </row>
    <row r="159" spans="1:36" s="556" customFormat="1" ht="15.75" hidden="1" outlineLevel="2" collapsed="1">
      <c r="A159" s="609" t="s">
        <v>1560</v>
      </c>
      <c r="B159" s="559" t="s">
        <v>10</v>
      </c>
      <c r="C159" s="659">
        <f>SUM(C160:C163)</f>
        <v>0</v>
      </c>
      <c r="D159" s="660">
        <f t="shared" si="1631"/>
        <v>0</v>
      </c>
      <c r="E159" s="659">
        <f t="shared" ref="E159" si="2012">SUM(E160:E163)</f>
        <v>536919287.56259239</v>
      </c>
      <c r="F159" s="660">
        <f t="shared" si="1631"/>
        <v>12474.021038556615</v>
      </c>
      <c r="G159" s="659">
        <f t="shared" ref="G159" si="2013">SUM(G160:G163)</f>
        <v>3720195.1043088553</v>
      </c>
      <c r="H159" s="660">
        <f t="shared" ref="H159" si="2014">IF(G159=0,0,G159/G$4)</f>
        <v>89.117494983085294</v>
      </c>
      <c r="I159" s="659">
        <f t="shared" ref="I159" si="2015">SUM(I160:I163)</f>
        <v>2581898.324672306</v>
      </c>
      <c r="J159" s="660">
        <f t="shared" ref="J159" si="2016">IF(I159=0,0,I159/I$4)</f>
        <v>87.989202583027264</v>
      </c>
      <c r="K159" s="659">
        <f t="shared" ref="K159" si="2017">SUM(K160:K163)</f>
        <v>5000464.8818470929</v>
      </c>
      <c r="L159" s="660">
        <f t="shared" ref="L159" si="2018">IF(K159=0,0,K159/K$4)</f>
        <v>117.45091113773631</v>
      </c>
      <c r="M159" s="659">
        <f t="shared" ref="M159" si="2019">SUM(M160:M163)</f>
        <v>2705527.9086858118</v>
      </c>
      <c r="N159" s="660">
        <f t="shared" ref="N159" si="2020">IF(M159=0,0,M159/M$4)</f>
        <v>628.19910575968504</v>
      </c>
      <c r="O159" s="659">
        <f t="shared" ref="O159" si="2021">SUM(O160:O163)</f>
        <v>0</v>
      </c>
      <c r="P159" s="660">
        <f t="shared" ref="P159" si="2022">IF(O159=0,0,O159/O$4)</f>
        <v>0</v>
      </c>
      <c r="Q159" s="659">
        <f t="shared" ref="Q159" si="2023">SUM(Q160:Q163)</f>
        <v>0</v>
      </c>
      <c r="R159" s="660">
        <f t="shared" ref="R159" si="2024">IF(Q159=0,0,Q159/Q$4)</f>
        <v>0</v>
      </c>
      <c r="S159" s="659">
        <f t="shared" ref="S159" si="2025">SUM(S160:S163)</f>
        <v>0</v>
      </c>
      <c r="T159" s="660">
        <f t="shared" ref="T159" si="2026">IF(S159=0,0,S159/S$4)</f>
        <v>0</v>
      </c>
      <c r="U159" s="659">
        <f t="shared" ref="U159" si="2027">SUM(U160:U163)</f>
        <v>0</v>
      </c>
      <c r="V159" s="660">
        <f t="shared" ref="V159" si="2028">IF(U159=0,0,U159/U$4)</f>
        <v>0</v>
      </c>
      <c r="W159" s="659">
        <f t="shared" ref="W159" si="2029">SUM(W160:W163)</f>
        <v>0</v>
      </c>
      <c r="X159" s="660">
        <f t="shared" ref="X159" si="2030">IF(W159=0,0,W159/W$4)</f>
        <v>0</v>
      </c>
      <c r="Y159" s="659">
        <f t="shared" ref="Y159" si="2031">SUM(Y160:Y163)</f>
        <v>0</v>
      </c>
      <c r="Z159" s="660">
        <f t="shared" ref="Z159" si="2032">IF(Y159=0,0,Y159/Y$4)</f>
        <v>0</v>
      </c>
      <c r="AA159" s="659">
        <f t="shared" ref="AA159" si="2033">SUM(AA160:AA163)</f>
        <v>0</v>
      </c>
      <c r="AB159" s="660">
        <f t="shared" ref="AB159" si="2034">IF(AA159=0,0,AA159/AA$4)</f>
        <v>0</v>
      </c>
      <c r="AC159" s="659">
        <f t="shared" ref="AC159" si="2035">SUM(AC160:AC163)</f>
        <v>550927373.78210652</v>
      </c>
      <c r="AD159" s="660">
        <f t="shared" ref="AD159" si="2036">IF(AC159=0,0,AC159/AC$4)</f>
        <v>3421.6344960695087</v>
      </c>
      <c r="AE159" s="654"/>
    </row>
    <row r="160" spans="1:36" s="556" customFormat="1" ht="15.75" hidden="1" outlineLevel="3">
      <c r="A160" s="612" t="s">
        <v>1559</v>
      </c>
      <c r="B160" s="560" t="s">
        <v>1027</v>
      </c>
      <c r="C160" s="661"/>
      <c r="D160" s="662">
        <f t="shared" si="1631"/>
        <v>0</v>
      </c>
      <c r="E160" s="661">
        <f>Калькулятор_жилье!$L$141*уникальные!H186</f>
        <v>536919287.56259239</v>
      </c>
      <c r="F160" s="662">
        <f t="shared" si="1631"/>
        <v>12474.021038556615</v>
      </c>
      <c r="G160" s="661">
        <f>Калькулятор_жилье!M$149*уникальные!$E$181+Калькулятор_жилье!M$150*уникальные!$B$178</f>
        <v>3720195.1043088553</v>
      </c>
      <c r="H160" s="662">
        <f t="shared" ref="H160" si="2037">IF(G160=0,0,G160/G$4)</f>
        <v>89.117494983085294</v>
      </c>
      <c r="I160" s="661">
        <f>Калькулятор_жилье!N$149*уникальные!$E$181+Калькулятор_жилье!N$150*уникальные!$B$178</f>
        <v>2581898.324672306</v>
      </c>
      <c r="J160" s="662">
        <f t="shared" ref="J160" si="2038">IF(I160=0,0,I160/I$4)</f>
        <v>87.989202583027264</v>
      </c>
      <c r="K160" s="661">
        <f>Калькулятор_жилье!O$149*уникальные!$E$181+Калькулятор_жилье!O$150*уникальные!$B$178</f>
        <v>5000464.8818470929</v>
      </c>
      <c r="L160" s="662">
        <f t="shared" ref="L160" si="2039">IF(K160=0,0,K160/K$4)</f>
        <v>117.45091113773631</v>
      </c>
      <c r="M160" s="661">
        <f>Калькулятор_жилье!P$149*уникальные!$E$181+Калькулятор_жилье!P$150*уникальные!$B$178</f>
        <v>2705527.9086858118</v>
      </c>
      <c r="N160" s="662">
        <f t="shared" ref="N160" si="2040">IF(M160=0,0,M160/M$4)</f>
        <v>628.19910575968504</v>
      </c>
      <c r="O160" s="661">
        <f>Калькулятор_жилье!Q$149*уникальные!$E$181+Калькулятор_жилье!Q$150*уникальные!$B$178</f>
        <v>0</v>
      </c>
      <c r="P160" s="662">
        <f t="shared" ref="P160" si="2041">IF(O160=0,0,O160/O$4)</f>
        <v>0</v>
      </c>
      <c r="Q160" s="661">
        <f>Калькулятор_жилье!R$149*уникальные!$E$181+Калькулятор_жилье!R$150*уникальные!$B$178</f>
        <v>0</v>
      </c>
      <c r="R160" s="662">
        <f t="shared" ref="R160" si="2042">IF(Q160=0,0,Q160/Q$4)</f>
        <v>0</v>
      </c>
      <c r="S160" s="661">
        <f>Калькулятор_жилье!S$149*уникальные!$E$181+Калькулятор_жилье!S$150*уникальные!$B$178</f>
        <v>0</v>
      </c>
      <c r="T160" s="662">
        <f t="shared" ref="T160" si="2043">IF(S160=0,0,S160/S$4)</f>
        <v>0</v>
      </c>
      <c r="U160" s="661">
        <f>Калькулятор_жилье!T$149*уникальные!$E$181+Калькулятор_жилье!T$150*уникальные!$B$178</f>
        <v>0</v>
      </c>
      <c r="V160" s="662">
        <f t="shared" ref="V160" si="2044">IF(U160=0,0,U160/U$4)</f>
        <v>0</v>
      </c>
      <c r="W160" s="661">
        <f>Калькулятор_жилье!U$149*уникальные!$E$181+Калькулятор_жилье!U$150*уникальные!$B$178</f>
        <v>0</v>
      </c>
      <c r="X160" s="662">
        <f t="shared" ref="X160" si="2045">IF(W160=0,0,W160/W$4)</f>
        <v>0</v>
      </c>
      <c r="Y160" s="661">
        <f>Калькулятор_жилье!V$149*уникальные!$E$181+Калькулятор_жилье!V$150*уникальные!$B$178</f>
        <v>0</v>
      </c>
      <c r="Z160" s="662">
        <f t="shared" ref="Z160" si="2046">IF(Y160=0,0,Y160/Y$4)</f>
        <v>0</v>
      </c>
      <c r="AA160" s="661">
        <f>Калькулятор_жилье!W$149*уникальные!$E$181+Калькулятор_жилье!W$150*уникальные!$B$178</f>
        <v>0</v>
      </c>
      <c r="AB160" s="662">
        <f t="shared" ref="AB160" si="2047">IF(AA160=0,0,AA160/AA$4)</f>
        <v>0</v>
      </c>
      <c r="AC160" s="661">
        <f>C160+E160+G160+I160+K160+M160+O160+Q160+S160+U160+W160+AA160+Y160</f>
        <v>550927373.78210652</v>
      </c>
      <c r="AD160" s="662">
        <f t="shared" ref="AD160" si="2048">IF(AC160=0,0,AC160/AC$4)</f>
        <v>3421.6344960695087</v>
      </c>
      <c r="AE160" s="654"/>
    </row>
    <row r="161" spans="1:31" s="556" customFormat="1" ht="15.75" hidden="1" outlineLevel="3">
      <c r="A161" s="612" t="s">
        <v>1558</v>
      </c>
      <c r="B161" s="560" t="s">
        <v>1028</v>
      </c>
      <c r="C161" s="661"/>
      <c r="D161" s="662">
        <f t="shared" si="1631"/>
        <v>0</v>
      </c>
      <c r="E161" s="661"/>
      <c r="F161" s="662">
        <f t="shared" si="1631"/>
        <v>0</v>
      </c>
      <c r="G161" s="661"/>
      <c r="H161" s="662">
        <f t="shared" ref="H161" si="2049">IF(G161=0,0,G161/G$4)</f>
        <v>0</v>
      </c>
      <c r="I161" s="661"/>
      <c r="J161" s="662">
        <f t="shared" ref="J161" si="2050">IF(I161=0,0,I161/I$4)</f>
        <v>0</v>
      </c>
      <c r="K161" s="661"/>
      <c r="L161" s="662">
        <f t="shared" ref="L161" si="2051">IF(K161=0,0,K161/K$4)</f>
        <v>0</v>
      </c>
      <c r="M161" s="661"/>
      <c r="N161" s="662">
        <f t="shared" ref="N161" si="2052">IF(M161=0,0,M161/M$4)</f>
        <v>0</v>
      </c>
      <c r="O161" s="661"/>
      <c r="P161" s="662">
        <f t="shared" ref="P161" si="2053">IF(O161=0,0,O161/O$4)</f>
        <v>0</v>
      </c>
      <c r="Q161" s="661"/>
      <c r="R161" s="662">
        <f t="shared" ref="R161" si="2054">IF(Q161=0,0,Q161/Q$4)</f>
        <v>0</v>
      </c>
      <c r="S161" s="661"/>
      <c r="T161" s="662">
        <f t="shared" ref="T161" si="2055">IF(S161=0,0,S161/S$4)</f>
        <v>0</v>
      </c>
      <c r="U161" s="661"/>
      <c r="V161" s="662">
        <f t="shared" ref="V161" si="2056">IF(U161=0,0,U161/U$4)</f>
        <v>0</v>
      </c>
      <c r="W161" s="661"/>
      <c r="X161" s="662">
        <f t="shared" ref="X161" si="2057">IF(W161=0,0,W161/W$4)</f>
        <v>0</v>
      </c>
      <c r="Y161" s="661"/>
      <c r="Z161" s="662">
        <f t="shared" ref="Z161" si="2058">IF(Y161=0,0,Y161/Y$4)</f>
        <v>0</v>
      </c>
      <c r="AA161" s="661"/>
      <c r="AB161" s="662">
        <f t="shared" ref="AB161" si="2059">IF(AA161=0,0,AA161/AA$4)</f>
        <v>0</v>
      </c>
      <c r="AC161" s="661"/>
      <c r="AD161" s="662">
        <f t="shared" ref="AD161" si="2060">IF(AC161=0,0,AC161/AC$4)</f>
        <v>0</v>
      </c>
      <c r="AE161" s="654"/>
    </row>
    <row r="162" spans="1:31" s="556" customFormat="1" ht="15.75" hidden="1" outlineLevel="3">
      <c r="A162" s="612" t="s">
        <v>1557</v>
      </c>
      <c r="B162" s="560" t="s">
        <v>1030</v>
      </c>
      <c r="C162" s="661"/>
      <c r="D162" s="662">
        <f t="shared" si="1631"/>
        <v>0</v>
      </c>
      <c r="E162" s="661"/>
      <c r="F162" s="662">
        <f t="shared" si="1631"/>
        <v>0</v>
      </c>
      <c r="G162" s="661"/>
      <c r="H162" s="662">
        <f t="shared" ref="H162" si="2061">IF(G162=0,0,G162/G$4)</f>
        <v>0</v>
      </c>
      <c r="I162" s="661"/>
      <c r="J162" s="662">
        <f t="shared" ref="J162" si="2062">IF(I162=0,0,I162/I$4)</f>
        <v>0</v>
      </c>
      <c r="K162" s="661"/>
      <c r="L162" s="662">
        <f t="shared" ref="L162" si="2063">IF(K162=0,0,K162/K$4)</f>
        <v>0</v>
      </c>
      <c r="M162" s="661"/>
      <c r="N162" s="662">
        <f t="shared" ref="N162" si="2064">IF(M162=0,0,M162/M$4)</f>
        <v>0</v>
      </c>
      <c r="O162" s="661"/>
      <c r="P162" s="662">
        <f t="shared" ref="P162" si="2065">IF(O162=0,0,O162/O$4)</f>
        <v>0</v>
      </c>
      <c r="Q162" s="661"/>
      <c r="R162" s="662">
        <f t="shared" ref="R162" si="2066">IF(Q162=0,0,Q162/Q$4)</f>
        <v>0</v>
      </c>
      <c r="S162" s="661"/>
      <c r="T162" s="662">
        <f t="shared" ref="T162" si="2067">IF(S162=0,0,S162/S$4)</f>
        <v>0</v>
      </c>
      <c r="U162" s="661"/>
      <c r="V162" s="662">
        <f t="shared" ref="V162" si="2068">IF(U162=0,0,U162/U$4)</f>
        <v>0</v>
      </c>
      <c r="W162" s="661"/>
      <c r="X162" s="662">
        <f t="shared" ref="X162" si="2069">IF(W162=0,0,W162/W$4)</f>
        <v>0</v>
      </c>
      <c r="Y162" s="661"/>
      <c r="Z162" s="662">
        <f t="shared" ref="Z162" si="2070">IF(Y162=0,0,Y162/Y$4)</f>
        <v>0</v>
      </c>
      <c r="AA162" s="661"/>
      <c r="AB162" s="662">
        <f t="shared" ref="AB162" si="2071">IF(AA162=0,0,AA162/AA$4)</f>
        <v>0</v>
      </c>
      <c r="AC162" s="661"/>
      <c r="AD162" s="662">
        <f t="shared" ref="AD162" si="2072">IF(AC162=0,0,AC162/AC$4)</f>
        <v>0</v>
      </c>
      <c r="AE162" s="654"/>
    </row>
    <row r="163" spans="1:31" s="556" customFormat="1" ht="15.75" hidden="1" outlineLevel="3">
      <c r="A163" s="612" t="s">
        <v>1556</v>
      </c>
      <c r="B163" s="560" t="s">
        <v>1032</v>
      </c>
      <c r="C163" s="661"/>
      <c r="D163" s="662">
        <f t="shared" si="1631"/>
        <v>0</v>
      </c>
      <c r="E163" s="661"/>
      <c r="F163" s="662">
        <f t="shared" si="1631"/>
        <v>0</v>
      </c>
      <c r="G163" s="661"/>
      <c r="H163" s="662">
        <f t="shared" ref="H163" si="2073">IF(G163=0,0,G163/G$4)</f>
        <v>0</v>
      </c>
      <c r="I163" s="661"/>
      <c r="J163" s="662">
        <f t="shared" ref="J163" si="2074">IF(I163=0,0,I163/I$4)</f>
        <v>0</v>
      </c>
      <c r="K163" s="661"/>
      <c r="L163" s="662">
        <f t="shared" ref="L163" si="2075">IF(K163=0,0,K163/K$4)</f>
        <v>0</v>
      </c>
      <c r="M163" s="661"/>
      <c r="N163" s="662">
        <f t="shared" ref="N163" si="2076">IF(M163=0,0,M163/M$4)</f>
        <v>0</v>
      </c>
      <c r="O163" s="661"/>
      <c r="P163" s="662">
        <f t="shared" ref="P163" si="2077">IF(O163=0,0,O163/O$4)</f>
        <v>0</v>
      </c>
      <c r="Q163" s="661"/>
      <c r="R163" s="662">
        <f t="shared" ref="R163" si="2078">IF(Q163=0,0,Q163/Q$4)</f>
        <v>0</v>
      </c>
      <c r="S163" s="661"/>
      <c r="T163" s="662">
        <f t="shared" ref="T163" si="2079">IF(S163=0,0,S163/S$4)</f>
        <v>0</v>
      </c>
      <c r="U163" s="661"/>
      <c r="V163" s="662">
        <f t="shared" ref="V163" si="2080">IF(U163=0,0,U163/U$4)</f>
        <v>0</v>
      </c>
      <c r="W163" s="661"/>
      <c r="X163" s="662">
        <f t="shared" ref="X163" si="2081">IF(W163=0,0,W163/W$4)</f>
        <v>0</v>
      </c>
      <c r="Y163" s="661"/>
      <c r="Z163" s="662">
        <f t="shared" ref="Z163" si="2082">IF(Y163=0,0,Y163/Y$4)</f>
        <v>0</v>
      </c>
      <c r="AA163" s="661"/>
      <c r="AB163" s="662">
        <f t="shared" ref="AB163" si="2083">IF(AA163=0,0,AA163/AA$4)</f>
        <v>0</v>
      </c>
      <c r="AC163" s="661"/>
      <c r="AD163" s="662">
        <f t="shared" ref="AD163" si="2084">IF(AC163=0,0,AC163/AC$4)</f>
        <v>0</v>
      </c>
      <c r="AE163" s="654"/>
    </row>
    <row r="164" spans="1:31" s="556" customFormat="1" ht="15.75" hidden="1" outlineLevel="2">
      <c r="A164" s="609" t="s">
        <v>1555</v>
      </c>
      <c r="B164" s="559" t="s">
        <v>1033</v>
      </c>
      <c r="C164" s="659">
        <f>SUM(C165:C167)</f>
        <v>0</v>
      </c>
      <c r="D164" s="660">
        <f t="shared" si="1631"/>
        <v>0</v>
      </c>
      <c r="E164" s="659">
        <f t="shared" ref="E164" si="2085">SUM(E165:E167)</f>
        <v>111707411.3336</v>
      </c>
      <c r="F164" s="660">
        <f t="shared" si="1631"/>
        <v>2595.2515236763238</v>
      </c>
      <c r="G164" s="659">
        <f t="shared" ref="G164" si="2086">SUM(G165:G167)</f>
        <v>0</v>
      </c>
      <c r="H164" s="660">
        <f t="shared" ref="H164" si="2087">IF(G164=0,0,G164/G$4)</f>
        <v>0</v>
      </c>
      <c r="I164" s="659">
        <f t="shared" ref="I164" si="2088">SUM(I165:I167)</f>
        <v>0</v>
      </c>
      <c r="J164" s="660">
        <f t="shared" ref="J164" si="2089">IF(I164=0,0,I164/I$4)</f>
        <v>0</v>
      </c>
      <c r="K164" s="659">
        <f t="shared" ref="K164" si="2090">SUM(K165:K167)</f>
        <v>0</v>
      </c>
      <c r="L164" s="660">
        <f t="shared" ref="L164" si="2091">IF(K164=0,0,K164/K$4)</f>
        <v>0</v>
      </c>
      <c r="M164" s="659">
        <f t="shared" ref="M164" si="2092">SUM(M165:M167)</f>
        <v>0</v>
      </c>
      <c r="N164" s="660">
        <f t="shared" ref="N164" si="2093">IF(M164=0,0,M164/M$4)</f>
        <v>0</v>
      </c>
      <c r="O164" s="659">
        <f t="shared" ref="O164" si="2094">SUM(O165:O167)</f>
        <v>0</v>
      </c>
      <c r="P164" s="660">
        <f t="shared" ref="P164" si="2095">IF(O164=0,0,O164/O$4)</f>
        <v>0</v>
      </c>
      <c r="Q164" s="659">
        <f t="shared" ref="Q164" si="2096">SUM(Q165:Q167)</f>
        <v>0</v>
      </c>
      <c r="R164" s="660">
        <f t="shared" ref="R164" si="2097">IF(Q164=0,0,Q164/Q$4)</f>
        <v>0</v>
      </c>
      <c r="S164" s="659">
        <f t="shared" ref="S164" si="2098">SUM(S165:S167)</f>
        <v>0</v>
      </c>
      <c r="T164" s="660">
        <f t="shared" ref="T164" si="2099">IF(S164=0,0,S164/S$4)</f>
        <v>0</v>
      </c>
      <c r="U164" s="659">
        <f t="shared" ref="U164" si="2100">SUM(U165:U167)</f>
        <v>0</v>
      </c>
      <c r="V164" s="660">
        <f t="shared" ref="V164" si="2101">IF(U164=0,0,U164/U$4)</f>
        <v>0</v>
      </c>
      <c r="W164" s="659">
        <f t="shared" ref="W164" si="2102">SUM(W165:W167)</f>
        <v>0</v>
      </c>
      <c r="X164" s="660">
        <f t="shared" ref="X164" si="2103">IF(W164=0,0,W164/W$4)</f>
        <v>0</v>
      </c>
      <c r="Y164" s="659">
        <f t="shared" ref="Y164" si="2104">SUM(Y165:Y167)</f>
        <v>0</v>
      </c>
      <c r="Z164" s="660">
        <f t="shared" ref="Z164" si="2105">IF(Y164=0,0,Y164/Y$4)</f>
        <v>0</v>
      </c>
      <c r="AA164" s="659">
        <f t="shared" ref="AA164" si="2106">SUM(AA165:AA167)</f>
        <v>0</v>
      </c>
      <c r="AB164" s="660">
        <f t="shared" ref="AB164" si="2107">IF(AA164=0,0,AA164/AA$4)</f>
        <v>0</v>
      </c>
      <c r="AC164" s="659">
        <f>SUM(AC165:AC167)</f>
        <v>111707411.3336</v>
      </c>
      <c r="AD164" s="660">
        <f t="shared" ref="AD164" si="2108">IF(AC164=0,0,AC164/AC$4)</f>
        <v>693.77916269022001</v>
      </c>
      <c r="AE164" s="654"/>
    </row>
    <row r="165" spans="1:31" s="556" customFormat="1" ht="15.75" hidden="1" outlineLevel="3">
      <c r="A165" s="612" t="s">
        <v>1554</v>
      </c>
      <c r="B165" s="560" t="s">
        <v>1034</v>
      </c>
      <c r="C165" s="661"/>
      <c r="D165" s="662">
        <f t="shared" si="1631"/>
        <v>0</v>
      </c>
      <c r="E165" s="661">
        <f>Калькулятор_жилье!$L$141*уникальные!H188</f>
        <v>0</v>
      </c>
      <c r="F165" s="662">
        <f t="shared" si="1631"/>
        <v>0</v>
      </c>
      <c r="G165" s="661"/>
      <c r="H165" s="662">
        <f t="shared" ref="H165" si="2109">IF(G165=0,0,G165/G$4)</f>
        <v>0</v>
      </c>
      <c r="I165" s="661"/>
      <c r="J165" s="662">
        <f t="shared" ref="J165" si="2110">IF(I165=0,0,I165/I$4)</f>
        <v>0</v>
      </c>
      <c r="K165" s="661"/>
      <c r="L165" s="662">
        <f t="shared" ref="L165" si="2111">IF(K165=0,0,K165/K$4)</f>
        <v>0</v>
      </c>
      <c r="M165" s="661"/>
      <c r="N165" s="662">
        <f t="shared" ref="N165" si="2112">IF(M165=0,0,M165/M$4)</f>
        <v>0</v>
      </c>
      <c r="O165" s="661"/>
      <c r="P165" s="662">
        <f t="shared" ref="P165" si="2113">IF(O165=0,0,O165/O$4)</f>
        <v>0</v>
      </c>
      <c r="Q165" s="661"/>
      <c r="R165" s="662">
        <f t="shared" ref="R165" si="2114">IF(Q165=0,0,Q165/Q$4)</f>
        <v>0</v>
      </c>
      <c r="S165" s="661"/>
      <c r="T165" s="662">
        <f t="shared" ref="T165" si="2115">IF(S165=0,0,S165/S$4)</f>
        <v>0</v>
      </c>
      <c r="U165" s="661"/>
      <c r="V165" s="662">
        <f t="shared" ref="V165" si="2116">IF(U165=0,0,U165/U$4)</f>
        <v>0</v>
      </c>
      <c r="W165" s="661"/>
      <c r="X165" s="662">
        <f t="shared" ref="X165" si="2117">IF(W165=0,0,W165/W$4)</f>
        <v>0</v>
      </c>
      <c r="Y165" s="661"/>
      <c r="Z165" s="662">
        <f t="shared" ref="Z165" si="2118">IF(Y165=0,0,Y165/Y$4)</f>
        <v>0</v>
      </c>
      <c r="AA165" s="661"/>
      <c r="AB165" s="662">
        <f t="shared" ref="AB165" si="2119">IF(AA165=0,0,AA165/AA$4)</f>
        <v>0</v>
      </c>
      <c r="AC165" s="661">
        <f>C165+E165+G165+I165+K165+M165+O165+Q165+S165+U165+W165+AA165+Y165</f>
        <v>0</v>
      </c>
      <c r="AD165" s="662">
        <f t="shared" ref="AD165" si="2120">IF(AC165=0,0,AC165/AC$4)</f>
        <v>0</v>
      </c>
      <c r="AE165" s="654"/>
    </row>
    <row r="166" spans="1:31" s="556" customFormat="1" ht="15.75" hidden="1" outlineLevel="3">
      <c r="A166" s="612" t="s">
        <v>1553</v>
      </c>
      <c r="B166" s="560" t="s">
        <v>59</v>
      </c>
      <c r="C166" s="661"/>
      <c r="D166" s="662">
        <f t="shared" si="1631"/>
        <v>0</v>
      </c>
      <c r="E166" s="661">
        <f>Калькулятор_жилье!L140</f>
        <v>111707411.3336</v>
      </c>
      <c r="F166" s="662">
        <f t="shared" si="1631"/>
        <v>2595.2515236763238</v>
      </c>
      <c r="G166" s="661"/>
      <c r="H166" s="662">
        <f t="shared" ref="H166" si="2121">IF(G166=0,0,G166/G$4)</f>
        <v>0</v>
      </c>
      <c r="I166" s="661"/>
      <c r="J166" s="662">
        <f t="shared" ref="J166" si="2122">IF(I166=0,0,I166/I$4)</f>
        <v>0</v>
      </c>
      <c r="K166" s="661"/>
      <c r="L166" s="662">
        <f t="shared" ref="L166" si="2123">IF(K166=0,0,K166/K$4)</f>
        <v>0</v>
      </c>
      <c r="M166" s="661"/>
      <c r="N166" s="662">
        <f t="shared" ref="N166" si="2124">IF(M166=0,0,M166/M$4)</f>
        <v>0</v>
      </c>
      <c r="O166" s="661"/>
      <c r="P166" s="662">
        <f t="shared" ref="P166" si="2125">IF(O166=0,0,O166/O$4)</f>
        <v>0</v>
      </c>
      <c r="Q166" s="661"/>
      <c r="R166" s="662">
        <f t="shared" ref="R166" si="2126">IF(Q166=0,0,Q166/Q$4)</f>
        <v>0</v>
      </c>
      <c r="S166" s="661"/>
      <c r="T166" s="662">
        <f t="shared" ref="T166" si="2127">IF(S166=0,0,S166/S$4)</f>
        <v>0</v>
      </c>
      <c r="U166" s="661"/>
      <c r="V166" s="662">
        <f t="shared" ref="V166" si="2128">IF(U166=0,0,U166/U$4)</f>
        <v>0</v>
      </c>
      <c r="W166" s="661"/>
      <c r="X166" s="662">
        <f t="shared" ref="X166" si="2129">IF(W166=0,0,W166/W$4)</f>
        <v>0</v>
      </c>
      <c r="Y166" s="661"/>
      <c r="Z166" s="662">
        <f t="shared" ref="Z166" si="2130">IF(Y166=0,0,Y166/Y$4)</f>
        <v>0</v>
      </c>
      <c r="AA166" s="661"/>
      <c r="AB166" s="662">
        <f t="shared" ref="AB166" si="2131">IF(AA166=0,0,AA166/AA$4)</f>
        <v>0</v>
      </c>
      <c r="AC166" s="661">
        <f>C166+E166+G166+I166+K166+M166+O166+Q166+S166+U166+W166+AA166+Y166</f>
        <v>111707411.3336</v>
      </c>
      <c r="AD166" s="662">
        <f t="shared" ref="AD166" si="2132">IF(AC166=0,0,AC166/AC$4)</f>
        <v>693.77916269022001</v>
      </c>
      <c r="AE166" s="654"/>
    </row>
    <row r="167" spans="1:31" s="556" customFormat="1" ht="15.75" hidden="1" outlineLevel="3">
      <c r="A167" s="612" t="s">
        <v>1552</v>
      </c>
      <c r="B167" s="560" t="s">
        <v>1035</v>
      </c>
      <c r="C167" s="661"/>
      <c r="D167" s="662">
        <f t="shared" si="1631"/>
        <v>0</v>
      </c>
      <c r="E167" s="661"/>
      <c r="F167" s="662">
        <f t="shared" si="1631"/>
        <v>0</v>
      </c>
      <c r="G167" s="661"/>
      <c r="H167" s="662">
        <f t="shared" ref="H167" si="2133">IF(G167=0,0,G167/G$4)</f>
        <v>0</v>
      </c>
      <c r="I167" s="661"/>
      <c r="J167" s="662">
        <f t="shared" ref="J167" si="2134">IF(I167=0,0,I167/I$4)</f>
        <v>0</v>
      </c>
      <c r="K167" s="661"/>
      <c r="L167" s="662">
        <f t="shared" ref="L167" si="2135">IF(K167=0,0,K167/K$4)</f>
        <v>0</v>
      </c>
      <c r="M167" s="661"/>
      <c r="N167" s="662">
        <f t="shared" ref="N167" si="2136">IF(M167=0,0,M167/M$4)</f>
        <v>0</v>
      </c>
      <c r="O167" s="661"/>
      <c r="P167" s="662">
        <f t="shared" ref="P167" si="2137">IF(O167=0,0,O167/O$4)</f>
        <v>0</v>
      </c>
      <c r="Q167" s="661"/>
      <c r="R167" s="662">
        <f t="shared" ref="R167" si="2138">IF(Q167=0,0,Q167/Q$4)</f>
        <v>0</v>
      </c>
      <c r="S167" s="661"/>
      <c r="T167" s="662">
        <f t="shared" ref="T167" si="2139">IF(S167=0,0,S167/S$4)</f>
        <v>0</v>
      </c>
      <c r="U167" s="661"/>
      <c r="V167" s="662">
        <f t="shared" ref="V167" si="2140">IF(U167=0,0,U167/U$4)</f>
        <v>0</v>
      </c>
      <c r="W167" s="661"/>
      <c r="X167" s="662">
        <f t="shared" ref="X167" si="2141">IF(W167=0,0,W167/W$4)</f>
        <v>0</v>
      </c>
      <c r="Y167" s="661"/>
      <c r="Z167" s="662">
        <f t="shared" ref="Z167" si="2142">IF(Y167=0,0,Y167/Y$4)</f>
        <v>0</v>
      </c>
      <c r="AA167" s="661"/>
      <c r="AB167" s="662">
        <f t="shared" ref="AB167" si="2143">IF(AA167=0,0,AA167/AA$4)</f>
        <v>0</v>
      </c>
      <c r="AC167" s="661"/>
      <c r="AD167" s="662">
        <f t="shared" ref="AD167" si="2144">IF(AC167=0,0,AC167/AC$4)</f>
        <v>0</v>
      </c>
      <c r="AE167" s="654"/>
    </row>
    <row r="168" spans="1:31" s="556" customFormat="1" ht="15.75" hidden="1" outlineLevel="2" collapsed="1">
      <c r="A168" s="609" t="s">
        <v>1551</v>
      </c>
      <c r="B168" s="559" t="s">
        <v>1037</v>
      </c>
      <c r="C168" s="659">
        <f>SUM(C169:C170)</f>
        <v>0</v>
      </c>
      <c r="D168" s="660">
        <f t="shared" si="1631"/>
        <v>0</v>
      </c>
      <c r="E168" s="659">
        <f t="shared" ref="E168" si="2145">SUM(E169:E170)</f>
        <v>0</v>
      </c>
      <c r="F168" s="660">
        <f t="shared" si="1631"/>
        <v>0</v>
      </c>
      <c r="G168" s="659">
        <f t="shared" ref="G168" si="2146">SUM(G169:G170)</f>
        <v>0</v>
      </c>
      <c r="H168" s="660">
        <f t="shared" ref="H168" si="2147">IF(G168=0,0,G168/G$4)</f>
        <v>0</v>
      </c>
      <c r="I168" s="659">
        <f t="shared" ref="I168" si="2148">SUM(I169:I170)</f>
        <v>0</v>
      </c>
      <c r="J168" s="660">
        <f t="shared" ref="J168" si="2149">IF(I168=0,0,I168/I$4)</f>
        <v>0</v>
      </c>
      <c r="K168" s="659">
        <f t="shared" ref="K168" si="2150">SUM(K169:K170)</f>
        <v>0</v>
      </c>
      <c r="L168" s="660">
        <f t="shared" ref="L168" si="2151">IF(K168=0,0,K168/K$4)</f>
        <v>0</v>
      </c>
      <c r="M168" s="659">
        <f t="shared" ref="M168" si="2152">SUM(M169:M170)</f>
        <v>0</v>
      </c>
      <c r="N168" s="660">
        <f t="shared" ref="N168" si="2153">IF(M168=0,0,M168/M$4)</f>
        <v>0</v>
      </c>
      <c r="O168" s="659">
        <f t="shared" ref="O168" si="2154">SUM(O169:O170)</f>
        <v>0</v>
      </c>
      <c r="P168" s="660">
        <f t="shared" ref="P168" si="2155">IF(O168=0,0,O168/O$4)</f>
        <v>0</v>
      </c>
      <c r="Q168" s="659">
        <f t="shared" ref="Q168" si="2156">SUM(Q169:Q170)</f>
        <v>0</v>
      </c>
      <c r="R168" s="660">
        <f t="shared" ref="R168" si="2157">IF(Q168=0,0,Q168/Q$4)</f>
        <v>0</v>
      </c>
      <c r="S168" s="659">
        <f t="shared" ref="S168" si="2158">SUM(S169:S170)</f>
        <v>0</v>
      </c>
      <c r="T168" s="660">
        <f t="shared" ref="T168" si="2159">IF(S168=0,0,S168/S$4)</f>
        <v>0</v>
      </c>
      <c r="U168" s="659">
        <f t="shared" ref="U168" si="2160">SUM(U169:U170)</f>
        <v>0</v>
      </c>
      <c r="V168" s="660">
        <f t="shared" ref="V168" si="2161">IF(U168=0,0,U168/U$4)</f>
        <v>0</v>
      </c>
      <c r="W168" s="659">
        <f t="shared" ref="W168" si="2162">SUM(W169:W170)</f>
        <v>0</v>
      </c>
      <c r="X168" s="660">
        <f t="shared" ref="X168" si="2163">IF(W168=0,0,W168/W$4)</f>
        <v>0</v>
      </c>
      <c r="Y168" s="659">
        <f t="shared" ref="Y168" si="2164">SUM(Y169:Y170)</f>
        <v>0</v>
      </c>
      <c r="Z168" s="660">
        <f t="shared" ref="Z168" si="2165">IF(Y168=0,0,Y168/Y$4)</f>
        <v>0</v>
      </c>
      <c r="AA168" s="659">
        <f t="shared" ref="AA168" si="2166">SUM(AA169:AA170)</f>
        <v>0</v>
      </c>
      <c r="AB168" s="660">
        <f t="shared" ref="AB168" si="2167">IF(AA168=0,0,AA168/AA$4)</f>
        <v>0</v>
      </c>
      <c r="AC168" s="659">
        <f t="shared" ref="AC168" si="2168">SUM(AC169:AC170)</f>
        <v>0</v>
      </c>
      <c r="AD168" s="660">
        <f t="shared" ref="AD168" si="2169">IF(AC168=0,0,AC168/AC$4)</f>
        <v>0</v>
      </c>
      <c r="AE168" s="654"/>
    </row>
    <row r="169" spans="1:31" s="556" customFormat="1" ht="15.75" hidden="1" outlineLevel="3">
      <c r="A169" s="612" t="s">
        <v>1550</v>
      </c>
      <c r="B169" s="560" t="s">
        <v>1039</v>
      </c>
      <c r="C169" s="661"/>
      <c r="D169" s="662">
        <f t="shared" si="1631"/>
        <v>0</v>
      </c>
      <c r="E169" s="661"/>
      <c r="F169" s="662">
        <f t="shared" si="1631"/>
        <v>0</v>
      </c>
      <c r="G169" s="661"/>
      <c r="H169" s="662">
        <f t="shared" ref="H169" si="2170">IF(G169=0,0,G169/G$4)</f>
        <v>0</v>
      </c>
      <c r="I169" s="661"/>
      <c r="J169" s="662">
        <f t="shared" ref="J169" si="2171">IF(I169=0,0,I169/I$4)</f>
        <v>0</v>
      </c>
      <c r="K169" s="661"/>
      <c r="L169" s="662">
        <f t="shared" ref="L169" si="2172">IF(K169=0,0,K169/K$4)</f>
        <v>0</v>
      </c>
      <c r="M169" s="661"/>
      <c r="N169" s="662">
        <f t="shared" ref="N169" si="2173">IF(M169=0,0,M169/M$4)</f>
        <v>0</v>
      </c>
      <c r="O169" s="661"/>
      <c r="P169" s="662">
        <f t="shared" ref="P169" si="2174">IF(O169=0,0,O169/O$4)</f>
        <v>0</v>
      </c>
      <c r="Q169" s="661"/>
      <c r="R169" s="662">
        <f t="shared" ref="R169" si="2175">IF(Q169=0,0,Q169/Q$4)</f>
        <v>0</v>
      </c>
      <c r="S169" s="661"/>
      <c r="T169" s="662">
        <f t="shared" ref="T169" si="2176">IF(S169=0,0,S169/S$4)</f>
        <v>0</v>
      </c>
      <c r="U169" s="661"/>
      <c r="V169" s="662">
        <f t="shared" ref="V169" si="2177">IF(U169=0,0,U169/U$4)</f>
        <v>0</v>
      </c>
      <c r="W169" s="661"/>
      <c r="X169" s="662">
        <f t="shared" ref="X169" si="2178">IF(W169=0,0,W169/W$4)</f>
        <v>0</v>
      </c>
      <c r="Y169" s="661"/>
      <c r="Z169" s="662">
        <f t="shared" ref="Z169" si="2179">IF(Y169=0,0,Y169/Y$4)</f>
        <v>0</v>
      </c>
      <c r="AA169" s="661"/>
      <c r="AB169" s="662">
        <f t="shared" ref="AB169" si="2180">IF(AA169=0,0,AA169/AA$4)</f>
        <v>0</v>
      </c>
      <c r="AC169" s="661"/>
      <c r="AD169" s="662">
        <f t="shared" ref="AD169" si="2181">IF(AC169=0,0,AC169/AC$4)</f>
        <v>0</v>
      </c>
      <c r="AE169" s="654"/>
    </row>
    <row r="170" spans="1:31" s="556" customFormat="1" ht="15.75" hidden="1" outlineLevel="3">
      <c r="A170" s="612" t="s">
        <v>1549</v>
      </c>
      <c r="B170" s="567" t="s">
        <v>1040</v>
      </c>
      <c r="C170" s="661"/>
      <c r="D170" s="662">
        <f t="shared" si="1631"/>
        <v>0</v>
      </c>
      <c r="E170" s="661"/>
      <c r="F170" s="662">
        <f t="shared" si="1631"/>
        <v>0</v>
      </c>
      <c r="G170" s="661"/>
      <c r="H170" s="662">
        <f t="shared" ref="H170" si="2182">IF(G170=0,0,G170/G$4)</f>
        <v>0</v>
      </c>
      <c r="I170" s="661"/>
      <c r="J170" s="662">
        <f t="shared" ref="J170" si="2183">IF(I170=0,0,I170/I$4)</f>
        <v>0</v>
      </c>
      <c r="K170" s="661"/>
      <c r="L170" s="662">
        <f t="shared" ref="L170" si="2184">IF(K170=0,0,K170/K$4)</f>
        <v>0</v>
      </c>
      <c r="M170" s="661"/>
      <c r="N170" s="662">
        <f t="shared" ref="N170" si="2185">IF(M170=0,0,M170/M$4)</f>
        <v>0</v>
      </c>
      <c r="O170" s="661"/>
      <c r="P170" s="662">
        <f t="shared" ref="P170" si="2186">IF(O170=0,0,O170/O$4)</f>
        <v>0</v>
      </c>
      <c r="Q170" s="661"/>
      <c r="R170" s="662">
        <f t="shared" ref="R170" si="2187">IF(Q170=0,0,Q170/Q$4)</f>
        <v>0</v>
      </c>
      <c r="S170" s="661"/>
      <c r="T170" s="662">
        <f t="shared" ref="T170" si="2188">IF(S170=0,0,S170/S$4)</f>
        <v>0</v>
      </c>
      <c r="U170" s="661"/>
      <c r="V170" s="662">
        <f t="shared" ref="V170" si="2189">IF(U170=0,0,U170/U$4)</f>
        <v>0</v>
      </c>
      <c r="W170" s="661"/>
      <c r="X170" s="662">
        <f t="shared" ref="X170" si="2190">IF(W170=0,0,W170/W$4)</f>
        <v>0</v>
      </c>
      <c r="Y170" s="661"/>
      <c r="Z170" s="662">
        <f t="shared" ref="Z170" si="2191">IF(Y170=0,0,Y170/Y$4)</f>
        <v>0</v>
      </c>
      <c r="AA170" s="661"/>
      <c r="AB170" s="662">
        <f t="shared" ref="AB170" si="2192">IF(AA170=0,0,AA170/AA$4)</f>
        <v>0</v>
      </c>
      <c r="AC170" s="661"/>
      <c r="AD170" s="662">
        <f t="shared" ref="AD170" si="2193">IF(AC170=0,0,AC170/AC$4)</f>
        <v>0</v>
      </c>
      <c r="AE170" s="654"/>
    </row>
    <row r="171" spans="1:31" s="556" customFormat="1" ht="15.75" hidden="1" outlineLevel="2">
      <c r="A171" s="609" t="s">
        <v>1548</v>
      </c>
      <c r="B171" s="559" t="s">
        <v>1041</v>
      </c>
      <c r="C171" s="659"/>
      <c r="D171" s="660">
        <f t="shared" si="1631"/>
        <v>0</v>
      </c>
      <c r="E171" s="659"/>
      <c r="F171" s="660">
        <f t="shared" si="1631"/>
        <v>0</v>
      </c>
      <c r="G171" s="659"/>
      <c r="H171" s="660">
        <f t="shared" ref="H171" si="2194">IF(G171=0,0,G171/G$4)</f>
        <v>0</v>
      </c>
      <c r="I171" s="659"/>
      <c r="J171" s="660">
        <f t="shared" ref="J171" si="2195">IF(I171=0,0,I171/I$4)</f>
        <v>0</v>
      </c>
      <c r="K171" s="659"/>
      <c r="L171" s="660">
        <f t="shared" ref="L171" si="2196">IF(K171=0,0,K171/K$4)</f>
        <v>0</v>
      </c>
      <c r="M171" s="659"/>
      <c r="N171" s="660">
        <f t="shared" ref="N171" si="2197">IF(M171=0,0,M171/M$4)</f>
        <v>0</v>
      </c>
      <c r="O171" s="659"/>
      <c r="P171" s="660">
        <f t="shared" ref="P171" si="2198">IF(O171=0,0,O171/O$4)</f>
        <v>0</v>
      </c>
      <c r="Q171" s="659"/>
      <c r="R171" s="660">
        <f t="shared" ref="R171" si="2199">IF(Q171=0,0,Q171/Q$4)</f>
        <v>0</v>
      </c>
      <c r="S171" s="659"/>
      <c r="T171" s="660">
        <f t="shared" ref="T171" si="2200">IF(S171=0,0,S171/S$4)</f>
        <v>0</v>
      </c>
      <c r="U171" s="659"/>
      <c r="V171" s="660">
        <f t="shared" ref="V171" si="2201">IF(U171=0,0,U171/U$4)</f>
        <v>0</v>
      </c>
      <c r="W171" s="659"/>
      <c r="X171" s="660">
        <f t="shared" ref="X171" si="2202">IF(W171=0,0,W171/W$4)</f>
        <v>0</v>
      </c>
      <c r="Y171" s="659"/>
      <c r="Z171" s="660">
        <f t="shared" ref="Z171" si="2203">IF(Y171=0,0,Y171/Y$4)</f>
        <v>0</v>
      </c>
      <c r="AA171" s="659"/>
      <c r="AB171" s="660">
        <f t="shared" ref="AB171" si="2204">IF(AA171=0,0,AA171/AA$4)</f>
        <v>0</v>
      </c>
      <c r="AC171" s="659"/>
      <c r="AD171" s="660">
        <f t="shared" ref="AD171" si="2205">IF(AC171=0,0,AC171/AC$4)</f>
        <v>0</v>
      </c>
      <c r="AE171" s="654"/>
    </row>
    <row r="172" spans="1:31" s="556" customFormat="1" ht="15.75" hidden="1" outlineLevel="2">
      <c r="A172" s="609" t="s">
        <v>1547</v>
      </c>
      <c r="B172" s="559" t="s">
        <v>1042</v>
      </c>
      <c r="C172" s="659"/>
      <c r="D172" s="660">
        <f t="shared" si="1631"/>
        <v>0</v>
      </c>
      <c r="E172" s="659"/>
      <c r="F172" s="660">
        <f t="shared" si="1631"/>
        <v>0</v>
      </c>
      <c r="G172" s="659"/>
      <c r="H172" s="660">
        <f t="shared" ref="H172" si="2206">IF(G172=0,0,G172/G$4)</f>
        <v>0</v>
      </c>
      <c r="I172" s="659"/>
      <c r="J172" s="660">
        <f t="shared" ref="J172" si="2207">IF(I172=0,0,I172/I$4)</f>
        <v>0</v>
      </c>
      <c r="K172" s="659"/>
      <c r="L172" s="660">
        <f t="shared" ref="L172" si="2208">IF(K172=0,0,K172/K$4)</f>
        <v>0</v>
      </c>
      <c r="M172" s="659"/>
      <c r="N172" s="660">
        <f t="shared" ref="N172" si="2209">IF(M172=0,0,M172/M$4)</f>
        <v>0</v>
      </c>
      <c r="O172" s="659"/>
      <c r="P172" s="660">
        <f t="shared" ref="P172" si="2210">IF(O172=0,0,O172/O$4)</f>
        <v>0</v>
      </c>
      <c r="Q172" s="659"/>
      <c r="R172" s="660">
        <f t="shared" ref="R172" si="2211">IF(Q172=0,0,Q172/Q$4)</f>
        <v>0</v>
      </c>
      <c r="S172" s="659"/>
      <c r="T172" s="660">
        <f t="shared" ref="T172" si="2212">IF(S172=0,0,S172/S$4)</f>
        <v>0</v>
      </c>
      <c r="U172" s="659"/>
      <c r="V172" s="660">
        <f t="shared" ref="V172" si="2213">IF(U172=0,0,U172/U$4)</f>
        <v>0</v>
      </c>
      <c r="W172" s="659"/>
      <c r="X172" s="660">
        <f t="shared" ref="X172" si="2214">IF(W172=0,0,W172/W$4)</f>
        <v>0</v>
      </c>
      <c r="Y172" s="659"/>
      <c r="Z172" s="660">
        <f t="shared" ref="Z172" si="2215">IF(Y172=0,0,Y172/Y$4)</f>
        <v>0</v>
      </c>
      <c r="AA172" s="659"/>
      <c r="AB172" s="660">
        <f t="shared" ref="AB172" si="2216">IF(AA172=0,0,AA172/AA$4)</f>
        <v>0</v>
      </c>
      <c r="AC172" s="659"/>
      <c r="AD172" s="660">
        <f t="shared" ref="AD172" si="2217">IF(AC172=0,0,AC172/AC$4)</f>
        <v>0</v>
      </c>
      <c r="AE172" s="654"/>
    </row>
    <row r="173" spans="1:31" s="556" customFormat="1" ht="15.75" hidden="1" outlineLevel="2">
      <c r="A173" s="609" t="s">
        <v>1546</v>
      </c>
      <c r="B173" s="559" t="s">
        <v>1044</v>
      </c>
      <c r="C173" s="659">
        <f>SUM(C174:C179)</f>
        <v>0</v>
      </c>
      <c r="D173" s="660">
        <f t="shared" si="1631"/>
        <v>0</v>
      </c>
      <c r="E173" s="659">
        <f>SUM(E174:E179)</f>
        <v>972282522.71038687</v>
      </c>
      <c r="F173" s="660">
        <f t="shared" si="1631"/>
        <v>22588.632825555535</v>
      </c>
      <c r="G173" s="659">
        <f t="shared" ref="G173" si="2218">SUM(G174:G179)</f>
        <v>7890801.3761746958</v>
      </c>
      <c r="H173" s="660">
        <f t="shared" ref="H173" si="2219">IF(G173=0,0,G173/G$4)</f>
        <v>189.02461627329473</v>
      </c>
      <c r="I173" s="659">
        <f t="shared" ref="I173" si="2220">SUM(I174:I179)</f>
        <v>5476392.0391891254</v>
      </c>
      <c r="J173" s="660">
        <f t="shared" ref="J173" si="2221">IF(I173=0,0,I173/I$4)</f>
        <v>186.63142694491958</v>
      </c>
      <c r="K173" s="659">
        <f t="shared" ref="K173" si="2222">SUM(K174:K179)</f>
        <v>10606345.65254147</v>
      </c>
      <c r="L173" s="660">
        <f t="shared" ref="L173" si="2223">IF(K173=0,0,K173/K$4)</f>
        <v>249.12182970328408</v>
      </c>
      <c r="M173" s="659">
        <f t="shared" ref="M173" si="2224">SUM(M174:M179)</f>
        <v>5738619.2784378901</v>
      </c>
      <c r="N173" s="660">
        <f t="shared" ref="N173" si="2225">IF(M173=0,0,M173/M$4)</f>
        <v>1332.4554839876218</v>
      </c>
      <c r="O173" s="659">
        <f t="shared" ref="O173" si="2226">SUM(O174:O179)</f>
        <v>0</v>
      </c>
      <c r="P173" s="660">
        <f t="shared" ref="P173" si="2227">IF(O173=0,0,O173/O$4)</f>
        <v>0</v>
      </c>
      <c r="Q173" s="659">
        <f t="shared" ref="Q173" si="2228">SUM(Q174:Q179)</f>
        <v>0</v>
      </c>
      <c r="R173" s="660">
        <f t="shared" ref="R173" si="2229">IF(Q173=0,0,Q173/Q$4)</f>
        <v>0</v>
      </c>
      <c r="S173" s="659">
        <f t="shared" ref="S173" si="2230">SUM(S174:S179)</f>
        <v>0</v>
      </c>
      <c r="T173" s="660">
        <f t="shared" ref="T173" si="2231">IF(S173=0,0,S173/S$4)</f>
        <v>0</v>
      </c>
      <c r="U173" s="659">
        <f t="shared" ref="U173" si="2232">SUM(U174:U179)</f>
        <v>0</v>
      </c>
      <c r="V173" s="660">
        <f t="shared" ref="V173" si="2233">IF(U173=0,0,U173/U$4)</f>
        <v>0</v>
      </c>
      <c r="W173" s="659">
        <f t="shared" ref="W173" si="2234">SUM(W174:W179)</f>
        <v>0</v>
      </c>
      <c r="X173" s="660">
        <f t="shared" ref="X173" si="2235">IF(W173=0,0,W173/W$4)</f>
        <v>0</v>
      </c>
      <c r="Y173" s="659">
        <f t="shared" ref="Y173" si="2236">SUM(Y174:Y179)</f>
        <v>0</v>
      </c>
      <c r="Z173" s="660">
        <f t="shared" ref="Z173" si="2237">IF(Y173=0,0,Y173/Y$4)</f>
        <v>0</v>
      </c>
      <c r="AA173" s="659">
        <f t="shared" ref="AA173" si="2238">SUM(AA174:AA179)</f>
        <v>0</v>
      </c>
      <c r="AB173" s="660">
        <f t="shared" ref="AB173" si="2239">IF(AA173=0,0,AA173/AA$4)</f>
        <v>0</v>
      </c>
      <c r="AC173" s="659">
        <f t="shared" ref="AC173" si="2240">SUM(AC174:AC179)</f>
        <v>1001994681.0567302</v>
      </c>
      <c r="AD173" s="660">
        <f t="shared" ref="AD173" si="2241">IF(AC173=0,0,AC173/AC$4)</f>
        <v>6223.0699158140569</v>
      </c>
      <c r="AE173" s="654"/>
    </row>
    <row r="174" spans="1:31" s="556" customFormat="1" ht="15.75" hidden="1" outlineLevel="3">
      <c r="A174" s="612" t="s">
        <v>1545</v>
      </c>
      <c r="B174" s="560" t="s">
        <v>1045</v>
      </c>
      <c r="C174" s="661"/>
      <c r="D174" s="662">
        <f t="shared" si="1631"/>
        <v>0</v>
      </c>
      <c r="E174" s="661">
        <f>Калькулятор_жилье!$L$141*уникальные!H191</f>
        <v>406224492.36677438</v>
      </c>
      <c r="F174" s="662">
        <f t="shared" si="1631"/>
        <v>9437.643574257705</v>
      </c>
      <c r="G174" s="661">
        <f>Калькулятор_жилье!M$149*уникальные!$E$180+Калькулятор_жилье!M$150*уникальные!$B$179</f>
        <v>2814639.7470905702</v>
      </c>
      <c r="H174" s="662">
        <f t="shared" ref="H174" si="2242">IF(G174=0,0,G174/G$4)</f>
        <v>67.424862542830724</v>
      </c>
      <c r="I174" s="661">
        <f>Калькулятор_жилье!N$149*уникальные!$E$180+Калькулятор_жилье!N$150*уникальные!$B$179</f>
        <v>1953422.7221449246</v>
      </c>
      <c r="J174" s="662">
        <f t="shared" ref="J174" si="2243">IF(I174=0,0,I174/I$4)</f>
        <v>66.571214670474419</v>
      </c>
      <c r="K174" s="661">
        <f>Калькулятор_жилье!O$149*уникальные!$E$180+Калькулятор_жилье!O$150*уникальные!$B$179</f>
        <v>3783271.2574874936</v>
      </c>
      <c r="L174" s="662">
        <f t="shared" ref="L174" si="2244">IF(K174=0,0,K174/K$4)</f>
        <v>88.861469237832168</v>
      </c>
      <c r="M174" s="661">
        <f>Калькулятор_жилье!P$149*уникальные!$E$180+Калькулятор_жилье!P$150*уникальные!$B$179</f>
        <v>2046958.8758476304</v>
      </c>
      <c r="N174" s="662">
        <f t="shared" ref="N174" si="2245">IF(M174=0,0,M174/M$4)</f>
        <v>475.28533385521274</v>
      </c>
      <c r="O174" s="661">
        <f>Калькулятор_жилье!Q$149*уникальные!$E$180+Калькулятор_жилье!Q$150*уникальные!$B$179</f>
        <v>0</v>
      </c>
      <c r="P174" s="662">
        <f t="shared" ref="P174" si="2246">IF(O174=0,0,O174/O$4)</f>
        <v>0</v>
      </c>
      <c r="Q174" s="661">
        <f>Калькулятор_жилье!R$149*уникальные!$E$180+Калькулятор_жилье!R$150*уникальные!$B$179</f>
        <v>0</v>
      </c>
      <c r="R174" s="662">
        <f t="shared" ref="R174" si="2247">IF(Q174=0,0,Q174/Q$4)</f>
        <v>0</v>
      </c>
      <c r="S174" s="661">
        <f>Калькулятор_жилье!S$149*уникальные!$E$180+Калькулятор_жилье!S$150*уникальные!$B$179</f>
        <v>0</v>
      </c>
      <c r="T174" s="662">
        <f t="shared" ref="T174" si="2248">IF(S174=0,0,S174/S$4)</f>
        <v>0</v>
      </c>
      <c r="U174" s="661">
        <f>Калькулятор_жилье!T$149*уникальные!$E$180+Калькулятор_жилье!T$150*уникальные!$B$179</f>
        <v>0</v>
      </c>
      <c r="V174" s="662">
        <f t="shared" ref="V174" si="2249">IF(U174=0,0,U174/U$4)</f>
        <v>0</v>
      </c>
      <c r="W174" s="661">
        <f>Калькулятор_жилье!U$149*уникальные!$E$180+Калькулятор_жилье!U$150*уникальные!$B$179</f>
        <v>0</v>
      </c>
      <c r="X174" s="662">
        <f t="shared" ref="X174" si="2250">IF(W174=0,0,W174/W$4)</f>
        <v>0</v>
      </c>
      <c r="Y174" s="661">
        <f>Калькулятор_жилье!V$149*уникальные!$E$180+Калькулятор_жилье!V$150*уникальные!$B$179</f>
        <v>0</v>
      </c>
      <c r="Z174" s="662">
        <f t="shared" ref="Z174" si="2251">IF(Y174=0,0,Y174/Y$4)</f>
        <v>0</v>
      </c>
      <c r="AA174" s="661">
        <f>Калькулятор_жилье!W$149*уникальные!$E$180+Калькулятор_жилье!W$150*уникальные!$B$179</f>
        <v>0</v>
      </c>
      <c r="AB174" s="662">
        <f t="shared" ref="AB174" si="2252">IF(AA174=0,0,AA174/AA$4)</f>
        <v>0</v>
      </c>
      <c r="AC174" s="661">
        <f>C174+E174+G174+I174+K174+M174+O174+Q174+S174+U174+W174+AA174+Y174</f>
        <v>416822784.96934497</v>
      </c>
      <c r="AD174" s="662">
        <f t="shared" ref="AD174" si="2253">IF(AC174=0,0,AC174/AC$4)</f>
        <v>2588.753595610855</v>
      </c>
      <c r="AE174" s="654"/>
    </row>
    <row r="175" spans="1:31" s="556" customFormat="1" ht="15.75" hidden="1" outlineLevel="3">
      <c r="A175" s="612" t="s">
        <v>1544</v>
      </c>
      <c r="B175" s="560" t="s">
        <v>1543</v>
      </c>
      <c r="C175" s="661"/>
      <c r="D175" s="662">
        <f t="shared" si="1631"/>
        <v>0</v>
      </c>
      <c r="E175" s="661">
        <f>Калькулятор_жилье!$L$141*уникальные!H193</f>
        <v>204412747.76088127</v>
      </c>
      <c r="F175" s="662">
        <f t="shared" si="1631"/>
        <v>4749.0357958525492</v>
      </c>
      <c r="G175" s="661">
        <f>Калькулятор_жилье!M$149*уникальные!$E$182</f>
        <v>2912829.3316742834</v>
      </c>
      <c r="H175" s="662">
        <f t="shared" ref="H175" si="2254">IF(G175=0,0,G175/G$4)</f>
        <v>69.776999881379254</v>
      </c>
      <c r="I175" s="661">
        <f>Калькулятор_жилье!N$149*уникальные!$E$182</f>
        <v>2021568.4824689811</v>
      </c>
      <c r="J175" s="662">
        <f t="shared" ref="J175" si="2255">IF(I175=0,0,I175/I$4)</f>
        <v>68.893572237009835</v>
      </c>
      <c r="K175" s="661">
        <f>Калькулятор_жилье!O$149*уникальные!$E$182</f>
        <v>3915251.854124839</v>
      </c>
      <c r="L175" s="662">
        <f t="shared" ref="L175" si="2256">IF(K175=0,0,K175/K$4)</f>
        <v>91.961429280313737</v>
      </c>
      <c r="M175" s="661">
        <f>Калькулятор_жилье!P$149*уникальные!$E$182</f>
        <v>2118367.6740382989</v>
      </c>
      <c r="N175" s="662">
        <f t="shared" ref="N175" si="2257">IF(M175=0,0,M175/M$4)</f>
        <v>491.86581081970343</v>
      </c>
      <c r="O175" s="661">
        <f>Калькулятор_жилье!Q$149*уникальные!$E$182</f>
        <v>0</v>
      </c>
      <c r="P175" s="662">
        <f t="shared" ref="P175" si="2258">IF(O175=0,0,O175/O$4)</f>
        <v>0</v>
      </c>
      <c r="Q175" s="661">
        <f>Калькулятор_жилье!R$149*уникальные!$E$182</f>
        <v>0</v>
      </c>
      <c r="R175" s="662">
        <f t="shared" ref="R175" si="2259">IF(Q175=0,0,Q175/Q$4)</f>
        <v>0</v>
      </c>
      <c r="S175" s="661">
        <f>Калькулятор_жилье!S$149*уникальные!$E$182</f>
        <v>0</v>
      </c>
      <c r="T175" s="662">
        <f t="shared" ref="T175" si="2260">IF(S175=0,0,S175/S$4)</f>
        <v>0</v>
      </c>
      <c r="U175" s="661">
        <f>Калькулятор_жилье!T$149*уникальные!$E$182</f>
        <v>0</v>
      </c>
      <c r="V175" s="662">
        <f t="shared" ref="V175" si="2261">IF(U175=0,0,U175/U$4)</f>
        <v>0</v>
      </c>
      <c r="W175" s="661">
        <f>Калькулятор_жилье!U$149*уникальные!$E$182</f>
        <v>0</v>
      </c>
      <c r="X175" s="662">
        <f t="shared" ref="X175" si="2262">IF(W175=0,0,W175/W$4)</f>
        <v>0</v>
      </c>
      <c r="Y175" s="661">
        <f>Калькулятор_жилье!V$149*уникальные!$E$182</f>
        <v>0</v>
      </c>
      <c r="Z175" s="662">
        <f t="shared" ref="Z175" si="2263">IF(Y175=0,0,Y175/Y$4)</f>
        <v>0</v>
      </c>
      <c r="AA175" s="661">
        <f>Калькулятор_жилье!W$149*уникальные!$E$182</f>
        <v>0</v>
      </c>
      <c r="AB175" s="662">
        <f t="shared" ref="AB175" si="2264">IF(AA175=0,0,AA175/AA$4)</f>
        <v>0</v>
      </c>
      <c r="AC175" s="661">
        <f>C175+E175+G175+I175+K175+M175+O175+Q175+S175+U175+W175+AA175+Y175</f>
        <v>215380765.10318768</v>
      </c>
      <c r="AD175" s="662">
        <f t="shared" ref="AD175" si="2265">IF(AC175=0,0,AC175/AC$4)</f>
        <v>1337.6613519995078</v>
      </c>
      <c r="AE175" s="654"/>
    </row>
    <row r="176" spans="1:31" s="556" customFormat="1" ht="15.75" hidden="1" outlineLevel="3">
      <c r="A176" s="612" t="s">
        <v>1542</v>
      </c>
      <c r="B176" s="560" t="s">
        <v>1047</v>
      </c>
      <c r="C176" s="661"/>
      <c r="D176" s="662">
        <f t="shared" si="1631"/>
        <v>0</v>
      </c>
      <c r="E176" s="661"/>
      <c r="F176" s="662">
        <f t="shared" si="1631"/>
        <v>0</v>
      </c>
      <c r="G176" s="661"/>
      <c r="H176" s="662">
        <f t="shared" ref="H176" si="2266">IF(G176=0,0,G176/G$4)</f>
        <v>0</v>
      </c>
      <c r="I176" s="661"/>
      <c r="J176" s="662">
        <f t="shared" ref="J176" si="2267">IF(I176=0,0,I176/I$4)</f>
        <v>0</v>
      </c>
      <c r="K176" s="661"/>
      <c r="L176" s="662">
        <f t="shared" ref="L176" si="2268">IF(K176=0,0,K176/K$4)</f>
        <v>0</v>
      </c>
      <c r="M176" s="661"/>
      <c r="N176" s="662">
        <f t="shared" ref="N176" si="2269">IF(M176=0,0,M176/M$4)</f>
        <v>0</v>
      </c>
      <c r="O176" s="661"/>
      <c r="P176" s="662">
        <f t="shared" ref="P176" si="2270">IF(O176=0,0,O176/O$4)</f>
        <v>0</v>
      </c>
      <c r="Q176" s="661"/>
      <c r="R176" s="662">
        <f t="shared" ref="R176" si="2271">IF(Q176=0,0,Q176/Q$4)</f>
        <v>0</v>
      </c>
      <c r="S176" s="661"/>
      <c r="T176" s="662">
        <f t="shared" ref="T176" si="2272">IF(S176=0,0,S176/S$4)</f>
        <v>0</v>
      </c>
      <c r="U176" s="661"/>
      <c r="V176" s="662">
        <f t="shared" ref="V176" si="2273">IF(U176=0,0,U176/U$4)</f>
        <v>0</v>
      </c>
      <c r="W176" s="661"/>
      <c r="X176" s="662">
        <f t="shared" ref="X176" si="2274">IF(W176=0,0,W176/W$4)</f>
        <v>0</v>
      </c>
      <c r="Y176" s="661"/>
      <c r="Z176" s="662">
        <f t="shared" ref="Z176" si="2275">IF(Y176=0,0,Y176/Y$4)</f>
        <v>0</v>
      </c>
      <c r="AA176" s="661"/>
      <c r="AB176" s="662">
        <f t="shared" ref="AB176" si="2276">IF(AA176=0,0,AA176/AA$4)</f>
        <v>0</v>
      </c>
      <c r="AC176" s="661"/>
      <c r="AD176" s="662">
        <f t="shared" ref="AD176" si="2277">IF(AC176=0,0,AC176/AC$4)</f>
        <v>0</v>
      </c>
      <c r="AE176" s="654"/>
    </row>
    <row r="177" spans="1:31" s="556" customFormat="1" ht="15.75" hidden="1" outlineLevel="3">
      <c r="A177" s="612" t="s">
        <v>1541</v>
      </c>
      <c r="B177" s="560" t="s">
        <v>1540</v>
      </c>
      <c r="C177" s="661"/>
      <c r="D177" s="662">
        <f t="shared" si="1631"/>
        <v>0</v>
      </c>
      <c r="E177" s="661">
        <f>Калькулятор_жилье!$L$141*уникальные!H204</f>
        <v>8750539.9936594777</v>
      </c>
      <c r="F177" s="662">
        <f t="shared" si="1631"/>
        <v>203.29763245265147</v>
      </c>
      <c r="G177" s="661"/>
      <c r="H177" s="662">
        <f t="shared" ref="H177" si="2278">IF(G177=0,0,G177/G$4)</f>
        <v>0</v>
      </c>
      <c r="I177" s="661"/>
      <c r="J177" s="662">
        <f t="shared" ref="J177" si="2279">IF(I177=0,0,I177/I$4)</f>
        <v>0</v>
      </c>
      <c r="K177" s="661"/>
      <c r="L177" s="662">
        <f t="shared" ref="L177" si="2280">IF(K177=0,0,K177/K$4)</f>
        <v>0</v>
      </c>
      <c r="M177" s="661"/>
      <c r="N177" s="662">
        <f t="shared" ref="N177" si="2281">IF(M177=0,0,M177/M$4)</f>
        <v>0</v>
      </c>
      <c r="O177" s="661"/>
      <c r="P177" s="662">
        <f t="shared" ref="P177" si="2282">IF(O177=0,0,O177/O$4)</f>
        <v>0</v>
      </c>
      <c r="Q177" s="661"/>
      <c r="R177" s="662">
        <f t="shared" ref="R177" si="2283">IF(Q177=0,0,Q177/Q$4)</f>
        <v>0</v>
      </c>
      <c r="S177" s="661"/>
      <c r="T177" s="662">
        <f t="shared" ref="T177" si="2284">IF(S177=0,0,S177/S$4)</f>
        <v>0</v>
      </c>
      <c r="U177" s="661"/>
      <c r="V177" s="662">
        <f t="shared" ref="V177" si="2285">IF(U177=0,0,U177/U$4)</f>
        <v>0</v>
      </c>
      <c r="W177" s="661"/>
      <c r="X177" s="662">
        <f t="shared" ref="X177" si="2286">IF(W177=0,0,W177/W$4)</f>
        <v>0</v>
      </c>
      <c r="Y177" s="661"/>
      <c r="Z177" s="662">
        <f t="shared" ref="Z177" si="2287">IF(Y177=0,0,Y177/Y$4)</f>
        <v>0</v>
      </c>
      <c r="AA177" s="661"/>
      <c r="AB177" s="662">
        <f t="shared" ref="AB177" si="2288">IF(AA177=0,0,AA177/AA$4)</f>
        <v>0</v>
      </c>
      <c r="AC177" s="661">
        <f>C177+E177+G177+I177+K177+M177+O177+Q177+S177+U177+W177+AA177+Y177</f>
        <v>8750539.9936594777</v>
      </c>
      <c r="AD177" s="662">
        <f t="shared" ref="AD177" si="2289">IF(AC177=0,0,AC177/AC$4)</f>
        <v>54.346817614081644</v>
      </c>
      <c r="AE177" s="654"/>
    </row>
    <row r="178" spans="1:31" s="556" customFormat="1" ht="15.75" hidden="1" outlineLevel="3">
      <c r="A178" s="612" t="s">
        <v>1539</v>
      </c>
      <c r="B178" s="560" t="s">
        <v>1538</v>
      </c>
      <c r="C178" s="661"/>
      <c r="D178" s="662">
        <f t="shared" si="1631"/>
        <v>0</v>
      </c>
      <c r="E178" s="661">
        <f>Калькулятор_жилье!$L$141*уникальные!H195</f>
        <v>317156961.94072908</v>
      </c>
      <c r="F178" s="662">
        <f t="shared" si="1631"/>
        <v>7368.3749260211671</v>
      </c>
      <c r="G178" s="661">
        <f>Калькулятор_жилье!M$149*уникальные!$E$178</f>
        <v>2163332.2974098423</v>
      </c>
      <c r="H178" s="662">
        <f t="shared" ref="H178" si="2290">IF(G178=0,0,G178/G$4)</f>
        <v>51.822753849084762</v>
      </c>
      <c r="I178" s="661">
        <f>Калькулятор_жилье!N$149*уникальные!$E$178</f>
        <v>1501400.8345752198</v>
      </c>
      <c r="J178" s="662">
        <f t="shared" ref="J178" si="2291">IF(I178=0,0,I178/I$4)</f>
        <v>51.166640037435329</v>
      </c>
      <c r="K178" s="661">
        <f>Калькулятор_жилье!O$149*уникальные!$E$178</f>
        <v>2907822.5409291359</v>
      </c>
      <c r="L178" s="662">
        <f t="shared" ref="L178" si="2292">IF(K178=0,0,K178/K$4)</f>
        <v>68.298931185138144</v>
      </c>
      <c r="M178" s="661">
        <f>Калькулятор_жилье!P$149*уникальные!$E$178</f>
        <v>1573292.7285519603</v>
      </c>
      <c r="N178" s="662">
        <f t="shared" ref="N178" si="2293">IF(M178=0,0,M178/M$4)</f>
        <v>365.30433931270557</v>
      </c>
      <c r="O178" s="661">
        <f>Калькулятор_жилье!Q$149*уникальные!$E$178</f>
        <v>0</v>
      </c>
      <c r="P178" s="662">
        <f t="shared" ref="P178" si="2294">IF(O178=0,0,O178/O$4)</f>
        <v>0</v>
      </c>
      <c r="Q178" s="661">
        <f>Калькулятор_жилье!R$149*уникальные!$E$178</f>
        <v>0</v>
      </c>
      <c r="R178" s="662">
        <f t="shared" ref="R178" si="2295">IF(Q178=0,0,Q178/Q$4)</f>
        <v>0</v>
      </c>
      <c r="S178" s="661">
        <f>Калькулятор_жилье!S$149*уникальные!$E$178</f>
        <v>0</v>
      </c>
      <c r="T178" s="662">
        <f t="shared" ref="T178" si="2296">IF(S178=0,0,S178/S$4)</f>
        <v>0</v>
      </c>
      <c r="U178" s="661">
        <f>Калькулятор_жилье!T$149*уникальные!$E$178</f>
        <v>0</v>
      </c>
      <c r="V178" s="662">
        <f t="shared" ref="V178" si="2297">IF(U178=0,0,U178/U$4)</f>
        <v>0</v>
      </c>
      <c r="W178" s="661">
        <f>Калькулятор_жилье!U$149*уникальные!$E$178</f>
        <v>0</v>
      </c>
      <c r="X178" s="662">
        <f t="shared" ref="X178" si="2298">IF(W178=0,0,W178/W$4)</f>
        <v>0</v>
      </c>
      <c r="Y178" s="661">
        <f>Калькулятор_жилье!V$149*уникальные!$E$178</f>
        <v>0</v>
      </c>
      <c r="Z178" s="662">
        <f t="shared" ref="Z178" si="2299">IF(Y178=0,0,Y178/Y$4)</f>
        <v>0</v>
      </c>
      <c r="AA178" s="661">
        <f>Калькулятор_жилье!W$149*уникальные!$E$178</f>
        <v>0</v>
      </c>
      <c r="AB178" s="662">
        <f t="shared" ref="AB178" si="2300">IF(AA178=0,0,AA178/AA$4)</f>
        <v>0</v>
      </c>
      <c r="AC178" s="661">
        <f>C178+E178+G178+I178+K178+M178+O178+Q178+S178+U178+W178+AA178+Y178</f>
        <v>325302810.34219527</v>
      </c>
      <c r="AD178" s="662">
        <f t="shared" ref="AD178" si="2301">IF(AC178=0,0,AC178/AC$4)</f>
        <v>2020.3521743601614</v>
      </c>
      <c r="AE178" s="654"/>
    </row>
    <row r="179" spans="1:31" s="556" customFormat="1" ht="15.75" hidden="1" outlineLevel="3">
      <c r="A179" s="612" t="s">
        <v>1537</v>
      </c>
      <c r="B179" s="560" t="s">
        <v>342</v>
      </c>
      <c r="C179" s="661"/>
      <c r="D179" s="662">
        <f t="shared" si="1631"/>
        <v>0</v>
      </c>
      <c r="E179" s="661">
        <f>Калькулятор_жилье!$L$141*уникальные!H196</f>
        <v>35737780.648342699</v>
      </c>
      <c r="F179" s="662">
        <f t="shared" si="1631"/>
        <v>830.28089697146345</v>
      </c>
      <c r="G179" s="661"/>
      <c r="H179" s="662">
        <f t="shared" ref="H179" si="2302">IF(G179=0,0,G179/G$4)</f>
        <v>0</v>
      </c>
      <c r="I179" s="661"/>
      <c r="J179" s="662">
        <f t="shared" ref="J179" si="2303">IF(I179=0,0,I179/I$4)</f>
        <v>0</v>
      </c>
      <c r="K179" s="661"/>
      <c r="L179" s="662">
        <f t="shared" ref="L179" si="2304">IF(K179=0,0,K179/K$4)</f>
        <v>0</v>
      </c>
      <c r="M179" s="661"/>
      <c r="N179" s="662">
        <f t="shared" ref="N179" si="2305">IF(M179=0,0,M179/M$4)</f>
        <v>0</v>
      </c>
      <c r="O179" s="661"/>
      <c r="P179" s="662">
        <f t="shared" ref="P179" si="2306">IF(O179=0,0,O179/O$4)</f>
        <v>0</v>
      </c>
      <c r="Q179" s="661"/>
      <c r="R179" s="662">
        <f t="shared" ref="R179" si="2307">IF(Q179=0,0,Q179/Q$4)</f>
        <v>0</v>
      </c>
      <c r="S179" s="661"/>
      <c r="T179" s="662">
        <f t="shared" ref="T179" si="2308">IF(S179=0,0,S179/S$4)</f>
        <v>0</v>
      </c>
      <c r="U179" s="661"/>
      <c r="V179" s="662">
        <f t="shared" ref="V179" si="2309">IF(U179=0,0,U179/U$4)</f>
        <v>0</v>
      </c>
      <c r="W179" s="661"/>
      <c r="X179" s="662">
        <f t="shared" ref="X179" si="2310">IF(W179=0,0,W179/W$4)</f>
        <v>0</v>
      </c>
      <c r="Y179" s="661"/>
      <c r="Z179" s="662">
        <f t="shared" ref="Z179" si="2311">IF(Y179=0,0,Y179/Y$4)</f>
        <v>0</v>
      </c>
      <c r="AA179" s="661"/>
      <c r="AB179" s="662">
        <f t="shared" ref="AB179" si="2312">IF(AA179=0,0,AA179/AA$4)</f>
        <v>0</v>
      </c>
      <c r="AC179" s="661">
        <f>C179+E179+G179+I179+K179+M179+O179+Q179+S179+U179+W179+AA179+Y179</f>
        <v>35737780.648342699</v>
      </c>
      <c r="AD179" s="662">
        <f t="shared" ref="AD179" si="2313">IF(AC179=0,0,AC179/AC$4)</f>
        <v>221.9559762294503</v>
      </c>
      <c r="AE179" s="654"/>
    </row>
    <row r="180" spans="1:31" s="556" customFormat="1" ht="15.75" hidden="1" outlineLevel="2">
      <c r="A180" s="609" t="s">
        <v>1536</v>
      </c>
      <c r="B180" s="559" t="s">
        <v>1050</v>
      </c>
      <c r="C180" s="659"/>
      <c r="D180" s="660">
        <f t="shared" si="1631"/>
        <v>0</v>
      </c>
      <c r="E180" s="659"/>
      <c r="F180" s="660">
        <f t="shared" si="1631"/>
        <v>0</v>
      </c>
      <c r="G180" s="659"/>
      <c r="H180" s="660">
        <f t="shared" ref="H180" si="2314">IF(G180=0,0,G180/G$4)</f>
        <v>0</v>
      </c>
      <c r="I180" s="659"/>
      <c r="J180" s="660">
        <f t="shared" ref="J180" si="2315">IF(I180=0,0,I180/I$4)</f>
        <v>0</v>
      </c>
      <c r="K180" s="659"/>
      <c r="L180" s="660">
        <f t="shared" ref="L180" si="2316">IF(K180=0,0,K180/K$4)</f>
        <v>0</v>
      </c>
      <c r="M180" s="659"/>
      <c r="N180" s="660">
        <f t="shared" ref="N180" si="2317">IF(M180=0,0,M180/M$4)</f>
        <v>0</v>
      </c>
      <c r="O180" s="659"/>
      <c r="P180" s="660">
        <f t="shared" ref="P180" si="2318">IF(O180=0,0,O180/O$4)</f>
        <v>0</v>
      </c>
      <c r="Q180" s="659"/>
      <c r="R180" s="660">
        <f t="shared" ref="R180" si="2319">IF(Q180=0,0,Q180/Q$4)</f>
        <v>0</v>
      </c>
      <c r="S180" s="659"/>
      <c r="T180" s="660">
        <f t="shared" ref="T180" si="2320">IF(S180=0,0,S180/S$4)</f>
        <v>0</v>
      </c>
      <c r="U180" s="659"/>
      <c r="V180" s="660">
        <f t="shared" ref="V180" si="2321">IF(U180=0,0,U180/U$4)</f>
        <v>0</v>
      </c>
      <c r="W180" s="659"/>
      <c r="X180" s="660">
        <f t="shared" ref="X180" si="2322">IF(W180=0,0,W180/W$4)</f>
        <v>0</v>
      </c>
      <c r="Y180" s="659"/>
      <c r="Z180" s="660">
        <f t="shared" ref="Z180" si="2323">IF(Y180=0,0,Y180/Y$4)</f>
        <v>0</v>
      </c>
      <c r="AA180" s="659"/>
      <c r="AB180" s="660">
        <f t="shared" ref="AB180" si="2324">IF(AA180=0,0,AA180/AA$4)</f>
        <v>0</v>
      </c>
      <c r="AC180" s="659"/>
      <c r="AD180" s="660">
        <f t="shared" ref="AD180" si="2325">IF(AC180=0,0,AC180/AC$4)</f>
        <v>0</v>
      </c>
      <c r="AE180" s="654"/>
    </row>
    <row r="181" spans="1:31" s="556" customFormat="1" ht="15.75" hidden="1" outlineLevel="2">
      <c r="A181" s="609" t="s">
        <v>1535</v>
      </c>
      <c r="B181" s="559" t="s">
        <v>1052</v>
      </c>
      <c r="C181" s="659"/>
      <c r="D181" s="660">
        <f t="shared" si="1631"/>
        <v>0</v>
      </c>
      <c r="E181" s="659"/>
      <c r="F181" s="660">
        <f t="shared" si="1631"/>
        <v>0</v>
      </c>
      <c r="G181" s="659"/>
      <c r="H181" s="660">
        <f t="shared" ref="H181" si="2326">IF(G181=0,0,G181/G$4)</f>
        <v>0</v>
      </c>
      <c r="I181" s="659"/>
      <c r="J181" s="660">
        <f t="shared" ref="J181" si="2327">IF(I181=0,0,I181/I$4)</f>
        <v>0</v>
      </c>
      <c r="K181" s="659"/>
      <c r="L181" s="660">
        <f t="shared" ref="L181" si="2328">IF(K181=0,0,K181/K$4)</f>
        <v>0</v>
      </c>
      <c r="M181" s="659"/>
      <c r="N181" s="660">
        <f t="shared" ref="N181" si="2329">IF(M181=0,0,M181/M$4)</f>
        <v>0</v>
      </c>
      <c r="O181" s="659"/>
      <c r="P181" s="660">
        <f t="shared" ref="P181" si="2330">IF(O181=0,0,O181/O$4)</f>
        <v>0</v>
      </c>
      <c r="Q181" s="659"/>
      <c r="R181" s="660">
        <f t="shared" ref="R181" si="2331">IF(Q181=0,0,Q181/Q$4)</f>
        <v>0</v>
      </c>
      <c r="S181" s="659"/>
      <c r="T181" s="660">
        <f t="shared" ref="T181" si="2332">IF(S181=0,0,S181/S$4)</f>
        <v>0</v>
      </c>
      <c r="U181" s="659"/>
      <c r="V181" s="660">
        <f t="shared" ref="V181" si="2333">IF(U181=0,0,U181/U$4)</f>
        <v>0</v>
      </c>
      <c r="W181" s="659"/>
      <c r="X181" s="660">
        <f t="shared" ref="X181" si="2334">IF(W181=0,0,W181/W$4)</f>
        <v>0</v>
      </c>
      <c r="Y181" s="659"/>
      <c r="Z181" s="660">
        <f t="shared" ref="Z181" si="2335">IF(Y181=0,0,Y181/Y$4)</f>
        <v>0</v>
      </c>
      <c r="AA181" s="659"/>
      <c r="AB181" s="660">
        <f t="shared" ref="AB181" si="2336">IF(AA181=0,0,AA181/AA$4)</f>
        <v>0</v>
      </c>
      <c r="AC181" s="659"/>
      <c r="AD181" s="660">
        <f t="shared" ref="AD181" si="2337">IF(AC181=0,0,AC181/AC$4)</f>
        <v>0</v>
      </c>
      <c r="AE181" s="654"/>
    </row>
    <row r="182" spans="1:31" s="556" customFormat="1" ht="15.75" hidden="1" outlineLevel="2">
      <c r="A182" s="609" t="s">
        <v>1534</v>
      </c>
      <c r="B182" s="559" t="s">
        <v>1385</v>
      </c>
      <c r="C182" s="659"/>
      <c r="D182" s="660">
        <f t="shared" si="1631"/>
        <v>0</v>
      </c>
      <c r="E182" s="659">
        <f>Калькулятор_жилье!$L$141*уникальные!H202</f>
        <v>4442497.2024476854</v>
      </c>
      <c r="F182" s="660">
        <f t="shared" si="1631"/>
        <v>103.21067775126467</v>
      </c>
      <c r="G182" s="659">
        <f>Калькулятор_жилье!M$149*уникальные!$E$179</f>
        <v>34178.211973419347</v>
      </c>
      <c r="H182" s="660">
        <f t="shared" ref="H182" si="2338">IF(G182=0,0,G182/G$4)</f>
        <v>0.81874110057942595</v>
      </c>
      <c r="I182" s="659">
        <f>Калькулятор_жилье!N$149*уникальные!$E$179</f>
        <v>23720.440933933391</v>
      </c>
      <c r="J182" s="660">
        <f t="shared" ref="J182" si="2339">IF(I182=0,0,I182/I$4)</f>
        <v>0.80837524187150056</v>
      </c>
      <c r="K182" s="659">
        <f>Калькулятор_жилье!O$149*уникальные!$E$179</f>
        <v>45940.3186944306</v>
      </c>
      <c r="L182" s="660">
        <f t="shared" ref="L182" si="2340">IF(K182=0,0,K182/K$4)</f>
        <v>1.0790461319319888</v>
      </c>
      <c r="M182" s="659">
        <f>Калькулятор_жилье!P$149*уникальные!$E$179</f>
        <v>24856.251828288157</v>
      </c>
      <c r="N182" s="660">
        <f t="shared" ref="N182" si="2341">IF(M182=0,0,M182/M$4)</f>
        <v>5.7713968209083673</v>
      </c>
      <c r="O182" s="659">
        <f>Калькулятор_жилье!Q$149*уникальные!$E$179</f>
        <v>0</v>
      </c>
      <c r="P182" s="660">
        <f t="shared" ref="P182" si="2342">IF(O182=0,0,O182/O$4)</f>
        <v>0</v>
      </c>
      <c r="Q182" s="659">
        <f>Калькулятор_жилье!R$149*уникальные!$E$179</f>
        <v>0</v>
      </c>
      <c r="R182" s="660">
        <f t="shared" ref="R182" si="2343">IF(Q182=0,0,Q182/Q$4)</f>
        <v>0</v>
      </c>
      <c r="S182" s="659">
        <f>Калькулятор_жилье!S$149*уникальные!$E$179</f>
        <v>0</v>
      </c>
      <c r="T182" s="660">
        <f t="shared" ref="T182" si="2344">IF(S182=0,0,S182/S$4)</f>
        <v>0</v>
      </c>
      <c r="U182" s="659">
        <f>Калькулятор_жилье!T$149*уникальные!$E$179</f>
        <v>0</v>
      </c>
      <c r="V182" s="660">
        <f t="shared" ref="V182" si="2345">IF(U182=0,0,U182/U$4)</f>
        <v>0</v>
      </c>
      <c r="W182" s="659">
        <f>Калькулятор_жилье!U$149*уникальные!$E$179</f>
        <v>0</v>
      </c>
      <c r="X182" s="660">
        <f t="shared" ref="X182" si="2346">IF(W182=0,0,W182/W$4)</f>
        <v>0</v>
      </c>
      <c r="Y182" s="659">
        <f>Калькулятор_жилье!V$149*уникальные!$E$179</f>
        <v>0</v>
      </c>
      <c r="Z182" s="660">
        <f t="shared" ref="Z182" si="2347">IF(Y182=0,0,Y182/Y$4)</f>
        <v>0</v>
      </c>
      <c r="AA182" s="659">
        <f>Калькулятор_жилье!W$149*уникальные!$E$179</f>
        <v>0</v>
      </c>
      <c r="AB182" s="660">
        <f t="shared" ref="AB182" si="2348">IF(AA182=0,0,AA182/AA$4)</f>
        <v>0</v>
      </c>
      <c r="AC182" s="659">
        <f>C182+E182+G182+I182+K182+M182+O182+Q182+S182+U182+W182+AA182+Y182</f>
        <v>4571192.4258777564</v>
      </c>
      <c r="AD182" s="660">
        <f t="shared" ref="AD182" si="2349">IF(AC182=0,0,AC182/AC$4)</f>
        <v>28.390220629590708</v>
      </c>
      <c r="AE182" s="654"/>
    </row>
    <row r="183" spans="1:31" s="556" customFormat="1" ht="15.75" hidden="1" outlineLevel="2" collapsed="1">
      <c r="A183" s="609" t="s">
        <v>1533</v>
      </c>
      <c r="B183" s="559" t="s">
        <v>1532</v>
      </c>
      <c r="C183" s="659">
        <f>SUM(C184:C185)</f>
        <v>0</v>
      </c>
      <c r="D183" s="660">
        <f t="shared" si="1631"/>
        <v>0</v>
      </c>
      <c r="E183" s="659">
        <f t="shared" ref="E183" si="2350">SUM(E184:E185)</f>
        <v>20328042.881731182</v>
      </c>
      <c r="F183" s="660">
        <f t="shared" si="1631"/>
        <v>472.27291038568831</v>
      </c>
      <c r="G183" s="659">
        <f t="shared" ref="G183" si="2351">SUM(G184:G185)</f>
        <v>913862.63354681386</v>
      </c>
      <c r="H183" s="660">
        <f t="shared" ref="H183" si="2352">IF(G183=0,0,G183/G$4)</f>
        <v>21.891633738781447</v>
      </c>
      <c r="I183" s="659">
        <f t="shared" ref="I183" si="2353">SUM(I184:I185)</f>
        <v>634241.03746663372</v>
      </c>
      <c r="J183" s="660">
        <f t="shared" ref="J183" si="2354">IF(I183=0,0,I183/I$4)</f>
        <v>21.61446970968694</v>
      </c>
      <c r="K183" s="659">
        <f t="shared" ref="K183" si="2355">SUM(K184:K185)</f>
        <v>1228359.7708599523</v>
      </c>
      <c r="L183" s="660">
        <f t="shared" ref="L183" si="2356">IF(K183=0,0,K183/K$4)</f>
        <v>28.851712331024434</v>
      </c>
      <c r="M183" s="659">
        <f t="shared" ref="M183" si="2357">SUM(M184:M185)</f>
        <v>664610.53531905066</v>
      </c>
      <c r="N183" s="660">
        <f t="shared" ref="N183" si="2358">IF(M183=0,0,M183/M$4)</f>
        <v>154.31655412813473</v>
      </c>
      <c r="O183" s="659">
        <f t="shared" ref="O183" si="2359">SUM(O184:O185)</f>
        <v>0</v>
      </c>
      <c r="P183" s="660">
        <f t="shared" ref="P183" si="2360">IF(O183=0,0,O183/O$4)</f>
        <v>0</v>
      </c>
      <c r="Q183" s="659">
        <f t="shared" ref="Q183" si="2361">SUM(Q184:Q185)</f>
        <v>0</v>
      </c>
      <c r="R183" s="660">
        <f t="shared" ref="R183" si="2362">IF(Q183=0,0,Q183/Q$4)</f>
        <v>0</v>
      </c>
      <c r="S183" s="659">
        <f t="shared" ref="S183" si="2363">SUM(S184:S185)</f>
        <v>0</v>
      </c>
      <c r="T183" s="660">
        <f t="shared" ref="T183" si="2364">IF(S183=0,0,S183/S$4)</f>
        <v>0</v>
      </c>
      <c r="U183" s="659">
        <f t="shared" ref="U183" si="2365">SUM(U184:U185)</f>
        <v>0</v>
      </c>
      <c r="V183" s="660">
        <f t="shared" ref="V183" si="2366">IF(U183=0,0,U183/U$4)</f>
        <v>0</v>
      </c>
      <c r="W183" s="659">
        <f t="shared" ref="W183" si="2367">SUM(W184:W185)</f>
        <v>0</v>
      </c>
      <c r="X183" s="660">
        <f t="shared" ref="X183" si="2368">IF(W183=0,0,W183/W$4)</f>
        <v>0</v>
      </c>
      <c r="Y183" s="659">
        <f t="shared" ref="Y183" si="2369">SUM(Y184:Y185)</f>
        <v>0</v>
      </c>
      <c r="Z183" s="660">
        <f t="shared" ref="Z183" si="2370">IF(Y183=0,0,Y183/Y$4)</f>
        <v>0</v>
      </c>
      <c r="AA183" s="659">
        <f t="shared" ref="AA183" si="2371">SUM(AA184:AA185)</f>
        <v>0</v>
      </c>
      <c r="AB183" s="660">
        <f t="shared" ref="AB183" si="2372">IF(AA183=0,0,AA183/AA$4)</f>
        <v>0</v>
      </c>
      <c r="AC183" s="659">
        <f t="shared" ref="AC183" si="2373">SUM(AC184:AC185)</f>
        <v>23769116.858923633</v>
      </c>
      <c r="AD183" s="660">
        <f t="shared" ref="AD183" si="2374">IF(AC183=0,0,AC183/AC$4)</f>
        <v>147.62241641266928</v>
      </c>
      <c r="AE183" s="654"/>
    </row>
    <row r="184" spans="1:31" s="556" customFormat="1" ht="15.75" hidden="1" outlineLevel="3">
      <c r="A184" s="612" t="s">
        <v>1531</v>
      </c>
      <c r="B184" s="560" t="s">
        <v>1530</v>
      </c>
      <c r="C184" s="661"/>
      <c r="D184" s="662">
        <f t="shared" si="1631"/>
        <v>0</v>
      </c>
      <c r="E184" s="661"/>
      <c r="F184" s="662">
        <f t="shared" si="1631"/>
        <v>0</v>
      </c>
      <c r="G184" s="661"/>
      <c r="H184" s="662">
        <f t="shared" ref="H184" si="2375">IF(G184=0,0,G184/G$4)</f>
        <v>0</v>
      </c>
      <c r="I184" s="661"/>
      <c r="J184" s="662">
        <f t="shared" ref="J184" si="2376">IF(I184=0,0,I184/I$4)</f>
        <v>0</v>
      </c>
      <c r="K184" s="661"/>
      <c r="L184" s="662">
        <f t="shared" ref="L184" si="2377">IF(K184=0,0,K184/K$4)</f>
        <v>0</v>
      </c>
      <c r="M184" s="661"/>
      <c r="N184" s="662">
        <f t="shared" ref="N184" si="2378">IF(M184=0,0,M184/M$4)</f>
        <v>0</v>
      </c>
      <c r="O184" s="661"/>
      <c r="P184" s="662">
        <f t="shared" ref="P184" si="2379">IF(O184=0,0,O184/O$4)</f>
        <v>0</v>
      </c>
      <c r="Q184" s="661"/>
      <c r="R184" s="662">
        <f t="shared" ref="R184" si="2380">IF(Q184=0,0,Q184/Q$4)</f>
        <v>0</v>
      </c>
      <c r="S184" s="661"/>
      <c r="T184" s="662">
        <f t="shared" ref="T184" si="2381">IF(S184=0,0,S184/S$4)</f>
        <v>0</v>
      </c>
      <c r="U184" s="661"/>
      <c r="V184" s="662">
        <f t="shared" ref="V184" si="2382">IF(U184=0,0,U184/U$4)</f>
        <v>0</v>
      </c>
      <c r="W184" s="661"/>
      <c r="X184" s="662">
        <f t="shared" ref="X184" si="2383">IF(W184=0,0,W184/W$4)</f>
        <v>0</v>
      </c>
      <c r="Y184" s="661"/>
      <c r="Z184" s="662">
        <f t="shared" ref="Z184" si="2384">IF(Y184=0,0,Y184/Y$4)</f>
        <v>0</v>
      </c>
      <c r="AA184" s="661"/>
      <c r="AB184" s="662">
        <f t="shared" ref="AB184" si="2385">IF(AA184=0,0,AA184/AA$4)</f>
        <v>0</v>
      </c>
      <c r="AC184" s="661"/>
      <c r="AD184" s="662">
        <f t="shared" ref="AD184" si="2386">IF(AC184=0,0,AC184/AC$4)</f>
        <v>0</v>
      </c>
      <c r="AE184" s="654"/>
    </row>
    <row r="185" spans="1:31" s="556" customFormat="1" ht="15.75" hidden="1" outlineLevel="3">
      <c r="A185" s="612" t="s">
        <v>1529</v>
      </c>
      <c r="B185" s="560" t="s">
        <v>1528</v>
      </c>
      <c r="C185" s="661"/>
      <c r="D185" s="662">
        <f t="shared" si="1631"/>
        <v>0</v>
      </c>
      <c r="E185" s="661">
        <f>Калькулятор_жилье!L350+Калькулятор_жилье!L349</f>
        <v>20328042.881731182</v>
      </c>
      <c r="F185" s="662">
        <f t="shared" si="1631"/>
        <v>472.27291038568831</v>
      </c>
      <c r="G185" s="661">
        <f>Калькулятор_жилье!M349</f>
        <v>913862.63354681386</v>
      </c>
      <c r="H185" s="662">
        <f t="shared" ref="H185" si="2387">IF(G185=0,0,G185/G$4)</f>
        <v>21.891633738781447</v>
      </c>
      <c r="I185" s="661">
        <f>Калькулятор_жилье!N349</f>
        <v>634241.03746663372</v>
      </c>
      <c r="J185" s="662">
        <f t="shared" ref="J185" si="2388">IF(I185=0,0,I185/I$4)</f>
        <v>21.61446970968694</v>
      </c>
      <c r="K185" s="661">
        <f>Калькулятор_жилье!O349</f>
        <v>1228359.7708599523</v>
      </c>
      <c r="L185" s="662">
        <f t="shared" ref="L185" si="2389">IF(K185=0,0,K185/K$4)</f>
        <v>28.851712331024434</v>
      </c>
      <c r="M185" s="661">
        <f>Калькулятор_жилье!P349</f>
        <v>664610.53531905066</v>
      </c>
      <c r="N185" s="662">
        <f t="shared" ref="N185" si="2390">IF(M185=0,0,M185/M$4)</f>
        <v>154.31655412813473</v>
      </c>
      <c r="O185" s="661">
        <f>Калькулятор_жилье!Q349</f>
        <v>0</v>
      </c>
      <c r="P185" s="662">
        <f t="shared" ref="P185" si="2391">IF(O185=0,0,O185/O$4)</f>
        <v>0</v>
      </c>
      <c r="Q185" s="661">
        <f>Калькулятор_жилье!R349</f>
        <v>0</v>
      </c>
      <c r="R185" s="662">
        <f t="shared" ref="R185" si="2392">IF(Q185=0,0,Q185/Q$4)</f>
        <v>0</v>
      </c>
      <c r="S185" s="661">
        <f>Калькулятор_жилье!S349</f>
        <v>0</v>
      </c>
      <c r="T185" s="662">
        <f t="shared" ref="T185" si="2393">IF(S185=0,0,S185/S$4)</f>
        <v>0</v>
      </c>
      <c r="U185" s="661">
        <f>Калькулятор_жилье!T349</f>
        <v>0</v>
      </c>
      <c r="V185" s="662">
        <f t="shared" ref="V185" si="2394">IF(U185=0,0,U185/U$4)</f>
        <v>0</v>
      </c>
      <c r="W185" s="661">
        <f>Калькулятор_жилье!U349</f>
        <v>0</v>
      </c>
      <c r="X185" s="662">
        <f t="shared" ref="X185" si="2395">IF(W185=0,0,W185/W$4)</f>
        <v>0</v>
      </c>
      <c r="Y185" s="661">
        <f>Калькулятор_жилье!V349</f>
        <v>0</v>
      </c>
      <c r="Z185" s="662">
        <f t="shared" ref="Z185" si="2396">IF(Y185=0,0,Y185/Y$4)</f>
        <v>0</v>
      </c>
      <c r="AA185" s="661">
        <f>Калькулятор_жилье!W349</f>
        <v>0</v>
      </c>
      <c r="AB185" s="662">
        <f t="shared" ref="AB185" si="2397">IF(AA185=0,0,AA185/AA$4)</f>
        <v>0</v>
      </c>
      <c r="AC185" s="661">
        <f>C185+E185+G185+I185+K185+M185+O185+Q185+S185+U185+W185+AA185+Y185</f>
        <v>23769116.858923633</v>
      </c>
      <c r="AD185" s="662">
        <f t="shared" ref="AD185" si="2398">IF(AC185=0,0,AC185/AC$4)</f>
        <v>147.62241641266928</v>
      </c>
      <c r="AE185" s="654"/>
    </row>
    <row r="186" spans="1:31" s="556" customFormat="1" ht="15.75" outlineLevel="1" collapsed="1">
      <c r="A186" s="610" t="s">
        <v>1527</v>
      </c>
      <c r="B186" s="558" t="s">
        <v>1057</v>
      </c>
      <c r="C186" s="657">
        <f>C187+C193+C198</f>
        <v>0</v>
      </c>
      <c r="D186" s="658">
        <f t="shared" si="1631"/>
        <v>0</v>
      </c>
      <c r="E186" s="657">
        <f t="shared" ref="E186" si="2399">E187+E193+E198</f>
        <v>0</v>
      </c>
      <c r="F186" s="658">
        <f t="shared" si="1631"/>
        <v>0</v>
      </c>
      <c r="G186" s="657">
        <f t="shared" ref="G186" si="2400">G187+G193+G198</f>
        <v>657563480.27018857</v>
      </c>
      <c r="H186" s="658">
        <f t="shared" ref="H186" si="2401">IF(G186=0,0,G186/G$4)</f>
        <v>15751.972278595193</v>
      </c>
      <c r="I186" s="657">
        <f t="shared" ref="I186" si="2402">I187+I193+I198</f>
        <v>466843825.53308481</v>
      </c>
      <c r="J186" s="658">
        <f t="shared" ref="J186" si="2403">IF(I186=0,0,I186/I$4)</f>
        <v>15909.695415554192</v>
      </c>
      <c r="K186" s="657">
        <f t="shared" ref="K186" si="2404">K187+K193+K198</f>
        <v>697783994.27712059</v>
      </c>
      <c r="L186" s="658">
        <f t="shared" ref="L186" si="2405">IF(K186=0,0,K186/K$4)</f>
        <v>16389.549340241298</v>
      </c>
      <c r="M186" s="657">
        <f t="shared" ref="M186" si="2406">M187+M193+M198</f>
        <v>39929074.465306222</v>
      </c>
      <c r="N186" s="658">
        <f t="shared" ref="N186" si="2407">IF(M186=0,0,M186/M$4)</f>
        <v>9271.1698860653432</v>
      </c>
      <c r="O186" s="657">
        <f t="shared" ref="O186" si="2408">O187+O193+O198</f>
        <v>0</v>
      </c>
      <c r="P186" s="658">
        <f t="shared" ref="P186" si="2409">IF(O186=0,0,O186/O$4)</f>
        <v>0</v>
      </c>
      <c r="Q186" s="657">
        <f t="shared" ref="Q186" si="2410">Q187+Q193+Q198</f>
        <v>0</v>
      </c>
      <c r="R186" s="658">
        <f t="shared" ref="R186" si="2411">IF(Q186=0,0,Q186/Q$4)</f>
        <v>0</v>
      </c>
      <c r="S186" s="657">
        <f t="shared" ref="S186" si="2412">S187+S193+S198</f>
        <v>0</v>
      </c>
      <c r="T186" s="658">
        <f t="shared" ref="T186" si="2413">IF(S186=0,0,S186/S$4)</f>
        <v>0</v>
      </c>
      <c r="U186" s="657">
        <f t="shared" ref="U186" si="2414">U187+U193+U198</f>
        <v>0</v>
      </c>
      <c r="V186" s="658">
        <f t="shared" ref="V186" si="2415">IF(U186=0,0,U186/U$4)</f>
        <v>0</v>
      </c>
      <c r="W186" s="657">
        <f t="shared" ref="W186" si="2416">W187+W193+W198</f>
        <v>0</v>
      </c>
      <c r="X186" s="658">
        <f t="shared" ref="X186" si="2417">IF(W186=0,0,W186/W$4)</f>
        <v>0</v>
      </c>
      <c r="Y186" s="657">
        <f t="shared" ref="Y186" si="2418">Y187+Y193+Y198</f>
        <v>0</v>
      </c>
      <c r="Z186" s="658">
        <f t="shared" ref="Z186" si="2419">IF(Y186=0,0,Y186/Y$4)</f>
        <v>0</v>
      </c>
      <c r="AA186" s="657">
        <f t="shared" ref="AA186" si="2420">AA187+AA193+AA198</f>
        <v>0</v>
      </c>
      <c r="AB186" s="658">
        <f t="shared" ref="AB186" si="2421">IF(AA186=0,0,AA186/AA$4)</f>
        <v>0</v>
      </c>
      <c r="AC186" s="657">
        <f t="shared" ref="AC186" si="2422">AC187+AC193+AC198</f>
        <v>1862120374.5457003</v>
      </c>
      <c r="AD186" s="658">
        <f t="shared" ref="AD186" si="2423">IF(AC186=0,0,AC186/AC$4)</f>
        <v>11565.036722788416</v>
      </c>
      <c r="AE186" s="654"/>
    </row>
    <row r="187" spans="1:31" s="556" customFormat="1" ht="15.75" hidden="1" outlineLevel="2" collapsed="1">
      <c r="A187" s="609" t="s">
        <v>1526</v>
      </c>
      <c r="B187" s="559" t="s">
        <v>1059</v>
      </c>
      <c r="C187" s="659">
        <f>SUM(C188:C192)</f>
        <v>0</v>
      </c>
      <c r="D187" s="660">
        <f t="shared" si="1631"/>
        <v>0</v>
      </c>
      <c r="E187" s="659">
        <f t="shared" ref="E187" si="2424">SUM(E188:E192)</f>
        <v>0</v>
      </c>
      <c r="F187" s="660">
        <f t="shared" si="1631"/>
        <v>0</v>
      </c>
      <c r="G187" s="659">
        <f t="shared" ref="G187" si="2425">SUM(G188:G192)</f>
        <v>581581096.0113461</v>
      </c>
      <c r="H187" s="660">
        <f t="shared" ref="H187" si="2426">IF(G187=0,0,G187/G$4)</f>
        <v>13931.809744606737</v>
      </c>
      <c r="I187" s="659">
        <f t="shared" ref="I187" si="2427">SUM(I188:I192)</f>
        <v>413409288.11265403</v>
      </c>
      <c r="J187" s="660">
        <f t="shared" ref="J187" si="2428">IF(I187=0,0,I187/I$4)</f>
        <v>14088.685543442605</v>
      </c>
      <c r="K187" s="659">
        <f t="shared" ref="K187" si="2429">SUM(K188:K192)</f>
        <v>621196609.2769295</v>
      </c>
      <c r="L187" s="660">
        <f t="shared" ref="L187" si="2430">IF(K187=0,0,K187/K$4)</f>
        <v>14590.664963993795</v>
      </c>
      <c r="M187" s="659">
        <f t="shared" ref="M187" si="2431">SUM(M188:M192)</f>
        <v>33833588.20632311</v>
      </c>
      <c r="N187" s="660">
        <f t="shared" ref="N187" si="2432">IF(M187=0,0,M187/M$4)</f>
        <v>7855.8531174707687</v>
      </c>
      <c r="O187" s="659">
        <f t="shared" ref="O187" si="2433">SUM(O188:O192)</f>
        <v>0</v>
      </c>
      <c r="P187" s="660">
        <f t="shared" ref="P187" si="2434">IF(O187=0,0,O187/O$4)</f>
        <v>0</v>
      </c>
      <c r="Q187" s="659">
        <f t="shared" ref="Q187" si="2435">SUM(Q188:Q192)</f>
        <v>0</v>
      </c>
      <c r="R187" s="660">
        <f t="shared" ref="R187" si="2436">IF(Q187=0,0,Q187/Q$4)</f>
        <v>0</v>
      </c>
      <c r="S187" s="659">
        <f t="shared" ref="S187" si="2437">SUM(S188:S192)</f>
        <v>0</v>
      </c>
      <c r="T187" s="660">
        <f t="shared" ref="T187" si="2438">IF(S187=0,0,S187/S$4)</f>
        <v>0</v>
      </c>
      <c r="U187" s="659">
        <f t="shared" ref="U187" si="2439">SUM(U188:U192)</f>
        <v>0</v>
      </c>
      <c r="V187" s="660">
        <f t="shared" ref="V187" si="2440">IF(U187=0,0,U187/U$4)</f>
        <v>0</v>
      </c>
      <c r="W187" s="659">
        <f t="shared" ref="W187" si="2441">SUM(W188:W192)</f>
        <v>0</v>
      </c>
      <c r="X187" s="660">
        <f t="shared" ref="X187" si="2442">IF(W187=0,0,W187/W$4)</f>
        <v>0</v>
      </c>
      <c r="Y187" s="659">
        <f t="shared" ref="Y187" si="2443">SUM(Y188:Y192)</f>
        <v>0</v>
      </c>
      <c r="Z187" s="660">
        <f t="shared" ref="Z187" si="2444">IF(Y187=0,0,Y187/Y$4)</f>
        <v>0</v>
      </c>
      <c r="AA187" s="659">
        <f t="shared" ref="AA187" si="2445">SUM(AA188:AA192)</f>
        <v>0</v>
      </c>
      <c r="AB187" s="660">
        <f t="shared" ref="AB187" si="2446">IF(AA187=0,0,AA187/AA$4)</f>
        <v>0</v>
      </c>
      <c r="AC187" s="659">
        <f t="shared" ref="AC187" si="2447">SUM(AC188:AC192)</f>
        <v>1650020581.6072528</v>
      </c>
      <c r="AD187" s="660">
        <f t="shared" ref="AD187" si="2448">IF(AC187=0,0,AC187/AC$4)</f>
        <v>10247.752444199603</v>
      </c>
      <c r="AE187" s="654"/>
    </row>
    <row r="188" spans="1:31" s="556" customFormat="1" ht="15.75" hidden="1" outlineLevel="3">
      <c r="A188" s="612" t="s">
        <v>1525</v>
      </c>
      <c r="B188" s="560" t="s">
        <v>1524</v>
      </c>
      <c r="C188" s="661"/>
      <c r="D188" s="662">
        <f t="shared" si="1631"/>
        <v>0</v>
      </c>
      <c r="E188" s="661"/>
      <c r="F188" s="662">
        <f t="shared" si="1631"/>
        <v>0</v>
      </c>
      <c r="G188" s="661">
        <f>Калькулятор_жилье!M$151*уникальные!$B$182+SUM(Калькулятор_жилье!M$158:M$163)*уникальные!$B$211</f>
        <v>175523185.8647266</v>
      </c>
      <c r="H188" s="662">
        <f t="shared" ref="H188" si="2449">IF(G188=0,0,G188/G$4)</f>
        <v>4204.6683566669972</v>
      </c>
      <c r="I188" s="661">
        <f>Калькулятор_жилье!N$151*уникальные!$B$182+SUM(Калькулятор_жилье!N$158:N$163)*уникальные!$B$211</f>
        <v>127114508.83118339</v>
      </c>
      <c r="J188" s="662">
        <f t="shared" ref="J188" si="2450">IF(I188=0,0,I188/I$4)</f>
        <v>4331.9692963542875</v>
      </c>
      <c r="K188" s="661">
        <f>Калькулятор_жилье!O$151*уникальные!$B$182+SUM(Калькулятор_жилье!O$158:O$163)*уникальные!$B$211</f>
        <v>206079007.68336296</v>
      </c>
      <c r="L188" s="662">
        <f t="shared" ref="L188" si="2451">IF(K188=0,0,K188/K$4)</f>
        <v>4840.3834024789521</v>
      </c>
      <c r="M188" s="661">
        <f>Калькулятор_жилье!P$151*уникальные!$B$182+SUM(Калькулятор_жилье!P$158:P$163)*уникальные!$B$211</f>
        <v>15112529.286060991</v>
      </c>
      <c r="N188" s="662">
        <f t="shared" ref="N188" si="2452">IF(M188=0,0,M188/M$4)</f>
        <v>3508.9925898720603</v>
      </c>
      <c r="O188" s="661">
        <f>Калькулятор_жилье!Q$151*уникальные!$B$182+SUM(Калькулятор_жилье!Q$158:Q$163)*уникальные!$B$211</f>
        <v>0</v>
      </c>
      <c r="P188" s="662">
        <f t="shared" ref="P188" si="2453">IF(O188=0,0,O188/O$4)</f>
        <v>0</v>
      </c>
      <c r="Q188" s="661">
        <f>Калькулятор_жилье!R$151*уникальные!$B$182+SUM(Калькулятор_жилье!R$158:R$163)*уникальные!$B$211</f>
        <v>0</v>
      </c>
      <c r="R188" s="662">
        <f t="shared" ref="R188" si="2454">IF(Q188=0,0,Q188/Q$4)</f>
        <v>0</v>
      </c>
      <c r="S188" s="661">
        <f>Калькулятор_жилье!S$151*уникальные!$B$182+SUM(Калькулятор_жилье!S$158:S$163)*уникальные!$B$211</f>
        <v>0</v>
      </c>
      <c r="T188" s="662">
        <f t="shared" ref="T188" si="2455">IF(S188=0,0,S188/S$4)</f>
        <v>0</v>
      </c>
      <c r="U188" s="661">
        <f>Калькулятор_жилье!T$151*уникальные!$B$182+SUM(Калькулятор_жилье!T$158:T$163)*уникальные!$B$211</f>
        <v>0</v>
      </c>
      <c r="V188" s="662">
        <f t="shared" ref="V188" si="2456">IF(U188=0,0,U188/U$4)</f>
        <v>0</v>
      </c>
      <c r="W188" s="661">
        <f>Калькулятор_жилье!U$151*уникальные!$B$182+SUM(Калькулятор_жилье!U$158:U$163)*уникальные!$B$211</f>
        <v>0</v>
      </c>
      <c r="X188" s="662">
        <f t="shared" ref="X188" si="2457">IF(W188=0,0,W188/W$4)</f>
        <v>0</v>
      </c>
      <c r="Y188" s="661">
        <f>Калькулятор_жилье!V$151*уникальные!$B$182+SUM(Калькулятор_жилье!V$158:V$163)*уникальные!$B$211</f>
        <v>0</v>
      </c>
      <c r="Z188" s="662">
        <f t="shared" ref="Z188" si="2458">IF(Y188=0,0,Y188/Y$4)</f>
        <v>0</v>
      </c>
      <c r="AA188" s="661">
        <f>Калькулятор_жилье!W$151*уникальные!$B$182+SUM(Калькулятор_жилье!W$158:W$163)*уникальные!$B$211</f>
        <v>0</v>
      </c>
      <c r="AB188" s="662">
        <f t="shared" ref="AB188" si="2459">IF(AA188=0,0,AA188/AA$4)</f>
        <v>0</v>
      </c>
      <c r="AC188" s="661">
        <f>C188+E188+G188+I188+K188+M188+O188+Q188+S188+U188+W188+AA188+Y188</f>
        <v>523829231.66533393</v>
      </c>
      <c r="AD188" s="662">
        <f t="shared" ref="AD188" si="2460">IF(AC188=0,0,AC188/AC$4)</f>
        <v>3253.3365637855809</v>
      </c>
      <c r="AE188" s="654"/>
    </row>
    <row r="189" spans="1:31" s="556" customFormat="1" ht="15.75" hidden="1" outlineLevel="3">
      <c r="A189" s="612" t="s">
        <v>1523</v>
      </c>
      <c r="B189" s="560" t="s">
        <v>1522</v>
      </c>
      <c r="C189" s="661"/>
      <c r="D189" s="662">
        <f t="shared" si="1631"/>
        <v>0</v>
      </c>
      <c r="E189" s="661"/>
      <c r="F189" s="662">
        <f t="shared" si="1631"/>
        <v>0</v>
      </c>
      <c r="G189" s="661">
        <f>SUM(Калькулятор_жилье!M$158:M$163)*уникальные!$B$213</f>
        <v>24360271.711025398</v>
      </c>
      <c r="H189" s="662">
        <f t="shared" ref="H189" si="2461">IF(G189=0,0,G189/G$4)</f>
        <v>583.55175766976856</v>
      </c>
      <c r="I189" s="661">
        <f>SUM(Калькулятор_жилье!N$158:N$163)*уникальные!$B$213</f>
        <v>17641794.491627052</v>
      </c>
      <c r="J189" s="662">
        <f t="shared" ref="J189" si="2462">IF(I189=0,0,I189/I$4)</f>
        <v>601.21942627191686</v>
      </c>
      <c r="K189" s="661">
        <f>SUM(Калькулятор_жилье!O$158:O$163)*уникальные!$B$213</f>
        <v>28601011.293027513</v>
      </c>
      <c r="L189" s="662">
        <f t="shared" ref="L189" si="2463">IF(K189=0,0,K189/K$4)</f>
        <v>671.78050745272435</v>
      </c>
      <c r="M189" s="661">
        <f>SUM(Калькулятор_жилье!P$158:P$163)*уникальные!$B$213</f>
        <v>2097417.0326021723</v>
      </c>
      <c r="N189" s="662">
        <f t="shared" ref="N189" si="2464">IF(M189=0,0,M189/M$4)</f>
        <v>487.00126140108023</v>
      </c>
      <c r="O189" s="661">
        <f>SUM(Калькулятор_жилье!Q$158:Q$163)*уникальные!$B$213</f>
        <v>0</v>
      </c>
      <c r="P189" s="662">
        <f t="shared" ref="P189" si="2465">IF(O189=0,0,O189/O$4)</f>
        <v>0</v>
      </c>
      <c r="Q189" s="661">
        <f>SUM(Калькулятор_жилье!R$158:R$163)*уникальные!$B$213</f>
        <v>0</v>
      </c>
      <c r="R189" s="662">
        <f t="shared" ref="R189" si="2466">IF(Q189=0,0,Q189/Q$4)</f>
        <v>0</v>
      </c>
      <c r="S189" s="661">
        <f>SUM(Калькулятор_жилье!S$158:S$163)*уникальные!$B$213</f>
        <v>0</v>
      </c>
      <c r="T189" s="662">
        <f t="shared" ref="T189" si="2467">IF(S189=0,0,S189/S$4)</f>
        <v>0</v>
      </c>
      <c r="U189" s="661">
        <f>SUM(Калькулятор_жилье!T$158:T$163)*уникальные!$B$213</f>
        <v>0</v>
      </c>
      <c r="V189" s="662">
        <f t="shared" ref="V189" si="2468">IF(U189=0,0,U189/U$4)</f>
        <v>0</v>
      </c>
      <c r="W189" s="661">
        <f>SUM(Калькулятор_жилье!U$158:U$163)*уникальные!$B$213</f>
        <v>0</v>
      </c>
      <c r="X189" s="662">
        <f t="shared" ref="X189" si="2469">IF(W189=0,0,W189/W$4)</f>
        <v>0</v>
      </c>
      <c r="Y189" s="661">
        <f>SUM(Калькулятор_жилье!V$158:V$163)*уникальные!$B$213</f>
        <v>0</v>
      </c>
      <c r="Z189" s="662">
        <f t="shared" ref="Z189" si="2470">IF(Y189=0,0,Y189/Y$4)</f>
        <v>0</v>
      </c>
      <c r="AA189" s="661">
        <f>SUM(Калькулятор_жилье!W$158:W$163)*уникальные!$B$213</f>
        <v>0</v>
      </c>
      <c r="AB189" s="662">
        <f t="shared" ref="AB189" si="2471">IF(AA189=0,0,AA189/AA$4)</f>
        <v>0</v>
      </c>
      <c r="AC189" s="661">
        <f>C189+E189+G189+I189+K189+M189+O189+Q189+S189+U189+W189+AA189+Y189</f>
        <v>72700494.528282151</v>
      </c>
      <c r="AD189" s="662">
        <f t="shared" ref="AD189" si="2472">IF(AC189=0,0,AC189/AC$4)</f>
        <v>451.51962272556443</v>
      </c>
      <c r="AE189" s="654"/>
    </row>
    <row r="190" spans="1:31" s="556" customFormat="1" ht="15.75" hidden="1" outlineLevel="3">
      <c r="A190" s="612" t="s">
        <v>1521</v>
      </c>
      <c r="B190" s="560" t="s">
        <v>1520</v>
      </c>
      <c r="C190" s="661"/>
      <c r="D190" s="662">
        <f t="shared" si="1631"/>
        <v>0</v>
      </c>
      <c r="E190" s="661"/>
      <c r="F190" s="662">
        <f t="shared" si="1631"/>
        <v>0</v>
      </c>
      <c r="G190" s="661">
        <f>Калькулятор_жилье!M$151*уникальные!$B$181+SUM(Калькулятор_жилье!M152:M157)</f>
        <v>370984240.88135141</v>
      </c>
      <c r="H190" s="662">
        <f t="shared" ref="H190" si="2473">IF(G190=0,0,G190/G$4)</f>
        <v>8886.949554676572</v>
      </c>
      <c r="I190" s="661">
        <f>Калькулятор_жилье!N$151*уникальные!$B$181+SUM(Калькулятор_жилье!N152:N157)</f>
        <v>260894304.5829432</v>
      </c>
      <c r="J190" s="662">
        <f t="shared" ref="J190" si="2474">IF(I190=0,0,I190/I$4)</f>
        <v>8891.0866858477712</v>
      </c>
      <c r="K190" s="661">
        <f>Калькулятор_жилье!O$151*уникальные!$B$181+SUM(Калькулятор_жилье!O152:O157)</f>
        <v>373938158.98949146</v>
      </c>
      <c r="L190" s="662">
        <f t="shared" ref="L190" si="2475">IF(K190=0,0,K190/K$4)</f>
        <v>8783.058879569684</v>
      </c>
      <c r="M190" s="661">
        <f>Калькулятор_жилье!P$151*уникальные!$B$181+SUM(Калькулятор_жилье!P152:P157)</f>
        <v>15701219.396898607</v>
      </c>
      <c r="N190" s="662">
        <f t="shared" ref="N190" si="2476">IF(M190=0,0,M190/M$4)</f>
        <v>3645.6811082238801</v>
      </c>
      <c r="O190" s="661">
        <f>Калькулятор_жилье!Q$151*уникальные!$B$181+SUM(Калькулятор_жилье!Q152:Q157)</f>
        <v>0</v>
      </c>
      <c r="P190" s="662">
        <f t="shared" ref="P190" si="2477">IF(O190=0,0,O190/O$4)</f>
        <v>0</v>
      </c>
      <c r="Q190" s="661">
        <f>Калькулятор_жилье!R$151*уникальные!$B$181+SUM(Калькулятор_жилье!R152:R157)</f>
        <v>0</v>
      </c>
      <c r="R190" s="662">
        <f t="shared" ref="R190" si="2478">IF(Q190=0,0,Q190/Q$4)</f>
        <v>0</v>
      </c>
      <c r="S190" s="661">
        <f>Калькулятор_жилье!S$151*уникальные!$B$181+SUM(Калькулятор_жилье!S152:S157)</f>
        <v>0</v>
      </c>
      <c r="T190" s="662">
        <f t="shared" ref="T190" si="2479">IF(S190=0,0,S190/S$4)</f>
        <v>0</v>
      </c>
      <c r="U190" s="661">
        <f>Калькулятор_жилье!T$151*уникальные!$B$181+SUM(Калькулятор_жилье!T152:T157)</f>
        <v>0</v>
      </c>
      <c r="V190" s="662">
        <f t="shared" ref="V190" si="2480">IF(U190=0,0,U190/U$4)</f>
        <v>0</v>
      </c>
      <c r="W190" s="661">
        <f>Калькулятор_жилье!U$151*уникальные!$B$181+SUM(Калькулятор_жилье!U152:U157)</f>
        <v>0</v>
      </c>
      <c r="X190" s="662">
        <f t="shared" ref="X190" si="2481">IF(W190=0,0,W190/W$4)</f>
        <v>0</v>
      </c>
      <c r="Y190" s="661">
        <f>Калькулятор_жилье!V$151*уникальные!$B$181+SUM(Калькулятор_жилье!V152:V157)</f>
        <v>0</v>
      </c>
      <c r="Z190" s="662">
        <f t="shared" ref="Z190" si="2482">IF(Y190=0,0,Y190/Y$4)</f>
        <v>0</v>
      </c>
      <c r="AA190" s="661">
        <f>Калькулятор_жилье!W$151*уникальные!$B$181+SUM(Калькулятор_жилье!W152:W157)</f>
        <v>0</v>
      </c>
      <c r="AB190" s="662">
        <f t="shared" ref="AB190" si="2483">IF(AA190=0,0,AA190/AA$4)</f>
        <v>0</v>
      </c>
      <c r="AC190" s="661">
        <f>C190+E190+G190+I190+K190+M190+O190+Q190+S190+U190+W190+AA190+Y190</f>
        <v>1021517923.8506848</v>
      </c>
      <c r="AD190" s="662">
        <f t="shared" ref="AD190" si="2484">IF(AC190=0,0,AC190/AC$4)</f>
        <v>6344.3225603511128</v>
      </c>
      <c r="AE190" s="654"/>
    </row>
    <row r="191" spans="1:31" s="556" customFormat="1" ht="15.75" hidden="1" outlineLevel="3">
      <c r="A191" s="612" t="s">
        <v>1519</v>
      </c>
      <c r="B191" s="560" t="s">
        <v>1061</v>
      </c>
      <c r="C191" s="661"/>
      <c r="D191" s="662">
        <f t="shared" si="1631"/>
        <v>0</v>
      </c>
      <c r="E191" s="661"/>
      <c r="F191" s="662">
        <f t="shared" si="1631"/>
        <v>0</v>
      </c>
      <c r="G191" s="661"/>
      <c r="H191" s="662">
        <f t="shared" ref="H191" si="2485">IF(G191=0,0,G191/G$4)</f>
        <v>0</v>
      </c>
      <c r="I191" s="661"/>
      <c r="J191" s="662">
        <f t="shared" ref="J191" si="2486">IF(I191=0,0,I191/I$4)</f>
        <v>0</v>
      </c>
      <c r="K191" s="661"/>
      <c r="L191" s="662">
        <f t="shared" ref="L191" si="2487">IF(K191=0,0,K191/K$4)</f>
        <v>0</v>
      </c>
      <c r="M191" s="661"/>
      <c r="N191" s="662">
        <f t="shared" ref="N191" si="2488">IF(M191=0,0,M191/M$4)</f>
        <v>0</v>
      </c>
      <c r="O191" s="661"/>
      <c r="P191" s="662">
        <f t="shared" ref="P191" si="2489">IF(O191=0,0,O191/O$4)</f>
        <v>0</v>
      </c>
      <c r="Q191" s="661"/>
      <c r="R191" s="662">
        <f t="shared" ref="R191" si="2490">IF(Q191=0,0,Q191/Q$4)</f>
        <v>0</v>
      </c>
      <c r="S191" s="661"/>
      <c r="T191" s="662">
        <f t="shared" ref="T191" si="2491">IF(S191=0,0,S191/S$4)</f>
        <v>0</v>
      </c>
      <c r="U191" s="661"/>
      <c r="V191" s="662">
        <f t="shared" ref="V191" si="2492">IF(U191=0,0,U191/U$4)</f>
        <v>0</v>
      </c>
      <c r="W191" s="661"/>
      <c r="X191" s="662">
        <f t="shared" ref="X191" si="2493">IF(W191=0,0,W191/W$4)</f>
        <v>0</v>
      </c>
      <c r="Y191" s="661"/>
      <c r="Z191" s="662">
        <f t="shared" ref="Z191" si="2494">IF(Y191=0,0,Y191/Y$4)</f>
        <v>0</v>
      </c>
      <c r="AA191" s="661"/>
      <c r="AB191" s="662">
        <f t="shared" ref="AB191" si="2495">IF(AA191=0,0,AA191/AA$4)</f>
        <v>0</v>
      </c>
      <c r="AC191" s="661"/>
      <c r="AD191" s="662">
        <f t="shared" ref="AD191" si="2496">IF(AC191=0,0,AC191/AC$4)</f>
        <v>0</v>
      </c>
      <c r="AE191" s="654"/>
    </row>
    <row r="192" spans="1:31" s="556" customFormat="1" ht="15.75" hidden="1" outlineLevel="3">
      <c r="A192" s="612" t="s">
        <v>1518</v>
      </c>
      <c r="B192" s="560" t="s">
        <v>1517</v>
      </c>
      <c r="C192" s="661"/>
      <c r="D192" s="662">
        <f t="shared" si="1631"/>
        <v>0</v>
      </c>
      <c r="E192" s="661"/>
      <c r="F192" s="662">
        <f t="shared" si="1631"/>
        <v>0</v>
      </c>
      <c r="G192" s="661">
        <f>SUM(Калькулятор_жилье!M$158:M$163)*уникальные!$B$212</f>
        <v>10713397.554242685</v>
      </c>
      <c r="H192" s="662">
        <f t="shared" ref="H192" si="2497">IF(G192=0,0,G192/G$4)</f>
        <v>256.6400755933999</v>
      </c>
      <c r="I192" s="661">
        <f>SUM(Калькулятор_жилье!N$158:N$163)*уникальные!$B$212</f>
        <v>7758680.2069004346</v>
      </c>
      <c r="J192" s="662">
        <f t="shared" ref="J192" si="2498">IF(I192=0,0,I192/I$4)</f>
        <v>264.41013496863081</v>
      </c>
      <c r="K192" s="661">
        <f>SUM(Калькулятор_жилье!O$158:O$163)*уникальные!$B$212</f>
        <v>12578431.311047578</v>
      </c>
      <c r="L192" s="662">
        <f t="shared" ref="L192" si="2499">IF(K192=0,0,K192/K$4)</f>
        <v>295.44217449243638</v>
      </c>
      <c r="M192" s="661">
        <f>SUM(Калькулятор_жилье!P$158:P$163)*уникальные!$B$212</f>
        <v>922422.49076134025</v>
      </c>
      <c r="N192" s="662">
        <f t="shared" ref="N192" si="2500">IF(M192=0,0,M192/M$4)</f>
        <v>214.17815797374854</v>
      </c>
      <c r="O192" s="661">
        <f>SUM(Калькулятор_жилье!Q$158:Q$163)*уникальные!$B$212</f>
        <v>0</v>
      </c>
      <c r="P192" s="662">
        <f t="shared" ref="P192" si="2501">IF(O192=0,0,O192/O$4)</f>
        <v>0</v>
      </c>
      <c r="Q192" s="661">
        <f>SUM(Калькулятор_жилье!R$158:R$163)*уникальные!$B$212</f>
        <v>0</v>
      </c>
      <c r="R192" s="662">
        <f t="shared" ref="R192" si="2502">IF(Q192=0,0,Q192/Q$4)</f>
        <v>0</v>
      </c>
      <c r="S192" s="661">
        <f>SUM(Калькулятор_жилье!S$158:S$163)*уникальные!$B$212</f>
        <v>0</v>
      </c>
      <c r="T192" s="662">
        <f t="shared" ref="T192" si="2503">IF(S192=0,0,S192/S$4)</f>
        <v>0</v>
      </c>
      <c r="U192" s="661">
        <f>SUM(Калькулятор_жилье!T$158:T$163)*уникальные!$B$212</f>
        <v>0</v>
      </c>
      <c r="V192" s="662">
        <f t="shared" ref="V192" si="2504">IF(U192=0,0,U192/U$4)</f>
        <v>0</v>
      </c>
      <c r="W192" s="661">
        <f>SUM(Калькулятор_жилье!U$158:U$163)*уникальные!$B$212</f>
        <v>0</v>
      </c>
      <c r="X192" s="662">
        <f t="shared" ref="X192" si="2505">IF(W192=0,0,W192/W$4)</f>
        <v>0</v>
      </c>
      <c r="Y192" s="661">
        <f>SUM(Калькулятор_жилье!V$158:V$163)*уникальные!$B$212</f>
        <v>0</v>
      </c>
      <c r="Z192" s="662">
        <f t="shared" ref="Z192" si="2506">IF(Y192=0,0,Y192/Y$4)</f>
        <v>0</v>
      </c>
      <c r="AA192" s="661">
        <f>SUM(Калькулятор_жилье!W$158:W$163)*уникальные!$B$212</f>
        <v>0</v>
      </c>
      <c r="AB192" s="662">
        <f t="shared" ref="AB192" si="2507">IF(AA192=0,0,AA192/AA$4)</f>
        <v>0</v>
      </c>
      <c r="AC192" s="661">
        <f>C192+E192+G192+I192+K192+M192+O192+Q192+S192+U192+W192+AA192+Y192</f>
        <v>31972931.562952034</v>
      </c>
      <c r="AD192" s="662">
        <f t="shared" ref="AD192" si="2508">IF(AC192=0,0,AC192/AC$4)</f>
        <v>198.57369733734484</v>
      </c>
      <c r="AE192" s="654"/>
    </row>
    <row r="193" spans="1:36" s="556" customFormat="1" ht="15.75" hidden="1" outlineLevel="2" collapsed="1">
      <c r="A193" s="609" t="s">
        <v>1516</v>
      </c>
      <c r="B193" s="559" t="s">
        <v>1062</v>
      </c>
      <c r="C193" s="659">
        <f>SUM(C194:C197)</f>
        <v>0</v>
      </c>
      <c r="D193" s="660">
        <f t="shared" si="1631"/>
        <v>0</v>
      </c>
      <c r="E193" s="659">
        <f t="shared" ref="E193" si="2509">SUM(E194:E197)</f>
        <v>0</v>
      </c>
      <c r="F193" s="660">
        <f t="shared" si="1631"/>
        <v>0</v>
      </c>
      <c r="G193" s="659">
        <f t="shared" ref="G193" si="2510">SUM(G194:G197)</f>
        <v>0</v>
      </c>
      <c r="H193" s="660">
        <f t="shared" ref="H193" si="2511">IF(G193=0,0,G193/G$4)</f>
        <v>0</v>
      </c>
      <c r="I193" s="659">
        <f t="shared" ref="I193" si="2512">SUM(I194:I197)</f>
        <v>0</v>
      </c>
      <c r="J193" s="660">
        <f t="shared" ref="J193" si="2513">IF(I193=0,0,I193/I$4)</f>
        <v>0</v>
      </c>
      <c r="K193" s="659">
        <f t="shared" ref="K193" si="2514">SUM(K194:K197)</f>
        <v>0</v>
      </c>
      <c r="L193" s="660">
        <f t="shared" ref="L193" si="2515">IF(K193=0,0,K193/K$4)</f>
        <v>0</v>
      </c>
      <c r="M193" s="659">
        <f t="shared" ref="M193" si="2516">SUM(M194:M197)</f>
        <v>0</v>
      </c>
      <c r="N193" s="660">
        <f t="shared" ref="N193" si="2517">IF(M193=0,0,M193/M$4)</f>
        <v>0</v>
      </c>
      <c r="O193" s="659">
        <f t="shared" ref="O193" si="2518">SUM(O194:O197)</f>
        <v>0</v>
      </c>
      <c r="P193" s="660">
        <f t="shared" ref="P193" si="2519">IF(O193=0,0,O193/O$4)</f>
        <v>0</v>
      </c>
      <c r="Q193" s="659">
        <f t="shared" ref="Q193" si="2520">SUM(Q194:Q197)</f>
        <v>0</v>
      </c>
      <c r="R193" s="660">
        <f t="shared" ref="R193" si="2521">IF(Q193=0,0,Q193/Q$4)</f>
        <v>0</v>
      </c>
      <c r="S193" s="659">
        <f t="shared" ref="S193" si="2522">SUM(S194:S197)</f>
        <v>0</v>
      </c>
      <c r="T193" s="660">
        <f t="shared" ref="T193" si="2523">IF(S193=0,0,S193/S$4)</f>
        <v>0</v>
      </c>
      <c r="U193" s="659">
        <f t="shared" ref="U193" si="2524">SUM(U194:U197)</f>
        <v>0</v>
      </c>
      <c r="V193" s="660">
        <f t="shared" ref="V193" si="2525">IF(U193=0,0,U193/U$4)</f>
        <v>0</v>
      </c>
      <c r="W193" s="659">
        <f t="shared" ref="W193" si="2526">SUM(W194:W197)</f>
        <v>0</v>
      </c>
      <c r="X193" s="660">
        <f t="shared" ref="X193" si="2527">IF(W193=0,0,W193/W$4)</f>
        <v>0</v>
      </c>
      <c r="Y193" s="659">
        <f t="shared" ref="Y193" si="2528">SUM(Y194:Y197)</f>
        <v>0</v>
      </c>
      <c r="Z193" s="660">
        <f t="shared" ref="Z193" si="2529">IF(Y193=0,0,Y193/Y$4)</f>
        <v>0</v>
      </c>
      <c r="AA193" s="659">
        <f t="shared" ref="AA193" si="2530">SUM(AA194:AA197)</f>
        <v>0</v>
      </c>
      <c r="AB193" s="660">
        <f t="shared" ref="AB193" si="2531">IF(AA193=0,0,AA193/AA$4)</f>
        <v>0</v>
      </c>
      <c r="AC193" s="659">
        <f t="shared" ref="AC193" si="2532">SUM(AC194:AC197)</f>
        <v>0</v>
      </c>
      <c r="AD193" s="660">
        <f t="shared" ref="AD193" si="2533">IF(AC193=0,0,AC193/AC$4)</f>
        <v>0</v>
      </c>
      <c r="AE193" s="654"/>
    </row>
    <row r="194" spans="1:36" s="556" customFormat="1" ht="15.75" hidden="1" outlineLevel="3">
      <c r="A194" s="612" t="s">
        <v>1515</v>
      </c>
      <c r="B194" s="560" t="s">
        <v>1514</v>
      </c>
      <c r="C194" s="661"/>
      <c r="D194" s="662">
        <f t="shared" si="1631"/>
        <v>0</v>
      </c>
      <c r="E194" s="661"/>
      <c r="F194" s="662">
        <f t="shared" si="1631"/>
        <v>0</v>
      </c>
      <c r="G194" s="661"/>
      <c r="H194" s="662">
        <f t="shared" ref="H194" si="2534">IF(G194=0,0,G194/G$4)</f>
        <v>0</v>
      </c>
      <c r="I194" s="661"/>
      <c r="J194" s="662">
        <f t="shared" ref="J194" si="2535">IF(I194=0,0,I194/I$4)</f>
        <v>0</v>
      </c>
      <c r="K194" s="661"/>
      <c r="L194" s="662">
        <f t="shared" ref="L194" si="2536">IF(K194=0,0,K194/K$4)</f>
        <v>0</v>
      </c>
      <c r="M194" s="661"/>
      <c r="N194" s="662">
        <f t="shared" ref="N194" si="2537">IF(M194=0,0,M194/M$4)</f>
        <v>0</v>
      </c>
      <c r="O194" s="661"/>
      <c r="P194" s="662">
        <f t="shared" ref="P194" si="2538">IF(O194=0,0,O194/O$4)</f>
        <v>0</v>
      </c>
      <c r="Q194" s="661"/>
      <c r="R194" s="662">
        <f t="shared" ref="R194" si="2539">IF(Q194=0,0,Q194/Q$4)</f>
        <v>0</v>
      </c>
      <c r="S194" s="661"/>
      <c r="T194" s="662">
        <f t="shared" ref="T194" si="2540">IF(S194=0,0,S194/S$4)</f>
        <v>0</v>
      </c>
      <c r="U194" s="661"/>
      <c r="V194" s="662">
        <f t="shared" ref="V194" si="2541">IF(U194=0,0,U194/U$4)</f>
        <v>0</v>
      </c>
      <c r="W194" s="661"/>
      <c r="X194" s="662">
        <f t="shared" ref="X194" si="2542">IF(W194=0,0,W194/W$4)</f>
        <v>0</v>
      </c>
      <c r="Y194" s="661"/>
      <c r="Z194" s="662">
        <f t="shared" ref="Z194" si="2543">IF(Y194=0,0,Y194/Y$4)</f>
        <v>0</v>
      </c>
      <c r="AA194" s="661"/>
      <c r="AB194" s="662">
        <f t="shared" ref="AB194" si="2544">IF(AA194=0,0,AA194/AA$4)</f>
        <v>0</v>
      </c>
      <c r="AC194" s="661"/>
      <c r="AD194" s="662">
        <f t="shared" ref="AD194" si="2545">IF(AC194=0,0,AC194/AC$4)</f>
        <v>0</v>
      </c>
      <c r="AE194" s="654"/>
    </row>
    <row r="195" spans="1:36" s="556" customFormat="1" ht="15.75" hidden="1" outlineLevel="3">
      <c r="A195" s="612" t="s">
        <v>1513</v>
      </c>
      <c r="B195" s="560" t="s">
        <v>1512</v>
      </c>
      <c r="C195" s="661"/>
      <c r="D195" s="662">
        <f t="shared" si="1631"/>
        <v>0</v>
      </c>
      <c r="E195" s="661"/>
      <c r="F195" s="662">
        <f t="shared" si="1631"/>
        <v>0</v>
      </c>
      <c r="G195" s="661"/>
      <c r="H195" s="662">
        <f t="shared" ref="H195" si="2546">IF(G195=0,0,G195/G$4)</f>
        <v>0</v>
      </c>
      <c r="I195" s="661"/>
      <c r="J195" s="662">
        <f t="shared" ref="J195" si="2547">IF(I195=0,0,I195/I$4)</f>
        <v>0</v>
      </c>
      <c r="K195" s="661"/>
      <c r="L195" s="662">
        <f t="shared" ref="L195" si="2548">IF(K195=0,0,K195/K$4)</f>
        <v>0</v>
      </c>
      <c r="M195" s="661"/>
      <c r="N195" s="662">
        <f t="shared" ref="N195" si="2549">IF(M195=0,0,M195/M$4)</f>
        <v>0</v>
      </c>
      <c r="O195" s="661"/>
      <c r="P195" s="662">
        <f t="shared" ref="P195" si="2550">IF(O195=0,0,O195/O$4)</f>
        <v>0</v>
      </c>
      <c r="Q195" s="661"/>
      <c r="R195" s="662">
        <f t="shared" ref="R195" si="2551">IF(Q195=0,0,Q195/Q$4)</f>
        <v>0</v>
      </c>
      <c r="S195" s="661"/>
      <c r="T195" s="662">
        <f t="shared" ref="T195" si="2552">IF(S195=0,0,S195/S$4)</f>
        <v>0</v>
      </c>
      <c r="U195" s="661"/>
      <c r="V195" s="662">
        <f t="shared" ref="V195" si="2553">IF(U195=0,0,U195/U$4)</f>
        <v>0</v>
      </c>
      <c r="W195" s="661"/>
      <c r="X195" s="662">
        <f t="shared" ref="X195" si="2554">IF(W195=0,0,W195/W$4)</f>
        <v>0</v>
      </c>
      <c r="Y195" s="661"/>
      <c r="Z195" s="662">
        <f t="shared" ref="Z195" si="2555">IF(Y195=0,0,Y195/Y$4)</f>
        <v>0</v>
      </c>
      <c r="AA195" s="661"/>
      <c r="AB195" s="662">
        <f t="shared" ref="AB195" si="2556">IF(AA195=0,0,AA195/AA$4)</f>
        <v>0</v>
      </c>
      <c r="AC195" s="661"/>
      <c r="AD195" s="662">
        <f t="shared" ref="AD195" si="2557">IF(AC195=0,0,AC195/AC$4)</f>
        <v>0</v>
      </c>
      <c r="AE195" s="654"/>
    </row>
    <row r="196" spans="1:36" s="556" customFormat="1" ht="15.75" hidden="1" outlineLevel="3">
      <c r="A196" s="612" t="s">
        <v>1511</v>
      </c>
      <c r="B196" s="560" t="s">
        <v>1510</v>
      </c>
      <c r="C196" s="661"/>
      <c r="D196" s="662">
        <f t="shared" si="1631"/>
        <v>0</v>
      </c>
      <c r="E196" s="661"/>
      <c r="F196" s="662">
        <f t="shared" si="1631"/>
        <v>0</v>
      </c>
      <c r="G196" s="661"/>
      <c r="H196" s="662">
        <f t="shared" ref="H196" si="2558">IF(G196=0,0,G196/G$4)</f>
        <v>0</v>
      </c>
      <c r="I196" s="661"/>
      <c r="J196" s="662">
        <f t="shared" ref="J196" si="2559">IF(I196=0,0,I196/I$4)</f>
        <v>0</v>
      </c>
      <c r="K196" s="661"/>
      <c r="L196" s="662">
        <f t="shared" ref="L196" si="2560">IF(K196=0,0,K196/K$4)</f>
        <v>0</v>
      </c>
      <c r="M196" s="661"/>
      <c r="N196" s="662">
        <f t="shared" ref="N196" si="2561">IF(M196=0,0,M196/M$4)</f>
        <v>0</v>
      </c>
      <c r="O196" s="661"/>
      <c r="P196" s="662">
        <f t="shared" ref="P196" si="2562">IF(O196=0,0,O196/O$4)</f>
        <v>0</v>
      </c>
      <c r="Q196" s="661"/>
      <c r="R196" s="662">
        <f t="shared" ref="R196" si="2563">IF(Q196=0,0,Q196/Q$4)</f>
        <v>0</v>
      </c>
      <c r="S196" s="661"/>
      <c r="T196" s="662">
        <f t="shared" ref="T196" si="2564">IF(S196=0,0,S196/S$4)</f>
        <v>0</v>
      </c>
      <c r="U196" s="661"/>
      <c r="V196" s="662">
        <f t="shared" ref="V196" si="2565">IF(U196=0,0,U196/U$4)</f>
        <v>0</v>
      </c>
      <c r="W196" s="661"/>
      <c r="X196" s="662">
        <f t="shared" ref="X196" si="2566">IF(W196=0,0,W196/W$4)</f>
        <v>0</v>
      </c>
      <c r="Y196" s="661"/>
      <c r="Z196" s="662">
        <f t="shared" ref="Z196" si="2567">IF(Y196=0,0,Y196/Y$4)</f>
        <v>0</v>
      </c>
      <c r="AA196" s="661"/>
      <c r="AB196" s="662">
        <f t="shared" ref="AB196" si="2568">IF(AA196=0,0,AA196/AA$4)</f>
        <v>0</v>
      </c>
      <c r="AC196" s="661"/>
      <c r="AD196" s="662">
        <f t="shared" ref="AD196" si="2569">IF(AC196=0,0,AC196/AC$4)</f>
        <v>0</v>
      </c>
      <c r="AE196" s="654"/>
    </row>
    <row r="197" spans="1:36" s="556" customFormat="1" ht="15.75" hidden="1" outlineLevel="3">
      <c r="A197" s="612" t="s">
        <v>1509</v>
      </c>
      <c r="B197" s="560" t="s">
        <v>1508</v>
      </c>
      <c r="C197" s="661"/>
      <c r="D197" s="662">
        <f t="shared" si="1631"/>
        <v>0</v>
      </c>
      <c r="E197" s="661"/>
      <c r="F197" s="662">
        <f t="shared" si="1631"/>
        <v>0</v>
      </c>
      <c r="G197" s="661"/>
      <c r="H197" s="662">
        <f t="shared" ref="H197" si="2570">IF(G197=0,0,G197/G$4)</f>
        <v>0</v>
      </c>
      <c r="I197" s="661"/>
      <c r="J197" s="662">
        <f t="shared" ref="J197" si="2571">IF(I197=0,0,I197/I$4)</f>
        <v>0</v>
      </c>
      <c r="K197" s="661"/>
      <c r="L197" s="662">
        <f t="shared" ref="L197" si="2572">IF(K197=0,0,K197/K$4)</f>
        <v>0</v>
      </c>
      <c r="M197" s="661"/>
      <c r="N197" s="662">
        <f t="shared" ref="N197" si="2573">IF(M197=0,0,M197/M$4)</f>
        <v>0</v>
      </c>
      <c r="O197" s="661"/>
      <c r="P197" s="662">
        <f t="shared" ref="P197" si="2574">IF(O197=0,0,O197/O$4)</f>
        <v>0</v>
      </c>
      <c r="Q197" s="661"/>
      <c r="R197" s="662">
        <f t="shared" ref="R197" si="2575">IF(Q197=0,0,Q197/Q$4)</f>
        <v>0</v>
      </c>
      <c r="S197" s="661"/>
      <c r="T197" s="662">
        <f t="shared" ref="T197" si="2576">IF(S197=0,0,S197/S$4)</f>
        <v>0</v>
      </c>
      <c r="U197" s="661"/>
      <c r="V197" s="662">
        <f t="shared" ref="V197" si="2577">IF(U197=0,0,U197/U$4)</f>
        <v>0</v>
      </c>
      <c r="W197" s="661"/>
      <c r="X197" s="662">
        <f t="shared" ref="X197" si="2578">IF(W197=0,0,W197/W$4)</f>
        <v>0</v>
      </c>
      <c r="Y197" s="661"/>
      <c r="Z197" s="662">
        <f t="shared" ref="Z197" si="2579">IF(Y197=0,0,Y197/Y$4)</f>
        <v>0</v>
      </c>
      <c r="AA197" s="661"/>
      <c r="AB197" s="662">
        <f t="shared" ref="AB197" si="2580">IF(AA197=0,0,AA197/AA$4)</f>
        <v>0</v>
      </c>
      <c r="AC197" s="661"/>
      <c r="AD197" s="662">
        <f t="shared" ref="AD197" si="2581">IF(AC197=0,0,AC197/AC$4)</f>
        <v>0</v>
      </c>
      <c r="AE197" s="654"/>
    </row>
    <row r="198" spans="1:36" s="556" customFormat="1" ht="15.75" hidden="1" outlineLevel="2" collapsed="1">
      <c r="A198" s="609" t="s">
        <v>1507</v>
      </c>
      <c r="B198" s="559" t="s">
        <v>1054</v>
      </c>
      <c r="C198" s="659">
        <f>SUM(C199:C200)</f>
        <v>0</v>
      </c>
      <c r="D198" s="660">
        <f t="shared" ref="D198:R260" si="2582">IF(C198=0,0,C198/C$4)</f>
        <v>0</v>
      </c>
      <c r="E198" s="659">
        <f t="shared" ref="E198" si="2583">SUM(E199:E200)</f>
        <v>0</v>
      </c>
      <c r="F198" s="660">
        <f t="shared" si="2582"/>
        <v>0</v>
      </c>
      <c r="G198" s="659">
        <f t="shared" ref="G198" si="2584">SUM(G199:G200)</f>
        <v>75982384.258842498</v>
      </c>
      <c r="H198" s="660">
        <f t="shared" ref="H198" si="2585">IF(G198=0,0,G198/G$4)</f>
        <v>1820.1625339884563</v>
      </c>
      <c r="I198" s="659">
        <f t="shared" ref="I198" si="2586">SUM(I199:I200)</f>
        <v>53434537.420430794</v>
      </c>
      <c r="J198" s="660">
        <f t="shared" ref="J198" si="2587">IF(I198=0,0,I198/I$4)</f>
        <v>1821.0098721115869</v>
      </c>
      <c r="K198" s="659">
        <f t="shared" ref="K198" si="2588">SUM(K199:K200)</f>
        <v>76587385.000191048</v>
      </c>
      <c r="L198" s="660">
        <f t="shared" ref="L198" si="2589">IF(K198=0,0,K198/K$4)</f>
        <v>1798.8843762475003</v>
      </c>
      <c r="M198" s="659">
        <f t="shared" ref="M198" si="2590">SUM(M199:M200)</f>
        <v>6095486.2589831138</v>
      </c>
      <c r="N198" s="660">
        <f t="shared" ref="N198" si="2591">IF(M198=0,0,M198/M$4)</f>
        <v>1415.3167685945746</v>
      </c>
      <c r="O198" s="659">
        <f t="shared" ref="O198" si="2592">SUM(O199:O200)</f>
        <v>0</v>
      </c>
      <c r="P198" s="660">
        <f t="shared" ref="P198" si="2593">IF(O198=0,0,O198/O$4)</f>
        <v>0</v>
      </c>
      <c r="Q198" s="659">
        <f t="shared" ref="Q198" si="2594">SUM(Q199:Q200)</f>
        <v>0</v>
      </c>
      <c r="R198" s="660">
        <f t="shared" ref="R198" si="2595">IF(Q198=0,0,Q198/Q$4)</f>
        <v>0</v>
      </c>
      <c r="S198" s="659">
        <f t="shared" ref="S198" si="2596">SUM(S199:S200)</f>
        <v>0</v>
      </c>
      <c r="T198" s="660">
        <f t="shared" ref="T198" si="2597">IF(S198=0,0,S198/S$4)</f>
        <v>0</v>
      </c>
      <c r="U198" s="659">
        <f t="shared" ref="U198" si="2598">SUM(U199:U200)</f>
        <v>0</v>
      </c>
      <c r="V198" s="660">
        <f t="shared" ref="V198" si="2599">IF(U198=0,0,U198/U$4)</f>
        <v>0</v>
      </c>
      <c r="W198" s="659">
        <f t="shared" ref="W198" si="2600">SUM(W199:W200)</f>
        <v>0</v>
      </c>
      <c r="X198" s="660">
        <f t="shared" ref="X198" si="2601">IF(W198=0,0,W198/W$4)</f>
        <v>0</v>
      </c>
      <c r="Y198" s="659">
        <f t="shared" ref="Y198" si="2602">SUM(Y199:Y200)</f>
        <v>0</v>
      </c>
      <c r="Z198" s="660">
        <f t="shared" ref="Z198" si="2603">IF(Y198=0,0,Y198/Y$4)</f>
        <v>0</v>
      </c>
      <c r="AA198" s="659">
        <f t="shared" ref="AA198" si="2604">SUM(AA199:AA200)</f>
        <v>0</v>
      </c>
      <c r="AB198" s="660">
        <f t="shared" ref="AB198" si="2605">IF(AA198=0,0,AA198/AA$4)</f>
        <v>0</v>
      </c>
      <c r="AC198" s="659">
        <f t="shared" ref="AC198" si="2606">SUM(AC199:AC200)</f>
        <v>212099792.93844748</v>
      </c>
      <c r="AD198" s="660">
        <f t="shared" ref="AD198" si="2607">IF(AC198=0,0,AC198/AC$4)</f>
        <v>1317.2842785888135</v>
      </c>
      <c r="AE198" s="654"/>
    </row>
    <row r="199" spans="1:36" s="556" customFormat="1" ht="15.75" hidden="1" outlineLevel="3">
      <c r="A199" s="612" t="s">
        <v>1506</v>
      </c>
      <c r="B199" s="560" t="s">
        <v>1505</v>
      </c>
      <c r="C199" s="661"/>
      <c r="D199" s="662">
        <f t="shared" si="2582"/>
        <v>0</v>
      </c>
      <c r="E199" s="661"/>
      <c r="F199" s="662">
        <f t="shared" si="2582"/>
        <v>0</v>
      </c>
      <c r="G199" s="661"/>
      <c r="H199" s="662">
        <f t="shared" ref="H199" si="2608">IF(G199=0,0,G199/G$4)</f>
        <v>0</v>
      </c>
      <c r="I199" s="661"/>
      <c r="J199" s="662">
        <f t="shared" ref="J199" si="2609">IF(I199=0,0,I199/I$4)</f>
        <v>0</v>
      </c>
      <c r="K199" s="661"/>
      <c r="L199" s="662">
        <f t="shared" ref="L199" si="2610">IF(K199=0,0,K199/K$4)</f>
        <v>0</v>
      </c>
      <c r="M199" s="661"/>
      <c r="N199" s="662">
        <f t="shared" ref="N199" si="2611">IF(M199=0,0,M199/M$4)</f>
        <v>0</v>
      </c>
      <c r="O199" s="661"/>
      <c r="P199" s="662">
        <f t="shared" ref="P199" si="2612">IF(O199=0,0,O199/O$4)</f>
        <v>0</v>
      </c>
      <c r="Q199" s="661"/>
      <c r="R199" s="662">
        <f t="shared" ref="R199" si="2613">IF(Q199=0,0,Q199/Q$4)</f>
        <v>0</v>
      </c>
      <c r="S199" s="661"/>
      <c r="T199" s="662">
        <f t="shared" ref="T199" si="2614">IF(S199=0,0,S199/S$4)</f>
        <v>0</v>
      </c>
      <c r="U199" s="661"/>
      <c r="V199" s="662">
        <f t="shared" ref="V199" si="2615">IF(U199=0,0,U199/U$4)</f>
        <v>0</v>
      </c>
      <c r="W199" s="661"/>
      <c r="X199" s="662">
        <f t="shared" ref="X199" si="2616">IF(W199=0,0,W199/W$4)</f>
        <v>0</v>
      </c>
      <c r="Y199" s="661"/>
      <c r="Z199" s="662">
        <f t="shared" ref="Z199" si="2617">IF(Y199=0,0,Y199/Y$4)</f>
        <v>0</v>
      </c>
      <c r="AA199" s="661"/>
      <c r="AB199" s="662">
        <f t="shared" ref="AB199" si="2618">IF(AA199=0,0,AA199/AA$4)</f>
        <v>0</v>
      </c>
      <c r="AC199" s="661"/>
      <c r="AD199" s="662">
        <f t="shared" ref="AD199" si="2619">IF(AC199=0,0,AC199/AC$4)</f>
        <v>0</v>
      </c>
      <c r="AE199" s="654"/>
    </row>
    <row r="200" spans="1:36" s="556" customFormat="1" ht="15.75" hidden="1" outlineLevel="3" collapsed="1">
      <c r="A200" s="612" t="s">
        <v>1504</v>
      </c>
      <c r="B200" s="560" t="s">
        <v>1503</v>
      </c>
      <c r="C200" s="659">
        <f>SUM(C201:C203)</f>
        <v>0</v>
      </c>
      <c r="D200" s="660">
        <f t="shared" si="2582"/>
        <v>0</v>
      </c>
      <c r="E200" s="659">
        <f t="shared" ref="E200" si="2620">SUM(E201:E203)</f>
        <v>0</v>
      </c>
      <c r="F200" s="660">
        <f t="shared" si="2582"/>
        <v>0</v>
      </c>
      <c r="G200" s="659">
        <f t="shared" ref="G200" si="2621">SUM(G201:G203)</f>
        <v>75982384.258842498</v>
      </c>
      <c r="H200" s="660">
        <f t="shared" ref="H200" si="2622">IF(G200=0,0,G200/G$4)</f>
        <v>1820.1625339884563</v>
      </c>
      <c r="I200" s="659">
        <f t="shared" ref="I200" si="2623">SUM(I201:I203)</f>
        <v>53434537.420430794</v>
      </c>
      <c r="J200" s="660">
        <f t="shared" ref="J200" si="2624">IF(I200=0,0,I200/I$4)</f>
        <v>1821.0098721115869</v>
      </c>
      <c r="K200" s="659">
        <f t="shared" ref="K200" si="2625">SUM(K201:K203)</f>
        <v>76587385.000191048</v>
      </c>
      <c r="L200" s="660">
        <f t="shared" ref="L200" si="2626">IF(K200=0,0,K200/K$4)</f>
        <v>1798.8843762475003</v>
      </c>
      <c r="M200" s="659">
        <f t="shared" ref="M200" si="2627">SUM(M201:M203)</f>
        <v>6095486.2589831138</v>
      </c>
      <c r="N200" s="660">
        <f t="shared" ref="N200" si="2628">IF(M200=0,0,M200/M$4)</f>
        <v>1415.3167685945746</v>
      </c>
      <c r="O200" s="659">
        <f t="shared" ref="O200" si="2629">SUM(O201:O203)</f>
        <v>0</v>
      </c>
      <c r="P200" s="660">
        <f t="shared" ref="P200" si="2630">IF(O200=0,0,O200/O$4)</f>
        <v>0</v>
      </c>
      <c r="Q200" s="659">
        <f t="shared" ref="Q200" si="2631">SUM(Q201:Q203)</f>
        <v>0</v>
      </c>
      <c r="R200" s="660">
        <f t="shared" ref="R200" si="2632">IF(Q200=0,0,Q200/Q$4)</f>
        <v>0</v>
      </c>
      <c r="S200" s="659">
        <f t="shared" ref="S200" si="2633">SUM(S201:S203)</f>
        <v>0</v>
      </c>
      <c r="T200" s="660">
        <f t="shared" ref="T200" si="2634">IF(S200=0,0,S200/S$4)</f>
        <v>0</v>
      </c>
      <c r="U200" s="659">
        <f t="shared" ref="U200" si="2635">SUM(U201:U203)</f>
        <v>0</v>
      </c>
      <c r="V200" s="660">
        <f t="shared" ref="V200" si="2636">IF(U200=0,0,U200/U$4)</f>
        <v>0</v>
      </c>
      <c r="W200" s="659">
        <f t="shared" ref="W200" si="2637">SUM(W201:W203)</f>
        <v>0</v>
      </c>
      <c r="X200" s="660">
        <f t="shared" ref="X200" si="2638">IF(W200=0,0,W200/W$4)</f>
        <v>0</v>
      </c>
      <c r="Y200" s="659">
        <f t="shared" ref="Y200" si="2639">SUM(Y201:Y203)</f>
        <v>0</v>
      </c>
      <c r="Z200" s="660">
        <f t="shared" ref="Z200" si="2640">IF(Y200=0,0,Y200/Y$4)</f>
        <v>0</v>
      </c>
      <c r="AA200" s="659">
        <f t="shared" ref="AA200" si="2641">SUM(AA201:AA203)</f>
        <v>0</v>
      </c>
      <c r="AB200" s="660">
        <f t="shared" ref="AB200" si="2642">IF(AA200=0,0,AA200/AA$4)</f>
        <v>0</v>
      </c>
      <c r="AC200" s="659">
        <f t="shared" ref="AC200" si="2643">SUM(AC201:AC203)</f>
        <v>212099792.93844748</v>
      </c>
      <c r="AD200" s="660">
        <f t="shared" ref="AD200" si="2644">IF(AC200=0,0,AC200/AC$4)</f>
        <v>1317.2842785888135</v>
      </c>
      <c r="AE200" s="654"/>
    </row>
    <row r="201" spans="1:36" s="68" customFormat="1" hidden="1" outlineLevel="4">
      <c r="A201" s="117"/>
      <c r="B201" s="118" t="s">
        <v>504</v>
      </c>
      <c r="C201" s="661"/>
      <c r="D201" s="662">
        <f t="shared" si="2582"/>
        <v>0</v>
      </c>
      <c r="E201" s="661">
        <f>SUM(Калькулятор_жилье!L341:L343)</f>
        <v>0</v>
      </c>
      <c r="F201" s="662">
        <f t="shared" si="2582"/>
        <v>0</v>
      </c>
      <c r="G201" s="661">
        <f>SUM(Калькулятор_жилье!M341:M343)</f>
        <v>74012425.711674526</v>
      </c>
      <c r="H201" s="662">
        <f t="shared" ref="H201" si="2645">IF(G201=0,0,G201/G$4)</f>
        <v>1772.9720598273591</v>
      </c>
      <c r="I201" s="661">
        <f>SUM(Калькулятор_жилье!N341:N343)</f>
        <v>52049165.998723999</v>
      </c>
      <c r="J201" s="662">
        <f t="shared" ref="J201" si="2646">IF(I201=0,0,I201/I$4)</f>
        <v>1773.7974294245701</v>
      </c>
      <c r="K201" s="661">
        <f>SUM(Калькулятор_жилье!O341:O343)</f>
        <v>74601740.891256511</v>
      </c>
      <c r="L201" s="662">
        <f t="shared" ref="L201" si="2647">IF(K201=0,0,K201/K$4)</f>
        <v>1752.2455705963957</v>
      </c>
      <c r="M201" s="661">
        <f>SUM(Калькулятор_жилье!P341:P343)</f>
        <v>5937451.5332745519</v>
      </c>
      <c r="N201" s="662">
        <f t="shared" ref="N201" si="2648">IF(M201=0,0,M201/M$4)</f>
        <v>1378.6225348923915</v>
      </c>
      <c r="O201" s="661">
        <f>SUM(Калькулятор_жилье!Q341:Q343)</f>
        <v>0</v>
      </c>
      <c r="P201" s="662">
        <f t="shared" ref="P201" si="2649">IF(O201=0,0,O201/O$4)</f>
        <v>0</v>
      </c>
      <c r="Q201" s="661">
        <f>SUM(Калькулятор_жилье!R341:R343)</f>
        <v>0</v>
      </c>
      <c r="R201" s="662">
        <f t="shared" ref="R201" si="2650">IF(Q201=0,0,Q201/Q$4)</f>
        <v>0</v>
      </c>
      <c r="S201" s="661">
        <f>SUM(Калькулятор_жилье!S341:S343)</f>
        <v>0</v>
      </c>
      <c r="T201" s="662">
        <f t="shared" ref="T201" si="2651">IF(S201=0,0,S201/S$4)</f>
        <v>0</v>
      </c>
      <c r="U201" s="661">
        <f>SUM(Калькулятор_жилье!T341:T343)</f>
        <v>0</v>
      </c>
      <c r="V201" s="662">
        <f t="shared" ref="V201" si="2652">IF(U201=0,0,U201/U$4)</f>
        <v>0</v>
      </c>
      <c r="W201" s="661">
        <f>SUM(Калькулятор_жилье!U341:U343)</f>
        <v>0</v>
      </c>
      <c r="X201" s="662">
        <f t="shared" ref="X201" si="2653">IF(W201=0,0,W201/W$4)</f>
        <v>0</v>
      </c>
      <c r="Y201" s="661">
        <f>SUM(Калькулятор_жилье!V341:V343)</f>
        <v>0</v>
      </c>
      <c r="Z201" s="662">
        <f t="shared" ref="Z201" si="2654">IF(Y201=0,0,Y201/Y$4)</f>
        <v>0</v>
      </c>
      <c r="AA201" s="661">
        <f>SUM(Калькулятор_жилье!W341:W343)</f>
        <v>0</v>
      </c>
      <c r="AB201" s="662">
        <f t="shared" ref="AB201" si="2655">IF(AA201=0,0,AA201/AA$4)</f>
        <v>0</v>
      </c>
      <c r="AC201" s="661">
        <f>C201+E201+G201+I201+K201+M201+O201+Q201+S201+U201+W201+AA201+Y201</f>
        <v>206600784.1349296</v>
      </c>
      <c r="AD201" s="662">
        <f t="shared" ref="AD201" si="2656">IF(AC201=0,0,AC201/AC$4)</f>
        <v>1283.1316858665862</v>
      </c>
      <c r="AE201" s="665"/>
      <c r="AF201" s="114"/>
      <c r="AG201" s="114"/>
      <c r="AH201" s="114"/>
      <c r="AI201" s="114"/>
      <c r="AJ201" s="114"/>
    </row>
    <row r="202" spans="1:36" s="68" customFormat="1" hidden="1" outlineLevel="4">
      <c r="A202" s="117"/>
      <c r="B202" s="118" t="s">
        <v>505</v>
      </c>
      <c r="C202" s="661"/>
      <c r="D202" s="662">
        <f t="shared" si="2582"/>
        <v>0</v>
      </c>
      <c r="E202" s="661">
        <f>SUM(Калькулятор_жилье!L344:L346)</f>
        <v>0</v>
      </c>
      <c r="F202" s="662">
        <f t="shared" si="2582"/>
        <v>0</v>
      </c>
      <c r="G202" s="661">
        <f>SUM(Калькулятор_жилье!M344:M346)</f>
        <v>0</v>
      </c>
      <c r="H202" s="662">
        <f t="shared" ref="H202" si="2657">IF(G202=0,0,G202/G$4)</f>
        <v>0</v>
      </c>
      <c r="I202" s="661">
        <f>SUM(Калькулятор_жилье!N344:N346)</f>
        <v>0</v>
      </c>
      <c r="J202" s="662">
        <f t="shared" ref="J202" si="2658">IF(I202=0,0,I202/I$4)</f>
        <v>0</v>
      </c>
      <c r="K202" s="661">
        <f>SUM(Калькулятор_жилье!O344:O346)</f>
        <v>0</v>
      </c>
      <c r="L202" s="662">
        <f t="shared" ref="L202" si="2659">IF(K202=0,0,K202/K$4)</f>
        <v>0</v>
      </c>
      <c r="M202" s="661">
        <f>SUM(Калькулятор_жилье!P344:P346)</f>
        <v>0</v>
      </c>
      <c r="N202" s="662">
        <f t="shared" ref="N202" si="2660">IF(M202=0,0,M202/M$4)</f>
        <v>0</v>
      </c>
      <c r="O202" s="661">
        <f>SUM(Калькулятор_жилье!Q344:Q346)</f>
        <v>0</v>
      </c>
      <c r="P202" s="662">
        <f t="shared" ref="P202" si="2661">IF(O202=0,0,O202/O$4)</f>
        <v>0</v>
      </c>
      <c r="Q202" s="661">
        <f>SUM(Калькулятор_жилье!R344:R346)</f>
        <v>0</v>
      </c>
      <c r="R202" s="662">
        <f t="shared" ref="R202" si="2662">IF(Q202=0,0,Q202/Q$4)</f>
        <v>0</v>
      </c>
      <c r="S202" s="661">
        <f>SUM(Калькулятор_жилье!S344:S346)</f>
        <v>0</v>
      </c>
      <c r="T202" s="662">
        <f t="shared" ref="T202" si="2663">IF(S202=0,0,S202/S$4)</f>
        <v>0</v>
      </c>
      <c r="U202" s="661">
        <f>SUM(Калькулятор_жилье!T344:T346)</f>
        <v>0</v>
      </c>
      <c r="V202" s="662">
        <f t="shared" ref="V202" si="2664">IF(U202=0,0,U202/U$4)</f>
        <v>0</v>
      </c>
      <c r="W202" s="661">
        <f>SUM(Калькулятор_жилье!U344:U346)</f>
        <v>0</v>
      </c>
      <c r="X202" s="662">
        <f t="shared" ref="X202" si="2665">IF(W202=0,0,W202/W$4)</f>
        <v>0</v>
      </c>
      <c r="Y202" s="661">
        <f>SUM(Калькулятор_жилье!V344:V346)</f>
        <v>0</v>
      </c>
      <c r="Z202" s="662">
        <f t="shared" ref="Z202" si="2666">IF(Y202=0,0,Y202/Y$4)</f>
        <v>0</v>
      </c>
      <c r="AA202" s="661">
        <f>SUM(Калькулятор_жилье!W344:W346)</f>
        <v>0</v>
      </c>
      <c r="AB202" s="662">
        <f t="shared" ref="AB202" si="2667">IF(AA202=0,0,AA202/AA$4)</f>
        <v>0</v>
      </c>
      <c r="AC202" s="661">
        <f>C202+E202+G202+I202+K202+M202+O202+Q202+S202+U202+W202+AA202+Y202</f>
        <v>0</v>
      </c>
      <c r="AD202" s="662">
        <f t="shared" ref="AD202" si="2668">IF(AC202=0,0,AC202/AC$4)</f>
        <v>0</v>
      </c>
      <c r="AE202" s="665"/>
      <c r="AF202" s="114"/>
      <c r="AG202" s="114"/>
      <c r="AH202" s="114"/>
      <c r="AI202" s="114"/>
      <c r="AJ202" s="114"/>
    </row>
    <row r="203" spans="1:36" s="68" customFormat="1" hidden="1" outlineLevel="4">
      <c r="A203" s="117"/>
      <c r="B203" s="118" t="s">
        <v>849</v>
      </c>
      <c r="C203" s="661"/>
      <c r="D203" s="662">
        <f t="shared" si="2582"/>
        <v>0</v>
      </c>
      <c r="E203" s="661"/>
      <c r="F203" s="662">
        <f t="shared" si="2582"/>
        <v>0</v>
      </c>
      <c r="G203" s="661">
        <f>Калькулятор_жилье!M347+Калькулятор_жилье!M348</f>
        <v>1969958.5471679776</v>
      </c>
      <c r="H203" s="662">
        <f t="shared" ref="H203" si="2669">IF(G203=0,0,G203/G$4)</f>
        <v>47.190474161097441</v>
      </c>
      <c r="I203" s="661">
        <f>Калькулятор_жилье!N347+Калькулятор_жилье!N348</f>
        <v>1385371.4217067969</v>
      </c>
      <c r="J203" s="662">
        <f t="shared" ref="J203" si="2670">IF(I203=0,0,I203/I$4)</f>
        <v>47.212442687016761</v>
      </c>
      <c r="K203" s="661">
        <f>Калькулятор_жилье!O347+Калькулятор_жилье!O348</f>
        <v>1985644.1089345373</v>
      </c>
      <c r="L203" s="662">
        <f t="shared" ref="L203" si="2671">IF(K203=0,0,K203/K$4)</f>
        <v>46.638805651104533</v>
      </c>
      <c r="M203" s="661">
        <f>Калькулятор_жилье!P347+Калькулятор_жилье!P348</f>
        <v>158034.72570856218</v>
      </c>
      <c r="N203" s="662">
        <f t="shared" ref="N203" si="2672">IF(M203=0,0,M203/M$4)</f>
        <v>36.694233702183098</v>
      </c>
      <c r="O203" s="661">
        <f>Калькулятор_жилье!Q347+Калькулятор_жилье!Q348</f>
        <v>0</v>
      </c>
      <c r="P203" s="662">
        <f t="shared" ref="P203" si="2673">IF(O203=0,0,O203/O$4)</f>
        <v>0</v>
      </c>
      <c r="Q203" s="661">
        <f>Калькулятор_жилье!R347+Калькулятор_жилье!R348</f>
        <v>0</v>
      </c>
      <c r="R203" s="662">
        <f t="shared" ref="R203" si="2674">IF(Q203=0,0,Q203/Q$4)</f>
        <v>0</v>
      </c>
      <c r="S203" s="661">
        <f>Калькулятор_жилье!S347+Калькулятор_жилье!S348</f>
        <v>0</v>
      </c>
      <c r="T203" s="662">
        <f t="shared" ref="T203" si="2675">IF(S203=0,0,S203/S$4)</f>
        <v>0</v>
      </c>
      <c r="U203" s="661">
        <f>Калькулятор_жилье!T347+Калькулятор_жилье!T348</f>
        <v>0</v>
      </c>
      <c r="V203" s="662">
        <f t="shared" ref="V203" si="2676">IF(U203=0,0,U203/U$4)</f>
        <v>0</v>
      </c>
      <c r="W203" s="661">
        <f>Калькулятор_жилье!U347+Калькулятор_жилье!U348</f>
        <v>0</v>
      </c>
      <c r="X203" s="662">
        <f t="shared" ref="X203" si="2677">IF(W203=0,0,W203/W$4)</f>
        <v>0</v>
      </c>
      <c r="Y203" s="661">
        <f>Калькулятор_жилье!V347+Калькулятор_жилье!V348</f>
        <v>0</v>
      </c>
      <c r="Z203" s="662">
        <f t="shared" ref="Z203" si="2678">IF(Y203=0,0,Y203/Y$4)</f>
        <v>0</v>
      </c>
      <c r="AA203" s="661">
        <f>Калькулятор_жилье!W347+Калькулятор_жилье!W348</f>
        <v>0</v>
      </c>
      <c r="AB203" s="662">
        <f t="shared" ref="AB203" si="2679">IF(AA203=0,0,AA203/AA$4)</f>
        <v>0</v>
      </c>
      <c r="AC203" s="661">
        <f>C203+E203+G203+I203+K203+M203+O203+Q203+S203+U203+W203+AA203+Y203</f>
        <v>5499008.8035178734</v>
      </c>
      <c r="AD203" s="662">
        <f t="shared" ref="AD203" si="2680">IF(AC203=0,0,AC203/AC$4)</f>
        <v>34.152592722227482</v>
      </c>
      <c r="AE203" s="665"/>
      <c r="AF203" s="114"/>
      <c r="AG203" s="114"/>
      <c r="AH203" s="114"/>
      <c r="AI203" s="114"/>
      <c r="AJ203" s="114"/>
    </row>
    <row r="204" spans="1:36" s="556" customFormat="1" ht="15.75" outlineLevel="1" collapsed="1">
      <c r="A204" s="610" t="s">
        <v>1502</v>
      </c>
      <c r="B204" s="558" t="s">
        <v>1065</v>
      </c>
      <c r="C204" s="657">
        <f>SUM(C205:C210)</f>
        <v>0</v>
      </c>
      <c r="D204" s="658">
        <f t="shared" si="2582"/>
        <v>0</v>
      </c>
      <c r="E204" s="657">
        <f t="shared" ref="E204" si="2681">SUM(E205:E210)</f>
        <v>0</v>
      </c>
      <c r="F204" s="658">
        <f t="shared" si="2582"/>
        <v>0</v>
      </c>
      <c r="G204" s="657">
        <f t="shared" ref="G204" si="2682">SUM(G205:G210)</f>
        <v>915162.71186440659</v>
      </c>
      <c r="H204" s="658">
        <f t="shared" ref="H204" si="2683">IF(G204=0,0,G204/G$4)</f>
        <v>21.922777192201806</v>
      </c>
      <c r="I204" s="657">
        <f t="shared" ref="I204" si="2684">SUM(I205:I210)</f>
        <v>0</v>
      </c>
      <c r="J204" s="658">
        <f t="shared" ref="J204" si="2685">IF(I204=0,0,I204/I$4)</f>
        <v>0</v>
      </c>
      <c r="K204" s="657">
        <f t="shared" ref="K204" si="2686">SUM(K205:K210)</f>
        <v>0</v>
      </c>
      <c r="L204" s="658">
        <f t="shared" ref="L204" si="2687">IF(K204=0,0,K204/K$4)</f>
        <v>0</v>
      </c>
      <c r="M204" s="657">
        <f t="shared" ref="M204" si="2688">SUM(M205:M210)</f>
        <v>0</v>
      </c>
      <c r="N204" s="658">
        <f t="shared" ref="N204" si="2689">IF(M204=0,0,M204/M$4)</f>
        <v>0</v>
      </c>
      <c r="O204" s="657">
        <f t="shared" ref="O204" si="2690">SUM(O205:O210)</f>
        <v>0</v>
      </c>
      <c r="P204" s="658">
        <f t="shared" ref="P204" si="2691">IF(O204=0,0,O204/O$4)</f>
        <v>0</v>
      </c>
      <c r="Q204" s="657">
        <f t="shared" ref="Q204" si="2692">SUM(Q205:Q210)</f>
        <v>0</v>
      </c>
      <c r="R204" s="658">
        <f t="shared" ref="R204" si="2693">IF(Q204=0,0,Q204/Q$4)</f>
        <v>0</v>
      </c>
      <c r="S204" s="657">
        <f t="shared" ref="S204" si="2694">SUM(S205:S210)</f>
        <v>0</v>
      </c>
      <c r="T204" s="658">
        <f t="shared" ref="T204" si="2695">IF(S204=0,0,S204/S$4)</f>
        <v>0</v>
      </c>
      <c r="U204" s="657">
        <f t="shared" ref="U204" si="2696">SUM(U205:U210)</f>
        <v>0</v>
      </c>
      <c r="V204" s="658">
        <f t="shared" ref="V204" si="2697">IF(U204=0,0,U204/U$4)</f>
        <v>0</v>
      </c>
      <c r="W204" s="657">
        <f t="shared" ref="W204" si="2698">SUM(W205:W210)</f>
        <v>0</v>
      </c>
      <c r="X204" s="658">
        <f t="shared" ref="X204" si="2699">IF(W204=0,0,W204/W$4)</f>
        <v>0</v>
      </c>
      <c r="Y204" s="657">
        <f t="shared" ref="Y204" si="2700">SUM(Y205:Y210)</f>
        <v>0</v>
      </c>
      <c r="Z204" s="658">
        <f t="shared" ref="Z204" si="2701">IF(Y204=0,0,Y204/Y$4)</f>
        <v>0</v>
      </c>
      <c r="AA204" s="657">
        <f t="shared" ref="AA204" si="2702">SUM(AA205:AA210)</f>
        <v>0</v>
      </c>
      <c r="AB204" s="658">
        <f t="shared" ref="AB204" si="2703">IF(AA204=0,0,AA204/AA$4)</f>
        <v>0</v>
      </c>
      <c r="AC204" s="657">
        <f t="shared" ref="AC204" si="2704">SUM(AC205:AC210)</f>
        <v>915162.71186440659</v>
      </c>
      <c r="AD204" s="658">
        <f t="shared" ref="AD204" si="2705">IF(AC204=0,0,AC204/AC$4)</f>
        <v>5.6837842035967396</v>
      </c>
      <c r="AE204" s="654"/>
    </row>
    <row r="205" spans="1:36" s="556" customFormat="1" ht="15.75" hidden="1" outlineLevel="2">
      <c r="A205" s="609" t="s">
        <v>1501</v>
      </c>
      <c r="B205" s="559" t="s">
        <v>1067</v>
      </c>
      <c r="C205" s="659"/>
      <c r="D205" s="660">
        <f t="shared" si="2582"/>
        <v>0</v>
      </c>
      <c r="E205" s="659"/>
      <c r="F205" s="660">
        <f t="shared" si="2582"/>
        <v>0</v>
      </c>
      <c r="G205" s="659"/>
      <c r="H205" s="660">
        <f t="shared" ref="H205" si="2706">IF(G205=0,0,G205/G$4)</f>
        <v>0</v>
      </c>
      <c r="I205" s="659"/>
      <c r="J205" s="660">
        <f t="shared" ref="J205" si="2707">IF(I205=0,0,I205/I$4)</f>
        <v>0</v>
      </c>
      <c r="K205" s="659"/>
      <c r="L205" s="660">
        <f t="shared" ref="L205" si="2708">IF(K205=0,0,K205/K$4)</f>
        <v>0</v>
      </c>
      <c r="M205" s="659"/>
      <c r="N205" s="660">
        <f t="shared" ref="N205" si="2709">IF(M205=0,0,M205/M$4)</f>
        <v>0</v>
      </c>
      <c r="O205" s="659"/>
      <c r="P205" s="660">
        <f t="shared" ref="P205" si="2710">IF(O205=0,0,O205/O$4)</f>
        <v>0</v>
      </c>
      <c r="Q205" s="659"/>
      <c r="R205" s="660">
        <f t="shared" ref="R205" si="2711">IF(Q205=0,0,Q205/Q$4)</f>
        <v>0</v>
      </c>
      <c r="S205" s="659"/>
      <c r="T205" s="660">
        <f t="shared" ref="T205" si="2712">IF(S205=0,0,S205/S$4)</f>
        <v>0</v>
      </c>
      <c r="U205" s="659"/>
      <c r="V205" s="660">
        <f t="shared" ref="V205" si="2713">IF(U205=0,0,U205/U$4)</f>
        <v>0</v>
      </c>
      <c r="W205" s="659"/>
      <c r="X205" s="660">
        <f t="shared" ref="X205" si="2714">IF(W205=0,0,W205/W$4)</f>
        <v>0</v>
      </c>
      <c r="Y205" s="659"/>
      <c r="Z205" s="660">
        <f t="shared" ref="Z205" si="2715">IF(Y205=0,0,Y205/Y$4)</f>
        <v>0</v>
      </c>
      <c r="AA205" s="659"/>
      <c r="AB205" s="660">
        <f t="shared" ref="AB205" si="2716">IF(AA205=0,0,AA205/AA$4)</f>
        <v>0</v>
      </c>
      <c r="AC205" s="659"/>
      <c r="AD205" s="660">
        <f t="shared" ref="AD205" si="2717">IF(AC205=0,0,AC205/AC$4)</f>
        <v>0</v>
      </c>
      <c r="AE205" s="654"/>
    </row>
    <row r="206" spans="1:36" s="556" customFormat="1" ht="15.75" hidden="1" outlineLevel="2">
      <c r="A206" s="609" t="s">
        <v>1500</v>
      </c>
      <c r="B206" s="559" t="s">
        <v>1069</v>
      </c>
      <c r="C206" s="659"/>
      <c r="D206" s="660">
        <f t="shared" si="2582"/>
        <v>0</v>
      </c>
      <c r="E206" s="659"/>
      <c r="F206" s="660">
        <f t="shared" si="2582"/>
        <v>0</v>
      </c>
      <c r="G206" s="659"/>
      <c r="H206" s="660">
        <f t="shared" ref="H206" si="2718">IF(G206=0,0,G206/G$4)</f>
        <v>0</v>
      </c>
      <c r="I206" s="659"/>
      <c r="J206" s="660">
        <f t="shared" ref="J206" si="2719">IF(I206=0,0,I206/I$4)</f>
        <v>0</v>
      </c>
      <c r="K206" s="659"/>
      <c r="L206" s="660">
        <f t="shared" ref="L206" si="2720">IF(K206=0,0,K206/K$4)</f>
        <v>0</v>
      </c>
      <c r="M206" s="659"/>
      <c r="N206" s="660">
        <f t="shared" ref="N206" si="2721">IF(M206=0,0,M206/M$4)</f>
        <v>0</v>
      </c>
      <c r="O206" s="659"/>
      <c r="P206" s="660">
        <f t="shared" ref="P206" si="2722">IF(O206=0,0,O206/O$4)</f>
        <v>0</v>
      </c>
      <c r="Q206" s="659"/>
      <c r="R206" s="660">
        <f t="shared" ref="R206" si="2723">IF(Q206=0,0,Q206/Q$4)</f>
        <v>0</v>
      </c>
      <c r="S206" s="659"/>
      <c r="T206" s="660">
        <f t="shared" ref="T206" si="2724">IF(S206=0,0,S206/S$4)</f>
        <v>0</v>
      </c>
      <c r="U206" s="659"/>
      <c r="V206" s="660">
        <f t="shared" ref="V206" si="2725">IF(U206=0,0,U206/U$4)</f>
        <v>0</v>
      </c>
      <c r="W206" s="659"/>
      <c r="X206" s="660">
        <f t="shared" ref="X206" si="2726">IF(W206=0,0,W206/W$4)</f>
        <v>0</v>
      </c>
      <c r="Y206" s="659"/>
      <c r="Z206" s="660">
        <f t="shared" ref="Z206" si="2727">IF(Y206=0,0,Y206/Y$4)</f>
        <v>0</v>
      </c>
      <c r="AA206" s="659"/>
      <c r="AB206" s="660">
        <f t="shared" ref="AB206" si="2728">IF(AA206=0,0,AA206/AA$4)</f>
        <v>0</v>
      </c>
      <c r="AC206" s="659"/>
      <c r="AD206" s="660">
        <f t="shared" ref="AD206" si="2729">IF(AC206=0,0,AC206/AC$4)</f>
        <v>0</v>
      </c>
      <c r="AE206" s="654"/>
    </row>
    <row r="207" spans="1:36" s="556" customFormat="1" ht="15.75" hidden="1" outlineLevel="2">
      <c r="A207" s="609" t="s">
        <v>1499</v>
      </c>
      <c r="B207" s="559" t="s">
        <v>456</v>
      </c>
      <c r="C207" s="659"/>
      <c r="D207" s="660">
        <f t="shared" si="2582"/>
        <v>0</v>
      </c>
      <c r="E207" s="659"/>
      <c r="F207" s="660">
        <f t="shared" si="2582"/>
        <v>0</v>
      </c>
      <c r="G207" s="659"/>
      <c r="H207" s="660">
        <f t="shared" ref="H207" si="2730">IF(G207=0,0,G207/G$4)</f>
        <v>0</v>
      </c>
      <c r="I207" s="659"/>
      <c r="J207" s="660">
        <f t="shared" ref="J207" si="2731">IF(I207=0,0,I207/I$4)</f>
        <v>0</v>
      </c>
      <c r="K207" s="659"/>
      <c r="L207" s="660">
        <f t="shared" ref="L207" si="2732">IF(K207=0,0,K207/K$4)</f>
        <v>0</v>
      </c>
      <c r="M207" s="659"/>
      <c r="N207" s="660">
        <f t="shared" ref="N207" si="2733">IF(M207=0,0,M207/M$4)</f>
        <v>0</v>
      </c>
      <c r="O207" s="659"/>
      <c r="P207" s="660">
        <f t="shared" ref="P207" si="2734">IF(O207=0,0,O207/O$4)</f>
        <v>0</v>
      </c>
      <c r="Q207" s="659"/>
      <c r="R207" s="660">
        <f t="shared" ref="R207" si="2735">IF(Q207=0,0,Q207/Q$4)</f>
        <v>0</v>
      </c>
      <c r="S207" s="659"/>
      <c r="T207" s="660">
        <f t="shared" ref="T207" si="2736">IF(S207=0,0,S207/S$4)</f>
        <v>0</v>
      </c>
      <c r="U207" s="659"/>
      <c r="V207" s="660">
        <f t="shared" ref="V207" si="2737">IF(U207=0,0,U207/U$4)</f>
        <v>0</v>
      </c>
      <c r="W207" s="659"/>
      <c r="X207" s="660">
        <f t="shared" ref="X207" si="2738">IF(W207=0,0,W207/W$4)</f>
        <v>0</v>
      </c>
      <c r="Y207" s="659"/>
      <c r="Z207" s="660">
        <f t="shared" ref="Z207" si="2739">IF(Y207=0,0,Y207/Y$4)</f>
        <v>0</v>
      </c>
      <c r="AA207" s="659"/>
      <c r="AB207" s="660">
        <f t="shared" ref="AB207" si="2740">IF(AA207=0,0,AA207/AA$4)</f>
        <v>0</v>
      </c>
      <c r="AC207" s="659"/>
      <c r="AD207" s="660">
        <f t="shared" ref="AD207" si="2741">IF(AC207=0,0,AC207/AC$4)</f>
        <v>0</v>
      </c>
      <c r="AE207" s="654"/>
    </row>
    <row r="208" spans="1:36" s="556" customFormat="1" ht="15.75" hidden="1" outlineLevel="2">
      <c r="A208" s="609" t="s">
        <v>1498</v>
      </c>
      <c r="B208" s="559" t="s">
        <v>1497</v>
      </c>
      <c r="C208" s="659"/>
      <c r="D208" s="660">
        <f t="shared" si="2582"/>
        <v>0</v>
      </c>
      <c r="E208" s="659"/>
      <c r="F208" s="660">
        <f t="shared" si="2582"/>
        <v>0</v>
      </c>
      <c r="G208" s="659"/>
      <c r="H208" s="660">
        <f t="shared" ref="H208" si="2742">IF(G208=0,0,G208/G$4)</f>
        <v>0</v>
      </c>
      <c r="I208" s="659"/>
      <c r="J208" s="660">
        <f t="shared" ref="J208" si="2743">IF(I208=0,0,I208/I$4)</f>
        <v>0</v>
      </c>
      <c r="K208" s="659"/>
      <c r="L208" s="660">
        <f t="shared" ref="L208" si="2744">IF(K208=0,0,K208/K$4)</f>
        <v>0</v>
      </c>
      <c r="M208" s="659"/>
      <c r="N208" s="660">
        <f t="shared" ref="N208" si="2745">IF(M208=0,0,M208/M$4)</f>
        <v>0</v>
      </c>
      <c r="O208" s="659"/>
      <c r="P208" s="660">
        <f t="shared" ref="P208" si="2746">IF(O208=0,0,O208/O$4)</f>
        <v>0</v>
      </c>
      <c r="Q208" s="659"/>
      <c r="R208" s="660">
        <f t="shared" ref="R208" si="2747">IF(Q208=0,0,Q208/Q$4)</f>
        <v>0</v>
      </c>
      <c r="S208" s="659"/>
      <c r="T208" s="660">
        <f t="shared" ref="T208" si="2748">IF(S208=0,0,S208/S$4)</f>
        <v>0</v>
      </c>
      <c r="U208" s="659"/>
      <c r="V208" s="660">
        <f t="shared" ref="V208" si="2749">IF(U208=0,0,U208/U$4)</f>
        <v>0</v>
      </c>
      <c r="W208" s="659"/>
      <c r="X208" s="660">
        <f t="shared" ref="X208" si="2750">IF(W208=0,0,W208/W$4)</f>
        <v>0</v>
      </c>
      <c r="Y208" s="659"/>
      <c r="Z208" s="660">
        <f t="shared" ref="Z208" si="2751">IF(Y208=0,0,Y208/Y$4)</f>
        <v>0</v>
      </c>
      <c r="AA208" s="659"/>
      <c r="AB208" s="660">
        <f t="shared" ref="AB208" si="2752">IF(AA208=0,0,AA208/AA$4)</f>
        <v>0</v>
      </c>
      <c r="AC208" s="659"/>
      <c r="AD208" s="660">
        <f t="shared" ref="AD208" si="2753">IF(AC208=0,0,AC208/AC$4)</f>
        <v>0</v>
      </c>
      <c r="AE208" s="654"/>
    </row>
    <row r="209" spans="1:36" s="556" customFormat="1" ht="15.75" hidden="1" outlineLevel="2">
      <c r="A209" s="609" t="s">
        <v>1496</v>
      </c>
      <c r="B209" s="559" t="s">
        <v>1071</v>
      </c>
      <c r="C209" s="659"/>
      <c r="D209" s="660">
        <f t="shared" si="2582"/>
        <v>0</v>
      </c>
      <c r="E209" s="659"/>
      <c r="F209" s="660">
        <f t="shared" si="2582"/>
        <v>0</v>
      </c>
      <c r="G209" s="659">
        <f>Калькулятор_жилье!M216</f>
        <v>915162.71186440659</v>
      </c>
      <c r="H209" s="660">
        <f t="shared" ref="H209" si="2754">IF(G209=0,0,G209/G$4)</f>
        <v>21.922777192201806</v>
      </c>
      <c r="I209" s="659">
        <f>Калькулятор_жилье!N216</f>
        <v>0</v>
      </c>
      <c r="J209" s="660">
        <f t="shared" ref="J209" si="2755">IF(I209=0,0,I209/I$4)</f>
        <v>0</v>
      </c>
      <c r="K209" s="659">
        <f>Калькулятор_жилье!O216</f>
        <v>0</v>
      </c>
      <c r="L209" s="660">
        <f t="shared" ref="L209" si="2756">IF(K209=0,0,K209/K$4)</f>
        <v>0</v>
      </c>
      <c r="M209" s="659">
        <f>Калькулятор_жилье!P216</f>
        <v>0</v>
      </c>
      <c r="N209" s="660">
        <f t="shared" ref="N209" si="2757">IF(M209=0,0,M209/M$4)</f>
        <v>0</v>
      </c>
      <c r="O209" s="659">
        <f>Калькулятор_жилье!Q216</f>
        <v>0</v>
      </c>
      <c r="P209" s="660">
        <f t="shared" ref="P209" si="2758">IF(O209=0,0,O209/O$4)</f>
        <v>0</v>
      </c>
      <c r="Q209" s="659">
        <f>Калькулятор_жилье!R216</f>
        <v>0</v>
      </c>
      <c r="R209" s="660">
        <f t="shared" ref="R209" si="2759">IF(Q209=0,0,Q209/Q$4)</f>
        <v>0</v>
      </c>
      <c r="S209" s="659">
        <f>Калькулятор_жилье!S216</f>
        <v>0</v>
      </c>
      <c r="T209" s="660">
        <f t="shared" ref="T209" si="2760">IF(S209=0,0,S209/S$4)</f>
        <v>0</v>
      </c>
      <c r="U209" s="659">
        <f>Калькулятор_жилье!T216</f>
        <v>0</v>
      </c>
      <c r="V209" s="660">
        <f t="shared" ref="V209" si="2761">IF(U209=0,0,U209/U$4)</f>
        <v>0</v>
      </c>
      <c r="W209" s="659">
        <f>Калькулятор_жилье!U216</f>
        <v>0</v>
      </c>
      <c r="X209" s="660">
        <f t="shared" ref="X209" si="2762">IF(W209=0,0,W209/W$4)</f>
        <v>0</v>
      </c>
      <c r="Y209" s="659">
        <f>Калькулятор_жилье!V216</f>
        <v>0</v>
      </c>
      <c r="Z209" s="660">
        <f t="shared" ref="Z209" si="2763">IF(Y209=0,0,Y209/Y$4)</f>
        <v>0</v>
      </c>
      <c r="AA209" s="659">
        <f>Калькулятор_жилье!W216</f>
        <v>0</v>
      </c>
      <c r="AB209" s="660">
        <f t="shared" ref="AB209" si="2764">IF(AA209=0,0,AA209/AA$4)</f>
        <v>0</v>
      </c>
      <c r="AC209" s="659">
        <f>C209+E209+G209+I209+K209+M209+O209+Q209+S209+U209+W209+AA209+Y209</f>
        <v>915162.71186440659</v>
      </c>
      <c r="AD209" s="660">
        <f t="shared" ref="AD209" si="2765">IF(AC209=0,0,AC209/AC$4)</f>
        <v>5.6837842035967396</v>
      </c>
      <c r="AE209" s="654"/>
    </row>
    <row r="210" spans="1:36" s="556" customFormat="1" ht="15.75" hidden="1" outlineLevel="2">
      <c r="A210" s="609" t="s">
        <v>1495</v>
      </c>
      <c r="B210" s="559" t="s">
        <v>1494</v>
      </c>
      <c r="C210" s="659"/>
      <c r="D210" s="660">
        <f t="shared" si="2582"/>
        <v>0</v>
      </c>
      <c r="E210" s="659"/>
      <c r="F210" s="660">
        <f t="shared" si="2582"/>
        <v>0</v>
      </c>
      <c r="G210" s="659"/>
      <c r="H210" s="660">
        <f t="shared" ref="H210" si="2766">IF(G210=0,0,G210/G$4)</f>
        <v>0</v>
      </c>
      <c r="I210" s="659"/>
      <c r="J210" s="660">
        <f t="shared" ref="J210" si="2767">IF(I210=0,0,I210/I$4)</f>
        <v>0</v>
      </c>
      <c r="K210" s="659"/>
      <c r="L210" s="660">
        <f t="shared" ref="L210" si="2768">IF(K210=0,0,K210/K$4)</f>
        <v>0</v>
      </c>
      <c r="M210" s="659"/>
      <c r="N210" s="660">
        <f t="shared" ref="N210" si="2769">IF(M210=0,0,M210/M$4)</f>
        <v>0</v>
      </c>
      <c r="O210" s="659"/>
      <c r="P210" s="660">
        <f t="shared" ref="P210" si="2770">IF(O210=0,0,O210/O$4)</f>
        <v>0</v>
      </c>
      <c r="Q210" s="659"/>
      <c r="R210" s="660">
        <f t="shared" ref="R210" si="2771">IF(Q210=0,0,Q210/Q$4)</f>
        <v>0</v>
      </c>
      <c r="S210" s="659"/>
      <c r="T210" s="660">
        <f t="shared" ref="T210" si="2772">IF(S210=0,0,S210/S$4)</f>
        <v>0</v>
      </c>
      <c r="U210" s="659"/>
      <c r="V210" s="660">
        <f t="shared" ref="V210" si="2773">IF(U210=0,0,U210/U$4)</f>
        <v>0</v>
      </c>
      <c r="W210" s="659"/>
      <c r="X210" s="660">
        <f t="shared" ref="X210" si="2774">IF(W210=0,0,W210/W$4)</f>
        <v>0</v>
      </c>
      <c r="Y210" s="659"/>
      <c r="Z210" s="660">
        <f t="shared" ref="Z210" si="2775">IF(Y210=0,0,Y210/Y$4)</f>
        <v>0</v>
      </c>
      <c r="AA210" s="659"/>
      <c r="AB210" s="660">
        <f t="shared" ref="AB210" si="2776">IF(AA210=0,0,AA210/AA$4)</f>
        <v>0</v>
      </c>
      <c r="AC210" s="659"/>
      <c r="AD210" s="660">
        <f t="shared" ref="AD210" si="2777">IF(AC210=0,0,AC210/AC$4)</f>
        <v>0</v>
      </c>
      <c r="AE210" s="654"/>
    </row>
    <row r="211" spans="1:36" s="556" customFormat="1" ht="15.75" outlineLevel="1" collapsed="1">
      <c r="A211" s="610" t="s">
        <v>1493</v>
      </c>
      <c r="B211" s="558" t="s">
        <v>1072</v>
      </c>
      <c r="C211" s="657">
        <f>C212+C217+C222</f>
        <v>0</v>
      </c>
      <c r="D211" s="658">
        <f t="shared" si="2582"/>
        <v>0</v>
      </c>
      <c r="E211" s="657">
        <f>E212+E217+E222</f>
        <v>0</v>
      </c>
      <c r="F211" s="658">
        <f t="shared" si="2582"/>
        <v>0</v>
      </c>
      <c r="G211" s="657">
        <f>G212+G217+G222</f>
        <v>41305942.291502185</v>
      </c>
      <c r="H211" s="658">
        <f t="shared" ref="H211" si="2778">IF(G211=0,0,G211/G$4)</f>
        <v>989.48630427232263</v>
      </c>
      <c r="I211" s="657">
        <f>I212+I217+I222</f>
        <v>29007124.852098025</v>
      </c>
      <c r="J211" s="658">
        <f t="shared" ref="J211" si="2779">IF(I211=0,0,I211/I$4)</f>
        <v>988.5415550925527</v>
      </c>
      <c r="K211" s="657">
        <f>K212+K217+K222</f>
        <v>41305942.291502185</v>
      </c>
      <c r="L211" s="658">
        <f t="shared" ref="L211" si="2780">IF(K211=0,0,K211/K$4)</f>
        <v>970.1939064008883</v>
      </c>
      <c r="M211" s="657">
        <f>M212+M217+M222</f>
        <v>12090574.328625759</v>
      </c>
      <c r="N211" s="658">
        <f t="shared" ref="N211" si="2781">IF(M211=0,0,M211/M$4)</f>
        <v>2807.3219858423327</v>
      </c>
      <c r="O211" s="657">
        <f>O212+O217+O222</f>
        <v>0</v>
      </c>
      <c r="P211" s="658">
        <f t="shared" ref="P211" si="2782">IF(O211=0,0,O211/O$4)</f>
        <v>0</v>
      </c>
      <c r="Q211" s="657">
        <f>Q212+Q217+Q222</f>
        <v>0</v>
      </c>
      <c r="R211" s="658">
        <f t="shared" ref="R211" si="2783">IF(Q211=0,0,Q211/Q$4)</f>
        <v>0</v>
      </c>
      <c r="S211" s="657">
        <f>S212+S217+S222</f>
        <v>0</v>
      </c>
      <c r="T211" s="658">
        <f t="shared" ref="T211" si="2784">IF(S211=0,0,S211/S$4)</f>
        <v>0</v>
      </c>
      <c r="U211" s="657">
        <f>U212+U217+U222</f>
        <v>0</v>
      </c>
      <c r="V211" s="658">
        <f t="shared" ref="V211" si="2785">IF(U211=0,0,U211/U$4)</f>
        <v>0</v>
      </c>
      <c r="W211" s="657">
        <f>W212+W217+W222</f>
        <v>0</v>
      </c>
      <c r="X211" s="658">
        <f t="shared" ref="X211" si="2786">IF(W211=0,0,W211/W$4)</f>
        <v>0</v>
      </c>
      <c r="Y211" s="657">
        <f>Y212+Y217+Y222</f>
        <v>0</v>
      </c>
      <c r="Z211" s="658">
        <f t="shared" ref="Z211" si="2787">IF(Y211=0,0,Y211/Y$4)</f>
        <v>0</v>
      </c>
      <c r="AA211" s="657">
        <f>AA212+AA217+AA222</f>
        <v>0</v>
      </c>
      <c r="AB211" s="658">
        <f t="shared" ref="AB211" si="2788">IF(AA211=0,0,AA211/AA$4)</f>
        <v>0</v>
      </c>
      <c r="AC211" s="657">
        <f>AC212+AC217+AC222</f>
        <v>123709583.76372817</v>
      </c>
      <c r="AD211" s="658">
        <f t="shared" ref="AD211" si="2789">IF(AC211=0,0,AC211/AC$4)</f>
        <v>768.32083400485521</v>
      </c>
      <c r="AE211" s="654"/>
    </row>
    <row r="212" spans="1:36" s="556" customFormat="1" ht="15.75" hidden="1" outlineLevel="2">
      <c r="A212" s="609" t="s">
        <v>1492</v>
      </c>
      <c r="B212" s="559" t="s">
        <v>1074</v>
      </c>
      <c r="C212" s="659">
        <f>C213+C214+C215</f>
        <v>0</v>
      </c>
      <c r="D212" s="660">
        <f t="shared" si="2582"/>
        <v>0</v>
      </c>
      <c r="E212" s="659">
        <f t="shared" ref="E212" si="2790">E213+E214+E215</f>
        <v>0</v>
      </c>
      <c r="F212" s="660">
        <f t="shared" si="2582"/>
        <v>0</v>
      </c>
      <c r="G212" s="659">
        <f t="shared" ref="G212" si="2791">G213+G214+G215</f>
        <v>6471438.6417637458</v>
      </c>
      <c r="H212" s="660">
        <f t="shared" ref="H212" si="2792">IF(G212=0,0,G212/G$4)</f>
        <v>155.02369755359075</v>
      </c>
      <c r="I212" s="659">
        <f t="shared" ref="I212" si="2793">I213+I214+I215</f>
        <v>4544571.9971615691</v>
      </c>
      <c r="J212" s="660">
        <f t="shared" ref="J212" si="2794">IF(I212=0,0,I212/I$4)</f>
        <v>154.87568286104138</v>
      </c>
      <c r="K212" s="659">
        <f t="shared" ref="K212" si="2795">K213+K214+K215</f>
        <v>6471438.6417637458</v>
      </c>
      <c r="L212" s="660">
        <f t="shared" ref="L212" si="2796">IF(K212=0,0,K212/K$4)</f>
        <v>152.00114045523432</v>
      </c>
      <c r="M212" s="659">
        <f t="shared" ref="M212" si="2797">M213+M214+M215</f>
        <v>12090574.328625759</v>
      </c>
      <c r="N212" s="660">
        <f t="shared" ref="N212" si="2798">IF(M212=0,0,M212/M$4)</f>
        <v>2807.3219858423327</v>
      </c>
      <c r="O212" s="659">
        <f t="shared" ref="O212" si="2799">O213+O214+O215</f>
        <v>0</v>
      </c>
      <c r="P212" s="660">
        <f t="shared" ref="P212" si="2800">IF(O212=0,0,O212/O$4)</f>
        <v>0</v>
      </c>
      <c r="Q212" s="659">
        <f t="shared" ref="Q212" si="2801">Q213+Q214+Q215</f>
        <v>0</v>
      </c>
      <c r="R212" s="660">
        <f t="shared" ref="R212" si="2802">IF(Q212=0,0,Q212/Q$4)</f>
        <v>0</v>
      </c>
      <c r="S212" s="659">
        <f t="shared" ref="S212" si="2803">S213+S214+S215</f>
        <v>0</v>
      </c>
      <c r="T212" s="660">
        <f t="shared" ref="T212" si="2804">IF(S212=0,0,S212/S$4)</f>
        <v>0</v>
      </c>
      <c r="U212" s="659">
        <f t="shared" ref="U212" si="2805">U213+U214+U215</f>
        <v>0</v>
      </c>
      <c r="V212" s="660">
        <f t="shared" ref="V212" si="2806">IF(U212=0,0,U212/U$4)</f>
        <v>0</v>
      </c>
      <c r="W212" s="659">
        <f t="shared" ref="W212" si="2807">W213+W214+W215</f>
        <v>0</v>
      </c>
      <c r="X212" s="660">
        <f t="shared" ref="X212" si="2808">IF(W212=0,0,W212/W$4)</f>
        <v>0</v>
      </c>
      <c r="Y212" s="659">
        <f t="shared" ref="Y212" si="2809">Y213+Y214+Y215</f>
        <v>0</v>
      </c>
      <c r="Z212" s="660">
        <f t="shared" ref="Z212" si="2810">IF(Y212=0,0,Y212/Y$4)</f>
        <v>0</v>
      </c>
      <c r="AA212" s="659">
        <f t="shared" ref="AA212" si="2811">AA213+AA214+AA215</f>
        <v>0</v>
      </c>
      <c r="AB212" s="660">
        <f t="shared" ref="AB212" si="2812">IF(AA212=0,0,AA212/AA$4)</f>
        <v>0</v>
      </c>
      <c r="AC212" s="659">
        <f t="shared" ref="AC212" si="2813">AC213+AC214+AC215</f>
        <v>29578023.609314822</v>
      </c>
      <c r="AD212" s="660">
        <f t="shared" ref="AD212" si="2814">IF(AC212=0,0,AC212/AC$4)</f>
        <v>183.699686607362</v>
      </c>
      <c r="AE212" s="654"/>
    </row>
    <row r="213" spans="1:36" s="556" customFormat="1" ht="15.75" hidden="1" outlineLevel="3">
      <c r="A213" s="612" t="s">
        <v>1491</v>
      </c>
      <c r="B213" s="560" t="s">
        <v>1076</v>
      </c>
      <c r="C213" s="661"/>
      <c r="D213" s="662">
        <f t="shared" si="2582"/>
        <v>0</v>
      </c>
      <c r="E213" s="661"/>
      <c r="F213" s="662">
        <f t="shared" si="2582"/>
        <v>0</v>
      </c>
      <c r="G213" s="661">
        <f>Калькулятор_жилье!M226*(1-0.191633815155497)</f>
        <v>0</v>
      </c>
      <c r="H213" s="662">
        <f t="shared" ref="H213" si="2815">IF(G213=0,0,G213/G$4)</f>
        <v>0</v>
      </c>
      <c r="I213" s="661">
        <f>Калькулятор_жилье!N226*(1-0.191633815155497)</f>
        <v>0</v>
      </c>
      <c r="J213" s="662">
        <f t="shared" ref="J213" si="2816">IF(I213=0,0,I213/I$4)</f>
        <v>0</v>
      </c>
      <c r="K213" s="661">
        <f>Калькулятор_жилье!O226*(1-0.191633815155497)</f>
        <v>0</v>
      </c>
      <c r="L213" s="662">
        <f t="shared" ref="L213" si="2817">IF(K213=0,0,K213/K$4)</f>
        <v>0</v>
      </c>
      <c r="M213" s="661">
        <f>Калькулятор_жилье!P226*(1-0.191633815155497)</f>
        <v>0</v>
      </c>
      <c r="N213" s="662">
        <f t="shared" ref="N213" si="2818">IF(M213=0,0,M213/M$4)</f>
        <v>0</v>
      </c>
      <c r="O213" s="661">
        <f>Калькулятор_жилье!Q226*(1-0.191633815155497)</f>
        <v>0</v>
      </c>
      <c r="P213" s="662">
        <f t="shared" ref="P213" si="2819">IF(O213=0,0,O213/O$4)</f>
        <v>0</v>
      </c>
      <c r="Q213" s="661">
        <f>Калькулятор_жилье!R226*(1-0.191633815155497)</f>
        <v>0</v>
      </c>
      <c r="R213" s="662">
        <f t="shared" ref="R213" si="2820">IF(Q213=0,0,Q213/Q$4)</f>
        <v>0</v>
      </c>
      <c r="S213" s="661">
        <f>Калькулятор_жилье!S226*(1-0.191633815155497)</f>
        <v>0</v>
      </c>
      <c r="T213" s="662">
        <f t="shared" ref="T213" si="2821">IF(S213=0,0,S213/S$4)</f>
        <v>0</v>
      </c>
      <c r="U213" s="661">
        <f>Калькулятор_жилье!T226*(1-0.191633815155497)</f>
        <v>0</v>
      </c>
      <c r="V213" s="662">
        <f t="shared" ref="V213" si="2822">IF(U213=0,0,U213/U$4)</f>
        <v>0</v>
      </c>
      <c r="W213" s="661">
        <f>Калькулятор_жилье!U226*(1-0.191633815155497)</f>
        <v>0</v>
      </c>
      <c r="X213" s="662">
        <f t="shared" ref="X213" si="2823">IF(W213=0,0,W213/W$4)</f>
        <v>0</v>
      </c>
      <c r="Y213" s="661">
        <f>Калькулятор_жилье!V226*(1-0.191633815155497)</f>
        <v>0</v>
      </c>
      <c r="Z213" s="662">
        <f t="shared" ref="Z213" si="2824">IF(Y213=0,0,Y213/Y$4)</f>
        <v>0</v>
      </c>
      <c r="AA213" s="661">
        <f>Калькулятор_жилье!W226*(1-0.191633815155497)</f>
        <v>0</v>
      </c>
      <c r="AB213" s="662">
        <f t="shared" ref="AB213" si="2825">IF(AA213=0,0,AA213/AA$4)</f>
        <v>0</v>
      </c>
      <c r="AC213" s="661">
        <f t="shared" ref="AC213" si="2826">C213+E213+G213+I213+K213+M213+O213+Q213+S213+U213+W213+AA213+Y213</f>
        <v>0</v>
      </c>
      <c r="AD213" s="662">
        <f t="shared" ref="AD213" si="2827">IF(AC213=0,0,AC213/AC$4)</f>
        <v>0</v>
      </c>
      <c r="AE213" s="654"/>
    </row>
    <row r="214" spans="1:36" s="556" customFormat="1" ht="15.75" hidden="1" outlineLevel="3">
      <c r="A214" s="612" t="s">
        <v>1490</v>
      </c>
      <c r="B214" s="560" t="s">
        <v>1077</v>
      </c>
      <c r="C214" s="661"/>
      <c r="D214" s="662">
        <f t="shared" si="2582"/>
        <v>0</v>
      </c>
      <c r="E214" s="661"/>
      <c r="F214" s="662">
        <f t="shared" si="2582"/>
        <v>0</v>
      </c>
      <c r="G214" s="661">
        <f>Калькулятор_жилье!M227</f>
        <v>0</v>
      </c>
      <c r="H214" s="662">
        <f t="shared" ref="H214" si="2828">IF(G214=0,0,G214/G$4)</f>
        <v>0</v>
      </c>
      <c r="I214" s="661">
        <f>Калькулятор_жилье!N227</f>
        <v>0</v>
      </c>
      <c r="J214" s="662">
        <f t="shared" ref="J214" si="2829">IF(I214=0,0,I214/I$4)</f>
        <v>0</v>
      </c>
      <c r="K214" s="661">
        <f>Калькулятор_жилье!O227</f>
        <v>0</v>
      </c>
      <c r="L214" s="662">
        <f t="shared" ref="L214" si="2830">IF(K214=0,0,K214/K$4)</f>
        <v>0</v>
      </c>
      <c r="M214" s="661">
        <f>Калькулятор_жилье!P227</f>
        <v>0</v>
      </c>
      <c r="N214" s="662">
        <f t="shared" ref="N214" si="2831">IF(M214=0,0,M214/M$4)</f>
        <v>0</v>
      </c>
      <c r="O214" s="661">
        <f>Калькулятор_жилье!Q227</f>
        <v>0</v>
      </c>
      <c r="P214" s="662">
        <f t="shared" ref="P214" si="2832">IF(O214=0,0,O214/O$4)</f>
        <v>0</v>
      </c>
      <c r="Q214" s="661">
        <f>Калькулятор_жилье!R227</f>
        <v>0</v>
      </c>
      <c r="R214" s="662">
        <f t="shared" ref="R214" si="2833">IF(Q214=0,0,Q214/Q$4)</f>
        <v>0</v>
      </c>
      <c r="S214" s="661">
        <f>Калькулятор_жилье!S227</f>
        <v>0</v>
      </c>
      <c r="T214" s="662">
        <f t="shared" ref="T214" si="2834">IF(S214=0,0,S214/S$4)</f>
        <v>0</v>
      </c>
      <c r="U214" s="661">
        <f>Калькулятор_жилье!T227</f>
        <v>0</v>
      </c>
      <c r="V214" s="662">
        <f t="shared" ref="V214" si="2835">IF(U214=0,0,U214/U$4)</f>
        <v>0</v>
      </c>
      <c r="W214" s="661">
        <f>Калькулятор_жилье!U227</f>
        <v>0</v>
      </c>
      <c r="X214" s="662">
        <f t="shared" ref="X214" si="2836">IF(W214=0,0,W214/W$4)</f>
        <v>0</v>
      </c>
      <c r="Y214" s="661">
        <f>Калькулятор_жилье!V227</f>
        <v>0</v>
      </c>
      <c r="Z214" s="662">
        <f t="shared" ref="Z214" si="2837">IF(Y214=0,0,Y214/Y$4)</f>
        <v>0</v>
      </c>
      <c r="AA214" s="661">
        <f>Калькулятор_жилье!W227</f>
        <v>0</v>
      </c>
      <c r="AB214" s="662">
        <f t="shared" ref="AB214" si="2838">IF(AA214=0,0,AA214/AA$4)</f>
        <v>0</v>
      </c>
      <c r="AC214" s="661">
        <f>C214+E214+G214+I214+K214+M214+O214+Q214+S214+U214+W214+AA214+Y214</f>
        <v>0</v>
      </c>
      <c r="AD214" s="662">
        <f t="shared" ref="AD214" si="2839">IF(AC214=0,0,AC214/AC$4)</f>
        <v>0</v>
      </c>
      <c r="AE214" s="654"/>
    </row>
    <row r="215" spans="1:36" s="556" customFormat="1" ht="15.75" hidden="1" outlineLevel="3">
      <c r="A215" s="612" t="s">
        <v>1489</v>
      </c>
      <c r="B215" s="560" t="s">
        <v>1078</v>
      </c>
      <c r="C215" s="661">
        <f>C216</f>
        <v>0</v>
      </c>
      <c r="D215" s="662">
        <f t="shared" si="2582"/>
        <v>0</v>
      </c>
      <c r="E215" s="661">
        <f t="shared" ref="E215" si="2840">E216</f>
        <v>0</v>
      </c>
      <c r="F215" s="662">
        <f t="shared" si="2582"/>
        <v>0</v>
      </c>
      <c r="G215" s="661">
        <f t="shared" ref="G215" si="2841">G216</f>
        <v>6471438.6417637458</v>
      </c>
      <c r="H215" s="662">
        <f t="shared" ref="H215" si="2842">IF(G215=0,0,G215/G$4)</f>
        <v>155.02369755359075</v>
      </c>
      <c r="I215" s="661">
        <f t="shared" ref="I215" si="2843">I216</f>
        <v>4544571.9971615691</v>
      </c>
      <c r="J215" s="662">
        <f t="shared" ref="J215" si="2844">IF(I215=0,0,I215/I$4)</f>
        <v>154.87568286104138</v>
      </c>
      <c r="K215" s="661">
        <f t="shared" ref="K215" si="2845">K216</f>
        <v>6471438.6417637458</v>
      </c>
      <c r="L215" s="662">
        <f t="shared" ref="L215" si="2846">IF(K215=0,0,K215/K$4)</f>
        <v>152.00114045523432</v>
      </c>
      <c r="M215" s="661">
        <f t="shared" ref="M215" si="2847">M216</f>
        <v>12090574.328625759</v>
      </c>
      <c r="N215" s="662">
        <f t="shared" ref="N215" si="2848">IF(M215=0,0,M215/M$4)</f>
        <v>2807.3219858423327</v>
      </c>
      <c r="O215" s="661">
        <f t="shared" ref="O215" si="2849">O216</f>
        <v>0</v>
      </c>
      <c r="P215" s="662">
        <f t="shared" ref="P215" si="2850">IF(O215=0,0,O215/O$4)</f>
        <v>0</v>
      </c>
      <c r="Q215" s="661">
        <f t="shared" ref="Q215" si="2851">Q216</f>
        <v>0</v>
      </c>
      <c r="R215" s="662">
        <f t="shared" ref="R215" si="2852">IF(Q215=0,0,Q215/Q$4)</f>
        <v>0</v>
      </c>
      <c r="S215" s="661">
        <f t="shared" ref="S215" si="2853">S216</f>
        <v>0</v>
      </c>
      <c r="T215" s="662">
        <f t="shared" ref="T215" si="2854">IF(S215=0,0,S215/S$4)</f>
        <v>0</v>
      </c>
      <c r="U215" s="661">
        <f t="shared" ref="U215" si="2855">U216</f>
        <v>0</v>
      </c>
      <c r="V215" s="662">
        <f t="shared" ref="V215" si="2856">IF(U215=0,0,U215/U$4)</f>
        <v>0</v>
      </c>
      <c r="W215" s="661">
        <f t="shared" ref="W215" si="2857">W216</f>
        <v>0</v>
      </c>
      <c r="X215" s="662">
        <f t="shared" ref="X215" si="2858">IF(W215=0,0,W215/W$4)</f>
        <v>0</v>
      </c>
      <c r="Y215" s="661">
        <f t="shared" ref="Y215" si="2859">Y216</f>
        <v>0</v>
      </c>
      <c r="Z215" s="662">
        <f t="shared" ref="Z215" si="2860">IF(Y215=0,0,Y215/Y$4)</f>
        <v>0</v>
      </c>
      <c r="AA215" s="661">
        <f t="shared" ref="AA215" si="2861">AA216</f>
        <v>0</v>
      </c>
      <c r="AB215" s="662">
        <f t="shared" ref="AB215" si="2862">IF(AA215=0,0,AA215/AA$4)</f>
        <v>0</v>
      </c>
      <c r="AC215" s="661">
        <f>AC216</f>
        <v>29578023.609314822</v>
      </c>
      <c r="AD215" s="662">
        <f t="shared" ref="AD215" si="2863">IF(AC215=0,0,AC215/AC$4)</f>
        <v>183.699686607362</v>
      </c>
      <c r="AE215" s="654"/>
    </row>
    <row r="216" spans="1:36" s="68" customFormat="1" hidden="1" outlineLevel="4">
      <c r="A216" s="117"/>
      <c r="B216" s="118" t="s">
        <v>475</v>
      </c>
      <c r="C216" s="663"/>
      <c r="D216" s="663">
        <f t="shared" si="2582"/>
        <v>0</v>
      </c>
      <c r="E216" s="663"/>
      <c r="F216" s="663">
        <f t="shared" si="2582"/>
        <v>0</v>
      </c>
      <c r="G216" s="663">
        <f>SUM(Калькулятор_жилье!M228:M230)</f>
        <v>6471438.6417637458</v>
      </c>
      <c r="H216" s="663">
        <f t="shared" ref="H216" si="2864">IF(G216=0,0,G216/G$4)</f>
        <v>155.02369755359075</v>
      </c>
      <c r="I216" s="663">
        <f>SUM(Калькулятор_жилье!N228:N230)</f>
        <v>4544571.9971615691</v>
      </c>
      <c r="J216" s="663">
        <f t="shared" ref="J216" si="2865">IF(I216=0,0,I216/I$4)</f>
        <v>154.87568286104138</v>
      </c>
      <c r="K216" s="663">
        <f>SUM(Калькулятор_жилье!O228:O230)</f>
        <v>6471438.6417637458</v>
      </c>
      <c r="L216" s="663">
        <f t="shared" ref="L216" si="2866">IF(K216=0,0,K216/K$4)</f>
        <v>152.00114045523432</v>
      </c>
      <c r="M216" s="663">
        <f>SUM(Калькулятор_жилье!P228:P230)</f>
        <v>12090574.328625759</v>
      </c>
      <c r="N216" s="663">
        <f t="shared" ref="N216" si="2867">IF(M216=0,0,M216/M$4)</f>
        <v>2807.3219858423327</v>
      </c>
      <c r="O216" s="663">
        <f>SUM(Калькулятор_жилье!Q228:Q230)</f>
        <v>0</v>
      </c>
      <c r="P216" s="663">
        <f t="shared" ref="P216" si="2868">IF(O216=0,0,O216/O$4)</f>
        <v>0</v>
      </c>
      <c r="Q216" s="663">
        <f>SUM(Калькулятор_жилье!R228:R230)</f>
        <v>0</v>
      </c>
      <c r="R216" s="663">
        <f t="shared" ref="R216" si="2869">IF(Q216=0,0,Q216/Q$4)</f>
        <v>0</v>
      </c>
      <c r="S216" s="663">
        <f>SUM(Калькулятор_жилье!S228:S230)</f>
        <v>0</v>
      </c>
      <c r="T216" s="663">
        <f t="shared" ref="T216" si="2870">IF(S216=0,0,S216/S$4)</f>
        <v>0</v>
      </c>
      <c r="U216" s="663">
        <f>SUM(Калькулятор_жилье!T228:T230)</f>
        <v>0</v>
      </c>
      <c r="V216" s="663">
        <f t="shared" ref="V216" si="2871">IF(U216=0,0,U216/U$4)</f>
        <v>0</v>
      </c>
      <c r="W216" s="663">
        <f>SUM(Калькулятор_жилье!U228:U230)</f>
        <v>0</v>
      </c>
      <c r="X216" s="663">
        <f t="shared" ref="X216" si="2872">IF(W216=0,0,W216/W$4)</f>
        <v>0</v>
      </c>
      <c r="Y216" s="663">
        <f>SUM(Калькулятор_жилье!V228:V230)</f>
        <v>0</v>
      </c>
      <c r="Z216" s="663">
        <f t="shared" ref="Z216" si="2873">IF(Y216=0,0,Y216/Y$4)</f>
        <v>0</v>
      </c>
      <c r="AA216" s="663">
        <f>SUM(Калькулятор_жилье!W228:W230)</f>
        <v>0</v>
      </c>
      <c r="AB216" s="663">
        <f t="shared" ref="AB216" si="2874">IF(AA216=0,0,AA216/AA$4)</f>
        <v>0</v>
      </c>
      <c r="AC216" s="663">
        <f>C216+E216+G216+I216+K216+M216+O216+Q216+S216+U216+W216+AA216+Y216</f>
        <v>29578023.609314822</v>
      </c>
      <c r="AD216" s="663">
        <f t="shared" ref="AD216" si="2875">IF(AC216=0,0,AC216/AC$4)</f>
        <v>183.699686607362</v>
      </c>
      <c r="AE216" s="665"/>
      <c r="AF216" s="114"/>
      <c r="AG216" s="114"/>
      <c r="AH216" s="114"/>
      <c r="AI216" s="114"/>
      <c r="AJ216" s="114"/>
    </row>
    <row r="217" spans="1:36" s="556" customFormat="1" ht="15.75" hidden="1" outlineLevel="2">
      <c r="A217" s="609" t="s">
        <v>1488</v>
      </c>
      <c r="B217" s="559" t="s">
        <v>1079</v>
      </c>
      <c r="C217" s="659">
        <f>C218+C221</f>
        <v>0</v>
      </c>
      <c r="D217" s="660">
        <f t="shared" si="2582"/>
        <v>0</v>
      </c>
      <c r="E217" s="659">
        <f t="shared" ref="E217" si="2876">E218+E221</f>
        <v>0</v>
      </c>
      <c r="F217" s="660">
        <f t="shared" si="2582"/>
        <v>0</v>
      </c>
      <c r="G217" s="659">
        <f t="shared" ref="G217" si="2877">G218+G221</f>
        <v>34834503.649738438</v>
      </c>
      <c r="H217" s="660">
        <f t="shared" ref="H217" si="2878">IF(G217=0,0,G217/G$4)</f>
        <v>834.46260671873188</v>
      </c>
      <c r="I217" s="659">
        <f t="shared" ref="I217" si="2879">I218+I221</f>
        <v>24462552.854936454</v>
      </c>
      <c r="J217" s="660">
        <f t="shared" ref="J217" si="2880">IF(I217=0,0,I217/I$4)</f>
        <v>833.66587223151123</v>
      </c>
      <c r="K217" s="659">
        <f t="shared" ref="K217" si="2881">K218+K221</f>
        <v>34834503.649738438</v>
      </c>
      <c r="L217" s="660">
        <f t="shared" ref="L217" si="2882">IF(K217=0,0,K217/K$4)</f>
        <v>818.19276594565395</v>
      </c>
      <c r="M217" s="659">
        <f t="shared" ref="M217" si="2883">M218+M221</f>
        <v>0</v>
      </c>
      <c r="N217" s="660">
        <f t="shared" ref="N217" si="2884">IF(M217=0,0,M217/M$4)</f>
        <v>0</v>
      </c>
      <c r="O217" s="659">
        <f t="shared" ref="O217" si="2885">O218+O221</f>
        <v>0</v>
      </c>
      <c r="P217" s="660">
        <f t="shared" ref="P217" si="2886">IF(O217=0,0,O217/O$4)</f>
        <v>0</v>
      </c>
      <c r="Q217" s="659">
        <f t="shared" ref="Q217" si="2887">Q218+Q221</f>
        <v>0</v>
      </c>
      <c r="R217" s="660">
        <f t="shared" ref="R217" si="2888">IF(Q217=0,0,Q217/Q$4)</f>
        <v>0</v>
      </c>
      <c r="S217" s="659">
        <f t="shared" ref="S217" si="2889">S218+S221</f>
        <v>0</v>
      </c>
      <c r="T217" s="660">
        <f t="shared" ref="T217" si="2890">IF(S217=0,0,S217/S$4)</f>
        <v>0</v>
      </c>
      <c r="U217" s="659">
        <f t="shared" ref="U217" si="2891">U218+U221</f>
        <v>0</v>
      </c>
      <c r="V217" s="660">
        <f t="shared" ref="V217" si="2892">IF(U217=0,0,U217/U$4)</f>
        <v>0</v>
      </c>
      <c r="W217" s="659">
        <f t="shared" ref="W217" si="2893">W218+W221</f>
        <v>0</v>
      </c>
      <c r="X217" s="660">
        <f t="shared" ref="X217" si="2894">IF(W217=0,0,W217/W$4)</f>
        <v>0</v>
      </c>
      <c r="Y217" s="659">
        <f t="shared" ref="Y217" si="2895">Y218+Y221</f>
        <v>0</v>
      </c>
      <c r="Z217" s="660">
        <f t="shared" ref="Z217" si="2896">IF(Y217=0,0,Y217/Y$4)</f>
        <v>0</v>
      </c>
      <c r="AA217" s="659">
        <f t="shared" ref="AA217" si="2897">AA218+AA221</f>
        <v>0</v>
      </c>
      <c r="AB217" s="660">
        <f t="shared" ref="AB217" si="2898">IF(AA217=0,0,AA217/AA$4)</f>
        <v>0</v>
      </c>
      <c r="AC217" s="659">
        <f t="shared" ref="AC217" si="2899">AC218+AC221</f>
        <v>94131560.154413342</v>
      </c>
      <c r="AD217" s="660">
        <f t="shared" ref="AD217" si="2900">IF(AC217=0,0,AC217/AC$4)</f>
        <v>584.62114739749325</v>
      </c>
      <c r="AE217" s="654"/>
    </row>
    <row r="218" spans="1:36" s="556" customFormat="1" ht="15.75" hidden="1" outlineLevel="3">
      <c r="A218" s="612" t="s">
        <v>1487</v>
      </c>
      <c r="B218" s="560" t="s">
        <v>1080</v>
      </c>
      <c r="C218" s="661">
        <f>C219+C220</f>
        <v>0</v>
      </c>
      <c r="D218" s="662">
        <f t="shared" si="2582"/>
        <v>0</v>
      </c>
      <c r="E218" s="661">
        <f t="shared" ref="E218" si="2901">E219+E220</f>
        <v>0</v>
      </c>
      <c r="F218" s="662">
        <f t="shared" si="2582"/>
        <v>0</v>
      </c>
      <c r="G218" s="661">
        <f t="shared" ref="G218" si="2902">G219+G220</f>
        <v>34834503.649738438</v>
      </c>
      <c r="H218" s="662">
        <f t="shared" ref="H218" si="2903">IF(G218=0,0,G218/G$4)</f>
        <v>834.46260671873188</v>
      </c>
      <c r="I218" s="661">
        <f t="shared" ref="I218" si="2904">I219+I220</f>
        <v>24462552.854936454</v>
      </c>
      <c r="J218" s="662">
        <f t="shared" ref="J218" si="2905">IF(I218=0,0,I218/I$4)</f>
        <v>833.66587223151123</v>
      </c>
      <c r="K218" s="661">
        <f t="shared" ref="K218" si="2906">K219+K220</f>
        <v>34834503.649738438</v>
      </c>
      <c r="L218" s="662">
        <f t="shared" ref="L218" si="2907">IF(K218=0,0,K218/K$4)</f>
        <v>818.19276594565395</v>
      </c>
      <c r="M218" s="661">
        <f t="shared" ref="M218" si="2908">M219+M220</f>
        <v>0</v>
      </c>
      <c r="N218" s="662">
        <f t="shared" ref="N218" si="2909">IF(M218=0,0,M218/M$4)</f>
        <v>0</v>
      </c>
      <c r="O218" s="661">
        <f t="shared" ref="O218" si="2910">O219+O220</f>
        <v>0</v>
      </c>
      <c r="P218" s="662">
        <f t="shared" ref="P218" si="2911">IF(O218=0,0,O218/O$4)</f>
        <v>0</v>
      </c>
      <c r="Q218" s="661">
        <f t="shared" ref="Q218" si="2912">Q219+Q220</f>
        <v>0</v>
      </c>
      <c r="R218" s="662">
        <f t="shared" ref="R218" si="2913">IF(Q218=0,0,Q218/Q$4)</f>
        <v>0</v>
      </c>
      <c r="S218" s="661">
        <f t="shared" ref="S218" si="2914">S219+S220</f>
        <v>0</v>
      </c>
      <c r="T218" s="662">
        <f t="shared" ref="T218" si="2915">IF(S218=0,0,S218/S$4)</f>
        <v>0</v>
      </c>
      <c r="U218" s="661">
        <f t="shared" ref="U218" si="2916">U219+U220</f>
        <v>0</v>
      </c>
      <c r="V218" s="662">
        <f t="shared" ref="V218" si="2917">IF(U218=0,0,U218/U$4)</f>
        <v>0</v>
      </c>
      <c r="W218" s="661">
        <f t="shared" ref="W218" si="2918">W219+W220</f>
        <v>0</v>
      </c>
      <c r="X218" s="662">
        <f t="shared" ref="X218" si="2919">IF(W218=0,0,W218/W$4)</f>
        <v>0</v>
      </c>
      <c r="Y218" s="661">
        <f t="shared" ref="Y218" si="2920">Y219+Y220</f>
        <v>0</v>
      </c>
      <c r="Z218" s="662">
        <f t="shared" ref="Z218" si="2921">IF(Y218=0,0,Y218/Y$4)</f>
        <v>0</v>
      </c>
      <c r="AA218" s="661">
        <f t="shared" ref="AA218" si="2922">AA219+AA220</f>
        <v>0</v>
      </c>
      <c r="AB218" s="662">
        <f t="shared" ref="AB218" si="2923">IF(AA218=0,0,AA218/AA$4)</f>
        <v>0</v>
      </c>
      <c r="AC218" s="661">
        <f>AC219+AC220</f>
        <v>94131560.154413342</v>
      </c>
      <c r="AD218" s="662">
        <f t="shared" ref="AD218" si="2924">IF(AC218=0,0,AC218/AC$4)</f>
        <v>584.62114739749325</v>
      </c>
      <c r="AE218" s="654"/>
    </row>
    <row r="219" spans="1:36" s="68" customFormat="1" hidden="1" outlineLevel="4">
      <c r="A219" s="117"/>
      <c r="B219" s="118" t="s">
        <v>476</v>
      </c>
      <c r="C219" s="663"/>
      <c r="D219" s="663">
        <f t="shared" si="2582"/>
        <v>0</v>
      </c>
      <c r="E219" s="663"/>
      <c r="F219" s="663">
        <f t="shared" si="2582"/>
        <v>0</v>
      </c>
      <c r="G219" s="663">
        <f>Калькулятор_жилье!M233</f>
        <v>0</v>
      </c>
      <c r="H219" s="663">
        <f t="shared" ref="H219" si="2925">IF(G219=0,0,G219/G$4)</f>
        <v>0</v>
      </c>
      <c r="I219" s="663">
        <f>Калькулятор_жилье!N233</f>
        <v>0</v>
      </c>
      <c r="J219" s="663">
        <f t="shared" ref="J219" si="2926">IF(I219=0,0,I219/I$4)</f>
        <v>0</v>
      </c>
      <c r="K219" s="663">
        <f>Калькулятор_жилье!O233</f>
        <v>0</v>
      </c>
      <c r="L219" s="663">
        <f t="shared" ref="L219" si="2927">IF(K219=0,0,K219/K$4)</f>
        <v>0</v>
      </c>
      <c r="M219" s="663">
        <f>Калькулятор_жилье!P233</f>
        <v>0</v>
      </c>
      <c r="N219" s="663">
        <f t="shared" ref="N219" si="2928">IF(M219=0,0,M219/M$4)</f>
        <v>0</v>
      </c>
      <c r="O219" s="663">
        <f>Калькулятор_жилье!Q233</f>
        <v>0</v>
      </c>
      <c r="P219" s="663">
        <f t="shared" ref="P219" si="2929">IF(O219=0,0,O219/O$4)</f>
        <v>0</v>
      </c>
      <c r="Q219" s="663">
        <f>Калькулятор_жилье!R233</f>
        <v>0</v>
      </c>
      <c r="R219" s="663">
        <f t="shared" ref="R219" si="2930">IF(Q219=0,0,Q219/Q$4)</f>
        <v>0</v>
      </c>
      <c r="S219" s="663">
        <f>Калькулятор_жилье!S233</f>
        <v>0</v>
      </c>
      <c r="T219" s="663">
        <f t="shared" ref="T219" si="2931">IF(S219=0,0,S219/S$4)</f>
        <v>0</v>
      </c>
      <c r="U219" s="663">
        <f>Калькулятор_жилье!T233</f>
        <v>0</v>
      </c>
      <c r="V219" s="663">
        <f t="shared" ref="V219" si="2932">IF(U219=0,0,U219/U$4)</f>
        <v>0</v>
      </c>
      <c r="W219" s="663">
        <f>Калькулятор_жилье!U233</f>
        <v>0</v>
      </c>
      <c r="X219" s="663">
        <f t="shared" ref="X219" si="2933">IF(W219=0,0,W219/W$4)</f>
        <v>0</v>
      </c>
      <c r="Y219" s="663">
        <f>Калькулятор_жилье!V233</f>
        <v>0</v>
      </c>
      <c r="Z219" s="663">
        <f t="shared" ref="Z219" si="2934">IF(Y219=0,0,Y219/Y$4)</f>
        <v>0</v>
      </c>
      <c r="AA219" s="663">
        <f>Калькулятор_жилье!W233</f>
        <v>0</v>
      </c>
      <c r="AB219" s="663">
        <f t="shared" ref="AB219" si="2935">IF(AA219=0,0,AA219/AA$4)</f>
        <v>0</v>
      </c>
      <c r="AC219" s="663">
        <f t="shared" ref="AC219:AC220" si="2936">C219+E219+G219+I219+K219+M219+O219+Q219+S219+U219+W219+AA219+Y219</f>
        <v>0</v>
      </c>
      <c r="AD219" s="663">
        <f t="shared" ref="AD219" si="2937">IF(AC219=0,0,AC219/AC$4)</f>
        <v>0</v>
      </c>
      <c r="AE219" s="665"/>
      <c r="AF219" s="114"/>
      <c r="AG219" s="114"/>
      <c r="AH219" s="114"/>
      <c r="AI219" s="114"/>
      <c r="AJ219" s="114"/>
    </row>
    <row r="220" spans="1:36" s="68" customFormat="1" hidden="1" outlineLevel="4">
      <c r="A220" s="117"/>
      <c r="B220" s="118" t="s">
        <v>16</v>
      </c>
      <c r="C220" s="663"/>
      <c r="D220" s="663">
        <f t="shared" si="2582"/>
        <v>0</v>
      </c>
      <c r="E220" s="663"/>
      <c r="F220" s="663">
        <f t="shared" si="2582"/>
        <v>0</v>
      </c>
      <c r="G220" s="663">
        <f>Калькулятор_жилье!M231+Калькулятор_жилье!M232</f>
        <v>34834503.649738438</v>
      </c>
      <c r="H220" s="663">
        <f t="shared" ref="H220" si="2938">IF(G220=0,0,G220/G$4)</f>
        <v>834.46260671873188</v>
      </c>
      <c r="I220" s="663">
        <f>Калькулятор_жилье!N231+Калькулятор_жилье!N232</f>
        <v>24462552.854936454</v>
      </c>
      <c r="J220" s="663">
        <f t="shared" ref="J220" si="2939">IF(I220=0,0,I220/I$4)</f>
        <v>833.66587223151123</v>
      </c>
      <c r="K220" s="663">
        <f>Калькулятор_жилье!O231+Калькулятор_жилье!O232</f>
        <v>34834503.649738438</v>
      </c>
      <c r="L220" s="663">
        <f t="shared" ref="L220" si="2940">IF(K220=0,0,K220/K$4)</f>
        <v>818.19276594565395</v>
      </c>
      <c r="M220" s="663">
        <f>Калькулятор_жилье!P231+Калькулятор_жилье!P232</f>
        <v>0</v>
      </c>
      <c r="N220" s="663">
        <f t="shared" ref="N220" si="2941">IF(M220=0,0,M220/M$4)</f>
        <v>0</v>
      </c>
      <c r="O220" s="663">
        <f>Калькулятор_жилье!Q231+Калькулятор_жилье!Q232</f>
        <v>0</v>
      </c>
      <c r="P220" s="663">
        <f t="shared" ref="P220" si="2942">IF(O220=0,0,O220/O$4)</f>
        <v>0</v>
      </c>
      <c r="Q220" s="663">
        <f>Калькулятор_жилье!R231+Калькулятор_жилье!R232</f>
        <v>0</v>
      </c>
      <c r="R220" s="663">
        <f t="shared" ref="R220" si="2943">IF(Q220=0,0,Q220/Q$4)</f>
        <v>0</v>
      </c>
      <c r="S220" s="663">
        <f>Калькулятор_жилье!S232+Калькулятор_жилье!S231</f>
        <v>0</v>
      </c>
      <c r="T220" s="663">
        <f t="shared" ref="T220" si="2944">IF(S220=0,0,S220/S$4)</f>
        <v>0</v>
      </c>
      <c r="U220" s="663">
        <f>Калькулятор_жилье!T231+Калькулятор_жилье!T232</f>
        <v>0</v>
      </c>
      <c r="V220" s="663">
        <f t="shared" ref="V220" si="2945">IF(U220=0,0,U220/U$4)</f>
        <v>0</v>
      </c>
      <c r="W220" s="663">
        <f>Калькулятор_жилье!U231+Калькулятор_жилье!U232</f>
        <v>0</v>
      </c>
      <c r="X220" s="663">
        <f t="shared" ref="X220" si="2946">IF(W220=0,0,W220/W$4)</f>
        <v>0</v>
      </c>
      <c r="Y220" s="663">
        <f>Калькулятор_жилье!V231+Калькулятор_жилье!V232</f>
        <v>0</v>
      </c>
      <c r="Z220" s="663">
        <f t="shared" ref="Z220" si="2947">IF(Y220=0,0,Y220/Y$4)</f>
        <v>0</v>
      </c>
      <c r="AA220" s="663">
        <f>Калькулятор_жилье!W231+Калькулятор_жилье!W232</f>
        <v>0</v>
      </c>
      <c r="AB220" s="663">
        <f t="shared" ref="AB220" si="2948">IF(AA220=0,0,AA220/AA$4)</f>
        <v>0</v>
      </c>
      <c r="AC220" s="663">
        <f t="shared" si="2936"/>
        <v>94131560.154413342</v>
      </c>
      <c r="AD220" s="663">
        <f t="shared" ref="AD220" si="2949">IF(AC220=0,0,AC220/AC$4)</f>
        <v>584.62114739749325</v>
      </c>
      <c r="AE220" s="665"/>
      <c r="AF220" s="114"/>
      <c r="AG220" s="114"/>
      <c r="AH220" s="114"/>
      <c r="AI220" s="114"/>
      <c r="AJ220" s="114"/>
    </row>
    <row r="221" spans="1:36" s="556" customFormat="1" ht="15.75" hidden="1" outlineLevel="3">
      <c r="A221" s="612" t="s">
        <v>1486</v>
      </c>
      <c r="B221" s="560" t="s">
        <v>1081</v>
      </c>
      <c r="C221" s="661"/>
      <c r="D221" s="662">
        <f t="shared" si="2582"/>
        <v>0</v>
      </c>
      <c r="E221" s="661">
        <f>Калькулятор_жилье!L234</f>
        <v>0</v>
      </c>
      <c r="F221" s="662">
        <f t="shared" si="2582"/>
        <v>0</v>
      </c>
      <c r="G221" s="661"/>
      <c r="H221" s="662">
        <f t="shared" ref="H221" si="2950">IF(G221=0,0,G221/G$4)</f>
        <v>0</v>
      </c>
      <c r="I221" s="661"/>
      <c r="J221" s="662">
        <f t="shared" ref="J221" si="2951">IF(I221=0,0,I221/I$4)</f>
        <v>0</v>
      </c>
      <c r="K221" s="661"/>
      <c r="L221" s="662">
        <f t="shared" ref="L221" si="2952">IF(K221=0,0,K221/K$4)</f>
        <v>0</v>
      </c>
      <c r="M221" s="661"/>
      <c r="N221" s="662">
        <f t="shared" ref="N221" si="2953">IF(M221=0,0,M221/M$4)</f>
        <v>0</v>
      </c>
      <c r="O221" s="661"/>
      <c r="P221" s="662">
        <f t="shared" ref="P221" si="2954">IF(O221=0,0,O221/O$4)</f>
        <v>0</v>
      </c>
      <c r="Q221" s="661"/>
      <c r="R221" s="662">
        <f t="shared" ref="R221" si="2955">IF(Q221=0,0,Q221/Q$4)</f>
        <v>0</v>
      </c>
      <c r="S221" s="661"/>
      <c r="T221" s="662">
        <f t="shared" ref="T221" si="2956">IF(S221=0,0,S221/S$4)</f>
        <v>0</v>
      </c>
      <c r="U221" s="661"/>
      <c r="V221" s="662">
        <f t="shared" ref="V221" si="2957">IF(U221=0,0,U221/U$4)</f>
        <v>0</v>
      </c>
      <c r="W221" s="661"/>
      <c r="X221" s="662">
        <f t="shared" ref="X221" si="2958">IF(W221=0,0,W221/W$4)</f>
        <v>0</v>
      </c>
      <c r="Y221" s="661"/>
      <c r="Z221" s="662">
        <f t="shared" ref="Z221" si="2959">IF(Y221=0,0,Y221/Y$4)</f>
        <v>0</v>
      </c>
      <c r="AA221" s="661"/>
      <c r="AB221" s="662">
        <f t="shared" ref="AB221" si="2960">IF(AA221=0,0,AA221/AA$4)</f>
        <v>0</v>
      </c>
      <c r="AC221" s="661">
        <f>C221+E221+G221+I221+K221+M221+O221+Q221+S221+U221+W221+AA221+Y221</f>
        <v>0</v>
      </c>
      <c r="AD221" s="662">
        <f t="shared" ref="AD221" si="2961">IF(AC221=0,0,AC221/AC$4)</f>
        <v>0</v>
      </c>
      <c r="AE221" s="654"/>
    </row>
    <row r="222" spans="1:36" s="556" customFormat="1" ht="15.75" hidden="1" outlineLevel="2">
      <c r="A222" s="609" t="s">
        <v>1485</v>
      </c>
      <c r="B222" s="559" t="s">
        <v>1082</v>
      </c>
      <c r="C222" s="659"/>
      <c r="D222" s="660">
        <f t="shared" si="2582"/>
        <v>0</v>
      </c>
      <c r="E222" s="659"/>
      <c r="F222" s="660">
        <f t="shared" si="2582"/>
        <v>0</v>
      </c>
      <c r="G222" s="659"/>
      <c r="H222" s="660">
        <f t="shared" ref="H222" si="2962">IF(G222=0,0,G222/G$4)</f>
        <v>0</v>
      </c>
      <c r="I222" s="659"/>
      <c r="J222" s="660">
        <f t="shared" ref="J222" si="2963">IF(I222=0,0,I222/I$4)</f>
        <v>0</v>
      </c>
      <c r="K222" s="659"/>
      <c r="L222" s="660">
        <f t="shared" ref="L222" si="2964">IF(K222=0,0,K222/K$4)</f>
        <v>0</v>
      </c>
      <c r="M222" s="659"/>
      <c r="N222" s="660">
        <f t="shared" ref="N222" si="2965">IF(M222=0,0,M222/M$4)</f>
        <v>0</v>
      </c>
      <c r="O222" s="659"/>
      <c r="P222" s="660">
        <f t="shared" ref="P222" si="2966">IF(O222=0,0,O222/O$4)</f>
        <v>0</v>
      </c>
      <c r="Q222" s="659"/>
      <c r="R222" s="660">
        <f t="shared" ref="R222" si="2967">IF(Q222=0,0,Q222/Q$4)</f>
        <v>0</v>
      </c>
      <c r="S222" s="659"/>
      <c r="T222" s="660">
        <f t="shared" ref="T222" si="2968">IF(S222=0,0,S222/S$4)</f>
        <v>0</v>
      </c>
      <c r="U222" s="659"/>
      <c r="V222" s="660">
        <f t="shared" ref="V222" si="2969">IF(U222=0,0,U222/U$4)</f>
        <v>0</v>
      </c>
      <c r="W222" s="659"/>
      <c r="X222" s="660">
        <f t="shared" ref="X222" si="2970">IF(W222=0,0,W222/W$4)</f>
        <v>0</v>
      </c>
      <c r="Y222" s="659"/>
      <c r="Z222" s="660">
        <f t="shared" ref="Z222" si="2971">IF(Y222=0,0,Y222/Y$4)</f>
        <v>0</v>
      </c>
      <c r="AA222" s="659"/>
      <c r="AB222" s="660">
        <f t="shared" ref="AB222" si="2972">IF(AA222=0,0,AA222/AA$4)</f>
        <v>0</v>
      </c>
      <c r="AC222" s="659"/>
      <c r="AD222" s="660">
        <f t="shared" ref="AD222" si="2973">IF(AC222=0,0,AC222/AC$4)</f>
        <v>0</v>
      </c>
      <c r="AE222" s="654"/>
    </row>
    <row r="223" spans="1:36" s="556" customFormat="1" ht="15.75" outlineLevel="1" collapsed="1">
      <c r="A223" s="610" t="s">
        <v>1484</v>
      </c>
      <c r="B223" s="558" t="s">
        <v>345</v>
      </c>
      <c r="C223" s="657">
        <f>C224+SUM(C237:C251)</f>
        <v>12016144.898305086</v>
      </c>
      <c r="D223" s="658">
        <f t="shared" si="2582"/>
        <v>74.628449865465157</v>
      </c>
      <c r="E223" s="657">
        <f t="shared" ref="E223" si="2974">E224+SUM(E237:E251)</f>
        <v>0</v>
      </c>
      <c r="F223" s="658">
        <f t="shared" si="2582"/>
        <v>0</v>
      </c>
      <c r="G223" s="657">
        <f t="shared" ref="G223" si="2975">G224+SUM(G237:G251)</f>
        <v>516143255.65185308</v>
      </c>
      <c r="H223" s="658">
        <f t="shared" ref="H223" si="2976">IF(G223=0,0,G223/G$4)</f>
        <v>12364.242386866108</v>
      </c>
      <c r="I223" s="657">
        <f t="shared" ref="I223" si="2977">I224+SUM(I237:I251)</f>
        <v>334271900.51910686</v>
      </c>
      <c r="J223" s="658">
        <f t="shared" ref="J223" si="2978">IF(I223=0,0,I223/I$4)</f>
        <v>11391.741375533149</v>
      </c>
      <c r="K223" s="657">
        <f t="shared" ref="K223" si="2979">K224+SUM(K237:K251)</f>
        <v>517286358.33309585</v>
      </c>
      <c r="L223" s="658">
        <f t="shared" ref="L223" si="2980">IF(K223=0,0,K223/K$4)</f>
        <v>12150.02115621327</v>
      </c>
      <c r="M223" s="657">
        <f t="shared" ref="M223" si="2981">M224+SUM(M237:M251)</f>
        <v>66867610.038490616</v>
      </c>
      <c r="N223" s="658">
        <f t="shared" ref="N223" si="2982">IF(M223=0,0,M223/M$4)</f>
        <v>15526.054155867607</v>
      </c>
      <c r="O223" s="657">
        <f t="shared" ref="O223" si="2983">O224+SUM(O237:O251)</f>
        <v>0</v>
      </c>
      <c r="P223" s="658">
        <f t="shared" ref="P223" si="2984">IF(O223=0,0,O223/O$4)</f>
        <v>0</v>
      </c>
      <c r="Q223" s="657">
        <f t="shared" ref="Q223" si="2985">Q224+SUM(Q237:Q251)</f>
        <v>0</v>
      </c>
      <c r="R223" s="658">
        <f t="shared" ref="R223" si="2986">IF(Q223=0,0,Q223/Q$4)</f>
        <v>0</v>
      </c>
      <c r="S223" s="657">
        <f t="shared" ref="S223" si="2987">S224+SUM(S237:S251)</f>
        <v>0</v>
      </c>
      <c r="T223" s="658">
        <f t="shared" ref="T223" si="2988">IF(S223=0,0,S223/S$4)</f>
        <v>0</v>
      </c>
      <c r="U223" s="657">
        <f t="shared" ref="U223" si="2989">U224+SUM(U237:U251)</f>
        <v>0</v>
      </c>
      <c r="V223" s="658">
        <f t="shared" ref="V223" si="2990">IF(U223=0,0,U223/U$4)</f>
        <v>0</v>
      </c>
      <c r="W223" s="657">
        <f t="shared" ref="W223" si="2991">W224+SUM(W237:W251)</f>
        <v>0</v>
      </c>
      <c r="X223" s="658">
        <f t="shared" ref="X223" si="2992">IF(W223=0,0,W223/W$4)</f>
        <v>0</v>
      </c>
      <c r="Y223" s="657">
        <f t="shared" ref="Y223" si="2993">Y224+SUM(Y237:Y251)</f>
        <v>0</v>
      </c>
      <c r="Z223" s="658">
        <f t="shared" ref="Z223" si="2994">IF(Y223=0,0,Y223/Y$4)</f>
        <v>0</v>
      </c>
      <c r="AA223" s="657">
        <f t="shared" ref="AA223" si="2995">AA224+SUM(AA237:AA251)</f>
        <v>0</v>
      </c>
      <c r="AB223" s="658">
        <f t="shared" ref="AB223" si="2996">IF(AA223=0,0,AA223/AA$4)</f>
        <v>0</v>
      </c>
      <c r="AC223" s="657">
        <f t="shared" ref="AC223" si="2997">AC224+SUM(AC237:AC251)</f>
        <v>1446585269.4408517</v>
      </c>
      <c r="AD223" s="658">
        <f t="shared" ref="AD223" si="2998">IF(AC223=0,0,AC223/AC$4)</f>
        <v>8984.2804968018154</v>
      </c>
      <c r="AE223" s="654"/>
    </row>
    <row r="224" spans="1:36" s="556" customFormat="1" ht="15.75" hidden="1" outlineLevel="2" collapsed="1">
      <c r="A224" s="609" t="s">
        <v>1483</v>
      </c>
      <c r="B224" s="559" t="s">
        <v>1084</v>
      </c>
      <c r="C224" s="659">
        <f>C225+C228+C231+C234</f>
        <v>0</v>
      </c>
      <c r="D224" s="660">
        <f t="shared" si="2582"/>
        <v>0</v>
      </c>
      <c r="E224" s="659">
        <f t="shared" ref="E224" si="2999">E225+E228+E231+E234</f>
        <v>0</v>
      </c>
      <c r="F224" s="660">
        <f t="shared" si="2582"/>
        <v>0</v>
      </c>
      <c r="G224" s="659">
        <f t="shared" ref="G224" si="3000">G225+G228+G231+G234</f>
        <v>516143255.65185308</v>
      </c>
      <c r="H224" s="660">
        <f t="shared" ref="H224" si="3001">IF(G224=0,0,G224/G$4)</f>
        <v>12364.242386866108</v>
      </c>
      <c r="I224" s="659">
        <f t="shared" ref="I224" si="3002">I225+I228+I231+I234</f>
        <v>334271900.51910686</v>
      </c>
      <c r="J224" s="660">
        <f t="shared" ref="J224" si="3003">IF(I224=0,0,I224/I$4)</f>
        <v>11391.741375533149</v>
      </c>
      <c r="K224" s="659">
        <f t="shared" ref="K224" si="3004">K225+K228+K231+K234</f>
        <v>517286358.33309585</v>
      </c>
      <c r="L224" s="660">
        <f t="shared" ref="L224" si="3005">IF(K224=0,0,K224/K$4)</f>
        <v>12150.02115621327</v>
      </c>
      <c r="M224" s="659">
        <f t="shared" ref="M224" si="3006">M225+M228+M231+M234</f>
        <v>66867610.038490616</v>
      </c>
      <c r="N224" s="660">
        <f t="shared" ref="N224" si="3007">IF(M224=0,0,M224/M$4)</f>
        <v>15526.054155867607</v>
      </c>
      <c r="O224" s="659">
        <f t="shared" ref="O224" si="3008">O225+O228+O231+O234</f>
        <v>0</v>
      </c>
      <c r="P224" s="660">
        <f t="shared" ref="P224" si="3009">IF(O224=0,0,O224/O$4)</f>
        <v>0</v>
      </c>
      <c r="Q224" s="659">
        <f t="shared" ref="Q224" si="3010">Q225+Q228+Q231+Q234</f>
        <v>0</v>
      </c>
      <c r="R224" s="660">
        <f t="shared" ref="R224" si="3011">IF(Q224=0,0,Q224/Q$4)</f>
        <v>0</v>
      </c>
      <c r="S224" s="659">
        <f t="shared" ref="S224" si="3012">S225+S228+S231+S234</f>
        <v>0</v>
      </c>
      <c r="T224" s="660">
        <f t="shared" ref="T224" si="3013">IF(S224=0,0,S224/S$4)</f>
        <v>0</v>
      </c>
      <c r="U224" s="659">
        <f t="shared" ref="U224" si="3014">U225+U228+U231+U234</f>
        <v>0</v>
      </c>
      <c r="V224" s="660">
        <f t="shared" ref="V224" si="3015">IF(U224=0,0,U224/U$4)</f>
        <v>0</v>
      </c>
      <c r="W224" s="659">
        <f t="shared" ref="W224" si="3016">W225+W228+W231+W234</f>
        <v>0</v>
      </c>
      <c r="X224" s="660">
        <f t="shared" ref="X224" si="3017">IF(W224=0,0,W224/W$4)</f>
        <v>0</v>
      </c>
      <c r="Y224" s="659">
        <f t="shared" ref="Y224" si="3018">Y225+Y228+Y231+Y234</f>
        <v>0</v>
      </c>
      <c r="Z224" s="660">
        <f t="shared" ref="Z224" si="3019">IF(Y224=0,0,Y224/Y$4)</f>
        <v>0</v>
      </c>
      <c r="AA224" s="659">
        <f t="shared" ref="AA224" si="3020">AA225+AA228+AA231+AA234</f>
        <v>0</v>
      </c>
      <c r="AB224" s="660">
        <f t="shared" ref="AB224" si="3021">IF(AA224=0,0,AA224/AA$4)</f>
        <v>0</v>
      </c>
      <c r="AC224" s="659">
        <f t="shared" ref="AC224" si="3022">AC225+AC228+AC231+AC234</f>
        <v>1434569124.5425465</v>
      </c>
      <c r="AD224" s="660">
        <f t="shared" ref="AD224" si="3023">IF(AC224=0,0,AC224/AC$4)</f>
        <v>8909.6520469363495</v>
      </c>
      <c r="AE224" s="654"/>
    </row>
    <row r="225" spans="1:36" s="68" customFormat="1" hidden="1" outlineLevel="3" collapsed="1">
      <c r="A225" s="117"/>
      <c r="B225" s="118" t="s">
        <v>939</v>
      </c>
      <c r="C225" s="661"/>
      <c r="D225" s="662">
        <f t="shared" si="2582"/>
        <v>0</v>
      </c>
      <c r="E225" s="661"/>
      <c r="F225" s="662">
        <f t="shared" si="2582"/>
        <v>0</v>
      </c>
      <c r="G225" s="661">
        <f>SUM(Калькулятор_жилье!M166:M180)</f>
        <v>342277905.89599437</v>
      </c>
      <c r="H225" s="662">
        <f t="shared" ref="H225" si="3024">IF(G225=0,0,G225/G$4)</f>
        <v>8199.2875927871846</v>
      </c>
      <c r="I225" s="661">
        <f>SUM(Калькулятор_жилье!N166:N180)</f>
        <v>220111022.56080872</v>
      </c>
      <c r="J225" s="662">
        <f t="shared" ref="J225" si="3025">IF(I225=0,0,I225/I$4)</f>
        <v>7501.222325367281</v>
      </c>
      <c r="K225" s="661">
        <f>SUM(Калькулятор_жилье!O166:O180)</f>
        <v>342277905.89599437</v>
      </c>
      <c r="L225" s="662">
        <f t="shared" ref="L225" si="3026">IF(K225=0,0,K225/K$4)</f>
        <v>8039.4229056061977</v>
      </c>
      <c r="M225" s="661">
        <f>SUM(Калькулятор_жилье!P166:P180)</f>
        <v>31306671.622818094</v>
      </c>
      <c r="N225" s="662">
        <f t="shared" ref="N225" si="3027">IF(M225=0,0,M225/M$4)</f>
        <v>7269.1259456715179</v>
      </c>
      <c r="O225" s="661">
        <f>SUM(Калькулятор_жилье!Q166:Q180)</f>
        <v>0</v>
      </c>
      <c r="P225" s="662">
        <f t="shared" ref="P225" si="3028">IF(O225=0,0,O225/O$4)</f>
        <v>0</v>
      </c>
      <c r="Q225" s="661">
        <f>SUM(Калькулятор_жилье!R166:R180)</f>
        <v>0</v>
      </c>
      <c r="R225" s="662">
        <f t="shared" ref="R225" si="3029">IF(Q225=0,0,Q225/Q$4)</f>
        <v>0</v>
      </c>
      <c r="S225" s="661">
        <f>SUM(Калькулятор_жилье!S166:S180)</f>
        <v>0</v>
      </c>
      <c r="T225" s="662">
        <f t="shared" ref="T225" si="3030">IF(S225=0,0,S225/S$4)</f>
        <v>0</v>
      </c>
      <c r="U225" s="661">
        <f>SUM(Калькулятор_жилье!T166:T180)</f>
        <v>0</v>
      </c>
      <c r="V225" s="662">
        <f t="shared" ref="V225" si="3031">IF(U225=0,0,U225/U$4)</f>
        <v>0</v>
      </c>
      <c r="W225" s="661">
        <f>SUM(Калькулятор_жилье!U166:U180)</f>
        <v>0</v>
      </c>
      <c r="X225" s="662">
        <f t="shared" ref="X225" si="3032">IF(W225=0,0,W225/W$4)</f>
        <v>0</v>
      </c>
      <c r="Y225" s="661">
        <f>SUM(Калькулятор_жилье!V166:V180)</f>
        <v>0</v>
      </c>
      <c r="Z225" s="662">
        <f t="shared" ref="Z225" si="3033">IF(Y225=0,0,Y225/Y$4)</f>
        <v>0</v>
      </c>
      <c r="AA225" s="661">
        <f>SUM(Калькулятор_жилье!W166:W180)</f>
        <v>0</v>
      </c>
      <c r="AB225" s="662">
        <f t="shared" ref="AB225" si="3034">IF(AA225=0,0,AA225/AA$4)</f>
        <v>0</v>
      </c>
      <c r="AC225" s="661">
        <f t="shared" ref="AC225:AC236" si="3035">C225+E225+G225+I225+K225+M225+O225+Q225+S225+U225+W225+AA225+Y225</f>
        <v>935973505.97561562</v>
      </c>
      <c r="AD225" s="662">
        <f t="shared" ref="AD225" si="3036">IF(AC225=0,0,AC225/AC$4)</f>
        <v>5813.0334193920608</v>
      </c>
      <c r="AE225" s="665"/>
      <c r="AF225" s="114"/>
      <c r="AG225" s="114"/>
      <c r="AH225" s="114"/>
      <c r="AI225" s="114"/>
      <c r="AJ225" s="114"/>
    </row>
    <row r="226" spans="1:36" s="68" customFormat="1" hidden="1" outlineLevel="4">
      <c r="A226" s="245"/>
      <c r="B226" s="246" t="s">
        <v>419</v>
      </c>
      <c r="C226" s="663"/>
      <c r="D226" s="664">
        <f t="shared" si="2582"/>
        <v>0</v>
      </c>
      <c r="E226" s="663"/>
      <c r="F226" s="664">
        <f t="shared" si="2582"/>
        <v>0</v>
      </c>
      <c r="G226" s="663">
        <f>G225-G227*курс</f>
        <v>54922631.787804723</v>
      </c>
      <c r="H226" s="664">
        <f t="shared" ref="H226" si="3037">IF(G226=0,0,G226/G$4)</f>
        <v>1315.6749110116498</v>
      </c>
      <c r="I226" s="663">
        <f>I225-I227*курс</f>
        <v>35319477.057388276</v>
      </c>
      <c r="J226" s="664">
        <f t="shared" ref="J226" si="3038">IF(I226=0,0,I226/I$4)</f>
        <v>1203.6618918072822</v>
      </c>
      <c r="K226" s="663">
        <f>K225-K227*курс</f>
        <v>54922631.787804723</v>
      </c>
      <c r="L226" s="664">
        <f t="shared" ref="L226" si="3039">IF(K226=0,0,K226/K$4)</f>
        <v>1290.0226874860628</v>
      </c>
      <c r="M226" s="663">
        <f>M225-M227*курс</f>
        <v>5023534.2931080945</v>
      </c>
      <c r="N226" s="664">
        <f t="shared" ref="N226" si="3040">IF(M226=0,0,M226/M$4)</f>
        <v>1166.4192191669208</v>
      </c>
      <c r="O226" s="663">
        <f>O225-O227*курс</f>
        <v>0</v>
      </c>
      <c r="P226" s="664">
        <f t="shared" ref="P226" si="3041">IF(O226=0,0,O226/O$4)</f>
        <v>0</v>
      </c>
      <c r="Q226" s="663">
        <f>Q225-Q227*курс</f>
        <v>0</v>
      </c>
      <c r="R226" s="664">
        <f t="shared" ref="R226" si="3042">IF(Q226=0,0,Q226/Q$4)</f>
        <v>0</v>
      </c>
      <c r="S226" s="663">
        <f>S225-S227*курс</f>
        <v>0</v>
      </c>
      <c r="T226" s="664">
        <f t="shared" ref="T226" si="3043">IF(S226=0,0,S226/S$4)</f>
        <v>0</v>
      </c>
      <c r="U226" s="663">
        <f>U225-U227*курс</f>
        <v>0</v>
      </c>
      <c r="V226" s="664">
        <f t="shared" ref="V226" si="3044">IF(U226=0,0,U226/U$4)</f>
        <v>0</v>
      </c>
      <c r="W226" s="663">
        <f>W225-W227*курс</f>
        <v>0</v>
      </c>
      <c r="X226" s="664">
        <f t="shared" ref="X226" si="3045">IF(W226=0,0,W226/W$4)</f>
        <v>0</v>
      </c>
      <c r="Y226" s="663">
        <f>Y225-Y227*курс</f>
        <v>0</v>
      </c>
      <c r="Z226" s="664">
        <f t="shared" ref="Z226" si="3046">IF(Y226=0,0,Y226/Y$4)</f>
        <v>0</v>
      </c>
      <c r="AA226" s="663">
        <f>AA225-AA227*курс</f>
        <v>0</v>
      </c>
      <c r="AB226" s="664">
        <f t="shared" ref="AB226" si="3047">IF(AA226=0,0,AA226/AA$4)</f>
        <v>0</v>
      </c>
      <c r="AC226" s="663">
        <f t="shared" si="3035"/>
        <v>150188274.92610583</v>
      </c>
      <c r="AD226" s="664">
        <f t="shared" ref="AD226" si="3048">IF(AC226=0,0,AC226/AC$4)</f>
        <v>932.77155365233273</v>
      </c>
      <c r="AE226" s="665"/>
      <c r="AF226" s="114"/>
      <c r="AG226" s="114"/>
      <c r="AH226" s="114"/>
      <c r="AI226" s="114"/>
      <c r="AJ226" s="114"/>
    </row>
    <row r="227" spans="1:36" s="68" customFormat="1" hidden="1" outlineLevel="4">
      <c r="A227" s="245"/>
      <c r="B227" s="246" t="s">
        <v>420</v>
      </c>
      <c r="C227" s="663"/>
      <c r="D227" s="664">
        <f t="shared" si="2582"/>
        <v>0</v>
      </c>
      <c r="E227" s="663"/>
      <c r="F227" s="664">
        <f t="shared" si="2582"/>
        <v>0</v>
      </c>
      <c r="G227" s="663">
        <f>SUM(Калькулятор_жилье!AB166:AB180)</f>
        <v>3288130.0410472578</v>
      </c>
      <c r="H227" s="664">
        <f t="shared" ref="H227" si="3049">IF(G227=0,0,G227/G$4)</f>
        <v>78.767350695495495</v>
      </c>
      <c r="I227" s="663">
        <f>SUM(Калькулятор_жилье!AC166:AC180)</f>
        <v>2114520.5494734677</v>
      </c>
      <c r="J227" s="664">
        <f t="shared" ref="J227" si="3050">IF(I227=0,0,I227/I$4)</f>
        <v>72.061310554205946</v>
      </c>
      <c r="K227" s="663">
        <f>SUM(Калькулятор_жилье!AD166:AD180)</f>
        <v>3288130.0410472578</v>
      </c>
      <c r="L227" s="664">
        <f t="shared" ref="L227" si="3051">IF(K227=0,0,K227/K$4)</f>
        <v>77.231593138938081</v>
      </c>
      <c r="M227" s="663">
        <f>SUM(Калькулятор_жилье!AE166:AE180)</f>
        <v>300750.95609434304</v>
      </c>
      <c r="N227" s="664">
        <f t="shared" ref="N227" si="3052">IF(M227=0,0,M227/M$4)</f>
        <v>69.831651363969314</v>
      </c>
      <c r="O227" s="663">
        <f>SUM(Калькулятор_жилье!AF166:AF180)</f>
        <v>0</v>
      </c>
      <c r="P227" s="664">
        <f t="shared" ref="P227" si="3053">IF(O227=0,0,O227/O$4)</f>
        <v>0</v>
      </c>
      <c r="Q227" s="663">
        <f>SUM(Калькулятор_жилье!AG166:AG180)</f>
        <v>0</v>
      </c>
      <c r="R227" s="664">
        <f t="shared" ref="R227" si="3054">IF(Q227=0,0,Q227/Q$4)</f>
        <v>0</v>
      </c>
      <c r="S227" s="663">
        <f>SUM(Калькулятор_жилье!AH166:AH180)</f>
        <v>0</v>
      </c>
      <c r="T227" s="664">
        <f t="shared" ref="T227" si="3055">IF(S227=0,0,S227/S$4)</f>
        <v>0</v>
      </c>
      <c r="U227" s="663">
        <f>SUM(Калькулятор_жилье!AI166:AI180)</f>
        <v>0</v>
      </c>
      <c r="V227" s="664">
        <f t="shared" ref="V227" si="3056">IF(U227=0,0,U227/U$4)</f>
        <v>0</v>
      </c>
      <c r="W227" s="663">
        <f>SUM(Калькулятор_жилье!AJ166:AJ180)</f>
        <v>0</v>
      </c>
      <c r="X227" s="664">
        <f t="shared" ref="X227" si="3057">IF(W227=0,0,W227/W$4)</f>
        <v>0</v>
      </c>
      <c r="Y227" s="663">
        <f>SUM(Калькулятор_жилье!AK166:AK180)</f>
        <v>0</v>
      </c>
      <c r="Z227" s="664">
        <f t="shared" ref="Z227" si="3058">IF(Y227=0,0,Y227/Y$4)</f>
        <v>0</v>
      </c>
      <c r="AA227" s="663">
        <f>SUM(Калькулятор_жилье!AL166:AL180)</f>
        <v>0</v>
      </c>
      <c r="AB227" s="664">
        <f t="shared" ref="AB227" si="3059">IF(AA227=0,0,AA227/AA$4)</f>
        <v>0</v>
      </c>
      <c r="AC227" s="663">
        <f t="shared" si="3035"/>
        <v>8991531.5876623262</v>
      </c>
      <c r="AD227" s="664">
        <f t="shared" ref="AD227" si="3060">IF(AC227=0,0,AC227/AC$4)</f>
        <v>55.843539669553607</v>
      </c>
      <c r="AE227" s="665"/>
      <c r="AF227" s="114"/>
      <c r="AG227" s="114"/>
      <c r="AH227" s="114"/>
      <c r="AI227" s="114"/>
      <c r="AJ227" s="114"/>
    </row>
    <row r="228" spans="1:36" s="68" customFormat="1" hidden="1" outlineLevel="3" collapsed="1">
      <c r="A228" s="117"/>
      <c r="B228" s="118" t="s">
        <v>944</v>
      </c>
      <c r="C228" s="661"/>
      <c r="D228" s="662">
        <f t="shared" si="2582"/>
        <v>0</v>
      </c>
      <c r="E228" s="661"/>
      <c r="F228" s="662">
        <f t="shared" si="2582"/>
        <v>0</v>
      </c>
      <c r="G228" s="661">
        <f>SUM(Калькулятор_жилье!M204:M208)</f>
        <v>15652561.152857004</v>
      </c>
      <c r="H228" s="662">
        <f t="shared" ref="H228" si="3061">IF(G228=0,0,G228/G$4)</f>
        <v>374.95803335597373</v>
      </c>
      <c r="I228" s="661">
        <f>SUM(Калькулятор_жилье!N204:N208)</f>
        <v>11767313.269212833</v>
      </c>
      <c r="J228" s="662">
        <f t="shared" ref="J228" si="3062">IF(I228=0,0,I228/I$4)</f>
        <v>401.02141172972995</v>
      </c>
      <c r="K228" s="661">
        <f>SUM(Калькулятор_жилье!O204:O208)</f>
        <v>16479488.911875863</v>
      </c>
      <c r="L228" s="662">
        <f t="shared" ref="L228" si="3063">IF(K228=0,0,K228/K$4)</f>
        <v>387.07020917404947</v>
      </c>
      <c r="M228" s="661">
        <f>SUM(Калькулятор_жилье!P204:P208)</f>
        <v>15652561.152857004</v>
      </c>
      <c r="N228" s="662">
        <f t="shared" ref="N228" si="3064">IF(M228=0,0,M228/M$4)</f>
        <v>3634.3831041276594</v>
      </c>
      <c r="O228" s="661">
        <f>SUM(Калькулятор_жилье!Q204:Q208)</f>
        <v>0</v>
      </c>
      <c r="P228" s="662">
        <f t="shared" ref="P228" si="3065">IF(O228=0,0,O228/O$4)</f>
        <v>0</v>
      </c>
      <c r="Q228" s="661">
        <f>SUM(Калькулятор_жилье!R204:R208)</f>
        <v>0</v>
      </c>
      <c r="R228" s="662">
        <f t="shared" ref="R228" si="3066">IF(Q228=0,0,Q228/Q$4)</f>
        <v>0</v>
      </c>
      <c r="S228" s="661">
        <f>SUM(Калькулятор_жилье!S204:S208)</f>
        <v>0</v>
      </c>
      <c r="T228" s="662">
        <f t="shared" ref="T228" si="3067">IF(S228=0,0,S228/S$4)</f>
        <v>0</v>
      </c>
      <c r="U228" s="661">
        <f>SUM(Калькулятор_жилье!T204:T208)</f>
        <v>0</v>
      </c>
      <c r="V228" s="662">
        <f t="shared" ref="V228" si="3068">IF(U228=0,0,U228/U$4)</f>
        <v>0</v>
      </c>
      <c r="W228" s="661">
        <f>SUM(Калькулятор_жилье!U204:U208)</f>
        <v>0</v>
      </c>
      <c r="X228" s="662">
        <f t="shared" ref="X228" si="3069">IF(W228=0,0,W228/W$4)</f>
        <v>0</v>
      </c>
      <c r="Y228" s="661">
        <f>SUM(Калькулятор_жилье!V204:V208)</f>
        <v>0</v>
      </c>
      <c r="Z228" s="662">
        <f t="shared" ref="Z228" si="3070">IF(Y228=0,0,Y228/Y$4)</f>
        <v>0</v>
      </c>
      <c r="AA228" s="661">
        <f>SUM(Калькулятор_жилье!W204:W208)</f>
        <v>0</v>
      </c>
      <c r="AB228" s="662">
        <f t="shared" ref="AB228" si="3071">IF(AA228=0,0,AA228/AA$4)</f>
        <v>0</v>
      </c>
      <c r="AC228" s="661">
        <f t="shared" si="3035"/>
        <v>59551924.486802705</v>
      </c>
      <c r="AD228" s="662">
        <f t="shared" ref="AD228" si="3072">IF(AC228=0,0,AC228/AC$4)</f>
        <v>369.85804087484001</v>
      </c>
      <c r="AE228" s="665"/>
      <c r="AF228" s="114"/>
      <c r="AG228" s="114"/>
      <c r="AH228" s="114"/>
      <c r="AI228" s="114"/>
      <c r="AJ228" s="114"/>
    </row>
    <row r="229" spans="1:36" s="68" customFormat="1" hidden="1" outlineLevel="4">
      <c r="A229" s="245"/>
      <c r="B229" s="246" t="s">
        <v>419</v>
      </c>
      <c r="C229" s="663"/>
      <c r="D229" s="664">
        <f t="shared" si="2582"/>
        <v>0</v>
      </c>
      <c r="E229" s="663"/>
      <c r="F229" s="664">
        <f t="shared" si="2582"/>
        <v>0</v>
      </c>
      <c r="G229" s="663">
        <f>G228-G230*курс</f>
        <v>15652561.152857004</v>
      </c>
      <c r="H229" s="664">
        <f t="shared" ref="H229" si="3073">IF(G229=0,0,G229/G$4)</f>
        <v>374.95803335597373</v>
      </c>
      <c r="I229" s="663">
        <f>I228-G230*курс</f>
        <v>11767313.269212833</v>
      </c>
      <c r="J229" s="664">
        <f t="shared" ref="J229" si="3074">IF(I229=0,0,I229/I$4)</f>
        <v>401.02141172972995</v>
      </c>
      <c r="K229" s="663">
        <f>K228-I230*курс</f>
        <v>16479488.911875863</v>
      </c>
      <c r="L229" s="664">
        <f t="shared" ref="L229" si="3075">IF(K229=0,0,K229/K$4)</f>
        <v>387.07020917404947</v>
      </c>
      <c r="M229" s="663">
        <f>M228-K230*курс</f>
        <v>15652561.152857004</v>
      </c>
      <c r="N229" s="664">
        <f t="shared" ref="N229" si="3076">IF(M229=0,0,M229/M$4)</f>
        <v>3634.3831041276594</v>
      </c>
      <c r="O229" s="663">
        <f>O228-M230*курс</f>
        <v>0</v>
      </c>
      <c r="P229" s="664">
        <f t="shared" ref="P229" si="3077">IF(O229=0,0,O229/O$4)</f>
        <v>0</v>
      </c>
      <c r="Q229" s="663">
        <f>Q228-O230*курс</f>
        <v>0</v>
      </c>
      <c r="R229" s="664">
        <f t="shared" ref="R229" si="3078">IF(Q229=0,0,Q229/Q$4)</f>
        <v>0</v>
      </c>
      <c r="S229" s="663">
        <f>S228-Q230*курс</f>
        <v>0</v>
      </c>
      <c r="T229" s="664">
        <f t="shared" ref="T229" si="3079">IF(S229=0,0,S229/S$4)</f>
        <v>0</v>
      </c>
      <c r="U229" s="663">
        <f>U228-S230*курс</f>
        <v>0</v>
      </c>
      <c r="V229" s="664">
        <f t="shared" ref="V229" si="3080">IF(U229=0,0,U229/U$4)</f>
        <v>0</v>
      </c>
      <c r="W229" s="663">
        <f>W228-U230*курс</f>
        <v>0</v>
      </c>
      <c r="X229" s="664">
        <f t="shared" ref="X229" si="3081">IF(W229=0,0,W229/W$4)</f>
        <v>0</v>
      </c>
      <c r="Y229" s="663">
        <f>Y228-W230*курс</f>
        <v>0</v>
      </c>
      <c r="Z229" s="664">
        <f t="shared" ref="Z229" si="3082">IF(Y229=0,0,Y229/Y$4)</f>
        <v>0</v>
      </c>
      <c r="AA229" s="663">
        <f>AA228-Y230*курс</f>
        <v>0</v>
      </c>
      <c r="AB229" s="664">
        <f t="shared" ref="AB229" si="3083">IF(AA229=0,0,AA229/AA$4)</f>
        <v>0</v>
      </c>
      <c r="AC229" s="663">
        <f t="shared" si="3035"/>
        <v>59551924.486802705</v>
      </c>
      <c r="AD229" s="664">
        <f t="shared" ref="AD229" si="3084">IF(AC229=0,0,AC229/AC$4)</f>
        <v>369.85804087484001</v>
      </c>
      <c r="AE229" s="665"/>
      <c r="AF229" s="114"/>
      <c r="AG229" s="114"/>
      <c r="AH229" s="114"/>
      <c r="AI229" s="114"/>
      <c r="AJ229" s="114"/>
    </row>
    <row r="230" spans="1:36" s="68" customFormat="1" hidden="1" outlineLevel="4">
      <c r="A230" s="245"/>
      <c r="B230" s="246" t="s">
        <v>420</v>
      </c>
      <c r="C230" s="663"/>
      <c r="D230" s="664">
        <f t="shared" si="2582"/>
        <v>0</v>
      </c>
      <c r="E230" s="663"/>
      <c r="F230" s="664">
        <f t="shared" si="2582"/>
        <v>0</v>
      </c>
      <c r="G230" s="663">
        <f>SUM(Калькулятор_жилье!AC204:AC208)</f>
        <v>0</v>
      </c>
      <c r="H230" s="664">
        <f t="shared" ref="H230" si="3085">IF(G230=0,0,G230/G$4)</f>
        <v>0</v>
      </c>
      <c r="I230" s="663">
        <f>SUM(Калькулятор_жилье!AD204:AD208)</f>
        <v>0</v>
      </c>
      <c r="J230" s="664">
        <f t="shared" ref="J230" si="3086">IF(I230=0,0,I230/I$4)</f>
        <v>0</v>
      </c>
      <c r="K230" s="663">
        <f>SUM(Калькулятор_жилье!AE204:AE208)</f>
        <v>0</v>
      </c>
      <c r="L230" s="664">
        <f t="shared" ref="L230" si="3087">IF(K230=0,0,K230/K$4)</f>
        <v>0</v>
      </c>
      <c r="M230" s="663">
        <f>SUM(Калькулятор_жилье!AF204:AF208)</f>
        <v>0</v>
      </c>
      <c r="N230" s="664">
        <f t="shared" ref="N230" si="3088">IF(M230=0,0,M230/M$4)</f>
        <v>0</v>
      </c>
      <c r="O230" s="663">
        <f>SUM(Калькулятор_жилье!AG204:AG208)</f>
        <v>0</v>
      </c>
      <c r="P230" s="664">
        <f t="shared" ref="P230" si="3089">IF(O230=0,0,O230/O$4)</f>
        <v>0</v>
      </c>
      <c r="Q230" s="663">
        <f>SUM(Калькулятор_жилье!AH204:AH208)</f>
        <v>0</v>
      </c>
      <c r="R230" s="664">
        <f t="shared" ref="R230" si="3090">IF(Q230=0,0,Q230/Q$4)</f>
        <v>0</v>
      </c>
      <c r="S230" s="663">
        <f>SUM(Калькулятор_жилье!AI204:AI208)</f>
        <v>0</v>
      </c>
      <c r="T230" s="664">
        <f t="shared" ref="T230" si="3091">IF(S230=0,0,S230/S$4)</f>
        <v>0</v>
      </c>
      <c r="U230" s="663">
        <f>SUM(Калькулятор_жилье!AJ204:AJ208)</f>
        <v>0</v>
      </c>
      <c r="V230" s="664">
        <f t="shared" ref="V230" si="3092">IF(U230=0,0,U230/U$4)</f>
        <v>0</v>
      </c>
      <c r="W230" s="663">
        <f>SUM(Калькулятор_жилье!AK204:AK208)</f>
        <v>0</v>
      </c>
      <c r="X230" s="664">
        <f t="shared" ref="X230" si="3093">IF(W230=0,0,W230/W$4)</f>
        <v>0</v>
      </c>
      <c r="Y230" s="663">
        <f>SUM(Калькулятор_жилье!AL204:AL208)</f>
        <v>0</v>
      </c>
      <c r="Z230" s="664">
        <f t="shared" ref="Z230" si="3094">IF(Y230=0,0,Y230/Y$4)</f>
        <v>0</v>
      </c>
      <c r="AA230" s="663">
        <f>SUM(Калькулятор_жилье!AM204:AM208)</f>
        <v>0</v>
      </c>
      <c r="AB230" s="664">
        <f t="shared" ref="AB230" si="3095">IF(AA230=0,0,AA230/AA$4)</f>
        <v>0</v>
      </c>
      <c r="AC230" s="663">
        <f t="shared" si="3035"/>
        <v>0</v>
      </c>
      <c r="AD230" s="664">
        <f t="shared" ref="AD230" si="3096">IF(AC230=0,0,AC230/AC$4)</f>
        <v>0</v>
      </c>
      <c r="AE230" s="665"/>
      <c r="AF230" s="114"/>
      <c r="AG230" s="114"/>
      <c r="AH230" s="114"/>
    </row>
    <row r="231" spans="1:36" s="68" customFormat="1" hidden="1" outlineLevel="3" collapsed="1">
      <c r="A231" s="117"/>
      <c r="B231" s="118" t="s">
        <v>937</v>
      </c>
      <c r="C231" s="661"/>
      <c r="D231" s="662">
        <f t="shared" si="2582"/>
        <v>0</v>
      </c>
      <c r="E231" s="661"/>
      <c r="F231" s="662">
        <f t="shared" si="2582"/>
        <v>0</v>
      </c>
      <c r="G231" s="661">
        <f>SUM(Калькулятор_жилье!M181:M183)</f>
        <v>152228049.00376102</v>
      </c>
      <c r="H231" s="662">
        <f t="shared" ref="H231" si="3097">IF(G231=0,0,G231/G$4)</f>
        <v>3646.6319676795247</v>
      </c>
      <c r="I231" s="661">
        <f>SUM(Калькулятор_жилье!N181:N183)</f>
        <v>97894345.359341726</v>
      </c>
      <c r="J231" s="662">
        <f t="shared" ref="J231" si="3098">IF(I231=0,0,I231/I$4)</f>
        <v>3336.1675412408799</v>
      </c>
      <c r="K231" s="661">
        <f>SUM(Калькулятор_жилье!O181:O183)</f>
        <v>152228049.00376102</v>
      </c>
      <c r="L231" s="662">
        <f t="shared" ref="L231" si="3099">IF(K231=0,0,K231/K$4)</f>
        <v>3575.5321712423197</v>
      </c>
      <c r="M231" s="661">
        <f>SUM(Калькулятор_жилье!P181:P183)</f>
        <v>13923637.663574887</v>
      </c>
      <c r="N231" s="662">
        <f t="shared" ref="N231" si="3100">IF(M231=0,0,M231/M$4)</f>
        <v>3232.9427100341059</v>
      </c>
      <c r="O231" s="661">
        <f>SUM(Калькулятор_жилье!Q181:Q183)</f>
        <v>0</v>
      </c>
      <c r="P231" s="662">
        <f t="shared" ref="P231" si="3101">IF(O231=0,0,O231/O$4)</f>
        <v>0</v>
      </c>
      <c r="Q231" s="661">
        <f>SUM(Калькулятор_жилье!R181:R183)</f>
        <v>0</v>
      </c>
      <c r="R231" s="662">
        <f t="shared" ref="R231" si="3102">IF(Q231=0,0,Q231/Q$4)</f>
        <v>0</v>
      </c>
      <c r="S231" s="661">
        <f>SUM(Калькулятор_жилье!S181:S183)</f>
        <v>0</v>
      </c>
      <c r="T231" s="662">
        <f t="shared" ref="T231" si="3103">IF(S231=0,0,S231/S$4)</f>
        <v>0</v>
      </c>
      <c r="U231" s="661">
        <f>SUM(Калькулятор_жилье!T181:T183)</f>
        <v>0</v>
      </c>
      <c r="V231" s="662">
        <f t="shared" ref="V231" si="3104">IF(U231=0,0,U231/U$4)</f>
        <v>0</v>
      </c>
      <c r="W231" s="661">
        <f>SUM(Калькулятор_жилье!U181:U183)</f>
        <v>0</v>
      </c>
      <c r="X231" s="662">
        <f t="shared" ref="X231" si="3105">IF(W231=0,0,W231/W$4)</f>
        <v>0</v>
      </c>
      <c r="Y231" s="661">
        <f>SUM(Калькулятор_жилье!V181:V183)</f>
        <v>0</v>
      </c>
      <c r="Z231" s="662">
        <f t="shared" ref="Z231" si="3106">IF(Y231=0,0,Y231/Y$4)</f>
        <v>0</v>
      </c>
      <c r="AA231" s="661">
        <f>SUM(Калькулятор_жилье!W181:W183)</f>
        <v>0</v>
      </c>
      <c r="AB231" s="662">
        <f t="shared" ref="AB231" si="3107">IF(AA231=0,0,AA231/AA$4)</f>
        <v>0</v>
      </c>
      <c r="AC231" s="661">
        <f t="shared" si="3035"/>
        <v>416274081.0304386</v>
      </c>
      <c r="AD231" s="662">
        <f t="shared" ref="AD231" si="3108">IF(AC231=0,0,AC231/AC$4)</f>
        <v>2585.3457701608281</v>
      </c>
      <c r="AE231" s="665"/>
      <c r="AF231" s="114"/>
      <c r="AG231" s="114"/>
      <c r="AH231" s="114"/>
      <c r="AI231" s="114"/>
      <c r="AJ231" s="114"/>
    </row>
    <row r="232" spans="1:36" s="68" customFormat="1" hidden="1" outlineLevel="4">
      <c r="A232" s="245"/>
      <c r="B232" s="246" t="s">
        <v>419</v>
      </c>
      <c r="C232" s="663"/>
      <c r="D232" s="664">
        <f t="shared" si="2582"/>
        <v>0</v>
      </c>
      <c r="E232" s="663"/>
      <c r="F232" s="664">
        <f t="shared" si="2582"/>
        <v>0</v>
      </c>
      <c r="G232" s="663">
        <f>G231-G233*курс</f>
        <v>152228049.00376102</v>
      </c>
      <c r="H232" s="664">
        <f t="shared" ref="H232" si="3109">IF(G232=0,0,G232/G$4)</f>
        <v>3646.6319676795247</v>
      </c>
      <c r="I232" s="663">
        <f>I231-I233*курс</f>
        <v>97894345.359341726</v>
      </c>
      <c r="J232" s="664">
        <f t="shared" ref="J232" si="3110">IF(I232=0,0,I232/I$4)</f>
        <v>3336.1675412408799</v>
      </c>
      <c r="K232" s="663">
        <f>K231-K233*курс</f>
        <v>152228049.00376102</v>
      </c>
      <c r="L232" s="664">
        <f t="shared" ref="L232" si="3111">IF(K232=0,0,K232/K$4)</f>
        <v>3575.5321712423197</v>
      </c>
      <c r="M232" s="663">
        <f>M231-M233*курс</f>
        <v>13923637.663574887</v>
      </c>
      <c r="N232" s="664">
        <f t="shared" ref="N232" si="3112">IF(M232=0,0,M232/M$4)</f>
        <v>3232.9427100341059</v>
      </c>
      <c r="O232" s="663">
        <f>O231-O233*курс</f>
        <v>0</v>
      </c>
      <c r="P232" s="664">
        <f t="shared" ref="P232" si="3113">IF(O232=0,0,O232/O$4)</f>
        <v>0</v>
      </c>
      <c r="Q232" s="663">
        <f>Q231-Q233*курс</f>
        <v>0</v>
      </c>
      <c r="R232" s="664">
        <f t="shared" ref="R232" si="3114">IF(Q232=0,0,Q232/Q$4)</f>
        <v>0</v>
      </c>
      <c r="S232" s="663">
        <f>S231-S233*курс</f>
        <v>0</v>
      </c>
      <c r="T232" s="664">
        <f t="shared" ref="T232" si="3115">IF(S232=0,0,S232/S$4)</f>
        <v>0</v>
      </c>
      <c r="U232" s="663">
        <f>U231-U233*курс</f>
        <v>0</v>
      </c>
      <c r="V232" s="664">
        <f t="shared" ref="V232" si="3116">IF(U232=0,0,U232/U$4)</f>
        <v>0</v>
      </c>
      <c r="W232" s="663">
        <f>W231-W233*курс</f>
        <v>0</v>
      </c>
      <c r="X232" s="664">
        <f t="shared" ref="X232" si="3117">IF(W232=0,0,W232/W$4)</f>
        <v>0</v>
      </c>
      <c r="Y232" s="663">
        <f>Y231-Y233*курс</f>
        <v>0</v>
      </c>
      <c r="Z232" s="664">
        <f t="shared" ref="Z232" si="3118">IF(Y232=0,0,Y232/Y$4)</f>
        <v>0</v>
      </c>
      <c r="AA232" s="663">
        <f>AA231-AA233*курс</f>
        <v>0</v>
      </c>
      <c r="AB232" s="664">
        <f t="shared" ref="AB232" si="3119">IF(AA232=0,0,AA232/AA$4)</f>
        <v>0</v>
      </c>
      <c r="AC232" s="663">
        <f t="shared" ref="AC232:AC233" si="3120">C232+E232+G232+I232+K232+M232+O232+Q232+S232+U232+W232+AA232+Y232</f>
        <v>416274081.0304386</v>
      </c>
      <c r="AD232" s="664">
        <f t="shared" ref="AD232" si="3121">IF(AC232=0,0,AC232/AC$4)</f>
        <v>2585.3457701608281</v>
      </c>
      <c r="AE232" s="665"/>
      <c r="AF232" s="114"/>
      <c r="AG232" s="114"/>
      <c r="AH232" s="114"/>
      <c r="AI232" s="114"/>
      <c r="AJ232" s="114"/>
    </row>
    <row r="233" spans="1:36" s="68" customFormat="1" hidden="1" outlineLevel="4">
      <c r="A233" s="245"/>
      <c r="B233" s="246" t="s">
        <v>420</v>
      </c>
      <c r="C233" s="663"/>
      <c r="D233" s="664">
        <f t="shared" si="2582"/>
        <v>0</v>
      </c>
      <c r="E233" s="663"/>
      <c r="F233" s="664">
        <f t="shared" si="2582"/>
        <v>0</v>
      </c>
      <c r="G233" s="663">
        <f>Калькулятор_жилье!AC183</f>
        <v>0</v>
      </c>
      <c r="H233" s="664">
        <f t="shared" ref="H233" si="3122">IF(G233=0,0,G233/G$4)</f>
        <v>0</v>
      </c>
      <c r="I233" s="663">
        <f>Калькулятор_жилье!AD183</f>
        <v>0</v>
      </c>
      <c r="J233" s="664">
        <f t="shared" ref="J233" si="3123">IF(I233=0,0,I233/I$4)</f>
        <v>0</v>
      </c>
      <c r="K233" s="663">
        <f>Калькулятор_жилье!AE183</f>
        <v>0</v>
      </c>
      <c r="L233" s="664">
        <f t="shared" ref="L233" si="3124">IF(K233=0,0,K233/K$4)</f>
        <v>0</v>
      </c>
      <c r="M233" s="663">
        <f>Калькулятор_жилье!AF183</f>
        <v>0</v>
      </c>
      <c r="N233" s="664">
        <f t="shared" ref="N233" si="3125">IF(M233=0,0,M233/M$4)</f>
        <v>0</v>
      </c>
      <c r="O233" s="663">
        <f>Калькулятор_жилье!AG183</f>
        <v>0</v>
      </c>
      <c r="P233" s="664">
        <f t="shared" ref="P233" si="3126">IF(O233=0,0,O233/O$4)</f>
        <v>0</v>
      </c>
      <c r="Q233" s="663">
        <f>Калькулятор_жилье!AH183</f>
        <v>0</v>
      </c>
      <c r="R233" s="664">
        <f t="shared" ref="R233" si="3127">IF(Q233=0,0,Q233/Q$4)</f>
        <v>0</v>
      </c>
      <c r="S233" s="663">
        <f>Калькулятор_жилье!AI183</f>
        <v>0</v>
      </c>
      <c r="T233" s="664">
        <f t="shared" ref="T233" si="3128">IF(S233=0,0,S233/S$4)</f>
        <v>0</v>
      </c>
      <c r="U233" s="663">
        <f>Калькулятор_жилье!AJ183</f>
        <v>0</v>
      </c>
      <c r="V233" s="664">
        <f t="shared" ref="V233" si="3129">IF(U233=0,0,U233/U$4)</f>
        <v>0</v>
      </c>
      <c r="W233" s="663">
        <f>Калькулятор_жилье!AK183</f>
        <v>0</v>
      </c>
      <c r="X233" s="664">
        <f t="shared" ref="X233" si="3130">IF(W233=0,0,W233/W$4)</f>
        <v>0</v>
      </c>
      <c r="Y233" s="663">
        <f>Калькулятор_жилье!AL183</f>
        <v>0</v>
      </c>
      <c r="Z233" s="664">
        <f t="shared" ref="Z233" si="3131">IF(Y233=0,0,Y233/Y$4)</f>
        <v>0</v>
      </c>
      <c r="AA233" s="663">
        <f>Калькулятор_жилье!AM183</f>
        <v>0</v>
      </c>
      <c r="AB233" s="664">
        <f t="shared" ref="AB233" si="3132">IF(AA233=0,0,AA233/AA$4)</f>
        <v>0</v>
      </c>
      <c r="AC233" s="663">
        <f t="shared" si="3120"/>
        <v>0</v>
      </c>
      <c r="AD233" s="664">
        <f t="shared" ref="AD233" si="3133">IF(AC233=0,0,AC233/AC$4)</f>
        <v>0</v>
      </c>
      <c r="AE233" s="665"/>
      <c r="AF233" s="114"/>
      <c r="AG233" s="114"/>
      <c r="AH233" s="114"/>
      <c r="AI233" s="114"/>
      <c r="AJ233" s="114"/>
    </row>
    <row r="234" spans="1:36" s="68" customFormat="1" hidden="1" outlineLevel="3" collapsed="1">
      <c r="A234" s="117"/>
      <c r="B234" s="118" t="s">
        <v>943</v>
      </c>
      <c r="C234" s="661"/>
      <c r="D234" s="662">
        <f t="shared" si="2582"/>
        <v>0</v>
      </c>
      <c r="E234" s="661"/>
      <c r="F234" s="662">
        <f t="shared" si="2582"/>
        <v>0</v>
      </c>
      <c r="G234" s="661">
        <f>SUM(Калькулятор_жилье!M209:M211)</f>
        <v>5984739.5992406318</v>
      </c>
      <c r="H234" s="662">
        <f t="shared" ref="H234" si="3134">IF(G234=0,0,G234/G$4)</f>
        <v>143.36479304342419</v>
      </c>
      <c r="I234" s="661">
        <f>SUM(Калькулятор_жилье!N209:N211)</f>
        <v>4499219.3297435855</v>
      </c>
      <c r="J234" s="662">
        <f t="shared" ref="J234" si="3135">IF(I234=0,0,I234/I$4)</f>
        <v>153.33009719525879</v>
      </c>
      <c r="K234" s="661">
        <f>SUM(Калькулятор_жилье!O209:O211)</f>
        <v>6300914.5214646645</v>
      </c>
      <c r="L234" s="662">
        <f t="shared" ref="L234" si="3136">IF(K234=0,0,K234/K$4)</f>
        <v>147.99587019070447</v>
      </c>
      <c r="M234" s="661">
        <f>SUM(Калькулятор_жилье!P209:P211)</f>
        <v>5984739.5992406318</v>
      </c>
      <c r="N234" s="662">
        <f t="shared" ref="N234" si="3137">IF(M234=0,0,M234/M$4)</f>
        <v>1389.6023960343252</v>
      </c>
      <c r="O234" s="661">
        <f>SUM(Калькулятор_жилье!Q209:Q211)</f>
        <v>0</v>
      </c>
      <c r="P234" s="662">
        <f t="shared" ref="P234" si="3138">IF(O234=0,0,O234/O$4)</f>
        <v>0</v>
      </c>
      <c r="Q234" s="661">
        <f>SUM(Калькулятор_жилье!R209:R211)</f>
        <v>0</v>
      </c>
      <c r="R234" s="662">
        <f t="shared" ref="R234" si="3139">IF(Q234=0,0,Q234/Q$4)</f>
        <v>0</v>
      </c>
      <c r="S234" s="661">
        <f>SUM(Калькулятор_жилье!S209:S211)</f>
        <v>0</v>
      </c>
      <c r="T234" s="662">
        <f t="shared" ref="T234" si="3140">IF(S234=0,0,S234/S$4)</f>
        <v>0</v>
      </c>
      <c r="U234" s="661">
        <f>SUM(Калькулятор_жилье!T209:T211)</f>
        <v>0</v>
      </c>
      <c r="V234" s="662">
        <f t="shared" ref="V234" si="3141">IF(U234=0,0,U234/U$4)</f>
        <v>0</v>
      </c>
      <c r="W234" s="661">
        <f>SUM(Калькулятор_жилье!U209:U211)</f>
        <v>0</v>
      </c>
      <c r="X234" s="662">
        <f t="shared" ref="X234" si="3142">IF(W234=0,0,W234/W$4)</f>
        <v>0</v>
      </c>
      <c r="Y234" s="661">
        <f>SUM(Калькулятор_жилье!V209:V211)</f>
        <v>0</v>
      </c>
      <c r="Z234" s="662">
        <f t="shared" ref="Z234" si="3143">IF(Y234=0,0,Y234/Y$4)</f>
        <v>0</v>
      </c>
      <c r="AA234" s="661">
        <f>SUM(Калькулятор_жилье!W209:W211)</f>
        <v>0</v>
      </c>
      <c r="AB234" s="662">
        <f t="shared" ref="AB234" si="3144">IF(AA234=0,0,AA234/AA$4)</f>
        <v>0</v>
      </c>
      <c r="AC234" s="661">
        <f t="shared" si="3035"/>
        <v>22769613.049689513</v>
      </c>
      <c r="AD234" s="662">
        <f t="shared" ref="AD234" si="3145">IF(AC234=0,0,AC234/AC$4)</f>
        <v>141.41481650861925</v>
      </c>
      <c r="AE234" s="665"/>
      <c r="AF234" s="114"/>
      <c r="AG234" s="114"/>
      <c r="AH234" s="114"/>
      <c r="AI234" s="114"/>
      <c r="AJ234" s="114"/>
    </row>
    <row r="235" spans="1:36" s="68" customFormat="1" hidden="1" outlineLevel="4">
      <c r="A235" s="245"/>
      <c r="B235" s="246" t="s">
        <v>419</v>
      </c>
      <c r="C235" s="663"/>
      <c r="D235" s="664">
        <f t="shared" si="2582"/>
        <v>0</v>
      </c>
      <c r="E235" s="663"/>
      <c r="F235" s="664">
        <f t="shared" si="2582"/>
        <v>0</v>
      </c>
      <c r="G235" s="663">
        <f>G234-G236*курс</f>
        <v>5984739.5992406318</v>
      </c>
      <c r="H235" s="664">
        <f t="shared" ref="H235" si="3146">IF(G235=0,0,G235/G$4)</f>
        <v>143.36479304342419</v>
      </c>
      <c r="I235" s="663">
        <f>I234-I236*курс</f>
        <v>4499219.3297435855</v>
      </c>
      <c r="J235" s="664">
        <f t="shared" ref="J235" si="3147">IF(I235=0,0,I235/I$4)</f>
        <v>153.33009719525879</v>
      </c>
      <c r="K235" s="663">
        <f>K234-K236*курс</f>
        <v>6300914.5214646645</v>
      </c>
      <c r="L235" s="664">
        <f t="shared" ref="L235" si="3148">IF(K235=0,0,K235/K$4)</f>
        <v>147.99587019070447</v>
      </c>
      <c r="M235" s="663">
        <f>M234-M236*курс</f>
        <v>5984739.5992406318</v>
      </c>
      <c r="N235" s="664">
        <f t="shared" ref="N235" si="3149">IF(M235=0,0,M235/M$4)</f>
        <v>1389.6023960343252</v>
      </c>
      <c r="O235" s="663">
        <f>O234-O236*курс</f>
        <v>0</v>
      </c>
      <c r="P235" s="664">
        <f t="shared" ref="P235" si="3150">IF(O235=0,0,O235/O$4)</f>
        <v>0</v>
      </c>
      <c r="Q235" s="663">
        <f>Q234-Q236*курс</f>
        <v>0</v>
      </c>
      <c r="R235" s="664">
        <f t="shared" ref="R235" si="3151">IF(Q235=0,0,Q235/Q$4)</f>
        <v>0</v>
      </c>
      <c r="S235" s="663">
        <f>S234-S236*курс</f>
        <v>0</v>
      </c>
      <c r="T235" s="664">
        <f t="shared" ref="T235" si="3152">IF(S235=0,0,S235/S$4)</f>
        <v>0</v>
      </c>
      <c r="U235" s="663">
        <f>U234-U236*курс</f>
        <v>0</v>
      </c>
      <c r="V235" s="664">
        <f t="shared" ref="V235" si="3153">IF(U235=0,0,U235/U$4)</f>
        <v>0</v>
      </c>
      <c r="W235" s="663">
        <f>W234-W236*курс</f>
        <v>0</v>
      </c>
      <c r="X235" s="664">
        <f t="shared" ref="X235" si="3154">IF(W235=0,0,W235/W$4)</f>
        <v>0</v>
      </c>
      <c r="Y235" s="663">
        <f>Y234-Y236*курс</f>
        <v>0</v>
      </c>
      <c r="Z235" s="664">
        <f t="shared" ref="Z235" si="3155">IF(Y235=0,0,Y235/Y$4)</f>
        <v>0</v>
      </c>
      <c r="AA235" s="663">
        <f>AA234-AA236*курс</f>
        <v>0</v>
      </c>
      <c r="AB235" s="664">
        <f t="shared" ref="AB235" si="3156">IF(AA235=0,0,AA235/AA$4)</f>
        <v>0</v>
      </c>
      <c r="AC235" s="663">
        <f t="shared" si="3035"/>
        <v>22769613.049689513</v>
      </c>
      <c r="AD235" s="664">
        <f t="shared" ref="AD235" si="3157">IF(AC235=0,0,AC235/AC$4)</f>
        <v>141.41481650861925</v>
      </c>
      <c r="AE235" s="665"/>
      <c r="AF235" s="114"/>
      <c r="AG235" s="114"/>
      <c r="AH235" s="114"/>
      <c r="AI235" s="114"/>
      <c r="AJ235" s="114"/>
    </row>
    <row r="236" spans="1:36" s="68" customFormat="1" hidden="1" outlineLevel="4">
      <c r="A236" s="245"/>
      <c r="B236" s="246" t="s">
        <v>420</v>
      </c>
      <c r="C236" s="663"/>
      <c r="D236" s="664">
        <f t="shared" si="2582"/>
        <v>0</v>
      </c>
      <c r="E236" s="663"/>
      <c r="F236" s="664">
        <f t="shared" si="2582"/>
        <v>0</v>
      </c>
      <c r="G236" s="663">
        <f>Калькулятор_жилье!AC211</f>
        <v>0</v>
      </c>
      <c r="H236" s="664">
        <f t="shared" ref="H236" si="3158">IF(G236=0,0,G236/G$4)</f>
        <v>0</v>
      </c>
      <c r="I236" s="663">
        <f>Калькулятор_жилье!AD211</f>
        <v>0</v>
      </c>
      <c r="J236" s="664">
        <f t="shared" ref="J236" si="3159">IF(I236=0,0,I236/I$4)</f>
        <v>0</v>
      </c>
      <c r="K236" s="663">
        <f>Калькулятор_жилье!AE211</f>
        <v>0</v>
      </c>
      <c r="L236" s="664">
        <f t="shared" ref="L236" si="3160">IF(K236=0,0,K236/K$4)</f>
        <v>0</v>
      </c>
      <c r="M236" s="663">
        <f>Калькулятор_жилье!AF211</f>
        <v>0</v>
      </c>
      <c r="N236" s="664">
        <f t="shared" ref="N236" si="3161">IF(M236=0,0,M236/M$4)</f>
        <v>0</v>
      </c>
      <c r="O236" s="663">
        <f>Калькулятор_жилье!AG211</f>
        <v>0</v>
      </c>
      <c r="P236" s="664">
        <f t="shared" ref="P236" si="3162">IF(O236=0,0,O236/O$4)</f>
        <v>0</v>
      </c>
      <c r="Q236" s="663">
        <f>Калькулятор_жилье!AH211</f>
        <v>0</v>
      </c>
      <c r="R236" s="664">
        <f t="shared" ref="R236" si="3163">IF(Q236=0,0,Q236/Q$4)</f>
        <v>0</v>
      </c>
      <c r="S236" s="663">
        <f>Калькулятор_жилье!AI211</f>
        <v>0</v>
      </c>
      <c r="T236" s="664">
        <f t="shared" ref="T236" si="3164">IF(S236=0,0,S236/S$4)</f>
        <v>0</v>
      </c>
      <c r="U236" s="663">
        <f>Калькулятор_жилье!AJ211</f>
        <v>0</v>
      </c>
      <c r="V236" s="664">
        <f t="shared" ref="V236" si="3165">IF(U236=0,0,U236/U$4)</f>
        <v>0</v>
      </c>
      <c r="W236" s="663">
        <f>Калькулятор_жилье!AK211</f>
        <v>0</v>
      </c>
      <c r="X236" s="664">
        <f t="shared" ref="X236" si="3166">IF(W236=0,0,W236/W$4)</f>
        <v>0</v>
      </c>
      <c r="Y236" s="663">
        <f>Калькулятор_жилье!AL211</f>
        <v>0</v>
      </c>
      <c r="Z236" s="664">
        <f t="shared" ref="Z236" si="3167">IF(Y236=0,0,Y236/Y$4)</f>
        <v>0</v>
      </c>
      <c r="AA236" s="663">
        <f>Калькулятор_жилье!AM211</f>
        <v>0</v>
      </c>
      <c r="AB236" s="664">
        <f t="shared" ref="AB236" si="3168">IF(AA236=0,0,AA236/AA$4)</f>
        <v>0</v>
      </c>
      <c r="AC236" s="663">
        <f t="shared" si="3035"/>
        <v>0</v>
      </c>
      <c r="AD236" s="664">
        <f t="shared" ref="AD236" si="3169">IF(AC236=0,0,AC236/AC$4)</f>
        <v>0</v>
      </c>
      <c r="AE236" s="665"/>
      <c r="AF236" s="114"/>
      <c r="AG236" s="114"/>
      <c r="AH236" s="114"/>
      <c r="AI236" s="114"/>
      <c r="AJ236" s="114"/>
    </row>
    <row r="237" spans="1:36" s="556" customFormat="1" ht="15.75" hidden="1" outlineLevel="2">
      <c r="A237" s="609" t="s">
        <v>1482</v>
      </c>
      <c r="B237" s="559" t="s">
        <v>1088</v>
      </c>
      <c r="C237" s="659"/>
      <c r="D237" s="660">
        <f t="shared" si="2582"/>
        <v>0</v>
      </c>
      <c r="E237" s="659"/>
      <c r="F237" s="660">
        <f t="shared" si="2582"/>
        <v>0</v>
      </c>
      <c r="G237" s="659"/>
      <c r="H237" s="660">
        <f t="shared" ref="H237" si="3170">IF(G237=0,0,G237/G$4)</f>
        <v>0</v>
      </c>
      <c r="I237" s="659"/>
      <c r="J237" s="660">
        <f t="shared" ref="J237" si="3171">IF(I237=0,0,I237/I$4)</f>
        <v>0</v>
      </c>
      <c r="K237" s="659"/>
      <c r="L237" s="660">
        <f t="shared" ref="L237" si="3172">IF(K237=0,0,K237/K$4)</f>
        <v>0</v>
      </c>
      <c r="M237" s="659"/>
      <c r="N237" s="660">
        <f t="shared" ref="N237" si="3173">IF(M237=0,0,M237/M$4)</f>
        <v>0</v>
      </c>
      <c r="O237" s="659"/>
      <c r="P237" s="660">
        <f t="shared" ref="P237" si="3174">IF(O237=0,0,O237/O$4)</f>
        <v>0</v>
      </c>
      <c r="Q237" s="659"/>
      <c r="R237" s="660">
        <f t="shared" ref="R237" si="3175">IF(Q237=0,0,Q237/Q$4)</f>
        <v>0</v>
      </c>
      <c r="S237" s="659"/>
      <c r="T237" s="660">
        <f t="shared" ref="T237" si="3176">IF(S237=0,0,S237/S$4)</f>
        <v>0</v>
      </c>
      <c r="U237" s="659"/>
      <c r="V237" s="660">
        <f t="shared" ref="V237" si="3177">IF(U237=0,0,U237/U$4)</f>
        <v>0</v>
      </c>
      <c r="W237" s="659"/>
      <c r="X237" s="660">
        <f t="shared" ref="X237" si="3178">IF(W237=0,0,W237/W$4)</f>
        <v>0</v>
      </c>
      <c r="Y237" s="659"/>
      <c r="Z237" s="660">
        <f t="shared" ref="Z237" si="3179">IF(Y237=0,0,Y237/Y$4)</f>
        <v>0</v>
      </c>
      <c r="AA237" s="659"/>
      <c r="AB237" s="660">
        <f t="shared" ref="AB237" si="3180">IF(AA237=0,0,AA237/AA$4)</f>
        <v>0</v>
      </c>
      <c r="AC237" s="659"/>
      <c r="AD237" s="660">
        <f t="shared" ref="AD237" si="3181">IF(AC237=0,0,AC237/AC$4)</f>
        <v>0</v>
      </c>
      <c r="AE237" s="654"/>
    </row>
    <row r="238" spans="1:36" s="556" customFormat="1" ht="15.75" hidden="1" outlineLevel="2">
      <c r="A238" s="609" t="s">
        <v>1481</v>
      </c>
      <c r="B238" s="559" t="s">
        <v>1089</v>
      </c>
      <c r="C238" s="659"/>
      <c r="D238" s="660">
        <f t="shared" si="2582"/>
        <v>0</v>
      </c>
      <c r="E238" s="659"/>
      <c r="F238" s="660">
        <f t="shared" si="2582"/>
        <v>0</v>
      </c>
      <c r="G238" s="659"/>
      <c r="H238" s="660">
        <f t="shared" ref="H238" si="3182">IF(G238=0,0,G238/G$4)</f>
        <v>0</v>
      </c>
      <c r="I238" s="659"/>
      <c r="J238" s="660">
        <f t="shared" ref="J238" si="3183">IF(I238=0,0,I238/I$4)</f>
        <v>0</v>
      </c>
      <c r="K238" s="659"/>
      <c r="L238" s="660">
        <f t="shared" ref="L238" si="3184">IF(K238=0,0,K238/K$4)</f>
        <v>0</v>
      </c>
      <c r="M238" s="659"/>
      <c r="N238" s="660">
        <f t="shared" ref="N238" si="3185">IF(M238=0,0,M238/M$4)</f>
        <v>0</v>
      </c>
      <c r="O238" s="659"/>
      <c r="P238" s="660">
        <f t="shared" ref="P238" si="3186">IF(O238=0,0,O238/O$4)</f>
        <v>0</v>
      </c>
      <c r="Q238" s="659"/>
      <c r="R238" s="660">
        <f t="shared" ref="R238" si="3187">IF(Q238=0,0,Q238/Q$4)</f>
        <v>0</v>
      </c>
      <c r="S238" s="659"/>
      <c r="T238" s="660">
        <f t="shared" ref="T238" si="3188">IF(S238=0,0,S238/S$4)</f>
        <v>0</v>
      </c>
      <c r="U238" s="659"/>
      <c r="V238" s="660">
        <f t="shared" ref="V238" si="3189">IF(U238=0,0,U238/U$4)</f>
        <v>0</v>
      </c>
      <c r="W238" s="659"/>
      <c r="X238" s="660">
        <f t="shared" ref="X238" si="3190">IF(W238=0,0,W238/W$4)</f>
        <v>0</v>
      </c>
      <c r="Y238" s="659"/>
      <c r="Z238" s="660">
        <f t="shared" ref="Z238" si="3191">IF(Y238=0,0,Y238/Y$4)</f>
        <v>0</v>
      </c>
      <c r="AA238" s="659"/>
      <c r="AB238" s="660">
        <f t="shared" ref="AB238" si="3192">IF(AA238=0,0,AA238/AA$4)</f>
        <v>0</v>
      </c>
      <c r="AC238" s="659"/>
      <c r="AD238" s="660">
        <f t="shared" ref="AD238" si="3193">IF(AC238=0,0,AC238/AC$4)</f>
        <v>0</v>
      </c>
      <c r="AE238" s="654"/>
    </row>
    <row r="239" spans="1:36" s="556" customFormat="1" ht="15.75" hidden="1" outlineLevel="2">
      <c r="A239" s="609" t="s">
        <v>1480</v>
      </c>
      <c r="B239" s="559" t="s">
        <v>1090</v>
      </c>
      <c r="C239" s="659"/>
      <c r="D239" s="660">
        <f t="shared" si="2582"/>
        <v>0</v>
      </c>
      <c r="E239" s="659"/>
      <c r="F239" s="660">
        <f t="shared" si="2582"/>
        <v>0</v>
      </c>
      <c r="G239" s="659"/>
      <c r="H239" s="660">
        <f t="shared" ref="H239" si="3194">IF(G239=0,0,G239/G$4)</f>
        <v>0</v>
      </c>
      <c r="I239" s="659"/>
      <c r="J239" s="660">
        <f t="shared" ref="J239" si="3195">IF(I239=0,0,I239/I$4)</f>
        <v>0</v>
      </c>
      <c r="K239" s="659"/>
      <c r="L239" s="660">
        <f t="shared" ref="L239" si="3196">IF(K239=0,0,K239/K$4)</f>
        <v>0</v>
      </c>
      <c r="M239" s="659"/>
      <c r="N239" s="660">
        <f t="shared" ref="N239" si="3197">IF(M239=0,0,M239/M$4)</f>
        <v>0</v>
      </c>
      <c r="O239" s="659"/>
      <c r="P239" s="660">
        <f t="shared" ref="P239" si="3198">IF(O239=0,0,O239/O$4)</f>
        <v>0</v>
      </c>
      <c r="Q239" s="659"/>
      <c r="R239" s="660">
        <f t="shared" ref="R239" si="3199">IF(Q239=0,0,Q239/Q$4)</f>
        <v>0</v>
      </c>
      <c r="S239" s="659"/>
      <c r="T239" s="660">
        <f t="shared" ref="T239" si="3200">IF(S239=0,0,S239/S$4)</f>
        <v>0</v>
      </c>
      <c r="U239" s="659"/>
      <c r="V239" s="660">
        <f t="shared" ref="V239" si="3201">IF(U239=0,0,U239/U$4)</f>
        <v>0</v>
      </c>
      <c r="W239" s="659"/>
      <c r="X239" s="660">
        <f t="shared" ref="X239" si="3202">IF(W239=0,0,W239/W$4)</f>
        <v>0</v>
      </c>
      <c r="Y239" s="659"/>
      <c r="Z239" s="660">
        <f t="shared" ref="Z239" si="3203">IF(Y239=0,0,Y239/Y$4)</f>
        <v>0</v>
      </c>
      <c r="AA239" s="659"/>
      <c r="AB239" s="660">
        <f t="shared" ref="AB239" si="3204">IF(AA239=0,0,AA239/AA$4)</f>
        <v>0</v>
      </c>
      <c r="AC239" s="659"/>
      <c r="AD239" s="660">
        <f t="shared" ref="AD239" si="3205">IF(AC239=0,0,AC239/AC$4)</f>
        <v>0</v>
      </c>
      <c r="AE239" s="654"/>
    </row>
    <row r="240" spans="1:36" s="556" customFormat="1" ht="15.75" hidden="1" outlineLevel="2">
      <c r="A240" s="609" t="s">
        <v>1479</v>
      </c>
      <c r="B240" s="559" t="s">
        <v>1091</v>
      </c>
      <c r="C240" s="659"/>
      <c r="D240" s="660">
        <f t="shared" si="2582"/>
        <v>0</v>
      </c>
      <c r="E240" s="659"/>
      <c r="F240" s="660">
        <f t="shared" si="2582"/>
        <v>0</v>
      </c>
      <c r="G240" s="659"/>
      <c r="H240" s="660">
        <f t="shared" ref="H240" si="3206">IF(G240=0,0,G240/G$4)</f>
        <v>0</v>
      </c>
      <c r="I240" s="659"/>
      <c r="J240" s="660">
        <f t="shared" ref="J240" si="3207">IF(I240=0,0,I240/I$4)</f>
        <v>0</v>
      </c>
      <c r="K240" s="659"/>
      <c r="L240" s="660">
        <f t="shared" ref="L240" si="3208">IF(K240=0,0,K240/K$4)</f>
        <v>0</v>
      </c>
      <c r="M240" s="659"/>
      <c r="N240" s="660">
        <f t="shared" ref="N240" si="3209">IF(M240=0,0,M240/M$4)</f>
        <v>0</v>
      </c>
      <c r="O240" s="659"/>
      <c r="P240" s="660">
        <f t="shared" ref="P240" si="3210">IF(O240=0,0,O240/O$4)</f>
        <v>0</v>
      </c>
      <c r="Q240" s="659"/>
      <c r="R240" s="660">
        <f t="shared" ref="R240" si="3211">IF(Q240=0,0,Q240/Q$4)</f>
        <v>0</v>
      </c>
      <c r="S240" s="659"/>
      <c r="T240" s="660">
        <f t="shared" ref="T240" si="3212">IF(S240=0,0,S240/S$4)</f>
        <v>0</v>
      </c>
      <c r="U240" s="659"/>
      <c r="V240" s="660">
        <f t="shared" ref="V240" si="3213">IF(U240=0,0,U240/U$4)</f>
        <v>0</v>
      </c>
      <c r="W240" s="659"/>
      <c r="X240" s="660">
        <f t="shared" ref="X240" si="3214">IF(W240=0,0,W240/W$4)</f>
        <v>0</v>
      </c>
      <c r="Y240" s="659"/>
      <c r="Z240" s="660">
        <f t="shared" ref="Z240" si="3215">IF(Y240=0,0,Y240/Y$4)</f>
        <v>0</v>
      </c>
      <c r="AA240" s="659"/>
      <c r="AB240" s="660">
        <f t="shared" ref="AB240" si="3216">IF(AA240=0,0,AA240/AA$4)</f>
        <v>0</v>
      </c>
      <c r="AC240" s="659"/>
      <c r="AD240" s="660">
        <f t="shared" ref="AD240" si="3217">IF(AC240=0,0,AC240/AC$4)</f>
        <v>0</v>
      </c>
      <c r="AE240" s="654"/>
    </row>
    <row r="241" spans="1:36" s="556" customFormat="1" ht="15.75" hidden="1" outlineLevel="2">
      <c r="A241" s="609" t="s">
        <v>1478</v>
      </c>
      <c r="B241" s="559" t="s">
        <v>1477</v>
      </c>
      <c r="C241" s="659"/>
      <c r="D241" s="660">
        <f t="shared" si="2582"/>
        <v>0</v>
      </c>
      <c r="E241" s="659"/>
      <c r="F241" s="660">
        <f t="shared" si="2582"/>
        <v>0</v>
      </c>
      <c r="G241" s="659"/>
      <c r="H241" s="660">
        <f t="shared" ref="H241" si="3218">IF(G241=0,0,G241/G$4)</f>
        <v>0</v>
      </c>
      <c r="I241" s="659"/>
      <c r="J241" s="660">
        <f t="shared" ref="J241" si="3219">IF(I241=0,0,I241/I$4)</f>
        <v>0</v>
      </c>
      <c r="K241" s="659"/>
      <c r="L241" s="660">
        <f t="shared" ref="L241" si="3220">IF(K241=0,0,K241/K$4)</f>
        <v>0</v>
      </c>
      <c r="M241" s="659"/>
      <c r="N241" s="660">
        <f t="shared" ref="N241" si="3221">IF(M241=0,0,M241/M$4)</f>
        <v>0</v>
      </c>
      <c r="O241" s="659"/>
      <c r="P241" s="660">
        <f t="shared" ref="P241" si="3222">IF(O241=0,0,O241/O$4)</f>
        <v>0</v>
      </c>
      <c r="Q241" s="659"/>
      <c r="R241" s="660">
        <f t="shared" ref="R241" si="3223">IF(Q241=0,0,Q241/Q$4)</f>
        <v>0</v>
      </c>
      <c r="S241" s="659"/>
      <c r="T241" s="660">
        <f t="shared" ref="T241" si="3224">IF(S241=0,0,S241/S$4)</f>
        <v>0</v>
      </c>
      <c r="U241" s="659"/>
      <c r="V241" s="660">
        <f t="shared" ref="V241" si="3225">IF(U241=0,0,U241/U$4)</f>
        <v>0</v>
      </c>
      <c r="W241" s="659"/>
      <c r="X241" s="660">
        <f t="shared" ref="X241" si="3226">IF(W241=0,0,W241/W$4)</f>
        <v>0</v>
      </c>
      <c r="Y241" s="659"/>
      <c r="Z241" s="660">
        <f t="shared" ref="Z241" si="3227">IF(Y241=0,0,Y241/Y$4)</f>
        <v>0</v>
      </c>
      <c r="AA241" s="659"/>
      <c r="AB241" s="660">
        <f t="shared" ref="AB241" si="3228">IF(AA241=0,0,AA241/AA$4)</f>
        <v>0</v>
      </c>
      <c r="AC241" s="659"/>
      <c r="AD241" s="660">
        <f t="shared" ref="AD241" si="3229">IF(AC241=0,0,AC241/AC$4)</f>
        <v>0</v>
      </c>
      <c r="AE241" s="654"/>
    </row>
    <row r="242" spans="1:36" s="556" customFormat="1" ht="15.75" hidden="1" outlineLevel="2">
      <c r="A242" s="609" t="s">
        <v>1476</v>
      </c>
      <c r="B242" s="559" t="s">
        <v>1093</v>
      </c>
      <c r="C242" s="659"/>
      <c r="D242" s="660">
        <f t="shared" si="2582"/>
        <v>0</v>
      </c>
      <c r="E242" s="659"/>
      <c r="F242" s="660">
        <f t="shared" si="2582"/>
        <v>0</v>
      </c>
      <c r="G242" s="659"/>
      <c r="H242" s="660">
        <f t="shared" ref="H242" si="3230">IF(G242=0,0,G242/G$4)</f>
        <v>0</v>
      </c>
      <c r="I242" s="659"/>
      <c r="J242" s="660">
        <f t="shared" ref="J242" si="3231">IF(I242=0,0,I242/I$4)</f>
        <v>0</v>
      </c>
      <c r="K242" s="659"/>
      <c r="L242" s="660">
        <f t="shared" ref="L242" si="3232">IF(K242=0,0,K242/K$4)</f>
        <v>0</v>
      </c>
      <c r="M242" s="659"/>
      <c r="N242" s="660">
        <f t="shared" ref="N242" si="3233">IF(M242=0,0,M242/M$4)</f>
        <v>0</v>
      </c>
      <c r="O242" s="659"/>
      <c r="P242" s="660">
        <f t="shared" ref="P242" si="3234">IF(O242=0,0,O242/O$4)</f>
        <v>0</v>
      </c>
      <c r="Q242" s="659"/>
      <c r="R242" s="660">
        <f t="shared" ref="R242" si="3235">IF(Q242=0,0,Q242/Q$4)</f>
        <v>0</v>
      </c>
      <c r="S242" s="659"/>
      <c r="T242" s="660">
        <f t="shared" ref="T242" si="3236">IF(S242=0,0,S242/S$4)</f>
        <v>0</v>
      </c>
      <c r="U242" s="659"/>
      <c r="V242" s="660">
        <f t="shared" ref="V242" si="3237">IF(U242=0,0,U242/U$4)</f>
        <v>0</v>
      </c>
      <c r="W242" s="659"/>
      <c r="X242" s="660">
        <f t="shared" ref="X242" si="3238">IF(W242=0,0,W242/W$4)</f>
        <v>0</v>
      </c>
      <c r="Y242" s="659"/>
      <c r="Z242" s="660">
        <f t="shared" ref="Z242" si="3239">IF(Y242=0,0,Y242/Y$4)</f>
        <v>0</v>
      </c>
      <c r="AA242" s="659"/>
      <c r="AB242" s="660">
        <f t="shared" ref="AB242" si="3240">IF(AA242=0,0,AA242/AA$4)</f>
        <v>0</v>
      </c>
      <c r="AC242" s="659"/>
      <c r="AD242" s="660">
        <f t="shared" ref="AD242" si="3241">IF(AC242=0,0,AC242/AC$4)</f>
        <v>0</v>
      </c>
      <c r="AE242" s="654"/>
    </row>
    <row r="243" spans="1:36" s="556" customFormat="1" ht="15.75" hidden="1" outlineLevel="2">
      <c r="A243" s="609" t="s">
        <v>1475</v>
      </c>
      <c r="B243" s="559" t="s">
        <v>1094</v>
      </c>
      <c r="C243" s="659"/>
      <c r="D243" s="660">
        <f t="shared" si="2582"/>
        <v>0</v>
      </c>
      <c r="E243" s="659"/>
      <c r="F243" s="660">
        <f t="shared" si="2582"/>
        <v>0</v>
      </c>
      <c r="G243" s="659"/>
      <c r="H243" s="660">
        <f t="shared" ref="H243" si="3242">IF(G243=0,0,G243/G$4)</f>
        <v>0</v>
      </c>
      <c r="I243" s="659"/>
      <c r="J243" s="660">
        <f t="shared" ref="J243" si="3243">IF(I243=0,0,I243/I$4)</f>
        <v>0</v>
      </c>
      <c r="K243" s="659"/>
      <c r="L243" s="660">
        <f t="shared" ref="L243" si="3244">IF(K243=0,0,K243/K$4)</f>
        <v>0</v>
      </c>
      <c r="M243" s="659"/>
      <c r="N243" s="660">
        <f t="shared" ref="N243" si="3245">IF(M243=0,0,M243/M$4)</f>
        <v>0</v>
      </c>
      <c r="O243" s="659"/>
      <c r="P243" s="660">
        <f t="shared" ref="P243" si="3246">IF(O243=0,0,O243/O$4)</f>
        <v>0</v>
      </c>
      <c r="Q243" s="659"/>
      <c r="R243" s="660">
        <f t="shared" ref="R243" si="3247">IF(Q243=0,0,Q243/Q$4)</f>
        <v>0</v>
      </c>
      <c r="S243" s="659"/>
      <c r="T243" s="660">
        <f t="shared" ref="T243" si="3248">IF(S243=0,0,S243/S$4)</f>
        <v>0</v>
      </c>
      <c r="U243" s="659"/>
      <c r="V243" s="660">
        <f t="shared" ref="V243" si="3249">IF(U243=0,0,U243/U$4)</f>
        <v>0</v>
      </c>
      <c r="W243" s="659"/>
      <c r="X243" s="660">
        <f t="shared" ref="X243" si="3250">IF(W243=0,0,W243/W$4)</f>
        <v>0</v>
      </c>
      <c r="Y243" s="659"/>
      <c r="Z243" s="660">
        <f t="shared" ref="Z243" si="3251">IF(Y243=0,0,Y243/Y$4)</f>
        <v>0</v>
      </c>
      <c r="AA243" s="659"/>
      <c r="AB243" s="660">
        <f t="shared" ref="AB243" si="3252">IF(AA243=0,0,AA243/AA$4)</f>
        <v>0</v>
      </c>
      <c r="AC243" s="659"/>
      <c r="AD243" s="660">
        <f t="shared" ref="AD243" si="3253">IF(AC243=0,0,AC243/AC$4)</f>
        <v>0</v>
      </c>
      <c r="AE243" s="654"/>
    </row>
    <row r="244" spans="1:36" s="556" customFormat="1" ht="15.75" hidden="1" outlineLevel="2">
      <c r="A244" s="609" t="s">
        <v>1474</v>
      </c>
      <c r="B244" s="559" t="s">
        <v>1095</v>
      </c>
      <c r="C244" s="659"/>
      <c r="D244" s="660">
        <f t="shared" si="2582"/>
        <v>0</v>
      </c>
      <c r="E244" s="659"/>
      <c r="F244" s="660">
        <f t="shared" si="2582"/>
        <v>0</v>
      </c>
      <c r="G244" s="659"/>
      <c r="H244" s="660">
        <f t="shared" ref="H244" si="3254">IF(G244=0,0,G244/G$4)</f>
        <v>0</v>
      </c>
      <c r="I244" s="659"/>
      <c r="J244" s="660">
        <f t="shared" ref="J244" si="3255">IF(I244=0,0,I244/I$4)</f>
        <v>0</v>
      </c>
      <c r="K244" s="659"/>
      <c r="L244" s="660">
        <f t="shared" ref="L244" si="3256">IF(K244=0,0,K244/K$4)</f>
        <v>0</v>
      </c>
      <c r="M244" s="659"/>
      <c r="N244" s="660">
        <f t="shared" ref="N244" si="3257">IF(M244=0,0,M244/M$4)</f>
        <v>0</v>
      </c>
      <c r="O244" s="659"/>
      <c r="P244" s="660">
        <f t="shared" ref="P244" si="3258">IF(O244=0,0,O244/O$4)</f>
        <v>0</v>
      </c>
      <c r="Q244" s="659"/>
      <c r="R244" s="660">
        <f t="shared" ref="R244" si="3259">IF(Q244=0,0,Q244/Q$4)</f>
        <v>0</v>
      </c>
      <c r="S244" s="659"/>
      <c r="T244" s="660">
        <f t="shared" ref="T244" si="3260">IF(S244=0,0,S244/S$4)</f>
        <v>0</v>
      </c>
      <c r="U244" s="659"/>
      <c r="V244" s="660">
        <f t="shared" ref="V244" si="3261">IF(U244=0,0,U244/U$4)</f>
        <v>0</v>
      </c>
      <c r="W244" s="659"/>
      <c r="X244" s="660">
        <f t="shared" ref="X244" si="3262">IF(W244=0,0,W244/W$4)</f>
        <v>0</v>
      </c>
      <c r="Y244" s="659"/>
      <c r="Z244" s="660">
        <f t="shared" ref="Z244" si="3263">IF(Y244=0,0,Y244/Y$4)</f>
        <v>0</v>
      </c>
      <c r="AA244" s="659"/>
      <c r="AB244" s="660">
        <f t="shared" ref="AB244" si="3264">IF(AA244=0,0,AA244/AA$4)</f>
        <v>0</v>
      </c>
      <c r="AC244" s="659"/>
      <c r="AD244" s="660">
        <f t="shared" ref="AD244" si="3265">IF(AC244=0,0,AC244/AC$4)</f>
        <v>0</v>
      </c>
      <c r="AE244" s="654"/>
    </row>
    <row r="245" spans="1:36" s="556" customFormat="1" ht="15.75" hidden="1" outlineLevel="2">
      <c r="A245" s="609" t="s">
        <v>1473</v>
      </c>
      <c r="B245" s="559" t="s">
        <v>1472</v>
      </c>
      <c r="C245" s="659"/>
      <c r="D245" s="660">
        <f t="shared" si="2582"/>
        <v>0</v>
      </c>
      <c r="E245" s="659"/>
      <c r="F245" s="660">
        <f t="shared" si="2582"/>
        <v>0</v>
      </c>
      <c r="G245" s="659"/>
      <c r="H245" s="660">
        <f t="shared" ref="H245" si="3266">IF(G245=0,0,G245/G$4)</f>
        <v>0</v>
      </c>
      <c r="I245" s="659"/>
      <c r="J245" s="660">
        <f t="shared" ref="J245" si="3267">IF(I245=0,0,I245/I$4)</f>
        <v>0</v>
      </c>
      <c r="K245" s="659"/>
      <c r="L245" s="660">
        <f t="shared" ref="L245" si="3268">IF(K245=0,0,K245/K$4)</f>
        <v>0</v>
      </c>
      <c r="M245" s="659"/>
      <c r="N245" s="660">
        <f t="shared" ref="N245" si="3269">IF(M245=0,0,M245/M$4)</f>
        <v>0</v>
      </c>
      <c r="O245" s="659"/>
      <c r="P245" s="660">
        <f t="shared" ref="P245" si="3270">IF(O245=0,0,O245/O$4)</f>
        <v>0</v>
      </c>
      <c r="Q245" s="659"/>
      <c r="R245" s="660">
        <f t="shared" ref="R245" si="3271">IF(Q245=0,0,Q245/Q$4)</f>
        <v>0</v>
      </c>
      <c r="S245" s="659"/>
      <c r="T245" s="660">
        <f t="shared" ref="T245" si="3272">IF(S245=0,0,S245/S$4)</f>
        <v>0</v>
      </c>
      <c r="U245" s="659"/>
      <c r="V245" s="660">
        <f t="shared" ref="V245" si="3273">IF(U245=0,0,U245/U$4)</f>
        <v>0</v>
      </c>
      <c r="W245" s="659"/>
      <c r="X245" s="660">
        <f t="shared" ref="X245" si="3274">IF(W245=0,0,W245/W$4)</f>
        <v>0</v>
      </c>
      <c r="Y245" s="659"/>
      <c r="Z245" s="660">
        <f t="shared" ref="Z245" si="3275">IF(Y245=0,0,Y245/Y$4)</f>
        <v>0</v>
      </c>
      <c r="AA245" s="659"/>
      <c r="AB245" s="660">
        <f t="shared" ref="AB245" si="3276">IF(AA245=0,0,AA245/AA$4)</f>
        <v>0</v>
      </c>
      <c r="AC245" s="659"/>
      <c r="AD245" s="660">
        <f t="shared" ref="AD245" si="3277">IF(AC245=0,0,AC245/AC$4)</f>
        <v>0</v>
      </c>
      <c r="AE245" s="654"/>
    </row>
    <row r="246" spans="1:36" s="556" customFormat="1" ht="15.75" hidden="1" outlineLevel="2">
      <c r="A246" s="609" t="s">
        <v>1471</v>
      </c>
      <c r="B246" s="559" t="s">
        <v>1470</v>
      </c>
      <c r="C246" s="659"/>
      <c r="D246" s="660">
        <f t="shared" si="2582"/>
        <v>0</v>
      </c>
      <c r="E246" s="659"/>
      <c r="F246" s="660">
        <f t="shared" si="2582"/>
        <v>0</v>
      </c>
      <c r="G246" s="659"/>
      <c r="H246" s="660">
        <f t="shared" ref="H246" si="3278">IF(G246=0,0,G246/G$4)</f>
        <v>0</v>
      </c>
      <c r="I246" s="659"/>
      <c r="J246" s="660">
        <f t="shared" ref="J246" si="3279">IF(I246=0,0,I246/I$4)</f>
        <v>0</v>
      </c>
      <c r="K246" s="659"/>
      <c r="L246" s="660">
        <f t="shared" ref="L246" si="3280">IF(K246=0,0,K246/K$4)</f>
        <v>0</v>
      </c>
      <c r="M246" s="659"/>
      <c r="N246" s="660">
        <f t="shared" ref="N246" si="3281">IF(M246=0,0,M246/M$4)</f>
        <v>0</v>
      </c>
      <c r="O246" s="659"/>
      <c r="P246" s="660">
        <f t="shared" ref="P246" si="3282">IF(O246=0,0,O246/O$4)</f>
        <v>0</v>
      </c>
      <c r="Q246" s="659"/>
      <c r="R246" s="660">
        <f t="shared" ref="R246" si="3283">IF(Q246=0,0,Q246/Q$4)</f>
        <v>0</v>
      </c>
      <c r="S246" s="659"/>
      <c r="T246" s="660">
        <f t="shared" ref="T246" si="3284">IF(S246=0,0,S246/S$4)</f>
        <v>0</v>
      </c>
      <c r="U246" s="659"/>
      <c r="V246" s="660">
        <f t="shared" ref="V246" si="3285">IF(U246=0,0,U246/U$4)</f>
        <v>0</v>
      </c>
      <c r="W246" s="659"/>
      <c r="X246" s="660">
        <f t="shared" ref="X246" si="3286">IF(W246=0,0,W246/W$4)</f>
        <v>0</v>
      </c>
      <c r="Y246" s="659"/>
      <c r="Z246" s="660">
        <f t="shared" ref="Z246" si="3287">IF(Y246=0,0,Y246/Y$4)</f>
        <v>0</v>
      </c>
      <c r="AA246" s="659"/>
      <c r="AB246" s="660">
        <f t="shared" ref="AB246" si="3288">IF(AA246=0,0,AA246/AA$4)</f>
        <v>0</v>
      </c>
      <c r="AC246" s="659"/>
      <c r="AD246" s="660">
        <f t="shared" ref="AD246" si="3289">IF(AC246=0,0,AC246/AC$4)</f>
        <v>0</v>
      </c>
      <c r="AE246" s="654"/>
    </row>
    <row r="247" spans="1:36" s="556" customFormat="1" ht="15.75" hidden="1" outlineLevel="2">
      <c r="A247" s="609" t="s">
        <v>1469</v>
      </c>
      <c r="B247" s="559" t="s">
        <v>1098</v>
      </c>
      <c r="C247" s="659"/>
      <c r="D247" s="660">
        <f t="shared" si="2582"/>
        <v>0</v>
      </c>
      <c r="E247" s="659"/>
      <c r="F247" s="660">
        <f t="shared" si="2582"/>
        <v>0</v>
      </c>
      <c r="G247" s="659"/>
      <c r="H247" s="660">
        <f t="shared" ref="H247" si="3290">IF(G247=0,0,G247/G$4)</f>
        <v>0</v>
      </c>
      <c r="I247" s="659"/>
      <c r="J247" s="660">
        <f t="shared" ref="J247" si="3291">IF(I247=0,0,I247/I$4)</f>
        <v>0</v>
      </c>
      <c r="K247" s="659"/>
      <c r="L247" s="660">
        <f t="shared" ref="L247" si="3292">IF(K247=0,0,K247/K$4)</f>
        <v>0</v>
      </c>
      <c r="M247" s="659"/>
      <c r="N247" s="660">
        <f t="shared" ref="N247" si="3293">IF(M247=0,0,M247/M$4)</f>
        <v>0</v>
      </c>
      <c r="O247" s="659"/>
      <c r="P247" s="660">
        <f t="shared" ref="P247" si="3294">IF(O247=0,0,O247/O$4)</f>
        <v>0</v>
      </c>
      <c r="Q247" s="659"/>
      <c r="R247" s="660">
        <f t="shared" ref="R247" si="3295">IF(Q247=0,0,Q247/Q$4)</f>
        <v>0</v>
      </c>
      <c r="S247" s="659"/>
      <c r="T247" s="660">
        <f t="shared" ref="T247" si="3296">IF(S247=0,0,S247/S$4)</f>
        <v>0</v>
      </c>
      <c r="U247" s="659"/>
      <c r="V247" s="660">
        <f t="shared" ref="V247" si="3297">IF(U247=0,0,U247/U$4)</f>
        <v>0</v>
      </c>
      <c r="W247" s="659"/>
      <c r="X247" s="660">
        <f t="shared" ref="X247" si="3298">IF(W247=0,0,W247/W$4)</f>
        <v>0</v>
      </c>
      <c r="Y247" s="659"/>
      <c r="Z247" s="660">
        <f t="shared" ref="Z247" si="3299">IF(Y247=0,0,Y247/Y$4)</f>
        <v>0</v>
      </c>
      <c r="AA247" s="659"/>
      <c r="AB247" s="660">
        <f t="shared" ref="AB247" si="3300">IF(AA247=0,0,AA247/AA$4)</f>
        <v>0</v>
      </c>
      <c r="AC247" s="659"/>
      <c r="AD247" s="660">
        <f t="shared" ref="AD247" si="3301">IF(AC247=0,0,AC247/AC$4)</f>
        <v>0</v>
      </c>
      <c r="AE247" s="654"/>
    </row>
    <row r="248" spans="1:36" s="556" customFormat="1" ht="15.75" hidden="1" outlineLevel="2">
      <c r="A248" s="609" t="s">
        <v>1468</v>
      </c>
      <c r="B248" s="559" t="s">
        <v>1099</v>
      </c>
      <c r="C248" s="659"/>
      <c r="D248" s="660">
        <f t="shared" si="2582"/>
        <v>0</v>
      </c>
      <c r="E248" s="659"/>
      <c r="F248" s="660">
        <f t="shared" si="2582"/>
        <v>0</v>
      </c>
      <c r="G248" s="659"/>
      <c r="H248" s="660">
        <f t="shared" ref="H248" si="3302">IF(G248=0,0,G248/G$4)</f>
        <v>0</v>
      </c>
      <c r="I248" s="659"/>
      <c r="J248" s="660">
        <f t="shared" ref="J248" si="3303">IF(I248=0,0,I248/I$4)</f>
        <v>0</v>
      </c>
      <c r="K248" s="659"/>
      <c r="L248" s="660">
        <f t="shared" ref="L248" si="3304">IF(K248=0,0,K248/K$4)</f>
        <v>0</v>
      </c>
      <c r="M248" s="659"/>
      <c r="N248" s="660">
        <f t="shared" ref="N248" si="3305">IF(M248=0,0,M248/M$4)</f>
        <v>0</v>
      </c>
      <c r="O248" s="659"/>
      <c r="P248" s="660">
        <f t="shared" ref="P248" si="3306">IF(O248=0,0,O248/O$4)</f>
        <v>0</v>
      </c>
      <c r="Q248" s="659"/>
      <c r="R248" s="660">
        <f t="shared" ref="R248" si="3307">IF(Q248=0,0,Q248/Q$4)</f>
        <v>0</v>
      </c>
      <c r="S248" s="659"/>
      <c r="T248" s="660">
        <f t="shared" ref="T248" si="3308">IF(S248=0,0,S248/S$4)</f>
        <v>0</v>
      </c>
      <c r="U248" s="659"/>
      <c r="V248" s="660">
        <f t="shared" ref="V248" si="3309">IF(U248=0,0,U248/U$4)</f>
        <v>0</v>
      </c>
      <c r="W248" s="659"/>
      <c r="X248" s="660">
        <f t="shared" ref="X248" si="3310">IF(W248=0,0,W248/W$4)</f>
        <v>0</v>
      </c>
      <c r="Y248" s="659"/>
      <c r="Z248" s="660">
        <f t="shared" ref="Z248" si="3311">IF(Y248=0,0,Y248/Y$4)</f>
        <v>0</v>
      </c>
      <c r="AA248" s="659"/>
      <c r="AB248" s="660">
        <f t="shared" ref="AB248" si="3312">IF(AA248=0,0,AA248/AA$4)</f>
        <v>0</v>
      </c>
      <c r="AC248" s="659"/>
      <c r="AD248" s="660">
        <f t="shared" ref="AD248" si="3313">IF(AC248=0,0,AC248/AC$4)</f>
        <v>0</v>
      </c>
      <c r="AE248" s="654"/>
    </row>
    <row r="249" spans="1:36" s="556" customFormat="1" ht="15.75" hidden="1" outlineLevel="2">
      <c r="A249" s="609" t="s">
        <v>1467</v>
      </c>
      <c r="B249" s="559" t="s">
        <v>1100</v>
      </c>
      <c r="C249" s="659"/>
      <c r="D249" s="660">
        <f t="shared" si="2582"/>
        <v>0</v>
      </c>
      <c r="E249" s="659"/>
      <c r="F249" s="660">
        <f t="shared" si="2582"/>
        <v>0</v>
      </c>
      <c r="G249" s="659"/>
      <c r="H249" s="660">
        <f t="shared" ref="H249" si="3314">IF(G249=0,0,G249/G$4)</f>
        <v>0</v>
      </c>
      <c r="I249" s="659"/>
      <c r="J249" s="660">
        <f t="shared" ref="J249" si="3315">IF(I249=0,0,I249/I$4)</f>
        <v>0</v>
      </c>
      <c r="K249" s="659"/>
      <c r="L249" s="660">
        <f t="shared" ref="L249" si="3316">IF(K249=0,0,K249/K$4)</f>
        <v>0</v>
      </c>
      <c r="M249" s="659"/>
      <c r="N249" s="660">
        <f t="shared" ref="N249" si="3317">IF(M249=0,0,M249/M$4)</f>
        <v>0</v>
      </c>
      <c r="O249" s="659"/>
      <c r="P249" s="660">
        <f t="shared" ref="P249" si="3318">IF(O249=0,0,O249/O$4)</f>
        <v>0</v>
      </c>
      <c r="Q249" s="659"/>
      <c r="R249" s="660">
        <f t="shared" ref="R249" si="3319">IF(Q249=0,0,Q249/Q$4)</f>
        <v>0</v>
      </c>
      <c r="S249" s="659"/>
      <c r="T249" s="660">
        <f t="shared" ref="T249" si="3320">IF(S249=0,0,S249/S$4)</f>
        <v>0</v>
      </c>
      <c r="U249" s="659"/>
      <c r="V249" s="660">
        <f t="shared" ref="V249" si="3321">IF(U249=0,0,U249/U$4)</f>
        <v>0</v>
      </c>
      <c r="W249" s="659"/>
      <c r="X249" s="660">
        <f t="shared" ref="X249" si="3322">IF(W249=0,0,W249/W$4)</f>
        <v>0</v>
      </c>
      <c r="Y249" s="659"/>
      <c r="Z249" s="660">
        <f t="shared" ref="Z249" si="3323">IF(Y249=0,0,Y249/Y$4)</f>
        <v>0</v>
      </c>
      <c r="AA249" s="659"/>
      <c r="AB249" s="660">
        <f t="shared" ref="AB249" si="3324">IF(AA249=0,0,AA249/AA$4)</f>
        <v>0</v>
      </c>
      <c r="AC249" s="659"/>
      <c r="AD249" s="660">
        <f t="shared" ref="AD249" si="3325">IF(AC249=0,0,AC249/AC$4)</f>
        <v>0</v>
      </c>
      <c r="AE249" s="654"/>
    </row>
    <row r="250" spans="1:36" s="556" customFormat="1" ht="15.75" hidden="1" outlineLevel="2">
      <c r="A250" s="609" t="s">
        <v>1466</v>
      </c>
      <c r="B250" s="559" t="s">
        <v>1465</v>
      </c>
      <c r="C250" s="659"/>
      <c r="D250" s="660">
        <f t="shared" si="2582"/>
        <v>0</v>
      </c>
      <c r="E250" s="659"/>
      <c r="F250" s="660">
        <f t="shared" si="2582"/>
        <v>0</v>
      </c>
      <c r="G250" s="659"/>
      <c r="H250" s="660">
        <f t="shared" ref="H250" si="3326">IF(G250=0,0,G250/G$4)</f>
        <v>0</v>
      </c>
      <c r="I250" s="659"/>
      <c r="J250" s="660">
        <f t="shared" ref="J250" si="3327">IF(I250=0,0,I250/I$4)</f>
        <v>0</v>
      </c>
      <c r="K250" s="659"/>
      <c r="L250" s="660">
        <f t="shared" ref="L250" si="3328">IF(K250=0,0,K250/K$4)</f>
        <v>0</v>
      </c>
      <c r="M250" s="659"/>
      <c r="N250" s="660">
        <f t="shared" ref="N250" si="3329">IF(M250=0,0,M250/M$4)</f>
        <v>0</v>
      </c>
      <c r="O250" s="659"/>
      <c r="P250" s="660">
        <f t="shared" ref="P250" si="3330">IF(O250=0,0,O250/O$4)</f>
        <v>0</v>
      </c>
      <c r="Q250" s="659"/>
      <c r="R250" s="660">
        <f t="shared" ref="R250" si="3331">IF(Q250=0,0,Q250/Q$4)</f>
        <v>0</v>
      </c>
      <c r="S250" s="659"/>
      <c r="T250" s="660">
        <f t="shared" ref="T250" si="3332">IF(S250=0,0,S250/S$4)</f>
        <v>0</v>
      </c>
      <c r="U250" s="659"/>
      <c r="V250" s="660">
        <f t="shared" ref="V250" si="3333">IF(U250=0,0,U250/U$4)</f>
        <v>0</v>
      </c>
      <c r="W250" s="659"/>
      <c r="X250" s="660">
        <f t="shared" ref="X250" si="3334">IF(W250=0,0,W250/W$4)</f>
        <v>0</v>
      </c>
      <c r="Y250" s="659"/>
      <c r="Z250" s="660">
        <f t="shared" ref="Z250" si="3335">IF(Y250=0,0,Y250/Y$4)</f>
        <v>0</v>
      </c>
      <c r="AA250" s="659"/>
      <c r="AB250" s="660">
        <f t="shared" ref="AB250" si="3336">IF(AA250=0,0,AA250/AA$4)</f>
        <v>0</v>
      </c>
      <c r="AC250" s="659"/>
      <c r="AD250" s="660">
        <f t="shared" ref="AD250" si="3337">IF(AC250=0,0,AC250/AC$4)</f>
        <v>0</v>
      </c>
      <c r="AE250" s="654"/>
    </row>
    <row r="251" spans="1:36" s="556" customFormat="1" ht="15.75" hidden="1" outlineLevel="2" collapsed="1">
      <c r="A251" s="609" t="s">
        <v>1464</v>
      </c>
      <c r="B251" s="559" t="s">
        <v>1463</v>
      </c>
      <c r="C251" s="659">
        <f>C252</f>
        <v>12016144.898305086</v>
      </c>
      <c r="D251" s="660">
        <f t="shared" si="2582"/>
        <v>74.628449865465157</v>
      </c>
      <c r="E251" s="659">
        <f t="shared" ref="E251" si="3338">E252</f>
        <v>0</v>
      </c>
      <c r="F251" s="660">
        <f t="shared" si="2582"/>
        <v>0</v>
      </c>
      <c r="G251" s="659">
        <f t="shared" ref="G251" si="3339">G252</f>
        <v>0</v>
      </c>
      <c r="H251" s="660">
        <f t="shared" ref="H251" si="3340">IF(G251=0,0,G251/G$4)</f>
        <v>0</v>
      </c>
      <c r="I251" s="659">
        <f t="shared" ref="I251" si="3341">I252</f>
        <v>0</v>
      </c>
      <c r="J251" s="660">
        <f t="shared" ref="J251" si="3342">IF(I251=0,0,I251/I$4)</f>
        <v>0</v>
      </c>
      <c r="K251" s="659">
        <f t="shared" ref="K251" si="3343">K252</f>
        <v>0</v>
      </c>
      <c r="L251" s="660">
        <f t="shared" ref="L251" si="3344">IF(K251=0,0,K251/K$4)</f>
        <v>0</v>
      </c>
      <c r="M251" s="659">
        <f t="shared" ref="M251" si="3345">M252</f>
        <v>0</v>
      </c>
      <c r="N251" s="660">
        <f t="shared" ref="N251" si="3346">IF(M251=0,0,M251/M$4)</f>
        <v>0</v>
      </c>
      <c r="O251" s="659">
        <f t="shared" ref="O251" si="3347">O252</f>
        <v>0</v>
      </c>
      <c r="P251" s="660">
        <f t="shared" ref="P251" si="3348">IF(O251=0,0,O251/O$4)</f>
        <v>0</v>
      </c>
      <c r="Q251" s="659">
        <f t="shared" ref="Q251" si="3349">Q252</f>
        <v>0</v>
      </c>
      <c r="R251" s="660">
        <f t="shared" ref="R251" si="3350">IF(Q251=0,0,Q251/Q$4)</f>
        <v>0</v>
      </c>
      <c r="S251" s="659">
        <f t="shared" ref="S251" si="3351">S252</f>
        <v>0</v>
      </c>
      <c r="T251" s="660">
        <f t="shared" ref="T251" si="3352">IF(S251=0,0,S251/S$4)</f>
        <v>0</v>
      </c>
      <c r="U251" s="659">
        <f t="shared" ref="U251" si="3353">U252</f>
        <v>0</v>
      </c>
      <c r="V251" s="660">
        <f t="shared" ref="V251" si="3354">IF(U251=0,0,U251/U$4)</f>
        <v>0</v>
      </c>
      <c r="W251" s="659">
        <f t="shared" ref="W251" si="3355">W252</f>
        <v>0</v>
      </c>
      <c r="X251" s="660">
        <f t="shared" ref="X251" si="3356">IF(W251=0,0,W251/W$4)</f>
        <v>0</v>
      </c>
      <c r="Y251" s="659">
        <f t="shared" ref="Y251" si="3357">Y252</f>
        <v>0</v>
      </c>
      <c r="Z251" s="660">
        <f t="shared" ref="Z251" si="3358">IF(Y251=0,0,Y251/Y$4)</f>
        <v>0</v>
      </c>
      <c r="AA251" s="659">
        <f t="shared" ref="AA251" si="3359">AA252</f>
        <v>0</v>
      </c>
      <c r="AB251" s="660">
        <f t="shared" ref="AB251" si="3360">IF(AA251=0,0,AA251/AA$4)</f>
        <v>0</v>
      </c>
      <c r="AC251" s="659">
        <f t="shared" ref="AC251" si="3361">AC252</f>
        <v>12016144.898305086</v>
      </c>
      <c r="AD251" s="660">
        <f t="shared" ref="AD251" si="3362">IF(AC251=0,0,AC251/AC$4)</f>
        <v>74.628449865465157</v>
      </c>
      <c r="AE251" s="654"/>
    </row>
    <row r="252" spans="1:36" s="68" customFormat="1" hidden="1" outlineLevel="3">
      <c r="A252" s="117"/>
      <c r="B252" s="118" t="str">
        <f>Калькулятор_жилье!C184</f>
        <v>Mockup</v>
      </c>
      <c r="C252" s="661">
        <f>Калькулятор_жилье!K184</f>
        <v>12016144.898305086</v>
      </c>
      <c r="D252" s="662">
        <f t="shared" si="2582"/>
        <v>74.628449865465157</v>
      </c>
      <c r="E252" s="661"/>
      <c r="F252" s="662">
        <f t="shared" si="2582"/>
        <v>0</v>
      </c>
      <c r="G252" s="661"/>
      <c r="H252" s="662">
        <f t="shared" ref="H252" si="3363">IF(G252=0,0,G252/G$4)</f>
        <v>0</v>
      </c>
      <c r="I252" s="661"/>
      <c r="J252" s="662">
        <f t="shared" ref="J252" si="3364">IF(I252=0,0,I252/I$4)</f>
        <v>0</v>
      </c>
      <c r="K252" s="661"/>
      <c r="L252" s="662">
        <f t="shared" ref="L252" si="3365">IF(K252=0,0,K252/K$4)</f>
        <v>0</v>
      </c>
      <c r="M252" s="661"/>
      <c r="N252" s="662">
        <f t="shared" ref="N252" si="3366">IF(M252=0,0,M252/M$4)</f>
        <v>0</v>
      </c>
      <c r="O252" s="661"/>
      <c r="P252" s="662">
        <f t="shared" ref="P252" si="3367">IF(O252=0,0,O252/O$4)</f>
        <v>0</v>
      </c>
      <c r="Q252" s="661"/>
      <c r="R252" s="662">
        <f t="shared" ref="R252" si="3368">IF(Q252=0,0,Q252/Q$4)</f>
        <v>0</v>
      </c>
      <c r="S252" s="661"/>
      <c r="T252" s="662">
        <f t="shared" ref="T252" si="3369">IF(S252=0,0,S252/S$4)</f>
        <v>0</v>
      </c>
      <c r="U252" s="661"/>
      <c r="V252" s="662">
        <f t="shared" ref="V252" si="3370">IF(U252=0,0,U252/U$4)</f>
        <v>0</v>
      </c>
      <c r="W252" s="661"/>
      <c r="X252" s="662">
        <f t="shared" ref="X252" si="3371">IF(W252=0,0,W252/W$4)</f>
        <v>0</v>
      </c>
      <c r="Y252" s="661"/>
      <c r="Z252" s="662">
        <f t="shared" ref="Z252" si="3372">IF(Y252=0,0,Y252/Y$4)</f>
        <v>0</v>
      </c>
      <c r="AA252" s="661"/>
      <c r="AB252" s="662">
        <f t="shared" ref="AB252" si="3373">IF(AA252=0,0,AA252/AA$4)</f>
        <v>0</v>
      </c>
      <c r="AC252" s="661">
        <f>C252+E252+G252+I252+K252+M252+O252+Q252+S252+U252+W252+AA252+Y252</f>
        <v>12016144.898305086</v>
      </c>
      <c r="AD252" s="662">
        <f t="shared" ref="AD252" si="3374">IF(AC252=0,0,AC252/AC$4)</f>
        <v>74.628449865465157</v>
      </c>
      <c r="AE252" s="665"/>
      <c r="AF252" s="114"/>
      <c r="AG252" s="114"/>
      <c r="AH252" s="114"/>
      <c r="AI252" s="114"/>
      <c r="AJ252" s="114"/>
    </row>
    <row r="253" spans="1:36" s="556" customFormat="1" ht="15.75" outlineLevel="1" collapsed="1">
      <c r="A253" s="610" t="s">
        <v>1462</v>
      </c>
      <c r="B253" s="558" t="s">
        <v>1102</v>
      </c>
      <c r="C253" s="657">
        <f>C254+C267+C268+C269+C270+C275+C276+C277+C278</f>
        <v>0</v>
      </c>
      <c r="D253" s="658">
        <f t="shared" si="2582"/>
        <v>0</v>
      </c>
      <c r="E253" s="657">
        <f>E254+E267+E268+E269+E270+E275+E276+E277+E278</f>
        <v>0</v>
      </c>
      <c r="F253" s="658">
        <f t="shared" si="2582"/>
        <v>0</v>
      </c>
      <c r="G253" s="657">
        <f>G254+G267+G268+G269+G270+G275+G276+G277+G278</f>
        <v>230401997.65500358</v>
      </c>
      <c r="H253" s="658">
        <f t="shared" ref="H253" si="3375">IF(G253=0,0,G253/G$4)</f>
        <v>5519.2935570316658</v>
      </c>
      <c r="I253" s="657">
        <f>I254+I267+I268+I269+I270+I275+I276+I277+I278</f>
        <v>150782710.24562961</v>
      </c>
      <c r="J253" s="658">
        <f t="shared" ref="J253" si="3376">IF(I253=0,0,I253/I$4)</f>
        <v>5138.5642536889909</v>
      </c>
      <c r="K253" s="657">
        <f>K254+K267+K268+K269+K270+K275+K276+K277+K278</f>
        <v>231673606.70213944</v>
      </c>
      <c r="L253" s="658">
        <f t="shared" ref="L253" si="3377">IF(K253=0,0,K253/K$4)</f>
        <v>5441.5493032481418</v>
      </c>
      <c r="M253" s="657">
        <f>M254+M267+M268+M269+M270+M275+M276+M277+M278</f>
        <v>42942056.784366079</v>
      </c>
      <c r="N253" s="658">
        <f t="shared" ref="N253" si="3378">IF(M253=0,0,M253/M$4)</f>
        <v>9970.7571246322277</v>
      </c>
      <c r="O253" s="657">
        <f>O254+O267+O268+O269+O270+O275+O276+O277+O278</f>
        <v>0</v>
      </c>
      <c r="P253" s="658">
        <f t="shared" ref="P253" si="3379">IF(O253=0,0,O253/O$4)</f>
        <v>0</v>
      </c>
      <c r="Q253" s="657">
        <f>Q254+Q267+Q268+Q269+Q270+Q275+Q276+Q277+Q278</f>
        <v>0</v>
      </c>
      <c r="R253" s="658">
        <f t="shared" ref="R253" si="3380">IF(Q253=0,0,Q253/Q$4)</f>
        <v>0</v>
      </c>
      <c r="S253" s="657">
        <f>S254+S267+S268+S269+S270+S275+S276+S277+S278</f>
        <v>0</v>
      </c>
      <c r="T253" s="658">
        <f t="shared" ref="T253" si="3381">IF(S253=0,0,S253/S$4)</f>
        <v>0</v>
      </c>
      <c r="U253" s="657">
        <f>U254+U267+U268+U269+U270+U275+U276+U277+U278</f>
        <v>0</v>
      </c>
      <c r="V253" s="658">
        <f t="shared" ref="V253" si="3382">IF(U253=0,0,U253/U$4)</f>
        <v>0</v>
      </c>
      <c r="W253" s="657">
        <f>W254+W267+W268+W269+W270+W275+W276+W277+W278</f>
        <v>0</v>
      </c>
      <c r="X253" s="658">
        <f t="shared" ref="X253" si="3383">IF(W253=0,0,W253/W$4)</f>
        <v>0</v>
      </c>
      <c r="Y253" s="657">
        <f>Y254+Y267+Y268+Y269+Y270+Y275+Y276+Y277+Y278</f>
        <v>0</v>
      </c>
      <c r="Z253" s="658">
        <f t="shared" ref="Z253" si="3384">IF(Y253=0,0,Y253/Y$4)</f>
        <v>0</v>
      </c>
      <c r="AA253" s="657">
        <f>AA254+AA267+AA268+AA269+AA270+AA275+AA276+AA277+AA278</f>
        <v>0</v>
      </c>
      <c r="AB253" s="658">
        <f t="shared" ref="AB253" si="3385">IF(AA253=0,0,AA253/AA$4)</f>
        <v>0</v>
      </c>
      <c r="AC253" s="657">
        <f>AC254+AC267+AC268+AC269+AC270+AC275+AC276+AC277+AC278</f>
        <v>655800371.38713872</v>
      </c>
      <c r="AD253" s="658">
        <f t="shared" ref="AD253" si="3386">IF(AC253=0,0,AC253/AC$4)</f>
        <v>4072.9672912584338</v>
      </c>
      <c r="AE253" s="654"/>
    </row>
    <row r="254" spans="1:36" s="556" customFormat="1" ht="15.75" hidden="1" outlineLevel="3">
      <c r="A254" s="609" t="s">
        <v>1461</v>
      </c>
      <c r="B254" s="559" t="s">
        <v>1460</v>
      </c>
      <c r="C254" s="659">
        <f>C255+C265+C266</f>
        <v>0</v>
      </c>
      <c r="D254" s="660">
        <f t="shared" si="2582"/>
        <v>0</v>
      </c>
      <c r="E254" s="659">
        <f>E255+E265+E266</f>
        <v>0</v>
      </c>
      <c r="F254" s="660">
        <f t="shared" si="2582"/>
        <v>0</v>
      </c>
      <c r="G254" s="659">
        <f>G255+G265+G266</f>
        <v>224884865.76924288</v>
      </c>
      <c r="H254" s="660">
        <f t="shared" ref="H254" si="3387">IF(G254=0,0,G254/G$4)</f>
        <v>5387.1303345757187</v>
      </c>
      <c r="I254" s="659">
        <f>I255+I265+I266</f>
        <v>146635029.96421707</v>
      </c>
      <c r="J254" s="660">
        <f t="shared" ref="J254" si="3388">IF(I254=0,0,I254/I$4)</f>
        <v>4997.2143496112794</v>
      </c>
      <c r="K254" s="659">
        <f>K255+K265+K266</f>
        <v>225865003.69788572</v>
      </c>
      <c r="L254" s="660">
        <f t="shared" ref="L254" si="3389">IF(K254=0,0,K254/K$4)</f>
        <v>5305.1168451853655</v>
      </c>
      <c r="M254" s="659">
        <f>M255+M265+M266</f>
        <v>37424924.898605391</v>
      </c>
      <c r="N254" s="660">
        <f t="shared" ref="N254" si="3390">IF(M254=0,0,M254/M$4)</f>
        <v>8689.7290096139568</v>
      </c>
      <c r="O254" s="659">
        <f>O255+O265+O266</f>
        <v>0</v>
      </c>
      <c r="P254" s="660">
        <f t="shared" ref="P254" si="3391">IF(O254=0,0,O254/O$4)</f>
        <v>0</v>
      </c>
      <c r="Q254" s="659">
        <f>Q255+Q265+Q266</f>
        <v>0</v>
      </c>
      <c r="R254" s="660">
        <f t="shared" ref="R254" si="3392">IF(Q254=0,0,Q254/Q$4)</f>
        <v>0</v>
      </c>
      <c r="S254" s="659">
        <f>S255+S265+S266</f>
        <v>0</v>
      </c>
      <c r="T254" s="660">
        <f t="shared" ref="T254:AD255" si="3393">IF(S254=0,0,S254/S$4)</f>
        <v>0</v>
      </c>
      <c r="U254" s="659">
        <f>U255+U265+U266</f>
        <v>0</v>
      </c>
      <c r="V254" s="660">
        <f t="shared" ref="V254" si="3394">IF(U254=0,0,U254/U$4)</f>
        <v>0</v>
      </c>
      <c r="W254" s="659">
        <f>W255+W265+W266</f>
        <v>0</v>
      </c>
      <c r="X254" s="660">
        <f t="shared" ref="X254" si="3395">IF(W254=0,0,W254/W$4)</f>
        <v>0</v>
      </c>
      <c r="Y254" s="659">
        <f>Y255+Y265+Y266</f>
        <v>0</v>
      </c>
      <c r="Z254" s="660">
        <f t="shared" ref="Z254" si="3396">IF(Y254=0,0,Y254/Y$4)</f>
        <v>0</v>
      </c>
      <c r="AA254" s="659">
        <f>AA255+AA265+AA266</f>
        <v>0</v>
      </c>
      <c r="AB254" s="660">
        <f t="shared" ref="AB254" si="3397">IF(AA254=0,0,AA254/AA$4)</f>
        <v>0</v>
      </c>
      <c r="AC254" s="659">
        <f>AC255+AC265+AC266</f>
        <v>634809824.32995105</v>
      </c>
      <c r="AD254" s="660">
        <f t="shared" ref="AD254" si="3398">IF(AC254=0,0,AC254/AC$4)</f>
        <v>3942.6016871513316</v>
      </c>
      <c r="AE254" s="654"/>
    </row>
    <row r="255" spans="1:36" s="556" customFormat="1" ht="15.75" hidden="1" outlineLevel="5">
      <c r="A255" s="612" t="s">
        <v>1445</v>
      </c>
      <c r="B255" s="560" t="s">
        <v>1459</v>
      </c>
      <c r="C255" s="661">
        <f>C256+C259+C262</f>
        <v>0</v>
      </c>
      <c r="D255" s="662">
        <f t="shared" si="2582"/>
        <v>0</v>
      </c>
      <c r="E255" s="661">
        <f t="shared" ref="E255" si="3399">E256+E259+E262</f>
        <v>0</v>
      </c>
      <c r="F255" s="662">
        <f t="shared" si="2582"/>
        <v>0</v>
      </c>
      <c r="G255" s="661">
        <f t="shared" ref="G255" si="3400">G256+G259+G262</f>
        <v>224884865.76924288</v>
      </c>
      <c r="H255" s="662">
        <f t="shared" si="2582"/>
        <v>5387.1303345757187</v>
      </c>
      <c r="I255" s="661">
        <f t="shared" ref="I255" si="3401">I256+I259+I262</f>
        <v>146635029.96421707</v>
      </c>
      <c r="J255" s="662">
        <f t="shared" si="2582"/>
        <v>4997.2143496112794</v>
      </c>
      <c r="K255" s="661">
        <f t="shared" ref="K255" si="3402">K256+K259+K262</f>
        <v>225865003.69788572</v>
      </c>
      <c r="L255" s="662">
        <f t="shared" si="2582"/>
        <v>5305.1168451853655</v>
      </c>
      <c r="M255" s="661">
        <f t="shared" ref="M255" si="3403">M256+M259+M262</f>
        <v>37424924.898605391</v>
      </c>
      <c r="N255" s="662">
        <f t="shared" si="2582"/>
        <v>8689.7290096139568</v>
      </c>
      <c r="O255" s="661">
        <f t="shared" ref="O255" si="3404">O256+O259+O262</f>
        <v>0</v>
      </c>
      <c r="P255" s="662">
        <f t="shared" si="2582"/>
        <v>0</v>
      </c>
      <c r="Q255" s="661">
        <f t="shared" ref="Q255" si="3405">Q256+Q259+Q262</f>
        <v>0</v>
      </c>
      <c r="R255" s="662">
        <f t="shared" si="2582"/>
        <v>0</v>
      </c>
      <c r="S255" s="661">
        <f t="shared" ref="S255" si="3406">S256+S259+S262</f>
        <v>0</v>
      </c>
      <c r="T255" s="662">
        <f t="shared" si="3393"/>
        <v>0</v>
      </c>
      <c r="U255" s="661">
        <f t="shared" ref="U255" si="3407">U256+U259+U262</f>
        <v>0</v>
      </c>
      <c r="V255" s="662">
        <f t="shared" si="3393"/>
        <v>0</v>
      </c>
      <c r="W255" s="661">
        <f t="shared" ref="W255" si="3408">W256+W259+W262</f>
        <v>0</v>
      </c>
      <c r="X255" s="662">
        <f t="shared" si="3393"/>
        <v>0</v>
      </c>
      <c r="Y255" s="661">
        <f t="shared" ref="Y255" si="3409">Y256+Y259+Y262</f>
        <v>0</v>
      </c>
      <c r="Z255" s="662">
        <f t="shared" si="3393"/>
        <v>0</v>
      </c>
      <c r="AA255" s="661">
        <f t="shared" ref="AA255" si="3410">AA256+AA259+AA262</f>
        <v>0</v>
      </c>
      <c r="AB255" s="662">
        <f t="shared" si="3393"/>
        <v>0</v>
      </c>
      <c r="AC255" s="661">
        <f t="shared" ref="AC255" si="3411">AC256+AC259+AC262</f>
        <v>634809824.32995105</v>
      </c>
      <c r="AD255" s="662">
        <f t="shared" si="3393"/>
        <v>3942.6016871513316</v>
      </c>
      <c r="AE255" s="654"/>
    </row>
    <row r="256" spans="1:36" s="68" customFormat="1" hidden="1" outlineLevel="6" collapsed="1">
      <c r="A256" s="117"/>
      <c r="B256" s="118" t="s">
        <v>941</v>
      </c>
      <c r="C256" s="661"/>
      <c r="D256" s="662">
        <f t="shared" si="2582"/>
        <v>0</v>
      </c>
      <c r="E256" s="661"/>
      <c r="F256" s="662">
        <f t="shared" si="2582"/>
        <v>0</v>
      </c>
      <c r="G256" s="661">
        <f>SUM(Калькулятор_жилье!M186:M200)</f>
        <v>206332254.97707501</v>
      </c>
      <c r="H256" s="662">
        <f t="shared" ref="H256" si="3412">IF(G256=0,0,G256/G$4)</f>
        <v>4942.701439629006</v>
      </c>
      <c r="I256" s="661">
        <f>SUM(Калькулятор_жилье!N186:N200)</f>
        <v>132687511.66218057</v>
      </c>
      <c r="J256" s="662">
        <f t="shared" ref="J256" si="3413">IF(I256=0,0,I256/I$4)</f>
        <v>4521.8931482761609</v>
      </c>
      <c r="K256" s="661">
        <f>SUM(Калькулятор_жилье!O186:O200)</f>
        <v>206332254.97707501</v>
      </c>
      <c r="L256" s="662">
        <f t="shared" ref="L256" si="3414">IF(K256=0,0,K256/K$4)</f>
        <v>4846.3316745081438</v>
      </c>
      <c r="M256" s="661">
        <f>SUM(Калькулятор_жилье!P186:P200)</f>
        <v>18872314.106437501</v>
      </c>
      <c r="N256" s="662">
        <f t="shared" ref="N256" si="3415">IF(M256=0,0,M256/M$4)</f>
        <v>4381.9806135500839</v>
      </c>
      <c r="O256" s="661">
        <f>SUM(Калькулятор_жилье!Q186:Q200)</f>
        <v>0</v>
      </c>
      <c r="P256" s="662">
        <f t="shared" ref="P256" si="3416">IF(O256=0,0,O256/O$4)</f>
        <v>0</v>
      </c>
      <c r="Q256" s="661">
        <f>SUM(Калькулятор_жилье!R186:R200)</f>
        <v>0</v>
      </c>
      <c r="R256" s="662">
        <f t="shared" ref="R256" si="3417">IF(Q256=0,0,Q256/Q$4)</f>
        <v>0</v>
      </c>
      <c r="S256" s="661">
        <f>SUM(Калькулятор_жилье!S186:S200)</f>
        <v>0</v>
      </c>
      <c r="T256" s="662">
        <f t="shared" ref="T256" si="3418">IF(S256=0,0,S256/S$4)</f>
        <v>0</v>
      </c>
      <c r="U256" s="661">
        <f>SUM(Калькулятор_жилье!T186:T200)</f>
        <v>0</v>
      </c>
      <c r="V256" s="662">
        <f t="shared" ref="V256" si="3419">IF(U256=0,0,U256/U$4)</f>
        <v>0</v>
      </c>
      <c r="W256" s="661">
        <f>SUM(Калькулятор_жилье!U186:U200)</f>
        <v>0</v>
      </c>
      <c r="X256" s="662">
        <f t="shared" ref="X256" si="3420">IF(W256=0,0,W256/W$4)</f>
        <v>0</v>
      </c>
      <c r="Y256" s="661">
        <f>SUM(Калькулятор_жилье!V186:V200)</f>
        <v>0</v>
      </c>
      <c r="Z256" s="662">
        <f t="shared" ref="Z256" si="3421">IF(Y256=0,0,Y256/Y$4)</f>
        <v>0</v>
      </c>
      <c r="AA256" s="661">
        <f>SUM(Калькулятор_жилье!W186:W200)</f>
        <v>0</v>
      </c>
      <c r="AB256" s="662">
        <f t="shared" ref="AB256" si="3422">IF(AA256=0,0,AA256/AA$4)</f>
        <v>0</v>
      </c>
      <c r="AC256" s="661">
        <f t="shared" ref="AC256:AC262" si="3423">C256+E256+G256+I256+K256+M256+O256+Q256+S256+U256+W256+AA256+Y256</f>
        <v>564224335.72276807</v>
      </c>
      <c r="AD256" s="662">
        <f t="shared" ref="AD256" si="3424">IF(AC256=0,0,AC256/AC$4)</f>
        <v>3504.2176927561291</v>
      </c>
      <c r="AE256" s="665"/>
      <c r="AF256" s="114"/>
      <c r="AG256" s="114"/>
      <c r="AH256" s="114"/>
      <c r="AI256" s="114"/>
      <c r="AJ256" s="114"/>
    </row>
    <row r="257" spans="1:36" s="68" customFormat="1" hidden="1" outlineLevel="7">
      <c r="A257" s="245"/>
      <c r="B257" s="246" t="s">
        <v>419</v>
      </c>
      <c r="C257" s="663"/>
      <c r="D257" s="663">
        <f t="shared" si="2582"/>
        <v>0</v>
      </c>
      <c r="E257" s="663"/>
      <c r="F257" s="663">
        <f t="shared" si="2582"/>
        <v>0</v>
      </c>
      <c r="G257" s="663">
        <f>G256-G258*курс</f>
        <v>206332254.97707501</v>
      </c>
      <c r="H257" s="663">
        <f t="shared" ref="H257" si="3425">IF(G257=0,0,G257/G$4)</f>
        <v>4942.701439629006</v>
      </c>
      <c r="I257" s="663">
        <f>I256-I258*курс</f>
        <v>132687511.66218057</v>
      </c>
      <c r="J257" s="663">
        <f t="shared" ref="J257" si="3426">IF(I257=0,0,I257/I$4)</f>
        <v>4521.8931482761609</v>
      </c>
      <c r="K257" s="663">
        <f>K256-K258*курс</f>
        <v>206332254.97707501</v>
      </c>
      <c r="L257" s="663">
        <f t="shared" ref="L257" si="3427">IF(K257=0,0,K257/K$4)</f>
        <v>4846.3316745081438</v>
      </c>
      <c r="M257" s="663">
        <f>M256-M258*курс</f>
        <v>18872314.106437501</v>
      </c>
      <c r="N257" s="663">
        <f t="shared" ref="N257" si="3428">IF(M257=0,0,M257/M$4)</f>
        <v>4381.9806135500839</v>
      </c>
      <c r="O257" s="663">
        <f>O256-O258*курс</f>
        <v>0</v>
      </c>
      <c r="P257" s="663">
        <f t="shared" ref="P257" si="3429">IF(O257=0,0,O257/O$4)</f>
        <v>0</v>
      </c>
      <c r="Q257" s="663">
        <f>Q256-Q258*курс</f>
        <v>0</v>
      </c>
      <c r="R257" s="663">
        <f t="shared" ref="R257" si="3430">IF(Q257=0,0,Q257/Q$4)</f>
        <v>0</v>
      </c>
      <c r="S257" s="663">
        <f>S256-S258*курс</f>
        <v>0</v>
      </c>
      <c r="T257" s="663">
        <f t="shared" ref="T257" si="3431">IF(S257=0,0,S257/S$4)</f>
        <v>0</v>
      </c>
      <c r="U257" s="663">
        <f>U256-U258*курс</f>
        <v>0</v>
      </c>
      <c r="V257" s="663">
        <f t="shared" ref="V257" si="3432">IF(U257=0,0,U257/U$4)</f>
        <v>0</v>
      </c>
      <c r="W257" s="663">
        <f>W256-W258*курс</f>
        <v>0</v>
      </c>
      <c r="X257" s="663">
        <f t="shared" ref="X257" si="3433">IF(W257=0,0,W257/W$4)</f>
        <v>0</v>
      </c>
      <c r="Y257" s="663">
        <f>Y256-Y258*курс</f>
        <v>0</v>
      </c>
      <c r="Z257" s="663">
        <f t="shared" ref="Z257" si="3434">IF(Y257=0,0,Y257/Y$4)</f>
        <v>0</v>
      </c>
      <c r="AA257" s="663">
        <f>AA256-AA258*курс</f>
        <v>0</v>
      </c>
      <c r="AB257" s="663">
        <f t="shared" ref="AB257" si="3435">IF(AA257=0,0,AA257/AA$4)</f>
        <v>0</v>
      </c>
      <c r="AC257" s="663">
        <f t="shared" ref="AC257:AC258" si="3436">C257+E257+G257+I257+K257+M257+O257+Q257+S257+U257+W257+AA257+Y257</f>
        <v>564224335.72276807</v>
      </c>
      <c r="AD257" s="663">
        <f t="shared" ref="AD257" si="3437">IF(AC257=0,0,AC257/AC$4)</f>
        <v>3504.2176927561291</v>
      </c>
      <c r="AE257" s="665"/>
      <c r="AF257" s="114"/>
      <c r="AG257" s="114"/>
      <c r="AH257" s="114"/>
      <c r="AI257" s="114"/>
      <c r="AJ257" s="114"/>
    </row>
    <row r="258" spans="1:36" s="68" customFormat="1" hidden="1" outlineLevel="7">
      <c r="A258" s="245"/>
      <c r="B258" s="246" t="s">
        <v>420</v>
      </c>
      <c r="C258" s="663"/>
      <c r="D258" s="663">
        <f t="shared" si="2582"/>
        <v>0</v>
      </c>
      <c r="E258" s="663"/>
      <c r="F258" s="663">
        <f t="shared" si="2582"/>
        <v>0</v>
      </c>
      <c r="G258" s="663">
        <f>SUM(Калькулятор_жилье!AC198:AC200)</f>
        <v>0</v>
      </c>
      <c r="H258" s="663">
        <f t="shared" ref="H258" si="3438">IF(G258=0,0,G258/G$4)</f>
        <v>0</v>
      </c>
      <c r="I258" s="663">
        <f>SUM(Калькулятор_жилье!AD198:AD200)</f>
        <v>0</v>
      </c>
      <c r="J258" s="663">
        <f t="shared" ref="J258" si="3439">IF(I258=0,0,I258/I$4)</f>
        <v>0</v>
      </c>
      <c r="K258" s="663">
        <f>SUM(Калькулятор_жилье!AE198:AE200)</f>
        <v>0</v>
      </c>
      <c r="L258" s="663">
        <f t="shared" ref="L258" si="3440">IF(K258=0,0,K258/K$4)</f>
        <v>0</v>
      </c>
      <c r="M258" s="663">
        <f>SUM(Калькулятор_жилье!AF198:AF200)</f>
        <v>0</v>
      </c>
      <c r="N258" s="663">
        <f t="shared" ref="N258" si="3441">IF(M258=0,0,M258/M$4)</f>
        <v>0</v>
      </c>
      <c r="O258" s="663">
        <f>SUM(Калькулятор_жилье!AG198:AG200)</f>
        <v>0</v>
      </c>
      <c r="P258" s="663">
        <f t="shared" ref="P258" si="3442">IF(O258=0,0,O258/O$4)</f>
        <v>0</v>
      </c>
      <c r="Q258" s="663">
        <f>SUM(Калькулятор_жилье!AH198:AH200)</f>
        <v>0</v>
      </c>
      <c r="R258" s="663">
        <f t="shared" ref="R258" si="3443">IF(Q258=0,0,Q258/Q$4)</f>
        <v>0</v>
      </c>
      <c r="S258" s="663">
        <f>SUM(Калькулятор_жилье!AI198:AI200)</f>
        <v>0</v>
      </c>
      <c r="T258" s="663">
        <f t="shared" ref="T258" si="3444">IF(S258=0,0,S258/S$4)</f>
        <v>0</v>
      </c>
      <c r="U258" s="663">
        <f>SUM(Калькулятор_жилье!AJ198:AJ200)</f>
        <v>0</v>
      </c>
      <c r="V258" s="663">
        <f t="shared" ref="V258" si="3445">IF(U258=0,0,U258/U$4)</f>
        <v>0</v>
      </c>
      <c r="W258" s="663">
        <f>SUM(Калькулятор_жилье!AK198:AK200)</f>
        <v>0</v>
      </c>
      <c r="X258" s="663">
        <f t="shared" ref="X258" si="3446">IF(W258=0,0,W258/W$4)</f>
        <v>0</v>
      </c>
      <c r="Y258" s="663">
        <f>SUM(Калькулятор_жилье!AL198:AL200)</f>
        <v>0</v>
      </c>
      <c r="Z258" s="663">
        <f t="shared" ref="Z258" si="3447">IF(Y258=0,0,Y258/Y$4)</f>
        <v>0</v>
      </c>
      <c r="AA258" s="663">
        <f>SUM(Калькулятор_жилье!AM198:AM200)</f>
        <v>0</v>
      </c>
      <c r="AB258" s="663">
        <f t="shared" ref="AB258" si="3448">IF(AA258=0,0,AA258/AA$4)</f>
        <v>0</v>
      </c>
      <c r="AC258" s="663">
        <f t="shared" si="3436"/>
        <v>0</v>
      </c>
      <c r="AD258" s="663">
        <f t="shared" ref="AD258" si="3449">IF(AC258=0,0,AC258/AC$4)</f>
        <v>0</v>
      </c>
      <c r="AE258" s="665"/>
      <c r="AF258" s="114"/>
      <c r="AG258" s="114"/>
      <c r="AH258" s="114"/>
      <c r="AI258" s="114"/>
      <c r="AJ258" s="114"/>
    </row>
    <row r="259" spans="1:36" s="68" customFormat="1" hidden="1" outlineLevel="6" collapsed="1">
      <c r="A259" s="117"/>
      <c r="B259" s="118" t="s">
        <v>940</v>
      </c>
      <c r="C259" s="661"/>
      <c r="D259" s="661">
        <f t="shared" si="2582"/>
        <v>0</v>
      </c>
      <c r="E259" s="661"/>
      <c r="F259" s="661">
        <f t="shared" si="2582"/>
        <v>0</v>
      </c>
      <c r="G259" s="661">
        <f>SUM(Калькулятор_жилье!M201:M202)</f>
        <v>0</v>
      </c>
      <c r="H259" s="661">
        <f t="shared" ref="H259" si="3450">IF(G259=0,0,G259/G$4)</f>
        <v>0</v>
      </c>
      <c r="I259" s="661">
        <f>SUM(Калькулятор_жилье!N201:N202)</f>
        <v>0</v>
      </c>
      <c r="J259" s="661">
        <f t="shared" ref="J259" si="3451">IF(I259=0,0,I259/I$4)</f>
        <v>0</v>
      </c>
      <c r="K259" s="661">
        <f>SUM(Калькулятор_жилье!O201:O202)</f>
        <v>0</v>
      </c>
      <c r="L259" s="661">
        <f t="shared" ref="L259" si="3452">IF(K259=0,0,K259/K$4)</f>
        <v>0</v>
      </c>
      <c r="M259" s="661">
        <f>SUM(Калькулятор_жилье!P201:P202)</f>
        <v>0</v>
      </c>
      <c r="N259" s="661">
        <f t="shared" ref="N259" si="3453">IF(M259=0,0,M259/M$4)</f>
        <v>0</v>
      </c>
      <c r="O259" s="661">
        <f>SUM(Калькулятор_жилье!Q201:Q202)</f>
        <v>0</v>
      </c>
      <c r="P259" s="661">
        <f t="shared" ref="P259" si="3454">IF(O259=0,0,O259/O$4)</f>
        <v>0</v>
      </c>
      <c r="Q259" s="661">
        <f>SUM(Калькулятор_жилье!R201:R202)</f>
        <v>0</v>
      </c>
      <c r="R259" s="661">
        <f t="shared" ref="R259" si="3455">IF(Q259=0,0,Q259/Q$4)</f>
        <v>0</v>
      </c>
      <c r="S259" s="661">
        <f>SUM(Калькулятор_жилье!S201:S202)</f>
        <v>0</v>
      </c>
      <c r="T259" s="661">
        <f t="shared" ref="T259" si="3456">IF(S259=0,0,S259/S$4)</f>
        <v>0</v>
      </c>
      <c r="U259" s="661">
        <f>SUM(Калькулятор_жилье!T201:T202)</f>
        <v>0</v>
      </c>
      <c r="V259" s="661">
        <f t="shared" ref="V259" si="3457">IF(U259=0,0,U259/U$4)</f>
        <v>0</v>
      </c>
      <c r="W259" s="661">
        <f>SUM(Калькулятор_жилье!U201:U202)</f>
        <v>0</v>
      </c>
      <c r="X259" s="661">
        <f t="shared" ref="X259" si="3458">IF(W259=0,0,W259/W$4)</f>
        <v>0</v>
      </c>
      <c r="Y259" s="661">
        <f>SUM(Калькулятор_жилье!V201:V202)</f>
        <v>0</v>
      </c>
      <c r="Z259" s="661">
        <f t="shared" ref="Z259" si="3459">IF(Y259=0,0,Y259/Y$4)</f>
        <v>0</v>
      </c>
      <c r="AA259" s="661">
        <f>SUM(Калькулятор_жилье!W201:W202)</f>
        <v>0</v>
      </c>
      <c r="AB259" s="661">
        <f t="shared" ref="AB259" si="3460">IF(AA259=0,0,AA259/AA$4)</f>
        <v>0</v>
      </c>
      <c r="AC259" s="661">
        <f t="shared" si="3423"/>
        <v>0</v>
      </c>
      <c r="AD259" s="661">
        <f t="shared" ref="AD259" si="3461">IF(AC259=0,0,AC259/AC$4)</f>
        <v>0</v>
      </c>
      <c r="AE259" s="665"/>
      <c r="AF259" s="114"/>
      <c r="AG259" s="114"/>
      <c r="AH259" s="114"/>
      <c r="AI259" s="114"/>
      <c r="AJ259" s="114"/>
    </row>
    <row r="260" spans="1:36" s="68" customFormat="1" hidden="1" outlineLevel="7">
      <c r="A260" s="245"/>
      <c r="B260" s="246" t="s">
        <v>419</v>
      </c>
      <c r="C260" s="663"/>
      <c r="D260" s="663">
        <f t="shared" si="2582"/>
        <v>0</v>
      </c>
      <c r="E260" s="663"/>
      <c r="F260" s="663">
        <f t="shared" si="2582"/>
        <v>0</v>
      </c>
      <c r="G260" s="663">
        <f>G259-G261*курс</f>
        <v>0</v>
      </c>
      <c r="H260" s="663">
        <f t="shared" ref="H260" si="3462">IF(G260=0,0,G260/G$4)</f>
        <v>0</v>
      </c>
      <c r="I260" s="663">
        <f>I259-I261*курс</f>
        <v>0</v>
      </c>
      <c r="J260" s="663">
        <f t="shared" ref="J260" si="3463">IF(I260=0,0,I260/I$4)</f>
        <v>0</v>
      </c>
      <c r="K260" s="663">
        <f>K259-K261*курс</f>
        <v>0</v>
      </c>
      <c r="L260" s="663">
        <f t="shared" ref="L260" si="3464">IF(K260=0,0,K260/K$4)</f>
        <v>0</v>
      </c>
      <c r="M260" s="663">
        <f>M259-M261*курс</f>
        <v>0</v>
      </c>
      <c r="N260" s="663">
        <f t="shared" ref="N260" si="3465">IF(M260=0,0,M260/M$4)</f>
        <v>0</v>
      </c>
      <c r="O260" s="663">
        <f>O259-O261*курс</f>
        <v>0</v>
      </c>
      <c r="P260" s="663">
        <f t="shared" ref="P260" si="3466">IF(O260=0,0,O260/O$4)</f>
        <v>0</v>
      </c>
      <c r="Q260" s="663">
        <f>Q259-Q261*курс</f>
        <v>0</v>
      </c>
      <c r="R260" s="663">
        <f t="shared" ref="R260" si="3467">IF(Q260=0,0,Q260/Q$4)</f>
        <v>0</v>
      </c>
      <c r="S260" s="663">
        <f>S259-S261*курс</f>
        <v>0</v>
      </c>
      <c r="T260" s="663">
        <f t="shared" ref="T260" si="3468">IF(S260=0,0,S260/S$4)</f>
        <v>0</v>
      </c>
      <c r="U260" s="663">
        <f>U259-U261*курс</f>
        <v>0</v>
      </c>
      <c r="V260" s="663">
        <f t="shared" ref="V260" si="3469">IF(U260=0,0,U260/U$4)</f>
        <v>0</v>
      </c>
      <c r="W260" s="663">
        <f>W259-W261*курс</f>
        <v>0</v>
      </c>
      <c r="X260" s="663">
        <f t="shared" ref="X260" si="3470">IF(W260=0,0,W260/W$4)</f>
        <v>0</v>
      </c>
      <c r="Y260" s="663">
        <f>Y259-Y261*курс</f>
        <v>0</v>
      </c>
      <c r="Z260" s="663">
        <f t="shared" ref="Z260" si="3471">IF(Y260=0,0,Y260/Y$4)</f>
        <v>0</v>
      </c>
      <c r="AA260" s="663">
        <f>AA259-AA261*курс</f>
        <v>0</v>
      </c>
      <c r="AB260" s="663">
        <f t="shared" ref="AB260" si="3472">IF(AA260=0,0,AA260/AA$4)</f>
        <v>0</v>
      </c>
      <c r="AC260" s="663">
        <f t="shared" si="3423"/>
        <v>0</v>
      </c>
      <c r="AD260" s="663">
        <f t="shared" ref="AD260" si="3473">IF(AC260=0,0,AC260/AC$4)</f>
        <v>0</v>
      </c>
      <c r="AE260" s="665"/>
      <c r="AF260" s="114"/>
      <c r="AG260" s="114"/>
      <c r="AH260" s="114"/>
      <c r="AI260" s="114"/>
      <c r="AJ260" s="114"/>
    </row>
    <row r="261" spans="1:36" s="68" customFormat="1" hidden="1" outlineLevel="7">
      <c r="A261" s="245"/>
      <c r="B261" s="246" t="s">
        <v>420</v>
      </c>
      <c r="C261" s="663"/>
      <c r="D261" s="663">
        <f t="shared" ref="D261:F325" si="3474">IF(C261=0,0,C261/C$4)</f>
        <v>0</v>
      </c>
      <c r="E261" s="663"/>
      <c r="F261" s="663">
        <f t="shared" si="3474"/>
        <v>0</v>
      </c>
      <c r="G261" s="663">
        <f>Калькулятор_жилье!AC202</f>
        <v>0</v>
      </c>
      <c r="H261" s="663">
        <f t="shared" ref="H261" si="3475">IF(G261=0,0,G261/G$4)</f>
        <v>0</v>
      </c>
      <c r="I261" s="663">
        <f>Калькулятор_жилье!AD202</f>
        <v>0</v>
      </c>
      <c r="J261" s="663">
        <f t="shared" ref="J261" si="3476">IF(I261=0,0,I261/I$4)</f>
        <v>0</v>
      </c>
      <c r="K261" s="663">
        <f>Калькулятор_жилье!AE202</f>
        <v>0</v>
      </c>
      <c r="L261" s="663">
        <f t="shared" ref="L261" si="3477">IF(K261=0,0,K261/K$4)</f>
        <v>0</v>
      </c>
      <c r="M261" s="663">
        <f>Калькулятор_жилье!AF202</f>
        <v>0</v>
      </c>
      <c r="N261" s="663">
        <f t="shared" ref="N261" si="3478">IF(M261=0,0,M261/M$4)</f>
        <v>0</v>
      </c>
      <c r="O261" s="663">
        <f>Калькулятор_жилье!AG202</f>
        <v>0</v>
      </c>
      <c r="P261" s="663">
        <f t="shared" ref="P261" si="3479">IF(O261=0,0,O261/O$4)</f>
        <v>0</v>
      </c>
      <c r="Q261" s="663">
        <f>Калькулятор_жилье!AH202</f>
        <v>0</v>
      </c>
      <c r="R261" s="663">
        <f t="shared" ref="R261" si="3480">IF(Q261=0,0,Q261/Q$4)</f>
        <v>0</v>
      </c>
      <c r="S261" s="663">
        <f>Калькулятор_жилье!AI202</f>
        <v>0</v>
      </c>
      <c r="T261" s="663">
        <f t="shared" ref="T261" si="3481">IF(S261=0,0,S261/S$4)</f>
        <v>0</v>
      </c>
      <c r="U261" s="663">
        <f>Калькулятор_жилье!AJ202</f>
        <v>0</v>
      </c>
      <c r="V261" s="663">
        <f t="shared" ref="V261" si="3482">IF(U261=0,0,U261/U$4)</f>
        <v>0</v>
      </c>
      <c r="W261" s="663">
        <f>Калькулятор_жилье!AK202</f>
        <v>0</v>
      </c>
      <c r="X261" s="663">
        <f t="shared" ref="X261" si="3483">IF(W261=0,0,W261/W$4)</f>
        <v>0</v>
      </c>
      <c r="Y261" s="663">
        <f>Калькулятор_жилье!AL202</f>
        <v>0</v>
      </c>
      <c r="Z261" s="663">
        <f t="shared" ref="Z261" si="3484">IF(Y261=0,0,Y261/Y$4)</f>
        <v>0</v>
      </c>
      <c r="AA261" s="663">
        <f>Калькулятор_жилье!AM202</f>
        <v>0</v>
      </c>
      <c r="AB261" s="663">
        <f t="shared" ref="AB261" si="3485">IF(AA261=0,0,AA261/AA$4)</f>
        <v>0</v>
      </c>
      <c r="AC261" s="663">
        <f t="shared" si="3423"/>
        <v>0</v>
      </c>
      <c r="AD261" s="663">
        <f t="shared" ref="AD261" si="3486">IF(AC261=0,0,AC261/AC$4)</f>
        <v>0</v>
      </c>
      <c r="AE261" s="665"/>
      <c r="AF261" s="114"/>
      <c r="AG261" s="114"/>
      <c r="AH261" s="114"/>
      <c r="AI261" s="114"/>
      <c r="AJ261" s="114"/>
    </row>
    <row r="262" spans="1:36" s="68" customFormat="1" hidden="1" outlineLevel="6" collapsed="1">
      <c r="A262" s="117"/>
      <c r="B262" s="118" t="s">
        <v>942</v>
      </c>
      <c r="C262" s="661"/>
      <c r="D262" s="662">
        <f t="shared" si="3474"/>
        <v>0</v>
      </c>
      <c r="E262" s="661"/>
      <c r="F262" s="662">
        <f t="shared" si="3474"/>
        <v>0</v>
      </c>
      <c r="G262" s="661">
        <f>SUM(Калькулятор_жилье!M212:M214)</f>
        <v>18552610.792167887</v>
      </c>
      <c r="H262" s="662">
        <f t="shared" ref="H262" si="3487">IF(G262=0,0,G262/G$4)</f>
        <v>444.42889494671289</v>
      </c>
      <c r="I262" s="661">
        <f>SUM(Калькулятор_жилье!N212:N214)</f>
        <v>13947518.302036488</v>
      </c>
      <c r="J262" s="662">
        <f t="shared" ref="J262" si="3488">IF(I262=0,0,I262/I$4)</f>
        <v>475.32120133511802</v>
      </c>
      <c r="K262" s="661">
        <f>SUM(Калькулятор_жилье!O212:O214)</f>
        <v>19532748.720810715</v>
      </c>
      <c r="L262" s="662">
        <f t="shared" ref="L262" si="3489">IF(K262=0,0,K262/K$4)</f>
        <v>458.78517067722174</v>
      </c>
      <c r="M262" s="661">
        <f>SUM(Калькулятор_жилье!P212:P214)</f>
        <v>18552610.792167887</v>
      </c>
      <c r="N262" s="662">
        <f t="shared" ref="N262" si="3490">IF(M262=0,0,M262/M$4)</f>
        <v>4307.7483960638729</v>
      </c>
      <c r="O262" s="661">
        <f>SUM(Калькулятор_жилье!Q212:Q214)</f>
        <v>0</v>
      </c>
      <c r="P262" s="662">
        <f t="shared" ref="P262" si="3491">IF(O262=0,0,O262/O$4)</f>
        <v>0</v>
      </c>
      <c r="Q262" s="661">
        <f>SUM(Калькулятор_жилье!R212:R214)</f>
        <v>0</v>
      </c>
      <c r="R262" s="662">
        <f t="shared" ref="R262" si="3492">IF(Q262=0,0,Q262/Q$4)</f>
        <v>0</v>
      </c>
      <c r="S262" s="661">
        <f>SUM(Калькулятор_жилье!S212:S214)</f>
        <v>0</v>
      </c>
      <c r="T262" s="662">
        <f t="shared" ref="T262" si="3493">IF(S262=0,0,S262/S$4)</f>
        <v>0</v>
      </c>
      <c r="U262" s="661">
        <f>SUM(Калькулятор_жилье!T212:T214)</f>
        <v>0</v>
      </c>
      <c r="V262" s="662">
        <f t="shared" ref="V262" si="3494">IF(U262=0,0,U262/U$4)</f>
        <v>0</v>
      </c>
      <c r="W262" s="661">
        <f>SUM(Калькулятор_жилье!U212:U214)</f>
        <v>0</v>
      </c>
      <c r="X262" s="662">
        <f t="shared" ref="X262" si="3495">IF(W262=0,0,W262/W$4)</f>
        <v>0</v>
      </c>
      <c r="Y262" s="661">
        <f>SUM(Калькулятор_жилье!V212:V214)</f>
        <v>0</v>
      </c>
      <c r="Z262" s="662">
        <f t="shared" ref="Z262" si="3496">IF(Y262=0,0,Y262/Y$4)</f>
        <v>0</v>
      </c>
      <c r="AA262" s="661">
        <f>SUM(Калькулятор_жилье!W212:W214)</f>
        <v>0</v>
      </c>
      <c r="AB262" s="662">
        <f t="shared" ref="AB262" si="3497">IF(AA262=0,0,AA262/AA$4)</f>
        <v>0</v>
      </c>
      <c r="AC262" s="661">
        <f t="shared" si="3423"/>
        <v>70585488.60718298</v>
      </c>
      <c r="AD262" s="662">
        <f t="shared" ref="AD262" si="3498">IF(AC262=0,0,AC262/AC$4)</f>
        <v>438.38399439520242</v>
      </c>
      <c r="AE262" s="665"/>
      <c r="AF262" s="114"/>
      <c r="AG262" s="114"/>
      <c r="AH262" s="114"/>
      <c r="AI262" s="114"/>
      <c r="AJ262" s="114"/>
    </row>
    <row r="263" spans="1:36" s="68" customFormat="1" hidden="1" outlineLevel="7">
      <c r="A263" s="245"/>
      <c r="B263" s="246" t="s">
        <v>419</v>
      </c>
      <c r="C263" s="663"/>
      <c r="D263" s="663">
        <f t="shared" si="3474"/>
        <v>0</v>
      </c>
      <c r="E263" s="663"/>
      <c r="F263" s="663">
        <f t="shared" si="3474"/>
        <v>0</v>
      </c>
      <c r="G263" s="663">
        <f>G262-G264*курс</f>
        <v>18552610.792167887</v>
      </c>
      <c r="H263" s="663">
        <f t="shared" ref="H263" si="3499">IF(G263=0,0,G263/G$4)</f>
        <v>444.42889494671289</v>
      </c>
      <c r="I263" s="663">
        <f>I262-I264*курс</f>
        <v>13947518.302036488</v>
      </c>
      <c r="J263" s="663">
        <f t="shared" ref="J263" si="3500">IF(I263=0,0,I263/I$4)</f>
        <v>475.32120133511802</v>
      </c>
      <c r="K263" s="663">
        <f>K262-K264*курс</f>
        <v>19532748.720810715</v>
      </c>
      <c r="L263" s="663">
        <f t="shared" ref="L263" si="3501">IF(K263=0,0,K263/K$4)</f>
        <v>458.78517067722174</v>
      </c>
      <c r="M263" s="663">
        <f>M262-M264*курс</f>
        <v>18552610.792167887</v>
      </c>
      <c r="N263" s="663">
        <f t="shared" ref="N263" si="3502">IF(M263=0,0,M263/M$4)</f>
        <v>4307.7483960638729</v>
      </c>
      <c r="O263" s="663">
        <f>O262-O264*курс</f>
        <v>0</v>
      </c>
      <c r="P263" s="663">
        <f t="shared" ref="P263" si="3503">IF(O263=0,0,O263/O$4)</f>
        <v>0</v>
      </c>
      <c r="Q263" s="663">
        <f>Q262-Q264*курс</f>
        <v>0</v>
      </c>
      <c r="R263" s="663">
        <f t="shared" ref="R263" si="3504">IF(Q263=0,0,Q263/Q$4)</f>
        <v>0</v>
      </c>
      <c r="S263" s="663">
        <f>S262-S264*курс</f>
        <v>0</v>
      </c>
      <c r="T263" s="663">
        <f t="shared" ref="T263" si="3505">IF(S263=0,0,S263/S$4)</f>
        <v>0</v>
      </c>
      <c r="U263" s="663">
        <f>U262-U264*курс</f>
        <v>0</v>
      </c>
      <c r="V263" s="663">
        <f t="shared" ref="V263" si="3506">IF(U263=0,0,U263/U$4)</f>
        <v>0</v>
      </c>
      <c r="W263" s="663">
        <f>W262-W264*курс</f>
        <v>0</v>
      </c>
      <c r="X263" s="663">
        <f t="shared" ref="X263" si="3507">IF(W263=0,0,W263/W$4)</f>
        <v>0</v>
      </c>
      <c r="Y263" s="663">
        <f>Y262-Y264*курс</f>
        <v>0</v>
      </c>
      <c r="Z263" s="663">
        <f t="shared" ref="Z263" si="3508">IF(Y263=0,0,Y263/Y$4)</f>
        <v>0</v>
      </c>
      <c r="AA263" s="663">
        <f>AA262-AA264*курс</f>
        <v>0</v>
      </c>
      <c r="AB263" s="663">
        <f t="shared" ref="AB263" si="3509">IF(AA263=0,0,AA263/AA$4)</f>
        <v>0</v>
      </c>
      <c r="AC263" s="663">
        <f t="shared" ref="AC263:AC264" si="3510">C263+E263+G263+I263+K263+M263+O263+Q263+S263+U263+W263+AA263+Y263</f>
        <v>70585488.60718298</v>
      </c>
      <c r="AD263" s="663">
        <f t="shared" ref="AD263" si="3511">IF(AC263=0,0,AC263/AC$4)</f>
        <v>438.38399439520242</v>
      </c>
      <c r="AE263" s="665"/>
      <c r="AF263" s="114"/>
      <c r="AG263" s="114"/>
      <c r="AH263" s="114"/>
      <c r="AI263" s="114"/>
      <c r="AJ263" s="114"/>
    </row>
    <row r="264" spans="1:36" s="68" customFormat="1" hidden="1" outlineLevel="7">
      <c r="A264" s="245"/>
      <c r="B264" s="246" t="s">
        <v>420</v>
      </c>
      <c r="C264" s="663"/>
      <c r="D264" s="663">
        <f t="shared" si="3474"/>
        <v>0</v>
      </c>
      <c r="E264" s="663"/>
      <c r="F264" s="663">
        <f t="shared" si="3474"/>
        <v>0</v>
      </c>
      <c r="G264" s="663">
        <f>Калькулятор_жилье!AC214</f>
        <v>0</v>
      </c>
      <c r="H264" s="663">
        <f t="shared" ref="H264" si="3512">IF(G264=0,0,G264/G$4)</f>
        <v>0</v>
      </c>
      <c r="I264" s="663">
        <f>Калькулятор_жилье!AD214</f>
        <v>0</v>
      </c>
      <c r="J264" s="663">
        <f t="shared" ref="J264" si="3513">IF(I264=0,0,I264/I$4)</f>
        <v>0</v>
      </c>
      <c r="K264" s="663">
        <f>Калькулятор_жилье!AE214</f>
        <v>0</v>
      </c>
      <c r="L264" s="663">
        <f t="shared" ref="L264" si="3514">IF(K264=0,0,K264/K$4)</f>
        <v>0</v>
      </c>
      <c r="M264" s="663">
        <f>Калькулятор_жилье!AF214</f>
        <v>0</v>
      </c>
      <c r="N264" s="663">
        <f t="shared" ref="N264" si="3515">IF(M264=0,0,M264/M$4)</f>
        <v>0</v>
      </c>
      <c r="O264" s="663">
        <f>Калькулятор_жилье!AG214</f>
        <v>0</v>
      </c>
      <c r="P264" s="663">
        <f t="shared" ref="P264" si="3516">IF(O264=0,0,O264/O$4)</f>
        <v>0</v>
      </c>
      <c r="Q264" s="663">
        <f>Калькулятор_жилье!AH214</f>
        <v>0</v>
      </c>
      <c r="R264" s="663">
        <f t="shared" ref="R264" si="3517">IF(Q264=0,0,Q264/Q$4)</f>
        <v>0</v>
      </c>
      <c r="S264" s="663">
        <f>Калькулятор_жилье!AI214</f>
        <v>0</v>
      </c>
      <c r="T264" s="663">
        <f t="shared" ref="T264" si="3518">IF(S264=0,0,S264/S$4)</f>
        <v>0</v>
      </c>
      <c r="U264" s="663">
        <f>Калькулятор_жилье!AJ214</f>
        <v>0</v>
      </c>
      <c r="V264" s="663">
        <f t="shared" ref="V264" si="3519">IF(U264=0,0,U264/U$4)</f>
        <v>0</v>
      </c>
      <c r="W264" s="663">
        <f>Калькулятор_жилье!AK214</f>
        <v>0</v>
      </c>
      <c r="X264" s="663">
        <f t="shared" ref="X264" si="3520">IF(W264=0,0,W264/W$4)</f>
        <v>0</v>
      </c>
      <c r="Y264" s="663">
        <f>Калькулятор_жилье!AL214</f>
        <v>0</v>
      </c>
      <c r="Z264" s="663">
        <f t="shared" ref="Z264" si="3521">IF(Y264=0,0,Y264/Y$4)</f>
        <v>0</v>
      </c>
      <c r="AA264" s="663">
        <f>Калькулятор_жилье!AM214</f>
        <v>0</v>
      </c>
      <c r="AB264" s="663">
        <f t="shared" ref="AB264" si="3522">IF(AA264=0,0,AA264/AA$4)</f>
        <v>0</v>
      </c>
      <c r="AC264" s="663">
        <f t="shared" si="3510"/>
        <v>0</v>
      </c>
      <c r="AD264" s="663">
        <f t="shared" ref="AD264" si="3523">IF(AC264=0,0,AC264/AC$4)</f>
        <v>0</v>
      </c>
      <c r="AE264" s="665"/>
      <c r="AF264" s="114"/>
      <c r="AG264" s="114"/>
      <c r="AH264" s="114"/>
      <c r="AI264" s="114"/>
      <c r="AJ264" s="114"/>
    </row>
    <row r="265" spans="1:36" s="556" customFormat="1" ht="15.75" hidden="1" outlineLevel="5">
      <c r="A265" s="612" t="s">
        <v>1443</v>
      </c>
      <c r="B265" s="560" t="s">
        <v>1458</v>
      </c>
      <c r="C265" s="661"/>
      <c r="D265" s="662">
        <f t="shared" si="3474"/>
        <v>0</v>
      </c>
      <c r="E265" s="661"/>
      <c r="F265" s="662">
        <f t="shared" si="3474"/>
        <v>0</v>
      </c>
      <c r="G265" s="661"/>
      <c r="H265" s="662">
        <f t="shared" ref="H265" si="3524">IF(G265=0,0,G265/G$4)</f>
        <v>0</v>
      </c>
      <c r="I265" s="661"/>
      <c r="J265" s="662">
        <f t="shared" ref="J265" si="3525">IF(I265=0,0,I265/I$4)</f>
        <v>0</v>
      </c>
      <c r="K265" s="661"/>
      <c r="L265" s="662">
        <f t="shared" ref="L265" si="3526">IF(K265=0,0,K265/K$4)</f>
        <v>0</v>
      </c>
      <c r="M265" s="661"/>
      <c r="N265" s="662">
        <f t="shared" ref="N265" si="3527">IF(M265=0,0,M265/M$4)</f>
        <v>0</v>
      </c>
      <c r="O265" s="661"/>
      <c r="P265" s="662">
        <f t="shared" ref="P265" si="3528">IF(O265=0,0,O265/O$4)</f>
        <v>0</v>
      </c>
      <c r="Q265" s="661"/>
      <c r="R265" s="662">
        <f t="shared" ref="R265" si="3529">IF(Q265=0,0,Q265/Q$4)</f>
        <v>0</v>
      </c>
      <c r="S265" s="661"/>
      <c r="T265" s="662">
        <f t="shared" ref="T265" si="3530">IF(S265=0,0,S265/S$4)</f>
        <v>0</v>
      </c>
      <c r="U265" s="661"/>
      <c r="V265" s="662">
        <f t="shared" ref="V265" si="3531">IF(U265=0,0,U265/U$4)</f>
        <v>0</v>
      </c>
      <c r="W265" s="661"/>
      <c r="X265" s="662">
        <f t="shared" ref="X265" si="3532">IF(W265=0,0,W265/W$4)</f>
        <v>0</v>
      </c>
      <c r="Y265" s="661"/>
      <c r="Z265" s="662">
        <f t="shared" ref="Z265" si="3533">IF(Y265=0,0,Y265/Y$4)</f>
        <v>0</v>
      </c>
      <c r="AA265" s="661"/>
      <c r="AB265" s="662">
        <f t="shared" ref="AB265" si="3534">IF(AA265=0,0,AA265/AA$4)</f>
        <v>0</v>
      </c>
      <c r="AC265" s="661"/>
      <c r="AD265" s="662">
        <f t="shared" ref="AD265" si="3535">IF(AC265=0,0,AC265/AC$4)</f>
        <v>0</v>
      </c>
      <c r="AE265" s="654"/>
    </row>
    <row r="266" spans="1:36" s="556" customFormat="1" ht="15.75" hidden="1" outlineLevel="4">
      <c r="A266" s="612" t="s">
        <v>1457</v>
      </c>
      <c r="B266" s="560" t="s">
        <v>1456</v>
      </c>
      <c r="C266" s="661"/>
      <c r="D266" s="662">
        <f t="shared" si="3474"/>
        <v>0</v>
      </c>
      <c r="E266" s="661"/>
      <c r="F266" s="662">
        <f t="shared" si="3474"/>
        <v>0</v>
      </c>
      <c r="G266" s="661"/>
      <c r="H266" s="662">
        <f t="shared" ref="H266" si="3536">IF(G266=0,0,G266/G$4)</f>
        <v>0</v>
      </c>
      <c r="I266" s="661"/>
      <c r="J266" s="662">
        <f t="shared" ref="J266" si="3537">IF(I266=0,0,I266/I$4)</f>
        <v>0</v>
      </c>
      <c r="K266" s="661"/>
      <c r="L266" s="662">
        <f t="shared" ref="L266" si="3538">IF(K266=0,0,K266/K$4)</f>
        <v>0</v>
      </c>
      <c r="M266" s="661"/>
      <c r="N266" s="662">
        <f t="shared" ref="N266" si="3539">IF(M266=0,0,M266/M$4)</f>
        <v>0</v>
      </c>
      <c r="O266" s="661"/>
      <c r="P266" s="662">
        <f t="shared" ref="P266" si="3540">IF(O266=0,0,O266/O$4)</f>
        <v>0</v>
      </c>
      <c r="Q266" s="661"/>
      <c r="R266" s="662">
        <f t="shared" ref="R266" si="3541">IF(Q266=0,0,Q266/Q$4)</f>
        <v>0</v>
      </c>
      <c r="S266" s="661"/>
      <c r="T266" s="662">
        <f t="shared" ref="T266" si="3542">IF(S266=0,0,S266/S$4)</f>
        <v>0</v>
      </c>
      <c r="U266" s="661"/>
      <c r="V266" s="662">
        <f t="shared" ref="V266" si="3543">IF(U266=0,0,U266/U$4)</f>
        <v>0</v>
      </c>
      <c r="W266" s="661"/>
      <c r="X266" s="662">
        <f t="shared" ref="X266" si="3544">IF(W266=0,0,W266/W$4)</f>
        <v>0</v>
      </c>
      <c r="Y266" s="661"/>
      <c r="Z266" s="662">
        <f t="shared" ref="Z266" si="3545">IF(Y266=0,0,Y266/Y$4)</f>
        <v>0</v>
      </c>
      <c r="AA266" s="661"/>
      <c r="AB266" s="662">
        <f t="shared" ref="AB266" si="3546">IF(AA266=0,0,AA266/AA$4)</f>
        <v>0</v>
      </c>
      <c r="AC266" s="661"/>
      <c r="AD266" s="662">
        <f t="shared" ref="AD266" si="3547">IF(AC266=0,0,AC266/AC$4)</f>
        <v>0</v>
      </c>
      <c r="AE266" s="654"/>
    </row>
    <row r="267" spans="1:36" s="556" customFormat="1" ht="15.75" hidden="1" outlineLevel="3">
      <c r="A267" s="609" t="s">
        <v>1455</v>
      </c>
      <c r="B267" s="559" t="s">
        <v>1454</v>
      </c>
      <c r="C267" s="659"/>
      <c r="D267" s="660">
        <f t="shared" si="3474"/>
        <v>0</v>
      </c>
      <c r="E267" s="659"/>
      <c r="F267" s="660">
        <f t="shared" si="3474"/>
        <v>0</v>
      </c>
      <c r="G267" s="659"/>
      <c r="H267" s="660">
        <f t="shared" ref="H267" si="3548">IF(G267=0,0,G267/G$4)</f>
        <v>0</v>
      </c>
      <c r="I267" s="659"/>
      <c r="J267" s="660">
        <f t="shared" ref="J267" si="3549">IF(I267=0,0,I267/I$4)</f>
        <v>0</v>
      </c>
      <c r="K267" s="659"/>
      <c r="L267" s="660">
        <f t="shared" ref="L267" si="3550">IF(K267=0,0,K267/K$4)</f>
        <v>0</v>
      </c>
      <c r="M267" s="659"/>
      <c r="N267" s="660">
        <f t="shared" ref="N267" si="3551">IF(M267=0,0,M267/M$4)</f>
        <v>0</v>
      </c>
      <c r="O267" s="659"/>
      <c r="P267" s="660">
        <f t="shared" ref="P267" si="3552">IF(O267=0,0,O267/O$4)</f>
        <v>0</v>
      </c>
      <c r="Q267" s="659"/>
      <c r="R267" s="660">
        <f t="shared" ref="R267" si="3553">IF(Q267=0,0,Q267/Q$4)</f>
        <v>0</v>
      </c>
      <c r="S267" s="659"/>
      <c r="T267" s="660">
        <f t="shared" ref="T267" si="3554">IF(S267=0,0,S267/S$4)</f>
        <v>0</v>
      </c>
      <c r="U267" s="659"/>
      <c r="V267" s="660">
        <f t="shared" ref="V267" si="3555">IF(U267=0,0,U267/U$4)</f>
        <v>0</v>
      </c>
      <c r="W267" s="659"/>
      <c r="X267" s="660">
        <f t="shared" ref="X267" si="3556">IF(W267=0,0,W267/W$4)</f>
        <v>0</v>
      </c>
      <c r="Y267" s="659"/>
      <c r="Z267" s="660">
        <f t="shared" ref="Z267" si="3557">IF(Y267=0,0,Y267/Y$4)</f>
        <v>0</v>
      </c>
      <c r="AA267" s="659"/>
      <c r="AB267" s="660">
        <f t="shared" ref="AB267" si="3558">IF(AA267=0,0,AA267/AA$4)</f>
        <v>0</v>
      </c>
      <c r="AC267" s="659"/>
      <c r="AD267" s="660">
        <f t="shared" ref="AD267" si="3559">IF(AC267=0,0,AC267/AC$4)</f>
        <v>0</v>
      </c>
      <c r="AE267" s="654"/>
    </row>
    <row r="268" spans="1:36" s="556" customFormat="1" ht="15.75" hidden="1" outlineLevel="3">
      <c r="A268" s="609" t="s">
        <v>1453</v>
      </c>
      <c r="B268" s="559" t="s">
        <v>1452</v>
      </c>
      <c r="C268" s="659"/>
      <c r="D268" s="660">
        <f t="shared" si="3474"/>
        <v>0</v>
      </c>
      <c r="E268" s="659"/>
      <c r="F268" s="660">
        <f t="shared" si="3474"/>
        <v>0</v>
      </c>
      <c r="G268" s="659"/>
      <c r="H268" s="660">
        <f t="shared" ref="H268" si="3560">IF(G268=0,0,G268/G$4)</f>
        <v>0</v>
      </c>
      <c r="I268" s="659"/>
      <c r="J268" s="660">
        <f t="shared" ref="J268" si="3561">IF(I268=0,0,I268/I$4)</f>
        <v>0</v>
      </c>
      <c r="K268" s="659"/>
      <c r="L268" s="660">
        <f t="shared" ref="L268" si="3562">IF(K268=0,0,K268/K$4)</f>
        <v>0</v>
      </c>
      <c r="M268" s="659"/>
      <c r="N268" s="660">
        <f t="shared" ref="N268" si="3563">IF(M268=0,0,M268/M$4)</f>
        <v>0</v>
      </c>
      <c r="O268" s="659"/>
      <c r="P268" s="660">
        <f t="shared" ref="P268" si="3564">IF(O268=0,0,O268/O$4)</f>
        <v>0</v>
      </c>
      <c r="Q268" s="659"/>
      <c r="R268" s="660">
        <f t="shared" ref="R268" si="3565">IF(Q268=0,0,Q268/Q$4)</f>
        <v>0</v>
      </c>
      <c r="S268" s="659"/>
      <c r="T268" s="660">
        <f t="shared" ref="T268" si="3566">IF(S268=0,0,S268/S$4)</f>
        <v>0</v>
      </c>
      <c r="U268" s="659"/>
      <c r="V268" s="660">
        <f t="shared" ref="V268" si="3567">IF(U268=0,0,U268/U$4)</f>
        <v>0</v>
      </c>
      <c r="W268" s="659"/>
      <c r="X268" s="660">
        <f t="shared" ref="X268" si="3568">IF(W268=0,0,W268/W$4)</f>
        <v>0</v>
      </c>
      <c r="Y268" s="659"/>
      <c r="Z268" s="660">
        <f t="shared" ref="Z268" si="3569">IF(Y268=0,0,Y268/Y$4)</f>
        <v>0</v>
      </c>
      <c r="AA268" s="659"/>
      <c r="AB268" s="660">
        <f t="shared" ref="AB268" si="3570">IF(AA268=0,0,AA268/AA$4)</f>
        <v>0</v>
      </c>
      <c r="AC268" s="659"/>
      <c r="AD268" s="660">
        <f t="shared" ref="AD268" si="3571">IF(AC268=0,0,AC268/AC$4)</f>
        <v>0</v>
      </c>
      <c r="AE268" s="654"/>
    </row>
    <row r="269" spans="1:36" s="556" customFormat="1" ht="31.5" hidden="1" outlineLevel="3">
      <c r="A269" s="609" t="s">
        <v>1451</v>
      </c>
      <c r="B269" s="559" t="s">
        <v>1450</v>
      </c>
      <c r="C269" s="659"/>
      <c r="D269" s="660">
        <f t="shared" si="3474"/>
        <v>0</v>
      </c>
      <c r="E269" s="659"/>
      <c r="F269" s="660">
        <f t="shared" si="3474"/>
        <v>0</v>
      </c>
      <c r="G269" s="659"/>
      <c r="H269" s="660">
        <f t="shared" ref="H269" si="3572">IF(G269=0,0,G269/G$4)</f>
        <v>0</v>
      </c>
      <c r="I269" s="659"/>
      <c r="J269" s="660">
        <f t="shared" ref="J269" si="3573">IF(I269=0,0,I269/I$4)</f>
        <v>0</v>
      </c>
      <c r="K269" s="659"/>
      <c r="L269" s="660">
        <f t="shared" ref="L269" si="3574">IF(K269=0,0,K269/K$4)</f>
        <v>0</v>
      </c>
      <c r="M269" s="659"/>
      <c r="N269" s="660">
        <f t="shared" ref="N269" si="3575">IF(M269=0,0,M269/M$4)</f>
        <v>0</v>
      </c>
      <c r="O269" s="659"/>
      <c r="P269" s="660">
        <f t="shared" ref="P269" si="3576">IF(O269=0,0,O269/O$4)</f>
        <v>0</v>
      </c>
      <c r="Q269" s="659"/>
      <c r="R269" s="660">
        <f t="shared" ref="R269" si="3577">IF(Q269=0,0,Q269/Q$4)</f>
        <v>0</v>
      </c>
      <c r="S269" s="659"/>
      <c r="T269" s="660">
        <f t="shared" ref="T269" si="3578">IF(S269=0,0,S269/S$4)</f>
        <v>0</v>
      </c>
      <c r="U269" s="659"/>
      <c r="V269" s="660">
        <f t="shared" ref="V269" si="3579">IF(U269=0,0,U269/U$4)</f>
        <v>0</v>
      </c>
      <c r="W269" s="659"/>
      <c r="X269" s="660">
        <f t="shared" ref="X269" si="3580">IF(W269=0,0,W269/W$4)</f>
        <v>0</v>
      </c>
      <c r="Y269" s="659"/>
      <c r="Z269" s="660">
        <f t="shared" ref="Z269" si="3581">IF(Y269=0,0,Y269/Y$4)</f>
        <v>0</v>
      </c>
      <c r="AA269" s="659"/>
      <c r="AB269" s="660">
        <f t="shared" ref="AB269" si="3582">IF(AA269=0,0,AA269/AA$4)</f>
        <v>0</v>
      </c>
      <c r="AC269" s="659"/>
      <c r="AD269" s="660">
        <f t="shared" ref="AD269" si="3583">IF(AC269=0,0,AC269/AC$4)</f>
        <v>0</v>
      </c>
      <c r="AE269" s="654"/>
    </row>
    <row r="270" spans="1:36" s="556" customFormat="1" ht="15.75" hidden="1" outlineLevel="3" collapsed="1">
      <c r="A270" s="609" t="s">
        <v>1449</v>
      </c>
      <c r="B270" s="559" t="s">
        <v>1448</v>
      </c>
      <c r="C270" s="659">
        <f>C271+C273+C274</f>
        <v>0</v>
      </c>
      <c r="D270" s="660">
        <f t="shared" si="3474"/>
        <v>0</v>
      </c>
      <c r="E270" s="659">
        <f t="shared" ref="E270" si="3584">E271+E273+E274</f>
        <v>0</v>
      </c>
      <c r="F270" s="660">
        <f t="shared" ref="F270" si="3585">IF(E270=0,0,E270/E$4)</f>
        <v>0</v>
      </c>
      <c r="G270" s="659">
        <f t="shared" ref="G270" si="3586">G271+G273+G274</f>
        <v>0</v>
      </c>
      <c r="H270" s="660">
        <f t="shared" ref="H270" si="3587">IF(G270=0,0,G270/G$4)</f>
        <v>0</v>
      </c>
      <c r="I270" s="659">
        <f t="shared" ref="I270" si="3588">I271+I273+I274</f>
        <v>0</v>
      </c>
      <c r="J270" s="660">
        <f t="shared" ref="J270" si="3589">IF(I270=0,0,I270/I$4)</f>
        <v>0</v>
      </c>
      <c r="K270" s="659">
        <f t="shared" ref="K270" si="3590">K271+K273+K274</f>
        <v>0</v>
      </c>
      <c r="L270" s="660">
        <f t="shared" ref="L270" si="3591">IF(K270=0,0,K270/K$4)</f>
        <v>0</v>
      </c>
      <c r="M270" s="659">
        <f t="shared" ref="M270" si="3592">M271+M273+M274</f>
        <v>0</v>
      </c>
      <c r="N270" s="660">
        <f t="shared" ref="N270" si="3593">IF(M270=0,0,M270/M$4)</f>
        <v>0</v>
      </c>
      <c r="O270" s="659">
        <f t="shared" ref="O270" si="3594">O271+O273+O274</f>
        <v>0</v>
      </c>
      <c r="P270" s="660">
        <f t="shared" ref="P270" si="3595">IF(O270=0,0,O270/O$4)</f>
        <v>0</v>
      </c>
      <c r="Q270" s="659">
        <f t="shared" ref="Q270" si="3596">Q271+Q273+Q274</f>
        <v>0</v>
      </c>
      <c r="R270" s="660">
        <f t="shared" ref="R270" si="3597">IF(Q270=0,0,Q270/Q$4)</f>
        <v>0</v>
      </c>
      <c r="S270" s="659">
        <f t="shared" ref="S270" si="3598">S271+S273+S274</f>
        <v>0</v>
      </c>
      <c r="T270" s="660">
        <f t="shared" ref="T270" si="3599">IF(S270=0,0,S270/S$4)</f>
        <v>0</v>
      </c>
      <c r="U270" s="659">
        <f t="shared" ref="U270" si="3600">U271+U273+U274</f>
        <v>0</v>
      </c>
      <c r="V270" s="660">
        <f t="shared" ref="V270" si="3601">IF(U270=0,0,U270/U$4)</f>
        <v>0</v>
      </c>
      <c r="W270" s="659">
        <f t="shared" ref="W270" si="3602">W271+W273+W274</f>
        <v>0</v>
      </c>
      <c r="X270" s="660">
        <f t="shared" ref="X270" si="3603">IF(W270=0,0,W270/W$4)</f>
        <v>0</v>
      </c>
      <c r="Y270" s="659">
        <f t="shared" ref="Y270" si="3604">Y271+Y273+Y274</f>
        <v>0</v>
      </c>
      <c r="Z270" s="660">
        <f t="shared" ref="Z270" si="3605">IF(Y270=0,0,Y270/Y$4)</f>
        <v>0</v>
      </c>
      <c r="AA270" s="659">
        <f t="shared" ref="AA270" si="3606">AA271+AA273+AA274</f>
        <v>0</v>
      </c>
      <c r="AB270" s="660">
        <f t="shared" ref="AB270" si="3607">IF(AA270=0,0,AA270/AA$4)</f>
        <v>0</v>
      </c>
      <c r="AC270" s="659">
        <f t="shared" ref="AC270" si="3608">AC271+AC273+AC274</f>
        <v>0</v>
      </c>
      <c r="AD270" s="660">
        <f t="shared" ref="AD270" si="3609">IF(AC270=0,0,AC270/AC$4)</f>
        <v>0</v>
      </c>
      <c r="AE270" s="654"/>
    </row>
    <row r="271" spans="1:36" s="556" customFormat="1" ht="15.75" hidden="1" outlineLevel="4" collapsed="1">
      <c r="A271" s="612" t="s">
        <v>1447</v>
      </c>
      <c r="B271" s="560" t="s">
        <v>1446</v>
      </c>
      <c r="C271" s="661">
        <f>C272</f>
        <v>0</v>
      </c>
      <c r="D271" s="662">
        <f t="shared" si="3474"/>
        <v>0</v>
      </c>
      <c r="E271" s="661">
        <f t="shared" ref="E271" si="3610">E272</f>
        <v>0</v>
      </c>
      <c r="F271" s="662">
        <f t="shared" ref="F271" si="3611">IF(E271=0,0,E271/E$4)</f>
        <v>0</v>
      </c>
      <c r="G271" s="661">
        <f t="shared" ref="G271" si="3612">G272</f>
        <v>0</v>
      </c>
      <c r="H271" s="662">
        <f t="shared" ref="H271" si="3613">IF(G271=0,0,G271/G$4)</f>
        <v>0</v>
      </c>
      <c r="I271" s="661">
        <f t="shared" ref="I271" si="3614">I272</f>
        <v>0</v>
      </c>
      <c r="J271" s="662">
        <f t="shared" ref="J271" si="3615">IF(I271=0,0,I271/I$4)</f>
        <v>0</v>
      </c>
      <c r="K271" s="661">
        <f t="shared" ref="K271" si="3616">K272</f>
        <v>0</v>
      </c>
      <c r="L271" s="662">
        <f t="shared" ref="L271" si="3617">IF(K271=0,0,K271/K$4)</f>
        <v>0</v>
      </c>
      <c r="M271" s="661">
        <f t="shared" ref="M271" si="3618">M272</f>
        <v>0</v>
      </c>
      <c r="N271" s="662">
        <f t="shared" ref="N271" si="3619">IF(M271=0,0,M271/M$4)</f>
        <v>0</v>
      </c>
      <c r="O271" s="661">
        <f t="shared" ref="O271" si="3620">O272</f>
        <v>0</v>
      </c>
      <c r="P271" s="662">
        <f t="shared" ref="P271" si="3621">IF(O271=0,0,O271/O$4)</f>
        <v>0</v>
      </c>
      <c r="Q271" s="661">
        <f t="shared" ref="Q271" si="3622">Q272</f>
        <v>0</v>
      </c>
      <c r="R271" s="662">
        <f t="shared" ref="R271" si="3623">IF(Q271=0,0,Q271/Q$4)</f>
        <v>0</v>
      </c>
      <c r="S271" s="661">
        <f t="shared" ref="S271" si="3624">S272</f>
        <v>0</v>
      </c>
      <c r="T271" s="662">
        <f t="shared" ref="T271" si="3625">IF(S271=0,0,S271/S$4)</f>
        <v>0</v>
      </c>
      <c r="U271" s="661">
        <f t="shared" ref="U271" si="3626">U272</f>
        <v>0</v>
      </c>
      <c r="V271" s="662">
        <f t="shared" ref="V271" si="3627">IF(U271=0,0,U271/U$4)</f>
        <v>0</v>
      </c>
      <c r="W271" s="661">
        <f t="shared" ref="W271" si="3628">W272</f>
        <v>0</v>
      </c>
      <c r="X271" s="662">
        <f t="shared" ref="X271" si="3629">IF(W271=0,0,W271/W$4)</f>
        <v>0</v>
      </c>
      <c r="Y271" s="661">
        <f t="shared" ref="Y271" si="3630">Y272</f>
        <v>0</v>
      </c>
      <c r="Z271" s="662">
        <f t="shared" ref="Z271" si="3631">IF(Y271=0,0,Y271/Y$4)</f>
        <v>0</v>
      </c>
      <c r="AA271" s="661">
        <f t="shared" ref="AA271" si="3632">AA272</f>
        <v>0</v>
      </c>
      <c r="AB271" s="662">
        <f t="shared" ref="AB271" si="3633">IF(AA271=0,0,AA271/AA$4)</f>
        <v>0</v>
      </c>
      <c r="AC271" s="661">
        <f t="shared" ref="AC271" si="3634">AC272</f>
        <v>0</v>
      </c>
      <c r="AD271" s="662">
        <f t="shared" ref="AD271" si="3635">IF(AC271=0,0,AC271/AC$4)</f>
        <v>0</v>
      </c>
      <c r="AE271" s="654"/>
    </row>
    <row r="272" spans="1:36" s="68" customFormat="1" hidden="1" outlineLevel="6">
      <c r="A272" s="117"/>
      <c r="B272" s="118" t="s">
        <v>372</v>
      </c>
      <c r="C272" s="661"/>
      <c r="D272" s="662">
        <f>IF(C272=0,0,C272/C$4)</f>
        <v>0</v>
      </c>
      <c r="E272" s="661"/>
      <c r="F272" s="662">
        <f>IF(E272=0,0,E272/E$4)</f>
        <v>0</v>
      </c>
      <c r="G272" s="661">
        <f>Калькулятор_жилье!M226*0.191633815155497</f>
        <v>0</v>
      </c>
      <c r="H272" s="662">
        <f>IF(G272=0,0,G272/G$4)</f>
        <v>0</v>
      </c>
      <c r="I272" s="661">
        <f>Калькулятор_жилье!N226*0.191633815155497</f>
        <v>0</v>
      </c>
      <c r="J272" s="662">
        <f>IF(I272=0,0,I272/I$4)</f>
        <v>0</v>
      </c>
      <c r="K272" s="661">
        <f>Калькулятор_жилье!O226*0.191633815155497</f>
        <v>0</v>
      </c>
      <c r="L272" s="662">
        <f>IF(K272=0,0,K272/K$4)</f>
        <v>0</v>
      </c>
      <c r="M272" s="661">
        <f>Калькулятор_жилье!P226*0.191633815155497</f>
        <v>0</v>
      </c>
      <c r="N272" s="662">
        <f>IF(M272=0,0,M272/M$4)</f>
        <v>0</v>
      </c>
      <c r="O272" s="661">
        <f>Калькулятор_жилье!Q226*0.191633815155497</f>
        <v>0</v>
      </c>
      <c r="P272" s="662">
        <f>IF(O272=0,0,O272/O$4)</f>
        <v>0</v>
      </c>
      <c r="Q272" s="661">
        <f>Калькулятор_жилье!R226*0.191633815155497</f>
        <v>0</v>
      </c>
      <c r="R272" s="662">
        <f>IF(Q272=0,0,Q272/Q$4)</f>
        <v>0</v>
      </c>
      <c r="S272" s="661">
        <f>Калькулятор_жилье!S226*0.191633815155497</f>
        <v>0</v>
      </c>
      <c r="T272" s="662">
        <f>IF(S272=0,0,S272/S$4)</f>
        <v>0</v>
      </c>
      <c r="U272" s="661">
        <f>Калькулятор_жилье!T226*0.191633815155497</f>
        <v>0</v>
      </c>
      <c r="V272" s="662">
        <f>IF(U272=0,0,U272/U$4)</f>
        <v>0</v>
      </c>
      <c r="W272" s="661">
        <f>Калькулятор_жилье!U226*0.191633815155497</f>
        <v>0</v>
      </c>
      <c r="X272" s="662">
        <f>IF(W272=0,0,W272/W$4)</f>
        <v>0</v>
      </c>
      <c r="Y272" s="661">
        <f>Калькулятор_жилье!V226*0.191633815155497</f>
        <v>0</v>
      </c>
      <c r="Z272" s="662">
        <f>IF(Y272=0,0,Y272/Y$4)</f>
        <v>0</v>
      </c>
      <c r="AA272" s="661">
        <f>Калькулятор_жилье!W226*0.191633815155497</f>
        <v>0</v>
      </c>
      <c r="AB272" s="662">
        <f>IF(AA272=0,0,AA272/AA$4)</f>
        <v>0</v>
      </c>
      <c r="AC272" s="661">
        <f>C272+E272+G272+I272+K272+M272+O272+Q272+S272+U272+W272+AA272+Y272</f>
        <v>0</v>
      </c>
      <c r="AD272" s="662">
        <f>IF(AC272=0,0,AC272/AC$4)</f>
        <v>0</v>
      </c>
      <c r="AE272" s="665"/>
      <c r="AF272" s="114"/>
      <c r="AG272" s="114"/>
      <c r="AH272" s="114"/>
      <c r="AI272" s="114"/>
      <c r="AJ272" s="114"/>
    </row>
    <row r="273" spans="1:36" s="556" customFormat="1" ht="15.75" hidden="1" outlineLevel="4">
      <c r="A273" s="612" t="s">
        <v>1445</v>
      </c>
      <c r="B273" s="560" t="s">
        <v>1444</v>
      </c>
      <c r="C273" s="661"/>
      <c r="D273" s="662">
        <f t="shared" si="3474"/>
        <v>0</v>
      </c>
      <c r="E273" s="661"/>
      <c r="F273" s="662">
        <f t="shared" si="3474"/>
        <v>0</v>
      </c>
      <c r="G273" s="661"/>
      <c r="H273" s="662">
        <f t="shared" ref="H273" si="3636">IF(G273=0,0,G273/G$4)</f>
        <v>0</v>
      </c>
      <c r="I273" s="661"/>
      <c r="J273" s="662">
        <f t="shared" ref="J273" si="3637">IF(I273=0,0,I273/I$4)</f>
        <v>0</v>
      </c>
      <c r="K273" s="661"/>
      <c r="L273" s="662">
        <f t="shared" ref="L273" si="3638">IF(K273=0,0,K273/K$4)</f>
        <v>0</v>
      </c>
      <c r="M273" s="661"/>
      <c r="N273" s="662">
        <f t="shared" ref="N273" si="3639">IF(M273=0,0,M273/M$4)</f>
        <v>0</v>
      </c>
      <c r="O273" s="661"/>
      <c r="P273" s="662">
        <f t="shared" ref="P273" si="3640">IF(O273=0,0,O273/O$4)</f>
        <v>0</v>
      </c>
      <c r="Q273" s="661"/>
      <c r="R273" s="662">
        <f t="shared" ref="R273" si="3641">IF(Q273=0,0,Q273/Q$4)</f>
        <v>0</v>
      </c>
      <c r="S273" s="661"/>
      <c r="T273" s="662">
        <f t="shared" ref="T273" si="3642">IF(S273=0,0,S273/S$4)</f>
        <v>0</v>
      </c>
      <c r="U273" s="661"/>
      <c r="V273" s="662">
        <f t="shared" ref="V273" si="3643">IF(U273=0,0,U273/U$4)</f>
        <v>0</v>
      </c>
      <c r="W273" s="661"/>
      <c r="X273" s="662">
        <f t="shared" ref="X273" si="3644">IF(W273=0,0,W273/W$4)</f>
        <v>0</v>
      </c>
      <c r="Y273" s="661"/>
      <c r="Z273" s="662">
        <f t="shared" ref="Z273" si="3645">IF(Y273=0,0,Y273/Y$4)</f>
        <v>0</v>
      </c>
      <c r="AA273" s="661"/>
      <c r="AB273" s="662">
        <f t="shared" ref="AB273" si="3646">IF(AA273=0,0,AA273/AA$4)</f>
        <v>0</v>
      </c>
      <c r="AC273" s="661"/>
      <c r="AD273" s="662">
        <f t="shared" ref="AD273" si="3647">IF(AC273=0,0,AC273/AC$4)</f>
        <v>0</v>
      </c>
      <c r="AE273" s="654"/>
    </row>
    <row r="274" spans="1:36" s="556" customFormat="1" ht="15.75" hidden="1" outlineLevel="4">
      <c r="A274" s="612" t="s">
        <v>1443</v>
      </c>
      <c r="B274" s="560" t="s">
        <v>1442</v>
      </c>
      <c r="C274" s="661"/>
      <c r="D274" s="662">
        <f t="shared" si="3474"/>
        <v>0</v>
      </c>
      <c r="E274" s="661"/>
      <c r="F274" s="662">
        <f t="shared" si="3474"/>
        <v>0</v>
      </c>
      <c r="G274" s="661"/>
      <c r="H274" s="662">
        <f t="shared" ref="H274" si="3648">IF(G274=0,0,G274/G$4)</f>
        <v>0</v>
      </c>
      <c r="I274" s="661"/>
      <c r="J274" s="662">
        <f t="shared" ref="J274" si="3649">IF(I274=0,0,I274/I$4)</f>
        <v>0</v>
      </c>
      <c r="K274" s="661"/>
      <c r="L274" s="662">
        <f t="shared" ref="L274" si="3650">IF(K274=0,0,K274/K$4)</f>
        <v>0</v>
      </c>
      <c r="M274" s="661"/>
      <c r="N274" s="662">
        <f t="shared" ref="N274" si="3651">IF(M274=0,0,M274/M$4)</f>
        <v>0</v>
      </c>
      <c r="O274" s="661"/>
      <c r="P274" s="662">
        <f t="shared" ref="P274" si="3652">IF(O274=0,0,O274/O$4)</f>
        <v>0</v>
      </c>
      <c r="Q274" s="661"/>
      <c r="R274" s="662">
        <f t="shared" ref="R274" si="3653">IF(Q274=0,0,Q274/Q$4)</f>
        <v>0</v>
      </c>
      <c r="S274" s="661"/>
      <c r="T274" s="662">
        <f t="shared" ref="T274" si="3654">IF(S274=0,0,S274/S$4)</f>
        <v>0</v>
      </c>
      <c r="U274" s="661"/>
      <c r="V274" s="662">
        <f t="shared" ref="V274" si="3655">IF(U274=0,0,U274/U$4)</f>
        <v>0</v>
      </c>
      <c r="W274" s="661"/>
      <c r="X274" s="662">
        <f t="shared" ref="X274" si="3656">IF(W274=0,0,W274/W$4)</f>
        <v>0</v>
      </c>
      <c r="Y274" s="661"/>
      <c r="Z274" s="662">
        <f t="shared" ref="Z274" si="3657">IF(Y274=0,0,Y274/Y$4)</f>
        <v>0</v>
      </c>
      <c r="AA274" s="661"/>
      <c r="AB274" s="662">
        <f t="shared" ref="AB274" si="3658">IF(AA274=0,0,AA274/AA$4)</f>
        <v>0</v>
      </c>
      <c r="AC274" s="661"/>
      <c r="AD274" s="662">
        <f t="shared" ref="AD274" si="3659">IF(AC274=0,0,AC274/AC$4)</f>
        <v>0</v>
      </c>
      <c r="AE274" s="654"/>
    </row>
    <row r="275" spans="1:36" s="556" customFormat="1" ht="15.75" hidden="1" outlineLevel="3">
      <c r="A275" s="609" t="s">
        <v>1441</v>
      </c>
      <c r="B275" s="559" t="s">
        <v>1440</v>
      </c>
      <c r="C275" s="659"/>
      <c r="D275" s="660">
        <f t="shared" si="3474"/>
        <v>0</v>
      </c>
      <c r="E275" s="659"/>
      <c r="F275" s="660">
        <f t="shared" si="3474"/>
        <v>0</v>
      </c>
      <c r="G275" s="659"/>
      <c r="H275" s="660">
        <f t="shared" ref="H275" si="3660">IF(G275=0,0,G275/G$4)</f>
        <v>0</v>
      </c>
      <c r="I275" s="659"/>
      <c r="J275" s="660">
        <f t="shared" ref="J275" si="3661">IF(I275=0,0,I275/I$4)</f>
        <v>0</v>
      </c>
      <c r="K275" s="659"/>
      <c r="L275" s="660">
        <f t="shared" ref="L275" si="3662">IF(K275=0,0,K275/K$4)</f>
        <v>0</v>
      </c>
      <c r="M275" s="659"/>
      <c r="N275" s="660">
        <f t="shared" ref="N275" si="3663">IF(M275=0,0,M275/M$4)</f>
        <v>0</v>
      </c>
      <c r="O275" s="659"/>
      <c r="P275" s="660">
        <f t="shared" ref="P275" si="3664">IF(O275=0,0,O275/O$4)</f>
        <v>0</v>
      </c>
      <c r="Q275" s="659"/>
      <c r="R275" s="660">
        <f t="shared" ref="R275" si="3665">IF(Q275=0,0,Q275/Q$4)</f>
        <v>0</v>
      </c>
      <c r="S275" s="659"/>
      <c r="T275" s="660">
        <f t="shared" ref="T275" si="3666">IF(S275=0,0,S275/S$4)</f>
        <v>0</v>
      </c>
      <c r="U275" s="659"/>
      <c r="V275" s="660">
        <f t="shared" ref="V275" si="3667">IF(U275=0,0,U275/U$4)</f>
        <v>0</v>
      </c>
      <c r="W275" s="659"/>
      <c r="X275" s="660">
        <f t="shared" ref="X275" si="3668">IF(W275=0,0,W275/W$4)</f>
        <v>0</v>
      </c>
      <c r="Y275" s="659"/>
      <c r="Z275" s="660">
        <f t="shared" ref="Z275" si="3669">IF(Y275=0,0,Y275/Y$4)</f>
        <v>0</v>
      </c>
      <c r="AA275" s="659"/>
      <c r="AB275" s="660">
        <f t="shared" ref="AB275" si="3670">IF(AA275=0,0,AA275/AA$4)</f>
        <v>0</v>
      </c>
      <c r="AC275" s="659"/>
      <c r="AD275" s="660">
        <f t="shared" ref="AD275" si="3671">IF(AC275=0,0,AC275/AC$4)</f>
        <v>0</v>
      </c>
      <c r="AE275" s="654"/>
    </row>
    <row r="276" spans="1:36" s="556" customFormat="1" ht="15.75" hidden="1" outlineLevel="3">
      <c r="A276" s="609" t="s">
        <v>1439</v>
      </c>
      <c r="B276" s="559" t="s">
        <v>1438</v>
      </c>
      <c r="C276" s="659"/>
      <c r="D276" s="660">
        <f t="shared" si="3474"/>
        <v>0</v>
      </c>
      <c r="E276" s="659"/>
      <c r="F276" s="660">
        <f t="shared" si="3474"/>
        <v>0</v>
      </c>
      <c r="G276" s="659"/>
      <c r="H276" s="660">
        <f t="shared" ref="H276" si="3672">IF(G276=0,0,G276/G$4)</f>
        <v>0</v>
      </c>
      <c r="I276" s="659"/>
      <c r="J276" s="660">
        <f t="shared" ref="J276" si="3673">IF(I276=0,0,I276/I$4)</f>
        <v>0</v>
      </c>
      <c r="K276" s="659"/>
      <c r="L276" s="660">
        <f t="shared" ref="L276" si="3674">IF(K276=0,0,K276/K$4)</f>
        <v>0</v>
      </c>
      <c r="M276" s="659"/>
      <c r="N276" s="660">
        <f t="shared" ref="N276" si="3675">IF(M276=0,0,M276/M$4)</f>
        <v>0</v>
      </c>
      <c r="O276" s="659"/>
      <c r="P276" s="660">
        <f t="shared" ref="P276" si="3676">IF(O276=0,0,O276/O$4)</f>
        <v>0</v>
      </c>
      <c r="Q276" s="659"/>
      <c r="R276" s="660">
        <f t="shared" ref="R276" si="3677">IF(Q276=0,0,Q276/Q$4)</f>
        <v>0</v>
      </c>
      <c r="S276" s="659"/>
      <c r="T276" s="660">
        <f t="shared" ref="T276" si="3678">IF(S276=0,0,S276/S$4)</f>
        <v>0</v>
      </c>
      <c r="U276" s="659"/>
      <c r="V276" s="660">
        <f t="shared" ref="V276" si="3679">IF(U276=0,0,U276/U$4)</f>
        <v>0</v>
      </c>
      <c r="W276" s="659"/>
      <c r="X276" s="660">
        <f t="shared" ref="X276" si="3680">IF(W276=0,0,W276/W$4)</f>
        <v>0</v>
      </c>
      <c r="Y276" s="659"/>
      <c r="Z276" s="660">
        <f t="shared" ref="Z276" si="3681">IF(Y276=0,0,Y276/Y$4)</f>
        <v>0</v>
      </c>
      <c r="AA276" s="659"/>
      <c r="AB276" s="660">
        <f t="shared" ref="AB276" si="3682">IF(AA276=0,0,AA276/AA$4)</f>
        <v>0</v>
      </c>
      <c r="AC276" s="659"/>
      <c r="AD276" s="660">
        <f t="shared" ref="AD276" si="3683">IF(AC276=0,0,AC276/AC$4)</f>
        <v>0</v>
      </c>
      <c r="AE276" s="654"/>
    </row>
    <row r="277" spans="1:36" s="556" customFormat="1" ht="15.75" hidden="1" outlineLevel="3">
      <c r="A277" s="609" t="s">
        <v>1437</v>
      </c>
      <c r="B277" s="559" t="s">
        <v>1436</v>
      </c>
      <c r="C277" s="659"/>
      <c r="D277" s="660">
        <f t="shared" si="3474"/>
        <v>0</v>
      </c>
      <c r="E277" s="659"/>
      <c r="F277" s="660">
        <f t="shared" si="3474"/>
        <v>0</v>
      </c>
      <c r="G277" s="659"/>
      <c r="H277" s="660">
        <f t="shared" ref="H277" si="3684">IF(G277=0,0,G277/G$4)</f>
        <v>0</v>
      </c>
      <c r="I277" s="659"/>
      <c r="J277" s="660">
        <f t="shared" ref="J277" si="3685">IF(I277=0,0,I277/I$4)</f>
        <v>0</v>
      </c>
      <c r="K277" s="659"/>
      <c r="L277" s="660">
        <f t="shared" ref="L277" si="3686">IF(K277=0,0,K277/K$4)</f>
        <v>0</v>
      </c>
      <c r="M277" s="659"/>
      <c r="N277" s="660">
        <f t="shared" ref="N277" si="3687">IF(M277=0,0,M277/M$4)</f>
        <v>0</v>
      </c>
      <c r="O277" s="659"/>
      <c r="P277" s="660">
        <f t="shared" ref="P277" si="3688">IF(O277=0,0,O277/O$4)</f>
        <v>0</v>
      </c>
      <c r="Q277" s="659"/>
      <c r="R277" s="660">
        <f t="shared" ref="R277" si="3689">IF(Q277=0,0,Q277/Q$4)</f>
        <v>0</v>
      </c>
      <c r="S277" s="659"/>
      <c r="T277" s="660">
        <f t="shared" ref="T277" si="3690">IF(S277=0,0,S277/S$4)</f>
        <v>0</v>
      </c>
      <c r="U277" s="659"/>
      <c r="V277" s="660">
        <f t="shared" ref="V277" si="3691">IF(U277=0,0,U277/U$4)</f>
        <v>0</v>
      </c>
      <c r="W277" s="659"/>
      <c r="X277" s="660">
        <f t="shared" ref="X277" si="3692">IF(W277=0,0,W277/W$4)</f>
        <v>0</v>
      </c>
      <c r="Y277" s="659"/>
      <c r="Z277" s="660">
        <f t="shared" ref="Z277" si="3693">IF(Y277=0,0,Y277/Y$4)</f>
        <v>0</v>
      </c>
      <c r="AA277" s="659"/>
      <c r="AB277" s="660">
        <f t="shared" ref="AB277" si="3694">IF(AA277=0,0,AA277/AA$4)</f>
        <v>0</v>
      </c>
      <c r="AC277" s="659"/>
      <c r="AD277" s="660">
        <f t="shared" ref="AD277" si="3695">IF(AC277=0,0,AC277/AC$4)</f>
        <v>0</v>
      </c>
      <c r="AE277" s="654"/>
    </row>
    <row r="278" spans="1:36" s="556" customFormat="1" ht="15.75" hidden="1" outlineLevel="3" collapsed="1">
      <c r="A278" s="609" t="s">
        <v>1435</v>
      </c>
      <c r="B278" s="559" t="s">
        <v>1113</v>
      </c>
      <c r="C278" s="659">
        <f>C279+C282</f>
        <v>0</v>
      </c>
      <c r="D278" s="660">
        <f t="shared" si="3474"/>
        <v>0</v>
      </c>
      <c r="E278" s="659">
        <f t="shared" ref="E278" si="3696">E279+E282</f>
        <v>0</v>
      </c>
      <c r="F278" s="660">
        <f t="shared" si="3474"/>
        <v>0</v>
      </c>
      <c r="G278" s="659">
        <f t="shared" ref="G278" si="3697">G279+G282</f>
        <v>5517131.8857606901</v>
      </c>
      <c r="H278" s="660">
        <f t="shared" ref="H278" si="3698">IF(G278=0,0,G278/G$4)</f>
        <v>132.16322245594756</v>
      </c>
      <c r="I278" s="659">
        <f t="shared" ref="I278" si="3699">I279+I282</f>
        <v>4147680.2814125437</v>
      </c>
      <c r="J278" s="660">
        <f t="shared" ref="J278" si="3700">IF(I278=0,0,I278/I$4)</f>
        <v>141.34990407771204</v>
      </c>
      <c r="K278" s="659">
        <f t="shared" ref="K278" si="3701">K279+K282</f>
        <v>5808603.0042537078</v>
      </c>
      <c r="L278" s="660">
        <f t="shared" ref="L278" si="3702">IF(K278=0,0,K278/K$4)</f>
        <v>136.43245806277656</v>
      </c>
      <c r="M278" s="659">
        <f t="shared" ref="M278" si="3703">M279+M282</f>
        <v>5517131.8857606901</v>
      </c>
      <c r="N278" s="660">
        <f t="shared" ref="N278" si="3704">IF(M278=0,0,M278/M$4)</f>
        <v>1281.0281150182711</v>
      </c>
      <c r="O278" s="659">
        <f t="shared" ref="O278" si="3705">O279+O282</f>
        <v>0</v>
      </c>
      <c r="P278" s="660">
        <f t="shared" ref="P278" si="3706">IF(O278=0,0,O278/O$4)</f>
        <v>0</v>
      </c>
      <c r="Q278" s="659">
        <f t="shared" ref="Q278" si="3707">Q279+Q282</f>
        <v>0</v>
      </c>
      <c r="R278" s="660">
        <f t="shared" ref="R278" si="3708">IF(Q278=0,0,Q278/Q$4)</f>
        <v>0</v>
      </c>
      <c r="S278" s="659">
        <f t="shared" ref="S278" si="3709">S279+S282</f>
        <v>0</v>
      </c>
      <c r="T278" s="660">
        <f t="shared" ref="T278" si="3710">IF(S278=0,0,S278/S$4)</f>
        <v>0</v>
      </c>
      <c r="U278" s="659">
        <f t="shared" ref="U278" si="3711">U279+U282</f>
        <v>0</v>
      </c>
      <c r="V278" s="660">
        <f t="shared" ref="V278" si="3712">IF(U278=0,0,U278/U$4)</f>
        <v>0</v>
      </c>
      <c r="W278" s="659">
        <f t="shared" ref="W278" si="3713">W279+W282</f>
        <v>0</v>
      </c>
      <c r="X278" s="660">
        <f t="shared" ref="X278" si="3714">IF(W278=0,0,W278/W$4)</f>
        <v>0</v>
      </c>
      <c r="Y278" s="659">
        <f t="shared" ref="Y278" si="3715">Y279+Y282</f>
        <v>0</v>
      </c>
      <c r="Z278" s="660">
        <f t="shared" ref="Z278" si="3716">IF(Y278=0,0,Y278/Y$4)</f>
        <v>0</v>
      </c>
      <c r="AA278" s="659">
        <f t="shared" ref="AA278" si="3717">AA279+AA282</f>
        <v>0</v>
      </c>
      <c r="AB278" s="660">
        <f t="shared" ref="AB278" si="3718">IF(AA278=0,0,AA278/AA$4)</f>
        <v>0</v>
      </c>
      <c r="AC278" s="659">
        <f t="shared" ref="AC278" si="3719">AC279+AC282</f>
        <v>20990547.057187632</v>
      </c>
      <c r="AD278" s="660">
        <f t="shared" ref="AD278" si="3720">IF(AC278=0,0,AC278/AC$4)</f>
        <v>130.365604107102</v>
      </c>
      <c r="AE278" s="654"/>
    </row>
    <row r="279" spans="1:36" s="68" customFormat="1" hidden="1" outlineLevel="4" collapsed="1">
      <c r="A279" s="117"/>
      <c r="B279" s="118" t="s">
        <v>936</v>
      </c>
      <c r="C279" s="661"/>
      <c r="D279" s="662">
        <f t="shared" si="3474"/>
        <v>0</v>
      </c>
      <c r="E279" s="661"/>
      <c r="F279" s="662">
        <f t="shared" si="3474"/>
        <v>0</v>
      </c>
      <c r="G279" s="661">
        <f>SUM(Калькулятор_жилье!M219:M222)</f>
        <v>5517131.8857606901</v>
      </c>
      <c r="H279" s="662">
        <f t="shared" ref="H279" si="3721">IF(G279=0,0,G279/G$4)</f>
        <v>132.16322245594756</v>
      </c>
      <c r="I279" s="661">
        <f>SUM(Калькулятор_жилье!N219:N222)</f>
        <v>4147680.2814125437</v>
      </c>
      <c r="J279" s="662">
        <f t="shared" ref="J279" si="3722">IF(I279=0,0,I279/I$4)</f>
        <v>141.34990407771204</v>
      </c>
      <c r="K279" s="661">
        <f>SUM(Калькулятор_жилье!O219:O222)</f>
        <v>5808603.0042537078</v>
      </c>
      <c r="L279" s="662">
        <f t="shared" ref="L279" si="3723">IF(K279=0,0,K279/K$4)</f>
        <v>136.43245806277656</v>
      </c>
      <c r="M279" s="661">
        <f>SUM(Калькулятор_жилье!P219:P222)</f>
        <v>5517131.8857606901</v>
      </c>
      <c r="N279" s="662">
        <f t="shared" ref="N279" si="3724">IF(M279=0,0,M279/M$4)</f>
        <v>1281.0281150182711</v>
      </c>
      <c r="O279" s="661">
        <f>SUM(Калькулятор_жилье!Q219:Q222)</f>
        <v>0</v>
      </c>
      <c r="P279" s="662">
        <f t="shared" ref="P279" si="3725">IF(O279=0,0,O279/O$4)</f>
        <v>0</v>
      </c>
      <c r="Q279" s="661">
        <f>SUM(Калькулятор_жилье!R219:R222)</f>
        <v>0</v>
      </c>
      <c r="R279" s="662">
        <f t="shared" ref="R279" si="3726">IF(Q279=0,0,Q279/Q$4)</f>
        <v>0</v>
      </c>
      <c r="S279" s="661">
        <f>SUM(Калькулятор_жилье!S219:S222)</f>
        <v>0</v>
      </c>
      <c r="T279" s="662">
        <f t="shared" ref="T279" si="3727">IF(S279=0,0,S279/S$4)</f>
        <v>0</v>
      </c>
      <c r="U279" s="661">
        <f>SUM(Калькулятор_жилье!T219:T222)</f>
        <v>0</v>
      </c>
      <c r="V279" s="662">
        <f t="shared" ref="V279" si="3728">IF(U279=0,0,U279/U$4)</f>
        <v>0</v>
      </c>
      <c r="W279" s="661">
        <f>SUM(Калькулятор_жилье!U219:U222)</f>
        <v>0</v>
      </c>
      <c r="X279" s="662">
        <f t="shared" ref="X279" si="3729">IF(W279=0,0,W279/W$4)</f>
        <v>0</v>
      </c>
      <c r="Y279" s="661">
        <f>SUM(Калькулятор_жилье!V219:V222)</f>
        <v>0</v>
      </c>
      <c r="Z279" s="662">
        <f t="shared" ref="Z279" si="3730">IF(Y279=0,0,Y279/Y$4)</f>
        <v>0</v>
      </c>
      <c r="AA279" s="661">
        <f>SUM(Калькулятор_жилье!W219:W222)</f>
        <v>0</v>
      </c>
      <c r="AB279" s="662">
        <f t="shared" ref="AB279" si="3731">IF(AA279=0,0,AA279/AA$4)</f>
        <v>0</v>
      </c>
      <c r="AC279" s="661">
        <f t="shared" ref="AC279:AC284" si="3732">C279+E279+G279+I279+K279+M279+O279+Q279+S279+U279+W279+AA279+Y279</f>
        <v>20990547.057187632</v>
      </c>
      <c r="AD279" s="662">
        <f t="shared" ref="AD279" si="3733">IF(AC279=0,0,AC279/AC$4)</f>
        <v>130.365604107102</v>
      </c>
      <c r="AE279" s="665"/>
      <c r="AF279" s="114"/>
      <c r="AG279" s="114"/>
      <c r="AH279" s="114"/>
      <c r="AI279" s="114"/>
      <c r="AJ279" s="114"/>
    </row>
    <row r="280" spans="1:36" s="68" customFormat="1" hidden="1" outlineLevel="5">
      <c r="A280" s="245"/>
      <c r="B280" s="246" t="s">
        <v>419</v>
      </c>
      <c r="C280" s="663"/>
      <c r="D280" s="664">
        <f t="shared" si="3474"/>
        <v>0</v>
      </c>
      <c r="E280" s="663"/>
      <c r="F280" s="664">
        <f t="shared" si="3474"/>
        <v>0</v>
      </c>
      <c r="G280" s="663">
        <f>G279-G281*курс</f>
        <v>5517131.8857606901</v>
      </c>
      <c r="H280" s="664">
        <f t="shared" ref="H280" si="3734">IF(G280=0,0,G280/G$4)</f>
        <v>132.16322245594756</v>
      </c>
      <c r="I280" s="663">
        <f>I279-I281*курс</f>
        <v>4147680.2814125437</v>
      </c>
      <c r="J280" s="664">
        <f t="shared" ref="J280" si="3735">IF(I280=0,0,I280/I$4)</f>
        <v>141.34990407771204</v>
      </c>
      <c r="K280" s="663">
        <f>K279-K281*курс</f>
        <v>5808603.0042537078</v>
      </c>
      <c r="L280" s="664">
        <f t="shared" ref="L280" si="3736">IF(K280=0,0,K280/K$4)</f>
        <v>136.43245806277656</v>
      </c>
      <c r="M280" s="663">
        <f>M279-M281*курс</f>
        <v>5517131.8857606901</v>
      </c>
      <c r="N280" s="664">
        <f t="shared" ref="N280" si="3737">IF(M280=0,0,M280/M$4)</f>
        <v>1281.0281150182711</v>
      </c>
      <c r="O280" s="663">
        <f>O279-O281*курс</f>
        <v>0</v>
      </c>
      <c r="P280" s="664">
        <f t="shared" ref="P280" si="3738">IF(O280=0,0,O280/O$4)</f>
        <v>0</v>
      </c>
      <c r="Q280" s="663">
        <f>Q279-Q281*курс</f>
        <v>0</v>
      </c>
      <c r="R280" s="664">
        <f t="shared" ref="R280" si="3739">IF(Q280=0,0,Q280/Q$4)</f>
        <v>0</v>
      </c>
      <c r="S280" s="663">
        <f>S279-S281*курс</f>
        <v>0</v>
      </c>
      <c r="T280" s="664">
        <f t="shared" ref="T280" si="3740">IF(S280=0,0,S280/S$4)</f>
        <v>0</v>
      </c>
      <c r="U280" s="663">
        <f>U279-U281*курс</f>
        <v>0</v>
      </c>
      <c r="V280" s="664">
        <f t="shared" ref="V280" si="3741">IF(U280=0,0,U280/U$4)</f>
        <v>0</v>
      </c>
      <c r="W280" s="663">
        <f>W279-W281*курс</f>
        <v>0</v>
      </c>
      <c r="X280" s="664">
        <f t="shared" ref="X280" si="3742">IF(W280=0,0,W280/W$4)</f>
        <v>0</v>
      </c>
      <c r="Y280" s="663">
        <f>Y279-Y281*курс</f>
        <v>0</v>
      </c>
      <c r="Z280" s="664">
        <f t="shared" ref="Z280" si="3743">IF(Y280=0,0,Y280/Y$4)</f>
        <v>0</v>
      </c>
      <c r="AA280" s="663">
        <f>AA279-AA281*курс</f>
        <v>0</v>
      </c>
      <c r="AB280" s="664">
        <f t="shared" ref="AB280" si="3744">IF(AA280=0,0,AA280/AA$4)</f>
        <v>0</v>
      </c>
      <c r="AC280" s="663">
        <f t="shared" si="3732"/>
        <v>20990547.057187632</v>
      </c>
      <c r="AD280" s="664">
        <f t="shared" ref="AD280" si="3745">IF(AC280=0,0,AC280/AC$4)</f>
        <v>130.365604107102</v>
      </c>
      <c r="AE280" s="665"/>
      <c r="AF280" s="114"/>
      <c r="AG280" s="114"/>
      <c r="AH280" s="114"/>
      <c r="AI280" s="114"/>
      <c r="AJ280" s="114"/>
    </row>
    <row r="281" spans="1:36" s="68" customFormat="1" hidden="1" outlineLevel="5">
      <c r="A281" s="245"/>
      <c r="B281" s="246" t="s">
        <v>420</v>
      </c>
      <c r="C281" s="663"/>
      <c r="D281" s="664">
        <f t="shared" si="3474"/>
        <v>0</v>
      </c>
      <c r="E281" s="663"/>
      <c r="F281" s="664">
        <f t="shared" si="3474"/>
        <v>0</v>
      </c>
      <c r="G281" s="663">
        <f>Калькулятор_жилье!AC222</f>
        <v>0</v>
      </c>
      <c r="H281" s="664">
        <f t="shared" ref="H281" si="3746">IF(G281=0,0,G281/G$4)</f>
        <v>0</v>
      </c>
      <c r="I281" s="663">
        <f>Калькулятор_жилье!AD222</f>
        <v>0</v>
      </c>
      <c r="J281" s="664">
        <f t="shared" ref="J281" si="3747">IF(I281=0,0,I281/I$4)</f>
        <v>0</v>
      </c>
      <c r="K281" s="663">
        <f>Калькулятор_жилье!AE222</f>
        <v>0</v>
      </c>
      <c r="L281" s="664">
        <f t="shared" ref="L281" si="3748">IF(K281=0,0,K281/K$4)</f>
        <v>0</v>
      </c>
      <c r="M281" s="663">
        <f>Калькулятор_жилье!AF222</f>
        <v>0</v>
      </c>
      <c r="N281" s="664">
        <f t="shared" ref="N281" si="3749">IF(M281=0,0,M281/M$4)</f>
        <v>0</v>
      </c>
      <c r="O281" s="663">
        <f>Калькулятор_жилье!AG222</f>
        <v>0</v>
      </c>
      <c r="P281" s="664">
        <f t="shared" ref="P281" si="3750">IF(O281=0,0,O281/O$4)</f>
        <v>0</v>
      </c>
      <c r="Q281" s="663">
        <f>Калькулятор_жилье!AH222</f>
        <v>0</v>
      </c>
      <c r="R281" s="664">
        <f t="shared" ref="R281" si="3751">IF(Q281=0,0,Q281/Q$4)</f>
        <v>0</v>
      </c>
      <c r="S281" s="663">
        <f>Калькулятор_жилье!AI222</f>
        <v>0</v>
      </c>
      <c r="T281" s="664">
        <f t="shared" ref="T281" si="3752">IF(S281=0,0,S281/S$4)</f>
        <v>0</v>
      </c>
      <c r="U281" s="663">
        <f>Калькулятор_жилье!AJ222</f>
        <v>0</v>
      </c>
      <c r="V281" s="664">
        <f t="shared" ref="V281" si="3753">IF(U281=0,0,U281/U$4)</f>
        <v>0</v>
      </c>
      <c r="W281" s="663">
        <f>Калькулятор_жилье!AK222</f>
        <v>0</v>
      </c>
      <c r="X281" s="664">
        <f t="shared" ref="X281" si="3754">IF(W281=0,0,W281/W$4)</f>
        <v>0</v>
      </c>
      <c r="Y281" s="663">
        <f>Калькулятор_жилье!AL222</f>
        <v>0</v>
      </c>
      <c r="Z281" s="664">
        <f t="shared" ref="Z281" si="3755">IF(Y281=0,0,Y281/Y$4)</f>
        <v>0</v>
      </c>
      <c r="AA281" s="663">
        <f>Калькулятор_жилье!AM222</f>
        <v>0</v>
      </c>
      <c r="AB281" s="664">
        <f t="shared" ref="AB281" si="3756">IF(AA281=0,0,AA281/AA$4)</f>
        <v>0</v>
      </c>
      <c r="AC281" s="663">
        <f t="shared" si="3732"/>
        <v>0</v>
      </c>
      <c r="AD281" s="664">
        <f t="shared" ref="AD281" si="3757">IF(AC281=0,0,AC281/AC$4)</f>
        <v>0</v>
      </c>
      <c r="AE281" s="665"/>
      <c r="AF281" s="114"/>
      <c r="AG281" s="114"/>
      <c r="AH281" s="114"/>
      <c r="AI281" s="114"/>
      <c r="AJ281" s="114"/>
    </row>
    <row r="282" spans="1:36" s="68" customFormat="1" hidden="1" outlineLevel="4" collapsed="1">
      <c r="A282" s="117"/>
      <c r="B282" s="118" t="s">
        <v>946</v>
      </c>
      <c r="C282" s="661"/>
      <c r="D282" s="662">
        <f t="shared" si="3474"/>
        <v>0</v>
      </c>
      <c r="E282" s="661"/>
      <c r="F282" s="662">
        <f t="shared" si="3474"/>
        <v>0</v>
      </c>
      <c r="G282" s="661">
        <f>SUM(Калькулятор_жилье!M223:M224)</f>
        <v>0</v>
      </c>
      <c r="H282" s="662">
        <f t="shared" ref="H282" si="3758">IF(G282=0,0,G282/G$4)</f>
        <v>0</v>
      </c>
      <c r="I282" s="661">
        <f>SUM(Калькулятор_жилье!N223:N224)</f>
        <v>0</v>
      </c>
      <c r="J282" s="662">
        <f t="shared" ref="J282" si="3759">IF(I282=0,0,I282/I$4)</f>
        <v>0</v>
      </c>
      <c r="K282" s="661">
        <f>SUM(Калькулятор_жилье!O223:O224)</f>
        <v>0</v>
      </c>
      <c r="L282" s="662">
        <f t="shared" ref="L282" si="3760">IF(K282=0,0,K282/K$4)</f>
        <v>0</v>
      </c>
      <c r="M282" s="661">
        <f>SUM(Калькулятор_жилье!P223:P224)</f>
        <v>0</v>
      </c>
      <c r="N282" s="662">
        <f t="shared" ref="N282" si="3761">IF(M282=0,0,M282/M$4)</f>
        <v>0</v>
      </c>
      <c r="O282" s="661">
        <f>SUM(Калькулятор_жилье!Q223:Q224)</f>
        <v>0</v>
      </c>
      <c r="P282" s="662">
        <f t="shared" ref="P282" si="3762">IF(O282=0,0,O282/O$4)</f>
        <v>0</v>
      </c>
      <c r="Q282" s="661">
        <f>SUM(Калькулятор_жилье!R223:R224)</f>
        <v>0</v>
      </c>
      <c r="R282" s="662">
        <f t="shared" ref="R282" si="3763">IF(Q282=0,0,Q282/Q$4)</f>
        <v>0</v>
      </c>
      <c r="S282" s="661">
        <f>SUM(Калькулятор_жилье!S223:S224)</f>
        <v>0</v>
      </c>
      <c r="T282" s="662">
        <f t="shared" ref="T282" si="3764">IF(S282=0,0,S282/S$4)</f>
        <v>0</v>
      </c>
      <c r="U282" s="661">
        <f>SUM(Калькулятор_жилье!T223:T224)</f>
        <v>0</v>
      </c>
      <c r="V282" s="662">
        <f t="shared" ref="V282" si="3765">IF(U282=0,0,U282/U$4)</f>
        <v>0</v>
      </c>
      <c r="W282" s="661">
        <f>SUM(Калькулятор_жилье!U223:U224)</f>
        <v>0</v>
      </c>
      <c r="X282" s="662">
        <f t="shared" ref="X282" si="3766">IF(W282=0,0,W282/W$4)</f>
        <v>0</v>
      </c>
      <c r="Y282" s="661">
        <f>SUM(Калькулятор_жилье!V223:V224)</f>
        <v>0</v>
      </c>
      <c r="Z282" s="662">
        <f t="shared" ref="Z282" si="3767">IF(Y282=0,0,Y282/Y$4)</f>
        <v>0</v>
      </c>
      <c r="AA282" s="661">
        <f>SUM(Калькулятор_жилье!W223:W224)</f>
        <v>0</v>
      </c>
      <c r="AB282" s="662">
        <f t="shared" ref="AB282" si="3768">IF(AA282=0,0,AA282/AA$4)</f>
        <v>0</v>
      </c>
      <c r="AC282" s="661">
        <f t="shared" si="3732"/>
        <v>0</v>
      </c>
      <c r="AD282" s="662">
        <f t="shared" ref="AD282" si="3769">IF(AC282=0,0,AC282/AC$4)</f>
        <v>0</v>
      </c>
      <c r="AE282" s="665"/>
      <c r="AF282" s="114"/>
      <c r="AG282" s="114"/>
      <c r="AH282" s="114"/>
      <c r="AI282" s="114"/>
      <c r="AJ282" s="114"/>
    </row>
    <row r="283" spans="1:36" s="68" customFormat="1" hidden="1" outlineLevel="5">
      <c r="A283" s="245"/>
      <c r="B283" s="246" t="s">
        <v>419</v>
      </c>
      <c r="C283" s="663"/>
      <c r="D283" s="664">
        <f t="shared" si="3474"/>
        <v>0</v>
      </c>
      <c r="E283" s="663"/>
      <c r="F283" s="664">
        <f t="shared" si="3474"/>
        <v>0</v>
      </c>
      <c r="G283" s="663">
        <f>G282-G284*курс</f>
        <v>0</v>
      </c>
      <c r="H283" s="664">
        <f t="shared" ref="H283" si="3770">IF(G283=0,0,G283/G$4)</f>
        <v>0</v>
      </c>
      <c r="I283" s="663">
        <f>I282-I284*курс</f>
        <v>0</v>
      </c>
      <c r="J283" s="664">
        <f t="shared" ref="J283" si="3771">IF(I283=0,0,I283/I$4)</f>
        <v>0</v>
      </c>
      <c r="K283" s="663">
        <f>K282-K284*курс</f>
        <v>0</v>
      </c>
      <c r="L283" s="664">
        <f t="shared" ref="L283" si="3772">IF(K283=0,0,K283/K$4)</f>
        <v>0</v>
      </c>
      <c r="M283" s="663">
        <f>M282-M284*курс</f>
        <v>0</v>
      </c>
      <c r="N283" s="664">
        <f t="shared" ref="N283" si="3773">IF(M283=0,0,M283/M$4)</f>
        <v>0</v>
      </c>
      <c r="O283" s="663">
        <f>O282-O284*курс</f>
        <v>0</v>
      </c>
      <c r="P283" s="664">
        <f t="shared" ref="P283" si="3774">IF(O283=0,0,O283/O$4)</f>
        <v>0</v>
      </c>
      <c r="Q283" s="663">
        <f>Q282-Q284*курс</f>
        <v>0</v>
      </c>
      <c r="R283" s="664">
        <f t="shared" ref="R283" si="3775">IF(Q283=0,0,Q283/Q$4)</f>
        <v>0</v>
      </c>
      <c r="S283" s="663">
        <f>S282-S284*курс</f>
        <v>0</v>
      </c>
      <c r="T283" s="664">
        <f t="shared" ref="T283" si="3776">IF(S283=0,0,S283/S$4)</f>
        <v>0</v>
      </c>
      <c r="U283" s="663">
        <f>U282-U284*курс</f>
        <v>0</v>
      </c>
      <c r="V283" s="664">
        <f t="shared" ref="V283" si="3777">IF(U283=0,0,U283/U$4)</f>
        <v>0</v>
      </c>
      <c r="W283" s="663">
        <f>W282-W284*курс</f>
        <v>0</v>
      </c>
      <c r="X283" s="664">
        <f t="shared" ref="X283" si="3778">IF(W283=0,0,W283/W$4)</f>
        <v>0</v>
      </c>
      <c r="Y283" s="663">
        <f>Y282-Y284*курс</f>
        <v>0</v>
      </c>
      <c r="Z283" s="664">
        <f t="shared" ref="Z283" si="3779">IF(Y283=0,0,Y283/Y$4)</f>
        <v>0</v>
      </c>
      <c r="AA283" s="663">
        <f>AA282-AA284*курс</f>
        <v>0</v>
      </c>
      <c r="AB283" s="664">
        <f t="shared" ref="AB283" si="3780">IF(AA283=0,0,AA283/AA$4)</f>
        <v>0</v>
      </c>
      <c r="AC283" s="663">
        <f t="shared" si="3732"/>
        <v>0</v>
      </c>
      <c r="AD283" s="664">
        <f t="shared" ref="AD283" si="3781">IF(AC283=0,0,AC283/AC$4)</f>
        <v>0</v>
      </c>
      <c r="AE283" s="665"/>
      <c r="AF283" s="114"/>
      <c r="AG283" s="114"/>
      <c r="AH283" s="114"/>
      <c r="AI283" s="114"/>
      <c r="AJ283" s="114"/>
    </row>
    <row r="284" spans="1:36" s="68" customFormat="1" hidden="1" outlineLevel="5">
      <c r="A284" s="245"/>
      <c r="B284" s="246" t="s">
        <v>420</v>
      </c>
      <c r="C284" s="663"/>
      <c r="D284" s="664">
        <f t="shared" si="3474"/>
        <v>0</v>
      </c>
      <c r="E284" s="663"/>
      <c r="F284" s="664">
        <f t="shared" si="3474"/>
        <v>0</v>
      </c>
      <c r="G284" s="663">
        <f>Калькулятор_жилье!AC224</f>
        <v>0</v>
      </c>
      <c r="H284" s="664">
        <f t="shared" ref="H284" si="3782">IF(G284=0,0,G284/G$4)</f>
        <v>0</v>
      </c>
      <c r="I284" s="663">
        <f>Калькулятор_жилье!AD224</f>
        <v>0</v>
      </c>
      <c r="J284" s="664">
        <f t="shared" ref="J284" si="3783">IF(I284=0,0,I284/I$4)</f>
        <v>0</v>
      </c>
      <c r="K284" s="663">
        <f>Калькулятор_жилье!AE224</f>
        <v>0</v>
      </c>
      <c r="L284" s="664">
        <f t="shared" ref="L284" si="3784">IF(K284=0,0,K284/K$4)</f>
        <v>0</v>
      </c>
      <c r="M284" s="663">
        <f>Калькулятор_жилье!AF224</f>
        <v>0</v>
      </c>
      <c r="N284" s="664">
        <f t="shared" ref="N284" si="3785">IF(M284=0,0,M284/M$4)</f>
        <v>0</v>
      </c>
      <c r="O284" s="663">
        <f>Калькулятор_жилье!AG224</f>
        <v>0</v>
      </c>
      <c r="P284" s="664">
        <f t="shared" ref="P284" si="3786">IF(O284=0,0,O284/O$4)</f>
        <v>0</v>
      </c>
      <c r="Q284" s="663">
        <f>Калькулятор_жилье!AH224</f>
        <v>0</v>
      </c>
      <c r="R284" s="664">
        <f t="shared" ref="R284" si="3787">IF(Q284=0,0,Q284/Q$4)</f>
        <v>0</v>
      </c>
      <c r="S284" s="663">
        <f>Калькулятор_жилье!AI224</f>
        <v>0</v>
      </c>
      <c r="T284" s="664">
        <f t="shared" ref="T284" si="3788">IF(S284=0,0,S284/S$4)</f>
        <v>0</v>
      </c>
      <c r="U284" s="663">
        <f>Калькулятор_жилье!AJ224</f>
        <v>0</v>
      </c>
      <c r="V284" s="664">
        <f t="shared" ref="V284" si="3789">IF(U284=0,0,U284/U$4)</f>
        <v>0</v>
      </c>
      <c r="W284" s="663">
        <f>Калькулятор_жилье!AK224</f>
        <v>0</v>
      </c>
      <c r="X284" s="664">
        <f t="shared" ref="X284" si="3790">IF(W284=0,0,W284/W$4)</f>
        <v>0</v>
      </c>
      <c r="Y284" s="663">
        <f>Калькулятор_жилье!AL224</f>
        <v>0</v>
      </c>
      <c r="Z284" s="664">
        <f t="shared" ref="Z284" si="3791">IF(Y284=0,0,Y284/Y$4)</f>
        <v>0</v>
      </c>
      <c r="AA284" s="663">
        <f>Калькулятор_жилье!AM224</f>
        <v>0</v>
      </c>
      <c r="AB284" s="664">
        <f t="shared" ref="AB284" si="3792">IF(AA284=0,0,AA284/AA$4)</f>
        <v>0</v>
      </c>
      <c r="AC284" s="663">
        <f t="shared" si="3732"/>
        <v>0</v>
      </c>
      <c r="AD284" s="664">
        <f t="shared" ref="AD284" si="3793">IF(AC284=0,0,AC284/AC$4)</f>
        <v>0</v>
      </c>
      <c r="AE284" s="665"/>
      <c r="AF284" s="114"/>
      <c r="AG284" s="114"/>
      <c r="AH284" s="114"/>
      <c r="AI284" s="114"/>
      <c r="AJ284" s="114"/>
    </row>
    <row r="285" spans="1:36" s="556" customFormat="1" ht="15.75" outlineLevel="1" collapsed="1">
      <c r="A285" s="610" t="s">
        <v>1434</v>
      </c>
      <c r="B285" s="558" t="s">
        <v>80</v>
      </c>
      <c r="C285" s="657">
        <f>C286+C291+C294+C311+C319+C322+C323+C326+C327+C328+C329+C332+C335+C345+C348</f>
        <v>0</v>
      </c>
      <c r="D285" s="658">
        <f t="shared" si="3474"/>
        <v>0</v>
      </c>
      <c r="E285" s="657">
        <f t="shared" ref="E285" si="3794">E286+E291+E294+E311+E319+E322+E323+E326+E327+E328+E329+E332+E335+E345+E348</f>
        <v>800977696.96770823</v>
      </c>
      <c r="F285" s="658">
        <f t="shared" si="3474"/>
        <v>18608.779522052559</v>
      </c>
      <c r="G285" s="657">
        <f t="shared" ref="G285" si="3795">G286+G291+G294+G311+G319+G322+G323+G326+G327+G328+G329+G332+G335+G345+G348</f>
        <v>796556599.75775492</v>
      </c>
      <c r="H285" s="658">
        <f t="shared" ref="H285" si="3796">IF(G285=0,0,G285/G$4)</f>
        <v>19081.560722564129</v>
      </c>
      <c r="I285" s="657">
        <f t="shared" ref="I285" si="3797">I286+I291+I294+I311+I319+I322+I323+I326+I327+I328+I329+I332+I335+I345+I348</f>
        <v>558452362.55260456</v>
      </c>
      <c r="J285" s="658">
        <f t="shared" ref="J285" si="3798">IF(I285=0,0,I285/I$4)</f>
        <v>19031.647215561003</v>
      </c>
      <c r="K285" s="657">
        <f t="shared" ref="K285" si="3799">K286+K291+K294+K311+K319+K322+K323+K326+K327+K328+K329+K332+K335+K345+K348</f>
        <v>810895880.16416419</v>
      </c>
      <c r="L285" s="658">
        <f t="shared" ref="L285" si="3800">IF(K285=0,0,K285/K$4)</f>
        <v>19046.321134833648</v>
      </c>
      <c r="M285" s="657">
        <f t="shared" ref="M285" si="3801">M286+M291+M294+M311+M319+M322+M323+M326+M327+M328+M329+M332+M335+M345+M348</f>
        <v>78007290.151771516</v>
      </c>
      <c r="N285" s="658">
        <f t="shared" ref="N285" si="3802">IF(M285=0,0,M285/M$4)</f>
        <v>18112.587106847663</v>
      </c>
      <c r="O285" s="657">
        <f t="shared" ref="O285" si="3803">O286+O291+O294+O311+O319+O322+O323+O326+O327+O328+O329+O332+O335+O345+O348</f>
        <v>0</v>
      </c>
      <c r="P285" s="658">
        <f t="shared" ref="P285" si="3804">IF(O285=0,0,O285/O$4)</f>
        <v>0</v>
      </c>
      <c r="Q285" s="657">
        <f t="shared" ref="Q285" si="3805">Q286+Q291+Q294+Q311+Q319+Q322+Q323+Q326+Q327+Q328+Q329+Q332+Q335+Q345+Q348</f>
        <v>0</v>
      </c>
      <c r="R285" s="658">
        <f t="shared" ref="R285" si="3806">IF(Q285=0,0,Q285/Q$4)</f>
        <v>0</v>
      </c>
      <c r="S285" s="657">
        <f t="shared" ref="S285" si="3807">S286+S291+S294+S311+S319+S322+S323+S326+S327+S328+S329+S332+S335+S345+S348</f>
        <v>0</v>
      </c>
      <c r="T285" s="658">
        <f t="shared" ref="T285" si="3808">IF(S285=0,0,S285/S$4)</f>
        <v>0</v>
      </c>
      <c r="U285" s="657">
        <f t="shared" ref="U285" si="3809">U286+U291+U294+U311+U319+U322+U323+U326+U327+U328+U329+U332+U335+U345+U348</f>
        <v>0</v>
      </c>
      <c r="V285" s="658">
        <f t="shared" ref="V285" si="3810">IF(U285=0,0,U285/U$4)</f>
        <v>0</v>
      </c>
      <c r="W285" s="657">
        <f t="shared" ref="W285" si="3811">W286+W291+W294+W311+W319+W322+W323+W326+W327+W328+W329+W332+W335+W345+W348</f>
        <v>0</v>
      </c>
      <c r="X285" s="658">
        <f t="shared" ref="X285" si="3812">IF(W285=0,0,W285/W$4)</f>
        <v>0</v>
      </c>
      <c r="Y285" s="657">
        <f t="shared" ref="Y285" si="3813">Y286+Y291+Y294+Y311+Y319+Y322+Y323+Y326+Y327+Y328+Y329+Y332+Y335+Y345+Y348</f>
        <v>0</v>
      </c>
      <c r="Z285" s="658">
        <f t="shared" ref="Z285" si="3814">IF(Y285=0,0,Y285/Y$4)</f>
        <v>0</v>
      </c>
      <c r="AA285" s="657">
        <f t="shared" ref="AA285" si="3815">AA286+AA291+AA294+AA311+AA319+AA322+AA323+AA326+AA327+AA328+AA329+AA332+AA335+AA345+AA348</f>
        <v>0</v>
      </c>
      <c r="AB285" s="658">
        <f t="shared" ref="AB285" si="3816">IF(AA285=0,0,AA285/AA$4)</f>
        <v>0</v>
      </c>
      <c r="AC285" s="657">
        <f t="shared" ref="AC285" si="3817">AC286+AC291+AC294+AC311+AC319+AC322+AC323+AC326+AC327+AC328+AC329+AC332+AC335+AC345+AC348</f>
        <v>3044889829.5940037</v>
      </c>
      <c r="AD285" s="658">
        <f t="shared" ref="AD285" si="3818">IF(AC285=0,0,AC285/AC$4)</f>
        <v>18910.841198808539</v>
      </c>
      <c r="AE285" s="654"/>
    </row>
    <row r="286" spans="1:36" s="556" customFormat="1" ht="15.75" hidden="1" outlineLevel="2" collapsed="1">
      <c r="A286" s="609" t="s">
        <v>1433</v>
      </c>
      <c r="B286" s="559" t="s">
        <v>81</v>
      </c>
      <c r="C286" s="659">
        <f>C290+C287</f>
        <v>0</v>
      </c>
      <c r="D286" s="660">
        <f t="shared" si="3474"/>
        <v>0</v>
      </c>
      <c r="E286" s="659">
        <f t="shared" ref="E286" si="3819">E290+E287</f>
        <v>124217595.92975888</v>
      </c>
      <c r="F286" s="660">
        <f t="shared" si="3474"/>
        <v>2885.8954052867803</v>
      </c>
      <c r="G286" s="659">
        <f t="shared" ref="G286" si="3820">G290+G287</f>
        <v>120471226.8935862</v>
      </c>
      <c r="H286" s="660">
        <f t="shared" ref="H286" si="3821">IF(G286=0,0,G286/G$4)</f>
        <v>2885.8954052867803</v>
      </c>
      <c r="I286" s="659">
        <f t="shared" ref="I286" si="3822">I290+I287</f>
        <v>84681850.651601732</v>
      </c>
      <c r="J286" s="660">
        <f t="shared" ref="J286" si="3823">IF(I286=0,0,I286/I$4)</f>
        <v>2885.8954052867807</v>
      </c>
      <c r="K286" s="659">
        <f t="shared" ref="K286" si="3824">K290+K287</f>
        <v>122866808.66951476</v>
      </c>
      <c r="L286" s="660">
        <f t="shared" ref="L286" si="3825">IF(K286=0,0,K286/K$4)</f>
        <v>2885.8954052867803</v>
      </c>
      <c r="M286" s="659">
        <f t="shared" ref="M286" si="3826">M290+M287</f>
        <v>12428974.331489107</v>
      </c>
      <c r="N286" s="660">
        <f t="shared" ref="N286" si="3827">IF(M286=0,0,M286/M$4)</f>
        <v>2885.8954052867803</v>
      </c>
      <c r="O286" s="659">
        <f t="shared" ref="O286" si="3828">O290+O287</f>
        <v>0</v>
      </c>
      <c r="P286" s="660">
        <f t="shared" ref="P286" si="3829">IF(O286=0,0,O286/O$4)</f>
        <v>0</v>
      </c>
      <c r="Q286" s="659">
        <f t="shared" ref="Q286" si="3830">Q290+Q287</f>
        <v>0</v>
      </c>
      <c r="R286" s="660">
        <f t="shared" ref="R286" si="3831">IF(Q286=0,0,Q286/Q$4)</f>
        <v>0</v>
      </c>
      <c r="S286" s="659">
        <f t="shared" ref="S286" si="3832">S290+S287</f>
        <v>0</v>
      </c>
      <c r="T286" s="660">
        <f t="shared" ref="T286" si="3833">IF(S286=0,0,S286/S$4)</f>
        <v>0</v>
      </c>
      <c r="U286" s="659">
        <f t="shared" ref="U286" si="3834">U290+U287</f>
        <v>0</v>
      </c>
      <c r="V286" s="660">
        <f t="shared" ref="V286" si="3835">IF(U286=0,0,U286/U$4)</f>
        <v>0</v>
      </c>
      <c r="W286" s="659">
        <f t="shared" ref="W286" si="3836">W290+W287</f>
        <v>0</v>
      </c>
      <c r="X286" s="660">
        <f t="shared" ref="X286" si="3837">IF(W286=0,0,W286/W$4)</f>
        <v>0</v>
      </c>
      <c r="Y286" s="659">
        <f t="shared" ref="Y286" si="3838">Y290+Y287</f>
        <v>0</v>
      </c>
      <c r="Z286" s="660">
        <f t="shared" ref="Z286" si="3839">IF(Y286=0,0,Y286/Y$4)</f>
        <v>0</v>
      </c>
      <c r="AA286" s="659">
        <f t="shared" ref="AA286" si="3840">AA290+AA287</f>
        <v>0</v>
      </c>
      <c r="AB286" s="660">
        <f t="shared" ref="AB286" si="3841">IF(AA286=0,0,AA286/AA$4)</f>
        <v>0</v>
      </c>
      <c r="AC286" s="659">
        <f t="shared" ref="AC286" si="3842">AC290+AC287</f>
        <v>464666456.47595066</v>
      </c>
      <c r="AD286" s="660">
        <f t="shared" ref="AD286" si="3843">IF(AC286=0,0,AC286/AC$4)</f>
        <v>2885.8954052867803</v>
      </c>
      <c r="AE286" s="654"/>
    </row>
    <row r="287" spans="1:36" s="556" customFormat="1" ht="15.75" hidden="1" outlineLevel="3" collapsed="1">
      <c r="A287" s="612" t="s">
        <v>1432</v>
      </c>
      <c r="B287" s="560" t="s">
        <v>1115</v>
      </c>
      <c r="C287" s="661"/>
      <c r="D287" s="662">
        <f t="shared" si="3474"/>
        <v>0</v>
      </c>
      <c r="E287" s="661">
        <f>Калькулятор_жилье!L374</f>
        <v>124217595.92975888</v>
      </c>
      <c r="F287" s="662">
        <f t="shared" si="3474"/>
        <v>2885.8954052867803</v>
      </c>
      <c r="G287" s="661">
        <f>SUM(Калькулятор_жилье!M374:M376)</f>
        <v>120471226.8935862</v>
      </c>
      <c r="H287" s="662">
        <f t="shared" ref="H287" si="3844">IF(G287=0,0,G287/G$4)</f>
        <v>2885.8954052867803</v>
      </c>
      <c r="I287" s="661">
        <f>SUM(Калькулятор_жилье!N374:N376)</f>
        <v>84681850.651601732</v>
      </c>
      <c r="J287" s="662">
        <f t="shared" ref="J287" si="3845">IF(I287=0,0,I287/I$4)</f>
        <v>2885.8954052867807</v>
      </c>
      <c r="K287" s="661">
        <f>SUM(Калькулятор_жилье!O374:O376)</f>
        <v>122866808.66951476</v>
      </c>
      <c r="L287" s="662">
        <f t="shared" ref="L287" si="3846">IF(K287=0,0,K287/K$4)</f>
        <v>2885.8954052867803</v>
      </c>
      <c r="M287" s="661">
        <f>SUM(Калькулятор_жилье!P374:P376)</f>
        <v>12428974.331489107</v>
      </c>
      <c r="N287" s="662">
        <f t="shared" ref="N287" si="3847">IF(M287=0,0,M287/M$4)</f>
        <v>2885.8954052867803</v>
      </c>
      <c r="O287" s="661">
        <f>SUM(Калькулятор_жилье!Q374:Q376)</f>
        <v>0</v>
      </c>
      <c r="P287" s="662">
        <f t="shared" ref="P287" si="3848">IF(O287=0,0,O287/O$4)</f>
        <v>0</v>
      </c>
      <c r="Q287" s="661">
        <f>SUM(Калькулятор_жилье!R374:R376)</f>
        <v>0</v>
      </c>
      <c r="R287" s="662">
        <f t="shared" ref="R287" si="3849">IF(Q287=0,0,Q287/Q$4)</f>
        <v>0</v>
      </c>
      <c r="S287" s="661">
        <f>SUM(Калькулятор_жилье!S374:S376)</f>
        <v>0</v>
      </c>
      <c r="T287" s="662">
        <f t="shared" ref="T287" si="3850">IF(S287=0,0,S287/S$4)</f>
        <v>0</v>
      </c>
      <c r="U287" s="661">
        <f>SUM(Калькулятор_жилье!T374:T376)</f>
        <v>0</v>
      </c>
      <c r="V287" s="662">
        <f t="shared" ref="V287" si="3851">IF(U287=0,0,U287/U$4)</f>
        <v>0</v>
      </c>
      <c r="W287" s="661">
        <f>SUM(Калькулятор_жилье!U374:U376)</f>
        <v>0</v>
      </c>
      <c r="X287" s="662">
        <f t="shared" ref="X287" si="3852">IF(W287=0,0,W287/W$4)</f>
        <v>0</v>
      </c>
      <c r="Y287" s="661">
        <f>SUM(Калькулятор_жилье!V374:V376)</f>
        <v>0</v>
      </c>
      <c r="Z287" s="662">
        <f t="shared" ref="Z287" si="3853">IF(Y287=0,0,Y287/Y$4)</f>
        <v>0</v>
      </c>
      <c r="AA287" s="661">
        <f>SUM(Калькулятор_жилье!W374:W376)</f>
        <v>0</v>
      </c>
      <c r="AB287" s="662">
        <f t="shared" ref="AB287" si="3854">IF(AA287=0,0,AA287/AA$4)</f>
        <v>0</v>
      </c>
      <c r="AC287" s="661">
        <f>C287+E287+G287+I287+K287+M287+O287+Q287+S287+U287+W287+AA287+Y287</f>
        <v>464666456.47595066</v>
      </c>
      <c r="AD287" s="662">
        <f t="shared" ref="AD287" si="3855">IF(AC287=0,0,AC287/AC$4)</f>
        <v>2885.8954052867803</v>
      </c>
      <c r="AE287" s="654"/>
    </row>
    <row r="288" spans="1:36" s="68" customFormat="1" hidden="1" outlineLevel="4">
      <c r="A288" s="245"/>
      <c r="B288" s="246" t="s">
        <v>419</v>
      </c>
      <c r="C288" s="663"/>
      <c r="D288" s="664">
        <f t="shared" si="3474"/>
        <v>0</v>
      </c>
      <c r="E288" s="663">
        <f>E287-E289*курс</f>
        <v>112831684.01659098</v>
      </c>
      <c r="F288" s="664">
        <f t="shared" si="3474"/>
        <v>2621.371280268359</v>
      </c>
      <c r="G288" s="663">
        <f>G287-G289*курс</f>
        <v>109428710.99867809</v>
      </c>
      <c r="H288" s="664">
        <f t="shared" ref="H288" si="3856">IF(G288=0,0,G288/G$4)</f>
        <v>2621.371280268359</v>
      </c>
      <c r="I288" s="663">
        <f>I287-I289*курс</f>
        <v>76919825.594311222</v>
      </c>
      <c r="J288" s="664">
        <f t="shared" ref="J288" si="3857">IF(I288=0,0,I288/I$4)</f>
        <v>2621.3712802683594</v>
      </c>
      <c r="K288" s="663">
        <f>K287-K289*курс</f>
        <v>111604711.29842886</v>
      </c>
      <c r="L288" s="664">
        <f t="shared" ref="L288" si="3858">IF(K288=0,0,K288/K$4)</f>
        <v>2621.3712802683594</v>
      </c>
      <c r="M288" s="663">
        <f>M287-M289*курс</f>
        <v>11289721.829859771</v>
      </c>
      <c r="N288" s="664">
        <f t="shared" ref="N288" si="3859">IF(M288=0,0,M288/M$4)</f>
        <v>2621.3712802683594</v>
      </c>
      <c r="O288" s="663">
        <f>O287-O289*курс</f>
        <v>0</v>
      </c>
      <c r="P288" s="664">
        <f t="shared" ref="P288" si="3860">IF(O288=0,0,O288/O$4)</f>
        <v>0</v>
      </c>
      <c r="Q288" s="663">
        <f>Q287-Q289*курс</f>
        <v>0</v>
      </c>
      <c r="R288" s="664">
        <f t="shared" ref="R288" si="3861">IF(Q288=0,0,Q288/Q$4)</f>
        <v>0</v>
      </c>
      <c r="S288" s="663">
        <f>S287-S289*курс</f>
        <v>0</v>
      </c>
      <c r="T288" s="664">
        <f t="shared" ref="T288" si="3862">IF(S288=0,0,S288/S$4)</f>
        <v>0</v>
      </c>
      <c r="U288" s="663">
        <f>U287-U289*курс</f>
        <v>0</v>
      </c>
      <c r="V288" s="664">
        <f t="shared" ref="V288" si="3863">IF(U288=0,0,U288/U$4)</f>
        <v>0</v>
      </c>
      <c r="W288" s="663">
        <f>W287-W289*курс</f>
        <v>0</v>
      </c>
      <c r="X288" s="664">
        <f t="shared" ref="X288" si="3864">IF(W288=0,0,W288/W$4)</f>
        <v>0</v>
      </c>
      <c r="Y288" s="663">
        <f>Y287-Y289*курс</f>
        <v>0</v>
      </c>
      <c r="Z288" s="664">
        <f t="shared" ref="Z288" si="3865">IF(Y288=0,0,Y288/Y$4)</f>
        <v>0</v>
      </c>
      <c r="AA288" s="663">
        <f>AA287-AA289*курс</f>
        <v>0</v>
      </c>
      <c r="AB288" s="664">
        <f t="shared" ref="AB288" si="3866">IF(AA288=0,0,AA288/AA$4)</f>
        <v>0</v>
      </c>
      <c r="AC288" s="663">
        <f>C288+E288+G288+I288+K288+M288+O288+Q288+S288+U288+W288+AA288+Y288</f>
        <v>422074653.73786896</v>
      </c>
      <c r="AD288" s="664">
        <f t="shared" ref="AD288" si="3867">IF(AC288=0,0,AC288/AC$4)</f>
        <v>2621.3712802683594</v>
      </c>
      <c r="AE288" s="665"/>
      <c r="AF288" s="114"/>
      <c r="AG288" s="114"/>
      <c r="AH288" s="114"/>
      <c r="AI288" s="114"/>
      <c r="AJ288" s="114"/>
    </row>
    <row r="289" spans="1:36" s="68" customFormat="1" hidden="1" outlineLevel="4">
      <c r="A289" s="245"/>
      <c r="B289" s="246" t="s">
        <v>420</v>
      </c>
      <c r="C289" s="663"/>
      <c r="D289" s="664">
        <f t="shared" si="3474"/>
        <v>0</v>
      </c>
      <c r="E289" s="663">
        <f>Калькулятор_жилье!G374*Калькулятор_жилье!$G$58</f>
        <v>130285.96437840089</v>
      </c>
      <c r="F289" s="664">
        <f t="shared" si="3474"/>
        <v>3.0268792690658386</v>
      </c>
      <c r="G289" s="663">
        <f>Калькулятор_жилье!$G$374*(Калькулятор_жилье!H$56+Калькулятор_жилье!H$69)*IF(Калькулятор_жилье!H$64&lt;=75,1,0)+Калькулятор_жилье!$G$375*(Калькулятор_жилье!H$56+Калькулятор_жилье!H$69)*IF(AND(Калькулятор_жилье!H$64&gt;75,Калькулятор_жилье!H$64&lt;=130),1,0)+Калькулятор_жилье!$G$376*(Калькулятор_жилье!H$56+Калькулятор_жилье!H$69)*IF(Калькулятор_жилье!H$64&gt;130,1,0)</f>
        <v>126356.57499405681</v>
      </c>
      <c r="H289" s="664">
        <f t="shared" ref="H289" si="3868">IF(G289=0,0,G289/G$4)</f>
        <v>3.0268792690658386</v>
      </c>
      <c r="I289" s="663">
        <f>Калькулятор_жилье!$G$374*(Калькулятор_жилье!I$56+Калькулятор_жилье!I$69)*IF(Калькулятор_жилье!I$64&lt;=75,1,0)+Калькулятор_жилье!$G$375*(Калькулятор_жилье!I$56+Калькулятор_жилье!I$69)*IF(AND(Калькулятор_жилье!I$64&gt;75,Калькулятор_жилье!I$64&lt;=130),1,0)+Калькулятор_жилье!$G$376*(Калькулятор_жилье!I$56+Калькулятор_жилье!I$69)*IF(Калькулятор_жилье!I$64&gt;130,1,0)</f>
        <v>88818.790082931388</v>
      </c>
      <c r="J289" s="664">
        <f t="shared" ref="J289" si="3869">IF(I289=0,0,I289/I$4)</f>
        <v>3.0268792690658386</v>
      </c>
      <c r="K289" s="663">
        <f>Калькулятор_жилье!$G$374*(Калькулятор_жилье!J$56+Калькулятор_жилье!J$69)*IF(Калькулятор_жилье!J$64&lt;=75,1,0)+Калькулятор_жилье!$G$375*(Калькулятор_жилье!J$56+Калькулятор_жилье!J$69)*IF(AND(Калькулятор_жилье!J$64&gt;75,Калькулятор_жилье!J$64&lt;=130),1,0)+Калькулятор_жилье!$G$376*(Калькулятор_жилье!J$56+Калькулятор_жилье!J$69)*IF(Калькулятор_жилье!J$64&gt;130,1,0)</f>
        <v>128869.18747530835</v>
      </c>
      <c r="L289" s="664">
        <f t="shared" ref="L289" si="3870">IF(K289=0,0,K289/K$4)</f>
        <v>3.0268792690658386</v>
      </c>
      <c r="M289" s="663">
        <f>Калькулятор_жилье!$G$374*(Калькулятор_жилье!K$56+Калькулятор_жилье!K$69)*IF(Калькулятор_жилье!K$64&lt;=75,1,0)+Калькулятор_жилье!$G$375*(Калькулятор_жилье!K$56+Калькулятор_жилье!K$69)*IF(AND(Калькулятор_жилье!K$64&gt;75,Калькулятор_жилье!K$64&lt;=130),1,0)+Калькулятор_жилье!$G$376*(Калькулятор_жилье!K$56+Калькулятор_жилье!K$69)*IF(Калькулятор_жилье!K$64&gt;130,1,0)</f>
        <v>13036.163636012754</v>
      </c>
      <c r="N289" s="664">
        <f t="shared" ref="N289" si="3871">IF(M289=0,0,M289/M$4)</f>
        <v>3.0268792690658386</v>
      </c>
      <c r="O289" s="663">
        <f>Калькулятор_жилье!$G$374*(Калькулятор_жилье!L$56+Калькулятор_жилье!L$69)*IF(Калькулятор_жилье!L$64&lt;=75,1,0)+Калькулятор_жилье!$G$375*(Калькулятор_жилье!L$56+Калькулятор_жилье!L$69)*IF(AND(Калькулятор_жилье!L$64&gt;75,Калькулятор_жилье!L$64&lt;=130),1,0)+Калькулятор_жилье!$G$376*(Калькулятор_жилье!L$56+Калькулятор_жилье!L$69)*IF(Калькулятор_жилье!L$64&gt;130,1,0)</f>
        <v>0</v>
      </c>
      <c r="P289" s="664">
        <f t="shared" ref="P289" si="3872">IF(O289=0,0,O289/O$4)</f>
        <v>0</v>
      </c>
      <c r="Q289" s="663">
        <f>Калькулятор_жилье!$G$374*(Калькулятор_жилье!M$56+Калькулятор_жилье!M$69)*IF(Калькулятор_жилье!M$64&lt;=75,1,0)+Калькулятор_жилье!$G$375*(Калькулятор_жилье!M$56+Калькулятор_жилье!M$69)*IF(AND(Калькулятор_жилье!M$64&gt;75,Калькулятор_жилье!M$64&lt;=130),1,0)+Калькулятор_жилье!$G$376*(Калькулятор_жилье!M$56+Калькулятор_жилье!M$69)*IF(Калькулятор_жилье!M$64&gt;130,1,0)</f>
        <v>0</v>
      </c>
      <c r="R289" s="664">
        <f t="shared" ref="R289" si="3873">IF(Q289=0,0,Q289/Q$4)</f>
        <v>0</v>
      </c>
      <c r="S289" s="663">
        <f>Калькулятор_жилье!$G$374*(Калькулятор_жилье!N$56+Калькулятор_жилье!N$69)*IF(Калькулятор_жилье!N$64&lt;=75,1,0)+Калькулятор_жилье!$G$375*(Калькулятор_жилье!N$56+Калькулятор_жилье!N$69)*IF(AND(Калькулятор_жилье!N$64&gt;75,Калькулятор_жилье!N$64&lt;=130),1,0)+Калькулятор_жилье!$G$376*(Калькулятор_жилье!N$56+Калькулятор_жилье!N$69)*IF(Калькулятор_жилье!N$64&gt;130,1,0)</f>
        <v>0</v>
      </c>
      <c r="T289" s="664">
        <f t="shared" ref="T289" si="3874">IF(S289=0,0,S289/S$4)</f>
        <v>0</v>
      </c>
      <c r="U289" s="663">
        <f>Калькулятор_жилье!$G$374*(Калькулятор_жилье!O$56+Калькулятор_жилье!O$69)*IF(Калькулятор_жилье!O$64&lt;=75,1,0)+Калькулятор_жилье!$G$375*(Калькулятор_жилье!O$56+Калькулятор_жилье!O$69)*IF(AND(Калькулятор_жилье!O$64&gt;75,Калькулятор_жилье!O$64&lt;=130),1,0)+Калькулятор_жилье!$G$376*(Калькулятор_жилье!O$56+Калькулятор_жилье!O$69)*IF(Калькулятор_жилье!O$64&gt;130,1,0)</f>
        <v>0</v>
      </c>
      <c r="V289" s="664">
        <f t="shared" ref="V289" si="3875">IF(U289=0,0,U289/U$4)</f>
        <v>0</v>
      </c>
      <c r="W289" s="663">
        <f>Калькулятор_жилье!$G$374*(Калькулятор_жилье!P$56+Калькулятор_жилье!P$69)*IF(Калькулятор_жилье!P$64&lt;=75,1,0)+Калькулятор_жилье!$G$375*(Калькулятор_жилье!P$56+Калькулятор_жилье!P$69)*IF(AND(Калькулятор_жилье!P$64&gt;75,Калькулятор_жилье!P$64&lt;=130),1,0)+Калькулятор_жилье!$G$376*(Калькулятор_жилье!P$56+Калькулятор_жилье!P$69)*IF(Калькулятор_жилье!P$64&gt;130,1,0)</f>
        <v>0</v>
      </c>
      <c r="X289" s="664">
        <f t="shared" ref="X289" si="3876">IF(W289=0,0,W289/W$4)</f>
        <v>0</v>
      </c>
      <c r="Y289" s="663">
        <f>Калькулятор_жилье!$G$374*(Калькулятор_жилье!Q$56+Калькулятор_жилье!Q$69)*IF(Калькулятор_жилье!Q$64&lt;=75,1,0)+Калькулятор_жилье!$G$375*(Калькулятор_жилье!Q$56+Калькулятор_жилье!Q$69)*IF(AND(Калькулятор_жилье!Q$64&gt;75,Калькулятор_жилье!Q$64&lt;=130),1,0)+Калькулятор_жилье!$G$376*(Калькулятор_жилье!Q$56+Калькулятор_жилье!Q$69)*IF(Калькулятор_жилье!Q$64&gt;130,1,0)</f>
        <v>0</v>
      </c>
      <c r="Z289" s="664">
        <f t="shared" ref="Z289" si="3877">IF(Y289=0,0,Y289/Y$4)</f>
        <v>0</v>
      </c>
      <c r="AA289" s="663">
        <f>Калькулятор_жилье!$G$374*(Калькулятор_жилье!R$56+Калькулятор_жилье!R$69)*IF(Калькулятор_жилье!R$64&lt;=75,1,0)+Калькулятор_жилье!$G$375*(Калькулятор_жилье!R$56+Калькулятор_жилье!R$69)*IF(AND(Калькулятор_жилье!R$64&gt;75,Калькулятор_жилье!R$64&lt;=130),1,0)+Калькулятор_жилье!$G$376*(Калькулятор_жилье!R$56+Калькулятор_жилье!R$69)*IF(Калькулятор_жилье!R$64&gt;130,1,0)</f>
        <v>0</v>
      </c>
      <c r="AB289" s="664">
        <f t="shared" ref="AB289" si="3878">IF(AA289=0,0,AA289/AA$4)</f>
        <v>0</v>
      </c>
      <c r="AC289" s="663">
        <f t="shared" ref="AC289" si="3879">C289+E289+G289+I289+K289+M289+O289+Q289+S289+U289+W289+AA289+Y289</f>
        <v>487366.68056671025</v>
      </c>
      <c r="AD289" s="664">
        <f t="shared" ref="AD289" si="3880">IF(AC289=0,0,AC289/AC$4)</f>
        <v>3.026879269065839</v>
      </c>
      <c r="AE289" s="665"/>
      <c r="AF289" s="114"/>
      <c r="AG289" s="114"/>
      <c r="AH289" s="114"/>
      <c r="AI289" s="114"/>
      <c r="AJ289" s="114"/>
    </row>
    <row r="290" spans="1:36" s="556" customFormat="1" ht="15.75" hidden="1" outlineLevel="3">
      <c r="A290" s="612" t="s">
        <v>1431</v>
      </c>
      <c r="B290" s="560" t="s">
        <v>1117</v>
      </c>
      <c r="C290" s="661"/>
      <c r="D290" s="662">
        <f t="shared" si="3474"/>
        <v>0</v>
      </c>
      <c r="E290" s="661"/>
      <c r="F290" s="662">
        <f t="shared" si="3474"/>
        <v>0</v>
      </c>
      <c r="G290" s="661"/>
      <c r="H290" s="662">
        <f t="shared" ref="H290" si="3881">IF(G290=0,0,G290/G$4)</f>
        <v>0</v>
      </c>
      <c r="I290" s="661"/>
      <c r="J290" s="662">
        <f t="shared" ref="J290" si="3882">IF(I290=0,0,I290/I$4)</f>
        <v>0</v>
      </c>
      <c r="K290" s="661"/>
      <c r="L290" s="662">
        <f t="shared" ref="L290" si="3883">IF(K290=0,0,K290/K$4)</f>
        <v>0</v>
      </c>
      <c r="M290" s="661"/>
      <c r="N290" s="662">
        <f t="shared" ref="N290" si="3884">IF(M290=0,0,M290/M$4)</f>
        <v>0</v>
      </c>
      <c r="O290" s="661"/>
      <c r="P290" s="662">
        <f t="shared" ref="P290" si="3885">IF(O290=0,0,O290/O$4)</f>
        <v>0</v>
      </c>
      <c r="Q290" s="661"/>
      <c r="R290" s="662">
        <f t="shared" ref="R290" si="3886">IF(Q290=0,0,Q290/Q$4)</f>
        <v>0</v>
      </c>
      <c r="S290" s="661"/>
      <c r="T290" s="662">
        <f t="shared" ref="T290" si="3887">IF(S290=0,0,S290/S$4)</f>
        <v>0</v>
      </c>
      <c r="U290" s="661"/>
      <c r="V290" s="662">
        <f t="shared" ref="V290" si="3888">IF(U290=0,0,U290/U$4)</f>
        <v>0</v>
      </c>
      <c r="W290" s="661"/>
      <c r="X290" s="662">
        <f t="shared" ref="X290" si="3889">IF(W290=0,0,W290/W$4)</f>
        <v>0</v>
      </c>
      <c r="Y290" s="661"/>
      <c r="Z290" s="662">
        <f t="shared" ref="Z290" si="3890">IF(Y290=0,0,Y290/Y$4)</f>
        <v>0</v>
      </c>
      <c r="AA290" s="661"/>
      <c r="AB290" s="662">
        <f t="shared" ref="AB290" si="3891">IF(AA290=0,0,AA290/AA$4)</f>
        <v>0</v>
      </c>
      <c r="AC290" s="661"/>
      <c r="AD290" s="662">
        <f t="shared" ref="AD290" si="3892">IF(AC290=0,0,AC290/AC$4)</f>
        <v>0</v>
      </c>
      <c r="AE290" s="654"/>
    </row>
    <row r="291" spans="1:36" s="556" customFormat="1" ht="15.75" hidden="1" outlineLevel="2" collapsed="1">
      <c r="A291" s="609" t="s">
        <v>1430</v>
      </c>
      <c r="B291" s="559" t="s">
        <v>1118</v>
      </c>
      <c r="C291" s="659"/>
      <c r="D291" s="660">
        <f t="shared" si="3474"/>
        <v>0</v>
      </c>
      <c r="E291" s="659">
        <f>Калькулятор_жилье!L395</f>
        <v>24827835.996538412</v>
      </c>
      <c r="F291" s="660">
        <f t="shared" si="3474"/>
        <v>576.81472008313574</v>
      </c>
      <c r="G291" s="659">
        <f>SUM(Калькулятор_жилье!M395:M397)</f>
        <v>24079035.190047186</v>
      </c>
      <c r="H291" s="660">
        <f t="shared" ref="H291" si="3893">IF(G291=0,0,G291/G$4)</f>
        <v>576.81472008313574</v>
      </c>
      <c r="I291" s="659">
        <f>SUM(Калькулятор_жилье!N395:N397)</f>
        <v>16925678.55724889</v>
      </c>
      <c r="J291" s="660">
        <f t="shared" ref="J291" si="3894">IF(I291=0,0,I291/I$4)</f>
        <v>576.81472008313574</v>
      </c>
      <c r="K291" s="659">
        <f>SUM(Калькулятор_жилье!O395:O397)</f>
        <v>24557849.089188196</v>
      </c>
      <c r="L291" s="660">
        <f t="shared" ref="L291" si="3895">IF(K291=0,0,K291/K$4)</f>
        <v>576.81472008313574</v>
      </c>
      <c r="M291" s="659">
        <f>SUM(Калькулятор_жилье!P395:P397)</f>
        <v>2484225.636454049</v>
      </c>
      <c r="N291" s="660">
        <f t="shared" ref="N291" si="3896">IF(M291=0,0,M291/M$4)</f>
        <v>576.81472008313574</v>
      </c>
      <c r="O291" s="659">
        <f>SUM(Калькулятор_жилье!Q395:Q397)</f>
        <v>0</v>
      </c>
      <c r="P291" s="660">
        <f t="shared" ref="P291" si="3897">IF(O291=0,0,O291/O$4)</f>
        <v>0</v>
      </c>
      <c r="Q291" s="659">
        <f>SUM(Калькулятор_жилье!R395:R397)</f>
        <v>0</v>
      </c>
      <c r="R291" s="660">
        <f t="shared" ref="R291" si="3898">IF(Q291=0,0,Q291/Q$4)</f>
        <v>0</v>
      </c>
      <c r="S291" s="659">
        <f>SUM(Калькулятор_жилье!S395:S397)</f>
        <v>0</v>
      </c>
      <c r="T291" s="660">
        <f t="shared" ref="T291" si="3899">IF(S291=0,0,S291/S$4)</f>
        <v>0</v>
      </c>
      <c r="U291" s="659">
        <f>SUM(Калькулятор_жилье!T395:T397)</f>
        <v>0</v>
      </c>
      <c r="V291" s="660">
        <f t="shared" ref="V291" si="3900">IF(U291=0,0,U291/U$4)</f>
        <v>0</v>
      </c>
      <c r="W291" s="659">
        <f>SUM(Калькулятор_жилье!U395:U397)</f>
        <v>0</v>
      </c>
      <c r="X291" s="660">
        <f t="shared" ref="X291" si="3901">IF(W291=0,0,W291/W$4)</f>
        <v>0</v>
      </c>
      <c r="Y291" s="659">
        <f>SUM(Калькулятор_жилье!V395:V397)</f>
        <v>0</v>
      </c>
      <c r="Z291" s="660">
        <f t="shared" ref="Z291" si="3902">IF(Y291=0,0,Y291/Y$4)</f>
        <v>0</v>
      </c>
      <c r="AA291" s="659">
        <f>SUM(Калькулятор_жилье!W395:W397)</f>
        <v>0</v>
      </c>
      <c r="AB291" s="660">
        <f t="shared" ref="AB291" si="3903">IF(AA291=0,0,AA291/AA$4)</f>
        <v>0</v>
      </c>
      <c r="AC291" s="659">
        <f>C291+E291+G291+I291+K291+M291+O291+Q291+S291+U291+W291+AA291+Y291</f>
        <v>92874624.46947673</v>
      </c>
      <c r="AD291" s="660">
        <f t="shared" ref="AD291" si="3904">IF(AC291=0,0,AC291/AC$4)</f>
        <v>576.81472008313574</v>
      </c>
      <c r="AE291" s="654"/>
    </row>
    <row r="292" spans="1:36" s="68" customFormat="1" hidden="1" outlineLevel="3">
      <c r="A292" s="245"/>
      <c r="B292" s="246" t="s">
        <v>419</v>
      </c>
      <c r="C292" s="663"/>
      <c r="D292" s="664">
        <f t="shared" si="3474"/>
        <v>0</v>
      </c>
      <c r="E292" s="663">
        <f>E291-E293*курс</f>
        <v>14710752.90868452</v>
      </c>
      <c r="F292" s="664">
        <f t="shared" si="3474"/>
        <v>341.76876399610899</v>
      </c>
      <c r="G292" s="663">
        <f>G291-G293*курс</f>
        <v>14267080.586873956</v>
      </c>
      <c r="H292" s="664">
        <f t="shared" ref="H292" si="3905">IF(G292=0,0,G292/G$4)</f>
        <v>341.76876399610904</v>
      </c>
      <c r="I292" s="663">
        <f>I291-I293*курс</f>
        <v>10028641.847892961</v>
      </c>
      <c r="J292" s="664">
        <f t="shared" ref="J292" si="3906">IF(I292=0,0,I292/I$4)</f>
        <v>341.76876399610899</v>
      </c>
      <c r="K292" s="663">
        <f>K291-K293*курс</f>
        <v>14550782.837867126</v>
      </c>
      <c r="L292" s="664">
        <f t="shared" ref="L292" si="3907">IF(K292=0,0,K292/K$4)</f>
        <v>341.76876399610904</v>
      </c>
      <c r="M292" s="663">
        <f>M291-M293*курс</f>
        <v>1471929.7127784423</v>
      </c>
      <c r="N292" s="664">
        <f t="shared" ref="N292" si="3908">IF(M292=0,0,M292/M$4)</f>
        <v>341.76876399610899</v>
      </c>
      <c r="O292" s="663">
        <f>O291-O293*курс</f>
        <v>0</v>
      </c>
      <c r="P292" s="664">
        <f t="shared" ref="P292" si="3909">IF(O292=0,0,O292/O$4)</f>
        <v>0</v>
      </c>
      <c r="Q292" s="663"/>
      <c r="R292" s="664">
        <f t="shared" ref="R292" si="3910">IF(Q292=0,0,Q292/Q$4)</f>
        <v>0</v>
      </c>
      <c r="S292" s="663">
        <f>S291-S293*курс</f>
        <v>0</v>
      </c>
      <c r="T292" s="664">
        <f t="shared" ref="T292" si="3911">IF(S292=0,0,S292/S$4)</f>
        <v>0</v>
      </c>
      <c r="U292" s="663">
        <f>U291-U293*курс</f>
        <v>0</v>
      </c>
      <c r="V292" s="664">
        <f t="shared" ref="V292" si="3912">IF(U292=0,0,U292/U$4)</f>
        <v>0</v>
      </c>
      <c r="W292" s="663">
        <f>W291-W293*курс</f>
        <v>0</v>
      </c>
      <c r="X292" s="664">
        <f t="shared" ref="X292" si="3913">IF(W292=0,0,W292/W$4)</f>
        <v>0</v>
      </c>
      <c r="Y292" s="663">
        <f>Y291-Y293*курс</f>
        <v>0</v>
      </c>
      <c r="Z292" s="664">
        <f t="shared" ref="Z292" si="3914">IF(Y292=0,0,Y292/Y$4)</f>
        <v>0</v>
      </c>
      <c r="AA292" s="663">
        <f>AA291-AA293*курс</f>
        <v>0</v>
      </c>
      <c r="AB292" s="664">
        <f t="shared" ref="AB292" si="3915">IF(AA292=0,0,AA292/AA$4)</f>
        <v>0</v>
      </c>
      <c r="AC292" s="663">
        <f>C292+E292+G292+I292+K292+M292+O292+Q292+S292+U292+W292+AA292+Y292</f>
        <v>55029187.894097008</v>
      </c>
      <c r="AD292" s="664">
        <f t="shared" ref="AD292" si="3916">IF(AC292=0,0,AC292/AC$4)</f>
        <v>341.76876399610904</v>
      </c>
      <c r="AE292" s="665"/>
      <c r="AF292" s="114"/>
      <c r="AG292" s="114"/>
      <c r="AH292" s="114"/>
      <c r="AI292" s="114"/>
      <c r="AJ292" s="114"/>
    </row>
    <row r="293" spans="1:36" s="68" customFormat="1" hidden="1" outlineLevel="3">
      <c r="A293" s="245"/>
      <c r="B293" s="246" t="s">
        <v>420</v>
      </c>
      <c r="C293" s="663"/>
      <c r="D293" s="664">
        <f t="shared" si="3474"/>
        <v>0</v>
      </c>
      <c r="E293" s="663">
        <f>Калькулятор_жилье!G395*Калькулятор_жилье!$G$58</f>
        <v>115767.09330352758</v>
      </c>
      <c r="F293" s="664">
        <f t="shared" si="3474"/>
        <v>2.6895684153875794</v>
      </c>
      <c r="G293" s="663">
        <f>Калькулятор_жилье!$G$395*(Калькулятор_жилье!H$56+Калькулятор_жилье!H$69)*IF(Калькулятор_жилье!H$64&lt;=75,1,0)+Калькулятор_жилье!$G$396*(Калькулятор_жилье!H$56+Калькулятор_жилье!H$69)*IF(AND(Калькулятор_жилье!H$64&gt;75,Калькулятор_жилье!H$64&lt;=130),1,0)+Калькулятор_жилье!$G$397*(Калькулятор_жилье!H$56+Калькулятор_жилье!H$69)*IF(Калькулятор_жилье!H$64&gt;130,1,0)</f>
        <v>112275.58913687718</v>
      </c>
      <c r="H293" s="664">
        <f t="shared" ref="H293" si="3917">IF(G293=0,0,G293/G$4)</f>
        <v>2.6895684153875794</v>
      </c>
      <c r="I293" s="663">
        <f>Калькулятор_жилье!$G$395*(Калькулятор_жилье!I$56+Калькулятор_жилье!I$69)*IF(Калькулятор_жилье!I$64&lt;=75,1,0)+Калькулятор_жилье!$G$396*(Калькулятор_жилье!I$56+Калькулятор_жилье!I$69)*IF(AND(Калькулятор_жилье!I$64&gt;75,Калькулятор_жилье!I$64&lt;=130),1,0)+Калькулятор_жилье!$G$397*(Калькулятор_жилье!I$56+Калькулятор_жилье!I$69)*IF(Калькулятор_жилье!I$64&gt;130,1,0)</f>
        <v>78920.958275853773</v>
      </c>
      <c r="J293" s="664">
        <f t="shared" ref="J293" si="3918">IF(I293=0,0,I293/I$4)</f>
        <v>2.6895684153875794</v>
      </c>
      <c r="K293" s="663">
        <f>Калькулятор_жилье!$G$395*(Калькулятор_жилье!J$56+Калькулятор_жилье!J$69)*IF(Калькулятор_жилье!J$64&lt;=75,1,0)+Калькулятор_жилье!$G$396*(Калькулятор_жилье!J$56+Калькулятор_жилье!J$69)*IF(AND(Калькулятор_жилье!J$64&gt;75,Калькулятор_жилье!J$64&lt;=130),1,0)+Калькулятор_жилье!$G$397*(Калькулятор_жилье!J$56+Калькулятор_жилье!J$69)*IF(Калькулятор_жилье!J$64&gt;130,1,0)</f>
        <v>114508.19987849041</v>
      </c>
      <c r="L293" s="664">
        <f t="shared" ref="L293" si="3919">IF(K293=0,0,K293/K$4)</f>
        <v>2.6895684153875794</v>
      </c>
      <c r="M293" s="663">
        <f>Калькулятор_жилье!$G$395*(Калькулятор_жилье!K$56+Калькулятор_жилье!K$69)*IF(Калькулятор_жилье!K$64&lt;=75,1,0)+Калькулятор_жилье!$G$396*(Калькулятор_жилье!K$56+Калькулятор_жилье!K$69)*IF(AND(Калькулятор_жилье!K$64&gt;75,Калькулятор_жилье!K$64&lt;=130),1,0)+Калькулятор_жилье!$G$397*(Калькулятор_жилье!K$56+Калькулятор_жилье!K$69)*IF(Калькулятор_жилье!K$64&gt;130,1,0)</f>
        <v>11583.433251391227</v>
      </c>
      <c r="N293" s="664">
        <f t="shared" ref="N293" si="3920">IF(M293=0,0,M293/M$4)</f>
        <v>2.6895684153875794</v>
      </c>
      <c r="O293" s="663">
        <f>Калькулятор_жилье!$G$395*(Калькулятор_жилье!L$56+Калькулятор_жилье!L$69)*IF(Калькулятор_жилье!L$64&lt;=75,1,0)+Калькулятор_жилье!$G$396*(Калькулятор_жилье!L$56+Калькулятор_жилье!L$69)*IF(AND(Калькулятор_жилье!L$64&gt;75,Калькулятор_жилье!L$64&lt;=130),1,0)+Калькулятор_жилье!$G$397*(Калькулятор_жилье!L$56+Калькулятор_жилье!L$69)*IF(Калькулятор_жилье!L$64&gt;130,1,0)</f>
        <v>0</v>
      </c>
      <c r="P293" s="664">
        <f t="shared" ref="P293" si="3921">IF(O293=0,0,O293/O$4)</f>
        <v>0</v>
      </c>
      <c r="Q293" s="663">
        <f>Калькулятор_жилье!$G$395*(Калькулятор_жилье!M$56+Калькулятор_жилье!M$69)*IF(Калькулятор_жилье!M$64&lt;=75,1,0)+Калькулятор_жилье!$G$396*(Калькулятор_жилье!M$56+Калькулятор_жилье!M$69)*IF(AND(Калькулятор_жилье!M$64&gt;75,Калькулятор_жилье!M$64&lt;=130),1,0)+Калькулятор_жилье!$G$397*(Калькулятор_жилье!M$56+Калькулятор_жилье!M$69)*IF(Калькулятор_жилье!M$64&gt;130,1,0)</f>
        <v>0</v>
      </c>
      <c r="R293" s="664">
        <f t="shared" ref="R293" si="3922">IF(Q293=0,0,Q293/Q$4)</f>
        <v>0</v>
      </c>
      <c r="S293" s="663">
        <f>Калькулятор_жилье!$G$395*(Калькулятор_жилье!N$56+Калькулятор_жилье!N$69)*IF(Калькулятор_жилье!N$64&lt;=75,1,0)+Калькулятор_жилье!$G$396*(Калькулятор_жилье!N$56+Калькулятор_жилье!N$69)*IF(AND(Калькулятор_жилье!N$64&gt;75,Калькулятор_жилье!N$64&lt;=130),1,0)+Калькулятор_жилье!$G$397*(Калькулятор_жилье!N$56+Калькулятор_жилье!N$69)*IF(Калькулятор_жилье!N$64&gt;130,1,0)</f>
        <v>0</v>
      </c>
      <c r="T293" s="664">
        <f t="shared" ref="T293" si="3923">IF(S293=0,0,S293/S$4)</f>
        <v>0</v>
      </c>
      <c r="U293" s="663">
        <f>Калькулятор_жилье!$G$395*(Калькулятор_жилье!O$56+Калькулятор_жилье!O$69)*IF(Калькулятор_жилье!O$64&lt;=75,1,0)+Калькулятор_жилье!$G$396*(Калькулятор_жилье!O$56+Калькулятор_жилье!O$69)*IF(AND(Калькулятор_жилье!O$64&gt;75,Калькулятор_жилье!O$64&lt;=130),1,0)+Калькулятор_жилье!$G$397*(Калькулятор_жилье!O$56+Калькулятор_жилье!O$69)*IF(Калькулятор_жилье!O$64&gt;130,1,0)</f>
        <v>0</v>
      </c>
      <c r="V293" s="664">
        <f t="shared" ref="V293" si="3924">IF(U293=0,0,U293/U$4)</f>
        <v>0</v>
      </c>
      <c r="W293" s="663">
        <f>Калькулятор_жилье!$G$395*(Калькулятор_жилье!P$56+Калькулятор_жилье!P$69)*IF(Калькулятор_жилье!P$64&lt;=75,1,0)+Калькулятор_жилье!$G$396*(Калькулятор_жилье!P$56+Калькулятор_жилье!P$69)*IF(AND(Калькулятор_жилье!P$64&gt;75,Калькулятор_жилье!P$64&lt;=130),1,0)+Калькулятор_жилье!$G$397*(Калькулятор_жилье!P$56+Калькулятор_жилье!P$69)*IF(Калькулятор_жилье!P$64&gt;130,1,0)</f>
        <v>0</v>
      </c>
      <c r="X293" s="664">
        <f t="shared" ref="X293" si="3925">IF(W293=0,0,W293/W$4)</f>
        <v>0</v>
      </c>
      <c r="Y293" s="663">
        <f>Калькулятор_жилье!$G$395*(Калькулятор_жилье!Q$56+Калькулятор_жилье!Q$69)*IF(Калькулятор_жилье!Q$64&lt;=75,1,0)+Калькулятор_жилье!$G$396*(Калькулятор_жилье!Q$56+Калькулятор_жилье!Q$69)*IF(AND(Калькулятор_жилье!Q$64&gt;75,Калькулятор_жилье!Q$64&lt;=130),1,0)+Калькулятор_жилье!$G$397*(Калькулятор_жилье!Q$56+Калькулятор_жилье!Q$69)*IF(Калькулятор_жилье!Q$64&gt;130,1,0)</f>
        <v>0</v>
      </c>
      <c r="Z293" s="664">
        <f t="shared" ref="Z293" si="3926">IF(Y293=0,0,Y293/Y$4)</f>
        <v>0</v>
      </c>
      <c r="AA293" s="663">
        <f>Калькулятор_жилье!$G$395*(Калькулятор_жилье!R$56+Калькулятор_жилье!R$69)*IF(Калькулятор_жилье!R$64&lt;=75,1,0)+Калькулятор_жилье!$G$396*(Калькулятор_жилье!R$56+Калькулятор_жилье!R$69)*IF(AND(Калькулятор_жилье!R$64&gt;75,Калькулятор_жилье!R$64&lt;=130),1,0)+Калькулятор_жилье!$G$397*(Калькулятор_жилье!R$56+Калькулятор_жилье!R$69)*IF(Калькулятор_жилье!R$64&gt;130,1,0)</f>
        <v>0</v>
      </c>
      <c r="AB293" s="664">
        <f t="shared" ref="AB293" si="3927">IF(AA293=0,0,AA293/AA$4)</f>
        <v>0</v>
      </c>
      <c r="AC293" s="663">
        <f>C293+E293+G293+I293+K293+M293+O293+Q293+S293+U293+W293+AA293+Y293</f>
        <v>433055.27384614019</v>
      </c>
      <c r="AD293" s="664">
        <f t="shared" ref="AD293" si="3928">IF(AC293=0,0,AC293/AC$4)</f>
        <v>2.6895684153875794</v>
      </c>
      <c r="AE293" s="665"/>
      <c r="AF293" s="114"/>
      <c r="AG293" s="114"/>
      <c r="AH293" s="114"/>
      <c r="AI293" s="114"/>
      <c r="AJ293" s="114"/>
    </row>
    <row r="294" spans="1:36" s="556" customFormat="1" ht="15.75" hidden="1" outlineLevel="2" collapsed="1">
      <c r="A294" s="609" t="s">
        <v>1429</v>
      </c>
      <c r="B294" s="559" t="s">
        <v>1119</v>
      </c>
      <c r="C294" s="659">
        <f>C295+C304+C305</f>
        <v>0</v>
      </c>
      <c r="D294" s="660">
        <f t="shared" si="3474"/>
        <v>0</v>
      </c>
      <c r="E294" s="659">
        <f t="shared" ref="E294" si="3929">E295+E304+E305</f>
        <v>66843217.725065112</v>
      </c>
      <c r="F294" s="660">
        <f t="shared" si="3474"/>
        <v>1552.9404949716588</v>
      </c>
      <c r="G294" s="659">
        <f t="shared" ref="G294" si="3930">G295+G304+G305</f>
        <v>133603530.52594271</v>
      </c>
      <c r="H294" s="660">
        <f t="shared" ref="H294" si="3931">IF(G294=0,0,G294/G$4)</f>
        <v>3200.4805198463318</v>
      </c>
      <c r="I294" s="659">
        <f t="shared" ref="I294" si="3932">I295+I304+I305</f>
        <v>92422719.098967701</v>
      </c>
      <c r="J294" s="660">
        <f t="shared" ref="J294" si="3933">IF(I294=0,0,I294/I$4)</f>
        <v>3149.6985285450501</v>
      </c>
      <c r="K294" s="659">
        <f t="shared" ref="K294" si="3934">K295+K304+K305</f>
        <v>135688450.48348835</v>
      </c>
      <c r="L294" s="660">
        <f t="shared" ref="L294" si="3935">IF(K294=0,0,K294/K$4)</f>
        <v>3187.0501076824976</v>
      </c>
      <c r="M294" s="659">
        <f t="shared" ref="M294" si="3936">M295+M304+M305</f>
        <v>11397756.712640511</v>
      </c>
      <c r="N294" s="660">
        <f t="shared" ref="N294" si="3937">IF(M294=0,0,M294/M$4)</f>
        <v>2646.4560027492594</v>
      </c>
      <c r="O294" s="659">
        <f t="shared" ref="O294" si="3938">O295+O304+O305</f>
        <v>0</v>
      </c>
      <c r="P294" s="660">
        <f t="shared" ref="P294" si="3939">IF(O294=0,0,O294/O$4)</f>
        <v>0</v>
      </c>
      <c r="Q294" s="659">
        <f t="shared" ref="Q294" si="3940">Q295+Q304+Q305</f>
        <v>0</v>
      </c>
      <c r="R294" s="660">
        <f t="shared" ref="R294" si="3941">IF(Q294=0,0,Q294/Q$4)</f>
        <v>0</v>
      </c>
      <c r="S294" s="659">
        <f t="shared" ref="S294" si="3942">S295+S304+S305</f>
        <v>0</v>
      </c>
      <c r="T294" s="660">
        <f t="shared" ref="T294" si="3943">IF(S294=0,0,S294/S$4)</f>
        <v>0</v>
      </c>
      <c r="U294" s="659">
        <f t="shared" ref="U294" si="3944">U295+U304+U305</f>
        <v>0</v>
      </c>
      <c r="V294" s="660">
        <f t="shared" ref="V294" si="3945">IF(U294=0,0,U294/U$4)</f>
        <v>0</v>
      </c>
      <c r="W294" s="659">
        <f t="shared" ref="W294" si="3946">W295+W304+W305</f>
        <v>0</v>
      </c>
      <c r="X294" s="660">
        <f t="shared" ref="X294" si="3947">IF(W294=0,0,W294/W$4)</f>
        <v>0</v>
      </c>
      <c r="Y294" s="659">
        <f t="shared" ref="Y294" si="3948">Y295+Y304+Y305</f>
        <v>0</v>
      </c>
      <c r="Z294" s="660">
        <f t="shared" ref="Z294" si="3949">IF(Y294=0,0,Y294/Y$4)</f>
        <v>0</v>
      </c>
      <c r="AA294" s="659">
        <f t="shared" ref="AA294" si="3950">AA295+AA304+AA305</f>
        <v>0</v>
      </c>
      <c r="AB294" s="660">
        <f t="shared" ref="AB294" si="3951">IF(AA294=0,0,AA294/AA$4)</f>
        <v>0</v>
      </c>
      <c r="AC294" s="659">
        <f t="shared" ref="AC294" si="3952">AC295+AC304+AC305</f>
        <v>439955674.54610437</v>
      </c>
      <c r="AD294" s="660">
        <f t="shared" ref="AD294" si="3953">IF(AC294=0,0,AC294/AC$4)</f>
        <v>2732.4246069571013</v>
      </c>
      <c r="AE294" s="654"/>
    </row>
    <row r="295" spans="1:36" s="556" customFormat="1" ht="15.75" hidden="1" outlineLevel="3" collapsed="1">
      <c r="A295" s="612" t="s">
        <v>1428</v>
      </c>
      <c r="B295" s="560" t="s">
        <v>1120</v>
      </c>
      <c r="C295" s="661">
        <f>C296+C299+C302+C303</f>
        <v>0</v>
      </c>
      <c r="D295" s="662">
        <f t="shared" si="3474"/>
        <v>0</v>
      </c>
      <c r="E295" s="661">
        <f t="shared" ref="E295" si="3954">E296+E299+E302+E303</f>
        <v>33104667.544017952</v>
      </c>
      <c r="F295" s="662">
        <f t="shared" si="3474"/>
        <v>769.10688251325303</v>
      </c>
      <c r="G295" s="661">
        <f t="shared" ref="G295" si="3955">G296+G299+G302+G303</f>
        <v>74383031.547620699</v>
      </c>
      <c r="H295" s="662">
        <f t="shared" ref="H295" si="3956">IF(G295=0,0,G295/G$4)</f>
        <v>1781.8499446693077</v>
      </c>
      <c r="I295" s="661">
        <f t="shared" ref="I295" si="3957">I296+I299+I302+I303</f>
        <v>52288146.987559758</v>
      </c>
      <c r="J295" s="662">
        <f t="shared" ref="J295" si="3958">IF(I295=0,0,I295/I$4)</f>
        <v>1781.9417263704347</v>
      </c>
      <c r="K295" s="661">
        <f t="shared" ref="K295" si="3959">K296+K299+K302+K303</f>
        <v>75764018.446448177</v>
      </c>
      <c r="L295" s="662">
        <f t="shared" ref="L295" si="3960">IF(K295=0,0,K295/K$4)</f>
        <v>1779.5451439516189</v>
      </c>
      <c r="M295" s="661">
        <f t="shared" ref="M295" si="3961">M296+M299+M302+M303</f>
        <v>7485209.7429412985</v>
      </c>
      <c r="N295" s="662">
        <f t="shared" ref="N295" si="3962">IF(M295=0,0,M295/M$4)</f>
        <v>1737.9979899092825</v>
      </c>
      <c r="O295" s="661">
        <f t="shared" ref="O295" si="3963">O296+O299+O302+O303</f>
        <v>0</v>
      </c>
      <c r="P295" s="662">
        <f t="shared" ref="P295" si="3964">IF(O295=0,0,O295/O$4)</f>
        <v>0</v>
      </c>
      <c r="Q295" s="661">
        <f t="shared" ref="Q295" si="3965">Q296+Q299+Q302+Q303</f>
        <v>0</v>
      </c>
      <c r="R295" s="662">
        <f t="shared" ref="R295" si="3966">IF(Q295=0,0,Q295/Q$4)</f>
        <v>0</v>
      </c>
      <c r="S295" s="661">
        <f t="shared" ref="S295" si="3967">S296+S299+S302+S303</f>
        <v>0</v>
      </c>
      <c r="T295" s="662">
        <f t="shared" ref="T295" si="3968">IF(S295=0,0,S295/S$4)</f>
        <v>0</v>
      </c>
      <c r="U295" s="661">
        <f t="shared" ref="U295" si="3969">U296+U299+U302+U303</f>
        <v>0</v>
      </c>
      <c r="V295" s="662">
        <f t="shared" ref="V295" si="3970">IF(U295=0,0,U295/U$4)</f>
        <v>0</v>
      </c>
      <c r="W295" s="661">
        <f t="shared" ref="W295" si="3971">W296+W299+W302+W303</f>
        <v>0</v>
      </c>
      <c r="X295" s="662">
        <f t="shared" ref="X295" si="3972">IF(W295=0,0,W295/W$4)</f>
        <v>0</v>
      </c>
      <c r="Y295" s="661">
        <f t="shared" ref="Y295" si="3973">Y296+Y299+Y302+Y303</f>
        <v>0</v>
      </c>
      <c r="Z295" s="662">
        <f t="shared" ref="Z295" si="3974">IF(Y295=0,0,Y295/Y$4)</f>
        <v>0</v>
      </c>
      <c r="AA295" s="661">
        <f t="shared" ref="AA295" si="3975">AA296+AA299+AA302+AA303</f>
        <v>0</v>
      </c>
      <c r="AB295" s="662">
        <f t="shared" ref="AB295" si="3976">IF(AA295=0,0,AA295/AA$4)</f>
        <v>0</v>
      </c>
      <c r="AC295" s="661">
        <f t="shared" ref="AC295" si="3977">AC296+AC299+AC302+AC303</f>
        <v>243025074.26858789</v>
      </c>
      <c r="AD295" s="662">
        <f t="shared" ref="AD295" si="3978">IF(AC295=0,0,AC295/AC$4)</f>
        <v>1509.3513539157204</v>
      </c>
      <c r="AE295" s="654"/>
    </row>
    <row r="296" spans="1:36" s="68" customFormat="1" hidden="1" outlineLevel="4" collapsed="1">
      <c r="A296" s="117"/>
      <c r="B296" s="118" t="str">
        <f>Калькулятор_жилье!C417</f>
        <v>вентиляция приточно-вытяжная (надземная площадь)</v>
      </c>
      <c r="C296" s="661"/>
      <c r="D296" s="662">
        <f t="shared" si="3474"/>
        <v>0</v>
      </c>
      <c r="E296" s="661"/>
      <c r="F296" s="662">
        <f t="shared" si="3474"/>
        <v>0</v>
      </c>
      <c r="G296" s="661">
        <f>SUM(Калькулятор_жилье!M417:M422)</f>
        <v>54357068.283652253</v>
      </c>
      <c r="H296" s="662">
        <f t="shared" ref="H296" si="3979">IF(G296=0,0,G296/G$4)</f>
        <v>1302.1268036326721</v>
      </c>
      <c r="I296" s="661">
        <f>SUM(Калькулятор_жилье!N417:N422)</f>
        <v>38226555.110103831</v>
      </c>
      <c r="J296" s="662">
        <f t="shared" ref="J296" si="3980">IF(I296=0,0,I296/I$4)</f>
        <v>1302.7329811916895</v>
      </c>
      <c r="K296" s="661">
        <f>SUM(Калькулятор_жилье!O417:O422)</f>
        <v>54789880.006131425</v>
      </c>
      <c r="L296" s="662">
        <f t="shared" ref="L296" si="3981">IF(K296=0,0,K296/K$4)</f>
        <v>1286.9046138506917</v>
      </c>
      <c r="M296" s="661">
        <f>SUM(Калькулятор_жилье!P417:P422)</f>
        <v>4360652.3542731572</v>
      </c>
      <c r="N296" s="662">
        <f t="shared" ref="N296" si="3982">IF(M296=0,0,M296/M$4)</f>
        <v>1012.5040295052376</v>
      </c>
      <c r="O296" s="661">
        <f>SUM(Калькулятор_жилье!Q417:Q422)</f>
        <v>0</v>
      </c>
      <c r="P296" s="662">
        <f t="shared" ref="P296" si="3983">IF(O296=0,0,O296/O$4)</f>
        <v>0</v>
      </c>
      <c r="Q296" s="661">
        <f>SUM(Калькулятор_жилье!R417:R422)</f>
        <v>0</v>
      </c>
      <c r="R296" s="662">
        <f t="shared" ref="R296" si="3984">IF(Q296=0,0,Q296/Q$4)</f>
        <v>0</v>
      </c>
      <c r="S296" s="661">
        <f>SUM(Калькулятор_жилье!S417:S422)</f>
        <v>0</v>
      </c>
      <c r="T296" s="662">
        <f t="shared" ref="T296" si="3985">IF(S296=0,0,S296/S$4)</f>
        <v>0</v>
      </c>
      <c r="U296" s="661">
        <f>SUM(Калькулятор_жилье!T417:T422)</f>
        <v>0</v>
      </c>
      <c r="V296" s="662">
        <f t="shared" ref="V296" si="3986">IF(U296=0,0,U296/U$4)</f>
        <v>0</v>
      </c>
      <c r="W296" s="661">
        <f>SUM(Калькулятор_жилье!U417:U422)</f>
        <v>0</v>
      </c>
      <c r="X296" s="662">
        <f t="shared" ref="X296" si="3987">IF(W296=0,0,W296/W$4)</f>
        <v>0</v>
      </c>
      <c r="Y296" s="661">
        <f>SUM(Калькулятор_жилье!V417:V422)</f>
        <v>0</v>
      </c>
      <c r="Z296" s="662">
        <f t="shared" ref="Z296" si="3988">IF(Y296=0,0,Y296/Y$4)</f>
        <v>0</v>
      </c>
      <c r="AA296" s="661">
        <f>SUM(Калькулятор_жилье!W417:W422)</f>
        <v>0</v>
      </c>
      <c r="AB296" s="662">
        <f t="shared" ref="AB296" si="3989">IF(AA296=0,0,AA296/AA$4)</f>
        <v>0</v>
      </c>
      <c r="AC296" s="661">
        <f t="shared" ref="AC296:AC303" si="3990">C296+E296+G296+I296+K296+M296+O296+Q296+S296+U296+W296+AA296+Y296</f>
        <v>151734155.75416067</v>
      </c>
      <c r="AD296" s="662">
        <f t="shared" ref="AD296" si="3991">IF(AC296=0,0,AC296/AC$4)</f>
        <v>942.37252724667974</v>
      </c>
      <c r="AE296" s="666"/>
      <c r="AF296" s="144"/>
      <c r="AG296" s="114"/>
      <c r="AH296" s="114"/>
      <c r="AI296" s="114"/>
      <c r="AJ296" s="114"/>
    </row>
    <row r="297" spans="1:36" s="68" customFormat="1" hidden="1" outlineLevel="5">
      <c r="A297" s="245"/>
      <c r="B297" s="246" t="s">
        <v>419</v>
      </c>
      <c r="C297" s="663"/>
      <c r="D297" s="664">
        <f t="shared" si="3474"/>
        <v>0</v>
      </c>
      <c r="E297" s="663">
        <f>E296-E298*курс</f>
        <v>0</v>
      </c>
      <c r="F297" s="664">
        <f t="shared" si="3474"/>
        <v>0</v>
      </c>
      <c r="G297" s="663">
        <f>G296-G298*курс</f>
        <v>54357068.283652253</v>
      </c>
      <c r="H297" s="664">
        <f t="shared" ref="H297" si="3992">IF(G297=0,0,G297/G$4)</f>
        <v>1302.1268036326721</v>
      </c>
      <c r="I297" s="663">
        <f>I296-I298*курс</f>
        <v>38226555.110103831</v>
      </c>
      <c r="J297" s="664">
        <f t="shared" ref="J297" si="3993">IF(I297=0,0,I297/I$4)</f>
        <v>1302.7329811916895</v>
      </c>
      <c r="K297" s="663">
        <f>K296-K298*курс</f>
        <v>54789880.006131425</v>
      </c>
      <c r="L297" s="664">
        <f t="shared" ref="L297" si="3994">IF(K297=0,0,K297/K$4)</f>
        <v>1286.9046138506917</v>
      </c>
      <c r="M297" s="663">
        <f>M296-M298*курс</f>
        <v>4360652.3542731572</v>
      </c>
      <c r="N297" s="664">
        <f t="shared" ref="N297" si="3995">IF(M297=0,0,M297/M$4)</f>
        <v>1012.5040295052376</v>
      </c>
      <c r="O297" s="663">
        <f>O296-O298*курс</f>
        <v>0</v>
      </c>
      <c r="P297" s="664">
        <f t="shared" ref="P297" si="3996">IF(O297=0,0,O297/O$4)</f>
        <v>0</v>
      </c>
      <c r="Q297" s="663">
        <f>Q296-Q298*курс</f>
        <v>0</v>
      </c>
      <c r="R297" s="664">
        <f t="shared" ref="R297" si="3997">IF(Q297=0,0,Q297/Q$4)</f>
        <v>0</v>
      </c>
      <c r="S297" s="663">
        <f>S296-S298*курс</f>
        <v>0</v>
      </c>
      <c r="T297" s="664">
        <f t="shared" ref="T297" si="3998">IF(S297=0,0,S297/S$4)</f>
        <v>0</v>
      </c>
      <c r="U297" s="663">
        <f>U296-U298*курс</f>
        <v>0</v>
      </c>
      <c r="V297" s="664">
        <f t="shared" ref="V297" si="3999">IF(U297=0,0,U297/U$4)</f>
        <v>0</v>
      </c>
      <c r="W297" s="663">
        <f>W296-W298*курс</f>
        <v>0</v>
      </c>
      <c r="X297" s="664">
        <f t="shared" ref="X297" si="4000">IF(W297=0,0,W297/W$4)</f>
        <v>0</v>
      </c>
      <c r="Y297" s="663">
        <f>Y296-Y298*курс</f>
        <v>0</v>
      </c>
      <c r="Z297" s="664">
        <f t="shared" ref="Z297" si="4001">IF(Y297=0,0,Y297/Y$4)</f>
        <v>0</v>
      </c>
      <c r="AA297" s="663">
        <f>AA296-AA298*курс</f>
        <v>0</v>
      </c>
      <c r="AB297" s="664">
        <f t="shared" ref="AB297" si="4002">IF(AA297=0,0,AA297/AA$4)</f>
        <v>0</v>
      </c>
      <c r="AC297" s="663">
        <f t="shared" si="3990"/>
        <v>151734155.75416067</v>
      </c>
      <c r="AD297" s="664">
        <f t="shared" ref="AD297" si="4003">IF(AC297=0,0,AC297/AC$4)</f>
        <v>942.37252724667974</v>
      </c>
      <c r="AE297" s="666"/>
      <c r="AF297" s="144"/>
      <c r="AG297" s="114"/>
      <c r="AH297" s="114"/>
      <c r="AI297" s="114"/>
      <c r="AJ297" s="114"/>
    </row>
    <row r="298" spans="1:36" s="68" customFormat="1" hidden="1" outlineLevel="5">
      <c r="A298" s="245"/>
      <c r="B298" s="246" t="s">
        <v>420</v>
      </c>
      <c r="C298" s="663"/>
      <c r="D298" s="664">
        <f t="shared" si="3474"/>
        <v>0</v>
      </c>
      <c r="E298" s="663"/>
      <c r="F298" s="664">
        <f t="shared" si="3474"/>
        <v>0</v>
      </c>
      <c r="G298" s="663">
        <f>SUM(Калькулятор_жилье!AC417:AC422)</f>
        <v>0</v>
      </c>
      <c r="H298" s="664">
        <f t="shared" ref="H298" si="4004">IF(G298=0,0,G298/G$4)</f>
        <v>0</v>
      </c>
      <c r="I298" s="663">
        <f>SUM(Калькулятор_жилье!AD417:AD422)</f>
        <v>0</v>
      </c>
      <c r="J298" s="664">
        <f t="shared" ref="J298" si="4005">IF(I298=0,0,I298/I$4)</f>
        <v>0</v>
      </c>
      <c r="K298" s="663">
        <f>SUM(Калькулятор_жилье!AE417:AE422)</f>
        <v>0</v>
      </c>
      <c r="L298" s="664">
        <f t="shared" ref="L298" si="4006">IF(K298=0,0,K298/K$4)</f>
        <v>0</v>
      </c>
      <c r="M298" s="663">
        <f>SUM(Калькулятор_жилье!AF417:AF422)</f>
        <v>0</v>
      </c>
      <c r="N298" s="664">
        <f t="shared" ref="N298" si="4007">IF(M298=0,0,M298/M$4)</f>
        <v>0</v>
      </c>
      <c r="O298" s="663">
        <f>SUM(Калькулятор_жилье!AG417:AG422)</f>
        <v>0</v>
      </c>
      <c r="P298" s="664">
        <f t="shared" ref="P298" si="4008">IF(O298=0,0,O298/O$4)</f>
        <v>0</v>
      </c>
      <c r="Q298" s="663">
        <f>SUM(Калькулятор_жилье!AH417:AH422)</f>
        <v>0</v>
      </c>
      <c r="R298" s="664">
        <f t="shared" ref="R298" si="4009">IF(Q298=0,0,Q298/Q$4)</f>
        <v>0</v>
      </c>
      <c r="S298" s="663">
        <f>SUM(Калькулятор_жилье!AI417:AI422)</f>
        <v>0</v>
      </c>
      <c r="T298" s="664">
        <f t="shared" ref="T298" si="4010">IF(S298=0,0,S298/S$4)</f>
        <v>0</v>
      </c>
      <c r="U298" s="663">
        <f>SUM(Калькулятор_жилье!AJ417:AJ422)</f>
        <v>0</v>
      </c>
      <c r="V298" s="664">
        <f t="shared" ref="V298" si="4011">IF(U298=0,0,U298/U$4)</f>
        <v>0</v>
      </c>
      <c r="W298" s="663">
        <f>SUM(Калькулятор_жилье!AK417:AK422)</f>
        <v>0</v>
      </c>
      <c r="X298" s="664">
        <f t="shared" ref="X298" si="4012">IF(W298=0,0,W298/W$4)</f>
        <v>0</v>
      </c>
      <c r="Y298" s="663">
        <f>SUM(Калькулятор_жилье!AL417:AL422)</f>
        <v>0</v>
      </c>
      <c r="Z298" s="664">
        <f t="shared" ref="Z298" si="4013">IF(Y298=0,0,Y298/Y$4)</f>
        <v>0</v>
      </c>
      <c r="AA298" s="663">
        <f>SUM(Калькулятор_жилье!AM417:AM422)</f>
        <v>0</v>
      </c>
      <c r="AB298" s="664">
        <f t="shared" ref="AB298" si="4014">IF(AA298=0,0,AA298/AA$4)</f>
        <v>0</v>
      </c>
      <c r="AC298" s="663">
        <f t="shared" si="3990"/>
        <v>0</v>
      </c>
      <c r="AD298" s="664">
        <f t="shared" ref="AD298" si="4015">IF(AC298=0,0,AC298/AC$4)</f>
        <v>0</v>
      </c>
      <c r="AE298" s="666"/>
      <c r="AF298" s="144"/>
      <c r="AG298" s="114"/>
      <c r="AH298" s="114"/>
      <c r="AI298" s="114"/>
      <c r="AJ298" s="114"/>
    </row>
    <row r="299" spans="1:36" s="68" customFormat="1" hidden="1" outlineLevel="4" collapsed="1">
      <c r="A299" s="117"/>
      <c r="B299" s="118" t="str">
        <f>Калькулятор_жилье!C423</f>
        <v>вентиляция приточно-вытяжная (подземная площадь)</v>
      </c>
      <c r="C299" s="661"/>
      <c r="D299" s="662">
        <f t="shared" si="3474"/>
        <v>0</v>
      </c>
      <c r="E299" s="661">
        <f>Калькулятор_жилье!L423+Калькулятор_жилье!L424</f>
        <v>22235292.195404939</v>
      </c>
      <c r="F299" s="662">
        <f t="shared" si="3474"/>
        <v>516.58323526252673</v>
      </c>
      <c r="G299" s="661">
        <f>Калькулятор_жилье!M423+Калькулятор_жилье!M424</f>
        <v>1972278.4421136938</v>
      </c>
      <c r="H299" s="662">
        <f t="shared" ref="H299" si="4016">IF(G299=0,0,G299/G$4)</f>
        <v>47.246047382498304</v>
      </c>
      <c r="I299" s="661">
        <f>Калькулятор_жилье!N423+Калькулятор_жилье!N424</f>
        <v>1368805.2004537794</v>
      </c>
      <c r="J299" s="662">
        <f t="shared" ref="J299" si="4017">IF(I299=0,0,I299/I$4)</f>
        <v>46.647878008408824</v>
      </c>
      <c r="K299" s="661">
        <f>Калькулятор_жилье!O423+Калькулятор_жилье!O424</f>
        <v>2651019.3176671737</v>
      </c>
      <c r="L299" s="662">
        <f t="shared" ref="L299" si="4018">IF(K299=0,0,K299/K$4)</f>
        <v>62.267137488372157</v>
      </c>
      <c r="M299" s="661">
        <f>Калькулятор_жилье!P423+Калькулятор_жилье!P424</f>
        <v>1434347.989614194</v>
      </c>
      <c r="N299" s="662">
        <f t="shared" ref="N299" si="4019">IF(M299=0,0,M299/M$4)</f>
        <v>333.04262784763489</v>
      </c>
      <c r="O299" s="661">
        <f>Калькулятор_жилье!Q423+Калькулятор_жилье!Q424</f>
        <v>0</v>
      </c>
      <c r="P299" s="662">
        <f t="shared" ref="P299" si="4020">IF(O299=0,0,O299/O$4)</f>
        <v>0</v>
      </c>
      <c r="Q299" s="661">
        <f>Калькулятор_жилье!R423+Калькулятор_жилье!R424</f>
        <v>0</v>
      </c>
      <c r="R299" s="662">
        <f t="shared" ref="R299" si="4021">IF(Q299=0,0,Q299/Q$4)</f>
        <v>0</v>
      </c>
      <c r="S299" s="661">
        <f>Калькулятор_жилье!S423+Калькулятор_жилье!S424</f>
        <v>0</v>
      </c>
      <c r="T299" s="662">
        <f t="shared" ref="T299" si="4022">IF(S299=0,0,S299/S$4)</f>
        <v>0</v>
      </c>
      <c r="U299" s="661">
        <f>Калькулятор_жилье!T423+Калькулятор_жилье!T424</f>
        <v>0</v>
      </c>
      <c r="V299" s="662">
        <f t="shared" ref="V299" si="4023">IF(U299=0,0,U299/U$4)</f>
        <v>0</v>
      </c>
      <c r="W299" s="661">
        <f>Калькулятор_жилье!U423+Калькулятор_жилье!U424</f>
        <v>0</v>
      </c>
      <c r="X299" s="662">
        <f t="shared" ref="X299" si="4024">IF(W299=0,0,W299/W$4)</f>
        <v>0</v>
      </c>
      <c r="Y299" s="661">
        <f>Калькулятор_жилье!V423+Калькулятор_жилье!V424</f>
        <v>0</v>
      </c>
      <c r="Z299" s="662">
        <f t="shared" ref="Z299" si="4025">IF(Y299=0,0,Y299/Y$4)</f>
        <v>0</v>
      </c>
      <c r="AA299" s="661">
        <f>Калькулятор_жилье!W423+Калькулятор_жилье!W424</f>
        <v>0</v>
      </c>
      <c r="AB299" s="662">
        <f t="shared" ref="AB299" si="4026">IF(AA299=0,0,AA299/AA$4)</f>
        <v>0</v>
      </c>
      <c r="AC299" s="661">
        <f t="shared" si="3990"/>
        <v>29661743.145253781</v>
      </c>
      <c r="AD299" s="662">
        <f t="shared" ref="AD299" si="4027">IF(AC299=0,0,AC299/AC$4)</f>
        <v>184.21964198768217</v>
      </c>
      <c r="AE299" s="666"/>
      <c r="AF299" s="144"/>
      <c r="AG299" s="114"/>
      <c r="AH299" s="114"/>
      <c r="AI299" s="114"/>
      <c r="AJ299" s="114"/>
    </row>
    <row r="300" spans="1:36" s="68" customFormat="1" hidden="1" outlineLevel="5">
      <c r="A300" s="245"/>
      <c r="B300" s="246" t="s">
        <v>419</v>
      </c>
      <c r="C300" s="663"/>
      <c r="D300" s="664">
        <f t="shared" si="3474"/>
        <v>0</v>
      </c>
      <c r="E300" s="663">
        <f>E299-E301*курс</f>
        <v>22235292.195404939</v>
      </c>
      <c r="F300" s="664">
        <f t="shared" si="3474"/>
        <v>516.58323526252673</v>
      </c>
      <c r="G300" s="663">
        <f>G299-G301*курс</f>
        <v>1204518.0889123757</v>
      </c>
      <c r="H300" s="664">
        <f t="shared" ref="H300" si="4028">IF(G300=0,0,G300/G$4)</f>
        <v>28.854302458856292</v>
      </c>
      <c r="I300" s="663">
        <f>I299-I301*курс</f>
        <v>835962.40213270253</v>
      </c>
      <c r="J300" s="664">
        <f t="shared" ref="J300" si="4029">IF(I300=0,0,I300/I$4)</f>
        <v>28.488985972127363</v>
      </c>
      <c r="K300" s="663">
        <f>K299-K301*курс</f>
        <v>1619041.537950441</v>
      </c>
      <c r="L300" s="664">
        <f t="shared" ref="L300" si="4030">IF(K300=0,0,K300/K$4)</f>
        <v>38.028045050859319</v>
      </c>
      <c r="M300" s="663">
        <f>M299-M301*курс</f>
        <v>875990.96678956784</v>
      </c>
      <c r="N300" s="664">
        <f t="shared" ref="N300" si="4031">IF(M300=0,0,M300/M$4)</f>
        <v>203.39717813447751</v>
      </c>
      <c r="O300" s="663">
        <f>O299-O301*курс</f>
        <v>0</v>
      </c>
      <c r="P300" s="664">
        <f t="shared" ref="P300" si="4032">IF(O300=0,0,O300/O$4)</f>
        <v>0</v>
      </c>
      <c r="Q300" s="663">
        <f>Q299-Q301*курс</f>
        <v>0</v>
      </c>
      <c r="R300" s="664">
        <f t="shared" ref="R300" si="4033">IF(Q300=0,0,Q300/Q$4)</f>
        <v>0</v>
      </c>
      <c r="S300" s="663">
        <f>S299-S301*курс</f>
        <v>0</v>
      </c>
      <c r="T300" s="664">
        <f t="shared" ref="T300" si="4034">IF(S300=0,0,S300/S$4)</f>
        <v>0</v>
      </c>
      <c r="U300" s="663">
        <f>U299-U301*курс</f>
        <v>0</v>
      </c>
      <c r="V300" s="664">
        <f t="shared" ref="V300" si="4035">IF(U300=0,0,U300/U$4)</f>
        <v>0</v>
      </c>
      <c r="W300" s="663">
        <f>W299-W301*курс</f>
        <v>0</v>
      </c>
      <c r="X300" s="664">
        <f t="shared" ref="X300" si="4036">IF(W300=0,0,W300/W$4)</f>
        <v>0</v>
      </c>
      <c r="Y300" s="663">
        <f>Y299-Y301*курс</f>
        <v>0</v>
      </c>
      <c r="Z300" s="664">
        <f t="shared" ref="Z300" si="4037">IF(Y300=0,0,Y300/Y$4)</f>
        <v>0</v>
      </c>
      <c r="AA300" s="663">
        <f>AA299-AA301*курс</f>
        <v>0</v>
      </c>
      <c r="AB300" s="664">
        <f t="shared" ref="AB300" si="4038">IF(AA300=0,0,AA300/AA$4)</f>
        <v>0</v>
      </c>
      <c r="AC300" s="663">
        <f t="shared" si="3990"/>
        <v>26770805.191190027</v>
      </c>
      <c r="AD300" s="664">
        <f t="shared" ref="AD300" si="4039">IF(AC300=0,0,AC300/AC$4)</f>
        <v>166.26494686749859</v>
      </c>
      <c r="AE300" s="666"/>
      <c r="AF300" s="144"/>
      <c r="AG300" s="114"/>
      <c r="AH300" s="114"/>
      <c r="AI300" s="114"/>
      <c r="AJ300" s="114"/>
    </row>
    <row r="301" spans="1:36" s="68" customFormat="1" hidden="1" outlineLevel="5">
      <c r="A301" s="245"/>
      <c r="B301" s="246" t="s">
        <v>420</v>
      </c>
      <c r="C301" s="663"/>
      <c r="D301" s="664">
        <f t="shared" si="3474"/>
        <v>0</v>
      </c>
      <c r="E301" s="663">
        <f>Калькулятор_жилье!AB423+Калькулятор_жилье!AB424</f>
        <v>0</v>
      </c>
      <c r="F301" s="664">
        <f t="shared" si="3474"/>
        <v>0</v>
      </c>
      <c r="G301" s="663">
        <f>Калькулятор_жилье!AC423+Калькулятор_жилье!AC424</f>
        <v>8785.2777003001211</v>
      </c>
      <c r="H301" s="664">
        <f t="shared" ref="H301" si="4040">IF(G301=0,0,G301/G$4)</f>
        <v>0.21045184981688209</v>
      </c>
      <c r="I301" s="663">
        <f>Калькулятор_жилье!AD423+Калькулятор_жилье!AD424</f>
        <v>6097.1785458009963</v>
      </c>
      <c r="J301" s="664">
        <f t="shared" ref="J301" si="4041">IF(I301=0,0,I301/I$4)</f>
        <v>0.20778737610415474</v>
      </c>
      <c r="K301" s="663">
        <f>Калькулятор_жилье!AE423+Калькулятор_жилье!AE424</f>
        <v>11808.647499896817</v>
      </c>
      <c r="L301" s="664">
        <f t="shared" ref="L301" si="4042">IF(K301=0,0,K301/K$4)</f>
        <v>0.27736149356875811</v>
      </c>
      <c r="M301" s="663">
        <f>Калькулятор_жилье!AF423+Калькулятор_жилье!AF424</f>
        <v>6389.1310367532178</v>
      </c>
      <c r="N301" s="664">
        <f t="shared" ref="N301" si="4043">IF(M301=0,0,M301/M$4)</f>
        <v>1.4834984296352784</v>
      </c>
      <c r="O301" s="663">
        <f>Калькулятор_жилье!AG423+Калькулятор_жилье!AG424</f>
        <v>0</v>
      </c>
      <c r="P301" s="664">
        <f t="shared" ref="P301" si="4044">IF(O301=0,0,O301/O$4)</f>
        <v>0</v>
      </c>
      <c r="Q301" s="663">
        <f>Калькулятор_жилье!AH423+Калькулятор_жилье!AH424</f>
        <v>0</v>
      </c>
      <c r="R301" s="664">
        <f t="shared" ref="R301" si="4045">IF(Q301=0,0,Q301/Q$4)</f>
        <v>0</v>
      </c>
      <c r="S301" s="663">
        <f>Калькулятор_жилье!AI423+Калькулятор_жилье!AI424</f>
        <v>0</v>
      </c>
      <c r="T301" s="664">
        <f t="shared" ref="T301" si="4046">IF(S301=0,0,S301/S$4)</f>
        <v>0</v>
      </c>
      <c r="U301" s="663">
        <f>Калькулятор_жилье!AJ423+Калькулятор_жилье!AJ424</f>
        <v>0</v>
      </c>
      <c r="V301" s="664">
        <f t="shared" ref="V301" si="4047">IF(U301=0,0,U301/U$4)</f>
        <v>0</v>
      </c>
      <c r="W301" s="663">
        <f>Калькулятор_жилье!AK423+Калькулятор_жилье!AK424</f>
        <v>0</v>
      </c>
      <c r="X301" s="664">
        <f t="shared" ref="X301" si="4048">IF(W301=0,0,W301/W$4)</f>
        <v>0</v>
      </c>
      <c r="Y301" s="663">
        <f>Калькулятор_жилье!AL423+Калькулятор_жилье!AL424</f>
        <v>0</v>
      </c>
      <c r="Z301" s="664">
        <f t="shared" ref="Z301" si="4049">IF(Y301=0,0,Y301/Y$4)</f>
        <v>0</v>
      </c>
      <c r="AA301" s="663">
        <f>Калькулятор_жилье!AM423+Калькулятор_жилье!AM424</f>
        <v>0</v>
      </c>
      <c r="AB301" s="664">
        <f t="shared" ref="AB301" si="4050">IF(AA301=0,0,AA301/AA$4)</f>
        <v>0</v>
      </c>
      <c r="AC301" s="663">
        <f t="shared" si="3990"/>
        <v>33080.234782751155</v>
      </c>
      <c r="AD301" s="664">
        <f t="shared" ref="AD301" si="4051">IF(AC301=0,0,AC301/AC$4)</f>
        <v>0.20545080505566995</v>
      </c>
      <c r="AE301" s="666"/>
      <c r="AF301" s="144"/>
      <c r="AG301" s="114"/>
      <c r="AH301" s="114"/>
      <c r="AI301" s="114"/>
      <c r="AJ301" s="114"/>
    </row>
    <row r="302" spans="1:36" s="68" customFormat="1" hidden="1" outlineLevel="4">
      <c r="A302" s="117"/>
      <c r="B302" s="118" t="str">
        <f>Калькулятор_жилье!C429</f>
        <v>Прочее (наземная площадь)</v>
      </c>
      <c r="C302" s="661"/>
      <c r="D302" s="662">
        <f t="shared" si="3474"/>
        <v>0</v>
      </c>
      <c r="E302" s="661"/>
      <c r="F302" s="662">
        <f t="shared" si="3474"/>
        <v>0</v>
      </c>
      <c r="G302" s="661">
        <f>Калькулятор_жилье!M429</f>
        <v>17679823.562100049</v>
      </c>
      <c r="H302" s="662">
        <f t="shared" ref="H302" si="4052">IF(G302=0,0,G302/G$4)</f>
        <v>423.52122494123836</v>
      </c>
      <c r="I302" s="661">
        <f>Калькулятор_жилье!N429</f>
        <v>12433318.629452029</v>
      </c>
      <c r="J302" s="662">
        <f t="shared" ref="J302" si="4053">IF(I302=0,0,I302/I$4)</f>
        <v>423.7183862788367</v>
      </c>
      <c r="K302" s="661">
        <f>Калькулятор_жилье!O429</f>
        <v>17820597.064620633</v>
      </c>
      <c r="L302" s="662">
        <f t="shared" ref="L302" si="4054">IF(K302=0,0,K302/K$4)</f>
        <v>418.57015531824402</v>
      </c>
      <c r="M302" s="661">
        <f>Калькулятор_жилье!P429</f>
        <v>1418317.1880590897</v>
      </c>
      <c r="N302" s="662">
        <f t="shared" ref="N302" si="4055">IF(M302=0,0,M302/M$4)</f>
        <v>329.32042074372845</v>
      </c>
      <c r="O302" s="661">
        <f>Калькулятор_жилье!Q429</f>
        <v>0</v>
      </c>
      <c r="P302" s="662">
        <f t="shared" ref="P302" si="4056">IF(O302=0,0,O302/O$4)</f>
        <v>0</v>
      </c>
      <c r="Q302" s="661">
        <f>Калькулятор_жилье!R429</f>
        <v>0</v>
      </c>
      <c r="R302" s="662">
        <f t="shared" ref="R302" si="4057">IF(Q302=0,0,Q302/Q$4)</f>
        <v>0</v>
      </c>
      <c r="S302" s="661">
        <f>Калькулятор_жилье!S429</f>
        <v>0</v>
      </c>
      <c r="T302" s="662">
        <f t="shared" ref="T302" si="4058">IF(S302=0,0,S302/S$4)</f>
        <v>0</v>
      </c>
      <c r="U302" s="661">
        <f>Калькулятор_жилье!T429</f>
        <v>0</v>
      </c>
      <c r="V302" s="662">
        <f t="shared" ref="V302" si="4059">IF(U302=0,0,U302/U$4)</f>
        <v>0</v>
      </c>
      <c r="W302" s="661">
        <f>Калькулятор_жилье!U429</f>
        <v>0</v>
      </c>
      <c r="X302" s="662">
        <f t="shared" ref="X302" si="4060">IF(W302=0,0,W302/W$4)</f>
        <v>0</v>
      </c>
      <c r="Y302" s="661">
        <f>Калькулятор_жилье!V429</f>
        <v>0</v>
      </c>
      <c r="Z302" s="662">
        <f t="shared" ref="Z302" si="4061">IF(Y302=0,0,Y302/Y$4)</f>
        <v>0</v>
      </c>
      <c r="AA302" s="661">
        <f>Калькулятор_жилье!W429</f>
        <v>0</v>
      </c>
      <c r="AB302" s="662">
        <f t="shared" ref="AB302" si="4062">IF(AA302=0,0,AA302/AA$4)</f>
        <v>0</v>
      </c>
      <c r="AC302" s="661">
        <f t="shared" si="3990"/>
        <v>49352056.444231808</v>
      </c>
      <c r="AD302" s="662">
        <f t="shared" ref="AD302" si="4063">IF(AC302=0,0,AC302/AC$4)</f>
        <v>306.50990823400173</v>
      </c>
      <c r="AE302" s="665"/>
      <c r="AF302" s="114"/>
      <c r="AG302" s="114"/>
      <c r="AH302" s="114"/>
      <c r="AI302" s="114"/>
      <c r="AJ302" s="114"/>
    </row>
    <row r="303" spans="1:36" s="68" customFormat="1" hidden="1" outlineLevel="4">
      <c r="A303" s="117"/>
      <c r="B303" s="118" t="str">
        <f>Калькулятор_жилье!C430</f>
        <v>Прочее (подземная площадь)</v>
      </c>
      <c r="C303" s="661"/>
      <c r="D303" s="662">
        <f t="shared" si="3474"/>
        <v>0</v>
      </c>
      <c r="E303" s="661">
        <f>Калькулятор_жилье!L430</f>
        <v>10869375.348613013</v>
      </c>
      <c r="F303" s="662">
        <f t="shared" si="3474"/>
        <v>252.5236472507263</v>
      </c>
      <c r="G303" s="661">
        <f>Калькулятор_жилье!M430</f>
        <v>373861.2597547003</v>
      </c>
      <c r="H303" s="662">
        <f t="shared" ref="H303" si="4064">IF(G303=0,0,G303/G$4)</f>
        <v>8.9558687128989316</v>
      </c>
      <c r="I303" s="661">
        <f>Калькулятор_жилье!N430</f>
        <v>259468.04755012126</v>
      </c>
      <c r="J303" s="662">
        <f t="shared" ref="J303" si="4065">IF(I303=0,0,I303/I$4)</f>
        <v>8.8424808914997843</v>
      </c>
      <c r="K303" s="661">
        <f>Калькулятор_жилье!O430</f>
        <v>502522.05802894535</v>
      </c>
      <c r="L303" s="662">
        <f t="shared" ref="L303" si="4066">IF(K303=0,0,K303/K$4)</f>
        <v>11.803237294310996</v>
      </c>
      <c r="M303" s="661">
        <f>Калькулятор_жилье!P430</f>
        <v>271892.21099485701</v>
      </c>
      <c r="N303" s="662">
        <f t="shared" ref="N303" si="4067">IF(M303=0,0,M303/M$4)</f>
        <v>63.130911812681575</v>
      </c>
      <c r="O303" s="661">
        <f>Калькулятор_жилье!Q430</f>
        <v>0</v>
      </c>
      <c r="P303" s="662">
        <f t="shared" ref="P303" si="4068">IF(O303=0,0,O303/O$4)</f>
        <v>0</v>
      </c>
      <c r="Q303" s="661">
        <f>Калькулятор_жилье!R430</f>
        <v>0</v>
      </c>
      <c r="R303" s="662">
        <f t="shared" ref="R303" si="4069">IF(Q303=0,0,Q303/Q$4)</f>
        <v>0</v>
      </c>
      <c r="S303" s="661">
        <f>Калькулятор_жилье!S430</f>
        <v>0</v>
      </c>
      <c r="T303" s="662">
        <f t="shared" ref="T303" si="4070">IF(S303=0,0,S303/S$4)</f>
        <v>0</v>
      </c>
      <c r="U303" s="661">
        <f>Калькулятор_жилье!T430</f>
        <v>0</v>
      </c>
      <c r="V303" s="662">
        <f t="shared" ref="V303" si="4071">IF(U303=0,0,U303/U$4)</f>
        <v>0</v>
      </c>
      <c r="W303" s="661">
        <f>Калькулятор_жилье!U430</f>
        <v>0</v>
      </c>
      <c r="X303" s="662">
        <f t="shared" ref="X303" si="4072">IF(W303=0,0,W303/W$4)</f>
        <v>0</v>
      </c>
      <c r="Y303" s="661">
        <f>Калькулятор_жилье!V430</f>
        <v>0</v>
      </c>
      <c r="Z303" s="662">
        <f t="shared" ref="Z303" si="4073">IF(Y303=0,0,Y303/Y$4)</f>
        <v>0</v>
      </c>
      <c r="AA303" s="661">
        <f>Калькулятор_жилье!W430</f>
        <v>0</v>
      </c>
      <c r="AB303" s="662">
        <f t="shared" ref="AB303" si="4074">IF(AA303=0,0,AA303/AA$4)</f>
        <v>0</v>
      </c>
      <c r="AC303" s="661">
        <f t="shared" si="3990"/>
        <v>12277118.924941637</v>
      </c>
      <c r="AD303" s="662">
        <f t="shared" ref="AD303" si="4075">IF(AC303=0,0,AC303/AC$4)</f>
        <v>76.249276447356792</v>
      </c>
      <c r="AE303" s="665"/>
      <c r="AF303" s="114"/>
      <c r="AG303" s="114"/>
      <c r="AH303" s="114"/>
      <c r="AI303" s="114"/>
      <c r="AJ303" s="114"/>
    </row>
    <row r="304" spans="1:36" s="556" customFormat="1" ht="15.75" hidden="1" outlineLevel="3">
      <c r="A304" s="612" t="s">
        <v>1427</v>
      </c>
      <c r="B304" s="560" t="s">
        <v>1121</v>
      </c>
      <c r="C304" s="661"/>
      <c r="D304" s="662">
        <f t="shared" si="3474"/>
        <v>0</v>
      </c>
      <c r="E304" s="661"/>
      <c r="F304" s="662">
        <f t="shared" si="3474"/>
        <v>0</v>
      </c>
      <c r="G304" s="661"/>
      <c r="H304" s="662">
        <f t="shared" ref="H304" si="4076">IF(G304=0,0,G304/G$4)</f>
        <v>0</v>
      </c>
      <c r="I304" s="661"/>
      <c r="J304" s="662">
        <f t="shared" ref="J304" si="4077">IF(I304=0,0,I304/I$4)</f>
        <v>0</v>
      </c>
      <c r="K304" s="661"/>
      <c r="L304" s="662">
        <f t="shared" ref="L304" si="4078">IF(K304=0,0,K304/K$4)</f>
        <v>0</v>
      </c>
      <c r="M304" s="661"/>
      <c r="N304" s="662">
        <f t="shared" ref="N304" si="4079">IF(M304=0,0,M304/M$4)</f>
        <v>0</v>
      </c>
      <c r="O304" s="661"/>
      <c r="P304" s="662">
        <f t="shared" ref="P304" si="4080">IF(O304=0,0,O304/O$4)</f>
        <v>0</v>
      </c>
      <c r="Q304" s="661"/>
      <c r="R304" s="662">
        <f t="shared" ref="R304" si="4081">IF(Q304=0,0,Q304/Q$4)</f>
        <v>0</v>
      </c>
      <c r="S304" s="661"/>
      <c r="T304" s="662">
        <f t="shared" ref="T304" si="4082">IF(S304=0,0,S304/S$4)</f>
        <v>0</v>
      </c>
      <c r="U304" s="661"/>
      <c r="V304" s="662">
        <f t="shared" ref="V304" si="4083">IF(U304=0,0,U304/U$4)</f>
        <v>0</v>
      </c>
      <c r="W304" s="661"/>
      <c r="X304" s="662">
        <f t="shared" ref="X304" si="4084">IF(W304=0,0,W304/W$4)</f>
        <v>0</v>
      </c>
      <c r="Y304" s="661"/>
      <c r="Z304" s="662">
        <f t="shared" ref="Z304" si="4085">IF(Y304=0,0,Y304/Y$4)</f>
        <v>0</v>
      </c>
      <c r="AA304" s="661"/>
      <c r="AB304" s="662">
        <f t="shared" ref="AB304" si="4086">IF(AA304=0,0,AA304/AA$4)</f>
        <v>0</v>
      </c>
      <c r="AC304" s="661"/>
      <c r="AD304" s="662">
        <f t="shared" ref="AD304" si="4087">IF(AC304=0,0,AC304/AC$4)</f>
        <v>0</v>
      </c>
      <c r="AE304" s="654"/>
    </row>
    <row r="305" spans="1:36" s="556" customFormat="1" ht="15.75" hidden="1" outlineLevel="3" collapsed="1">
      <c r="A305" s="612" t="s">
        <v>1426</v>
      </c>
      <c r="B305" s="560" t="s">
        <v>1122</v>
      </c>
      <c r="C305" s="661">
        <f>C306+C309+C310</f>
        <v>0</v>
      </c>
      <c r="D305" s="662">
        <f t="shared" si="3474"/>
        <v>0</v>
      </c>
      <c r="E305" s="661">
        <f t="shared" ref="E305" si="4088">E306+E309+E310</f>
        <v>33738550.181047164</v>
      </c>
      <c r="F305" s="662">
        <f t="shared" si="3474"/>
        <v>783.83361245840592</v>
      </c>
      <c r="G305" s="661">
        <f t="shared" ref="G305" si="4089">G306+G309+G310</f>
        <v>59220498.978322014</v>
      </c>
      <c r="H305" s="662">
        <f t="shared" ref="H305" si="4090">IF(G305=0,0,G305/G$4)</f>
        <v>1418.630575177024</v>
      </c>
      <c r="I305" s="661">
        <f t="shared" ref="I305" si="4091">I306+I309+I310</f>
        <v>40134572.111407936</v>
      </c>
      <c r="J305" s="662">
        <f t="shared" ref="J305" si="4092">IF(I305=0,0,I305/I$4)</f>
        <v>1367.7568021746149</v>
      </c>
      <c r="K305" s="661">
        <f t="shared" ref="K305" si="4093">K306+K309+K310</f>
        <v>59924432.037040174</v>
      </c>
      <c r="L305" s="662">
        <f t="shared" ref="L305" si="4094">IF(K305=0,0,K305/K$4)</f>
        <v>1407.5049637308787</v>
      </c>
      <c r="M305" s="661">
        <f t="shared" ref="M305" si="4095">M306+M309+M310</f>
        <v>3912546.9696992123</v>
      </c>
      <c r="N305" s="662">
        <f t="shared" ref="N305" si="4096">IF(M305=0,0,M305/M$4)</f>
        <v>908.45801283997685</v>
      </c>
      <c r="O305" s="661">
        <f t="shared" ref="O305" si="4097">O306+O309+O310</f>
        <v>0</v>
      </c>
      <c r="P305" s="662">
        <f t="shared" ref="P305" si="4098">IF(O305=0,0,O305/O$4)</f>
        <v>0</v>
      </c>
      <c r="Q305" s="661">
        <f t="shared" ref="Q305" si="4099">Q306+Q309+Q310</f>
        <v>0</v>
      </c>
      <c r="R305" s="662">
        <f t="shared" ref="R305" si="4100">IF(Q305=0,0,Q305/Q$4)</f>
        <v>0</v>
      </c>
      <c r="S305" s="661">
        <f t="shared" ref="S305" si="4101">S306+S309+S310</f>
        <v>0</v>
      </c>
      <c r="T305" s="662">
        <f t="shared" ref="T305" si="4102">IF(S305=0,0,S305/S$4)</f>
        <v>0</v>
      </c>
      <c r="U305" s="661">
        <f t="shared" ref="U305" si="4103">U306+U309+U310</f>
        <v>0</v>
      </c>
      <c r="V305" s="662">
        <f t="shared" ref="V305" si="4104">IF(U305=0,0,U305/U$4)</f>
        <v>0</v>
      </c>
      <c r="W305" s="661">
        <f t="shared" ref="W305" si="4105">W306+W309+W310</f>
        <v>0</v>
      </c>
      <c r="X305" s="662">
        <f t="shared" ref="X305" si="4106">IF(W305=0,0,W305/W$4)</f>
        <v>0</v>
      </c>
      <c r="Y305" s="661">
        <f t="shared" ref="Y305" si="4107">Y306+Y309+Y310</f>
        <v>0</v>
      </c>
      <c r="Z305" s="662">
        <f t="shared" ref="Z305" si="4108">IF(Y305=0,0,Y305/Y$4)</f>
        <v>0</v>
      </c>
      <c r="AA305" s="661">
        <f t="shared" ref="AA305" si="4109">AA306+AA309+AA310</f>
        <v>0</v>
      </c>
      <c r="AB305" s="662">
        <f t="shared" ref="AB305" si="4110">IF(AA305=0,0,AA305/AA$4)</f>
        <v>0</v>
      </c>
      <c r="AC305" s="661">
        <f t="shared" ref="AC305" si="4111">AC306+AC309+AC310</f>
        <v>196930600.27751648</v>
      </c>
      <c r="AD305" s="662">
        <f t="shared" ref="AD305" si="4112">IF(AC305=0,0,AC305/AC$4)</f>
        <v>1223.0732530413811</v>
      </c>
      <c r="AE305" s="654"/>
    </row>
    <row r="306" spans="1:36" s="68" customFormat="1" hidden="1" outlineLevel="4" collapsed="1">
      <c r="A306" s="117"/>
      <c r="B306" s="118" t="str">
        <f>Калькулятор_жилье!C405</f>
        <v>Система противодымной вентиляции</v>
      </c>
      <c r="C306" s="661"/>
      <c r="D306" s="662">
        <f t="shared" si="3474"/>
        <v>0</v>
      </c>
      <c r="E306" s="661"/>
      <c r="F306" s="662">
        <f t="shared" si="3474"/>
        <v>0</v>
      </c>
      <c r="G306" s="661">
        <f>SUM(Калькулятор_жилье!M405:M410)</f>
        <v>38251097.091280736</v>
      </c>
      <c r="H306" s="662">
        <f t="shared" ref="H306" si="4113">IF(G306=0,0,G306/G$4)</f>
        <v>916.30730581347314</v>
      </c>
      <c r="I306" s="661">
        <f>SUM(Калькулятор_жилье!N405:N410)</f>
        <v>26900046.620460037</v>
      </c>
      <c r="J306" s="662">
        <f t="shared" ref="J306" si="4114">IF(I306=0,0,I306/I$4)</f>
        <v>916.73387327556532</v>
      </c>
      <c r="K306" s="661">
        <f>SUM(Калькулятор_жилье!O405:O410)</f>
        <v>38555666.924451344</v>
      </c>
      <c r="L306" s="662">
        <f t="shared" ref="L306" si="4115">IF(K306=0,0,K306/K$4)</f>
        <v>905.59544298352819</v>
      </c>
      <c r="M306" s="661">
        <f>SUM(Калькулятор_жилье!P405:P410)</f>
        <v>3068593.319165247</v>
      </c>
      <c r="N306" s="662">
        <f t="shared" ref="N306" si="4116">IF(M306=0,0,M306/M$4)</f>
        <v>712.49960972537542</v>
      </c>
      <c r="O306" s="661">
        <f>SUM(Калькулятор_жилье!Q405:Q410)</f>
        <v>0</v>
      </c>
      <c r="P306" s="662">
        <f t="shared" ref="P306" si="4117">IF(O306=0,0,O306/O$4)</f>
        <v>0</v>
      </c>
      <c r="Q306" s="661">
        <f>SUM(Калькулятор_жилье!R405:R410)</f>
        <v>0</v>
      </c>
      <c r="R306" s="662">
        <f t="shared" ref="R306" si="4118">IF(Q306=0,0,Q306/Q$4)</f>
        <v>0</v>
      </c>
      <c r="S306" s="661">
        <f>SUM(Калькулятор_жилье!S405:S410)</f>
        <v>0</v>
      </c>
      <c r="T306" s="662">
        <f t="shared" ref="T306" si="4119">IF(S306=0,0,S306/S$4)</f>
        <v>0</v>
      </c>
      <c r="U306" s="661">
        <f>SUM(Калькулятор_жилье!T405:T410)</f>
        <v>0</v>
      </c>
      <c r="V306" s="662">
        <f t="shared" ref="V306" si="4120">IF(U306=0,0,U306/U$4)</f>
        <v>0</v>
      </c>
      <c r="W306" s="661">
        <f>SUM(Калькулятор_жилье!U405:U410)</f>
        <v>0</v>
      </c>
      <c r="X306" s="662">
        <f t="shared" ref="X306" si="4121">IF(W306=0,0,W306/W$4)</f>
        <v>0</v>
      </c>
      <c r="Y306" s="661">
        <f>SUM(Калькулятор_жилье!V405:V410)</f>
        <v>0</v>
      </c>
      <c r="Z306" s="662">
        <f t="shared" ref="Z306" si="4122">IF(Y306=0,0,Y306/Y$4)</f>
        <v>0</v>
      </c>
      <c r="AA306" s="661">
        <f>SUM(Калькулятор_жилье!W405:W410)</f>
        <v>0</v>
      </c>
      <c r="AB306" s="662">
        <f t="shared" ref="AB306" si="4123">IF(AA306=0,0,AA306/AA$4)</f>
        <v>0</v>
      </c>
      <c r="AC306" s="661">
        <f>C306+E306+G306+I306+K306+M306+O306+Q306+S306+U306+W306+AA306+Y306</f>
        <v>106775403.95535736</v>
      </c>
      <c r="AD306" s="662">
        <f t="shared" ref="AD306" si="4124">IF(AC306=0,0,AC306/AC$4)</f>
        <v>663.14803527969741</v>
      </c>
      <c r="AE306" s="666"/>
      <c r="AF306" s="144"/>
      <c r="AG306" s="114"/>
      <c r="AH306" s="114"/>
      <c r="AI306" s="114"/>
      <c r="AJ306" s="114"/>
    </row>
    <row r="307" spans="1:36" s="68" customFormat="1" hidden="1" outlineLevel="5">
      <c r="A307" s="245"/>
      <c r="B307" s="246" t="s">
        <v>419</v>
      </c>
      <c r="C307" s="663"/>
      <c r="D307" s="664">
        <f t="shared" si="3474"/>
        <v>0</v>
      </c>
      <c r="E307" s="663"/>
      <c r="F307" s="664">
        <f t="shared" si="3474"/>
        <v>0</v>
      </c>
      <c r="G307" s="663">
        <f>G306-G308*курс</f>
        <v>38251097.091280736</v>
      </c>
      <c r="H307" s="664">
        <f t="shared" ref="H307" si="4125">IF(G307=0,0,G307/G$4)</f>
        <v>916.30730581347314</v>
      </c>
      <c r="I307" s="663">
        <f>I306-I308*курс</f>
        <v>26900046.620460037</v>
      </c>
      <c r="J307" s="664">
        <f t="shared" ref="J307" si="4126">IF(I307=0,0,I307/I$4)</f>
        <v>916.73387327556532</v>
      </c>
      <c r="K307" s="663">
        <f>K306-K308*курс</f>
        <v>38555666.924451344</v>
      </c>
      <c r="L307" s="664">
        <f t="shared" ref="L307" si="4127">IF(K307=0,0,K307/K$4)</f>
        <v>905.59544298352819</v>
      </c>
      <c r="M307" s="663">
        <f>M306-M308*курс</f>
        <v>3068593.319165247</v>
      </c>
      <c r="N307" s="664">
        <f t="shared" ref="N307" si="4128">IF(M307=0,0,M307/M$4)</f>
        <v>712.49960972537542</v>
      </c>
      <c r="O307" s="663">
        <f>O306-O308*курс</f>
        <v>0</v>
      </c>
      <c r="P307" s="664">
        <f t="shared" ref="P307" si="4129">IF(O307=0,0,O307/O$4)</f>
        <v>0</v>
      </c>
      <c r="Q307" s="663">
        <f>Q306-Q308*курс</f>
        <v>0</v>
      </c>
      <c r="R307" s="664">
        <f t="shared" ref="R307" si="4130">IF(Q307=0,0,Q307/Q$4)</f>
        <v>0</v>
      </c>
      <c r="S307" s="663">
        <f>S306-S308*курс</f>
        <v>0</v>
      </c>
      <c r="T307" s="664">
        <f t="shared" ref="T307" si="4131">IF(S307=0,0,S307/S$4)</f>
        <v>0</v>
      </c>
      <c r="U307" s="663">
        <f>U306-U308*курс</f>
        <v>0</v>
      </c>
      <c r="V307" s="664">
        <f t="shared" ref="V307" si="4132">IF(U307=0,0,U307/U$4)</f>
        <v>0</v>
      </c>
      <c r="W307" s="663">
        <f>W306-W308*курс</f>
        <v>0</v>
      </c>
      <c r="X307" s="664">
        <f t="shared" ref="X307" si="4133">IF(W307=0,0,W307/W$4)</f>
        <v>0</v>
      </c>
      <c r="Y307" s="663">
        <f>Y306-Y308*курс</f>
        <v>0</v>
      </c>
      <c r="Z307" s="664">
        <f t="shared" ref="Z307" si="4134">IF(Y307=0,0,Y307/Y$4)</f>
        <v>0</v>
      </c>
      <c r="AA307" s="663">
        <f>AA306-AA308*курс</f>
        <v>0</v>
      </c>
      <c r="AB307" s="664">
        <f t="shared" ref="AB307" si="4135">IF(AA307=0,0,AA307/AA$4)</f>
        <v>0</v>
      </c>
      <c r="AC307" s="663">
        <f t="shared" ref="AC307:AC308" si="4136">C307+E307+G307+I307+K307+M307+O307+Q307+S307+U307+W307+AA307+Y307</f>
        <v>106775403.95535736</v>
      </c>
      <c r="AD307" s="664">
        <f t="shared" ref="AD307" si="4137">IF(AC307=0,0,AC307/AC$4)</f>
        <v>663.14803527969741</v>
      </c>
      <c r="AE307" s="666"/>
      <c r="AF307" s="144"/>
      <c r="AG307" s="114"/>
      <c r="AH307" s="114"/>
      <c r="AI307" s="114"/>
      <c r="AJ307" s="114"/>
    </row>
    <row r="308" spans="1:36" s="68" customFormat="1" hidden="1" outlineLevel="5">
      <c r="A308" s="245"/>
      <c r="B308" s="246" t="s">
        <v>420</v>
      </c>
      <c r="C308" s="663"/>
      <c r="D308" s="664">
        <f t="shared" si="3474"/>
        <v>0</v>
      </c>
      <c r="E308" s="663"/>
      <c r="F308" s="664">
        <f t="shared" si="3474"/>
        <v>0</v>
      </c>
      <c r="G308" s="663">
        <f>SUM(Калькулятор_жилье!AC405:AC410)</f>
        <v>0</v>
      </c>
      <c r="H308" s="664">
        <f t="shared" ref="H308" si="4138">IF(G308=0,0,G308/G$4)</f>
        <v>0</v>
      </c>
      <c r="I308" s="663">
        <f>SUM(Калькулятор_жилье!AD405:AD410)</f>
        <v>0</v>
      </c>
      <c r="J308" s="664">
        <f t="shared" ref="J308" si="4139">IF(I308=0,0,I308/I$4)</f>
        <v>0</v>
      </c>
      <c r="K308" s="663">
        <f>SUM(Калькулятор_жилье!AE405:AE410)</f>
        <v>0</v>
      </c>
      <c r="L308" s="664">
        <f t="shared" ref="L308" si="4140">IF(K308=0,0,K308/K$4)</f>
        <v>0</v>
      </c>
      <c r="M308" s="663">
        <f>SUM(Калькулятор_жилье!AF405:AF410)</f>
        <v>0</v>
      </c>
      <c r="N308" s="664">
        <f t="shared" ref="N308" si="4141">IF(M308=0,0,M308/M$4)</f>
        <v>0</v>
      </c>
      <c r="O308" s="663">
        <f>SUM(Калькулятор_жилье!AG405:AG410)</f>
        <v>0</v>
      </c>
      <c r="P308" s="664">
        <f t="shared" ref="P308" si="4142">IF(O308=0,0,O308/O$4)</f>
        <v>0</v>
      </c>
      <c r="Q308" s="663">
        <f>SUM(Калькулятор_жилье!AH405:AH410)</f>
        <v>0</v>
      </c>
      <c r="R308" s="664">
        <f t="shared" ref="R308" si="4143">IF(Q308=0,0,Q308/Q$4)</f>
        <v>0</v>
      </c>
      <c r="S308" s="663">
        <f>SUM(Калькулятор_жилье!AI405:AI410)</f>
        <v>0</v>
      </c>
      <c r="T308" s="664">
        <f t="shared" ref="T308" si="4144">IF(S308=0,0,S308/S$4)</f>
        <v>0</v>
      </c>
      <c r="U308" s="663">
        <f>SUM(Калькулятор_жилье!AJ405:AJ410)</f>
        <v>0</v>
      </c>
      <c r="V308" s="664">
        <f t="shared" ref="V308" si="4145">IF(U308=0,0,U308/U$4)</f>
        <v>0</v>
      </c>
      <c r="W308" s="663">
        <f>SUM(Калькулятор_жилье!AK405:AK410)</f>
        <v>0</v>
      </c>
      <c r="X308" s="664">
        <f t="shared" ref="X308" si="4146">IF(W308=0,0,W308/W$4)</f>
        <v>0</v>
      </c>
      <c r="Y308" s="663">
        <f>SUM(Калькулятор_жилье!AL405:AL410)</f>
        <v>0</v>
      </c>
      <c r="Z308" s="664">
        <f t="shared" ref="Z308" si="4147">IF(Y308=0,0,Y308/Y$4)</f>
        <v>0</v>
      </c>
      <c r="AA308" s="663">
        <f>SUM(Калькулятор_жилье!AM405:AM410)</f>
        <v>0</v>
      </c>
      <c r="AB308" s="664">
        <f t="shared" ref="AB308" si="4148">IF(AA308=0,0,AA308/AA$4)</f>
        <v>0</v>
      </c>
      <c r="AC308" s="663">
        <f t="shared" si="4136"/>
        <v>0</v>
      </c>
      <c r="AD308" s="664">
        <f t="shared" ref="AD308" si="4149">IF(AC308=0,0,AC308/AC$4)</f>
        <v>0</v>
      </c>
      <c r="AE308" s="666"/>
      <c r="AF308" s="144"/>
      <c r="AG308" s="114"/>
      <c r="AH308" s="114"/>
      <c r="AI308" s="114"/>
      <c r="AJ308" s="114"/>
    </row>
    <row r="309" spans="1:36" s="68" customFormat="1" hidden="1" outlineLevel="4">
      <c r="A309" s="117"/>
      <c r="B309" s="118" t="str">
        <f>Калькулятор_жилье!C425</f>
        <v>Система противодымной вентиляции (паркинг)</v>
      </c>
      <c r="C309" s="661"/>
      <c r="D309" s="662">
        <f t="shared" si="3474"/>
        <v>0</v>
      </c>
      <c r="E309" s="661">
        <f>Калькулятор_жилье!L425</f>
        <v>33738550.181047164</v>
      </c>
      <c r="F309" s="662">
        <f t="shared" si="3474"/>
        <v>783.83361245840592</v>
      </c>
      <c r="G309" s="661">
        <f>Калькулятор_жилье!M425</f>
        <v>1160465.6632446698</v>
      </c>
      <c r="H309" s="662">
        <f t="shared" ref="H309" si="4150">IF(G309=0,0,G309/G$4)</f>
        <v>27.799023981959344</v>
      </c>
      <c r="I309" s="661">
        <f>Калькулятор_жилье!N425</f>
        <v>805389.036801012</v>
      </c>
      <c r="J309" s="662">
        <f t="shared" ref="J309" si="4151">IF(I309=0,0,I309/I$4)</f>
        <v>27.447068089417382</v>
      </c>
      <c r="K309" s="661">
        <f>Калькулятор_жилье!O425</f>
        <v>1559828.8887922275</v>
      </c>
      <c r="L309" s="662">
        <f t="shared" ref="L309" si="4152">IF(K309=0,0,K309/K$4)</f>
        <v>36.637258442246569</v>
      </c>
      <c r="M309" s="661">
        <f>Калькулятор_жилье!P425</f>
        <v>843953.65053396556</v>
      </c>
      <c r="N309" s="662">
        <f t="shared" ref="N309" si="4153">IF(M309=0,0,M309/M$4)</f>
        <v>195.95840311460145</v>
      </c>
      <c r="O309" s="661">
        <f>Калькулятор_жилье!Q425</f>
        <v>0</v>
      </c>
      <c r="P309" s="662">
        <f t="shared" ref="P309" si="4154">IF(O309=0,0,O309/O$4)</f>
        <v>0</v>
      </c>
      <c r="Q309" s="661">
        <f>Калькулятор_жилье!R425</f>
        <v>0</v>
      </c>
      <c r="R309" s="662">
        <f t="shared" ref="R309" si="4155">IF(Q309=0,0,Q309/Q$4)</f>
        <v>0</v>
      </c>
      <c r="S309" s="661">
        <f>Калькулятор_жилье!S425</f>
        <v>0</v>
      </c>
      <c r="T309" s="662">
        <f t="shared" ref="T309" si="4156">IF(S309=0,0,S309/S$4)</f>
        <v>0</v>
      </c>
      <c r="U309" s="661">
        <f>Калькулятор_жилье!T425</f>
        <v>0</v>
      </c>
      <c r="V309" s="662">
        <f t="shared" ref="V309" si="4157">IF(U309=0,0,U309/U$4)</f>
        <v>0</v>
      </c>
      <c r="W309" s="661">
        <f>Калькулятор_жилье!U425</f>
        <v>0</v>
      </c>
      <c r="X309" s="662">
        <f t="shared" ref="X309" si="4158">IF(W309=0,0,W309/W$4)</f>
        <v>0</v>
      </c>
      <c r="Y309" s="661">
        <f>Калькулятор_жилье!V425</f>
        <v>0</v>
      </c>
      <c r="Z309" s="662">
        <f t="shared" ref="Z309" si="4159">IF(Y309=0,0,Y309/Y$4)</f>
        <v>0</v>
      </c>
      <c r="AA309" s="661">
        <f>Калькулятор_жилье!W425</f>
        <v>0</v>
      </c>
      <c r="AB309" s="662">
        <f t="shared" ref="AB309" si="4160">IF(AA309=0,0,AA309/AA$4)</f>
        <v>0</v>
      </c>
      <c r="AC309" s="661">
        <f>C309+E309+G309+I309+K309+M309+O309+Q309+S309+U309+W309+AA309+Y309</f>
        <v>38108187.420419037</v>
      </c>
      <c r="AD309" s="662">
        <f t="shared" ref="AD309" si="4161">IF(AC309=0,0,AC309/AC$4)</f>
        <v>236.67781792225563</v>
      </c>
      <c r="AE309" s="666"/>
      <c r="AF309" s="144"/>
      <c r="AG309" s="114"/>
      <c r="AH309" s="114"/>
      <c r="AI309" s="114"/>
      <c r="AJ309" s="114"/>
    </row>
    <row r="310" spans="1:36" s="68" customFormat="1" hidden="1" outlineLevel="4">
      <c r="A310" s="117"/>
      <c r="B310" s="118" t="str">
        <f>Калькулятор_жилье!C428</f>
        <v>монтаж дымоходов</v>
      </c>
      <c r="C310" s="661"/>
      <c r="D310" s="662">
        <f t="shared" si="3474"/>
        <v>0</v>
      </c>
      <c r="E310" s="661"/>
      <c r="F310" s="662">
        <f t="shared" si="3474"/>
        <v>0</v>
      </c>
      <c r="G310" s="661">
        <f>Калькулятор_жилье!M428</f>
        <v>19808936.223796602</v>
      </c>
      <c r="H310" s="662">
        <f t="shared" ref="H310" si="4162">IF(G310=0,0,G310/G$4)</f>
        <v>474.52424538159141</v>
      </c>
      <c r="I310" s="661">
        <f>Калькулятор_жилье!N428</f>
        <v>12429136.454146888</v>
      </c>
      <c r="J310" s="662">
        <f t="shared" ref="J310" si="4163">IF(I310=0,0,I310/I$4)</f>
        <v>423.57586080963239</v>
      </c>
      <c r="K310" s="661">
        <f>Калькулятор_жилье!O428</f>
        <v>19808936.223796602</v>
      </c>
      <c r="L310" s="662">
        <f t="shared" ref="L310" si="4164">IF(K310=0,0,K310/K$4)</f>
        <v>465.27226230510382</v>
      </c>
      <c r="M310" s="661">
        <f>Калькулятор_жилье!P428</f>
        <v>0</v>
      </c>
      <c r="N310" s="662">
        <f t="shared" ref="N310" si="4165">IF(M310=0,0,M310/M$4)</f>
        <v>0</v>
      </c>
      <c r="O310" s="661">
        <f>Калькулятор_жилье!Q428</f>
        <v>0</v>
      </c>
      <c r="P310" s="662">
        <f t="shared" ref="P310" si="4166">IF(O310=0,0,O310/O$4)</f>
        <v>0</v>
      </c>
      <c r="Q310" s="661">
        <f>Калькулятор_жилье!R428</f>
        <v>0</v>
      </c>
      <c r="R310" s="662">
        <f t="shared" ref="R310" si="4167">IF(Q310=0,0,Q310/Q$4)</f>
        <v>0</v>
      </c>
      <c r="S310" s="661">
        <f>Калькулятор_жилье!S428</f>
        <v>0</v>
      </c>
      <c r="T310" s="662">
        <f t="shared" ref="T310" si="4168">IF(S310=0,0,S310/S$4)</f>
        <v>0</v>
      </c>
      <c r="U310" s="661">
        <f>Калькулятор_жилье!T428</f>
        <v>0</v>
      </c>
      <c r="V310" s="662">
        <f t="shared" ref="V310" si="4169">IF(U310=0,0,U310/U$4)</f>
        <v>0</v>
      </c>
      <c r="W310" s="661">
        <f>Калькулятор_жилье!U428</f>
        <v>0</v>
      </c>
      <c r="X310" s="662">
        <f t="shared" ref="X310" si="4170">IF(W310=0,0,W310/W$4)</f>
        <v>0</v>
      </c>
      <c r="Y310" s="661">
        <f>Калькулятор_жилье!V428</f>
        <v>0</v>
      </c>
      <c r="Z310" s="662">
        <f t="shared" ref="Z310" si="4171">IF(Y310=0,0,Y310/Y$4)</f>
        <v>0</v>
      </c>
      <c r="AA310" s="661">
        <f>Калькулятор_жилье!W428</f>
        <v>0</v>
      </c>
      <c r="AB310" s="662">
        <f t="shared" ref="AB310" si="4172">IF(AA310=0,0,AA310/AA$4)</f>
        <v>0</v>
      </c>
      <c r="AC310" s="661">
        <f>C310+E310+G310+I310+K310+M310+O310+Q310+S310+U310+W310+AA310+Y310</f>
        <v>52047008.901740089</v>
      </c>
      <c r="AD310" s="662">
        <f t="shared" ref="AD310" si="4173">IF(AC310=0,0,AC310/AC$4)</f>
        <v>323.24739983942817</v>
      </c>
      <c r="AE310" s="666"/>
      <c r="AF310" s="144"/>
      <c r="AG310" s="114"/>
      <c r="AH310" s="114"/>
      <c r="AI310" s="114"/>
      <c r="AJ310" s="114"/>
    </row>
    <row r="311" spans="1:36" s="556" customFormat="1" ht="15.75" hidden="1" outlineLevel="2" collapsed="1">
      <c r="A311" s="609" t="s">
        <v>1425</v>
      </c>
      <c r="B311" s="559" t="s">
        <v>1123</v>
      </c>
      <c r="C311" s="659">
        <f>C318+C315+C312</f>
        <v>0</v>
      </c>
      <c r="D311" s="660">
        <f t="shared" si="3474"/>
        <v>0</v>
      </c>
      <c r="E311" s="659">
        <f t="shared" ref="E311" si="4174">E318+E315+E312</f>
        <v>0</v>
      </c>
      <c r="F311" s="660">
        <f t="shared" si="3474"/>
        <v>0</v>
      </c>
      <c r="G311" s="659">
        <f t="shared" ref="G311" si="4175">G318+G315+G312</f>
        <v>77878601.072890863</v>
      </c>
      <c r="H311" s="660">
        <f t="shared" ref="H311" si="4176">IF(G311=0,0,G311/G$4)</f>
        <v>1865.5865205468688</v>
      </c>
      <c r="I311" s="659">
        <f t="shared" ref="I311" si="4177">I318+I315+I312</f>
        <v>54768050.040439501</v>
      </c>
      <c r="J311" s="660">
        <f t="shared" ref="J311" si="4178">IF(I311=0,0,I311/I$4)</f>
        <v>1866.455004845023</v>
      </c>
      <c r="K311" s="659">
        <f t="shared" ref="K311" si="4179">K318+K315+K312</f>
        <v>78498700.216184124</v>
      </c>
      <c r="L311" s="660">
        <f t="shared" ref="L311" si="4180">IF(K311=0,0,K311/K$4)</f>
        <v>1843.7773449802164</v>
      </c>
      <c r="M311" s="659">
        <f t="shared" ref="M311" si="4181">M318+M315+M312</f>
        <v>6247605.2487572404</v>
      </c>
      <c r="N311" s="660">
        <f t="shared" ref="N311" si="4182">IF(M311=0,0,M311/M$4)</f>
        <v>1450.6374219274728</v>
      </c>
      <c r="O311" s="659">
        <f t="shared" ref="O311" si="4183">O318+O315+O312</f>
        <v>0</v>
      </c>
      <c r="P311" s="660">
        <f t="shared" ref="P311" si="4184">IF(O311=0,0,O311/O$4)</f>
        <v>0</v>
      </c>
      <c r="Q311" s="659">
        <f t="shared" ref="Q311" si="4185">Q318+Q315+Q312</f>
        <v>0</v>
      </c>
      <c r="R311" s="660">
        <f t="shared" ref="R311" si="4186">IF(Q311=0,0,Q311/Q$4)</f>
        <v>0</v>
      </c>
      <c r="S311" s="659">
        <f t="shared" ref="S311" si="4187">S318+S315+S312</f>
        <v>0</v>
      </c>
      <c r="T311" s="660">
        <f t="shared" ref="T311" si="4188">IF(S311=0,0,S311/S$4)</f>
        <v>0</v>
      </c>
      <c r="U311" s="659">
        <f t="shared" ref="U311" si="4189">U318+U315+U312</f>
        <v>0</v>
      </c>
      <c r="V311" s="660">
        <f t="shared" ref="V311" si="4190">IF(U311=0,0,U311/U$4)</f>
        <v>0</v>
      </c>
      <c r="W311" s="659">
        <f t="shared" ref="W311" si="4191">W318+W315+W312</f>
        <v>0</v>
      </c>
      <c r="X311" s="660">
        <f t="shared" ref="X311" si="4192">IF(W311=0,0,W311/W$4)</f>
        <v>0</v>
      </c>
      <c r="Y311" s="659">
        <f t="shared" ref="Y311" si="4193">Y318+Y315+Y312</f>
        <v>0</v>
      </c>
      <c r="Z311" s="660">
        <f t="shared" ref="Z311" si="4194">IF(Y311=0,0,Y311/Y$4)</f>
        <v>0</v>
      </c>
      <c r="AA311" s="659">
        <f t="shared" ref="AA311" si="4195">AA318+AA315+AA312</f>
        <v>0</v>
      </c>
      <c r="AB311" s="660">
        <f t="shared" ref="AB311" si="4196">IF(AA311=0,0,AA311/AA$4)</f>
        <v>0</v>
      </c>
      <c r="AC311" s="659">
        <f t="shared" ref="AC311" si="4197">AC318+AC315+AC312</f>
        <v>217392956.57827175</v>
      </c>
      <c r="AD311" s="660">
        <f t="shared" ref="AD311" si="4198">IF(AC311=0,0,AC311/AC$4)</f>
        <v>1350.1584325431361</v>
      </c>
      <c r="AE311" s="654"/>
    </row>
    <row r="312" spans="1:36" s="556" customFormat="1" ht="15.75" hidden="1" outlineLevel="3" collapsed="1">
      <c r="A312" s="612" t="s">
        <v>1424</v>
      </c>
      <c r="B312" s="560" t="s">
        <v>1125</v>
      </c>
      <c r="C312" s="661"/>
      <c r="D312" s="662">
        <f t="shared" si="3474"/>
        <v>0</v>
      </c>
      <c r="E312" s="661"/>
      <c r="F312" s="662">
        <f t="shared" si="3474"/>
        <v>0</v>
      </c>
      <c r="G312" s="661">
        <f>SUM(Калькулятор_жилье!M411:M416)</f>
        <v>77878601.072890863</v>
      </c>
      <c r="H312" s="662">
        <f t="shared" ref="H312" si="4199">IF(G312=0,0,G312/G$4)</f>
        <v>1865.5865205468688</v>
      </c>
      <c r="I312" s="661">
        <f>SUM(Калькулятор_жилье!N411:N416)</f>
        <v>54768050.040439501</v>
      </c>
      <c r="J312" s="662">
        <f t="shared" ref="J312" si="4200">IF(I312=0,0,I312/I$4)</f>
        <v>1866.455004845023</v>
      </c>
      <c r="K312" s="661">
        <f>SUM(Калькулятор_жилье!O411:O416)</f>
        <v>78498700.216184124</v>
      </c>
      <c r="L312" s="662">
        <f t="shared" ref="L312" si="4201">IF(K312=0,0,K312/K$4)</f>
        <v>1843.7773449802164</v>
      </c>
      <c r="M312" s="661">
        <f>SUM(Калькулятор_жилье!P411:P416)</f>
        <v>6247605.2487572404</v>
      </c>
      <c r="N312" s="662">
        <f t="shared" ref="N312" si="4202">IF(M312=0,0,M312/M$4)</f>
        <v>1450.6374219274728</v>
      </c>
      <c r="O312" s="661">
        <f>SUM(Калькулятор_жилье!Q411:Q416)</f>
        <v>0</v>
      </c>
      <c r="P312" s="662">
        <f t="shared" ref="P312" si="4203">IF(O312=0,0,O312/O$4)</f>
        <v>0</v>
      </c>
      <c r="Q312" s="661">
        <f>SUM(Калькулятор_жилье!R411:R416)</f>
        <v>0</v>
      </c>
      <c r="R312" s="662">
        <f t="shared" ref="R312" si="4204">IF(Q312=0,0,Q312/Q$4)</f>
        <v>0</v>
      </c>
      <c r="S312" s="661">
        <f>SUM(Калькулятор_жилье!S411:S416)</f>
        <v>0</v>
      </c>
      <c r="T312" s="662">
        <f t="shared" ref="T312" si="4205">IF(S312=0,0,S312/S$4)</f>
        <v>0</v>
      </c>
      <c r="U312" s="661">
        <f>SUM(Калькулятор_жилье!T411:T416)</f>
        <v>0</v>
      </c>
      <c r="V312" s="662">
        <f t="shared" ref="V312" si="4206">IF(U312=0,0,U312/U$4)</f>
        <v>0</v>
      </c>
      <c r="W312" s="661">
        <f>SUM(Калькулятор_жилье!U411:U416)</f>
        <v>0</v>
      </c>
      <c r="X312" s="662">
        <f t="shared" ref="X312" si="4207">IF(W312=0,0,W312/W$4)</f>
        <v>0</v>
      </c>
      <c r="Y312" s="661">
        <f>SUM(Калькулятор_жилье!V411:V416)</f>
        <v>0</v>
      </c>
      <c r="Z312" s="662">
        <f t="shared" ref="Z312" si="4208">IF(Y312=0,0,Y312/Y$4)</f>
        <v>0</v>
      </c>
      <c r="AA312" s="661">
        <f>SUM(Калькулятор_жилье!W411:W416)</f>
        <v>0</v>
      </c>
      <c r="AB312" s="662">
        <f t="shared" ref="AB312" si="4209">IF(AA312=0,0,AA312/AA$4)</f>
        <v>0</v>
      </c>
      <c r="AC312" s="661">
        <f>C312+E312+G312+I312+K312+M312+O312+Q312+S312+U312+W312+AA312+Y312</f>
        <v>217392956.57827175</v>
      </c>
      <c r="AD312" s="662">
        <f t="shared" ref="AD312" si="4210">IF(AC312=0,0,AC312/AC$4)</f>
        <v>1350.1584325431361</v>
      </c>
      <c r="AE312" s="654"/>
    </row>
    <row r="313" spans="1:36" s="68" customFormat="1" hidden="1" outlineLevel="4">
      <c r="A313" s="245"/>
      <c r="B313" s="246" t="s">
        <v>419</v>
      </c>
      <c r="C313" s="663"/>
      <c r="D313" s="664">
        <f t="shared" si="3474"/>
        <v>0</v>
      </c>
      <c r="E313" s="663">
        <f>E312-E314*курс</f>
        <v>0</v>
      </c>
      <c r="F313" s="664">
        <f t="shared" si="3474"/>
        <v>0</v>
      </c>
      <c r="G313" s="663">
        <f>G312-G314*курс</f>
        <v>77878601.072890863</v>
      </c>
      <c r="H313" s="664">
        <f t="shared" ref="H313" si="4211">IF(G313=0,0,G313/G$4)</f>
        <v>1865.5865205468688</v>
      </c>
      <c r="I313" s="663">
        <f>I312-I314*курс</f>
        <v>54768050.040439501</v>
      </c>
      <c r="J313" s="664">
        <f t="shared" ref="J313" si="4212">IF(I313=0,0,I313/I$4)</f>
        <v>1866.455004845023</v>
      </c>
      <c r="K313" s="663">
        <f>K312-K314*курс</f>
        <v>78498700.216184124</v>
      </c>
      <c r="L313" s="664">
        <f t="shared" ref="L313" si="4213">IF(K313=0,0,K313/K$4)</f>
        <v>1843.7773449802164</v>
      </c>
      <c r="M313" s="663">
        <f>M312-M314*курс</f>
        <v>6247605.2487572404</v>
      </c>
      <c r="N313" s="664">
        <f t="shared" ref="N313" si="4214">IF(M313=0,0,M313/M$4)</f>
        <v>1450.6374219274728</v>
      </c>
      <c r="O313" s="663">
        <f>O312-O314*курс</f>
        <v>0</v>
      </c>
      <c r="P313" s="664">
        <f t="shared" ref="P313" si="4215">IF(O313=0,0,O313/O$4)</f>
        <v>0</v>
      </c>
      <c r="Q313" s="663">
        <f>Q312-Q314*курс</f>
        <v>0</v>
      </c>
      <c r="R313" s="664">
        <f t="shared" ref="R313" si="4216">IF(Q313=0,0,Q313/Q$4)</f>
        <v>0</v>
      </c>
      <c r="S313" s="663">
        <f>S312-S314*курс</f>
        <v>0</v>
      </c>
      <c r="T313" s="664">
        <f t="shared" ref="T313" si="4217">IF(S313=0,0,S313/S$4)</f>
        <v>0</v>
      </c>
      <c r="U313" s="663">
        <f>U312-U314*курс</f>
        <v>0</v>
      </c>
      <c r="V313" s="664">
        <f t="shared" ref="V313" si="4218">IF(U313=0,0,U313/U$4)</f>
        <v>0</v>
      </c>
      <c r="W313" s="663">
        <f>W312-W314*курс</f>
        <v>0</v>
      </c>
      <c r="X313" s="664">
        <f t="shared" ref="X313" si="4219">IF(W313=0,0,W313/W$4)</f>
        <v>0</v>
      </c>
      <c r="Y313" s="663">
        <f>Y312-Y314*курс</f>
        <v>0</v>
      </c>
      <c r="Z313" s="664">
        <f t="shared" ref="Z313" si="4220">IF(Y313=0,0,Y313/Y$4)</f>
        <v>0</v>
      </c>
      <c r="AA313" s="663">
        <f>AA312-AA314*курс</f>
        <v>0</v>
      </c>
      <c r="AB313" s="664">
        <f t="shared" ref="AB313" si="4221">IF(AA313=0,0,AA313/AA$4)</f>
        <v>0</v>
      </c>
      <c r="AC313" s="663">
        <f>C313+E313+G313+I313+K313+M313+O313+Q313+S313+U313+W313+AA313+Y313</f>
        <v>217392956.57827175</v>
      </c>
      <c r="AD313" s="664">
        <f t="shared" ref="AD313" si="4222">IF(AC313=0,0,AC313/AC$4)</f>
        <v>1350.1584325431361</v>
      </c>
      <c r="AE313" s="666"/>
      <c r="AF313" s="144"/>
      <c r="AG313" s="114"/>
      <c r="AH313" s="114"/>
      <c r="AI313" s="114"/>
      <c r="AJ313" s="114"/>
    </row>
    <row r="314" spans="1:36" s="68" customFormat="1" hidden="1" outlineLevel="4">
      <c r="A314" s="245"/>
      <c r="B314" s="246" t="s">
        <v>420</v>
      </c>
      <c r="C314" s="663"/>
      <c r="D314" s="664">
        <f t="shared" si="3474"/>
        <v>0</v>
      </c>
      <c r="E314" s="663"/>
      <c r="F314" s="664">
        <f t="shared" si="3474"/>
        <v>0</v>
      </c>
      <c r="G314" s="663">
        <f>SUM(Калькулятор_жилье!AC411:AC416)</f>
        <v>0</v>
      </c>
      <c r="H314" s="664">
        <f t="shared" ref="H314" si="4223">IF(G314=0,0,G314/G$4)</f>
        <v>0</v>
      </c>
      <c r="I314" s="663">
        <f>SUM(Калькулятор_жилье!AD411:AD416)</f>
        <v>0</v>
      </c>
      <c r="J314" s="664">
        <f t="shared" ref="J314" si="4224">IF(I314=0,0,I314/I$4)</f>
        <v>0</v>
      </c>
      <c r="K314" s="663">
        <f>SUM(Калькулятор_жилье!AE411:AE416)</f>
        <v>0</v>
      </c>
      <c r="L314" s="664">
        <f t="shared" ref="L314" si="4225">IF(K314=0,0,K314/K$4)</f>
        <v>0</v>
      </c>
      <c r="M314" s="663">
        <f>SUM(Калькулятор_жилье!AF411:AF416)</f>
        <v>0</v>
      </c>
      <c r="N314" s="664">
        <f t="shared" ref="N314" si="4226">IF(M314=0,0,M314/M$4)</f>
        <v>0</v>
      </c>
      <c r="O314" s="663">
        <f>SUM(Калькулятор_жилье!AG411:AG416)</f>
        <v>0</v>
      </c>
      <c r="P314" s="664">
        <f t="shared" ref="P314" si="4227">IF(O314=0,0,O314/O$4)</f>
        <v>0</v>
      </c>
      <c r="Q314" s="663">
        <f>SUM(Калькулятор_жилье!AH411:AH416)</f>
        <v>0</v>
      </c>
      <c r="R314" s="664">
        <f t="shared" ref="R314" si="4228">IF(Q314=0,0,Q314/Q$4)</f>
        <v>0</v>
      </c>
      <c r="S314" s="663">
        <f>SUM(Калькулятор_жилье!AI411:AI416)</f>
        <v>0</v>
      </c>
      <c r="T314" s="664">
        <f t="shared" ref="T314" si="4229">IF(S314=0,0,S314/S$4)</f>
        <v>0</v>
      </c>
      <c r="U314" s="663">
        <f>SUM(Калькулятор_жилье!AJ411:AJ416)</f>
        <v>0</v>
      </c>
      <c r="V314" s="664">
        <f t="shared" ref="V314" si="4230">IF(U314=0,0,U314/U$4)</f>
        <v>0</v>
      </c>
      <c r="W314" s="663">
        <f>SUM(Калькулятор_жилье!AK411:AK416)</f>
        <v>0</v>
      </c>
      <c r="X314" s="664">
        <f t="shared" ref="X314" si="4231">IF(W314=0,0,W314/W$4)</f>
        <v>0</v>
      </c>
      <c r="Y314" s="663">
        <f>SUM(Калькулятор_жилье!AL411:AL416)</f>
        <v>0</v>
      </c>
      <c r="Z314" s="664">
        <f t="shared" ref="Z314" si="4232">IF(Y314=0,0,Y314/Y$4)</f>
        <v>0</v>
      </c>
      <c r="AA314" s="663">
        <f>SUM(Калькулятор_жилье!AM411:AM416)</f>
        <v>0</v>
      </c>
      <c r="AB314" s="664">
        <f t="shared" ref="AB314" si="4233">IF(AA314=0,0,AA314/AA$4)</f>
        <v>0</v>
      </c>
      <c r="AC314" s="663">
        <f>C314+E314+G314+I314+K314+M314+O314+Q314+S314+U314+W314+AA314+Y314</f>
        <v>0</v>
      </c>
      <c r="AD314" s="664">
        <f t="shared" ref="AD314" si="4234">IF(AC314=0,0,AC314/AC$4)</f>
        <v>0</v>
      </c>
      <c r="AE314" s="666"/>
      <c r="AF314" s="144"/>
      <c r="AG314" s="114"/>
      <c r="AH314" s="114"/>
      <c r="AI314" s="114"/>
      <c r="AJ314" s="114"/>
    </row>
    <row r="315" spans="1:36" s="556" customFormat="1" ht="15.75" hidden="1" outlineLevel="3" collapsed="1">
      <c r="A315" s="612" t="s">
        <v>1423</v>
      </c>
      <c r="B315" s="560" t="s">
        <v>1126</v>
      </c>
      <c r="C315" s="661">
        <f>C317+C316</f>
        <v>0</v>
      </c>
      <c r="D315" s="662">
        <f t="shared" si="3474"/>
        <v>0</v>
      </c>
      <c r="E315" s="661">
        <f t="shared" ref="E315" si="4235">E317+E316</f>
        <v>0</v>
      </c>
      <c r="F315" s="662">
        <f t="shared" si="3474"/>
        <v>0</v>
      </c>
      <c r="G315" s="661">
        <f t="shared" ref="G315" si="4236">G317+G316</f>
        <v>0</v>
      </c>
      <c r="H315" s="662">
        <f t="shared" ref="H315" si="4237">IF(G315=0,0,G315/G$4)</f>
        <v>0</v>
      </c>
      <c r="I315" s="661">
        <f t="shared" ref="I315" si="4238">I317+I316</f>
        <v>0</v>
      </c>
      <c r="J315" s="662">
        <f t="shared" ref="J315" si="4239">IF(I315=0,0,I315/I$4)</f>
        <v>0</v>
      </c>
      <c r="K315" s="661">
        <f t="shared" ref="K315" si="4240">K317+K316</f>
        <v>0</v>
      </c>
      <c r="L315" s="662">
        <f t="shared" ref="L315" si="4241">IF(K315=0,0,K315/K$4)</f>
        <v>0</v>
      </c>
      <c r="M315" s="661">
        <f t="shared" ref="M315" si="4242">M317+M316</f>
        <v>0</v>
      </c>
      <c r="N315" s="662">
        <f t="shared" ref="N315" si="4243">IF(M315=0,0,M315/M$4)</f>
        <v>0</v>
      </c>
      <c r="O315" s="661">
        <f t="shared" ref="O315" si="4244">O317+O316</f>
        <v>0</v>
      </c>
      <c r="P315" s="662">
        <f t="shared" ref="P315" si="4245">IF(O315=0,0,O315/O$4)</f>
        <v>0</v>
      </c>
      <c r="Q315" s="661">
        <f t="shared" ref="Q315" si="4246">Q317+Q316</f>
        <v>0</v>
      </c>
      <c r="R315" s="662">
        <f t="shared" ref="R315" si="4247">IF(Q315=0,0,Q315/Q$4)</f>
        <v>0</v>
      </c>
      <c r="S315" s="661">
        <f t="shared" ref="S315" si="4248">S317+S316</f>
        <v>0</v>
      </c>
      <c r="T315" s="662">
        <f t="shared" ref="T315" si="4249">IF(S315=0,0,S315/S$4)</f>
        <v>0</v>
      </c>
      <c r="U315" s="661">
        <f t="shared" ref="U315" si="4250">U317+U316</f>
        <v>0</v>
      </c>
      <c r="V315" s="662">
        <f t="shared" ref="V315" si="4251">IF(U315=0,0,U315/U$4)</f>
        <v>0</v>
      </c>
      <c r="W315" s="661">
        <f t="shared" ref="W315" si="4252">W317+W316</f>
        <v>0</v>
      </c>
      <c r="X315" s="662">
        <f t="shared" ref="X315" si="4253">IF(W315=0,0,W315/W$4)</f>
        <v>0</v>
      </c>
      <c r="Y315" s="661">
        <f t="shared" ref="Y315" si="4254">Y317+Y316</f>
        <v>0</v>
      </c>
      <c r="Z315" s="662">
        <f t="shared" ref="Z315" si="4255">IF(Y315=0,0,Y315/Y$4)</f>
        <v>0</v>
      </c>
      <c r="AA315" s="661">
        <f t="shared" ref="AA315" si="4256">AA317+AA316</f>
        <v>0</v>
      </c>
      <c r="AB315" s="662">
        <f t="shared" ref="AB315" si="4257">IF(AA315=0,0,AA315/AA$4)</f>
        <v>0</v>
      </c>
      <c r="AC315" s="661">
        <f t="shared" ref="AC315" si="4258">AC317+AC316</f>
        <v>0</v>
      </c>
      <c r="AD315" s="662">
        <f t="shared" ref="AD315" si="4259">IF(AC315=0,0,AC315/AC$4)</f>
        <v>0</v>
      </c>
      <c r="AE315" s="654"/>
    </row>
    <row r="316" spans="1:36" s="68" customFormat="1" hidden="1" outlineLevel="4">
      <c r="A316" s="245"/>
      <c r="B316" s="246" t="str">
        <f>Калькулятор_жилье!C426</f>
        <v>кондиционирование сплит-система</v>
      </c>
      <c r="C316" s="663"/>
      <c r="D316" s="664">
        <f t="shared" si="3474"/>
        <v>0</v>
      </c>
      <c r="E316" s="663"/>
      <c r="F316" s="664">
        <f t="shared" si="3474"/>
        <v>0</v>
      </c>
      <c r="G316" s="663">
        <f>Калькулятор_жилье!M426</f>
        <v>0</v>
      </c>
      <c r="H316" s="664">
        <f t="shared" ref="H316" si="4260">IF(G316=0,0,G316/G$4)</f>
        <v>0</v>
      </c>
      <c r="I316" s="663">
        <f>Калькулятор_жилье!N426</f>
        <v>0</v>
      </c>
      <c r="J316" s="664">
        <f t="shared" ref="J316" si="4261">IF(I316=0,0,I316/I$4)</f>
        <v>0</v>
      </c>
      <c r="K316" s="663">
        <f>Калькулятор_жилье!O426</f>
        <v>0</v>
      </c>
      <c r="L316" s="664">
        <f t="shared" ref="L316" si="4262">IF(K316=0,0,K316/K$4)</f>
        <v>0</v>
      </c>
      <c r="M316" s="663">
        <f>Калькулятор_жилье!P426</f>
        <v>0</v>
      </c>
      <c r="N316" s="664">
        <f t="shared" ref="N316" si="4263">IF(M316=0,0,M316/M$4)</f>
        <v>0</v>
      </c>
      <c r="O316" s="663">
        <f>Калькулятор_жилье!Q426</f>
        <v>0</v>
      </c>
      <c r="P316" s="664">
        <f t="shared" ref="P316" si="4264">IF(O316=0,0,O316/O$4)</f>
        <v>0</v>
      </c>
      <c r="Q316" s="663">
        <f>Калькулятор_жилье!R426</f>
        <v>0</v>
      </c>
      <c r="R316" s="664">
        <f t="shared" ref="R316" si="4265">IF(Q316=0,0,Q316/Q$4)</f>
        <v>0</v>
      </c>
      <c r="S316" s="663">
        <f>Калькулятор_жилье!S426</f>
        <v>0</v>
      </c>
      <c r="T316" s="664">
        <f t="shared" ref="T316" si="4266">IF(S316=0,0,S316/S$4)</f>
        <v>0</v>
      </c>
      <c r="U316" s="663">
        <f>Калькулятор_жилье!T426</f>
        <v>0</v>
      </c>
      <c r="V316" s="664">
        <f t="shared" ref="V316" si="4267">IF(U316=0,0,U316/U$4)</f>
        <v>0</v>
      </c>
      <c r="W316" s="663">
        <f>Калькулятор_жилье!U426</f>
        <v>0</v>
      </c>
      <c r="X316" s="664">
        <f t="shared" ref="X316" si="4268">IF(W316=0,0,W316/W$4)</f>
        <v>0</v>
      </c>
      <c r="Y316" s="663">
        <f>Калькулятор_жилье!V426</f>
        <v>0</v>
      </c>
      <c r="Z316" s="664">
        <f t="shared" ref="Z316" si="4269">IF(Y316=0,0,Y316/Y$4)</f>
        <v>0</v>
      </c>
      <c r="AA316" s="663">
        <f>Калькулятор_жилье!W426</f>
        <v>0</v>
      </c>
      <c r="AB316" s="664">
        <f t="shared" ref="AB316" si="4270">IF(AA316=0,0,AA316/AA$4)</f>
        <v>0</v>
      </c>
      <c r="AC316" s="663">
        <f>C316+E316+G316+I316+K316+M316+O316+Q316+S316+U316+W316+AA316+Y316</f>
        <v>0</v>
      </c>
      <c r="AD316" s="664">
        <f t="shared" ref="AD316" si="4271">IF(AC316=0,0,AC316/AC$4)</f>
        <v>0</v>
      </c>
      <c r="AE316" s="666"/>
      <c r="AF316" s="144"/>
      <c r="AG316" s="114"/>
      <c r="AH316" s="114"/>
      <c r="AI316" s="114"/>
      <c r="AJ316" s="114"/>
    </row>
    <row r="317" spans="1:36" s="68" customFormat="1" hidden="1" outlineLevel="4">
      <c r="A317" s="245"/>
      <c r="B317" s="246" t="str">
        <f>Калькулятор_жилье!C427</f>
        <v>Увлажнители</v>
      </c>
      <c r="C317" s="663"/>
      <c r="D317" s="664">
        <f t="shared" si="3474"/>
        <v>0</v>
      </c>
      <c r="E317" s="663"/>
      <c r="F317" s="664">
        <f t="shared" si="3474"/>
        <v>0</v>
      </c>
      <c r="G317" s="663">
        <f>Калькулятор_жилье!M427</f>
        <v>0</v>
      </c>
      <c r="H317" s="664">
        <f t="shared" ref="H317" si="4272">IF(G317=0,0,G317/G$4)</f>
        <v>0</v>
      </c>
      <c r="I317" s="663">
        <f>Калькулятор_жилье!N427</f>
        <v>0</v>
      </c>
      <c r="J317" s="664">
        <f t="shared" ref="J317" si="4273">IF(I317=0,0,I317/I$4)</f>
        <v>0</v>
      </c>
      <c r="K317" s="663">
        <f>Калькулятор_жилье!O427</f>
        <v>0</v>
      </c>
      <c r="L317" s="664">
        <f t="shared" ref="L317" si="4274">IF(K317=0,0,K317/K$4)</f>
        <v>0</v>
      </c>
      <c r="M317" s="663">
        <f>Калькулятор_жилье!P427</f>
        <v>0</v>
      </c>
      <c r="N317" s="664">
        <f t="shared" ref="N317" si="4275">IF(M317=0,0,M317/M$4)</f>
        <v>0</v>
      </c>
      <c r="O317" s="663">
        <f>Калькулятор_жилье!Q427</f>
        <v>0</v>
      </c>
      <c r="P317" s="664">
        <f t="shared" ref="P317" si="4276">IF(O317=0,0,O317/O$4)</f>
        <v>0</v>
      </c>
      <c r="Q317" s="663">
        <f>Калькулятор_жилье!R427</f>
        <v>0</v>
      </c>
      <c r="R317" s="664">
        <f t="shared" ref="R317" si="4277">IF(Q317=0,0,Q317/Q$4)</f>
        <v>0</v>
      </c>
      <c r="S317" s="663">
        <f>Калькулятор_жилье!S427</f>
        <v>0</v>
      </c>
      <c r="T317" s="664">
        <f t="shared" ref="T317" si="4278">IF(S317=0,0,S317/S$4)</f>
        <v>0</v>
      </c>
      <c r="U317" s="663">
        <f>Калькулятор_жилье!T427</f>
        <v>0</v>
      </c>
      <c r="V317" s="664">
        <f t="shared" ref="V317" si="4279">IF(U317=0,0,U317/U$4)</f>
        <v>0</v>
      </c>
      <c r="W317" s="663">
        <f>Калькулятор_жилье!U427</f>
        <v>0</v>
      </c>
      <c r="X317" s="664">
        <f t="shared" ref="X317" si="4280">IF(W317=0,0,W317/W$4)</f>
        <v>0</v>
      </c>
      <c r="Y317" s="663">
        <f>Калькулятор_жилье!V427</f>
        <v>0</v>
      </c>
      <c r="Z317" s="664">
        <f t="shared" ref="Z317" si="4281">IF(Y317=0,0,Y317/Y$4)</f>
        <v>0</v>
      </c>
      <c r="AA317" s="663">
        <f>Калькулятор_жилье!W427</f>
        <v>0</v>
      </c>
      <c r="AB317" s="664">
        <f t="shared" ref="AB317" si="4282">IF(AA317=0,0,AA317/AA$4)</f>
        <v>0</v>
      </c>
      <c r="AC317" s="663">
        <f>C317+E317+G317+I317+K317+M317+O317+Q317+S317+U317+W317+AA317+Y317</f>
        <v>0</v>
      </c>
      <c r="AD317" s="664">
        <f t="shared" ref="AD317" si="4283">IF(AC317=0,0,AC317/AC$4)</f>
        <v>0</v>
      </c>
      <c r="AE317" s="665"/>
      <c r="AF317" s="114"/>
      <c r="AG317" s="114"/>
      <c r="AH317" s="114"/>
      <c r="AI317" s="114"/>
      <c r="AJ317" s="114"/>
    </row>
    <row r="318" spans="1:36" s="556" customFormat="1" ht="15.75" hidden="1" outlineLevel="3">
      <c r="A318" s="612" t="s">
        <v>1422</v>
      </c>
      <c r="B318" s="560" t="s">
        <v>1127</v>
      </c>
      <c r="C318" s="661"/>
      <c r="D318" s="662">
        <f t="shared" si="3474"/>
        <v>0</v>
      </c>
      <c r="E318" s="661"/>
      <c r="F318" s="662">
        <f t="shared" si="3474"/>
        <v>0</v>
      </c>
      <c r="G318" s="661"/>
      <c r="H318" s="662">
        <f t="shared" ref="H318" si="4284">IF(G318=0,0,G318/G$4)</f>
        <v>0</v>
      </c>
      <c r="I318" s="661"/>
      <c r="J318" s="662">
        <f t="shared" ref="J318" si="4285">IF(I318=0,0,I318/I$4)</f>
        <v>0</v>
      </c>
      <c r="K318" s="661"/>
      <c r="L318" s="662">
        <f t="shared" ref="L318" si="4286">IF(K318=0,0,K318/K$4)</f>
        <v>0</v>
      </c>
      <c r="M318" s="661"/>
      <c r="N318" s="662">
        <f t="shared" ref="N318" si="4287">IF(M318=0,0,M318/M$4)</f>
        <v>0</v>
      </c>
      <c r="O318" s="661"/>
      <c r="P318" s="662">
        <f t="shared" ref="P318" si="4288">IF(O318=0,0,O318/O$4)</f>
        <v>0</v>
      </c>
      <c r="Q318" s="661"/>
      <c r="R318" s="662">
        <f t="shared" ref="R318" si="4289">IF(Q318=0,0,Q318/Q$4)</f>
        <v>0</v>
      </c>
      <c r="S318" s="661"/>
      <c r="T318" s="662">
        <f t="shared" ref="T318" si="4290">IF(S318=0,0,S318/S$4)</f>
        <v>0</v>
      </c>
      <c r="U318" s="661"/>
      <c r="V318" s="662">
        <f t="shared" ref="V318" si="4291">IF(U318=0,0,U318/U$4)</f>
        <v>0</v>
      </c>
      <c r="W318" s="661"/>
      <c r="X318" s="662">
        <f t="shared" ref="X318" si="4292">IF(W318=0,0,W318/W$4)</f>
        <v>0</v>
      </c>
      <c r="Y318" s="661"/>
      <c r="Z318" s="662">
        <f t="shared" ref="Z318" si="4293">IF(Y318=0,0,Y318/Y$4)</f>
        <v>0</v>
      </c>
      <c r="AA318" s="661"/>
      <c r="AB318" s="662">
        <f t="shared" ref="AB318" si="4294">IF(AA318=0,0,AA318/AA$4)</f>
        <v>0</v>
      </c>
      <c r="AC318" s="661"/>
      <c r="AD318" s="662">
        <f t="shared" ref="AD318" si="4295">IF(AC318=0,0,AC318/AC$4)</f>
        <v>0</v>
      </c>
      <c r="AE318" s="654"/>
    </row>
    <row r="319" spans="1:36" s="556" customFormat="1" ht="15.75" hidden="1" outlineLevel="2" collapsed="1">
      <c r="A319" s="609" t="s">
        <v>1421</v>
      </c>
      <c r="B319" s="559" t="s">
        <v>83</v>
      </c>
      <c r="C319" s="659"/>
      <c r="D319" s="660">
        <f t="shared" si="3474"/>
        <v>0</v>
      </c>
      <c r="E319" s="659">
        <f>Калькулятор_жилье!L377</f>
        <v>111627736.17099212</v>
      </c>
      <c r="F319" s="660">
        <f t="shared" si="3474"/>
        <v>2593.4004639776995</v>
      </c>
      <c r="G319" s="659">
        <f>SUM(Калькулятор_жилье!M377:M379)</f>
        <v>108261073.8938898</v>
      </c>
      <c r="H319" s="660">
        <f t="shared" ref="H319" si="4296">IF(G319=0,0,G319/G$4)</f>
        <v>2593.4004639776995</v>
      </c>
      <c r="I319" s="659">
        <f>SUM(Калькулятор_жилье!N377:N379)</f>
        <v>76099068.028603911</v>
      </c>
      <c r="J319" s="660">
        <f t="shared" ref="J319" si="4297">IF(I319=0,0,I319/I$4)</f>
        <v>2593.4004639776995</v>
      </c>
      <c r="K319" s="659">
        <f>SUM(Калькулятор_жилье!O377:O379)</f>
        <v>110413855.61903769</v>
      </c>
      <c r="L319" s="660">
        <f t="shared" ref="L319" si="4298">IF(K319=0,0,K319/K$4)</f>
        <v>2593.4004639776995</v>
      </c>
      <c r="M319" s="659">
        <f>SUM(Калькулятор_жилье!P377:P379)</f>
        <v>11169257.118259156</v>
      </c>
      <c r="N319" s="660">
        <f t="shared" ref="N319" si="4299">IF(M319=0,0,M319/M$4)</f>
        <v>2593.4004639776995</v>
      </c>
      <c r="O319" s="659">
        <f>SUM(Калькулятор_жилье!Q377:Q379)</f>
        <v>0</v>
      </c>
      <c r="P319" s="660">
        <f t="shared" ref="P319" si="4300">IF(O319=0,0,O319/O$4)</f>
        <v>0</v>
      </c>
      <c r="Q319" s="659">
        <f>SUM(Калькулятор_жилье!R377:R379)</f>
        <v>0</v>
      </c>
      <c r="R319" s="660">
        <f t="shared" ref="R319" si="4301">IF(Q319=0,0,Q319/Q$4)</f>
        <v>0</v>
      </c>
      <c r="S319" s="659">
        <f>SUM(Калькулятор_жилье!S377:S379)</f>
        <v>0</v>
      </c>
      <c r="T319" s="660">
        <f t="shared" ref="T319" si="4302">IF(S319=0,0,S319/S$4)</f>
        <v>0</v>
      </c>
      <c r="U319" s="659">
        <f>SUM(Калькулятор_жилье!T377:T379)</f>
        <v>0</v>
      </c>
      <c r="V319" s="660">
        <f t="shared" ref="V319" si="4303">IF(U319=0,0,U319/U$4)</f>
        <v>0</v>
      </c>
      <c r="W319" s="659">
        <f>SUM(Калькулятор_жилье!U377:U379)</f>
        <v>0</v>
      </c>
      <c r="X319" s="660">
        <f t="shared" ref="X319" si="4304">IF(W319=0,0,W319/W$4)</f>
        <v>0</v>
      </c>
      <c r="Y319" s="659">
        <f>SUM(Калькулятор_жилье!V377:V379)</f>
        <v>0</v>
      </c>
      <c r="Z319" s="660">
        <f t="shared" ref="Z319" si="4305">IF(Y319=0,0,Y319/Y$4)</f>
        <v>0</v>
      </c>
      <c r="AA319" s="659">
        <f>SUM(Калькулятор_жилье!W377:W379)</f>
        <v>0</v>
      </c>
      <c r="AB319" s="660">
        <f t="shared" ref="AB319" si="4306">IF(AA319=0,0,AA319/AA$4)</f>
        <v>0</v>
      </c>
      <c r="AC319" s="659">
        <f>C319+E319+G319+I319+K319+M319+O319+Q319+S319+U319+W319+AA319+Y319</f>
        <v>417570990.83078265</v>
      </c>
      <c r="AD319" s="660">
        <f t="shared" ref="AD319" si="4307">IF(AC319=0,0,AC319/AC$4)</f>
        <v>2593.4004639776995</v>
      </c>
      <c r="AE319" s="654"/>
    </row>
    <row r="320" spans="1:36" s="68" customFormat="1" hidden="1" outlineLevel="3">
      <c r="A320" s="245"/>
      <c r="B320" s="246" t="s">
        <v>419</v>
      </c>
      <c r="C320" s="663"/>
      <c r="D320" s="664">
        <f t="shared" si="3474"/>
        <v>0</v>
      </c>
      <c r="E320" s="663">
        <f>E319-E321*курс</f>
        <v>81341429.078359887</v>
      </c>
      <c r="F320" s="664">
        <f t="shared" si="3474"/>
        <v>1889.7713699872195</v>
      </c>
      <c r="G320" s="663">
        <f>G319-G321*курс</f>
        <v>78888193.617020577</v>
      </c>
      <c r="H320" s="664">
        <f t="shared" ref="H320" si="4308">IF(G320=0,0,G320/G$4)</f>
        <v>1889.7713699872197</v>
      </c>
      <c r="I320" s="663">
        <f>I319-I321*курс</f>
        <v>55452230.398151904</v>
      </c>
      <c r="J320" s="664">
        <f t="shared" ref="J320" si="4309">IF(I320=0,0,I320/I$4)</f>
        <v>1889.7713699872195</v>
      </c>
      <c r="K320" s="663">
        <f>K319-K321*курс</f>
        <v>80456892.831246957</v>
      </c>
      <c r="L320" s="664">
        <f t="shared" ref="L320" si="4310">IF(K320=0,0,K320/K$4)</f>
        <v>1889.7713699872195</v>
      </c>
      <c r="M320" s="663">
        <f>M319-M321*курс</f>
        <v>8138867.3362609576</v>
      </c>
      <c r="N320" s="664">
        <f t="shared" ref="N320" si="4311">IF(M320=0,0,M320/M$4)</f>
        <v>1889.7713699872195</v>
      </c>
      <c r="O320" s="663">
        <f>O319-O321*курс</f>
        <v>0</v>
      </c>
      <c r="P320" s="664">
        <f t="shared" ref="P320" si="4312">IF(O320=0,0,O320/O$4)</f>
        <v>0</v>
      </c>
      <c r="Q320" s="663">
        <f>Q319-Q321*курс</f>
        <v>0</v>
      </c>
      <c r="R320" s="664">
        <f t="shared" ref="R320" si="4313">IF(Q320=0,0,Q320/Q$4)</f>
        <v>0</v>
      </c>
      <c r="S320" s="663">
        <f>S319-S321*курс</f>
        <v>0</v>
      </c>
      <c r="T320" s="664">
        <f t="shared" ref="T320" si="4314">IF(S320=0,0,S320/S$4)</f>
        <v>0</v>
      </c>
      <c r="U320" s="663">
        <f>U319-U321*курс</f>
        <v>0</v>
      </c>
      <c r="V320" s="664">
        <f t="shared" ref="V320" si="4315">IF(U320=0,0,U320/U$4)</f>
        <v>0</v>
      </c>
      <c r="W320" s="663">
        <f>W319-W321*курс</f>
        <v>0</v>
      </c>
      <c r="X320" s="664">
        <f t="shared" ref="X320" si="4316">IF(W320=0,0,W320/W$4)</f>
        <v>0</v>
      </c>
      <c r="Y320" s="663">
        <f>Y319-Y321*курс</f>
        <v>0</v>
      </c>
      <c r="Z320" s="664">
        <f t="shared" ref="Z320" si="4317">IF(Y320=0,0,Y320/Y$4)</f>
        <v>0</v>
      </c>
      <c r="AA320" s="663">
        <f>AA319-AA321*курс</f>
        <v>0</v>
      </c>
      <c r="AB320" s="664">
        <f t="shared" ref="AB320" si="4318">IF(AA320=0,0,AA320/AA$4)</f>
        <v>0</v>
      </c>
      <c r="AC320" s="663">
        <f>C320+E320+G320+I320+K320+M320+O320+Q320+S320+U320+W320+AA320+Y320</f>
        <v>304277613.26104027</v>
      </c>
      <c r="AD320" s="664">
        <f t="shared" ref="AD320" si="4319">IF(AC320=0,0,AC320/AC$4)</f>
        <v>1889.7713699872195</v>
      </c>
      <c r="AE320" s="665"/>
      <c r="AF320" s="114"/>
      <c r="AG320" s="114"/>
      <c r="AH320" s="114"/>
      <c r="AI320" s="114"/>
      <c r="AJ320" s="114"/>
    </row>
    <row r="321" spans="1:36" s="68" customFormat="1" hidden="1" outlineLevel="3">
      <c r="A321" s="245"/>
      <c r="B321" s="246" t="s">
        <v>420</v>
      </c>
      <c r="C321" s="663"/>
      <c r="D321" s="664">
        <f t="shared" si="3474"/>
        <v>0</v>
      </c>
      <c r="E321" s="663">
        <f>Калькулятор_жилье!G377*Калькулятор_жилье!$G$58</f>
        <v>346558.16390609439</v>
      </c>
      <c r="F321" s="664">
        <f t="shared" si="3474"/>
        <v>8.0514407431195405</v>
      </c>
      <c r="G321" s="663">
        <f>Калькулятор_жилье!$G$377*(Калькулятор_жилье!H$56+Калькулятор_жилье!H$69)*IF(Калькулятор_жилье!H$64&lt;=75,1,0)+Калькулятор_жилье!$G$378*(Калькулятор_жилье!H$56+Калькулятор_жилье!H$69)*IF(AND(Калькулятор_жилье!H$64&gt;75,Калькулятор_жилье!H$64&lt;=130),1,0)+Калькулятор_жилье!$G$379*(Калькулятор_жилье!H$56+Калькулятор_жилье!H$69)*IF(Калькулятор_жилье!H$64&gt;130,1,0)</f>
        <v>336106.06358348939</v>
      </c>
      <c r="H321" s="664">
        <f t="shared" ref="H321" si="4320">IF(G321=0,0,G321/G$4)</f>
        <v>8.0514407431195405</v>
      </c>
      <c r="I321" s="663">
        <f>Калькулятор_жилье!$G$377*(Калькулятор_жилье!I$56+Калькулятор_жилье!I$69)*IF(Калькулятор_жилье!I$64&lt;=75,1,0)+Калькулятор_жилье!$G$378*(Калькулятор_жилье!I$56+Калькулятор_жилье!I$69)*IF(AND(Калькулятор_жилье!I$64&gt;75,Калькулятор_жилье!I$64&lt;=130),1,0)+Калькулятор_жилье!$G$379*(Калькулятор_жилье!I$56+Калькулятор_жилье!I$69)*IF(Калькулятор_жилье!I$64&gt;130,1,0)</f>
        <v>236256.27640212985</v>
      </c>
      <c r="J321" s="664">
        <f t="shared" ref="J321" si="4321">IF(I321=0,0,I321/I$4)</f>
        <v>8.0514407431195405</v>
      </c>
      <c r="K321" s="663">
        <f>Калькулятор_жилье!$G$377*(Калькулятор_жилье!J$56+Калькулятор_жилье!J$69)*IF(Калькулятор_жилье!J$64&lt;=75,1,0)+Калькулятор_жилье!$G$378*(Калькулятор_жилье!J$56+Калькулятор_жилье!J$69)*IF(AND(Калькулятор_жилье!J$64&gt;75,Калькулятор_жилье!J$64&lt;=130),1,0)+Калькулятор_жилье!$G$379*(Калькулятор_жилье!J$56+Калькулятор_жилье!J$69)*IF(Калькулятор_жилье!J$64&gt;130,1,0)</f>
        <v>342789.56454435294</v>
      </c>
      <c r="L321" s="664">
        <f t="shared" ref="L321" si="4322">IF(K321=0,0,K321/K$4)</f>
        <v>8.0514407431195405</v>
      </c>
      <c r="M321" s="663">
        <f>Калькулятор_жилье!$G$377*(Калькулятор_жилье!K$56+Калькулятор_жилье!K$69)*IF(Калькулятор_жилье!K$64&lt;=75,1,0)+Калькулятор_жилье!$G$378*(Калькулятор_жилье!K$56+Калькулятор_жилье!K$69)*IF(AND(Калькулятор_жилье!K$64&gt;75,Калькулятор_жилье!K$64&lt;=130),1,0)+Калькулятор_жилье!$G$379*(Калькулятор_жилье!K$56+Калькулятор_жилье!K$69)*IF(Калькулятор_жилье!K$64&gt;130,1,0)</f>
        <v>34675.944992467237</v>
      </c>
      <c r="N321" s="664">
        <f t="shared" ref="N321" si="4323">IF(M321=0,0,M321/M$4)</f>
        <v>8.0514407431195405</v>
      </c>
      <c r="O321" s="663">
        <f>Калькулятор_жилье!$G$377*(Калькулятор_жилье!L$56+Калькулятор_жилье!L$69)*IF(Калькулятор_жилье!L$64&lt;=75,1,0)+Калькулятор_жилье!$G$378*(Калькулятор_жилье!L$56+Калькулятор_жилье!L$69)*IF(AND(Калькулятор_жилье!L$64&gt;75,Калькулятор_жилье!L$64&lt;=130),1,0)+Калькулятор_жилье!$G$379*(Калькулятор_жилье!L$56+Калькулятор_жилье!L$69)*IF(Калькулятор_жилье!L$64&gt;130,1,0)</f>
        <v>0</v>
      </c>
      <c r="P321" s="664">
        <f t="shared" ref="P321" si="4324">IF(O321=0,0,O321/O$4)</f>
        <v>0</v>
      </c>
      <c r="Q321" s="663">
        <f>Калькулятор_жилье!$G$377*(Калькулятор_жилье!M$56+Калькулятор_жилье!M$69)*IF(Калькулятор_жилье!M$64&lt;=75,1,0)+Калькулятор_жилье!$G$378*(Калькулятор_жилье!M$56+Калькулятор_жилье!M$69)*IF(AND(Калькулятор_жилье!M$64&gt;75,Калькулятор_жилье!M$64&lt;=130),1,0)+Калькулятор_жилье!$G$379*(Калькулятор_жилье!M$56+Калькулятор_жилье!M$69)*IF(Калькулятор_жилье!M$64&gt;130,1,0)</f>
        <v>0</v>
      </c>
      <c r="R321" s="664">
        <f t="shared" ref="R321" si="4325">IF(Q321=0,0,Q321/Q$4)</f>
        <v>0</v>
      </c>
      <c r="S321" s="663">
        <f>Калькулятор_жилье!$G$377*(Калькулятор_жилье!N$56+Калькулятор_жилье!N$69)*IF(Калькулятор_жилье!N$64&lt;=75,1,0)+Калькулятор_жилье!$G$378*(Калькулятор_жилье!N$56+Калькулятор_жилье!N$69)*IF(AND(Калькулятор_жилье!N$64&gt;75,Калькулятор_жилье!N$64&lt;=130),1,0)+Калькулятор_жилье!$G$379*(Калькулятор_жилье!N$56+Калькулятор_жилье!N$69)*IF(Калькулятор_жилье!N$64&gt;130,1,0)</f>
        <v>0</v>
      </c>
      <c r="T321" s="664">
        <f t="shared" ref="T321" si="4326">IF(S321=0,0,S321/S$4)</f>
        <v>0</v>
      </c>
      <c r="U321" s="663">
        <f>Калькулятор_жилье!$G$377*(Калькулятор_жилье!O$56+Калькулятор_жилье!O$69)*IF(Калькулятор_жилье!O$64&lt;=75,1,0)+Калькулятор_жилье!$G$378*(Калькулятор_жилье!O$56+Калькулятор_жилье!O$69)*IF(AND(Калькулятор_жилье!O$64&gt;75,Калькулятор_жилье!O$64&lt;=130),1,0)+Калькулятор_жилье!$G$379*(Калькулятор_жилье!O$56+Калькулятор_жилье!O$69)*IF(Калькулятор_жилье!O$64&gt;130,1,0)</f>
        <v>0</v>
      </c>
      <c r="V321" s="664">
        <f t="shared" ref="V321" si="4327">IF(U321=0,0,U321/U$4)</f>
        <v>0</v>
      </c>
      <c r="W321" s="663">
        <f>Калькулятор_жилье!$G$377*(Калькулятор_жилье!P$56+Калькулятор_жилье!P$69)*IF(Калькулятор_жилье!P$64&lt;=75,1,0)+Калькулятор_жилье!$G$378*(Калькулятор_жилье!P$56+Калькулятор_жилье!P$69)*IF(AND(Калькулятор_жилье!P$64&gt;75,Калькулятор_жилье!P$64&lt;=130),1,0)+Калькулятор_жилье!$G$379*(Калькулятор_жилье!P$56+Калькулятор_жилье!P$69)*IF(Калькулятор_жилье!P$64&gt;130,1,0)</f>
        <v>0</v>
      </c>
      <c r="X321" s="664">
        <f t="shared" ref="X321" si="4328">IF(W321=0,0,W321/W$4)</f>
        <v>0</v>
      </c>
      <c r="Y321" s="663">
        <f>Калькулятор_жилье!$G$377*(Калькулятор_жилье!Q$56+Калькулятор_жилье!Q$69)*IF(Калькулятор_жилье!Q$64&lt;=75,1,0)+Калькулятор_жилье!$G$378*(Калькулятор_жилье!Q$56+Калькулятор_жилье!Q$69)*IF(AND(Калькулятор_жилье!Q$64&gt;75,Калькулятор_жилье!Q$64&lt;=130),1,0)+Калькулятор_жилье!$G$379*(Калькулятор_жилье!Q$56+Калькулятор_жилье!Q$69)*IF(Калькулятор_жилье!Q$64&gt;130,1,0)</f>
        <v>0</v>
      </c>
      <c r="Z321" s="664">
        <f t="shared" ref="Z321" si="4329">IF(Y321=0,0,Y321/Y$4)</f>
        <v>0</v>
      </c>
      <c r="AA321" s="663">
        <f>Калькулятор_жилье!$G$377*(Калькулятор_жилье!R$56+Калькулятор_жилье!R$69)*IF(Калькулятор_жилье!R$64&lt;=75,1,0)+Калькулятор_жилье!$G$378*(Калькулятор_жилье!R$56+Калькулятор_жилье!R$69)*IF(AND(Калькулятор_жилье!R$64&gt;75,Калькулятор_жилье!R$64&lt;=130),1,0)+Калькулятор_жилье!$G$379*(Калькулятор_жилье!R$56+Калькулятор_жилье!R$69)*IF(Калькулятор_жилье!R$64&gt;130,1,0)</f>
        <v>0</v>
      </c>
      <c r="AB321" s="664">
        <f t="shared" ref="AB321" si="4330">IF(AA321=0,0,AA321/AA$4)</f>
        <v>0</v>
      </c>
      <c r="AC321" s="663">
        <f t="shared" ref="AC321" si="4331">C321+E321+G321+I321+K321+M321+O321+Q321+S321+U321+W321+AA321+Y321</f>
        <v>1296386.0134285339</v>
      </c>
      <c r="AD321" s="664">
        <f t="shared" ref="AD321" si="4332">IF(AC321=0,0,AC321/AC$4)</f>
        <v>8.0514407431195405</v>
      </c>
      <c r="AE321" s="665"/>
      <c r="AF321" s="114"/>
      <c r="AG321" s="114"/>
      <c r="AH321" s="114"/>
      <c r="AI321" s="114"/>
      <c r="AJ321" s="114"/>
    </row>
    <row r="322" spans="1:36" s="556" customFormat="1" ht="15.75" hidden="1" outlineLevel="2">
      <c r="A322" s="609" t="s">
        <v>1420</v>
      </c>
      <c r="B322" s="559" t="s">
        <v>84</v>
      </c>
      <c r="C322" s="659"/>
      <c r="D322" s="660">
        <f t="shared" si="3474"/>
        <v>0</v>
      </c>
      <c r="E322" s="659">
        <f>Калькулятор_жилье!L380</f>
        <v>147319065.26634914</v>
      </c>
      <c r="F322" s="660">
        <f t="shared" si="3474"/>
        <v>3422.6021714645617</v>
      </c>
      <c r="G322" s="659">
        <f>SUM(Калькулятор_жилье!M380:M382)</f>
        <v>142875962.17438591</v>
      </c>
      <c r="H322" s="660">
        <f t="shared" ref="H322" si="4333">IF(G322=0,0,G322/G$4)</f>
        <v>3422.6021714645622</v>
      </c>
      <c r="I322" s="659">
        <f>SUM(Калькулятор_жилье!N380:N382)</f>
        <v>100430627.31686504</v>
      </c>
      <c r="J322" s="660">
        <f t="shared" ref="J322" si="4334">IF(I322=0,0,I322/I$4)</f>
        <v>3422.6021714645622</v>
      </c>
      <c r="K322" s="659">
        <f>SUM(Калькулятор_жилье!O380:O382)</f>
        <v>145717064.23691863</v>
      </c>
      <c r="L322" s="660">
        <f t="shared" ref="L322" si="4335">IF(K322=0,0,K322/K$4)</f>
        <v>3422.6021714645617</v>
      </c>
      <c r="M322" s="659">
        <f>SUM(Калькулятор_жилье!P380:P382)</f>
        <v>14740463.032063577</v>
      </c>
      <c r="N322" s="660">
        <f t="shared" ref="N322" si="4336">IF(M322=0,0,M322/M$4)</f>
        <v>3422.6021714645622</v>
      </c>
      <c r="O322" s="659">
        <f>SUM(Калькулятор_жилье!Q380:Q382)</f>
        <v>0</v>
      </c>
      <c r="P322" s="660">
        <f t="shared" ref="P322" si="4337">IF(O322=0,0,O322/O$4)</f>
        <v>0</v>
      </c>
      <c r="Q322" s="659">
        <f>SUM(Калькулятор_жилье!R380:R382)</f>
        <v>0</v>
      </c>
      <c r="R322" s="660">
        <f t="shared" ref="R322" si="4338">IF(Q322=0,0,Q322/Q$4)</f>
        <v>0</v>
      </c>
      <c r="S322" s="659">
        <f>SUM(Калькулятор_жилье!S380:S382)</f>
        <v>0</v>
      </c>
      <c r="T322" s="660">
        <f t="shared" ref="T322" si="4339">IF(S322=0,0,S322/S$4)</f>
        <v>0</v>
      </c>
      <c r="U322" s="659">
        <f>SUM(Калькулятор_жилье!T380:T382)</f>
        <v>0</v>
      </c>
      <c r="V322" s="660">
        <f t="shared" ref="V322" si="4340">IF(U322=0,0,U322/U$4)</f>
        <v>0</v>
      </c>
      <c r="W322" s="659">
        <f>SUM(Калькулятор_жилье!U380:U382)</f>
        <v>0</v>
      </c>
      <c r="X322" s="660">
        <f t="shared" ref="X322" si="4341">IF(W322=0,0,W322/W$4)</f>
        <v>0</v>
      </c>
      <c r="Y322" s="659">
        <f>SUM(Калькулятор_жилье!V380:V382)</f>
        <v>0</v>
      </c>
      <c r="Z322" s="660">
        <f t="shared" ref="Z322" si="4342">IF(Y322=0,0,Y322/Y$4)</f>
        <v>0</v>
      </c>
      <c r="AA322" s="659">
        <f>SUM(Калькулятор_жилье!W380:W382)</f>
        <v>0</v>
      </c>
      <c r="AB322" s="660">
        <f t="shared" ref="AB322" si="4343">IF(AA322=0,0,AA322/AA$4)</f>
        <v>0</v>
      </c>
      <c r="AC322" s="659">
        <f>C322+E322+G322+I322+K322+M322+O322+Q322+S322+U322+W322+AA322+Y322</f>
        <v>551083182.02658224</v>
      </c>
      <c r="AD322" s="660">
        <f t="shared" ref="AD322" si="4344">IF(AC322=0,0,AC322/AC$4)</f>
        <v>3422.6021714645617</v>
      </c>
      <c r="AE322" s="654"/>
    </row>
    <row r="323" spans="1:36" s="556" customFormat="1" ht="15.75" hidden="1" outlineLevel="2" collapsed="1">
      <c r="A323" s="609" t="s">
        <v>1419</v>
      </c>
      <c r="B323" s="559" t="s">
        <v>86</v>
      </c>
      <c r="C323" s="659"/>
      <c r="D323" s="660">
        <f t="shared" si="3474"/>
        <v>0</v>
      </c>
      <c r="E323" s="659">
        <f>Калькулятор_жилье!L383</f>
        <v>30205388.524594929</v>
      </c>
      <c r="F323" s="660">
        <f t="shared" si="3474"/>
        <v>701.74914677403831</v>
      </c>
      <c r="G323" s="659">
        <f>SUM(Калькулятор_жилье!M383:M385)</f>
        <v>29294402.190918852</v>
      </c>
      <c r="H323" s="660">
        <f t="shared" ref="H323" si="4345">IF(G323=0,0,G323/G$4)</f>
        <v>701.74914677403831</v>
      </c>
      <c r="I323" s="659">
        <f>SUM(Калькулятор_жилье!N383:N385)</f>
        <v>20591673.67366967</v>
      </c>
      <c r="J323" s="660">
        <f t="shared" ref="J323" si="4346">IF(I323=0,0,I323/I$4)</f>
        <v>701.74914677403831</v>
      </c>
      <c r="K323" s="659">
        <f>SUM(Калькулятор_жилье!O383:O385)</f>
        <v>29876924.157655977</v>
      </c>
      <c r="L323" s="660">
        <f t="shared" ref="L323" si="4347">IF(K323=0,0,K323/K$4)</f>
        <v>701.74914677403831</v>
      </c>
      <c r="M323" s="659">
        <f>SUM(Калькулятор_жилье!P383:P385)</f>
        <v>3022293.2253264282</v>
      </c>
      <c r="N323" s="660">
        <f t="shared" ref="N323" si="4348">IF(M323=0,0,M323/M$4)</f>
        <v>701.74914677403831</v>
      </c>
      <c r="O323" s="659">
        <f>SUM(Калькулятор_жилье!Q383:Q385)</f>
        <v>0</v>
      </c>
      <c r="P323" s="660">
        <f t="shared" ref="P323" si="4349">IF(O323=0,0,O323/O$4)</f>
        <v>0</v>
      </c>
      <c r="Q323" s="659">
        <f>SUM(Калькулятор_жилье!R383:R385)</f>
        <v>0</v>
      </c>
      <c r="R323" s="660">
        <f t="shared" ref="R323" si="4350">IF(Q323=0,0,Q323/Q$4)</f>
        <v>0</v>
      </c>
      <c r="S323" s="659">
        <f>SUM(Калькулятор_жилье!S383:S385)</f>
        <v>0</v>
      </c>
      <c r="T323" s="660">
        <f t="shared" ref="T323" si="4351">IF(S323=0,0,S323/S$4)</f>
        <v>0</v>
      </c>
      <c r="U323" s="659">
        <f>SUM(Калькулятор_жилье!T383:T385)</f>
        <v>0</v>
      </c>
      <c r="V323" s="660">
        <f t="shared" ref="V323" si="4352">IF(U323=0,0,U323/U$4)</f>
        <v>0</v>
      </c>
      <c r="W323" s="659">
        <f>SUM(Калькулятор_жилье!U383:U385)</f>
        <v>0</v>
      </c>
      <c r="X323" s="660">
        <f t="shared" ref="X323" si="4353">IF(W323=0,0,W323/W$4)</f>
        <v>0</v>
      </c>
      <c r="Y323" s="659">
        <f>SUM(Калькулятор_жилье!V383:V385)</f>
        <v>0</v>
      </c>
      <c r="Z323" s="660">
        <f t="shared" ref="Z323" si="4354">IF(Y323=0,0,Y323/Y$4)</f>
        <v>0</v>
      </c>
      <c r="AA323" s="659">
        <f>SUM(Калькулятор_жилье!W383:W385)</f>
        <v>0</v>
      </c>
      <c r="AB323" s="660">
        <f t="shared" ref="AB323" si="4355">IF(AA323=0,0,AA323/AA$4)</f>
        <v>0</v>
      </c>
      <c r="AC323" s="659">
        <f>C323+E323+G323+I323+K323+M323+O323+Q323+S323+U323+W323+AA323+Y323</f>
        <v>112990681.77216585</v>
      </c>
      <c r="AD323" s="660">
        <f t="shared" ref="AD323" si="4356">IF(AC323=0,0,AC323/AC$4)</f>
        <v>701.74914677403831</v>
      </c>
      <c r="AE323" s="654"/>
    </row>
    <row r="324" spans="1:36" s="68" customFormat="1" hidden="1" outlineLevel="3">
      <c r="A324" s="245"/>
      <c r="B324" s="246" t="s">
        <v>419</v>
      </c>
      <c r="C324" s="663"/>
      <c r="D324" s="664">
        <f t="shared" si="3474"/>
        <v>0</v>
      </c>
      <c r="E324" s="663">
        <f>E323-E325*курс</f>
        <v>21095703.972144414</v>
      </c>
      <c r="F324" s="664">
        <f t="shared" si="3474"/>
        <v>490.10765913492122</v>
      </c>
      <c r="G324" s="663">
        <f>G323-G325*курс</f>
        <v>20459463.256278388</v>
      </c>
      <c r="H324" s="664">
        <f t="shared" ref="H324" si="4357">IF(G324=0,0,G324/G$4)</f>
        <v>490.10765913492128</v>
      </c>
      <c r="I324" s="663">
        <f>I323-I325*курс</f>
        <v>14381402.568519365</v>
      </c>
      <c r="J324" s="664">
        <f t="shared" ref="J324" si="4358">IF(I324=0,0,I324/I$4)</f>
        <v>490.10765913492133</v>
      </c>
      <c r="K324" s="663">
        <f>K323-K325*курс</f>
        <v>20866301.624126285</v>
      </c>
      <c r="L324" s="664">
        <f t="shared" ref="L324" si="4359">IF(K324=0,0,K324/K$4)</f>
        <v>490.10765913492128</v>
      </c>
      <c r="M324" s="663">
        <f>M323-M325*курс</f>
        <v>2110795.6663622791</v>
      </c>
      <c r="N324" s="664">
        <f t="shared" ref="N324" si="4360">IF(M324=0,0,M324/M$4)</f>
        <v>490.10765913492128</v>
      </c>
      <c r="O324" s="663">
        <f>O323-O325*курс</f>
        <v>0</v>
      </c>
      <c r="P324" s="664">
        <f t="shared" ref="P324" si="4361">IF(O324=0,0,O324/O$4)</f>
        <v>0</v>
      </c>
      <c r="Q324" s="663">
        <f>Q323-Q325*курс</f>
        <v>0</v>
      </c>
      <c r="R324" s="664">
        <f t="shared" ref="R324" si="4362">IF(Q324=0,0,Q324/Q$4)</f>
        <v>0</v>
      </c>
      <c r="S324" s="663">
        <f>S323-S325*курс</f>
        <v>0</v>
      </c>
      <c r="T324" s="664">
        <f t="shared" ref="T324" si="4363">IF(S324=0,0,S324/S$4)</f>
        <v>0</v>
      </c>
      <c r="U324" s="663">
        <f>U323-U325*курс</f>
        <v>0</v>
      </c>
      <c r="V324" s="664">
        <f t="shared" ref="V324" si="4364">IF(U324=0,0,U324/U$4)</f>
        <v>0</v>
      </c>
      <c r="W324" s="663">
        <f>W323-W325*курс</f>
        <v>0</v>
      </c>
      <c r="X324" s="664">
        <f t="shared" ref="X324" si="4365">IF(W324=0,0,W324/W$4)</f>
        <v>0</v>
      </c>
      <c r="Y324" s="663">
        <f>Y323-Y325*курс</f>
        <v>0</v>
      </c>
      <c r="Z324" s="664">
        <f t="shared" ref="Z324" si="4366">IF(Y324=0,0,Y324/Y$4)</f>
        <v>0</v>
      </c>
      <c r="AA324" s="663">
        <f>AA323-AA325*курс</f>
        <v>0</v>
      </c>
      <c r="AB324" s="664">
        <f t="shared" ref="AB324" si="4367">IF(AA324=0,0,AA324/AA$4)</f>
        <v>0</v>
      </c>
      <c r="AC324" s="663">
        <f>C324+E324+G324+I324+K324+M324+O324+Q324+S324+U324+W324+AA324+Y324</f>
        <v>78913667.087430745</v>
      </c>
      <c r="AD324" s="664">
        <f t="shared" ref="AD324" si="4368">IF(AC324=0,0,AC324/AC$4)</f>
        <v>490.10765913492133</v>
      </c>
      <c r="AE324" s="665"/>
      <c r="AF324" s="114"/>
      <c r="AG324" s="114"/>
      <c r="AH324" s="114"/>
      <c r="AI324" s="114"/>
      <c r="AJ324" s="114"/>
    </row>
    <row r="325" spans="1:36" s="68" customFormat="1" hidden="1" outlineLevel="3">
      <c r="A325" s="245"/>
      <c r="B325" s="246" t="s">
        <v>420</v>
      </c>
      <c r="C325" s="663"/>
      <c r="D325" s="664">
        <f t="shared" si="3474"/>
        <v>0</v>
      </c>
      <c r="E325" s="663">
        <f>Калькулятор_жилье!G383*Калькулятор_жилье!$G$58</f>
        <v>104239.69956472429</v>
      </c>
      <c r="F325" s="664">
        <f t="shared" si="3474"/>
        <v>2.4217573023424084</v>
      </c>
      <c r="G325" s="663">
        <f>Калькулятор_жилье!$G$383*(Калькулятор_жилье!H$56+Калькулятор_жилье!H$69)*IF(Калькулятор_жилье!H$64&lt;=75,1,0)+Калькулятор_жилье!$G$384*(Калькулятор_жилье!H$56+Калькулятор_жилье!H$69)*IF(AND(Калькулятор_жилье!H$64&gt;75,Калькулятор_жилье!H$64&lt;=130),1,0)+Калькулятор_жилье!$G$385*(Калькулятор_жилье!H$56+Калькулятор_жилье!H$69)*IF(Калькулятор_жилье!H$64&gt;130,1,0)</f>
        <v>101095.85846985997</v>
      </c>
      <c r="H325" s="664">
        <f t="shared" ref="H325" si="4369">IF(G325=0,0,G325/G$4)</f>
        <v>2.4217573023424084</v>
      </c>
      <c r="I325" s="663">
        <f>Калькулятор_жилье!$G$383*(Калькулятор_жилье!I$56+Калькулятор_жилье!I$69)*IF(Калькулятор_жилье!I$64&lt;=75,1,0)+Калькулятор_жилье!$G$384*(Калькулятор_жилье!I$56+Калькулятор_жилье!I$69)*IF(AND(Калькулятор_жилье!I$64&gt;75,Калькулятор_жилье!I$64&lt;=130),1,0)+Калькулятор_жилье!$G$385*(Калькулятор_жилье!I$56+Калькулятор_жилье!I$69)*IF(Калькулятор_жилье!I$64&gt;130,1,0)</f>
        <v>71062.481965110026</v>
      </c>
      <c r="J325" s="664">
        <f t="shared" ref="J325" si="4370">IF(I325=0,0,I325/I$4)</f>
        <v>2.4217573023424084</v>
      </c>
      <c r="K325" s="663">
        <f>Калькулятор_жилье!$G$383*(Калькулятор_жилье!J$56+Калькулятор_жилье!J$69)*IF(Калькулятор_жилье!J$64&lt;=75,1,0)+Калькулятор_жилье!$G$384*(Калькулятор_жилье!J$56+Калькулятор_жилье!J$69)*IF(AND(Калькулятор_жилье!J$64&gt;75,Калькулятор_жилье!J$64&lt;=130),1,0)+Калькулятор_жилье!$G$385*(Калькулятор_жилье!J$56+Калькулятор_жилье!J$69)*IF(Калькулятор_жилье!J$64&gt;130,1,0)</f>
        <v>103106.1592065344</v>
      </c>
      <c r="L325" s="664">
        <f t="shared" ref="L325" si="4371">IF(K325=0,0,K325/K$4)</f>
        <v>2.4217573023424084</v>
      </c>
      <c r="M325" s="663">
        <f>Калькулятор_жилье!$G$383*(Калькулятор_жилье!K$56+Калькулятор_жилье!K$69)*IF(Калькулятор_жилье!K$64&lt;=75,1,0)+Калькулятор_жилье!$G$384*(Калькулятор_жилье!K$56+Калькулятор_жилье!K$69)*IF(AND(Калькулятор_жилье!K$64&gt;75,Калькулятор_жилье!K$64&lt;=130),1,0)+Калькулятор_жилье!$G$385*(Калькулятор_жилье!K$56+Калькулятор_жилье!K$69)*IF(Калькулятор_жилье!K$64&gt;130,1,0)</f>
        <v>10430.024349728285</v>
      </c>
      <c r="N325" s="664">
        <f t="shared" ref="N325" si="4372">IF(M325=0,0,M325/M$4)</f>
        <v>2.4217573023424084</v>
      </c>
      <c r="O325" s="663">
        <f>Калькулятор_жилье!$G$383*(Калькулятор_жилье!L$56+Калькулятор_жилье!L$69)*IF(Калькулятор_жилье!L$64&lt;=75,1,0)+Калькулятор_жилье!$G$384*(Калькулятор_жилье!L$56+Калькулятор_жилье!L$69)*IF(AND(Калькулятор_жилье!L$64&gt;75,Калькулятор_жилье!L$64&lt;=130),1,0)+Калькулятор_жилье!$G$385*(Калькулятор_жилье!L$56+Калькулятор_жилье!L$69)*IF(Калькулятор_жилье!L$64&gt;130,1,0)</f>
        <v>0</v>
      </c>
      <c r="P325" s="664">
        <f t="shared" ref="P325" si="4373">IF(O325=0,0,O325/O$4)</f>
        <v>0</v>
      </c>
      <c r="Q325" s="663">
        <f>Калькулятор_жилье!$G$383*(Калькулятор_жилье!M$56+Калькулятор_жилье!M$69)*IF(Калькулятор_жилье!M$64&lt;=75,1,0)+Калькулятор_жилье!$G$384*(Калькулятор_жилье!M$56+Калькулятор_жилье!M$69)*IF(AND(Калькулятор_жилье!M$64&gt;75,Калькулятор_жилье!M$64&lt;=130),1,0)+Калькулятор_жилье!$G$385*(Калькулятор_жилье!M$56+Калькулятор_жилье!M$69)*IF(Калькулятор_жилье!M$64&gt;130,1,0)</f>
        <v>0</v>
      </c>
      <c r="R325" s="664">
        <f t="shared" ref="R325" si="4374">IF(Q325=0,0,Q325/Q$4)</f>
        <v>0</v>
      </c>
      <c r="S325" s="663">
        <f>Калькулятор_жилье!$G$383*(Калькулятор_жилье!N$56+Калькулятор_жилье!N$69)*IF(Калькулятор_жилье!N$64&lt;=75,1,0)+Калькулятор_жилье!$G$384*(Калькулятор_жилье!N$56+Калькулятор_жилье!N$69)*IF(AND(Калькулятор_жилье!N$64&gt;75,Калькулятор_жилье!N$64&lt;=130),1,0)+Калькулятор_жилье!$G$385*(Калькулятор_жилье!N$56+Калькулятор_жилье!N$69)*IF(Калькулятор_жилье!N$64&gt;130,1,0)</f>
        <v>0</v>
      </c>
      <c r="T325" s="664">
        <f t="shared" ref="T325" si="4375">IF(S325=0,0,S325/S$4)</f>
        <v>0</v>
      </c>
      <c r="U325" s="663">
        <f>Калькулятор_жилье!$G$383*(Калькулятор_жилье!O$56+Калькулятор_жилье!O$69)*IF(Калькулятор_жилье!O$64&lt;=75,1,0)+Калькулятор_жилье!$G$384*(Калькулятор_жилье!O$56+Калькулятор_жилье!O$69)*IF(AND(Калькулятор_жилье!O$64&gt;75,Калькулятор_жилье!O$64&lt;=130),1,0)+Калькулятор_жилье!$G$385*(Калькулятор_жилье!O$56+Калькулятор_жилье!O$69)*IF(Калькулятор_жилье!O$64&gt;130,1,0)</f>
        <v>0</v>
      </c>
      <c r="V325" s="664">
        <f t="shared" ref="V325" si="4376">IF(U325=0,0,U325/U$4)</f>
        <v>0</v>
      </c>
      <c r="W325" s="663">
        <f>Калькулятор_жилье!$G$383*(Калькулятор_жилье!P$56+Калькулятор_жилье!P$69)*IF(Калькулятор_жилье!P$64&lt;=75,1,0)+Калькулятор_жилье!$G$384*(Калькулятор_жилье!P$56+Калькулятор_жилье!P$69)*IF(AND(Калькулятор_жилье!P$64&gt;75,Калькулятор_жилье!P$64&lt;=130),1,0)+Калькулятор_жилье!$G$385*(Калькулятор_жилье!P$56+Калькулятор_жилье!P$69)*IF(Калькулятор_жилье!P$64&gt;130,1,0)</f>
        <v>0</v>
      </c>
      <c r="X325" s="664">
        <f t="shared" ref="X325" si="4377">IF(W325=0,0,W325/W$4)</f>
        <v>0</v>
      </c>
      <c r="Y325" s="663">
        <f>Калькулятор_жилье!$G$383*(Калькулятор_жилье!Q$56+Калькулятор_жилье!Q$69)*IF(Калькулятор_жилье!Q$64&lt;=75,1,0)+Калькулятор_жилье!$G$384*(Калькулятор_жилье!Q$56+Калькулятор_жилье!Q$69)*IF(AND(Калькулятор_жилье!Q$64&gt;75,Калькулятор_жилье!Q$64&lt;=130),1,0)+Калькулятор_жилье!$G$385*(Калькулятор_жилье!Q$56+Калькулятор_жилье!Q$69)*IF(Калькулятор_жилье!Q$64&gt;130,1,0)</f>
        <v>0</v>
      </c>
      <c r="Z325" s="664">
        <f t="shared" ref="Z325" si="4378">IF(Y325=0,0,Y325/Y$4)</f>
        <v>0</v>
      </c>
      <c r="AA325" s="663">
        <f>Калькулятор_жилье!$G$383*(Калькулятор_жилье!R$56+Калькулятор_жилье!R$69)*IF(Калькулятор_жилье!R$64&lt;=75,1,0)+Калькулятор_жилье!$G$384*(Калькулятор_жилье!R$56+Калькулятор_жилье!R$69)*IF(AND(Калькулятор_жилье!R$64&gt;75,Калькулятор_жилье!R$64&lt;=130),1,0)+Калькулятор_жилье!$G$385*(Калькулятор_жилье!R$56+Калькулятор_жилье!R$69)*IF(Калькулятор_жилье!R$64&gt;130,1,0)</f>
        <v>0</v>
      </c>
      <c r="AB325" s="664">
        <f t="shared" ref="AB325" si="4379">IF(AA325=0,0,AA325/AA$4)</f>
        <v>0</v>
      </c>
      <c r="AC325" s="663">
        <f t="shared" ref="AC325" si="4380">C325+E325+G325+I325+K325+M325+O325+Q325+S325+U325+W325+AA325+Y325</f>
        <v>389934.22355595703</v>
      </c>
      <c r="AD325" s="664">
        <f t="shared" ref="AD325" si="4381">IF(AC325=0,0,AC325/AC$4)</f>
        <v>2.4217573023424088</v>
      </c>
      <c r="AE325" s="665"/>
      <c r="AF325" s="114"/>
      <c r="AG325" s="114"/>
      <c r="AH325" s="114"/>
      <c r="AI325" s="114"/>
      <c r="AJ325" s="114"/>
    </row>
    <row r="326" spans="1:36" s="556" customFormat="1" ht="15.75" hidden="1" outlineLevel="2">
      <c r="A326" s="609" t="s">
        <v>1418</v>
      </c>
      <c r="B326" s="559" t="s">
        <v>1130</v>
      </c>
      <c r="C326" s="659"/>
      <c r="D326" s="660">
        <f t="shared" ref="D326:F389" si="4382">IF(C326=0,0,C326/C$4)</f>
        <v>0</v>
      </c>
      <c r="E326" s="659"/>
      <c r="F326" s="660">
        <f t="shared" si="4382"/>
        <v>0</v>
      </c>
      <c r="G326" s="659"/>
      <c r="H326" s="660">
        <f t="shared" ref="H326" si="4383">IF(G326=0,0,G326/G$4)</f>
        <v>0</v>
      </c>
      <c r="I326" s="659"/>
      <c r="J326" s="660">
        <f t="shared" ref="J326" si="4384">IF(I326=0,0,I326/I$4)</f>
        <v>0</v>
      </c>
      <c r="K326" s="659"/>
      <c r="L326" s="660">
        <f t="shared" ref="L326" si="4385">IF(K326=0,0,K326/K$4)</f>
        <v>0</v>
      </c>
      <c r="M326" s="659"/>
      <c r="N326" s="660">
        <f t="shared" ref="N326" si="4386">IF(M326=0,0,M326/M$4)</f>
        <v>0</v>
      </c>
      <c r="O326" s="659"/>
      <c r="P326" s="660">
        <f t="shared" ref="P326" si="4387">IF(O326=0,0,O326/O$4)</f>
        <v>0</v>
      </c>
      <c r="Q326" s="659"/>
      <c r="R326" s="660">
        <f t="shared" ref="R326" si="4388">IF(Q326=0,0,Q326/Q$4)</f>
        <v>0</v>
      </c>
      <c r="S326" s="659"/>
      <c r="T326" s="660">
        <f t="shared" ref="T326" si="4389">IF(S326=0,0,S326/S$4)</f>
        <v>0</v>
      </c>
      <c r="U326" s="659"/>
      <c r="V326" s="660">
        <f t="shared" ref="V326" si="4390">IF(U326=0,0,U326/U$4)</f>
        <v>0</v>
      </c>
      <c r="W326" s="659"/>
      <c r="X326" s="660">
        <f t="shared" ref="X326" si="4391">IF(W326=0,0,W326/W$4)</f>
        <v>0</v>
      </c>
      <c r="Y326" s="659"/>
      <c r="Z326" s="660">
        <f t="shared" ref="Z326" si="4392">IF(Y326=0,0,Y326/Y$4)</f>
        <v>0</v>
      </c>
      <c r="AA326" s="659"/>
      <c r="AB326" s="660">
        <f t="shared" ref="AB326" si="4393">IF(AA326=0,0,AA326/AA$4)</f>
        <v>0</v>
      </c>
      <c r="AC326" s="659"/>
      <c r="AD326" s="660">
        <f t="shared" ref="AD326" si="4394">IF(AC326=0,0,AC326/AC$4)</f>
        <v>0</v>
      </c>
      <c r="AE326" s="654"/>
    </row>
    <row r="327" spans="1:36" s="556" customFormat="1" ht="15.75" hidden="1" outlineLevel="2">
      <c r="A327" s="609" t="s">
        <v>1417</v>
      </c>
      <c r="B327" s="559" t="s">
        <v>73</v>
      </c>
      <c r="C327" s="659"/>
      <c r="D327" s="660">
        <f t="shared" si="4382"/>
        <v>0</v>
      </c>
      <c r="E327" s="659"/>
      <c r="F327" s="660">
        <f t="shared" si="4382"/>
        <v>0</v>
      </c>
      <c r="G327" s="659"/>
      <c r="H327" s="660">
        <f t="shared" ref="H327" si="4395">IF(G327=0,0,G327/G$4)</f>
        <v>0</v>
      </c>
      <c r="I327" s="659"/>
      <c r="J327" s="660">
        <f t="shared" ref="J327" si="4396">IF(I327=0,0,I327/I$4)</f>
        <v>0</v>
      </c>
      <c r="K327" s="659"/>
      <c r="L327" s="660">
        <f t="shared" ref="L327" si="4397">IF(K327=0,0,K327/K$4)</f>
        <v>0</v>
      </c>
      <c r="M327" s="659"/>
      <c r="N327" s="660">
        <f t="shared" ref="N327" si="4398">IF(M327=0,0,M327/M$4)</f>
        <v>0</v>
      </c>
      <c r="O327" s="659"/>
      <c r="P327" s="660">
        <f t="shared" ref="P327" si="4399">IF(O327=0,0,O327/O$4)</f>
        <v>0</v>
      </c>
      <c r="Q327" s="659"/>
      <c r="R327" s="660">
        <f t="shared" ref="R327" si="4400">IF(Q327=0,0,Q327/Q$4)</f>
        <v>0</v>
      </c>
      <c r="S327" s="659"/>
      <c r="T327" s="660">
        <f t="shared" ref="T327" si="4401">IF(S327=0,0,S327/S$4)</f>
        <v>0</v>
      </c>
      <c r="U327" s="659"/>
      <c r="V327" s="660">
        <f t="shared" ref="V327" si="4402">IF(U327=0,0,U327/U$4)</f>
        <v>0</v>
      </c>
      <c r="W327" s="659"/>
      <c r="X327" s="660">
        <f t="shared" ref="X327" si="4403">IF(W327=0,0,W327/W$4)</f>
        <v>0</v>
      </c>
      <c r="Y327" s="659"/>
      <c r="Z327" s="660">
        <f t="shared" ref="Z327" si="4404">IF(Y327=0,0,Y327/Y$4)</f>
        <v>0</v>
      </c>
      <c r="AA327" s="659"/>
      <c r="AB327" s="660">
        <f t="shared" ref="AB327" si="4405">IF(AA327=0,0,AA327/AA$4)</f>
        <v>0</v>
      </c>
      <c r="AC327" s="659"/>
      <c r="AD327" s="660">
        <f t="shared" ref="AD327" si="4406">IF(AC327=0,0,AC327/AC$4)</f>
        <v>0</v>
      </c>
      <c r="AE327" s="654"/>
    </row>
    <row r="328" spans="1:36" s="556" customFormat="1" ht="15.75" hidden="1" outlineLevel="2">
      <c r="A328" s="609" t="s">
        <v>1416</v>
      </c>
      <c r="B328" s="559" t="s">
        <v>107</v>
      </c>
      <c r="C328" s="659"/>
      <c r="D328" s="660">
        <f t="shared" si="4382"/>
        <v>0</v>
      </c>
      <c r="E328" s="659">
        <f>Калькулятор_жилье!K556</f>
        <v>130865584.68095997</v>
      </c>
      <c r="F328" s="660">
        <f t="shared" si="4382"/>
        <v>3040.3453449099729</v>
      </c>
      <c r="G328" s="659"/>
      <c r="H328" s="660">
        <f t="shared" ref="H328" si="4407">IF(G328=0,0,G328/G$4)</f>
        <v>0</v>
      </c>
      <c r="I328" s="659"/>
      <c r="J328" s="660">
        <f t="shared" ref="J328" si="4408">IF(I328=0,0,I328/I$4)</f>
        <v>0</v>
      </c>
      <c r="K328" s="659"/>
      <c r="L328" s="660">
        <f t="shared" ref="L328" si="4409">IF(K328=0,0,K328/K$4)</f>
        <v>0</v>
      </c>
      <c r="M328" s="659"/>
      <c r="N328" s="660">
        <f t="shared" ref="N328" si="4410">IF(M328=0,0,M328/M$4)</f>
        <v>0</v>
      </c>
      <c r="O328" s="659"/>
      <c r="P328" s="660">
        <f t="shared" ref="P328" si="4411">IF(O328=0,0,O328/O$4)</f>
        <v>0</v>
      </c>
      <c r="Q328" s="659"/>
      <c r="R328" s="660">
        <f t="shared" ref="R328" si="4412">IF(Q328=0,0,Q328/Q$4)</f>
        <v>0</v>
      </c>
      <c r="S328" s="659"/>
      <c r="T328" s="660">
        <f t="shared" ref="T328" si="4413">IF(S328=0,0,S328/S$4)</f>
        <v>0</v>
      </c>
      <c r="U328" s="659"/>
      <c r="V328" s="660">
        <f t="shared" ref="V328" si="4414">IF(U328=0,0,U328/U$4)</f>
        <v>0</v>
      </c>
      <c r="W328" s="659"/>
      <c r="X328" s="660">
        <f t="shared" ref="X328" si="4415">IF(W328=0,0,W328/W$4)</f>
        <v>0</v>
      </c>
      <c r="Y328" s="659"/>
      <c r="Z328" s="660">
        <f t="shared" ref="Z328" si="4416">IF(Y328=0,0,Y328/Y$4)</f>
        <v>0</v>
      </c>
      <c r="AA328" s="659"/>
      <c r="AB328" s="660">
        <f t="shared" ref="AB328" si="4417">IF(AA328=0,0,AA328/AA$4)</f>
        <v>0</v>
      </c>
      <c r="AC328" s="659">
        <f>C328+E328+G328+I328+K328+M328+O328+Q328+S328+U328+W328+AA328+Y328</f>
        <v>130865584.68095997</v>
      </c>
      <c r="AD328" s="660">
        <f t="shared" ref="AD328" si="4418">IF(AC328=0,0,AC328/AC$4)</f>
        <v>812.76447713736979</v>
      </c>
      <c r="AE328" s="654"/>
    </row>
    <row r="329" spans="1:36" s="556" customFormat="1" ht="15.75" hidden="1" outlineLevel="2" collapsed="1">
      <c r="A329" s="609" t="s">
        <v>1415</v>
      </c>
      <c r="B329" s="559" t="s">
        <v>88</v>
      </c>
      <c r="C329" s="659"/>
      <c r="D329" s="660">
        <f t="shared" si="4382"/>
        <v>0</v>
      </c>
      <c r="E329" s="659">
        <f>Калькулятор_жилье!L386</f>
        <v>33087769.982902266</v>
      </c>
      <c r="F329" s="660">
        <f t="shared" si="4382"/>
        <v>768.71430854964262</v>
      </c>
      <c r="G329" s="659">
        <f>SUM(Калькулятор_жилье!M386:M388)</f>
        <v>32089851.805432111</v>
      </c>
      <c r="H329" s="660">
        <f t="shared" ref="H329" si="4419">IF(G329=0,0,G329/G$4)</f>
        <v>768.71430854964251</v>
      </c>
      <c r="I329" s="659">
        <f>SUM(Калькулятор_жилье!N386:N388)</f>
        <v>22556656.125200529</v>
      </c>
      <c r="J329" s="660">
        <f t="shared" ref="J329" si="4420">IF(I329=0,0,I329/I$4)</f>
        <v>768.71430854964251</v>
      </c>
      <c r="K329" s="659">
        <f>SUM(Калькулятор_жилье!O386:O388)</f>
        <v>32727961.552959166</v>
      </c>
      <c r="L329" s="660">
        <f t="shared" ref="L329" si="4421">IF(K329=0,0,K329/K$4)</f>
        <v>768.71430854964251</v>
      </c>
      <c r="M329" s="659">
        <f>SUM(Калькулятор_жилье!P386:P388)</f>
        <v>3310698.7840616005</v>
      </c>
      <c r="N329" s="660">
        <f t="shared" ref="N329" si="4422">IF(M329=0,0,M329/M$4)</f>
        <v>768.71430854964251</v>
      </c>
      <c r="O329" s="659">
        <f>SUM(Калькулятор_жилье!Q386:Q388)</f>
        <v>0</v>
      </c>
      <c r="P329" s="660">
        <f t="shared" ref="P329" si="4423">IF(O329=0,0,O329/O$4)</f>
        <v>0</v>
      </c>
      <c r="Q329" s="659">
        <f>SUM(Калькулятор_жилье!R386:R388)</f>
        <v>0</v>
      </c>
      <c r="R329" s="660">
        <f t="shared" ref="R329" si="4424">IF(Q329=0,0,Q329/Q$4)</f>
        <v>0</v>
      </c>
      <c r="S329" s="659">
        <f>SUM(Калькулятор_жилье!S386:S388)</f>
        <v>0</v>
      </c>
      <c r="T329" s="660">
        <f t="shared" ref="T329" si="4425">IF(S329=0,0,S329/S$4)</f>
        <v>0</v>
      </c>
      <c r="U329" s="659">
        <f>SUM(Калькулятор_жилье!T386:T388)</f>
        <v>0</v>
      </c>
      <c r="V329" s="660">
        <f t="shared" ref="V329" si="4426">IF(U329=0,0,U329/U$4)</f>
        <v>0</v>
      </c>
      <c r="W329" s="659">
        <f>SUM(Калькулятор_жилье!U386:U388)</f>
        <v>0</v>
      </c>
      <c r="X329" s="660">
        <f t="shared" ref="X329" si="4427">IF(W329=0,0,W329/W$4)</f>
        <v>0</v>
      </c>
      <c r="Y329" s="659">
        <f>SUM(Калькулятор_жилье!V386:V388)</f>
        <v>0</v>
      </c>
      <c r="Z329" s="660">
        <f t="shared" ref="Z329" si="4428">IF(Y329=0,0,Y329/Y$4)</f>
        <v>0</v>
      </c>
      <c r="AA329" s="659">
        <f>SUM(Калькулятор_жилье!W386:W388)</f>
        <v>0</v>
      </c>
      <c r="AB329" s="660">
        <f t="shared" ref="AB329" si="4429">IF(AA329=0,0,AA329/AA$4)</f>
        <v>0</v>
      </c>
      <c r="AC329" s="659">
        <f>C329+E329+G329+I329+K329+M329+O329+Q329+S329+U329+W329+AA329+Y329</f>
        <v>123772938.25055568</v>
      </c>
      <c r="AD329" s="660">
        <f t="shared" ref="AD329" si="4430">IF(AC329=0,0,AC329/AC$4)</f>
        <v>768.71430854964251</v>
      </c>
      <c r="AE329" s="654"/>
    </row>
    <row r="330" spans="1:36" s="68" customFormat="1" hidden="1" outlineLevel="3">
      <c r="A330" s="245"/>
      <c r="B330" s="246" t="s">
        <v>419</v>
      </c>
      <c r="C330" s="663"/>
      <c r="D330" s="664">
        <f t="shared" si="4382"/>
        <v>0</v>
      </c>
      <c r="E330" s="663">
        <f>E329-E331*курс</f>
        <v>19096430.320067279</v>
      </c>
      <c r="F330" s="664">
        <f t="shared" si="4382"/>
        <v>443.65937132791112</v>
      </c>
      <c r="G330" s="663">
        <f>G329-G331*курс</f>
        <v>18520487.155839693</v>
      </c>
      <c r="H330" s="664">
        <f t="shared" ref="H330" si="4431">IF(G330=0,0,G330/G$4)</f>
        <v>443.65937132791112</v>
      </c>
      <c r="I330" s="663">
        <f>I329-I331*курс</f>
        <v>13018454.014011726</v>
      </c>
      <c r="J330" s="664">
        <f t="shared" ref="J330" si="4432">IF(I330=0,0,I330/I$4)</f>
        <v>443.65937132791112</v>
      </c>
      <c r="K330" s="663">
        <f>K329-K331*курс</f>
        <v>18888768.799978986</v>
      </c>
      <c r="L330" s="664">
        <f t="shared" ref="L330" si="4433">IF(K330=0,0,K330/K$4)</f>
        <v>443.659371327911</v>
      </c>
      <c r="M330" s="663">
        <f>M329-M331*курс</f>
        <v>1910752.1804350477</v>
      </c>
      <c r="N330" s="664">
        <f t="shared" ref="N330" si="4434">IF(M330=0,0,M330/M$4)</f>
        <v>443.65937132791112</v>
      </c>
      <c r="O330" s="663">
        <f>O329-O331*курс</f>
        <v>0</v>
      </c>
      <c r="P330" s="664">
        <f t="shared" ref="P330" si="4435">IF(O330=0,0,O330/O$4)</f>
        <v>0</v>
      </c>
      <c r="Q330" s="663">
        <f>Q329-Q331*курс</f>
        <v>0</v>
      </c>
      <c r="R330" s="664">
        <f t="shared" ref="R330" si="4436">IF(Q330=0,0,Q330/Q$4)</f>
        <v>0</v>
      </c>
      <c r="S330" s="663">
        <f>S329-S331*курс</f>
        <v>0</v>
      </c>
      <c r="T330" s="664">
        <f t="shared" ref="T330" si="4437">IF(S330=0,0,S330/S$4)</f>
        <v>0</v>
      </c>
      <c r="U330" s="663">
        <f>U329-U331*курс</f>
        <v>0</v>
      </c>
      <c r="V330" s="664">
        <f t="shared" ref="V330" si="4438">IF(U330=0,0,U330/U$4)</f>
        <v>0</v>
      </c>
      <c r="W330" s="663">
        <f>W329-W331*курс</f>
        <v>0</v>
      </c>
      <c r="X330" s="664">
        <f t="shared" ref="X330" si="4439">IF(W330=0,0,W330/W$4)</f>
        <v>0</v>
      </c>
      <c r="Y330" s="663">
        <f>Y329-Y331*курс</f>
        <v>0</v>
      </c>
      <c r="Z330" s="664">
        <f t="shared" ref="Z330" si="4440">IF(Y330=0,0,Y330/Y$4)</f>
        <v>0</v>
      </c>
      <c r="AA330" s="663">
        <f>AA329-AA331*курс</f>
        <v>0</v>
      </c>
      <c r="AB330" s="664">
        <f t="shared" ref="AB330" si="4441">IF(AA330=0,0,AA330/AA$4)</f>
        <v>0</v>
      </c>
      <c r="AC330" s="663">
        <f>C330+E330+G330+I330+K330+M330+O330+Q330+S330+U330+W330+AA330+Y330</f>
        <v>71434892.470332727</v>
      </c>
      <c r="AD330" s="664">
        <f t="shared" ref="AD330" si="4442">IF(AC330=0,0,AC330/AC$4)</f>
        <v>443.65937132791106</v>
      </c>
      <c r="AE330" s="665"/>
      <c r="AF330" s="114"/>
      <c r="AG330" s="114"/>
      <c r="AH330" s="114"/>
      <c r="AI330" s="114"/>
      <c r="AJ330" s="114"/>
    </row>
    <row r="331" spans="1:36" s="68" customFormat="1" hidden="1" outlineLevel="3">
      <c r="A331" s="245"/>
      <c r="B331" s="246" t="s">
        <v>420</v>
      </c>
      <c r="C331" s="663"/>
      <c r="D331" s="664">
        <f t="shared" si="4382"/>
        <v>0</v>
      </c>
      <c r="E331" s="663">
        <f>Калькулятор_жилье!G386*Калькулятор_жилье!$G$58</f>
        <v>160099.18176251274</v>
      </c>
      <c r="F331" s="664">
        <f t="shared" si="4382"/>
        <v>3.719517267906808</v>
      </c>
      <c r="G331" s="663">
        <f>Калькулятор_жилье!$G$386*(Калькулятор_жилье!H$56+Калькулятор_жилье!H$69)*IF(Калькулятор_жилье!H$64&lt;=75,1,0)+Калькулятор_жилье!$G$387*(Калькулятор_жилье!H$56+Калькулятор_жилье!H$69)*IF(AND(Калькулятор_жилье!H$64&gt;75,Калькулятор_жилье!H$64&lt;=130),1,0)+Калькулятор_жилье!$G$388*(Калькулятор_жилье!H$56+Калькулятор_жилье!H$69)*IF(Калькулятор_жилье!H$64&gt;130,1,0)</f>
        <v>155270.63381982979</v>
      </c>
      <c r="H331" s="664">
        <f t="shared" ref="H331" si="4443">IF(G331=0,0,G331/G$4)</f>
        <v>3.719517267906808</v>
      </c>
      <c r="I331" s="663">
        <f>Калькулятор_жилье!$G$386*(Калькулятор_жилье!I$56+Калькулятор_жилье!I$69)*IF(Калькулятор_жилье!I$64&lt;=75,1,0)+Калькулятор_жилье!$G$387*(Калькулятор_жилье!I$56+Калькулятор_жилье!I$69)*IF(AND(Калькулятор_жилье!I$64&gt;75,Калькулятор_жилье!I$64&lt;=130),1,0)+Калькулятор_жилье!$G$388*(Калькулятор_жилье!I$56+Калькулятор_жилье!I$69)*IF(Калькулятор_жилье!I$64&gt;130,1,0)</f>
        <v>109143.11211692647</v>
      </c>
      <c r="J331" s="664">
        <f t="shared" ref="J331" si="4444">IF(I331=0,0,I331/I$4)</f>
        <v>3.719517267906808</v>
      </c>
      <c r="K331" s="663">
        <f>Калькулятор_жилье!$G$386*(Калькулятор_жилье!J$56+Калькулятор_жилье!J$69)*IF(Калькулятор_жилье!J$64&lt;=75,1,0)+Калькулятор_жилье!$G$387*(Калькулятор_жилье!J$56+Калькулятор_жилье!J$69)*IF(AND(Калькулятор_жилье!J$64&gt;75,Калькулятор_жилье!J$64&lt;=130),1,0)+Калькулятор_жилье!$G$388*(Калькулятор_жилье!J$56+Калькулятор_жилье!J$69)*IF(Калькулятор_жилье!J$64&gt;130,1,0)</f>
        <v>158358.20510391923</v>
      </c>
      <c r="L331" s="664">
        <f t="shared" ref="L331" si="4445">IF(K331=0,0,K331/K$4)</f>
        <v>3.719517267906808</v>
      </c>
      <c r="M331" s="663">
        <f>Калькулятор_жилье!$G$386*(Калькулятор_жилье!K$56+Калькулятор_жилье!K$69)*IF(Калькулятор_жилье!K$64&lt;=75,1,0)+Калькулятор_жилье!$G$387*(Калькулятор_жилье!K$56+Калькулятор_жилье!K$69)*IF(AND(Калькулятор_жилье!K$64&gt;75,Калькулятор_жилье!K$64&lt;=130),1,0)+Калькулятор_жилье!$G$388*(Калькулятор_жилье!K$56+Калькулятор_жилье!K$69)*IF(Калькулятор_жилье!K$64&gt;130,1,0)</f>
        <v>16019.216969421041</v>
      </c>
      <c r="N331" s="664">
        <f t="shared" ref="N331" si="4446">IF(M331=0,0,M331/M$4)</f>
        <v>3.719517267906808</v>
      </c>
      <c r="O331" s="663">
        <f>Калькулятор_жилье!$G$386*(Калькулятор_жилье!L$56+Калькулятор_жилье!L$69)*IF(Калькулятор_жилье!L$64&lt;=75,1,0)+Калькулятор_жилье!$G$387*(Калькулятор_жилье!L$56+Калькулятор_жилье!L$69)*IF(AND(Калькулятор_жилье!L$64&gt;75,Калькулятор_жилье!L$64&lt;=130),1,0)+Калькулятор_жилье!$G$388*(Калькулятор_жилье!L$56+Калькулятор_жилье!L$69)*IF(Калькулятор_жилье!L$64&gt;130,1,0)</f>
        <v>0</v>
      </c>
      <c r="P331" s="664">
        <f t="shared" ref="P331" si="4447">IF(O331=0,0,O331/O$4)</f>
        <v>0</v>
      </c>
      <c r="Q331" s="663">
        <f>Калькулятор_жилье!$G$386*(Калькулятор_жилье!M$56+Калькулятор_жилье!M$69)*IF(Калькулятор_жилье!M$64&lt;=75,1,0)+Калькулятор_жилье!$G$387*(Калькулятор_жилье!M$56+Калькулятор_жилье!M$69)*IF(AND(Калькулятор_жилье!M$64&gt;75,Калькулятор_жилье!M$64&lt;=130),1,0)+Калькулятор_жилье!$G$388*(Калькулятор_жилье!M$56+Калькулятор_жилье!M$69)*IF(Калькулятор_жилье!M$64&gt;130,1,0)</f>
        <v>0</v>
      </c>
      <c r="R331" s="664">
        <f t="shared" ref="R331" si="4448">IF(Q331=0,0,Q331/Q$4)</f>
        <v>0</v>
      </c>
      <c r="S331" s="663">
        <f>Калькулятор_жилье!$G$386*(Калькулятор_жилье!N$56+Калькулятор_жилье!N$69)*IF(Калькулятор_жилье!N$64&lt;=75,1,0)+Калькулятор_жилье!$G$387*(Калькулятор_жилье!N$56+Калькулятор_жилье!N$69)*IF(AND(Калькулятор_жилье!N$64&gt;75,Калькулятор_жилье!N$64&lt;=130),1,0)+Калькулятор_жилье!$G$388*(Калькулятор_жилье!N$56+Калькулятор_жилье!N$69)*IF(Калькулятор_жилье!N$64&gt;130,1,0)</f>
        <v>0</v>
      </c>
      <c r="T331" s="664">
        <f t="shared" ref="T331" si="4449">IF(S331=0,0,S331/S$4)</f>
        <v>0</v>
      </c>
      <c r="U331" s="663">
        <f>Калькулятор_жилье!$G$386*(Калькулятор_жилье!O$56+Калькулятор_жилье!O$69)*IF(Калькулятор_жилье!O$64&lt;=75,1,0)+Калькулятор_жилье!$G$387*(Калькулятор_жилье!O$56+Калькулятор_жилье!O$69)*IF(AND(Калькулятор_жилье!O$64&gt;75,Калькулятор_жилье!O$64&lt;=130),1,0)+Калькулятор_жилье!$G$388*(Калькулятор_жилье!O$56+Калькулятор_жилье!O$69)*IF(Калькулятор_жилье!O$64&gt;130,1,0)</f>
        <v>0</v>
      </c>
      <c r="V331" s="664">
        <f t="shared" ref="V331" si="4450">IF(U331=0,0,U331/U$4)</f>
        <v>0</v>
      </c>
      <c r="W331" s="663">
        <f>Калькулятор_жилье!$G$386*(Калькулятор_жилье!P$56+Калькулятор_жилье!P$69)*IF(Калькулятор_жилье!P$64&lt;=75,1,0)+Калькулятор_жилье!$G$387*(Калькулятор_жилье!P$56+Калькулятор_жилье!P$69)*IF(AND(Калькулятор_жилье!P$64&gt;75,Калькулятор_жилье!P$64&lt;=130),1,0)+Калькулятор_жилье!$G$388*(Калькулятор_жилье!P$56+Калькулятор_жилье!P$69)*IF(Калькулятор_жилье!P$64&gt;130,1,0)</f>
        <v>0</v>
      </c>
      <c r="X331" s="664">
        <f t="shared" ref="X331" si="4451">IF(W331=0,0,W331/W$4)</f>
        <v>0</v>
      </c>
      <c r="Y331" s="663">
        <f>Калькулятор_жилье!$G$386*(Калькулятор_жилье!Q$56+Калькулятор_жилье!Q$69)*IF(Калькулятор_жилье!Q$64&lt;=75,1,0)+Калькулятор_жилье!$G$387*(Калькулятор_жилье!Q$56+Калькулятор_жилье!Q$69)*IF(AND(Калькулятор_жилье!Q$64&gt;75,Калькулятор_жилье!Q$64&lt;=130),1,0)+Калькулятор_жилье!$G$388*(Калькулятор_жилье!Q$56+Калькулятор_жилье!Q$69)*IF(Калькулятор_жилье!Q$64&gt;130,1,0)</f>
        <v>0</v>
      </c>
      <c r="Z331" s="664">
        <f t="shared" ref="Z331" si="4452">IF(Y331=0,0,Y331/Y$4)</f>
        <v>0</v>
      </c>
      <c r="AA331" s="663">
        <f>Калькулятор_жилье!$G$386*(Калькулятор_жилье!R$56+Калькулятор_жилье!R$69)*IF(Калькулятор_жилье!R$64&lt;=75,1,0)+Калькулятор_жилье!$G$387*(Калькулятор_жилье!R$56+Калькулятор_жилье!R$69)*IF(AND(Калькулятор_жилье!R$64&gt;75,Калькулятор_жилье!R$64&lt;=130),1,0)+Калькулятор_жилье!$G$388*(Калькулятор_жилье!R$56+Калькулятор_жилье!R$69)*IF(Калькулятор_жилье!R$64&gt;130,1,0)</f>
        <v>0</v>
      </c>
      <c r="AB331" s="664">
        <f t="shared" ref="AB331" si="4453">IF(AA331=0,0,AA331/AA$4)</f>
        <v>0</v>
      </c>
      <c r="AC331" s="663">
        <f t="shared" ref="AC331" si="4454">C331+E331+G331+I331+K331+M331+O331+Q331+S331+U331+W331+AA331+Y331</f>
        <v>598890.3497726093</v>
      </c>
      <c r="AD331" s="664">
        <f t="shared" ref="AD331" si="4455">IF(AC331=0,0,AC331/AC$4)</f>
        <v>3.7195172679068085</v>
      </c>
      <c r="AE331" s="665"/>
      <c r="AF331" s="114"/>
      <c r="AG331" s="114"/>
      <c r="AH331" s="114"/>
      <c r="AI331" s="114"/>
      <c r="AJ331" s="114"/>
    </row>
    <row r="332" spans="1:36" s="556" customFormat="1" ht="31.5" hidden="1" outlineLevel="2" collapsed="1">
      <c r="A332" s="609" t="s">
        <v>1414</v>
      </c>
      <c r="B332" s="559" t="s">
        <v>346</v>
      </c>
      <c r="C332" s="659"/>
      <c r="D332" s="660">
        <f t="shared" si="4382"/>
        <v>0</v>
      </c>
      <c r="E332" s="659">
        <f>Калькулятор_жилье!L389</f>
        <v>14058564.394477258</v>
      </c>
      <c r="F332" s="660">
        <f t="shared" si="4382"/>
        <v>326.61674126982916</v>
      </c>
      <c r="G332" s="659">
        <f>SUM(Калькулятор_жилье!M389:M391)</f>
        <v>13634561.90154307</v>
      </c>
      <c r="H332" s="660">
        <f t="shared" ref="H332" si="4456">IF(G332=0,0,G332/G$4)</f>
        <v>326.61674126982916</v>
      </c>
      <c r="I332" s="659">
        <f>SUM(Калькулятор_жилье!N389:N391)</f>
        <v>9584030.6803413071</v>
      </c>
      <c r="J332" s="660">
        <f t="shared" ref="J332" si="4457">IF(I332=0,0,I332/I$4)</f>
        <v>326.61674126982916</v>
      </c>
      <c r="K332" s="659">
        <f>SUM(Калькулятор_жилье!O389:O391)</f>
        <v>13905686.458471155</v>
      </c>
      <c r="L332" s="660">
        <f t="shared" ref="L332" si="4458">IF(K332=0,0,K332/K$4)</f>
        <v>326.61674126982916</v>
      </c>
      <c r="M332" s="659">
        <f>SUM(Калькулятор_жилье!P389:P391)</f>
        <v>1406672.9813009002</v>
      </c>
      <c r="N332" s="660">
        <f t="shared" ref="N332" si="4459">IF(M332=0,0,M332/M$4)</f>
        <v>326.61674126982916</v>
      </c>
      <c r="O332" s="659">
        <f>SUM(Калькулятор_жилье!Q389:Q391)</f>
        <v>0</v>
      </c>
      <c r="P332" s="660">
        <f t="shared" ref="P332" si="4460">IF(O332=0,0,O332/O$4)</f>
        <v>0</v>
      </c>
      <c r="Q332" s="659">
        <f>SUM(Калькулятор_жилье!R389:R391)</f>
        <v>0</v>
      </c>
      <c r="R332" s="660">
        <f t="shared" ref="R332" si="4461">IF(Q332=0,0,Q332/Q$4)</f>
        <v>0</v>
      </c>
      <c r="S332" s="659">
        <f>SUM(Калькулятор_жилье!S389:S391)</f>
        <v>0</v>
      </c>
      <c r="T332" s="660">
        <f t="shared" ref="T332" si="4462">IF(S332=0,0,S332/S$4)</f>
        <v>0</v>
      </c>
      <c r="U332" s="659">
        <f>SUM(Калькулятор_жилье!T389:T391)</f>
        <v>0</v>
      </c>
      <c r="V332" s="660">
        <f t="shared" ref="V332" si="4463">IF(U332=0,0,U332/U$4)</f>
        <v>0</v>
      </c>
      <c r="W332" s="659">
        <f>SUM(Калькулятор_жилье!U389:U391)</f>
        <v>0</v>
      </c>
      <c r="X332" s="660">
        <f t="shared" ref="X332" si="4464">IF(W332=0,0,W332/W$4)</f>
        <v>0</v>
      </c>
      <c r="Y332" s="659">
        <f>SUM(Калькулятор_жилье!V389:V391)</f>
        <v>0</v>
      </c>
      <c r="Z332" s="660">
        <f t="shared" ref="Z332" si="4465">IF(Y332=0,0,Y332/Y$4)</f>
        <v>0</v>
      </c>
      <c r="AA332" s="659">
        <f>SUM(Калькулятор_жилье!W389:W391)</f>
        <v>0</v>
      </c>
      <c r="AB332" s="660">
        <f t="shared" ref="AB332" si="4466">IF(AA332=0,0,AA332/AA$4)</f>
        <v>0</v>
      </c>
      <c r="AC332" s="659">
        <f>C332+E332+G332+I332+K332+M332+O332+Q332+S332+U332+W332+AA332+Y332</f>
        <v>52589516.416133687</v>
      </c>
      <c r="AD332" s="660">
        <f t="shared" ref="AD332" si="4467">IF(AC332=0,0,AC332/AC$4)</f>
        <v>326.61674126982916</v>
      </c>
      <c r="AE332" s="654"/>
    </row>
    <row r="333" spans="1:36" s="68" customFormat="1" hidden="1" outlineLevel="3">
      <c r="A333" s="245"/>
      <c r="B333" s="246" t="s">
        <v>419</v>
      </c>
      <c r="C333" s="663"/>
      <c r="D333" s="664">
        <f t="shared" si="4382"/>
        <v>0</v>
      </c>
      <c r="E333" s="663">
        <f>E332-E334*курс</f>
        <v>12577537.337635199</v>
      </c>
      <c r="F333" s="664">
        <f t="shared" si="4382"/>
        <v>292.20865965744019</v>
      </c>
      <c r="G333" s="663">
        <f>G332-G334*курс</f>
        <v>12198202.219447374</v>
      </c>
      <c r="H333" s="664">
        <f t="shared" ref="H333" si="4468">IF(G333=0,0,G333/G$4)</f>
        <v>292.20865965744014</v>
      </c>
      <c r="I333" s="663">
        <f>I332-I334*курс</f>
        <v>8574382.1591334157</v>
      </c>
      <c r="J333" s="664">
        <f t="shared" ref="J333" si="4469">IF(I333=0,0,I333/I$4)</f>
        <v>292.20865965744019</v>
      </c>
      <c r="K333" s="663">
        <f>K332-K334*курс</f>
        <v>12440764.627829015</v>
      </c>
      <c r="L333" s="664">
        <f t="shared" ref="L333" si="4470">IF(K333=0,0,K333/K$4)</f>
        <v>292.20865965744014</v>
      </c>
      <c r="M333" s="663">
        <f>M332-M334*курс</f>
        <v>1258484.2554126633</v>
      </c>
      <c r="N333" s="664">
        <f t="shared" ref="N333" si="4471">IF(M333=0,0,M333/M$4)</f>
        <v>292.20865965744014</v>
      </c>
      <c r="O333" s="663">
        <f>O332-O334*курс</f>
        <v>0</v>
      </c>
      <c r="P333" s="664">
        <f t="shared" ref="P333" si="4472">IF(O333=0,0,O333/O$4)</f>
        <v>0</v>
      </c>
      <c r="Q333" s="663">
        <f>Q332-Q334*курс</f>
        <v>0</v>
      </c>
      <c r="R333" s="664">
        <f t="shared" ref="R333" si="4473">IF(Q333=0,0,Q333/Q$4)</f>
        <v>0</v>
      </c>
      <c r="S333" s="663">
        <f>S332-S334*курс</f>
        <v>0</v>
      </c>
      <c r="T333" s="664">
        <f t="shared" ref="T333" si="4474">IF(S333=0,0,S333/S$4)</f>
        <v>0</v>
      </c>
      <c r="U333" s="663">
        <f>U332-U334*курс</f>
        <v>0</v>
      </c>
      <c r="V333" s="664">
        <f t="shared" ref="V333" si="4475">IF(U333=0,0,U333/U$4)</f>
        <v>0</v>
      </c>
      <c r="W333" s="663">
        <f>W332-W334*курс</f>
        <v>0</v>
      </c>
      <c r="X333" s="664">
        <f t="shared" ref="X333" si="4476">IF(W333=0,0,W333/W$4)</f>
        <v>0</v>
      </c>
      <c r="Y333" s="663">
        <f>Y332-Y334*курс</f>
        <v>0</v>
      </c>
      <c r="Z333" s="664">
        <f t="shared" ref="Z333" si="4477">IF(Y333=0,0,Y333/Y$4)</f>
        <v>0</v>
      </c>
      <c r="AA333" s="663">
        <f>AA332-AA334*курс</f>
        <v>0</v>
      </c>
      <c r="AB333" s="664">
        <f t="shared" ref="AB333" si="4478">IF(AA333=0,0,AA333/AA$4)</f>
        <v>0</v>
      </c>
      <c r="AC333" s="663">
        <f>C333+E333+G333+I333+K333+M333+O333+Q333+S333+U333+W333+AA333+Y333</f>
        <v>47049370.599457659</v>
      </c>
      <c r="AD333" s="664">
        <f t="shared" ref="AD333" si="4479">IF(AC333=0,0,AC333/AC$4)</f>
        <v>292.20865965744014</v>
      </c>
      <c r="AE333" s="665"/>
      <c r="AF333" s="114"/>
      <c r="AG333" s="114"/>
      <c r="AH333" s="114"/>
      <c r="AI333" s="114"/>
      <c r="AJ333" s="114"/>
    </row>
    <row r="334" spans="1:36" s="68" customFormat="1" hidden="1" outlineLevel="3">
      <c r="A334" s="245"/>
      <c r="B334" s="246" t="s">
        <v>420</v>
      </c>
      <c r="C334" s="663"/>
      <c r="D334" s="664">
        <f t="shared" si="4382"/>
        <v>0</v>
      </c>
      <c r="E334" s="663">
        <f>Калькулятор_жилье!G389*Калькулятор_жилье!$G$58</f>
        <v>16946.999049590057</v>
      </c>
      <c r="F334" s="664">
        <f t="shared" si="4382"/>
        <v>0.39372253443277783</v>
      </c>
      <c r="G334" s="663">
        <f>Калькулятор_жилье!$G$389*(Калькулятор_жилье!H$56+Калькулятор_жилье!H$69)*IF(Калькулятор_жилье!H$64&lt;=75,1,0)+Калькулятор_жилье!$G$390*(Калькулятор_жилье!H$56+Калькулятор_жилье!H$69)*IF(AND(Калькулятор_жилье!H$64&gt;75,Калькулятор_жилье!H$64&lt;=130),1,0)+Калькулятор_жилье!$G$391*(Калькулятор_жилье!H$56+Калькулятор_жилье!H$69)*IF(Калькулятор_жилье!H$64&gt;130,1,0)</f>
        <v>16435.882150086276</v>
      </c>
      <c r="H334" s="664">
        <f t="shared" ref="H334" si="4480">IF(G334=0,0,G334/G$4)</f>
        <v>0.39372253443277788</v>
      </c>
      <c r="I334" s="663">
        <f>Калькулятор_жилье!$G$389*(Калькулятор_жилье!I$56+Калькулятор_жилье!I$69)*IF(Калькулятор_жилье!I$64&lt;=75,1,0)+Калькулятор_жилье!$G$390*(Калькулятор_жилье!I$56+Калькулятор_жилье!I$69)*IF(AND(Калькулятор_жилье!I$64&gt;75,Калькулятор_жилье!I$64&lt;=130),1,0)+Калькулятор_жилье!$G$391*(Калькулятор_жилье!I$56+Калькулятор_жилье!I$69)*IF(Калькулятор_жилье!I$64&gt;130,1,0)</f>
        <v>11553.13972846268</v>
      </c>
      <c r="J334" s="664">
        <f t="shared" ref="J334" si="4481">IF(I334=0,0,I334/I$4)</f>
        <v>0.39372253443277783</v>
      </c>
      <c r="K334" s="663">
        <f>Калькулятор_жилье!$G$389*(Калькулятор_жилье!J$56+Калькулятор_жилье!J$69)*IF(Калькулятор_жилье!J$64&lt;=75,1,0)+Калькулятор_жилье!$G$390*(Калькулятор_жилье!J$56+Калькулятор_жилье!J$69)*IF(AND(Калькулятор_жилье!J$64&gt;75,Калькулятор_жилье!J$64&lt;=130),1,0)+Калькулятор_жилье!$G$391*(Калькулятор_жилье!J$56+Калькулятор_жилье!J$69)*IF(Калькулятор_жилье!J$64&gt;130,1,0)</f>
        <v>16762.711225918923</v>
      </c>
      <c r="L334" s="664">
        <f t="shared" ref="L334" si="4482">IF(K334=0,0,K334/K$4)</f>
        <v>0.39372253443277783</v>
      </c>
      <c r="M334" s="663">
        <f>Калькулятор_жилье!$G$389*(Калькулятор_жилье!K$56+Калькулятор_жилье!K$69)*IF(Калькулятор_жилье!K$64&lt;=75,1,0)+Калькулятор_жилье!$G$390*(Калькулятор_жилье!K$56+Калькулятор_жилье!K$69)*IF(AND(Калькулятор_жилье!K$64&gt;75,Калькулятор_жилье!K$64&lt;=130),1,0)+Калькулятор_жилье!$G$391*(Калькулятор_жилье!K$56+Калькулятор_жилье!K$69)*IF(Калькулятор_жилье!K$64&gt;130,1,0)</f>
        <v>1695.6842112950876</v>
      </c>
      <c r="N334" s="664">
        <f t="shared" ref="N334" si="4483">IF(M334=0,0,M334/M$4)</f>
        <v>0.39372253443277783</v>
      </c>
      <c r="O334" s="663">
        <f>Калькулятор_жилье!$G$389*(Калькулятор_жилье!L$56+Калькулятор_жилье!L$69)*IF(Калькулятор_жилье!L$64&lt;=75,1,0)+Калькулятор_жилье!$G$390*(Калькулятор_жилье!L$56+Калькулятор_жилье!L$69)*IF(AND(Калькулятор_жилье!L$64&gt;75,Калькулятор_жилье!L$64&lt;=130),1,0)+Калькулятор_жилье!$G$391*(Калькулятор_жилье!L$56+Калькулятор_жилье!L$69)*IF(Калькулятор_жилье!L$64&gt;130,1,0)</f>
        <v>0</v>
      </c>
      <c r="P334" s="664">
        <f t="shared" ref="P334" si="4484">IF(O334=0,0,O334/O$4)</f>
        <v>0</v>
      </c>
      <c r="Q334" s="663">
        <f>Калькулятор_жилье!$G$389*(Калькулятор_жилье!M$56+Калькулятор_жилье!M$69)*IF(Калькулятор_жилье!M$64&lt;=75,1,0)+Калькулятор_жилье!$G$390*(Калькулятор_жилье!M$56+Калькулятор_жилье!M$69)*IF(AND(Калькулятор_жилье!M$64&gt;75,Калькулятор_жилье!M$64&lt;=130),1,0)+Калькулятор_жилье!$G$391*(Калькулятор_жилье!M$56+Калькулятор_жилье!M$69)*IF(Калькулятор_жилье!M$64&gt;130,1,0)</f>
        <v>0</v>
      </c>
      <c r="R334" s="664">
        <f t="shared" ref="R334" si="4485">IF(Q334=0,0,Q334/Q$4)</f>
        <v>0</v>
      </c>
      <c r="S334" s="663">
        <f>Калькулятор_жилье!$G$389*(Калькулятор_жилье!N$56+Калькулятор_жилье!N$69)*IF(Калькулятор_жилье!N$64&lt;=75,1,0)+Калькулятор_жилье!$G$390*(Калькулятор_жилье!N$56+Калькулятор_жилье!N$69)*IF(AND(Калькулятор_жилье!N$64&gt;75,Калькулятор_жилье!N$64&lt;=130),1,0)+Калькулятор_жилье!$G$391*(Калькулятор_жилье!N$56+Калькулятор_жилье!N$69)*IF(Калькулятор_жилье!N$64&gt;130,1,0)</f>
        <v>0</v>
      </c>
      <c r="T334" s="664">
        <f t="shared" ref="T334" si="4486">IF(S334=0,0,S334/S$4)</f>
        <v>0</v>
      </c>
      <c r="U334" s="663">
        <f>Калькулятор_жилье!$G$389*(Калькулятор_жилье!O$56+Калькулятор_жилье!O$69)*IF(Калькулятор_жилье!O$64&lt;=75,1,0)+Калькулятор_жилье!$G$390*(Калькулятор_жилье!O$56+Калькулятор_жилье!O$69)*IF(AND(Калькулятор_жилье!O$64&gt;75,Калькулятор_жилье!O$64&lt;=130),1,0)+Калькулятор_жилье!$G$391*(Калькулятор_жилье!O$56+Калькулятор_жилье!O$69)*IF(Калькулятор_жилье!O$64&gt;130,1,0)</f>
        <v>0</v>
      </c>
      <c r="V334" s="664">
        <f t="shared" ref="V334" si="4487">IF(U334=0,0,U334/U$4)</f>
        <v>0</v>
      </c>
      <c r="W334" s="663">
        <f>Калькулятор_жилье!$G$389*(Калькулятор_жилье!P$56+Калькулятор_жилье!P$69)*IF(Калькулятор_жилье!P$64&lt;=75,1,0)+Калькулятор_жилье!$G$390*(Калькулятор_жилье!P$56+Калькулятор_жилье!P$69)*IF(AND(Калькулятор_жилье!P$64&gt;75,Калькулятор_жилье!P$64&lt;=130),1,0)+Калькулятор_жилье!$G$391*(Калькулятор_жилье!P$56+Калькулятор_жилье!P$69)*IF(Калькулятор_жилье!P$64&gt;130,1,0)</f>
        <v>0</v>
      </c>
      <c r="X334" s="664">
        <f t="shared" ref="X334" si="4488">IF(W334=0,0,W334/W$4)</f>
        <v>0</v>
      </c>
      <c r="Y334" s="663">
        <f>Калькулятор_жилье!$G$389*(Калькулятор_жилье!Q$56+Калькулятор_жилье!Q$69)*IF(Калькулятор_жилье!Q$64&lt;=75,1,0)+Калькулятор_жилье!$G$390*(Калькулятор_жилье!Q$56+Калькулятор_жилье!Q$69)*IF(AND(Калькулятор_жилье!Q$64&gt;75,Калькулятор_жилье!Q$64&lt;=130),1,0)+Калькулятор_жилье!$G$391*(Калькулятор_жилье!Q$56+Калькулятор_жилье!Q$69)*IF(Калькулятор_жилье!Q$64&gt;130,1,0)</f>
        <v>0</v>
      </c>
      <c r="Z334" s="664">
        <f t="shared" ref="Z334" si="4489">IF(Y334=0,0,Y334/Y$4)</f>
        <v>0</v>
      </c>
      <c r="AA334" s="663">
        <f>Калькулятор_жилье!$G$389*(Калькулятор_жилье!R$56+Калькулятор_жилье!R$69)*IF(Калькулятор_жилье!R$64&lt;=75,1,0)+Калькулятор_жилье!$G$390*(Калькулятор_жилье!R$56+Калькулятор_жилье!R$69)*IF(AND(Калькулятор_жилье!R$64&gt;75,Калькулятор_жилье!R$64&lt;=130),1,0)+Калькулятор_жилье!$G$391*(Калькулятор_жилье!R$56+Калькулятор_жилье!R$69)*IF(Калькулятор_жилье!R$64&gt;130,1,0)</f>
        <v>0</v>
      </c>
      <c r="AB334" s="664">
        <f t="shared" ref="AB334" si="4490">IF(AA334=0,0,AA334/AA$4)</f>
        <v>0</v>
      </c>
      <c r="AC334" s="663">
        <f t="shared" ref="AC334" si="4491">C334+E334+G334+I334+K334+M334+O334+Q334+S334+U334+W334+AA334+Y334</f>
        <v>63394.416365353027</v>
      </c>
      <c r="AD334" s="664">
        <f t="shared" ref="AD334" si="4492">IF(AC334=0,0,AC334/AC$4)</f>
        <v>0.39372253443277788</v>
      </c>
      <c r="AE334" s="665"/>
      <c r="AF334" s="114"/>
      <c r="AG334" s="114"/>
      <c r="AH334" s="114"/>
      <c r="AI334" s="114"/>
      <c r="AJ334" s="114"/>
    </row>
    <row r="335" spans="1:36" s="556" customFormat="1" ht="15.75" hidden="1" outlineLevel="2" collapsed="1">
      <c r="A335" s="609" t="s">
        <v>1413</v>
      </c>
      <c r="B335" s="559" t="s">
        <v>1132</v>
      </c>
      <c r="C335" s="659">
        <f>C336+SUM(C339:C344)</f>
        <v>0</v>
      </c>
      <c r="D335" s="660">
        <f t="shared" si="4382"/>
        <v>0</v>
      </c>
      <c r="E335" s="659">
        <f t="shared" ref="E335" si="4493">E336+SUM(E339:E344)</f>
        <v>22129404.554936554</v>
      </c>
      <c r="F335" s="660">
        <f t="shared" si="4382"/>
        <v>514.1231920390436</v>
      </c>
      <c r="G335" s="659">
        <f t="shared" ref="G335" si="4494">G336+SUM(G339:G344)</f>
        <v>21461987.709577277</v>
      </c>
      <c r="H335" s="660">
        <f t="shared" ref="H335" si="4495">IF(G335=0,0,G335/G$4)</f>
        <v>514.1231920390436</v>
      </c>
      <c r="I335" s="659">
        <f t="shared" ref="I335" si="4496">I336+SUM(I339:I344)</f>
        <v>15086098.853415877</v>
      </c>
      <c r="J335" s="660">
        <f t="shared" ref="J335" si="4497">IF(I335=0,0,I335/I$4)</f>
        <v>514.1231920390436</v>
      </c>
      <c r="K335" s="659">
        <f t="shared" ref="K335" si="4498">K336+SUM(K339:K344)</f>
        <v>21888761.371288888</v>
      </c>
      <c r="L335" s="660">
        <f t="shared" ref="L335" si="4499">IF(K335=0,0,K335/K$4)</f>
        <v>514.1231920390436</v>
      </c>
      <c r="M335" s="659">
        <f t="shared" ref="M335" si="4500">M336+SUM(M339:M344)</f>
        <v>2214225.7634737529</v>
      </c>
      <c r="N335" s="660">
        <f t="shared" ref="N335" si="4501">IF(M335=0,0,M335/M$4)</f>
        <v>514.1231920390436</v>
      </c>
      <c r="O335" s="659">
        <f t="shared" ref="O335" si="4502">O336+SUM(O339:O344)</f>
        <v>0</v>
      </c>
      <c r="P335" s="660">
        <f t="shared" ref="P335" si="4503">IF(O335=0,0,O335/O$4)</f>
        <v>0</v>
      </c>
      <c r="Q335" s="659">
        <f t="shared" ref="Q335" si="4504">Q336+SUM(Q339:Q344)</f>
        <v>0</v>
      </c>
      <c r="R335" s="660">
        <f t="shared" ref="R335" si="4505">IF(Q335=0,0,Q335/Q$4)</f>
        <v>0</v>
      </c>
      <c r="S335" s="659">
        <f t="shared" ref="S335" si="4506">S336+SUM(S339:S344)</f>
        <v>0</v>
      </c>
      <c r="T335" s="660">
        <f t="shared" ref="T335" si="4507">IF(S335=0,0,S335/S$4)</f>
        <v>0</v>
      </c>
      <c r="U335" s="659">
        <f t="shared" ref="U335" si="4508">U336+SUM(U339:U344)</f>
        <v>0</v>
      </c>
      <c r="V335" s="660">
        <f t="shared" ref="V335" si="4509">IF(U335=0,0,U335/U$4)</f>
        <v>0</v>
      </c>
      <c r="W335" s="659">
        <f t="shared" ref="W335" si="4510">W336+SUM(W339:W344)</f>
        <v>0</v>
      </c>
      <c r="X335" s="660">
        <f t="shared" ref="X335" si="4511">IF(W335=0,0,W335/W$4)</f>
        <v>0</v>
      </c>
      <c r="Y335" s="659">
        <f t="shared" ref="Y335" si="4512">Y336+SUM(Y339:Y344)</f>
        <v>0</v>
      </c>
      <c r="Z335" s="660">
        <f t="shared" ref="Z335" si="4513">IF(Y335=0,0,Y335/Y$4)</f>
        <v>0</v>
      </c>
      <c r="AA335" s="659">
        <f t="shared" ref="AA335" si="4514">AA336+SUM(AA339:AA344)</f>
        <v>0</v>
      </c>
      <c r="AB335" s="660">
        <f t="shared" ref="AB335" si="4515">IF(AA335=0,0,AA335/AA$4)</f>
        <v>0</v>
      </c>
      <c r="AC335" s="659">
        <f t="shared" ref="AC335" si="4516">AC336+SUM(AC339:AC344)</f>
        <v>82780478.252692342</v>
      </c>
      <c r="AD335" s="660">
        <f t="shared" ref="AD335" si="4517">IF(AC335=0,0,AC335/AC$4)</f>
        <v>514.1231920390436</v>
      </c>
      <c r="AE335" s="654"/>
    </row>
    <row r="336" spans="1:36" s="556" customFormat="1" ht="15.75" hidden="1" outlineLevel="3" collapsed="1">
      <c r="A336" s="612" t="s">
        <v>1412</v>
      </c>
      <c r="B336" s="560" t="s">
        <v>89</v>
      </c>
      <c r="C336" s="661"/>
      <c r="D336" s="662">
        <f t="shared" si="4382"/>
        <v>0</v>
      </c>
      <c r="E336" s="661">
        <f>Калькулятор_жилье!L392</f>
        <v>22129404.554936554</v>
      </c>
      <c r="F336" s="662">
        <f t="shared" si="4382"/>
        <v>514.1231920390436</v>
      </c>
      <c r="G336" s="661">
        <f>SUM(Калькулятор_жилье!M392:M394)</f>
        <v>21461987.709577277</v>
      </c>
      <c r="H336" s="662">
        <f t="shared" ref="H336" si="4518">IF(G336=0,0,G336/G$4)</f>
        <v>514.1231920390436</v>
      </c>
      <c r="I336" s="661">
        <f>SUM(Калькулятор_жилье!N392:N394)</f>
        <v>15086098.853415877</v>
      </c>
      <c r="J336" s="662">
        <f t="shared" ref="J336" si="4519">IF(I336=0,0,I336/I$4)</f>
        <v>514.1231920390436</v>
      </c>
      <c r="K336" s="661">
        <f>SUM(Калькулятор_жилье!O392:O394)</f>
        <v>21888761.371288888</v>
      </c>
      <c r="L336" s="662">
        <f t="shared" ref="L336" si="4520">IF(K336=0,0,K336/K$4)</f>
        <v>514.1231920390436</v>
      </c>
      <c r="M336" s="661">
        <f>SUM(Калькулятор_жилье!P392:P394)</f>
        <v>2214225.7634737529</v>
      </c>
      <c r="N336" s="662">
        <f t="shared" ref="N336" si="4521">IF(M336=0,0,M336/M$4)</f>
        <v>514.1231920390436</v>
      </c>
      <c r="O336" s="661">
        <f>SUM(Калькулятор_жилье!Q392:Q394)</f>
        <v>0</v>
      </c>
      <c r="P336" s="662">
        <f t="shared" ref="P336" si="4522">IF(O336=0,0,O336/O$4)</f>
        <v>0</v>
      </c>
      <c r="Q336" s="661">
        <f>SUM(Калькулятор_жилье!R392:R394)</f>
        <v>0</v>
      </c>
      <c r="R336" s="662">
        <f t="shared" ref="R336" si="4523">IF(Q336=0,0,Q336/Q$4)</f>
        <v>0</v>
      </c>
      <c r="S336" s="661">
        <f>SUM(Калькулятор_жилье!S392:S394)</f>
        <v>0</v>
      </c>
      <c r="T336" s="662">
        <f t="shared" ref="T336" si="4524">IF(S336=0,0,S336/S$4)</f>
        <v>0</v>
      </c>
      <c r="U336" s="661">
        <f>SUM(Калькулятор_жилье!T392:T394)</f>
        <v>0</v>
      </c>
      <c r="V336" s="662">
        <f t="shared" ref="V336" si="4525">IF(U336=0,0,U336/U$4)</f>
        <v>0</v>
      </c>
      <c r="W336" s="661">
        <f>SUM(Калькулятор_жилье!U392:U394)</f>
        <v>0</v>
      </c>
      <c r="X336" s="662">
        <f t="shared" ref="X336" si="4526">IF(W336=0,0,W336/W$4)</f>
        <v>0</v>
      </c>
      <c r="Y336" s="661">
        <f>SUM(Калькулятор_жилье!V392:V394)</f>
        <v>0</v>
      </c>
      <c r="Z336" s="662">
        <f t="shared" ref="Z336" si="4527">IF(Y336=0,0,Y336/Y$4)</f>
        <v>0</v>
      </c>
      <c r="AA336" s="661">
        <f>SUM(Калькулятор_жилье!W392:W394)</f>
        <v>0</v>
      </c>
      <c r="AB336" s="662">
        <f t="shared" ref="AB336" si="4528">IF(AA336=0,0,AA336/AA$4)</f>
        <v>0</v>
      </c>
      <c r="AC336" s="661">
        <f>C336+E336+G336+I336+K336+M336+O336+Q336+S336+U336+W336+AA336+Y336</f>
        <v>82780478.252692342</v>
      </c>
      <c r="AD336" s="662">
        <f t="shared" ref="AD336" si="4529">IF(AC336=0,0,AC336/AC$4)</f>
        <v>514.1231920390436</v>
      </c>
      <c r="AE336" s="654"/>
    </row>
    <row r="337" spans="1:36" s="68" customFormat="1" hidden="1" outlineLevel="4">
      <c r="A337" s="245"/>
      <c r="B337" s="246" t="s">
        <v>419</v>
      </c>
      <c r="C337" s="663"/>
      <c r="D337" s="664">
        <f t="shared" si="4382"/>
        <v>0</v>
      </c>
      <c r="E337" s="663">
        <f>E336-E338*курс</f>
        <v>14615851.14958724</v>
      </c>
      <c r="F337" s="664">
        <f t="shared" si="4382"/>
        <v>339.56395115552448</v>
      </c>
      <c r="G337" s="663">
        <f>G336-G338*курс</f>
        <v>14175041.039117178</v>
      </c>
      <c r="H337" s="664">
        <f t="shared" ref="H337" si="4530">IF(G337=0,0,G337/G$4)</f>
        <v>339.56395115552448</v>
      </c>
      <c r="I337" s="663">
        <f>I336-I338*курс</f>
        <v>9963945.2440801281</v>
      </c>
      <c r="J337" s="664">
        <f t="shared" ref="J337" si="4531">IF(I337=0,0,I337/I$4)</f>
        <v>339.56395115552448</v>
      </c>
      <c r="K337" s="663">
        <f>K336-K338*курс</f>
        <v>14456913.07497138</v>
      </c>
      <c r="L337" s="664">
        <f t="shared" ref="L337" si="4532">IF(K337=0,0,K337/K$4)</f>
        <v>339.56395115552448</v>
      </c>
      <c r="M337" s="663">
        <f>M336-M338*курс</f>
        <v>1462434.0248366129</v>
      </c>
      <c r="N337" s="664">
        <f t="shared" ref="N337" si="4533">IF(M337=0,0,M337/M$4)</f>
        <v>339.56395115552448</v>
      </c>
      <c r="O337" s="663">
        <f>O336-O338*курс</f>
        <v>0</v>
      </c>
      <c r="P337" s="664">
        <f t="shared" ref="P337" si="4534">IF(O337=0,0,O337/O$4)</f>
        <v>0</v>
      </c>
      <c r="Q337" s="663">
        <f>Q336-Q338*курс</f>
        <v>0</v>
      </c>
      <c r="R337" s="664">
        <f t="shared" ref="R337" si="4535">IF(Q337=0,0,Q337/Q$4)</f>
        <v>0</v>
      </c>
      <c r="S337" s="663">
        <f>S336-S338*курс</f>
        <v>0</v>
      </c>
      <c r="T337" s="664">
        <f t="shared" ref="T337" si="4536">IF(S337=0,0,S337/S$4)</f>
        <v>0</v>
      </c>
      <c r="U337" s="663">
        <f>U336-U338*курс</f>
        <v>0</v>
      </c>
      <c r="V337" s="664">
        <f t="shared" ref="V337" si="4537">IF(U337=0,0,U337/U$4)</f>
        <v>0</v>
      </c>
      <c r="W337" s="663">
        <f>W336-W338*курс</f>
        <v>0</v>
      </c>
      <c r="X337" s="664">
        <f t="shared" ref="X337" si="4538">IF(W337=0,0,W337/W$4)</f>
        <v>0</v>
      </c>
      <c r="Y337" s="663">
        <f>Y336-Y338*курс</f>
        <v>0</v>
      </c>
      <c r="Z337" s="664">
        <f t="shared" ref="Z337" si="4539">IF(Y337=0,0,Y337/Y$4)</f>
        <v>0</v>
      </c>
      <c r="AA337" s="663">
        <f>AA336-AA338*курс</f>
        <v>0</v>
      </c>
      <c r="AB337" s="664">
        <f t="shared" ref="AB337" si="4540">IF(AA337=0,0,AA337/AA$4)</f>
        <v>0</v>
      </c>
      <c r="AC337" s="663">
        <f>C337+E337+G337+I337+K337+M337+O337+Q337+S337+U337+W337+AA337+Y337</f>
        <v>54674184.532592535</v>
      </c>
      <c r="AD337" s="664">
        <f t="shared" ref="AD337" si="4541">IF(AC337=0,0,AC337/AC$4)</f>
        <v>339.56395115552448</v>
      </c>
      <c r="AE337" s="665"/>
      <c r="AF337" s="114"/>
      <c r="AG337" s="114"/>
      <c r="AH337" s="114"/>
      <c r="AI337" s="114"/>
      <c r="AJ337" s="114"/>
    </row>
    <row r="338" spans="1:36" s="68" customFormat="1" hidden="1" outlineLevel="4">
      <c r="A338" s="245"/>
      <c r="B338" s="246" t="s">
        <v>420</v>
      </c>
      <c r="C338" s="663"/>
      <c r="D338" s="664">
        <f t="shared" si="4382"/>
        <v>0</v>
      </c>
      <c r="E338" s="663">
        <f>Калькулятор_жилье!G392*Калькулятор_жилье!$G$58</f>
        <v>85975.594997572</v>
      </c>
      <c r="F338" s="664">
        <f t="shared" si="4382"/>
        <v>1.9974350067972029</v>
      </c>
      <c r="G338" s="663">
        <f>Калькулятор_жилье!$G$392*(Калькулятор_жилье!H$56+Калькулятор_жилье!H$69)*IF(Калькулятор_жилье!H$64&lt;=75,1,0)+Калькулятор_жилье!$G$393*(Калькулятор_жилье!H$56+Калькулятор_жилье!H$69)*IF(AND(Калькулятор_жилье!H$64&gt;75,Калькулятор_жилье!H$64&lt;=130),1,0)+Калькулятор_жилье!$G$394*(Калькулятор_жилье!H$56+Калькулятор_жилье!H$69)*IF(Калькулятор_жилье!H$64&gt;130,1,0)</f>
        <v>83382.59434774812</v>
      </c>
      <c r="H338" s="664">
        <f t="shared" ref="H338" si="4542">IF(G338=0,0,G338/G$4)</f>
        <v>1.9974350067972031</v>
      </c>
      <c r="I338" s="663">
        <f>Калькулятор_жилье!$G$392*(Калькулятор_жилье!I$56+Калькулятор_жилье!I$69)*IF(Калькулятор_жилье!I$64&lt;=75,1,0)+Калькулятор_жилье!$G$393*(Калькулятор_жилье!I$56+Калькулятор_жилье!I$69)*IF(AND(Калькулятор_жилье!I$64&gt;75,Калькулятор_жилье!I$64&lt;=130),1,0)+Калькулятор_жилье!$G$394*(Калькулятор_жилье!I$56+Калькулятор_жилье!I$69)*IF(Калькулятор_жилье!I$64&gt;130,1,0)</f>
        <v>58611.442612236046</v>
      </c>
      <c r="J338" s="664">
        <f t="shared" ref="J338" si="4543">IF(I338=0,0,I338/I$4)</f>
        <v>1.9974350067972029</v>
      </c>
      <c r="K338" s="663">
        <f>Калькулятор_жилье!$G$392*(Калькулятор_жилье!J$56+Калькулятор_жилье!J$69)*IF(Калькулятор_жилье!J$64&lt;=75,1,0)+Калькулятор_жилье!$G$393*(Калькулятор_жилье!J$56+Калькулятор_жилье!J$69)*IF(AND(Калькулятор_жилье!J$64&gt;75,Калькулятор_жилье!J$64&lt;=130),1,0)+Калькулятор_жилье!$G$394*(Калькулятор_жилье!J$56+Калькулятор_жилье!J$69)*IF(Калькулятор_жилье!J$64&gt;130,1,0)</f>
        <v>85040.665146890475</v>
      </c>
      <c r="L338" s="664">
        <f t="shared" ref="L338" si="4544">IF(K338=0,0,K338/K$4)</f>
        <v>1.9974350067972031</v>
      </c>
      <c r="M338" s="663">
        <f>Калькулятор_жилье!$G$392*(Калькулятор_жилье!K$56+Калькулятор_жилье!K$69)*IF(Калькулятор_жилье!K$64&lt;=75,1,0)+Калькулятор_жилье!$G$393*(Калькулятор_жилье!K$56+Калькулятор_жилье!K$69)*IF(AND(Калькулятор_жилье!K$64&gt;75,Калькулятор_жилье!K$64&lt;=130),1,0)+Калькулятор_жилье!$G$394*(Калькулятор_жилье!K$56+Калькулятор_жилье!K$69)*IF(Калькулятор_жилье!K$64&gt;130,1,0)</f>
        <v>8602.5530872741929</v>
      </c>
      <c r="N338" s="664">
        <f t="shared" ref="N338" si="4545">IF(M338=0,0,M338/M$4)</f>
        <v>1.9974350067972027</v>
      </c>
      <c r="O338" s="663">
        <f>Калькулятор_жилье!$G$392*(Калькулятор_жилье!L$56+Калькулятор_жилье!L$69)*IF(Калькулятор_жилье!L$64&lt;=75,1,0)+Калькулятор_жилье!$G$393*(Калькулятор_жилье!L$56+Калькулятор_жилье!L$69)*IF(AND(Калькулятор_жилье!L$64&gt;75,Калькулятор_жилье!L$64&lt;=130),1,0)+Калькулятор_жилье!$G$394*(Калькулятор_жилье!L$56+Калькулятор_жилье!L$69)*IF(Калькулятор_жилье!L$64&gt;130,1,0)</f>
        <v>0</v>
      </c>
      <c r="P338" s="664">
        <f t="shared" ref="P338" si="4546">IF(O338=0,0,O338/O$4)</f>
        <v>0</v>
      </c>
      <c r="Q338" s="663">
        <f>Калькулятор_жилье!$G$392*(Калькулятор_жилье!M$56+Калькулятор_жилье!M$69)*IF(Калькулятор_жилье!M$64&lt;=75,1,0)+Калькулятор_жилье!$G$393*(Калькулятор_жилье!M$56+Калькулятор_жилье!M$69)*IF(AND(Калькулятор_жилье!M$64&gt;75,Калькулятор_жилье!M$64&lt;=130),1,0)+Калькулятор_жилье!$G$394*(Калькулятор_жилье!M$56+Калькулятор_жилье!M$69)*IF(Калькулятор_жилье!M$64&gt;130,1,0)</f>
        <v>0</v>
      </c>
      <c r="R338" s="664">
        <f t="shared" ref="R338" si="4547">IF(Q338=0,0,Q338/Q$4)</f>
        <v>0</v>
      </c>
      <c r="S338" s="663">
        <f>Калькулятор_жилье!$G$392*(Калькулятор_жилье!N$56+Калькулятор_жилье!N$69)*IF(Калькулятор_жилье!N$64&lt;=75,1,0)+Калькулятор_жилье!$G$393*(Калькулятор_жилье!N$56+Калькулятор_жилье!N$69)*IF(AND(Калькулятор_жилье!N$64&gt;75,Калькулятор_жилье!N$64&lt;=130),1,0)+Калькулятор_жилье!$G$394*(Калькулятор_жилье!N$56+Калькулятор_жилье!N$69)*IF(Калькулятор_жилье!N$64&gt;130,1,0)</f>
        <v>0</v>
      </c>
      <c r="T338" s="664">
        <f t="shared" ref="T338" si="4548">IF(S338=0,0,S338/S$4)</f>
        <v>0</v>
      </c>
      <c r="U338" s="663">
        <f>Калькулятор_жилье!$G$392*(Калькулятор_жилье!O$56+Калькулятор_жилье!O$69)*IF(Калькулятор_жилье!O$64&lt;=75,1,0)+Калькулятор_жилье!$G$393*(Калькулятор_жилье!O$56+Калькулятор_жилье!O$69)*IF(AND(Калькулятор_жилье!O$64&gt;75,Калькулятор_жилье!O$64&lt;=130),1,0)+Калькулятор_жилье!$G$394*(Калькулятор_жилье!O$56+Калькулятор_жилье!O$69)*IF(Калькулятор_жилье!O$64&gt;130,1,0)</f>
        <v>0</v>
      </c>
      <c r="V338" s="664">
        <f t="shared" ref="V338" si="4549">IF(U338=0,0,U338/U$4)</f>
        <v>0</v>
      </c>
      <c r="W338" s="663">
        <f>Калькулятор_жилье!$G$392*(Калькулятор_жилье!P$56+Калькулятор_жилье!P$69)*IF(Калькулятор_жилье!P$64&lt;=75,1,0)+Калькулятор_жилье!$G$393*(Калькулятор_жилье!P$56+Калькулятор_жилье!P$69)*IF(AND(Калькулятор_жилье!P$64&gt;75,Калькулятор_жилье!P$64&lt;=130),1,0)+Калькулятор_жилье!$G$394*(Калькулятор_жилье!P$56+Калькулятор_жилье!P$69)*IF(Калькулятор_жилье!P$64&gt;130,1,0)</f>
        <v>0</v>
      </c>
      <c r="X338" s="664">
        <f t="shared" ref="X338" si="4550">IF(W338=0,0,W338/W$4)</f>
        <v>0</v>
      </c>
      <c r="Y338" s="663">
        <f>Калькулятор_жилье!$G$392*(Калькулятор_жилье!Q$56+Калькулятор_жилье!Q$69)*IF(Калькулятор_жилье!Q$64&lt;=75,1,0)+Калькулятор_жилье!$G$393*(Калькулятор_жилье!Q$56+Калькулятор_жилье!Q$69)*IF(AND(Калькулятор_жилье!Q$64&gt;75,Калькулятор_жилье!Q$64&lt;=130),1,0)+Калькулятор_жилье!$G$394*(Калькулятор_жилье!Q$56+Калькулятор_жилье!Q$69)*IF(Калькулятор_жилье!Q$64&gt;130,1,0)</f>
        <v>0</v>
      </c>
      <c r="Z338" s="664">
        <f t="shared" ref="Z338" si="4551">IF(Y338=0,0,Y338/Y$4)</f>
        <v>0</v>
      </c>
      <c r="AA338" s="663">
        <f>Калькулятор_жилье!$G$392*(Калькулятор_жилье!R$56+Калькулятор_жилье!R$69)*IF(Калькулятор_жилье!R$64&lt;=75,1,0)+Калькулятор_жилье!$G$393*(Калькулятор_жилье!R$56+Калькулятор_жилье!R$69)*IF(AND(Калькулятор_жилье!R$64&gt;75,Калькулятор_жилье!R$64&lt;=130),1,0)+Калькулятор_жилье!$G$394*(Калькулятор_жилье!R$56+Калькулятор_жилье!R$69)*IF(Калькулятор_жилье!R$64&gt;130,1,0)</f>
        <v>0</v>
      </c>
      <c r="AB338" s="664">
        <f t="shared" ref="AB338" si="4552">IF(AA338=0,0,AA338/AA$4)</f>
        <v>0</v>
      </c>
      <c r="AC338" s="663">
        <f t="shared" ref="AC338" si="4553">C338+E338+G338+I338+K338+M338+O338+Q338+S338+U338+W338+AA338+Y338</f>
        <v>321612.85019172082</v>
      </c>
      <c r="AD338" s="664">
        <f t="shared" ref="AD338" si="4554">IF(AC338=0,0,AC338/AC$4)</f>
        <v>1.9974350067972029</v>
      </c>
      <c r="AE338" s="665"/>
      <c r="AF338" s="114"/>
      <c r="AG338" s="114"/>
      <c r="AH338" s="114"/>
      <c r="AI338" s="114"/>
      <c r="AJ338" s="114"/>
    </row>
    <row r="339" spans="1:36" s="556" customFormat="1" ht="31.5" hidden="1" outlineLevel="3">
      <c r="A339" s="612" t="s">
        <v>1411</v>
      </c>
      <c r="B339" s="560" t="s">
        <v>1133</v>
      </c>
      <c r="C339" s="661"/>
      <c r="D339" s="662">
        <f t="shared" si="4382"/>
        <v>0</v>
      </c>
      <c r="E339" s="661"/>
      <c r="F339" s="662">
        <f t="shared" si="4382"/>
        <v>0</v>
      </c>
      <c r="G339" s="661"/>
      <c r="H339" s="662">
        <f t="shared" ref="H339" si="4555">IF(G339=0,0,G339/G$4)</f>
        <v>0</v>
      </c>
      <c r="I339" s="661"/>
      <c r="J339" s="662">
        <f t="shared" ref="J339" si="4556">IF(I339=0,0,I339/I$4)</f>
        <v>0</v>
      </c>
      <c r="K339" s="661"/>
      <c r="L339" s="662">
        <f t="shared" ref="L339" si="4557">IF(K339=0,0,K339/K$4)</f>
        <v>0</v>
      </c>
      <c r="M339" s="661"/>
      <c r="N339" s="662">
        <f t="shared" ref="N339" si="4558">IF(M339=0,0,M339/M$4)</f>
        <v>0</v>
      </c>
      <c r="O339" s="661"/>
      <c r="P339" s="662">
        <f t="shared" ref="P339" si="4559">IF(O339=0,0,O339/O$4)</f>
        <v>0</v>
      </c>
      <c r="Q339" s="661"/>
      <c r="R339" s="662">
        <f t="shared" ref="R339" si="4560">IF(Q339=0,0,Q339/Q$4)</f>
        <v>0</v>
      </c>
      <c r="S339" s="661"/>
      <c r="T339" s="662">
        <f t="shared" ref="T339" si="4561">IF(S339=0,0,S339/S$4)</f>
        <v>0</v>
      </c>
      <c r="U339" s="661"/>
      <c r="V339" s="662">
        <f t="shared" ref="V339" si="4562">IF(U339=0,0,U339/U$4)</f>
        <v>0</v>
      </c>
      <c r="W339" s="661"/>
      <c r="X339" s="662">
        <f t="shared" ref="X339" si="4563">IF(W339=0,0,W339/W$4)</f>
        <v>0</v>
      </c>
      <c r="Y339" s="661"/>
      <c r="Z339" s="662">
        <f t="shared" ref="Z339" si="4564">IF(Y339=0,0,Y339/Y$4)</f>
        <v>0</v>
      </c>
      <c r="AA339" s="661"/>
      <c r="AB339" s="662">
        <f t="shared" ref="AB339" si="4565">IF(AA339=0,0,AA339/AA$4)</f>
        <v>0</v>
      </c>
      <c r="AC339" s="661"/>
      <c r="AD339" s="662">
        <f t="shared" ref="AD339" si="4566">IF(AC339=0,0,AC339/AC$4)</f>
        <v>0</v>
      </c>
      <c r="AE339" s="654"/>
    </row>
    <row r="340" spans="1:36" s="556" customFormat="1" ht="15.75" hidden="1" outlineLevel="3">
      <c r="A340" s="612" t="s">
        <v>1410</v>
      </c>
      <c r="B340" s="560" t="s">
        <v>1134</v>
      </c>
      <c r="C340" s="661"/>
      <c r="D340" s="662">
        <f t="shared" si="4382"/>
        <v>0</v>
      </c>
      <c r="E340" s="661"/>
      <c r="F340" s="662">
        <f t="shared" si="4382"/>
        <v>0</v>
      </c>
      <c r="G340" s="661"/>
      <c r="H340" s="662">
        <f t="shared" ref="H340" si="4567">IF(G340=0,0,G340/G$4)</f>
        <v>0</v>
      </c>
      <c r="I340" s="661"/>
      <c r="J340" s="662">
        <f t="shared" ref="J340" si="4568">IF(I340=0,0,I340/I$4)</f>
        <v>0</v>
      </c>
      <c r="K340" s="661"/>
      <c r="L340" s="662">
        <f t="shared" ref="L340" si="4569">IF(K340=0,0,K340/K$4)</f>
        <v>0</v>
      </c>
      <c r="M340" s="661"/>
      <c r="N340" s="662">
        <f t="shared" ref="N340" si="4570">IF(M340=0,0,M340/M$4)</f>
        <v>0</v>
      </c>
      <c r="O340" s="661"/>
      <c r="P340" s="662">
        <f t="shared" ref="P340" si="4571">IF(O340=0,0,O340/O$4)</f>
        <v>0</v>
      </c>
      <c r="Q340" s="661"/>
      <c r="R340" s="662">
        <f t="shared" ref="R340" si="4572">IF(Q340=0,0,Q340/Q$4)</f>
        <v>0</v>
      </c>
      <c r="S340" s="661"/>
      <c r="T340" s="662">
        <f t="shared" ref="T340" si="4573">IF(S340=0,0,S340/S$4)</f>
        <v>0</v>
      </c>
      <c r="U340" s="661"/>
      <c r="V340" s="662">
        <f t="shared" ref="V340" si="4574">IF(U340=0,0,U340/U$4)</f>
        <v>0</v>
      </c>
      <c r="W340" s="661"/>
      <c r="X340" s="662">
        <f t="shared" ref="X340" si="4575">IF(W340=0,0,W340/W$4)</f>
        <v>0</v>
      </c>
      <c r="Y340" s="661"/>
      <c r="Z340" s="662">
        <f t="shared" ref="Z340" si="4576">IF(Y340=0,0,Y340/Y$4)</f>
        <v>0</v>
      </c>
      <c r="AA340" s="661"/>
      <c r="AB340" s="662">
        <f t="shared" ref="AB340" si="4577">IF(AA340=0,0,AA340/AA$4)</f>
        <v>0</v>
      </c>
      <c r="AC340" s="661"/>
      <c r="AD340" s="662">
        <f t="shared" ref="AD340" si="4578">IF(AC340=0,0,AC340/AC$4)</f>
        <v>0</v>
      </c>
      <c r="AE340" s="654"/>
    </row>
    <row r="341" spans="1:36" s="556" customFormat="1" ht="15.75" hidden="1" outlineLevel="3">
      <c r="A341" s="612" t="s">
        <v>1409</v>
      </c>
      <c r="B341" s="560" t="s">
        <v>1135</v>
      </c>
      <c r="C341" s="661"/>
      <c r="D341" s="662">
        <f t="shared" si="4382"/>
        <v>0</v>
      </c>
      <c r="E341" s="661"/>
      <c r="F341" s="662">
        <f t="shared" si="4382"/>
        <v>0</v>
      </c>
      <c r="G341" s="661"/>
      <c r="H341" s="662">
        <f t="shared" ref="H341" si="4579">IF(G341=0,0,G341/G$4)</f>
        <v>0</v>
      </c>
      <c r="I341" s="661"/>
      <c r="J341" s="662">
        <f t="shared" ref="J341" si="4580">IF(I341=0,0,I341/I$4)</f>
        <v>0</v>
      </c>
      <c r="K341" s="661"/>
      <c r="L341" s="662">
        <f t="shared" ref="L341" si="4581">IF(K341=0,0,K341/K$4)</f>
        <v>0</v>
      </c>
      <c r="M341" s="661"/>
      <c r="N341" s="662">
        <f t="shared" ref="N341" si="4582">IF(M341=0,0,M341/M$4)</f>
        <v>0</v>
      </c>
      <c r="O341" s="661"/>
      <c r="P341" s="662">
        <f t="shared" ref="P341" si="4583">IF(O341=0,0,O341/O$4)</f>
        <v>0</v>
      </c>
      <c r="Q341" s="661"/>
      <c r="R341" s="662">
        <f t="shared" ref="R341" si="4584">IF(Q341=0,0,Q341/Q$4)</f>
        <v>0</v>
      </c>
      <c r="S341" s="661"/>
      <c r="T341" s="662">
        <f t="shared" ref="T341" si="4585">IF(S341=0,0,S341/S$4)</f>
        <v>0</v>
      </c>
      <c r="U341" s="661"/>
      <c r="V341" s="662">
        <f t="shared" ref="V341" si="4586">IF(U341=0,0,U341/U$4)</f>
        <v>0</v>
      </c>
      <c r="W341" s="661"/>
      <c r="X341" s="662">
        <f t="shared" ref="X341" si="4587">IF(W341=0,0,W341/W$4)</f>
        <v>0</v>
      </c>
      <c r="Y341" s="661"/>
      <c r="Z341" s="662">
        <f t="shared" ref="Z341" si="4588">IF(Y341=0,0,Y341/Y$4)</f>
        <v>0</v>
      </c>
      <c r="AA341" s="661"/>
      <c r="AB341" s="662">
        <f t="shared" ref="AB341" si="4589">IF(AA341=0,0,AA341/AA$4)</f>
        <v>0</v>
      </c>
      <c r="AC341" s="661"/>
      <c r="AD341" s="662">
        <f t="shared" ref="AD341" si="4590">IF(AC341=0,0,AC341/AC$4)</f>
        <v>0</v>
      </c>
      <c r="AE341" s="654"/>
    </row>
    <row r="342" spans="1:36" s="556" customFormat="1" ht="15.75" hidden="1" outlineLevel="3">
      <c r="A342" s="612" t="s">
        <v>1408</v>
      </c>
      <c r="B342" s="560" t="s">
        <v>1136</v>
      </c>
      <c r="C342" s="661"/>
      <c r="D342" s="662">
        <f t="shared" si="4382"/>
        <v>0</v>
      </c>
      <c r="E342" s="661"/>
      <c r="F342" s="662">
        <f t="shared" si="4382"/>
        <v>0</v>
      </c>
      <c r="G342" s="661"/>
      <c r="H342" s="662">
        <f t="shared" ref="H342" si="4591">IF(G342=0,0,G342/G$4)</f>
        <v>0</v>
      </c>
      <c r="I342" s="661"/>
      <c r="J342" s="662">
        <f t="shared" ref="J342" si="4592">IF(I342=0,0,I342/I$4)</f>
        <v>0</v>
      </c>
      <c r="K342" s="661"/>
      <c r="L342" s="662">
        <f t="shared" ref="L342" si="4593">IF(K342=0,0,K342/K$4)</f>
        <v>0</v>
      </c>
      <c r="M342" s="661"/>
      <c r="N342" s="662">
        <f t="shared" ref="N342" si="4594">IF(M342=0,0,M342/M$4)</f>
        <v>0</v>
      </c>
      <c r="O342" s="661"/>
      <c r="P342" s="662">
        <f t="shared" ref="P342" si="4595">IF(O342=0,0,O342/O$4)</f>
        <v>0</v>
      </c>
      <c r="Q342" s="661"/>
      <c r="R342" s="662">
        <f t="shared" ref="R342" si="4596">IF(Q342=0,0,Q342/Q$4)</f>
        <v>0</v>
      </c>
      <c r="S342" s="661"/>
      <c r="T342" s="662">
        <f t="shared" ref="T342" si="4597">IF(S342=0,0,S342/S$4)</f>
        <v>0</v>
      </c>
      <c r="U342" s="661"/>
      <c r="V342" s="662">
        <f t="shared" ref="V342" si="4598">IF(U342=0,0,U342/U$4)</f>
        <v>0</v>
      </c>
      <c r="W342" s="661"/>
      <c r="X342" s="662">
        <f t="shared" ref="X342" si="4599">IF(W342=0,0,W342/W$4)</f>
        <v>0</v>
      </c>
      <c r="Y342" s="661"/>
      <c r="Z342" s="662">
        <f t="shared" ref="Z342" si="4600">IF(Y342=0,0,Y342/Y$4)</f>
        <v>0</v>
      </c>
      <c r="AA342" s="661"/>
      <c r="AB342" s="662">
        <f t="shared" ref="AB342" si="4601">IF(AA342=0,0,AA342/AA$4)</f>
        <v>0</v>
      </c>
      <c r="AC342" s="661"/>
      <c r="AD342" s="662">
        <f t="shared" ref="AD342" si="4602">IF(AC342=0,0,AC342/AC$4)</f>
        <v>0</v>
      </c>
      <c r="AE342" s="654"/>
    </row>
    <row r="343" spans="1:36" s="556" customFormat="1" ht="15.75" hidden="1" outlineLevel="3">
      <c r="A343" s="612" t="s">
        <v>1407</v>
      </c>
      <c r="B343" s="560" t="s">
        <v>1137</v>
      </c>
      <c r="C343" s="661"/>
      <c r="D343" s="662">
        <f t="shared" si="4382"/>
        <v>0</v>
      </c>
      <c r="E343" s="661"/>
      <c r="F343" s="662">
        <f t="shared" si="4382"/>
        <v>0</v>
      </c>
      <c r="G343" s="661"/>
      <c r="H343" s="662">
        <f t="shared" ref="H343" si="4603">IF(G343=0,0,G343/G$4)</f>
        <v>0</v>
      </c>
      <c r="I343" s="661"/>
      <c r="J343" s="662">
        <f t="shared" ref="J343" si="4604">IF(I343=0,0,I343/I$4)</f>
        <v>0</v>
      </c>
      <c r="K343" s="661"/>
      <c r="L343" s="662">
        <f t="shared" ref="L343" si="4605">IF(K343=0,0,K343/K$4)</f>
        <v>0</v>
      </c>
      <c r="M343" s="661"/>
      <c r="N343" s="662">
        <f t="shared" ref="N343" si="4606">IF(M343=0,0,M343/M$4)</f>
        <v>0</v>
      </c>
      <c r="O343" s="661"/>
      <c r="P343" s="662">
        <f t="shared" ref="P343" si="4607">IF(O343=0,0,O343/O$4)</f>
        <v>0</v>
      </c>
      <c r="Q343" s="661"/>
      <c r="R343" s="662">
        <f t="shared" ref="R343" si="4608">IF(Q343=0,0,Q343/Q$4)</f>
        <v>0</v>
      </c>
      <c r="S343" s="661"/>
      <c r="T343" s="662">
        <f t="shared" ref="T343" si="4609">IF(S343=0,0,S343/S$4)</f>
        <v>0</v>
      </c>
      <c r="U343" s="661"/>
      <c r="V343" s="662">
        <f t="shared" ref="V343" si="4610">IF(U343=0,0,U343/U$4)</f>
        <v>0</v>
      </c>
      <c r="W343" s="661"/>
      <c r="X343" s="662">
        <f t="shared" ref="X343" si="4611">IF(W343=0,0,W343/W$4)</f>
        <v>0</v>
      </c>
      <c r="Y343" s="661"/>
      <c r="Z343" s="662">
        <f t="shared" ref="Z343" si="4612">IF(Y343=0,0,Y343/Y$4)</f>
        <v>0</v>
      </c>
      <c r="AA343" s="661"/>
      <c r="AB343" s="662">
        <f t="shared" ref="AB343" si="4613">IF(AA343=0,0,AA343/AA$4)</f>
        <v>0</v>
      </c>
      <c r="AC343" s="661"/>
      <c r="AD343" s="662">
        <f t="shared" ref="AD343" si="4614">IF(AC343=0,0,AC343/AC$4)</f>
        <v>0</v>
      </c>
      <c r="AE343" s="654"/>
    </row>
    <row r="344" spans="1:36" s="556" customFormat="1" ht="15.75" hidden="1" outlineLevel="3">
      <c r="A344" s="612" t="s">
        <v>1406</v>
      </c>
      <c r="B344" s="560" t="s">
        <v>1138</v>
      </c>
      <c r="C344" s="661"/>
      <c r="D344" s="662">
        <f t="shared" si="4382"/>
        <v>0</v>
      </c>
      <c r="E344" s="661"/>
      <c r="F344" s="662">
        <f t="shared" si="4382"/>
        <v>0</v>
      </c>
      <c r="G344" s="661"/>
      <c r="H344" s="662">
        <f t="shared" ref="H344" si="4615">IF(G344=0,0,G344/G$4)</f>
        <v>0</v>
      </c>
      <c r="I344" s="661"/>
      <c r="J344" s="662">
        <f t="shared" ref="J344" si="4616">IF(I344=0,0,I344/I$4)</f>
        <v>0</v>
      </c>
      <c r="K344" s="661"/>
      <c r="L344" s="662">
        <f t="shared" ref="L344" si="4617">IF(K344=0,0,K344/K$4)</f>
        <v>0</v>
      </c>
      <c r="M344" s="661"/>
      <c r="N344" s="662">
        <f t="shared" ref="N344" si="4618">IF(M344=0,0,M344/M$4)</f>
        <v>0</v>
      </c>
      <c r="O344" s="661"/>
      <c r="P344" s="662">
        <f t="shared" ref="P344" si="4619">IF(O344=0,0,O344/O$4)</f>
        <v>0</v>
      </c>
      <c r="Q344" s="661"/>
      <c r="R344" s="662">
        <f t="shared" ref="R344" si="4620">IF(Q344=0,0,Q344/Q$4)</f>
        <v>0</v>
      </c>
      <c r="S344" s="661"/>
      <c r="T344" s="662">
        <f t="shared" ref="T344" si="4621">IF(S344=0,0,S344/S$4)</f>
        <v>0</v>
      </c>
      <c r="U344" s="661"/>
      <c r="V344" s="662">
        <f t="shared" ref="V344" si="4622">IF(U344=0,0,U344/U$4)</f>
        <v>0</v>
      </c>
      <c r="W344" s="661"/>
      <c r="X344" s="662">
        <f t="shared" ref="X344" si="4623">IF(W344=0,0,W344/W$4)</f>
        <v>0</v>
      </c>
      <c r="Y344" s="661"/>
      <c r="Z344" s="662">
        <f t="shared" ref="Z344" si="4624">IF(Y344=0,0,Y344/Y$4)</f>
        <v>0</v>
      </c>
      <c r="AA344" s="661"/>
      <c r="AB344" s="662">
        <f t="shared" ref="AB344" si="4625">IF(AA344=0,0,AA344/AA$4)</f>
        <v>0</v>
      </c>
      <c r="AC344" s="661"/>
      <c r="AD344" s="662">
        <f t="shared" ref="AD344" si="4626">IF(AC344=0,0,AC344/AC$4)</f>
        <v>0</v>
      </c>
      <c r="AE344" s="654"/>
    </row>
    <row r="345" spans="1:36" s="556" customFormat="1" ht="15.75" hidden="1" outlineLevel="2" collapsed="1">
      <c r="A345" s="609" t="s">
        <v>1405</v>
      </c>
      <c r="B345" s="559" t="s">
        <v>1139</v>
      </c>
      <c r="C345" s="659"/>
      <c r="D345" s="660">
        <f t="shared" si="4382"/>
        <v>0</v>
      </c>
      <c r="E345" s="659">
        <f>Калькулятор_жилье!L398</f>
        <v>46163802.042810231</v>
      </c>
      <c r="F345" s="660">
        <f t="shared" si="4382"/>
        <v>1072.5042874058554</v>
      </c>
      <c r="G345" s="659">
        <f>SUM(Калькулятор_жилье!M398:M400)</f>
        <v>44771514.281396911</v>
      </c>
      <c r="H345" s="660">
        <f t="shared" ref="H345" si="4627">IF(G345=0,0,G345/G$4)</f>
        <v>1072.5042874058554</v>
      </c>
      <c r="I345" s="659">
        <f>SUM(Калькулятор_жилье!N398:N400)</f>
        <v>31470873.034041908</v>
      </c>
      <c r="J345" s="660">
        <f t="shared" ref="J345" si="4628">IF(I345=0,0,I345/I$4)</f>
        <v>1072.5042874058554</v>
      </c>
      <c r="K345" s="659">
        <f>SUM(Калькулятор_жилье!O398:O400)</f>
        <v>45661800.090372503</v>
      </c>
      <c r="L345" s="660">
        <f t="shared" ref="L345" si="4629">IF(K345=0,0,K345/K$4)</f>
        <v>1072.5042874058554</v>
      </c>
      <c r="M345" s="659">
        <f>SUM(Калькулятор_жилье!P398:P400)</f>
        <v>4619061.4649995379</v>
      </c>
      <c r="N345" s="660">
        <f t="shared" ref="N345" si="4630">IF(M345=0,0,M345/M$4)</f>
        <v>1072.5042874058554</v>
      </c>
      <c r="O345" s="659">
        <f>SUM(Калькулятор_жилье!Q398:Q400)</f>
        <v>0</v>
      </c>
      <c r="P345" s="660">
        <f t="shared" ref="P345" si="4631">IF(O345=0,0,O345/O$4)</f>
        <v>0</v>
      </c>
      <c r="Q345" s="659">
        <f>SUM(Калькулятор_жилье!R398:R400)</f>
        <v>0</v>
      </c>
      <c r="R345" s="660">
        <f t="shared" ref="R345" si="4632">IF(Q345=0,0,Q345/Q$4)</f>
        <v>0</v>
      </c>
      <c r="S345" s="659">
        <f>SUM(Калькулятор_жилье!S398:S400)</f>
        <v>0</v>
      </c>
      <c r="T345" s="660">
        <f t="shared" ref="T345" si="4633">IF(S345=0,0,S345/S$4)</f>
        <v>0</v>
      </c>
      <c r="U345" s="659">
        <f>SUM(Калькулятор_жилье!T398:T400)</f>
        <v>0</v>
      </c>
      <c r="V345" s="660">
        <f t="shared" ref="V345" si="4634">IF(U345=0,0,U345/U$4)</f>
        <v>0</v>
      </c>
      <c r="W345" s="659">
        <f>SUM(Калькулятор_жилье!U398:U400)</f>
        <v>0</v>
      </c>
      <c r="X345" s="660">
        <f t="shared" ref="X345" si="4635">IF(W345=0,0,W345/W$4)</f>
        <v>0</v>
      </c>
      <c r="Y345" s="659">
        <f>SUM(Калькулятор_жилье!V398:V400)</f>
        <v>0</v>
      </c>
      <c r="Z345" s="660">
        <f t="shared" ref="Z345" si="4636">IF(Y345=0,0,Y345/Y$4)</f>
        <v>0</v>
      </c>
      <c r="AA345" s="659">
        <f>SUM(Калькулятор_жилье!W398:W400)</f>
        <v>0</v>
      </c>
      <c r="AB345" s="660">
        <f t="shared" ref="AB345" si="4637">IF(AA345=0,0,AA345/AA$4)</f>
        <v>0</v>
      </c>
      <c r="AC345" s="659">
        <f>C345+E345+G345+I345+K345+M345+O345+Q345+S345+U345+W345+AA345+Y345</f>
        <v>172687050.9136211</v>
      </c>
      <c r="AD345" s="660">
        <f t="shared" ref="AD345" si="4638">IF(AC345=0,0,AC345/AC$4)</f>
        <v>1072.5042874058554</v>
      </c>
      <c r="AE345" s="654"/>
    </row>
    <row r="346" spans="1:36" s="68" customFormat="1" hidden="1" outlineLevel="3">
      <c r="A346" s="245"/>
      <c r="B346" s="246" t="s">
        <v>419</v>
      </c>
      <c r="C346" s="663"/>
      <c r="D346" s="664">
        <f t="shared" si="4382"/>
        <v>0</v>
      </c>
      <c r="E346" s="663">
        <f>E345-E347*курс</f>
        <v>35473122.625982746</v>
      </c>
      <c r="F346" s="664">
        <f t="shared" si="4382"/>
        <v>824.1322079312024</v>
      </c>
      <c r="G346" s="663">
        <f>G345-G347*курс</f>
        <v>34403262.859114565</v>
      </c>
      <c r="H346" s="664">
        <f t="shared" ref="H346" si="4639">IF(G346=0,0,G346/G$4)</f>
        <v>824.13220793120252</v>
      </c>
      <c r="I346" s="663">
        <f>I345-I347*курс</f>
        <v>24182803.167902652</v>
      </c>
      <c r="J346" s="664">
        <f t="shared" ref="J346" si="4640">IF(I346=0,0,I346/I$4)</f>
        <v>824.1322079312024</v>
      </c>
      <c r="K346" s="663">
        <f>K345-K347*курс</f>
        <v>35087375.004918247</v>
      </c>
      <c r="L346" s="664">
        <f t="shared" ref="L346" si="4641">IF(K346=0,0,K346/K$4)</f>
        <v>824.13220793120229</v>
      </c>
      <c r="M346" s="663">
        <f>M345-M347*курс</f>
        <v>3549372.5931181023</v>
      </c>
      <c r="N346" s="664">
        <f t="shared" ref="N346" si="4642">IF(M346=0,0,M346/M$4)</f>
        <v>824.13220793120229</v>
      </c>
      <c r="O346" s="663">
        <f>O345-O347*курс</f>
        <v>0</v>
      </c>
      <c r="P346" s="664">
        <f t="shared" ref="P346" si="4643">IF(O346=0,0,O346/O$4)</f>
        <v>0</v>
      </c>
      <c r="Q346" s="663">
        <f>Q345-Q347*курс</f>
        <v>0</v>
      </c>
      <c r="R346" s="664">
        <f t="shared" ref="R346" si="4644">IF(Q346=0,0,Q346/Q$4)</f>
        <v>0</v>
      </c>
      <c r="S346" s="663">
        <f>S345-S347*курс</f>
        <v>0</v>
      </c>
      <c r="T346" s="664">
        <f t="shared" ref="T346" si="4645">IF(S346=0,0,S346/S$4)</f>
        <v>0</v>
      </c>
      <c r="U346" s="663">
        <f>U345-U347*курс</f>
        <v>0</v>
      </c>
      <c r="V346" s="664">
        <f t="shared" ref="V346" si="4646">IF(U346=0,0,U346/U$4)</f>
        <v>0</v>
      </c>
      <c r="W346" s="663">
        <f>W345-W347*курс</f>
        <v>0</v>
      </c>
      <c r="X346" s="664">
        <f t="shared" ref="X346" si="4647">IF(W346=0,0,W346/W$4)</f>
        <v>0</v>
      </c>
      <c r="Y346" s="663">
        <f>Y345-Y347*курс</f>
        <v>0</v>
      </c>
      <c r="Z346" s="664">
        <f t="shared" ref="Z346" si="4648">IF(Y346=0,0,Y346/Y$4)</f>
        <v>0</v>
      </c>
      <c r="AA346" s="663">
        <f>AA345-AA347*курс</f>
        <v>0</v>
      </c>
      <c r="AB346" s="664">
        <f t="shared" ref="AB346" si="4649">IF(AA346=0,0,AA346/AA$4)</f>
        <v>0</v>
      </c>
      <c r="AC346" s="663">
        <f>C346+E346+G346+I346+K346+M346+O346+Q346+S346+U346+W346+AA346+Y346</f>
        <v>132695936.25103632</v>
      </c>
      <c r="AD346" s="664">
        <f t="shared" ref="AD346" si="4650">IF(AC346=0,0,AC346/AC$4)</f>
        <v>824.1322079312024</v>
      </c>
      <c r="AE346" s="665"/>
      <c r="AF346" s="114"/>
      <c r="AG346" s="114"/>
      <c r="AH346" s="114"/>
      <c r="AI346" s="114"/>
      <c r="AJ346" s="114"/>
    </row>
    <row r="347" spans="1:36" s="68" customFormat="1" hidden="1" outlineLevel="3">
      <c r="A347" s="245"/>
      <c r="B347" s="246" t="s">
        <v>420</v>
      </c>
      <c r="C347" s="663"/>
      <c r="D347" s="664">
        <f t="shared" si="4382"/>
        <v>0</v>
      </c>
      <c r="E347" s="663">
        <f>Калькулятор_жилье!G398*Калькулятор_жилье!$G$58</f>
        <v>122330.60367091485</v>
      </c>
      <c r="F347" s="664">
        <f t="shared" si="4382"/>
        <v>2.8420557040846326</v>
      </c>
      <c r="G347" s="663">
        <f>Калькулятор_жилье!$G$398*(Калькулятор_жилье!H$56+Калькулятор_жилье!H$69)*IF(Калькулятор_жилье!H$64&lt;=75,1,0)+Калькулятор_жилье!$G$399*(Калькулятор_жилье!H$56+Калькулятор_жилье!H$69)*IF(AND(Калькулятор_жилье!H$64&gt;75,Калькулятор_жилье!H$64&lt;=130),1,0)+Калькулятор_жилье!$G$400*(Калькулятор_жилье!H$56+Калькулятор_жилье!H$69)*IF(Калькулятор_жилье!H$64&gt;130,1,0)</f>
        <v>118641.14580998362</v>
      </c>
      <c r="H347" s="664">
        <f t="shared" ref="H347" si="4651">IF(G347=0,0,G347/G$4)</f>
        <v>2.8420557040846326</v>
      </c>
      <c r="I347" s="663">
        <f>Калькулятор_жилье!$G$398*(Калькулятор_жилье!I$56+Калькулятор_жилье!I$69)*IF(Калькулятор_жилье!I$64&lt;=75,1,0)+Калькулятор_жилье!$G$399*(Калькулятор_жилье!I$56+Калькулятор_жилье!I$69)*IF(AND(Калькулятор_жилье!I$64&gt;75,Калькулятор_жилье!I$64&lt;=130),1,0)+Калькулятор_жилье!$G$400*(Калькулятор_жилье!I$56+Калькулятор_жилье!I$69)*IF(Калькулятор_жилье!I$64&gt;130,1,0)</f>
        <v>83395.446777431454</v>
      </c>
      <c r="J347" s="664">
        <f t="shared" ref="J347" si="4652">IF(I347=0,0,I347/I$4)</f>
        <v>2.8420557040846326</v>
      </c>
      <c r="K347" s="663">
        <f>Калькулятор_жилье!$G$398*(Калькулятор_жилье!J$56+Калькулятор_жилье!J$69)*IF(Калькулятор_жилье!J$64&lt;=75,1,0)+Калькулятор_жилье!$G$399*(Калькулятор_жилье!J$56+Калькулятор_жилье!J$69)*IF(AND(Калькулятор_жилье!J$64&gt;75,Калькулятор_жилье!J$64&lt;=130),1,0)+Калькулятор_жилье!$G$400*(Калькулятор_жилье!J$56+Калькулятор_жилье!J$69)*IF(Калькулятор_жилье!J$64&gt;130,1,0)</f>
        <v>121000.33624994427</v>
      </c>
      <c r="L347" s="664">
        <f t="shared" ref="L347" si="4653">IF(K347=0,0,K347/K$4)</f>
        <v>2.8420557040846326</v>
      </c>
      <c r="M347" s="663">
        <f>Калькулятор_жилье!$G$398*(Калькулятор_жилье!K$56+Калькулятор_жилье!K$69)*IF(Калькулятор_жилье!K$64&lt;=75,1,0)+Калькулятор_жилье!$G$399*(Калькулятор_жилье!K$56+Калькулятор_жилье!K$69)*IF(AND(Калькулятор_жилье!K$64&gt;75,Калькулятор_жилье!K$64&lt;=130),1,0)+Калькулятор_жилье!$G$400*(Калькулятор_жилье!K$56+Калькулятор_жилье!K$69)*IF(Калькулятор_жилье!K$64&gt;130,1,0)</f>
        <v>12240.165506351696</v>
      </c>
      <c r="N347" s="664">
        <f t="shared" ref="N347" si="4654">IF(M347=0,0,M347/M$4)</f>
        <v>2.8420557040846326</v>
      </c>
      <c r="O347" s="663">
        <f>Калькулятор_жилье!$G$398*(Калькулятор_жилье!L$56+Калькулятор_жилье!L$69)*IF(Калькулятор_жилье!L$64&lt;=75,1,0)+Калькулятор_жилье!$G$399*(Калькулятор_жилье!L$56+Калькулятор_жилье!L$69)*IF(AND(Калькулятор_жилье!L$64&gt;75,Калькулятор_жилье!L$64&lt;=130),1,0)+Калькулятор_жилье!$G$400*(Калькулятор_жилье!L$56+Калькулятор_жилье!L$69)*IF(Калькулятор_жилье!L$64&gt;130,1,0)</f>
        <v>0</v>
      </c>
      <c r="P347" s="664">
        <f t="shared" ref="P347" si="4655">IF(O347=0,0,O347/O$4)</f>
        <v>0</v>
      </c>
      <c r="Q347" s="663">
        <f>Калькулятор_жилье!$G$398*(Калькулятор_жилье!M$56+Калькулятор_жилье!M$69)*IF(Калькулятор_жилье!M$64&lt;=75,1,0)+Калькулятор_жилье!$G$399*(Калькулятор_жилье!M$56+Калькулятор_жилье!M$69)*IF(AND(Калькулятор_жилье!M$64&gt;75,Калькулятор_жилье!M$64&lt;=130),1,0)+Калькулятор_жилье!$G$400*(Калькулятор_жилье!M$56+Калькулятор_жилье!M$69)*IF(Калькулятор_жилье!M$64&gt;130,1,0)</f>
        <v>0</v>
      </c>
      <c r="R347" s="664">
        <f t="shared" ref="R347" si="4656">IF(Q347=0,0,Q347/Q$4)</f>
        <v>0</v>
      </c>
      <c r="S347" s="663">
        <f>Калькулятор_жилье!$G$398*(Калькулятор_жилье!N$56+Калькулятор_жилье!N$69)*IF(Калькулятор_жилье!N$64&lt;=75,1,0)+Калькулятор_жилье!$G$399*(Калькулятор_жилье!N$56+Калькулятор_жилье!N$69)*IF(AND(Калькулятор_жилье!N$64&gt;75,Калькулятор_жилье!N$64&lt;=130),1,0)+Калькулятор_жилье!$G$400*(Калькулятор_жилье!N$56+Калькулятор_жилье!N$69)*IF(Калькулятор_жилье!N$64&gt;130,1,0)</f>
        <v>0</v>
      </c>
      <c r="T347" s="664">
        <f t="shared" ref="T347" si="4657">IF(S347=0,0,S347/S$4)</f>
        <v>0</v>
      </c>
      <c r="U347" s="663">
        <f>Калькулятор_жилье!$G$398*(Калькулятор_жилье!O$56+Калькулятор_жилье!O$69)*IF(Калькулятор_жилье!O$64&lt;=75,1,0)+Калькулятор_жилье!$G$399*(Калькулятор_жилье!O$56+Калькулятор_жилье!O$69)*IF(AND(Калькулятор_жилье!O$64&gt;75,Калькулятор_жилье!O$64&lt;=130),1,0)+Калькулятор_жилье!$G$400*(Калькулятор_жилье!O$56+Калькулятор_жилье!O$69)*IF(Калькулятор_жилье!O$64&gt;130,1,0)</f>
        <v>0</v>
      </c>
      <c r="V347" s="664">
        <f t="shared" ref="V347" si="4658">IF(U347=0,0,U347/U$4)</f>
        <v>0</v>
      </c>
      <c r="W347" s="663">
        <f>Калькулятор_жилье!$G$398*(Калькулятор_жилье!P$56+Калькулятор_жилье!P$69)*IF(Калькулятор_жилье!P$64&lt;=75,1,0)+Калькулятор_жилье!$G$399*(Калькулятор_жилье!P$56+Калькулятор_жилье!P$69)*IF(AND(Калькулятор_жилье!P$64&gt;75,Калькулятор_жилье!P$64&lt;=130),1,0)+Калькулятор_жилье!$G$400*(Калькулятор_жилье!P$56+Калькулятор_жилье!P$69)*IF(Калькулятор_жилье!P$64&gt;130,1,0)</f>
        <v>0</v>
      </c>
      <c r="X347" s="664">
        <f t="shared" ref="X347" si="4659">IF(W347=0,0,W347/W$4)</f>
        <v>0</v>
      </c>
      <c r="Y347" s="663">
        <f>Калькулятор_жилье!$G$398*(Калькулятор_жилье!Q$56+Калькулятор_жилье!Q$69)*IF(Калькулятор_жилье!Q$64&lt;=75,1,0)+Калькулятор_жилье!$G$399*(Калькулятор_жилье!Q$56+Калькулятор_жилье!Q$69)*IF(AND(Калькулятор_жилье!Q$64&gt;75,Калькулятор_жилье!Q$64&lt;=130),1,0)+Калькулятор_жилье!$G$400*(Калькулятор_жилье!Q$56+Калькулятор_жилье!Q$69)*IF(Калькулятор_жилье!Q$64&gt;130,1,0)</f>
        <v>0</v>
      </c>
      <c r="Z347" s="664">
        <f t="shared" ref="Z347" si="4660">IF(Y347=0,0,Y347/Y$4)</f>
        <v>0</v>
      </c>
      <c r="AA347" s="663">
        <f>Калькулятор_жилье!$G$398*(Калькулятор_жилье!R$56+Калькулятор_жилье!R$69)*IF(Калькулятор_жилье!R$64&lt;=75,1,0)+Калькулятор_жилье!$G$399*(Калькулятор_жилье!R$56+Калькулятор_жилье!R$69)*IF(AND(Калькулятор_жилье!R$64&gt;75,Калькулятор_жилье!R$64&lt;=130),1,0)+Калькулятор_жилье!$G$400*(Калькулятор_жилье!R$56+Калькулятор_жилье!R$69)*IF(Калькулятор_жилье!R$64&gt;130,1,0)</f>
        <v>0</v>
      </c>
      <c r="AB347" s="664">
        <f t="shared" ref="AB347" si="4661">IF(AA347=0,0,AA347/AA$4)</f>
        <v>0</v>
      </c>
      <c r="AC347" s="663">
        <f t="shared" ref="AC347" si="4662">C347+E347+G347+I347+K347+M347+O347+Q347+S347+U347+W347+AA347+Y347</f>
        <v>457607.69801462587</v>
      </c>
      <c r="AD347" s="664">
        <f t="shared" ref="AD347" si="4663">IF(AC347=0,0,AC347/AC$4)</f>
        <v>2.8420557040846326</v>
      </c>
      <c r="AE347" s="665"/>
      <c r="AF347" s="114"/>
      <c r="AG347" s="114"/>
      <c r="AH347" s="114"/>
      <c r="AI347" s="114"/>
      <c r="AJ347" s="114"/>
    </row>
    <row r="348" spans="1:36" s="556" customFormat="1" ht="15.75" hidden="1" outlineLevel="2" collapsed="1">
      <c r="A348" s="609" t="s">
        <v>1404</v>
      </c>
      <c r="B348" s="559" t="s">
        <v>1140</v>
      </c>
      <c r="C348" s="659"/>
      <c r="D348" s="660">
        <f t="shared" si="4382"/>
        <v>0</v>
      </c>
      <c r="E348" s="659">
        <f>Калькулятор_жилье!L401</f>
        <v>49631731.69832354</v>
      </c>
      <c r="F348" s="660">
        <f t="shared" si="4382"/>
        <v>1153.0732453203434</v>
      </c>
      <c r="G348" s="659">
        <f>SUM(Калькулятор_жилье!M401:M403)</f>
        <v>48134852.118144162</v>
      </c>
      <c r="H348" s="660">
        <f t="shared" ref="H348" si="4664">IF(G348=0,0,G348/G$4)</f>
        <v>1153.0732453203434</v>
      </c>
      <c r="I348" s="659">
        <f>SUM(Калькулятор_жилье!N401:N403)</f>
        <v>33835036.492208496</v>
      </c>
      <c r="J348" s="660">
        <f t="shared" ref="J348" si="4665">IF(I348=0,0,I348/I$4)</f>
        <v>1153.0732453203434</v>
      </c>
      <c r="K348" s="659">
        <f>SUM(Калькулятор_жилье!O401:O403)</f>
        <v>49092018.219084576</v>
      </c>
      <c r="L348" s="660">
        <f t="shared" ref="L348" si="4666">IF(K348=0,0,K348/K$4)</f>
        <v>1153.0732453203434</v>
      </c>
      <c r="M348" s="659">
        <f>SUM(Калькулятор_жилье!P401:P403)</f>
        <v>4966055.8529456556</v>
      </c>
      <c r="N348" s="660">
        <f t="shared" ref="N348" si="4667">IF(M348=0,0,M348/M$4)</f>
        <v>1153.0732453203434</v>
      </c>
      <c r="O348" s="659">
        <f>SUM(Калькулятор_жилье!Q401:Q403)</f>
        <v>0</v>
      </c>
      <c r="P348" s="660">
        <f t="shared" ref="P348" si="4668">IF(O348=0,0,O348/O$4)</f>
        <v>0</v>
      </c>
      <c r="Q348" s="659">
        <f>SUM(Калькулятор_жилье!R401:R403)</f>
        <v>0</v>
      </c>
      <c r="R348" s="660">
        <f t="shared" ref="R348" si="4669">IF(Q348=0,0,Q348/Q$4)</f>
        <v>0</v>
      </c>
      <c r="S348" s="659">
        <f>SUM(Калькулятор_жилье!S401:S403)</f>
        <v>0</v>
      </c>
      <c r="T348" s="660">
        <f t="shared" ref="T348" si="4670">IF(S348=0,0,S348/S$4)</f>
        <v>0</v>
      </c>
      <c r="U348" s="659">
        <f>SUM(Калькулятор_жилье!T401:T403)</f>
        <v>0</v>
      </c>
      <c r="V348" s="660">
        <f t="shared" ref="V348" si="4671">IF(U348=0,0,U348/U$4)</f>
        <v>0</v>
      </c>
      <c r="W348" s="659">
        <f>SUM(Калькулятор_жилье!U401:U403)</f>
        <v>0</v>
      </c>
      <c r="X348" s="660">
        <f t="shared" ref="X348" si="4672">IF(W348=0,0,W348/W$4)</f>
        <v>0</v>
      </c>
      <c r="Y348" s="659">
        <f>SUM(Калькулятор_жилье!V401:V403)</f>
        <v>0</v>
      </c>
      <c r="Z348" s="660">
        <f t="shared" ref="Z348" si="4673">IF(Y348=0,0,Y348/Y$4)</f>
        <v>0</v>
      </c>
      <c r="AA348" s="659">
        <f>SUM(Калькулятор_жилье!W401:W403)</f>
        <v>0</v>
      </c>
      <c r="AB348" s="660">
        <f t="shared" ref="AB348" si="4674">IF(AA348=0,0,AA348/AA$4)</f>
        <v>0</v>
      </c>
      <c r="AC348" s="659">
        <f>C348+E348+G348+I348+K348+M348+O348+Q348+S348+U348+W348+AA348+Y348</f>
        <v>185659694.38070643</v>
      </c>
      <c r="AD348" s="660">
        <f t="shared" ref="AD348" si="4675">IF(AC348=0,0,AC348/AC$4)</f>
        <v>1153.0732453203434</v>
      </c>
      <c r="AE348" s="654"/>
    </row>
    <row r="349" spans="1:36" s="68" customFormat="1" hidden="1" outlineLevel="3">
      <c r="A349" s="245"/>
      <c r="B349" s="246" t="s">
        <v>419</v>
      </c>
      <c r="C349" s="663"/>
      <c r="D349" s="664">
        <f t="shared" si="4382"/>
        <v>0</v>
      </c>
      <c r="E349" s="663">
        <f>E348-E350*курс</f>
        <v>39492828.560684457</v>
      </c>
      <c r="F349" s="664">
        <f t="shared" si="4382"/>
        <v>917.52035315113858</v>
      </c>
      <c r="G349" s="663">
        <f>G348-G350*курс</f>
        <v>38301735.551975064</v>
      </c>
      <c r="H349" s="664">
        <f t="shared" ref="H349" si="4676">IF(G349=0,0,G349/G$4)</f>
        <v>917.52035315113858</v>
      </c>
      <c r="I349" s="663">
        <f>I348-I350*курс</f>
        <v>26923124.577908453</v>
      </c>
      <c r="J349" s="664">
        <f t="shared" ref="J349" si="4677">IF(I349=0,0,I349/I$4)</f>
        <v>917.52035315113858</v>
      </c>
      <c r="K349" s="663">
        <f>K348-K350*курс</f>
        <v>39063369.197125822</v>
      </c>
      <c r="L349" s="664">
        <f t="shared" ref="L349" si="4678">IF(K349=0,0,K349/K$4)</f>
        <v>917.52035315113858</v>
      </c>
      <c r="M349" s="663">
        <f>M348-M350*курс</f>
        <v>3951576.6569513241</v>
      </c>
      <c r="N349" s="664">
        <f t="shared" ref="N349" si="4679">IF(M349=0,0,M349/M$4)</f>
        <v>917.52035315113869</v>
      </c>
      <c r="O349" s="663">
        <f>O348-O350*курс</f>
        <v>0</v>
      </c>
      <c r="P349" s="664">
        <f t="shared" ref="P349" si="4680">IF(O349=0,0,O349/O$4)</f>
        <v>0</v>
      </c>
      <c r="Q349" s="663">
        <f>Q348-Q350*курс</f>
        <v>0</v>
      </c>
      <c r="R349" s="664">
        <f t="shared" ref="R349" si="4681">IF(Q349=0,0,Q349/Q$4)</f>
        <v>0</v>
      </c>
      <c r="S349" s="663">
        <f>S348-S350*курс</f>
        <v>0</v>
      </c>
      <c r="T349" s="664">
        <f t="shared" ref="T349" si="4682">IF(S349=0,0,S349/S$4)</f>
        <v>0</v>
      </c>
      <c r="U349" s="663">
        <f>U348-U350*курс</f>
        <v>0</v>
      </c>
      <c r="V349" s="664">
        <f t="shared" ref="V349" si="4683">IF(U349=0,0,U349/U$4)</f>
        <v>0</v>
      </c>
      <c r="W349" s="663">
        <f>W348-W350*курс</f>
        <v>0</v>
      </c>
      <c r="X349" s="664">
        <f t="shared" ref="X349" si="4684">IF(W349=0,0,W349/W$4)</f>
        <v>0</v>
      </c>
      <c r="Y349" s="663">
        <f>Y348-Y350*курс</f>
        <v>0</v>
      </c>
      <c r="Z349" s="664">
        <f t="shared" ref="Z349" si="4685">IF(Y349=0,0,Y349/Y$4)</f>
        <v>0</v>
      </c>
      <c r="AA349" s="663">
        <f>AA348-AA350*курс</f>
        <v>0</v>
      </c>
      <c r="AB349" s="664">
        <f t="shared" ref="AB349" si="4686">IF(AA349=0,0,AA349/AA$4)</f>
        <v>0</v>
      </c>
      <c r="AC349" s="663">
        <f>C349+E349+G349+I349+K349+M349+O349+Q349+S349+U349+W349+AA349+Y349</f>
        <v>147732634.54464513</v>
      </c>
      <c r="AD349" s="664">
        <f t="shared" ref="AD349" si="4687">IF(AC349=0,0,AC349/AC$4)</f>
        <v>917.52035315113858</v>
      </c>
      <c r="AE349" s="665"/>
      <c r="AF349" s="114"/>
      <c r="AG349" s="114"/>
      <c r="AH349" s="114"/>
      <c r="AI349" s="114"/>
      <c r="AJ349" s="114"/>
    </row>
    <row r="350" spans="1:36" s="68" customFormat="1" hidden="1" outlineLevel="3">
      <c r="A350" s="245"/>
      <c r="B350" s="246" t="s">
        <v>420</v>
      </c>
      <c r="C350" s="663"/>
      <c r="D350" s="664">
        <f t="shared" si="4382"/>
        <v>0</v>
      </c>
      <c r="E350" s="663">
        <f>Калькулятор_жилье!G401*Калькулятор_жилье!$G$58</f>
        <v>116016.77433485197</v>
      </c>
      <c r="F350" s="664">
        <f t="shared" si="4382"/>
        <v>2.6953691502648973</v>
      </c>
      <c r="G350" s="663">
        <f>Калькулятор_жилье!$G$401*(Калькулятор_жилье!H$56+Калькулятор_жилье!H$69)*IF(Калькулятор_жилье!H$64&lt;=75,1,0)+Калькулятор_жилье!$G$402*(Калькулятор_жилье!H$56+Калькулятор_жилье!H$69)*IF(AND(Калькулятор_жилье!H$64&gt;75,Калькулятор_жилье!H$64&lt;=130),1,0)+Калькулятор_жилье!$G$403*(Калькулятор_жилье!H$56+Калькулятор_жилье!H$69)*IF(Калькулятор_жилье!H$64&gt;130,1,0)</f>
        <v>112517.73985594853</v>
      </c>
      <c r="H350" s="664">
        <f t="shared" ref="H350" si="4688">IF(G350=0,0,G350/G$4)</f>
        <v>2.6953691502648973</v>
      </c>
      <c r="I350" s="663">
        <f>Калькулятор_жилье!$G$401*(Калькулятор_жилье!I$56+Калькулятор_жилье!I$69)*IF(Калькулятор_жилье!I$64&lt;=75,1,0)+Калькулятор_жилье!$G$402*(Калькулятор_жилье!I$56+Калькулятор_жилье!I$69)*IF(AND(Калькулятор_жилье!I$64&gt;75,Калькулятор_жилье!I$64&lt;=130),1,0)+Калькулятор_жилье!$G$403*(Калькулятор_жилье!I$56+Калькулятор_жилье!I$69)*IF(Калькулятор_жилье!I$64&gt;130,1,0)</f>
        <v>79091.171293155334</v>
      </c>
      <c r="J350" s="664">
        <f t="shared" ref="J350" si="4689">IF(I350=0,0,I350/I$4)</f>
        <v>2.6953691502648973</v>
      </c>
      <c r="K350" s="663">
        <f>Калькулятор_жилье!$G$401*(Калькулятор_жилье!J$56+Калькулятор_жилье!J$69)*IF(Калькулятор_жилье!J$64&lt;=75,1,0)+Калькулятор_жилье!$G$402*(Калькулятор_жилье!J$56+Калькулятор_жилье!J$69)*IF(AND(Калькулятор_жилье!J$64&gt;75,Калькулятор_жилье!J$64&lt;=130),1,0)+Калькулятор_жилье!$G$403*(Калькулятор_жилье!J$56+Калькулятор_жилье!J$69)*IF(Калькулятор_жилье!J$64&gt;130,1,0)</f>
        <v>114755.16578758342</v>
      </c>
      <c r="L350" s="664">
        <f t="shared" ref="L350" si="4690">IF(K350=0,0,K350/K$4)</f>
        <v>2.6953691502648973</v>
      </c>
      <c r="M350" s="663">
        <f>Калькулятор_жилье!$G$401*(Калькулятор_жилье!K$56+Калькулятор_жилье!K$69)*IF(Калькулятор_жилье!K$64&lt;=75,1,0)+Калькулятор_жилье!$G$402*(Калькулятор_жилье!K$56+Калькулятор_жилье!K$69)*IF(AND(Калькулятор_жилье!K$64&gt;75,Калькулятор_жилье!K$64&lt;=130),1,0)+Калькулятор_жилье!$G$403*(Калькулятор_жилье!K$56+Калькулятор_жилье!K$69)*IF(Калькулятор_жилье!K$64&gt;130,1,0)</f>
        <v>11608.41585636086</v>
      </c>
      <c r="N350" s="664">
        <f t="shared" ref="N350" si="4691">IF(M350=0,0,M350/M$4)</f>
        <v>2.6953691502648973</v>
      </c>
      <c r="O350" s="663">
        <f>Калькулятор_жилье!$G$401*(Калькулятор_жилье!L$56+Калькулятор_жилье!L$69)*IF(Калькулятор_жилье!L$64&lt;=75,1,0)+Калькулятор_жилье!$G$402*(Калькулятор_жилье!L$56+Калькулятор_жилье!L$69)*IF(AND(Калькулятор_жилье!L$64&gt;75,Калькулятор_жилье!L$64&lt;=130),1,0)+Калькулятор_жилье!$G$403*(Калькулятор_жилье!L$56+Калькулятор_жилье!L$69)*IF(Калькулятор_жилье!L$64&gt;130,1,0)</f>
        <v>0</v>
      </c>
      <c r="P350" s="664">
        <f t="shared" ref="P350" si="4692">IF(O350=0,0,O350/O$4)</f>
        <v>0</v>
      </c>
      <c r="Q350" s="663">
        <f>Калькулятор_жилье!$G$401*(Калькулятор_жилье!M$56+Калькулятор_жилье!M$69)*IF(Калькулятор_жилье!M$64&lt;=75,1,0)+Калькулятор_жилье!$G$402*(Калькулятор_жилье!M$56+Калькулятор_жилье!M$69)*IF(AND(Калькулятор_жилье!M$64&gt;75,Калькулятор_жилье!M$64&lt;=130),1,0)+Калькулятор_жилье!$G$403*(Калькулятор_жилье!M$56+Калькулятор_жилье!M$69)*IF(Калькулятор_жилье!M$64&gt;130,1,0)</f>
        <v>0</v>
      </c>
      <c r="R350" s="664">
        <f t="shared" ref="R350" si="4693">IF(Q350=0,0,Q350/Q$4)</f>
        <v>0</v>
      </c>
      <c r="S350" s="663">
        <f>Калькулятор_жилье!$G$401*(Калькулятор_жилье!N$56+Калькулятор_жилье!N$69)*IF(Калькулятор_жилье!N$64&lt;=75,1,0)+Калькулятор_жилье!$G$402*(Калькулятор_жилье!N$56+Калькулятор_жилье!N$69)*IF(AND(Калькулятор_жилье!N$64&gt;75,Калькулятор_жилье!N$64&lt;=130),1,0)+Калькулятор_жилье!$G$403*(Калькулятор_жилье!N$56+Калькулятор_жилье!N$69)*IF(Калькулятор_жилье!N$64&gt;130,1,0)</f>
        <v>0</v>
      </c>
      <c r="T350" s="664">
        <f t="shared" ref="T350" si="4694">IF(S350=0,0,S350/S$4)</f>
        <v>0</v>
      </c>
      <c r="U350" s="663">
        <f>Калькулятор_жилье!$G$401*(Калькулятор_жилье!O$56+Калькулятор_жилье!O$69)*IF(Калькулятор_жилье!O$64&lt;=75,1,0)+Калькулятор_жилье!$G$402*(Калькулятор_жилье!O$56+Калькулятор_жилье!O$69)*IF(AND(Калькулятор_жилье!O$64&gt;75,Калькулятор_жилье!O$64&lt;=130),1,0)+Калькулятор_жилье!$G$403*(Калькулятор_жилье!O$56+Калькулятор_жилье!O$69)*IF(Калькулятор_жилье!O$64&gt;130,1,0)</f>
        <v>0</v>
      </c>
      <c r="V350" s="664">
        <f t="shared" ref="V350" si="4695">IF(U350=0,0,U350/U$4)</f>
        <v>0</v>
      </c>
      <c r="W350" s="663">
        <f>Калькулятор_жилье!$G$401*(Калькулятор_жилье!P$56+Калькулятор_жилье!P$69)*IF(Калькулятор_жилье!P$64&lt;=75,1,0)+Калькулятор_жилье!$G$402*(Калькулятор_жилье!P$56+Калькулятор_жилье!P$69)*IF(AND(Калькулятор_жилье!P$64&gt;75,Калькулятор_жилье!P$64&lt;=130),1,0)+Калькулятор_жилье!$G$403*(Калькулятор_жилье!P$56+Калькулятор_жилье!P$69)*IF(Калькулятор_жилье!P$64&gt;130,1,0)</f>
        <v>0</v>
      </c>
      <c r="X350" s="664">
        <f t="shared" ref="X350" si="4696">IF(W350=0,0,W350/W$4)</f>
        <v>0</v>
      </c>
      <c r="Y350" s="663">
        <f>Калькулятор_жилье!$G$401*(Калькулятор_жилье!Q$56+Калькулятор_жилье!Q$69)*IF(Калькулятор_жилье!Q$64&lt;=75,1,0)+Калькулятор_жилье!$G$402*(Калькулятор_жилье!Q$56+Калькулятор_жилье!Q$69)*IF(AND(Калькулятор_жилье!Q$64&gt;75,Калькулятор_жилье!Q$64&lt;=130),1,0)+Калькулятор_жилье!$G$403*(Калькулятор_жилье!Q$56+Калькулятор_жилье!Q$69)*IF(Калькулятор_жилье!Q$64&gt;130,1,0)</f>
        <v>0</v>
      </c>
      <c r="Z350" s="664">
        <f t="shared" ref="Z350" si="4697">IF(Y350=0,0,Y350/Y$4)</f>
        <v>0</v>
      </c>
      <c r="AA350" s="663">
        <f>Калькулятор_жилье!$G$401*(Калькулятор_жилье!R$56+Калькулятор_жилье!R$69)*IF(Калькулятор_жилье!R$64&lt;=75,1,0)+Калькулятор_жилье!$G$402*(Калькулятор_жилье!R$56+Калькулятор_жилье!R$69)*IF(AND(Калькулятор_жилье!R$64&gt;75,Калькулятор_жилье!R$64&lt;=130),1,0)+Калькулятор_жилье!$G$403*(Калькулятор_жилье!R$56+Калькулятор_жилье!R$69)*IF(Калькулятор_жилье!R$64&gt;130,1,0)</f>
        <v>0</v>
      </c>
      <c r="AB350" s="664">
        <f t="shared" ref="AB350" si="4698">IF(AA350=0,0,AA350/AA$4)</f>
        <v>0</v>
      </c>
      <c r="AC350" s="663">
        <f>C350+E350+G350+I350+K350+M350+O350+Q350+S350+U350+W350+AA350+Y350</f>
        <v>433989.26712790009</v>
      </c>
      <c r="AD350" s="664">
        <f t="shared" ref="AD350" si="4699">IF(AC350=0,0,AC350/AC$4)</f>
        <v>2.6953691502648973</v>
      </c>
      <c r="AE350" s="665"/>
      <c r="AF350" s="114"/>
      <c r="AG350" s="114"/>
      <c r="AH350" s="114"/>
      <c r="AI350" s="114"/>
      <c r="AJ350" s="114"/>
    </row>
    <row r="351" spans="1:36" s="556" customFormat="1" ht="15.75" outlineLevel="1" collapsed="1">
      <c r="A351" s="610" t="s">
        <v>1403</v>
      </c>
      <c r="B351" s="558" t="s">
        <v>87</v>
      </c>
      <c r="C351" s="657">
        <f>C352+C362+C366</f>
        <v>0</v>
      </c>
      <c r="D351" s="658">
        <f t="shared" si="4382"/>
        <v>0</v>
      </c>
      <c r="E351" s="657">
        <f t="shared" ref="E351" si="4700">E352+E362+E366</f>
        <v>0</v>
      </c>
      <c r="F351" s="658">
        <f t="shared" si="4382"/>
        <v>0</v>
      </c>
      <c r="G351" s="657">
        <f t="shared" ref="G351" si="4701">G352+G362+G366</f>
        <v>91072188.128684923</v>
      </c>
      <c r="H351" s="658">
        <f t="shared" ref="H351" si="4702">IF(G351=0,0,G351/G$4)</f>
        <v>2181.6396831597112</v>
      </c>
      <c r="I351" s="657">
        <f t="shared" ref="I351" si="4703">I352+I362+I366</f>
        <v>91072188.128684923</v>
      </c>
      <c r="J351" s="658">
        <f t="shared" ref="J351" si="4704">IF(I351=0,0,I351/I$4)</f>
        <v>3103.6734229073422</v>
      </c>
      <c r="K351" s="657">
        <f t="shared" ref="K351" si="4705">K352+K362+K366</f>
        <v>91072188.128684923</v>
      </c>
      <c r="L351" s="658">
        <f t="shared" ref="L351" si="4706">IF(K351=0,0,K351/K$4)</f>
        <v>2139.1034089355016</v>
      </c>
      <c r="M351" s="657">
        <f t="shared" ref="M351" si="4707">M352+M362+M366</f>
        <v>0</v>
      </c>
      <c r="N351" s="658">
        <f t="shared" ref="N351" si="4708">IF(M351=0,0,M351/M$4)</f>
        <v>0</v>
      </c>
      <c r="O351" s="657">
        <f t="shared" ref="O351" si="4709">O352+O362+O366</f>
        <v>0</v>
      </c>
      <c r="P351" s="658">
        <f t="shared" ref="P351" si="4710">IF(O351=0,0,O351/O$4)</f>
        <v>0</v>
      </c>
      <c r="Q351" s="657">
        <f t="shared" ref="Q351" si="4711">Q352+Q362+Q366</f>
        <v>0</v>
      </c>
      <c r="R351" s="658">
        <f t="shared" ref="R351" si="4712">IF(Q351=0,0,Q351/Q$4)</f>
        <v>0</v>
      </c>
      <c r="S351" s="657">
        <f t="shared" ref="S351" si="4713">S352+S362+S366</f>
        <v>0</v>
      </c>
      <c r="T351" s="658">
        <f t="shared" ref="T351" si="4714">IF(S351=0,0,S351/S$4)</f>
        <v>0</v>
      </c>
      <c r="U351" s="657">
        <f t="shared" ref="U351" si="4715">U352+U362+U366</f>
        <v>0</v>
      </c>
      <c r="V351" s="658">
        <f t="shared" ref="V351" si="4716">IF(U351=0,0,U351/U$4)</f>
        <v>0</v>
      </c>
      <c r="W351" s="657">
        <f t="shared" ref="W351" si="4717">W352+W362+W366</f>
        <v>0</v>
      </c>
      <c r="X351" s="658">
        <f t="shared" ref="X351" si="4718">IF(W351=0,0,W351/W$4)</f>
        <v>0</v>
      </c>
      <c r="Y351" s="657">
        <f t="shared" ref="Y351" si="4719">Y352+Y362+Y366</f>
        <v>0</v>
      </c>
      <c r="Z351" s="658">
        <f t="shared" ref="Z351" si="4720">IF(Y351=0,0,Y351/Y$4)</f>
        <v>0</v>
      </c>
      <c r="AA351" s="657">
        <f t="shared" ref="AA351" si="4721">AA352+AA362+AA366</f>
        <v>0</v>
      </c>
      <c r="AB351" s="658">
        <f t="shared" ref="AB351" si="4722">IF(AA351=0,0,AA351/AA$4)</f>
        <v>0</v>
      </c>
      <c r="AC351" s="657">
        <f t="shared" ref="AC351" si="4723">AC352+AC362+AC366</f>
        <v>273216564.38605475</v>
      </c>
      <c r="AD351" s="658">
        <f t="shared" ref="AD351" si="4724">IF(AC351=0,0,AC351/AC$4)</f>
        <v>1696.861085669444</v>
      </c>
      <c r="AE351" s="654"/>
    </row>
    <row r="352" spans="1:36" s="556" customFormat="1" ht="15.75" hidden="1" outlineLevel="2" collapsed="1">
      <c r="A352" s="609" t="s">
        <v>1402</v>
      </c>
      <c r="B352" s="559" t="s">
        <v>1838</v>
      </c>
      <c r="C352" s="659">
        <f>C353+C356+C359+C360+C361</f>
        <v>0</v>
      </c>
      <c r="D352" s="660">
        <f t="shared" si="4382"/>
        <v>0</v>
      </c>
      <c r="E352" s="659">
        <f t="shared" ref="E352" si="4725">E353+E356+E359+E360+E361</f>
        <v>0</v>
      </c>
      <c r="F352" s="660">
        <f t="shared" si="4382"/>
        <v>0</v>
      </c>
      <c r="G352" s="659">
        <f t="shared" ref="G352" si="4726">G353+G356+G359+G360+G361</f>
        <v>91072188.128684923</v>
      </c>
      <c r="H352" s="660">
        <f t="shared" ref="H352" si="4727">IF(G352=0,0,G352/G$4)</f>
        <v>2181.6396831597112</v>
      </c>
      <c r="I352" s="659">
        <f t="shared" ref="I352" si="4728">I353+I356+I359+I360+I361</f>
        <v>91072188.128684923</v>
      </c>
      <c r="J352" s="660">
        <f t="shared" ref="J352" si="4729">IF(I352=0,0,I352/I$4)</f>
        <v>3103.6734229073422</v>
      </c>
      <c r="K352" s="659">
        <f t="shared" ref="K352" si="4730">K353+K356+K359+K360+K361</f>
        <v>91072188.128684923</v>
      </c>
      <c r="L352" s="660">
        <f t="shared" ref="L352" si="4731">IF(K352=0,0,K352/K$4)</f>
        <v>2139.1034089355016</v>
      </c>
      <c r="M352" s="659">
        <f t="shared" ref="M352" si="4732">M353+M356+M359+M360+M361</f>
        <v>0</v>
      </c>
      <c r="N352" s="660">
        <f t="shared" ref="N352" si="4733">IF(M352=0,0,M352/M$4)</f>
        <v>0</v>
      </c>
      <c r="O352" s="659">
        <f t="shared" ref="O352" si="4734">O353+O356+O359+O360+O361</f>
        <v>0</v>
      </c>
      <c r="P352" s="660">
        <f t="shared" ref="P352" si="4735">IF(O352=0,0,O352/O$4)</f>
        <v>0</v>
      </c>
      <c r="Q352" s="659">
        <f t="shared" ref="Q352" si="4736">Q353+Q356+Q359+Q360+Q361</f>
        <v>0</v>
      </c>
      <c r="R352" s="660">
        <f t="shared" ref="R352" si="4737">IF(Q352=0,0,Q352/Q$4)</f>
        <v>0</v>
      </c>
      <c r="S352" s="659">
        <f t="shared" ref="S352" si="4738">S353+S356+S359+S360+S361</f>
        <v>0</v>
      </c>
      <c r="T352" s="660">
        <f t="shared" ref="T352" si="4739">IF(S352=0,0,S352/S$4)</f>
        <v>0</v>
      </c>
      <c r="U352" s="659">
        <f t="shared" ref="U352" si="4740">U353+U356+U359+U360+U361</f>
        <v>0</v>
      </c>
      <c r="V352" s="660">
        <f t="shared" ref="V352" si="4741">IF(U352=0,0,U352/U$4)</f>
        <v>0</v>
      </c>
      <c r="W352" s="659">
        <f t="shared" ref="W352" si="4742">W353+W356+W359+W360+W361</f>
        <v>0</v>
      </c>
      <c r="X352" s="660">
        <f t="shared" ref="X352" si="4743">IF(W352=0,0,W352/W$4)</f>
        <v>0</v>
      </c>
      <c r="Y352" s="659">
        <f t="shared" ref="Y352" si="4744">Y353+Y356+Y359+Y360+Y361</f>
        <v>0</v>
      </c>
      <c r="Z352" s="660">
        <f t="shared" ref="Z352" si="4745">IF(Y352=0,0,Y352/Y$4)</f>
        <v>0</v>
      </c>
      <c r="AA352" s="659">
        <f t="shared" ref="AA352" si="4746">AA353+AA356+AA359+AA360+AA361</f>
        <v>0</v>
      </c>
      <c r="AB352" s="660">
        <f t="shared" ref="AB352" si="4747">IF(AA352=0,0,AA352/AA$4)</f>
        <v>0</v>
      </c>
      <c r="AC352" s="659">
        <f t="shared" ref="AC352" si="4748">AC353+AC356+AC359+AC360+AC361</f>
        <v>273216564.38605475</v>
      </c>
      <c r="AD352" s="660">
        <f t="shared" ref="AD352" si="4749">IF(AC352=0,0,AC352/AC$4)</f>
        <v>1696.861085669444</v>
      </c>
      <c r="AE352" s="654"/>
    </row>
    <row r="353" spans="1:36" s="68" customFormat="1" hidden="1" outlineLevel="3" collapsed="1">
      <c r="A353" s="117"/>
      <c r="B353" s="118" t="s">
        <v>496</v>
      </c>
      <c r="C353" s="661"/>
      <c r="D353" s="662">
        <f t="shared" si="4382"/>
        <v>0</v>
      </c>
      <c r="E353" s="661">
        <f>SUM(Калькулятор_жилье!L432:L450)</f>
        <v>0</v>
      </c>
      <c r="F353" s="662">
        <f t="shared" si="4382"/>
        <v>0</v>
      </c>
      <c r="G353" s="661">
        <f>SUM(Калькулятор_жилье!M432:M450)</f>
        <v>89820116.862848014</v>
      </c>
      <c r="H353" s="662">
        <f t="shared" ref="H353" si="4750">IF(G353=0,0,G353/G$4)</f>
        <v>2151.6462415193928</v>
      </c>
      <c r="I353" s="661">
        <f>SUM(Калькулятор_жилье!N432:N450)</f>
        <v>89820116.862848014</v>
      </c>
      <c r="J353" s="662">
        <f t="shared" ref="J353" si="4751">IF(I353=0,0,I353/I$4)</f>
        <v>3061.0037518341819</v>
      </c>
      <c r="K353" s="661">
        <f>SUM(Калькулятор_жилье!O432:O450)</f>
        <v>89820116.862848014</v>
      </c>
      <c r="L353" s="662">
        <f t="shared" ref="L353" si="4752">IF(K353=0,0,K353/K$4)</f>
        <v>2109.6947610484272</v>
      </c>
      <c r="M353" s="661">
        <f>SUM(Калькулятор_жилье!P432:P450)</f>
        <v>0</v>
      </c>
      <c r="N353" s="662">
        <f t="shared" ref="N353" si="4753">IF(M353=0,0,M353/M$4)</f>
        <v>0</v>
      </c>
      <c r="O353" s="661">
        <f>SUM(Калькулятор_жилье!Q432:Q450)</f>
        <v>0</v>
      </c>
      <c r="P353" s="662">
        <f t="shared" ref="P353" si="4754">IF(O353=0,0,O353/O$4)</f>
        <v>0</v>
      </c>
      <c r="Q353" s="661">
        <f>SUM(Калькулятор_жилье!R432:R450)</f>
        <v>0</v>
      </c>
      <c r="R353" s="662">
        <f t="shared" ref="R353" si="4755">IF(Q353=0,0,Q353/Q$4)</f>
        <v>0</v>
      </c>
      <c r="S353" s="661">
        <f>SUM(Калькулятор_жилье!S432:S450)</f>
        <v>0</v>
      </c>
      <c r="T353" s="662">
        <f t="shared" ref="T353" si="4756">IF(S353=0,0,S353/S$4)</f>
        <v>0</v>
      </c>
      <c r="U353" s="661">
        <f>SUM(Калькулятор_жилье!T432:T450)</f>
        <v>0</v>
      </c>
      <c r="V353" s="662">
        <f t="shared" ref="V353" si="4757">IF(U353=0,0,U353/U$4)</f>
        <v>0</v>
      </c>
      <c r="W353" s="661">
        <f>SUM(Калькулятор_жилье!U432:U450)</f>
        <v>0</v>
      </c>
      <c r="X353" s="662">
        <f t="shared" ref="X353" si="4758">IF(W353=0,0,W353/W$4)</f>
        <v>0</v>
      </c>
      <c r="Y353" s="661">
        <f>SUM(Калькулятор_жилье!V432:V450)</f>
        <v>0</v>
      </c>
      <c r="Z353" s="662">
        <f t="shared" ref="Z353" si="4759">IF(Y353=0,0,Y353/Y$4)</f>
        <v>0</v>
      </c>
      <c r="AA353" s="661">
        <f>SUM(Калькулятор_жилье!W432:W450)</f>
        <v>0</v>
      </c>
      <c r="AB353" s="662">
        <f t="shared" ref="AB353" si="4760">IF(AA353=0,0,AA353/AA$4)</f>
        <v>0</v>
      </c>
      <c r="AC353" s="661">
        <f>C353+E353+G353+I353+K353+M353+O353+Q353+S353+U353+W353+AA353+Y353</f>
        <v>269460350.58854401</v>
      </c>
      <c r="AD353" s="662">
        <f t="shared" ref="AD353" si="4761">IF(AC353=0,0,AC353/AC$4)</f>
        <v>1673.5324378007722</v>
      </c>
      <c r="AE353" s="665"/>
      <c r="AF353" s="114"/>
      <c r="AG353" s="114"/>
      <c r="AH353" s="114"/>
      <c r="AI353" s="114"/>
      <c r="AJ353" s="114"/>
    </row>
    <row r="354" spans="1:36" s="68" customFormat="1" hidden="1" outlineLevel="4">
      <c r="A354" s="245"/>
      <c r="B354" s="246" t="s">
        <v>419</v>
      </c>
      <c r="C354" s="663"/>
      <c r="D354" s="664">
        <f t="shared" si="4382"/>
        <v>0</v>
      </c>
      <c r="E354" s="663">
        <f>E353-E355*курс</f>
        <v>0</v>
      </c>
      <c r="F354" s="664">
        <f t="shared" si="4382"/>
        <v>0</v>
      </c>
      <c r="G354" s="663">
        <f>G353-G355*курс</f>
        <v>25163.799121111631</v>
      </c>
      <c r="H354" s="664">
        <f t="shared" ref="H354" si="4762">IF(G354=0,0,G354/G$4)</f>
        <v>0.60280030456834177</v>
      </c>
      <c r="I354" s="663">
        <f>I353-I355*курс</f>
        <v>25163.799121111631</v>
      </c>
      <c r="J354" s="664">
        <f t="shared" ref="J354" si="4763">IF(I354=0,0,I354/I$4)</f>
        <v>0.85756383102619393</v>
      </c>
      <c r="K354" s="663">
        <f>K353-K355*курс</f>
        <v>25163.799121111631</v>
      </c>
      <c r="L354" s="664">
        <f t="shared" ref="L354" si="4764">IF(K354=0,0,K354/K$4)</f>
        <v>0.59104727346266461</v>
      </c>
      <c r="M354" s="663">
        <f>M353-M355*курс</f>
        <v>0</v>
      </c>
      <c r="N354" s="664">
        <f t="shared" ref="N354" si="4765">IF(M354=0,0,M354/M$4)</f>
        <v>0</v>
      </c>
      <c r="O354" s="663">
        <f>O353-O355*курс</f>
        <v>0</v>
      </c>
      <c r="P354" s="664">
        <f t="shared" ref="P354" si="4766">IF(O354=0,0,O354/O$4)</f>
        <v>0</v>
      </c>
      <c r="Q354" s="663">
        <f>Q353-Q355*курс</f>
        <v>0</v>
      </c>
      <c r="R354" s="664">
        <f t="shared" ref="R354" si="4767">IF(Q354=0,0,Q354/Q$4)</f>
        <v>0</v>
      </c>
      <c r="S354" s="663">
        <f>S353-S355*курс</f>
        <v>0</v>
      </c>
      <c r="T354" s="664">
        <f t="shared" ref="T354" si="4768">IF(S354=0,0,S354/S$4)</f>
        <v>0</v>
      </c>
      <c r="U354" s="663">
        <f>U353-U355*курс</f>
        <v>0</v>
      </c>
      <c r="V354" s="664">
        <f t="shared" ref="V354" si="4769">IF(U354=0,0,U354/U$4)</f>
        <v>0</v>
      </c>
      <c r="W354" s="663">
        <f>W353-W355*курс</f>
        <v>0</v>
      </c>
      <c r="X354" s="664">
        <f t="shared" ref="X354" si="4770">IF(W354=0,0,W354/W$4)</f>
        <v>0</v>
      </c>
      <c r="Y354" s="663">
        <f>Y353-Y355*курс</f>
        <v>0</v>
      </c>
      <c r="Z354" s="664">
        <f t="shared" ref="Z354" si="4771">IF(Y354=0,0,Y354/Y$4)</f>
        <v>0</v>
      </c>
      <c r="AA354" s="663">
        <f>AA353-AA355*курс</f>
        <v>0</v>
      </c>
      <c r="AB354" s="664">
        <f t="shared" ref="AB354" si="4772">IF(AA354=0,0,AA354/AA$4)</f>
        <v>0</v>
      </c>
      <c r="AC354" s="663">
        <f>C354+E354+G354+I354+K354+M354+O354+Q354+S354+U354+W354+AA354+Y354</f>
        <v>75491.397363334894</v>
      </c>
      <c r="AD354" s="664">
        <f t="shared" ref="AD354" si="4773">IF(AC354=0,0,AC354/AC$4)</f>
        <v>0.46885303157406266</v>
      </c>
      <c r="AE354" s="665"/>
      <c r="AF354" s="114"/>
      <c r="AG354" s="114"/>
      <c r="AH354" s="114"/>
      <c r="AI354" s="114"/>
      <c r="AJ354" s="114"/>
    </row>
    <row r="355" spans="1:36" s="68" customFormat="1" hidden="1" outlineLevel="4">
      <c r="A355" s="245"/>
      <c r="B355" s="246" t="s">
        <v>420</v>
      </c>
      <c r="C355" s="663"/>
      <c r="D355" s="664">
        <f t="shared" si="4382"/>
        <v>0</v>
      </c>
      <c r="E355" s="663">
        <f>SUM(Калькулятор_жилье!AB432:AB450)</f>
        <v>0</v>
      </c>
      <c r="F355" s="664">
        <f t="shared" si="4382"/>
        <v>0</v>
      </c>
      <c r="G355" s="663">
        <f>SUM(Калькулятор_жилье!AC432:AC450)</f>
        <v>1027499.7861779425</v>
      </c>
      <c r="H355" s="664">
        <f t="shared" ref="H355" si="4774">IF(G355=0,0,G355/G$4)</f>
        <v>24.613818488653088</v>
      </c>
      <c r="I355" s="663">
        <f>SUM(Калькулятор_жилье!AD432:AD450)</f>
        <v>1027499.7861779425</v>
      </c>
      <c r="J355" s="664">
        <f t="shared" ref="J355" si="4775">IF(I355=0,0,I355/I$4)</f>
        <v>35.016439639040726</v>
      </c>
      <c r="K355" s="663">
        <f>SUM(Калькулятор_жилье!AE432:AE450)</f>
        <v>1027499.7861779425</v>
      </c>
      <c r="L355" s="664">
        <f t="shared" ref="L355" si="4776">IF(K355=0,0,K355/K$4)</f>
        <v>24.133913332444205</v>
      </c>
      <c r="M355" s="663">
        <f>SUM(Калькулятор_жилье!AF432:AF450)</f>
        <v>0</v>
      </c>
      <c r="N355" s="664">
        <f t="shared" ref="N355" si="4777">IF(M355=0,0,M355/M$4)</f>
        <v>0</v>
      </c>
      <c r="O355" s="663">
        <f>SUM(Калькулятор_жилье!AG432:AG450)</f>
        <v>0</v>
      </c>
      <c r="P355" s="664">
        <f t="shared" ref="P355" si="4778">IF(O355=0,0,O355/O$4)</f>
        <v>0</v>
      </c>
      <c r="Q355" s="663">
        <f>SUM(Калькулятор_жилье!AH432:AH450)</f>
        <v>0</v>
      </c>
      <c r="R355" s="664">
        <f t="shared" ref="R355" si="4779">IF(Q355=0,0,Q355/Q$4)</f>
        <v>0</v>
      </c>
      <c r="S355" s="663">
        <f>SUM(Калькулятор_жилье!AI432:AI450)</f>
        <v>0</v>
      </c>
      <c r="T355" s="664">
        <f t="shared" ref="T355" si="4780">IF(S355=0,0,S355/S$4)</f>
        <v>0</v>
      </c>
      <c r="U355" s="663">
        <f>SUM(Калькулятор_жилье!AJ432:AJ450)</f>
        <v>0</v>
      </c>
      <c r="V355" s="664">
        <f t="shared" ref="V355" si="4781">IF(U355=0,0,U355/U$4)</f>
        <v>0</v>
      </c>
      <c r="W355" s="663">
        <f>SUM(Калькулятор_жилье!AK432:AK450)</f>
        <v>0</v>
      </c>
      <c r="X355" s="664">
        <f t="shared" ref="X355" si="4782">IF(W355=0,0,W355/W$4)</f>
        <v>0</v>
      </c>
      <c r="Y355" s="663">
        <f>SUM(Калькулятор_жилье!AL432:AL450)</f>
        <v>0</v>
      </c>
      <c r="Z355" s="664">
        <f t="shared" ref="Z355" si="4783">IF(Y355=0,0,Y355/Y$4)</f>
        <v>0</v>
      </c>
      <c r="AA355" s="663">
        <f>SUM(Калькулятор_жилье!AM432:AM450)</f>
        <v>0</v>
      </c>
      <c r="AB355" s="664">
        <f t="shared" ref="AB355" si="4784">IF(AA355=0,0,AA355/AA$4)</f>
        <v>0</v>
      </c>
      <c r="AC355" s="663">
        <f>C355+E355+G355+I355+K355+M355+O355+Q355+S355+U355+W355+AA355+Y355</f>
        <v>3082499.3585338276</v>
      </c>
      <c r="AD355" s="664">
        <f t="shared" ref="AD355" si="4785">IF(AC355=0,0,AC355/AC$4)</f>
        <v>19.144422007687208</v>
      </c>
      <c r="AE355" s="665"/>
      <c r="AF355" s="114"/>
      <c r="AG355" s="114"/>
      <c r="AH355" s="114"/>
      <c r="AI355" s="114"/>
      <c r="AJ355" s="114"/>
    </row>
    <row r="356" spans="1:36" s="68" customFormat="1" hidden="1" outlineLevel="3" collapsed="1">
      <c r="A356" s="117"/>
      <c r="B356" s="118" t="s">
        <v>838</v>
      </c>
      <c r="C356" s="661"/>
      <c r="D356" s="662">
        <f t="shared" si="4382"/>
        <v>0</v>
      </c>
      <c r="E356" s="661">
        <f>Калькулятор_жилье!L473</f>
        <v>0</v>
      </c>
      <c r="F356" s="662">
        <f t="shared" si="4382"/>
        <v>0</v>
      </c>
      <c r="G356" s="661">
        <f>Калькулятор_жилье!M473</f>
        <v>334740.14543843881</v>
      </c>
      <c r="H356" s="662">
        <f t="shared" ref="H356" si="4786">IF(G356=0,0,G356/G$4)</f>
        <v>8.0187200927165918</v>
      </c>
      <c r="I356" s="661">
        <f>Калькулятор_жилье!N473</f>
        <v>334740.14543843881</v>
      </c>
      <c r="J356" s="662">
        <f t="shared" ref="J356" si="4787">IF(I356=0,0,I356/I$4)</f>
        <v>11.407698819198481</v>
      </c>
      <c r="K356" s="661">
        <f>Калькулятор_жилье!O473</f>
        <v>334740.14543843881</v>
      </c>
      <c r="L356" s="662">
        <f t="shared" ref="L356" si="4788">IF(K356=0,0,K356/K$4)</f>
        <v>7.862376000049113</v>
      </c>
      <c r="M356" s="661">
        <f>Калькулятор_жилье!P473</f>
        <v>0</v>
      </c>
      <c r="N356" s="662">
        <f t="shared" ref="N356" si="4789">IF(M356=0,0,M356/M$4)</f>
        <v>0</v>
      </c>
      <c r="O356" s="661">
        <f>Калькулятор_жилье!Q473</f>
        <v>0</v>
      </c>
      <c r="P356" s="662">
        <f t="shared" ref="P356" si="4790">IF(O356=0,0,O356/O$4)</f>
        <v>0</v>
      </c>
      <c r="Q356" s="661">
        <f>Калькулятор_жилье!R473</f>
        <v>0</v>
      </c>
      <c r="R356" s="662">
        <f t="shared" ref="R356" si="4791">IF(Q356=0,0,Q356/Q$4)</f>
        <v>0</v>
      </c>
      <c r="S356" s="661">
        <f>Калькулятор_жилье!S473</f>
        <v>0</v>
      </c>
      <c r="T356" s="662">
        <f t="shared" ref="T356" si="4792">IF(S356=0,0,S356/S$4)</f>
        <v>0</v>
      </c>
      <c r="U356" s="661">
        <f>Калькулятор_жилье!T473</f>
        <v>0</v>
      </c>
      <c r="V356" s="662">
        <f t="shared" ref="V356" si="4793">IF(U356=0,0,U356/U$4)</f>
        <v>0</v>
      </c>
      <c r="W356" s="661">
        <f>Калькулятор_жилье!U473</f>
        <v>0</v>
      </c>
      <c r="X356" s="662">
        <f t="shared" ref="X356" si="4794">IF(W356=0,0,W356/W$4)</f>
        <v>0</v>
      </c>
      <c r="Y356" s="661">
        <f>Калькулятор_жилье!V473</f>
        <v>0</v>
      </c>
      <c r="Z356" s="662">
        <f t="shared" ref="Z356" si="4795">IF(Y356=0,0,Y356/Y$4)</f>
        <v>0</v>
      </c>
      <c r="AA356" s="661">
        <f>Калькулятор_жилье!W473</f>
        <v>0</v>
      </c>
      <c r="AB356" s="662">
        <f t="shared" ref="AB356" si="4796">IF(AA356=0,0,AA356/AA$4)</f>
        <v>0</v>
      </c>
      <c r="AC356" s="661">
        <f>C356+E356+G356+I356+K356+M356+O356+Q356+S356+U356+W356+AA356+Y356</f>
        <v>1004220.4363153165</v>
      </c>
      <c r="AD356" s="662">
        <f t="shared" ref="AD356" si="4797">IF(AC356=0,0,AC356/AC$4)</f>
        <v>6.2368933730155121</v>
      </c>
      <c r="AE356" s="665"/>
      <c r="AF356" s="114"/>
      <c r="AG356" s="114"/>
      <c r="AH356" s="114"/>
      <c r="AI356" s="114"/>
      <c r="AJ356" s="114"/>
    </row>
    <row r="357" spans="1:36" s="68" customFormat="1" hidden="1" outlineLevel="4">
      <c r="A357" s="245"/>
      <c r="B357" s="246" t="s">
        <v>419</v>
      </c>
      <c r="C357" s="663"/>
      <c r="D357" s="664">
        <f t="shared" si="4382"/>
        <v>0</v>
      </c>
      <c r="E357" s="663">
        <f>E356-E358*курс</f>
        <v>0</v>
      </c>
      <c r="F357" s="664">
        <f t="shared" si="4382"/>
        <v>0</v>
      </c>
      <c r="G357" s="663">
        <f>G356-G358*курс</f>
        <v>286837.49747609475</v>
      </c>
      <c r="H357" s="664">
        <f t="shared" ref="H357" si="4798">IF(G357=0,0,G357/G$4)</f>
        <v>6.8712093117588298</v>
      </c>
      <c r="I357" s="663">
        <f>I356-I358*курс</f>
        <v>286837.49747609475</v>
      </c>
      <c r="J357" s="664">
        <f t="shared" ref="J357" si="4799">IF(I357=0,0,I357/I$4)</f>
        <v>9.775211685392744</v>
      </c>
      <c r="K357" s="663">
        <f>K356-K358*курс</f>
        <v>286837.49747609475</v>
      </c>
      <c r="L357" s="664">
        <f t="shared" ref="L357" si="4800">IF(K357=0,0,K357/K$4)</f>
        <v>6.7372386814145893</v>
      </c>
      <c r="M357" s="663">
        <f>M356-M358*курс</f>
        <v>0</v>
      </c>
      <c r="N357" s="664">
        <f t="shared" ref="N357" si="4801">IF(M357=0,0,M357/M$4)</f>
        <v>0</v>
      </c>
      <c r="O357" s="663">
        <f>O356-O358*курс</f>
        <v>0</v>
      </c>
      <c r="P357" s="664">
        <f t="shared" ref="P357" si="4802">IF(O357=0,0,O357/O$4)</f>
        <v>0</v>
      </c>
      <c r="Q357" s="663">
        <f>Q356-Q358*курс</f>
        <v>0</v>
      </c>
      <c r="R357" s="664">
        <f t="shared" ref="R357" si="4803">IF(Q357=0,0,Q357/Q$4)</f>
        <v>0</v>
      </c>
      <c r="S357" s="663">
        <f>S356-S358*курс</f>
        <v>0</v>
      </c>
      <c r="T357" s="664">
        <f t="shared" ref="T357" si="4804">IF(S357=0,0,S357/S$4)</f>
        <v>0</v>
      </c>
      <c r="U357" s="663">
        <f>U356-U358*курс</f>
        <v>0</v>
      </c>
      <c r="V357" s="664">
        <f t="shared" ref="V357" si="4805">IF(U357=0,0,U357/U$4)</f>
        <v>0</v>
      </c>
      <c r="W357" s="663">
        <f>W356-W358*курс</f>
        <v>0</v>
      </c>
      <c r="X357" s="664">
        <f t="shared" ref="X357" si="4806">IF(W357=0,0,W357/W$4)</f>
        <v>0</v>
      </c>
      <c r="Y357" s="663">
        <f>Y356-Y358*курс</f>
        <v>0</v>
      </c>
      <c r="Z357" s="664">
        <f t="shared" ref="Z357" si="4807">IF(Y357=0,0,Y357/Y$4)</f>
        <v>0</v>
      </c>
      <c r="AA357" s="663">
        <f>AA356-AA358*курс</f>
        <v>0</v>
      </c>
      <c r="AB357" s="664">
        <f t="shared" ref="AB357" si="4808">IF(AA357=0,0,AA357/AA$4)</f>
        <v>0</v>
      </c>
      <c r="AC357" s="663">
        <f t="shared" ref="AC357:AC358" si="4809">C357+E357+G357+I357+K357+M357+O357+Q357+S357+U357+W357+AA357+Y357</f>
        <v>860512.49242828425</v>
      </c>
      <c r="AD357" s="664">
        <f t="shared" ref="AD357" si="4810">IF(AC357=0,0,AC357/AC$4)</f>
        <v>5.344369092024591</v>
      </c>
      <c r="AE357" s="665"/>
      <c r="AF357" s="114"/>
      <c r="AG357" s="114"/>
      <c r="AH357" s="114"/>
      <c r="AI357" s="114"/>
      <c r="AJ357" s="114"/>
    </row>
    <row r="358" spans="1:36" s="68" customFormat="1" hidden="1" outlineLevel="4">
      <c r="A358" s="245"/>
      <c r="B358" s="246" t="s">
        <v>420</v>
      </c>
      <c r="C358" s="663"/>
      <c r="D358" s="664">
        <f t="shared" si="4382"/>
        <v>0</v>
      </c>
      <c r="E358" s="663">
        <f>Калькулятор_жилье!AB473</f>
        <v>0</v>
      </c>
      <c r="F358" s="664">
        <f t="shared" si="4382"/>
        <v>0</v>
      </c>
      <c r="G358" s="663">
        <f>Калькулятор_жилье!AC473</f>
        <v>548.13727118644033</v>
      </c>
      <c r="H358" s="664">
        <f t="shared" ref="H358" si="4811">IF(G358=0,0,G358/G$4)</f>
        <v>1.313066093184778E-2</v>
      </c>
      <c r="I358" s="663">
        <f>Калькулятор_жилье!AD473</f>
        <v>548.13727118644033</v>
      </c>
      <c r="J358" s="664">
        <f t="shared" ref="J358" si="4812">IF(I358=0,0,I358/I$4)</f>
        <v>1.8680116461926445E-2</v>
      </c>
      <c r="K358" s="663">
        <f>Калькулятор_жилье!AE473</f>
        <v>548.13727118644033</v>
      </c>
      <c r="L358" s="664">
        <f t="shared" ref="L358" si="4813">IF(K358=0,0,K358/K$4)</f>
        <v>1.2874647347912022E-2</v>
      </c>
      <c r="M358" s="663">
        <f>Калькулятор_жилье!AF473</f>
        <v>0</v>
      </c>
      <c r="N358" s="664">
        <f t="shared" ref="N358" si="4814">IF(M358=0,0,M358/M$4)</f>
        <v>0</v>
      </c>
      <c r="O358" s="663">
        <f>Калькулятор_жилье!AG473</f>
        <v>0</v>
      </c>
      <c r="P358" s="664">
        <f t="shared" ref="P358" si="4815">IF(O358=0,0,O358/O$4)</f>
        <v>0</v>
      </c>
      <c r="Q358" s="663">
        <f>Калькулятор_жилье!AH473</f>
        <v>0</v>
      </c>
      <c r="R358" s="664">
        <f t="shared" ref="R358" si="4816">IF(Q358=0,0,Q358/Q$4)</f>
        <v>0</v>
      </c>
      <c r="S358" s="663">
        <f>Калькулятор_жилье!AI473</f>
        <v>0</v>
      </c>
      <c r="T358" s="664">
        <f t="shared" ref="T358" si="4817">IF(S358=0,0,S358/S$4)</f>
        <v>0</v>
      </c>
      <c r="U358" s="663">
        <f>Калькулятор_жилье!AJ473</f>
        <v>0</v>
      </c>
      <c r="V358" s="664">
        <f t="shared" ref="V358" si="4818">IF(U358=0,0,U358/U$4)</f>
        <v>0</v>
      </c>
      <c r="W358" s="663">
        <f>Калькулятор_жилье!AK473</f>
        <v>0</v>
      </c>
      <c r="X358" s="664">
        <f t="shared" ref="X358" si="4819">IF(W358=0,0,W358/W$4)</f>
        <v>0</v>
      </c>
      <c r="Y358" s="663">
        <f>Калькулятор_жилье!AL473</f>
        <v>0</v>
      </c>
      <c r="Z358" s="664">
        <f t="shared" ref="Z358" si="4820">IF(Y358=0,0,Y358/Y$4)</f>
        <v>0</v>
      </c>
      <c r="AA358" s="663">
        <f>Калькулятор_жилье!AM473</f>
        <v>0</v>
      </c>
      <c r="AB358" s="664">
        <f t="shared" ref="AB358" si="4821">IF(AA358=0,0,AA358/AA$4)</f>
        <v>0</v>
      </c>
      <c r="AC358" s="663">
        <f t="shared" si="4809"/>
        <v>1644.411813559321</v>
      </c>
      <c r="AD358" s="664">
        <f t="shared" ref="AD358" si="4822">IF(AC358=0,0,AC358/AC$4)</f>
        <v>1.0212918171759101E-2</v>
      </c>
      <c r="AE358" s="665"/>
      <c r="AF358" s="114"/>
      <c r="AG358" s="114"/>
      <c r="AH358" s="114"/>
      <c r="AI358" s="114"/>
      <c r="AJ358" s="114"/>
    </row>
    <row r="359" spans="1:36" s="68" customFormat="1" hidden="1" outlineLevel="3">
      <c r="A359" s="117"/>
      <c r="B359" s="118" t="s">
        <v>839</v>
      </c>
      <c r="C359" s="661"/>
      <c r="D359" s="662">
        <f t="shared" si="4382"/>
        <v>0</v>
      </c>
      <c r="E359" s="661">
        <f>Калькулятор_жилье!L474</f>
        <v>0</v>
      </c>
      <c r="F359" s="662">
        <f t="shared" si="4382"/>
        <v>0</v>
      </c>
      <c r="G359" s="661">
        <f>Калькулятор_жилье!M474</f>
        <v>135865.20000000001</v>
      </c>
      <c r="H359" s="662">
        <f t="shared" ref="H359" si="4823">IF(G359=0,0,G359/G$4)</f>
        <v>3.2546589466106299</v>
      </c>
      <c r="I359" s="661">
        <f>Калькулятор_жилье!N474</f>
        <v>135865.20000000001</v>
      </c>
      <c r="J359" s="662">
        <f t="shared" ref="J359" si="4824">IF(I359=0,0,I359/I$4)</f>
        <v>4.6301864378415445</v>
      </c>
      <c r="K359" s="661">
        <f>Калькулятор_жилье!O474</f>
        <v>135865.20000000001</v>
      </c>
      <c r="L359" s="662">
        <f t="shared" ref="L359" si="4825">IF(K359=0,0,K359/K$4)</f>
        <v>3.1912016000432999</v>
      </c>
      <c r="M359" s="661">
        <f>Калькулятор_жилье!P474</f>
        <v>0</v>
      </c>
      <c r="N359" s="662">
        <f t="shared" ref="N359" si="4826">IF(M359=0,0,M359/M$4)</f>
        <v>0</v>
      </c>
      <c r="O359" s="661">
        <f>Калькулятор_жилье!Q474</f>
        <v>0</v>
      </c>
      <c r="P359" s="662">
        <f t="shared" ref="P359" si="4827">IF(O359=0,0,O359/O$4)</f>
        <v>0</v>
      </c>
      <c r="Q359" s="661">
        <f>Калькулятор_жилье!R474</f>
        <v>0</v>
      </c>
      <c r="R359" s="662">
        <f t="shared" ref="R359" si="4828">IF(Q359=0,0,Q359/Q$4)</f>
        <v>0</v>
      </c>
      <c r="S359" s="661">
        <f>Калькулятор_жилье!S474</f>
        <v>0</v>
      </c>
      <c r="T359" s="662">
        <f t="shared" ref="T359" si="4829">IF(S359=0,0,S359/S$4)</f>
        <v>0</v>
      </c>
      <c r="U359" s="661">
        <f>Калькулятор_жилье!T474</f>
        <v>0</v>
      </c>
      <c r="V359" s="662">
        <f t="shared" ref="V359" si="4830">IF(U359=0,0,U359/U$4)</f>
        <v>0</v>
      </c>
      <c r="W359" s="661">
        <f>Калькулятор_жилье!U474</f>
        <v>0</v>
      </c>
      <c r="X359" s="662">
        <f t="shared" ref="X359" si="4831">IF(W359=0,0,W359/W$4)</f>
        <v>0</v>
      </c>
      <c r="Y359" s="661">
        <f>Калькулятор_жилье!V474</f>
        <v>0</v>
      </c>
      <c r="Z359" s="662">
        <f t="shared" ref="Z359" si="4832">IF(Y359=0,0,Y359/Y$4)</f>
        <v>0</v>
      </c>
      <c r="AA359" s="661">
        <f>Калькулятор_жилье!W474</f>
        <v>0</v>
      </c>
      <c r="AB359" s="662">
        <f t="shared" ref="AB359" si="4833">IF(AA359=0,0,AA359/AA$4)</f>
        <v>0</v>
      </c>
      <c r="AC359" s="661">
        <f t="shared" ref="AC359:AC361" si="4834">C359+E359+G359+I359+K359+M359+O359+Q359+S359+U359+W359+AA359+Y359</f>
        <v>407595.60000000003</v>
      </c>
      <c r="AD359" s="662">
        <f t="shared" ref="AD359" si="4835">IF(AC359=0,0,AC359/AC$4)</f>
        <v>2.531446487822794</v>
      </c>
      <c r="AE359" s="665"/>
      <c r="AF359" s="114"/>
      <c r="AG359" s="114"/>
      <c r="AH359" s="114"/>
      <c r="AI359" s="114"/>
      <c r="AJ359" s="114"/>
    </row>
    <row r="360" spans="1:36" s="68" customFormat="1" hidden="1" outlineLevel="3">
      <c r="A360" s="117"/>
      <c r="B360" s="118" t="s">
        <v>840</v>
      </c>
      <c r="C360" s="661"/>
      <c r="D360" s="662">
        <f t="shared" si="4382"/>
        <v>0</v>
      </c>
      <c r="E360" s="661">
        <f>Калькулятор_жилье!L475+Калькулятор_жилье!L476</f>
        <v>0</v>
      </c>
      <c r="F360" s="662">
        <f t="shared" si="4382"/>
        <v>0</v>
      </c>
      <c r="G360" s="661">
        <f>Калькулятор_жилье!M475+Калькулятор_жилье!M476</f>
        <v>238908.8167762474</v>
      </c>
      <c r="H360" s="662">
        <f t="shared" ref="H360" si="4836">IF(G360=0,0,G360/G$4)</f>
        <v>5.7230749150258733</v>
      </c>
      <c r="I360" s="661">
        <f>Калькулятор_жилье!N475+Калькулятор_жилье!N476</f>
        <v>238908.8167762474</v>
      </c>
      <c r="J360" s="662">
        <f t="shared" ref="J360" si="4837">IF(I360=0,0,I360/I$4)</f>
        <v>8.1418373749727753</v>
      </c>
      <c r="K360" s="661">
        <f>Калькулятор_жилье!O475+Калькулятор_жилье!O476</f>
        <v>238908.8167762474</v>
      </c>
      <c r="L360" s="662">
        <f t="shared" ref="L360" si="4838">IF(K360=0,0,K360/K$4)</f>
        <v>5.6114899058832739</v>
      </c>
      <c r="M360" s="661">
        <f>Калькулятор_жилье!P475+Калькулятор_жилье!P476</f>
        <v>0</v>
      </c>
      <c r="N360" s="662">
        <f t="shared" ref="N360" si="4839">IF(M360=0,0,M360/M$4)</f>
        <v>0</v>
      </c>
      <c r="O360" s="661">
        <f>Калькулятор_жилье!Q475+Калькулятор_жилье!Q476</f>
        <v>0</v>
      </c>
      <c r="P360" s="662">
        <f t="shared" ref="P360" si="4840">IF(O360=0,0,O360/O$4)</f>
        <v>0</v>
      </c>
      <c r="Q360" s="661">
        <f>Калькулятор_жилье!R475+Калькулятор_жилье!R476</f>
        <v>0</v>
      </c>
      <c r="R360" s="662">
        <f t="shared" ref="R360" si="4841">IF(Q360=0,0,Q360/Q$4)</f>
        <v>0</v>
      </c>
      <c r="S360" s="661">
        <f>Калькулятор_жилье!S475+Калькулятор_жилье!S476</f>
        <v>0</v>
      </c>
      <c r="T360" s="662">
        <f t="shared" ref="T360" si="4842">IF(S360=0,0,S360/S$4)</f>
        <v>0</v>
      </c>
      <c r="U360" s="661">
        <f>Калькулятор_жилье!T475+Калькулятор_жилье!T476</f>
        <v>0</v>
      </c>
      <c r="V360" s="662">
        <f t="shared" ref="V360" si="4843">IF(U360=0,0,U360/U$4)</f>
        <v>0</v>
      </c>
      <c r="W360" s="661">
        <f>Калькулятор_жилье!U475+Калькулятор_жилье!U476</f>
        <v>0</v>
      </c>
      <c r="X360" s="662">
        <f t="shared" ref="X360" si="4844">IF(W360=0,0,W360/W$4)</f>
        <v>0</v>
      </c>
      <c r="Y360" s="661">
        <f>Калькулятор_жилье!V475+Калькулятор_жилье!V476</f>
        <v>0</v>
      </c>
      <c r="Z360" s="662">
        <f t="shared" ref="Z360" si="4845">IF(Y360=0,0,Y360/Y$4)</f>
        <v>0</v>
      </c>
      <c r="AA360" s="661">
        <f>Калькулятор_жилье!W475+Калькулятор_жилье!W476</f>
        <v>0</v>
      </c>
      <c r="AB360" s="662">
        <f t="shared" ref="AB360" si="4846">IF(AA360=0,0,AA360/AA$4)</f>
        <v>0</v>
      </c>
      <c r="AC360" s="661">
        <f t="shared" si="4834"/>
        <v>716726.45032874215</v>
      </c>
      <c r="AD360" s="662">
        <f t="shared" ref="AD360" si="4847">IF(AC360=0,0,AC360/AC$4)</f>
        <v>4.4513597679032655</v>
      </c>
      <c r="AE360" s="665"/>
      <c r="AF360" s="114"/>
      <c r="AG360" s="114"/>
      <c r="AH360" s="114"/>
      <c r="AI360" s="114"/>
      <c r="AJ360" s="114"/>
    </row>
    <row r="361" spans="1:36" s="68" customFormat="1" hidden="1" outlineLevel="3">
      <c r="A361" s="117"/>
      <c r="B361" s="118" t="s">
        <v>842</v>
      </c>
      <c r="C361" s="661"/>
      <c r="D361" s="662">
        <f t="shared" si="4382"/>
        <v>0</v>
      </c>
      <c r="E361" s="661">
        <f>Калькулятор_жилье!L477</f>
        <v>0</v>
      </c>
      <c r="F361" s="662">
        <f t="shared" si="4382"/>
        <v>0</v>
      </c>
      <c r="G361" s="661">
        <f>Калькулятор_жилье!M477</f>
        <v>542557.10362222232</v>
      </c>
      <c r="H361" s="662">
        <f t="shared" ref="H361" si="4848">IF(G361=0,0,G361/G$4)</f>
        <v>12.996987685965328</v>
      </c>
      <c r="I361" s="661">
        <f>Калькулятор_жилье!N477</f>
        <v>542557.10362222232</v>
      </c>
      <c r="J361" s="662">
        <f t="shared" ref="J361" si="4849">IF(I361=0,0,I361/I$4)</f>
        <v>18.489948441147572</v>
      </c>
      <c r="K361" s="661">
        <f>Калькулятор_жилье!O477</f>
        <v>542557.10362222232</v>
      </c>
      <c r="L361" s="662">
        <f t="shared" ref="L361" si="4850">IF(K361=0,0,K361/K$4)</f>
        <v>12.743580381099017</v>
      </c>
      <c r="M361" s="661">
        <f>Калькулятор_жилье!P477</f>
        <v>0</v>
      </c>
      <c r="N361" s="662">
        <f t="shared" ref="N361" si="4851">IF(M361=0,0,M361/M$4)</f>
        <v>0</v>
      </c>
      <c r="O361" s="661">
        <f>Калькулятор_жилье!Q477</f>
        <v>0</v>
      </c>
      <c r="P361" s="662">
        <f t="shared" ref="P361" si="4852">IF(O361=0,0,O361/O$4)</f>
        <v>0</v>
      </c>
      <c r="Q361" s="661">
        <f>Калькулятор_жилье!R477</f>
        <v>0</v>
      </c>
      <c r="R361" s="662">
        <f t="shared" ref="R361" si="4853">IF(Q361=0,0,Q361/Q$4)</f>
        <v>0</v>
      </c>
      <c r="S361" s="661">
        <f>Калькулятор_жилье!S477</f>
        <v>0</v>
      </c>
      <c r="T361" s="662">
        <f t="shared" ref="T361" si="4854">IF(S361=0,0,S361/S$4)</f>
        <v>0</v>
      </c>
      <c r="U361" s="661">
        <f>Калькулятор_жилье!T477</f>
        <v>0</v>
      </c>
      <c r="V361" s="662">
        <f t="shared" ref="V361" si="4855">IF(U361=0,0,U361/U$4)</f>
        <v>0</v>
      </c>
      <c r="W361" s="661">
        <f>Калькулятор_жилье!U477</f>
        <v>0</v>
      </c>
      <c r="X361" s="662">
        <f t="shared" ref="X361" si="4856">IF(W361=0,0,W361/W$4)</f>
        <v>0</v>
      </c>
      <c r="Y361" s="661">
        <f>Калькулятор_жилье!V477</f>
        <v>0</v>
      </c>
      <c r="Z361" s="662">
        <f t="shared" ref="Z361" si="4857">IF(Y361=0,0,Y361/Y$4)</f>
        <v>0</v>
      </c>
      <c r="AA361" s="661">
        <f>Калькулятор_жилье!W477</f>
        <v>0</v>
      </c>
      <c r="AB361" s="662">
        <f t="shared" ref="AB361" si="4858">IF(AA361=0,0,AA361/AA$4)</f>
        <v>0</v>
      </c>
      <c r="AC361" s="661">
        <f t="shared" si="4834"/>
        <v>1627671.310866667</v>
      </c>
      <c r="AD361" s="662">
        <f t="shared" ref="AD361" si="4859">IF(AC361=0,0,AC361/AC$4)</f>
        <v>10.10894823993033</v>
      </c>
      <c r="AE361" s="665"/>
      <c r="AF361" s="114"/>
      <c r="AG361" s="114"/>
      <c r="AH361" s="114"/>
      <c r="AI361" s="114"/>
      <c r="AJ361" s="114"/>
    </row>
    <row r="362" spans="1:36" s="556" customFormat="1" ht="15.75" hidden="1" outlineLevel="2" collapsed="1">
      <c r="A362" s="609" t="s">
        <v>1401</v>
      </c>
      <c r="B362" s="559" t="s">
        <v>1144</v>
      </c>
      <c r="C362" s="659">
        <f t="shared" ref="C362" si="4860">C363</f>
        <v>0</v>
      </c>
      <c r="D362" s="660">
        <f t="shared" si="4382"/>
        <v>0</v>
      </c>
      <c r="E362" s="659">
        <f t="shared" ref="E362" si="4861">E363</f>
        <v>0</v>
      </c>
      <c r="F362" s="660">
        <f t="shared" si="4382"/>
        <v>0</v>
      </c>
      <c r="G362" s="659">
        <f t="shared" ref="G362" si="4862">G363</f>
        <v>0</v>
      </c>
      <c r="H362" s="660">
        <f t="shared" ref="H362" si="4863">IF(G362=0,0,G362/G$4)</f>
        <v>0</v>
      </c>
      <c r="I362" s="659">
        <f t="shared" ref="I362" si="4864">I363</f>
        <v>0</v>
      </c>
      <c r="J362" s="660">
        <f t="shared" ref="J362" si="4865">IF(I362=0,0,I362/I$4)</f>
        <v>0</v>
      </c>
      <c r="K362" s="659">
        <f t="shared" ref="K362" si="4866">K363</f>
        <v>0</v>
      </c>
      <c r="L362" s="660">
        <f t="shared" ref="L362" si="4867">IF(K362=0,0,K362/K$4)</f>
        <v>0</v>
      </c>
      <c r="M362" s="659">
        <f t="shared" ref="M362" si="4868">M363</f>
        <v>0</v>
      </c>
      <c r="N362" s="660">
        <f t="shared" ref="N362" si="4869">IF(M362=0,0,M362/M$4)</f>
        <v>0</v>
      </c>
      <c r="O362" s="659">
        <f t="shared" ref="O362" si="4870">O363</f>
        <v>0</v>
      </c>
      <c r="P362" s="660">
        <f t="shared" ref="P362" si="4871">IF(O362=0,0,O362/O$4)</f>
        <v>0</v>
      </c>
      <c r="Q362" s="659">
        <f t="shared" ref="Q362" si="4872">Q363</f>
        <v>0</v>
      </c>
      <c r="R362" s="660">
        <f t="shared" ref="R362" si="4873">IF(Q362=0,0,Q362/Q$4)</f>
        <v>0</v>
      </c>
      <c r="S362" s="659">
        <f t="shared" ref="S362" si="4874">S363</f>
        <v>0</v>
      </c>
      <c r="T362" s="660">
        <f t="shared" ref="T362" si="4875">IF(S362=0,0,S362/S$4)</f>
        <v>0</v>
      </c>
      <c r="U362" s="659">
        <f t="shared" ref="U362" si="4876">U363</f>
        <v>0</v>
      </c>
      <c r="V362" s="660">
        <f t="shared" ref="V362" si="4877">IF(U362=0,0,U362/U$4)</f>
        <v>0</v>
      </c>
      <c r="W362" s="659">
        <f t="shared" ref="W362" si="4878">W363</f>
        <v>0</v>
      </c>
      <c r="X362" s="660">
        <f t="shared" ref="X362" si="4879">IF(W362=0,0,W362/W$4)</f>
        <v>0</v>
      </c>
      <c r="Y362" s="659">
        <f t="shared" ref="Y362" si="4880">Y363</f>
        <v>0</v>
      </c>
      <c r="Z362" s="660">
        <f t="shared" ref="Z362" si="4881">IF(Y362=0,0,Y362/Y$4)</f>
        <v>0</v>
      </c>
      <c r="AA362" s="659">
        <f t="shared" ref="AA362" si="4882">AA363</f>
        <v>0</v>
      </c>
      <c r="AB362" s="660">
        <f t="shared" ref="AB362" si="4883">IF(AA362=0,0,AA362/AA$4)</f>
        <v>0</v>
      </c>
      <c r="AC362" s="659">
        <f t="shared" ref="AC362" si="4884">AC363</f>
        <v>0</v>
      </c>
      <c r="AD362" s="660">
        <f t="shared" ref="AD362" si="4885">IF(AC362=0,0,AC362/AC$4)</f>
        <v>0</v>
      </c>
      <c r="AE362" s="654"/>
    </row>
    <row r="363" spans="1:36" s="68" customFormat="1" hidden="1" outlineLevel="3" collapsed="1">
      <c r="A363" s="117"/>
      <c r="B363" s="118" t="s">
        <v>497</v>
      </c>
      <c r="C363" s="661"/>
      <c r="D363" s="662">
        <f t="shared" si="4382"/>
        <v>0</v>
      </c>
      <c r="E363" s="661">
        <f>SUM(Калькулятор_жилье!L452:L470)</f>
        <v>0</v>
      </c>
      <c r="F363" s="662">
        <f t="shared" si="4382"/>
        <v>0</v>
      </c>
      <c r="G363" s="661">
        <f>SUM(Калькулятор_жилье!M452:M470)</f>
        <v>0</v>
      </c>
      <c r="H363" s="662">
        <f t="shared" ref="H363" si="4886">IF(G363=0,0,G363/G$4)</f>
        <v>0</v>
      </c>
      <c r="I363" s="661">
        <f>SUM(Калькулятор_жилье!N452:N470)</f>
        <v>0</v>
      </c>
      <c r="J363" s="662">
        <f t="shared" ref="J363" si="4887">IF(I363=0,0,I363/I$4)</f>
        <v>0</v>
      </c>
      <c r="K363" s="661">
        <f>SUM(Калькулятор_жилье!O452:O470)</f>
        <v>0</v>
      </c>
      <c r="L363" s="662">
        <f t="shared" ref="L363" si="4888">IF(K363=0,0,K363/K$4)</f>
        <v>0</v>
      </c>
      <c r="M363" s="661">
        <f>SUM(Калькулятор_жилье!P452:P470)</f>
        <v>0</v>
      </c>
      <c r="N363" s="662">
        <f t="shared" ref="N363" si="4889">IF(M363=0,0,M363/M$4)</f>
        <v>0</v>
      </c>
      <c r="O363" s="661">
        <f>SUM(Калькулятор_жилье!Q452:Q470)</f>
        <v>0</v>
      </c>
      <c r="P363" s="662">
        <f t="shared" ref="P363" si="4890">IF(O363=0,0,O363/O$4)</f>
        <v>0</v>
      </c>
      <c r="Q363" s="661">
        <f>SUM(Калькулятор_жилье!R452:R470)</f>
        <v>0</v>
      </c>
      <c r="R363" s="662">
        <f t="shared" ref="R363" si="4891">IF(Q363=0,0,Q363/Q$4)</f>
        <v>0</v>
      </c>
      <c r="S363" s="661">
        <f>SUM(Калькулятор_жилье!S452:S470)</f>
        <v>0</v>
      </c>
      <c r="T363" s="662">
        <f t="shared" ref="T363" si="4892">IF(S363=0,0,S363/S$4)</f>
        <v>0</v>
      </c>
      <c r="U363" s="661">
        <f>SUM(Калькулятор_жилье!T452:T470)</f>
        <v>0</v>
      </c>
      <c r="V363" s="662">
        <f t="shared" ref="V363" si="4893">IF(U363=0,0,U363/U$4)</f>
        <v>0</v>
      </c>
      <c r="W363" s="661">
        <f>SUM(Калькулятор_жилье!U452:U470)</f>
        <v>0</v>
      </c>
      <c r="X363" s="662">
        <f t="shared" ref="X363" si="4894">IF(W363=0,0,W363/W$4)</f>
        <v>0</v>
      </c>
      <c r="Y363" s="661">
        <f>SUM(Калькулятор_жилье!V452:V470)</f>
        <v>0</v>
      </c>
      <c r="Z363" s="662">
        <f t="shared" ref="Z363" si="4895">IF(Y363=0,0,Y363/Y$4)</f>
        <v>0</v>
      </c>
      <c r="AA363" s="661">
        <f>SUM(Калькулятор_жилье!W452:W470)</f>
        <v>0</v>
      </c>
      <c r="AB363" s="662">
        <f t="shared" ref="AB363" si="4896">IF(AA363=0,0,AA363/AA$4)</f>
        <v>0</v>
      </c>
      <c r="AC363" s="661">
        <f t="shared" ref="AC363:AC365" si="4897">C363+E363+G363+I363+K363+M363+O363+Q363+S363+U363+W363+AA363+Y363</f>
        <v>0</v>
      </c>
      <c r="AD363" s="662">
        <f t="shared" ref="AD363" si="4898">IF(AC363=0,0,AC363/AC$4)</f>
        <v>0</v>
      </c>
      <c r="AE363" s="665"/>
      <c r="AF363" s="114"/>
      <c r="AG363" s="114"/>
      <c r="AH363" s="114"/>
      <c r="AI363" s="114"/>
      <c r="AJ363" s="114"/>
    </row>
    <row r="364" spans="1:36" s="68" customFormat="1" hidden="1" outlineLevel="4">
      <c r="A364" s="245"/>
      <c r="B364" s="246" t="s">
        <v>419</v>
      </c>
      <c r="C364" s="663"/>
      <c r="D364" s="664">
        <f t="shared" si="4382"/>
        <v>0</v>
      </c>
      <c r="E364" s="663">
        <f>E363-E365*курс</f>
        <v>0</v>
      </c>
      <c r="F364" s="664">
        <f t="shared" si="4382"/>
        <v>0</v>
      </c>
      <c r="G364" s="663">
        <f>G363-G365*курс</f>
        <v>0</v>
      </c>
      <c r="H364" s="664">
        <f t="shared" ref="H364" si="4899">IF(G364=0,0,G364/G$4)</f>
        <v>0</v>
      </c>
      <c r="I364" s="663">
        <f>I363-I365*курс</f>
        <v>0</v>
      </c>
      <c r="J364" s="664">
        <f t="shared" ref="J364" si="4900">IF(I364=0,0,I364/I$4)</f>
        <v>0</v>
      </c>
      <c r="K364" s="663">
        <f>K363-K365*курс</f>
        <v>0</v>
      </c>
      <c r="L364" s="664">
        <f t="shared" ref="L364" si="4901">IF(K364=0,0,K364/K$4)</f>
        <v>0</v>
      </c>
      <c r="M364" s="663">
        <f>M363-M365*курс</f>
        <v>0</v>
      </c>
      <c r="N364" s="664">
        <f t="shared" ref="N364" si="4902">IF(M364=0,0,M364/M$4)</f>
        <v>0</v>
      </c>
      <c r="O364" s="663">
        <f>O363-O365*курс</f>
        <v>0</v>
      </c>
      <c r="P364" s="664">
        <f t="shared" ref="P364" si="4903">IF(O364=0,0,O364/O$4)</f>
        <v>0</v>
      </c>
      <c r="Q364" s="663">
        <f>Q363-Q365*курс</f>
        <v>0</v>
      </c>
      <c r="R364" s="664">
        <f t="shared" ref="R364" si="4904">IF(Q364=0,0,Q364/Q$4)</f>
        <v>0</v>
      </c>
      <c r="S364" s="663">
        <f>S363-S365*курс</f>
        <v>0</v>
      </c>
      <c r="T364" s="664">
        <f t="shared" ref="T364" si="4905">IF(S364=0,0,S364/S$4)</f>
        <v>0</v>
      </c>
      <c r="U364" s="663">
        <f>U363-U365*курс</f>
        <v>0</v>
      </c>
      <c r="V364" s="664">
        <f t="shared" ref="V364" si="4906">IF(U364=0,0,U364/U$4)</f>
        <v>0</v>
      </c>
      <c r="W364" s="663">
        <f>W363-W365*курс</f>
        <v>0</v>
      </c>
      <c r="X364" s="664">
        <f t="shared" ref="X364" si="4907">IF(W364=0,0,W364/W$4)</f>
        <v>0</v>
      </c>
      <c r="Y364" s="663">
        <f>Y363-Y365*курс</f>
        <v>0</v>
      </c>
      <c r="Z364" s="664">
        <f t="shared" ref="Z364" si="4908">IF(Y364=0,0,Y364/Y$4)</f>
        <v>0</v>
      </c>
      <c r="AA364" s="663">
        <f>AA363-AA365*курс</f>
        <v>0</v>
      </c>
      <c r="AB364" s="664">
        <f t="shared" ref="AB364" si="4909">IF(AA364=0,0,AA364/AA$4)</f>
        <v>0</v>
      </c>
      <c r="AC364" s="663">
        <f t="shared" si="4897"/>
        <v>0</v>
      </c>
      <c r="AD364" s="664">
        <f t="shared" ref="AD364" si="4910">IF(AC364=0,0,AC364/AC$4)</f>
        <v>0</v>
      </c>
      <c r="AE364" s="665"/>
      <c r="AF364" s="114"/>
      <c r="AG364" s="114"/>
      <c r="AH364" s="114"/>
      <c r="AI364" s="114"/>
      <c r="AJ364" s="114"/>
    </row>
    <row r="365" spans="1:36" s="68" customFormat="1" hidden="1" outlineLevel="4">
      <c r="A365" s="245"/>
      <c r="B365" s="246" t="s">
        <v>420</v>
      </c>
      <c r="C365" s="663"/>
      <c r="D365" s="664">
        <f t="shared" si="4382"/>
        <v>0</v>
      </c>
      <c r="E365" s="663">
        <f>SUM(Калькулятор_жилье!AB452:AB470)</f>
        <v>0</v>
      </c>
      <c r="F365" s="664">
        <f t="shared" si="4382"/>
        <v>0</v>
      </c>
      <c r="G365" s="663">
        <f>SUM(Калькулятор_жилье!AC452:AC470)</f>
        <v>0</v>
      </c>
      <c r="H365" s="664">
        <f t="shared" ref="H365" si="4911">IF(G365=0,0,G365/G$4)</f>
        <v>0</v>
      </c>
      <c r="I365" s="663">
        <f>SUM(Калькулятор_жилье!AD452:AD470)</f>
        <v>0</v>
      </c>
      <c r="J365" s="664">
        <f t="shared" ref="J365" si="4912">IF(I365=0,0,I365/I$4)</f>
        <v>0</v>
      </c>
      <c r="K365" s="663">
        <f>SUM(Калькулятор_жилье!AE452:AE470)</f>
        <v>0</v>
      </c>
      <c r="L365" s="664">
        <f t="shared" ref="L365" si="4913">IF(K365=0,0,K365/K$4)</f>
        <v>0</v>
      </c>
      <c r="M365" s="663">
        <f>SUM(Калькулятор_жилье!AF452:AF470)</f>
        <v>0</v>
      </c>
      <c r="N365" s="664">
        <f t="shared" ref="N365" si="4914">IF(M365=0,0,M365/M$4)</f>
        <v>0</v>
      </c>
      <c r="O365" s="663">
        <f>SUM(Калькулятор_жилье!AG452:AG470)</f>
        <v>0</v>
      </c>
      <c r="P365" s="664">
        <f t="shared" ref="P365" si="4915">IF(O365=0,0,O365/O$4)</f>
        <v>0</v>
      </c>
      <c r="Q365" s="663">
        <f>SUM(Калькулятор_жилье!AH452:AH470)</f>
        <v>0</v>
      </c>
      <c r="R365" s="664">
        <f t="shared" ref="R365" si="4916">IF(Q365=0,0,Q365/Q$4)</f>
        <v>0</v>
      </c>
      <c r="S365" s="663">
        <f>SUM(Калькулятор_жилье!AI452:AI470)</f>
        <v>0</v>
      </c>
      <c r="T365" s="664">
        <f t="shared" ref="T365" si="4917">IF(S365=0,0,S365/S$4)</f>
        <v>0</v>
      </c>
      <c r="U365" s="663">
        <f>SUM(Калькулятор_жилье!AJ452:AJ470)</f>
        <v>0</v>
      </c>
      <c r="V365" s="664">
        <f t="shared" ref="V365" si="4918">IF(U365=0,0,U365/U$4)</f>
        <v>0</v>
      </c>
      <c r="W365" s="663">
        <f>SUM(Калькулятор_жилье!AK452:AK470)</f>
        <v>0</v>
      </c>
      <c r="X365" s="664">
        <f t="shared" ref="X365" si="4919">IF(W365=0,0,W365/W$4)</f>
        <v>0</v>
      </c>
      <c r="Y365" s="663">
        <f>SUM(Калькулятор_жилье!AL452:AL470)</f>
        <v>0</v>
      </c>
      <c r="Z365" s="664">
        <f t="shared" ref="Z365" si="4920">IF(Y365=0,0,Y365/Y$4)</f>
        <v>0</v>
      </c>
      <c r="AA365" s="663">
        <f>SUM(Калькулятор_жилье!AM452:AM470)</f>
        <v>0</v>
      </c>
      <c r="AB365" s="664">
        <f t="shared" ref="AB365" si="4921">IF(AA365=0,0,AA365/AA$4)</f>
        <v>0</v>
      </c>
      <c r="AC365" s="663">
        <f t="shared" si="4897"/>
        <v>0</v>
      </c>
      <c r="AD365" s="664">
        <f t="shared" ref="AD365" si="4922">IF(AC365=0,0,AC365/AC$4)</f>
        <v>0</v>
      </c>
      <c r="AE365" s="665"/>
      <c r="AF365" s="114"/>
      <c r="AG365" s="114"/>
      <c r="AH365" s="114"/>
      <c r="AI365" s="114"/>
      <c r="AJ365" s="114"/>
    </row>
    <row r="366" spans="1:36" s="556" customFormat="1" ht="15.75" hidden="1" outlineLevel="2" collapsed="1">
      <c r="A366" s="609" t="s">
        <v>1400</v>
      </c>
      <c r="B366" s="559" t="s">
        <v>1145</v>
      </c>
      <c r="C366" s="659">
        <f>C367</f>
        <v>0</v>
      </c>
      <c r="D366" s="660">
        <f t="shared" si="4382"/>
        <v>0</v>
      </c>
      <c r="E366" s="659">
        <f t="shared" ref="E366" si="4923">E367</f>
        <v>0</v>
      </c>
      <c r="F366" s="660">
        <f t="shared" si="4382"/>
        <v>0</v>
      </c>
      <c r="G366" s="659">
        <f t="shared" ref="G366" si="4924">G367</f>
        <v>0</v>
      </c>
      <c r="H366" s="660">
        <f t="shared" ref="H366" si="4925">IF(G366=0,0,G366/G$4)</f>
        <v>0</v>
      </c>
      <c r="I366" s="659">
        <f t="shared" ref="I366" si="4926">I367</f>
        <v>0</v>
      </c>
      <c r="J366" s="660">
        <f t="shared" ref="J366" si="4927">IF(I366=0,0,I366/I$4)</f>
        <v>0</v>
      </c>
      <c r="K366" s="659">
        <f t="shared" ref="K366" si="4928">K367</f>
        <v>0</v>
      </c>
      <c r="L366" s="660">
        <f t="shared" ref="L366" si="4929">IF(K366=0,0,K366/K$4)</f>
        <v>0</v>
      </c>
      <c r="M366" s="659">
        <f t="shared" ref="M366" si="4930">M367</f>
        <v>0</v>
      </c>
      <c r="N366" s="660">
        <f t="shared" ref="N366" si="4931">IF(M366=0,0,M366/M$4)</f>
        <v>0</v>
      </c>
      <c r="O366" s="659">
        <f t="shared" ref="O366" si="4932">O367</f>
        <v>0</v>
      </c>
      <c r="P366" s="660">
        <f t="shared" ref="P366" si="4933">IF(O366=0,0,O366/O$4)</f>
        <v>0</v>
      </c>
      <c r="Q366" s="659">
        <f t="shared" ref="Q366" si="4934">Q367</f>
        <v>0</v>
      </c>
      <c r="R366" s="660">
        <f t="shared" ref="R366" si="4935">IF(Q366=0,0,Q366/Q$4)</f>
        <v>0</v>
      </c>
      <c r="S366" s="659">
        <f t="shared" ref="S366" si="4936">S367</f>
        <v>0</v>
      </c>
      <c r="T366" s="660">
        <f t="shared" ref="T366" si="4937">IF(S366=0,0,S366/S$4)</f>
        <v>0</v>
      </c>
      <c r="U366" s="659">
        <f t="shared" ref="U366" si="4938">U367</f>
        <v>0</v>
      </c>
      <c r="V366" s="660">
        <f t="shared" ref="V366" si="4939">IF(U366=0,0,U366/U$4)</f>
        <v>0</v>
      </c>
      <c r="W366" s="659">
        <f t="shared" ref="W366" si="4940">W367</f>
        <v>0</v>
      </c>
      <c r="X366" s="660">
        <f t="shared" ref="X366" si="4941">IF(W366=0,0,W366/W$4)</f>
        <v>0</v>
      </c>
      <c r="Y366" s="659">
        <f t="shared" ref="Y366" si="4942">Y367</f>
        <v>0</v>
      </c>
      <c r="Z366" s="660">
        <f t="shared" ref="Z366" si="4943">IF(Y366=0,0,Y366/Y$4)</f>
        <v>0</v>
      </c>
      <c r="AA366" s="659">
        <f t="shared" ref="AA366" si="4944">AA367</f>
        <v>0</v>
      </c>
      <c r="AB366" s="660">
        <f t="shared" ref="AB366" si="4945">IF(AA366=0,0,AA366/AA$4)</f>
        <v>0</v>
      </c>
      <c r="AC366" s="659">
        <f t="shared" ref="AC366" si="4946">AC367</f>
        <v>0</v>
      </c>
      <c r="AD366" s="660">
        <f t="shared" ref="AD366" si="4947">IF(AC366=0,0,AC366/AC$4)</f>
        <v>0</v>
      </c>
      <c r="AE366" s="654"/>
    </row>
    <row r="367" spans="1:36" s="68" customFormat="1" hidden="1" outlineLevel="3" collapsed="1">
      <c r="A367" s="117"/>
      <c r="B367" s="118" t="s">
        <v>837</v>
      </c>
      <c r="C367" s="661"/>
      <c r="D367" s="662">
        <f t="shared" si="4382"/>
        <v>0</v>
      </c>
      <c r="E367" s="661">
        <f>Калькулятор_жилье!L472</f>
        <v>0</v>
      </c>
      <c r="F367" s="662">
        <f t="shared" si="4382"/>
        <v>0</v>
      </c>
      <c r="G367" s="661">
        <f>Калькулятор_жилье!M472</f>
        <v>0</v>
      </c>
      <c r="H367" s="662">
        <f t="shared" ref="H367" si="4948">IF(G367=0,0,G367/G$4)</f>
        <v>0</v>
      </c>
      <c r="I367" s="661">
        <f>Калькулятор_жилье!N472</f>
        <v>0</v>
      </c>
      <c r="J367" s="662">
        <f t="shared" ref="J367" si="4949">IF(I367=0,0,I367/I$4)</f>
        <v>0</v>
      </c>
      <c r="K367" s="661">
        <f>Калькулятор_жилье!O472</f>
        <v>0</v>
      </c>
      <c r="L367" s="662">
        <f t="shared" ref="L367" si="4950">IF(K367=0,0,K367/K$4)</f>
        <v>0</v>
      </c>
      <c r="M367" s="661">
        <f>Калькулятор_жилье!P472</f>
        <v>0</v>
      </c>
      <c r="N367" s="662">
        <f t="shared" ref="N367" si="4951">IF(M367=0,0,M367/M$4)</f>
        <v>0</v>
      </c>
      <c r="O367" s="661">
        <f>Калькулятор_жилье!Q472</f>
        <v>0</v>
      </c>
      <c r="P367" s="662">
        <f t="shared" ref="P367" si="4952">IF(O367=0,0,O367/O$4)</f>
        <v>0</v>
      </c>
      <c r="Q367" s="661">
        <f>Калькулятор_жилье!R472</f>
        <v>0</v>
      </c>
      <c r="R367" s="662">
        <f t="shared" ref="R367" si="4953">IF(Q367=0,0,Q367/Q$4)</f>
        <v>0</v>
      </c>
      <c r="S367" s="661">
        <f>Калькулятор_жилье!S472</f>
        <v>0</v>
      </c>
      <c r="T367" s="662">
        <f t="shared" ref="T367" si="4954">IF(S367=0,0,S367/S$4)</f>
        <v>0</v>
      </c>
      <c r="U367" s="661">
        <f>Калькулятор_жилье!T472</f>
        <v>0</v>
      </c>
      <c r="V367" s="662">
        <f t="shared" ref="V367" si="4955">IF(U367=0,0,U367/U$4)</f>
        <v>0</v>
      </c>
      <c r="W367" s="661">
        <f>Калькулятор_жилье!U472</f>
        <v>0</v>
      </c>
      <c r="X367" s="662">
        <f t="shared" ref="X367" si="4956">IF(W367=0,0,W367/W$4)</f>
        <v>0</v>
      </c>
      <c r="Y367" s="661">
        <f>Калькулятор_жилье!V472</f>
        <v>0</v>
      </c>
      <c r="Z367" s="662">
        <f t="shared" ref="Z367" si="4957">IF(Y367=0,0,Y367/Y$4)</f>
        <v>0</v>
      </c>
      <c r="AA367" s="661">
        <f>Калькулятор_жилье!W472</f>
        <v>0</v>
      </c>
      <c r="AB367" s="662">
        <f t="shared" ref="AB367" si="4958">IF(AA367=0,0,AA367/AA$4)</f>
        <v>0</v>
      </c>
      <c r="AC367" s="661">
        <f t="shared" ref="AC367:AC369" si="4959">C367+E367+G367+I367+K367+M367+O367+Q367+S367+U367+W367+AA367+Y367</f>
        <v>0</v>
      </c>
      <c r="AD367" s="662">
        <f t="shared" ref="AD367" si="4960">IF(AC367=0,0,AC367/AC$4)</f>
        <v>0</v>
      </c>
      <c r="AE367" s="665"/>
      <c r="AF367" s="114"/>
      <c r="AG367" s="114"/>
      <c r="AH367" s="114"/>
      <c r="AI367" s="114"/>
      <c r="AJ367" s="114"/>
    </row>
    <row r="368" spans="1:36" s="68" customFormat="1" hidden="1" outlineLevel="4">
      <c r="A368" s="245"/>
      <c r="B368" s="246" t="s">
        <v>419</v>
      </c>
      <c r="C368" s="663"/>
      <c r="D368" s="664">
        <f t="shared" si="4382"/>
        <v>0</v>
      </c>
      <c r="E368" s="663">
        <f>E367-E369*курс</f>
        <v>0</v>
      </c>
      <c r="F368" s="664">
        <f t="shared" si="4382"/>
        <v>0</v>
      </c>
      <c r="G368" s="663">
        <f>G367-G369*курс</f>
        <v>0</v>
      </c>
      <c r="H368" s="664">
        <f t="shared" ref="H368" si="4961">IF(G368=0,0,G368/G$4)</f>
        <v>0</v>
      </c>
      <c r="I368" s="663">
        <f>I367-I369*курс</f>
        <v>0</v>
      </c>
      <c r="J368" s="664">
        <f t="shared" ref="J368" si="4962">IF(I368=0,0,I368/I$4)</f>
        <v>0</v>
      </c>
      <c r="K368" s="663">
        <f>K367-K369*курс</f>
        <v>0</v>
      </c>
      <c r="L368" s="664">
        <f t="shared" ref="L368" si="4963">IF(K368=0,0,K368/K$4)</f>
        <v>0</v>
      </c>
      <c r="M368" s="663">
        <f>M367-M369*курс</f>
        <v>0</v>
      </c>
      <c r="N368" s="664">
        <f t="shared" ref="N368" si="4964">IF(M368=0,0,M368/M$4)</f>
        <v>0</v>
      </c>
      <c r="O368" s="663">
        <f>O367-O369*курс</f>
        <v>0</v>
      </c>
      <c r="P368" s="664">
        <f t="shared" ref="P368" si="4965">IF(O368=0,0,O368/O$4)</f>
        <v>0</v>
      </c>
      <c r="Q368" s="663">
        <f>Q367-Q369*курс</f>
        <v>0</v>
      </c>
      <c r="R368" s="664">
        <f t="shared" ref="R368" si="4966">IF(Q368=0,0,Q368/Q$4)</f>
        <v>0</v>
      </c>
      <c r="S368" s="663">
        <f>S367-S369*курс</f>
        <v>0</v>
      </c>
      <c r="T368" s="664">
        <f t="shared" ref="T368" si="4967">IF(S368=0,0,S368/S$4)</f>
        <v>0</v>
      </c>
      <c r="U368" s="663">
        <f>U367-U369*курс</f>
        <v>0</v>
      </c>
      <c r="V368" s="664">
        <f t="shared" ref="V368" si="4968">IF(U368=0,0,U368/U$4)</f>
        <v>0</v>
      </c>
      <c r="W368" s="663">
        <f>W367-W369*курс</f>
        <v>0</v>
      </c>
      <c r="X368" s="664">
        <f t="shared" ref="X368" si="4969">IF(W368=0,0,W368/W$4)</f>
        <v>0</v>
      </c>
      <c r="Y368" s="663">
        <f>Y367-Y369*курс</f>
        <v>0</v>
      </c>
      <c r="Z368" s="664">
        <f t="shared" ref="Z368" si="4970">IF(Y368=0,0,Y368/Y$4)</f>
        <v>0</v>
      </c>
      <c r="AA368" s="663">
        <f>AA367-AA369*курс</f>
        <v>0</v>
      </c>
      <c r="AB368" s="664">
        <f t="shared" ref="AB368" si="4971">IF(AA368=0,0,AA368/AA$4)</f>
        <v>0</v>
      </c>
      <c r="AC368" s="663">
        <f t="shared" si="4959"/>
        <v>0</v>
      </c>
      <c r="AD368" s="664">
        <f t="shared" ref="AD368" si="4972">IF(AC368=0,0,AC368/AC$4)</f>
        <v>0</v>
      </c>
      <c r="AE368" s="665"/>
      <c r="AF368" s="114"/>
      <c r="AG368" s="114"/>
      <c r="AH368" s="114"/>
      <c r="AI368" s="114"/>
      <c r="AJ368" s="114"/>
    </row>
    <row r="369" spans="1:36" s="68" customFormat="1" hidden="1" outlineLevel="4">
      <c r="A369" s="245"/>
      <c r="B369" s="246" t="s">
        <v>420</v>
      </c>
      <c r="C369" s="663"/>
      <c r="D369" s="664">
        <f t="shared" si="4382"/>
        <v>0</v>
      </c>
      <c r="E369" s="663">
        <f>Калькулятор_жилье!AB472</f>
        <v>0</v>
      </c>
      <c r="F369" s="664">
        <f t="shared" si="4382"/>
        <v>0</v>
      </c>
      <c r="G369" s="663">
        <f>Калькулятор_жилье!AC472</f>
        <v>0</v>
      </c>
      <c r="H369" s="664">
        <f t="shared" ref="H369" si="4973">IF(G369=0,0,G369/G$4)</f>
        <v>0</v>
      </c>
      <c r="I369" s="663">
        <f>Калькулятор_жилье!AD472</f>
        <v>0</v>
      </c>
      <c r="J369" s="664">
        <f t="shared" ref="J369" si="4974">IF(I369=0,0,I369/I$4)</f>
        <v>0</v>
      </c>
      <c r="K369" s="663">
        <f>Калькулятор_жилье!AE472</f>
        <v>0</v>
      </c>
      <c r="L369" s="664">
        <f t="shared" ref="L369" si="4975">IF(K369=0,0,K369/K$4)</f>
        <v>0</v>
      </c>
      <c r="M369" s="663">
        <f>Калькулятор_жилье!AF472</f>
        <v>0</v>
      </c>
      <c r="N369" s="664">
        <f t="shared" ref="N369" si="4976">IF(M369=0,0,M369/M$4)</f>
        <v>0</v>
      </c>
      <c r="O369" s="663">
        <f>Калькулятор_жилье!AG472</f>
        <v>0</v>
      </c>
      <c r="P369" s="664">
        <f t="shared" ref="P369" si="4977">IF(O369=0,0,O369/O$4)</f>
        <v>0</v>
      </c>
      <c r="Q369" s="663">
        <f>Калькулятор_жилье!AH472</f>
        <v>0</v>
      </c>
      <c r="R369" s="664">
        <f t="shared" ref="R369" si="4978">IF(Q369=0,0,Q369/Q$4)</f>
        <v>0</v>
      </c>
      <c r="S369" s="663">
        <f>Калькулятор_жилье!AI472</f>
        <v>0</v>
      </c>
      <c r="T369" s="664">
        <f t="shared" ref="T369" si="4979">IF(S369=0,0,S369/S$4)</f>
        <v>0</v>
      </c>
      <c r="U369" s="663">
        <f>Калькулятор_жилье!AJ472</f>
        <v>0</v>
      </c>
      <c r="V369" s="664">
        <f t="shared" ref="V369" si="4980">IF(U369=0,0,U369/U$4)</f>
        <v>0</v>
      </c>
      <c r="W369" s="663">
        <f>Калькулятор_жилье!AK472</f>
        <v>0</v>
      </c>
      <c r="X369" s="664">
        <f t="shared" ref="X369" si="4981">IF(W369=0,0,W369/W$4)</f>
        <v>0</v>
      </c>
      <c r="Y369" s="663">
        <f>Калькулятор_жилье!AL472</f>
        <v>0</v>
      </c>
      <c r="Z369" s="664">
        <f t="shared" ref="Z369" si="4982">IF(Y369=0,0,Y369/Y$4)</f>
        <v>0</v>
      </c>
      <c r="AA369" s="663">
        <f>Калькулятор_жилье!AM472</f>
        <v>0</v>
      </c>
      <c r="AB369" s="664">
        <f t="shared" ref="AB369" si="4983">IF(AA369=0,0,AA369/AA$4)</f>
        <v>0</v>
      </c>
      <c r="AC369" s="663">
        <f t="shared" si="4959"/>
        <v>0</v>
      </c>
      <c r="AD369" s="664">
        <f t="shared" ref="AD369" si="4984">IF(AC369=0,0,AC369/AC$4)</f>
        <v>0</v>
      </c>
      <c r="AE369" s="665"/>
      <c r="AF369" s="114"/>
      <c r="AG369" s="114"/>
      <c r="AH369" s="114"/>
      <c r="AI369" s="114"/>
      <c r="AJ369" s="114"/>
    </row>
    <row r="370" spans="1:36" s="556" customFormat="1" ht="15.75" outlineLevel="1" collapsed="1">
      <c r="A370" s="610" t="s">
        <v>1399</v>
      </c>
      <c r="B370" s="558" t="s">
        <v>1146</v>
      </c>
      <c r="C370" s="657">
        <f>C371+C377+C378+C389+C390+C391+C392</f>
        <v>0</v>
      </c>
      <c r="D370" s="658">
        <f t="shared" si="4382"/>
        <v>0</v>
      </c>
      <c r="E370" s="657">
        <f>E371+E377+E378+E389+E390+E391+E392</f>
        <v>411214051.08785224</v>
      </c>
      <c r="F370" s="658">
        <f t="shared" si="4382"/>
        <v>9553.5639032560975</v>
      </c>
      <c r="G370" s="657">
        <f t="shared" ref="G370" si="4985">G371+G377+G378+G389+G390+G391+G392</f>
        <v>0</v>
      </c>
      <c r="H370" s="658">
        <f t="shared" ref="H370" si="4986">IF(G370=0,0,G370/G$4)</f>
        <v>0</v>
      </c>
      <c r="I370" s="657">
        <f t="shared" ref="I370" si="4987">I371+I377+I378+I389+I390+I391+I392</f>
        <v>0</v>
      </c>
      <c r="J370" s="658">
        <f t="shared" ref="J370" si="4988">IF(I370=0,0,I370/I$4)</f>
        <v>0</v>
      </c>
      <c r="K370" s="657">
        <f t="shared" ref="K370" si="4989">K371+K377+K378+K389+K390+K391+K392</f>
        <v>0</v>
      </c>
      <c r="L370" s="658">
        <f t="shared" ref="L370" si="4990">IF(K370=0,0,K370/K$4)</f>
        <v>0</v>
      </c>
      <c r="M370" s="657">
        <f t="shared" ref="M370" si="4991">M371+M377+M378+M389+M390+M391+M392</f>
        <v>0</v>
      </c>
      <c r="N370" s="658">
        <f t="shared" ref="N370" si="4992">IF(M370=0,0,M370/M$4)</f>
        <v>0</v>
      </c>
      <c r="O370" s="657">
        <f t="shared" ref="O370" si="4993">O371+O377+O378+O389+O390+O391+O392</f>
        <v>0</v>
      </c>
      <c r="P370" s="658">
        <f t="shared" ref="P370" si="4994">IF(O370=0,0,O370/O$4)</f>
        <v>0</v>
      </c>
      <c r="Q370" s="657">
        <f t="shared" ref="Q370" si="4995">Q371+Q377+Q378+Q389+Q390+Q391+Q392</f>
        <v>0</v>
      </c>
      <c r="R370" s="658">
        <f t="shared" ref="R370" si="4996">IF(Q370=0,0,Q370/Q$4)</f>
        <v>0</v>
      </c>
      <c r="S370" s="657">
        <f t="shared" ref="S370" si="4997">S371+S377+S378+S389+S390+S391+S392</f>
        <v>0</v>
      </c>
      <c r="T370" s="658">
        <f t="shared" ref="T370" si="4998">IF(S370=0,0,S370/S$4)</f>
        <v>0</v>
      </c>
      <c r="U370" s="657">
        <f t="shared" ref="U370" si="4999">U371+U377+U378+U389+U390+U391+U392</f>
        <v>0</v>
      </c>
      <c r="V370" s="658">
        <f t="shared" ref="V370" si="5000">IF(U370=0,0,U370/U$4)</f>
        <v>0</v>
      </c>
      <c r="W370" s="657">
        <f t="shared" ref="W370" si="5001">W371+W377+W378+W389+W390+W391+W392</f>
        <v>0</v>
      </c>
      <c r="X370" s="658">
        <f t="shared" ref="X370" si="5002">IF(W370=0,0,W370/W$4)</f>
        <v>0</v>
      </c>
      <c r="Y370" s="657">
        <f t="shared" ref="Y370" si="5003">Y371+Y377+Y378+Y389+Y390+Y391+Y392</f>
        <v>0</v>
      </c>
      <c r="Z370" s="658">
        <f t="shared" ref="Z370" si="5004">IF(Y370=0,0,Y370/Y$4)</f>
        <v>0</v>
      </c>
      <c r="AA370" s="657">
        <f t="shared" ref="AA370" si="5005">AA371+AA377+AA378+AA389+AA390+AA391+AA392</f>
        <v>0</v>
      </c>
      <c r="AB370" s="658">
        <f t="shared" ref="AB370" si="5006">IF(AA370=0,0,AA370/AA$4)</f>
        <v>0</v>
      </c>
      <c r="AC370" s="657">
        <f t="shared" ref="AC370" si="5007">AC371+AC377+AC378+AC389+AC390+AC391+AC392</f>
        <v>411214051.08785224</v>
      </c>
      <c r="AD370" s="658">
        <f t="shared" ref="AD370" si="5008">IF(AC370=0,0,AC370/AC$4)</f>
        <v>2553.9195353672276</v>
      </c>
      <c r="AE370" s="654"/>
    </row>
    <row r="371" spans="1:36" s="556" customFormat="1" ht="15.75" hidden="1" outlineLevel="2">
      <c r="A371" s="609" t="s">
        <v>1398</v>
      </c>
      <c r="B371" s="559" t="s">
        <v>18</v>
      </c>
      <c r="C371" s="659">
        <f>C372+C375+C376</f>
        <v>0</v>
      </c>
      <c r="D371" s="660">
        <f t="shared" si="4382"/>
        <v>0</v>
      </c>
      <c r="E371" s="659">
        <f t="shared" ref="E371" si="5009">E372+E375+E376</f>
        <v>359670108.42293286</v>
      </c>
      <c r="F371" s="660">
        <f t="shared" si="4382"/>
        <v>8356.065061053665</v>
      </c>
      <c r="G371" s="659">
        <f t="shared" ref="G371" si="5010">G372+G375+G376</f>
        <v>0</v>
      </c>
      <c r="H371" s="660">
        <f t="shared" ref="H371" si="5011">IF(G371=0,0,G371/G$4)</f>
        <v>0</v>
      </c>
      <c r="I371" s="659">
        <f t="shared" ref="I371" si="5012">I372+I375+I376</f>
        <v>0</v>
      </c>
      <c r="J371" s="660">
        <f t="shared" ref="J371" si="5013">IF(I371=0,0,I371/I$4)</f>
        <v>0</v>
      </c>
      <c r="K371" s="659">
        <f t="shared" ref="K371" si="5014">K372+K375+K376</f>
        <v>0</v>
      </c>
      <c r="L371" s="660">
        <f t="shared" ref="L371" si="5015">IF(K371=0,0,K371/K$4)</f>
        <v>0</v>
      </c>
      <c r="M371" s="659">
        <f t="shared" ref="M371" si="5016">M372+M375+M376</f>
        <v>0</v>
      </c>
      <c r="N371" s="660">
        <f t="shared" ref="N371" si="5017">IF(M371=0,0,M371/M$4)</f>
        <v>0</v>
      </c>
      <c r="O371" s="659">
        <f t="shared" ref="O371" si="5018">O372+O375+O376</f>
        <v>0</v>
      </c>
      <c r="P371" s="660">
        <f t="shared" ref="P371" si="5019">IF(O371=0,0,O371/O$4)</f>
        <v>0</v>
      </c>
      <c r="Q371" s="659">
        <f t="shared" ref="Q371" si="5020">Q372+Q375+Q376</f>
        <v>0</v>
      </c>
      <c r="R371" s="660">
        <f t="shared" ref="R371" si="5021">IF(Q371=0,0,Q371/Q$4)</f>
        <v>0</v>
      </c>
      <c r="S371" s="659">
        <f t="shared" ref="S371" si="5022">S372+S375+S376</f>
        <v>0</v>
      </c>
      <c r="T371" s="660">
        <f t="shared" ref="T371" si="5023">IF(S371=0,0,S371/S$4)</f>
        <v>0</v>
      </c>
      <c r="U371" s="659">
        <f t="shared" ref="U371" si="5024">U372+U375+U376</f>
        <v>0</v>
      </c>
      <c r="V371" s="660">
        <f t="shared" ref="V371" si="5025">IF(U371=0,0,U371/U$4)</f>
        <v>0</v>
      </c>
      <c r="W371" s="659">
        <f t="shared" ref="W371" si="5026">W372+W375+W376</f>
        <v>0</v>
      </c>
      <c r="X371" s="660">
        <f t="shared" ref="X371" si="5027">IF(W371=0,0,W371/W$4)</f>
        <v>0</v>
      </c>
      <c r="Y371" s="659">
        <f t="shared" ref="Y371" si="5028">Y372+Y375+Y376</f>
        <v>0</v>
      </c>
      <c r="Z371" s="660">
        <f t="shared" ref="Z371" si="5029">IF(Y371=0,0,Y371/Y$4)</f>
        <v>0</v>
      </c>
      <c r="AA371" s="659">
        <f t="shared" ref="AA371" si="5030">AA372+AA375+AA376</f>
        <v>0</v>
      </c>
      <c r="AB371" s="660">
        <f t="shared" ref="AB371" si="5031">IF(AA371=0,0,AA371/AA$4)</f>
        <v>0</v>
      </c>
      <c r="AC371" s="659">
        <f>AC372+AC375+AC376</f>
        <v>359670108.42293286</v>
      </c>
      <c r="AD371" s="660">
        <f t="shared" ref="AD371" si="5032">IF(AC371=0,0,AC371/AC$4)</f>
        <v>2233.7965197418148</v>
      </c>
      <c r="AE371" s="654"/>
    </row>
    <row r="372" spans="1:36" s="556" customFormat="1" ht="15.75" hidden="1" outlineLevel="3">
      <c r="A372" s="612" t="s">
        <v>1397</v>
      </c>
      <c r="B372" s="560" t="s">
        <v>1148</v>
      </c>
      <c r="C372" s="661">
        <f>C373+C374</f>
        <v>0</v>
      </c>
      <c r="D372" s="662">
        <f t="shared" si="4382"/>
        <v>0</v>
      </c>
      <c r="E372" s="661">
        <f t="shared" ref="E372" si="5033">E373+E374</f>
        <v>194370013.57002056</v>
      </c>
      <c r="F372" s="662">
        <f t="shared" si="4382"/>
        <v>4515.7171565648432</v>
      </c>
      <c r="G372" s="661">
        <f t="shared" ref="G372" si="5034">G373+G374</f>
        <v>0</v>
      </c>
      <c r="H372" s="662">
        <f t="shared" ref="H372" si="5035">IF(G372=0,0,G372/G$4)</f>
        <v>0</v>
      </c>
      <c r="I372" s="661">
        <f t="shared" ref="I372" si="5036">I373+I374</f>
        <v>0</v>
      </c>
      <c r="J372" s="662">
        <f t="shared" ref="J372" si="5037">IF(I372=0,0,I372/I$4)</f>
        <v>0</v>
      </c>
      <c r="K372" s="661">
        <f t="shared" ref="K372" si="5038">K373+K374</f>
        <v>0</v>
      </c>
      <c r="L372" s="662">
        <f t="shared" ref="L372" si="5039">IF(K372=0,0,K372/K$4)</f>
        <v>0</v>
      </c>
      <c r="M372" s="661">
        <f t="shared" ref="M372" si="5040">M373+M374</f>
        <v>0</v>
      </c>
      <c r="N372" s="662">
        <f t="shared" ref="N372" si="5041">IF(M372=0,0,M372/M$4)</f>
        <v>0</v>
      </c>
      <c r="O372" s="661">
        <f t="shared" ref="O372" si="5042">O373+O374</f>
        <v>0</v>
      </c>
      <c r="P372" s="662">
        <f t="shared" ref="P372" si="5043">IF(O372=0,0,O372/O$4)</f>
        <v>0</v>
      </c>
      <c r="Q372" s="661">
        <f t="shared" ref="Q372" si="5044">Q373+Q374</f>
        <v>0</v>
      </c>
      <c r="R372" s="662">
        <f t="shared" ref="R372" si="5045">IF(Q372=0,0,Q372/Q$4)</f>
        <v>0</v>
      </c>
      <c r="S372" s="661">
        <f t="shared" ref="S372" si="5046">S373+S374</f>
        <v>0</v>
      </c>
      <c r="T372" s="662">
        <f t="shared" ref="T372" si="5047">IF(S372=0,0,S372/S$4)</f>
        <v>0</v>
      </c>
      <c r="U372" s="661">
        <f t="shared" ref="U372" si="5048">U373+U374</f>
        <v>0</v>
      </c>
      <c r="V372" s="662">
        <f t="shared" ref="V372" si="5049">IF(U372=0,0,U372/U$4)</f>
        <v>0</v>
      </c>
      <c r="W372" s="661">
        <f t="shared" ref="W372" si="5050">W373+W374</f>
        <v>0</v>
      </c>
      <c r="X372" s="662">
        <f t="shared" ref="X372" si="5051">IF(W372=0,0,W372/W$4)</f>
        <v>0</v>
      </c>
      <c r="Y372" s="661">
        <f t="shared" ref="Y372" si="5052">Y373+Y374</f>
        <v>0</v>
      </c>
      <c r="Z372" s="662">
        <f t="shared" ref="Z372" si="5053">IF(Y372=0,0,Y372/Y$4)</f>
        <v>0</v>
      </c>
      <c r="AA372" s="661">
        <f t="shared" ref="AA372" si="5054">AA373+AA374</f>
        <v>0</v>
      </c>
      <c r="AB372" s="662">
        <f t="shared" ref="AB372" si="5055">IF(AA372=0,0,AA372/AA$4)</f>
        <v>0</v>
      </c>
      <c r="AC372" s="661">
        <f>AC373+AC374</f>
        <v>194370013.57002056</v>
      </c>
      <c r="AD372" s="662">
        <f t="shared" ref="AD372" si="5056">IF(AC372=0,0,AC372/AC$4)</f>
        <v>1207.1702643254669</v>
      </c>
      <c r="AE372" s="654"/>
    </row>
    <row r="373" spans="1:36" s="68" customFormat="1" ht="15.75" hidden="1" outlineLevel="4">
      <c r="A373" s="245"/>
      <c r="B373" s="246" t="s">
        <v>856</v>
      </c>
      <c r="C373" s="663"/>
      <c r="D373" s="667">
        <f t="shared" si="4382"/>
        <v>0</v>
      </c>
      <c r="E373" s="663">
        <f>Калькулятор_жилье!L238</f>
        <v>99085567.673894584</v>
      </c>
      <c r="F373" s="667">
        <f t="shared" si="4382"/>
        <v>2302.013513786088</v>
      </c>
      <c r="G373" s="667"/>
      <c r="H373" s="667">
        <f t="shared" ref="H373" si="5057">IF(G373=0,0,G373/G$4)</f>
        <v>0</v>
      </c>
      <c r="I373" s="663"/>
      <c r="J373" s="667">
        <f t="shared" ref="J373" si="5058">IF(I373=0,0,I373/I$4)</f>
        <v>0</v>
      </c>
      <c r="K373" s="667"/>
      <c r="L373" s="667">
        <f t="shared" ref="L373" si="5059">IF(K373=0,0,K373/K$4)</f>
        <v>0</v>
      </c>
      <c r="M373" s="663"/>
      <c r="N373" s="667">
        <f t="shared" ref="N373" si="5060">IF(M373=0,0,M373/M$4)</f>
        <v>0</v>
      </c>
      <c r="O373" s="663"/>
      <c r="P373" s="667">
        <f t="shared" ref="P373" si="5061">IF(O373=0,0,O373/O$4)</f>
        <v>0</v>
      </c>
      <c r="Q373" s="667"/>
      <c r="R373" s="667">
        <f t="shared" ref="R373" si="5062">IF(Q373=0,0,Q373/Q$4)</f>
        <v>0</v>
      </c>
      <c r="S373" s="663"/>
      <c r="T373" s="667">
        <f t="shared" ref="T373" si="5063">IF(S373=0,0,S373/S$4)</f>
        <v>0</v>
      </c>
      <c r="U373" s="667"/>
      <c r="V373" s="667">
        <f t="shared" ref="V373" si="5064">IF(U373=0,0,U373/U$4)</f>
        <v>0</v>
      </c>
      <c r="W373" s="663"/>
      <c r="X373" s="667">
        <f t="shared" ref="X373" si="5065">IF(W373=0,0,W373/W$4)</f>
        <v>0</v>
      </c>
      <c r="Y373" s="663"/>
      <c r="Z373" s="667">
        <f t="shared" ref="Z373" si="5066">IF(Y373=0,0,Y373/Y$4)</f>
        <v>0</v>
      </c>
      <c r="AA373" s="667"/>
      <c r="AB373" s="667">
        <f t="shared" ref="AB373" si="5067">IF(AA373=0,0,AA373/AA$4)</f>
        <v>0</v>
      </c>
      <c r="AC373" s="663">
        <f>C373+E373+G373+I373+K373+M373+O373+Q373+S373+U373+W373+AA373+Y373</f>
        <v>99085567.673894584</v>
      </c>
      <c r="AD373" s="667">
        <f t="shared" ref="AD373" si="5068">IF(AC373=0,0,AC373/AC$4)</f>
        <v>615.38891068011571</v>
      </c>
      <c r="AE373" s="665"/>
      <c r="AF373" s="556"/>
      <c r="AG373" s="114"/>
      <c r="AH373" s="114"/>
      <c r="AI373" s="114"/>
      <c r="AJ373" s="114"/>
    </row>
    <row r="374" spans="1:36" s="68" customFormat="1" ht="15.75" hidden="1" outlineLevel="4">
      <c r="A374" s="245"/>
      <c r="B374" s="246" t="s">
        <v>858</v>
      </c>
      <c r="C374" s="663"/>
      <c r="D374" s="667">
        <f t="shared" si="4382"/>
        <v>0</v>
      </c>
      <c r="E374" s="663">
        <f>Калькулятор_жилье!L242</f>
        <v>95284445.896125957</v>
      </c>
      <c r="F374" s="667">
        <f t="shared" si="4382"/>
        <v>2213.7036427787552</v>
      </c>
      <c r="G374" s="667"/>
      <c r="H374" s="667">
        <f t="shared" ref="H374" si="5069">IF(G374=0,0,G374/G$4)</f>
        <v>0</v>
      </c>
      <c r="I374" s="663"/>
      <c r="J374" s="667">
        <f t="shared" ref="J374" si="5070">IF(I374=0,0,I374/I$4)</f>
        <v>0</v>
      </c>
      <c r="K374" s="667"/>
      <c r="L374" s="667">
        <f t="shared" ref="L374" si="5071">IF(K374=0,0,K374/K$4)</f>
        <v>0</v>
      </c>
      <c r="M374" s="663"/>
      <c r="N374" s="667">
        <f t="shared" ref="N374" si="5072">IF(M374=0,0,M374/M$4)</f>
        <v>0</v>
      </c>
      <c r="O374" s="663"/>
      <c r="P374" s="667">
        <f t="shared" ref="P374" si="5073">IF(O374=0,0,O374/O$4)</f>
        <v>0</v>
      </c>
      <c r="Q374" s="667"/>
      <c r="R374" s="667">
        <f t="shared" ref="R374" si="5074">IF(Q374=0,0,Q374/Q$4)</f>
        <v>0</v>
      </c>
      <c r="S374" s="663"/>
      <c r="T374" s="667">
        <f t="shared" ref="T374" si="5075">IF(S374=0,0,S374/S$4)</f>
        <v>0</v>
      </c>
      <c r="U374" s="667"/>
      <c r="V374" s="667">
        <f t="shared" ref="V374" si="5076">IF(U374=0,0,U374/U$4)</f>
        <v>0</v>
      </c>
      <c r="W374" s="663"/>
      <c r="X374" s="667">
        <f t="shared" ref="X374" si="5077">IF(W374=0,0,W374/W$4)</f>
        <v>0</v>
      </c>
      <c r="Y374" s="663"/>
      <c r="Z374" s="667">
        <f t="shared" ref="Z374" si="5078">IF(Y374=0,0,Y374/Y$4)</f>
        <v>0</v>
      </c>
      <c r="AA374" s="667"/>
      <c r="AB374" s="667">
        <f t="shared" ref="AB374" si="5079">IF(AA374=0,0,AA374/AA$4)</f>
        <v>0</v>
      </c>
      <c r="AC374" s="663">
        <f>C374+E374+G374+I374+K374+M374+O374+Q374+S374+U374+W374+AA374+Y374</f>
        <v>95284445.896125957</v>
      </c>
      <c r="AD374" s="667">
        <f t="shared" ref="AD374" si="5080">IF(AC374=0,0,AC374/AC$4)</f>
        <v>591.78135364535103</v>
      </c>
      <c r="AE374" s="665"/>
      <c r="AF374" s="556"/>
      <c r="AG374" s="114"/>
      <c r="AH374" s="114"/>
      <c r="AI374" s="114"/>
      <c r="AJ374" s="114"/>
    </row>
    <row r="375" spans="1:36" s="556" customFormat="1" ht="15.75" hidden="1" outlineLevel="3">
      <c r="A375" s="612" t="s">
        <v>1396</v>
      </c>
      <c r="B375" s="560" t="s">
        <v>1151</v>
      </c>
      <c r="C375" s="661"/>
      <c r="D375" s="662">
        <f t="shared" si="4382"/>
        <v>0</v>
      </c>
      <c r="E375" s="661">
        <f>Калькулятор_жилье!L240</f>
        <v>77510767.961692542</v>
      </c>
      <c r="F375" s="662">
        <f t="shared" si="4382"/>
        <v>1800.7752238852436</v>
      </c>
      <c r="G375" s="661"/>
      <c r="H375" s="662">
        <f t="shared" ref="H375" si="5081">IF(G375=0,0,G375/G$4)</f>
        <v>0</v>
      </c>
      <c r="I375" s="661"/>
      <c r="J375" s="662">
        <f t="shared" ref="J375" si="5082">IF(I375=0,0,I375/I$4)</f>
        <v>0</v>
      </c>
      <c r="K375" s="661"/>
      <c r="L375" s="662">
        <f t="shared" ref="L375" si="5083">IF(K375=0,0,K375/K$4)</f>
        <v>0</v>
      </c>
      <c r="M375" s="661"/>
      <c r="N375" s="662">
        <f t="shared" ref="N375" si="5084">IF(M375=0,0,M375/M$4)</f>
        <v>0</v>
      </c>
      <c r="O375" s="661"/>
      <c r="P375" s="662">
        <f t="shared" ref="P375" si="5085">IF(O375=0,0,O375/O$4)</f>
        <v>0</v>
      </c>
      <c r="Q375" s="661"/>
      <c r="R375" s="662">
        <f t="shared" ref="R375" si="5086">IF(Q375=0,0,Q375/Q$4)</f>
        <v>0</v>
      </c>
      <c r="S375" s="661"/>
      <c r="T375" s="662">
        <f t="shared" ref="T375" si="5087">IF(S375=0,0,S375/S$4)</f>
        <v>0</v>
      </c>
      <c r="U375" s="661"/>
      <c r="V375" s="662">
        <f t="shared" ref="V375" si="5088">IF(U375=0,0,U375/U$4)</f>
        <v>0</v>
      </c>
      <c r="W375" s="661"/>
      <c r="X375" s="662">
        <f t="shared" ref="X375" si="5089">IF(W375=0,0,W375/W$4)</f>
        <v>0</v>
      </c>
      <c r="Y375" s="661"/>
      <c r="Z375" s="662">
        <f t="shared" ref="Z375" si="5090">IF(Y375=0,0,Y375/Y$4)</f>
        <v>0</v>
      </c>
      <c r="AA375" s="661"/>
      <c r="AB375" s="662">
        <f t="shared" ref="AB375" si="5091">IF(AA375=0,0,AA375/AA$4)</f>
        <v>0</v>
      </c>
      <c r="AC375" s="662">
        <f t="shared" ref="AC375:AC438" si="5092">C375+E375+G375+I375+K375+M375+O375+Q375+S375+U375+W375+AA375+Y375</f>
        <v>77510767.961692542</v>
      </c>
      <c r="AD375" s="662">
        <f t="shared" ref="AD375" si="5093">IF(AC375=0,0,AC375/AC$4)</f>
        <v>481.39469936641638</v>
      </c>
      <c r="AE375" s="654"/>
    </row>
    <row r="376" spans="1:36" s="556" customFormat="1" ht="15.75" hidden="1" outlineLevel="3">
      <c r="A376" s="612" t="s">
        <v>1395</v>
      </c>
      <c r="B376" s="560" t="s">
        <v>1153</v>
      </c>
      <c r="C376" s="661"/>
      <c r="D376" s="662">
        <f t="shared" si="4382"/>
        <v>0</v>
      </c>
      <c r="E376" s="661">
        <f>Калькулятор_жилье!L236</f>
        <v>87789326.891219765</v>
      </c>
      <c r="F376" s="662">
        <f t="shared" si="4382"/>
        <v>2039.5726806035771</v>
      </c>
      <c r="G376" s="661"/>
      <c r="H376" s="662">
        <f t="shared" ref="H376" si="5094">IF(G376=0,0,G376/G$4)</f>
        <v>0</v>
      </c>
      <c r="I376" s="661"/>
      <c r="J376" s="662">
        <f t="shared" ref="J376" si="5095">IF(I376=0,0,I376/I$4)</f>
        <v>0</v>
      </c>
      <c r="K376" s="661"/>
      <c r="L376" s="662">
        <f t="shared" ref="L376" si="5096">IF(K376=0,0,K376/K$4)</f>
        <v>0</v>
      </c>
      <c r="M376" s="661"/>
      <c r="N376" s="662">
        <f t="shared" ref="N376" si="5097">IF(M376=0,0,M376/M$4)</f>
        <v>0</v>
      </c>
      <c r="O376" s="661"/>
      <c r="P376" s="662">
        <f t="shared" ref="P376" si="5098">IF(O376=0,0,O376/O$4)</f>
        <v>0</v>
      </c>
      <c r="Q376" s="661"/>
      <c r="R376" s="662">
        <f t="shared" ref="R376" si="5099">IF(Q376=0,0,Q376/Q$4)</f>
        <v>0</v>
      </c>
      <c r="S376" s="661"/>
      <c r="T376" s="662">
        <f t="shared" ref="T376" si="5100">IF(S376=0,0,S376/S$4)</f>
        <v>0</v>
      </c>
      <c r="U376" s="661"/>
      <c r="V376" s="662">
        <f t="shared" ref="V376" si="5101">IF(U376=0,0,U376/U$4)</f>
        <v>0</v>
      </c>
      <c r="W376" s="661"/>
      <c r="X376" s="662">
        <f t="shared" ref="X376" si="5102">IF(W376=0,0,W376/W$4)</f>
        <v>0</v>
      </c>
      <c r="Y376" s="661"/>
      <c r="Z376" s="662">
        <f t="shared" ref="Z376" si="5103">IF(Y376=0,0,Y376/Y$4)</f>
        <v>0</v>
      </c>
      <c r="AA376" s="661"/>
      <c r="AB376" s="662">
        <f t="shared" ref="AB376" si="5104">IF(AA376=0,0,AA376/AA$4)</f>
        <v>0</v>
      </c>
      <c r="AC376" s="662">
        <f t="shared" si="5092"/>
        <v>87789326.891219765</v>
      </c>
      <c r="AD376" s="662">
        <f t="shared" ref="AD376" si="5105">IF(AC376=0,0,AC376/AC$4)</f>
        <v>545.23155604993133</v>
      </c>
      <c r="AE376" s="654"/>
    </row>
    <row r="377" spans="1:36" s="556" customFormat="1" ht="15.75" hidden="1" outlineLevel="2">
      <c r="A377" s="609" t="s">
        <v>1394</v>
      </c>
      <c r="B377" s="559" t="s">
        <v>1393</v>
      </c>
      <c r="C377" s="659"/>
      <c r="D377" s="660">
        <f t="shared" si="4382"/>
        <v>0</v>
      </c>
      <c r="E377" s="659">
        <f>Калькулятор_жилье!L310</f>
        <v>24003897.577096131</v>
      </c>
      <c r="F377" s="660">
        <f t="shared" si="4382"/>
        <v>557.67250370783006</v>
      </c>
      <c r="G377" s="659"/>
      <c r="H377" s="660">
        <f t="shared" ref="H377" si="5106">IF(G377=0,0,G377/G$4)</f>
        <v>0</v>
      </c>
      <c r="I377" s="659"/>
      <c r="J377" s="660">
        <f t="shared" ref="J377" si="5107">IF(I377=0,0,I377/I$4)</f>
        <v>0</v>
      </c>
      <c r="K377" s="659"/>
      <c r="L377" s="660">
        <f t="shared" ref="L377" si="5108">IF(K377=0,0,K377/K$4)</f>
        <v>0</v>
      </c>
      <c r="M377" s="659"/>
      <c r="N377" s="660">
        <f t="shared" ref="N377" si="5109">IF(M377=0,0,M377/M$4)</f>
        <v>0</v>
      </c>
      <c r="O377" s="659"/>
      <c r="P377" s="660">
        <f t="shared" ref="P377" si="5110">IF(O377=0,0,O377/O$4)</f>
        <v>0</v>
      </c>
      <c r="Q377" s="659"/>
      <c r="R377" s="660">
        <f t="shared" ref="R377" si="5111">IF(Q377=0,0,Q377/Q$4)</f>
        <v>0</v>
      </c>
      <c r="S377" s="659"/>
      <c r="T377" s="660">
        <f t="shared" ref="T377" si="5112">IF(S377=0,0,S377/S$4)</f>
        <v>0</v>
      </c>
      <c r="U377" s="659"/>
      <c r="V377" s="660">
        <f t="shared" ref="V377" si="5113">IF(U377=0,0,U377/U$4)</f>
        <v>0</v>
      </c>
      <c r="W377" s="659"/>
      <c r="X377" s="660">
        <f t="shared" ref="X377" si="5114">IF(W377=0,0,W377/W$4)</f>
        <v>0</v>
      </c>
      <c r="Y377" s="659"/>
      <c r="Z377" s="660">
        <f t="shared" ref="Z377" si="5115">IF(Y377=0,0,Y377/Y$4)</f>
        <v>0</v>
      </c>
      <c r="AA377" s="659"/>
      <c r="AB377" s="660">
        <f t="shared" ref="AB377" si="5116">IF(AA377=0,0,AA377/AA$4)</f>
        <v>0</v>
      </c>
      <c r="AC377" s="660">
        <f t="shared" si="5092"/>
        <v>24003897.577096131</v>
      </c>
      <c r="AD377" s="660">
        <f t="shared" ref="AD377" si="5117">IF(AC377=0,0,AC377/AC$4)</f>
        <v>149.08056469598316</v>
      </c>
      <c r="AE377" s="654"/>
    </row>
    <row r="378" spans="1:36" s="556" customFormat="1" ht="15.75" hidden="1" outlineLevel="2">
      <c r="A378" s="609" t="s">
        <v>1392</v>
      </c>
      <c r="B378" s="559" t="s">
        <v>1391</v>
      </c>
      <c r="C378" s="659">
        <f>C379+C387+C388</f>
        <v>0</v>
      </c>
      <c r="D378" s="660">
        <f t="shared" si="4382"/>
        <v>0</v>
      </c>
      <c r="E378" s="659">
        <f t="shared" ref="E378" si="5118">E379+E387+E388</f>
        <v>27540045.087823242</v>
      </c>
      <c r="F378" s="660">
        <f t="shared" si="4382"/>
        <v>639.8263384946041</v>
      </c>
      <c r="G378" s="659">
        <f t="shared" ref="G378" si="5119">G379+G387+G388</f>
        <v>0</v>
      </c>
      <c r="H378" s="660">
        <f t="shared" ref="H378" si="5120">IF(G378=0,0,G378/G$4)</f>
        <v>0</v>
      </c>
      <c r="I378" s="659">
        <f t="shared" ref="I378" si="5121">I379+I387+I388</f>
        <v>0</v>
      </c>
      <c r="J378" s="660">
        <f t="shared" ref="J378" si="5122">IF(I378=0,0,I378/I$4)</f>
        <v>0</v>
      </c>
      <c r="K378" s="659">
        <f t="shared" ref="K378" si="5123">K379+K387+K388</f>
        <v>0</v>
      </c>
      <c r="L378" s="660">
        <f t="shared" ref="L378" si="5124">IF(K378=0,0,K378/K$4)</f>
        <v>0</v>
      </c>
      <c r="M378" s="659">
        <f t="shared" ref="M378" si="5125">M379+M387+M388</f>
        <v>0</v>
      </c>
      <c r="N378" s="660">
        <f t="shared" ref="N378" si="5126">IF(M378=0,0,M378/M$4)</f>
        <v>0</v>
      </c>
      <c r="O378" s="659">
        <f t="shared" ref="O378" si="5127">O379+O387+O388</f>
        <v>0</v>
      </c>
      <c r="P378" s="660">
        <f t="shared" ref="P378" si="5128">IF(O378=0,0,O378/O$4)</f>
        <v>0</v>
      </c>
      <c r="Q378" s="659">
        <f t="shared" ref="Q378" si="5129">Q379+Q387+Q388</f>
        <v>0</v>
      </c>
      <c r="R378" s="660">
        <f t="shared" ref="R378" si="5130">IF(Q378=0,0,Q378/Q$4)</f>
        <v>0</v>
      </c>
      <c r="S378" s="659">
        <f t="shared" ref="S378" si="5131">S379+S387+S388</f>
        <v>0</v>
      </c>
      <c r="T378" s="660">
        <f t="shared" ref="T378" si="5132">IF(S378=0,0,S378/S$4)</f>
        <v>0</v>
      </c>
      <c r="U378" s="659">
        <f t="shared" ref="U378" si="5133">U379+U387+U388</f>
        <v>0</v>
      </c>
      <c r="V378" s="660">
        <f t="shared" ref="V378" si="5134">IF(U378=0,0,U378/U$4)</f>
        <v>0</v>
      </c>
      <c r="W378" s="659">
        <f t="shared" ref="W378" si="5135">W379+W387+W388</f>
        <v>0</v>
      </c>
      <c r="X378" s="660">
        <f t="shared" ref="X378" si="5136">IF(W378=0,0,W378/W$4)</f>
        <v>0</v>
      </c>
      <c r="Y378" s="659">
        <f t="shared" ref="Y378" si="5137">Y379+Y387+Y388</f>
        <v>0</v>
      </c>
      <c r="Z378" s="660">
        <f t="shared" ref="Z378" si="5138">IF(Y378=0,0,Y378/Y$4)</f>
        <v>0</v>
      </c>
      <c r="AA378" s="659">
        <f t="shared" ref="AA378" si="5139">AA379+AA387+AA388</f>
        <v>0</v>
      </c>
      <c r="AB378" s="660">
        <f t="shared" ref="AB378" si="5140">IF(AA378=0,0,AA378/AA$4)</f>
        <v>0</v>
      </c>
      <c r="AC378" s="660">
        <f t="shared" si="5092"/>
        <v>27540045.087823242</v>
      </c>
      <c r="AD378" s="660">
        <f t="shared" ref="AD378" si="5141">IF(AC378=0,0,AC378/AC$4)</f>
        <v>171.04245092942986</v>
      </c>
      <c r="AE378" s="654"/>
    </row>
    <row r="379" spans="1:36" s="556" customFormat="1" ht="15.75" hidden="1" outlineLevel="3">
      <c r="A379" s="612" t="s">
        <v>1390</v>
      </c>
      <c r="B379" s="560" t="s">
        <v>1389</v>
      </c>
      <c r="C379" s="661">
        <f>C380+C383+C384</f>
        <v>0</v>
      </c>
      <c r="D379" s="661">
        <f t="shared" si="4382"/>
        <v>0</v>
      </c>
      <c r="E379" s="661">
        <f t="shared" ref="E379" si="5142">E380+E383+E384</f>
        <v>27540045.087823242</v>
      </c>
      <c r="F379" s="661">
        <f t="shared" si="4382"/>
        <v>639.8263384946041</v>
      </c>
      <c r="G379" s="661">
        <f t="shared" ref="G379" si="5143">G380+G383+G384</f>
        <v>0</v>
      </c>
      <c r="H379" s="661">
        <f t="shared" ref="H379" si="5144">IF(G379=0,0,G379/G$4)</f>
        <v>0</v>
      </c>
      <c r="I379" s="661">
        <f t="shared" ref="I379" si="5145">I380+I383+I384</f>
        <v>0</v>
      </c>
      <c r="J379" s="661">
        <f t="shared" ref="J379" si="5146">IF(I379=0,0,I379/I$4)</f>
        <v>0</v>
      </c>
      <c r="K379" s="661">
        <f t="shared" ref="K379" si="5147">K380+K383+K384</f>
        <v>0</v>
      </c>
      <c r="L379" s="661">
        <f t="shared" ref="L379" si="5148">IF(K379=0,0,K379/K$4)</f>
        <v>0</v>
      </c>
      <c r="M379" s="661">
        <f t="shared" ref="M379" si="5149">M380+M383+M384</f>
        <v>0</v>
      </c>
      <c r="N379" s="661">
        <f t="shared" ref="N379" si="5150">IF(M379=0,0,M379/M$4)</f>
        <v>0</v>
      </c>
      <c r="O379" s="661">
        <f t="shared" ref="O379" si="5151">O380+O383+O384</f>
        <v>0</v>
      </c>
      <c r="P379" s="661">
        <f t="shared" ref="P379" si="5152">IF(O379=0,0,O379/O$4)</f>
        <v>0</v>
      </c>
      <c r="Q379" s="661">
        <f t="shared" ref="Q379" si="5153">Q380+Q383+Q384</f>
        <v>0</v>
      </c>
      <c r="R379" s="661">
        <f t="shared" ref="R379" si="5154">IF(Q379=0,0,Q379/Q$4)</f>
        <v>0</v>
      </c>
      <c r="S379" s="661">
        <f t="shared" ref="S379" si="5155">S380+S383+S384</f>
        <v>0</v>
      </c>
      <c r="T379" s="661">
        <f t="shared" ref="T379" si="5156">IF(S379=0,0,S379/S$4)</f>
        <v>0</v>
      </c>
      <c r="U379" s="661">
        <f t="shared" ref="U379" si="5157">U380+U383+U384</f>
        <v>0</v>
      </c>
      <c r="V379" s="661">
        <f t="shared" ref="V379" si="5158">IF(U379=0,0,U379/U$4)</f>
        <v>0</v>
      </c>
      <c r="W379" s="661">
        <f t="shared" ref="W379" si="5159">W380+W383+W384</f>
        <v>0</v>
      </c>
      <c r="X379" s="661">
        <f t="shared" ref="X379" si="5160">IF(W379=0,0,W379/W$4)</f>
        <v>0</v>
      </c>
      <c r="Y379" s="661">
        <f t="shared" ref="Y379" si="5161">Y380+Y383+Y384</f>
        <v>0</v>
      </c>
      <c r="Z379" s="661">
        <f t="shared" ref="Z379" si="5162">IF(Y379=0,0,Y379/Y$4)</f>
        <v>0</v>
      </c>
      <c r="AA379" s="661">
        <f t="shared" ref="AA379" si="5163">AA380+AA383+AA384</f>
        <v>0</v>
      </c>
      <c r="AB379" s="661">
        <f t="shared" ref="AB379" si="5164">IF(AA379=0,0,AA379/AA$4)</f>
        <v>0</v>
      </c>
      <c r="AC379" s="661">
        <f t="shared" si="5092"/>
        <v>27540045.087823242</v>
      </c>
      <c r="AD379" s="661">
        <f t="shared" ref="AD379" si="5165">IF(AC379=0,0,AC379/AC$4)</f>
        <v>171.04245092942986</v>
      </c>
      <c r="AE379" s="654"/>
    </row>
    <row r="380" spans="1:36" s="68" customFormat="1" hidden="1" outlineLevel="4">
      <c r="A380" s="117"/>
      <c r="B380" s="118" t="s">
        <v>854</v>
      </c>
      <c r="C380" s="661"/>
      <c r="D380" s="661">
        <f t="shared" si="4382"/>
        <v>0</v>
      </c>
      <c r="E380" s="661">
        <f>SUM(Калькулятор_жилье!L312:L315)</f>
        <v>7453976.36828034</v>
      </c>
      <c r="F380" s="661">
        <f t="shared" si="4382"/>
        <v>173.17511252190459</v>
      </c>
      <c r="G380" s="661"/>
      <c r="H380" s="661">
        <f t="shared" ref="H380" si="5166">IF(G380=0,0,G380/G$4)</f>
        <v>0</v>
      </c>
      <c r="I380" s="661"/>
      <c r="J380" s="661">
        <f t="shared" ref="J380" si="5167">IF(I380=0,0,I380/I$4)</f>
        <v>0</v>
      </c>
      <c r="K380" s="661"/>
      <c r="L380" s="661">
        <f t="shared" ref="L380" si="5168">IF(K380=0,0,K380/K$4)</f>
        <v>0</v>
      </c>
      <c r="M380" s="661"/>
      <c r="N380" s="661">
        <f t="shared" ref="N380" si="5169">IF(M380=0,0,M380/M$4)</f>
        <v>0</v>
      </c>
      <c r="O380" s="661"/>
      <c r="P380" s="661">
        <f t="shared" ref="P380" si="5170">IF(O380=0,0,O380/O$4)</f>
        <v>0</v>
      </c>
      <c r="Q380" s="661"/>
      <c r="R380" s="661">
        <f t="shared" ref="R380" si="5171">IF(Q380=0,0,Q380/Q$4)</f>
        <v>0</v>
      </c>
      <c r="S380" s="661"/>
      <c r="T380" s="661">
        <f t="shared" ref="T380" si="5172">IF(S380=0,0,S380/S$4)</f>
        <v>0</v>
      </c>
      <c r="U380" s="661"/>
      <c r="V380" s="661">
        <f t="shared" ref="V380" si="5173">IF(U380=0,0,U380/U$4)</f>
        <v>0</v>
      </c>
      <c r="W380" s="661"/>
      <c r="X380" s="661">
        <f t="shared" ref="X380" si="5174">IF(W380=0,0,W380/W$4)</f>
        <v>0</v>
      </c>
      <c r="Y380" s="661"/>
      <c r="Z380" s="661">
        <f t="shared" ref="Z380" si="5175">IF(Y380=0,0,Y380/Y$4)</f>
        <v>0</v>
      </c>
      <c r="AA380" s="661"/>
      <c r="AB380" s="661">
        <f t="shared" ref="AB380" si="5176">IF(AA380=0,0,AA380/AA$4)</f>
        <v>0</v>
      </c>
      <c r="AC380" s="661">
        <f t="shared" si="5092"/>
        <v>7453976.36828034</v>
      </c>
      <c r="AD380" s="661">
        <f t="shared" ref="AD380" si="5177">IF(AC380=0,0,AC380/AC$4)</f>
        <v>46.294273779690876</v>
      </c>
      <c r="AE380" s="665"/>
      <c r="AF380" s="114"/>
      <c r="AG380" s="114"/>
      <c r="AH380" s="114"/>
      <c r="AI380" s="114"/>
      <c r="AJ380" s="114"/>
    </row>
    <row r="381" spans="1:36" s="68" customFormat="1" hidden="1" outlineLevel="5">
      <c r="A381" s="245"/>
      <c r="B381" s="246" t="s">
        <v>419</v>
      </c>
      <c r="C381" s="663"/>
      <c r="D381" s="663">
        <f t="shared" si="4382"/>
        <v>0</v>
      </c>
      <c r="E381" s="663">
        <f>E380-E382*курс</f>
        <v>7453976.36828034</v>
      </c>
      <c r="F381" s="663">
        <f t="shared" si="4382"/>
        <v>173.17511252190459</v>
      </c>
      <c r="G381" s="663"/>
      <c r="H381" s="663">
        <f t="shared" ref="H381" si="5178">IF(G381=0,0,G381/G$4)</f>
        <v>0</v>
      </c>
      <c r="I381" s="663"/>
      <c r="J381" s="663">
        <f t="shared" ref="J381" si="5179">IF(I381=0,0,I381/I$4)</f>
        <v>0</v>
      </c>
      <c r="K381" s="663"/>
      <c r="L381" s="663">
        <f t="shared" ref="L381" si="5180">IF(K381=0,0,K381/K$4)</f>
        <v>0</v>
      </c>
      <c r="M381" s="663"/>
      <c r="N381" s="663">
        <f t="shared" ref="N381" si="5181">IF(M381=0,0,M381/M$4)</f>
        <v>0</v>
      </c>
      <c r="O381" s="663"/>
      <c r="P381" s="663">
        <f t="shared" ref="P381" si="5182">IF(O381=0,0,O381/O$4)</f>
        <v>0</v>
      </c>
      <c r="Q381" s="663"/>
      <c r="R381" s="663">
        <f t="shared" ref="R381" si="5183">IF(Q381=0,0,Q381/Q$4)</f>
        <v>0</v>
      </c>
      <c r="S381" s="663"/>
      <c r="T381" s="663">
        <f t="shared" ref="T381" si="5184">IF(S381=0,0,S381/S$4)</f>
        <v>0</v>
      </c>
      <c r="U381" s="663"/>
      <c r="V381" s="663">
        <f t="shared" ref="V381" si="5185">IF(U381=0,0,U381/U$4)</f>
        <v>0</v>
      </c>
      <c r="W381" s="663"/>
      <c r="X381" s="663">
        <f t="shared" ref="X381" si="5186">IF(W381=0,0,W381/W$4)</f>
        <v>0</v>
      </c>
      <c r="Y381" s="663"/>
      <c r="Z381" s="663">
        <f t="shared" ref="Z381" si="5187">IF(Y381=0,0,Y381/Y$4)</f>
        <v>0</v>
      </c>
      <c r="AA381" s="663"/>
      <c r="AB381" s="663">
        <f t="shared" ref="AB381" si="5188">IF(AA381=0,0,AA381/AA$4)</f>
        <v>0</v>
      </c>
      <c r="AC381" s="663">
        <f t="shared" si="5092"/>
        <v>7453976.36828034</v>
      </c>
      <c r="AD381" s="663">
        <f t="shared" ref="AD381" si="5189">IF(AC381=0,0,AC381/AC$4)</f>
        <v>46.294273779690876</v>
      </c>
      <c r="AE381" s="665"/>
      <c r="AF381" s="114"/>
      <c r="AG381" s="114"/>
      <c r="AH381" s="114"/>
      <c r="AI381" s="114"/>
      <c r="AJ381" s="114"/>
    </row>
    <row r="382" spans="1:36" s="68" customFormat="1" hidden="1" outlineLevel="5">
      <c r="A382" s="245"/>
      <c r="B382" s="246" t="s">
        <v>420</v>
      </c>
      <c r="C382" s="663"/>
      <c r="D382" s="663">
        <f t="shared" si="4382"/>
        <v>0</v>
      </c>
      <c r="E382" s="663">
        <f>SUM(Калькулятор_жилье!AB312:AB315)</f>
        <v>0</v>
      </c>
      <c r="F382" s="663">
        <f t="shared" si="4382"/>
        <v>0</v>
      </c>
      <c r="G382" s="663"/>
      <c r="H382" s="663">
        <f t="shared" ref="H382" si="5190">IF(G382=0,0,G382/G$4)</f>
        <v>0</v>
      </c>
      <c r="I382" s="663"/>
      <c r="J382" s="663">
        <f t="shared" ref="J382" si="5191">IF(I382=0,0,I382/I$4)</f>
        <v>0</v>
      </c>
      <c r="K382" s="663"/>
      <c r="L382" s="663">
        <f t="shared" ref="L382" si="5192">IF(K382=0,0,K382/K$4)</f>
        <v>0</v>
      </c>
      <c r="M382" s="663"/>
      <c r="N382" s="663">
        <f t="shared" ref="N382" si="5193">IF(M382=0,0,M382/M$4)</f>
        <v>0</v>
      </c>
      <c r="O382" s="663"/>
      <c r="P382" s="663">
        <f t="shared" ref="P382" si="5194">IF(O382=0,0,O382/O$4)</f>
        <v>0</v>
      </c>
      <c r="Q382" s="663"/>
      <c r="R382" s="663">
        <f t="shared" ref="R382" si="5195">IF(Q382=0,0,Q382/Q$4)</f>
        <v>0</v>
      </c>
      <c r="S382" s="663"/>
      <c r="T382" s="663">
        <f t="shared" ref="T382" si="5196">IF(S382=0,0,S382/S$4)</f>
        <v>0</v>
      </c>
      <c r="U382" s="663"/>
      <c r="V382" s="663">
        <f t="shared" ref="V382" si="5197">IF(U382=0,0,U382/U$4)</f>
        <v>0</v>
      </c>
      <c r="W382" s="663"/>
      <c r="X382" s="663">
        <f t="shared" ref="X382" si="5198">IF(W382=0,0,W382/W$4)</f>
        <v>0</v>
      </c>
      <c r="Y382" s="663"/>
      <c r="Z382" s="663">
        <f t="shared" ref="Z382" si="5199">IF(Y382=0,0,Y382/Y$4)</f>
        <v>0</v>
      </c>
      <c r="AA382" s="663"/>
      <c r="AB382" s="663">
        <f t="shared" ref="AB382" si="5200">IF(AA382=0,0,AA382/AA$4)</f>
        <v>0</v>
      </c>
      <c r="AC382" s="663">
        <f t="shared" si="5092"/>
        <v>0</v>
      </c>
      <c r="AD382" s="663">
        <f t="shared" ref="AD382" si="5201">IF(AC382=0,0,AC382/AC$4)</f>
        <v>0</v>
      </c>
      <c r="AE382" s="665"/>
      <c r="AF382" s="114"/>
      <c r="AG382" s="114"/>
      <c r="AH382" s="114"/>
      <c r="AI382" s="114"/>
      <c r="AJ382" s="114"/>
    </row>
    <row r="383" spans="1:36" s="68" customFormat="1" hidden="1" outlineLevel="4">
      <c r="A383" s="117"/>
      <c r="B383" s="118" t="s">
        <v>856</v>
      </c>
      <c r="C383" s="661"/>
      <c r="D383" s="661">
        <f t="shared" si="4382"/>
        <v>0</v>
      </c>
      <c r="E383" s="661">
        <f>SUM(Калькулятор_жилье!L316:L327)</f>
        <v>8116903.1613908932</v>
      </c>
      <c r="F383" s="661">
        <f t="shared" si="4382"/>
        <v>188.57661318660161</v>
      </c>
      <c r="G383" s="661"/>
      <c r="H383" s="661">
        <f t="shared" ref="H383" si="5202">IF(G383=0,0,G383/G$4)</f>
        <v>0</v>
      </c>
      <c r="I383" s="661"/>
      <c r="J383" s="661">
        <f t="shared" ref="J383" si="5203">IF(I383=0,0,I383/I$4)</f>
        <v>0</v>
      </c>
      <c r="K383" s="661"/>
      <c r="L383" s="661">
        <f t="shared" ref="L383" si="5204">IF(K383=0,0,K383/K$4)</f>
        <v>0</v>
      </c>
      <c r="M383" s="661"/>
      <c r="N383" s="661">
        <f t="shared" ref="N383" si="5205">IF(M383=0,0,M383/M$4)</f>
        <v>0</v>
      </c>
      <c r="O383" s="661"/>
      <c r="P383" s="661">
        <f t="shared" ref="P383" si="5206">IF(O383=0,0,O383/O$4)</f>
        <v>0</v>
      </c>
      <c r="Q383" s="661"/>
      <c r="R383" s="661">
        <f t="shared" ref="R383" si="5207">IF(Q383=0,0,Q383/Q$4)</f>
        <v>0</v>
      </c>
      <c r="S383" s="661"/>
      <c r="T383" s="661">
        <f t="shared" ref="T383" si="5208">IF(S383=0,0,S383/S$4)</f>
        <v>0</v>
      </c>
      <c r="U383" s="661"/>
      <c r="V383" s="661">
        <f t="shared" ref="V383" si="5209">IF(U383=0,0,U383/U$4)</f>
        <v>0</v>
      </c>
      <c r="W383" s="661"/>
      <c r="X383" s="661">
        <f t="shared" ref="X383" si="5210">IF(W383=0,0,W383/W$4)</f>
        <v>0</v>
      </c>
      <c r="Y383" s="661"/>
      <c r="Z383" s="661">
        <f t="shared" ref="Z383" si="5211">IF(Y383=0,0,Y383/Y$4)</f>
        <v>0</v>
      </c>
      <c r="AA383" s="661"/>
      <c r="AB383" s="661">
        <f t="shared" ref="AB383" si="5212">IF(AA383=0,0,AA383/AA$4)</f>
        <v>0</v>
      </c>
      <c r="AC383" s="661">
        <f t="shared" si="5092"/>
        <v>8116903.1613908932</v>
      </c>
      <c r="AD383" s="661">
        <f t="shared" ref="AD383" si="5213">IF(AC383=0,0,AC383/AC$4)</f>
        <v>50.411501007127427</v>
      </c>
      <c r="AE383" s="665"/>
      <c r="AF383" s="114"/>
      <c r="AG383" s="114"/>
      <c r="AH383" s="114"/>
      <c r="AI383" s="114"/>
      <c r="AJ383" s="114"/>
    </row>
    <row r="384" spans="1:36" s="68" customFormat="1" hidden="1" outlineLevel="4">
      <c r="A384" s="117"/>
      <c r="B384" s="118" t="s">
        <v>858</v>
      </c>
      <c r="C384" s="661"/>
      <c r="D384" s="661">
        <f t="shared" si="4382"/>
        <v>0</v>
      </c>
      <c r="E384" s="661">
        <f>SUM(Калькулятор_жилье!L328:L339)</f>
        <v>11969165.558152007</v>
      </c>
      <c r="F384" s="661">
        <f t="shared" si="4382"/>
        <v>278.07461278609776</v>
      </c>
      <c r="G384" s="661"/>
      <c r="H384" s="661">
        <f t="shared" ref="H384" si="5214">IF(G384=0,0,G384/G$4)</f>
        <v>0</v>
      </c>
      <c r="I384" s="661"/>
      <c r="J384" s="661">
        <f t="shared" ref="J384" si="5215">IF(I384=0,0,I384/I$4)</f>
        <v>0</v>
      </c>
      <c r="K384" s="661"/>
      <c r="L384" s="661">
        <f t="shared" ref="L384" si="5216">IF(K384=0,0,K384/K$4)</f>
        <v>0</v>
      </c>
      <c r="M384" s="661"/>
      <c r="N384" s="661">
        <f t="shared" ref="N384" si="5217">IF(M384=0,0,M384/M$4)</f>
        <v>0</v>
      </c>
      <c r="O384" s="661"/>
      <c r="P384" s="661">
        <f t="shared" ref="P384" si="5218">IF(O384=0,0,O384/O$4)</f>
        <v>0</v>
      </c>
      <c r="Q384" s="661"/>
      <c r="R384" s="661">
        <f t="shared" ref="R384" si="5219">IF(Q384=0,0,Q384/Q$4)</f>
        <v>0</v>
      </c>
      <c r="S384" s="661"/>
      <c r="T384" s="661">
        <f t="shared" ref="T384" si="5220">IF(S384=0,0,S384/S$4)</f>
        <v>0</v>
      </c>
      <c r="U384" s="661"/>
      <c r="V384" s="661">
        <f t="shared" ref="V384" si="5221">IF(U384=0,0,U384/U$4)</f>
        <v>0</v>
      </c>
      <c r="W384" s="661"/>
      <c r="X384" s="661">
        <f t="shared" ref="X384" si="5222">IF(W384=0,0,W384/W$4)</f>
        <v>0</v>
      </c>
      <c r="Y384" s="661"/>
      <c r="Z384" s="661">
        <f t="shared" ref="Z384" si="5223">IF(Y384=0,0,Y384/Y$4)</f>
        <v>0</v>
      </c>
      <c r="AA384" s="661"/>
      <c r="AB384" s="661">
        <f t="shared" ref="AB384" si="5224">IF(AA384=0,0,AA384/AA$4)</f>
        <v>0</v>
      </c>
      <c r="AC384" s="661">
        <f t="shared" si="5092"/>
        <v>11969165.558152007</v>
      </c>
      <c r="AD384" s="661">
        <f t="shared" ref="AD384" si="5225">IF(AC384=0,0,AC384/AC$4)</f>
        <v>74.336676142611566</v>
      </c>
      <c r="AE384" s="665"/>
      <c r="AF384" s="114"/>
      <c r="AG384" s="114"/>
      <c r="AH384" s="114"/>
      <c r="AI384" s="114"/>
      <c r="AJ384" s="114"/>
    </row>
    <row r="385" spans="1:36" s="68" customFormat="1" hidden="1" outlineLevel="5">
      <c r="A385" s="245"/>
      <c r="B385" s="246" t="s">
        <v>419</v>
      </c>
      <c r="C385" s="663"/>
      <c r="D385" s="663">
        <f t="shared" si="4382"/>
        <v>0</v>
      </c>
      <c r="E385" s="663">
        <f>E384-E386*курс</f>
        <v>11969165.558152007</v>
      </c>
      <c r="F385" s="663">
        <f t="shared" si="4382"/>
        <v>278.07461278609776</v>
      </c>
      <c r="G385" s="663"/>
      <c r="H385" s="663">
        <f t="shared" ref="H385" si="5226">IF(G385=0,0,G385/G$4)</f>
        <v>0</v>
      </c>
      <c r="I385" s="663"/>
      <c r="J385" s="663">
        <f t="shared" ref="J385" si="5227">IF(I385=0,0,I385/I$4)</f>
        <v>0</v>
      </c>
      <c r="K385" s="663"/>
      <c r="L385" s="663">
        <f t="shared" ref="L385" si="5228">IF(K385=0,0,K385/K$4)</f>
        <v>0</v>
      </c>
      <c r="M385" s="663"/>
      <c r="N385" s="663">
        <f t="shared" ref="N385" si="5229">IF(M385=0,0,M385/M$4)</f>
        <v>0</v>
      </c>
      <c r="O385" s="663"/>
      <c r="P385" s="663">
        <f t="shared" ref="P385" si="5230">IF(O385=0,0,O385/O$4)</f>
        <v>0</v>
      </c>
      <c r="Q385" s="663"/>
      <c r="R385" s="663">
        <f t="shared" ref="R385" si="5231">IF(Q385=0,0,Q385/Q$4)</f>
        <v>0</v>
      </c>
      <c r="S385" s="663"/>
      <c r="T385" s="663">
        <f t="shared" ref="T385" si="5232">IF(S385=0,0,S385/S$4)</f>
        <v>0</v>
      </c>
      <c r="U385" s="663"/>
      <c r="V385" s="663">
        <f t="shared" ref="V385" si="5233">IF(U385=0,0,U385/U$4)</f>
        <v>0</v>
      </c>
      <c r="W385" s="663"/>
      <c r="X385" s="663">
        <f t="shared" ref="X385" si="5234">IF(W385=0,0,W385/W$4)</f>
        <v>0</v>
      </c>
      <c r="Y385" s="663"/>
      <c r="Z385" s="663">
        <f t="shared" ref="Z385" si="5235">IF(Y385=0,0,Y385/Y$4)</f>
        <v>0</v>
      </c>
      <c r="AA385" s="663"/>
      <c r="AB385" s="663">
        <f t="shared" ref="AB385" si="5236">IF(AA385=0,0,AA385/AA$4)</f>
        <v>0</v>
      </c>
      <c r="AC385" s="663">
        <f t="shared" si="5092"/>
        <v>11969165.558152007</v>
      </c>
      <c r="AD385" s="663">
        <f t="shared" ref="AD385" si="5237">IF(AC385=0,0,AC385/AC$4)</f>
        <v>74.336676142611566</v>
      </c>
      <c r="AE385" s="665"/>
      <c r="AF385" s="114"/>
      <c r="AG385" s="114"/>
      <c r="AH385" s="114"/>
      <c r="AI385" s="114"/>
      <c r="AJ385" s="114"/>
    </row>
    <row r="386" spans="1:36" s="68" customFormat="1" hidden="1" outlineLevel="5">
      <c r="A386" s="245"/>
      <c r="B386" s="246" t="s">
        <v>420</v>
      </c>
      <c r="C386" s="663"/>
      <c r="D386" s="663">
        <f t="shared" si="4382"/>
        <v>0</v>
      </c>
      <c r="E386" s="663">
        <f>SUM(Калькулятор_жилье!AB328:AB339)</f>
        <v>0</v>
      </c>
      <c r="F386" s="663">
        <f t="shared" si="4382"/>
        <v>0</v>
      </c>
      <c r="G386" s="663"/>
      <c r="H386" s="663">
        <f t="shared" ref="H386" si="5238">IF(G386=0,0,G386/G$4)</f>
        <v>0</v>
      </c>
      <c r="I386" s="663"/>
      <c r="J386" s="663">
        <f t="shared" ref="J386" si="5239">IF(I386=0,0,I386/I$4)</f>
        <v>0</v>
      </c>
      <c r="K386" s="663"/>
      <c r="L386" s="663">
        <f t="shared" ref="L386" si="5240">IF(K386=0,0,K386/K$4)</f>
        <v>0</v>
      </c>
      <c r="M386" s="663"/>
      <c r="N386" s="663">
        <f t="shared" ref="N386" si="5241">IF(M386=0,0,M386/M$4)</f>
        <v>0</v>
      </c>
      <c r="O386" s="663"/>
      <c r="P386" s="663">
        <f t="shared" ref="P386" si="5242">IF(O386=0,0,O386/O$4)</f>
        <v>0</v>
      </c>
      <c r="Q386" s="663"/>
      <c r="R386" s="663">
        <f t="shared" ref="R386" si="5243">IF(Q386=0,0,Q386/Q$4)</f>
        <v>0</v>
      </c>
      <c r="S386" s="663"/>
      <c r="T386" s="663">
        <f t="shared" ref="T386" si="5244">IF(S386=0,0,S386/S$4)</f>
        <v>0</v>
      </c>
      <c r="U386" s="663"/>
      <c r="V386" s="663">
        <f t="shared" ref="V386" si="5245">IF(U386=0,0,U386/U$4)</f>
        <v>0</v>
      </c>
      <c r="W386" s="663"/>
      <c r="X386" s="663">
        <f t="shared" ref="X386" si="5246">IF(W386=0,0,W386/W$4)</f>
        <v>0</v>
      </c>
      <c r="Y386" s="663"/>
      <c r="Z386" s="663">
        <f t="shared" ref="Z386" si="5247">IF(Y386=0,0,Y386/Y$4)</f>
        <v>0</v>
      </c>
      <c r="AA386" s="663"/>
      <c r="AB386" s="663">
        <f t="shared" ref="AB386" si="5248">IF(AA386=0,0,AA386/AA$4)</f>
        <v>0</v>
      </c>
      <c r="AC386" s="663">
        <f t="shared" si="5092"/>
        <v>0</v>
      </c>
      <c r="AD386" s="663">
        <f t="shared" ref="AD386" si="5249">IF(AC386=0,0,AC386/AC$4)</f>
        <v>0</v>
      </c>
      <c r="AE386" s="665"/>
      <c r="AF386" s="114"/>
      <c r="AG386" s="114"/>
      <c r="AH386" s="114"/>
      <c r="AI386" s="114"/>
      <c r="AJ386" s="114"/>
    </row>
    <row r="387" spans="1:36" s="556" customFormat="1" ht="15.75" hidden="1" outlineLevel="3">
      <c r="A387" s="612" t="s">
        <v>1388</v>
      </c>
      <c r="B387" s="560" t="s">
        <v>1387</v>
      </c>
      <c r="C387" s="661"/>
      <c r="D387" s="661">
        <f t="shared" si="4382"/>
        <v>0</v>
      </c>
      <c r="E387" s="661"/>
      <c r="F387" s="661">
        <f t="shared" si="4382"/>
        <v>0</v>
      </c>
      <c r="G387" s="661"/>
      <c r="H387" s="661">
        <f t="shared" ref="H387" si="5250">IF(G387=0,0,G387/G$4)</f>
        <v>0</v>
      </c>
      <c r="I387" s="661"/>
      <c r="J387" s="661">
        <f t="shared" ref="J387" si="5251">IF(I387=0,0,I387/I$4)</f>
        <v>0</v>
      </c>
      <c r="K387" s="661"/>
      <c r="L387" s="661">
        <f t="shared" ref="L387" si="5252">IF(K387=0,0,K387/K$4)</f>
        <v>0</v>
      </c>
      <c r="M387" s="661"/>
      <c r="N387" s="661">
        <f t="shared" ref="N387" si="5253">IF(M387=0,0,M387/M$4)</f>
        <v>0</v>
      </c>
      <c r="O387" s="661"/>
      <c r="P387" s="661">
        <f t="shared" ref="P387" si="5254">IF(O387=0,0,O387/O$4)</f>
        <v>0</v>
      </c>
      <c r="Q387" s="661"/>
      <c r="R387" s="661">
        <f t="shared" ref="R387" si="5255">IF(Q387=0,0,Q387/Q$4)</f>
        <v>0</v>
      </c>
      <c r="S387" s="661"/>
      <c r="T387" s="661">
        <f t="shared" ref="T387" si="5256">IF(S387=0,0,S387/S$4)</f>
        <v>0</v>
      </c>
      <c r="U387" s="661"/>
      <c r="V387" s="661">
        <f t="shared" ref="V387" si="5257">IF(U387=0,0,U387/U$4)</f>
        <v>0</v>
      </c>
      <c r="W387" s="661"/>
      <c r="X387" s="661">
        <f t="shared" ref="X387" si="5258">IF(W387=0,0,W387/W$4)</f>
        <v>0</v>
      </c>
      <c r="Y387" s="661"/>
      <c r="Z387" s="661">
        <f t="shared" ref="Z387" si="5259">IF(Y387=0,0,Y387/Y$4)</f>
        <v>0</v>
      </c>
      <c r="AA387" s="661"/>
      <c r="AB387" s="661">
        <f t="shared" ref="AB387" si="5260">IF(AA387=0,0,AA387/AA$4)</f>
        <v>0</v>
      </c>
      <c r="AC387" s="661">
        <f t="shared" si="5092"/>
        <v>0</v>
      </c>
      <c r="AD387" s="661">
        <f t="shared" ref="AD387" si="5261">IF(AC387=0,0,AC387/AC$4)</f>
        <v>0</v>
      </c>
      <c r="AE387" s="654"/>
    </row>
    <row r="388" spans="1:36" s="556" customFormat="1" ht="15.75" hidden="1" outlineLevel="3">
      <c r="A388" s="612" t="s">
        <v>1386</v>
      </c>
      <c r="B388" s="560" t="s">
        <v>1385</v>
      </c>
      <c r="C388" s="661"/>
      <c r="D388" s="661">
        <f t="shared" si="4382"/>
        <v>0</v>
      </c>
      <c r="E388" s="661"/>
      <c r="F388" s="661">
        <f t="shared" si="4382"/>
        <v>0</v>
      </c>
      <c r="G388" s="661"/>
      <c r="H388" s="661">
        <f t="shared" ref="H388" si="5262">IF(G388=0,0,G388/G$4)</f>
        <v>0</v>
      </c>
      <c r="I388" s="661"/>
      <c r="J388" s="661">
        <f t="shared" ref="J388" si="5263">IF(I388=0,0,I388/I$4)</f>
        <v>0</v>
      </c>
      <c r="K388" s="661"/>
      <c r="L388" s="661">
        <f t="shared" ref="L388" si="5264">IF(K388=0,0,K388/K$4)</f>
        <v>0</v>
      </c>
      <c r="M388" s="661"/>
      <c r="N388" s="661">
        <f t="shared" ref="N388" si="5265">IF(M388=0,0,M388/M$4)</f>
        <v>0</v>
      </c>
      <c r="O388" s="661"/>
      <c r="P388" s="661">
        <f t="shared" ref="P388" si="5266">IF(O388=0,0,O388/O$4)</f>
        <v>0</v>
      </c>
      <c r="Q388" s="661"/>
      <c r="R388" s="661">
        <f t="shared" ref="R388" si="5267">IF(Q388=0,0,Q388/Q$4)</f>
        <v>0</v>
      </c>
      <c r="S388" s="661"/>
      <c r="T388" s="661">
        <f t="shared" ref="T388" si="5268">IF(S388=0,0,S388/S$4)</f>
        <v>0</v>
      </c>
      <c r="U388" s="661"/>
      <c r="V388" s="661">
        <f t="shared" ref="V388" si="5269">IF(U388=0,0,U388/U$4)</f>
        <v>0</v>
      </c>
      <c r="W388" s="661"/>
      <c r="X388" s="661">
        <f t="shared" ref="X388" si="5270">IF(W388=0,0,W388/W$4)</f>
        <v>0</v>
      </c>
      <c r="Y388" s="661"/>
      <c r="Z388" s="661">
        <f t="shared" ref="Z388" si="5271">IF(Y388=0,0,Y388/Y$4)</f>
        <v>0</v>
      </c>
      <c r="AA388" s="661"/>
      <c r="AB388" s="661">
        <f t="shared" ref="AB388" si="5272">IF(AA388=0,0,AA388/AA$4)</f>
        <v>0</v>
      </c>
      <c r="AC388" s="661">
        <f t="shared" si="5092"/>
        <v>0</v>
      </c>
      <c r="AD388" s="661">
        <f t="shared" ref="AD388" si="5273">IF(AC388=0,0,AC388/AC$4)</f>
        <v>0</v>
      </c>
      <c r="AE388" s="654"/>
    </row>
    <row r="389" spans="1:36" s="556" customFormat="1" ht="31.5" hidden="1" outlineLevel="2">
      <c r="A389" s="609" t="s">
        <v>1384</v>
      </c>
      <c r="B389" s="559" t="s">
        <v>1383</v>
      </c>
      <c r="C389" s="659"/>
      <c r="D389" s="659">
        <f t="shared" si="4382"/>
        <v>0</v>
      </c>
      <c r="E389" s="659"/>
      <c r="F389" s="659">
        <f t="shared" si="4382"/>
        <v>0</v>
      </c>
      <c r="G389" s="659"/>
      <c r="H389" s="659">
        <f t="shared" ref="H389" si="5274">IF(G389=0,0,G389/G$4)</f>
        <v>0</v>
      </c>
      <c r="I389" s="659"/>
      <c r="J389" s="659">
        <f t="shared" ref="J389" si="5275">IF(I389=0,0,I389/I$4)</f>
        <v>0</v>
      </c>
      <c r="K389" s="659"/>
      <c r="L389" s="659">
        <f t="shared" ref="L389" si="5276">IF(K389=0,0,K389/K$4)</f>
        <v>0</v>
      </c>
      <c r="M389" s="659"/>
      <c r="N389" s="659">
        <f t="shared" ref="N389" si="5277">IF(M389=0,0,M389/M$4)</f>
        <v>0</v>
      </c>
      <c r="O389" s="659"/>
      <c r="P389" s="659">
        <f t="shared" ref="P389" si="5278">IF(O389=0,0,O389/O$4)</f>
        <v>0</v>
      </c>
      <c r="Q389" s="659"/>
      <c r="R389" s="659">
        <f t="shared" ref="R389" si="5279">IF(Q389=0,0,Q389/Q$4)</f>
        <v>0</v>
      </c>
      <c r="S389" s="659"/>
      <c r="T389" s="659">
        <f t="shared" ref="T389" si="5280">IF(S389=0,0,S389/S$4)</f>
        <v>0</v>
      </c>
      <c r="U389" s="659"/>
      <c r="V389" s="659">
        <f t="shared" ref="V389" si="5281">IF(U389=0,0,U389/U$4)</f>
        <v>0</v>
      </c>
      <c r="W389" s="659"/>
      <c r="X389" s="659">
        <f t="shared" ref="X389" si="5282">IF(W389=0,0,W389/W$4)</f>
        <v>0</v>
      </c>
      <c r="Y389" s="659"/>
      <c r="Z389" s="659">
        <f t="shared" ref="Z389" si="5283">IF(Y389=0,0,Y389/Y$4)</f>
        <v>0</v>
      </c>
      <c r="AA389" s="659"/>
      <c r="AB389" s="659">
        <f t="shared" ref="AB389" si="5284">IF(AA389=0,0,AA389/AA$4)</f>
        <v>0</v>
      </c>
      <c r="AC389" s="659">
        <f t="shared" si="5092"/>
        <v>0</v>
      </c>
      <c r="AD389" s="659">
        <f t="shared" ref="AD389" si="5285">IF(AC389=0,0,AC389/AC$4)</f>
        <v>0</v>
      </c>
      <c r="AE389" s="654"/>
    </row>
    <row r="390" spans="1:36" s="556" customFormat="1" ht="15.75" hidden="1" outlineLevel="2">
      <c r="A390" s="609" t="s">
        <v>1382</v>
      </c>
      <c r="B390" s="559" t="s">
        <v>1381</v>
      </c>
      <c r="C390" s="659"/>
      <c r="D390" s="659">
        <f t="shared" ref="D390:F453" si="5286">IF(C390=0,0,C390/C$4)</f>
        <v>0</v>
      </c>
      <c r="E390" s="659">
        <f>Калькулятор_жилье!L309</f>
        <v>0</v>
      </c>
      <c r="F390" s="659">
        <f t="shared" si="5286"/>
        <v>0</v>
      </c>
      <c r="G390" s="659"/>
      <c r="H390" s="659">
        <f t="shared" ref="H390" si="5287">IF(G390=0,0,G390/G$4)</f>
        <v>0</v>
      </c>
      <c r="I390" s="659"/>
      <c r="J390" s="659">
        <f t="shared" ref="J390" si="5288">IF(I390=0,0,I390/I$4)</f>
        <v>0</v>
      </c>
      <c r="K390" s="659"/>
      <c r="L390" s="659">
        <f t="shared" ref="L390" si="5289">IF(K390=0,0,K390/K$4)</f>
        <v>0</v>
      </c>
      <c r="M390" s="659"/>
      <c r="N390" s="659">
        <f t="shared" ref="N390" si="5290">IF(M390=0,0,M390/M$4)</f>
        <v>0</v>
      </c>
      <c r="O390" s="659"/>
      <c r="P390" s="659">
        <f t="shared" ref="P390" si="5291">IF(O390=0,0,O390/O$4)</f>
        <v>0</v>
      </c>
      <c r="Q390" s="659"/>
      <c r="R390" s="659">
        <f t="shared" ref="R390" si="5292">IF(Q390=0,0,Q390/Q$4)</f>
        <v>0</v>
      </c>
      <c r="S390" s="659"/>
      <c r="T390" s="659">
        <f t="shared" ref="T390" si="5293">IF(S390=0,0,S390/S$4)</f>
        <v>0</v>
      </c>
      <c r="U390" s="659"/>
      <c r="V390" s="659">
        <f t="shared" ref="V390" si="5294">IF(U390=0,0,U390/U$4)</f>
        <v>0</v>
      </c>
      <c r="W390" s="659"/>
      <c r="X390" s="659">
        <f t="shared" ref="X390" si="5295">IF(W390=0,0,W390/W$4)</f>
        <v>0</v>
      </c>
      <c r="Y390" s="659"/>
      <c r="Z390" s="659">
        <f t="shared" ref="Z390" si="5296">IF(Y390=0,0,Y390/Y$4)</f>
        <v>0</v>
      </c>
      <c r="AA390" s="659"/>
      <c r="AB390" s="659">
        <f t="shared" ref="AB390" si="5297">IF(AA390=0,0,AA390/AA$4)</f>
        <v>0</v>
      </c>
      <c r="AC390" s="659">
        <f t="shared" si="5092"/>
        <v>0</v>
      </c>
      <c r="AD390" s="659">
        <f t="shared" ref="AD390" si="5298">IF(AC390=0,0,AC390/AC$4)</f>
        <v>0</v>
      </c>
      <c r="AE390" s="654"/>
    </row>
    <row r="391" spans="1:36" s="556" customFormat="1" ht="15.75" hidden="1" outlineLevel="2">
      <c r="A391" s="609" t="s">
        <v>1380</v>
      </c>
      <c r="B391" s="559" t="s">
        <v>512</v>
      </c>
      <c r="C391" s="659"/>
      <c r="D391" s="659">
        <f t="shared" si="5286"/>
        <v>0</v>
      </c>
      <c r="E391" s="659"/>
      <c r="F391" s="659">
        <f t="shared" si="5286"/>
        <v>0</v>
      </c>
      <c r="G391" s="659"/>
      <c r="H391" s="659">
        <f t="shared" ref="H391" si="5299">IF(G391=0,0,G391/G$4)</f>
        <v>0</v>
      </c>
      <c r="I391" s="659"/>
      <c r="J391" s="659">
        <f t="shared" ref="J391" si="5300">IF(I391=0,0,I391/I$4)</f>
        <v>0</v>
      </c>
      <c r="K391" s="659"/>
      <c r="L391" s="659">
        <f t="shared" ref="L391" si="5301">IF(K391=0,0,K391/K$4)</f>
        <v>0</v>
      </c>
      <c r="M391" s="659"/>
      <c r="N391" s="659">
        <f t="shared" ref="N391" si="5302">IF(M391=0,0,M391/M$4)</f>
        <v>0</v>
      </c>
      <c r="O391" s="659"/>
      <c r="P391" s="659">
        <f t="shared" ref="P391" si="5303">IF(O391=0,0,O391/O$4)</f>
        <v>0</v>
      </c>
      <c r="Q391" s="659"/>
      <c r="R391" s="659">
        <f t="shared" ref="R391" si="5304">IF(Q391=0,0,Q391/Q$4)</f>
        <v>0</v>
      </c>
      <c r="S391" s="659"/>
      <c r="T391" s="659">
        <f t="shared" ref="T391" si="5305">IF(S391=0,0,S391/S$4)</f>
        <v>0</v>
      </c>
      <c r="U391" s="659"/>
      <c r="V391" s="659">
        <f t="shared" ref="V391" si="5306">IF(U391=0,0,U391/U$4)</f>
        <v>0</v>
      </c>
      <c r="W391" s="659"/>
      <c r="X391" s="659">
        <f t="shared" ref="X391" si="5307">IF(W391=0,0,W391/W$4)</f>
        <v>0</v>
      </c>
      <c r="Y391" s="659"/>
      <c r="Z391" s="659">
        <f t="shared" ref="Z391" si="5308">IF(Y391=0,0,Y391/Y$4)</f>
        <v>0</v>
      </c>
      <c r="AA391" s="659"/>
      <c r="AB391" s="659">
        <f t="shared" ref="AB391" si="5309">IF(AA391=0,0,AA391/AA$4)</f>
        <v>0</v>
      </c>
      <c r="AC391" s="659">
        <f t="shared" si="5092"/>
        <v>0</v>
      </c>
      <c r="AD391" s="659">
        <f t="shared" ref="AD391" si="5310">IF(AC391=0,0,AC391/AC$4)</f>
        <v>0</v>
      </c>
      <c r="AE391" s="654"/>
    </row>
    <row r="392" spans="1:36" s="556" customFormat="1" ht="15.75" hidden="1" outlineLevel="2">
      <c r="A392" s="609" t="s">
        <v>1379</v>
      </c>
      <c r="B392" s="559" t="s">
        <v>1378</v>
      </c>
      <c r="C392" s="659"/>
      <c r="D392" s="659">
        <f t="shared" si="5286"/>
        <v>0</v>
      </c>
      <c r="E392" s="659"/>
      <c r="F392" s="659">
        <f t="shared" si="5286"/>
        <v>0</v>
      </c>
      <c r="G392" s="659"/>
      <c r="H392" s="659">
        <f t="shared" ref="H392" si="5311">IF(G392=0,0,G392/G$4)</f>
        <v>0</v>
      </c>
      <c r="I392" s="659"/>
      <c r="J392" s="659">
        <f t="shared" ref="J392" si="5312">IF(I392=0,0,I392/I$4)</f>
        <v>0</v>
      </c>
      <c r="K392" s="659"/>
      <c r="L392" s="659">
        <f t="shared" ref="L392" si="5313">IF(K392=0,0,K392/K$4)</f>
        <v>0</v>
      </c>
      <c r="M392" s="659"/>
      <c r="N392" s="659">
        <f t="shared" ref="N392" si="5314">IF(M392=0,0,M392/M$4)</f>
        <v>0</v>
      </c>
      <c r="O392" s="659"/>
      <c r="P392" s="659">
        <f t="shared" ref="P392" si="5315">IF(O392=0,0,O392/O$4)</f>
        <v>0</v>
      </c>
      <c r="Q392" s="659"/>
      <c r="R392" s="659">
        <f t="shared" ref="R392" si="5316">IF(Q392=0,0,Q392/Q$4)</f>
        <v>0</v>
      </c>
      <c r="S392" s="659"/>
      <c r="T392" s="659">
        <f t="shared" ref="T392" si="5317">IF(S392=0,0,S392/S$4)</f>
        <v>0</v>
      </c>
      <c r="U392" s="659"/>
      <c r="V392" s="659">
        <f t="shared" ref="V392" si="5318">IF(U392=0,0,U392/U$4)</f>
        <v>0</v>
      </c>
      <c r="W392" s="659"/>
      <c r="X392" s="659">
        <f t="shared" ref="X392" si="5319">IF(W392=0,0,W392/W$4)</f>
        <v>0</v>
      </c>
      <c r="Y392" s="659"/>
      <c r="Z392" s="659">
        <f t="shared" ref="Z392" si="5320">IF(Y392=0,0,Y392/Y$4)</f>
        <v>0</v>
      </c>
      <c r="AA392" s="659"/>
      <c r="AB392" s="659">
        <f t="shared" ref="AB392" si="5321">IF(AA392=0,0,AA392/AA$4)</f>
        <v>0</v>
      </c>
      <c r="AC392" s="659">
        <f t="shared" si="5092"/>
        <v>0</v>
      </c>
      <c r="AD392" s="659">
        <f t="shared" ref="AD392" si="5322">IF(AC392=0,0,AC392/AC$4)</f>
        <v>0</v>
      </c>
      <c r="AE392" s="654"/>
    </row>
    <row r="393" spans="1:36" s="556" customFormat="1" ht="15.75" outlineLevel="1" collapsed="1">
      <c r="A393" s="610" t="s">
        <v>1377</v>
      </c>
      <c r="B393" s="558" t="s">
        <v>1162</v>
      </c>
      <c r="C393" s="657">
        <f>C394+C407+C412+C413+C414+C415+C458+C469+C470</f>
        <v>15725185.546400001</v>
      </c>
      <c r="D393" s="658">
        <f t="shared" si="5286"/>
        <v>97.664120323664051</v>
      </c>
      <c r="E393" s="657">
        <f t="shared" ref="E393" si="5323">E394+E407+E412+E413+E414+E415+E458+E469+E470</f>
        <v>0</v>
      </c>
      <c r="F393" s="658">
        <f t="shared" si="5286"/>
        <v>0</v>
      </c>
      <c r="G393" s="657">
        <f t="shared" ref="G393" si="5324">G394+G407+G412+G413+G414+G415+G458+G469+G470</f>
        <v>442537297.23475522</v>
      </c>
      <c r="H393" s="658">
        <f t="shared" ref="H393" si="5325">IF(G393=0,0,G393/G$4)</f>
        <v>10601.007275255059</v>
      </c>
      <c r="I393" s="657">
        <f t="shared" ref="I393" si="5326">I394+I407+I412+I413+I414+I415+I458+I469+I470</f>
        <v>348029605.18286282</v>
      </c>
      <c r="J393" s="658">
        <f t="shared" ref="J393" si="5327">IF(I393=0,0,I393/I$4)</f>
        <v>11860.593867193649</v>
      </c>
      <c r="K393" s="657">
        <f t="shared" ref="K393" si="5328">K394+K407+K412+K413+K414+K415+K458+K469+K470</f>
        <v>438090082.23157215</v>
      </c>
      <c r="L393" s="658">
        <f t="shared" ref="L393" si="5329">IF(K393=0,0,K393/K$4)</f>
        <v>10289.859149955204</v>
      </c>
      <c r="M393" s="657">
        <f t="shared" ref="M393" si="5330">M394+M407+M412+M413+M414+M415+M458+M469+M470</f>
        <v>22310472.241811521</v>
      </c>
      <c r="N393" s="658">
        <f t="shared" ref="N393" si="5331">IF(M393=0,0,M393/M$4)</f>
        <v>5180.2898304568407</v>
      </c>
      <c r="O393" s="657">
        <f t="shared" ref="O393" si="5332">O394+O407+O412+O413+O414+O415+O458+O469+O470</f>
        <v>0</v>
      </c>
      <c r="P393" s="658">
        <f t="shared" ref="P393" si="5333">IF(O393=0,0,O393/O$4)</f>
        <v>0</v>
      </c>
      <c r="Q393" s="657">
        <f t="shared" ref="Q393" si="5334">Q394+Q407+Q412+Q413+Q414+Q415+Q458+Q469+Q470</f>
        <v>0</v>
      </c>
      <c r="R393" s="658">
        <f t="shared" ref="R393" si="5335">IF(Q393=0,0,Q393/Q$4)</f>
        <v>0</v>
      </c>
      <c r="S393" s="657">
        <f t="shared" ref="S393" si="5336">S394+S407+S412+S413+S414+S415+S458+S469+S470</f>
        <v>0</v>
      </c>
      <c r="T393" s="658">
        <f t="shared" ref="T393" si="5337">IF(S393=0,0,S393/S$4)</f>
        <v>0</v>
      </c>
      <c r="U393" s="657">
        <f t="shared" ref="U393" si="5338">U394+U407+U412+U413+U414+U415+U458+U469+U470</f>
        <v>0</v>
      </c>
      <c r="V393" s="658">
        <f t="shared" ref="V393" si="5339">IF(U393=0,0,U393/U$4)</f>
        <v>0</v>
      </c>
      <c r="W393" s="657">
        <f t="shared" ref="W393" si="5340">W394+W407+W412+W413+W414+W415+W458+W469+W470</f>
        <v>0</v>
      </c>
      <c r="X393" s="658">
        <f t="shared" ref="X393" si="5341">IF(W393=0,0,W393/W$4)</f>
        <v>0</v>
      </c>
      <c r="Y393" s="657">
        <f t="shared" ref="Y393" si="5342">Y394+Y407+Y412+Y413+Y414+Y415+Y458+Y469+Y470</f>
        <v>0</v>
      </c>
      <c r="Z393" s="658">
        <f t="shared" ref="Z393" si="5343">IF(Y393=0,0,Y393/Y$4)</f>
        <v>0</v>
      </c>
      <c r="AA393" s="657">
        <f t="shared" ref="AA393" si="5344">AA394+AA407+AA412+AA413+AA414+AA415+AA458+AA469+AA470</f>
        <v>0</v>
      </c>
      <c r="AB393" s="658">
        <f t="shared" ref="AB393" si="5345">IF(AA393=0,0,AA393/AA$4)</f>
        <v>0</v>
      </c>
      <c r="AC393" s="657">
        <f t="shared" ref="AC393" si="5346">AC394+AC407+AC412+AC413+AC414+AC415+AC458+AC469+AC470</f>
        <v>1266692642.4374018</v>
      </c>
      <c r="AD393" s="658">
        <f t="shared" ref="AD393" si="5347">IF(AC393=0,0,AC393/AC$4)</f>
        <v>7867.0246706518292</v>
      </c>
      <c r="AE393" s="654"/>
    </row>
    <row r="394" spans="1:36" s="556" customFormat="1" ht="15.75" hidden="1" outlineLevel="2">
      <c r="A394" s="609" t="s">
        <v>1376</v>
      </c>
      <c r="B394" s="559" t="s">
        <v>1163</v>
      </c>
      <c r="C394" s="659">
        <f>C395+C396+C404+C405+C406</f>
        <v>0</v>
      </c>
      <c r="D394" s="660">
        <f t="shared" si="5286"/>
        <v>0</v>
      </c>
      <c r="E394" s="659">
        <f t="shared" ref="E394" si="5348">E395+E396+E404+E405+E406</f>
        <v>0</v>
      </c>
      <c r="F394" s="660">
        <f t="shared" si="5286"/>
        <v>0</v>
      </c>
      <c r="G394" s="659">
        <f t="shared" ref="G394" si="5349">G395+G396+G404+G405+G406</f>
        <v>208101929.94563195</v>
      </c>
      <c r="H394" s="660">
        <f t="shared" ref="H394" si="5350">IF(G394=0,0,G394/G$4)</f>
        <v>4985.0941087525689</v>
      </c>
      <c r="I394" s="659">
        <f t="shared" ref="I394" si="5351">I395+I396+I404+I405+I406</f>
        <v>192734636.28014767</v>
      </c>
      <c r="J394" s="660">
        <f t="shared" ref="J394" si="5352">IF(I394=0,0,I394/I$4)</f>
        <v>6568.2551455903549</v>
      </c>
      <c r="K394" s="659">
        <f t="shared" ref="K394" si="5353">K395+K396+K404+K405+K406</f>
        <v>208101929.94563195</v>
      </c>
      <c r="L394" s="660">
        <f t="shared" ref="L394" si="5354">IF(K394=0,0,K394/K$4)</f>
        <v>4887.8977973358842</v>
      </c>
      <c r="M394" s="659">
        <f t="shared" ref="M394" si="5355">M395+M396+M404+M405+M406</f>
        <v>0</v>
      </c>
      <c r="N394" s="660">
        <f t="shared" ref="N394" si="5356">IF(M394=0,0,M394/M$4)</f>
        <v>0</v>
      </c>
      <c r="O394" s="659">
        <f t="shared" ref="O394" si="5357">O395+O396+O404+O405+O406</f>
        <v>0</v>
      </c>
      <c r="P394" s="660">
        <f t="shared" ref="P394" si="5358">IF(O394=0,0,O394/O$4)</f>
        <v>0</v>
      </c>
      <c r="Q394" s="659">
        <f t="shared" ref="Q394" si="5359">Q395+Q396+Q404+Q405+Q406</f>
        <v>0</v>
      </c>
      <c r="R394" s="660">
        <f t="shared" ref="R394" si="5360">IF(Q394=0,0,Q394/Q$4)</f>
        <v>0</v>
      </c>
      <c r="S394" s="659">
        <f t="shared" ref="S394" si="5361">S395+S396+S404+S405+S406</f>
        <v>0</v>
      </c>
      <c r="T394" s="660">
        <f t="shared" ref="T394" si="5362">IF(S394=0,0,S394/S$4)</f>
        <v>0</v>
      </c>
      <c r="U394" s="659">
        <f t="shared" ref="U394" si="5363">U395+U396+U404+U405+U406</f>
        <v>0</v>
      </c>
      <c r="V394" s="660">
        <f t="shared" ref="V394" si="5364">IF(U394=0,0,U394/U$4)</f>
        <v>0</v>
      </c>
      <c r="W394" s="659">
        <f t="shared" ref="W394" si="5365">W395+W396+W404+W405+W406</f>
        <v>0</v>
      </c>
      <c r="X394" s="660">
        <f t="shared" ref="X394" si="5366">IF(W394=0,0,W394/W$4)</f>
        <v>0</v>
      </c>
      <c r="Y394" s="659">
        <f t="shared" ref="Y394" si="5367">Y395+Y396+Y404+Y405+Y406</f>
        <v>0</v>
      </c>
      <c r="Z394" s="660">
        <f t="shared" ref="Z394" si="5368">IF(Y394=0,0,Y394/Y$4)</f>
        <v>0</v>
      </c>
      <c r="AA394" s="659">
        <f t="shared" ref="AA394" si="5369">AA395+AA396+AA404+AA405+AA406</f>
        <v>0</v>
      </c>
      <c r="AB394" s="660">
        <f t="shared" ref="AB394" si="5370">IF(AA394=0,0,AA394/AA$4)</f>
        <v>0</v>
      </c>
      <c r="AC394" s="659">
        <f t="shared" ref="AC394" si="5371">AC395+AC396+AC404+AC405+AC406</f>
        <v>608938496.17141151</v>
      </c>
      <c r="AD394" s="660">
        <f t="shared" ref="AD394" si="5372">IF(AC394=0,0,AC394/AC$4)</f>
        <v>3781.9231057283578</v>
      </c>
      <c r="AE394" s="654"/>
    </row>
    <row r="395" spans="1:36" s="556" customFormat="1" ht="15.75" hidden="1" outlineLevel="3">
      <c r="A395" s="612" t="s">
        <v>1375</v>
      </c>
      <c r="B395" s="560" t="s">
        <v>1374</v>
      </c>
      <c r="C395" s="661"/>
      <c r="D395" s="661">
        <f t="shared" si="5286"/>
        <v>0</v>
      </c>
      <c r="E395" s="661"/>
      <c r="F395" s="661">
        <f t="shared" si="5286"/>
        <v>0</v>
      </c>
      <c r="G395" s="661"/>
      <c r="H395" s="661">
        <f t="shared" ref="H395" si="5373">IF(G395=0,0,G395/G$4)</f>
        <v>0</v>
      </c>
      <c r="I395" s="661"/>
      <c r="J395" s="661">
        <f t="shared" ref="J395" si="5374">IF(I395=0,0,I395/I$4)</f>
        <v>0</v>
      </c>
      <c r="K395" s="661"/>
      <c r="L395" s="661">
        <f t="shared" ref="L395" si="5375">IF(K395=0,0,K395/K$4)</f>
        <v>0</v>
      </c>
      <c r="M395" s="661"/>
      <c r="N395" s="661">
        <f t="shared" ref="N395" si="5376">IF(M395=0,0,M395/M$4)</f>
        <v>0</v>
      </c>
      <c r="O395" s="661"/>
      <c r="P395" s="661">
        <f t="shared" ref="P395" si="5377">IF(O395=0,0,O395/O$4)</f>
        <v>0</v>
      </c>
      <c r="Q395" s="661"/>
      <c r="R395" s="661">
        <f t="shared" ref="R395" si="5378">IF(Q395=0,0,Q395/Q$4)</f>
        <v>0</v>
      </c>
      <c r="S395" s="661"/>
      <c r="T395" s="661">
        <f t="shared" ref="T395" si="5379">IF(S395=0,0,S395/S$4)</f>
        <v>0</v>
      </c>
      <c r="U395" s="661"/>
      <c r="V395" s="661">
        <f t="shared" ref="V395" si="5380">IF(U395=0,0,U395/U$4)</f>
        <v>0</v>
      </c>
      <c r="W395" s="661"/>
      <c r="X395" s="661">
        <f t="shared" ref="X395" si="5381">IF(W395=0,0,W395/W$4)</f>
        <v>0</v>
      </c>
      <c r="Y395" s="661"/>
      <c r="Z395" s="661">
        <f t="shared" ref="Z395" si="5382">IF(Y395=0,0,Y395/Y$4)</f>
        <v>0</v>
      </c>
      <c r="AA395" s="661"/>
      <c r="AB395" s="661">
        <f t="shared" ref="AB395" si="5383">IF(AA395=0,0,AA395/AA$4)</f>
        <v>0</v>
      </c>
      <c r="AC395" s="661">
        <f t="shared" si="5092"/>
        <v>0</v>
      </c>
      <c r="AD395" s="661">
        <f t="shared" ref="AD395" si="5384">IF(AC395=0,0,AC395/AC$4)</f>
        <v>0</v>
      </c>
      <c r="AE395" s="654"/>
    </row>
    <row r="396" spans="1:36" s="556" customFormat="1" ht="15.75" hidden="1" outlineLevel="3">
      <c r="A396" s="612" t="s">
        <v>1373</v>
      </c>
      <c r="B396" s="560" t="s">
        <v>1372</v>
      </c>
      <c r="C396" s="661">
        <f>C397+C400+C401</f>
        <v>0</v>
      </c>
      <c r="D396" s="661">
        <f t="shared" si="5286"/>
        <v>0</v>
      </c>
      <c r="E396" s="661">
        <f t="shared" ref="E396" si="5385">E397+E400+E401</f>
        <v>0</v>
      </c>
      <c r="F396" s="661">
        <f t="shared" si="5286"/>
        <v>0</v>
      </c>
      <c r="G396" s="661">
        <f t="shared" ref="G396" si="5386">G397+G400+G401</f>
        <v>208101929.94563195</v>
      </c>
      <c r="H396" s="661">
        <f t="shared" ref="H396" si="5387">IF(G396=0,0,G396/G$4)</f>
        <v>4985.0941087525689</v>
      </c>
      <c r="I396" s="661">
        <f t="shared" ref="I396" si="5388">I397+I400+I401</f>
        <v>192734636.28014767</v>
      </c>
      <c r="J396" s="661">
        <f t="shared" ref="J396" si="5389">IF(I396=0,0,I396/I$4)</f>
        <v>6568.2551455903549</v>
      </c>
      <c r="K396" s="661">
        <f t="shared" ref="K396" si="5390">K397+K400+K401</f>
        <v>208101929.94563195</v>
      </c>
      <c r="L396" s="661">
        <f t="shared" ref="L396" si="5391">IF(K396=0,0,K396/K$4)</f>
        <v>4887.8977973358842</v>
      </c>
      <c r="M396" s="661">
        <f t="shared" ref="M396" si="5392">M397+M400+M401</f>
        <v>0</v>
      </c>
      <c r="N396" s="661">
        <f t="shared" ref="N396" si="5393">IF(M396=0,0,M396/M$4)</f>
        <v>0</v>
      </c>
      <c r="O396" s="661">
        <f t="shared" ref="O396" si="5394">O397+O400+O401</f>
        <v>0</v>
      </c>
      <c r="P396" s="661">
        <f t="shared" ref="P396" si="5395">IF(O396=0,0,O396/O$4)</f>
        <v>0</v>
      </c>
      <c r="Q396" s="661">
        <f t="shared" ref="Q396" si="5396">Q397+Q400+Q401</f>
        <v>0</v>
      </c>
      <c r="R396" s="661">
        <f t="shared" ref="R396" si="5397">IF(Q396=0,0,Q396/Q$4)</f>
        <v>0</v>
      </c>
      <c r="S396" s="661">
        <f t="shared" ref="S396" si="5398">S397+S400+S401</f>
        <v>0</v>
      </c>
      <c r="T396" s="661">
        <f t="shared" ref="T396" si="5399">IF(S396=0,0,S396/S$4)</f>
        <v>0</v>
      </c>
      <c r="U396" s="661">
        <f t="shared" ref="U396" si="5400">U397+U400+U401</f>
        <v>0</v>
      </c>
      <c r="V396" s="661">
        <f t="shared" ref="V396" si="5401">IF(U396=0,0,U396/U$4)</f>
        <v>0</v>
      </c>
      <c r="W396" s="661">
        <f t="shared" ref="W396" si="5402">W397+W400+W401</f>
        <v>0</v>
      </c>
      <c r="X396" s="661">
        <f t="shared" ref="X396" si="5403">IF(W396=0,0,W396/W$4)</f>
        <v>0</v>
      </c>
      <c r="Y396" s="661">
        <f t="shared" ref="Y396" si="5404">Y397+Y400+Y401</f>
        <v>0</v>
      </c>
      <c r="Z396" s="661">
        <f t="shared" ref="Z396" si="5405">IF(Y396=0,0,Y396/Y$4)</f>
        <v>0</v>
      </c>
      <c r="AA396" s="661">
        <f t="shared" ref="AA396" si="5406">AA397+AA400+AA401</f>
        <v>0</v>
      </c>
      <c r="AB396" s="661">
        <f t="shared" ref="AB396" si="5407">IF(AA396=0,0,AA396/AA$4)</f>
        <v>0</v>
      </c>
      <c r="AC396" s="661">
        <f t="shared" ref="AC396" si="5408">AC397+AC400+AC401</f>
        <v>608938496.17141151</v>
      </c>
      <c r="AD396" s="661">
        <f t="shared" ref="AD396" si="5409">IF(AC396=0,0,AC396/AC$4)</f>
        <v>3781.9231057283578</v>
      </c>
      <c r="AE396" s="654"/>
    </row>
    <row r="397" spans="1:36" s="68" customFormat="1" hidden="1" outlineLevel="4">
      <c r="A397" s="117"/>
      <c r="B397" s="118" t="s">
        <v>854</v>
      </c>
      <c r="C397" s="661"/>
      <c r="D397" s="661">
        <f t="shared" si="5286"/>
        <v>0</v>
      </c>
      <c r="E397" s="661"/>
      <c r="F397" s="661">
        <f t="shared" si="5286"/>
        <v>0</v>
      </c>
      <c r="G397" s="661">
        <f>SUM(Калькулятор_жилье!M312:M315)</f>
        <v>56324775.905836284</v>
      </c>
      <c r="H397" s="661">
        <f t="shared" ref="H397" si="5410">IF(G397=0,0,G397/G$4)</f>
        <v>1349.2633567519049</v>
      </c>
      <c r="I397" s="661">
        <f>SUM(Калькулятор_жилье!N312:N315)</f>
        <v>52165471.029549398</v>
      </c>
      <c r="J397" s="661">
        <f t="shared" ref="J397" si="5411">IF(I397=0,0,I397/I$4)</f>
        <v>1777.7610196329567</v>
      </c>
      <c r="K397" s="661">
        <f>SUM(Калькулятор_жилье!O312:O315)</f>
        <v>56324775.905836284</v>
      </c>
      <c r="L397" s="661">
        <f t="shared" ref="L397" si="5412">IF(K397=0,0,K397/K$4)</f>
        <v>1322.9562462851786</v>
      </c>
      <c r="M397" s="661">
        <f>SUM(Калькулятор_жилье!P312:P315)</f>
        <v>0</v>
      </c>
      <c r="N397" s="661">
        <f t="shared" ref="N397" si="5413">IF(M397=0,0,M397/M$4)</f>
        <v>0</v>
      </c>
      <c r="O397" s="661">
        <f>SUM(Калькулятор_жилье!Q312:Q315)</f>
        <v>0</v>
      </c>
      <c r="P397" s="661">
        <f t="shared" ref="P397" si="5414">IF(O397=0,0,O397/O$4)</f>
        <v>0</v>
      </c>
      <c r="Q397" s="661">
        <f>SUM(Калькулятор_жилье!R312:R315)</f>
        <v>0</v>
      </c>
      <c r="R397" s="661">
        <f t="shared" ref="R397" si="5415">IF(Q397=0,0,Q397/Q$4)</f>
        <v>0</v>
      </c>
      <c r="S397" s="661">
        <f>SUM(Калькулятор_жилье!S312:S315)</f>
        <v>0</v>
      </c>
      <c r="T397" s="661">
        <f t="shared" ref="T397" si="5416">IF(S397=0,0,S397/S$4)</f>
        <v>0</v>
      </c>
      <c r="U397" s="661">
        <f>SUM(Калькулятор_жилье!T312:T315)</f>
        <v>0</v>
      </c>
      <c r="V397" s="661">
        <f t="shared" ref="V397" si="5417">IF(U397=0,0,U397/U$4)</f>
        <v>0</v>
      </c>
      <c r="W397" s="661">
        <f>SUM(Калькулятор_жилье!U312:U315)</f>
        <v>0</v>
      </c>
      <c r="X397" s="661">
        <f t="shared" ref="X397" si="5418">IF(W397=0,0,W397/W$4)</f>
        <v>0</v>
      </c>
      <c r="Y397" s="661">
        <f>SUM(Калькулятор_жилье!V312:V315)</f>
        <v>0</v>
      </c>
      <c r="Z397" s="661">
        <f t="shared" ref="Z397" si="5419">IF(Y397=0,0,Y397/Y$4)</f>
        <v>0</v>
      </c>
      <c r="AA397" s="661">
        <f>SUM(Калькулятор_жилье!W312:W315)</f>
        <v>0</v>
      </c>
      <c r="AB397" s="661">
        <f t="shared" ref="AB397" si="5420">IF(AA397=0,0,AA397/AA$4)</f>
        <v>0</v>
      </c>
      <c r="AC397" s="662">
        <f>C397+E397+G397+I397+K397+M397+O397+Q397+S397+U397+W397+AA397+Y397</f>
        <v>164815022.84122196</v>
      </c>
      <c r="AD397" s="661">
        <f t="shared" ref="AD397" si="5421">IF(AC397=0,0,AC397/AC$4)</f>
        <v>1023.6136276050204</v>
      </c>
      <c r="AE397" s="665"/>
      <c r="AF397" s="114"/>
      <c r="AG397" s="114"/>
      <c r="AH397" s="114"/>
      <c r="AI397" s="114"/>
      <c r="AJ397" s="114"/>
    </row>
    <row r="398" spans="1:36" s="68" customFormat="1" ht="15.75" hidden="1" outlineLevel="5">
      <c r="A398" s="245"/>
      <c r="B398" s="246" t="s">
        <v>419</v>
      </c>
      <c r="C398" s="663"/>
      <c r="D398" s="663">
        <f t="shared" si="5286"/>
        <v>0</v>
      </c>
      <c r="E398" s="663"/>
      <c r="F398" s="663">
        <f t="shared" si="5286"/>
        <v>0</v>
      </c>
      <c r="G398" s="663">
        <f>G397-G399*курс</f>
        <v>56324775.905836284</v>
      </c>
      <c r="H398" s="663">
        <f t="shared" ref="H398" si="5422">IF(G398=0,0,G398/G$4)</f>
        <v>1349.2633567519049</v>
      </c>
      <c r="I398" s="663">
        <f>I397-I399*курс</f>
        <v>52165471.029549398</v>
      </c>
      <c r="J398" s="663">
        <f t="shared" ref="J398" si="5423">IF(I398=0,0,I398/I$4)</f>
        <v>1777.7610196329567</v>
      </c>
      <c r="K398" s="663">
        <f>K397-K399*курс</f>
        <v>56324775.905836284</v>
      </c>
      <c r="L398" s="663">
        <f t="shared" ref="L398" si="5424">IF(K398=0,0,K398/K$4)</f>
        <v>1322.9562462851786</v>
      </c>
      <c r="M398" s="663">
        <f>M397-M399*курс</f>
        <v>0</v>
      </c>
      <c r="N398" s="663">
        <f t="shared" ref="N398" si="5425">IF(M398=0,0,M398/M$4)</f>
        <v>0</v>
      </c>
      <c r="O398" s="663">
        <f>O397-O399*курс</f>
        <v>0</v>
      </c>
      <c r="P398" s="663">
        <f t="shared" ref="P398" si="5426">IF(O398=0,0,O398/O$4)</f>
        <v>0</v>
      </c>
      <c r="Q398" s="663">
        <f>Q397-Q399*курс</f>
        <v>0</v>
      </c>
      <c r="R398" s="663">
        <f t="shared" ref="R398" si="5427">IF(Q398=0,0,Q398/Q$4)</f>
        <v>0</v>
      </c>
      <c r="S398" s="663">
        <f>S397-S399*курс</f>
        <v>0</v>
      </c>
      <c r="T398" s="663">
        <f t="shared" ref="T398" si="5428">IF(S398=0,0,S398/S$4)</f>
        <v>0</v>
      </c>
      <c r="U398" s="663">
        <f>U397-U399*курс</f>
        <v>0</v>
      </c>
      <c r="V398" s="663">
        <f t="shared" ref="V398" si="5429">IF(U398=0,0,U398/U$4)</f>
        <v>0</v>
      </c>
      <c r="W398" s="663">
        <f>W397-W399*курс</f>
        <v>0</v>
      </c>
      <c r="X398" s="663">
        <f t="shared" ref="X398" si="5430">IF(W398=0,0,W398/W$4)</f>
        <v>0</v>
      </c>
      <c r="Y398" s="663">
        <f>Y397-Y399*курс</f>
        <v>0</v>
      </c>
      <c r="Z398" s="663">
        <f t="shared" ref="Z398" si="5431">IF(Y398=0,0,Y398/Y$4)</f>
        <v>0</v>
      </c>
      <c r="AA398" s="663">
        <f>AA397-AA399*курс</f>
        <v>0</v>
      </c>
      <c r="AB398" s="663">
        <f t="shared" ref="AB398" si="5432">IF(AA398=0,0,AA398/AA$4)</f>
        <v>0</v>
      </c>
      <c r="AC398" s="664">
        <f t="shared" si="5092"/>
        <v>164815022.84122196</v>
      </c>
      <c r="AD398" s="663">
        <f t="shared" ref="AD398" si="5433">IF(AC398=0,0,AC398/AC$4)</f>
        <v>1023.6136276050204</v>
      </c>
      <c r="AE398" s="665"/>
      <c r="AF398" s="556"/>
      <c r="AG398" s="114"/>
      <c r="AH398" s="114"/>
      <c r="AI398" s="114"/>
      <c r="AJ398" s="114"/>
    </row>
    <row r="399" spans="1:36" s="68" customFormat="1" ht="15.75" hidden="1" outlineLevel="5">
      <c r="A399" s="245"/>
      <c r="B399" s="246" t="s">
        <v>420</v>
      </c>
      <c r="C399" s="663"/>
      <c r="D399" s="663">
        <f t="shared" si="5286"/>
        <v>0</v>
      </c>
      <c r="E399" s="663"/>
      <c r="F399" s="663">
        <f t="shared" si="5286"/>
        <v>0</v>
      </c>
      <c r="G399" s="663">
        <f>SUM(Калькулятор_жилье!AC312:AC315)</f>
        <v>0</v>
      </c>
      <c r="H399" s="663">
        <f t="shared" ref="H399" si="5434">IF(G399=0,0,G399/G$4)</f>
        <v>0</v>
      </c>
      <c r="I399" s="663">
        <f>SUM(Калькулятор_жилье!AD312:AD315)</f>
        <v>0</v>
      </c>
      <c r="J399" s="663">
        <f t="shared" ref="J399" si="5435">IF(I399=0,0,I399/I$4)</f>
        <v>0</v>
      </c>
      <c r="K399" s="663">
        <f>SUM(Калькулятор_жилье!AE312:AE315)</f>
        <v>0</v>
      </c>
      <c r="L399" s="663">
        <f t="shared" ref="L399" si="5436">IF(K399=0,0,K399/K$4)</f>
        <v>0</v>
      </c>
      <c r="M399" s="663">
        <f>SUM(Калькулятор_жилье!AF312:AF315)</f>
        <v>0</v>
      </c>
      <c r="N399" s="663">
        <f t="shared" ref="N399" si="5437">IF(M399=0,0,M399/M$4)</f>
        <v>0</v>
      </c>
      <c r="O399" s="663">
        <f>SUM(Калькулятор_жилье!AG312:AG315)</f>
        <v>0</v>
      </c>
      <c r="P399" s="663">
        <f t="shared" ref="P399" si="5438">IF(O399=0,0,O399/O$4)</f>
        <v>0</v>
      </c>
      <c r="Q399" s="663">
        <f>SUM(Калькулятор_жилье!AH312:AH315)</f>
        <v>0</v>
      </c>
      <c r="R399" s="663">
        <f t="shared" ref="R399" si="5439">IF(Q399=0,0,Q399/Q$4)</f>
        <v>0</v>
      </c>
      <c r="S399" s="663">
        <f>SUM(Калькулятор_жилье!AI312:AI315)</f>
        <v>0</v>
      </c>
      <c r="T399" s="663">
        <f t="shared" ref="T399" si="5440">IF(S399=0,0,S399/S$4)</f>
        <v>0</v>
      </c>
      <c r="U399" s="663">
        <f>SUM(Калькулятор_жилье!AJ312:AJ315)</f>
        <v>0</v>
      </c>
      <c r="V399" s="663">
        <f t="shared" ref="V399" si="5441">IF(U399=0,0,U399/U$4)</f>
        <v>0</v>
      </c>
      <c r="W399" s="663">
        <f>SUM(Калькулятор_жилье!AK312:AK315)</f>
        <v>0</v>
      </c>
      <c r="X399" s="663">
        <f t="shared" ref="X399" si="5442">IF(W399=0,0,W399/W$4)</f>
        <v>0</v>
      </c>
      <c r="Y399" s="663">
        <f>SUM(Калькулятор_жилье!AL312:AL315)</f>
        <v>0</v>
      </c>
      <c r="Z399" s="663">
        <f t="shared" ref="Z399" si="5443">IF(Y399=0,0,Y399/Y$4)</f>
        <v>0</v>
      </c>
      <c r="AA399" s="663">
        <f>SUM(Калькулятор_жилье!AM312:AM315)</f>
        <v>0</v>
      </c>
      <c r="AB399" s="663">
        <f t="shared" ref="AB399" si="5444">IF(AA399=0,0,AA399/AA$4)</f>
        <v>0</v>
      </c>
      <c r="AC399" s="664">
        <f t="shared" si="5092"/>
        <v>0</v>
      </c>
      <c r="AD399" s="663">
        <f t="shared" ref="AD399" si="5445">IF(AC399=0,0,AC399/AC$4)</f>
        <v>0</v>
      </c>
      <c r="AE399" s="665"/>
      <c r="AF399" s="556"/>
      <c r="AG399" s="114"/>
      <c r="AH399" s="114"/>
      <c r="AI399" s="114"/>
      <c r="AJ399" s="114"/>
    </row>
    <row r="400" spans="1:36" s="68" customFormat="1" ht="15.75" hidden="1" outlineLevel="4">
      <c r="A400" s="117"/>
      <c r="B400" s="118" t="s">
        <v>856</v>
      </c>
      <c r="C400" s="661"/>
      <c r="D400" s="661">
        <f t="shared" si="5286"/>
        <v>0</v>
      </c>
      <c r="E400" s="661"/>
      <c r="F400" s="661">
        <f t="shared" si="5286"/>
        <v>0</v>
      </c>
      <c r="G400" s="661">
        <f>SUM(Калькулятор_жилье!M316:M327)</f>
        <v>61334075.80418583</v>
      </c>
      <c r="H400" s="661">
        <f t="shared" ref="H400" si="5446">IF(G400=0,0,G400/G$4)</f>
        <v>1469.2614337460068</v>
      </c>
      <c r="I400" s="661">
        <f>SUM(Калькулятор_жилье!N316:N327)</f>
        <v>56804859.016863182</v>
      </c>
      <c r="J400" s="661">
        <f t="shared" ref="J400" si="5447">IF(I400=0,0,I400/I$4)</f>
        <v>1935.8679619459647</v>
      </c>
      <c r="K400" s="661">
        <f>SUM(Калькулятор_жилье!O316:O327)</f>
        <v>61334075.80418583</v>
      </c>
      <c r="L400" s="661">
        <f t="shared" ref="L400" si="5448">IF(K400=0,0,K400/K$4)</f>
        <v>1440.6146742763772</v>
      </c>
      <c r="M400" s="661">
        <f>SUM(Калькулятор_жилье!P316:P327)</f>
        <v>0</v>
      </c>
      <c r="N400" s="661">
        <f t="shared" ref="N400" si="5449">IF(M400=0,0,M400/M$4)</f>
        <v>0</v>
      </c>
      <c r="O400" s="661">
        <f>SUM(Калькулятор_жилье!Q316:Q327)</f>
        <v>0</v>
      </c>
      <c r="P400" s="661">
        <f t="shared" ref="P400" si="5450">IF(O400=0,0,O400/O$4)</f>
        <v>0</v>
      </c>
      <c r="Q400" s="661">
        <f>SUM(Калькулятор_жилье!R316:R327)</f>
        <v>0</v>
      </c>
      <c r="R400" s="661">
        <f t="shared" ref="R400" si="5451">IF(Q400=0,0,Q400/Q$4)</f>
        <v>0</v>
      </c>
      <c r="S400" s="661">
        <f>SUM(Калькулятор_жилье!S316:S327)</f>
        <v>0</v>
      </c>
      <c r="T400" s="661">
        <f t="shared" ref="T400" si="5452">IF(S400=0,0,S400/S$4)</f>
        <v>0</v>
      </c>
      <c r="U400" s="661">
        <f>SUM(Калькулятор_жилье!T316:T327)</f>
        <v>0</v>
      </c>
      <c r="V400" s="661">
        <f t="shared" ref="V400" si="5453">IF(U400=0,0,U400/U$4)</f>
        <v>0</v>
      </c>
      <c r="W400" s="661">
        <f>SUM(Калькулятор_жилье!U316:U327)</f>
        <v>0</v>
      </c>
      <c r="X400" s="661">
        <f t="shared" ref="X400" si="5454">IF(W400=0,0,W400/W$4)</f>
        <v>0</v>
      </c>
      <c r="Y400" s="661">
        <f>SUM(Калькулятор_жилье!V316:V327)</f>
        <v>0</v>
      </c>
      <c r="Z400" s="661">
        <f t="shared" ref="Z400" si="5455">IF(Y400=0,0,Y400/Y$4)</f>
        <v>0</v>
      </c>
      <c r="AA400" s="661">
        <f>SUM(Калькулятор_жилье!W316:W327)</f>
        <v>0</v>
      </c>
      <c r="AB400" s="661">
        <f t="shared" ref="AB400" si="5456">IF(AA400=0,0,AA400/AA$4)</f>
        <v>0</v>
      </c>
      <c r="AC400" s="662">
        <f t="shared" si="5092"/>
        <v>179473010.62523484</v>
      </c>
      <c r="AD400" s="661">
        <f t="shared" ref="AD400" si="5457">IF(AC400=0,0,AC400/AC$4)</f>
        <v>1114.6497224362424</v>
      </c>
      <c r="AE400" s="665"/>
      <c r="AF400" s="556"/>
      <c r="AG400" s="114"/>
      <c r="AH400" s="114"/>
      <c r="AI400" s="114"/>
      <c r="AJ400" s="114"/>
    </row>
    <row r="401" spans="1:36" s="68" customFormat="1" ht="15.75" hidden="1" outlineLevel="4">
      <c r="A401" s="117"/>
      <c r="B401" s="118" t="s">
        <v>858</v>
      </c>
      <c r="C401" s="661"/>
      <c r="D401" s="661">
        <f t="shared" si="5286"/>
        <v>0</v>
      </c>
      <c r="E401" s="661"/>
      <c r="F401" s="661">
        <f t="shared" si="5286"/>
        <v>0</v>
      </c>
      <c r="G401" s="661">
        <f>SUM(Калькулятор_жилье!M328:M339)</f>
        <v>90443078.235609829</v>
      </c>
      <c r="H401" s="661">
        <f t="shared" ref="H401" si="5458">IF(G401=0,0,G401/G$4)</f>
        <v>2166.5693182546574</v>
      </c>
      <c r="I401" s="661">
        <f>SUM(Калькулятор_жилье!N328:N339)</f>
        <v>83764306.233735099</v>
      </c>
      <c r="J401" s="661">
        <f t="shared" ref="J401" si="5459">IF(I401=0,0,I401/I$4)</f>
        <v>2854.6261640114335</v>
      </c>
      <c r="K401" s="661">
        <f>SUM(Калькулятор_жилье!O328:O339)</f>
        <v>90443078.235609829</v>
      </c>
      <c r="L401" s="661">
        <f t="shared" ref="L401" si="5460">IF(K401=0,0,K401/K$4)</f>
        <v>2124.326876774328</v>
      </c>
      <c r="M401" s="661">
        <f>SUM(Калькулятор_жилье!P328:P339)</f>
        <v>0</v>
      </c>
      <c r="N401" s="661">
        <f t="shared" ref="N401" si="5461">IF(M401=0,0,M401/M$4)</f>
        <v>0</v>
      </c>
      <c r="O401" s="661">
        <f>SUM(Калькулятор_жилье!Q328:Q339)</f>
        <v>0</v>
      </c>
      <c r="P401" s="661">
        <f t="shared" ref="P401" si="5462">IF(O401=0,0,O401/O$4)</f>
        <v>0</v>
      </c>
      <c r="Q401" s="661">
        <f>SUM(Калькулятор_жилье!R328:R339)</f>
        <v>0</v>
      </c>
      <c r="R401" s="661">
        <f t="shared" ref="R401" si="5463">IF(Q401=0,0,Q401/Q$4)</f>
        <v>0</v>
      </c>
      <c r="S401" s="661">
        <f>SUM(Калькулятор_жилье!S328:S339)</f>
        <v>0</v>
      </c>
      <c r="T401" s="661">
        <f t="shared" ref="T401" si="5464">IF(S401=0,0,S401/S$4)</f>
        <v>0</v>
      </c>
      <c r="U401" s="661">
        <f>SUM(Калькулятор_жилье!T328:T339)</f>
        <v>0</v>
      </c>
      <c r="V401" s="661">
        <f t="shared" ref="V401" si="5465">IF(U401=0,0,U401/U$4)</f>
        <v>0</v>
      </c>
      <c r="W401" s="661">
        <f>SUM(Калькулятор_жилье!U328:U339)</f>
        <v>0</v>
      </c>
      <c r="X401" s="661">
        <f t="shared" ref="X401" si="5466">IF(W401=0,0,W401/W$4)</f>
        <v>0</v>
      </c>
      <c r="Y401" s="661">
        <f>SUM(Калькулятор_жилье!V328:V339)</f>
        <v>0</v>
      </c>
      <c r="Z401" s="661">
        <f t="shared" ref="Z401" si="5467">IF(Y401=0,0,Y401/Y$4)</f>
        <v>0</v>
      </c>
      <c r="AA401" s="661">
        <f>SUM(Калькулятор_жилье!W328:W339)</f>
        <v>0</v>
      </c>
      <c r="AB401" s="661">
        <f t="shared" ref="AB401" si="5468">IF(AA401=0,0,AA401/AA$4)</f>
        <v>0</v>
      </c>
      <c r="AC401" s="662">
        <f t="shared" si="5092"/>
        <v>264650462.70495474</v>
      </c>
      <c r="AD401" s="661">
        <f t="shared" ref="AD401" si="5469">IF(AC401=0,0,AC401/AC$4)</f>
        <v>1643.6597556870952</v>
      </c>
      <c r="AE401" s="665"/>
      <c r="AF401" s="556"/>
      <c r="AG401" s="114"/>
      <c r="AH401" s="114"/>
      <c r="AI401" s="114"/>
      <c r="AJ401" s="114"/>
    </row>
    <row r="402" spans="1:36" s="68" customFormat="1" ht="15.75" hidden="1" outlineLevel="5">
      <c r="A402" s="245"/>
      <c r="B402" s="246" t="s">
        <v>419</v>
      </c>
      <c r="C402" s="663"/>
      <c r="D402" s="663">
        <f t="shared" si="5286"/>
        <v>0</v>
      </c>
      <c r="E402" s="663"/>
      <c r="F402" s="663">
        <f t="shared" si="5286"/>
        <v>0</v>
      </c>
      <c r="G402" s="663">
        <f>G401-G403*курс</f>
        <v>90443078.235609829</v>
      </c>
      <c r="H402" s="663">
        <f t="shared" ref="H402" si="5470">IF(G402=0,0,G402/G$4)</f>
        <v>2166.5693182546574</v>
      </c>
      <c r="I402" s="663">
        <f>I401-I403*курс</f>
        <v>83764306.233735099</v>
      </c>
      <c r="J402" s="663">
        <f t="shared" ref="J402" si="5471">IF(I402=0,0,I402/I$4)</f>
        <v>2854.6261640114335</v>
      </c>
      <c r="K402" s="663">
        <f>K401-K403*курс</f>
        <v>90443078.235609829</v>
      </c>
      <c r="L402" s="663">
        <f t="shared" ref="L402" si="5472">IF(K402=0,0,K402/K$4)</f>
        <v>2124.326876774328</v>
      </c>
      <c r="M402" s="663">
        <f>M401-M403*курс</f>
        <v>0</v>
      </c>
      <c r="N402" s="663">
        <f t="shared" ref="N402" si="5473">IF(M402=0,0,M402/M$4)</f>
        <v>0</v>
      </c>
      <c r="O402" s="663">
        <f>O401-O403*курс</f>
        <v>0</v>
      </c>
      <c r="P402" s="663">
        <f t="shared" ref="P402" si="5474">IF(O402=0,0,O402/O$4)</f>
        <v>0</v>
      </c>
      <c r="Q402" s="663">
        <f>Q401-Q403*курс</f>
        <v>0</v>
      </c>
      <c r="R402" s="663">
        <f t="shared" ref="R402" si="5475">IF(Q402=0,0,Q402/Q$4)</f>
        <v>0</v>
      </c>
      <c r="S402" s="663">
        <f>S401-S403*курс</f>
        <v>0</v>
      </c>
      <c r="T402" s="663">
        <f t="shared" ref="T402" si="5476">IF(S402=0,0,S402/S$4)</f>
        <v>0</v>
      </c>
      <c r="U402" s="663">
        <f>U401-U403*курс</f>
        <v>0</v>
      </c>
      <c r="V402" s="663">
        <f t="shared" ref="V402" si="5477">IF(U402=0,0,U402/U$4)</f>
        <v>0</v>
      </c>
      <c r="W402" s="663">
        <f>W401-W403*курс</f>
        <v>0</v>
      </c>
      <c r="X402" s="663">
        <f t="shared" ref="X402" si="5478">IF(W402=0,0,W402/W$4)</f>
        <v>0</v>
      </c>
      <c r="Y402" s="663">
        <f>Y401-Y403*курс</f>
        <v>0</v>
      </c>
      <c r="Z402" s="663">
        <f t="shared" ref="Z402" si="5479">IF(Y402=0,0,Y402/Y$4)</f>
        <v>0</v>
      </c>
      <c r="AA402" s="663">
        <f>AA401-AA403*курс</f>
        <v>0</v>
      </c>
      <c r="AB402" s="663">
        <f t="shared" ref="AB402" si="5480">IF(AA402=0,0,AA402/AA$4)</f>
        <v>0</v>
      </c>
      <c r="AC402" s="664">
        <f t="shared" si="5092"/>
        <v>264650462.70495474</v>
      </c>
      <c r="AD402" s="663">
        <f t="shared" ref="AD402" si="5481">IF(AC402=0,0,AC402/AC$4)</f>
        <v>1643.6597556870952</v>
      </c>
      <c r="AE402" s="665"/>
      <c r="AF402" s="556"/>
      <c r="AG402" s="114"/>
      <c r="AH402" s="114"/>
      <c r="AI402" s="114"/>
      <c r="AJ402" s="114"/>
    </row>
    <row r="403" spans="1:36" s="68" customFormat="1" ht="15.75" hidden="1" outlineLevel="5">
      <c r="A403" s="245"/>
      <c r="B403" s="246" t="s">
        <v>420</v>
      </c>
      <c r="C403" s="663"/>
      <c r="D403" s="663">
        <f t="shared" si="5286"/>
        <v>0</v>
      </c>
      <c r="E403" s="663"/>
      <c r="F403" s="663">
        <f t="shared" si="5286"/>
        <v>0</v>
      </c>
      <c r="G403" s="663">
        <f>SUM(Калькулятор_жилье!AC328:AC339)</f>
        <v>0</v>
      </c>
      <c r="H403" s="663">
        <f t="shared" ref="H403" si="5482">IF(G403=0,0,G403/G$4)</f>
        <v>0</v>
      </c>
      <c r="I403" s="663">
        <f>SUM(Калькулятор_жилье!AD328:AD339)</f>
        <v>0</v>
      </c>
      <c r="J403" s="663">
        <f t="shared" ref="J403" si="5483">IF(I403=0,0,I403/I$4)</f>
        <v>0</v>
      </c>
      <c r="K403" s="663">
        <f>SUM(Калькулятор_жилье!AE328:AE339)</f>
        <v>0</v>
      </c>
      <c r="L403" s="663">
        <f t="shared" ref="L403" si="5484">IF(K403=0,0,K403/K$4)</f>
        <v>0</v>
      </c>
      <c r="M403" s="663">
        <f>SUM(Калькулятор_жилье!AF328:AF339)</f>
        <v>0</v>
      </c>
      <c r="N403" s="663">
        <f t="shared" ref="N403" si="5485">IF(M403=0,0,M403/M$4)</f>
        <v>0</v>
      </c>
      <c r="O403" s="663">
        <f>SUM(Калькулятор_жилье!AG328:AG339)</f>
        <v>0</v>
      </c>
      <c r="P403" s="663">
        <f t="shared" ref="P403" si="5486">IF(O403=0,0,O403/O$4)</f>
        <v>0</v>
      </c>
      <c r="Q403" s="663">
        <f>SUM(Калькулятор_жилье!AH328:AH339)</f>
        <v>0</v>
      </c>
      <c r="R403" s="663">
        <f t="shared" ref="R403" si="5487">IF(Q403=0,0,Q403/Q$4)</f>
        <v>0</v>
      </c>
      <c r="S403" s="663">
        <f>SUM(Калькулятор_жилье!AI328:AI339)</f>
        <v>0</v>
      </c>
      <c r="T403" s="663">
        <f t="shared" ref="T403" si="5488">IF(S403=0,0,S403/S$4)</f>
        <v>0</v>
      </c>
      <c r="U403" s="663">
        <f>SUM(Калькулятор_жилье!AJ328:AJ339)</f>
        <v>0</v>
      </c>
      <c r="V403" s="663">
        <f t="shared" ref="V403" si="5489">IF(U403=0,0,U403/U$4)</f>
        <v>0</v>
      </c>
      <c r="W403" s="663">
        <f>SUM(Калькулятор_жилье!AK328:AK339)</f>
        <v>0</v>
      </c>
      <c r="X403" s="663">
        <f t="shared" ref="X403" si="5490">IF(W403=0,0,W403/W$4)</f>
        <v>0</v>
      </c>
      <c r="Y403" s="663">
        <f>SUM(Калькулятор_жилье!AL328:AL339)</f>
        <v>0</v>
      </c>
      <c r="Z403" s="663">
        <f t="shared" ref="Z403" si="5491">IF(Y403=0,0,Y403/Y$4)</f>
        <v>0</v>
      </c>
      <c r="AA403" s="663">
        <f>SUM(Калькулятор_жилье!AM328:AM339)</f>
        <v>0</v>
      </c>
      <c r="AB403" s="663">
        <f t="shared" ref="AB403" si="5492">IF(AA403=0,0,AA403/AA$4)</f>
        <v>0</v>
      </c>
      <c r="AC403" s="664">
        <f t="shared" si="5092"/>
        <v>0</v>
      </c>
      <c r="AD403" s="663">
        <f t="shared" ref="AD403" si="5493">IF(AC403=0,0,AC403/AC$4)</f>
        <v>0</v>
      </c>
      <c r="AE403" s="665"/>
      <c r="AF403" s="556"/>
      <c r="AG403" s="114"/>
      <c r="AH403" s="114"/>
      <c r="AI403" s="114"/>
      <c r="AJ403" s="114"/>
    </row>
    <row r="404" spans="1:36" s="556" customFormat="1" ht="15.75" hidden="1" outlineLevel="3">
      <c r="A404" s="612" t="s">
        <v>1371</v>
      </c>
      <c r="B404" s="560" t="s">
        <v>1370</v>
      </c>
      <c r="C404" s="662"/>
      <c r="D404" s="662">
        <f t="shared" si="5286"/>
        <v>0</v>
      </c>
      <c r="E404" s="662"/>
      <c r="F404" s="662">
        <f t="shared" si="5286"/>
        <v>0</v>
      </c>
      <c r="G404" s="662"/>
      <c r="H404" s="662">
        <f t="shared" ref="H404" si="5494">IF(G404=0,0,G404/G$4)</f>
        <v>0</v>
      </c>
      <c r="I404" s="662"/>
      <c r="J404" s="662">
        <f t="shared" ref="J404" si="5495">IF(I404=0,0,I404/I$4)</f>
        <v>0</v>
      </c>
      <c r="K404" s="662"/>
      <c r="L404" s="662">
        <f t="shared" ref="L404" si="5496">IF(K404=0,0,K404/K$4)</f>
        <v>0</v>
      </c>
      <c r="M404" s="662"/>
      <c r="N404" s="662">
        <f t="shared" ref="N404" si="5497">IF(M404=0,0,M404/M$4)</f>
        <v>0</v>
      </c>
      <c r="O404" s="662"/>
      <c r="P404" s="662">
        <f t="shared" ref="P404" si="5498">IF(O404=0,0,O404/O$4)</f>
        <v>0</v>
      </c>
      <c r="Q404" s="662"/>
      <c r="R404" s="662">
        <f t="shared" ref="R404" si="5499">IF(Q404=0,0,Q404/Q$4)</f>
        <v>0</v>
      </c>
      <c r="S404" s="662"/>
      <c r="T404" s="662">
        <f t="shared" ref="T404" si="5500">IF(S404=0,0,S404/S$4)</f>
        <v>0</v>
      </c>
      <c r="U404" s="662"/>
      <c r="V404" s="662">
        <f t="shared" ref="V404" si="5501">IF(U404=0,0,U404/U$4)</f>
        <v>0</v>
      </c>
      <c r="W404" s="662"/>
      <c r="X404" s="662">
        <f t="shared" ref="X404" si="5502">IF(W404=0,0,W404/W$4)</f>
        <v>0</v>
      </c>
      <c r="Y404" s="662"/>
      <c r="Z404" s="662">
        <f t="shared" ref="Z404" si="5503">IF(Y404=0,0,Y404/Y$4)</f>
        <v>0</v>
      </c>
      <c r="AA404" s="662"/>
      <c r="AB404" s="662">
        <f t="shared" ref="AB404" si="5504">IF(AA404=0,0,AA404/AA$4)</f>
        <v>0</v>
      </c>
      <c r="AC404" s="662">
        <f t="shared" si="5092"/>
        <v>0</v>
      </c>
      <c r="AD404" s="662">
        <f t="shared" ref="AD404" si="5505">IF(AC404=0,0,AC404/AC$4)</f>
        <v>0</v>
      </c>
      <c r="AE404" s="654"/>
    </row>
    <row r="405" spans="1:36" s="556" customFormat="1" ht="15.75" hidden="1" outlineLevel="3">
      <c r="A405" s="612" t="s">
        <v>1369</v>
      </c>
      <c r="B405" s="560" t="s">
        <v>1368</v>
      </c>
      <c r="C405" s="662"/>
      <c r="D405" s="662">
        <f t="shared" si="5286"/>
        <v>0</v>
      </c>
      <c r="E405" s="662"/>
      <c r="F405" s="662">
        <f t="shared" si="5286"/>
        <v>0</v>
      </c>
      <c r="G405" s="662"/>
      <c r="H405" s="662">
        <f t="shared" ref="H405" si="5506">IF(G405=0,0,G405/G$4)</f>
        <v>0</v>
      </c>
      <c r="I405" s="662"/>
      <c r="J405" s="662">
        <f t="shared" ref="J405" si="5507">IF(I405=0,0,I405/I$4)</f>
        <v>0</v>
      </c>
      <c r="K405" s="662"/>
      <c r="L405" s="662">
        <f t="shared" ref="L405" si="5508">IF(K405=0,0,K405/K$4)</f>
        <v>0</v>
      </c>
      <c r="M405" s="662"/>
      <c r="N405" s="662">
        <f t="shared" ref="N405" si="5509">IF(M405=0,0,M405/M$4)</f>
        <v>0</v>
      </c>
      <c r="O405" s="662"/>
      <c r="P405" s="662">
        <f t="shared" ref="P405" si="5510">IF(O405=0,0,O405/O$4)</f>
        <v>0</v>
      </c>
      <c r="Q405" s="662"/>
      <c r="R405" s="662">
        <f t="shared" ref="R405" si="5511">IF(Q405=0,0,Q405/Q$4)</f>
        <v>0</v>
      </c>
      <c r="S405" s="662"/>
      <c r="T405" s="662">
        <f t="shared" ref="T405" si="5512">IF(S405=0,0,S405/S$4)</f>
        <v>0</v>
      </c>
      <c r="U405" s="662"/>
      <c r="V405" s="662">
        <f t="shared" ref="V405" si="5513">IF(U405=0,0,U405/U$4)</f>
        <v>0</v>
      </c>
      <c r="W405" s="662"/>
      <c r="X405" s="662">
        <f t="shared" ref="X405" si="5514">IF(W405=0,0,W405/W$4)</f>
        <v>0</v>
      </c>
      <c r="Y405" s="662"/>
      <c r="Z405" s="662">
        <f t="shared" ref="Z405" si="5515">IF(Y405=0,0,Y405/Y$4)</f>
        <v>0</v>
      </c>
      <c r="AA405" s="662"/>
      <c r="AB405" s="662">
        <f t="shared" ref="AB405" si="5516">IF(AA405=0,0,AA405/AA$4)</f>
        <v>0</v>
      </c>
      <c r="AC405" s="662">
        <f t="shared" si="5092"/>
        <v>0</v>
      </c>
      <c r="AD405" s="662">
        <f t="shared" ref="AD405" si="5517">IF(AC405=0,0,AC405/AC$4)</f>
        <v>0</v>
      </c>
      <c r="AE405" s="654"/>
    </row>
    <row r="406" spans="1:36" s="556" customFormat="1" ht="15.75" hidden="1" outlineLevel="3">
      <c r="A406" s="612" t="s">
        <v>1367</v>
      </c>
      <c r="B406" s="560" t="s">
        <v>1366</v>
      </c>
      <c r="C406" s="662"/>
      <c r="D406" s="662">
        <f t="shared" si="5286"/>
        <v>0</v>
      </c>
      <c r="E406" s="662"/>
      <c r="F406" s="662">
        <f t="shared" si="5286"/>
        <v>0</v>
      </c>
      <c r="G406" s="662"/>
      <c r="H406" s="662">
        <f t="shared" ref="H406" si="5518">IF(G406=0,0,G406/G$4)</f>
        <v>0</v>
      </c>
      <c r="I406" s="662"/>
      <c r="J406" s="662">
        <f t="shared" ref="J406" si="5519">IF(I406=0,0,I406/I$4)</f>
        <v>0</v>
      </c>
      <c r="K406" s="662"/>
      <c r="L406" s="662">
        <f t="shared" ref="L406" si="5520">IF(K406=0,0,K406/K$4)</f>
        <v>0</v>
      </c>
      <c r="M406" s="662"/>
      <c r="N406" s="662">
        <f t="shared" ref="N406" si="5521">IF(M406=0,0,M406/M$4)</f>
        <v>0</v>
      </c>
      <c r="O406" s="662"/>
      <c r="P406" s="662">
        <f t="shared" ref="P406" si="5522">IF(O406=0,0,O406/O$4)</f>
        <v>0</v>
      </c>
      <c r="Q406" s="662"/>
      <c r="R406" s="662">
        <f t="shared" ref="R406" si="5523">IF(Q406=0,0,Q406/Q$4)</f>
        <v>0</v>
      </c>
      <c r="S406" s="662"/>
      <c r="T406" s="662">
        <f t="shared" ref="T406" si="5524">IF(S406=0,0,S406/S$4)</f>
        <v>0</v>
      </c>
      <c r="U406" s="662"/>
      <c r="V406" s="662">
        <f t="shared" ref="V406" si="5525">IF(U406=0,0,U406/U$4)</f>
        <v>0</v>
      </c>
      <c r="W406" s="662"/>
      <c r="X406" s="662">
        <f t="shared" ref="X406" si="5526">IF(W406=0,0,W406/W$4)</f>
        <v>0</v>
      </c>
      <c r="Y406" s="662"/>
      <c r="Z406" s="662">
        <f t="shared" ref="Z406" si="5527">IF(Y406=0,0,Y406/Y$4)</f>
        <v>0</v>
      </c>
      <c r="AA406" s="662"/>
      <c r="AB406" s="662">
        <f t="shared" ref="AB406" si="5528">IF(AA406=0,0,AA406/AA$4)</f>
        <v>0</v>
      </c>
      <c r="AC406" s="662">
        <f t="shared" si="5092"/>
        <v>0</v>
      </c>
      <c r="AD406" s="662">
        <f t="shared" ref="AD406" si="5529">IF(AC406=0,0,AC406/AC$4)</f>
        <v>0</v>
      </c>
      <c r="AE406" s="654"/>
    </row>
    <row r="407" spans="1:36" s="556" customFormat="1" ht="15.75" hidden="1" outlineLevel="2">
      <c r="A407" s="609" t="s">
        <v>1365</v>
      </c>
      <c r="B407" s="559" t="s">
        <v>1170</v>
      </c>
      <c r="C407" s="659">
        <f>SUM(C408:C411)</f>
        <v>0</v>
      </c>
      <c r="D407" s="660">
        <f t="shared" si="5286"/>
        <v>0</v>
      </c>
      <c r="E407" s="659">
        <f t="shared" ref="E407" si="5530">SUM(E408:E411)</f>
        <v>0</v>
      </c>
      <c r="F407" s="660">
        <f t="shared" si="5286"/>
        <v>0</v>
      </c>
      <c r="G407" s="659">
        <f t="shared" ref="G407" si="5531">SUM(G408:G411)</f>
        <v>0</v>
      </c>
      <c r="H407" s="660">
        <f t="shared" ref="H407" si="5532">IF(G407=0,0,G407/G$4)</f>
        <v>0</v>
      </c>
      <c r="I407" s="659">
        <f t="shared" ref="I407" si="5533">SUM(I408:I411)</f>
        <v>0</v>
      </c>
      <c r="J407" s="660">
        <f t="shared" ref="J407" si="5534">IF(I407=0,0,I407/I$4)</f>
        <v>0</v>
      </c>
      <c r="K407" s="659">
        <f t="shared" ref="K407" si="5535">SUM(K408:K411)</f>
        <v>0</v>
      </c>
      <c r="L407" s="660">
        <f t="shared" ref="L407" si="5536">IF(K407=0,0,K407/K$4)</f>
        <v>0</v>
      </c>
      <c r="M407" s="659">
        <f t="shared" ref="M407" si="5537">SUM(M408:M411)</f>
        <v>0</v>
      </c>
      <c r="N407" s="660">
        <f t="shared" ref="N407" si="5538">IF(M407=0,0,M407/M$4)</f>
        <v>0</v>
      </c>
      <c r="O407" s="659">
        <f t="shared" ref="O407" si="5539">SUM(O408:O411)</f>
        <v>0</v>
      </c>
      <c r="P407" s="660">
        <f t="shared" ref="P407" si="5540">IF(O407=0,0,O407/O$4)</f>
        <v>0</v>
      </c>
      <c r="Q407" s="659">
        <f t="shared" ref="Q407" si="5541">SUM(Q408:Q411)</f>
        <v>0</v>
      </c>
      <c r="R407" s="660">
        <f t="shared" ref="R407" si="5542">IF(Q407=0,0,Q407/Q$4)</f>
        <v>0</v>
      </c>
      <c r="S407" s="659">
        <f t="shared" ref="S407" si="5543">SUM(S408:S411)</f>
        <v>0</v>
      </c>
      <c r="T407" s="660">
        <f t="shared" ref="T407" si="5544">IF(S407=0,0,S407/S$4)</f>
        <v>0</v>
      </c>
      <c r="U407" s="659">
        <f t="shared" ref="U407" si="5545">SUM(U408:U411)</f>
        <v>0</v>
      </c>
      <c r="V407" s="660">
        <f t="shared" ref="V407" si="5546">IF(U407=0,0,U407/U$4)</f>
        <v>0</v>
      </c>
      <c r="W407" s="659">
        <f t="shared" ref="W407" si="5547">SUM(W408:W411)</f>
        <v>0</v>
      </c>
      <c r="X407" s="660">
        <f t="shared" ref="X407" si="5548">IF(W407=0,0,W407/W$4)</f>
        <v>0</v>
      </c>
      <c r="Y407" s="659">
        <f t="shared" ref="Y407" si="5549">SUM(Y408:Y411)</f>
        <v>0</v>
      </c>
      <c r="Z407" s="660">
        <f t="shared" ref="Z407" si="5550">IF(Y407=0,0,Y407/Y$4)</f>
        <v>0</v>
      </c>
      <c r="AA407" s="659">
        <f t="shared" ref="AA407" si="5551">SUM(AA408:AA411)</f>
        <v>0</v>
      </c>
      <c r="AB407" s="660">
        <f t="shared" ref="AB407" si="5552">IF(AA407=0,0,AA407/AA$4)</f>
        <v>0</v>
      </c>
      <c r="AC407" s="659">
        <f t="shared" ref="AC407" si="5553">SUM(AC408:AC411)</f>
        <v>0</v>
      </c>
      <c r="AD407" s="660">
        <f t="shared" ref="AD407" si="5554">IF(AC407=0,0,AC407/AC$4)</f>
        <v>0</v>
      </c>
      <c r="AE407" s="654"/>
    </row>
    <row r="408" spans="1:36" s="556" customFormat="1" ht="15.75" hidden="1" outlineLevel="3">
      <c r="A408" s="612" t="s">
        <v>1364</v>
      </c>
      <c r="B408" s="560" t="s">
        <v>1363</v>
      </c>
      <c r="C408" s="661"/>
      <c r="D408" s="661">
        <f t="shared" si="5286"/>
        <v>0</v>
      </c>
      <c r="E408" s="661"/>
      <c r="F408" s="661">
        <f t="shared" si="5286"/>
        <v>0</v>
      </c>
      <c r="G408" s="661"/>
      <c r="H408" s="661">
        <f t="shared" ref="H408" si="5555">IF(G408=0,0,G408/G$4)</f>
        <v>0</v>
      </c>
      <c r="I408" s="661"/>
      <c r="J408" s="661">
        <f t="shared" ref="J408" si="5556">IF(I408=0,0,I408/I$4)</f>
        <v>0</v>
      </c>
      <c r="K408" s="661"/>
      <c r="L408" s="661">
        <f t="shared" ref="L408" si="5557">IF(K408=0,0,K408/K$4)</f>
        <v>0</v>
      </c>
      <c r="M408" s="661"/>
      <c r="N408" s="661">
        <f t="shared" ref="N408" si="5558">IF(M408=0,0,M408/M$4)</f>
        <v>0</v>
      </c>
      <c r="O408" s="661"/>
      <c r="P408" s="661">
        <f t="shared" ref="P408" si="5559">IF(O408=0,0,O408/O$4)</f>
        <v>0</v>
      </c>
      <c r="Q408" s="661"/>
      <c r="R408" s="661">
        <f t="shared" ref="R408" si="5560">IF(Q408=0,0,Q408/Q$4)</f>
        <v>0</v>
      </c>
      <c r="S408" s="661"/>
      <c r="T408" s="661">
        <f t="shared" ref="T408" si="5561">IF(S408=0,0,S408/S$4)</f>
        <v>0</v>
      </c>
      <c r="U408" s="661"/>
      <c r="V408" s="661">
        <f t="shared" ref="V408" si="5562">IF(U408=0,0,U408/U$4)</f>
        <v>0</v>
      </c>
      <c r="W408" s="661"/>
      <c r="X408" s="661">
        <f t="shared" ref="X408" si="5563">IF(W408=0,0,W408/W$4)</f>
        <v>0</v>
      </c>
      <c r="Y408" s="661"/>
      <c r="Z408" s="661">
        <f t="shared" ref="Z408" si="5564">IF(Y408=0,0,Y408/Y$4)</f>
        <v>0</v>
      </c>
      <c r="AA408" s="661"/>
      <c r="AB408" s="661">
        <f t="shared" ref="AB408" si="5565">IF(AA408=0,0,AA408/AA$4)</f>
        <v>0</v>
      </c>
      <c r="AC408" s="661">
        <f t="shared" si="5092"/>
        <v>0</v>
      </c>
      <c r="AD408" s="661">
        <f t="shared" ref="AD408" si="5566">IF(AC408=0,0,AC408/AC$4)</f>
        <v>0</v>
      </c>
      <c r="AE408" s="654"/>
    </row>
    <row r="409" spans="1:36" s="556" customFormat="1" ht="15.75" hidden="1" outlineLevel="3">
      <c r="A409" s="612" t="s">
        <v>1362</v>
      </c>
      <c r="B409" s="560" t="s">
        <v>1361</v>
      </c>
      <c r="C409" s="661"/>
      <c r="D409" s="661">
        <f t="shared" si="5286"/>
        <v>0</v>
      </c>
      <c r="E409" s="661"/>
      <c r="F409" s="661">
        <f t="shared" si="5286"/>
        <v>0</v>
      </c>
      <c r="G409" s="661"/>
      <c r="H409" s="661">
        <f t="shared" ref="H409" si="5567">IF(G409=0,0,G409/G$4)</f>
        <v>0</v>
      </c>
      <c r="I409" s="661"/>
      <c r="J409" s="661">
        <f t="shared" ref="J409" si="5568">IF(I409=0,0,I409/I$4)</f>
        <v>0</v>
      </c>
      <c r="K409" s="661"/>
      <c r="L409" s="661">
        <f t="shared" ref="L409" si="5569">IF(K409=0,0,K409/K$4)</f>
        <v>0</v>
      </c>
      <c r="M409" s="661"/>
      <c r="N409" s="661">
        <f t="shared" ref="N409" si="5570">IF(M409=0,0,M409/M$4)</f>
        <v>0</v>
      </c>
      <c r="O409" s="661"/>
      <c r="P409" s="661">
        <f t="shared" ref="P409" si="5571">IF(O409=0,0,O409/O$4)</f>
        <v>0</v>
      </c>
      <c r="Q409" s="661"/>
      <c r="R409" s="661">
        <f t="shared" ref="R409" si="5572">IF(Q409=0,0,Q409/Q$4)</f>
        <v>0</v>
      </c>
      <c r="S409" s="661"/>
      <c r="T409" s="661">
        <f t="shared" ref="T409" si="5573">IF(S409=0,0,S409/S$4)</f>
        <v>0</v>
      </c>
      <c r="U409" s="661"/>
      <c r="V409" s="661">
        <f t="shared" ref="V409" si="5574">IF(U409=0,0,U409/U$4)</f>
        <v>0</v>
      </c>
      <c r="W409" s="661"/>
      <c r="X409" s="661">
        <f t="shared" ref="X409" si="5575">IF(W409=0,0,W409/W$4)</f>
        <v>0</v>
      </c>
      <c r="Y409" s="661"/>
      <c r="Z409" s="661">
        <f t="shared" ref="Z409" si="5576">IF(Y409=0,0,Y409/Y$4)</f>
        <v>0</v>
      </c>
      <c r="AA409" s="661"/>
      <c r="AB409" s="661">
        <f t="shared" ref="AB409" si="5577">IF(AA409=0,0,AA409/AA$4)</f>
        <v>0</v>
      </c>
      <c r="AC409" s="661">
        <f t="shared" si="5092"/>
        <v>0</v>
      </c>
      <c r="AD409" s="661">
        <f t="shared" ref="AD409" si="5578">IF(AC409=0,0,AC409/AC$4)</f>
        <v>0</v>
      </c>
      <c r="AE409" s="654"/>
    </row>
    <row r="410" spans="1:36" s="556" customFormat="1" ht="15.75" hidden="1" outlineLevel="3">
      <c r="A410" s="612" t="s">
        <v>1360</v>
      </c>
      <c r="B410" s="560" t="s">
        <v>1359</v>
      </c>
      <c r="C410" s="661"/>
      <c r="D410" s="661">
        <f t="shared" si="5286"/>
        <v>0</v>
      </c>
      <c r="E410" s="661"/>
      <c r="F410" s="661">
        <f t="shared" si="5286"/>
        <v>0</v>
      </c>
      <c r="G410" s="661"/>
      <c r="H410" s="661">
        <f t="shared" ref="H410" si="5579">IF(G410=0,0,G410/G$4)</f>
        <v>0</v>
      </c>
      <c r="I410" s="661"/>
      <c r="J410" s="661">
        <f t="shared" ref="J410" si="5580">IF(I410=0,0,I410/I$4)</f>
        <v>0</v>
      </c>
      <c r="K410" s="661"/>
      <c r="L410" s="661">
        <f t="shared" ref="L410" si="5581">IF(K410=0,0,K410/K$4)</f>
        <v>0</v>
      </c>
      <c r="M410" s="661"/>
      <c r="N410" s="661">
        <f t="shared" ref="N410" si="5582">IF(M410=0,0,M410/M$4)</f>
        <v>0</v>
      </c>
      <c r="O410" s="661"/>
      <c r="P410" s="661">
        <f t="shared" ref="P410" si="5583">IF(O410=0,0,O410/O$4)</f>
        <v>0</v>
      </c>
      <c r="Q410" s="661"/>
      <c r="R410" s="661">
        <f t="shared" ref="R410" si="5584">IF(Q410=0,0,Q410/Q$4)</f>
        <v>0</v>
      </c>
      <c r="S410" s="661"/>
      <c r="T410" s="661">
        <f t="shared" ref="T410" si="5585">IF(S410=0,0,S410/S$4)</f>
        <v>0</v>
      </c>
      <c r="U410" s="661"/>
      <c r="V410" s="661">
        <f t="shared" ref="V410" si="5586">IF(U410=0,0,U410/U$4)</f>
        <v>0</v>
      </c>
      <c r="W410" s="661"/>
      <c r="X410" s="661">
        <f t="shared" ref="X410" si="5587">IF(W410=0,0,W410/W$4)</f>
        <v>0</v>
      </c>
      <c r="Y410" s="661"/>
      <c r="Z410" s="661">
        <f t="shared" ref="Z410" si="5588">IF(Y410=0,0,Y410/Y$4)</f>
        <v>0</v>
      </c>
      <c r="AA410" s="661"/>
      <c r="AB410" s="661">
        <f t="shared" ref="AB410" si="5589">IF(AA410=0,0,AA410/AA$4)</f>
        <v>0</v>
      </c>
      <c r="AC410" s="661">
        <f t="shared" si="5092"/>
        <v>0</v>
      </c>
      <c r="AD410" s="661">
        <f t="shared" ref="AD410" si="5590">IF(AC410=0,0,AC410/AC$4)</f>
        <v>0</v>
      </c>
      <c r="AE410" s="654"/>
    </row>
    <row r="411" spans="1:36" s="556" customFormat="1" ht="15.75" hidden="1" outlineLevel="3">
      <c r="A411" s="612" t="s">
        <v>1358</v>
      </c>
      <c r="B411" s="560" t="s">
        <v>1357</v>
      </c>
      <c r="C411" s="661"/>
      <c r="D411" s="661">
        <f t="shared" si="5286"/>
        <v>0</v>
      </c>
      <c r="E411" s="661"/>
      <c r="F411" s="661">
        <f t="shared" si="5286"/>
        <v>0</v>
      </c>
      <c r="G411" s="661"/>
      <c r="H411" s="661">
        <f t="shared" ref="H411" si="5591">IF(G411=0,0,G411/G$4)</f>
        <v>0</v>
      </c>
      <c r="I411" s="661"/>
      <c r="J411" s="661">
        <f t="shared" ref="J411" si="5592">IF(I411=0,0,I411/I$4)</f>
        <v>0</v>
      </c>
      <c r="K411" s="661"/>
      <c r="L411" s="661">
        <f t="shared" ref="L411" si="5593">IF(K411=0,0,K411/K$4)</f>
        <v>0</v>
      </c>
      <c r="M411" s="661"/>
      <c r="N411" s="661">
        <f t="shared" ref="N411" si="5594">IF(M411=0,0,M411/M$4)</f>
        <v>0</v>
      </c>
      <c r="O411" s="661"/>
      <c r="P411" s="661">
        <f t="shared" ref="P411" si="5595">IF(O411=0,0,O411/O$4)</f>
        <v>0</v>
      </c>
      <c r="Q411" s="661"/>
      <c r="R411" s="661">
        <f t="shared" ref="R411" si="5596">IF(Q411=0,0,Q411/Q$4)</f>
        <v>0</v>
      </c>
      <c r="S411" s="661"/>
      <c r="T411" s="661">
        <f t="shared" ref="T411" si="5597">IF(S411=0,0,S411/S$4)</f>
        <v>0</v>
      </c>
      <c r="U411" s="661"/>
      <c r="V411" s="661">
        <f t="shared" ref="V411" si="5598">IF(U411=0,0,U411/U$4)</f>
        <v>0</v>
      </c>
      <c r="W411" s="661"/>
      <c r="X411" s="661">
        <f t="shared" ref="X411" si="5599">IF(W411=0,0,W411/W$4)</f>
        <v>0</v>
      </c>
      <c r="Y411" s="661"/>
      <c r="Z411" s="661">
        <f t="shared" ref="Z411" si="5600">IF(Y411=0,0,Y411/Y$4)</f>
        <v>0</v>
      </c>
      <c r="AA411" s="661"/>
      <c r="AB411" s="661">
        <f t="shared" ref="AB411" si="5601">IF(AA411=0,0,AA411/AA$4)</f>
        <v>0</v>
      </c>
      <c r="AC411" s="661">
        <f t="shared" si="5092"/>
        <v>0</v>
      </c>
      <c r="AD411" s="661">
        <f t="shared" ref="AD411" si="5602">IF(AC411=0,0,AC411/AC$4)</f>
        <v>0</v>
      </c>
      <c r="AE411" s="654"/>
    </row>
    <row r="412" spans="1:36" s="556" customFormat="1" ht="31.5" hidden="1" outlineLevel="2">
      <c r="A412" s="609" t="s">
        <v>1356</v>
      </c>
      <c r="B412" s="559" t="s">
        <v>1355</v>
      </c>
      <c r="C412" s="659"/>
      <c r="D412" s="660">
        <f t="shared" si="5286"/>
        <v>0</v>
      </c>
      <c r="E412" s="659"/>
      <c r="F412" s="660">
        <f t="shared" si="5286"/>
        <v>0</v>
      </c>
      <c r="G412" s="659"/>
      <c r="H412" s="660">
        <f t="shared" ref="H412" si="5603">IF(G412=0,0,G412/G$4)</f>
        <v>0</v>
      </c>
      <c r="I412" s="659"/>
      <c r="J412" s="660">
        <f t="shared" ref="J412" si="5604">IF(I412=0,0,I412/I$4)</f>
        <v>0</v>
      </c>
      <c r="K412" s="659"/>
      <c r="L412" s="660">
        <f t="shared" ref="L412" si="5605">IF(K412=0,0,K412/K$4)</f>
        <v>0</v>
      </c>
      <c r="M412" s="659"/>
      <c r="N412" s="660">
        <f t="shared" ref="N412" si="5606">IF(M412=0,0,M412/M$4)</f>
        <v>0</v>
      </c>
      <c r="O412" s="659"/>
      <c r="P412" s="660">
        <f t="shared" ref="P412" si="5607">IF(O412=0,0,O412/O$4)</f>
        <v>0</v>
      </c>
      <c r="Q412" s="659"/>
      <c r="R412" s="660">
        <f t="shared" ref="R412" si="5608">IF(Q412=0,0,Q412/Q$4)</f>
        <v>0</v>
      </c>
      <c r="S412" s="659"/>
      <c r="T412" s="660">
        <f t="shared" ref="T412" si="5609">IF(S412=0,0,S412/S$4)</f>
        <v>0</v>
      </c>
      <c r="U412" s="659"/>
      <c r="V412" s="660">
        <f t="shared" ref="V412" si="5610">IF(U412=0,0,U412/U$4)</f>
        <v>0</v>
      </c>
      <c r="W412" s="659"/>
      <c r="X412" s="660">
        <f t="shared" ref="X412" si="5611">IF(W412=0,0,W412/W$4)</f>
        <v>0</v>
      </c>
      <c r="Y412" s="659"/>
      <c r="Z412" s="660">
        <f t="shared" ref="Z412" si="5612">IF(Y412=0,0,Y412/Y$4)</f>
        <v>0</v>
      </c>
      <c r="AA412" s="659"/>
      <c r="AB412" s="660">
        <f t="shared" ref="AB412" si="5613">IF(AA412=0,0,AA412/AA$4)</f>
        <v>0</v>
      </c>
      <c r="AC412" s="660">
        <f t="shared" si="5092"/>
        <v>0</v>
      </c>
      <c r="AD412" s="660">
        <f t="shared" ref="AD412" si="5614">IF(AC412=0,0,AC412/AC$4)</f>
        <v>0</v>
      </c>
      <c r="AE412" s="654"/>
    </row>
    <row r="413" spans="1:36" s="556" customFormat="1" ht="15.75" hidden="1" outlineLevel="2">
      <c r="A413" s="609" t="s">
        <v>1354</v>
      </c>
      <c r="B413" s="559" t="s">
        <v>1353</v>
      </c>
      <c r="C413" s="659"/>
      <c r="D413" s="660">
        <f t="shared" si="5286"/>
        <v>0</v>
      </c>
      <c r="E413" s="659"/>
      <c r="F413" s="660">
        <f t="shared" si="5286"/>
        <v>0</v>
      </c>
      <c r="G413" s="659">
        <f>Калькулятор_жилье!M310</f>
        <v>20610574.7185601</v>
      </c>
      <c r="H413" s="660">
        <f t="shared" ref="H413" si="5615">IF(G413=0,0,G413/G$4)</f>
        <v>493.72754320126484</v>
      </c>
      <c r="I413" s="659">
        <f>Калькулятор_жилье!N310</f>
        <v>14487622.108326891</v>
      </c>
      <c r="J413" s="660">
        <f t="shared" ref="J413" si="5616">IF(I413=0,0,I413/I$4)</f>
        <v>493.72754320126489</v>
      </c>
      <c r="K413" s="659">
        <f>Калькулятор_жилье!O310</f>
        <v>21020417.952171471</v>
      </c>
      <c r="L413" s="660">
        <f t="shared" ref="L413" si="5617">IF(K413=0,0,K413/K$4)</f>
        <v>493.72754320126489</v>
      </c>
      <c r="M413" s="659">
        <f>Калькулятор_жилье!P310</f>
        <v>2126385.7830592077</v>
      </c>
      <c r="N413" s="660">
        <f t="shared" ref="N413" si="5618">IF(M413=0,0,M413/M$4)</f>
        <v>493.72754320126489</v>
      </c>
      <c r="O413" s="659">
        <f>Калькулятор_жилье!Q310</f>
        <v>0</v>
      </c>
      <c r="P413" s="660">
        <f t="shared" ref="P413" si="5619">IF(O413=0,0,O413/O$4)</f>
        <v>0</v>
      </c>
      <c r="Q413" s="659">
        <f>Калькулятор_жилье!R310</f>
        <v>0</v>
      </c>
      <c r="R413" s="660">
        <f t="shared" ref="R413" si="5620">IF(Q413=0,0,Q413/Q$4)</f>
        <v>0</v>
      </c>
      <c r="S413" s="659">
        <f>Калькулятор_жилье!S310</f>
        <v>0</v>
      </c>
      <c r="T413" s="660">
        <f t="shared" ref="T413" si="5621">IF(S413=0,0,S413/S$4)</f>
        <v>0</v>
      </c>
      <c r="U413" s="659">
        <f>Калькулятор_жилье!T310</f>
        <v>0</v>
      </c>
      <c r="V413" s="660">
        <f t="shared" ref="V413" si="5622">IF(U413=0,0,U413/U$4)</f>
        <v>0</v>
      </c>
      <c r="W413" s="659">
        <f>Калькулятор_жилье!U310</f>
        <v>0</v>
      </c>
      <c r="X413" s="660">
        <f t="shared" ref="X413" si="5623">IF(W413=0,0,W413/W$4)</f>
        <v>0</v>
      </c>
      <c r="Y413" s="659">
        <f>Калькулятор_жилье!V310</f>
        <v>0</v>
      </c>
      <c r="Z413" s="660">
        <f t="shared" ref="Z413" si="5624">IF(Y413=0,0,Y413/Y$4)</f>
        <v>0</v>
      </c>
      <c r="AA413" s="659">
        <f>Калькулятор_жилье!W310</f>
        <v>0</v>
      </c>
      <c r="AB413" s="660">
        <f t="shared" ref="AB413" si="5625">IF(AA413=0,0,AA413/AA$4)</f>
        <v>0</v>
      </c>
      <c r="AC413" s="660">
        <f t="shared" si="5092"/>
        <v>58245000.562117666</v>
      </c>
      <c r="AD413" s="660">
        <f t="shared" ref="AD413" si="5626">IF(AC413=0,0,AC413/AC$4)</f>
        <v>361.74115252031527</v>
      </c>
      <c r="AE413" s="654"/>
    </row>
    <row r="414" spans="1:36" s="556" customFormat="1" ht="15.75" hidden="1" outlineLevel="2">
      <c r="A414" s="609" t="s">
        <v>1352</v>
      </c>
      <c r="B414" s="559" t="s">
        <v>95</v>
      </c>
      <c r="C414" s="659"/>
      <c r="D414" s="660">
        <f t="shared" si="5286"/>
        <v>0</v>
      </c>
      <c r="E414" s="659"/>
      <c r="F414" s="660">
        <f t="shared" si="5286"/>
        <v>0</v>
      </c>
      <c r="G414" s="659">
        <f>Калькулятор_жилье!M309</f>
        <v>209998211.85171756</v>
      </c>
      <c r="H414" s="660">
        <f t="shared" ref="H414" si="5627">IF(G414=0,0,G414/G$4)</f>
        <v>5030.5196545946055</v>
      </c>
      <c r="I414" s="659">
        <f>Калькулятор_жилье!N309</f>
        <v>138452527.89048332</v>
      </c>
      <c r="J414" s="660">
        <f t="shared" ref="J414" si="5628">IF(I414=0,0,I414/I$4)</f>
        <v>4718.3606760479806</v>
      </c>
      <c r="K414" s="659">
        <f>Калькулятор_жилье!O309</f>
        <v>205141153.61492309</v>
      </c>
      <c r="L414" s="660">
        <f t="shared" ref="L414" si="5629">IF(K414=0,0,K414/K$4)</f>
        <v>4818.355087621193</v>
      </c>
      <c r="M414" s="659">
        <f>Калькулятор_жилье!P309</f>
        <v>20184086.458752312</v>
      </c>
      <c r="N414" s="660">
        <f t="shared" ref="N414" si="5630">IF(M414=0,0,M414/M$4)</f>
        <v>4686.562287255575</v>
      </c>
      <c r="O414" s="659">
        <f>Калькулятор_жилье!Q309</f>
        <v>0</v>
      </c>
      <c r="P414" s="660">
        <f t="shared" ref="P414" si="5631">IF(O414=0,0,O414/O$4)</f>
        <v>0</v>
      </c>
      <c r="Q414" s="659">
        <f>Калькулятор_жилье!R309</f>
        <v>0</v>
      </c>
      <c r="R414" s="660">
        <f t="shared" ref="R414" si="5632">IF(Q414=0,0,Q414/Q$4)</f>
        <v>0</v>
      </c>
      <c r="S414" s="659">
        <f>Калькулятор_жилье!S309</f>
        <v>0</v>
      </c>
      <c r="T414" s="660">
        <f t="shared" ref="T414" si="5633">IF(S414=0,0,S414/S$4)</f>
        <v>0</v>
      </c>
      <c r="U414" s="659">
        <f>Калькулятор_жилье!T309</f>
        <v>0</v>
      </c>
      <c r="V414" s="660">
        <f t="shared" ref="V414" si="5634">IF(U414=0,0,U414/U$4)</f>
        <v>0</v>
      </c>
      <c r="W414" s="659">
        <f>Калькулятор_жилье!U309</f>
        <v>0</v>
      </c>
      <c r="X414" s="660">
        <f t="shared" ref="X414" si="5635">IF(W414=0,0,W414/W$4)</f>
        <v>0</v>
      </c>
      <c r="Y414" s="659">
        <f>Калькулятор_жилье!V309</f>
        <v>0</v>
      </c>
      <c r="Z414" s="660">
        <f t="shared" ref="Z414" si="5636">IF(Y414=0,0,Y414/Y$4)</f>
        <v>0</v>
      </c>
      <c r="AA414" s="659">
        <f>Калькулятор_жилье!W309</f>
        <v>0</v>
      </c>
      <c r="AB414" s="660">
        <f t="shared" ref="AB414" si="5637">IF(AA414=0,0,AA414/AA$4)</f>
        <v>0</v>
      </c>
      <c r="AC414" s="660">
        <f t="shared" si="5092"/>
        <v>573775979.81587625</v>
      </c>
      <c r="AD414" s="660">
        <f t="shared" ref="AD414" si="5638">IF(AC414=0,0,AC414/AC$4)</f>
        <v>3563.5399128498493</v>
      </c>
      <c r="AE414" s="654"/>
    </row>
    <row r="415" spans="1:36" s="556" customFormat="1" ht="15.75" hidden="1" outlineLevel="2" collapsed="1">
      <c r="A415" s="609" t="s">
        <v>1351</v>
      </c>
      <c r="B415" s="559" t="s">
        <v>348</v>
      </c>
      <c r="C415" s="659">
        <f>C416+C434+C437+C446+C455+C456+C457</f>
        <v>0</v>
      </c>
      <c r="D415" s="660">
        <f t="shared" si="5286"/>
        <v>0</v>
      </c>
      <c r="E415" s="659">
        <f t="shared" ref="E415" si="5639">E416+E434+E437+E446+E455+E456+E457</f>
        <v>0</v>
      </c>
      <c r="F415" s="660">
        <f t="shared" si="5286"/>
        <v>0</v>
      </c>
      <c r="G415" s="659">
        <f t="shared" ref="G415" si="5640">G416+G434+G437+G446+G455+G456+G457</f>
        <v>3826580.7188455798</v>
      </c>
      <c r="H415" s="660">
        <f t="shared" ref="H415" si="5641">IF(G415=0,0,G415/G$4)</f>
        <v>91.66596870661877</v>
      </c>
      <c r="I415" s="659">
        <f t="shared" ref="I415" si="5642">I416+I434+I437+I446+I455+I456+I457</f>
        <v>2354818.9039049721</v>
      </c>
      <c r="J415" s="660">
        <f t="shared" ref="J415" si="5643">IF(I415=0,0,I415/I$4)</f>
        <v>80.250502354051605</v>
      </c>
      <c r="K415" s="659">
        <f t="shared" ref="K415" si="5644">K416+K434+K437+K446+K455+K456+K457</f>
        <v>3826580.7188455798</v>
      </c>
      <c r="L415" s="660">
        <f t="shared" ref="L415" si="5645">IF(K415=0,0,K415/K$4)</f>
        <v>89.878721796860816</v>
      </c>
      <c r="M415" s="659">
        <f t="shared" ref="M415" si="5646">M416+M434+M437+M446+M455+M456+M457</f>
        <v>0</v>
      </c>
      <c r="N415" s="660">
        <f t="shared" ref="N415" si="5647">IF(M415=0,0,M415/M$4)</f>
        <v>0</v>
      </c>
      <c r="O415" s="659">
        <f t="shared" ref="O415" si="5648">O416+O434+O437+O446+O455+O456+O457</f>
        <v>0</v>
      </c>
      <c r="P415" s="660">
        <f t="shared" ref="P415" si="5649">IF(O415=0,0,O415/O$4)</f>
        <v>0</v>
      </c>
      <c r="Q415" s="659">
        <f t="shared" ref="Q415" si="5650">Q416+Q434+Q437+Q446+Q455+Q456+Q457</f>
        <v>0</v>
      </c>
      <c r="R415" s="660">
        <f t="shared" ref="R415" si="5651">IF(Q415=0,0,Q415/Q$4)</f>
        <v>0</v>
      </c>
      <c r="S415" s="659">
        <f t="shared" ref="S415" si="5652">S416+S434+S437+S446+S455+S456+S457</f>
        <v>0</v>
      </c>
      <c r="T415" s="660">
        <f t="shared" ref="T415" si="5653">IF(S415=0,0,S415/S$4)</f>
        <v>0</v>
      </c>
      <c r="U415" s="659">
        <f t="shared" ref="U415" si="5654">U416+U434+U437+U446+U455+U456+U457</f>
        <v>0</v>
      </c>
      <c r="V415" s="660">
        <f t="shared" ref="V415" si="5655">IF(U415=0,0,U415/U$4)</f>
        <v>0</v>
      </c>
      <c r="W415" s="659">
        <f t="shared" ref="W415" si="5656">W416+W434+W437+W446+W455+W456+W457</f>
        <v>0</v>
      </c>
      <c r="X415" s="660">
        <f t="shared" ref="X415" si="5657">IF(W415=0,0,W415/W$4)</f>
        <v>0</v>
      </c>
      <c r="Y415" s="659">
        <f t="shared" ref="Y415" si="5658">Y416+Y434+Y437+Y446+Y455+Y456+Y457</f>
        <v>0</v>
      </c>
      <c r="Z415" s="660">
        <f t="shared" ref="Z415" si="5659">IF(Y415=0,0,Y415/Y$4)</f>
        <v>0</v>
      </c>
      <c r="AA415" s="659">
        <f t="shared" ref="AA415" si="5660">AA416+AA434+AA437+AA446+AA455+AA456+AA457</f>
        <v>0</v>
      </c>
      <c r="AB415" s="660">
        <f t="shared" ref="AB415" si="5661">IF(AA415=0,0,AA415/AA$4)</f>
        <v>0</v>
      </c>
      <c r="AC415" s="660">
        <f t="shared" si="5092"/>
        <v>10007980.341596132</v>
      </c>
      <c r="AD415" s="660">
        <f t="shared" ref="AD415" si="5662">IF(AC415=0,0,AC415/AC$4)</f>
        <v>62.156379229641075</v>
      </c>
      <c r="AE415" s="654"/>
    </row>
    <row r="416" spans="1:36" s="68" customFormat="1" ht="15.75" hidden="1" outlineLevel="3" collapsed="1">
      <c r="A416" s="117"/>
      <c r="B416" s="118" t="s">
        <v>699</v>
      </c>
      <c r="C416" s="661"/>
      <c r="D416" s="662">
        <f t="shared" si="5286"/>
        <v>0</v>
      </c>
      <c r="E416" s="661">
        <f>SUM(E417:E423,E426:E427,E430:E431)</f>
        <v>0</v>
      </c>
      <c r="F416" s="662">
        <f t="shared" si="5286"/>
        <v>0</v>
      </c>
      <c r="G416" s="661">
        <f t="shared" ref="G416:Y416" si="5663">SUM(G417:G423,G426:G427,G430:G431)</f>
        <v>0</v>
      </c>
      <c r="H416" s="662">
        <f t="shared" ref="H416" si="5664">IF(G416=0,0,G416/G$4)</f>
        <v>0</v>
      </c>
      <c r="I416" s="661">
        <f t="shared" si="5663"/>
        <v>0</v>
      </c>
      <c r="J416" s="662">
        <f t="shared" ref="J416" si="5665">IF(I416=0,0,I416/I$4)</f>
        <v>0</v>
      </c>
      <c r="K416" s="661">
        <f t="shared" si="5663"/>
        <v>0</v>
      </c>
      <c r="L416" s="662">
        <f t="shared" ref="L416" si="5666">IF(K416=0,0,K416/K$4)</f>
        <v>0</v>
      </c>
      <c r="M416" s="661">
        <f t="shared" si="5663"/>
        <v>0</v>
      </c>
      <c r="N416" s="662">
        <f t="shared" ref="N416" si="5667">IF(M416=0,0,M416/M$4)</f>
        <v>0</v>
      </c>
      <c r="O416" s="661">
        <f t="shared" si="5663"/>
        <v>0</v>
      </c>
      <c r="P416" s="662">
        <f t="shared" ref="P416" si="5668">IF(O416=0,0,O416/O$4)</f>
        <v>0</v>
      </c>
      <c r="Q416" s="661">
        <f t="shared" si="5663"/>
        <v>0</v>
      </c>
      <c r="R416" s="662">
        <f t="shared" ref="R416" si="5669">IF(Q416=0,0,Q416/Q$4)</f>
        <v>0</v>
      </c>
      <c r="S416" s="661">
        <f t="shared" si="5663"/>
        <v>0</v>
      </c>
      <c r="T416" s="662">
        <f t="shared" ref="T416" si="5670">IF(S416=0,0,S416/S$4)</f>
        <v>0</v>
      </c>
      <c r="U416" s="661">
        <f t="shared" si="5663"/>
        <v>0</v>
      </c>
      <c r="V416" s="662">
        <f t="shared" ref="V416" si="5671">IF(U416=0,0,U416/U$4)</f>
        <v>0</v>
      </c>
      <c r="W416" s="661">
        <f t="shared" si="5663"/>
        <v>0</v>
      </c>
      <c r="X416" s="662">
        <f t="shared" ref="X416" si="5672">IF(W416=0,0,W416/W$4)</f>
        <v>0</v>
      </c>
      <c r="Y416" s="661">
        <f t="shared" si="5663"/>
        <v>0</v>
      </c>
      <c r="Z416" s="662">
        <f t="shared" ref="Z416" si="5673">IF(Y416=0,0,Y416/Y$4)</f>
        <v>0</v>
      </c>
      <c r="AA416" s="661">
        <f>SUM(AA417:AA423,AA426:AA427,AA430:AA431)</f>
        <v>0</v>
      </c>
      <c r="AB416" s="662">
        <f t="shared" ref="AB416" si="5674">IF(AA416=0,0,AA416/AA$4)</f>
        <v>0</v>
      </c>
      <c r="AC416" s="662">
        <f>C416+E416+G416+I416+K416+M416+O416+Q416+S416+U416+W416+AA416+Y416</f>
        <v>0</v>
      </c>
      <c r="AD416" s="662">
        <f t="shared" ref="AD416" si="5675">IF(AC416=0,0,AC416/AC$4)</f>
        <v>0</v>
      </c>
      <c r="AE416" s="665"/>
      <c r="AF416" s="556"/>
      <c r="AG416" s="114"/>
      <c r="AH416" s="114"/>
      <c r="AI416" s="114"/>
      <c r="AJ416" s="114"/>
    </row>
    <row r="417" spans="1:36" s="68" customFormat="1" ht="15.75" hidden="1" outlineLevel="4">
      <c r="A417" s="117"/>
      <c r="B417" s="118" t="s">
        <v>872</v>
      </c>
      <c r="C417" s="661"/>
      <c r="D417" s="662">
        <f t="shared" si="5286"/>
        <v>0</v>
      </c>
      <c r="E417" s="661"/>
      <c r="F417" s="662">
        <f t="shared" si="5286"/>
        <v>0</v>
      </c>
      <c r="G417" s="661">
        <f>Калькулятор_жилье!M251+Калькулятор_жилье!M252</f>
        <v>0</v>
      </c>
      <c r="H417" s="662">
        <f t="shared" ref="H417" si="5676">IF(G417=0,0,G417/G$4)</f>
        <v>0</v>
      </c>
      <c r="I417" s="661">
        <f>Калькулятор_жилье!N251+Калькулятор_жилье!N252</f>
        <v>0</v>
      </c>
      <c r="J417" s="662">
        <f t="shared" ref="J417" si="5677">IF(I417=0,0,I417/I$4)</f>
        <v>0</v>
      </c>
      <c r="K417" s="661">
        <f>Калькулятор_жилье!O251+Калькулятор_жилье!O252</f>
        <v>0</v>
      </c>
      <c r="L417" s="662">
        <f t="shared" ref="L417" si="5678">IF(K417=0,0,K417/K$4)</f>
        <v>0</v>
      </c>
      <c r="M417" s="661">
        <f>Калькулятор_жилье!P251+Калькулятор_жилье!P252</f>
        <v>0</v>
      </c>
      <c r="N417" s="662">
        <f t="shared" ref="N417" si="5679">IF(M417=0,0,M417/M$4)</f>
        <v>0</v>
      </c>
      <c r="O417" s="661">
        <f>Калькулятор_жилье!Q251+Калькулятор_жилье!Q252</f>
        <v>0</v>
      </c>
      <c r="P417" s="662">
        <f t="shared" ref="P417" si="5680">IF(O417=0,0,O417/O$4)</f>
        <v>0</v>
      </c>
      <c r="Q417" s="661">
        <f>Калькулятор_жилье!R251+Калькулятор_жилье!R252</f>
        <v>0</v>
      </c>
      <c r="R417" s="662">
        <f t="shared" ref="R417" si="5681">IF(Q417=0,0,Q417/Q$4)</f>
        <v>0</v>
      </c>
      <c r="S417" s="661">
        <f>Калькулятор_жилье!S251+Калькулятор_жилье!S252</f>
        <v>0</v>
      </c>
      <c r="T417" s="662">
        <f t="shared" ref="T417" si="5682">IF(S417=0,0,S417/S$4)</f>
        <v>0</v>
      </c>
      <c r="U417" s="661">
        <f>Калькулятор_жилье!T251+Калькулятор_жилье!T252</f>
        <v>0</v>
      </c>
      <c r="V417" s="662">
        <f t="shared" ref="V417" si="5683">IF(U417=0,0,U417/U$4)</f>
        <v>0</v>
      </c>
      <c r="W417" s="661">
        <f>Калькулятор_жилье!U251+Калькулятор_жилье!U252</f>
        <v>0</v>
      </c>
      <c r="X417" s="662">
        <f t="shared" ref="X417" si="5684">IF(W417=0,0,W417/W$4)</f>
        <v>0</v>
      </c>
      <c r="Y417" s="661">
        <f>Калькулятор_жилье!V251+Калькулятор_жилье!V252</f>
        <v>0</v>
      </c>
      <c r="Z417" s="662">
        <f t="shared" ref="Z417" si="5685">IF(Y417=0,0,Y417/Y$4)</f>
        <v>0</v>
      </c>
      <c r="AA417" s="661">
        <f>Калькулятор_жилье!W251+Калькулятор_жилье!W252</f>
        <v>0</v>
      </c>
      <c r="AB417" s="662">
        <f t="shared" ref="AB417" si="5686">IF(AA417=0,0,AA417/AA$4)</f>
        <v>0</v>
      </c>
      <c r="AC417" s="662">
        <f t="shared" si="5092"/>
        <v>0</v>
      </c>
      <c r="AD417" s="662">
        <f t="shared" ref="AD417" si="5687">IF(AC417=0,0,AC417/AC$4)</f>
        <v>0</v>
      </c>
      <c r="AE417" s="665"/>
      <c r="AF417" s="556"/>
      <c r="AG417" s="114"/>
      <c r="AH417" s="114"/>
      <c r="AI417" s="114"/>
      <c r="AJ417" s="114"/>
    </row>
    <row r="418" spans="1:36" s="68" customFormat="1" ht="15.75" hidden="1" outlineLevel="4">
      <c r="A418" s="117"/>
      <c r="B418" s="118" t="s">
        <v>874</v>
      </c>
      <c r="C418" s="661"/>
      <c r="D418" s="662">
        <f t="shared" si="5286"/>
        <v>0</v>
      </c>
      <c r="E418" s="661"/>
      <c r="F418" s="662">
        <f t="shared" si="5286"/>
        <v>0</v>
      </c>
      <c r="G418" s="661">
        <f>SUM(Калькулятор_жилье!M253:M255)</f>
        <v>0</v>
      </c>
      <c r="H418" s="662">
        <f t="shared" ref="H418" si="5688">IF(G418=0,0,G418/G$4)</f>
        <v>0</v>
      </c>
      <c r="I418" s="661">
        <f>SUM(Калькулятор_жилье!N253:N255)</f>
        <v>0</v>
      </c>
      <c r="J418" s="662">
        <f t="shared" ref="J418" si="5689">IF(I418=0,0,I418/I$4)</f>
        <v>0</v>
      </c>
      <c r="K418" s="661">
        <f>SUM(Калькулятор_жилье!O253:O255)</f>
        <v>0</v>
      </c>
      <c r="L418" s="662">
        <f t="shared" ref="L418" si="5690">IF(K418=0,0,K418/K$4)</f>
        <v>0</v>
      </c>
      <c r="M418" s="661">
        <f>SUM(Калькулятор_жилье!P253:P255)</f>
        <v>0</v>
      </c>
      <c r="N418" s="662">
        <f t="shared" ref="N418" si="5691">IF(M418=0,0,M418/M$4)</f>
        <v>0</v>
      </c>
      <c r="O418" s="661">
        <f>SUM(Калькулятор_жилье!Q253:Q255)</f>
        <v>0</v>
      </c>
      <c r="P418" s="662">
        <f t="shared" ref="P418" si="5692">IF(O418=0,0,O418/O$4)</f>
        <v>0</v>
      </c>
      <c r="Q418" s="661">
        <f>SUM(Калькулятор_жилье!R253:R255)</f>
        <v>0</v>
      </c>
      <c r="R418" s="662">
        <f t="shared" ref="R418" si="5693">IF(Q418=0,0,Q418/Q$4)</f>
        <v>0</v>
      </c>
      <c r="S418" s="661">
        <f>SUM(Калькулятор_жилье!S253:S255)</f>
        <v>0</v>
      </c>
      <c r="T418" s="662">
        <f t="shared" ref="T418" si="5694">IF(S418=0,0,S418/S$4)</f>
        <v>0</v>
      </c>
      <c r="U418" s="661">
        <f>SUM(Калькулятор_жилье!T253:T255)</f>
        <v>0</v>
      </c>
      <c r="V418" s="662">
        <f t="shared" ref="V418" si="5695">IF(U418=0,0,U418/U$4)</f>
        <v>0</v>
      </c>
      <c r="W418" s="661">
        <f>SUM(Калькулятор_жилье!U253:U255)</f>
        <v>0</v>
      </c>
      <c r="X418" s="662">
        <f t="shared" ref="X418" si="5696">IF(W418=0,0,W418/W$4)</f>
        <v>0</v>
      </c>
      <c r="Y418" s="661">
        <f>SUM(Калькулятор_жилье!V253:V255)</f>
        <v>0</v>
      </c>
      <c r="Z418" s="662">
        <f t="shared" ref="Z418" si="5697">IF(Y418=0,0,Y418/Y$4)</f>
        <v>0</v>
      </c>
      <c r="AA418" s="661">
        <f>SUM(Калькулятор_жилье!W253:W255)</f>
        <v>0</v>
      </c>
      <c r="AB418" s="662">
        <f t="shared" ref="AB418" si="5698">IF(AA418=0,0,AA418/AA$4)</f>
        <v>0</v>
      </c>
      <c r="AC418" s="662">
        <f t="shared" si="5092"/>
        <v>0</v>
      </c>
      <c r="AD418" s="662">
        <f t="shared" ref="AD418" si="5699">IF(AC418=0,0,AC418/AC$4)</f>
        <v>0</v>
      </c>
      <c r="AE418" s="665"/>
      <c r="AF418" s="556"/>
      <c r="AG418" s="114"/>
      <c r="AH418" s="114"/>
      <c r="AI418" s="114"/>
      <c r="AJ418" s="114"/>
    </row>
    <row r="419" spans="1:36" s="68" customFormat="1" ht="15.75" hidden="1" outlineLevel="4">
      <c r="A419" s="117"/>
      <c r="B419" s="118" t="s">
        <v>875</v>
      </c>
      <c r="C419" s="661"/>
      <c r="D419" s="662">
        <f t="shared" si="5286"/>
        <v>0</v>
      </c>
      <c r="E419" s="661"/>
      <c r="F419" s="662">
        <f t="shared" si="5286"/>
        <v>0</v>
      </c>
      <c r="G419" s="661">
        <f>Калькулятор_жилье!M256</f>
        <v>0</v>
      </c>
      <c r="H419" s="662">
        <f t="shared" ref="H419" si="5700">IF(G419=0,0,G419/G$4)</f>
        <v>0</v>
      </c>
      <c r="I419" s="661">
        <f>Калькулятор_жилье!N256</f>
        <v>0</v>
      </c>
      <c r="J419" s="662">
        <f t="shared" ref="J419" si="5701">IF(I419=0,0,I419/I$4)</f>
        <v>0</v>
      </c>
      <c r="K419" s="661">
        <f>Калькулятор_жилье!O256</f>
        <v>0</v>
      </c>
      <c r="L419" s="662">
        <f t="shared" ref="L419" si="5702">IF(K419=0,0,K419/K$4)</f>
        <v>0</v>
      </c>
      <c r="M419" s="661">
        <f>Калькулятор_жилье!P256</f>
        <v>0</v>
      </c>
      <c r="N419" s="662">
        <f t="shared" ref="N419" si="5703">IF(M419=0,0,M419/M$4)</f>
        <v>0</v>
      </c>
      <c r="O419" s="661">
        <f>Калькулятор_жилье!Q256</f>
        <v>0</v>
      </c>
      <c r="P419" s="662">
        <f t="shared" ref="P419" si="5704">IF(O419=0,0,O419/O$4)</f>
        <v>0</v>
      </c>
      <c r="Q419" s="661">
        <f>Калькулятор_жилье!R256</f>
        <v>0</v>
      </c>
      <c r="R419" s="662">
        <f t="shared" ref="R419" si="5705">IF(Q419=0,0,Q419/Q$4)</f>
        <v>0</v>
      </c>
      <c r="S419" s="661">
        <f>Калькулятор_жилье!S256</f>
        <v>0</v>
      </c>
      <c r="T419" s="662">
        <f t="shared" ref="T419" si="5706">IF(S419=0,0,S419/S$4)</f>
        <v>0</v>
      </c>
      <c r="U419" s="661">
        <f>Калькулятор_жилье!T256</f>
        <v>0</v>
      </c>
      <c r="V419" s="662">
        <f t="shared" ref="V419" si="5707">IF(U419=0,0,U419/U$4)</f>
        <v>0</v>
      </c>
      <c r="W419" s="661">
        <f>Калькулятор_жилье!U256</f>
        <v>0</v>
      </c>
      <c r="X419" s="662">
        <f t="shared" ref="X419" si="5708">IF(W419=0,0,W419/W$4)</f>
        <v>0</v>
      </c>
      <c r="Y419" s="661">
        <f>Калькулятор_жилье!V256</f>
        <v>0</v>
      </c>
      <c r="Z419" s="662">
        <f t="shared" ref="Z419" si="5709">IF(Y419=0,0,Y419/Y$4)</f>
        <v>0</v>
      </c>
      <c r="AA419" s="661">
        <f>Калькулятор_жилье!W256</f>
        <v>0</v>
      </c>
      <c r="AB419" s="662">
        <f t="shared" ref="AB419" si="5710">IF(AA419=0,0,AA419/AA$4)</f>
        <v>0</v>
      </c>
      <c r="AC419" s="662">
        <f t="shared" si="5092"/>
        <v>0</v>
      </c>
      <c r="AD419" s="662">
        <f t="shared" ref="AD419" si="5711">IF(AC419=0,0,AC419/AC$4)</f>
        <v>0</v>
      </c>
      <c r="AE419" s="665"/>
      <c r="AF419" s="556"/>
      <c r="AG419" s="114"/>
      <c r="AH419" s="114"/>
      <c r="AI419" s="114"/>
      <c r="AJ419" s="114"/>
    </row>
    <row r="420" spans="1:36" s="68" customFormat="1" ht="15.75" hidden="1" outlineLevel="4">
      <c r="A420" s="117"/>
      <c r="B420" s="118" t="s">
        <v>876</v>
      </c>
      <c r="C420" s="661"/>
      <c r="D420" s="662">
        <f t="shared" si="5286"/>
        <v>0</v>
      </c>
      <c r="E420" s="661"/>
      <c r="F420" s="662">
        <f t="shared" si="5286"/>
        <v>0</v>
      </c>
      <c r="G420" s="661">
        <f>Калькулятор_жилье!M257</f>
        <v>0</v>
      </c>
      <c r="H420" s="662">
        <f t="shared" ref="H420" si="5712">IF(G420=0,0,G420/G$4)</f>
        <v>0</v>
      </c>
      <c r="I420" s="661">
        <f>Калькулятор_жилье!N257</f>
        <v>0</v>
      </c>
      <c r="J420" s="662">
        <f t="shared" ref="J420" si="5713">IF(I420=0,0,I420/I$4)</f>
        <v>0</v>
      </c>
      <c r="K420" s="661">
        <f>Калькулятор_жилье!O257</f>
        <v>0</v>
      </c>
      <c r="L420" s="662">
        <f t="shared" ref="L420" si="5714">IF(K420=0,0,K420/K$4)</f>
        <v>0</v>
      </c>
      <c r="M420" s="661">
        <f>Калькулятор_жилье!P257</f>
        <v>0</v>
      </c>
      <c r="N420" s="662">
        <f t="shared" ref="N420" si="5715">IF(M420=0,0,M420/M$4)</f>
        <v>0</v>
      </c>
      <c r="O420" s="661">
        <f>Калькулятор_жилье!Q257</f>
        <v>0</v>
      </c>
      <c r="P420" s="662">
        <f t="shared" ref="P420" si="5716">IF(O420=0,0,O420/O$4)</f>
        <v>0</v>
      </c>
      <c r="Q420" s="661">
        <f>Калькулятор_жилье!R257</f>
        <v>0</v>
      </c>
      <c r="R420" s="662">
        <f t="shared" ref="R420" si="5717">IF(Q420=0,0,Q420/Q$4)</f>
        <v>0</v>
      </c>
      <c r="S420" s="661">
        <f>Калькулятор_жилье!S257</f>
        <v>0</v>
      </c>
      <c r="T420" s="662">
        <f t="shared" ref="T420" si="5718">IF(S420=0,0,S420/S$4)</f>
        <v>0</v>
      </c>
      <c r="U420" s="661">
        <f>Калькулятор_жилье!T257</f>
        <v>0</v>
      </c>
      <c r="V420" s="662">
        <f t="shared" ref="V420" si="5719">IF(U420=0,0,U420/U$4)</f>
        <v>0</v>
      </c>
      <c r="W420" s="661">
        <f>Калькулятор_жилье!U257</f>
        <v>0</v>
      </c>
      <c r="X420" s="662">
        <f t="shared" ref="X420" si="5720">IF(W420=0,0,W420/W$4)</f>
        <v>0</v>
      </c>
      <c r="Y420" s="661">
        <f>Калькулятор_жилье!V257</f>
        <v>0</v>
      </c>
      <c r="Z420" s="662">
        <f t="shared" ref="Z420" si="5721">IF(Y420=0,0,Y420/Y$4)</f>
        <v>0</v>
      </c>
      <c r="AA420" s="661">
        <f>Калькулятор_жилье!W257</f>
        <v>0</v>
      </c>
      <c r="AB420" s="662">
        <f t="shared" ref="AB420" si="5722">IF(AA420=0,0,AA420/AA$4)</f>
        <v>0</v>
      </c>
      <c r="AC420" s="662">
        <f t="shared" si="5092"/>
        <v>0</v>
      </c>
      <c r="AD420" s="662">
        <f t="shared" ref="AD420" si="5723">IF(AC420=0,0,AC420/AC$4)</f>
        <v>0</v>
      </c>
      <c r="AE420" s="665"/>
      <c r="AF420" s="556"/>
      <c r="AG420" s="114"/>
      <c r="AH420" s="114"/>
      <c r="AI420" s="114"/>
      <c r="AJ420" s="114"/>
    </row>
    <row r="421" spans="1:36" s="68" customFormat="1" ht="30" hidden="1" outlineLevel="4">
      <c r="A421" s="117"/>
      <c r="B421" s="118" t="s">
        <v>877</v>
      </c>
      <c r="C421" s="661"/>
      <c r="D421" s="662">
        <f t="shared" si="5286"/>
        <v>0</v>
      </c>
      <c r="E421" s="661"/>
      <c r="F421" s="662">
        <f t="shared" si="5286"/>
        <v>0</v>
      </c>
      <c r="G421" s="661">
        <f>Калькулятор_жилье!M258+Калькулятор_жилье!M259</f>
        <v>0</v>
      </c>
      <c r="H421" s="662">
        <f t="shared" ref="H421" si="5724">IF(G421=0,0,G421/G$4)</f>
        <v>0</v>
      </c>
      <c r="I421" s="661">
        <f>Калькулятор_жилье!N258+Калькулятор_жилье!N259</f>
        <v>0</v>
      </c>
      <c r="J421" s="662">
        <f t="shared" ref="J421" si="5725">IF(I421=0,0,I421/I$4)</f>
        <v>0</v>
      </c>
      <c r="K421" s="661">
        <f>Калькулятор_жилье!O258+Калькулятор_жилье!O259</f>
        <v>0</v>
      </c>
      <c r="L421" s="662">
        <f t="shared" ref="L421" si="5726">IF(K421=0,0,K421/K$4)</f>
        <v>0</v>
      </c>
      <c r="M421" s="661">
        <f>Калькулятор_жилье!P258+Калькулятор_жилье!P259</f>
        <v>0</v>
      </c>
      <c r="N421" s="662">
        <f t="shared" ref="N421" si="5727">IF(M421=0,0,M421/M$4)</f>
        <v>0</v>
      </c>
      <c r="O421" s="661">
        <f>Калькулятор_жилье!Q258+Калькулятор_жилье!Q259</f>
        <v>0</v>
      </c>
      <c r="P421" s="662">
        <f t="shared" ref="P421" si="5728">IF(O421=0,0,O421/O$4)</f>
        <v>0</v>
      </c>
      <c r="Q421" s="661">
        <f>Калькулятор_жилье!R258+Калькулятор_жилье!R259</f>
        <v>0</v>
      </c>
      <c r="R421" s="662">
        <f t="shared" ref="R421" si="5729">IF(Q421=0,0,Q421/Q$4)</f>
        <v>0</v>
      </c>
      <c r="S421" s="661">
        <f>Калькулятор_жилье!S258+Калькулятор_жилье!S259</f>
        <v>0</v>
      </c>
      <c r="T421" s="662">
        <f t="shared" ref="T421" si="5730">IF(S421=0,0,S421/S$4)</f>
        <v>0</v>
      </c>
      <c r="U421" s="661">
        <f>Калькулятор_жилье!T258+Калькулятор_жилье!T259</f>
        <v>0</v>
      </c>
      <c r="V421" s="662">
        <f t="shared" ref="V421" si="5731">IF(U421=0,0,U421/U$4)</f>
        <v>0</v>
      </c>
      <c r="W421" s="661">
        <f>Калькулятор_жилье!U258+Калькулятор_жилье!U259</f>
        <v>0</v>
      </c>
      <c r="X421" s="662">
        <f t="shared" ref="X421" si="5732">IF(W421=0,0,W421/W$4)</f>
        <v>0</v>
      </c>
      <c r="Y421" s="661">
        <f>Калькулятор_жилье!V258+Калькулятор_жилье!V259</f>
        <v>0</v>
      </c>
      <c r="Z421" s="662">
        <f t="shared" ref="Z421" si="5733">IF(Y421=0,0,Y421/Y$4)</f>
        <v>0</v>
      </c>
      <c r="AA421" s="661">
        <f>Калькулятор_жилье!W258+Калькулятор_жилье!W259</f>
        <v>0</v>
      </c>
      <c r="AB421" s="662">
        <f t="shared" ref="AB421" si="5734">IF(AA421=0,0,AA421/AA$4)</f>
        <v>0</v>
      </c>
      <c r="AC421" s="662">
        <f t="shared" si="5092"/>
        <v>0</v>
      </c>
      <c r="AD421" s="662">
        <f t="shared" ref="AD421" si="5735">IF(AC421=0,0,AC421/AC$4)</f>
        <v>0</v>
      </c>
      <c r="AE421" s="665"/>
      <c r="AF421" s="556"/>
      <c r="AG421" s="114"/>
      <c r="AH421" s="114"/>
      <c r="AI421" s="114"/>
      <c r="AJ421" s="114"/>
    </row>
    <row r="422" spans="1:36" s="68" customFormat="1" ht="15.75" hidden="1" outlineLevel="4">
      <c r="A422" s="117"/>
      <c r="B422" s="118" t="s">
        <v>864</v>
      </c>
      <c r="C422" s="661"/>
      <c r="D422" s="662">
        <f t="shared" si="5286"/>
        <v>0</v>
      </c>
      <c r="E422" s="661"/>
      <c r="F422" s="662">
        <f t="shared" si="5286"/>
        <v>0</v>
      </c>
      <c r="G422" s="661">
        <f>SUM(Калькулятор_жилье!M260:M264)</f>
        <v>0</v>
      </c>
      <c r="H422" s="662">
        <f t="shared" ref="H422" si="5736">IF(G422=0,0,G422/G$4)</f>
        <v>0</v>
      </c>
      <c r="I422" s="661">
        <f>SUM(Калькулятор_жилье!N260:N264)</f>
        <v>0</v>
      </c>
      <c r="J422" s="662">
        <f t="shared" ref="J422" si="5737">IF(I422=0,0,I422/I$4)</f>
        <v>0</v>
      </c>
      <c r="K422" s="661">
        <f>SUM(Калькулятор_жилье!O260:O264)</f>
        <v>0</v>
      </c>
      <c r="L422" s="662">
        <f t="shared" ref="L422" si="5738">IF(K422=0,0,K422/K$4)</f>
        <v>0</v>
      </c>
      <c r="M422" s="661">
        <f>SUM(Калькулятор_жилье!P260:P264)</f>
        <v>0</v>
      </c>
      <c r="N422" s="662">
        <f t="shared" ref="N422" si="5739">IF(M422=0,0,M422/M$4)</f>
        <v>0</v>
      </c>
      <c r="O422" s="661">
        <f>SUM(Калькулятор_жилье!Q260:Q264)</f>
        <v>0</v>
      </c>
      <c r="P422" s="662">
        <f t="shared" ref="P422" si="5740">IF(O422=0,0,O422/O$4)</f>
        <v>0</v>
      </c>
      <c r="Q422" s="661">
        <f>SUM(Калькулятор_жилье!R260:R264)</f>
        <v>0</v>
      </c>
      <c r="R422" s="662">
        <f t="shared" ref="R422" si="5741">IF(Q422=0,0,Q422/Q$4)</f>
        <v>0</v>
      </c>
      <c r="S422" s="661">
        <f>SUM(Калькулятор_жилье!S260:S264)</f>
        <v>0</v>
      </c>
      <c r="T422" s="662">
        <f t="shared" ref="T422" si="5742">IF(S422=0,0,S422/S$4)</f>
        <v>0</v>
      </c>
      <c r="U422" s="661">
        <f>SUM(Калькулятор_жилье!T260:T264)</f>
        <v>0</v>
      </c>
      <c r="V422" s="662">
        <f t="shared" ref="V422" si="5743">IF(U422=0,0,U422/U$4)</f>
        <v>0</v>
      </c>
      <c r="W422" s="661">
        <f>SUM(Калькулятор_жилье!U260:U264)</f>
        <v>0</v>
      </c>
      <c r="X422" s="662">
        <f t="shared" ref="X422" si="5744">IF(W422=0,0,W422/W$4)</f>
        <v>0</v>
      </c>
      <c r="Y422" s="661">
        <f>SUM(Калькулятор_жилье!V260:V264)</f>
        <v>0</v>
      </c>
      <c r="Z422" s="662">
        <f t="shared" ref="Z422" si="5745">IF(Y422=0,0,Y422/Y$4)</f>
        <v>0</v>
      </c>
      <c r="AA422" s="661">
        <f>SUM(Калькулятор_жилье!W260:W264)</f>
        <v>0</v>
      </c>
      <c r="AB422" s="662">
        <f t="shared" ref="AB422" si="5746">IF(AA422=0,0,AA422/AA$4)</f>
        <v>0</v>
      </c>
      <c r="AC422" s="662">
        <f t="shared" si="5092"/>
        <v>0</v>
      </c>
      <c r="AD422" s="662">
        <f t="shared" ref="AD422" si="5747">IF(AC422=0,0,AC422/AC$4)</f>
        <v>0</v>
      </c>
      <c r="AE422" s="665"/>
      <c r="AF422" s="556"/>
      <c r="AG422" s="114"/>
      <c r="AH422" s="114"/>
      <c r="AI422" s="114"/>
      <c r="AJ422" s="114"/>
    </row>
    <row r="423" spans="1:36" s="68" customFormat="1" ht="15.75" hidden="1" outlineLevel="4" collapsed="1">
      <c r="A423" s="117"/>
      <c r="B423" s="118" t="s">
        <v>866</v>
      </c>
      <c r="C423" s="661"/>
      <c r="D423" s="662">
        <f t="shared" si="5286"/>
        <v>0</v>
      </c>
      <c r="E423" s="661"/>
      <c r="F423" s="662">
        <f t="shared" si="5286"/>
        <v>0</v>
      </c>
      <c r="G423" s="661">
        <f>SUM(Калькулятор_жилье!M265:M269)</f>
        <v>0</v>
      </c>
      <c r="H423" s="662">
        <f t="shared" ref="H423" si="5748">IF(G423=0,0,G423/G$4)</f>
        <v>0</v>
      </c>
      <c r="I423" s="661">
        <f>SUM(Калькулятор_жилье!N265:N269)</f>
        <v>0</v>
      </c>
      <c r="J423" s="662">
        <f t="shared" ref="J423" si="5749">IF(I423=0,0,I423/I$4)</f>
        <v>0</v>
      </c>
      <c r="K423" s="661">
        <f>SUM(Калькулятор_жилье!O265:O269)</f>
        <v>0</v>
      </c>
      <c r="L423" s="662">
        <f t="shared" ref="L423" si="5750">IF(K423=0,0,K423/K$4)</f>
        <v>0</v>
      </c>
      <c r="M423" s="661">
        <f>SUM(Калькулятор_жилье!P265:P269)</f>
        <v>0</v>
      </c>
      <c r="N423" s="662">
        <f t="shared" ref="N423" si="5751">IF(M423=0,0,M423/M$4)</f>
        <v>0</v>
      </c>
      <c r="O423" s="661">
        <f>SUM(Калькулятор_жилье!Q265:Q269)</f>
        <v>0</v>
      </c>
      <c r="P423" s="662">
        <f t="shared" ref="P423" si="5752">IF(O423=0,0,O423/O$4)</f>
        <v>0</v>
      </c>
      <c r="Q423" s="661">
        <f>SUM(Калькулятор_жилье!R265:R269)</f>
        <v>0</v>
      </c>
      <c r="R423" s="662">
        <f t="shared" ref="R423" si="5753">IF(Q423=0,0,Q423/Q$4)</f>
        <v>0</v>
      </c>
      <c r="S423" s="661">
        <f>SUM(Калькулятор_жилье!S265:S269)</f>
        <v>0</v>
      </c>
      <c r="T423" s="662">
        <f t="shared" ref="T423" si="5754">IF(S423=0,0,S423/S$4)</f>
        <v>0</v>
      </c>
      <c r="U423" s="661">
        <f>SUM(Калькулятор_жилье!T265:T269)</f>
        <v>0</v>
      </c>
      <c r="V423" s="662">
        <f t="shared" ref="V423" si="5755">IF(U423=0,0,U423/U$4)</f>
        <v>0</v>
      </c>
      <c r="W423" s="661">
        <f>SUM(Калькулятор_жилье!U265:U269)</f>
        <v>0</v>
      </c>
      <c r="X423" s="662">
        <f t="shared" ref="X423" si="5756">IF(W423=0,0,W423/W$4)</f>
        <v>0</v>
      </c>
      <c r="Y423" s="661">
        <f>SUM(Калькулятор_жилье!V265:V269)</f>
        <v>0</v>
      </c>
      <c r="Z423" s="662">
        <f t="shared" ref="Z423" si="5757">IF(Y423=0,0,Y423/Y$4)</f>
        <v>0</v>
      </c>
      <c r="AA423" s="661">
        <f>SUM(Калькулятор_жилье!W265:W269)</f>
        <v>0</v>
      </c>
      <c r="AB423" s="662">
        <f t="shared" ref="AB423" si="5758">IF(AA423=0,0,AA423/AA$4)</f>
        <v>0</v>
      </c>
      <c r="AC423" s="662">
        <f t="shared" si="5092"/>
        <v>0</v>
      </c>
      <c r="AD423" s="662">
        <f t="shared" ref="AD423" si="5759">IF(AC423=0,0,AC423/AC$4)</f>
        <v>0</v>
      </c>
      <c r="AE423" s="665"/>
      <c r="AF423" s="556"/>
      <c r="AG423" s="114"/>
      <c r="AH423" s="114"/>
      <c r="AI423" s="114"/>
      <c r="AJ423" s="114"/>
    </row>
    <row r="424" spans="1:36" s="68" customFormat="1" ht="15.75" hidden="1" outlineLevel="5">
      <c r="A424" s="245"/>
      <c r="B424" s="246" t="s">
        <v>419</v>
      </c>
      <c r="C424" s="663"/>
      <c r="D424" s="664">
        <f t="shared" si="5286"/>
        <v>0</v>
      </c>
      <c r="E424" s="663">
        <f>E423-E425*курс</f>
        <v>0</v>
      </c>
      <c r="F424" s="664">
        <f t="shared" si="5286"/>
        <v>0</v>
      </c>
      <c r="G424" s="663">
        <f>G423-G425*курс</f>
        <v>0</v>
      </c>
      <c r="H424" s="664">
        <f t="shared" ref="H424" si="5760">IF(G424=0,0,G424/G$4)</f>
        <v>0</v>
      </c>
      <c r="I424" s="663">
        <f>I423-I425*курс</f>
        <v>0</v>
      </c>
      <c r="J424" s="664">
        <f t="shared" ref="J424" si="5761">IF(I424=0,0,I424/I$4)</f>
        <v>0</v>
      </c>
      <c r="K424" s="663">
        <f>K423-K425*курс</f>
        <v>0</v>
      </c>
      <c r="L424" s="664">
        <f t="shared" ref="L424" si="5762">IF(K424=0,0,K424/K$4)</f>
        <v>0</v>
      </c>
      <c r="M424" s="663">
        <f>M423-M425*курс</f>
        <v>0</v>
      </c>
      <c r="N424" s="664">
        <f t="shared" ref="N424" si="5763">IF(M424=0,0,M424/M$4)</f>
        <v>0</v>
      </c>
      <c r="O424" s="663">
        <f>O423-O425*курс</f>
        <v>0</v>
      </c>
      <c r="P424" s="664">
        <f t="shared" ref="P424" si="5764">IF(O424=0,0,O424/O$4)</f>
        <v>0</v>
      </c>
      <c r="Q424" s="663">
        <f>Q423-Q425*курс</f>
        <v>0</v>
      </c>
      <c r="R424" s="664">
        <f t="shared" ref="R424" si="5765">IF(Q424=0,0,Q424/Q$4)</f>
        <v>0</v>
      </c>
      <c r="S424" s="663">
        <f>S423-S425*курс</f>
        <v>0</v>
      </c>
      <c r="T424" s="664">
        <f t="shared" ref="T424" si="5766">IF(S424=0,0,S424/S$4)</f>
        <v>0</v>
      </c>
      <c r="U424" s="663">
        <f>U423-U425*курс</f>
        <v>0</v>
      </c>
      <c r="V424" s="664">
        <f t="shared" ref="V424" si="5767">IF(U424=0,0,U424/U$4)</f>
        <v>0</v>
      </c>
      <c r="W424" s="663">
        <f>W423-W425*курс</f>
        <v>0</v>
      </c>
      <c r="X424" s="664">
        <f t="shared" ref="X424" si="5768">IF(W424=0,0,W424/W$4)</f>
        <v>0</v>
      </c>
      <c r="Y424" s="663">
        <f>Y423-Y425*курс</f>
        <v>0</v>
      </c>
      <c r="Z424" s="664">
        <f t="shared" ref="Z424" si="5769">IF(Y424=0,0,Y424/Y$4)</f>
        <v>0</v>
      </c>
      <c r="AA424" s="663">
        <f>AA423-AA425*курс</f>
        <v>0</v>
      </c>
      <c r="AB424" s="664">
        <f t="shared" ref="AB424" si="5770">IF(AA424=0,0,AA424/AA$4)</f>
        <v>0</v>
      </c>
      <c r="AC424" s="664">
        <f t="shared" si="5092"/>
        <v>0</v>
      </c>
      <c r="AD424" s="664">
        <f t="shared" ref="AD424" si="5771">IF(AC424=0,0,AC424/AC$4)</f>
        <v>0</v>
      </c>
      <c r="AE424" s="665"/>
      <c r="AF424" s="556"/>
      <c r="AG424" s="114"/>
      <c r="AH424" s="114"/>
      <c r="AI424" s="114"/>
      <c r="AJ424" s="114"/>
    </row>
    <row r="425" spans="1:36" s="68" customFormat="1" ht="15.75" hidden="1" outlineLevel="5">
      <c r="A425" s="245"/>
      <c r="B425" s="246" t="s">
        <v>420</v>
      </c>
      <c r="C425" s="663"/>
      <c r="D425" s="664">
        <f t="shared" si="5286"/>
        <v>0</v>
      </c>
      <c r="E425" s="663"/>
      <c r="F425" s="664">
        <f t="shared" si="5286"/>
        <v>0</v>
      </c>
      <c r="G425" s="663">
        <f>SUM(Калькулятор_жилье!AB265:AB269)</f>
        <v>0</v>
      </c>
      <c r="H425" s="664">
        <f t="shared" ref="H425" si="5772">IF(G425=0,0,G425/G$4)</f>
        <v>0</v>
      </c>
      <c r="I425" s="663">
        <f>SUM(Калькулятор_жилье!AC265:AC269)</f>
        <v>0</v>
      </c>
      <c r="J425" s="664">
        <f t="shared" ref="J425" si="5773">IF(I425=0,0,I425/I$4)</f>
        <v>0</v>
      </c>
      <c r="K425" s="663">
        <f>SUM(Калькулятор_жилье!AD265:AD269)</f>
        <v>0</v>
      </c>
      <c r="L425" s="664">
        <f t="shared" ref="L425" si="5774">IF(K425=0,0,K425/K$4)</f>
        <v>0</v>
      </c>
      <c r="M425" s="663">
        <f>SUM(Калькулятор_жилье!AE265:AE269)</f>
        <v>0</v>
      </c>
      <c r="N425" s="664">
        <f t="shared" ref="N425" si="5775">IF(M425=0,0,M425/M$4)</f>
        <v>0</v>
      </c>
      <c r="O425" s="663">
        <f>SUM(Калькулятор_жилье!AF265:AF269)</f>
        <v>0</v>
      </c>
      <c r="P425" s="664">
        <f t="shared" ref="P425" si="5776">IF(O425=0,0,O425/O$4)</f>
        <v>0</v>
      </c>
      <c r="Q425" s="663">
        <f>SUM(Калькулятор_жилье!AG265:AG269)</f>
        <v>0</v>
      </c>
      <c r="R425" s="664">
        <f t="shared" ref="R425" si="5777">IF(Q425=0,0,Q425/Q$4)</f>
        <v>0</v>
      </c>
      <c r="S425" s="663">
        <f>SUM(Калькулятор_жилье!AH265:AH269)</f>
        <v>0</v>
      </c>
      <c r="T425" s="664">
        <f t="shared" ref="T425" si="5778">IF(S425=0,0,S425/S$4)</f>
        <v>0</v>
      </c>
      <c r="U425" s="663">
        <f>SUM(Калькулятор_жилье!AI265:AI269)</f>
        <v>0</v>
      </c>
      <c r="V425" s="664">
        <f t="shared" ref="V425" si="5779">IF(U425=0,0,U425/U$4)</f>
        <v>0</v>
      </c>
      <c r="W425" s="663">
        <f>SUM(Калькулятор_жилье!AJ265:AJ269)</f>
        <v>0</v>
      </c>
      <c r="X425" s="664">
        <f t="shared" ref="X425" si="5780">IF(W425=0,0,W425/W$4)</f>
        <v>0</v>
      </c>
      <c r="Y425" s="663">
        <f>SUM(Калькулятор_жилье!AK265:AK269)</f>
        <v>0</v>
      </c>
      <c r="Z425" s="664">
        <f t="shared" ref="Z425" si="5781">IF(Y425=0,0,Y425/Y$4)</f>
        <v>0</v>
      </c>
      <c r="AA425" s="663">
        <f>SUM(Калькулятор_жилье!AL265:AL269)</f>
        <v>0</v>
      </c>
      <c r="AB425" s="664">
        <f t="shared" ref="AB425" si="5782">IF(AA425=0,0,AA425/AA$4)</f>
        <v>0</v>
      </c>
      <c r="AC425" s="664">
        <f t="shared" si="5092"/>
        <v>0</v>
      </c>
      <c r="AD425" s="664">
        <f t="shared" ref="AD425" si="5783">IF(AC425=0,0,AC425/AC$4)</f>
        <v>0</v>
      </c>
      <c r="AE425" s="665"/>
      <c r="AF425" s="556"/>
      <c r="AG425" s="114"/>
      <c r="AH425" s="114"/>
      <c r="AI425" s="114"/>
      <c r="AJ425" s="114"/>
    </row>
    <row r="426" spans="1:36" s="68" customFormat="1" ht="15.75" hidden="1" outlineLevel="4">
      <c r="A426" s="117"/>
      <c r="B426" s="118" t="s">
        <v>868</v>
      </c>
      <c r="C426" s="661"/>
      <c r="D426" s="662">
        <f t="shared" si="5286"/>
        <v>0</v>
      </c>
      <c r="E426" s="661"/>
      <c r="F426" s="662">
        <f t="shared" si="5286"/>
        <v>0</v>
      </c>
      <c r="G426" s="661">
        <f>SUM(Калькулятор_жилье!M270:M274)</f>
        <v>0</v>
      </c>
      <c r="H426" s="662">
        <f t="shared" ref="H426" si="5784">IF(G426=0,0,G426/G$4)</f>
        <v>0</v>
      </c>
      <c r="I426" s="661">
        <f>SUM(Калькулятор_жилье!N270:N274)</f>
        <v>0</v>
      </c>
      <c r="J426" s="662">
        <f t="shared" ref="J426" si="5785">IF(I426=0,0,I426/I$4)</f>
        <v>0</v>
      </c>
      <c r="K426" s="661">
        <f>SUM(Калькулятор_жилье!O270:O274)</f>
        <v>0</v>
      </c>
      <c r="L426" s="662">
        <f t="shared" ref="L426" si="5786">IF(K426=0,0,K426/K$4)</f>
        <v>0</v>
      </c>
      <c r="M426" s="661">
        <f>SUM(Калькулятор_жилье!P270:P274)</f>
        <v>0</v>
      </c>
      <c r="N426" s="662">
        <f t="shared" ref="N426" si="5787">IF(M426=0,0,M426/M$4)</f>
        <v>0</v>
      </c>
      <c r="O426" s="661">
        <f>SUM(Калькулятор_жилье!Q270:Q274)</f>
        <v>0</v>
      </c>
      <c r="P426" s="662">
        <f t="shared" ref="P426" si="5788">IF(O426=0,0,O426/O$4)</f>
        <v>0</v>
      </c>
      <c r="Q426" s="661">
        <f>SUM(Калькулятор_жилье!R270:R274)</f>
        <v>0</v>
      </c>
      <c r="R426" s="662">
        <f t="shared" ref="R426" si="5789">IF(Q426=0,0,Q426/Q$4)</f>
        <v>0</v>
      </c>
      <c r="S426" s="661">
        <f>SUM(Калькулятор_жилье!S270:S274)</f>
        <v>0</v>
      </c>
      <c r="T426" s="662">
        <f t="shared" ref="T426" si="5790">IF(S426=0,0,S426/S$4)</f>
        <v>0</v>
      </c>
      <c r="U426" s="661">
        <f>SUM(Калькулятор_жилье!T270:T274)</f>
        <v>0</v>
      </c>
      <c r="V426" s="662">
        <f t="shared" ref="V426" si="5791">IF(U426=0,0,U426/U$4)</f>
        <v>0</v>
      </c>
      <c r="W426" s="661">
        <f>SUM(Калькулятор_жилье!U270:U274)</f>
        <v>0</v>
      </c>
      <c r="X426" s="662">
        <f t="shared" ref="X426" si="5792">IF(W426=0,0,W426/W$4)</f>
        <v>0</v>
      </c>
      <c r="Y426" s="661">
        <f>SUM(Калькулятор_жилье!V270:V274)</f>
        <v>0</v>
      </c>
      <c r="Z426" s="662">
        <f t="shared" ref="Z426" si="5793">IF(Y426=0,0,Y426/Y$4)</f>
        <v>0</v>
      </c>
      <c r="AA426" s="661">
        <f>SUM(Калькулятор_жилье!W270:W274)</f>
        <v>0</v>
      </c>
      <c r="AB426" s="662">
        <f t="shared" ref="AB426" si="5794">IF(AA426=0,0,AA426/AA$4)</f>
        <v>0</v>
      </c>
      <c r="AC426" s="662">
        <f t="shared" si="5092"/>
        <v>0</v>
      </c>
      <c r="AD426" s="662">
        <f t="shared" ref="AD426" si="5795">IF(AC426=0,0,AC426/AC$4)</f>
        <v>0</v>
      </c>
      <c r="AE426" s="665"/>
      <c r="AF426" s="556"/>
      <c r="AG426" s="114"/>
      <c r="AH426" s="114"/>
      <c r="AI426" s="114"/>
      <c r="AJ426" s="114"/>
    </row>
    <row r="427" spans="1:36" s="68" customFormat="1" ht="15.75" hidden="1" outlineLevel="4" collapsed="1">
      <c r="A427" s="117"/>
      <c r="B427" s="118" t="s">
        <v>869</v>
      </c>
      <c r="C427" s="661"/>
      <c r="D427" s="662">
        <f t="shared" si="5286"/>
        <v>0</v>
      </c>
      <c r="E427" s="661"/>
      <c r="F427" s="662">
        <f t="shared" si="5286"/>
        <v>0</v>
      </c>
      <c r="G427" s="661">
        <f>SUM(Калькулятор_жилье!M275:M279)</f>
        <v>0</v>
      </c>
      <c r="H427" s="662">
        <f t="shared" ref="H427" si="5796">IF(G427=0,0,G427/G$4)</f>
        <v>0</v>
      </c>
      <c r="I427" s="661">
        <f>SUM(Калькулятор_жилье!N275:N279)</f>
        <v>0</v>
      </c>
      <c r="J427" s="662">
        <f t="shared" ref="J427" si="5797">IF(I427=0,0,I427/I$4)</f>
        <v>0</v>
      </c>
      <c r="K427" s="661">
        <f>SUM(Калькулятор_жилье!O275:O279)</f>
        <v>0</v>
      </c>
      <c r="L427" s="662">
        <f t="shared" ref="L427" si="5798">IF(K427=0,0,K427/K$4)</f>
        <v>0</v>
      </c>
      <c r="M427" s="661">
        <f>SUM(Калькулятор_жилье!P275:P279)</f>
        <v>0</v>
      </c>
      <c r="N427" s="662">
        <f t="shared" ref="N427" si="5799">IF(M427=0,0,M427/M$4)</f>
        <v>0</v>
      </c>
      <c r="O427" s="661">
        <f>SUM(Калькулятор_жилье!Q275:Q279)</f>
        <v>0</v>
      </c>
      <c r="P427" s="662">
        <f t="shared" ref="P427" si="5800">IF(O427=0,0,O427/O$4)</f>
        <v>0</v>
      </c>
      <c r="Q427" s="661">
        <f>SUM(Калькулятор_жилье!R275:R279)</f>
        <v>0</v>
      </c>
      <c r="R427" s="662">
        <f t="shared" ref="R427" si="5801">IF(Q427=0,0,Q427/Q$4)</f>
        <v>0</v>
      </c>
      <c r="S427" s="661">
        <f>SUM(Калькулятор_жилье!S275:S279)</f>
        <v>0</v>
      </c>
      <c r="T427" s="662">
        <f t="shared" ref="T427" si="5802">IF(S427=0,0,S427/S$4)</f>
        <v>0</v>
      </c>
      <c r="U427" s="661">
        <f>SUM(Калькулятор_жилье!T275:T279)</f>
        <v>0</v>
      </c>
      <c r="V427" s="662">
        <f t="shared" ref="V427" si="5803">IF(U427=0,0,U427/U$4)</f>
        <v>0</v>
      </c>
      <c r="W427" s="661">
        <f>SUM(Калькулятор_жилье!U275:U279)</f>
        <v>0</v>
      </c>
      <c r="X427" s="662">
        <f t="shared" ref="X427" si="5804">IF(W427=0,0,W427/W$4)</f>
        <v>0</v>
      </c>
      <c r="Y427" s="661">
        <f>SUM(Калькулятор_жилье!V275:V279)</f>
        <v>0</v>
      </c>
      <c r="Z427" s="662">
        <f t="shared" ref="Z427" si="5805">IF(Y427=0,0,Y427/Y$4)</f>
        <v>0</v>
      </c>
      <c r="AA427" s="661">
        <f>SUM(Калькулятор_жилье!W275:W279)</f>
        <v>0</v>
      </c>
      <c r="AB427" s="662">
        <f t="shared" ref="AB427" si="5806">IF(AA427=0,0,AA427/AA$4)</f>
        <v>0</v>
      </c>
      <c r="AC427" s="662">
        <f t="shared" si="5092"/>
        <v>0</v>
      </c>
      <c r="AD427" s="662">
        <f t="shared" ref="AD427" si="5807">IF(AC427=0,0,AC427/AC$4)</f>
        <v>0</v>
      </c>
      <c r="AE427" s="665"/>
      <c r="AF427" s="556"/>
      <c r="AG427" s="114"/>
      <c r="AH427" s="114"/>
      <c r="AI427" s="114"/>
      <c r="AJ427" s="114"/>
    </row>
    <row r="428" spans="1:36" s="68" customFormat="1" ht="15.75" hidden="1" outlineLevel="5">
      <c r="A428" s="245"/>
      <c r="B428" s="246" t="s">
        <v>419</v>
      </c>
      <c r="C428" s="663"/>
      <c r="D428" s="664">
        <f t="shared" si="5286"/>
        <v>0</v>
      </c>
      <c r="E428" s="663">
        <f>E427-E429*курс</f>
        <v>0</v>
      </c>
      <c r="F428" s="664">
        <f t="shared" si="5286"/>
        <v>0</v>
      </c>
      <c r="G428" s="663">
        <f>G427-G429*курс</f>
        <v>0</v>
      </c>
      <c r="H428" s="664">
        <f t="shared" ref="H428" si="5808">IF(G428=0,0,G428/G$4)</f>
        <v>0</v>
      </c>
      <c r="I428" s="663">
        <f>I427-I429*курс</f>
        <v>0</v>
      </c>
      <c r="J428" s="664">
        <f t="shared" ref="J428" si="5809">IF(I428=0,0,I428/I$4)</f>
        <v>0</v>
      </c>
      <c r="K428" s="663">
        <f>K427-K429*курс</f>
        <v>0</v>
      </c>
      <c r="L428" s="664">
        <f t="shared" ref="L428" si="5810">IF(K428=0,0,K428/K$4)</f>
        <v>0</v>
      </c>
      <c r="M428" s="663">
        <f>M427-M429*курс</f>
        <v>0</v>
      </c>
      <c r="N428" s="664">
        <f t="shared" ref="N428" si="5811">IF(M428=0,0,M428/M$4)</f>
        <v>0</v>
      </c>
      <c r="O428" s="663">
        <f>O427-O429*курс</f>
        <v>0</v>
      </c>
      <c r="P428" s="664">
        <f t="shared" ref="P428" si="5812">IF(O428=0,0,O428/O$4)</f>
        <v>0</v>
      </c>
      <c r="Q428" s="663">
        <f>Q427-Q429*курс</f>
        <v>0</v>
      </c>
      <c r="R428" s="664">
        <f t="shared" ref="R428" si="5813">IF(Q428=0,0,Q428/Q$4)</f>
        <v>0</v>
      </c>
      <c r="S428" s="663">
        <f>S427-S429*курс</f>
        <v>0</v>
      </c>
      <c r="T428" s="664">
        <f t="shared" ref="T428" si="5814">IF(S428=0,0,S428/S$4)</f>
        <v>0</v>
      </c>
      <c r="U428" s="663">
        <f>U427-U429*курс</f>
        <v>0</v>
      </c>
      <c r="V428" s="664">
        <f t="shared" ref="V428" si="5815">IF(U428=0,0,U428/U$4)</f>
        <v>0</v>
      </c>
      <c r="W428" s="663">
        <f>W427-W429*курс</f>
        <v>0</v>
      </c>
      <c r="X428" s="664">
        <f t="shared" ref="X428" si="5816">IF(W428=0,0,W428/W$4)</f>
        <v>0</v>
      </c>
      <c r="Y428" s="663">
        <f>Y427-Y429*курс</f>
        <v>0</v>
      </c>
      <c r="Z428" s="664">
        <f t="shared" ref="Z428" si="5817">IF(Y428=0,0,Y428/Y$4)</f>
        <v>0</v>
      </c>
      <c r="AA428" s="663">
        <f>AA427-AA429*курс</f>
        <v>0</v>
      </c>
      <c r="AB428" s="664">
        <f t="shared" ref="AB428" si="5818">IF(AA428=0,0,AA428/AA$4)</f>
        <v>0</v>
      </c>
      <c r="AC428" s="664">
        <f t="shared" si="5092"/>
        <v>0</v>
      </c>
      <c r="AD428" s="664">
        <f t="shared" ref="AD428" si="5819">IF(AC428=0,0,AC428/AC$4)</f>
        <v>0</v>
      </c>
      <c r="AE428" s="665"/>
      <c r="AF428" s="556"/>
      <c r="AG428" s="114"/>
      <c r="AH428" s="114"/>
      <c r="AI428" s="114"/>
      <c r="AJ428" s="114"/>
    </row>
    <row r="429" spans="1:36" s="68" customFormat="1" ht="15.75" hidden="1" outlineLevel="5">
      <c r="A429" s="245"/>
      <c r="B429" s="246" t="s">
        <v>420</v>
      </c>
      <c r="C429" s="663"/>
      <c r="D429" s="664">
        <f t="shared" si="5286"/>
        <v>0</v>
      </c>
      <c r="E429" s="663"/>
      <c r="F429" s="664">
        <f t="shared" si="5286"/>
        <v>0</v>
      </c>
      <c r="G429" s="663">
        <f>SUM(Калькулятор_жилье!AB275:AB279)</f>
        <v>0</v>
      </c>
      <c r="H429" s="664">
        <f t="shared" ref="H429" si="5820">IF(G429=0,0,G429/G$4)</f>
        <v>0</v>
      </c>
      <c r="I429" s="663">
        <f>SUM(Калькулятор_жилье!AC275:AC279)</f>
        <v>0</v>
      </c>
      <c r="J429" s="664">
        <f t="shared" ref="J429" si="5821">IF(I429=0,0,I429/I$4)</f>
        <v>0</v>
      </c>
      <c r="K429" s="663">
        <f>SUM(Калькулятор_жилье!AD275:AD279)</f>
        <v>0</v>
      </c>
      <c r="L429" s="664">
        <f t="shared" ref="L429" si="5822">IF(K429=0,0,K429/K$4)</f>
        <v>0</v>
      </c>
      <c r="M429" s="663">
        <f>SUM(Калькулятор_жилье!AE275:AE279)</f>
        <v>0</v>
      </c>
      <c r="N429" s="664">
        <f t="shared" ref="N429" si="5823">IF(M429=0,0,M429/M$4)</f>
        <v>0</v>
      </c>
      <c r="O429" s="663">
        <f>SUM(Калькулятор_жилье!AF275:AF279)</f>
        <v>0</v>
      </c>
      <c r="P429" s="664">
        <f t="shared" ref="P429" si="5824">IF(O429=0,0,O429/O$4)</f>
        <v>0</v>
      </c>
      <c r="Q429" s="663">
        <f>SUM(Калькулятор_жилье!AG275:AG279)</f>
        <v>0</v>
      </c>
      <c r="R429" s="664">
        <f t="shared" ref="R429" si="5825">IF(Q429=0,0,Q429/Q$4)</f>
        <v>0</v>
      </c>
      <c r="S429" s="663">
        <f>SUM(Калькулятор_жилье!AH275:AH279)</f>
        <v>0</v>
      </c>
      <c r="T429" s="664">
        <f t="shared" ref="T429" si="5826">IF(S429=0,0,S429/S$4)</f>
        <v>0</v>
      </c>
      <c r="U429" s="663">
        <f>SUM(Калькулятор_жилье!AI275:AI279)</f>
        <v>0</v>
      </c>
      <c r="V429" s="664">
        <f t="shared" ref="V429" si="5827">IF(U429=0,0,U429/U$4)</f>
        <v>0</v>
      </c>
      <c r="W429" s="663">
        <f>SUM(Калькулятор_жилье!AJ275:AJ279)</f>
        <v>0</v>
      </c>
      <c r="X429" s="664">
        <f t="shared" ref="X429" si="5828">IF(W429=0,0,W429/W$4)</f>
        <v>0</v>
      </c>
      <c r="Y429" s="663">
        <f>SUM(Калькулятор_жилье!AK275:AK279)</f>
        <v>0</v>
      </c>
      <c r="Z429" s="664">
        <f t="shared" ref="Z429" si="5829">IF(Y429=0,0,Y429/Y$4)</f>
        <v>0</v>
      </c>
      <c r="AA429" s="663">
        <f>SUM(Калькулятор_жилье!AL275:AL279)</f>
        <v>0</v>
      </c>
      <c r="AB429" s="664">
        <f t="shared" ref="AB429" si="5830">IF(AA429=0,0,AA429/AA$4)</f>
        <v>0</v>
      </c>
      <c r="AC429" s="664">
        <f t="shared" si="5092"/>
        <v>0</v>
      </c>
      <c r="AD429" s="664">
        <f t="shared" ref="AD429" si="5831">IF(AC429=0,0,AC429/AC$4)</f>
        <v>0</v>
      </c>
      <c r="AE429" s="665"/>
      <c r="AF429" s="556"/>
      <c r="AG429" s="114"/>
      <c r="AH429" s="114"/>
      <c r="AI429" s="114"/>
      <c r="AJ429" s="114"/>
    </row>
    <row r="430" spans="1:36" s="68" customFormat="1" ht="15.75" hidden="1" outlineLevel="4">
      <c r="A430" s="117"/>
      <c r="B430" s="118" t="s">
        <v>870</v>
      </c>
      <c r="C430" s="661"/>
      <c r="D430" s="662">
        <f t="shared" si="5286"/>
        <v>0</v>
      </c>
      <c r="E430" s="661"/>
      <c r="F430" s="662">
        <f t="shared" si="5286"/>
        <v>0</v>
      </c>
      <c r="G430" s="661">
        <f>SUM(Калькулятор_жилье!M280:M284)</f>
        <v>0</v>
      </c>
      <c r="H430" s="662">
        <f t="shared" ref="H430" si="5832">IF(G430=0,0,G430/G$4)</f>
        <v>0</v>
      </c>
      <c r="I430" s="661">
        <f>SUM(Калькулятор_жилье!N280:N284)</f>
        <v>0</v>
      </c>
      <c r="J430" s="662">
        <f t="shared" ref="J430" si="5833">IF(I430=0,0,I430/I$4)</f>
        <v>0</v>
      </c>
      <c r="K430" s="661">
        <f>SUM(Калькулятор_жилье!O280:O284)</f>
        <v>0</v>
      </c>
      <c r="L430" s="662">
        <f t="shared" ref="L430" si="5834">IF(K430=0,0,K430/K$4)</f>
        <v>0</v>
      </c>
      <c r="M430" s="661">
        <f>SUM(Калькулятор_жилье!P280:P284)</f>
        <v>0</v>
      </c>
      <c r="N430" s="662">
        <f t="shared" ref="N430" si="5835">IF(M430=0,0,M430/M$4)</f>
        <v>0</v>
      </c>
      <c r="O430" s="661">
        <f>SUM(Калькулятор_жилье!Q280:Q284)</f>
        <v>0</v>
      </c>
      <c r="P430" s="662">
        <f t="shared" ref="P430" si="5836">IF(O430=0,0,O430/O$4)</f>
        <v>0</v>
      </c>
      <c r="Q430" s="661">
        <f>SUM(Калькулятор_жилье!R280:R284)</f>
        <v>0</v>
      </c>
      <c r="R430" s="662">
        <f t="shared" ref="R430" si="5837">IF(Q430=0,0,Q430/Q$4)</f>
        <v>0</v>
      </c>
      <c r="S430" s="661">
        <f>SUM(Калькулятор_жилье!S280:S284)</f>
        <v>0</v>
      </c>
      <c r="T430" s="662">
        <f t="shared" ref="T430" si="5838">IF(S430=0,0,S430/S$4)</f>
        <v>0</v>
      </c>
      <c r="U430" s="661">
        <f>SUM(Калькулятор_жилье!T280:T284)</f>
        <v>0</v>
      </c>
      <c r="V430" s="662">
        <f t="shared" ref="V430" si="5839">IF(U430=0,0,U430/U$4)</f>
        <v>0</v>
      </c>
      <c r="W430" s="661">
        <f>SUM(Калькулятор_жилье!U280:U284)</f>
        <v>0</v>
      </c>
      <c r="X430" s="662">
        <f t="shared" ref="X430" si="5840">IF(W430=0,0,W430/W$4)</f>
        <v>0</v>
      </c>
      <c r="Y430" s="661">
        <f>SUM(Калькулятор_жилье!V280:V284)</f>
        <v>0</v>
      </c>
      <c r="Z430" s="662">
        <f t="shared" ref="Z430" si="5841">IF(Y430=0,0,Y430/Y$4)</f>
        <v>0</v>
      </c>
      <c r="AA430" s="661">
        <f>SUM(Калькулятор_жилье!W280:W284)</f>
        <v>0</v>
      </c>
      <c r="AB430" s="662">
        <f t="shared" ref="AB430" si="5842">IF(AA430=0,0,AA430/AA$4)</f>
        <v>0</v>
      </c>
      <c r="AC430" s="662">
        <f t="shared" si="5092"/>
        <v>0</v>
      </c>
      <c r="AD430" s="662">
        <f t="shared" ref="AD430" si="5843">IF(AC430=0,0,AC430/AC$4)</f>
        <v>0</v>
      </c>
      <c r="AE430" s="665"/>
      <c r="AF430" s="556"/>
      <c r="AG430" s="114"/>
      <c r="AH430" s="114"/>
      <c r="AI430" s="114"/>
      <c r="AJ430" s="114"/>
    </row>
    <row r="431" spans="1:36" s="68" customFormat="1" ht="15.75" hidden="1" outlineLevel="4" collapsed="1">
      <c r="A431" s="117"/>
      <c r="B431" s="118" t="s">
        <v>871</v>
      </c>
      <c r="C431" s="661"/>
      <c r="D431" s="662">
        <f t="shared" si="5286"/>
        <v>0</v>
      </c>
      <c r="E431" s="661"/>
      <c r="F431" s="662">
        <f t="shared" si="5286"/>
        <v>0</v>
      </c>
      <c r="G431" s="661">
        <f>SUM(Калькулятор_жилье!M285:M289)</f>
        <v>0</v>
      </c>
      <c r="H431" s="662">
        <f t="shared" ref="H431" si="5844">IF(G431=0,0,G431/G$4)</f>
        <v>0</v>
      </c>
      <c r="I431" s="661">
        <f>SUM(Калькулятор_жилье!N285:N289)</f>
        <v>0</v>
      </c>
      <c r="J431" s="662">
        <f t="shared" ref="J431" si="5845">IF(I431=0,0,I431/I$4)</f>
        <v>0</v>
      </c>
      <c r="K431" s="661">
        <f>SUM(Калькулятор_жилье!O285:O289)</f>
        <v>0</v>
      </c>
      <c r="L431" s="662">
        <f t="shared" ref="L431" si="5846">IF(K431=0,0,K431/K$4)</f>
        <v>0</v>
      </c>
      <c r="M431" s="661">
        <f>SUM(Калькулятор_жилье!P285:P289)</f>
        <v>0</v>
      </c>
      <c r="N431" s="662">
        <f t="shared" ref="N431" si="5847">IF(M431=0,0,M431/M$4)</f>
        <v>0</v>
      </c>
      <c r="O431" s="661">
        <f>SUM(Калькулятор_жилье!Q285:Q289)</f>
        <v>0</v>
      </c>
      <c r="P431" s="662">
        <f t="shared" ref="P431" si="5848">IF(O431=0,0,O431/O$4)</f>
        <v>0</v>
      </c>
      <c r="Q431" s="661">
        <f>SUM(Калькулятор_жилье!R285:R289)</f>
        <v>0</v>
      </c>
      <c r="R431" s="662">
        <f t="shared" ref="R431" si="5849">IF(Q431=0,0,Q431/Q$4)</f>
        <v>0</v>
      </c>
      <c r="S431" s="661">
        <f>SUM(Калькулятор_жилье!S285:S289)</f>
        <v>0</v>
      </c>
      <c r="T431" s="662">
        <f t="shared" ref="T431" si="5850">IF(S431=0,0,S431/S$4)</f>
        <v>0</v>
      </c>
      <c r="U431" s="661">
        <f>SUM(Калькулятор_жилье!T285:T289)</f>
        <v>0</v>
      </c>
      <c r="V431" s="662">
        <f t="shared" ref="V431" si="5851">IF(U431=0,0,U431/U$4)</f>
        <v>0</v>
      </c>
      <c r="W431" s="661">
        <f>SUM(Калькулятор_жилье!U285:U289)</f>
        <v>0</v>
      </c>
      <c r="X431" s="662">
        <f t="shared" ref="X431" si="5852">IF(W431=0,0,W431/W$4)</f>
        <v>0</v>
      </c>
      <c r="Y431" s="661">
        <f>SUM(Калькулятор_жилье!V285:V289)</f>
        <v>0</v>
      </c>
      <c r="Z431" s="662">
        <f t="shared" ref="Z431" si="5853">IF(Y431=0,0,Y431/Y$4)</f>
        <v>0</v>
      </c>
      <c r="AA431" s="661">
        <f>SUM(Калькулятор_жилье!W285:W289)</f>
        <v>0</v>
      </c>
      <c r="AB431" s="662">
        <f t="shared" ref="AB431" si="5854">IF(AA431=0,0,AA431/AA$4)</f>
        <v>0</v>
      </c>
      <c r="AC431" s="662">
        <f t="shared" si="5092"/>
        <v>0</v>
      </c>
      <c r="AD431" s="662">
        <f t="shared" ref="AD431" si="5855">IF(AC431=0,0,AC431/AC$4)</f>
        <v>0</v>
      </c>
      <c r="AE431" s="665"/>
      <c r="AF431" s="556"/>
      <c r="AG431" s="114"/>
      <c r="AH431" s="114"/>
      <c r="AI431" s="114"/>
      <c r="AJ431" s="114"/>
    </row>
    <row r="432" spans="1:36" s="68" customFormat="1" ht="15.75" hidden="1" outlineLevel="5">
      <c r="A432" s="245"/>
      <c r="B432" s="246" t="s">
        <v>419</v>
      </c>
      <c r="C432" s="663"/>
      <c r="D432" s="664">
        <f t="shared" si="5286"/>
        <v>0</v>
      </c>
      <c r="E432" s="663">
        <f>E431-E433*курс</f>
        <v>0</v>
      </c>
      <c r="F432" s="664">
        <f t="shared" si="5286"/>
        <v>0</v>
      </c>
      <c r="G432" s="663">
        <f>G431-G433*курс</f>
        <v>0</v>
      </c>
      <c r="H432" s="664">
        <f t="shared" ref="H432" si="5856">IF(G432=0,0,G432/G$4)</f>
        <v>0</v>
      </c>
      <c r="I432" s="663">
        <f>I431-I433*курс</f>
        <v>0</v>
      </c>
      <c r="J432" s="664">
        <f t="shared" ref="J432" si="5857">IF(I432=0,0,I432/I$4)</f>
        <v>0</v>
      </c>
      <c r="K432" s="663">
        <f>K431-K433*курс</f>
        <v>0</v>
      </c>
      <c r="L432" s="664">
        <f t="shared" ref="L432" si="5858">IF(K432=0,0,K432/K$4)</f>
        <v>0</v>
      </c>
      <c r="M432" s="663">
        <f>M431-M433*курс</f>
        <v>0</v>
      </c>
      <c r="N432" s="664">
        <f t="shared" ref="N432" si="5859">IF(M432=0,0,M432/M$4)</f>
        <v>0</v>
      </c>
      <c r="O432" s="663">
        <f>O431-O433*курс</f>
        <v>0</v>
      </c>
      <c r="P432" s="664">
        <f t="shared" ref="P432" si="5860">IF(O432=0,0,O432/O$4)</f>
        <v>0</v>
      </c>
      <c r="Q432" s="663">
        <f>Q431-Q433*курс</f>
        <v>0</v>
      </c>
      <c r="R432" s="664">
        <f t="shared" ref="R432" si="5861">IF(Q432=0,0,Q432/Q$4)</f>
        <v>0</v>
      </c>
      <c r="S432" s="663">
        <f>S431-S433*курс</f>
        <v>0</v>
      </c>
      <c r="T432" s="664">
        <f t="shared" ref="T432" si="5862">IF(S432=0,0,S432/S$4)</f>
        <v>0</v>
      </c>
      <c r="U432" s="663">
        <f>U431-U433*курс</f>
        <v>0</v>
      </c>
      <c r="V432" s="664">
        <f t="shared" ref="V432" si="5863">IF(U432=0,0,U432/U$4)</f>
        <v>0</v>
      </c>
      <c r="W432" s="663">
        <f>W431-W433*курс</f>
        <v>0</v>
      </c>
      <c r="X432" s="664">
        <f t="shared" ref="X432" si="5864">IF(W432=0,0,W432/W$4)</f>
        <v>0</v>
      </c>
      <c r="Y432" s="663">
        <f>Y431-Y433*курс</f>
        <v>0</v>
      </c>
      <c r="Z432" s="664">
        <f t="shared" ref="Z432" si="5865">IF(Y432=0,0,Y432/Y$4)</f>
        <v>0</v>
      </c>
      <c r="AA432" s="663">
        <f>AA431-AA433*курс</f>
        <v>0</v>
      </c>
      <c r="AB432" s="664">
        <f t="shared" ref="AB432" si="5866">IF(AA432=0,0,AA432/AA$4)</f>
        <v>0</v>
      </c>
      <c r="AC432" s="664">
        <f t="shared" si="5092"/>
        <v>0</v>
      </c>
      <c r="AD432" s="664">
        <f t="shared" ref="AD432" si="5867">IF(AC432=0,0,AC432/AC$4)</f>
        <v>0</v>
      </c>
      <c r="AE432" s="665"/>
      <c r="AF432" s="556"/>
      <c r="AG432" s="114"/>
      <c r="AH432" s="114"/>
      <c r="AI432" s="114"/>
      <c r="AJ432" s="114"/>
    </row>
    <row r="433" spans="1:36" s="68" customFormat="1" ht="15.75" hidden="1" outlineLevel="5">
      <c r="A433" s="245"/>
      <c r="B433" s="246" t="s">
        <v>420</v>
      </c>
      <c r="C433" s="663"/>
      <c r="D433" s="664">
        <f t="shared" si="5286"/>
        <v>0</v>
      </c>
      <c r="E433" s="663"/>
      <c r="F433" s="664">
        <f t="shared" si="5286"/>
        <v>0</v>
      </c>
      <c r="G433" s="663">
        <f>SUM(Калькулятор_жилье!AB285:AB289)</f>
        <v>0</v>
      </c>
      <c r="H433" s="664">
        <f t="shared" ref="H433" si="5868">IF(G433=0,0,G433/G$4)</f>
        <v>0</v>
      </c>
      <c r="I433" s="663">
        <f>SUM(Калькулятор_жилье!AC285:AC289)</f>
        <v>0</v>
      </c>
      <c r="J433" s="664">
        <f t="shared" ref="J433" si="5869">IF(I433=0,0,I433/I$4)</f>
        <v>0</v>
      </c>
      <c r="K433" s="663">
        <f>SUM(Калькулятор_жилье!AD285:AD289)</f>
        <v>0</v>
      </c>
      <c r="L433" s="664">
        <f t="shared" ref="L433" si="5870">IF(K433=0,0,K433/K$4)</f>
        <v>0</v>
      </c>
      <c r="M433" s="663">
        <f>SUM(Калькулятор_жилье!AE285:AE289)</f>
        <v>0</v>
      </c>
      <c r="N433" s="664">
        <f t="shared" ref="N433" si="5871">IF(M433=0,0,M433/M$4)</f>
        <v>0</v>
      </c>
      <c r="O433" s="663">
        <f>SUM(Калькулятор_жилье!AF285:AF289)</f>
        <v>0</v>
      </c>
      <c r="P433" s="664">
        <f t="shared" ref="P433" si="5872">IF(O433=0,0,O433/O$4)</f>
        <v>0</v>
      </c>
      <c r="Q433" s="663">
        <f>SUM(Калькулятор_жилье!AG285:AG289)</f>
        <v>0</v>
      </c>
      <c r="R433" s="664">
        <f t="shared" ref="R433" si="5873">IF(Q433=0,0,Q433/Q$4)</f>
        <v>0</v>
      </c>
      <c r="S433" s="663">
        <f>SUM(Калькулятор_жилье!AH285:AH289)</f>
        <v>0</v>
      </c>
      <c r="T433" s="664">
        <f t="shared" ref="T433" si="5874">IF(S433=0,0,S433/S$4)</f>
        <v>0</v>
      </c>
      <c r="U433" s="663">
        <f>SUM(Калькулятор_жилье!AI285:AI289)</f>
        <v>0</v>
      </c>
      <c r="V433" s="664">
        <f t="shared" ref="V433" si="5875">IF(U433=0,0,U433/U$4)</f>
        <v>0</v>
      </c>
      <c r="W433" s="663">
        <f>SUM(Калькулятор_жилье!AJ285:AJ289)</f>
        <v>0</v>
      </c>
      <c r="X433" s="664">
        <f t="shared" ref="X433" si="5876">IF(W433=0,0,W433/W$4)</f>
        <v>0</v>
      </c>
      <c r="Y433" s="663">
        <f>SUM(Калькулятор_жилье!AK285:AK289)</f>
        <v>0</v>
      </c>
      <c r="Z433" s="664">
        <f t="shared" ref="Z433" si="5877">IF(Y433=0,0,Y433/Y$4)</f>
        <v>0</v>
      </c>
      <c r="AA433" s="663">
        <f>SUM(Калькулятор_жилье!AL285:AL289)</f>
        <v>0</v>
      </c>
      <c r="AB433" s="664">
        <f t="shared" ref="AB433" si="5878">IF(AA433=0,0,AA433/AA$4)</f>
        <v>0</v>
      </c>
      <c r="AC433" s="664">
        <f t="shared" si="5092"/>
        <v>0</v>
      </c>
      <c r="AD433" s="664">
        <f t="shared" ref="AD433" si="5879">IF(AC433=0,0,AC433/AC$4)</f>
        <v>0</v>
      </c>
      <c r="AE433" s="665"/>
      <c r="AF433" s="556"/>
      <c r="AG433" s="114"/>
      <c r="AH433" s="114"/>
      <c r="AI433" s="114"/>
      <c r="AJ433" s="114"/>
    </row>
    <row r="434" spans="1:36" s="68" customFormat="1" ht="15.75" hidden="1" outlineLevel="3" collapsed="1">
      <c r="A434" s="117"/>
      <c r="B434" s="118" t="s">
        <v>700</v>
      </c>
      <c r="C434" s="661"/>
      <c r="D434" s="662">
        <f t="shared" si="5286"/>
        <v>0</v>
      </c>
      <c r="E434" s="661"/>
      <c r="F434" s="662">
        <f t="shared" si="5286"/>
        <v>0</v>
      </c>
      <c r="G434" s="661">
        <f>SUM(Калькулятор_жилье!M295:M299)</f>
        <v>0</v>
      </c>
      <c r="H434" s="662">
        <f t="shared" ref="H434" si="5880">IF(G434=0,0,G434/G$4)</f>
        <v>0</v>
      </c>
      <c r="I434" s="661">
        <f>SUM(Калькулятор_жилье!N295:N299)</f>
        <v>0</v>
      </c>
      <c r="J434" s="662">
        <f t="shared" ref="J434" si="5881">IF(I434=0,0,I434/I$4)</f>
        <v>0</v>
      </c>
      <c r="K434" s="661">
        <f>SUM(Калькулятор_жилье!O295:O299)</f>
        <v>0</v>
      </c>
      <c r="L434" s="662">
        <f t="shared" ref="L434" si="5882">IF(K434=0,0,K434/K$4)</f>
        <v>0</v>
      </c>
      <c r="M434" s="661">
        <f>SUM(Калькулятор_жилье!P295:P299)</f>
        <v>0</v>
      </c>
      <c r="N434" s="662">
        <f t="shared" ref="N434" si="5883">IF(M434=0,0,M434/M$4)</f>
        <v>0</v>
      </c>
      <c r="O434" s="661">
        <f>SUM(Калькулятор_жилье!Q295:Q299)</f>
        <v>0</v>
      </c>
      <c r="P434" s="662">
        <f t="shared" ref="P434" si="5884">IF(O434=0,0,O434/O$4)</f>
        <v>0</v>
      </c>
      <c r="Q434" s="661">
        <f>SUM(Калькулятор_жилье!R295:R299)</f>
        <v>0</v>
      </c>
      <c r="R434" s="662">
        <f t="shared" ref="R434" si="5885">IF(Q434=0,0,Q434/Q$4)</f>
        <v>0</v>
      </c>
      <c r="S434" s="661">
        <f>SUM(Калькулятор_жилье!S295:S299)</f>
        <v>0</v>
      </c>
      <c r="T434" s="662">
        <f t="shared" ref="T434" si="5886">IF(S434=0,0,S434/S$4)</f>
        <v>0</v>
      </c>
      <c r="U434" s="661">
        <f>SUM(Калькулятор_жилье!T295:T299)</f>
        <v>0</v>
      </c>
      <c r="V434" s="662">
        <f t="shared" ref="V434" si="5887">IF(U434=0,0,U434/U$4)</f>
        <v>0</v>
      </c>
      <c r="W434" s="661">
        <f>SUM(Калькулятор_жилье!U295:U299)</f>
        <v>0</v>
      </c>
      <c r="X434" s="662">
        <f t="shared" ref="X434" si="5888">IF(W434=0,0,W434/W$4)</f>
        <v>0</v>
      </c>
      <c r="Y434" s="661">
        <f>SUM(Калькулятор_жилье!V295:V299)</f>
        <v>0</v>
      </c>
      <c r="Z434" s="662">
        <f t="shared" ref="Z434" si="5889">IF(Y434=0,0,Y434/Y$4)</f>
        <v>0</v>
      </c>
      <c r="AA434" s="661">
        <f>SUM(Калькулятор_жилье!W295:W299)</f>
        <v>0</v>
      </c>
      <c r="AB434" s="662">
        <f t="shared" ref="AB434" si="5890">IF(AA434=0,0,AA434/AA$4)</f>
        <v>0</v>
      </c>
      <c r="AC434" s="662">
        <f t="shared" si="5092"/>
        <v>0</v>
      </c>
      <c r="AD434" s="662">
        <f t="shared" ref="AD434" si="5891">IF(AC434=0,0,AC434/AC$4)</f>
        <v>0</v>
      </c>
      <c r="AE434" s="665"/>
      <c r="AF434" s="556"/>
      <c r="AG434" s="114"/>
      <c r="AH434" s="114"/>
      <c r="AI434" s="114"/>
      <c r="AJ434" s="114"/>
    </row>
    <row r="435" spans="1:36" s="68" customFormat="1" ht="15.75" hidden="1" outlineLevel="4">
      <c r="A435" s="245"/>
      <c r="B435" s="246" t="s">
        <v>419</v>
      </c>
      <c r="C435" s="663"/>
      <c r="D435" s="664">
        <f t="shared" si="5286"/>
        <v>0</v>
      </c>
      <c r="E435" s="663"/>
      <c r="F435" s="664">
        <f t="shared" si="5286"/>
        <v>0</v>
      </c>
      <c r="G435" s="663">
        <f>G434-G436*курс</f>
        <v>0</v>
      </c>
      <c r="H435" s="664">
        <f t="shared" ref="H435" si="5892">IF(G435=0,0,G435/G$4)</f>
        <v>0</v>
      </c>
      <c r="I435" s="663">
        <f>I434-I436*курс</f>
        <v>0</v>
      </c>
      <c r="J435" s="664">
        <f t="shared" ref="J435" si="5893">IF(I435=0,0,I435/I$4)</f>
        <v>0</v>
      </c>
      <c r="K435" s="663">
        <f>K434-K436*курс</f>
        <v>0</v>
      </c>
      <c r="L435" s="664">
        <f t="shared" ref="L435" si="5894">IF(K435=0,0,K435/K$4)</f>
        <v>0</v>
      </c>
      <c r="M435" s="663">
        <f>M434-M436*курс</f>
        <v>0</v>
      </c>
      <c r="N435" s="664">
        <f t="shared" ref="N435" si="5895">IF(M435=0,0,M435/M$4)</f>
        <v>0</v>
      </c>
      <c r="O435" s="663">
        <f>O434-O436*курс</f>
        <v>0</v>
      </c>
      <c r="P435" s="664">
        <f t="shared" ref="P435" si="5896">IF(O435=0,0,O435/O$4)</f>
        <v>0</v>
      </c>
      <c r="Q435" s="663">
        <f>Q434-Q436*курс</f>
        <v>0</v>
      </c>
      <c r="R435" s="664">
        <f t="shared" ref="R435" si="5897">IF(Q435=0,0,Q435/Q$4)</f>
        <v>0</v>
      </c>
      <c r="S435" s="663">
        <f>S434-S436*курс</f>
        <v>0</v>
      </c>
      <c r="T435" s="664">
        <f t="shared" ref="T435" si="5898">IF(S435=0,0,S435/S$4)</f>
        <v>0</v>
      </c>
      <c r="U435" s="663">
        <f>U434-U436*курс</f>
        <v>0</v>
      </c>
      <c r="V435" s="664">
        <f t="shared" ref="V435" si="5899">IF(U435=0,0,U435/U$4)</f>
        <v>0</v>
      </c>
      <c r="W435" s="663">
        <f>W434-W436*курс</f>
        <v>0</v>
      </c>
      <c r="X435" s="664">
        <f t="shared" ref="X435" si="5900">IF(W435=0,0,W435/W$4)</f>
        <v>0</v>
      </c>
      <c r="Y435" s="663">
        <f>Y434-Y436*курс</f>
        <v>0</v>
      </c>
      <c r="Z435" s="664">
        <f t="shared" ref="Z435" si="5901">IF(Y435=0,0,Y435/Y$4)</f>
        <v>0</v>
      </c>
      <c r="AA435" s="663">
        <f>AA434-AA436*курс</f>
        <v>0</v>
      </c>
      <c r="AB435" s="664">
        <f t="shared" ref="AB435" si="5902">IF(AA435=0,0,AA435/AA$4)</f>
        <v>0</v>
      </c>
      <c r="AC435" s="664">
        <f t="shared" si="5092"/>
        <v>0</v>
      </c>
      <c r="AD435" s="664">
        <f t="shared" ref="AD435" si="5903">IF(AC435=0,0,AC435/AC$4)</f>
        <v>0</v>
      </c>
      <c r="AE435" s="665"/>
      <c r="AF435" s="556"/>
      <c r="AG435" s="114"/>
      <c r="AH435" s="114"/>
      <c r="AI435" s="114"/>
      <c r="AJ435" s="114"/>
    </row>
    <row r="436" spans="1:36" s="68" customFormat="1" ht="15.75" hidden="1" outlineLevel="4">
      <c r="A436" s="245"/>
      <c r="B436" s="246" t="s">
        <v>420</v>
      </c>
      <c r="C436" s="663"/>
      <c r="D436" s="664">
        <f t="shared" si="5286"/>
        <v>0</v>
      </c>
      <c r="E436" s="663"/>
      <c r="F436" s="664">
        <f t="shared" si="5286"/>
        <v>0</v>
      </c>
      <c r="G436" s="663">
        <f>SUM(Калькулятор_жилье!AB295:AB299)</f>
        <v>0</v>
      </c>
      <c r="H436" s="664">
        <f t="shared" ref="H436" si="5904">IF(G436=0,0,G436/G$4)</f>
        <v>0</v>
      </c>
      <c r="I436" s="663">
        <f>SUM(Калькулятор_жилье!AC295:AC299)</f>
        <v>0</v>
      </c>
      <c r="J436" s="664">
        <f t="shared" ref="J436" si="5905">IF(I436=0,0,I436/I$4)</f>
        <v>0</v>
      </c>
      <c r="K436" s="663">
        <f>SUM(Калькулятор_жилье!AD295:AD299)</f>
        <v>0</v>
      </c>
      <c r="L436" s="664">
        <f t="shared" ref="L436" si="5906">IF(K436=0,0,K436/K$4)</f>
        <v>0</v>
      </c>
      <c r="M436" s="663">
        <f>SUM(Калькулятор_жилье!AE295:AE299)</f>
        <v>0</v>
      </c>
      <c r="N436" s="664">
        <f t="shared" ref="N436" si="5907">IF(M436=0,0,M436/M$4)</f>
        <v>0</v>
      </c>
      <c r="O436" s="663">
        <f>SUM(Калькулятор_жилье!AF295:AF299)</f>
        <v>0</v>
      </c>
      <c r="P436" s="664">
        <f t="shared" ref="P436" si="5908">IF(O436=0,0,O436/O$4)</f>
        <v>0</v>
      </c>
      <c r="Q436" s="663">
        <f>SUM(Калькулятор_жилье!AG295:AG299)</f>
        <v>0</v>
      </c>
      <c r="R436" s="664">
        <f t="shared" ref="R436" si="5909">IF(Q436=0,0,Q436/Q$4)</f>
        <v>0</v>
      </c>
      <c r="S436" s="663">
        <f>SUM(Калькулятор_жилье!AH295:AH299)</f>
        <v>0</v>
      </c>
      <c r="T436" s="664">
        <f t="shared" ref="T436" si="5910">IF(S436=0,0,S436/S$4)</f>
        <v>0</v>
      </c>
      <c r="U436" s="663">
        <f>SUM(Калькулятор_жилье!AI295:AI299)</f>
        <v>0</v>
      </c>
      <c r="V436" s="664">
        <f t="shared" ref="V436" si="5911">IF(U436=0,0,U436/U$4)</f>
        <v>0</v>
      </c>
      <c r="W436" s="663">
        <f>SUM(Калькулятор_жилье!AJ295:AJ299)</f>
        <v>0</v>
      </c>
      <c r="X436" s="664">
        <f t="shared" ref="X436" si="5912">IF(W436=0,0,W436/W$4)</f>
        <v>0</v>
      </c>
      <c r="Y436" s="663">
        <f>SUM(Калькулятор_жилье!AK295:AK299)</f>
        <v>0</v>
      </c>
      <c r="Z436" s="664">
        <f t="shared" ref="Z436" si="5913">IF(Y436=0,0,Y436/Y$4)</f>
        <v>0</v>
      </c>
      <c r="AA436" s="663">
        <f>SUM(Калькулятор_жилье!AL295:AL299)</f>
        <v>0</v>
      </c>
      <c r="AB436" s="664">
        <f t="shared" ref="AB436" si="5914">IF(AA436=0,0,AA436/AA$4)</f>
        <v>0</v>
      </c>
      <c r="AC436" s="664">
        <f t="shared" si="5092"/>
        <v>0</v>
      </c>
      <c r="AD436" s="664">
        <f t="shared" ref="AD436" si="5915">IF(AC436=0,0,AC436/AC$4)</f>
        <v>0</v>
      </c>
      <c r="AE436" s="665"/>
      <c r="AF436" s="556"/>
      <c r="AG436" s="114"/>
      <c r="AH436" s="114"/>
      <c r="AI436" s="114"/>
      <c r="AJ436" s="114"/>
    </row>
    <row r="437" spans="1:36" s="68" customFormat="1" ht="15.75" hidden="1" outlineLevel="3" collapsed="1">
      <c r="A437" s="117"/>
      <c r="B437" s="118" t="s">
        <v>718</v>
      </c>
      <c r="C437" s="661"/>
      <c r="D437" s="662">
        <f t="shared" si="5286"/>
        <v>0</v>
      </c>
      <c r="E437" s="661"/>
      <c r="F437" s="662">
        <f t="shared" si="5286"/>
        <v>0</v>
      </c>
      <c r="G437" s="661">
        <f>SUM(G438:G441)+SUM(G442:G445)*курс</f>
        <v>0</v>
      </c>
      <c r="H437" s="662">
        <f t="shared" ref="H437" si="5916">IF(G437=0,0,G437/G$4)</f>
        <v>0</v>
      </c>
      <c r="I437" s="661">
        <f>SUM(I438:I441)+SUM(I442:I445)*курс</f>
        <v>0</v>
      </c>
      <c r="J437" s="662">
        <f t="shared" ref="J437" si="5917">IF(I437=0,0,I437/I$4)</f>
        <v>0</v>
      </c>
      <c r="K437" s="661">
        <f>SUM(K438:K441)+SUM(K442:K445)*курс</f>
        <v>0</v>
      </c>
      <c r="L437" s="662">
        <f t="shared" ref="L437" si="5918">IF(K437=0,0,K437/K$4)</f>
        <v>0</v>
      </c>
      <c r="M437" s="661">
        <f>SUM(M438:M441)+SUM(M442:M445)*курс</f>
        <v>0</v>
      </c>
      <c r="N437" s="662">
        <f t="shared" ref="N437" si="5919">IF(M437=0,0,M437/M$4)</f>
        <v>0</v>
      </c>
      <c r="O437" s="661">
        <f>SUM(O438:O441)+SUM(O442:O445)*курс</f>
        <v>0</v>
      </c>
      <c r="P437" s="662">
        <f t="shared" ref="P437" si="5920">IF(O437=0,0,O437/O$4)</f>
        <v>0</v>
      </c>
      <c r="Q437" s="661">
        <f>SUM(Q438:Q441)+SUM(Q442:Q445)*курс</f>
        <v>0</v>
      </c>
      <c r="R437" s="662">
        <f t="shared" ref="R437" si="5921">IF(Q437=0,0,Q437/Q$4)</f>
        <v>0</v>
      </c>
      <c r="S437" s="661">
        <f>SUM(S438:S441)+SUM(S442:S445)*курс</f>
        <v>0</v>
      </c>
      <c r="T437" s="662">
        <f t="shared" ref="T437" si="5922">IF(S437=0,0,S437/S$4)</f>
        <v>0</v>
      </c>
      <c r="U437" s="661">
        <f>SUM(U438:U441)+SUM(U442:U445)*курс</f>
        <v>0</v>
      </c>
      <c r="V437" s="662">
        <f t="shared" ref="V437" si="5923">IF(U437=0,0,U437/U$4)</f>
        <v>0</v>
      </c>
      <c r="W437" s="661">
        <f>SUM(W438:W441)+SUM(W442:W445)*курс</f>
        <v>0</v>
      </c>
      <c r="X437" s="662">
        <f t="shared" ref="X437" si="5924">IF(W437=0,0,W437/W$4)</f>
        <v>0</v>
      </c>
      <c r="Y437" s="661">
        <f>SUM(Y438:Y441)+SUM(Y442:Y445)*курс</f>
        <v>0</v>
      </c>
      <c r="Z437" s="662">
        <f t="shared" ref="Z437" si="5925">IF(Y437=0,0,Y437/Y$4)</f>
        <v>0</v>
      </c>
      <c r="AA437" s="661">
        <f>SUM(AA438:AA441)+SUM(AA442:AA445)*курс</f>
        <v>0</v>
      </c>
      <c r="AB437" s="662">
        <f t="shared" ref="AB437" si="5926">IF(AA437=0,0,AA437/AA$4)</f>
        <v>0</v>
      </c>
      <c r="AC437" s="662">
        <f t="shared" si="5092"/>
        <v>0</v>
      </c>
      <c r="AD437" s="662">
        <f t="shared" ref="AD437" si="5927">IF(AC437=0,0,AC437/AC$4)</f>
        <v>0</v>
      </c>
      <c r="AE437" s="665"/>
      <c r="AF437" s="556"/>
      <c r="AG437" s="114"/>
      <c r="AH437" s="114"/>
      <c r="AI437" s="114"/>
      <c r="AJ437" s="114"/>
    </row>
    <row r="438" spans="1:36" s="68" customFormat="1" ht="15.75" hidden="1" outlineLevel="4">
      <c r="A438" s="245"/>
      <c r="B438" s="246" t="s">
        <v>714</v>
      </c>
      <c r="C438" s="663"/>
      <c r="D438" s="664">
        <f t="shared" si="5286"/>
        <v>0</v>
      </c>
      <c r="E438" s="663"/>
      <c r="F438" s="664">
        <f t="shared" si="5286"/>
        <v>0</v>
      </c>
      <c r="G438" s="663">
        <f>Калькулятор_жилье!M291-Калькулятор_жилье!AB291*курс</f>
        <v>0</v>
      </c>
      <c r="H438" s="664">
        <f t="shared" ref="H438" si="5928">IF(G438=0,0,G438/G$4)</f>
        <v>0</v>
      </c>
      <c r="I438" s="663">
        <f>Калькулятор_жилье!N291-Калькулятор_жилье!AC291*курс</f>
        <v>0</v>
      </c>
      <c r="J438" s="664">
        <f t="shared" ref="J438" si="5929">IF(I438=0,0,I438/I$4)</f>
        <v>0</v>
      </c>
      <c r="K438" s="663">
        <f>Калькулятор_жилье!O291-Калькулятор_жилье!AD291*курс</f>
        <v>0</v>
      </c>
      <c r="L438" s="664">
        <f t="shared" ref="L438" si="5930">IF(K438=0,0,K438/K$4)</f>
        <v>0</v>
      </c>
      <c r="M438" s="663">
        <f>Калькулятор_жилье!P291-Калькулятор_жилье!AE291*курс</f>
        <v>0</v>
      </c>
      <c r="N438" s="664">
        <f t="shared" ref="N438" si="5931">IF(M438=0,0,M438/M$4)</f>
        <v>0</v>
      </c>
      <c r="O438" s="663">
        <f>Калькулятор_жилье!Q291-Калькулятор_жилье!AF291*курс</f>
        <v>0</v>
      </c>
      <c r="P438" s="664">
        <f t="shared" ref="P438" si="5932">IF(O438=0,0,O438/O$4)</f>
        <v>0</v>
      </c>
      <c r="Q438" s="663">
        <f>Калькулятор_жилье!R291-Калькулятор_жилье!AG291*курс</f>
        <v>0</v>
      </c>
      <c r="R438" s="664">
        <f t="shared" ref="R438" si="5933">IF(Q438=0,0,Q438/Q$4)</f>
        <v>0</v>
      </c>
      <c r="S438" s="663">
        <f>Калькулятор_жилье!S291-Калькулятор_жилье!AH291*курс</f>
        <v>0</v>
      </c>
      <c r="T438" s="664">
        <f t="shared" ref="T438" si="5934">IF(S438=0,0,S438/S$4)</f>
        <v>0</v>
      </c>
      <c r="U438" s="663">
        <f>Калькулятор_жилье!T291-Калькулятор_жилье!AI291*курс</f>
        <v>0</v>
      </c>
      <c r="V438" s="664">
        <f t="shared" ref="V438" si="5935">IF(U438=0,0,U438/U$4)</f>
        <v>0</v>
      </c>
      <c r="W438" s="663">
        <f>Калькулятор_жилье!U291-Калькулятор_жилье!AJ291*курс</f>
        <v>0</v>
      </c>
      <c r="X438" s="664">
        <f t="shared" ref="X438" si="5936">IF(W438=0,0,W438/W$4)</f>
        <v>0</v>
      </c>
      <c r="Y438" s="663">
        <f>Калькулятор_жилье!V291-Калькулятор_жилье!AK291*курс</f>
        <v>0</v>
      </c>
      <c r="Z438" s="664">
        <f t="shared" ref="Z438" si="5937">IF(Y438=0,0,Y438/Y$4)</f>
        <v>0</v>
      </c>
      <c r="AA438" s="663">
        <f>Калькулятор_жилье!W291-Калькулятор_жилье!AL291*курс</f>
        <v>0</v>
      </c>
      <c r="AB438" s="664">
        <f t="shared" ref="AB438" si="5938">IF(AA438=0,0,AA438/AA$4)</f>
        <v>0</v>
      </c>
      <c r="AC438" s="664">
        <f t="shared" si="5092"/>
        <v>0</v>
      </c>
      <c r="AD438" s="664">
        <f t="shared" ref="AD438" si="5939">IF(AC438=0,0,AC438/AC$4)</f>
        <v>0</v>
      </c>
      <c r="AE438" s="665"/>
      <c r="AF438" s="556"/>
      <c r="AG438" s="114"/>
      <c r="AH438" s="114"/>
      <c r="AI438" s="114"/>
      <c r="AJ438" s="114"/>
    </row>
    <row r="439" spans="1:36" s="68" customFormat="1" ht="15.75" hidden="1" outlineLevel="4">
      <c r="A439" s="245"/>
      <c r="B439" s="246" t="s">
        <v>715</v>
      </c>
      <c r="C439" s="663"/>
      <c r="D439" s="664">
        <f t="shared" si="5286"/>
        <v>0</v>
      </c>
      <c r="E439" s="663"/>
      <c r="F439" s="664">
        <f t="shared" si="5286"/>
        <v>0</v>
      </c>
      <c r="G439" s="663">
        <f>Калькулятор_жилье!M292-Калькулятор_жилье!AB292*курс</f>
        <v>0</v>
      </c>
      <c r="H439" s="664">
        <f t="shared" ref="H439" si="5940">IF(G439=0,0,G439/G$4)</f>
        <v>0</v>
      </c>
      <c r="I439" s="663">
        <f>Калькулятор_жилье!N292-Калькулятор_жилье!AC292*курс</f>
        <v>0</v>
      </c>
      <c r="J439" s="664">
        <f t="shared" ref="J439" si="5941">IF(I439=0,0,I439/I$4)</f>
        <v>0</v>
      </c>
      <c r="K439" s="663">
        <f>Калькулятор_жилье!O292-Калькулятор_жилье!AD292*курс</f>
        <v>0</v>
      </c>
      <c r="L439" s="664">
        <f t="shared" ref="L439" si="5942">IF(K439=0,0,K439/K$4)</f>
        <v>0</v>
      </c>
      <c r="M439" s="663">
        <f>Калькулятор_жилье!P292-Калькулятор_жилье!AE292*курс</f>
        <v>0</v>
      </c>
      <c r="N439" s="664">
        <f t="shared" ref="N439" si="5943">IF(M439=0,0,M439/M$4)</f>
        <v>0</v>
      </c>
      <c r="O439" s="663">
        <f>Калькулятор_жилье!Q292-Калькулятор_жилье!AF292*курс</f>
        <v>0</v>
      </c>
      <c r="P439" s="664">
        <f t="shared" ref="P439" si="5944">IF(O439=0,0,O439/O$4)</f>
        <v>0</v>
      </c>
      <c r="Q439" s="663">
        <f>Калькулятор_жилье!R292-Калькулятор_жилье!AG292*курс</f>
        <v>0</v>
      </c>
      <c r="R439" s="664">
        <f t="shared" ref="R439" si="5945">IF(Q439=0,0,Q439/Q$4)</f>
        <v>0</v>
      </c>
      <c r="S439" s="663">
        <f>Калькулятор_жилье!S292-Калькулятор_жилье!AH292*курс</f>
        <v>0</v>
      </c>
      <c r="T439" s="664">
        <f t="shared" ref="T439" si="5946">IF(S439=0,0,S439/S$4)</f>
        <v>0</v>
      </c>
      <c r="U439" s="663">
        <f>Калькулятор_жилье!T292-Калькулятор_жилье!AI292*курс</f>
        <v>0</v>
      </c>
      <c r="V439" s="664">
        <f t="shared" ref="V439" si="5947">IF(U439=0,0,U439/U$4)</f>
        <v>0</v>
      </c>
      <c r="W439" s="663">
        <f>Калькулятор_жилье!U292-Калькулятор_жилье!AJ292*курс</f>
        <v>0</v>
      </c>
      <c r="X439" s="664">
        <f t="shared" ref="X439" si="5948">IF(W439=0,0,W439/W$4)</f>
        <v>0</v>
      </c>
      <c r="Y439" s="663">
        <f>Калькулятор_жилье!V292-Калькулятор_жилье!AK292*курс</f>
        <v>0</v>
      </c>
      <c r="Z439" s="664">
        <f t="shared" ref="Z439" si="5949">IF(Y439=0,0,Y439/Y$4)</f>
        <v>0</v>
      </c>
      <c r="AA439" s="663">
        <f>Калькулятор_жилье!W292-Калькулятор_жилье!AL292*курс</f>
        <v>0</v>
      </c>
      <c r="AB439" s="664">
        <f t="shared" ref="AB439" si="5950">IF(AA439=0,0,AA439/AA$4)</f>
        <v>0</v>
      </c>
      <c r="AC439" s="664">
        <f t="shared" ref="AC439:AC457" si="5951">C439+E439+G439+I439+K439+M439+O439+Q439+S439+U439+W439+AA439+Y439</f>
        <v>0</v>
      </c>
      <c r="AD439" s="664">
        <f t="shared" ref="AD439" si="5952">IF(AC439=0,0,AC439/AC$4)</f>
        <v>0</v>
      </c>
      <c r="AE439" s="665"/>
      <c r="AF439" s="556"/>
      <c r="AG439" s="114"/>
      <c r="AH439" s="114"/>
      <c r="AI439" s="114"/>
      <c r="AJ439" s="114"/>
    </row>
    <row r="440" spans="1:36" s="68" customFormat="1" ht="15.75" hidden="1" outlineLevel="4">
      <c r="A440" s="245"/>
      <c r="B440" s="246" t="s">
        <v>716</v>
      </c>
      <c r="C440" s="663"/>
      <c r="D440" s="664">
        <f t="shared" si="5286"/>
        <v>0</v>
      </c>
      <c r="E440" s="663"/>
      <c r="F440" s="664">
        <f t="shared" si="5286"/>
        <v>0</v>
      </c>
      <c r="G440" s="663">
        <f>Калькулятор_жилье!M293-Калькулятор_жилье!AB293*курс</f>
        <v>0</v>
      </c>
      <c r="H440" s="664">
        <f t="shared" ref="H440" si="5953">IF(G440=0,0,G440/G$4)</f>
        <v>0</v>
      </c>
      <c r="I440" s="663">
        <f>Калькулятор_жилье!N293-Калькулятор_жилье!AC293*курс</f>
        <v>0</v>
      </c>
      <c r="J440" s="664">
        <f t="shared" ref="J440" si="5954">IF(I440=0,0,I440/I$4)</f>
        <v>0</v>
      </c>
      <c r="K440" s="663">
        <f>Калькулятор_жилье!O293-Калькулятор_жилье!AD293*курс</f>
        <v>0</v>
      </c>
      <c r="L440" s="664">
        <f t="shared" ref="L440" si="5955">IF(K440=0,0,K440/K$4)</f>
        <v>0</v>
      </c>
      <c r="M440" s="663">
        <f>Калькулятор_жилье!P293-Калькулятор_жилье!AE293*курс</f>
        <v>0</v>
      </c>
      <c r="N440" s="664">
        <f t="shared" ref="N440" si="5956">IF(M440=0,0,M440/M$4)</f>
        <v>0</v>
      </c>
      <c r="O440" s="663">
        <f>Калькулятор_жилье!Q293-Калькулятор_жилье!AF293*курс</f>
        <v>0</v>
      </c>
      <c r="P440" s="664">
        <f t="shared" ref="P440" si="5957">IF(O440=0,0,O440/O$4)</f>
        <v>0</v>
      </c>
      <c r="Q440" s="663">
        <f>Калькулятор_жилье!R293-Калькулятор_жилье!AG293*курс</f>
        <v>0</v>
      </c>
      <c r="R440" s="664">
        <f t="shared" ref="R440" si="5958">IF(Q440=0,0,Q440/Q$4)</f>
        <v>0</v>
      </c>
      <c r="S440" s="663">
        <f>Калькулятор_жилье!S293-Калькулятор_жилье!AH293*курс</f>
        <v>0</v>
      </c>
      <c r="T440" s="664">
        <f t="shared" ref="T440" si="5959">IF(S440=0,0,S440/S$4)</f>
        <v>0</v>
      </c>
      <c r="U440" s="663">
        <f>Калькулятор_жилье!T293-Калькулятор_жилье!AI293*курс</f>
        <v>0</v>
      </c>
      <c r="V440" s="664">
        <f t="shared" ref="V440" si="5960">IF(U440=0,0,U440/U$4)</f>
        <v>0</v>
      </c>
      <c r="W440" s="663">
        <f>Калькулятор_жилье!U293-Калькулятор_жилье!AJ293*курс</f>
        <v>0</v>
      </c>
      <c r="X440" s="664">
        <f t="shared" ref="X440" si="5961">IF(W440=0,0,W440/W$4)</f>
        <v>0</v>
      </c>
      <c r="Y440" s="663">
        <f>Калькулятор_жилье!V293-Калькулятор_жилье!AK293*курс</f>
        <v>0</v>
      </c>
      <c r="Z440" s="664">
        <f t="shared" ref="Z440" si="5962">IF(Y440=0,0,Y440/Y$4)</f>
        <v>0</v>
      </c>
      <c r="AA440" s="663">
        <f>Калькулятор_жилье!W293-Калькулятор_жилье!AL293*курс</f>
        <v>0</v>
      </c>
      <c r="AB440" s="664">
        <f t="shared" ref="AB440" si="5963">IF(AA440=0,0,AA440/AA$4)</f>
        <v>0</v>
      </c>
      <c r="AC440" s="664">
        <f t="shared" si="5951"/>
        <v>0</v>
      </c>
      <c r="AD440" s="664">
        <f t="shared" ref="AD440" si="5964">IF(AC440=0,0,AC440/AC$4)</f>
        <v>0</v>
      </c>
      <c r="AE440" s="665"/>
      <c r="AF440" s="556"/>
      <c r="AG440" s="114"/>
      <c r="AH440" s="114"/>
      <c r="AI440" s="114"/>
      <c r="AJ440" s="114"/>
    </row>
    <row r="441" spans="1:36" s="68" customFormat="1" ht="15.75" hidden="1" outlineLevel="4">
      <c r="A441" s="245"/>
      <c r="B441" s="246" t="s">
        <v>717</v>
      </c>
      <c r="C441" s="663"/>
      <c r="D441" s="664">
        <f t="shared" si="5286"/>
        <v>0</v>
      </c>
      <c r="E441" s="663"/>
      <c r="F441" s="664">
        <f t="shared" si="5286"/>
        <v>0</v>
      </c>
      <c r="G441" s="663">
        <f>Калькулятор_жилье!M294-Калькулятор_жилье!AB294*курс</f>
        <v>0</v>
      </c>
      <c r="H441" s="664">
        <f t="shared" ref="H441" si="5965">IF(G441=0,0,G441/G$4)</f>
        <v>0</v>
      </c>
      <c r="I441" s="663">
        <f>Калькулятор_жилье!N294-Калькулятор_жилье!AC294*курс</f>
        <v>0</v>
      </c>
      <c r="J441" s="664">
        <f t="shared" ref="J441" si="5966">IF(I441=0,0,I441/I$4)</f>
        <v>0</v>
      </c>
      <c r="K441" s="663">
        <f>Калькулятор_жилье!O294-Калькулятор_жилье!AD294*курс</f>
        <v>0</v>
      </c>
      <c r="L441" s="664">
        <f t="shared" ref="L441" si="5967">IF(K441=0,0,K441/K$4)</f>
        <v>0</v>
      </c>
      <c r="M441" s="663">
        <f>Калькулятор_жилье!P294-Калькулятор_жилье!AE294*курс</f>
        <v>0</v>
      </c>
      <c r="N441" s="664">
        <f t="shared" ref="N441" si="5968">IF(M441=0,0,M441/M$4)</f>
        <v>0</v>
      </c>
      <c r="O441" s="663">
        <f>Калькулятор_жилье!Q294-Калькулятор_жилье!AF294*курс</f>
        <v>0</v>
      </c>
      <c r="P441" s="664">
        <f t="shared" ref="P441" si="5969">IF(O441=0,0,O441/O$4)</f>
        <v>0</v>
      </c>
      <c r="Q441" s="663">
        <f>Калькулятор_жилье!R294-Калькулятор_жилье!AG294*курс</f>
        <v>0</v>
      </c>
      <c r="R441" s="664">
        <f t="shared" ref="R441" si="5970">IF(Q441=0,0,Q441/Q$4)</f>
        <v>0</v>
      </c>
      <c r="S441" s="663">
        <f>Калькулятор_жилье!S294-Калькулятор_жилье!AH294*курс</f>
        <v>0</v>
      </c>
      <c r="T441" s="664">
        <f t="shared" ref="T441" si="5971">IF(S441=0,0,S441/S$4)</f>
        <v>0</v>
      </c>
      <c r="U441" s="663">
        <f>Калькулятор_жилье!T294-Калькулятор_жилье!AI294*курс</f>
        <v>0</v>
      </c>
      <c r="V441" s="664">
        <f t="shared" ref="V441" si="5972">IF(U441=0,0,U441/U$4)</f>
        <v>0</v>
      </c>
      <c r="W441" s="663">
        <f>Калькулятор_жилье!U294-Калькулятор_жилье!AJ294*курс</f>
        <v>0</v>
      </c>
      <c r="X441" s="664">
        <f t="shared" ref="X441" si="5973">IF(W441=0,0,W441/W$4)</f>
        <v>0</v>
      </c>
      <c r="Y441" s="663">
        <f>Калькулятор_жилье!V294-Калькулятор_жилье!AK294*курс</f>
        <v>0</v>
      </c>
      <c r="Z441" s="664">
        <f t="shared" ref="Z441" si="5974">IF(Y441=0,0,Y441/Y$4)</f>
        <v>0</v>
      </c>
      <c r="AA441" s="663">
        <f>Калькулятор_жилье!W294-Калькулятор_жилье!AL294*курс</f>
        <v>0</v>
      </c>
      <c r="AB441" s="664">
        <f t="shared" ref="AB441" si="5975">IF(AA441=0,0,AA441/AA$4)</f>
        <v>0</v>
      </c>
      <c r="AC441" s="664">
        <f t="shared" si="5951"/>
        <v>0</v>
      </c>
      <c r="AD441" s="664">
        <f t="shared" ref="AD441" si="5976">IF(AC441=0,0,AC441/AC$4)</f>
        <v>0</v>
      </c>
      <c r="AE441" s="665"/>
      <c r="AF441" s="556"/>
      <c r="AG441" s="114"/>
      <c r="AH441" s="114"/>
      <c r="AI441" s="114"/>
      <c r="AJ441" s="114"/>
    </row>
    <row r="442" spans="1:36" s="68" customFormat="1" ht="15.75" hidden="1" outlineLevel="4">
      <c r="A442" s="245"/>
      <c r="B442" s="246" t="s">
        <v>719</v>
      </c>
      <c r="C442" s="663"/>
      <c r="D442" s="664">
        <f t="shared" si="5286"/>
        <v>0</v>
      </c>
      <c r="E442" s="663"/>
      <c r="F442" s="664">
        <f t="shared" si="5286"/>
        <v>0</v>
      </c>
      <c r="G442" s="663">
        <f>Калькулятор_жилье!AB291</f>
        <v>0</v>
      </c>
      <c r="H442" s="664">
        <f t="shared" ref="H442" si="5977">IF(G442=0,0,G442/G$4)</f>
        <v>0</v>
      </c>
      <c r="I442" s="663">
        <f>Калькулятор_жилье!AC291</f>
        <v>0</v>
      </c>
      <c r="J442" s="664">
        <f t="shared" ref="J442" si="5978">IF(I442=0,0,I442/I$4)</f>
        <v>0</v>
      </c>
      <c r="K442" s="663">
        <f>Калькулятор_жилье!AD291</f>
        <v>0</v>
      </c>
      <c r="L442" s="664">
        <f t="shared" ref="L442" si="5979">IF(K442=0,0,K442/K$4)</f>
        <v>0</v>
      </c>
      <c r="M442" s="663">
        <f>Калькулятор_жилье!AE291</f>
        <v>0</v>
      </c>
      <c r="N442" s="664">
        <f t="shared" ref="N442" si="5980">IF(M442=0,0,M442/M$4)</f>
        <v>0</v>
      </c>
      <c r="O442" s="663">
        <f>Калькулятор_жилье!AF291</f>
        <v>0</v>
      </c>
      <c r="P442" s="664">
        <f t="shared" ref="P442" si="5981">IF(O442=0,0,O442/O$4)</f>
        <v>0</v>
      </c>
      <c r="Q442" s="663">
        <f>Калькулятор_жилье!AG291</f>
        <v>0</v>
      </c>
      <c r="R442" s="664">
        <f t="shared" ref="R442" si="5982">IF(Q442=0,0,Q442/Q$4)</f>
        <v>0</v>
      </c>
      <c r="S442" s="663">
        <f>Калькулятор_жилье!AH291</f>
        <v>0</v>
      </c>
      <c r="T442" s="664">
        <f t="shared" ref="T442" si="5983">IF(S442=0,0,S442/S$4)</f>
        <v>0</v>
      </c>
      <c r="U442" s="663">
        <f>Калькулятор_жилье!AI291</f>
        <v>0</v>
      </c>
      <c r="V442" s="664">
        <f t="shared" ref="V442" si="5984">IF(U442=0,0,U442/U$4)</f>
        <v>0</v>
      </c>
      <c r="W442" s="663">
        <f>Калькулятор_жилье!AJ291</f>
        <v>0</v>
      </c>
      <c r="X442" s="664">
        <f t="shared" ref="X442" si="5985">IF(W442=0,0,W442/W$4)</f>
        <v>0</v>
      </c>
      <c r="Y442" s="663">
        <f>Калькулятор_жилье!AK291</f>
        <v>0</v>
      </c>
      <c r="Z442" s="664">
        <f t="shared" ref="Z442" si="5986">IF(Y442=0,0,Y442/Y$4)</f>
        <v>0</v>
      </c>
      <c r="AA442" s="663">
        <f>Калькулятор_жилье!AL291</f>
        <v>0</v>
      </c>
      <c r="AB442" s="664">
        <f t="shared" ref="AB442" si="5987">IF(AA442=0,0,AA442/AA$4)</f>
        <v>0</v>
      </c>
      <c r="AC442" s="664">
        <f t="shared" si="5951"/>
        <v>0</v>
      </c>
      <c r="AD442" s="664">
        <f t="shared" ref="AD442" si="5988">IF(AC442=0,0,AC442/AC$4)</f>
        <v>0</v>
      </c>
      <c r="AE442" s="665"/>
      <c r="AF442" s="556"/>
      <c r="AG442" s="114"/>
      <c r="AH442" s="114"/>
      <c r="AI442" s="114"/>
      <c r="AJ442" s="114"/>
    </row>
    <row r="443" spans="1:36" s="68" customFormat="1" ht="15.75" hidden="1" outlineLevel="4">
      <c r="A443" s="245"/>
      <c r="B443" s="246" t="s">
        <v>720</v>
      </c>
      <c r="C443" s="663"/>
      <c r="D443" s="664">
        <f t="shared" si="5286"/>
        <v>0</v>
      </c>
      <c r="E443" s="663"/>
      <c r="F443" s="664">
        <f t="shared" si="5286"/>
        <v>0</v>
      </c>
      <c r="G443" s="663">
        <f>Калькулятор_жилье!AB292</f>
        <v>0</v>
      </c>
      <c r="H443" s="664">
        <f t="shared" ref="H443" si="5989">IF(G443=0,0,G443/G$4)</f>
        <v>0</v>
      </c>
      <c r="I443" s="663">
        <f>Калькулятор_жилье!AC292</f>
        <v>0</v>
      </c>
      <c r="J443" s="664">
        <f t="shared" ref="J443" si="5990">IF(I443=0,0,I443/I$4)</f>
        <v>0</v>
      </c>
      <c r="K443" s="663">
        <f>Калькулятор_жилье!AD292</f>
        <v>0</v>
      </c>
      <c r="L443" s="664">
        <f t="shared" ref="L443" si="5991">IF(K443=0,0,K443/K$4)</f>
        <v>0</v>
      </c>
      <c r="M443" s="663">
        <f>Калькулятор_жилье!AE292</f>
        <v>0</v>
      </c>
      <c r="N443" s="664">
        <f t="shared" ref="N443" si="5992">IF(M443=0,0,M443/M$4)</f>
        <v>0</v>
      </c>
      <c r="O443" s="663">
        <f>Калькулятор_жилье!AF292</f>
        <v>0</v>
      </c>
      <c r="P443" s="664">
        <f t="shared" ref="P443" si="5993">IF(O443=0,0,O443/O$4)</f>
        <v>0</v>
      </c>
      <c r="Q443" s="663">
        <f>Калькулятор_жилье!AG292</f>
        <v>0</v>
      </c>
      <c r="R443" s="664">
        <f t="shared" ref="R443" si="5994">IF(Q443=0,0,Q443/Q$4)</f>
        <v>0</v>
      </c>
      <c r="S443" s="663">
        <f>Калькулятор_жилье!AH292</f>
        <v>0</v>
      </c>
      <c r="T443" s="664">
        <f t="shared" ref="T443" si="5995">IF(S443=0,0,S443/S$4)</f>
        <v>0</v>
      </c>
      <c r="U443" s="663">
        <f>Калькулятор_жилье!AI292</f>
        <v>0</v>
      </c>
      <c r="V443" s="664">
        <f t="shared" ref="V443" si="5996">IF(U443=0,0,U443/U$4)</f>
        <v>0</v>
      </c>
      <c r="W443" s="663">
        <f>Калькулятор_жилье!AJ292</f>
        <v>0</v>
      </c>
      <c r="X443" s="664">
        <f t="shared" ref="X443" si="5997">IF(W443=0,0,W443/W$4)</f>
        <v>0</v>
      </c>
      <c r="Y443" s="663">
        <f>Калькулятор_жилье!AK292</f>
        <v>0</v>
      </c>
      <c r="Z443" s="664">
        <f t="shared" ref="Z443" si="5998">IF(Y443=0,0,Y443/Y$4)</f>
        <v>0</v>
      </c>
      <c r="AA443" s="663">
        <f>Калькулятор_жилье!AL292</f>
        <v>0</v>
      </c>
      <c r="AB443" s="664">
        <f t="shared" ref="AB443" si="5999">IF(AA443=0,0,AA443/AA$4)</f>
        <v>0</v>
      </c>
      <c r="AC443" s="664">
        <f t="shared" si="5951"/>
        <v>0</v>
      </c>
      <c r="AD443" s="664">
        <f t="shared" ref="AD443" si="6000">IF(AC443=0,0,AC443/AC$4)</f>
        <v>0</v>
      </c>
      <c r="AE443" s="665"/>
      <c r="AF443" s="556"/>
      <c r="AG443" s="114"/>
      <c r="AH443" s="114"/>
      <c r="AI443" s="114"/>
      <c r="AJ443" s="114"/>
    </row>
    <row r="444" spans="1:36" s="68" customFormat="1" ht="15.75" hidden="1" outlineLevel="4">
      <c r="A444" s="245"/>
      <c r="B444" s="246" t="s">
        <v>721</v>
      </c>
      <c r="C444" s="663"/>
      <c r="D444" s="664">
        <f t="shared" si="5286"/>
        <v>0</v>
      </c>
      <c r="E444" s="663"/>
      <c r="F444" s="664">
        <f t="shared" si="5286"/>
        <v>0</v>
      </c>
      <c r="G444" s="663">
        <f>Калькулятор_жилье!AB293</f>
        <v>0</v>
      </c>
      <c r="H444" s="664">
        <f t="shared" ref="H444" si="6001">IF(G444=0,0,G444/G$4)</f>
        <v>0</v>
      </c>
      <c r="I444" s="663">
        <f>Калькулятор_жилье!AC293</f>
        <v>0</v>
      </c>
      <c r="J444" s="664">
        <f t="shared" ref="J444" si="6002">IF(I444=0,0,I444/I$4)</f>
        <v>0</v>
      </c>
      <c r="K444" s="663">
        <f>Калькулятор_жилье!AD293</f>
        <v>0</v>
      </c>
      <c r="L444" s="664">
        <f t="shared" ref="L444" si="6003">IF(K444=0,0,K444/K$4)</f>
        <v>0</v>
      </c>
      <c r="M444" s="663">
        <f>Калькулятор_жилье!AE293</f>
        <v>0</v>
      </c>
      <c r="N444" s="664">
        <f t="shared" ref="N444" si="6004">IF(M444=0,0,M444/M$4)</f>
        <v>0</v>
      </c>
      <c r="O444" s="663">
        <f>Калькулятор_жилье!AF293</f>
        <v>0</v>
      </c>
      <c r="P444" s="664">
        <f t="shared" ref="P444" si="6005">IF(O444=0,0,O444/O$4)</f>
        <v>0</v>
      </c>
      <c r="Q444" s="663">
        <f>Калькулятор_жилье!AG293</f>
        <v>0</v>
      </c>
      <c r="R444" s="664">
        <f t="shared" ref="R444" si="6006">IF(Q444=0,0,Q444/Q$4)</f>
        <v>0</v>
      </c>
      <c r="S444" s="663">
        <f>Калькулятор_жилье!AH293</f>
        <v>0</v>
      </c>
      <c r="T444" s="664">
        <f t="shared" ref="T444" si="6007">IF(S444=0,0,S444/S$4)</f>
        <v>0</v>
      </c>
      <c r="U444" s="663">
        <f>Калькулятор_жилье!AI293</f>
        <v>0</v>
      </c>
      <c r="V444" s="664">
        <f t="shared" ref="V444" si="6008">IF(U444=0,0,U444/U$4)</f>
        <v>0</v>
      </c>
      <c r="W444" s="663">
        <f>Калькулятор_жилье!AJ293</f>
        <v>0</v>
      </c>
      <c r="X444" s="664">
        <f t="shared" ref="X444" si="6009">IF(W444=0,0,W444/W$4)</f>
        <v>0</v>
      </c>
      <c r="Y444" s="663">
        <f>Калькулятор_жилье!AK293</f>
        <v>0</v>
      </c>
      <c r="Z444" s="664">
        <f t="shared" ref="Z444" si="6010">IF(Y444=0,0,Y444/Y$4)</f>
        <v>0</v>
      </c>
      <c r="AA444" s="663">
        <f>Калькулятор_жилье!AL293</f>
        <v>0</v>
      </c>
      <c r="AB444" s="664">
        <f t="shared" ref="AB444" si="6011">IF(AA444=0,0,AA444/AA$4)</f>
        <v>0</v>
      </c>
      <c r="AC444" s="664">
        <f t="shared" si="5951"/>
        <v>0</v>
      </c>
      <c r="AD444" s="664">
        <f t="shared" ref="AD444" si="6012">IF(AC444=0,0,AC444/AC$4)</f>
        <v>0</v>
      </c>
      <c r="AE444" s="665"/>
      <c r="AF444" s="556"/>
      <c r="AG444" s="114"/>
      <c r="AH444" s="114"/>
      <c r="AI444" s="114"/>
      <c r="AJ444" s="114"/>
    </row>
    <row r="445" spans="1:36" s="68" customFormat="1" ht="15.75" hidden="1" outlineLevel="4">
      <c r="A445" s="245"/>
      <c r="B445" s="246" t="s">
        <v>722</v>
      </c>
      <c r="C445" s="663"/>
      <c r="D445" s="664">
        <f t="shared" si="5286"/>
        <v>0</v>
      </c>
      <c r="E445" s="663"/>
      <c r="F445" s="664">
        <f t="shared" si="5286"/>
        <v>0</v>
      </c>
      <c r="G445" s="663">
        <f>Калькулятор_жилье!AB294</f>
        <v>0</v>
      </c>
      <c r="H445" s="664">
        <f t="shared" ref="H445" si="6013">IF(G445=0,0,G445/G$4)</f>
        <v>0</v>
      </c>
      <c r="I445" s="663">
        <f>Калькулятор_жилье!AC294</f>
        <v>0</v>
      </c>
      <c r="J445" s="664">
        <f t="shared" ref="J445" si="6014">IF(I445=0,0,I445/I$4)</f>
        <v>0</v>
      </c>
      <c r="K445" s="663">
        <f>Калькулятор_жилье!AD294</f>
        <v>0</v>
      </c>
      <c r="L445" s="664">
        <f t="shared" ref="L445" si="6015">IF(K445=0,0,K445/K$4)</f>
        <v>0</v>
      </c>
      <c r="M445" s="663">
        <f>Калькулятор_жилье!AE294</f>
        <v>0</v>
      </c>
      <c r="N445" s="664">
        <f t="shared" ref="N445" si="6016">IF(M445=0,0,M445/M$4)</f>
        <v>0</v>
      </c>
      <c r="O445" s="663">
        <f>Калькулятор_жилье!AF294</f>
        <v>0</v>
      </c>
      <c r="P445" s="664">
        <f t="shared" ref="P445" si="6017">IF(O445=0,0,O445/O$4)</f>
        <v>0</v>
      </c>
      <c r="Q445" s="663">
        <f>Калькулятор_жилье!AG294</f>
        <v>0</v>
      </c>
      <c r="R445" s="664">
        <f t="shared" ref="R445" si="6018">IF(Q445=0,0,Q445/Q$4)</f>
        <v>0</v>
      </c>
      <c r="S445" s="663">
        <f>Калькулятор_жилье!AH294</f>
        <v>0</v>
      </c>
      <c r="T445" s="664">
        <f t="shared" ref="T445" si="6019">IF(S445=0,0,S445/S$4)</f>
        <v>0</v>
      </c>
      <c r="U445" s="663">
        <f>Калькулятор_жилье!AI294</f>
        <v>0</v>
      </c>
      <c r="V445" s="664">
        <f t="shared" ref="V445" si="6020">IF(U445=0,0,U445/U$4)</f>
        <v>0</v>
      </c>
      <c r="W445" s="663">
        <f>Калькулятор_жилье!AJ294</f>
        <v>0</v>
      </c>
      <c r="X445" s="664">
        <f t="shared" ref="X445" si="6021">IF(W445=0,0,W445/W$4)</f>
        <v>0</v>
      </c>
      <c r="Y445" s="663">
        <f>Калькулятор_жилье!AK294</f>
        <v>0</v>
      </c>
      <c r="Z445" s="664">
        <f t="shared" ref="Z445" si="6022">IF(Y445=0,0,Y445/Y$4)</f>
        <v>0</v>
      </c>
      <c r="AA445" s="663">
        <f>Калькулятор_жилье!AL294</f>
        <v>0</v>
      </c>
      <c r="AB445" s="664">
        <f t="shared" ref="AB445" si="6023">IF(AA445=0,0,AA445/AA$4)</f>
        <v>0</v>
      </c>
      <c r="AC445" s="664">
        <f t="shared" si="5951"/>
        <v>0</v>
      </c>
      <c r="AD445" s="664">
        <f t="shared" ref="AD445" si="6024">IF(AC445=0,0,AC445/AC$4)</f>
        <v>0</v>
      </c>
      <c r="AE445" s="665"/>
      <c r="AF445" s="556"/>
      <c r="AG445" s="114"/>
      <c r="AH445" s="114"/>
      <c r="AI445" s="114"/>
      <c r="AJ445" s="114"/>
    </row>
    <row r="446" spans="1:36" s="68" customFormat="1" ht="15.75" hidden="1" outlineLevel="3" collapsed="1">
      <c r="A446" s="117"/>
      <c r="B446" s="118" t="s">
        <v>723</v>
      </c>
      <c r="C446" s="661"/>
      <c r="D446" s="662">
        <f t="shared" si="5286"/>
        <v>0</v>
      </c>
      <c r="E446" s="661"/>
      <c r="F446" s="662">
        <f t="shared" si="5286"/>
        <v>0</v>
      </c>
      <c r="G446" s="661">
        <f>SUM(G447:G450)+SUM(G451:G454)*курс</f>
        <v>0</v>
      </c>
      <c r="H446" s="662">
        <f t="shared" ref="H446" si="6025">IF(G446=0,0,G446/G$4)</f>
        <v>0</v>
      </c>
      <c r="I446" s="661">
        <f>SUM(I447:I450)+SUM(I451:I454)*курс</f>
        <v>0</v>
      </c>
      <c r="J446" s="662">
        <f t="shared" ref="J446" si="6026">IF(I446=0,0,I446/I$4)</f>
        <v>0</v>
      </c>
      <c r="K446" s="661">
        <f>SUM(K447:K450)+SUM(K451:K454)*курс</f>
        <v>0</v>
      </c>
      <c r="L446" s="662">
        <f t="shared" ref="L446" si="6027">IF(K446=0,0,K446/K$4)</f>
        <v>0</v>
      </c>
      <c r="M446" s="661">
        <f>SUM(M447:M450)+SUM(M451:M454)*курс</f>
        <v>0</v>
      </c>
      <c r="N446" s="662">
        <f t="shared" ref="N446" si="6028">IF(M446=0,0,M446/M$4)</f>
        <v>0</v>
      </c>
      <c r="O446" s="661">
        <f>SUM(O447:O450)+SUM(O451:O454)*курс</f>
        <v>0</v>
      </c>
      <c r="P446" s="662">
        <f t="shared" ref="P446" si="6029">IF(O446=0,0,O446/O$4)</f>
        <v>0</v>
      </c>
      <c r="Q446" s="661">
        <f>SUM(Q447:Q450)+SUM(Q451:Q454)*курс</f>
        <v>0</v>
      </c>
      <c r="R446" s="662">
        <f t="shared" ref="R446" si="6030">IF(Q446=0,0,Q446/Q$4)</f>
        <v>0</v>
      </c>
      <c r="S446" s="661">
        <f>SUM(S447:S450)+SUM(S451:S454)*курс</f>
        <v>0</v>
      </c>
      <c r="T446" s="662">
        <f t="shared" ref="T446" si="6031">IF(S446=0,0,S446/S$4)</f>
        <v>0</v>
      </c>
      <c r="U446" s="661">
        <f>SUM(U447:U450)+SUM(U451:U454)*курс</f>
        <v>0</v>
      </c>
      <c r="V446" s="662">
        <f t="shared" ref="V446" si="6032">IF(U446=0,0,U446/U$4)</f>
        <v>0</v>
      </c>
      <c r="W446" s="661">
        <f>SUM(W447:W450)+SUM(W451:W454)*курс</f>
        <v>0</v>
      </c>
      <c r="X446" s="662">
        <f t="shared" ref="X446" si="6033">IF(W446=0,0,W446/W$4)</f>
        <v>0</v>
      </c>
      <c r="Y446" s="661">
        <f>SUM(Y447:Y450)+SUM(Y451:Y454)*курс</f>
        <v>0</v>
      </c>
      <c r="Z446" s="662">
        <f t="shared" ref="Z446" si="6034">IF(Y446=0,0,Y446/Y$4)</f>
        <v>0</v>
      </c>
      <c r="AA446" s="661">
        <f>SUM(AA447:AA450)+SUM(AA451:AA454)*курс</f>
        <v>0</v>
      </c>
      <c r="AB446" s="662">
        <f t="shared" ref="AB446" si="6035">IF(AA446=0,0,AA446/AA$4)</f>
        <v>0</v>
      </c>
      <c r="AC446" s="662">
        <f t="shared" si="5951"/>
        <v>0</v>
      </c>
      <c r="AD446" s="662">
        <f t="shared" ref="AD446" si="6036">IF(AC446=0,0,AC446/AC$4)</f>
        <v>0</v>
      </c>
      <c r="AE446" s="665"/>
      <c r="AF446" s="556"/>
      <c r="AG446" s="114"/>
      <c r="AH446" s="114"/>
      <c r="AI446" s="114"/>
      <c r="AJ446" s="114"/>
    </row>
    <row r="447" spans="1:36" s="68" customFormat="1" ht="15.75" hidden="1" outlineLevel="4">
      <c r="A447" s="245"/>
      <c r="B447" s="246" t="s">
        <v>714</v>
      </c>
      <c r="C447" s="663"/>
      <c r="D447" s="664">
        <f t="shared" si="5286"/>
        <v>0</v>
      </c>
      <c r="E447" s="663"/>
      <c r="F447" s="664">
        <f t="shared" si="5286"/>
        <v>0</v>
      </c>
      <c r="G447" s="663">
        <f>Калькулятор_жилье!M300-Калькулятор_жилье!AB300*курс</f>
        <v>0</v>
      </c>
      <c r="H447" s="664">
        <f t="shared" ref="H447" si="6037">IF(G447=0,0,G447/G$4)</f>
        <v>0</v>
      </c>
      <c r="I447" s="663">
        <f>Калькулятор_жилье!N300-Калькулятор_жилье!AC300*курс</f>
        <v>0</v>
      </c>
      <c r="J447" s="664">
        <f t="shared" ref="J447" si="6038">IF(I447=0,0,I447/I$4)</f>
        <v>0</v>
      </c>
      <c r="K447" s="663">
        <f>Калькулятор_жилье!O300-Калькулятор_жилье!AD300*курс</f>
        <v>0</v>
      </c>
      <c r="L447" s="664">
        <f t="shared" ref="L447" si="6039">IF(K447=0,0,K447/K$4)</f>
        <v>0</v>
      </c>
      <c r="M447" s="663">
        <f>Калькулятор_жилье!P300-Калькулятор_жилье!AE300*курс</f>
        <v>0</v>
      </c>
      <c r="N447" s="664">
        <f t="shared" ref="N447" si="6040">IF(M447=0,0,M447/M$4)</f>
        <v>0</v>
      </c>
      <c r="O447" s="663">
        <f>Калькулятор_жилье!Q300-Калькулятор_жилье!AF300*курс</f>
        <v>0</v>
      </c>
      <c r="P447" s="664">
        <f t="shared" ref="P447" si="6041">IF(O447=0,0,O447/O$4)</f>
        <v>0</v>
      </c>
      <c r="Q447" s="663">
        <f>Калькулятор_жилье!R300-Калькулятор_жилье!AG300*курс</f>
        <v>0</v>
      </c>
      <c r="R447" s="664">
        <f t="shared" ref="R447" si="6042">IF(Q447=0,0,Q447/Q$4)</f>
        <v>0</v>
      </c>
      <c r="S447" s="663">
        <f>Калькулятор_жилье!S300-Калькулятор_жилье!AH300*курс</f>
        <v>0</v>
      </c>
      <c r="T447" s="664">
        <f t="shared" ref="T447" si="6043">IF(S447=0,0,S447/S$4)</f>
        <v>0</v>
      </c>
      <c r="U447" s="663">
        <f>Калькулятор_жилье!T300-Калькулятор_жилье!AI300*курс</f>
        <v>0</v>
      </c>
      <c r="V447" s="664">
        <f t="shared" ref="V447" si="6044">IF(U447=0,0,U447/U$4)</f>
        <v>0</v>
      </c>
      <c r="W447" s="663">
        <f>Калькулятор_жилье!U300-Калькулятор_жилье!AJ300*курс</f>
        <v>0</v>
      </c>
      <c r="X447" s="664">
        <f t="shared" ref="X447" si="6045">IF(W447=0,0,W447/W$4)</f>
        <v>0</v>
      </c>
      <c r="Y447" s="663">
        <f>Калькулятор_жилье!V300-Калькулятор_жилье!AK300*курс</f>
        <v>0</v>
      </c>
      <c r="Z447" s="664">
        <f t="shared" ref="Z447" si="6046">IF(Y447=0,0,Y447/Y$4)</f>
        <v>0</v>
      </c>
      <c r="AA447" s="663">
        <f>Калькулятор_жилье!W300-Калькулятор_жилье!AL300*курс</f>
        <v>0</v>
      </c>
      <c r="AB447" s="664">
        <f t="shared" ref="AB447" si="6047">IF(AA447=0,0,AA447/AA$4)</f>
        <v>0</v>
      </c>
      <c r="AC447" s="664">
        <f t="shared" si="5951"/>
        <v>0</v>
      </c>
      <c r="AD447" s="664">
        <f t="shared" ref="AD447" si="6048">IF(AC447=0,0,AC447/AC$4)</f>
        <v>0</v>
      </c>
      <c r="AE447" s="665"/>
      <c r="AF447" s="556"/>
      <c r="AG447" s="114"/>
      <c r="AH447" s="114"/>
      <c r="AI447" s="114"/>
      <c r="AJ447" s="114"/>
    </row>
    <row r="448" spans="1:36" s="68" customFormat="1" ht="15.75" hidden="1" outlineLevel="4">
      <c r="A448" s="245"/>
      <c r="B448" s="246" t="s">
        <v>715</v>
      </c>
      <c r="C448" s="663"/>
      <c r="D448" s="664">
        <f t="shared" si="5286"/>
        <v>0</v>
      </c>
      <c r="E448" s="663"/>
      <c r="F448" s="664">
        <f t="shared" si="5286"/>
        <v>0</v>
      </c>
      <c r="G448" s="663">
        <f>Калькулятор_жилье!M301-Калькулятор_жилье!AB301*курс</f>
        <v>0</v>
      </c>
      <c r="H448" s="664">
        <f t="shared" ref="H448" si="6049">IF(G448=0,0,G448/G$4)</f>
        <v>0</v>
      </c>
      <c r="I448" s="663">
        <f>Калькулятор_жилье!N301-Калькулятор_жилье!AC301*курс</f>
        <v>0</v>
      </c>
      <c r="J448" s="664">
        <f t="shared" ref="J448" si="6050">IF(I448=0,0,I448/I$4)</f>
        <v>0</v>
      </c>
      <c r="K448" s="663">
        <f>Калькулятор_жилье!O301-Калькулятор_жилье!AD301*курс</f>
        <v>0</v>
      </c>
      <c r="L448" s="664">
        <f t="shared" ref="L448" si="6051">IF(K448=0,0,K448/K$4)</f>
        <v>0</v>
      </c>
      <c r="M448" s="663">
        <f>Калькулятор_жилье!P301-Калькулятор_жилье!AE301*курс</f>
        <v>0</v>
      </c>
      <c r="N448" s="664">
        <f t="shared" ref="N448" si="6052">IF(M448=0,0,M448/M$4)</f>
        <v>0</v>
      </c>
      <c r="O448" s="663">
        <f>Калькулятор_жилье!Q301-Калькулятор_жилье!AF301*курс</f>
        <v>0</v>
      </c>
      <c r="P448" s="664">
        <f t="shared" ref="P448" si="6053">IF(O448=0,0,O448/O$4)</f>
        <v>0</v>
      </c>
      <c r="Q448" s="663">
        <f>Калькулятор_жилье!R301-Калькулятор_жилье!AG301*курс</f>
        <v>0</v>
      </c>
      <c r="R448" s="664">
        <f t="shared" ref="R448" si="6054">IF(Q448=0,0,Q448/Q$4)</f>
        <v>0</v>
      </c>
      <c r="S448" s="663">
        <f>Калькулятор_жилье!S301-Калькулятор_жилье!AH301*курс</f>
        <v>0</v>
      </c>
      <c r="T448" s="664">
        <f t="shared" ref="T448" si="6055">IF(S448=0,0,S448/S$4)</f>
        <v>0</v>
      </c>
      <c r="U448" s="663">
        <f>Калькулятор_жилье!T301-Калькулятор_жилье!AI301*курс</f>
        <v>0</v>
      </c>
      <c r="V448" s="664">
        <f t="shared" ref="V448" si="6056">IF(U448=0,0,U448/U$4)</f>
        <v>0</v>
      </c>
      <c r="W448" s="663">
        <f>Калькулятор_жилье!U301-Калькулятор_жилье!AJ301*курс</f>
        <v>0</v>
      </c>
      <c r="X448" s="664">
        <f t="shared" ref="X448" si="6057">IF(W448=0,0,W448/W$4)</f>
        <v>0</v>
      </c>
      <c r="Y448" s="663">
        <f>Калькулятор_жилье!V301-Калькулятор_жилье!AK301*курс</f>
        <v>0</v>
      </c>
      <c r="Z448" s="664">
        <f t="shared" ref="Z448" si="6058">IF(Y448=0,0,Y448/Y$4)</f>
        <v>0</v>
      </c>
      <c r="AA448" s="663">
        <f>Калькулятор_жилье!W301-Калькулятор_жилье!AL301*курс</f>
        <v>0</v>
      </c>
      <c r="AB448" s="664">
        <f t="shared" ref="AB448" si="6059">IF(AA448=0,0,AA448/AA$4)</f>
        <v>0</v>
      </c>
      <c r="AC448" s="664">
        <f t="shared" si="5951"/>
        <v>0</v>
      </c>
      <c r="AD448" s="664">
        <f t="shared" ref="AD448" si="6060">IF(AC448=0,0,AC448/AC$4)</f>
        <v>0</v>
      </c>
      <c r="AE448" s="665"/>
      <c r="AF448" s="556"/>
      <c r="AG448" s="114"/>
      <c r="AH448" s="114"/>
      <c r="AI448" s="114"/>
      <c r="AJ448" s="114"/>
    </row>
    <row r="449" spans="1:36" s="68" customFormat="1" ht="15.75" hidden="1" outlineLevel="4">
      <c r="A449" s="245"/>
      <c r="B449" s="246" t="s">
        <v>716</v>
      </c>
      <c r="C449" s="663"/>
      <c r="D449" s="664">
        <f t="shared" si="5286"/>
        <v>0</v>
      </c>
      <c r="E449" s="663"/>
      <c r="F449" s="664">
        <f t="shared" si="5286"/>
        <v>0</v>
      </c>
      <c r="G449" s="663">
        <f>Калькулятор_жилье!M302-Калькулятор_жилье!AB302*курс</f>
        <v>0</v>
      </c>
      <c r="H449" s="664">
        <f t="shared" ref="H449" si="6061">IF(G449=0,0,G449/G$4)</f>
        <v>0</v>
      </c>
      <c r="I449" s="663">
        <f>Калькулятор_жилье!N302-Калькулятор_жилье!AC302*курс</f>
        <v>0</v>
      </c>
      <c r="J449" s="664">
        <f t="shared" ref="J449" si="6062">IF(I449=0,0,I449/I$4)</f>
        <v>0</v>
      </c>
      <c r="K449" s="663">
        <f>Калькулятор_жилье!O302-Калькулятор_жилье!AD302*курс</f>
        <v>0</v>
      </c>
      <c r="L449" s="664">
        <f t="shared" ref="L449" si="6063">IF(K449=0,0,K449/K$4)</f>
        <v>0</v>
      </c>
      <c r="M449" s="663">
        <f>Калькулятор_жилье!P302-Калькулятор_жилье!AE302*курс</f>
        <v>0</v>
      </c>
      <c r="N449" s="664">
        <f t="shared" ref="N449" si="6064">IF(M449=0,0,M449/M$4)</f>
        <v>0</v>
      </c>
      <c r="O449" s="663">
        <f>Калькулятор_жилье!Q302-Калькулятор_жилье!AF302*курс</f>
        <v>0</v>
      </c>
      <c r="P449" s="664">
        <f t="shared" ref="P449" si="6065">IF(O449=0,0,O449/O$4)</f>
        <v>0</v>
      </c>
      <c r="Q449" s="663">
        <f>Калькулятор_жилье!R302-Калькулятор_жилье!AG302*курс</f>
        <v>0</v>
      </c>
      <c r="R449" s="664">
        <f t="shared" ref="R449" si="6066">IF(Q449=0,0,Q449/Q$4)</f>
        <v>0</v>
      </c>
      <c r="S449" s="663">
        <f>Калькулятор_жилье!S302-Калькулятор_жилье!AH302*курс</f>
        <v>0</v>
      </c>
      <c r="T449" s="664">
        <f t="shared" ref="T449" si="6067">IF(S449=0,0,S449/S$4)</f>
        <v>0</v>
      </c>
      <c r="U449" s="663">
        <f>Калькулятор_жилье!T302-Калькулятор_жилье!AI302*курс</f>
        <v>0</v>
      </c>
      <c r="V449" s="664">
        <f t="shared" ref="V449" si="6068">IF(U449=0,0,U449/U$4)</f>
        <v>0</v>
      </c>
      <c r="W449" s="663">
        <f>Калькулятор_жилье!U302-Калькулятор_жилье!AJ302*курс</f>
        <v>0</v>
      </c>
      <c r="X449" s="664">
        <f t="shared" ref="X449" si="6069">IF(W449=0,0,W449/W$4)</f>
        <v>0</v>
      </c>
      <c r="Y449" s="663">
        <f>Калькулятор_жилье!V302-Калькулятор_жилье!AK302*курс</f>
        <v>0</v>
      </c>
      <c r="Z449" s="664">
        <f t="shared" ref="Z449" si="6070">IF(Y449=0,0,Y449/Y$4)</f>
        <v>0</v>
      </c>
      <c r="AA449" s="663">
        <f>Калькулятор_жилье!W302-Калькулятор_жилье!AL302*курс</f>
        <v>0</v>
      </c>
      <c r="AB449" s="664">
        <f t="shared" ref="AB449" si="6071">IF(AA449=0,0,AA449/AA$4)</f>
        <v>0</v>
      </c>
      <c r="AC449" s="664">
        <f t="shared" si="5951"/>
        <v>0</v>
      </c>
      <c r="AD449" s="664">
        <f t="shared" ref="AD449" si="6072">IF(AC449=0,0,AC449/AC$4)</f>
        <v>0</v>
      </c>
      <c r="AE449" s="665"/>
      <c r="AF449" s="556"/>
      <c r="AG449" s="114"/>
      <c r="AH449" s="114"/>
      <c r="AI449" s="114"/>
      <c r="AJ449" s="114"/>
    </row>
    <row r="450" spans="1:36" s="68" customFormat="1" ht="15.75" hidden="1" outlineLevel="4">
      <c r="A450" s="245"/>
      <c r="B450" s="246" t="s">
        <v>717</v>
      </c>
      <c r="C450" s="663"/>
      <c r="D450" s="664">
        <f t="shared" si="5286"/>
        <v>0</v>
      </c>
      <c r="E450" s="663"/>
      <c r="F450" s="664">
        <f t="shared" si="5286"/>
        <v>0</v>
      </c>
      <c r="G450" s="663">
        <f>Калькулятор_жилье!M303-Калькулятор_жилье!AB303*курс</f>
        <v>0</v>
      </c>
      <c r="H450" s="664">
        <f t="shared" ref="H450" si="6073">IF(G450=0,0,G450/G$4)</f>
        <v>0</v>
      </c>
      <c r="I450" s="663">
        <f>Калькулятор_жилье!N303-Калькулятор_жилье!AC303*курс</f>
        <v>0</v>
      </c>
      <c r="J450" s="664">
        <f t="shared" ref="J450" si="6074">IF(I450=0,0,I450/I$4)</f>
        <v>0</v>
      </c>
      <c r="K450" s="663">
        <f>Калькулятор_жилье!O303-Калькулятор_жилье!AD303*курс</f>
        <v>0</v>
      </c>
      <c r="L450" s="664">
        <f t="shared" ref="L450" si="6075">IF(K450=0,0,K450/K$4)</f>
        <v>0</v>
      </c>
      <c r="M450" s="663">
        <f>Калькулятор_жилье!P303-Калькулятор_жилье!AE303*курс</f>
        <v>0</v>
      </c>
      <c r="N450" s="664">
        <f t="shared" ref="N450" si="6076">IF(M450=0,0,M450/M$4)</f>
        <v>0</v>
      </c>
      <c r="O450" s="663">
        <f>Калькулятор_жилье!Q303-Калькулятор_жилье!AF303*курс</f>
        <v>0</v>
      </c>
      <c r="P450" s="664">
        <f t="shared" ref="P450" si="6077">IF(O450=0,0,O450/O$4)</f>
        <v>0</v>
      </c>
      <c r="Q450" s="663">
        <f>Калькулятор_жилье!R303-Калькулятор_жилье!AG303*курс</f>
        <v>0</v>
      </c>
      <c r="R450" s="664">
        <f t="shared" ref="R450" si="6078">IF(Q450=0,0,Q450/Q$4)</f>
        <v>0</v>
      </c>
      <c r="S450" s="663">
        <f>Калькулятор_жилье!S303-Калькулятор_жилье!AH303*курс</f>
        <v>0</v>
      </c>
      <c r="T450" s="664">
        <f t="shared" ref="T450" si="6079">IF(S450=0,0,S450/S$4)</f>
        <v>0</v>
      </c>
      <c r="U450" s="663">
        <f>Калькулятор_жилье!T303-Калькулятор_жилье!AI303*курс</f>
        <v>0</v>
      </c>
      <c r="V450" s="664">
        <f t="shared" ref="V450" si="6080">IF(U450=0,0,U450/U$4)</f>
        <v>0</v>
      </c>
      <c r="W450" s="663">
        <f>Калькулятор_жилье!U303-Калькулятор_жилье!AJ303*курс</f>
        <v>0</v>
      </c>
      <c r="X450" s="664">
        <f t="shared" ref="X450" si="6081">IF(W450=0,0,W450/W$4)</f>
        <v>0</v>
      </c>
      <c r="Y450" s="663">
        <f>Калькулятор_жилье!V303-Калькулятор_жилье!AK303*курс</f>
        <v>0</v>
      </c>
      <c r="Z450" s="664">
        <f t="shared" ref="Z450" si="6082">IF(Y450=0,0,Y450/Y$4)</f>
        <v>0</v>
      </c>
      <c r="AA450" s="663">
        <f>Калькулятор_жилье!W303-Калькулятор_жилье!AL303*курс</f>
        <v>0</v>
      </c>
      <c r="AB450" s="664">
        <f t="shared" ref="AB450" si="6083">IF(AA450=0,0,AA450/AA$4)</f>
        <v>0</v>
      </c>
      <c r="AC450" s="664">
        <f t="shared" si="5951"/>
        <v>0</v>
      </c>
      <c r="AD450" s="664">
        <f t="shared" ref="AD450" si="6084">IF(AC450=0,0,AC450/AC$4)</f>
        <v>0</v>
      </c>
      <c r="AE450" s="665"/>
      <c r="AF450" s="556"/>
      <c r="AG450" s="114"/>
      <c r="AH450" s="114"/>
      <c r="AI450" s="114"/>
      <c r="AJ450" s="114"/>
    </row>
    <row r="451" spans="1:36" s="68" customFormat="1" ht="15.75" hidden="1" outlineLevel="4">
      <c r="A451" s="245"/>
      <c r="B451" s="246" t="s">
        <v>719</v>
      </c>
      <c r="C451" s="663"/>
      <c r="D451" s="664">
        <f t="shared" si="5286"/>
        <v>0</v>
      </c>
      <c r="E451" s="663"/>
      <c r="F451" s="664">
        <f t="shared" si="5286"/>
        <v>0</v>
      </c>
      <c r="G451" s="663">
        <f>Калькулятор_жилье!AB300</f>
        <v>0</v>
      </c>
      <c r="H451" s="664">
        <f t="shared" ref="H451" si="6085">IF(G451=0,0,G451/G$4)</f>
        <v>0</v>
      </c>
      <c r="I451" s="663">
        <f>Калькулятор_жилье!AC300</f>
        <v>0</v>
      </c>
      <c r="J451" s="664">
        <f t="shared" ref="J451" si="6086">IF(I451=0,0,I451/I$4)</f>
        <v>0</v>
      </c>
      <c r="K451" s="663">
        <f>Калькулятор_жилье!AD300</f>
        <v>0</v>
      </c>
      <c r="L451" s="664">
        <f t="shared" ref="L451" si="6087">IF(K451=0,0,K451/K$4)</f>
        <v>0</v>
      </c>
      <c r="M451" s="663">
        <f>Калькулятор_жилье!AE300</f>
        <v>0</v>
      </c>
      <c r="N451" s="664">
        <f t="shared" ref="N451" si="6088">IF(M451=0,0,M451/M$4)</f>
        <v>0</v>
      </c>
      <c r="O451" s="663">
        <f>Калькулятор_жилье!AF300</f>
        <v>0</v>
      </c>
      <c r="P451" s="664">
        <f t="shared" ref="P451" si="6089">IF(O451=0,0,O451/O$4)</f>
        <v>0</v>
      </c>
      <c r="Q451" s="663">
        <f>Калькулятор_жилье!AG300</f>
        <v>0</v>
      </c>
      <c r="R451" s="664">
        <f t="shared" ref="R451" si="6090">IF(Q451=0,0,Q451/Q$4)</f>
        <v>0</v>
      </c>
      <c r="S451" s="663">
        <f>Калькулятор_жилье!AH300</f>
        <v>0</v>
      </c>
      <c r="T451" s="664">
        <f t="shared" ref="T451" si="6091">IF(S451=0,0,S451/S$4)</f>
        <v>0</v>
      </c>
      <c r="U451" s="663">
        <f>Калькулятор_жилье!AI300</f>
        <v>0</v>
      </c>
      <c r="V451" s="664">
        <f t="shared" ref="V451" si="6092">IF(U451=0,0,U451/U$4)</f>
        <v>0</v>
      </c>
      <c r="W451" s="663">
        <f>Калькулятор_жилье!AJ300</f>
        <v>0</v>
      </c>
      <c r="X451" s="664">
        <f t="shared" ref="X451" si="6093">IF(W451=0,0,W451/W$4)</f>
        <v>0</v>
      </c>
      <c r="Y451" s="663">
        <f>Калькулятор_жилье!AK300</f>
        <v>0</v>
      </c>
      <c r="Z451" s="664">
        <f t="shared" ref="Z451" si="6094">IF(Y451=0,0,Y451/Y$4)</f>
        <v>0</v>
      </c>
      <c r="AA451" s="663">
        <f>Калькулятор_жилье!AL300</f>
        <v>0</v>
      </c>
      <c r="AB451" s="664">
        <f t="shared" ref="AB451" si="6095">IF(AA451=0,0,AA451/AA$4)</f>
        <v>0</v>
      </c>
      <c r="AC451" s="664">
        <f t="shared" si="5951"/>
        <v>0</v>
      </c>
      <c r="AD451" s="664">
        <f t="shared" ref="AD451" si="6096">IF(AC451=0,0,AC451/AC$4)</f>
        <v>0</v>
      </c>
      <c r="AE451" s="665"/>
      <c r="AF451" s="556"/>
      <c r="AG451" s="114"/>
      <c r="AH451" s="114"/>
      <c r="AI451" s="114"/>
      <c r="AJ451" s="114"/>
    </row>
    <row r="452" spans="1:36" s="68" customFormat="1" ht="15.75" hidden="1" outlineLevel="4">
      <c r="A452" s="245"/>
      <c r="B452" s="246" t="s">
        <v>720</v>
      </c>
      <c r="C452" s="663"/>
      <c r="D452" s="664">
        <f t="shared" si="5286"/>
        <v>0</v>
      </c>
      <c r="E452" s="663"/>
      <c r="F452" s="664">
        <f t="shared" si="5286"/>
        <v>0</v>
      </c>
      <c r="G452" s="663">
        <f>Калькулятор_жилье!AB301</f>
        <v>0</v>
      </c>
      <c r="H452" s="664">
        <f t="shared" ref="H452" si="6097">IF(G452=0,0,G452/G$4)</f>
        <v>0</v>
      </c>
      <c r="I452" s="663">
        <f>Калькулятор_жилье!AC301</f>
        <v>0</v>
      </c>
      <c r="J452" s="664">
        <f t="shared" ref="J452" si="6098">IF(I452=0,0,I452/I$4)</f>
        <v>0</v>
      </c>
      <c r="K452" s="663">
        <f>Калькулятор_жилье!AD301</f>
        <v>0</v>
      </c>
      <c r="L452" s="664">
        <f t="shared" ref="L452" si="6099">IF(K452=0,0,K452/K$4)</f>
        <v>0</v>
      </c>
      <c r="M452" s="663">
        <f>Калькулятор_жилье!AE301</f>
        <v>0</v>
      </c>
      <c r="N452" s="664">
        <f t="shared" ref="N452" si="6100">IF(M452=0,0,M452/M$4)</f>
        <v>0</v>
      </c>
      <c r="O452" s="663">
        <f>Калькулятор_жилье!AF301</f>
        <v>0</v>
      </c>
      <c r="P452" s="664">
        <f t="shared" ref="P452" si="6101">IF(O452=0,0,O452/O$4)</f>
        <v>0</v>
      </c>
      <c r="Q452" s="663">
        <f>Калькулятор_жилье!AG301</f>
        <v>0</v>
      </c>
      <c r="R452" s="664">
        <f t="shared" ref="R452" si="6102">IF(Q452=0,0,Q452/Q$4)</f>
        <v>0</v>
      </c>
      <c r="S452" s="663">
        <f>Калькулятор_жилье!AH301</f>
        <v>0</v>
      </c>
      <c r="T452" s="664">
        <f t="shared" ref="T452" si="6103">IF(S452=0,0,S452/S$4)</f>
        <v>0</v>
      </c>
      <c r="U452" s="663">
        <f>Калькулятор_жилье!AI301</f>
        <v>0</v>
      </c>
      <c r="V452" s="664">
        <f t="shared" ref="V452" si="6104">IF(U452=0,0,U452/U$4)</f>
        <v>0</v>
      </c>
      <c r="W452" s="663">
        <f>Калькулятор_жилье!AJ301</f>
        <v>0</v>
      </c>
      <c r="X452" s="664">
        <f t="shared" ref="X452" si="6105">IF(W452=0,0,W452/W$4)</f>
        <v>0</v>
      </c>
      <c r="Y452" s="663">
        <f>Калькулятор_жилье!AK301</f>
        <v>0</v>
      </c>
      <c r="Z452" s="664">
        <f t="shared" ref="Z452" si="6106">IF(Y452=0,0,Y452/Y$4)</f>
        <v>0</v>
      </c>
      <c r="AA452" s="663">
        <f>Калькулятор_жилье!AL301</f>
        <v>0</v>
      </c>
      <c r="AB452" s="664">
        <f t="shared" ref="AB452" si="6107">IF(AA452=0,0,AA452/AA$4)</f>
        <v>0</v>
      </c>
      <c r="AC452" s="664">
        <f t="shared" si="5951"/>
        <v>0</v>
      </c>
      <c r="AD452" s="664">
        <f t="shared" ref="AD452" si="6108">IF(AC452=0,0,AC452/AC$4)</f>
        <v>0</v>
      </c>
      <c r="AE452" s="665"/>
      <c r="AF452" s="556"/>
      <c r="AG452" s="114"/>
      <c r="AH452" s="114"/>
      <c r="AI452" s="114"/>
      <c r="AJ452" s="114"/>
    </row>
    <row r="453" spans="1:36" s="68" customFormat="1" ht="15.75" hidden="1" outlineLevel="4">
      <c r="A453" s="245"/>
      <c r="B453" s="246" t="s">
        <v>721</v>
      </c>
      <c r="C453" s="663"/>
      <c r="D453" s="664">
        <f t="shared" si="5286"/>
        <v>0</v>
      </c>
      <c r="E453" s="663"/>
      <c r="F453" s="664">
        <f t="shared" si="5286"/>
        <v>0</v>
      </c>
      <c r="G453" s="663">
        <f>Калькулятор_жилье!AB302</f>
        <v>0</v>
      </c>
      <c r="H453" s="664">
        <f t="shared" ref="H453" si="6109">IF(G453=0,0,G453/G$4)</f>
        <v>0</v>
      </c>
      <c r="I453" s="663">
        <f>Калькулятор_жилье!AC302</f>
        <v>0</v>
      </c>
      <c r="J453" s="664">
        <f t="shared" ref="J453" si="6110">IF(I453=0,0,I453/I$4)</f>
        <v>0</v>
      </c>
      <c r="K453" s="663">
        <f>Калькулятор_жилье!AD302</f>
        <v>0</v>
      </c>
      <c r="L453" s="664">
        <f t="shared" ref="L453" si="6111">IF(K453=0,0,K453/K$4)</f>
        <v>0</v>
      </c>
      <c r="M453" s="663">
        <f>Калькулятор_жилье!AE302</f>
        <v>0</v>
      </c>
      <c r="N453" s="664">
        <f t="shared" ref="N453" si="6112">IF(M453=0,0,M453/M$4)</f>
        <v>0</v>
      </c>
      <c r="O453" s="663">
        <f>Калькулятор_жилье!AF302</f>
        <v>0</v>
      </c>
      <c r="P453" s="664">
        <f t="shared" ref="P453" si="6113">IF(O453=0,0,O453/O$4)</f>
        <v>0</v>
      </c>
      <c r="Q453" s="663">
        <f>Калькулятор_жилье!AG302</f>
        <v>0</v>
      </c>
      <c r="R453" s="664">
        <f t="shared" ref="R453" si="6114">IF(Q453=0,0,Q453/Q$4)</f>
        <v>0</v>
      </c>
      <c r="S453" s="663">
        <f>Калькулятор_жилье!AH302</f>
        <v>0</v>
      </c>
      <c r="T453" s="664">
        <f t="shared" ref="T453" si="6115">IF(S453=0,0,S453/S$4)</f>
        <v>0</v>
      </c>
      <c r="U453" s="663">
        <f>Калькулятор_жилье!AI302</f>
        <v>0</v>
      </c>
      <c r="V453" s="664">
        <f t="shared" ref="V453" si="6116">IF(U453=0,0,U453/U$4)</f>
        <v>0</v>
      </c>
      <c r="W453" s="663">
        <f>Калькулятор_жилье!AJ302</f>
        <v>0</v>
      </c>
      <c r="X453" s="664">
        <f t="shared" ref="X453" si="6117">IF(W453=0,0,W453/W$4)</f>
        <v>0</v>
      </c>
      <c r="Y453" s="663">
        <f>Калькулятор_жилье!AK302</f>
        <v>0</v>
      </c>
      <c r="Z453" s="664">
        <f t="shared" ref="Z453" si="6118">IF(Y453=0,0,Y453/Y$4)</f>
        <v>0</v>
      </c>
      <c r="AA453" s="663">
        <f>Калькулятор_жилье!AL302</f>
        <v>0</v>
      </c>
      <c r="AB453" s="664">
        <f t="shared" ref="AB453" si="6119">IF(AA453=0,0,AA453/AA$4)</f>
        <v>0</v>
      </c>
      <c r="AC453" s="664">
        <f t="shared" si="5951"/>
        <v>0</v>
      </c>
      <c r="AD453" s="664">
        <f t="shared" ref="AD453" si="6120">IF(AC453=0,0,AC453/AC$4)</f>
        <v>0</v>
      </c>
      <c r="AE453" s="665"/>
      <c r="AF453" s="556"/>
      <c r="AG453" s="114"/>
      <c r="AH453" s="114"/>
      <c r="AI453" s="114"/>
      <c r="AJ453" s="114"/>
    </row>
    <row r="454" spans="1:36" s="68" customFormat="1" ht="15.75" hidden="1" outlineLevel="4">
      <c r="A454" s="245"/>
      <c r="B454" s="246" t="s">
        <v>722</v>
      </c>
      <c r="C454" s="663"/>
      <c r="D454" s="664">
        <f t="shared" ref="D454:F517" si="6121">IF(C454=0,0,C454/C$4)</f>
        <v>0</v>
      </c>
      <c r="E454" s="663"/>
      <c r="F454" s="664">
        <f t="shared" si="6121"/>
        <v>0</v>
      </c>
      <c r="G454" s="663">
        <f>Калькулятор_жилье!AB303</f>
        <v>0</v>
      </c>
      <c r="H454" s="664">
        <f t="shared" ref="H454" si="6122">IF(G454=0,0,G454/G$4)</f>
        <v>0</v>
      </c>
      <c r="I454" s="663">
        <f>Калькулятор_жилье!AC303</f>
        <v>0</v>
      </c>
      <c r="J454" s="664">
        <f t="shared" ref="J454" si="6123">IF(I454=0,0,I454/I$4)</f>
        <v>0</v>
      </c>
      <c r="K454" s="663">
        <f>Калькулятор_жилье!AD303</f>
        <v>0</v>
      </c>
      <c r="L454" s="664">
        <f t="shared" ref="L454" si="6124">IF(K454=0,0,K454/K$4)</f>
        <v>0</v>
      </c>
      <c r="M454" s="663">
        <f>Калькулятор_жилье!AE303</f>
        <v>0</v>
      </c>
      <c r="N454" s="664">
        <f t="shared" ref="N454" si="6125">IF(M454=0,0,M454/M$4)</f>
        <v>0</v>
      </c>
      <c r="O454" s="663">
        <f>Калькулятор_жилье!AF303</f>
        <v>0</v>
      </c>
      <c r="P454" s="664">
        <f t="shared" ref="P454" si="6126">IF(O454=0,0,O454/O$4)</f>
        <v>0</v>
      </c>
      <c r="Q454" s="663">
        <f>Калькулятор_жилье!AG303</f>
        <v>0</v>
      </c>
      <c r="R454" s="664">
        <f t="shared" ref="R454" si="6127">IF(Q454=0,0,Q454/Q$4)</f>
        <v>0</v>
      </c>
      <c r="S454" s="663">
        <f>Калькулятор_жилье!AH303</f>
        <v>0</v>
      </c>
      <c r="T454" s="664">
        <f t="shared" ref="T454" si="6128">IF(S454=0,0,S454/S$4)</f>
        <v>0</v>
      </c>
      <c r="U454" s="663">
        <f>Калькулятор_жилье!AI303</f>
        <v>0</v>
      </c>
      <c r="V454" s="664">
        <f t="shared" ref="V454" si="6129">IF(U454=0,0,U454/U$4)</f>
        <v>0</v>
      </c>
      <c r="W454" s="663">
        <f>Калькулятор_жилье!AJ303</f>
        <v>0</v>
      </c>
      <c r="X454" s="664">
        <f t="shared" ref="X454" si="6130">IF(W454=0,0,W454/W$4)</f>
        <v>0</v>
      </c>
      <c r="Y454" s="663">
        <f>Калькулятор_жилье!AK303</f>
        <v>0</v>
      </c>
      <c r="Z454" s="664">
        <f t="shared" ref="Z454" si="6131">IF(Y454=0,0,Y454/Y$4)</f>
        <v>0</v>
      </c>
      <c r="AA454" s="663">
        <f>Калькулятор_жилье!AL303</f>
        <v>0</v>
      </c>
      <c r="AB454" s="664">
        <f t="shared" ref="AB454" si="6132">IF(AA454=0,0,AA454/AA$4)</f>
        <v>0</v>
      </c>
      <c r="AC454" s="664">
        <f t="shared" si="5951"/>
        <v>0</v>
      </c>
      <c r="AD454" s="664">
        <f t="shared" ref="AD454" si="6133">IF(AC454=0,0,AC454/AC$4)</f>
        <v>0</v>
      </c>
      <c r="AE454" s="665"/>
      <c r="AF454" s="556"/>
      <c r="AG454" s="114"/>
      <c r="AH454" s="114"/>
      <c r="AI454" s="114"/>
      <c r="AJ454" s="114"/>
    </row>
    <row r="455" spans="1:36" s="68" customFormat="1" ht="15.75" hidden="1" outlineLevel="3">
      <c r="A455" s="117"/>
      <c r="B455" s="118" t="s">
        <v>861</v>
      </c>
      <c r="C455" s="661"/>
      <c r="D455" s="662">
        <f t="shared" si="6121"/>
        <v>0</v>
      </c>
      <c r="E455" s="661"/>
      <c r="F455" s="662">
        <f t="shared" si="6121"/>
        <v>0</v>
      </c>
      <c r="G455" s="661">
        <f>SUM(Калькулятор_жилье!M304:M305)</f>
        <v>3826580.7188455798</v>
      </c>
      <c r="H455" s="662">
        <f t="shared" ref="H455" si="6134">IF(G455=0,0,G455/G$4)</f>
        <v>91.66596870661877</v>
      </c>
      <c r="I455" s="661">
        <f>SUM(Калькулятор_жилье!N304:N305)</f>
        <v>2354818.9039049721</v>
      </c>
      <c r="J455" s="662">
        <f t="shared" ref="J455" si="6135">IF(I455=0,0,I455/I$4)</f>
        <v>80.250502354051605</v>
      </c>
      <c r="K455" s="661">
        <f>SUM(Калькулятор_жилье!O304:O305)</f>
        <v>3826580.7188455798</v>
      </c>
      <c r="L455" s="662">
        <f t="shared" ref="L455" si="6136">IF(K455=0,0,K455/K$4)</f>
        <v>89.878721796860816</v>
      </c>
      <c r="M455" s="661">
        <f>SUM(Калькулятор_жилье!P304:P305)</f>
        <v>0</v>
      </c>
      <c r="N455" s="662">
        <f t="shared" ref="N455" si="6137">IF(M455=0,0,M455/M$4)</f>
        <v>0</v>
      </c>
      <c r="O455" s="661">
        <f>SUM(Калькулятор_жилье!Q304:Q305)</f>
        <v>0</v>
      </c>
      <c r="P455" s="662">
        <f t="shared" ref="P455" si="6138">IF(O455=0,0,O455/O$4)</f>
        <v>0</v>
      </c>
      <c r="Q455" s="661">
        <f>SUM(Калькулятор_жилье!R304:R305)</f>
        <v>0</v>
      </c>
      <c r="R455" s="662">
        <f t="shared" ref="R455" si="6139">IF(Q455=0,0,Q455/Q$4)</f>
        <v>0</v>
      </c>
      <c r="S455" s="661">
        <f>SUM(Калькулятор_жилье!S304:S305)</f>
        <v>0</v>
      </c>
      <c r="T455" s="662">
        <f t="shared" ref="T455" si="6140">IF(S455=0,0,S455/S$4)</f>
        <v>0</v>
      </c>
      <c r="U455" s="661">
        <f>SUM(Калькулятор_жилье!T304:T305)</f>
        <v>0</v>
      </c>
      <c r="V455" s="662">
        <f t="shared" ref="V455" si="6141">IF(U455=0,0,U455/U$4)</f>
        <v>0</v>
      </c>
      <c r="W455" s="661">
        <f>SUM(Калькулятор_жилье!U304:U305)</f>
        <v>0</v>
      </c>
      <c r="X455" s="662">
        <f t="shared" ref="X455" si="6142">IF(W455=0,0,W455/W$4)</f>
        <v>0</v>
      </c>
      <c r="Y455" s="661">
        <f>SUM(Калькулятор_жилье!V304:V305)</f>
        <v>0</v>
      </c>
      <c r="Z455" s="662">
        <f t="shared" ref="Z455" si="6143">IF(Y455=0,0,Y455/Y$4)</f>
        <v>0</v>
      </c>
      <c r="AA455" s="661">
        <f>SUM(Калькулятор_жилье!W304:W305)</f>
        <v>0</v>
      </c>
      <c r="AB455" s="662">
        <f t="shared" ref="AB455" si="6144">IF(AA455=0,0,AA455/AA$4)</f>
        <v>0</v>
      </c>
      <c r="AC455" s="662">
        <f t="shared" si="5951"/>
        <v>10007980.341596132</v>
      </c>
      <c r="AD455" s="662">
        <f t="shared" ref="AD455" si="6145">IF(AC455=0,0,AC455/AC$4)</f>
        <v>62.156379229641075</v>
      </c>
      <c r="AE455" s="665"/>
      <c r="AF455" s="556"/>
      <c r="AG455" s="114"/>
      <c r="AH455" s="114"/>
      <c r="AI455" s="114"/>
      <c r="AJ455" s="114"/>
    </row>
    <row r="456" spans="1:36" s="68" customFormat="1" ht="15.75" hidden="1" outlineLevel="3">
      <c r="A456" s="117"/>
      <c r="B456" s="118" t="s">
        <v>863</v>
      </c>
      <c r="C456" s="661"/>
      <c r="D456" s="662">
        <f t="shared" si="6121"/>
        <v>0</v>
      </c>
      <c r="E456" s="661"/>
      <c r="F456" s="662">
        <f t="shared" si="6121"/>
        <v>0</v>
      </c>
      <c r="G456" s="661">
        <f>SUM(Калькулятор_жилье!M306:M307)</f>
        <v>0</v>
      </c>
      <c r="H456" s="662">
        <f t="shared" ref="H456" si="6146">IF(G456=0,0,G456/G$4)</f>
        <v>0</v>
      </c>
      <c r="I456" s="661">
        <f>SUM(Калькулятор_жилье!N306:N307)</f>
        <v>0</v>
      </c>
      <c r="J456" s="662">
        <f t="shared" ref="J456" si="6147">IF(I456=0,0,I456/I$4)</f>
        <v>0</v>
      </c>
      <c r="K456" s="661">
        <f>SUM(Калькулятор_жилье!O306:O307)</f>
        <v>0</v>
      </c>
      <c r="L456" s="662">
        <f t="shared" ref="L456" si="6148">IF(K456=0,0,K456/K$4)</f>
        <v>0</v>
      </c>
      <c r="M456" s="661">
        <f>SUM(Калькулятор_жилье!P306:P307)</f>
        <v>0</v>
      </c>
      <c r="N456" s="662">
        <f t="shared" ref="N456" si="6149">IF(M456=0,0,M456/M$4)</f>
        <v>0</v>
      </c>
      <c r="O456" s="661">
        <f>SUM(Калькулятор_жилье!Q306:Q307)</f>
        <v>0</v>
      </c>
      <c r="P456" s="662">
        <f t="shared" ref="P456" si="6150">IF(O456=0,0,O456/O$4)</f>
        <v>0</v>
      </c>
      <c r="Q456" s="661">
        <f>SUM(Калькулятор_жилье!R306:R307)</f>
        <v>0</v>
      </c>
      <c r="R456" s="662">
        <f t="shared" ref="R456" si="6151">IF(Q456=0,0,Q456/Q$4)</f>
        <v>0</v>
      </c>
      <c r="S456" s="661">
        <f>SUM(Калькулятор_жилье!S306:S307)</f>
        <v>0</v>
      </c>
      <c r="T456" s="662">
        <f t="shared" ref="T456" si="6152">IF(S456=0,0,S456/S$4)</f>
        <v>0</v>
      </c>
      <c r="U456" s="661">
        <f>SUM(Калькулятор_жилье!T306:T307)</f>
        <v>0</v>
      </c>
      <c r="V456" s="662">
        <f t="shared" ref="V456" si="6153">IF(U456=0,0,U456/U$4)</f>
        <v>0</v>
      </c>
      <c r="W456" s="661">
        <f>SUM(Калькулятор_жилье!U306:U307)</f>
        <v>0</v>
      </c>
      <c r="X456" s="662">
        <f t="shared" ref="X456" si="6154">IF(W456=0,0,W456/W$4)</f>
        <v>0</v>
      </c>
      <c r="Y456" s="661">
        <f>SUM(Калькулятор_жилье!V306:V307)</f>
        <v>0</v>
      </c>
      <c r="Z456" s="662">
        <f t="shared" ref="Z456" si="6155">IF(Y456=0,0,Y456/Y$4)</f>
        <v>0</v>
      </c>
      <c r="AA456" s="661">
        <f>SUM(Калькулятор_жилье!W306:W307)</f>
        <v>0</v>
      </c>
      <c r="AB456" s="662">
        <f t="shared" ref="AB456" si="6156">IF(AA456=0,0,AA456/AA$4)</f>
        <v>0</v>
      </c>
      <c r="AC456" s="662">
        <f t="shared" si="5951"/>
        <v>0</v>
      </c>
      <c r="AD456" s="662">
        <f t="shared" ref="AD456" si="6157">IF(AC456=0,0,AC456/AC$4)</f>
        <v>0</v>
      </c>
      <c r="AE456" s="665"/>
      <c r="AF456" s="556"/>
      <c r="AG456" s="114"/>
      <c r="AH456" s="114"/>
      <c r="AI456" s="114"/>
      <c r="AJ456" s="114"/>
    </row>
    <row r="457" spans="1:36" s="68" customFormat="1" ht="15.75" hidden="1" outlineLevel="3">
      <c r="A457" s="117"/>
      <c r="B457" s="118" t="s">
        <v>72</v>
      </c>
      <c r="C457" s="661"/>
      <c r="D457" s="662">
        <f t="shared" si="6121"/>
        <v>0</v>
      </c>
      <c r="E457" s="661"/>
      <c r="F457" s="662">
        <f t="shared" si="6121"/>
        <v>0</v>
      </c>
      <c r="G457" s="661">
        <f>Калькулятор_жилье!M308</f>
        <v>0</v>
      </c>
      <c r="H457" s="662">
        <f t="shared" ref="H457" si="6158">IF(G457=0,0,G457/G$4)</f>
        <v>0</v>
      </c>
      <c r="I457" s="661">
        <f>Калькулятор_жилье!N308</f>
        <v>0</v>
      </c>
      <c r="J457" s="662">
        <f t="shared" ref="J457" si="6159">IF(I457=0,0,I457/I$4)</f>
        <v>0</v>
      </c>
      <c r="K457" s="661">
        <f>Калькулятор_жилье!O308</f>
        <v>0</v>
      </c>
      <c r="L457" s="662">
        <f t="shared" ref="L457" si="6160">IF(K457=0,0,K457/K$4)</f>
        <v>0</v>
      </c>
      <c r="M457" s="661">
        <f>Калькулятор_жилье!P308</f>
        <v>0</v>
      </c>
      <c r="N457" s="662">
        <f t="shared" ref="N457" si="6161">IF(M457=0,0,M457/M$4)</f>
        <v>0</v>
      </c>
      <c r="O457" s="661">
        <f>Калькулятор_жилье!Q308</f>
        <v>0</v>
      </c>
      <c r="P457" s="662">
        <f t="shared" ref="P457" si="6162">IF(O457=0,0,O457/O$4)</f>
        <v>0</v>
      </c>
      <c r="Q457" s="661">
        <f>Калькулятор_жилье!R308</f>
        <v>0</v>
      </c>
      <c r="R457" s="662">
        <f t="shared" ref="R457" si="6163">IF(Q457=0,0,Q457/Q$4)</f>
        <v>0</v>
      </c>
      <c r="S457" s="661">
        <f>Калькулятор_жилье!S308</f>
        <v>0</v>
      </c>
      <c r="T457" s="662">
        <f t="shared" ref="T457" si="6164">IF(S457=0,0,S457/S$4)</f>
        <v>0</v>
      </c>
      <c r="U457" s="661">
        <f>Калькулятор_жилье!T308</f>
        <v>0</v>
      </c>
      <c r="V457" s="662">
        <f t="shared" ref="V457" si="6165">IF(U457=0,0,U457/U$4)</f>
        <v>0</v>
      </c>
      <c r="W457" s="661">
        <f>Калькулятор_жилье!U308</f>
        <v>0</v>
      </c>
      <c r="X457" s="662">
        <f t="shared" ref="X457" si="6166">IF(W457=0,0,W457/W$4)</f>
        <v>0</v>
      </c>
      <c r="Y457" s="661">
        <f>Калькулятор_жилье!V308</f>
        <v>0</v>
      </c>
      <c r="Z457" s="662">
        <f t="shared" ref="Z457" si="6167">IF(Y457=0,0,Y457/Y$4)</f>
        <v>0</v>
      </c>
      <c r="AA457" s="661">
        <f>Калькулятор_жилье!W308</f>
        <v>0</v>
      </c>
      <c r="AB457" s="662">
        <f t="shared" ref="AB457" si="6168">IF(AA457=0,0,AA457/AA$4)</f>
        <v>0</v>
      </c>
      <c r="AC457" s="662">
        <f t="shared" si="5951"/>
        <v>0</v>
      </c>
      <c r="AD457" s="662">
        <f t="shared" ref="AD457" si="6169">IF(AC457=0,0,AC457/AC$4)</f>
        <v>0</v>
      </c>
      <c r="AE457" s="665"/>
      <c r="AF457" s="556"/>
      <c r="AG457" s="114"/>
      <c r="AH457" s="114"/>
      <c r="AI457" s="114"/>
      <c r="AJ457" s="114"/>
    </row>
    <row r="458" spans="1:36" s="556" customFormat="1" ht="15.75" hidden="1" outlineLevel="2" collapsed="1">
      <c r="A458" s="609" t="s">
        <v>1350</v>
      </c>
      <c r="B458" s="559" t="s">
        <v>1349</v>
      </c>
      <c r="C458" s="659">
        <f>C459+C463+C460</f>
        <v>15725185.546400001</v>
      </c>
      <c r="D458" s="660">
        <f t="shared" si="6121"/>
        <v>97.664120323664051</v>
      </c>
      <c r="E458" s="659">
        <f t="shared" ref="E458" si="6170">E459+E463</f>
        <v>0</v>
      </c>
      <c r="F458" s="660">
        <f t="shared" si="6121"/>
        <v>0</v>
      </c>
      <c r="G458" s="659">
        <f t="shared" ref="G458" si="6171">G459+G463</f>
        <v>0</v>
      </c>
      <c r="H458" s="660">
        <f t="shared" ref="H458" si="6172">IF(G458=0,0,G458/G$4)</f>
        <v>0</v>
      </c>
      <c r="I458" s="659">
        <f t="shared" ref="I458" si="6173">I459+I463</f>
        <v>0</v>
      </c>
      <c r="J458" s="660">
        <f t="shared" ref="J458" si="6174">IF(I458=0,0,I458/I$4)</f>
        <v>0</v>
      </c>
      <c r="K458" s="659">
        <f t="shared" ref="K458" si="6175">K459+K463</f>
        <v>0</v>
      </c>
      <c r="L458" s="660">
        <f t="shared" ref="L458" si="6176">IF(K458=0,0,K458/K$4)</f>
        <v>0</v>
      </c>
      <c r="M458" s="659">
        <f t="shared" ref="M458" si="6177">M459+M463</f>
        <v>0</v>
      </c>
      <c r="N458" s="660">
        <f t="shared" ref="N458" si="6178">IF(M458=0,0,M458/M$4)</f>
        <v>0</v>
      </c>
      <c r="O458" s="659">
        <f t="shared" ref="O458" si="6179">O459+O463</f>
        <v>0</v>
      </c>
      <c r="P458" s="660">
        <f t="shared" ref="P458" si="6180">IF(O458=0,0,O458/O$4)</f>
        <v>0</v>
      </c>
      <c r="Q458" s="659">
        <f t="shared" ref="Q458" si="6181">Q459+Q463</f>
        <v>0</v>
      </c>
      <c r="R458" s="660">
        <f t="shared" ref="R458" si="6182">IF(Q458=0,0,Q458/Q$4)</f>
        <v>0</v>
      </c>
      <c r="S458" s="659">
        <f t="shared" ref="S458" si="6183">S459+S463</f>
        <v>0</v>
      </c>
      <c r="T458" s="660">
        <f t="shared" ref="T458" si="6184">IF(S458=0,0,S458/S$4)</f>
        <v>0</v>
      </c>
      <c r="U458" s="659">
        <f t="shared" ref="U458" si="6185">U459+U463</f>
        <v>0</v>
      </c>
      <c r="V458" s="660">
        <f t="shared" ref="V458" si="6186">IF(U458=0,0,U458/U$4)</f>
        <v>0</v>
      </c>
      <c r="W458" s="659">
        <f t="shared" ref="W458" si="6187">W459+W463</f>
        <v>0</v>
      </c>
      <c r="X458" s="660">
        <f t="shared" ref="X458" si="6188">IF(W458=0,0,W458/W$4)</f>
        <v>0</v>
      </c>
      <c r="Y458" s="659">
        <f t="shared" ref="Y458" si="6189">Y459+Y463</f>
        <v>0</v>
      </c>
      <c r="Z458" s="660">
        <f t="shared" ref="Z458" si="6190">IF(Y458=0,0,Y458/Y$4)</f>
        <v>0</v>
      </c>
      <c r="AA458" s="659">
        <f t="shared" ref="AA458" si="6191">AA459+AA463</f>
        <v>0</v>
      </c>
      <c r="AB458" s="660">
        <f t="shared" ref="AB458" si="6192">IF(AA458=0,0,AA458/AA$4)</f>
        <v>0</v>
      </c>
      <c r="AC458" s="659">
        <f>AC459+AC463+AC460</f>
        <v>15725185.546400001</v>
      </c>
      <c r="AD458" s="660">
        <f t="shared" ref="AD458" si="6193">IF(AC458=0,0,AC458/AC$4)</f>
        <v>97.664120323664051</v>
      </c>
      <c r="AE458" s="654"/>
    </row>
    <row r="459" spans="1:36" s="68" customFormat="1" ht="15.75" hidden="1" outlineLevel="3">
      <c r="A459" s="117"/>
      <c r="B459" s="118" t="s">
        <v>768</v>
      </c>
      <c r="C459" s="661">
        <f>Калькулятор_жилье!K563</f>
        <v>0</v>
      </c>
      <c r="D459" s="662">
        <f t="shared" si="6121"/>
        <v>0</v>
      </c>
      <c r="E459" s="661"/>
      <c r="F459" s="662">
        <f t="shared" si="6121"/>
        <v>0</v>
      </c>
      <c r="G459" s="661"/>
      <c r="H459" s="662">
        <f t="shared" ref="H459" si="6194">IF(G459=0,0,G459/G$4)</f>
        <v>0</v>
      </c>
      <c r="I459" s="661"/>
      <c r="J459" s="662">
        <f t="shared" ref="J459" si="6195">IF(I459=0,0,I459/I$4)</f>
        <v>0</v>
      </c>
      <c r="K459" s="661"/>
      <c r="L459" s="662">
        <f t="shared" ref="L459" si="6196">IF(K459=0,0,K459/K$4)</f>
        <v>0</v>
      </c>
      <c r="M459" s="661"/>
      <c r="N459" s="662">
        <f t="shared" ref="N459" si="6197">IF(M459=0,0,M459/M$4)</f>
        <v>0</v>
      </c>
      <c r="O459" s="661"/>
      <c r="P459" s="662">
        <f t="shared" ref="P459" si="6198">IF(O459=0,0,O459/O$4)</f>
        <v>0</v>
      </c>
      <c r="Q459" s="661"/>
      <c r="R459" s="662">
        <f t="shared" ref="R459" si="6199">IF(Q459=0,0,Q459/Q$4)</f>
        <v>0</v>
      </c>
      <c r="S459" s="661"/>
      <c r="T459" s="662">
        <f t="shared" ref="T459" si="6200">IF(S459=0,0,S459/S$4)</f>
        <v>0</v>
      </c>
      <c r="U459" s="661"/>
      <c r="V459" s="662">
        <f t="shared" ref="V459" si="6201">IF(U459=0,0,U459/U$4)</f>
        <v>0</v>
      </c>
      <c r="W459" s="661"/>
      <c r="X459" s="662">
        <f t="shared" ref="X459" si="6202">IF(W459=0,0,W459/W$4)</f>
        <v>0</v>
      </c>
      <c r="Y459" s="661"/>
      <c r="Z459" s="662">
        <f t="shared" ref="Z459" si="6203">IF(Y459=0,0,Y459/Y$4)</f>
        <v>0</v>
      </c>
      <c r="AA459" s="661"/>
      <c r="AB459" s="662">
        <f t="shared" ref="AB459" si="6204">IF(AA459=0,0,AA459/AA$4)</f>
        <v>0</v>
      </c>
      <c r="AC459" s="662">
        <f t="shared" ref="AC459" si="6205">C459+E459+G459+I459+K459+M459+O459+Q459+S459+U459+W459+AA459+Y459</f>
        <v>0</v>
      </c>
      <c r="AD459" s="662">
        <f t="shared" ref="AD459" si="6206">IF(AC459=0,0,AC459/AC$4)</f>
        <v>0</v>
      </c>
      <c r="AE459" s="665"/>
      <c r="AF459" s="556"/>
      <c r="AG459" s="114"/>
      <c r="AH459" s="114"/>
      <c r="AI459" s="114"/>
      <c r="AJ459" s="114"/>
    </row>
    <row r="460" spans="1:36" s="68" customFormat="1" ht="19.5" hidden="1" customHeight="1" outlineLevel="3">
      <c r="A460" s="117"/>
      <c r="B460" s="118" t="s">
        <v>1849</v>
      </c>
      <c r="C460" s="661">
        <f>Калькулятор_жилье!K564</f>
        <v>0</v>
      </c>
      <c r="D460" s="662">
        <f t="shared" si="6121"/>
        <v>0</v>
      </c>
      <c r="E460" s="661"/>
      <c r="F460" s="662">
        <f t="shared" si="6121"/>
        <v>0</v>
      </c>
      <c r="G460" s="661"/>
      <c r="H460" s="662">
        <f t="shared" ref="H460" si="6207">IF(G460=0,0,G460/G$4)</f>
        <v>0</v>
      </c>
      <c r="I460" s="661"/>
      <c r="J460" s="662">
        <f t="shared" ref="J460" si="6208">IF(I460=0,0,I460/I$4)</f>
        <v>0</v>
      </c>
      <c r="K460" s="661"/>
      <c r="L460" s="662">
        <f t="shared" ref="L460" si="6209">IF(K460=0,0,K460/K$4)</f>
        <v>0</v>
      </c>
      <c r="M460" s="661"/>
      <c r="N460" s="662">
        <f t="shared" ref="N460" si="6210">IF(M460=0,0,M460/M$4)</f>
        <v>0</v>
      </c>
      <c r="O460" s="661"/>
      <c r="P460" s="662">
        <f t="shared" ref="P460" si="6211">IF(O460=0,0,O460/O$4)</f>
        <v>0</v>
      </c>
      <c r="Q460" s="661"/>
      <c r="R460" s="662">
        <f t="shared" ref="R460" si="6212">IF(Q460=0,0,Q460/Q$4)</f>
        <v>0</v>
      </c>
      <c r="S460" s="661"/>
      <c r="T460" s="662">
        <f t="shared" ref="T460" si="6213">IF(S460=0,0,S460/S$4)</f>
        <v>0</v>
      </c>
      <c r="U460" s="661"/>
      <c r="V460" s="662">
        <f t="shared" ref="V460" si="6214">IF(U460=0,0,U460/U$4)</f>
        <v>0</v>
      </c>
      <c r="W460" s="661"/>
      <c r="X460" s="662">
        <f t="shared" ref="X460" si="6215">IF(W460=0,0,W460/W$4)</f>
        <v>0</v>
      </c>
      <c r="Y460" s="661"/>
      <c r="Z460" s="662">
        <f t="shared" ref="Z460" si="6216">IF(Y460=0,0,Y460/Y$4)</f>
        <v>0</v>
      </c>
      <c r="AA460" s="661"/>
      <c r="AB460" s="662">
        <f t="shared" ref="AB460" si="6217">IF(AA460=0,0,AA460/AA$4)</f>
        <v>0</v>
      </c>
      <c r="AC460" s="662">
        <f t="shared" ref="AC460:AC462" si="6218">C460+E460+G460+I460+K460+M460+O460+Q460+S460+U460+W460+AA460+Y460</f>
        <v>0</v>
      </c>
      <c r="AD460" s="662">
        <f t="shared" ref="AD460" si="6219">IF(AC460=0,0,AC460/AC$4)</f>
        <v>0</v>
      </c>
      <c r="AE460" s="665"/>
      <c r="AF460" s="556"/>
      <c r="AG460" s="114"/>
      <c r="AH460" s="114"/>
      <c r="AI460" s="114"/>
      <c r="AJ460" s="114"/>
    </row>
    <row r="461" spans="1:36" s="68" customFormat="1" ht="15.75" hidden="1" outlineLevel="5">
      <c r="A461" s="245"/>
      <c r="B461" s="246" t="s">
        <v>419</v>
      </c>
      <c r="C461" s="663">
        <f>C460-C462*курс</f>
        <v>0</v>
      </c>
      <c r="D461" s="663">
        <f t="shared" si="6121"/>
        <v>0</v>
      </c>
      <c r="E461" s="663"/>
      <c r="F461" s="663">
        <f t="shared" si="6121"/>
        <v>0</v>
      </c>
      <c r="G461" s="663">
        <f>G460-G462*курс</f>
        <v>0</v>
      </c>
      <c r="H461" s="663">
        <f t="shared" ref="H461" si="6220">IF(G461=0,0,G461/G$4)</f>
        <v>0</v>
      </c>
      <c r="I461" s="663">
        <f>I460-I462*курс</f>
        <v>0</v>
      </c>
      <c r="J461" s="663">
        <f t="shared" ref="J461" si="6221">IF(I461=0,0,I461/I$4)</f>
        <v>0</v>
      </c>
      <c r="K461" s="663">
        <f>K460-K462*курс</f>
        <v>0</v>
      </c>
      <c r="L461" s="663">
        <f t="shared" ref="L461" si="6222">IF(K461=0,0,K461/K$4)</f>
        <v>0</v>
      </c>
      <c r="M461" s="663">
        <f>M460-M462*курс</f>
        <v>0</v>
      </c>
      <c r="N461" s="663">
        <f t="shared" ref="N461" si="6223">IF(M461=0,0,M461/M$4)</f>
        <v>0</v>
      </c>
      <c r="O461" s="663">
        <f>O460-O462*курс</f>
        <v>0</v>
      </c>
      <c r="P461" s="663">
        <f t="shared" ref="P461" si="6224">IF(O461=0,0,O461/O$4)</f>
        <v>0</v>
      </c>
      <c r="Q461" s="663">
        <f>Q460-Q462*курс</f>
        <v>0</v>
      </c>
      <c r="R461" s="663">
        <f t="shared" ref="R461" si="6225">IF(Q461=0,0,Q461/Q$4)</f>
        <v>0</v>
      </c>
      <c r="S461" s="663">
        <f>S460-S462*курс</f>
        <v>0</v>
      </c>
      <c r="T461" s="663">
        <f t="shared" ref="T461" si="6226">IF(S461=0,0,S461/S$4)</f>
        <v>0</v>
      </c>
      <c r="U461" s="663">
        <f>U460-U462*курс</f>
        <v>0</v>
      </c>
      <c r="V461" s="663">
        <f t="shared" ref="V461" si="6227">IF(U461=0,0,U461/U$4)</f>
        <v>0</v>
      </c>
      <c r="W461" s="663">
        <f>W460-W462*курс</f>
        <v>0</v>
      </c>
      <c r="X461" s="663">
        <f t="shared" ref="X461" si="6228">IF(W461=0,0,W461/W$4)</f>
        <v>0</v>
      </c>
      <c r="Y461" s="663">
        <f>Y460-Y462*курс</f>
        <v>0</v>
      </c>
      <c r="Z461" s="663">
        <f t="shared" ref="Z461" si="6229">IF(Y461=0,0,Y461/Y$4)</f>
        <v>0</v>
      </c>
      <c r="AA461" s="663">
        <f>AA460-AA462*курс</f>
        <v>0</v>
      </c>
      <c r="AB461" s="663">
        <f t="shared" ref="AB461" si="6230">IF(AA461=0,0,AA461/AA$4)</f>
        <v>0</v>
      </c>
      <c r="AC461" s="664">
        <f t="shared" si="6218"/>
        <v>0</v>
      </c>
      <c r="AD461" s="663">
        <f t="shared" ref="AD461" si="6231">IF(AC461=0,0,AC461/AC$4)</f>
        <v>0</v>
      </c>
      <c r="AE461" s="665"/>
      <c r="AF461" s="556"/>
      <c r="AG461" s="114"/>
      <c r="AH461" s="114"/>
      <c r="AI461" s="114"/>
      <c r="AJ461" s="114"/>
    </row>
    <row r="462" spans="1:36" s="68" customFormat="1" ht="15.75" hidden="1" outlineLevel="5">
      <c r="A462" s="245"/>
      <c r="B462" s="246" t="s">
        <v>420</v>
      </c>
      <c r="C462" s="663">
        <f>Калькулятор_жилье!G564*Калькулятор_жилье!I564</f>
        <v>0</v>
      </c>
      <c r="D462" s="663">
        <f t="shared" si="6121"/>
        <v>0</v>
      </c>
      <c r="E462" s="663"/>
      <c r="F462" s="663">
        <f t="shared" si="6121"/>
        <v>0</v>
      </c>
      <c r="G462" s="663">
        <f>SUM(Калькулятор_жилье!AC375:AC378)</f>
        <v>0</v>
      </c>
      <c r="H462" s="663">
        <f t="shared" ref="H462" si="6232">IF(G462=0,0,G462/G$4)</f>
        <v>0</v>
      </c>
      <c r="I462" s="663">
        <f>SUM(Калькулятор_жилье!AD375:AD378)</f>
        <v>0</v>
      </c>
      <c r="J462" s="663">
        <f t="shared" ref="J462" si="6233">IF(I462=0,0,I462/I$4)</f>
        <v>0</v>
      </c>
      <c r="K462" s="663">
        <f>SUM(Калькулятор_жилье!AE375:AE378)</f>
        <v>0</v>
      </c>
      <c r="L462" s="663">
        <f t="shared" ref="L462" si="6234">IF(K462=0,0,K462/K$4)</f>
        <v>0</v>
      </c>
      <c r="M462" s="663">
        <f>SUM(Калькулятор_жилье!AF375:AF378)</f>
        <v>0</v>
      </c>
      <c r="N462" s="663">
        <f t="shared" ref="N462" si="6235">IF(M462=0,0,M462/M$4)</f>
        <v>0</v>
      </c>
      <c r="O462" s="663">
        <f>SUM(Калькулятор_жилье!AG375:AG378)</f>
        <v>0</v>
      </c>
      <c r="P462" s="663">
        <f t="shared" ref="P462" si="6236">IF(O462=0,0,O462/O$4)</f>
        <v>0</v>
      </c>
      <c r="Q462" s="663">
        <f>SUM(Калькулятор_жилье!AH375:AH378)</f>
        <v>0</v>
      </c>
      <c r="R462" s="663">
        <f t="shared" ref="R462" si="6237">IF(Q462=0,0,Q462/Q$4)</f>
        <v>0</v>
      </c>
      <c r="S462" s="663">
        <f>SUM(Калькулятор_жилье!AI375:AI378)</f>
        <v>0</v>
      </c>
      <c r="T462" s="663">
        <f t="shared" ref="T462" si="6238">IF(S462=0,0,S462/S$4)</f>
        <v>0</v>
      </c>
      <c r="U462" s="663">
        <f>SUM(Калькулятор_жилье!AJ375:AJ378)</f>
        <v>0</v>
      </c>
      <c r="V462" s="663">
        <f t="shared" ref="V462" si="6239">IF(U462=0,0,U462/U$4)</f>
        <v>0</v>
      </c>
      <c r="W462" s="663">
        <f>SUM(Калькулятор_жилье!AK375:AK378)</f>
        <v>0</v>
      </c>
      <c r="X462" s="663">
        <f t="shared" ref="X462" si="6240">IF(W462=0,0,W462/W$4)</f>
        <v>0</v>
      </c>
      <c r="Y462" s="663">
        <f>SUM(Калькулятор_жилье!AL375:AL378)</f>
        <v>0</v>
      </c>
      <c r="Z462" s="663">
        <f t="shared" ref="Z462" si="6241">IF(Y462=0,0,Y462/Y$4)</f>
        <v>0</v>
      </c>
      <c r="AA462" s="663">
        <f>SUM(Калькулятор_жилье!AM375:AM378)</f>
        <v>0</v>
      </c>
      <c r="AB462" s="663">
        <f t="shared" ref="AB462" si="6242">IF(AA462=0,0,AA462/AA$4)</f>
        <v>0</v>
      </c>
      <c r="AC462" s="664">
        <f t="shared" si="6218"/>
        <v>0</v>
      </c>
      <c r="AD462" s="663">
        <f t="shared" ref="AD462" si="6243">IF(AC462=0,0,AC462/AC$4)</f>
        <v>0</v>
      </c>
      <c r="AE462" s="665"/>
      <c r="AF462" s="556"/>
      <c r="AG462" s="114"/>
      <c r="AH462" s="114"/>
      <c r="AI462" s="114"/>
      <c r="AJ462" s="114"/>
    </row>
    <row r="463" spans="1:36" s="68" customFormat="1" ht="15.75" hidden="1" outlineLevel="3">
      <c r="A463" s="117"/>
      <c r="B463" s="118" t="s">
        <v>260</v>
      </c>
      <c r="C463" s="661">
        <f>SUM(C464:C468)</f>
        <v>15725185.546400001</v>
      </c>
      <c r="D463" s="662">
        <f t="shared" si="6121"/>
        <v>97.664120323664051</v>
      </c>
      <c r="E463" s="661"/>
      <c r="F463" s="662">
        <f t="shared" si="6121"/>
        <v>0</v>
      </c>
      <c r="G463" s="661"/>
      <c r="H463" s="662">
        <f t="shared" ref="H463" si="6244">IF(G463=0,0,G463/G$4)</f>
        <v>0</v>
      </c>
      <c r="I463" s="661"/>
      <c r="J463" s="662">
        <f t="shared" ref="J463" si="6245">IF(I463=0,0,I463/I$4)</f>
        <v>0</v>
      </c>
      <c r="K463" s="661"/>
      <c r="L463" s="662">
        <f t="shared" ref="L463" si="6246">IF(K463=0,0,K463/K$4)</f>
        <v>0</v>
      </c>
      <c r="M463" s="661"/>
      <c r="N463" s="662">
        <f t="shared" ref="N463" si="6247">IF(M463=0,0,M463/M$4)</f>
        <v>0</v>
      </c>
      <c r="O463" s="661"/>
      <c r="P463" s="662">
        <f t="shared" ref="P463" si="6248">IF(O463=0,0,O463/O$4)</f>
        <v>0</v>
      </c>
      <c r="Q463" s="661"/>
      <c r="R463" s="662">
        <f t="shared" ref="R463" si="6249">IF(Q463=0,0,Q463/Q$4)</f>
        <v>0</v>
      </c>
      <c r="S463" s="661"/>
      <c r="T463" s="662">
        <f t="shared" ref="T463" si="6250">IF(S463=0,0,S463/S$4)</f>
        <v>0</v>
      </c>
      <c r="U463" s="661"/>
      <c r="V463" s="662">
        <f t="shared" ref="V463" si="6251">IF(U463=0,0,U463/U$4)</f>
        <v>0</v>
      </c>
      <c r="W463" s="661"/>
      <c r="X463" s="662">
        <f t="shared" ref="X463" si="6252">IF(W463=0,0,W463/W$4)</f>
        <v>0</v>
      </c>
      <c r="Y463" s="661"/>
      <c r="Z463" s="662">
        <f t="shared" ref="Z463" si="6253">IF(Y463=0,0,Y463/Y$4)</f>
        <v>0</v>
      </c>
      <c r="AA463" s="661"/>
      <c r="AB463" s="662">
        <f t="shared" ref="AB463" si="6254">IF(AA463=0,0,AA463/AA$4)</f>
        <v>0</v>
      </c>
      <c r="AC463" s="662">
        <f>C463+E463+G463+I463+K463+M463+O463+Q463+S463+U463+W463+AA463+Y463</f>
        <v>15725185.546400001</v>
      </c>
      <c r="AD463" s="662">
        <f t="shared" ref="AD463" si="6255">IF(AC463=0,0,AC463/AC$4)</f>
        <v>97.664120323664051</v>
      </c>
      <c r="AE463" s="665"/>
      <c r="AF463" s="556"/>
      <c r="AG463" s="114"/>
      <c r="AH463" s="114"/>
      <c r="AI463" s="114"/>
      <c r="AJ463" s="114"/>
    </row>
    <row r="464" spans="1:36" s="68" customFormat="1" ht="15.75" hidden="1" outlineLevel="4">
      <c r="A464" s="245"/>
      <c r="B464" s="246" t="s">
        <v>777</v>
      </c>
      <c r="C464" s="663">
        <f>Калькулятор_жилье!K566</f>
        <v>0</v>
      </c>
      <c r="D464" s="664">
        <f t="shared" si="6121"/>
        <v>0</v>
      </c>
      <c r="E464" s="663"/>
      <c r="F464" s="664">
        <f t="shared" si="6121"/>
        <v>0</v>
      </c>
      <c r="G464" s="663"/>
      <c r="H464" s="664">
        <f t="shared" ref="H464" si="6256">IF(G464=0,0,G464/G$4)</f>
        <v>0</v>
      </c>
      <c r="I464" s="663"/>
      <c r="J464" s="664">
        <f t="shared" ref="J464" si="6257">IF(I464=0,0,I464/I$4)</f>
        <v>0</v>
      </c>
      <c r="K464" s="663"/>
      <c r="L464" s="664">
        <f t="shared" ref="L464" si="6258">IF(K464=0,0,K464/K$4)</f>
        <v>0</v>
      </c>
      <c r="M464" s="663"/>
      <c r="N464" s="664">
        <f t="shared" ref="N464" si="6259">IF(M464=0,0,M464/M$4)</f>
        <v>0</v>
      </c>
      <c r="O464" s="663"/>
      <c r="P464" s="664">
        <f t="shared" ref="P464" si="6260">IF(O464=0,0,O464/O$4)</f>
        <v>0</v>
      </c>
      <c r="Q464" s="663"/>
      <c r="R464" s="664">
        <f t="shared" ref="R464" si="6261">IF(Q464=0,0,Q464/Q$4)</f>
        <v>0</v>
      </c>
      <c r="S464" s="663"/>
      <c r="T464" s="664">
        <f t="shared" ref="T464" si="6262">IF(S464=0,0,S464/S$4)</f>
        <v>0</v>
      </c>
      <c r="U464" s="663"/>
      <c r="V464" s="664">
        <f t="shared" ref="V464" si="6263">IF(U464=0,0,U464/U$4)</f>
        <v>0</v>
      </c>
      <c r="W464" s="663"/>
      <c r="X464" s="664">
        <f t="shared" ref="X464" si="6264">IF(W464=0,0,W464/W$4)</f>
        <v>0</v>
      </c>
      <c r="Y464" s="663"/>
      <c r="Z464" s="664">
        <f t="shared" ref="Z464" si="6265">IF(Y464=0,0,Y464/Y$4)</f>
        <v>0</v>
      </c>
      <c r="AA464" s="663"/>
      <c r="AB464" s="664">
        <f t="shared" ref="AB464" si="6266">IF(AA464=0,0,AA464/AA$4)</f>
        <v>0</v>
      </c>
      <c r="AC464" s="664">
        <f t="shared" ref="AC464:AC468" si="6267">C464+E464+G464+I464+K464+M464+O464+Q464+S464+U464+W464+AA464+Y464</f>
        <v>0</v>
      </c>
      <c r="AD464" s="664">
        <f t="shared" ref="AD464" si="6268">IF(AC464=0,0,AC464/AC$4)</f>
        <v>0</v>
      </c>
      <c r="AE464" s="665"/>
      <c r="AF464" s="556"/>
      <c r="AG464" s="114"/>
      <c r="AH464" s="114"/>
      <c r="AI464" s="114"/>
      <c r="AJ464" s="114"/>
    </row>
    <row r="465" spans="1:36" s="68" customFormat="1" ht="15.75" hidden="1" outlineLevel="4">
      <c r="A465" s="245"/>
      <c r="B465" s="246" t="s">
        <v>774</v>
      </c>
      <c r="C465" s="663">
        <f>Калькулятор_жилье!K567</f>
        <v>0</v>
      </c>
      <c r="D465" s="664">
        <f t="shared" si="6121"/>
        <v>0</v>
      </c>
      <c r="E465" s="663"/>
      <c r="F465" s="664">
        <f t="shared" si="6121"/>
        <v>0</v>
      </c>
      <c r="G465" s="663"/>
      <c r="H465" s="664">
        <f t="shared" ref="H465" si="6269">IF(G465=0,0,G465/G$4)</f>
        <v>0</v>
      </c>
      <c r="I465" s="663"/>
      <c r="J465" s="664">
        <f t="shared" ref="J465" si="6270">IF(I465=0,0,I465/I$4)</f>
        <v>0</v>
      </c>
      <c r="K465" s="663"/>
      <c r="L465" s="664">
        <f t="shared" ref="L465" si="6271">IF(K465=0,0,K465/K$4)</f>
        <v>0</v>
      </c>
      <c r="M465" s="663"/>
      <c r="N465" s="664">
        <f t="shared" ref="N465" si="6272">IF(M465=0,0,M465/M$4)</f>
        <v>0</v>
      </c>
      <c r="O465" s="663"/>
      <c r="P465" s="664">
        <f t="shared" ref="P465" si="6273">IF(O465=0,0,O465/O$4)</f>
        <v>0</v>
      </c>
      <c r="Q465" s="663"/>
      <c r="R465" s="664">
        <f t="shared" ref="R465" si="6274">IF(Q465=0,0,Q465/Q$4)</f>
        <v>0</v>
      </c>
      <c r="S465" s="663"/>
      <c r="T465" s="664">
        <f t="shared" ref="T465" si="6275">IF(S465=0,0,S465/S$4)</f>
        <v>0</v>
      </c>
      <c r="U465" s="663"/>
      <c r="V465" s="664">
        <f t="shared" ref="V465" si="6276">IF(U465=0,0,U465/U$4)</f>
        <v>0</v>
      </c>
      <c r="W465" s="663"/>
      <c r="X465" s="664">
        <f t="shared" ref="X465" si="6277">IF(W465=0,0,W465/W$4)</f>
        <v>0</v>
      </c>
      <c r="Y465" s="663"/>
      <c r="Z465" s="664">
        <f t="shared" ref="Z465" si="6278">IF(Y465=0,0,Y465/Y$4)</f>
        <v>0</v>
      </c>
      <c r="AA465" s="663"/>
      <c r="AB465" s="664">
        <f t="shared" ref="AB465" si="6279">IF(AA465=0,0,AA465/AA$4)</f>
        <v>0</v>
      </c>
      <c r="AC465" s="664">
        <f t="shared" ref="AC465:AC467" si="6280">C465+E465+G465+I465+K465+M465+O465+Q465+S465+U465+W465+AA465+Y465</f>
        <v>0</v>
      </c>
      <c r="AD465" s="664">
        <f t="shared" ref="AD465" si="6281">IF(AC465=0,0,AC465/AC$4)</f>
        <v>0</v>
      </c>
      <c r="AE465" s="665"/>
      <c r="AF465" s="556"/>
      <c r="AG465" s="114"/>
      <c r="AH465" s="114"/>
      <c r="AI465" s="114"/>
      <c r="AJ465" s="114"/>
    </row>
    <row r="466" spans="1:36" s="68" customFormat="1" ht="15.75" hidden="1" outlineLevel="4">
      <c r="A466" s="245"/>
      <c r="B466" s="246" t="s">
        <v>775</v>
      </c>
      <c r="C466" s="663">
        <f>Калькулятор_жилье!K568</f>
        <v>0</v>
      </c>
      <c r="D466" s="664">
        <f t="shared" si="6121"/>
        <v>0</v>
      </c>
      <c r="E466" s="663"/>
      <c r="F466" s="664">
        <f t="shared" si="6121"/>
        <v>0</v>
      </c>
      <c r="G466" s="663"/>
      <c r="H466" s="664">
        <f t="shared" ref="H466" si="6282">IF(G466=0,0,G466/G$4)</f>
        <v>0</v>
      </c>
      <c r="I466" s="663"/>
      <c r="J466" s="664">
        <f t="shared" ref="J466" si="6283">IF(I466=0,0,I466/I$4)</f>
        <v>0</v>
      </c>
      <c r="K466" s="663"/>
      <c r="L466" s="664">
        <f t="shared" ref="L466" si="6284">IF(K466=0,0,K466/K$4)</f>
        <v>0</v>
      </c>
      <c r="M466" s="663"/>
      <c r="N466" s="664">
        <f t="shared" ref="N466" si="6285">IF(M466=0,0,M466/M$4)</f>
        <v>0</v>
      </c>
      <c r="O466" s="663"/>
      <c r="P466" s="664">
        <f t="shared" ref="P466" si="6286">IF(O466=0,0,O466/O$4)</f>
        <v>0</v>
      </c>
      <c r="Q466" s="663"/>
      <c r="R466" s="664">
        <f t="shared" ref="R466" si="6287">IF(Q466=0,0,Q466/Q$4)</f>
        <v>0</v>
      </c>
      <c r="S466" s="663"/>
      <c r="T466" s="664">
        <f t="shared" ref="T466" si="6288">IF(S466=0,0,S466/S$4)</f>
        <v>0</v>
      </c>
      <c r="U466" s="663"/>
      <c r="V466" s="664">
        <f t="shared" ref="V466" si="6289">IF(U466=0,0,U466/U$4)</f>
        <v>0</v>
      </c>
      <c r="W466" s="663"/>
      <c r="X466" s="664">
        <f t="shared" ref="X466" si="6290">IF(W466=0,0,W466/W$4)</f>
        <v>0</v>
      </c>
      <c r="Y466" s="663"/>
      <c r="Z466" s="664">
        <f t="shared" ref="Z466" si="6291">IF(Y466=0,0,Y466/Y$4)</f>
        <v>0</v>
      </c>
      <c r="AA466" s="663"/>
      <c r="AB466" s="664">
        <f t="shared" ref="AB466" si="6292">IF(AA466=0,0,AA466/AA$4)</f>
        <v>0</v>
      </c>
      <c r="AC466" s="664">
        <f t="shared" si="6280"/>
        <v>0</v>
      </c>
      <c r="AD466" s="664">
        <f t="shared" ref="AD466" si="6293">IF(AC466=0,0,AC466/AC$4)</f>
        <v>0</v>
      </c>
      <c r="AE466" s="665"/>
      <c r="AF466" s="556"/>
      <c r="AG466" s="114"/>
      <c r="AH466" s="114"/>
      <c r="AI466" s="114"/>
      <c r="AJ466" s="114"/>
    </row>
    <row r="467" spans="1:36" s="68" customFormat="1" ht="15.75" hidden="1" outlineLevel="4">
      <c r="A467" s="245"/>
      <c r="B467" s="246" t="s">
        <v>776</v>
      </c>
      <c r="C467" s="663">
        <f>Калькулятор_жилье!K569</f>
        <v>0</v>
      </c>
      <c r="D467" s="664">
        <f t="shared" si="6121"/>
        <v>0</v>
      </c>
      <c r="E467" s="663"/>
      <c r="F467" s="664">
        <f t="shared" si="6121"/>
        <v>0</v>
      </c>
      <c r="G467" s="663"/>
      <c r="H467" s="664">
        <f t="shared" ref="H467" si="6294">IF(G467=0,0,G467/G$4)</f>
        <v>0</v>
      </c>
      <c r="I467" s="663"/>
      <c r="J467" s="664">
        <f t="shared" ref="J467" si="6295">IF(I467=0,0,I467/I$4)</f>
        <v>0</v>
      </c>
      <c r="K467" s="663"/>
      <c r="L467" s="664">
        <f t="shared" ref="L467" si="6296">IF(K467=0,0,K467/K$4)</f>
        <v>0</v>
      </c>
      <c r="M467" s="663"/>
      <c r="N467" s="664">
        <f t="shared" ref="N467" si="6297">IF(M467=0,0,M467/M$4)</f>
        <v>0</v>
      </c>
      <c r="O467" s="663"/>
      <c r="P467" s="664">
        <f t="shared" ref="P467" si="6298">IF(O467=0,0,O467/O$4)</f>
        <v>0</v>
      </c>
      <c r="Q467" s="663"/>
      <c r="R467" s="664">
        <f t="shared" ref="R467" si="6299">IF(Q467=0,0,Q467/Q$4)</f>
        <v>0</v>
      </c>
      <c r="S467" s="663"/>
      <c r="T467" s="664">
        <f t="shared" ref="T467" si="6300">IF(S467=0,0,S467/S$4)</f>
        <v>0</v>
      </c>
      <c r="U467" s="663"/>
      <c r="V467" s="664">
        <f t="shared" ref="V467" si="6301">IF(U467=0,0,U467/U$4)</f>
        <v>0</v>
      </c>
      <c r="W467" s="663"/>
      <c r="X467" s="664">
        <f t="shared" ref="X467" si="6302">IF(W467=0,0,W467/W$4)</f>
        <v>0</v>
      </c>
      <c r="Y467" s="663"/>
      <c r="Z467" s="664">
        <f t="shared" ref="Z467" si="6303">IF(Y467=0,0,Y467/Y$4)</f>
        <v>0</v>
      </c>
      <c r="AA467" s="663"/>
      <c r="AB467" s="664">
        <f t="shared" ref="AB467" si="6304">IF(AA467=0,0,AA467/AA$4)</f>
        <v>0</v>
      </c>
      <c r="AC467" s="664">
        <f t="shared" si="6280"/>
        <v>0</v>
      </c>
      <c r="AD467" s="664">
        <f t="shared" ref="AD467" si="6305">IF(AC467=0,0,AC467/AC$4)</f>
        <v>0</v>
      </c>
      <c r="AE467" s="665"/>
      <c r="AF467" s="556"/>
      <c r="AG467" s="114"/>
      <c r="AH467" s="114"/>
      <c r="AI467" s="114"/>
      <c r="AJ467" s="114"/>
    </row>
    <row r="468" spans="1:36" s="68" customFormat="1" ht="15.75" hidden="1" outlineLevel="4">
      <c r="A468" s="245"/>
      <c r="B468" s="246" t="s">
        <v>736</v>
      </c>
      <c r="C468" s="663">
        <f>Калькулятор_жилье!K570</f>
        <v>15725185.546400001</v>
      </c>
      <c r="D468" s="664">
        <f t="shared" si="6121"/>
        <v>97.664120323664051</v>
      </c>
      <c r="E468" s="663"/>
      <c r="F468" s="664">
        <f t="shared" si="6121"/>
        <v>0</v>
      </c>
      <c r="G468" s="663"/>
      <c r="H468" s="664">
        <f t="shared" ref="H468" si="6306">IF(G468=0,0,G468/G$4)</f>
        <v>0</v>
      </c>
      <c r="I468" s="663"/>
      <c r="J468" s="664">
        <f t="shared" ref="J468" si="6307">IF(I468=0,0,I468/I$4)</f>
        <v>0</v>
      </c>
      <c r="K468" s="663"/>
      <c r="L468" s="664">
        <f t="shared" ref="L468" si="6308">IF(K468=0,0,K468/K$4)</f>
        <v>0</v>
      </c>
      <c r="M468" s="663"/>
      <c r="N468" s="664">
        <f t="shared" ref="N468" si="6309">IF(M468=0,0,M468/M$4)</f>
        <v>0</v>
      </c>
      <c r="O468" s="663"/>
      <c r="P468" s="664">
        <f t="shared" ref="P468" si="6310">IF(O468=0,0,O468/O$4)</f>
        <v>0</v>
      </c>
      <c r="Q468" s="663"/>
      <c r="R468" s="664">
        <f t="shared" ref="R468" si="6311">IF(Q468=0,0,Q468/Q$4)</f>
        <v>0</v>
      </c>
      <c r="S468" s="663"/>
      <c r="T468" s="664">
        <f t="shared" ref="T468" si="6312">IF(S468=0,0,S468/S$4)</f>
        <v>0</v>
      </c>
      <c r="U468" s="663"/>
      <c r="V468" s="664">
        <f t="shared" ref="V468" si="6313">IF(U468=0,0,U468/U$4)</f>
        <v>0</v>
      </c>
      <c r="W468" s="663"/>
      <c r="X468" s="664">
        <f t="shared" ref="X468" si="6314">IF(W468=0,0,W468/W$4)</f>
        <v>0</v>
      </c>
      <c r="Y468" s="663"/>
      <c r="Z468" s="664">
        <f t="shared" ref="Z468" si="6315">IF(Y468=0,0,Y468/Y$4)</f>
        <v>0</v>
      </c>
      <c r="AA468" s="663"/>
      <c r="AB468" s="664">
        <f t="shared" ref="AB468" si="6316">IF(AA468=0,0,AA468/AA$4)</f>
        <v>0</v>
      </c>
      <c r="AC468" s="664">
        <f t="shared" si="6267"/>
        <v>15725185.546400001</v>
      </c>
      <c r="AD468" s="664">
        <f t="shared" ref="AD468" si="6317">IF(AC468=0,0,AC468/AC$4)</f>
        <v>97.664120323664051</v>
      </c>
      <c r="AE468" s="665"/>
      <c r="AF468" s="556"/>
      <c r="AG468" s="114"/>
      <c r="AH468" s="114"/>
      <c r="AI468" s="114"/>
      <c r="AJ468" s="114"/>
    </row>
    <row r="469" spans="1:36" s="556" customFormat="1" ht="15.75" hidden="1" outlineLevel="2">
      <c r="A469" s="609" t="s">
        <v>1348</v>
      </c>
      <c r="B469" s="559" t="s">
        <v>1347</v>
      </c>
      <c r="C469" s="659"/>
      <c r="D469" s="660">
        <f t="shared" si="6121"/>
        <v>0</v>
      </c>
      <c r="E469" s="659"/>
      <c r="F469" s="660">
        <f t="shared" si="6121"/>
        <v>0</v>
      </c>
      <c r="G469" s="659"/>
      <c r="H469" s="660">
        <f t="shared" ref="H469" si="6318">IF(G469=0,0,G469/G$4)</f>
        <v>0</v>
      </c>
      <c r="I469" s="659"/>
      <c r="J469" s="660">
        <f t="shared" ref="J469" si="6319">IF(I469=0,0,I469/I$4)</f>
        <v>0</v>
      </c>
      <c r="K469" s="659"/>
      <c r="L469" s="660">
        <f t="shared" ref="L469" si="6320">IF(K469=0,0,K469/K$4)</f>
        <v>0</v>
      </c>
      <c r="M469" s="659"/>
      <c r="N469" s="660">
        <f t="shared" ref="N469" si="6321">IF(M469=0,0,M469/M$4)</f>
        <v>0</v>
      </c>
      <c r="O469" s="659"/>
      <c r="P469" s="660">
        <f t="shared" ref="P469" si="6322">IF(O469=0,0,O469/O$4)</f>
        <v>0</v>
      </c>
      <c r="Q469" s="659"/>
      <c r="R469" s="660">
        <f t="shared" ref="R469" si="6323">IF(Q469=0,0,Q469/Q$4)</f>
        <v>0</v>
      </c>
      <c r="S469" s="659"/>
      <c r="T469" s="660">
        <f t="shared" ref="T469" si="6324">IF(S469=0,0,S469/S$4)</f>
        <v>0</v>
      </c>
      <c r="U469" s="659"/>
      <c r="V469" s="660">
        <f t="shared" ref="V469" si="6325">IF(U469=0,0,U469/U$4)</f>
        <v>0</v>
      </c>
      <c r="W469" s="659"/>
      <c r="X469" s="660">
        <f t="shared" ref="X469" si="6326">IF(W469=0,0,W469/W$4)</f>
        <v>0</v>
      </c>
      <c r="Y469" s="659"/>
      <c r="Z469" s="660">
        <f t="shared" ref="Z469" si="6327">IF(Y469=0,0,Y469/Y$4)</f>
        <v>0</v>
      </c>
      <c r="AA469" s="659"/>
      <c r="AB469" s="660">
        <f t="shared" ref="AB469" si="6328">IF(AA469=0,0,AA469/AA$4)</f>
        <v>0</v>
      </c>
      <c r="AC469" s="659"/>
      <c r="AD469" s="660">
        <f t="shared" ref="AD469" si="6329">IF(AC469=0,0,AC469/AC$4)</f>
        <v>0</v>
      </c>
      <c r="AE469" s="654"/>
    </row>
    <row r="470" spans="1:36" s="556" customFormat="1" ht="15.75" hidden="1" outlineLevel="2">
      <c r="A470" s="609" t="s">
        <v>1346</v>
      </c>
      <c r="B470" s="559" t="s">
        <v>1345</v>
      </c>
      <c r="C470" s="659"/>
      <c r="D470" s="660">
        <f t="shared" si="6121"/>
        <v>0</v>
      </c>
      <c r="E470" s="659"/>
      <c r="F470" s="660">
        <f t="shared" si="6121"/>
        <v>0</v>
      </c>
      <c r="G470" s="659"/>
      <c r="H470" s="660">
        <f t="shared" ref="H470" si="6330">IF(G470=0,0,G470/G$4)</f>
        <v>0</v>
      </c>
      <c r="I470" s="659"/>
      <c r="J470" s="660">
        <f t="shared" ref="J470" si="6331">IF(I470=0,0,I470/I$4)</f>
        <v>0</v>
      </c>
      <c r="K470" s="659"/>
      <c r="L470" s="660">
        <f t="shared" ref="L470" si="6332">IF(K470=0,0,K470/K$4)</f>
        <v>0</v>
      </c>
      <c r="M470" s="659"/>
      <c r="N470" s="660">
        <f t="shared" ref="N470" si="6333">IF(M470=0,0,M470/M$4)</f>
        <v>0</v>
      </c>
      <c r="O470" s="659"/>
      <c r="P470" s="660">
        <f t="shared" ref="P470" si="6334">IF(O470=0,0,O470/O$4)</f>
        <v>0</v>
      </c>
      <c r="Q470" s="659"/>
      <c r="R470" s="660">
        <f t="shared" ref="R470" si="6335">IF(Q470=0,0,Q470/Q$4)</f>
        <v>0</v>
      </c>
      <c r="S470" s="659"/>
      <c r="T470" s="660">
        <f t="shared" ref="T470" si="6336">IF(S470=0,0,S470/S$4)</f>
        <v>0</v>
      </c>
      <c r="U470" s="659"/>
      <c r="V470" s="660">
        <f t="shared" ref="V470" si="6337">IF(U470=0,0,U470/U$4)</f>
        <v>0</v>
      </c>
      <c r="W470" s="659"/>
      <c r="X470" s="660">
        <f t="shared" ref="X470" si="6338">IF(W470=0,0,W470/W$4)</f>
        <v>0</v>
      </c>
      <c r="Y470" s="659"/>
      <c r="Z470" s="660">
        <f t="shared" ref="Z470" si="6339">IF(Y470=0,0,Y470/Y$4)</f>
        <v>0</v>
      </c>
      <c r="AA470" s="659"/>
      <c r="AB470" s="660">
        <f t="shared" ref="AB470" si="6340">IF(AA470=0,0,AA470/AA$4)</f>
        <v>0</v>
      </c>
      <c r="AC470" s="659"/>
      <c r="AD470" s="660">
        <f t="shared" ref="AD470" si="6341">IF(AC470=0,0,AC470/AC$4)</f>
        <v>0</v>
      </c>
      <c r="AE470" s="654"/>
    </row>
    <row r="471" spans="1:36" s="556" customFormat="1" ht="15.75" outlineLevel="1" collapsed="1">
      <c r="A471" s="610" t="s">
        <v>1344</v>
      </c>
      <c r="B471" s="558" t="s">
        <v>1172</v>
      </c>
      <c r="C471" s="657">
        <f>C472+C473+C479+C484</f>
        <v>0</v>
      </c>
      <c r="D471" s="658">
        <f t="shared" si="6121"/>
        <v>0</v>
      </c>
      <c r="E471" s="657">
        <f>E472+E473+E479+E484</f>
        <v>43325181.147071622</v>
      </c>
      <c r="F471" s="658">
        <f t="shared" si="6121"/>
        <v>1006.5557964610185</v>
      </c>
      <c r="G471" s="657">
        <f t="shared" ref="G471" si="6342">G472+G473+G479+G484</f>
        <v>44161076.014380053</v>
      </c>
      <c r="H471" s="658">
        <f t="shared" ref="H471" si="6343">IF(G471=0,0,G471/G$4)</f>
        <v>1057.8812024135254</v>
      </c>
      <c r="I471" s="657">
        <f t="shared" ref="I471" si="6344">I472+I473+I479+I484</f>
        <v>44161076.014380053</v>
      </c>
      <c r="J471" s="658">
        <f t="shared" ref="J471" si="6345">IF(I471=0,0,I471/I$4)</f>
        <v>1504.9771040875223</v>
      </c>
      <c r="K471" s="657">
        <f t="shared" ref="K471" si="6346">K472+K473+K479+K484</f>
        <v>44161076.014380053</v>
      </c>
      <c r="L471" s="658">
        <f t="shared" ref="L471" si="6347">IF(K471=0,0,K471/K$4)</f>
        <v>1037.2552827120073</v>
      </c>
      <c r="M471" s="657">
        <f t="shared" ref="M471" si="6348">M472+M473+M479+M484</f>
        <v>6308725.1449114354</v>
      </c>
      <c r="N471" s="658">
        <f t="shared" ref="N471" si="6349">IF(M471=0,0,M471/M$4)</f>
        <v>1464.828908914144</v>
      </c>
      <c r="O471" s="657">
        <f t="shared" ref="O471" si="6350">O472+O473+O479+O484</f>
        <v>0</v>
      </c>
      <c r="P471" s="658">
        <f t="shared" ref="P471" si="6351">IF(O471=0,0,O471/O$4)</f>
        <v>0</v>
      </c>
      <c r="Q471" s="657">
        <f t="shared" ref="Q471" si="6352">Q472+Q473+Q479+Q484</f>
        <v>0</v>
      </c>
      <c r="R471" s="658">
        <f t="shared" ref="R471" si="6353">IF(Q471=0,0,Q471/Q$4)</f>
        <v>0</v>
      </c>
      <c r="S471" s="657">
        <f t="shared" ref="S471" si="6354">S472+S473+S479+S484</f>
        <v>0</v>
      </c>
      <c r="T471" s="658">
        <f t="shared" ref="T471" si="6355">IF(S471=0,0,S471/S$4)</f>
        <v>0</v>
      </c>
      <c r="U471" s="657">
        <f t="shared" ref="U471" si="6356">U472+U473+U479+U484</f>
        <v>0</v>
      </c>
      <c r="V471" s="658">
        <f t="shared" ref="V471" si="6357">IF(U471=0,0,U471/U$4)</f>
        <v>0</v>
      </c>
      <c r="W471" s="657">
        <f t="shared" ref="W471" si="6358">W472+W473+W479+W484</f>
        <v>0</v>
      </c>
      <c r="X471" s="658">
        <f t="shared" ref="X471" si="6359">IF(W471=0,0,W471/W$4)</f>
        <v>0</v>
      </c>
      <c r="Y471" s="657">
        <f t="shared" ref="Y471" si="6360">Y472+Y473+Y479+Y484</f>
        <v>0</v>
      </c>
      <c r="Z471" s="658">
        <f t="shared" ref="Z471" si="6361">IF(Y471=0,0,Y471/Y$4)</f>
        <v>0</v>
      </c>
      <c r="AA471" s="657">
        <f t="shared" ref="AA471" si="6362">AA472+AA473+AA479+AA484</f>
        <v>0</v>
      </c>
      <c r="AB471" s="658">
        <f t="shared" ref="AB471" si="6363">IF(AA471=0,0,AA471/AA$4)</f>
        <v>0</v>
      </c>
      <c r="AC471" s="657">
        <f t="shared" ref="AC471" si="6364">AC472+AC473+AC479+AC484</f>
        <v>182117134.33512318</v>
      </c>
      <c r="AD471" s="658">
        <f t="shared" ref="AD471" si="6365">IF(AC471=0,0,AC471/AC$4)</f>
        <v>1131.0715328747403</v>
      </c>
      <c r="AE471" s="654"/>
    </row>
    <row r="472" spans="1:36" s="556" customFormat="1" ht="15.75" hidden="1" outlineLevel="2">
      <c r="A472" s="609" t="s">
        <v>1343</v>
      </c>
      <c r="B472" s="559" t="s">
        <v>1174</v>
      </c>
      <c r="C472" s="659"/>
      <c r="D472" s="660">
        <f t="shared" si="6121"/>
        <v>0</v>
      </c>
      <c r="E472" s="659"/>
      <c r="F472" s="660">
        <f t="shared" si="6121"/>
        <v>0</v>
      </c>
      <c r="G472" s="659">
        <f>Калькулятор_жилье!M245</f>
        <v>26971540.758000057</v>
      </c>
      <c r="H472" s="660">
        <f t="shared" ref="H472" si="6366">IF(G472=0,0,G472/G$4)</f>
        <v>646.10486299580862</v>
      </c>
      <c r="I472" s="659">
        <f>Калькулятор_жилье!N245</f>
        <v>26971540.758000057</v>
      </c>
      <c r="J472" s="660">
        <f t="shared" ref="J472" si="6367">IF(I472=0,0,I472/I$4)</f>
        <v>919.17034108353221</v>
      </c>
      <c r="K472" s="659">
        <f>Калькулятор_жилье!O245</f>
        <v>26971540.758000057</v>
      </c>
      <c r="L472" s="660">
        <f t="shared" ref="L472" si="6368">IF(K472=0,0,K472/K$4)</f>
        <v>633.50750613521973</v>
      </c>
      <c r="M472" s="659">
        <f>Калькулятор_жилье!P245</f>
        <v>3853077.251142865</v>
      </c>
      <c r="N472" s="660">
        <f t="shared" ref="N472" si="6369">IF(M472=0,0,M472/M$4)</f>
        <v>894.6496821637561</v>
      </c>
      <c r="O472" s="659">
        <f>Калькулятор_жилье!Q245</f>
        <v>0</v>
      </c>
      <c r="P472" s="660">
        <f t="shared" ref="P472" si="6370">IF(O472=0,0,O472/O$4)</f>
        <v>0</v>
      </c>
      <c r="Q472" s="659">
        <f>Калькулятор_жилье!R245</f>
        <v>0</v>
      </c>
      <c r="R472" s="660">
        <f t="shared" ref="R472" si="6371">IF(Q472=0,0,Q472/Q$4)</f>
        <v>0</v>
      </c>
      <c r="S472" s="659">
        <f>Калькулятор_жилье!S245</f>
        <v>0</v>
      </c>
      <c r="T472" s="660">
        <f t="shared" ref="T472" si="6372">IF(S472=0,0,S472/S$4)</f>
        <v>0</v>
      </c>
      <c r="U472" s="659">
        <f>Калькулятор_жилье!T245</f>
        <v>0</v>
      </c>
      <c r="V472" s="660">
        <f t="shared" ref="V472" si="6373">IF(U472=0,0,U472/U$4)</f>
        <v>0</v>
      </c>
      <c r="W472" s="659">
        <f>Калькулятор_жилье!U245</f>
        <v>0</v>
      </c>
      <c r="X472" s="660">
        <f t="shared" ref="X472" si="6374">IF(W472=0,0,W472/W$4)</f>
        <v>0</v>
      </c>
      <c r="Y472" s="659">
        <f>Калькулятор_жилье!V245</f>
        <v>0</v>
      </c>
      <c r="Z472" s="660">
        <f t="shared" ref="Z472" si="6375">IF(Y472=0,0,Y472/Y$4)</f>
        <v>0</v>
      </c>
      <c r="AA472" s="659">
        <f>Калькулятор_жилье!W245</f>
        <v>0</v>
      </c>
      <c r="AB472" s="660">
        <f t="shared" ref="AB472" si="6376">IF(AA472=0,0,AA472/AA$4)</f>
        <v>0</v>
      </c>
      <c r="AC472" s="659">
        <f>C472+E472+G472+I472+K472+M472+O472+Q472+S472+U472+W472+AA472+Y472</f>
        <v>84767699.525143027</v>
      </c>
      <c r="AD472" s="660">
        <f t="shared" ref="AD472" si="6377">IF(AC472=0,0,AC472/AC$4)</f>
        <v>526.46519060495552</v>
      </c>
      <c r="AE472" s="654"/>
    </row>
    <row r="473" spans="1:36" s="556" customFormat="1" ht="15.75" hidden="1" outlineLevel="2">
      <c r="A473" s="609" t="s">
        <v>1342</v>
      </c>
      <c r="B473" s="559" t="s">
        <v>1341</v>
      </c>
      <c r="C473" s="659">
        <f>SUM(C474:C478)</f>
        <v>0</v>
      </c>
      <c r="D473" s="660">
        <f t="shared" si="6121"/>
        <v>0</v>
      </c>
      <c r="E473" s="659">
        <f>SUM(E474:E478)</f>
        <v>0</v>
      </c>
      <c r="F473" s="660">
        <f t="shared" si="6121"/>
        <v>0</v>
      </c>
      <c r="G473" s="659">
        <f>SUM(G474:G478)</f>
        <v>6391035.6203999911</v>
      </c>
      <c r="H473" s="660">
        <f t="shared" ref="H473" si="6378">IF(G473=0,0,G473/G$4)</f>
        <v>153.09763839483583</v>
      </c>
      <c r="I473" s="659">
        <f>SUM(I474:I478)</f>
        <v>6391035.6203999911</v>
      </c>
      <c r="J473" s="660">
        <f t="shared" ref="J473" si="6379">IF(I473=0,0,I473/I$4)</f>
        <v>217.8018098331159</v>
      </c>
      <c r="K473" s="659">
        <f>SUM(K474:K478)</f>
        <v>6391035.6203999911</v>
      </c>
      <c r="L473" s="660">
        <f t="shared" ref="L473" si="6380">IF(K473=0,0,K473/K$4)</f>
        <v>150.11263441818932</v>
      </c>
      <c r="M473" s="659">
        <f>SUM(M474:M478)</f>
        <v>913005.0886285702</v>
      </c>
      <c r="N473" s="660">
        <f t="shared" ref="N473" si="6381">IF(M473=0,0,M473/M$4)</f>
        <v>211.99152238984169</v>
      </c>
      <c r="O473" s="659">
        <f>SUM(O474:O478)</f>
        <v>0</v>
      </c>
      <c r="P473" s="660">
        <f t="shared" ref="P473" si="6382">IF(O473=0,0,O473/O$4)</f>
        <v>0</v>
      </c>
      <c r="Q473" s="659">
        <f>SUM(Q474:Q478)</f>
        <v>0</v>
      </c>
      <c r="R473" s="660">
        <f t="shared" ref="R473" si="6383">IF(Q473=0,0,Q473/Q$4)</f>
        <v>0</v>
      </c>
      <c r="S473" s="659">
        <f>SUM(S474:S478)</f>
        <v>0</v>
      </c>
      <c r="T473" s="660">
        <f t="shared" ref="T473" si="6384">IF(S473=0,0,S473/S$4)</f>
        <v>0</v>
      </c>
      <c r="U473" s="659">
        <f>SUM(U474:U478)</f>
        <v>0</v>
      </c>
      <c r="V473" s="660">
        <f t="shared" ref="V473" si="6385">IF(U473=0,0,U473/U$4)</f>
        <v>0</v>
      </c>
      <c r="W473" s="659">
        <f>SUM(W474:W478)</f>
        <v>0</v>
      </c>
      <c r="X473" s="660">
        <f t="shared" ref="X473" si="6386">IF(W473=0,0,W473/W$4)</f>
        <v>0</v>
      </c>
      <c r="Y473" s="659">
        <f>SUM(Y474:Y478)</f>
        <v>0</v>
      </c>
      <c r="Z473" s="660">
        <f t="shared" ref="Z473" si="6387">IF(Y473=0,0,Y473/Y$4)</f>
        <v>0</v>
      </c>
      <c r="AA473" s="659">
        <f>SUM(AA474:AA478)</f>
        <v>0</v>
      </c>
      <c r="AB473" s="660">
        <f t="shared" ref="AB473" si="6388">IF(AA473=0,0,AA473/AA$4)</f>
        <v>0</v>
      </c>
      <c r="AC473" s="659">
        <f>C473+E473+G473+I473+K473+M473+O473+Q473+S473+U473+W473+AA473+Y473</f>
        <v>20086111.949828546</v>
      </c>
      <c r="AD473" s="660">
        <f t="shared" ref="AD473" si="6389">IF(AC473=0,0,AC473/AC$4)</f>
        <v>124.74844563927805</v>
      </c>
      <c r="AE473" s="654"/>
    </row>
    <row r="474" spans="1:36" s="556" customFormat="1" ht="15.75" hidden="1" outlineLevel="3">
      <c r="A474" s="612" t="s">
        <v>1340</v>
      </c>
      <c r="B474" s="560" t="s">
        <v>1175</v>
      </c>
      <c r="C474" s="661"/>
      <c r="D474" s="662">
        <f t="shared" si="6121"/>
        <v>0</v>
      </c>
      <c r="E474" s="661"/>
      <c r="F474" s="662">
        <f t="shared" si="6121"/>
        <v>0</v>
      </c>
      <c r="G474" s="661">
        <f>Калькулятор_жилье!M247</f>
        <v>6391035.6203999911</v>
      </c>
      <c r="H474" s="662">
        <f t="shared" ref="H474" si="6390">IF(G474=0,0,G474/G$4)</f>
        <v>153.09763839483583</v>
      </c>
      <c r="I474" s="661">
        <f>Калькулятор_жилье!N247</f>
        <v>6391035.6203999911</v>
      </c>
      <c r="J474" s="662">
        <f t="shared" ref="J474" si="6391">IF(I474=0,0,I474/I$4)</f>
        <v>217.8018098331159</v>
      </c>
      <c r="K474" s="661">
        <f>Калькулятор_жилье!O247</f>
        <v>6391035.6203999911</v>
      </c>
      <c r="L474" s="662">
        <f t="shared" ref="L474" si="6392">IF(K474=0,0,K474/K$4)</f>
        <v>150.11263441818932</v>
      </c>
      <c r="M474" s="661">
        <f>Калькулятор_жилье!P247</f>
        <v>913005.0886285702</v>
      </c>
      <c r="N474" s="662">
        <f t="shared" ref="N474" si="6393">IF(M474=0,0,M474/M$4)</f>
        <v>211.99152238984169</v>
      </c>
      <c r="O474" s="661">
        <f>Калькулятор_жилье!Q247</f>
        <v>0</v>
      </c>
      <c r="P474" s="662">
        <f t="shared" ref="P474" si="6394">IF(O474=0,0,O474/O$4)</f>
        <v>0</v>
      </c>
      <c r="Q474" s="661">
        <f>Калькулятор_жилье!R247</f>
        <v>0</v>
      </c>
      <c r="R474" s="662">
        <f t="shared" ref="R474" si="6395">IF(Q474=0,0,Q474/Q$4)</f>
        <v>0</v>
      </c>
      <c r="S474" s="661">
        <f>Калькулятор_жилье!S247</f>
        <v>0</v>
      </c>
      <c r="T474" s="662">
        <f t="shared" ref="T474" si="6396">IF(S474=0,0,S474/S$4)</f>
        <v>0</v>
      </c>
      <c r="U474" s="661">
        <f>Калькулятор_жилье!T247</f>
        <v>0</v>
      </c>
      <c r="V474" s="662">
        <f t="shared" ref="V474" si="6397">IF(U474=0,0,U474/U$4)</f>
        <v>0</v>
      </c>
      <c r="W474" s="661">
        <f>Калькулятор_жилье!U247</f>
        <v>0</v>
      </c>
      <c r="X474" s="662">
        <f t="shared" ref="X474" si="6398">IF(W474=0,0,W474/W$4)</f>
        <v>0</v>
      </c>
      <c r="Y474" s="661">
        <f>Калькулятор_жилье!V247</f>
        <v>0</v>
      </c>
      <c r="Z474" s="662">
        <f t="shared" ref="Z474" si="6399">IF(Y474=0,0,Y474/Y$4)</f>
        <v>0</v>
      </c>
      <c r="AA474" s="661">
        <f>Калькулятор_жилье!W247</f>
        <v>0</v>
      </c>
      <c r="AB474" s="662">
        <f t="shared" ref="AB474" si="6400">IF(AA474=0,0,AA474/AA$4)</f>
        <v>0</v>
      </c>
      <c r="AC474" s="661">
        <f>C474+E474+G474+I474+K474+M474+O474+Q474+S474+U474+W474+AA474+Y474</f>
        <v>20086111.949828546</v>
      </c>
      <c r="AD474" s="662">
        <f t="shared" ref="AD474" si="6401">IF(AC474=0,0,AC474/AC$4)</f>
        <v>124.74844563927805</v>
      </c>
      <c r="AE474" s="654"/>
    </row>
    <row r="475" spans="1:36" s="556" customFormat="1" ht="15.75" hidden="1" outlineLevel="3">
      <c r="A475" s="612" t="s">
        <v>1339</v>
      </c>
      <c r="B475" s="560" t="s">
        <v>1338</v>
      </c>
      <c r="C475" s="661"/>
      <c r="D475" s="662">
        <f t="shared" si="6121"/>
        <v>0</v>
      </c>
      <c r="E475" s="661"/>
      <c r="F475" s="662">
        <f t="shared" si="6121"/>
        <v>0</v>
      </c>
      <c r="G475" s="661"/>
      <c r="H475" s="662">
        <f t="shared" ref="H475" si="6402">IF(G475=0,0,G475/G$4)</f>
        <v>0</v>
      </c>
      <c r="I475" s="661"/>
      <c r="J475" s="662">
        <f t="shared" ref="J475" si="6403">IF(I475=0,0,I475/I$4)</f>
        <v>0</v>
      </c>
      <c r="K475" s="661"/>
      <c r="L475" s="662">
        <f t="shared" ref="L475" si="6404">IF(K475=0,0,K475/K$4)</f>
        <v>0</v>
      </c>
      <c r="M475" s="661"/>
      <c r="N475" s="662">
        <f t="shared" ref="N475" si="6405">IF(M475=0,0,M475/M$4)</f>
        <v>0</v>
      </c>
      <c r="O475" s="661"/>
      <c r="P475" s="662">
        <f t="shared" ref="P475" si="6406">IF(O475=0,0,O475/O$4)</f>
        <v>0</v>
      </c>
      <c r="Q475" s="661"/>
      <c r="R475" s="662">
        <f t="shared" ref="R475" si="6407">IF(Q475=0,0,Q475/Q$4)</f>
        <v>0</v>
      </c>
      <c r="S475" s="661"/>
      <c r="T475" s="662">
        <f t="shared" ref="T475" si="6408">IF(S475=0,0,S475/S$4)</f>
        <v>0</v>
      </c>
      <c r="U475" s="661"/>
      <c r="V475" s="662">
        <f t="shared" ref="V475" si="6409">IF(U475=0,0,U475/U$4)</f>
        <v>0</v>
      </c>
      <c r="W475" s="661"/>
      <c r="X475" s="662">
        <f t="shared" ref="X475" si="6410">IF(W475=0,0,W475/W$4)</f>
        <v>0</v>
      </c>
      <c r="Y475" s="661"/>
      <c r="Z475" s="662">
        <f t="shared" ref="Z475" si="6411">IF(Y475=0,0,Y475/Y$4)</f>
        <v>0</v>
      </c>
      <c r="AA475" s="661"/>
      <c r="AB475" s="662">
        <f t="shared" ref="AB475" si="6412">IF(AA475=0,0,AA475/AA$4)</f>
        <v>0</v>
      </c>
      <c r="AC475" s="661"/>
      <c r="AD475" s="662">
        <f t="shared" ref="AD475" si="6413">IF(AC475=0,0,AC475/AC$4)</f>
        <v>0</v>
      </c>
      <c r="AE475" s="654"/>
    </row>
    <row r="476" spans="1:36" s="556" customFormat="1" ht="15.75" hidden="1" outlineLevel="3">
      <c r="A476" s="612" t="s">
        <v>1337</v>
      </c>
      <c r="B476" s="560" t="s">
        <v>1336</v>
      </c>
      <c r="C476" s="661"/>
      <c r="D476" s="662">
        <f t="shared" si="6121"/>
        <v>0</v>
      </c>
      <c r="E476" s="661"/>
      <c r="F476" s="662">
        <f t="shared" si="6121"/>
        <v>0</v>
      </c>
      <c r="G476" s="661"/>
      <c r="H476" s="662">
        <f t="shared" ref="H476" si="6414">IF(G476=0,0,G476/G$4)</f>
        <v>0</v>
      </c>
      <c r="I476" s="661"/>
      <c r="J476" s="662">
        <f t="shared" ref="J476" si="6415">IF(I476=0,0,I476/I$4)</f>
        <v>0</v>
      </c>
      <c r="K476" s="661"/>
      <c r="L476" s="662">
        <f t="shared" ref="L476" si="6416">IF(K476=0,0,K476/K$4)</f>
        <v>0</v>
      </c>
      <c r="M476" s="661"/>
      <c r="N476" s="662">
        <f t="shared" ref="N476" si="6417">IF(M476=0,0,M476/M$4)</f>
        <v>0</v>
      </c>
      <c r="O476" s="661"/>
      <c r="P476" s="662">
        <f t="shared" ref="P476" si="6418">IF(O476=0,0,O476/O$4)</f>
        <v>0</v>
      </c>
      <c r="Q476" s="661"/>
      <c r="R476" s="662">
        <f t="shared" ref="R476" si="6419">IF(Q476=0,0,Q476/Q$4)</f>
        <v>0</v>
      </c>
      <c r="S476" s="661"/>
      <c r="T476" s="662">
        <f t="shared" ref="T476" si="6420">IF(S476=0,0,S476/S$4)</f>
        <v>0</v>
      </c>
      <c r="U476" s="661"/>
      <c r="V476" s="662">
        <f t="shared" ref="V476" si="6421">IF(U476=0,0,U476/U$4)</f>
        <v>0</v>
      </c>
      <c r="W476" s="661"/>
      <c r="X476" s="662">
        <f t="shared" ref="X476" si="6422">IF(W476=0,0,W476/W$4)</f>
        <v>0</v>
      </c>
      <c r="Y476" s="661"/>
      <c r="Z476" s="662">
        <f t="shared" ref="Z476" si="6423">IF(Y476=0,0,Y476/Y$4)</f>
        <v>0</v>
      </c>
      <c r="AA476" s="661"/>
      <c r="AB476" s="662">
        <f t="shared" ref="AB476" si="6424">IF(AA476=0,0,AA476/AA$4)</f>
        <v>0</v>
      </c>
      <c r="AC476" s="661"/>
      <c r="AD476" s="662">
        <f t="shared" ref="AD476" si="6425">IF(AC476=0,0,AC476/AC$4)</f>
        <v>0</v>
      </c>
      <c r="AE476" s="654"/>
    </row>
    <row r="477" spans="1:36" s="556" customFormat="1" ht="15.75" hidden="1" outlineLevel="3">
      <c r="A477" s="612" t="s">
        <v>1335</v>
      </c>
      <c r="B477" s="560" t="s">
        <v>1334</v>
      </c>
      <c r="C477" s="661"/>
      <c r="D477" s="662">
        <f t="shared" si="6121"/>
        <v>0</v>
      </c>
      <c r="E477" s="661"/>
      <c r="F477" s="662">
        <f t="shared" si="6121"/>
        <v>0</v>
      </c>
      <c r="G477" s="661"/>
      <c r="H477" s="662">
        <f t="shared" ref="H477" si="6426">IF(G477=0,0,G477/G$4)</f>
        <v>0</v>
      </c>
      <c r="I477" s="661"/>
      <c r="J477" s="662">
        <f t="shared" ref="J477" si="6427">IF(I477=0,0,I477/I$4)</f>
        <v>0</v>
      </c>
      <c r="K477" s="661"/>
      <c r="L477" s="662">
        <f t="shared" ref="L477" si="6428">IF(K477=0,0,K477/K$4)</f>
        <v>0</v>
      </c>
      <c r="M477" s="661"/>
      <c r="N477" s="662">
        <f t="shared" ref="N477" si="6429">IF(M477=0,0,M477/M$4)</f>
        <v>0</v>
      </c>
      <c r="O477" s="661"/>
      <c r="P477" s="662">
        <f t="shared" ref="P477" si="6430">IF(O477=0,0,O477/O$4)</f>
        <v>0</v>
      </c>
      <c r="Q477" s="661"/>
      <c r="R477" s="662">
        <f t="shared" ref="R477" si="6431">IF(Q477=0,0,Q477/Q$4)</f>
        <v>0</v>
      </c>
      <c r="S477" s="661"/>
      <c r="T477" s="662">
        <f t="shared" ref="T477" si="6432">IF(S477=0,0,S477/S$4)</f>
        <v>0</v>
      </c>
      <c r="U477" s="661"/>
      <c r="V477" s="662">
        <f t="shared" ref="V477" si="6433">IF(U477=0,0,U477/U$4)</f>
        <v>0</v>
      </c>
      <c r="W477" s="661"/>
      <c r="X477" s="662">
        <f t="shared" ref="X477" si="6434">IF(W477=0,0,W477/W$4)</f>
        <v>0</v>
      </c>
      <c r="Y477" s="661"/>
      <c r="Z477" s="662">
        <f t="shared" ref="Z477" si="6435">IF(Y477=0,0,Y477/Y$4)</f>
        <v>0</v>
      </c>
      <c r="AA477" s="661"/>
      <c r="AB477" s="662">
        <f t="shared" ref="AB477" si="6436">IF(AA477=0,0,AA477/AA$4)</f>
        <v>0</v>
      </c>
      <c r="AC477" s="661"/>
      <c r="AD477" s="662">
        <f t="shared" ref="AD477" si="6437">IF(AC477=0,0,AC477/AC$4)</f>
        <v>0</v>
      </c>
      <c r="AE477" s="654"/>
    </row>
    <row r="478" spans="1:36" s="556" customFormat="1" ht="15.75" hidden="1" outlineLevel="3">
      <c r="A478" s="612" t="s">
        <v>1333</v>
      </c>
      <c r="B478" s="560" t="s">
        <v>1332</v>
      </c>
      <c r="C478" s="661"/>
      <c r="D478" s="662">
        <f t="shared" si="6121"/>
        <v>0</v>
      </c>
      <c r="E478" s="661"/>
      <c r="F478" s="662">
        <f t="shared" si="6121"/>
        <v>0</v>
      </c>
      <c r="G478" s="661"/>
      <c r="H478" s="662">
        <f t="shared" ref="H478" si="6438">IF(G478=0,0,G478/G$4)</f>
        <v>0</v>
      </c>
      <c r="I478" s="661"/>
      <c r="J478" s="662">
        <f t="shared" ref="J478" si="6439">IF(I478=0,0,I478/I$4)</f>
        <v>0</v>
      </c>
      <c r="K478" s="661"/>
      <c r="L478" s="662">
        <f t="shared" ref="L478" si="6440">IF(K478=0,0,K478/K$4)</f>
        <v>0</v>
      </c>
      <c r="M478" s="661"/>
      <c r="N478" s="662">
        <f t="shared" ref="N478" si="6441">IF(M478=0,0,M478/M$4)</f>
        <v>0</v>
      </c>
      <c r="O478" s="661"/>
      <c r="P478" s="662">
        <f t="shared" ref="P478" si="6442">IF(O478=0,0,O478/O$4)</f>
        <v>0</v>
      </c>
      <c r="Q478" s="661"/>
      <c r="R478" s="662">
        <f t="shared" ref="R478" si="6443">IF(Q478=0,0,Q478/Q$4)</f>
        <v>0</v>
      </c>
      <c r="S478" s="661"/>
      <c r="T478" s="662">
        <f t="shared" ref="T478" si="6444">IF(S478=0,0,S478/S$4)</f>
        <v>0</v>
      </c>
      <c r="U478" s="661"/>
      <c r="V478" s="662">
        <f t="shared" ref="V478" si="6445">IF(U478=0,0,U478/U$4)</f>
        <v>0</v>
      </c>
      <c r="W478" s="661"/>
      <c r="X478" s="662">
        <f t="shared" ref="X478" si="6446">IF(W478=0,0,W478/W$4)</f>
        <v>0</v>
      </c>
      <c r="Y478" s="661"/>
      <c r="Z478" s="662">
        <f t="shared" ref="Z478" si="6447">IF(Y478=0,0,Y478/Y$4)</f>
        <v>0</v>
      </c>
      <c r="AA478" s="661"/>
      <c r="AB478" s="662">
        <f t="shared" ref="AB478" si="6448">IF(AA478=0,0,AA478/AA$4)</f>
        <v>0</v>
      </c>
      <c r="AC478" s="661"/>
      <c r="AD478" s="662">
        <f t="shared" ref="AD478" si="6449">IF(AC478=0,0,AC478/AC$4)</f>
        <v>0</v>
      </c>
      <c r="AE478" s="654"/>
    </row>
    <row r="479" spans="1:36" s="556" customFormat="1" ht="15.75" hidden="1" outlineLevel="2">
      <c r="A479" s="609" t="s">
        <v>1331</v>
      </c>
      <c r="B479" s="559" t="s">
        <v>1330</v>
      </c>
      <c r="C479" s="659">
        <f>C480+C482</f>
        <v>0</v>
      </c>
      <c r="D479" s="660">
        <f t="shared" si="6121"/>
        <v>0</v>
      </c>
      <c r="E479" s="659">
        <f t="shared" ref="E479" si="6450">E480+E482</f>
        <v>43325181.147071622</v>
      </c>
      <c r="F479" s="660">
        <f t="shared" si="6121"/>
        <v>1006.5557964610185</v>
      </c>
      <c r="G479" s="659">
        <f t="shared" ref="G479" si="6451">G480+G482</f>
        <v>0</v>
      </c>
      <c r="H479" s="660">
        <f t="shared" ref="H479" si="6452">IF(G479=0,0,G479/G$4)</f>
        <v>0</v>
      </c>
      <c r="I479" s="659">
        <f t="shared" ref="I479" si="6453">I480+I482</f>
        <v>0</v>
      </c>
      <c r="J479" s="660">
        <f t="shared" ref="J479" si="6454">IF(I479=0,0,I479/I$4)</f>
        <v>0</v>
      </c>
      <c r="K479" s="659">
        <f t="shared" ref="K479" si="6455">K480+K482</f>
        <v>0</v>
      </c>
      <c r="L479" s="660">
        <f t="shared" ref="L479" si="6456">IF(K479=0,0,K479/K$4)</f>
        <v>0</v>
      </c>
      <c r="M479" s="659">
        <f t="shared" ref="M479" si="6457">M480+M482</f>
        <v>0</v>
      </c>
      <c r="N479" s="660">
        <f t="shared" ref="N479" si="6458">IF(M479=0,0,M479/M$4)</f>
        <v>0</v>
      </c>
      <c r="O479" s="659">
        <f t="shared" ref="O479" si="6459">O480+O482</f>
        <v>0</v>
      </c>
      <c r="P479" s="660">
        <f t="shared" ref="P479" si="6460">IF(O479=0,0,O479/O$4)</f>
        <v>0</v>
      </c>
      <c r="Q479" s="659">
        <f t="shared" ref="Q479" si="6461">Q480+Q482</f>
        <v>0</v>
      </c>
      <c r="R479" s="660">
        <f t="shared" ref="R479" si="6462">IF(Q479=0,0,Q479/Q$4)</f>
        <v>0</v>
      </c>
      <c r="S479" s="659">
        <f t="shared" ref="S479" si="6463">S480+S482</f>
        <v>0</v>
      </c>
      <c r="T479" s="660">
        <f t="shared" ref="T479" si="6464">IF(S479=0,0,S479/S$4)</f>
        <v>0</v>
      </c>
      <c r="U479" s="659">
        <f t="shared" ref="U479" si="6465">U480+U482</f>
        <v>0</v>
      </c>
      <c r="V479" s="660">
        <f t="shared" ref="V479" si="6466">IF(U479=0,0,U479/U$4)</f>
        <v>0</v>
      </c>
      <c r="W479" s="659">
        <f t="shared" ref="W479" si="6467">W480+W482</f>
        <v>0</v>
      </c>
      <c r="X479" s="660">
        <f t="shared" ref="X479" si="6468">IF(W479=0,0,W479/W$4)</f>
        <v>0</v>
      </c>
      <c r="Y479" s="659">
        <f t="shared" ref="Y479" si="6469">Y480+Y482</f>
        <v>0</v>
      </c>
      <c r="Z479" s="660">
        <f t="shared" ref="Z479" si="6470">IF(Y479=0,0,Y479/Y$4)</f>
        <v>0</v>
      </c>
      <c r="AA479" s="659">
        <f t="shared" ref="AA479" si="6471">AA480+AA482</f>
        <v>0</v>
      </c>
      <c r="AB479" s="660">
        <f t="shared" ref="AB479" si="6472">IF(AA479=0,0,AA479/AA$4)</f>
        <v>0</v>
      </c>
      <c r="AC479" s="659">
        <f t="shared" ref="AC479" si="6473">AC480+AC482</f>
        <v>43325181.147071622</v>
      </c>
      <c r="AD479" s="660">
        <f t="shared" ref="AD479" si="6474">IF(AC479=0,0,AC479/AC$4)</f>
        <v>269.07890479936674</v>
      </c>
      <c r="AE479" s="654"/>
    </row>
    <row r="480" spans="1:36" s="556" customFormat="1" ht="15.75" hidden="1" outlineLevel="3">
      <c r="A480" s="612" t="s">
        <v>1329</v>
      </c>
      <c r="B480" s="560" t="s">
        <v>1328</v>
      </c>
      <c r="C480" s="661">
        <f>C481</f>
        <v>0</v>
      </c>
      <c r="D480" s="662">
        <f t="shared" si="6121"/>
        <v>0</v>
      </c>
      <c r="E480" s="661">
        <f t="shared" ref="E480" si="6475">E481</f>
        <v>996057.97817999905</v>
      </c>
      <c r="F480" s="662">
        <f t="shared" si="6121"/>
        <v>23.140998029412426</v>
      </c>
      <c r="G480" s="661">
        <f t="shared" ref="G480" si="6476">G481</f>
        <v>0</v>
      </c>
      <c r="H480" s="662">
        <f t="shared" ref="H480" si="6477">IF(G480=0,0,G480/G$4)</f>
        <v>0</v>
      </c>
      <c r="I480" s="661">
        <f t="shared" ref="I480" si="6478">I481</f>
        <v>0</v>
      </c>
      <c r="J480" s="662">
        <f t="shared" ref="J480" si="6479">IF(I480=0,0,I480/I$4)</f>
        <v>0</v>
      </c>
      <c r="K480" s="661">
        <f t="shared" ref="K480" si="6480">K481</f>
        <v>0</v>
      </c>
      <c r="L480" s="662">
        <f t="shared" ref="L480" si="6481">IF(K480=0,0,K480/K$4)</f>
        <v>0</v>
      </c>
      <c r="M480" s="661">
        <f t="shared" ref="M480" si="6482">M481</f>
        <v>0</v>
      </c>
      <c r="N480" s="662">
        <f t="shared" ref="N480" si="6483">IF(M480=0,0,M480/M$4)</f>
        <v>0</v>
      </c>
      <c r="O480" s="661">
        <f t="shared" ref="O480" si="6484">O481</f>
        <v>0</v>
      </c>
      <c r="P480" s="662">
        <f t="shared" ref="P480" si="6485">IF(O480=0,0,O480/O$4)</f>
        <v>0</v>
      </c>
      <c r="Q480" s="661">
        <f t="shared" ref="Q480" si="6486">Q481</f>
        <v>0</v>
      </c>
      <c r="R480" s="662">
        <f t="shared" ref="R480" si="6487">IF(Q480=0,0,Q480/Q$4)</f>
        <v>0</v>
      </c>
      <c r="S480" s="661">
        <f t="shared" ref="S480" si="6488">S481</f>
        <v>0</v>
      </c>
      <c r="T480" s="662">
        <f t="shared" ref="T480" si="6489">IF(S480=0,0,S480/S$4)</f>
        <v>0</v>
      </c>
      <c r="U480" s="661">
        <f t="shared" ref="U480" si="6490">U481</f>
        <v>0</v>
      </c>
      <c r="V480" s="662">
        <f t="shared" ref="V480" si="6491">IF(U480=0,0,U480/U$4)</f>
        <v>0</v>
      </c>
      <c r="W480" s="661">
        <f t="shared" ref="W480" si="6492">W481</f>
        <v>0</v>
      </c>
      <c r="X480" s="662">
        <f t="shared" ref="X480" si="6493">IF(W480=0,0,W480/W$4)</f>
        <v>0</v>
      </c>
      <c r="Y480" s="661">
        <f t="shared" ref="Y480" si="6494">Y481</f>
        <v>0</v>
      </c>
      <c r="Z480" s="662">
        <f t="shared" ref="Z480" si="6495">IF(Y480=0,0,Y480/Y$4)</f>
        <v>0</v>
      </c>
      <c r="AA480" s="661">
        <f t="shared" ref="AA480" si="6496">AA481</f>
        <v>0</v>
      </c>
      <c r="AB480" s="662">
        <f t="shared" ref="AB480" si="6497">IF(AA480=0,0,AA480/AA$4)</f>
        <v>0</v>
      </c>
      <c r="AC480" s="661">
        <f t="shared" ref="AC480" si="6498">AC481</f>
        <v>996057.97817999905</v>
      </c>
      <c r="AD480" s="662">
        <f t="shared" ref="AD480" si="6499">IF(AC480=0,0,AC480/AC$4)</f>
        <v>6.1861989445706271</v>
      </c>
      <c r="AE480" s="654"/>
    </row>
    <row r="481" spans="1:36" s="68" customFormat="1" ht="15.75" hidden="1" outlineLevel="4">
      <c r="A481" s="245"/>
      <c r="B481" s="246" t="s">
        <v>919</v>
      </c>
      <c r="C481" s="663"/>
      <c r="D481" s="664">
        <f t="shared" si="6121"/>
        <v>0</v>
      </c>
      <c r="E481" s="663">
        <f>Калькулятор_жилье!L217</f>
        <v>996057.97817999905</v>
      </c>
      <c r="F481" s="664">
        <f t="shared" si="6121"/>
        <v>23.140998029412426</v>
      </c>
      <c r="G481" s="663">
        <f>Калькулятор_жилье!M217</f>
        <v>0</v>
      </c>
      <c r="H481" s="664">
        <f t="shared" ref="H481" si="6500">IF(G481=0,0,G481/G$4)</f>
        <v>0</v>
      </c>
      <c r="I481" s="663">
        <f>Калькулятор_жилье!N217</f>
        <v>0</v>
      </c>
      <c r="J481" s="664">
        <f t="shared" ref="J481" si="6501">IF(I481=0,0,I481/I$4)</f>
        <v>0</v>
      </c>
      <c r="K481" s="663">
        <f>Калькулятор_жилье!O217</f>
        <v>0</v>
      </c>
      <c r="L481" s="664">
        <f t="shared" ref="L481" si="6502">IF(K481=0,0,K481/K$4)</f>
        <v>0</v>
      </c>
      <c r="M481" s="663">
        <f>Калькулятор_жилье!P217</f>
        <v>0</v>
      </c>
      <c r="N481" s="664">
        <f t="shared" ref="N481" si="6503">IF(M481=0,0,M481/M$4)</f>
        <v>0</v>
      </c>
      <c r="O481" s="663">
        <f>Калькулятор_жилье!Q217</f>
        <v>0</v>
      </c>
      <c r="P481" s="664">
        <f t="shared" ref="P481" si="6504">IF(O481=0,0,O481/O$4)</f>
        <v>0</v>
      </c>
      <c r="Q481" s="663">
        <f>Калькулятор_жилье!R217</f>
        <v>0</v>
      </c>
      <c r="R481" s="664">
        <f t="shared" ref="R481" si="6505">IF(Q481=0,0,Q481/Q$4)</f>
        <v>0</v>
      </c>
      <c r="S481" s="663">
        <f>Калькулятор_жилье!S217</f>
        <v>0</v>
      </c>
      <c r="T481" s="664">
        <f t="shared" ref="T481" si="6506">IF(S481=0,0,S481/S$4)</f>
        <v>0</v>
      </c>
      <c r="U481" s="663">
        <f>Калькулятор_жилье!T217</f>
        <v>0</v>
      </c>
      <c r="V481" s="664">
        <f t="shared" ref="V481" si="6507">IF(U481=0,0,U481/U$4)</f>
        <v>0</v>
      </c>
      <c r="W481" s="663">
        <f>Калькулятор_жилье!U217</f>
        <v>0</v>
      </c>
      <c r="X481" s="664">
        <f t="shared" ref="X481" si="6508">IF(W481=0,0,W481/W$4)</f>
        <v>0</v>
      </c>
      <c r="Y481" s="663">
        <f>Калькулятор_жилье!V217</f>
        <v>0</v>
      </c>
      <c r="Z481" s="664">
        <f t="shared" ref="Z481" si="6509">IF(Y481=0,0,Y481/Y$4)</f>
        <v>0</v>
      </c>
      <c r="AA481" s="663">
        <f>Калькулятор_жилье!W217</f>
        <v>0</v>
      </c>
      <c r="AB481" s="664">
        <f t="shared" ref="AB481" si="6510">IF(AA481=0,0,AA481/AA$4)</f>
        <v>0</v>
      </c>
      <c r="AC481" s="663">
        <f>C481+E481+G481+I481+K481+M481+O481+Q481+S481+U481+W481+AA481+Y481</f>
        <v>996057.97817999905</v>
      </c>
      <c r="AD481" s="664">
        <f t="shared" ref="AD481" si="6511">IF(AC481=0,0,AC481/AC$4)</f>
        <v>6.1861989445706271</v>
      </c>
      <c r="AE481" s="665"/>
      <c r="AF481" s="556"/>
      <c r="AG481" s="114"/>
      <c r="AH481" s="114"/>
      <c r="AI481" s="114"/>
      <c r="AJ481" s="114"/>
    </row>
    <row r="482" spans="1:36" s="556" customFormat="1" ht="15.75" hidden="1" outlineLevel="3">
      <c r="A482" s="612" t="s">
        <v>1327</v>
      </c>
      <c r="B482" s="560" t="s">
        <v>1326</v>
      </c>
      <c r="C482" s="661">
        <f t="shared" ref="C482" si="6512">C483</f>
        <v>0</v>
      </c>
      <c r="D482" s="662">
        <f t="shared" si="6121"/>
        <v>0</v>
      </c>
      <c r="E482" s="661">
        <f t="shared" ref="E482" si="6513">E483</f>
        <v>42329123.168891624</v>
      </c>
      <c r="F482" s="662">
        <f t="shared" si="6121"/>
        <v>983.41479843160619</v>
      </c>
      <c r="G482" s="661">
        <f t="shared" ref="G482" si="6514">G483</f>
        <v>0</v>
      </c>
      <c r="H482" s="662">
        <f t="shared" ref="H482" si="6515">IF(G482=0,0,G482/G$4)</f>
        <v>0</v>
      </c>
      <c r="I482" s="661">
        <f t="shared" ref="I482" si="6516">I483</f>
        <v>0</v>
      </c>
      <c r="J482" s="662">
        <f t="shared" ref="J482" si="6517">IF(I482=0,0,I482/I$4)</f>
        <v>0</v>
      </c>
      <c r="K482" s="661">
        <f t="shared" ref="K482" si="6518">K483</f>
        <v>0</v>
      </c>
      <c r="L482" s="662">
        <f t="shared" ref="L482" si="6519">IF(K482=0,0,K482/K$4)</f>
        <v>0</v>
      </c>
      <c r="M482" s="661">
        <f t="shared" ref="M482" si="6520">M483</f>
        <v>0</v>
      </c>
      <c r="N482" s="662">
        <f t="shared" ref="N482" si="6521">IF(M482=0,0,M482/M$4)</f>
        <v>0</v>
      </c>
      <c r="O482" s="661">
        <f t="shared" ref="O482" si="6522">O483</f>
        <v>0</v>
      </c>
      <c r="P482" s="662">
        <f t="shared" ref="P482" si="6523">IF(O482=0,0,O482/O$4)</f>
        <v>0</v>
      </c>
      <c r="Q482" s="661">
        <f t="shared" ref="Q482" si="6524">Q483</f>
        <v>0</v>
      </c>
      <c r="R482" s="662">
        <f t="shared" ref="R482" si="6525">IF(Q482=0,0,Q482/Q$4)</f>
        <v>0</v>
      </c>
      <c r="S482" s="661">
        <f t="shared" ref="S482" si="6526">S483</f>
        <v>0</v>
      </c>
      <c r="T482" s="662">
        <f t="shared" ref="T482" si="6527">IF(S482=0,0,S482/S$4)</f>
        <v>0</v>
      </c>
      <c r="U482" s="661">
        <f t="shared" ref="U482" si="6528">U483</f>
        <v>0</v>
      </c>
      <c r="V482" s="662">
        <f t="shared" ref="V482" si="6529">IF(U482=0,0,U482/U$4)</f>
        <v>0</v>
      </c>
      <c r="W482" s="661">
        <f t="shared" ref="W482" si="6530">W483</f>
        <v>0</v>
      </c>
      <c r="X482" s="662">
        <f t="shared" ref="X482" si="6531">IF(W482=0,0,W482/W$4)</f>
        <v>0</v>
      </c>
      <c r="Y482" s="661">
        <f t="shared" ref="Y482" si="6532">Y483</f>
        <v>0</v>
      </c>
      <c r="Z482" s="662">
        <f t="shared" ref="Z482" si="6533">IF(Y482=0,0,Y482/Y$4)</f>
        <v>0</v>
      </c>
      <c r="AA482" s="661">
        <f t="shared" ref="AA482" si="6534">AA483</f>
        <v>0</v>
      </c>
      <c r="AB482" s="662">
        <f t="shared" ref="AB482" si="6535">IF(AA482=0,0,AA482/AA$4)</f>
        <v>0</v>
      </c>
      <c r="AC482" s="661">
        <f t="shared" ref="AC482" si="6536">AC483</f>
        <v>42329123.168891624</v>
      </c>
      <c r="AD482" s="662">
        <f t="shared" ref="AD482" si="6537">IF(AC482=0,0,AC482/AC$4)</f>
        <v>262.89270585479613</v>
      </c>
      <c r="AE482" s="654"/>
    </row>
    <row r="483" spans="1:36" s="68" customFormat="1" ht="15.75" hidden="1" outlineLevel="4">
      <c r="A483" s="245"/>
      <c r="B483" s="246" t="s">
        <v>921</v>
      </c>
      <c r="C483" s="663"/>
      <c r="D483" s="664">
        <f t="shared" si="6121"/>
        <v>0</v>
      </c>
      <c r="E483" s="663">
        <f>Калькулятор_жилье!L218</f>
        <v>42329123.168891624</v>
      </c>
      <c r="F483" s="664">
        <f t="shared" si="6121"/>
        <v>983.41479843160619</v>
      </c>
      <c r="G483" s="663">
        <f>Калькулятор_жилье!M218</f>
        <v>0</v>
      </c>
      <c r="H483" s="664">
        <f t="shared" ref="H483" si="6538">IF(G483=0,0,G483/G$4)</f>
        <v>0</v>
      </c>
      <c r="I483" s="663">
        <f>Калькулятор_жилье!N218</f>
        <v>0</v>
      </c>
      <c r="J483" s="664">
        <f t="shared" ref="J483" si="6539">IF(I483=0,0,I483/I$4)</f>
        <v>0</v>
      </c>
      <c r="K483" s="663">
        <f>Калькулятор_жилье!O218</f>
        <v>0</v>
      </c>
      <c r="L483" s="664">
        <f t="shared" ref="L483" si="6540">IF(K483=0,0,K483/K$4)</f>
        <v>0</v>
      </c>
      <c r="M483" s="663">
        <f>Калькулятор_жилье!P218</f>
        <v>0</v>
      </c>
      <c r="N483" s="664">
        <f t="shared" ref="N483" si="6541">IF(M483=0,0,M483/M$4)</f>
        <v>0</v>
      </c>
      <c r="O483" s="663">
        <f>Калькулятор_жилье!Q218</f>
        <v>0</v>
      </c>
      <c r="P483" s="664">
        <f t="shared" ref="P483" si="6542">IF(O483=0,0,O483/O$4)</f>
        <v>0</v>
      </c>
      <c r="Q483" s="663">
        <f>Калькулятор_жилье!R218</f>
        <v>0</v>
      </c>
      <c r="R483" s="664">
        <f t="shared" ref="R483" si="6543">IF(Q483=0,0,Q483/Q$4)</f>
        <v>0</v>
      </c>
      <c r="S483" s="663">
        <f>Калькулятор_жилье!S218</f>
        <v>0</v>
      </c>
      <c r="T483" s="664">
        <f t="shared" ref="T483" si="6544">IF(S483=0,0,S483/S$4)</f>
        <v>0</v>
      </c>
      <c r="U483" s="663">
        <f>Калькулятор_жилье!T218</f>
        <v>0</v>
      </c>
      <c r="V483" s="664">
        <f t="shared" ref="V483" si="6545">IF(U483=0,0,U483/U$4)</f>
        <v>0</v>
      </c>
      <c r="W483" s="663">
        <f>Калькулятор_жилье!U218</f>
        <v>0</v>
      </c>
      <c r="X483" s="664">
        <f t="shared" ref="X483" si="6546">IF(W483=0,0,W483/W$4)</f>
        <v>0</v>
      </c>
      <c r="Y483" s="663">
        <f>Калькулятор_жилье!V218</f>
        <v>0</v>
      </c>
      <c r="Z483" s="664">
        <f t="shared" ref="Z483" si="6547">IF(Y483=0,0,Y483/Y$4)</f>
        <v>0</v>
      </c>
      <c r="AA483" s="663">
        <f>Калькулятор_жилье!W218</f>
        <v>0</v>
      </c>
      <c r="AB483" s="664">
        <f t="shared" ref="AB483" si="6548">IF(AA483=0,0,AA483/AA$4)</f>
        <v>0</v>
      </c>
      <c r="AC483" s="663">
        <f>C483+E483+G483+I483+K483+M483+O483+Q483+S483+U483+W483+AA483+Y483</f>
        <v>42329123.168891624</v>
      </c>
      <c r="AD483" s="664">
        <f t="shared" ref="AD483" si="6549">IF(AC483=0,0,AC483/AC$4)</f>
        <v>262.89270585479613</v>
      </c>
      <c r="AE483" s="665"/>
      <c r="AF483" s="556"/>
      <c r="AG483" s="114"/>
      <c r="AH483" s="114"/>
      <c r="AI483" s="114"/>
      <c r="AJ483" s="114"/>
    </row>
    <row r="484" spans="1:36" s="556" customFormat="1" ht="15.75" hidden="1" outlineLevel="2">
      <c r="A484" s="609" t="s">
        <v>1325</v>
      </c>
      <c r="B484" s="559" t="s">
        <v>1324</v>
      </c>
      <c r="C484" s="659"/>
      <c r="D484" s="660">
        <f t="shared" si="6121"/>
        <v>0</v>
      </c>
      <c r="E484" s="659"/>
      <c r="F484" s="660">
        <f t="shared" si="6121"/>
        <v>0</v>
      </c>
      <c r="G484" s="659">
        <f>Калькулятор_жилье!M249</f>
        <v>10798499.635980001</v>
      </c>
      <c r="H484" s="660">
        <f t="shared" ref="H484" si="6550">IF(G484=0,0,G484/G$4)</f>
        <v>258.67870102288106</v>
      </c>
      <c r="I484" s="659">
        <f>Калькулятор_жилье!N249</f>
        <v>10798499.635980001</v>
      </c>
      <c r="J484" s="660">
        <f t="shared" ref="J484" si="6551">IF(I484=0,0,I484/I$4)</f>
        <v>368.00495317087416</v>
      </c>
      <c r="K484" s="659">
        <f>Калькулятор_жилье!O249</f>
        <v>10798499.635980001</v>
      </c>
      <c r="L484" s="660">
        <f t="shared" ref="L484" si="6552">IF(K484=0,0,K484/K$4)</f>
        <v>253.63514215859814</v>
      </c>
      <c r="M484" s="659">
        <f>Калькулятор_жилье!P249</f>
        <v>1542642.8051400001</v>
      </c>
      <c r="N484" s="660">
        <f t="shared" ref="N484" si="6553">IF(M484=0,0,M484/M$4)</f>
        <v>358.18770436054609</v>
      </c>
      <c r="O484" s="659">
        <f>Калькулятор_жилье!Q249</f>
        <v>0</v>
      </c>
      <c r="P484" s="660">
        <f t="shared" ref="P484" si="6554">IF(O484=0,0,O484/O$4)</f>
        <v>0</v>
      </c>
      <c r="Q484" s="659">
        <f>Калькулятор_жилье!R249</f>
        <v>0</v>
      </c>
      <c r="R484" s="660">
        <f t="shared" ref="R484" si="6555">IF(Q484=0,0,Q484/Q$4)</f>
        <v>0</v>
      </c>
      <c r="S484" s="659">
        <f>Калькулятор_жилье!S249</f>
        <v>0</v>
      </c>
      <c r="T484" s="660">
        <f t="shared" ref="T484" si="6556">IF(S484=0,0,S484/S$4)</f>
        <v>0</v>
      </c>
      <c r="U484" s="659">
        <f>Калькулятор_жилье!T249</f>
        <v>0</v>
      </c>
      <c r="V484" s="660">
        <f t="shared" ref="V484" si="6557">IF(U484=0,0,U484/U$4)</f>
        <v>0</v>
      </c>
      <c r="W484" s="659">
        <f>Калькулятор_жилье!U249</f>
        <v>0</v>
      </c>
      <c r="X484" s="660">
        <f t="shared" ref="X484" si="6558">IF(W484=0,0,W484/W$4)</f>
        <v>0</v>
      </c>
      <c r="Y484" s="659">
        <f>Калькулятор_жилье!V249</f>
        <v>0</v>
      </c>
      <c r="Z484" s="660">
        <f t="shared" ref="Z484" si="6559">IF(Y484=0,0,Y484/Y$4)</f>
        <v>0</v>
      </c>
      <c r="AA484" s="659">
        <f>Калькулятор_жилье!W249</f>
        <v>0</v>
      </c>
      <c r="AB484" s="660">
        <f t="shared" ref="AB484" si="6560">IF(AA484=0,0,AA484/AA$4)</f>
        <v>0</v>
      </c>
      <c r="AC484" s="659">
        <f>C484+E484+G484+I484+K484+M484+O484+Q484+S484+U484+W484+AA484+Y484</f>
        <v>33938141.713080004</v>
      </c>
      <c r="AD484" s="660">
        <f t="shared" ref="AD484" si="6561">IF(AC484=0,0,AC484/AC$4)</f>
        <v>210.77899183114005</v>
      </c>
      <c r="AE484" s="654"/>
    </row>
    <row r="485" spans="1:36" s="556" customFormat="1" ht="15.75" outlineLevel="1" collapsed="1">
      <c r="A485" s="610" t="s">
        <v>1323</v>
      </c>
      <c r="B485" s="558" t="s">
        <v>1180</v>
      </c>
      <c r="C485" s="657">
        <f>SUM(C486:C504)</f>
        <v>533088093.06558114</v>
      </c>
      <c r="D485" s="658">
        <f t="shared" si="6121"/>
        <v>3310.8404037997857</v>
      </c>
      <c r="E485" s="657">
        <f t="shared" ref="E485" si="6562">SUM(E486:E504)</f>
        <v>0</v>
      </c>
      <c r="F485" s="658">
        <f t="shared" si="6121"/>
        <v>0</v>
      </c>
      <c r="G485" s="657">
        <f t="shared" ref="G485" si="6563">SUM(G486:G504)</f>
        <v>0</v>
      </c>
      <c r="H485" s="658">
        <f t="shared" ref="H485" si="6564">IF(G485=0,0,G485/G$4)</f>
        <v>0</v>
      </c>
      <c r="I485" s="657">
        <f t="shared" ref="I485" si="6565">SUM(I486:I504)</f>
        <v>0</v>
      </c>
      <c r="J485" s="658">
        <f t="shared" ref="J485" si="6566">IF(I485=0,0,I485/I$4)</f>
        <v>0</v>
      </c>
      <c r="K485" s="657">
        <f t="shared" ref="K485" si="6567">SUM(K486:K504)</f>
        <v>0</v>
      </c>
      <c r="L485" s="658">
        <f t="shared" ref="L485" si="6568">IF(K485=0,0,K485/K$4)</f>
        <v>0</v>
      </c>
      <c r="M485" s="657">
        <f t="shared" ref="M485" si="6569">SUM(M486:M504)</f>
        <v>0</v>
      </c>
      <c r="N485" s="658">
        <f t="shared" ref="N485" si="6570">IF(M485=0,0,M485/M$4)</f>
        <v>0</v>
      </c>
      <c r="O485" s="657">
        <f t="shared" ref="O485" si="6571">SUM(O486:O504)</f>
        <v>0</v>
      </c>
      <c r="P485" s="658">
        <f t="shared" ref="P485" si="6572">IF(O485=0,0,O485/O$4)</f>
        <v>0</v>
      </c>
      <c r="Q485" s="657">
        <f t="shared" ref="Q485" si="6573">SUM(Q486:Q504)</f>
        <v>0</v>
      </c>
      <c r="R485" s="658">
        <f t="shared" ref="R485" si="6574">IF(Q485=0,0,Q485/Q$4)</f>
        <v>0</v>
      </c>
      <c r="S485" s="657">
        <f t="shared" ref="S485" si="6575">SUM(S486:S504)</f>
        <v>0</v>
      </c>
      <c r="T485" s="658">
        <f t="shared" ref="T485" si="6576">IF(S485=0,0,S485/S$4)</f>
        <v>0</v>
      </c>
      <c r="U485" s="657">
        <f t="shared" ref="U485" si="6577">SUM(U486:U504)</f>
        <v>0</v>
      </c>
      <c r="V485" s="658">
        <f t="shared" ref="V485" si="6578">IF(U485=0,0,U485/U$4)</f>
        <v>0</v>
      </c>
      <c r="W485" s="657">
        <f t="shared" ref="W485" si="6579">SUM(W486:W504)</f>
        <v>0</v>
      </c>
      <c r="X485" s="658">
        <f t="shared" ref="X485" si="6580">IF(W485=0,0,W485/W$4)</f>
        <v>0</v>
      </c>
      <c r="Y485" s="657">
        <f t="shared" ref="Y485" si="6581">SUM(Y486:Y504)</f>
        <v>0</v>
      </c>
      <c r="Z485" s="658">
        <f t="shared" ref="Z485" si="6582">IF(Y485=0,0,Y485/Y$4)</f>
        <v>0</v>
      </c>
      <c r="AA485" s="657">
        <f t="shared" ref="AA485" si="6583">SUM(AA486:AA504)</f>
        <v>0</v>
      </c>
      <c r="AB485" s="658">
        <f t="shared" ref="AB485" si="6584">IF(AA485=0,0,AA485/AA$4)</f>
        <v>0</v>
      </c>
      <c r="AC485" s="657">
        <f t="shared" ref="AC485" si="6585">SUM(AC486:AC504)</f>
        <v>533088093.06558114</v>
      </c>
      <c r="AD485" s="658">
        <f t="shared" ref="AD485" si="6586">IF(AC485=0,0,AC485/AC$4)</f>
        <v>3310.8404037997857</v>
      </c>
      <c r="AE485" s="654"/>
    </row>
    <row r="486" spans="1:36" s="556" customFormat="1" ht="15.75" hidden="1" outlineLevel="2">
      <c r="A486" s="609" t="s">
        <v>1322</v>
      </c>
      <c r="B486" s="559" t="s">
        <v>1181</v>
      </c>
      <c r="C486" s="659">
        <f>Калькулятор_жилье!K550</f>
        <v>131664482.93041071</v>
      </c>
      <c r="D486" s="660">
        <f t="shared" si="6121"/>
        <v>817.72617978504275</v>
      </c>
      <c r="E486" s="659"/>
      <c r="F486" s="660">
        <f t="shared" si="6121"/>
        <v>0</v>
      </c>
      <c r="G486" s="659"/>
      <c r="H486" s="660">
        <f t="shared" ref="H486" si="6587">IF(G486=0,0,G486/G$4)</f>
        <v>0</v>
      </c>
      <c r="I486" s="659"/>
      <c r="J486" s="660">
        <f t="shared" ref="J486" si="6588">IF(I486=0,0,I486/I$4)</f>
        <v>0</v>
      </c>
      <c r="K486" s="659"/>
      <c r="L486" s="660">
        <f t="shared" ref="L486" si="6589">IF(K486=0,0,K486/K$4)</f>
        <v>0</v>
      </c>
      <c r="M486" s="659"/>
      <c r="N486" s="660">
        <f t="shared" ref="N486" si="6590">IF(M486=0,0,M486/M$4)</f>
        <v>0</v>
      </c>
      <c r="O486" s="659"/>
      <c r="P486" s="660">
        <f t="shared" ref="P486" si="6591">IF(O486=0,0,O486/O$4)</f>
        <v>0</v>
      </c>
      <c r="Q486" s="659"/>
      <c r="R486" s="660">
        <f t="shared" ref="R486" si="6592">IF(Q486=0,0,Q486/Q$4)</f>
        <v>0</v>
      </c>
      <c r="S486" s="659"/>
      <c r="T486" s="660">
        <f t="shared" ref="T486" si="6593">IF(S486=0,0,S486/S$4)</f>
        <v>0</v>
      </c>
      <c r="U486" s="659"/>
      <c r="V486" s="660">
        <f t="shared" ref="V486" si="6594">IF(U486=0,0,U486/U$4)</f>
        <v>0</v>
      </c>
      <c r="W486" s="659"/>
      <c r="X486" s="660">
        <f t="shared" ref="X486" si="6595">IF(W486=0,0,W486/W$4)</f>
        <v>0</v>
      </c>
      <c r="Y486" s="659"/>
      <c r="Z486" s="660">
        <f t="shared" ref="Z486" si="6596">IF(Y486=0,0,Y486/Y$4)</f>
        <v>0</v>
      </c>
      <c r="AA486" s="659"/>
      <c r="AB486" s="660">
        <f t="shared" ref="AB486" si="6597">IF(AA486=0,0,AA486/AA$4)</f>
        <v>0</v>
      </c>
      <c r="AC486" s="659">
        <f>C486+E486+G486+I486+K486+M486+O486+Q486+S486+U486+W486+AA486+Y486</f>
        <v>131664482.93041071</v>
      </c>
      <c r="AD486" s="660">
        <f t="shared" ref="AD486" si="6598">IF(AC486=0,0,AC486/AC$4)</f>
        <v>817.72617978504275</v>
      </c>
      <c r="AE486" s="654"/>
    </row>
    <row r="487" spans="1:36" s="556" customFormat="1" ht="15.75" hidden="1" outlineLevel="2">
      <c r="A487" s="609" t="s">
        <v>1321</v>
      </c>
      <c r="B487" s="559" t="s">
        <v>1320</v>
      </c>
      <c r="C487" s="659"/>
      <c r="D487" s="659">
        <f t="shared" si="6121"/>
        <v>0</v>
      </c>
      <c r="E487" s="659"/>
      <c r="F487" s="659">
        <f t="shared" si="6121"/>
        <v>0</v>
      </c>
      <c r="G487" s="659"/>
      <c r="H487" s="659">
        <f t="shared" ref="H487" si="6599">IF(G487=0,0,G487/G$4)</f>
        <v>0</v>
      </c>
      <c r="I487" s="659"/>
      <c r="J487" s="659">
        <f t="shared" ref="J487" si="6600">IF(I487=0,0,I487/I$4)</f>
        <v>0</v>
      </c>
      <c r="K487" s="659"/>
      <c r="L487" s="659">
        <f t="shared" ref="L487" si="6601">IF(K487=0,0,K487/K$4)</f>
        <v>0</v>
      </c>
      <c r="M487" s="659"/>
      <c r="N487" s="659">
        <f t="shared" ref="N487" si="6602">IF(M487=0,0,M487/M$4)</f>
        <v>0</v>
      </c>
      <c r="O487" s="659"/>
      <c r="P487" s="659">
        <f t="shared" ref="P487" si="6603">IF(O487=0,0,O487/O$4)</f>
        <v>0</v>
      </c>
      <c r="Q487" s="659"/>
      <c r="R487" s="659">
        <f t="shared" ref="R487" si="6604">IF(Q487=0,0,Q487/Q$4)</f>
        <v>0</v>
      </c>
      <c r="S487" s="659"/>
      <c r="T487" s="659">
        <f t="shared" ref="T487" si="6605">IF(S487=0,0,S487/S$4)</f>
        <v>0</v>
      </c>
      <c r="U487" s="659"/>
      <c r="V487" s="659">
        <f t="shared" ref="V487" si="6606">IF(U487=0,0,U487/U$4)</f>
        <v>0</v>
      </c>
      <c r="W487" s="659"/>
      <c r="X487" s="659">
        <f t="shared" ref="X487" si="6607">IF(W487=0,0,W487/W$4)</f>
        <v>0</v>
      </c>
      <c r="Y487" s="659"/>
      <c r="Z487" s="659">
        <f t="shared" ref="Z487" si="6608">IF(Y487=0,0,Y487/Y$4)</f>
        <v>0</v>
      </c>
      <c r="AA487" s="659"/>
      <c r="AB487" s="659">
        <f t="shared" ref="AB487" si="6609">IF(AA487=0,0,AA487/AA$4)</f>
        <v>0</v>
      </c>
      <c r="AC487" s="659"/>
      <c r="AD487" s="659">
        <f t="shared" ref="AD487" si="6610">IF(AC487=0,0,AC487/AC$4)</f>
        <v>0</v>
      </c>
      <c r="AE487" s="654"/>
    </row>
    <row r="488" spans="1:36" s="556" customFormat="1" ht="15.75" hidden="1" outlineLevel="2">
      <c r="A488" s="609" t="s">
        <v>1319</v>
      </c>
      <c r="B488" s="559" t="s">
        <v>1189</v>
      </c>
      <c r="C488" s="659"/>
      <c r="D488" s="659">
        <f t="shared" si="6121"/>
        <v>0</v>
      </c>
      <c r="E488" s="659"/>
      <c r="F488" s="659">
        <f t="shared" si="6121"/>
        <v>0</v>
      </c>
      <c r="G488" s="659"/>
      <c r="H488" s="659">
        <f t="shared" ref="H488" si="6611">IF(G488=0,0,G488/G$4)</f>
        <v>0</v>
      </c>
      <c r="I488" s="659"/>
      <c r="J488" s="659">
        <f t="shared" ref="J488" si="6612">IF(I488=0,0,I488/I$4)</f>
        <v>0</v>
      </c>
      <c r="K488" s="659"/>
      <c r="L488" s="659">
        <f t="shared" ref="L488" si="6613">IF(K488=0,0,K488/K$4)</f>
        <v>0</v>
      </c>
      <c r="M488" s="659"/>
      <c r="N488" s="659">
        <f t="shared" ref="N488" si="6614">IF(M488=0,0,M488/M$4)</f>
        <v>0</v>
      </c>
      <c r="O488" s="659"/>
      <c r="P488" s="659">
        <f t="shared" ref="P488" si="6615">IF(O488=0,0,O488/O$4)</f>
        <v>0</v>
      </c>
      <c r="Q488" s="659"/>
      <c r="R488" s="659">
        <f t="shared" ref="R488" si="6616">IF(Q488=0,0,Q488/Q$4)</f>
        <v>0</v>
      </c>
      <c r="S488" s="659"/>
      <c r="T488" s="659">
        <f t="shared" ref="T488" si="6617">IF(S488=0,0,S488/S$4)</f>
        <v>0</v>
      </c>
      <c r="U488" s="659"/>
      <c r="V488" s="659">
        <f t="shared" ref="V488" si="6618">IF(U488=0,0,U488/U$4)</f>
        <v>0</v>
      </c>
      <c r="W488" s="659"/>
      <c r="X488" s="659">
        <f t="shared" ref="X488" si="6619">IF(W488=0,0,W488/W$4)</f>
        <v>0</v>
      </c>
      <c r="Y488" s="659"/>
      <c r="Z488" s="659">
        <f t="shared" ref="Z488" si="6620">IF(Y488=0,0,Y488/Y$4)</f>
        <v>0</v>
      </c>
      <c r="AA488" s="659"/>
      <c r="AB488" s="659">
        <f t="shared" ref="AB488" si="6621">IF(AA488=0,0,AA488/AA$4)</f>
        <v>0</v>
      </c>
      <c r="AC488" s="659"/>
      <c r="AD488" s="659">
        <f t="shared" ref="AD488" si="6622">IF(AC488=0,0,AC488/AC$4)</f>
        <v>0</v>
      </c>
      <c r="AE488" s="654"/>
    </row>
    <row r="489" spans="1:36" s="556" customFormat="1" ht="15.75" hidden="1" outlineLevel="2">
      <c r="A489" s="609" t="s">
        <v>1318</v>
      </c>
      <c r="B489" s="559" t="s">
        <v>1317</v>
      </c>
      <c r="C489" s="659"/>
      <c r="D489" s="659">
        <f t="shared" si="6121"/>
        <v>0</v>
      </c>
      <c r="E489" s="659"/>
      <c r="F489" s="659">
        <f t="shared" si="6121"/>
        <v>0</v>
      </c>
      <c r="G489" s="659"/>
      <c r="H489" s="659">
        <f t="shared" ref="H489" si="6623">IF(G489=0,0,G489/G$4)</f>
        <v>0</v>
      </c>
      <c r="I489" s="659"/>
      <c r="J489" s="659">
        <f t="shared" ref="J489" si="6624">IF(I489=0,0,I489/I$4)</f>
        <v>0</v>
      </c>
      <c r="K489" s="659"/>
      <c r="L489" s="659">
        <f t="shared" ref="L489" si="6625">IF(K489=0,0,K489/K$4)</f>
        <v>0</v>
      </c>
      <c r="M489" s="659"/>
      <c r="N489" s="659">
        <f t="shared" ref="N489" si="6626">IF(M489=0,0,M489/M$4)</f>
        <v>0</v>
      </c>
      <c r="O489" s="659"/>
      <c r="P489" s="659">
        <f t="shared" ref="P489" si="6627">IF(O489=0,0,O489/O$4)</f>
        <v>0</v>
      </c>
      <c r="Q489" s="659"/>
      <c r="R489" s="659">
        <f t="shared" ref="R489" si="6628">IF(Q489=0,0,Q489/Q$4)</f>
        <v>0</v>
      </c>
      <c r="S489" s="659"/>
      <c r="T489" s="659">
        <f t="shared" ref="T489" si="6629">IF(S489=0,0,S489/S$4)</f>
        <v>0</v>
      </c>
      <c r="U489" s="659"/>
      <c r="V489" s="659">
        <f t="shared" ref="V489" si="6630">IF(U489=0,0,U489/U$4)</f>
        <v>0</v>
      </c>
      <c r="W489" s="659"/>
      <c r="X489" s="659">
        <f t="shared" ref="X489" si="6631">IF(W489=0,0,W489/W$4)</f>
        <v>0</v>
      </c>
      <c r="Y489" s="659"/>
      <c r="Z489" s="659">
        <f t="shared" ref="Z489" si="6632">IF(Y489=0,0,Y489/Y$4)</f>
        <v>0</v>
      </c>
      <c r="AA489" s="659"/>
      <c r="AB489" s="659">
        <f t="shared" ref="AB489" si="6633">IF(AA489=0,0,AA489/AA$4)</f>
        <v>0</v>
      </c>
      <c r="AC489" s="659"/>
      <c r="AD489" s="659">
        <f t="shared" ref="AD489" si="6634">IF(AC489=0,0,AC489/AC$4)</f>
        <v>0</v>
      </c>
      <c r="AE489" s="654"/>
    </row>
    <row r="490" spans="1:36" s="556" customFormat="1" ht="15.75" hidden="1" outlineLevel="2">
      <c r="A490" s="609" t="s">
        <v>1316</v>
      </c>
      <c r="B490" s="559" t="s">
        <v>102</v>
      </c>
      <c r="C490" s="659">
        <f>Калькулятор_жилье!K551</f>
        <v>202304215.82755345</v>
      </c>
      <c r="D490" s="659">
        <f t="shared" si="6121"/>
        <v>1256.4470681930929</v>
      </c>
      <c r="E490" s="659"/>
      <c r="F490" s="659">
        <f t="shared" si="6121"/>
        <v>0</v>
      </c>
      <c r="G490" s="659"/>
      <c r="H490" s="659">
        <f t="shared" ref="H490" si="6635">IF(G490=0,0,G490/G$4)</f>
        <v>0</v>
      </c>
      <c r="I490" s="659"/>
      <c r="J490" s="659">
        <f t="shared" ref="J490" si="6636">IF(I490=0,0,I490/I$4)</f>
        <v>0</v>
      </c>
      <c r="K490" s="659"/>
      <c r="L490" s="659">
        <f t="shared" ref="L490" si="6637">IF(K490=0,0,K490/K$4)</f>
        <v>0</v>
      </c>
      <c r="M490" s="659"/>
      <c r="N490" s="659">
        <f t="shared" ref="N490" si="6638">IF(M490=0,0,M490/M$4)</f>
        <v>0</v>
      </c>
      <c r="O490" s="659"/>
      <c r="P490" s="659">
        <f t="shared" ref="P490" si="6639">IF(O490=0,0,O490/O$4)</f>
        <v>0</v>
      </c>
      <c r="Q490" s="659"/>
      <c r="R490" s="659">
        <f t="shared" ref="R490" si="6640">IF(Q490=0,0,Q490/Q$4)</f>
        <v>0</v>
      </c>
      <c r="S490" s="659"/>
      <c r="T490" s="659">
        <f t="shared" ref="T490" si="6641">IF(S490=0,0,S490/S$4)</f>
        <v>0</v>
      </c>
      <c r="U490" s="659"/>
      <c r="V490" s="659">
        <f t="shared" ref="V490" si="6642">IF(U490=0,0,U490/U$4)</f>
        <v>0</v>
      </c>
      <c r="W490" s="659"/>
      <c r="X490" s="659">
        <f t="shared" ref="X490" si="6643">IF(W490=0,0,W490/W$4)</f>
        <v>0</v>
      </c>
      <c r="Y490" s="659"/>
      <c r="Z490" s="659">
        <f t="shared" ref="Z490" si="6644">IF(Y490=0,0,Y490/Y$4)</f>
        <v>0</v>
      </c>
      <c r="AA490" s="659"/>
      <c r="AB490" s="659">
        <f t="shared" ref="AB490" si="6645">IF(AA490=0,0,AA490/AA$4)</f>
        <v>0</v>
      </c>
      <c r="AC490" s="659">
        <f>C490+E490+G490+I490+K490+M490+O490+Q490+S490+U490+W490+AA490+Y490</f>
        <v>202304215.82755345</v>
      </c>
      <c r="AD490" s="659">
        <f t="shared" ref="AD490" si="6646">IF(AC490=0,0,AC490/AC$4)</f>
        <v>1256.4470681930929</v>
      </c>
      <c r="AE490" s="654"/>
    </row>
    <row r="491" spans="1:36" s="556" customFormat="1" ht="15.75" hidden="1" outlineLevel="2">
      <c r="A491" s="609" t="s">
        <v>1315</v>
      </c>
      <c r="B491" s="559" t="s">
        <v>1314</v>
      </c>
      <c r="C491" s="659"/>
      <c r="D491" s="659">
        <f t="shared" si="6121"/>
        <v>0</v>
      </c>
      <c r="E491" s="659"/>
      <c r="F491" s="659">
        <f t="shared" si="6121"/>
        <v>0</v>
      </c>
      <c r="G491" s="659"/>
      <c r="H491" s="659">
        <f t="shared" ref="H491" si="6647">IF(G491=0,0,G491/G$4)</f>
        <v>0</v>
      </c>
      <c r="I491" s="659"/>
      <c r="J491" s="659">
        <f t="shared" ref="J491" si="6648">IF(I491=0,0,I491/I$4)</f>
        <v>0</v>
      </c>
      <c r="K491" s="659"/>
      <c r="L491" s="659">
        <f t="shared" ref="L491" si="6649">IF(K491=0,0,K491/K$4)</f>
        <v>0</v>
      </c>
      <c r="M491" s="659"/>
      <c r="N491" s="659">
        <f t="shared" ref="N491" si="6650">IF(M491=0,0,M491/M$4)</f>
        <v>0</v>
      </c>
      <c r="O491" s="659"/>
      <c r="P491" s="659">
        <f t="shared" ref="P491" si="6651">IF(O491=0,0,O491/O$4)</f>
        <v>0</v>
      </c>
      <c r="Q491" s="659"/>
      <c r="R491" s="659">
        <f t="shared" ref="R491" si="6652">IF(Q491=0,0,Q491/Q$4)</f>
        <v>0</v>
      </c>
      <c r="S491" s="659"/>
      <c r="T491" s="659">
        <f t="shared" ref="T491" si="6653">IF(S491=0,0,S491/S$4)</f>
        <v>0</v>
      </c>
      <c r="U491" s="659"/>
      <c r="V491" s="659">
        <f t="shared" ref="V491" si="6654">IF(U491=0,0,U491/U$4)</f>
        <v>0</v>
      </c>
      <c r="W491" s="659"/>
      <c r="X491" s="659">
        <f t="shared" ref="X491" si="6655">IF(W491=0,0,W491/W$4)</f>
        <v>0</v>
      </c>
      <c r="Y491" s="659"/>
      <c r="Z491" s="659">
        <f t="shared" ref="Z491" si="6656">IF(Y491=0,0,Y491/Y$4)</f>
        <v>0</v>
      </c>
      <c r="AA491" s="659"/>
      <c r="AB491" s="659">
        <f t="shared" ref="AB491" si="6657">IF(AA491=0,0,AA491/AA$4)</f>
        <v>0</v>
      </c>
      <c r="AC491" s="659"/>
      <c r="AD491" s="659">
        <f t="shared" ref="AD491" si="6658">IF(AC491=0,0,AC491/AC$4)</f>
        <v>0</v>
      </c>
      <c r="AE491" s="654"/>
    </row>
    <row r="492" spans="1:36" s="556" customFormat="1" ht="15.75" hidden="1" outlineLevel="2">
      <c r="A492" s="609" t="s">
        <v>1313</v>
      </c>
      <c r="B492" s="559" t="s">
        <v>1312</v>
      </c>
      <c r="C492" s="659">
        <f>Калькулятор_жилье!K552</f>
        <v>84567875.927689165</v>
      </c>
      <c r="D492" s="659">
        <f t="shared" si="6121"/>
        <v>525.2241498676201</v>
      </c>
      <c r="E492" s="659"/>
      <c r="F492" s="659">
        <f t="shared" si="6121"/>
        <v>0</v>
      </c>
      <c r="G492" s="659"/>
      <c r="H492" s="659">
        <f t="shared" ref="H492" si="6659">IF(G492=0,0,G492/G$4)</f>
        <v>0</v>
      </c>
      <c r="I492" s="659"/>
      <c r="J492" s="659">
        <f t="shared" ref="J492" si="6660">IF(I492=0,0,I492/I$4)</f>
        <v>0</v>
      </c>
      <c r="K492" s="659"/>
      <c r="L492" s="659">
        <f t="shared" ref="L492" si="6661">IF(K492=0,0,K492/K$4)</f>
        <v>0</v>
      </c>
      <c r="M492" s="659"/>
      <c r="N492" s="659">
        <f t="shared" ref="N492" si="6662">IF(M492=0,0,M492/M$4)</f>
        <v>0</v>
      </c>
      <c r="O492" s="659"/>
      <c r="P492" s="659">
        <f t="shared" ref="P492" si="6663">IF(O492=0,0,O492/O$4)</f>
        <v>0</v>
      </c>
      <c r="Q492" s="659"/>
      <c r="R492" s="659">
        <f t="shared" ref="R492" si="6664">IF(Q492=0,0,Q492/Q$4)</f>
        <v>0</v>
      </c>
      <c r="S492" s="659"/>
      <c r="T492" s="659">
        <f t="shared" ref="T492" si="6665">IF(S492=0,0,S492/S$4)</f>
        <v>0</v>
      </c>
      <c r="U492" s="659"/>
      <c r="V492" s="659">
        <f t="shared" ref="V492" si="6666">IF(U492=0,0,U492/U$4)</f>
        <v>0</v>
      </c>
      <c r="W492" s="659"/>
      <c r="X492" s="659">
        <f t="shared" ref="X492" si="6667">IF(W492=0,0,W492/W$4)</f>
        <v>0</v>
      </c>
      <c r="Y492" s="659"/>
      <c r="Z492" s="659">
        <f t="shared" ref="Z492" si="6668">IF(Y492=0,0,Y492/Y$4)</f>
        <v>0</v>
      </c>
      <c r="AA492" s="659"/>
      <c r="AB492" s="659">
        <f t="shared" ref="AB492" si="6669">IF(AA492=0,0,AA492/AA$4)</f>
        <v>0</v>
      </c>
      <c r="AC492" s="659">
        <f>C492+E492+G492+I492+K492+M492+O492+Q492+S492+U492+W492+AA492+Y492</f>
        <v>84567875.927689165</v>
      </c>
      <c r="AD492" s="659">
        <f t="shared" ref="AD492" si="6670">IF(AC492=0,0,AC492/AC$4)</f>
        <v>525.2241498676201</v>
      </c>
      <c r="AE492" s="654"/>
    </row>
    <row r="493" spans="1:36" s="556" customFormat="1" ht="15.75" hidden="1" outlineLevel="2">
      <c r="A493" s="609" t="s">
        <v>1311</v>
      </c>
      <c r="B493" s="559" t="s">
        <v>1186</v>
      </c>
      <c r="C493" s="659"/>
      <c r="D493" s="659">
        <f t="shared" si="6121"/>
        <v>0</v>
      </c>
      <c r="E493" s="659"/>
      <c r="F493" s="659">
        <f t="shared" si="6121"/>
        <v>0</v>
      </c>
      <c r="G493" s="659"/>
      <c r="H493" s="659">
        <f t="shared" ref="H493" si="6671">IF(G493=0,0,G493/G$4)</f>
        <v>0</v>
      </c>
      <c r="I493" s="659"/>
      <c r="J493" s="659">
        <f t="shared" ref="J493" si="6672">IF(I493=0,0,I493/I$4)</f>
        <v>0</v>
      </c>
      <c r="K493" s="659"/>
      <c r="L493" s="659">
        <f t="shared" ref="L493" si="6673">IF(K493=0,0,K493/K$4)</f>
        <v>0</v>
      </c>
      <c r="M493" s="659"/>
      <c r="N493" s="659">
        <f t="shared" ref="N493" si="6674">IF(M493=0,0,M493/M$4)</f>
        <v>0</v>
      </c>
      <c r="O493" s="659"/>
      <c r="P493" s="659">
        <f t="shared" ref="P493" si="6675">IF(O493=0,0,O493/O$4)</f>
        <v>0</v>
      </c>
      <c r="Q493" s="659"/>
      <c r="R493" s="659">
        <f t="shared" ref="R493" si="6676">IF(Q493=0,0,Q493/Q$4)</f>
        <v>0</v>
      </c>
      <c r="S493" s="659"/>
      <c r="T493" s="659">
        <f t="shared" ref="T493" si="6677">IF(S493=0,0,S493/S$4)</f>
        <v>0</v>
      </c>
      <c r="U493" s="659"/>
      <c r="V493" s="659">
        <f t="shared" ref="V493" si="6678">IF(U493=0,0,U493/U$4)</f>
        <v>0</v>
      </c>
      <c r="W493" s="659"/>
      <c r="X493" s="659">
        <f t="shared" ref="X493" si="6679">IF(W493=0,0,W493/W$4)</f>
        <v>0</v>
      </c>
      <c r="Y493" s="659"/>
      <c r="Z493" s="659">
        <f t="shared" ref="Z493" si="6680">IF(Y493=0,0,Y493/Y$4)</f>
        <v>0</v>
      </c>
      <c r="AA493" s="659"/>
      <c r="AB493" s="659">
        <f t="shared" ref="AB493" si="6681">IF(AA493=0,0,AA493/AA$4)</f>
        <v>0</v>
      </c>
      <c r="AC493" s="659"/>
      <c r="AD493" s="659">
        <f t="shared" ref="AD493" si="6682">IF(AC493=0,0,AC493/AC$4)</f>
        <v>0</v>
      </c>
      <c r="AE493" s="654"/>
    </row>
    <row r="494" spans="1:36" s="556" customFormat="1" ht="15.75" hidden="1" outlineLevel="2">
      <c r="A494" s="609" t="s">
        <v>1310</v>
      </c>
      <c r="B494" s="559" t="s">
        <v>1309</v>
      </c>
      <c r="C494" s="659"/>
      <c r="D494" s="659">
        <f t="shared" si="6121"/>
        <v>0</v>
      </c>
      <c r="E494" s="659"/>
      <c r="F494" s="659">
        <f t="shared" si="6121"/>
        <v>0</v>
      </c>
      <c r="G494" s="659"/>
      <c r="H494" s="659">
        <f t="shared" ref="H494" si="6683">IF(G494=0,0,G494/G$4)</f>
        <v>0</v>
      </c>
      <c r="I494" s="659"/>
      <c r="J494" s="659">
        <f t="shared" ref="J494" si="6684">IF(I494=0,0,I494/I$4)</f>
        <v>0</v>
      </c>
      <c r="K494" s="659"/>
      <c r="L494" s="659">
        <f t="shared" ref="L494" si="6685">IF(K494=0,0,K494/K$4)</f>
        <v>0</v>
      </c>
      <c r="M494" s="659"/>
      <c r="N494" s="659">
        <f t="shared" ref="N494" si="6686">IF(M494=0,0,M494/M$4)</f>
        <v>0</v>
      </c>
      <c r="O494" s="659"/>
      <c r="P494" s="659">
        <f t="shared" ref="P494" si="6687">IF(O494=0,0,O494/O$4)</f>
        <v>0</v>
      </c>
      <c r="Q494" s="659"/>
      <c r="R494" s="659">
        <f t="shared" ref="R494" si="6688">IF(Q494=0,0,Q494/Q$4)</f>
        <v>0</v>
      </c>
      <c r="S494" s="659"/>
      <c r="T494" s="659">
        <f t="shared" ref="T494" si="6689">IF(S494=0,0,S494/S$4)</f>
        <v>0</v>
      </c>
      <c r="U494" s="659"/>
      <c r="V494" s="659">
        <f t="shared" ref="V494" si="6690">IF(U494=0,0,U494/U$4)</f>
        <v>0</v>
      </c>
      <c r="W494" s="659"/>
      <c r="X494" s="659">
        <f t="shared" ref="X494" si="6691">IF(W494=0,0,W494/W$4)</f>
        <v>0</v>
      </c>
      <c r="Y494" s="659"/>
      <c r="Z494" s="659">
        <f t="shared" ref="Z494" si="6692">IF(Y494=0,0,Y494/Y$4)</f>
        <v>0</v>
      </c>
      <c r="AA494" s="659"/>
      <c r="AB494" s="659">
        <f t="shared" ref="AB494" si="6693">IF(AA494=0,0,AA494/AA$4)</f>
        <v>0</v>
      </c>
      <c r="AC494" s="659"/>
      <c r="AD494" s="659">
        <f t="shared" ref="AD494" si="6694">IF(AC494=0,0,AC494/AC$4)</f>
        <v>0</v>
      </c>
      <c r="AE494" s="654"/>
    </row>
    <row r="495" spans="1:36" s="556" customFormat="1" ht="15.75" hidden="1" outlineLevel="2">
      <c r="A495" s="609" t="s">
        <v>1308</v>
      </c>
      <c r="B495" s="559" t="s">
        <v>1188</v>
      </c>
      <c r="C495" s="659"/>
      <c r="D495" s="659">
        <f t="shared" si="6121"/>
        <v>0</v>
      </c>
      <c r="E495" s="659"/>
      <c r="F495" s="659">
        <f t="shared" si="6121"/>
        <v>0</v>
      </c>
      <c r="G495" s="659"/>
      <c r="H495" s="659">
        <f t="shared" ref="H495" si="6695">IF(G495=0,0,G495/G$4)</f>
        <v>0</v>
      </c>
      <c r="I495" s="659"/>
      <c r="J495" s="659">
        <f t="shared" ref="J495" si="6696">IF(I495=0,0,I495/I$4)</f>
        <v>0</v>
      </c>
      <c r="K495" s="659"/>
      <c r="L495" s="659">
        <f t="shared" ref="L495" si="6697">IF(K495=0,0,K495/K$4)</f>
        <v>0</v>
      </c>
      <c r="M495" s="659"/>
      <c r="N495" s="659">
        <f t="shared" ref="N495" si="6698">IF(M495=0,0,M495/M$4)</f>
        <v>0</v>
      </c>
      <c r="O495" s="659"/>
      <c r="P495" s="659">
        <f t="shared" ref="P495" si="6699">IF(O495=0,0,O495/O$4)</f>
        <v>0</v>
      </c>
      <c r="Q495" s="659"/>
      <c r="R495" s="659">
        <f t="shared" ref="R495" si="6700">IF(Q495=0,0,Q495/Q$4)</f>
        <v>0</v>
      </c>
      <c r="S495" s="659"/>
      <c r="T495" s="659">
        <f t="shared" ref="T495" si="6701">IF(S495=0,0,S495/S$4)</f>
        <v>0</v>
      </c>
      <c r="U495" s="659"/>
      <c r="V495" s="659">
        <f t="shared" ref="V495" si="6702">IF(U495=0,0,U495/U$4)</f>
        <v>0</v>
      </c>
      <c r="W495" s="659"/>
      <c r="X495" s="659">
        <f t="shared" ref="X495" si="6703">IF(W495=0,0,W495/W$4)</f>
        <v>0</v>
      </c>
      <c r="Y495" s="659"/>
      <c r="Z495" s="659">
        <f t="shared" ref="Z495" si="6704">IF(Y495=0,0,Y495/Y$4)</f>
        <v>0</v>
      </c>
      <c r="AA495" s="659"/>
      <c r="AB495" s="659">
        <f t="shared" ref="AB495" si="6705">IF(AA495=0,0,AA495/AA$4)</f>
        <v>0</v>
      </c>
      <c r="AC495" s="659"/>
      <c r="AD495" s="659">
        <f t="shared" ref="AD495" si="6706">IF(AC495=0,0,AC495/AC$4)</f>
        <v>0</v>
      </c>
      <c r="AE495" s="654"/>
    </row>
    <row r="496" spans="1:36" s="556" customFormat="1" ht="15.75" hidden="1" outlineLevel="2">
      <c r="A496" s="609" t="s">
        <v>1307</v>
      </c>
      <c r="B496" s="559" t="s">
        <v>104</v>
      </c>
      <c r="C496" s="659">
        <f>Калькулятор_жилье!K553</f>
        <v>0</v>
      </c>
      <c r="D496" s="659">
        <f t="shared" si="6121"/>
        <v>0</v>
      </c>
      <c r="E496" s="659"/>
      <c r="F496" s="659">
        <f t="shared" si="6121"/>
        <v>0</v>
      </c>
      <c r="G496" s="659"/>
      <c r="H496" s="659">
        <f t="shared" ref="H496" si="6707">IF(G496=0,0,G496/G$4)</f>
        <v>0</v>
      </c>
      <c r="I496" s="659"/>
      <c r="J496" s="659">
        <f t="shared" ref="J496" si="6708">IF(I496=0,0,I496/I$4)</f>
        <v>0</v>
      </c>
      <c r="K496" s="659"/>
      <c r="L496" s="659">
        <f t="shared" ref="L496" si="6709">IF(K496=0,0,K496/K$4)</f>
        <v>0</v>
      </c>
      <c r="M496" s="659"/>
      <c r="N496" s="659">
        <f t="shared" ref="N496" si="6710">IF(M496=0,0,M496/M$4)</f>
        <v>0</v>
      </c>
      <c r="O496" s="659"/>
      <c r="P496" s="659">
        <f t="shared" ref="P496" si="6711">IF(O496=0,0,O496/O$4)</f>
        <v>0</v>
      </c>
      <c r="Q496" s="659"/>
      <c r="R496" s="659">
        <f t="shared" ref="R496" si="6712">IF(Q496=0,0,Q496/Q$4)</f>
        <v>0</v>
      </c>
      <c r="S496" s="659"/>
      <c r="T496" s="659">
        <f t="shared" ref="T496" si="6713">IF(S496=0,0,S496/S$4)</f>
        <v>0</v>
      </c>
      <c r="U496" s="659"/>
      <c r="V496" s="659">
        <f t="shared" ref="V496" si="6714">IF(U496=0,0,U496/U$4)</f>
        <v>0</v>
      </c>
      <c r="W496" s="659"/>
      <c r="X496" s="659">
        <f t="shared" ref="X496" si="6715">IF(W496=0,0,W496/W$4)</f>
        <v>0</v>
      </c>
      <c r="Y496" s="659"/>
      <c r="Z496" s="659">
        <f t="shared" ref="Z496" si="6716">IF(Y496=0,0,Y496/Y$4)</f>
        <v>0</v>
      </c>
      <c r="AA496" s="659"/>
      <c r="AB496" s="659">
        <f t="shared" ref="AB496" si="6717">IF(AA496=0,0,AA496/AA$4)</f>
        <v>0</v>
      </c>
      <c r="AC496" s="659">
        <f>C496+E496+G496+I496+K496+M496+O496+Q496+S496+U496+W496+AA496+Y496</f>
        <v>0</v>
      </c>
      <c r="AD496" s="659">
        <f t="shared" ref="AD496" si="6718">IF(AC496=0,0,AC496/AC$4)</f>
        <v>0</v>
      </c>
      <c r="AE496" s="654"/>
    </row>
    <row r="497" spans="1:36" s="556" customFormat="1" ht="15.75" hidden="1" outlineLevel="2">
      <c r="A497" s="609" t="s">
        <v>1306</v>
      </c>
      <c r="B497" s="559" t="s">
        <v>1305</v>
      </c>
      <c r="C497" s="659"/>
      <c r="D497" s="659">
        <f t="shared" si="6121"/>
        <v>0</v>
      </c>
      <c r="E497" s="659"/>
      <c r="F497" s="659">
        <f t="shared" si="6121"/>
        <v>0</v>
      </c>
      <c r="G497" s="659"/>
      <c r="H497" s="659">
        <f t="shared" ref="H497" si="6719">IF(G497=0,0,G497/G$4)</f>
        <v>0</v>
      </c>
      <c r="I497" s="659"/>
      <c r="J497" s="659">
        <f t="shared" ref="J497" si="6720">IF(I497=0,0,I497/I$4)</f>
        <v>0</v>
      </c>
      <c r="K497" s="659"/>
      <c r="L497" s="659">
        <f t="shared" ref="L497" si="6721">IF(K497=0,0,K497/K$4)</f>
        <v>0</v>
      </c>
      <c r="M497" s="659"/>
      <c r="N497" s="659">
        <f t="shared" ref="N497" si="6722">IF(M497=0,0,M497/M$4)</f>
        <v>0</v>
      </c>
      <c r="O497" s="659"/>
      <c r="P497" s="659">
        <f t="shared" ref="P497" si="6723">IF(O497=0,0,O497/O$4)</f>
        <v>0</v>
      </c>
      <c r="Q497" s="659"/>
      <c r="R497" s="659">
        <f t="shared" ref="R497" si="6724">IF(Q497=0,0,Q497/Q$4)</f>
        <v>0</v>
      </c>
      <c r="S497" s="659"/>
      <c r="T497" s="659">
        <f t="shared" ref="T497" si="6725">IF(S497=0,0,S497/S$4)</f>
        <v>0</v>
      </c>
      <c r="U497" s="659"/>
      <c r="V497" s="659">
        <f t="shared" ref="V497" si="6726">IF(U497=0,0,U497/U$4)</f>
        <v>0</v>
      </c>
      <c r="W497" s="659"/>
      <c r="X497" s="659">
        <f t="shared" ref="X497" si="6727">IF(W497=0,0,W497/W$4)</f>
        <v>0</v>
      </c>
      <c r="Y497" s="659"/>
      <c r="Z497" s="659">
        <f t="shared" ref="Z497" si="6728">IF(Y497=0,0,Y497/Y$4)</f>
        <v>0</v>
      </c>
      <c r="AA497" s="659"/>
      <c r="AB497" s="659">
        <f t="shared" ref="AB497" si="6729">IF(AA497=0,0,AA497/AA$4)</f>
        <v>0</v>
      </c>
      <c r="AC497" s="659"/>
      <c r="AD497" s="659">
        <f t="shared" ref="AD497" si="6730">IF(AC497=0,0,AC497/AC$4)</f>
        <v>0</v>
      </c>
      <c r="AE497" s="654"/>
    </row>
    <row r="498" spans="1:36" s="556" customFormat="1" ht="15.75" hidden="1" outlineLevel="2">
      <c r="A498" s="609" t="s">
        <v>1304</v>
      </c>
      <c r="B498" s="559" t="s">
        <v>105</v>
      </c>
      <c r="C498" s="659">
        <f>Калькулятор_жилье!K554</f>
        <v>8365709.6230273694</v>
      </c>
      <c r="D498" s="659">
        <f t="shared" si="6121"/>
        <v>51.956758717115648</v>
      </c>
      <c r="E498" s="659"/>
      <c r="F498" s="659">
        <f t="shared" si="6121"/>
        <v>0</v>
      </c>
      <c r="G498" s="659"/>
      <c r="H498" s="659">
        <f t="shared" ref="H498" si="6731">IF(G498=0,0,G498/G$4)</f>
        <v>0</v>
      </c>
      <c r="I498" s="659"/>
      <c r="J498" s="659">
        <f t="shared" ref="J498" si="6732">IF(I498=0,0,I498/I$4)</f>
        <v>0</v>
      </c>
      <c r="K498" s="659"/>
      <c r="L498" s="659">
        <f t="shared" ref="L498" si="6733">IF(K498=0,0,K498/K$4)</f>
        <v>0</v>
      </c>
      <c r="M498" s="659"/>
      <c r="N498" s="659">
        <f t="shared" ref="N498" si="6734">IF(M498=0,0,M498/M$4)</f>
        <v>0</v>
      </c>
      <c r="O498" s="659"/>
      <c r="P498" s="659">
        <f t="shared" ref="P498" si="6735">IF(O498=0,0,O498/O$4)</f>
        <v>0</v>
      </c>
      <c r="Q498" s="659"/>
      <c r="R498" s="659">
        <f t="shared" ref="R498" si="6736">IF(Q498=0,0,Q498/Q$4)</f>
        <v>0</v>
      </c>
      <c r="S498" s="659"/>
      <c r="T498" s="659">
        <f t="shared" ref="T498" si="6737">IF(S498=0,0,S498/S$4)</f>
        <v>0</v>
      </c>
      <c r="U498" s="659"/>
      <c r="V498" s="659">
        <f t="shared" ref="V498" si="6738">IF(U498=0,0,U498/U$4)</f>
        <v>0</v>
      </c>
      <c r="W498" s="659"/>
      <c r="X498" s="659">
        <f t="shared" ref="X498" si="6739">IF(W498=0,0,W498/W$4)</f>
        <v>0</v>
      </c>
      <c r="Y498" s="659"/>
      <c r="Z498" s="659">
        <f t="shared" ref="Z498" si="6740">IF(Y498=0,0,Y498/Y$4)</f>
        <v>0</v>
      </c>
      <c r="AA498" s="659"/>
      <c r="AB498" s="659">
        <f t="shared" ref="AB498" si="6741">IF(AA498=0,0,AA498/AA$4)</f>
        <v>0</v>
      </c>
      <c r="AC498" s="659">
        <f>C498+E498+G498+I498+K498+M498+O498+Q498+S498+U498+W498+AA498+Y498</f>
        <v>8365709.6230273694</v>
      </c>
      <c r="AD498" s="659">
        <f t="shared" ref="AD498" si="6742">IF(AC498=0,0,AC498/AC$4)</f>
        <v>51.956758717115648</v>
      </c>
      <c r="AE498" s="654"/>
    </row>
    <row r="499" spans="1:36" s="556" customFormat="1" ht="15.75" hidden="1" outlineLevel="2">
      <c r="A499" s="609" t="s">
        <v>1303</v>
      </c>
      <c r="B499" s="559" t="s">
        <v>1302</v>
      </c>
      <c r="C499" s="659"/>
      <c r="D499" s="659">
        <f t="shared" si="6121"/>
        <v>0</v>
      </c>
      <c r="E499" s="659"/>
      <c r="F499" s="659">
        <f t="shared" si="6121"/>
        <v>0</v>
      </c>
      <c r="G499" s="659"/>
      <c r="H499" s="659">
        <f t="shared" ref="H499" si="6743">IF(G499=0,0,G499/G$4)</f>
        <v>0</v>
      </c>
      <c r="I499" s="659"/>
      <c r="J499" s="659">
        <f t="shared" ref="J499" si="6744">IF(I499=0,0,I499/I$4)</f>
        <v>0</v>
      </c>
      <c r="K499" s="659"/>
      <c r="L499" s="659">
        <f t="shared" ref="L499" si="6745">IF(K499=0,0,K499/K$4)</f>
        <v>0</v>
      </c>
      <c r="M499" s="659"/>
      <c r="N499" s="659">
        <f t="shared" ref="N499" si="6746">IF(M499=0,0,M499/M$4)</f>
        <v>0</v>
      </c>
      <c r="O499" s="659"/>
      <c r="P499" s="659">
        <f t="shared" ref="P499" si="6747">IF(O499=0,0,O499/O$4)</f>
        <v>0</v>
      </c>
      <c r="Q499" s="659"/>
      <c r="R499" s="659">
        <f t="shared" ref="R499" si="6748">IF(Q499=0,0,Q499/Q$4)</f>
        <v>0</v>
      </c>
      <c r="S499" s="659"/>
      <c r="T499" s="659">
        <f t="shared" ref="T499" si="6749">IF(S499=0,0,S499/S$4)</f>
        <v>0</v>
      </c>
      <c r="U499" s="659"/>
      <c r="V499" s="659">
        <f t="shared" ref="V499" si="6750">IF(U499=0,0,U499/U$4)</f>
        <v>0</v>
      </c>
      <c r="W499" s="659"/>
      <c r="X499" s="659">
        <f t="shared" ref="X499" si="6751">IF(W499=0,0,W499/W$4)</f>
        <v>0</v>
      </c>
      <c r="Y499" s="659"/>
      <c r="Z499" s="659">
        <f t="shared" ref="Z499" si="6752">IF(Y499=0,0,Y499/Y$4)</f>
        <v>0</v>
      </c>
      <c r="AA499" s="659"/>
      <c r="AB499" s="659">
        <f t="shared" ref="AB499" si="6753">IF(AA499=0,0,AA499/AA$4)</f>
        <v>0</v>
      </c>
      <c r="AC499" s="659"/>
      <c r="AD499" s="659">
        <f t="shared" ref="AD499" si="6754">IF(AC499=0,0,AC499/AC$4)</f>
        <v>0</v>
      </c>
      <c r="AE499" s="654"/>
    </row>
    <row r="500" spans="1:36" s="556" customFormat="1" ht="15.75" hidden="1" outlineLevel="2">
      <c r="A500" s="609" t="s">
        <v>1301</v>
      </c>
      <c r="B500" s="559" t="s">
        <v>106</v>
      </c>
      <c r="C500" s="659">
        <f>Калькулятор_жилье!K555</f>
        <v>2092754.5045434036</v>
      </c>
      <c r="D500" s="659">
        <f t="shared" si="6121"/>
        <v>12.997431867276608</v>
      </c>
      <c r="E500" s="659"/>
      <c r="F500" s="659">
        <f t="shared" si="6121"/>
        <v>0</v>
      </c>
      <c r="G500" s="659"/>
      <c r="H500" s="659">
        <f t="shared" ref="H500" si="6755">IF(G500=0,0,G500/G$4)</f>
        <v>0</v>
      </c>
      <c r="I500" s="659"/>
      <c r="J500" s="659">
        <f t="shared" ref="J500" si="6756">IF(I500=0,0,I500/I$4)</f>
        <v>0</v>
      </c>
      <c r="K500" s="659"/>
      <c r="L500" s="659">
        <f t="shared" ref="L500" si="6757">IF(K500=0,0,K500/K$4)</f>
        <v>0</v>
      </c>
      <c r="M500" s="659"/>
      <c r="N500" s="659">
        <f t="shared" ref="N500" si="6758">IF(M500=0,0,M500/M$4)</f>
        <v>0</v>
      </c>
      <c r="O500" s="659"/>
      <c r="P500" s="659">
        <f t="shared" ref="P500" si="6759">IF(O500=0,0,O500/O$4)</f>
        <v>0</v>
      </c>
      <c r="Q500" s="659"/>
      <c r="R500" s="659">
        <f t="shared" ref="R500" si="6760">IF(Q500=0,0,Q500/Q$4)</f>
        <v>0</v>
      </c>
      <c r="S500" s="659"/>
      <c r="T500" s="659">
        <f t="shared" ref="T500" si="6761">IF(S500=0,0,S500/S$4)</f>
        <v>0</v>
      </c>
      <c r="U500" s="659"/>
      <c r="V500" s="659">
        <f t="shared" ref="V500" si="6762">IF(U500=0,0,U500/U$4)</f>
        <v>0</v>
      </c>
      <c r="W500" s="659"/>
      <c r="X500" s="659">
        <f t="shared" ref="X500" si="6763">IF(W500=0,0,W500/W$4)</f>
        <v>0</v>
      </c>
      <c r="Y500" s="659"/>
      <c r="Z500" s="659">
        <f t="shared" ref="Z500" si="6764">IF(Y500=0,0,Y500/Y$4)</f>
        <v>0</v>
      </c>
      <c r="AA500" s="659"/>
      <c r="AB500" s="659">
        <f t="shared" ref="AB500" si="6765">IF(AA500=0,0,AA500/AA$4)</f>
        <v>0</v>
      </c>
      <c r="AC500" s="659">
        <f>C500+E500+G500+I500+K500+M500+O500+Q500+S500+U500+W500+AA500+Y500</f>
        <v>2092754.5045434036</v>
      </c>
      <c r="AD500" s="659">
        <f t="shared" ref="AD500" si="6766">IF(AC500=0,0,AC500/AC$4)</f>
        <v>12.997431867276608</v>
      </c>
      <c r="AE500" s="654"/>
    </row>
    <row r="501" spans="1:36" s="556" customFormat="1" ht="15.75" hidden="1" outlineLevel="2">
      <c r="A501" s="609" t="s">
        <v>1300</v>
      </c>
      <c r="B501" s="559" t="s">
        <v>1299</v>
      </c>
      <c r="C501" s="659"/>
      <c r="D501" s="659">
        <f t="shared" si="6121"/>
        <v>0</v>
      </c>
      <c r="E501" s="659"/>
      <c r="F501" s="659">
        <f t="shared" si="6121"/>
        <v>0</v>
      </c>
      <c r="G501" s="659"/>
      <c r="H501" s="659">
        <f t="shared" ref="H501" si="6767">IF(G501=0,0,G501/G$4)</f>
        <v>0</v>
      </c>
      <c r="I501" s="659"/>
      <c r="J501" s="659">
        <f t="shared" ref="J501" si="6768">IF(I501=0,0,I501/I$4)</f>
        <v>0</v>
      </c>
      <c r="K501" s="659"/>
      <c r="L501" s="659">
        <f t="shared" ref="L501" si="6769">IF(K501=0,0,K501/K$4)</f>
        <v>0</v>
      </c>
      <c r="M501" s="659"/>
      <c r="N501" s="659">
        <f t="shared" ref="N501" si="6770">IF(M501=0,0,M501/M$4)</f>
        <v>0</v>
      </c>
      <c r="O501" s="659"/>
      <c r="P501" s="659">
        <f t="shared" ref="P501" si="6771">IF(O501=0,0,O501/O$4)</f>
        <v>0</v>
      </c>
      <c r="Q501" s="659"/>
      <c r="R501" s="659">
        <f t="shared" ref="R501" si="6772">IF(Q501=0,0,Q501/Q$4)</f>
        <v>0</v>
      </c>
      <c r="S501" s="659"/>
      <c r="T501" s="659">
        <f t="shared" ref="T501" si="6773">IF(S501=0,0,S501/S$4)</f>
        <v>0</v>
      </c>
      <c r="U501" s="659"/>
      <c r="V501" s="659">
        <f t="shared" ref="V501" si="6774">IF(U501=0,0,U501/U$4)</f>
        <v>0</v>
      </c>
      <c r="W501" s="659"/>
      <c r="X501" s="659">
        <f t="shared" ref="X501" si="6775">IF(W501=0,0,W501/W$4)</f>
        <v>0</v>
      </c>
      <c r="Y501" s="659"/>
      <c r="Z501" s="659">
        <f t="shared" ref="Z501" si="6776">IF(Y501=0,0,Y501/Y$4)</f>
        <v>0</v>
      </c>
      <c r="AA501" s="659"/>
      <c r="AB501" s="659">
        <f t="shared" ref="AB501" si="6777">IF(AA501=0,0,AA501/AA$4)</f>
        <v>0</v>
      </c>
      <c r="AC501" s="659"/>
      <c r="AD501" s="659">
        <f t="shared" ref="AD501" si="6778">IF(AC501=0,0,AC501/AC$4)</f>
        <v>0</v>
      </c>
      <c r="AE501" s="654"/>
    </row>
    <row r="502" spans="1:36" s="556" customFormat="1" ht="15.75" hidden="1" outlineLevel="2">
      <c r="A502" s="609" t="s">
        <v>1298</v>
      </c>
      <c r="B502" s="559" t="s">
        <v>1195</v>
      </c>
      <c r="C502" s="659"/>
      <c r="D502" s="659">
        <f t="shared" si="6121"/>
        <v>0</v>
      </c>
      <c r="E502" s="659"/>
      <c r="F502" s="659">
        <f t="shared" si="6121"/>
        <v>0</v>
      </c>
      <c r="G502" s="659"/>
      <c r="H502" s="659">
        <f t="shared" ref="H502" si="6779">IF(G502=0,0,G502/G$4)</f>
        <v>0</v>
      </c>
      <c r="I502" s="659"/>
      <c r="J502" s="659">
        <f t="shared" ref="J502" si="6780">IF(I502=0,0,I502/I$4)</f>
        <v>0</v>
      </c>
      <c r="K502" s="659"/>
      <c r="L502" s="659">
        <f t="shared" ref="L502" si="6781">IF(K502=0,0,K502/K$4)</f>
        <v>0</v>
      </c>
      <c r="M502" s="659"/>
      <c r="N502" s="659">
        <f t="shared" ref="N502" si="6782">IF(M502=0,0,M502/M$4)</f>
        <v>0</v>
      </c>
      <c r="O502" s="659"/>
      <c r="P502" s="659">
        <f t="shared" ref="P502" si="6783">IF(O502=0,0,O502/O$4)</f>
        <v>0</v>
      </c>
      <c r="Q502" s="659"/>
      <c r="R502" s="659">
        <f t="shared" ref="R502" si="6784">IF(Q502=0,0,Q502/Q$4)</f>
        <v>0</v>
      </c>
      <c r="S502" s="659"/>
      <c r="T502" s="659">
        <f t="shared" ref="T502" si="6785">IF(S502=0,0,S502/S$4)</f>
        <v>0</v>
      </c>
      <c r="U502" s="659"/>
      <c r="V502" s="659">
        <f t="shared" ref="V502" si="6786">IF(U502=0,0,U502/U$4)</f>
        <v>0</v>
      </c>
      <c r="W502" s="659"/>
      <c r="X502" s="659">
        <f t="shared" ref="X502" si="6787">IF(W502=0,0,W502/W$4)</f>
        <v>0</v>
      </c>
      <c r="Y502" s="659"/>
      <c r="Z502" s="659">
        <f t="shared" ref="Z502" si="6788">IF(Y502=0,0,Y502/Y$4)</f>
        <v>0</v>
      </c>
      <c r="AA502" s="659"/>
      <c r="AB502" s="659">
        <f t="shared" ref="AB502" si="6789">IF(AA502=0,0,AA502/AA$4)</f>
        <v>0</v>
      </c>
      <c r="AC502" s="659"/>
      <c r="AD502" s="659">
        <f t="shared" ref="AD502" si="6790">IF(AC502=0,0,AC502/AC$4)</f>
        <v>0</v>
      </c>
      <c r="AE502" s="654"/>
    </row>
    <row r="503" spans="1:36" s="556" customFormat="1" ht="15.75" hidden="1" outlineLevel="2">
      <c r="A503" s="609" t="s">
        <v>1297</v>
      </c>
      <c r="B503" s="559" t="s">
        <v>108</v>
      </c>
      <c r="C503" s="659">
        <f>Калькулятор_жилье!K557</f>
        <v>104093054.25235699</v>
      </c>
      <c r="D503" s="660">
        <f t="shared" si="6121"/>
        <v>646.48881536963756</v>
      </c>
      <c r="E503" s="659"/>
      <c r="F503" s="660">
        <f t="shared" si="6121"/>
        <v>0</v>
      </c>
      <c r="G503" s="659"/>
      <c r="H503" s="660">
        <f t="shared" ref="H503" si="6791">IF(G503=0,0,G503/G$4)</f>
        <v>0</v>
      </c>
      <c r="I503" s="659"/>
      <c r="J503" s="660">
        <f t="shared" ref="J503" si="6792">IF(I503=0,0,I503/I$4)</f>
        <v>0</v>
      </c>
      <c r="K503" s="659"/>
      <c r="L503" s="660">
        <f t="shared" ref="L503" si="6793">IF(K503=0,0,K503/K$4)</f>
        <v>0</v>
      </c>
      <c r="M503" s="659"/>
      <c r="N503" s="660">
        <f t="shared" ref="N503" si="6794">IF(M503=0,0,M503/M$4)</f>
        <v>0</v>
      </c>
      <c r="O503" s="659"/>
      <c r="P503" s="660">
        <f t="shared" ref="P503" si="6795">IF(O503=0,0,O503/O$4)</f>
        <v>0</v>
      </c>
      <c r="Q503" s="659"/>
      <c r="R503" s="660">
        <f t="shared" ref="R503" si="6796">IF(Q503=0,0,Q503/Q$4)</f>
        <v>0</v>
      </c>
      <c r="S503" s="659"/>
      <c r="T503" s="660">
        <f t="shared" ref="T503" si="6797">IF(S503=0,0,S503/S$4)</f>
        <v>0</v>
      </c>
      <c r="U503" s="659"/>
      <c r="V503" s="660">
        <f t="shared" ref="V503" si="6798">IF(U503=0,0,U503/U$4)</f>
        <v>0</v>
      </c>
      <c r="W503" s="659"/>
      <c r="X503" s="660">
        <f t="shared" ref="X503" si="6799">IF(W503=0,0,W503/W$4)</f>
        <v>0</v>
      </c>
      <c r="Y503" s="659"/>
      <c r="Z503" s="660">
        <f t="shared" ref="Z503" si="6800">IF(Y503=0,0,Y503/Y$4)</f>
        <v>0</v>
      </c>
      <c r="AA503" s="659"/>
      <c r="AB503" s="660">
        <f t="shared" ref="AB503" si="6801">IF(AA503=0,0,AA503/AA$4)</f>
        <v>0</v>
      </c>
      <c r="AC503" s="659">
        <f>C503+E503+G503+I503+K503+M503+O503+Q503+S503+U503+W503+AA503+Y503</f>
        <v>104093054.25235699</v>
      </c>
      <c r="AD503" s="660">
        <f t="shared" ref="AD503" si="6802">IF(AC503=0,0,AC503/AC$4)</f>
        <v>646.48881536963756</v>
      </c>
      <c r="AE503" s="654"/>
    </row>
    <row r="504" spans="1:36" s="556" customFormat="1" ht="15.75" hidden="1" outlineLevel="2">
      <c r="A504" s="609" t="s">
        <v>1296</v>
      </c>
      <c r="B504" s="559" t="s">
        <v>1295</v>
      </c>
      <c r="C504" s="659"/>
      <c r="D504" s="659">
        <f t="shared" si="6121"/>
        <v>0</v>
      </c>
      <c r="E504" s="659"/>
      <c r="F504" s="659">
        <f t="shared" si="6121"/>
        <v>0</v>
      </c>
      <c r="G504" s="659"/>
      <c r="H504" s="659">
        <f t="shared" ref="H504" si="6803">IF(G504=0,0,G504/G$4)</f>
        <v>0</v>
      </c>
      <c r="I504" s="659"/>
      <c r="J504" s="659">
        <f t="shared" ref="J504" si="6804">IF(I504=0,0,I504/I$4)</f>
        <v>0</v>
      </c>
      <c r="K504" s="659"/>
      <c r="L504" s="659">
        <f t="shared" ref="L504" si="6805">IF(K504=0,0,K504/K$4)</f>
        <v>0</v>
      </c>
      <c r="M504" s="659"/>
      <c r="N504" s="659">
        <f t="shared" ref="N504" si="6806">IF(M504=0,0,M504/M$4)</f>
        <v>0</v>
      </c>
      <c r="O504" s="659"/>
      <c r="P504" s="659">
        <f t="shared" ref="P504" si="6807">IF(O504=0,0,O504/O$4)</f>
        <v>0</v>
      </c>
      <c r="Q504" s="659"/>
      <c r="R504" s="659">
        <f t="shared" ref="R504" si="6808">IF(Q504=0,0,Q504/Q$4)</f>
        <v>0</v>
      </c>
      <c r="S504" s="659"/>
      <c r="T504" s="659">
        <f t="shared" ref="T504" si="6809">IF(S504=0,0,S504/S$4)</f>
        <v>0</v>
      </c>
      <c r="U504" s="659"/>
      <c r="V504" s="659">
        <f t="shared" ref="V504" si="6810">IF(U504=0,0,U504/U$4)</f>
        <v>0</v>
      </c>
      <c r="W504" s="659"/>
      <c r="X504" s="659">
        <f t="shared" ref="X504" si="6811">IF(W504=0,0,W504/W$4)</f>
        <v>0</v>
      </c>
      <c r="Y504" s="659"/>
      <c r="Z504" s="659">
        <f t="shared" ref="Z504" si="6812">IF(Y504=0,0,Y504/Y$4)</f>
        <v>0</v>
      </c>
      <c r="AA504" s="659"/>
      <c r="AB504" s="659">
        <f t="shared" ref="AB504" si="6813">IF(AA504=0,0,AA504/AA$4)</f>
        <v>0</v>
      </c>
      <c r="AC504" s="659"/>
      <c r="AD504" s="659">
        <f t="shared" ref="AD504" si="6814">IF(AC504=0,0,AC504/AC$4)</f>
        <v>0</v>
      </c>
      <c r="AE504" s="654"/>
    </row>
    <row r="505" spans="1:36" s="556" customFormat="1" ht="15.75" outlineLevel="1" collapsed="1">
      <c r="A505" s="610" t="s">
        <v>1294</v>
      </c>
      <c r="B505" s="558" t="s">
        <v>19</v>
      </c>
      <c r="C505" s="657">
        <f>C506+C508+C509+C514+C518+C521+C522+C523+C524+C532</f>
        <v>380816107.2080512</v>
      </c>
      <c r="D505" s="658">
        <f t="shared" si="6121"/>
        <v>2365.1275850332281</v>
      </c>
      <c r="E505" s="657"/>
      <c r="F505" s="658">
        <f t="shared" si="6121"/>
        <v>0</v>
      </c>
      <c r="G505" s="657"/>
      <c r="H505" s="658">
        <f t="shared" ref="H505" si="6815">IF(G505=0,0,G505/G$4)</f>
        <v>0</v>
      </c>
      <c r="I505" s="657"/>
      <c r="J505" s="658">
        <f t="shared" ref="J505" si="6816">IF(I505=0,0,I505/I$4)</f>
        <v>0</v>
      </c>
      <c r="K505" s="657"/>
      <c r="L505" s="658">
        <f t="shared" ref="L505" si="6817">IF(K505=0,0,K505/K$4)</f>
        <v>0</v>
      </c>
      <c r="M505" s="657"/>
      <c r="N505" s="658">
        <f t="shared" ref="N505" si="6818">IF(M505=0,0,M505/M$4)</f>
        <v>0</v>
      </c>
      <c r="O505" s="657"/>
      <c r="P505" s="658">
        <f t="shared" ref="P505" si="6819">IF(O505=0,0,O505/O$4)</f>
        <v>0</v>
      </c>
      <c r="Q505" s="657"/>
      <c r="R505" s="658">
        <f t="shared" ref="R505" si="6820">IF(Q505=0,0,Q505/Q$4)</f>
        <v>0</v>
      </c>
      <c r="S505" s="657"/>
      <c r="T505" s="658">
        <f t="shared" ref="T505" si="6821">IF(S505=0,0,S505/S$4)</f>
        <v>0</v>
      </c>
      <c r="U505" s="657"/>
      <c r="V505" s="658">
        <f t="shared" ref="V505" si="6822">IF(U505=0,0,U505/U$4)</f>
        <v>0</v>
      </c>
      <c r="W505" s="657"/>
      <c r="X505" s="658">
        <f t="shared" ref="X505" si="6823">IF(W505=0,0,W505/W$4)</f>
        <v>0</v>
      </c>
      <c r="Y505" s="657"/>
      <c r="Z505" s="658">
        <f t="shared" ref="Z505" si="6824">IF(Y505=0,0,Y505/Y$4)</f>
        <v>0</v>
      </c>
      <c r="AA505" s="657"/>
      <c r="AB505" s="658">
        <f t="shared" ref="AB505" si="6825">IF(AA505=0,0,AA505/AA$4)</f>
        <v>0</v>
      </c>
      <c r="AC505" s="657">
        <f>AC506+AC508+AC509+AC514+AC518+AC521+AC522+AC523+AC524+AC532</f>
        <v>380816107.2080512</v>
      </c>
      <c r="AD505" s="658">
        <f t="shared" ref="AD505" si="6826">IF(AC505=0,0,AC505/AC$4)</f>
        <v>2365.1275850332281</v>
      </c>
      <c r="AE505" s="654"/>
    </row>
    <row r="506" spans="1:36" s="556" customFormat="1" ht="15.75" hidden="1" outlineLevel="2">
      <c r="A506" s="609" t="s">
        <v>1293</v>
      </c>
      <c r="B506" s="559" t="s">
        <v>1199</v>
      </c>
      <c r="C506" s="659">
        <f>C507</f>
        <v>0</v>
      </c>
      <c r="D506" s="660">
        <f t="shared" si="6121"/>
        <v>0</v>
      </c>
      <c r="E506" s="659">
        <f t="shared" ref="E506" si="6827">E507</f>
        <v>0</v>
      </c>
      <c r="F506" s="660">
        <f t="shared" si="6121"/>
        <v>0</v>
      </c>
      <c r="G506" s="659">
        <f t="shared" ref="G506" si="6828">G507</f>
        <v>0</v>
      </c>
      <c r="H506" s="660">
        <f t="shared" ref="H506" si="6829">IF(G506=0,0,G506/G$4)</f>
        <v>0</v>
      </c>
      <c r="I506" s="659">
        <f t="shared" ref="I506" si="6830">I507</f>
        <v>0</v>
      </c>
      <c r="J506" s="660">
        <f t="shared" ref="J506" si="6831">IF(I506=0,0,I506/I$4)</f>
        <v>0</v>
      </c>
      <c r="K506" s="659">
        <f t="shared" ref="K506" si="6832">K507</f>
        <v>0</v>
      </c>
      <c r="L506" s="660">
        <f t="shared" ref="L506" si="6833">IF(K506=0,0,K506/K$4)</f>
        <v>0</v>
      </c>
      <c r="M506" s="659">
        <f t="shared" ref="M506" si="6834">M507</f>
        <v>0</v>
      </c>
      <c r="N506" s="660">
        <f t="shared" ref="N506" si="6835">IF(M506=0,0,M506/M$4)</f>
        <v>0</v>
      </c>
      <c r="O506" s="659">
        <f t="shared" ref="O506" si="6836">O507</f>
        <v>0</v>
      </c>
      <c r="P506" s="660">
        <f t="shared" ref="P506" si="6837">IF(O506=0,0,O506/O$4)</f>
        <v>0</v>
      </c>
      <c r="Q506" s="659">
        <f t="shared" ref="Q506" si="6838">Q507</f>
        <v>0</v>
      </c>
      <c r="R506" s="660">
        <f t="shared" ref="R506" si="6839">IF(Q506=0,0,Q506/Q$4)</f>
        <v>0</v>
      </c>
      <c r="S506" s="659">
        <f t="shared" ref="S506" si="6840">S507</f>
        <v>0</v>
      </c>
      <c r="T506" s="660">
        <f t="shared" ref="T506" si="6841">IF(S506=0,0,S506/S$4)</f>
        <v>0</v>
      </c>
      <c r="U506" s="659">
        <f t="shared" ref="U506" si="6842">U507</f>
        <v>0</v>
      </c>
      <c r="V506" s="660">
        <f t="shared" ref="V506" si="6843">IF(U506=0,0,U506/U$4)</f>
        <v>0</v>
      </c>
      <c r="W506" s="659">
        <f t="shared" ref="W506" si="6844">W507</f>
        <v>0</v>
      </c>
      <c r="X506" s="660">
        <f t="shared" ref="X506" si="6845">IF(W506=0,0,W506/W$4)</f>
        <v>0</v>
      </c>
      <c r="Y506" s="659">
        <f t="shared" ref="Y506" si="6846">Y507</f>
        <v>0</v>
      </c>
      <c r="Z506" s="660">
        <f t="shared" ref="Z506" si="6847">IF(Y506=0,0,Y506/Y$4)</f>
        <v>0</v>
      </c>
      <c r="AA506" s="659">
        <f t="shared" ref="AA506" si="6848">AA507</f>
        <v>0</v>
      </c>
      <c r="AB506" s="660">
        <f t="shared" ref="AB506" si="6849">IF(AA506=0,0,AA506/AA$4)</f>
        <v>0</v>
      </c>
      <c r="AC506" s="659">
        <f t="shared" ref="AC506" si="6850">AC507</f>
        <v>0</v>
      </c>
      <c r="AD506" s="660">
        <f t="shared" ref="AD506" si="6851">IF(AC506=0,0,AC506/AC$4)</f>
        <v>0</v>
      </c>
      <c r="AE506" s="654"/>
    </row>
    <row r="507" spans="1:36" s="68" customFormat="1" ht="15.75" hidden="1" outlineLevel="4">
      <c r="A507" s="117"/>
      <c r="B507" s="118" t="s">
        <v>16</v>
      </c>
      <c r="C507" s="663"/>
      <c r="D507" s="663">
        <f t="shared" si="6121"/>
        <v>0</v>
      </c>
      <c r="E507" s="663"/>
      <c r="F507" s="663">
        <f t="shared" si="6121"/>
        <v>0</v>
      </c>
      <c r="G507" s="663"/>
      <c r="H507" s="663">
        <f t="shared" ref="H507" si="6852">IF(G507=0,0,G507/G$4)</f>
        <v>0</v>
      </c>
      <c r="I507" s="663"/>
      <c r="J507" s="663">
        <f t="shared" ref="J507" si="6853">IF(I507=0,0,I507/I$4)</f>
        <v>0</v>
      </c>
      <c r="K507" s="663"/>
      <c r="L507" s="663">
        <f t="shared" ref="L507" si="6854">IF(K507=0,0,K507/K$4)</f>
        <v>0</v>
      </c>
      <c r="M507" s="663"/>
      <c r="N507" s="663">
        <f t="shared" ref="N507" si="6855">IF(M507=0,0,M507/M$4)</f>
        <v>0</v>
      </c>
      <c r="O507" s="663"/>
      <c r="P507" s="663">
        <f t="shared" ref="P507" si="6856">IF(O507=0,0,O507/O$4)</f>
        <v>0</v>
      </c>
      <c r="Q507" s="663"/>
      <c r="R507" s="663">
        <f t="shared" ref="R507" si="6857">IF(Q507=0,0,Q507/Q$4)</f>
        <v>0</v>
      </c>
      <c r="S507" s="663"/>
      <c r="T507" s="663">
        <f t="shared" ref="T507" si="6858">IF(S507=0,0,S507/S$4)</f>
        <v>0</v>
      </c>
      <c r="U507" s="663"/>
      <c r="V507" s="663">
        <f t="shared" ref="V507" si="6859">IF(U507=0,0,U507/U$4)</f>
        <v>0</v>
      </c>
      <c r="W507" s="663"/>
      <c r="X507" s="663">
        <f t="shared" ref="X507" si="6860">IF(W507=0,0,W507/W$4)</f>
        <v>0</v>
      </c>
      <c r="Y507" s="663"/>
      <c r="Z507" s="663">
        <f t="shared" ref="Z507" si="6861">IF(Y507=0,0,Y507/Y$4)</f>
        <v>0</v>
      </c>
      <c r="AA507" s="663"/>
      <c r="AB507" s="663">
        <f t="shared" ref="AB507" si="6862">IF(AA507=0,0,AA507/AA$4)</f>
        <v>0</v>
      </c>
      <c r="AC507" s="663">
        <f t="shared" ref="AC507" si="6863">C507+E507+G507+I507+K507+M507+O507+Q507+S507+U507+W507+AA507+Y507</f>
        <v>0</v>
      </c>
      <c r="AD507" s="663">
        <f t="shared" ref="AD507" si="6864">IF(AC507=0,0,AC507/AC$4)</f>
        <v>0</v>
      </c>
      <c r="AE507" s="665"/>
      <c r="AF507" s="556"/>
      <c r="AG507" s="114"/>
      <c r="AH507" s="114"/>
      <c r="AI507" s="114"/>
      <c r="AJ507" s="114"/>
    </row>
    <row r="508" spans="1:36" s="556" customFormat="1" ht="15.75" hidden="1" outlineLevel="2">
      <c r="A508" s="609" t="s">
        <v>1292</v>
      </c>
      <c r="B508" s="559" t="s">
        <v>1200</v>
      </c>
      <c r="C508" s="659">
        <f>Калькулятор_жилье!K479</f>
        <v>24831679.860951062</v>
      </c>
      <c r="D508" s="660">
        <f t="shared" si="6121"/>
        <v>154.22165688428572</v>
      </c>
      <c r="E508" s="659"/>
      <c r="F508" s="660">
        <f t="shared" si="6121"/>
        <v>0</v>
      </c>
      <c r="G508" s="659"/>
      <c r="H508" s="660">
        <f t="shared" ref="H508" si="6865">IF(G508=0,0,G508/G$4)</f>
        <v>0</v>
      </c>
      <c r="I508" s="659"/>
      <c r="J508" s="660">
        <f t="shared" ref="J508" si="6866">IF(I508=0,0,I508/I$4)</f>
        <v>0</v>
      </c>
      <c r="K508" s="659"/>
      <c r="L508" s="660">
        <f t="shared" ref="L508" si="6867">IF(K508=0,0,K508/K$4)</f>
        <v>0</v>
      </c>
      <c r="M508" s="659"/>
      <c r="N508" s="660">
        <f t="shared" ref="N508" si="6868">IF(M508=0,0,M508/M$4)</f>
        <v>0</v>
      </c>
      <c r="O508" s="659"/>
      <c r="P508" s="660">
        <f t="shared" ref="P508" si="6869">IF(O508=0,0,O508/O$4)</f>
        <v>0</v>
      </c>
      <c r="Q508" s="659"/>
      <c r="R508" s="660">
        <f t="shared" ref="R508" si="6870">IF(Q508=0,0,Q508/Q$4)</f>
        <v>0</v>
      </c>
      <c r="S508" s="659"/>
      <c r="T508" s="660">
        <f t="shared" ref="T508" si="6871">IF(S508=0,0,S508/S$4)</f>
        <v>0</v>
      </c>
      <c r="U508" s="659"/>
      <c r="V508" s="660">
        <f t="shared" ref="V508" si="6872">IF(U508=0,0,U508/U$4)</f>
        <v>0</v>
      </c>
      <c r="W508" s="659"/>
      <c r="X508" s="660">
        <f t="shared" ref="X508" si="6873">IF(W508=0,0,W508/W$4)</f>
        <v>0</v>
      </c>
      <c r="Y508" s="659"/>
      <c r="Z508" s="660">
        <f t="shared" ref="Z508" si="6874">IF(Y508=0,0,Y508/Y$4)</f>
        <v>0</v>
      </c>
      <c r="AA508" s="659"/>
      <c r="AB508" s="660">
        <f t="shared" ref="AB508" si="6875">IF(AA508=0,0,AA508/AA$4)</f>
        <v>0</v>
      </c>
      <c r="AC508" s="659">
        <f>C508+E508+G508+I508+K508+M508+O508+Q508+S508+U508+W508+AA508+Y508</f>
        <v>24831679.860951062</v>
      </c>
      <c r="AD508" s="660">
        <f t="shared" ref="AD508" si="6876">IF(AC508=0,0,AC508/AC$4)</f>
        <v>154.22165688428572</v>
      </c>
      <c r="AE508" s="654"/>
    </row>
    <row r="509" spans="1:36" s="556" customFormat="1" ht="15.75" hidden="1" outlineLevel="2" collapsed="1">
      <c r="A509" s="609" t="s">
        <v>1291</v>
      </c>
      <c r="B509" s="559" t="s">
        <v>110</v>
      </c>
      <c r="C509" s="659">
        <f>SUM(C510:C511)</f>
        <v>41103492.388637498</v>
      </c>
      <c r="D509" s="660">
        <f t="shared" si="6121"/>
        <v>255.28070333552995</v>
      </c>
      <c r="E509" s="659"/>
      <c r="F509" s="660">
        <f t="shared" si="6121"/>
        <v>0</v>
      </c>
      <c r="G509" s="659"/>
      <c r="H509" s="660">
        <f t="shared" ref="H509" si="6877">IF(G509=0,0,G509/G$4)</f>
        <v>0</v>
      </c>
      <c r="I509" s="659"/>
      <c r="J509" s="660">
        <f t="shared" ref="J509" si="6878">IF(I509=0,0,I509/I$4)</f>
        <v>0</v>
      </c>
      <c r="K509" s="659"/>
      <c r="L509" s="660">
        <f t="shared" ref="L509" si="6879">IF(K509=0,0,K509/K$4)</f>
        <v>0</v>
      </c>
      <c r="M509" s="659"/>
      <c r="N509" s="660">
        <f t="shared" ref="N509" si="6880">IF(M509=0,0,M509/M$4)</f>
        <v>0</v>
      </c>
      <c r="O509" s="659"/>
      <c r="P509" s="660">
        <f t="shared" ref="P509" si="6881">IF(O509=0,0,O509/O$4)</f>
        <v>0</v>
      </c>
      <c r="Q509" s="659"/>
      <c r="R509" s="660">
        <f t="shared" ref="R509" si="6882">IF(Q509=0,0,Q509/Q$4)</f>
        <v>0</v>
      </c>
      <c r="S509" s="659"/>
      <c r="T509" s="660">
        <f t="shared" ref="T509" si="6883">IF(S509=0,0,S509/S$4)</f>
        <v>0</v>
      </c>
      <c r="U509" s="659"/>
      <c r="V509" s="660">
        <f t="shared" ref="V509" si="6884">IF(U509=0,0,U509/U$4)</f>
        <v>0</v>
      </c>
      <c r="W509" s="659"/>
      <c r="X509" s="660">
        <f t="shared" ref="X509" si="6885">IF(W509=0,0,W509/W$4)</f>
        <v>0</v>
      </c>
      <c r="Y509" s="659"/>
      <c r="Z509" s="660">
        <f t="shared" ref="Z509" si="6886">IF(Y509=0,0,Y509/Y$4)</f>
        <v>0</v>
      </c>
      <c r="AA509" s="659"/>
      <c r="AB509" s="660">
        <f t="shared" ref="AB509" si="6887">IF(AA509=0,0,AA509/AA$4)</f>
        <v>0</v>
      </c>
      <c r="AC509" s="659">
        <f>SUM(AC510:AC511)</f>
        <v>41103492.388637498</v>
      </c>
      <c r="AD509" s="660">
        <f t="shared" ref="AD509" si="6888">IF(AC509=0,0,AC509/AC$4)</f>
        <v>255.28070333552995</v>
      </c>
      <c r="AE509" s="654"/>
    </row>
    <row r="510" spans="1:36" s="68" customFormat="1" ht="15.75" hidden="1" outlineLevel="3">
      <c r="A510" s="117"/>
      <c r="B510" s="118" t="str">
        <f>Калькулятор_жилье!C482</f>
        <v>озеленение - газон</v>
      </c>
      <c r="C510" s="661">
        <f>Калькулятор_жилье!K482</f>
        <v>2691697.7815775238</v>
      </c>
      <c r="D510" s="662">
        <f t="shared" si="6121"/>
        <v>16.717277849551927</v>
      </c>
      <c r="E510" s="661"/>
      <c r="F510" s="662">
        <f t="shared" si="6121"/>
        <v>0</v>
      </c>
      <c r="G510" s="661"/>
      <c r="H510" s="662">
        <f t="shared" ref="H510" si="6889">IF(G510=0,0,G510/G$4)</f>
        <v>0</v>
      </c>
      <c r="I510" s="661"/>
      <c r="J510" s="662">
        <f t="shared" ref="J510" si="6890">IF(I510=0,0,I510/I$4)</f>
        <v>0</v>
      </c>
      <c r="K510" s="661"/>
      <c r="L510" s="662">
        <f t="shared" ref="L510" si="6891">IF(K510=0,0,K510/K$4)</f>
        <v>0</v>
      </c>
      <c r="M510" s="661"/>
      <c r="N510" s="662">
        <f t="shared" ref="N510" si="6892">IF(M510=0,0,M510/M$4)</f>
        <v>0</v>
      </c>
      <c r="O510" s="661"/>
      <c r="P510" s="662">
        <f t="shared" ref="P510" si="6893">IF(O510=0,0,O510/O$4)</f>
        <v>0</v>
      </c>
      <c r="Q510" s="661"/>
      <c r="R510" s="662">
        <f t="shared" ref="R510" si="6894">IF(Q510=0,0,Q510/Q$4)</f>
        <v>0</v>
      </c>
      <c r="S510" s="661"/>
      <c r="T510" s="662">
        <f t="shared" ref="T510" si="6895">IF(S510=0,0,S510/S$4)</f>
        <v>0</v>
      </c>
      <c r="U510" s="661"/>
      <c r="V510" s="662">
        <f t="shared" ref="V510" si="6896">IF(U510=0,0,U510/U$4)</f>
        <v>0</v>
      </c>
      <c r="W510" s="661"/>
      <c r="X510" s="662">
        <f t="shared" ref="X510" si="6897">IF(W510=0,0,W510/W$4)</f>
        <v>0</v>
      </c>
      <c r="Y510" s="661"/>
      <c r="Z510" s="662">
        <f t="shared" ref="Z510" si="6898">IF(Y510=0,0,Y510/Y$4)</f>
        <v>0</v>
      </c>
      <c r="AA510" s="661"/>
      <c r="AB510" s="662">
        <f t="shared" ref="AB510" si="6899">IF(AA510=0,0,AA510/AA$4)</f>
        <v>0</v>
      </c>
      <c r="AC510" s="661">
        <f t="shared" ref="AC510:AC511" si="6900">C510+E510+G510+I510+K510+M510+O510+Q510+S510+U510+W510+AA510+Y510</f>
        <v>2691697.7815775238</v>
      </c>
      <c r="AD510" s="662">
        <f t="shared" ref="AD510" si="6901">IF(AC510=0,0,AC510/AC$4)</f>
        <v>16.717277849551927</v>
      </c>
      <c r="AE510" s="665"/>
      <c r="AF510" s="556"/>
      <c r="AG510" s="114"/>
      <c r="AH510" s="114"/>
      <c r="AI510" s="114"/>
      <c r="AJ510" s="114"/>
    </row>
    <row r="511" spans="1:36" s="68" customFormat="1" ht="15.75" hidden="1" outlineLevel="3" collapsed="1">
      <c r="A511" s="117"/>
      <c r="B511" s="118" t="str">
        <f>Калькулятор_жилье!C485</f>
        <v>озеленение - посадка деревьев и растений</v>
      </c>
      <c r="C511" s="661">
        <f>Калькулятор_жилье!K485</f>
        <v>38411794.60705997</v>
      </c>
      <c r="D511" s="662">
        <f t="shared" si="6121"/>
        <v>238.563425485978</v>
      </c>
      <c r="E511" s="661"/>
      <c r="F511" s="662">
        <f t="shared" si="6121"/>
        <v>0</v>
      </c>
      <c r="G511" s="661"/>
      <c r="H511" s="662">
        <f t="shared" ref="H511" si="6902">IF(G511=0,0,G511/G$4)</f>
        <v>0</v>
      </c>
      <c r="I511" s="661"/>
      <c r="J511" s="662">
        <f t="shared" ref="J511" si="6903">IF(I511=0,0,I511/I$4)</f>
        <v>0</v>
      </c>
      <c r="K511" s="661"/>
      <c r="L511" s="662">
        <f t="shared" ref="L511" si="6904">IF(K511=0,0,K511/K$4)</f>
        <v>0</v>
      </c>
      <c r="M511" s="661"/>
      <c r="N511" s="662">
        <f t="shared" ref="N511" si="6905">IF(M511=0,0,M511/M$4)</f>
        <v>0</v>
      </c>
      <c r="O511" s="661"/>
      <c r="P511" s="662">
        <f t="shared" ref="P511" si="6906">IF(O511=0,0,O511/O$4)</f>
        <v>0</v>
      </c>
      <c r="Q511" s="661"/>
      <c r="R511" s="662">
        <f t="shared" ref="R511" si="6907">IF(Q511=0,0,Q511/Q$4)</f>
        <v>0</v>
      </c>
      <c r="S511" s="661"/>
      <c r="T511" s="662">
        <f t="shared" ref="T511" si="6908">IF(S511=0,0,S511/S$4)</f>
        <v>0</v>
      </c>
      <c r="U511" s="661"/>
      <c r="V511" s="662">
        <f t="shared" ref="V511" si="6909">IF(U511=0,0,U511/U$4)</f>
        <v>0</v>
      </c>
      <c r="W511" s="661"/>
      <c r="X511" s="662">
        <f t="shared" ref="X511" si="6910">IF(W511=0,0,W511/W$4)</f>
        <v>0</v>
      </c>
      <c r="Y511" s="661"/>
      <c r="Z511" s="662">
        <f t="shared" ref="Z511" si="6911">IF(Y511=0,0,Y511/Y$4)</f>
        <v>0</v>
      </c>
      <c r="AA511" s="661"/>
      <c r="AB511" s="662">
        <f t="shared" ref="AB511" si="6912">IF(AA511=0,0,AA511/AA$4)</f>
        <v>0</v>
      </c>
      <c r="AC511" s="661">
        <f t="shared" si="6900"/>
        <v>38411794.60705997</v>
      </c>
      <c r="AD511" s="662">
        <f t="shared" ref="AD511" si="6913">IF(AC511=0,0,AC511/AC$4)</f>
        <v>238.563425485978</v>
      </c>
      <c r="AE511" s="665"/>
      <c r="AF511" s="556"/>
      <c r="AG511" s="114"/>
      <c r="AH511" s="114"/>
      <c r="AI511" s="114"/>
      <c r="AJ511" s="114"/>
    </row>
    <row r="512" spans="1:36" s="68" customFormat="1" ht="15.75" hidden="1" outlineLevel="4">
      <c r="A512" s="245"/>
      <c r="B512" s="246" t="s">
        <v>419</v>
      </c>
      <c r="C512" s="663">
        <f>C511-C513*курс</f>
        <v>10529816.737227213</v>
      </c>
      <c r="D512" s="664">
        <f t="shared" si="6121"/>
        <v>65.397338923362994</v>
      </c>
      <c r="E512" s="663"/>
      <c r="F512" s="664">
        <f t="shared" si="6121"/>
        <v>0</v>
      </c>
      <c r="G512" s="663"/>
      <c r="H512" s="664">
        <f t="shared" ref="H512" si="6914">IF(G512=0,0,G512/G$4)</f>
        <v>0</v>
      </c>
      <c r="I512" s="663"/>
      <c r="J512" s="664">
        <f t="shared" ref="J512" si="6915">IF(I512=0,0,I512/I$4)</f>
        <v>0</v>
      </c>
      <c r="K512" s="663"/>
      <c r="L512" s="664">
        <f t="shared" ref="L512" si="6916">IF(K512=0,0,K512/K$4)</f>
        <v>0</v>
      </c>
      <c r="M512" s="663"/>
      <c r="N512" s="664">
        <f t="shared" ref="N512" si="6917">IF(M512=0,0,M512/M$4)</f>
        <v>0</v>
      </c>
      <c r="O512" s="663"/>
      <c r="P512" s="664">
        <f t="shared" ref="P512" si="6918">IF(O512=0,0,O512/O$4)</f>
        <v>0</v>
      </c>
      <c r="Q512" s="663"/>
      <c r="R512" s="664">
        <f t="shared" ref="R512" si="6919">IF(Q512=0,0,Q512/Q$4)</f>
        <v>0</v>
      </c>
      <c r="S512" s="663"/>
      <c r="T512" s="664">
        <f t="shared" ref="T512" si="6920">IF(S512=0,0,S512/S$4)</f>
        <v>0</v>
      </c>
      <c r="U512" s="663"/>
      <c r="V512" s="664">
        <f t="shared" ref="V512" si="6921">IF(U512=0,0,U512/U$4)</f>
        <v>0</v>
      </c>
      <c r="W512" s="663"/>
      <c r="X512" s="664">
        <f t="shared" ref="X512" si="6922">IF(W512=0,0,W512/W$4)</f>
        <v>0</v>
      </c>
      <c r="Y512" s="663"/>
      <c r="Z512" s="664">
        <f t="shared" ref="Z512" si="6923">IF(Y512=0,0,Y512/Y$4)</f>
        <v>0</v>
      </c>
      <c r="AA512" s="663"/>
      <c r="AB512" s="664">
        <f t="shared" ref="AB512" si="6924">IF(AA512=0,0,AA512/AA$4)</f>
        <v>0</v>
      </c>
      <c r="AC512" s="663">
        <f>C512+E512+G512+I512+K512+M512+O512+Q512+S512+U512+W512+AA512+Y512</f>
        <v>10529816.737227213</v>
      </c>
      <c r="AD512" s="664">
        <f t="shared" ref="AD512" si="6925">IF(AC512=0,0,AC512/AC$4)</f>
        <v>65.397338923362994</v>
      </c>
      <c r="AE512" s="665"/>
      <c r="AF512" s="556"/>
      <c r="AG512" s="114"/>
      <c r="AH512" s="114"/>
      <c r="AI512" s="114"/>
      <c r="AJ512" s="114"/>
    </row>
    <row r="513" spans="1:36" s="68" customFormat="1" ht="15.75" hidden="1" outlineLevel="4">
      <c r="A513" s="245"/>
      <c r="B513" s="246" t="s">
        <v>420</v>
      </c>
      <c r="C513" s="663">
        <f>Калькулятор_жилье!L485</f>
        <v>319046.06352585839</v>
      </c>
      <c r="D513" s="664">
        <f t="shared" si="6121"/>
        <v>1.9814935121140222</v>
      </c>
      <c r="E513" s="663"/>
      <c r="F513" s="664">
        <f t="shared" si="6121"/>
        <v>0</v>
      </c>
      <c r="G513" s="663"/>
      <c r="H513" s="664">
        <f t="shared" ref="H513" si="6926">IF(G513=0,0,G513/G$4)</f>
        <v>0</v>
      </c>
      <c r="I513" s="663"/>
      <c r="J513" s="664">
        <f t="shared" ref="J513" si="6927">IF(I513=0,0,I513/I$4)</f>
        <v>0</v>
      </c>
      <c r="K513" s="663"/>
      <c r="L513" s="664">
        <f t="shared" ref="L513" si="6928">IF(K513=0,0,K513/K$4)</f>
        <v>0</v>
      </c>
      <c r="M513" s="663"/>
      <c r="N513" s="664">
        <f t="shared" ref="N513" si="6929">IF(M513=0,0,M513/M$4)</f>
        <v>0</v>
      </c>
      <c r="O513" s="663"/>
      <c r="P513" s="664">
        <f t="shared" ref="P513" si="6930">IF(O513=0,0,O513/O$4)</f>
        <v>0</v>
      </c>
      <c r="Q513" s="663"/>
      <c r="R513" s="664">
        <f t="shared" ref="R513" si="6931">IF(Q513=0,0,Q513/Q$4)</f>
        <v>0</v>
      </c>
      <c r="S513" s="663"/>
      <c r="T513" s="664">
        <f t="shared" ref="T513" si="6932">IF(S513=0,0,S513/S$4)</f>
        <v>0</v>
      </c>
      <c r="U513" s="663"/>
      <c r="V513" s="664">
        <f t="shared" ref="V513" si="6933">IF(U513=0,0,U513/U$4)</f>
        <v>0</v>
      </c>
      <c r="W513" s="663"/>
      <c r="X513" s="664">
        <f t="shared" ref="X513" si="6934">IF(W513=0,0,W513/W$4)</f>
        <v>0</v>
      </c>
      <c r="Y513" s="663"/>
      <c r="Z513" s="664">
        <f t="shared" ref="Z513" si="6935">IF(Y513=0,0,Y513/Y$4)</f>
        <v>0</v>
      </c>
      <c r="AA513" s="663"/>
      <c r="AB513" s="664">
        <f t="shared" ref="AB513" si="6936">IF(AA513=0,0,AA513/AA$4)</f>
        <v>0</v>
      </c>
      <c r="AC513" s="663">
        <f>C513+E513+G513+I513+K513+M513+O513+Q513+S513+U513+W513+AA513+Y513</f>
        <v>319046.06352585839</v>
      </c>
      <c r="AD513" s="664">
        <f t="shared" ref="AD513" si="6937">IF(AC513=0,0,AC513/AC$4)</f>
        <v>1.9814935121140222</v>
      </c>
      <c r="AE513" s="665"/>
      <c r="AF513" s="556"/>
      <c r="AG513" s="114"/>
      <c r="AH513" s="114"/>
      <c r="AI513" s="114"/>
      <c r="AJ513" s="114"/>
    </row>
    <row r="514" spans="1:36" s="556" customFormat="1" ht="15.75" hidden="1" outlineLevel="2" collapsed="1">
      <c r="A514" s="609" t="s">
        <v>1290</v>
      </c>
      <c r="B514" s="559" t="s">
        <v>350</v>
      </c>
      <c r="C514" s="659">
        <f>SUM(C515:C517)</f>
        <v>100560418.39191011</v>
      </c>
      <c r="D514" s="660">
        <f t="shared" si="6121"/>
        <v>624.54873887792587</v>
      </c>
      <c r="E514" s="659"/>
      <c r="F514" s="660">
        <f t="shared" si="6121"/>
        <v>0</v>
      </c>
      <c r="G514" s="659"/>
      <c r="H514" s="660">
        <f t="shared" ref="H514" si="6938">IF(G514=0,0,G514/G$4)</f>
        <v>0</v>
      </c>
      <c r="I514" s="659"/>
      <c r="J514" s="660">
        <f t="shared" ref="J514" si="6939">IF(I514=0,0,I514/I$4)</f>
        <v>0</v>
      </c>
      <c r="K514" s="659"/>
      <c r="L514" s="660">
        <f t="shared" ref="L514" si="6940">IF(K514=0,0,K514/K$4)</f>
        <v>0</v>
      </c>
      <c r="M514" s="659"/>
      <c r="N514" s="660">
        <f t="shared" ref="N514" si="6941">IF(M514=0,0,M514/M$4)</f>
        <v>0</v>
      </c>
      <c r="O514" s="659"/>
      <c r="P514" s="660">
        <f t="shared" ref="P514" si="6942">IF(O514=0,0,O514/O$4)</f>
        <v>0</v>
      </c>
      <c r="Q514" s="659"/>
      <c r="R514" s="660">
        <f t="shared" ref="R514" si="6943">IF(Q514=0,0,Q514/Q$4)</f>
        <v>0</v>
      </c>
      <c r="S514" s="659"/>
      <c r="T514" s="660">
        <f t="shared" ref="T514" si="6944">IF(S514=0,0,S514/S$4)</f>
        <v>0</v>
      </c>
      <c r="U514" s="659"/>
      <c r="V514" s="660">
        <f t="shared" ref="V514" si="6945">IF(U514=0,0,U514/U$4)</f>
        <v>0</v>
      </c>
      <c r="W514" s="659"/>
      <c r="X514" s="660">
        <f t="shared" ref="X514" si="6946">IF(W514=0,0,W514/W$4)</f>
        <v>0</v>
      </c>
      <c r="Y514" s="659"/>
      <c r="Z514" s="660">
        <f t="shared" ref="Z514" si="6947">IF(Y514=0,0,Y514/Y$4)</f>
        <v>0</v>
      </c>
      <c r="AA514" s="659"/>
      <c r="AB514" s="660">
        <f t="shared" ref="AB514" si="6948">IF(AA514=0,0,AA514/AA$4)</f>
        <v>0</v>
      </c>
      <c r="AC514" s="659">
        <f>SUM(AC515:AC517)</f>
        <v>100560418.39191011</v>
      </c>
      <c r="AD514" s="660">
        <f t="shared" ref="AD514" si="6949">IF(AC514=0,0,AC514/AC$4)</f>
        <v>624.54873887792587</v>
      </c>
      <c r="AE514" s="654"/>
    </row>
    <row r="515" spans="1:36" s="556" customFormat="1" ht="15.75" hidden="1" outlineLevel="3">
      <c r="A515" s="612" t="s">
        <v>1289</v>
      </c>
      <c r="B515" s="560" t="s">
        <v>1201</v>
      </c>
      <c r="C515" s="661">
        <f>Калькулятор_жилье!K488</f>
        <v>100560418.39191011</v>
      </c>
      <c r="D515" s="662">
        <f t="shared" si="6121"/>
        <v>624.54873887792587</v>
      </c>
      <c r="E515" s="661"/>
      <c r="F515" s="662">
        <f t="shared" si="6121"/>
        <v>0</v>
      </c>
      <c r="G515" s="661"/>
      <c r="H515" s="662">
        <f t="shared" ref="H515" si="6950">IF(G515=0,0,G515/G$4)</f>
        <v>0</v>
      </c>
      <c r="I515" s="661"/>
      <c r="J515" s="662">
        <f t="shared" ref="J515" si="6951">IF(I515=0,0,I515/I$4)</f>
        <v>0</v>
      </c>
      <c r="K515" s="661"/>
      <c r="L515" s="662">
        <f t="shared" ref="L515" si="6952">IF(K515=0,0,K515/K$4)</f>
        <v>0</v>
      </c>
      <c r="M515" s="661"/>
      <c r="N515" s="662">
        <f t="shared" ref="N515" si="6953">IF(M515=0,0,M515/M$4)</f>
        <v>0</v>
      </c>
      <c r="O515" s="661"/>
      <c r="P515" s="662">
        <f t="shared" ref="P515" si="6954">IF(O515=0,0,O515/O$4)</f>
        <v>0</v>
      </c>
      <c r="Q515" s="661"/>
      <c r="R515" s="662">
        <f t="shared" ref="R515" si="6955">IF(Q515=0,0,Q515/Q$4)</f>
        <v>0</v>
      </c>
      <c r="S515" s="661"/>
      <c r="T515" s="662">
        <f t="shared" ref="T515" si="6956">IF(S515=0,0,S515/S$4)</f>
        <v>0</v>
      </c>
      <c r="U515" s="661"/>
      <c r="V515" s="662">
        <f t="shared" ref="V515" si="6957">IF(U515=0,0,U515/U$4)</f>
        <v>0</v>
      </c>
      <c r="W515" s="661"/>
      <c r="X515" s="662">
        <f t="shared" ref="X515" si="6958">IF(W515=0,0,W515/W$4)</f>
        <v>0</v>
      </c>
      <c r="Y515" s="661"/>
      <c r="Z515" s="662">
        <f t="shared" ref="Z515" si="6959">IF(Y515=0,0,Y515/Y$4)</f>
        <v>0</v>
      </c>
      <c r="AA515" s="661"/>
      <c r="AB515" s="662">
        <f t="shared" ref="AB515" si="6960">IF(AA515=0,0,AA515/AA$4)</f>
        <v>0</v>
      </c>
      <c r="AC515" s="661">
        <f>C515+E515+G515+I515+K515+M515+O515+Q515+S515+U515+W515+AA515+Y515</f>
        <v>100560418.39191011</v>
      </c>
      <c r="AD515" s="662">
        <f t="shared" ref="AD515" si="6961">IF(AC515=0,0,AC515/AC$4)</f>
        <v>624.54873887792587</v>
      </c>
      <c r="AE515" s="654"/>
    </row>
    <row r="516" spans="1:36" s="556" customFormat="1" ht="15.75" hidden="1" outlineLevel="3">
      <c r="A516" s="612" t="s">
        <v>1288</v>
      </c>
      <c r="B516" s="560" t="s">
        <v>1202</v>
      </c>
      <c r="C516" s="661"/>
      <c r="D516" s="662">
        <f t="shared" si="6121"/>
        <v>0</v>
      </c>
      <c r="E516" s="661"/>
      <c r="F516" s="662">
        <f t="shared" si="6121"/>
        <v>0</v>
      </c>
      <c r="G516" s="661"/>
      <c r="H516" s="662">
        <f t="shared" ref="H516" si="6962">IF(G516=0,0,G516/G$4)</f>
        <v>0</v>
      </c>
      <c r="I516" s="661"/>
      <c r="J516" s="662">
        <f t="shared" ref="J516" si="6963">IF(I516=0,0,I516/I$4)</f>
        <v>0</v>
      </c>
      <c r="K516" s="661"/>
      <c r="L516" s="662">
        <f t="shared" ref="L516" si="6964">IF(K516=0,0,K516/K$4)</f>
        <v>0</v>
      </c>
      <c r="M516" s="661"/>
      <c r="N516" s="662">
        <f t="shared" ref="N516" si="6965">IF(M516=0,0,M516/M$4)</f>
        <v>0</v>
      </c>
      <c r="O516" s="661"/>
      <c r="P516" s="662">
        <f t="shared" ref="P516" si="6966">IF(O516=0,0,O516/O$4)</f>
        <v>0</v>
      </c>
      <c r="Q516" s="661"/>
      <c r="R516" s="662">
        <f t="shared" ref="R516" si="6967">IF(Q516=0,0,Q516/Q$4)</f>
        <v>0</v>
      </c>
      <c r="S516" s="661"/>
      <c r="T516" s="662">
        <f t="shared" ref="T516" si="6968">IF(S516=0,0,S516/S$4)</f>
        <v>0</v>
      </c>
      <c r="U516" s="661"/>
      <c r="V516" s="662">
        <f t="shared" ref="V516" si="6969">IF(U516=0,0,U516/U$4)</f>
        <v>0</v>
      </c>
      <c r="W516" s="661"/>
      <c r="X516" s="662">
        <f t="shared" ref="X516" si="6970">IF(W516=0,0,W516/W$4)</f>
        <v>0</v>
      </c>
      <c r="Y516" s="661"/>
      <c r="Z516" s="662">
        <f t="shared" ref="Z516" si="6971">IF(Y516=0,0,Y516/Y$4)</f>
        <v>0</v>
      </c>
      <c r="AA516" s="661"/>
      <c r="AB516" s="662">
        <f t="shared" ref="AB516" si="6972">IF(AA516=0,0,AA516/AA$4)</f>
        <v>0</v>
      </c>
      <c r="AC516" s="661"/>
      <c r="AD516" s="662">
        <f t="shared" ref="AD516" si="6973">IF(AC516=0,0,AC516/AC$4)</f>
        <v>0</v>
      </c>
      <c r="AE516" s="654"/>
    </row>
    <row r="517" spans="1:36" s="556" customFormat="1" ht="15.75" hidden="1" outlineLevel="3">
      <c r="A517" s="612" t="s">
        <v>1287</v>
      </c>
      <c r="B517" s="560" t="s">
        <v>1203</v>
      </c>
      <c r="C517" s="661"/>
      <c r="D517" s="662">
        <f t="shared" si="6121"/>
        <v>0</v>
      </c>
      <c r="E517" s="661"/>
      <c r="F517" s="662">
        <f t="shared" si="6121"/>
        <v>0</v>
      </c>
      <c r="G517" s="661"/>
      <c r="H517" s="662">
        <f t="shared" ref="H517" si="6974">IF(G517=0,0,G517/G$4)</f>
        <v>0</v>
      </c>
      <c r="I517" s="661"/>
      <c r="J517" s="662">
        <f t="shared" ref="J517" si="6975">IF(I517=0,0,I517/I$4)</f>
        <v>0</v>
      </c>
      <c r="K517" s="661"/>
      <c r="L517" s="662">
        <f t="shared" ref="L517" si="6976">IF(K517=0,0,K517/K$4)</f>
        <v>0</v>
      </c>
      <c r="M517" s="661"/>
      <c r="N517" s="662">
        <f t="shared" ref="N517" si="6977">IF(M517=0,0,M517/M$4)</f>
        <v>0</v>
      </c>
      <c r="O517" s="661"/>
      <c r="P517" s="662">
        <f t="shared" ref="P517" si="6978">IF(O517=0,0,O517/O$4)</f>
        <v>0</v>
      </c>
      <c r="Q517" s="661"/>
      <c r="R517" s="662">
        <f t="shared" ref="R517" si="6979">IF(Q517=0,0,Q517/Q$4)</f>
        <v>0</v>
      </c>
      <c r="S517" s="661"/>
      <c r="T517" s="662">
        <f t="shared" ref="T517" si="6980">IF(S517=0,0,S517/S$4)</f>
        <v>0</v>
      </c>
      <c r="U517" s="661"/>
      <c r="V517" s="662">
        <f t="shared" ref="V517" si="6981">IF(U517=0,0,U517/U$4)</f>
        <v>0</v>
      </c>
      <c r="W517" s="661"/>
      <c r="X517" s="662">
        <f t="shared" ref="X517" si="6982">IF(W517=0,0,W517/W$4)</f>
        <v>0</v>
      </c>
      <c r="Y517" s="661"/>
      <c r="Z517" s="662">
        <f t="shared" ref="Z517" si="6983">IF(Y517=0,0,Y517/Y$4)</f>
        <v>0</v>
      </c>
      <c r="AA517" s="661"/>
      <c r="AB517" s="662">
        <f t="shared" ref="AB517" si="6984">IF(AA517=0,0,AA517/AA$4)</f>
        <v>0</v>
      </c>
      <c r="AC517" s="661"/>
      <c r="AD517" s="662">
        <f t="shared" ref="AD517" si="6985">IF(AC517=0,0,AC517/AC$4)</f>
        <v>0</v>
      </c>
      <c r="AE517" s="654"/>
    </row>
    <row r="518" spans="1:36" s="556" customFormat="1" ht="15.75" hidden="1" outlineLevel="2" collapsed="1">
      <c r="A518" s="609" t="s">
        <v>1286</v>
      </c>
      <c r="B518" s="559" t="s">
        <v>1204</v>
      </c>
      <c r="C518" s="659">
        <f>C519+C520</f>
        <v>17050015.006975949</v>
      </c>
      <c r="D518" s="660">
        <f t="shared" ref="D518:F581" si="6986">IF(C518=0,0,C518/C$4)</f>
        <v>105.89221426025009</v>
      </c>
      <c r="E518" s="659"/>
      <c r="F518" s="660">
        <f t="shared" si="6986"/>
        <v>0</v>
      </c>
      <c r="G518" s="659"/>
      <c r="H518" s="660">
        <f t="shared" ref="H518" si="6987">IF(G518=0,0,G518/G$4)</f>
        <v>0</v>
      </c>
      <c r="I518" s="659"/>
      <c r="J518" s="660">
        <f t="shared" ref="J518" si="6988">IF(I518=0,0,I518/I$4)</f>
        <v>0</v>
      </c>
      <c r="K518" s="659"/>
      <c r="L518" s="660">
        <f t="shared" ref="L518" si="6989">IF(K518=0,0,K518/K$4)</f>
        <v>0</v>
      </c>
      <c r="M518" s="659"/>
      <c r="N518" s="660">
        <f t="shared" ref="N518" si="6990">IF(M518=0,0,M518/M$4)</f>
        <v>0</v>
      </c>
      <c r="O518" s="659"/>
      <c r="P518" s="660">
        <f t="shared" ref="P518" si="6991">IF(O518=0,0,O518/O$4)</f>
        <v>0</v>
      </c>
      <c r="Q518" s="659"/>
      <c r="R518" s="660">
        <f t="shared" ref="R518" si="6992">IF(Q518=0,0,Q518/Q$4)</f>
        <v>0</v>
      </c>
      <c r="S518" s="659"/>
      <c r="T518" s="660">
        <f t="shared" ref="T518" si="6993">IF(S518=0,0,S518/S$4)</f>
        <v>0</v>
      </c>
      <c r="U518" s="659"/>
      <c r="V518" s="660">
        <f t="shared" ref="V518" si="6994">IF(U518=0,0,U518/U$4)</f>
        <v>0</v>
      </c>
      <c r="W518" s="659"/>
      <c r="X518" s="660">
        <f t="shared" ref="X518" si="6995">IF(W518=0,0,W518/W$4)</f>
        <v>0</v>
      </c>
      <c r="Y518" s="659"/>
      <c r="Z518" s="660">
        <f t="shared" ref="Z518" si="6996">IF(Y518=0,0,Y518/Y$4)</f>
        <v>0</v>
      </c>
      <c r="AA518" s="659"/>
      <c r="AB518" s="660">
        <f t="shared" ref="AB518" si="6997">IF(AA518=0,0,AA518/AA$4)</f>
        <v>0</v>
      </c>
      <c r="AC518" s="659">
        <f t="shared" ref="AC518:AC523" si="6998">C518+E518+G518+I518+K518+M518+O518+Q518+S518+U518+W518+AA518+Y518</f>
        <v>17050015.006975949</v>
      </c>
      <c r="AD518" s="660">
        <f t="shared" ref="AD518" si="6999">IF(AC518=0,0,AC518/AC$4)</f>
        <v>105.89221426025009</v>
      </c>
      <c r="AE518" s="654"/>
    </row>
    <row r="519" spans="1:36" s="68" customFormat="1" ht="15.75" hidden="1" outlineLevel="3">
      <c r="A519" s="117"/>
      <c r="B519" s="118" t="str">
        <f>Калькулятор_жилье!E502</f>
        <v>нумерация домов; дорожные знаки</v>
      </c>
      <c r="C519" s="661">
        <f>Калькулятор_жилье!K502</f>
        <v>2073378.4913527037</v>
      </c>
      <c r="D519" s="662">
        <f t="shared" si="6986"/>
        <v>12.877093618925533</v>
      </c>
      <c r="E519" s="661"/>
      <c r="F519" s="662">
        <f t="shared" si="6986"/>
        <v>0</v>
      </c>
      <c r="G519" s="661"/>
      <c r="H519" s="662">
        <f t="shared" ref="H519" si="7000">IF(G519=0,0,G519/G$4)</f>
        <v>0</v>
      </c>
      <c r="I519" s="661"/>
      <c r="J519" s="662">
        <f t="shared" ref="J519" si="7001">IF(I519=0,0,I519/I$4)</f>
        <v>0</v>
      </c>
      <c r="K519" s="661"/>
      <c r="L519" s="662">
        <f t="shared" ref="L519" si="7002">IF(K519=0,0,K519/K$4)</f>
        <v>0</v>
      </c>
      <c r="M519" s="661"/>
      <c r="N519" s="662">
        <f t="shared" ref="N519" si="7003">IF(M519=0,0,M519/M$4)</f>
        <v>0</v>
      </c>
      <c r="O519" s="661"/>
      <c r="P519" s="662">
        <f t="shared" ref="P519" si="7004">IF(O519=0,0,O519/O$4)</f>
        <v>0</v>
      </c>
      <c r="Q519" s="661"/>
      <c r="R519" s="662">
        <f t="shared" ref="R519" si="7005">IF(Q519=0,0,Q519/Q$4)</f>
        <v>0</v>
      </c>
      <c r="S519" s="661"/>
      <c r="T519" s="662">
        <f t="shared" ref="T519" si="7006">IF(S519=0,0,S519/S$4)</f>
        <v>0</v>
      </c>
      <c r="U519" s="661"/>
      <c r="V519" s="662">
        <f t="shared" ref="V519" si="7007">IF(U519=0,0,U519/U$4)</f>
        <v>0</v>
      </c>
      <c r="W519" s="661"/>
      <c r="X519" s="662">
        <f t="shared" ref="X519" si="7008">IF(W519=0,0,W519/W$4)</f>
        <v>0</v>
      </c>
      <c r="Y519" s="661"/>
      <c r="Z519" s="662">
        <f t="shared" ref="Z519" si="7009">IF(Y519=0,0,Y519/Y$4)</f>
        <v>0</v>
      </c>
      <c r="AA519" s="661"/>
      <c r="AB519" s="662">
        <f t="shared" ref="AB519" si="7010">IF(AA519=0,0,AA519/AA$4)</f>
        <v>0</v>
      </c>
      <c r="AC519" s="661">
        <f t="shared" si="6998"/>
        <v>2073378.4913527037</v>
      </c>
      <c r="AD519" s="662">
        <f t="shared" ref="AD519" si="7011">IF(AC519=0,0,AC519/AC$4)</f>
        <v>12.877093618925533</v>
      </c>
      <c r="AE519" s="665"/>
      <c r="AF519" s="556"/>
      <c r="AG519" s="114"/>
      <c r="AH519" s="114"/>
      <c r="AI519" s="114"/>
      <c r="AJ519" s="114"/>
    </row>
    <row r="520" spans="1:36" s="68" customFormat="1" ht="30" hidden="1" outlineLevel="3">
      <c r="A520" s="117"/>
      <c r="B520" s="118" t="str">
        <f>Калькулятор_жилье!E503</f>
        <v>устройство навигационных пилонов, информационных табло, стелл</v>
      </c>
      <c r="C520" s="661">
        <f>Калькулятор_жилье!K503</f>
        <v>14976636.515623245</v>
      </c>
      <c r="D520" s="662">
        <f t="shared" si="6986"/>
        <v>93.015120641324557</v>
      </c>
      <c r="E520" s="661"/>
      <c r="F520" s="662">
        <f t="shared" si="6986"/>
        <v>0</v>
      </c>
      <c r="G520" s="661"/>
      <c r="H520" s="662">
        <f t="shared" ref="H520" si="7012">IF(G520=0,0,G520/G$4)</f>
        <v>0</v>
      </c>
      <c r="I520" s="661"/>
      <c r="J520" s="662">
        <f t="shared" ref="J520" si="7013">IF(I520=0,0,I520/I$4)</f>
        <v>0</v>
      </c>
      <c r="K520" s="661"/>
      <c r="L520" s="662">
        <f t="shared" ref="L520" si="7014">IF(K520=0,0,K520/K$4)</f>
        <v>0</v>
      </c>
      <c r="M520" s="661"/>
      <c r="N520" s="662">
        <f t="shared" ref="N520" si="7015">IF(M520=0,0,M520/M$4)</f>
        <v>0</v>
      </c>
      <c r="O520" s="661"/>
      <c r="P520" s="662">
        <f t="shared" ref="P520" si="7016">IF(O520=0,0,O520/O$4)</f>
        <v>0</v>
      </c>
      <c r="Q520" s="661"/>
      <c r="R520" s="662">
        <f t="shared" ref="R520" si="7017">IF(Q520=0,0,Q520/Q$4)</f>
        <v>0</v>
      </c>
      <c r="S520" s="661"/>
      <c r="T520" s="662">
        <f t="shared" ref="T520" si="7018">IF(S520=0,0,S520/S$4)</f>
        <v>0</v>
      </c>
      <c r="U520" s="661"/>
      <c r="V520" s="662">
        <f t="shared" ref="V520" si="7019">IF(U520=0,0,U520/U$4)</f>
        <v>0</v>
      </c>
      <c r="W520" s="661"/>
      <c r="X520" s="662">
        <f t="shared" ref="X520" si="7020">IF(W520=0,0,W520/W$4)</f>
        <v>0</v>
      </c>
      <c r="Y520" s="661"/>
      <c r="Z520" s="662">
        <f t="shared" ref="Z520" si="7021">IF(Y520=0,0,Y520/Y$4)</f>
        <v>0</v>
      </c>
      <c r="AA520" s="661"/>
      <c r="AB520" s="662">
        <f t="shared" ref="AB520" si="7022">IF(AA520=0,0,AA520/AA$4)</f>
        <v>0</v>
      </c>
      <c r="AC520" s="661">
        <f t="shared" si="6998"/>
        <v>14976636.515623245</v>
      </c>
      <c r="AD520" s="662">
        <f t="shared" ref="AD520" si="7023">IF(AC520=0,0,AC520/AC$4)</f>
        <v>93.015120641324557</v>
      </c>
      <c r="AE520" s="665"/>
      <c r="AF520" s="556"/>
      <c r="AG520" s="114"/>
      <c r="AH520" s="114"/>
      <c r="AI520" s="114"/>
      <c r="AJ520" s="114"/>
    </row>
    <row r="521" spans="1:36" s="556" customFormat="1" ht="15.75" hidden="1" outlineLevel="2">
      <c r="A521" s="609" t="s">
        <v>1285</v>
      </c>
      <c r="B521" s="559" t="s">
        <v>1205</v>
      </c>
      <c r="C521" s="659">
        <f>Калькулятор_жилье!K491</f>
        <v>13720118.320681645</v>
      </c>
      <c r="D521" s="660">
        <f t="shared" si="6986"/>
        <v>85.211286224391813</v>
      </c>
      <c r="E521" s="659"/>
      <c r="F521" s="660">
        <f t="shared" si="6986"/>
        <v>0</v>
      </c>
      <c r="G521" s="659"/>
      <c r="H521" s="660">
        <f t="shared" ref="H521" si="7024">IF(G521=0,0,G521/G$4)</f>
        <v>0</v>
      </c>
      <c r="I521" s="659"/>
      <c r="J521" s="660">
        <f t="shared" ref="J521" si="7025">IF(I521=0,0,I521/I$4)</f>
        <v>0</v>
      </c>
      <c r="K521" s="659"/>
      <c r="L521" s="660">
        <f t="shared" ref="L521" si="7026">IF(K521=0,0,K521/K$4)</f>
        <v>0</v>
      </c>
      <c r="M521" s="659"/>
      <c r="N521" s="660">
        <f t="shared" ref="N521" si="7027">IF(M521=0,0,M521/M$4)</f>
        <v>0</v>
      </c>
      <c r="O521" s="659"/>
      <c r="P521" s="660">
        <f t="shared" ref="P521" si="7028">IF(O521=0,0,O521/O$4)</f>
        <v>0</v>
      </c>
      <c r="Q521" s="659"/>
      <c r="R521" s="660">
        <f t="shared" ref="R521" si="7029">IF(Q521=0,0,Q521/Q$4)</f>
        <v>0</v>
      </c>
      <c r="S521" s="659"/>
      <c r="T521" s="660">
        <f t="shared" ref="T521" si="7030">IF(S521=0,0,S521/S$4)</f>
        <v>0</v>
      </c>
      <c r="U521" s="659"/>
      <c r="V521" s="660">
        <f t="shared" ref="V521" si="7031">IF(U521=0,0,U521/U$4)</f>
        <v>0</v>
      </c>
      <c r="W521" s="659"/>
      <c r="X521" s="660">
        <f t="shared" ref="X521" si="7032">IF(W521=0,0,W521/W$4)</f>
        <v>0</v>
      </c>
      <c r="Y521" s="659"/>
      <c r="Z521" s="660">
        <f t="shared" ref="Z521" si="7033">IF(Y521=0,0,Y521/Y$4)</f>
        <v>0</v>
      </c>
      <c r="AA521" s="659"/>
      <c r="AB521" s="660">
        <f t="shared" ref="AB521" si="7034">IF(AA521=0,0,AA521/AA$4)</f>
        <v>0</v>
      </c>
      <c r="AC521" s="659">
        <f t="shared" si="6998"/>
        <v>13720118.320681645</v>
      </c>
      <c r="AD521" s="660">
        <f t="shared" ref="AD521" si="7035">IF(AC521=0,0,AC521/AC$4)</f>
        <v>85.211286224391813</v>
      </c>
      <c r="AE521" s="654"/>
    </row>
    <row r="522" spans="1:36" s="556" customFormat="1" ht="15.75" hidden="1" outlineLevel="2">
      <c r="A522" s="609" t="s">
        <v>1284</v>
      </c>
      <c r="B522" s="559" t="s">
        <v>1206</v>
      </c>
      <c r="C522" s="659">
        <f>Калькулятор_жилье!K499</f>
        <v>27602148.342011563</v>
      </c>
      <c r="D522" s="660">
        <f t="shared" si="6986"/>
        <v>171.42815446670406</v>
      </c>
      <c r="E522" s="659"/>
      <c r="F522" s="660">
        <f t="shared" si="6986"/>
        <v>0</v>
      </c>
      <c r="G522" s="659"/>
      <c r="H522" s="660">
        <f t="shared" ref="H522" si="7036">IF(G522=0,0,G522/G$4)</f>
        <v>0</v>
      </c>
      <c r="I522" s="659"/>
      <c r="J522" s="660">
        <f t="shared" ref="J522" si="7037">IF(I522=0,0,I522/I$4)</f>
        <v>0</v>
      </c>
      <c r="K522" s="659"/>
      <c r="L522" s="660">
        <f t="shared" ref="L522" si="7038">IF(K522=0,0,K522/K$4)</f>
        <v>0</v>
      </c>
      <c r="M522" s="659"/>
      <c r="N522" s="660">
        <f t="shared" ref="N522" si="7039">IF(M522=0,0,M522/M$4)</f>
        <v>0</v>
      </c>
      <c r="O522" s="659"/>
      <c r="P522" s="660">
        <f t="shared" ref="P522" si="7040">IF(O522=0,0,O522/O$4)</f>
        <v>0</v>
      </c>
      <c r="Q522" s="659"/>
      <c r="R522" s="660">
        <f t="shared" ref="R522" si="7041">IF(Q522=0,0,Q522/Q$4)</f>
        <v>0</v>
      </c>
      <c r="S522" s="659"/>
      <c r="T522" s="660">
        <f t="shared" ref="T522" si="7042">IF(S522=0,0,S522/S$4)</f>
        <v>0</v>
      </c>
      <c r="U522" s="659"/>
      <c r="V522" s="660">
        <f t="shared" ref="V522" si="7043">IF(U522=0,0,U522/U$4)</f>
        <v>0</v>
      </c>
      <c r="W522" s="659"/>
      <c r="X522" s="660">
        <f t="shared" ref="X522" si="7044">IF(W522=0,0,W522/W$4)</f>
        <v>0</v>
      </c>
      <c r="Y522" s="659"/>
      <c r="Z522" s="660">
        <f t="shared" ref="Z522" si="7045">IF(Y522=0,0,Y522/Y$4)</f>
        <v>0</v>
      </c>
      <c r="AA522" s="659"/>
      <c r="AB522" s="660">
        <f t="shared" ref="AB522" si="7046">IF(AA522=0,0,AA522/AA$4)</f>
        <v>0</v>
      </c>
      <c r="AC522" s="659">
        <f t="shared" si="6998"/>
        <v>27602148.342011563</v>
      </c>
      <c r="AD522" s="660">
        <f t="shared" ref="AD522" si="7047">IF(AC522=0,0,AC522/AC$4)</f>
        <v>171.42815446670406</v>
      </c>
      <c r="AE522" s="654"/>
    </row>
    <row r="523" spans="1:36" s="556" customFormat="1" ht="15.75" hidden="1" outlineLevel="2">
      <c r="A523" s="609" t="s">
        <v>1283</v>
      </c>
      <c r="B523" s="559" t="s">
        <v>1207</v>
      </c>
      <c r="C523" s="659">
        <f>Калькулятор_жилье!K495</f>
        <v>10007398.535634551</v>
      </c>
      <c r="D523" s="660">
        <f t="shared" si="6986"/>
        <v>62.152765818068332</v>
      </c>
      <c r="E523" s="659"/>
      <c r="F523" s="660">
        <f t="shared" si="6986"/>
        <v>0</v>
      </c>
      <c r="G523" s="659"/>
      <c r="H523" s="660">
        <f t="shared" ref="H523" si="7048">IF(G523=0,0,G523/G$4)</f>
        <v>0</v>
      </c>
      <c r="I523" s="659"/>
      <c r="J523" s="660">
        <f t="shared" ref="J523" si="7049">IF(I523=0,0,I523/I$4)</f>
        <v>0</v>
      </c>
      <c r="K523" s="659"/>
      <c r="L523" s="660">
        <f t="shared" ref="L523" si="7050">IF(K523=0,0,K523/K$4)</f>
        <v>0</v>
      </c>
      <c r="M523" s="659"/>
      <c r="N523" s="660">
        <f t="shared" ref="N523" si="7051">IF(M523=0,0,M523/M$4)</f>
        <v>0</v>
      </c>
      <c r="O523" s="659"/>
      <c r="P523" s="660">
        <f t="shared" ref="P523" si="7052">IF(O523=0,0,O523/O$4)</f>
        <v>0</v>
      </c>
      <c r="Q523" s="659"/>
      <c r="R523" s="660">
        <f t="shared" ref="R523" si="7053">IF(Q523=0,0,Q523/Q$4)</f>
        <v>0</v>
      </c>
      <c r="S523" s="659"/>
      <c r="T523" s="660">
        <f t="shared" ref="T523" si="7054">IF(S523=0,0,S523/S$4)</f>
        <v>0</v>
      </c>
      <c r="U523" s="659"/>
      <c r="V523" s="660">
        <f t="shared" ref="V523" si="7055">IF(U523=0,0,U523/U$4)</f>
        <v>0</v>
      </c>
      <c r="W523" s="659"/>
      <c r="X523" s="660">
        <f t="shared" ref="X523" si="7056">IF(W523=0,0,W523/W$4)</f>
        <v>0</v>
      </c>
      <c r="Y523" s="659"/>
      <c r="Z523" s="660">
        <f t="shared" ref="Z523" si="7057">IF(Y523=0,0,Y523/Y$4)</f>
        <v>0</v>
      </c>
      <c r="AA523" s="659"/>
      <c r="AB523" s="660">
        <f t="shared" ref="AB523" si="7058">IF(AA523=0,0,AA523/AA$4)</f>
        <v>0</v>
      </c>
      <c r="AC523" s="659">
        <f t="shared" si="6998"/>
        <v>10007398.535634551</v>
      </c>
      <c r="AD523" s="660">
        <f t="shared" ref="AD523" si="7059">IF(AC523=0,0,AC523/AC$4)</f>
        <v>62.152765818068332</v>
      </c>
      <c r="AE523" s="654"/>
    </row>
    <row r="524" spans="1:36" s="556" customFormat="1" ht="15.75" hidden="1" outlineLevel="2">
      <c r="A524" s="609" t="s">
        <v>1282</v>
      </c>
      <c r="B524" s="559" t="s">
        <v>1203</v>
      </c>
      <c r="C524" s="659">
        <f>C530+C527+C525</f>
        <v>99984404.93061997</v>
      </c>
      <c r="D524" s="660">
        <f t="shared" si="6986"/>
        <v>620.97130268008277</v>
      </c>
      <c r="E524" s="659"/>
      <c r="F524" s="660">
        <f t="shared" si="6986"/>
        <v>0</v>
      </c>
      <c r="G524" s="659"/>
      <c r="H524" s="660">
        <f t="shared" ref="H524" si="7060">IF(G524=0,0,G524/G$4)</f>
        <v>0</v>
      </c>
      <c r="I524" s="659"/>
      <c r="J524" s="660">
        <f t="shared" ref="J524" si="7061">IF(I524=0,0,I524/I$4)</f>
        <v>0</v>
      </c>
      <c r="K524" s="659"/>
      <c r="L524" s="660">
        <f t="shared" ref="L524" si="7062">IF(K524=0,0,K524/K$4)</f>
        <v>0</v>
      </c>
      <c r="M524" s="659"/>
      <c r="N524" s="660">
        <f t="shared" ref="N524" si="7063">IF(M524=0,0,M524/M$4)</f>
        <v>0</v>
      </c>
      <c r="O524" s="659"/>
      <c r="P524" s="660">
        <f t="shared" ref="P524" si="7064">IF(O524=0,0,O524/O$4)</f>
        <v>0</v>
      </c>
      <c r="Q524" s="659"/>
      <c r="R524" s="660">
        <f t="shared" ref="R524" si="7065">IF(Q524=0,0,Q524/Q$4)</f>
        <v>0</v>
      </c>
      <c r="S524" s="659"/>
      <c r="T524" s="660">
        <f t="shared" ref="T524" si="7066">IF(S524=0,0,S524/S$4)</f>
        <v>0</v>
      </c>
      <c r="U524" s="659"/>
      <c r="V524" s="660">
        <f t="shared" ref="V524" si="7067">IF(U524=0,0,U524/U$4)</f>
        <v>0</v>
      </c>
      <c r="W524" s="659"/>
      <c r="X524" s="660">
        <f t="shared" ref="X524" si="7068">IF(W524=0,0,W524/W$4)</f>
        <v>0</v>
      </c>
      <c r="Y524" s="659"/>
      <c r="Z524" s="660">
        <f t="shared" ref="Z524" si="7069">IF(Y524=0,0,Y524/Y$4)</f>
        <v>0</v>
      </c>
      <c r="AA524" s="659"/>
      <c r="AB524" s="660">
        <f t="shared" ref="AB524" si="7070">IF(AA524=0,0,AA524/AA$4)</f>
        <v>0</v>
      </c>
      <c r="AC524" s="659">
        <f>AC530+AC527+AC525</f>
        <v>99984404.93061997</v>
      </c>
      <c r="AD524" s="660">
        <f t="shared" ref="AD524" si="7071">IF(AC524=0,0,AC524/AC$4)</f>
        <v>620.97130268008277</v>
      </c>
      <c r="AE524" s="654"/>
    </row>
    <row r="525" spans="1:36" s="556" customFormat="1" ht="15.75" hidden="1" outlineLevel="3">
      <c r="A525" s="612" t="s">
        <v>1281</v>
      </c>
      <c r="B525" s="560" t="s">
        <v>1210</v>
      </c>
      <c r="C525" s="661">
        <f>SUM(C526)</f>
        <v>0</v>
      </c>
      <c r="D525" s="662">
        <f t="shared" si="6986"/>
        <v>0</v>
      </c>
      <c r="E525" s="661"/>
      <c r="F525" s="662">
        <f t="shared" si="6986"/>
        <v>0</v>
      </c>
      <c r="G525" s="661"/>
      <c r="H525" s="662">
        <f t="shared" ref="H525" si="7072">IF(G525=0,0,G525/G$4)</f>
        <v>0</v>
      </c>
      <c r="I525" s="661"/>
      <c r="J525" s="662">
        <f t="shared" ref="J525" si="7073">IF(I525=0,0,I525/I$4)</f>
        <v>0</v>
      </c>
      <c r="K525" s="661"/>
      <c r="L525" s="662">
        <f t="shared" ref="L525" si="7074">IF(K525=0,0,K525/K$4)</f>
        <v>0</v>
      </c>
      <c r="M525" s="661"/>
      <c r="N525" s="662">
        <f t="shared" ref="N525" si="7075">IF(M525=0,0,M525/M$4)</f>
        <v>0</v>
      </c>
      <c r="O525" s="661"/>
      <c r="P525" s="662">
        <f t="shared" ref="P525" si="7076">IF(O525=0,0,O525/O$4)</f>
        <v>0</v>
      </c>
      <c r="Q525" s="661"/>
      <c r="R525" s="662">
        <f t="shared" ref="R525" si="7077">IF(Q525=0,0,Q525/Q$4)</f>
        <v>0</v>
      </c>
      <c r="S525" s="661"/>
      <c r="T525" s="662">
        <f t="shared" ref="T525" si="7078">IF(S525=0,0,S525/S$4)</f>
        <v>0</v>
      </c>
      <c r="U525" s="661"/>
      <c r="V525" s="662">
        <f t="shared" ref="V525" si="7079">IF(U525=0,0,U525/U$4)</f>
        <v>0</v>
      </c>
      <c r="W525" s="661"/>
      <c r="X525" s="662">
        <f t="shared" ref="X525" si="7080">IF(W525=0,0,W525/W$4)</f>
        <v>0</v>
      </c>
      <c r="Y525" s="661"/>
      <c r="Z525" s="662">
        <f t="shared" ref="Z525" si="7081">IF(Y525=0,0,Y525/Y$4)</f>
        <v>0</v>
      </c>
      <c r="AA525" s="661"/>
      <c r="AB525" s="662">
        <f t="shared" ref="AB525" si="7082">IF(AA525=0,0,AA525/AA$4)</f>
        <v>0</v>
      </c>
      <c r="AC525" s="661">
        <f>AC526</f>
        <v>0</v>
      </c>
      <c r="AD525" s="662">
        <f t="shared" ref="AD525" si="7083">IF(AC525=0,0,AC525/AC$4)</f>
        <v>0</v>
      </c>
      <c r="AE525" s="654"/>
    </row>
    <row r="526" spans="1:36" s="68" customFormat="1" ht="15.75" hidden="1" outlineLevel="4">
      <c r="A526" s="117"/>
      <c r="B526" s="118" t="s">
        <v>208</v>
      </c>
      <c r="C526" s="663">
        <f>Калькулятор_жилье!K582</f>
        <v>0</v>
      </c>
      <c r="D526" s="664">
        <f t="shared" si="6986"/>
        <v>0</v>
      </c>
      <c r="E526" s="663"/>
      <c r="F526" s="664">
        <f t="shared" si="6986"/>
        <v>0</v>
      </c>
      <c r="G526" s="663"/>
      <c r="H526" s="664">
        <f t="shared" ref="H526" si="7084">IF(G526=0,0,G526/G$4)</f>
        <v>0</v>
      </c>
      <c r="I526" s="663"/>
      <c r="J526" s="664">
        <f t="shared" ref="J526" si="7085">IF(I526=0,0,I526/I$4)</f>
        <v>0</v>
      </c>
      <c r="K526" s="663"/>
      <c r="L526" s="664">
        <f t="shared" ref="L526" si="7086">IF(K526=0,0,K526/K$4)</f>
        <v>0</v>
      </c>
      <c r="M526" s="663"/>
      <c r="N526" s="664">
        <f t="shared" ref="N526" si="7087">IF(M526=0,0,M526/M$4)</f>
        <v>0</v>
      </c>
      <c r="O526" s="663"/>
      <c r="P526" s="664">
        <f t="shared" ref="P526" si="7088">IF(O526=0,0,O526/O$4)</f>
        <v>0</v>
      </c>
      <c r="Q526" s="663"/>
      <c r="R526" s="664">
        <f t="shared" ref="R526" si="7089">IF(Q526=0,0,Q526/Q$4)</f>
        <v>0</v>
      </c>
      <c r="S526" s="663"/>
      <c r="T526" s="664">
        <f t="shared" ref="T526" si="7090">IF(S526=0,0,S526/S$4)</f>
        <v>0</v>
      </c>
      <c r="U526" s="663"/>
      <c r="V526" s="664">
        <f t="shared" ref="V526" si="7091">IF(U526=0,0,U526/U$4)</f>
        <v>0</v>
      </c>
      <c r="W526" s="663"/>
      <c r="X526" s="664">
        <f t="shared" ref="X526" si="7092">IF(W526=0,0,W526/W$4)</f>
        <v>0</v>
      </c>
      <c r="Y526" s="663"/>
      <c r="Z526" s="664">
        <f t="shared" ref="Z526" si="7093">IF(Y526=0,0,Y526/Y$4)</f>
        <v>0</v>
      </c>
      <c r="AA526" s="663"/>
      <c r="AB526" s="664">
        <f t="shared" ref="AB526" si="7094">IF(AA526=0,0,AA526/AA$4)</f>
        <v>0</v>
      </c>
      <c r="AC526" s="663">
        <f>C526+E526+G526+I526+K526+M526+O526+Q526+S526+U526+W526+AA526+Y526</f>
        <v>0</v>
      </c>
      <c r="AD526" s="664">
        <f t="shared" ref="AD526" si="7095">IF(AC526=0,0,AC526/AC$4)</f>
        <v>0</v>
      </c>
      <c r="AE526" s="665"/>
      <c r="AF526" s="556"/>
      <c r="AG526" s="114"/>
      <c r="AH526" s="114"/>
      <c r="AI526" s="114"/>
      <c r="AJ526" s="114"/>
    </row>
    <row r="527" spans="1:36" s="556" customFormat="1" ht="15.75" hidden="1" outlineLevel="3" collapsed="1">
      <c r="A527" s="612" t="s">
        <v>1280</v>
      </c>
      <c r="B527" s="560" t="s">
        <v>1212</v>
      </c>
      <c r="C527" s="661">
        <f>SUM(C528:C529)</f>
        <v>99984404.93061997</v>
      </c>
      <c r="D527" s="662">
        <f t="shared" si="6986"/>
        <v>620.97130268008277</v>
      </c>
      <c r="E527" s="661"/>
      <c r="F527" s="662">
        <f t="shared" si="6986"/>
        <v>0</v>
      </c>
      <c r="G527" s="661"/>
      <c r="H527" s="662">
        <f t="shared" ref="H527" si="7096">IF(G527=0,0,G527/G$4)</f>
        <v>0</v>
      </c>
      <c r="I527" s="661"/>
      <c r="J527" s="662">
        <f t="shared" ref="J527" si="7097">IF(I527=0,0,I527/I$4)</f>
        <v>0</v>
      </c>
      <c r="K527" s="661"/>
      <c r="L527" s="662">
        <f t="shared" ref="L527" si="7098">IF(K527=0,0,K527/K$4)</f>
        <v>0</v>
      </c>
      <c r="M527" s="661"/>
      <c r="N527" s="662">
        <f t="shared" ref="N527" si="7099">IF(M527=0,0,M527/M$4)</f>
        <v>0</v>
      </c>
      <c r="O527" s="661"/>
      <c r="P527" s="662">
        <f t="shared" ref="P527" si="7100">IF(O527=0,0,O527/O$4)</f>
        <v>0</v>
      </c>
      <c r="Q527" s="661"/>
      <c r="R527" s="662">
        <f t="shared" ref="R527" si="7101">IF(Q527=0,0,Q527/Q$4)</f>
        <v>0</v>
      </c>
      <c r="S527" s="661"/>
      <c r="T527" s="662">
        <f t="shared" ref="T527" si="7102">IF(S527=0,0,S527/S$4)</f>
        <v>0</v>
      </c>
      <c r="U527" s="661"/>
      <c r="V527" s="662">
        <f t="shared" ref="V527" si="7103">IF(U527=0,0,U527/U$4)</f>
        <v>0</v>
      </c>
      <c r="W527" s="661"/>
      <c r="X527" s="662">
        <f t="shared" ref="X527" si="7104">IF(W527=0,0,W527/W$4)</f>
        <v>0</v>
      </c>
      <c r="Y527" s="661"/>
      <c r="Z527" s="662">
        <f t="shared" ref="Z527" si="7105">IF(Y527=0,0,Y527/Y$4)</f>
        <v>0</v>
      </c>
      <c r="AA527" s="661"/>
      <c r="AB527" s="662">
        <f t="shared" ref="AB527" si="7106">IF(AA527=0,0,AA527/AA$4)</f>
        <v>0</v>
      </c>
      <c r="AC527" s="661">
        <f>SUM(AC528:AC529)</f>
        <v>99984404.93061997</v>
      </c>
      <c r="AD527" s="662">
        <f t="shared" ref="AD527" si="7107">IF(AC527=0,0,AC527/AC$4)</f>
        <v>620.97130268008277</v>
      </c>
      <c r="AE527" s="654"/>
    </row>
    <row r="528" spans="1:36" s="68" customFormat="1" ht="15.75" hidden="1" outlineLevel="4">
      <c r="A528" s="117"/>
      <c r="B528" s="118" t="str">
        <f>Калькулятор_жилье!C507&amp;" - "&amp;Калькулятор_жилье!E507</f>
        <v>Детская площадка - серийное про-во (Kompan ,Hugs, Lappset)</v>
      </c>
      <c r="C528" s="663">
        <f>Калькулятор_жилье!K507</f>
        <v>0</v>
      </c>
      <c r="D528" s="664">
        <f t="shared" si="6986"/>
        <v>0</v>
      </c>
      <c r="E528" s="663"/>
      <c r="F528" s="664">
        <f t="shared" si="6986"/>
        <v>0</v>
      </c>
      <c r="G528" s="663"/>
      <c r="H528" s="664">
        <f t="shared" ref="H528" si="7108">IF(G528=0,0,G528/G$4)</f>
        <v>0</v>
      </c>
      <c r="I528" s="663"/>
      <c r="J528" s="664">
        <f t="shared" ref="J528" si="7109">IF(I528=0,0,I528/I$4)</f>
        <v>0</v>
      </c>
      <c r="K528" s="663"/>
      <c r="L528" s="664">
        <f t="shared" ref="L528" si="7110">IF(K528=0,0,K528/K$4)</f>
        <v>0</v>
      </c>
      <c r="M528" s="663"/>
      <c r="N528" s="664">
        <f t="shared" ref="N528" si="7111">IF(M528=0,0,M528/M$4)</f>
        <v>0</v>
      </c>
      <c r="O528" s="663"/>
      <c r="P528" s="664">
        <f t="shared" ref="P528" si="7112">IF(O528=0,0,O528/O$4)</f>
        <v>0</v>
      </c>
      <c r="Q528" s="663"/>
      <c r="R528" s="664">
        <f t="shared" ref="R528" si="7113">IF(Q528=0,0,Q528/Q$4)</f>
        <v>0</v>
      </c>
      <c r="S528" s="663"/>
      <c r="T528" s="664">
        <f t="shared" ref="T528" si="7114">IF(S528=0,0,S528/S$4)</f>
        <v>0</v>
      </c>
      <c r="U528" s="663"/>
      <c r="V528" s="664">
        <f t="shared" ref="V528" si="7115">IF(U528=0,0,U528/U$4)</f>
        <v>0</v>
      </c>
      <c r="W528" s="663"/>
      <c r="X528" s="664">
        <f t="shared" ref="X528" si="7116">IF(W528=0,0,W528/W$4)</f>
        <v>0</v>
      </c>
      <c r="Y528" s="663"/>
      <c r="Z528" s="664">
        <f t="shared" ref="Z528" si="7117">IF(Y528=0,0,Y528/Y$4)</f>
        <v>0</v>
      </c>
      <c r="AA528" s="663"/>
      <c r="AB528" s="664">
        <f t="shared" ref="AB528" si="7118">IF(AA528=0,0,AA528/AA$4)</f>
        <v>0</v>
      </c>
      <c r="AC528" s="663">
        <f>C528+E528+G528+I528+K528+M528+O528+Q528+S528+U528+W528+AA528+Y528</f>
        <v>0</v>
      </c>
      <c r="AD528" s="664">
        <f t="shared" ref="AD528" si="7119">IF(AC528=0,0,AC528/AC$4)</f>
        <v>0</v>
      </c>
      <c r="AE528" s="665"/>
      <c r="AF528" s="556"/>
      <c r="AG528" s="114"/>
      <c r="AH528" s="114"/>
      <c r="AI528" s="114"/>
      <c r="AJ528" s="114"/>
    </row>
    <row r="529" spans="1:36" s="68" customFormat="1" ht="15.75" hidden="1" outlineLevel="4">
      <c r="A529" s="117"/>
      <c r="B529" s="118" t="str">
        <f>Калькулятор_жилье!C507&amp;" - "&amp;Калькулятор_жилье!E512&amp;" площадью "&amp;TEXT(Калькулятор_жилье!F512,0)&amp;" кв.м. "</f>
        <v xml:space="preserve">Детская площадка - Индивид. Проект площадью 500 кв.м. </v>
      </c>
      <c r="C529" s="663">
        <f>Калькулятор_жилье!K513</f>
        <v>99984404.93061997</v>
      </c>
      <c r="D529" s="664">
        <f t="shared" si="6986"/>
        <v>620.97130268008277</v>
      </c>
      <c r="E529" s="663"/>
      <c r="F529" s="664">
        <f t="shared" si="6986"/>
        <v>0</v>
      </c>
      <c r="G529" s="663"/>
      <c r="H529" s="664">
        <f t="shared" ref="H529" si="7120">IF(G529=0,0,G529/G$4)</f>
        <v>0</v>
      </c>
      <c r="I529" s="663"/>
      <c r="J529" s="664">
        <f t="shared" ref="J529" si="7121">IF(I529=0,0,I529/I$4)</f>
        <v>0</v>
      </c>
      <c r="K529" s="663"/>
      <c r="L529" s="664">
        <f t="shared" ref="L529" si="7122">IF(K529=0,0,K529/K$4)</f>
        <v>0</v>
      </c>
      <c r="M529" s="663"/>
      <c r="N529" s="664">
        <f t="shared" ref="N529" si="7123">IF(M529=0,0,M529/M$4)</f>
        <v>0</v>
      </c>
      <c r="O529" s="663"/>
      <c r="P529" s="664">
        <f t="shared" ref="P529" si="7124">IF(O529=0,0,O529/O$4)</f>
        <v>0</v>
      </c>
      <c r="Q529" s="663"/>
      <c r="R529" s="664">
        <f t="shared" ref="R529" si="7125">IF(Q529=0,0,Q529/Q$4)</f>
        <v>0</v>
      </c>
      <c r="S529" s="663"/>
      <c r="T529" s="664">
        <f t="shared" ref="T529" si="7126">IF(S529=0,0,S529/S$4)</f>
        <v>0</v>
      </c>
      <c r="U529" s="663"/>
      <c r="V529" s="664">
        <f t="shared" ref="V529" si="7127">IF(U529=0,0,U529/U$4)</f>
        <v>0</v>
      </c>
      <c r="W529" s="663"/>
      <c r="X529" s="664">
        <f t="shared" ref="X529" si="7128">IF(W529=0,0,W529/W$4)</f>
        <v>0</v>
      </c>
      <c r="Y529" s="663"/>
      <c r="Z529" s="664">
        <f t="shared" ref="Z529" si="7129">IF(Y529=0,0,Y529/Y$4)</f>
        <v>0</v>
      </c>
      <c r="AA529" s="663"/>
      <c r="AB529" s="664">
        <f t="shared" ref="AB529" si="7130">IF(AA529=0,0,AA529/AA$4)</f>
        <v>0</v>
      </c>
      <c r="AC529" s="663">
        <f>C529+E529+G529+I529+K529+M529+O529+Q529+S529+U529+W529+AA529+Y529</f>
        <v>99984404.93061997</v>
      </c>
      <c r="AD529" s="664">
        <f t="shared" ref="AD529" si="7131">IF(AC529=0,0,AC529/AC$4)</f>
        <v>620.97130268008277</v>
      </c>
      <c r="AE529" s="665"/>
      <c r="AF529" s="556"/>
      <c r="AG529" s="114"/>
      <c r="AH529" s="114"/>
      <c r="AI529" s="114"/>
      <c r="AJ529" s="114"/>
    </row>
    <row r="530" spans="1:36" s="556" customFormat="1" ht="15.75" hidden="1" outlineLevel="3" collapsed="1">
      <c r="A530" s="612" t="s">
        <v>1279</v>
      </c>
      <c r="B530" s="560" t="s">
        <v>1278</v>
      </c>
      <c r="C530" s="661">
        <f>SUM(C531:C531)</f>
        <v>0</v>
      </c>
      <c r="D530" s="662">
        <f t="shared" si="6986"/>
        <v>0</v>
      </c>
      <c r="E530" s="661"/>
      <c r="F530" s="662">
        <f t="shared" si="6986"/>
        <v>0</v>
      </c>
      <c r="G530" s="661"/>
      <c r="H530" s="662">
        <f t="shared" ref="H530" si="7132">IF(G530=0,0,G530/G$4)</f>
        <v>0</v>
      </c>
      <c r="I530" s="661"/>
      <c r="J530" s="662">
        <f t="shared" ref="J530" si="7133">IF(I530=0,0,I530/I$4)</f>
        <v>0</v>
      </c>
      <c r="K530" s="661"/>
      <c r="L530" s="662">
        <f t="shared" ref="L530" si="7134">IF(K530=0,0,K530/K$4)</f>
        <v>0</v>
      </c>
      <c r="M530" s="661"/>
      <c r="N530" s="662">
        <f t="shared" ref="N530" si="7135">IF(M530=0,0,M530/M$4)</f>
        <v>0</v>
      </c>
      <c r="O530" s="661"/>
      <c r="P530" s="662">
        <f t="shared" ref="P530" si="7136">IF(O530=0,0,O530/O$4)</f>
        <v>0</v>
      </c>
      <c r="Q530" s="661"/>
      <c r="R530" s="662">
        <f t="shared" ref="R530" si="7137">IF(Q530=0,0,Q530/Q$4)</f>
        <v>0</v>
      </c>
      <c r="S530" s="661"/>
      <c r="T530" s="662">
        <f t="shared" ref="T530" si="7138">IF(S530=0,0,S530/S$4)</f>
        <v>0</v>
      </c>
      <c r="U530" s="661"/>
      <c r="V530" s="662">
        <f t="shared" ref="V530" si="7139">IF(U530=0,0,U530/U$4)</f>
        <v>0</v>
      </c>
      <c r="W530" s="661"/>
      <c r="X530" s="662">
        <f t="shared" ref="X530" si="7140">IF(W530=0,0,W530/W$4)</f>
        <v>0</v>
      </c>
      <c r="Y530" s="661"/>
      <c r="Z530" s="662">
        <f t="shared" ref="Z530" si="7141">IF(Y530=0,0,Y530/Y$4)</f>
        <v>0</v>
      </c>
      <c r="AA530" s="661"/>
      <c r="AB530" s="662">
        <f t="shared" ref="AB530" si="7142">IF(AA530=0,0,AA530/AA$4)</f>
        <v>0</v>
      </c>
      <c r="AC530" s="661">
        <f>SUM(AC531:AC531)</f>
        <v>0</v>
      </c>
      <c r="AD530" s="662">
        <f t="shared" ref="AD530" si="7143">IF(AC530=0,0,AC530/AC$4)</f>
        <v>0</v>
      </c>
      <c r="AE530" s="654"/>
    </row>
    <row r="531" spans="1:36" s="68" customFormat="1" ht="15.75" hidden="1" outlineLevel="4">
      <c r="A531" s="117"/>
      <c r="B531" s="118" t="s">
        <v>437</v>
      </c>
      <c r="C531" s="661">
        <f>Калькулятор_жилье!K506</f>
        <v>0</v>
      </c>
      <c r="D531" s="662">
        <f t="shared" si="6986"/>
        <v>0</v>
      </c>
      <c r="E531" s="661"/>
      <c r="F531" s="662">
        <f t="shared" si="6986"/>
        <v>0</v>
      </c>
      <c r="G531" s="661"/>
      <c r="H531" s="662">
        <f t="shared" ref="H531" si="7144">IF(G531=0,0,G531/G$4)</f>
        <v>0</v>
      </c>
      <c r="I531" s="661"/>
      <c r="J531" s="662">
        <f t="shared" ref="J531" si="7145">IF(I531=0,0,I531/I$4)</f>
        <v>0</v>
      </c>
      <c r="K531" s="661"/>
      <c r="L531" s="662">
        <f t="shared" ref="L531" si="7146">IF(K531=0,0,K531/K$4)</f>
        <v>0</v>
      </c>
      <c r="M531" s="661"/>
      <c r="N531" s="662">
        <f t="shared" ref="N531" si="7147">IF(M531=0,0,M531/M$4)</f>
        <v>0</v>
      </c>
      <c r="O531" s="661"/>
      <c r="P531" s="662">
        <f t="shared" ref="P531" si="7148">IF(O531=0,0,O531/O$4)</f>
        <v>0</v>
      </c>
      <c r="Q531" s="661"/>
      <c r="R531" s="662">
        <f t="shared" ref="R531" si="7149">IF(Q531=0,0,Q531/Q$4)</f>
        <v>0</v>
      </c>
      <c r="S531" s="661"/>
      <c r="T531" s="662">
        <f t="shared" ref="T531" si="7150">IF(S531=0,0,S531/S$4)</f>
        <v>0</v>
      </c>
      <c r="U531" s="661"/>
      <c r="V531" s="662">
        <f t="shared" ref="V531" si="7151">IF(U531=0,0,U531/U$4)</f>
        <v>0</v>
      </c>
      <c r="W531" s="661"/>
      <c r="X531" s="662">
        <f t="shared" ref="X531" si="7152">IF(W531=0,0,W531/W$4)</f>
        <v>0</v>
      </c>
      <c r="Y531" s="661"/>
      <c r="Z531" s="662">
        <f t="shared" ref="Z531" si="7153">IF(Y531=0,0,Y531/Y$4)</f>
        <v>0</v>
      </c>
      <c r="AA531" s="661"/>
      <c r="AB531" s="662">
        <f t="shared" ref="AB531" si="7154">IF(AA531=0,0,AA531/AA$4)</f>
        <v>0</v>
      </c>
      <c r="AC531" s="661">
        <f>C531+E531+G531+I531+K531+M531+O531+Q531+S531+U531+W531+AA531+Y531</f>
        <v>0</v>
      </c>
      <c r="AD531" s="662">
        <f t="shared" ref="AD531" si="7155">IF(AC531=0,0,AC531/AC$4)</f>
        <v>0</v>
      </c>
      <c r="AE531" s="665"/>
      <c r="AF531" s="556"/>
      <c r="AG531" s="114"/>
      <c r="AH531" s="114"/>
      <c r="AI531" s="114"/>
      <c r="AJ531" s="114"/>
    </row>
    <row r="532" spans="1:36" s="556" customFormat="1" ht="15.75" hidden="1" outlineLevel="2" collapsed="1">
      <c r="A532" s="609" t="s">
        <v>1277</v>
      </c>
      <c r="B532" s="559" t="s">
        <v>273</v>
      </c>
      <c r="C532" s="659">
        <f>C533+C534</f>
        <v>45956431.430628829</v>
      </c>
      <c r="D532" s="660">
        <f t="shared" si="6986"/>
        <v>285.42076248598954</v>
      </c>
      <c r="E532" s="659"/>
      <c r="F532" s="660">
        <f t="shared" si="6986"/>
        <v>0</v>
      </c>
      <c r="G532" s="659"/>
      <c r="H532" s="660">
        <f t="shared" ref="H532" si="7156">IF(G532=0,0,G532/G$4)</f>
        <v>0</v>
      </c>
      <c r="I532" s="659"/>
      <c r="J532" s="660">
        <f t="shared" ref="J532" si="7157">IF(I532=0,0,I532/I$4)</f>
        <v>0</v>
      </c>
      <c r="K532" s="659"/>
      <c r="L532" s="660">
        <f t="shared" ref="L532" si="7158">IF(K532=0,0,K532/K$4)</f>
        <v>0</v>
      </c>
      <c r="M532" s="659"/>
      <c r="N532" s="660">
        <f t="shared" ref="N532" si="7159">IF(M532=0,0,M532/M$4)</f>
        <v>0</v>
      </c>
      <c r="O532" s="659"/>
      <c r="P532" s="660">
        <f t="shared" ref="P532" si="7160">IF(O532=0,0,O532/O$4)</f>
        <v>0</v>
      </c>
      <c r="Q532" s="659"/>
      <c r="R532" s="660">
        <f t="shared" ref="R532" si="7161">IF(Q532=0,0,Q532/Q$4)</f>
        <v>0</v>
      </c>
      <c r="S532" s="659"/>
      <c r="T532" s="660">
        <f t="shared" ref="T532" si="7162">IF(S532=0,0,S532/S$4)</f>
        <v>0</v>
      </c>
      <c r="U532" s="659"/>
      <c r="V532" s="660">
        <f t="shared" ref="V532" si="7163">IF(U532=0,0,U532/U$4)</f>
        <v>0</v>
      </c>
      <c r="W532" s="659"/>
      <c r="X532" s="660">
        <f t="shared" ref="X532" si="7164">IF(W532=0,0,W532/W$4)</f>
        <v>0</v>
      </c>
      <c r="Y532" s="659"/>
      <c r="Z532" s="660">
        <f t="shared" ref="Z532" si="7165">IF(Y532=0,0,Y532/Y$4)</f>
        <v>0</v>
      </c>
      <c r="AA532" s="659"/>
      <c r="AB532" s="660">
        <f t="shared" ref="AB532" si="7166">IF(AA532=0,0,AA532/AA$4)</f>
        <v>0</v>
      </c>
      <c r="AC532" s="659">
        <f>C532+E532+G532+I532+K532+M532+O532+Q532+S532+U532+W532+AA532+Y532</f>
        <v>45956431.430628829</v>
      </c>
      <c r="AD532" s="660">
        <f t="shared" ref="AD532" si="7167">IF(AC532=0,0,AC532/AC$4)</f>
        <v>285.42076248598954</v>
      </c>
      <c r="AE532" s="654"/>
    </row>
    <row r="533" spans="1:36" s="68" customFormat="1" ht="15.75" hidden="1" outlineLevel="3">
      <c r="A533" s="117"/>
      <c r="B533" s="118" t="s">
        <v>1832</v>
      </c>
      <c r="C533" s="661">
        <f>Калькулятор_жилье!K497</f>
        <v>45956431.430628829</v>
      </c>
      <c r="D533" s="662">
        <f t="shared" si="6986"/>
        <v>285.42076248598954</v>
      </c>
      <c r="E533" s="661"/>
      <c r="F533" s="662">
        <f t="shared" si="6986"/>
        <v>0</v>
      </c>
      <c r="G533" s="661"/>
      <c r="H533" s="662">
        <f t="shared" ref="H533" si="7168">IF(G533=0,0,G533/G$4)</f>
        <v>0</v>
      </c>
      <c r="I533" s="661"/>
      <c r="J533" s="662">
        <f t="shared" ref="J533" si="7169">IF(I533=0,0,I533/I$4)</f>
        <v>0</v>
      </c>
      <c r="K533" s="661"/>
      <c r="L533" s="662">
        <f t="shared" ref="L533" si="7170">IF(K533=0,0,K533/K$4)</f>
        <v>0</v>
      </c>
      <c r="M533" s="661"/>
      <c r="N533" s="662">
        <f t="shared" ref="N533" si="7171">IF(M533=0,0,M533/M$4)</f>
        <v>0</v>
      </c>
      <c r="O533" s="661"/>
      <c r="P533" s="662">
        <f t="shared" ref="P533" si="7172">IF(O533=0,0,O533/O$4)</f>
        <v>0</v>
      </c>
      <c r="Q533" s="661"/>
      <c r="R533" s="662">
        <f t="shared" ref="R533" si="7173">IF(Q533=0,0,Q533/Q$4)</f>
        <v>0</v>
      </c>
      <c r="S533" s="661"/>
      <c r="T533" s="662">
        <f t="shared" ref="T533" si="7174">IF(S533=0,0,S533/S$4)</f>
        <v>0</v>
      </c>
      <c r="U533" s="661"/>
      <c r="V533" s="662">
        <f t="shared" ref="V533" si="7175">IF(U533=0,0,U533/U$4)</f>
        <v>0</v>
      </c>
      <c r="W533" s="661"/>
      <c r="X533" s="662">
        <f t="shared" ref="X533" si="7176">IF(W533=0,0,W533/W$4)</f>
        <v>0</v>
      </c>
      <c r="Y533" s="661"/>
      <c r="Z533" s="662">
        <f t="shared" ref="Z533" si="7177">IF(Y533=0,0,Y533/Y$4)</f>
        <v>0</v>
      </c>
      <c r="AA533" s="661"/>
      <c r="AB533" s="662">
        <f t="shared" ref="AB533" si="7178">IF(AA533=0,0,AA533/AA$4)</f>
        <v>0</v>
      </c>
      <c r="AC533" s="661">
        <f t="shared" ref="AC533" si="7179">C533+E533+G533+I533+K533+M533+O533+Q533+S533+U533+W533+AA533+Y533</f>
        <v>45956431.430628829</v>
      </c>
      <c r="AD533" s="662">
        <f t="shared" ref="AD533" si="7180">IF(AC533=0,0,AC533/AC$4)</f>
        <v>285.42076248598954</v>
      </c>
      <c r="AE533" s="665"/>
      <c r="AF533" s="556"/>
      <c r="AG533" s="114"/>
      <c r="AH533" s="114"/>
      <c r="AI533" s="114"/>
      <c r="AJ533" s="114"/>
    </row>
    <row r="534" spans="1:36" s="68" customFormat="1" ht="15.75" hidden="1" outlineLevel="3">
      <c r="A534" s="117"/>
      <c r="B534" s="118" t="s">
        <v>272</v>
      </c>
      <c r="C534" s="661">
        <f>Калькулятор_жилье!K505</f>
        <v>0</v>
      </c>
      <c r="D534" s="662">
        <f t="shared" si="6986"/>
        <v>0</v>
      </c>
      <c r="E534" s="661"/>
      <c r="F534" s="662">
        <f t="shared" si="6986"/>
        <v>0</v>
      </c>
      <c r="G534" s="661"/>
      <c r="H534" s="662">
        <f t="shared" ref="H534" si="7181">IF(G534=0,0,G534/G$4)</f>
        <v>0</v>
      </c>
      <c r="I534" s="661"/>
      <c r="J534" s="662">
        <f t="shared" ref="J534" si="7182">IF(I534=0,0,I534/I$4)</f>
        <v>0</v>
      </c>
      <c r="K534" s="661"/>
      <c r="L534" s="662">
        <f t="shared" ref="L534" si="7183">IF(K534=0,0,K534/K$4)</f>
        <v>0</v>
      </c>
      <c r="M534" s="661"/>
      <c r="N534" s="662">
        <f t="shared" ref="N534" si="7184">IF(M534=0,0,M534/M$4)</f>
        <v>0</v>
      </c>
      <c r="O534" s="661"/>
      <c r="P534" s="662">
        <f t="shared" ref="P534" si="7185">IF(O534=0,0,O534/O$4)</f>
        <v>0</v>
      </c>
      <c r="Q534" s="661"/>
      <c r="R534" s="662">
        <f t="shared" ref="R534" si="7186">IF(Q534=0,0,Q534/Q$4)</f>
        <v>0</v>
      </c>
      <c r="S534" s="661"/>
      <c r="T534" s="662">
        <f t="shared" ref="T534" si="7187">IF(S534=0,0,S534/S$4)</f>
        <v>0</v>
      </c>
      <c r="U534" s="661"/>
      <c r="V534" s="662">
        <f t="shared" ref="V534" si="7188">IF(U534=0,0,U534/U$4)</f>
        <v>0</v>
      </c>
      <c r="W534" s="661"/>
      <c r="X534" s="662">
        <f t="shared" ref="X534" si="7189">IF(W534=0,0,W534/W$4)</f>
        <v>0</v>
      </c>
      <c r="Y534" s="661"/>
      <c r="Z534" s="662">
        <f t="shared" ref="Z534" si="7190">IF(Y534=0,0,Y534/Y$4)</f>
        <v>0</v>
      </c>
      <c r="AA534" s="661"/>
      <c r="AB534" s="662">
        <f t="shared" ref="AB534" si="7191">IF(AA534=0,0,AA534/AA$4)</f>
        <v>0</v>
      </c>
      <c r="AC534" s="661">
        <f t="shared" ref="AC534" si="7192">C534+E534+G534+I534+K534+M534+O534+Q534+S534+U534+W534+AA534+Y534</f>
        <v>0</v>
      </c>
      <c r="AD534" s="662">
        <f t="shared" ref="AD534" si="7193">IF(AC534=0,0,AC534/AC$4)</f>
        <v>0</v>
      </c>
      <c r="AE534" s="665"/>
      <c r="AF534" s="556"/>
      <c r="AG534" s="114"/>
      <c r="AH534" s="114"/>
      <c r="AI534" s="114"/>
      <c r="AJ534" s="114"/>
    </row>
    <row r="535" spans="1:36" s="556" customFormat="1" ht="15.75" outlineLevel="1" collapsed="1">
      <c r="A535" s="610" t="s">
        <v>1276</v>
      </c>
      <c r="B535" s="558" t="s">
        <v>1216</v>
      </c>
      <c r="C535" s="657">
        <f>SUM(C536:C540)</f>
        <v>34794242.294475406</v>
      </c>
      <c r="D535" s="658">
        <f t="shared" si="6986"/>
        <v>216.09595994854968</v>
      </c>
      <c r="E535" s="657"/>
      <c r="F535" s="658">
        <f t="shared" si="6986"/>
        <v>0</v>
      </c>
      <c r="G535" s="657"/>
      <c r="H535" s="658">
        <f t="shared" ref="H535" si="7194">IF(G535=0,0,G535/G$4)</f>
        <v>0</v>
      </c>
      <c r="I535" s="657"/>
      <c r="J535" s="658">
        <f t="shared" ref="J535" si="7195">IF(I535=0,0,I535/I$4)</f>
        <v>0</v>
      </c>
      <c r="K535" s="657"/>
      <c r="L535" s="658">
        <f t="shared" ref="L535" si="7196">IF(K535=0,0,K535/K$4)</f>
        <v>0</v>
      </c>
      <c r="M535" s="657"/>
      <c r="N535" s="658">
        <f t="shared" ref="N535" si="7197">IF(M535=0,0,M535/M$4)</f>
        <v>0</v>
      </c>
      <c r="O535" s="657"/>
      <c r="P535" s="658">
        <f t="shared" ref="P535" si="7198">IF(O535=0,0,O535/O$4)</f>
        <v>0</v>
      </c>
      <c r="Q535" s="657"/>
      <c r="R535" s="658">
        <f t="shared" ref="R535" si="7199">IF(Q535=0,0,Q535/Q$4)</f>
        <v>0</v>
      </c>
      <c r="S535" s="657"/>
      <c r="T535" s="658">
        <f t="shared" ref="T535" si="7200">IF(S535=0,0,S535/S$4)</f>
        <v>0</v>
      </c>
      <c r="U535" s="657"/>
      <c r="V535" s="658">
        <f t="shared" ref="V535" si="7201">IF(U535=0,0,U535/U$4)</f>
        <v>0</v>
      </c>
      <c r="W535" s="657"/>
      <c r="X535" s="658">
        <f t="shared" ref="X535" si="7202">IF(W535=0,0,W535/W$4)</f>
        <v>0</v>
      </c>
      <c r="Y535" s="657"/>
      <c r="Z535" s="658">
        <f t="shared" ref="Z535" si="7203">IF(Y535=0,0,Y535/Y$4)</f>
        <v>0</v>
      </c>
      <c r="AA535" s="657"/>
      <c r="AB535" s="658">
        <f t="shared" ref="AB535" si="7204">IF(AA535=0,0,AA535/AA$4)</f>
        <v>0</v>
      </c>
      <c r="AC535" s="657">
        <f>SUM(AC536:AC540)</f>
        <v>34794242.294475406</v>
      </c>
      <c r="AD535" s="658">
        <f t="shared" ref="AD535" si="7205">IF(AC535=0,0,AC535/AC$4)</f>
        <v>216.09595994854968</v>
      </c>
      <c r="AE535" s="654"/>
    </row>
    <row r="536" spans="1:36" s="556" customFormat="1" ht="15.75" hidden="1" outlineLevel="3">
      <c r="A536" s="609" t="s">
        <v>1275</v>
      </c>
      <c r="B536" s="559" t="s">
        <v>115</v>
      </c>
      <c r="C536" s="659"/>
      <c r="D536" s="660">
        <f t="shared" si="6986"/>
        <v>0</v>
      </c>
      <c r="E536" s="659"/>
      <c r="F536" s="660">
        <f t="shared" si="6986"/>
        <v>0</v>
      </c>
      <c r="G536" s="659"/>
      <c r="H536" s="660">
        <f t="shared" ref="H536" si="7206">IF(G536=0,0,G536/G$4)</f>
        <v>0</v>
      </c>
      <c r="I536" s="659"/>
      <c r="J536" s="660">
        <f t="shared" ref="J536" si="7207">IF(I536=0,0,I536/I$4)</f>
        <v>0</v>
      </c>
      <c r="K536" s="659"/>
      <c r="L536" s="660">
        <f t="shared" ref="L536" si="7208">IF(K536=0,0,K536/K$4)</f>
        <v>0</v>
      </c>
      <c r="M536" s="659"/>
      <c r="N536" s="660">
        <f t="shared" ref="N536" si="7209">IF(M536=0,0,M536/M$4)</f>
        <v>0</v>
      </c>
      <c r="O536" s="659"/>
      <c r="P536" s="660">
        <f t="shared" ref="P536" si="7210">IF(O536=0,0,O536/O$4)</f>
        <v>0</v>
      </c>
      <c r="Q536" s="659"/>
      <c r="R536" s="660">
        <f t="shared" ref="R536" si="7211">IF(Q536=0,0,Q536/Q$4)</f>
        <v>0</v>
      </c>
      <c r="S536" s="659"/>
      <c r="T536" s="660">
        <f t="shared" ref="T536" si="7212">IF(S536=0,0,S536/S$4)</f>
        <v>0</v>
      </c>
      <c r="U536" s="659"/>
      <c r="V536" s="660">
        <f t="shared" ref="V536" si="7213">IF(U536=0,0,U536/U$4)</f>
        <v>0</v>
      </c>
      <c r="W536" s="659"/>
      <c r="X536" s="660">
        <f t="shared" ref="X536" si="7214">IF(W536=0,0,W536/W$4)</f>
        <v>0</v>
      </c>
      <c r="Y536" s="659"/>
      <c r="Z536" s="660">
        <f t="shared" ref="Z536" si="7215">IF(Y536=0,0,Y536/Y$4)</f>
        <v>0</v>
      </c>
      <c r="AA536" s="659"/>
      <c r="AB536" s="660">
        <f t="shared" ref="AB536" si="7216">IF(AA536=0,0,AA536/AA$4)</f>
        <v>0</v>
      </c>
      <c r="AC536" s="659">
        <f t="shared" ref="AC536:AC538" si="7217">C536+E536+G536+I536+K536+M536+O536+Q536+S536+U536+W536+AA536+Y536</f>
        <v>0</v>
      </c>
      <c r="AD536" s="660">
        <f t="shared" ref="AD536" si="7218">IF(AC536=0,0,AC536/AC$4)</f>
        <v>0</v>
      </c>
      <c r="AE536" s="654"/>
    </row>
    <row r="537" spans="1:36" s="556" customFormat="1" ht="15.75" hidden="1" outlineLevel="3">
      <c r="A537" s="609" t="s">
        <v>1274</v>
      </c>
      <c r="B537" s="559" t="s">
        <v>116</v>
      </c>
      <c r="C537" s="659"/>
      <c r="D537" s="660">
        <f t="shared" si="6986"/>
        <v>0</v>
      </c>
      <c r="E537" s="659"/>
      <c r="F537" s="660">
        <f t="shared" si="6986"/>
        <v>0</v>
      </c>
      <c r="G537" s="659"/>
      <c r="H537" s="660">
        <f t="shared" ref="H537" si="7219">IF(G537=0,0,G537/G$4)</f>
        <v>0</v>
      </c>
      <c r="I537" s="659"/>
      <c r="J537" s="660">
        <f t="shared" ref="J537" si="7220">IF(I537=0,0,I537/I$4)</f>
        <v>0</v>
      </c>
      <c r="K537" s="659"/>
      <c r="L537" s="660">
        <f t="shared" ref="L537" si="7221">IF(K537=0,0,K537/K$4)</f>
        <v>0</v>
      </c>
      <c r="M537" s="659"/>
      <c r="N537" s="660">
        <f t="shared" ref="N537" si="7222">IF(M537=0,0,M537/M$4)</f>
        <v>0</v>
      </c>
      <c r="O537" s="659"/>
      <c r="P537" s="660">
        <f t="shared" ref="P537" si="7223">IF(O537=0,0,O537/O$4)</f>
        <v>0</v>
      </c>
      <c r="Q537" s="659"/>
      <c r="R537" s="660">
        <f t="shared" ref="R537" si="7224">IF(Q537=0,0,Q537/Q$4)</f>
        <v>0</v>
      </c>
      <c r="S537" s="659"/>
      <c r="T537" s="660">
        <f t="shared" ref="T537" si="7225">IF(S537=0,0,S537/S$4)</f>
        <v>0</v>
      </c>
      <c r="U537" s="659"/>
      <c r="V537" s="660">
        <f t="shared" ref="V537" si="7226">IF(U537=0,0,U537/U$4)</f>
        <v>0</v>
      </c>
      <c r="W537" s="659"/>
      <c r="X537" s="660">
        <f t="shared" ref="X537" si="7227">IF(W537=0,0,W537/W$4)</f>
        <v>0</v>
      </c>
      <c r="Y537" s="659"/>
      <c r="Z537" s="660">
        <f t="shared" ref="Z537" si="7228">IF(Y537=0,0,Y537/Y$4)</f>
        <v>0</v>
      </c>
      <c r="AA537" s="659"/>
      <c r="AB537" s="660">
        <f t="shared" ref="AB537" si="7229">IF(AA537=0,0,AA537/AA$4)</f>
        <v>0</v>
      </c>
      <c r="AC537" s="659">
        <f t="shared" si="7217"/>
        <v>0</v>
      </c>
      <c r="AD537" s="660">
        <f t="shared" ref="AD537" si="7230">IF(AC537=0,0,AC537/AC$4)</f>
        <v>0</v>
      </c>
      <c r="AE537" s="654"/>
    </row>
    <row r="538" spans="1:36" s="556" customFormat="1" ht="15.75" hidden="1" outlineLevel="3">
      <c r="A538" s="609" t="s">
        <v>1273</v>
      </c>
      <c r="B538" s="559" t="s">
        <v>117</v>
      </c>
      <c r="C538" s="659">
        <f>Калькулятор_жилье!K504</f>
        <v>0</v>
      </c>
      <c r="D538" s="660">
        <f t="shared" si="6986"/>
        <v>0</v>
      </c>
      <c r="E538" s="659"/>
      <c r="F538" s="660">
        <f t="shared" si="6986"/>
        <v>0</v>
      </c>
      <c r="G538" s="659"/>
      <c r="H538" s="660">
        <f t="shared" ref="H538" si="7231">IF(G538=0,0,G538/G$4)</f>
        <v>0</v>
      </c>
      <c r="I538" s="659"/>
      <c r="J538" s="660">
        <f t="shared" ref="J538" si="7232">IF(I538=0,0,I538/I$4)</f>
        <v>0</v>
      </c>
      <c r="K538" s="659"/>
      <c r="L538" s="660">
        <f t="shared" ref="L538" si="7233">IF(K538=0,0,K538/K$4)</f>
        <v>0</v>
      </c>
      <c r="M538" s="659"/>
      <c r="N538" s="660">
        <f t="shared" ref="N538" si="7234">IF(M538=0,0,M538/M$4)</f>
        <v>0</v>
      </c>
      <c r="O538" s="659"/>
      <c r="P538" s="660">
        <f t="shared" ref="P538" si="7235">IF(O538=0,0,O538/O$4)</f>
        <v>0</v>
      </c>
      <c r="Q538" s="659"/>
      <c r="R538" s="660">
        <f t="shared" ref="R538" si="7236">IF(Q538=0,0,Q538/Q$4)</f>
        <v>0</v>
      </c>
      <c r="S538" s="659"/>
      <c r="T538" s="660">
        <f t="shared" ref="T538" si="7237">IF(S538=0,0,S538/S$4)</f>
        <v>0</v>
      </c>
      <c r="U538" s="659"/>
      <c r="V538" s="660">
        <f t="shared" ref="V538" si="7238">IF(U538=0,0,U538/U$4)</f>
        <v>0</v>
      </c>
      <c r="W538" s="659"/>
      <c r="X538" s="660">
        <f t="shared" ref="X538" si="7239">IF(W538=0,0,W538/W$4)</f>
        <v>0</v>
      </c>
      <c r="Y538" s="659"/>
      <c r="Z538" s="660">
        <f t="shared" ref="Z538" si="7240">IF(Y538=0,0,Y538/Y$4)</f>
        <v>0</v>
      </c>
      <c r="AA538" s="659"/>
      <c r="AB538" s="660">
        <f t="shared" ref="AB538" si="7241">IF(AA538=0,0,AA538/AA$4)</f>
        <v>0</v>
      </c>
      <c r="AC538" s="659">
        <f t="shared" si="7217"/>
        <v>0</v>
      </c>
      <c r="AD538" s="660">
        <f t="shared" ref="AD538" si="7242">IF(AC538=0,0,AC538/AC$4)</f>
        <v>0</v>
      </c>
      <c r="AE538" s="654"/>
    </row>
    <row r="539" spans="1:36" s="556" customFormat="1" ht="15.75" hidden="1" outlineLevel="3">
      <c r="A539" s="609" t="s">
        <v>1272</v>
      </c>
      <c r="B539" s="559" t="s">
        <v>1219</v>
      </c>
      <c r="C539" s="659"/>
      <c r="D539" s="660">
        <f t="shared" si="6986"/>
        <v>0</v>
      </c>
      <c r="E539" s="659"/>
      <c r="F539" s="660">
        <f t="shared" si="6986"/>
        <v>0</v>
      </c>
      <c r="G539" s="659"/>
      <c r="H539" s="660">
        <f t="shared" ref="H539" si="7243">IF(G539=0,0,G539/G$4)</f>
        <v>0</v>
      </c>
      <c r="I539" s="659"/>
      <c r="J539" s="660">
        <f t="shared" ref="J539" si="7244">IF(I539=0,0,I539/I$4)</f>
        <v>0</v>
      </c>
      <c r="K539" s="659"/>
      <c r="L539" s="660">
        <f t="shared" ref="L539" si="7245">IF(K539=0,0,K539/K$4)</f>
        <v>0</v>
      </c>
      <c r="M539" s="659"/>
      <c r="N539" s="660">
        <f t="shared" ref="N539" si="7246">IF(M539=0,0,M539/M$4)</f>
        <v>0</v>
      </c>
      <c r="O539" s="659"/>
      <c r="P539" s="660">
        <f t="shared" ref="P539" si="7247">IF(O539=0,0,O539/O$4)</f>
        <v>0</v>
      </c>
      <c r="Q539" s="659"/>
      <c r="R539" s="660">
        <f t="shared" ref="R539" si="7248">IF(Q539=0,0,Q539/Q$4)</f>
        <v>0</v>
      </c>
      <c r="S539" s="659"/>
      <c r="T539" s="660">
        <f t="shared" ref="T539" si="7249">IF(S539=0,0,S539/S$4)</f>
        <v>0</v>
      </c>
      <c r="U539" s="659"/>
      <c r="V539" s="660">
        <f t="shared" ref="V539" si="7250">IF(U539=0,0,U539/U$4)</f>
        <v>0</v>
      </c>
      <c r="W539" s="659"/>
      <c r="X539" s="660">
        <f t="shared" ref="X539" si="7251">IF(W539=0,0,W539/W$4)</f>
        <v>0</v>
      </c>
      <c r="Y539" s="659"/>
      <c r="Z539" s="660">
        <f t="shared" ref="Z539" si="7252">IF(Y539=0,0,Y539/Y$4)</f>
        <v>0</v>
      </c>
      <c r="AA539" s="659"/>
      <c r="AB539" s="660">
        <f t="shared" ref="AB539" si="7253">IF(AA539=0,0,AA539/AA$4)</f>
        <v>0</v>
      </c>
      <c r="AC539" s="659"/>
      <c r="AD539" s="660">
        <f t="shared" ref="AD539" si="7254">IF(AC539=0,0,AC539/AC$4)</f>
        <v>0</v>
      </c>
      <c r="AE539" s="654"/>
    </row>
    <row r="540" spans="1:36" s="556" customFormat="1" ht="15.75" hidden="1" outlineLevel="3">
      <c r="A540" s="609" t="s">
        <v>1271</v>
      </c>
      <c r="B540" s="559" t="s">
        <v>1220</v>
      </c>
      <c r="C540" s="659">
        <f>C541</f>
        <v>34794242.294475406</v>
      </c>
      <c r="D540" s="660">
        <f t="shared" si="6986"/>
        <v>216.09595994854968</v>
      </c>
      <c r="E540" s="659"/>
      <c r="F540" s="660">
        <f t="shared" si="6986"/>
        <v>0</v>
      </c>
      <c r="G540" s="659"/>
      <c r="H540" s="660">
        <f t="shared" ref="H540" si="7255">IF(G540=0,0,G540/G$4)</f>
        <v>0</v>
      </c>
      <c r="I540" s="659"/>
      <c r="J540" s="660">
        <f t="shared" ref="J540" si="7256">IF(I540=0,0,I540/I$4)</f>
        <v>0</v>
      </c>
      <c r="K540" s="659"/>
      <c r="L540" s="660">
        <f t="shared" ref="L540" si="7257">IF(K540=0,0,K540/K$4)</f>
        <v>0</v>
      </c>
      <c r="M540" s="659"/>
      <c r="N540" s="660">
        <f t="shared" ref="N540" si="7258">IF(M540=0,0,M540/M$4)</f>
        <v>0</v>
      </c>
      <c r="O540" s="659"/>
      <c r="P540" s="660">
        <f t="shared" ref="P540" si="7259">IF(O540=0,0,O540/O$4)</f>
        <v>0</v>
      </c>
      <c r="Q540" s="659"/>
      <c r="R540" s="660">
        <f t="shared" ref="R540" si="7260">IF(Q540=0,0,Q540/Q$4)</f>
        <v>0</v>
      </c>
      <c r="S540" s="659"/>
      <c r="T540" s="660">
        <f t="shared" ref="T540" si="7261">IF(S540=0,0,S540/S$4)</f>
        <v>0</v>
      </c>
      <c r="U540" s="659"/>
      <c r="V540" s="660">
        <f t="shared" ref="V540" si="7262">IF(U540=0,0,U540/U$4)</f>
        <v>0</v>
      </c>
      <c r="W540" s="659"/>
      <c r="X540" s="660">
        <f t="shared" ref="X540" si="7263">IF(W540=0,0,W540/W$4)</f>
        <v>0</v>
      </c>
      <c r="Y540" s="659"/>
      <c r="Z540" s="660">
        <f t="shared" ref="Z540" si="7264">IF(Y540=0,0,Y540/Y$4)</f>
        <v>0</v>
      </c>
      <c r="AA540" s="659"/>
      <c r="AB540" s="660">
        <f t="shared" ref="AB540" si="7265">IF(AA540=0,0,AA540/AA$4)</f>
        <v>0</v>
      </c>
      <c r="AC540" s="659">
        <f>AC541</f>
        <v>34794242.294475406</v>
      </c>
      <c r="AD540" s="660">
        <f t="shared" ref="AD540" si="7266">IF(AC540=0,0,AC540/AC$4)</f>
        <v>216.09595994854968</v>
      </c>
      <c r="AE540" s="654"/>
    </row>
    <row r="541" spans="1:36" s="68" customFormat="1" ht="15.75" hidden="1" outlineLevel="4" collapsed="1">
      <c r="A541" s="117"/>
      <c r="B541" s="118" t="str">
        <f>"Офис продаж - "&amp;IF(Калькулятор_жилье!I525=1,Калькулятор_жилье!D525,IF(Калькулятор_жилье!I526=1,Калькулятор_жилье!D526,IF(Калькулятор_жилье!#REF!=1,Калькулятор_жилье!#REF!,"")))</f>
        <v>Офис продаж - Отдельно стоящий</v>
      </c>
      <c r="C541" s="661">
        <f>Калькулятор_жилье!K525</f>
        <v>34794242.294475406</v>
      </c>
      <c r="D541" s="662">
        <f t="shared" si="6986"/>
        <v>216.09595994854968</v>
      </c>
      <c r="E541" s="661"/>
      <c r="F541" s="662">
        <f t="shared" si="6986"/>
        <v>0</v>
      </c>
      <c r="G541" s="661"/>
      <c r="H541" s="662">
        <f t="shared" ref="H541" si="7267">IF(G541=0,0,G541/G$4)</f>
        <v>0</v>
      </c>
      <c r="I541" s="661"/>
      <c r="J541" s="662">
        <f t="shared" ref="J541" si="7268">IF(I541=0,0,I541/I$4)</f>
        <v>0</v>
      </c>
      <c r="K541" s="661"/>
      <c r="L541" s="662">
        <f t="shared" ref="L541" si="7269">IF(K541=0,0,K541/K$4)</f>
        <v>0</v>
      </c>
      <c r="M541" s="661"/>
      <c r="N541" s="662">
        <f t="shared" ref="N541" si="7270">IF(M541=0,0,M541/M$4)</f>
        <v>0</v>
      </c>
      <c r="O541" s="661"/>
      <c r="P541" s="662">
        <f t="shared" ref="P541" si="7271">IF(O541=0,0,O541/O$4)</f>
        <v>0</v>
      </c>
      <c r="Q541" s="661"/>
      <c r="R541" s="662">
        <f t="shared" ref="R541" si="7272">IF(Q541=0,0,Q541/Q$4)</f>
        <v>0</v>
      </c>
      <c r="S541" s="661"/>
      <c r="T541" s="662">
        <f t="shared" ref="T541" si="7273">IF(S541=0,0,S541/S$4)</f>
        <v>0</v>
      </c>
      <c r="U541" s="661"/>
      <c r="V541" s="662">
        <f t="shared" ref="V541" si="7274">IF(U541=0,0,U541/U$4)</f>
        <v>0</v>
      </c>
      <c r="W541" s="661"/>
      <c r="X541" s="662">
        <f t="shared" ref="X541" si="7275">IF(W541=0,0,W541/W$4)</f>
        <v>0</v>
      </c>
      <c r="Y541" s="661"/>
      <c r="Z541" s="662">
        <f t="shared" ref="Z541" si="7276">IF(Y541=0,0,Y541/Y$4)</f>
        <v>0</v>
      </c>
      <c r="AA541" s="661"/>
      <c r="AB541" s="662">
        <f t="shared" ref="AB541" si="7277">IF(AA541=0,0,AA541/AA$4)</f>
        <v>0</v>
      </c>
      <c r="AC541" s="661">
        <f>C541+E541+G541+I541+K541+M541+O541+Q541+S541+U541+W541+AA541+Y541</f>
        <v>34794242.294475406</v>
      </c>
      <c r="AD541" s="662">
        <f t="shared" ref="AD541" si="7278">IF(AC541=0,0,AC541/AC$4)</f>
        <v>216.09595994854968</v>
      </c>
      <c r="AE541" s="665"/>
      <c r="AF541" s="556"/>
      <c r="AG541" s="114"/>
      <c r="AH541" s="114"/>
      <c r="AI541" s="114"/>
      <c r="AJ541" s="114"/>
    </row>
    <row r="542" spans="1:36" s="68" customFormat="1" ht="15.75" hidden="1" outlineLevel="5">
      <c r="A542" s="245"/>
      <c r="B542" s="246" t="s">
        <v>419</v>
      </c>
      <c r="C542" s="663">
        <f>SUMPRODUCT(Калькулятор_жилье!F525:F526,Калькулятор_жилье!I525:I526)*Калькулятор_жилье!F50</f>
        <v>34794242.294475406</v>
      </c>
      <c r="D542" s="663">
        <f t="shared" si="6986"/>
        <v>216.09595994854968</v>
      </c>
      <c r="E542" s="663"/>
      <c r="F542" s="663">
        <f t="shared" si="6986"/>
        <v>0</v>
      </c>
      <c r="G542" s="663"/>
      <c r="H542" s="663">
        <f t="shared" ref="H542" si="7279">IF(G542=0,0,G542/G$4)</f>
        <v>0</v>
      </c>
      <c r="I542" s="663"/>
      <c r="J542" s="663">
        <f t="shared" ref="J542" si="7280">IF(I542=0,0,I542/I$4)</f>
        <v>0</v>
      </c>
      <c r="K542" s="663"/>
      <c r="L542" s="663">
        <f t="shared" ref="L542" si="7281">IF(K542=0,0,K542/K$4)</f>
        <v>0</v>
      </c>
      <c r="M542" s="663"/>
      <c r="N542" s="663">
        <f t="shared" ref="N542" si="7282">IF(M542=0,0,M542/M$4)</f>
        <v>0</v>
      </c>
      <c r="O542" s="663"/>
      <c r="P542" s="663">
        <f t="shared" ref="P542" si="7283">IF(O542=0,0,O542/O$4)</f>
        <v>0</v>
      </c>
      <c r="Q542" s="663"/>
      <c r="R542" s="663">
        <f t="shared" ref="R542" si="7284">IF(Q542=0,0,Q542/Q$4)</f>
        <v>0</v>
      </c>
      <c r="S542" s="663"/>
      <c r="T542" s="663">
        <f t="shared" ref="T542" si="7285">IF(S542=0,0,S542/S$4)</f>
        <v>0</v>
      </c>
      <c r="U542" s="663"/>
      <c r="V542" s="663">
        <f t="shared" ref="V542" si="7286">IF(U542=0,0,U542/U$4)</f>
        <v>0</v>
      </c>
      <c r="W542" s="663"/>
      <c r="X542" s="663">
        <f t="shared" ref="X542" si="7287">IF(W542=0,0,W542/W$4)</f>
        <v>0</v>
      </c>
      <c r="Y542" s="663"/>
      <c r="Z542" s="663">
        <f t="shared" ref="Z542" si="7288">IF(Y542=0,0,Y542/Y$4)</f>
        <v>0</v>
      </c>
      <c r="AA542" s="663"/>
      <c r="AB542" s="663">
        <f t="shared" ref="AB542" si="7289">IF(AA542=0,0,AA542/AA$4)</f>
        <v>0</v>
      </c>
      <c r="AC542" s="663">
        <f>C542+E542+G542+I542+K542+M542+O542+Q542+S542+U542+W542+AA542+Y542</f>
        <v>34794242.294475406</v>
      </c>
      <c r="AD542" s="663">
        <f t="shared" ref="AD542" si="7290">IF(AC542=0,0,AC542/AC$4)</f>
        <v>216.09595994854968</v>
      </c>
      <c r="AE542" s="665"/>
      <c r="AF542" s="556"/>
      <c r="AG542" s="114"/>
      <c r="AH542" s="114"/>
      <c r="AI542" s="114"/>
      <c r="AJ542" s="114"/>
    </row>
    <row r="543" spans="1:36" s="68" customFormat="1" ht="15.75" hidden="1" outlineLevel="5">
      <c r="A543" s="245"/>
      <c r="B543" s="246" t="s">
        <v>420</v>
      </c>
      <c r="C543" s="663">
        <f>SUMPRODUCT(Калькулятор_жилье!G525:G526,Калькулятор_жилье!I525:I526)*Калькулятор_жилье!F50</f>
        <v>0</v>
      </c>
      <c r="D543" s="663">
        <f t="shared" si="6986"/>
        <v>0</v>
      </c>
      <c r="E543" s="663"/>
      <c r="F543" s="663">
        <f t="shared" si="6986"/>
        <v>0</v>
      </c>
      <c r="G543" s="663"/>
      <c r="H543" s="663">
        <f t="shared" ref="H543" si="7291">IF(G543=0,0,G543/G$4)</f>
        <v>0</v>
      </c>
      <c r="I543" s="663"/>
      <c r="J543" s="663">
        <f t="shared" ref="J543" si="7292">IF(I543=0,0,I543/I$4)</f>
        <v>0</v>
      </c>
      <c r="K543" s="663"/>
      <c r="L543" s="663">
        <f t="shared" ref="L543" si="7293">IF(K543=0,0,K543/K$4)</f>
        <v>0</v>
      </c>
      <c r="M543" s="663"/>
      <c r="N543" s="663">
        <f t="shared" ref="N543" si="7294">IF(M543=0,0,M543/M$4)</f>
        <v>0</v>
      </c>
      <c r="O543" s="663"/>
      <c r="P543" s="663">
        <f t="shared" ref="P543" si="7295">IF(O543=0,0,O543/O$4)</f>
        <v>0</v>
      </c>
      <c r="Q543" s="663"/>
      <c r="R543" s="663">
        <f t="shared" ref="R543" si="7296">IF(Q543=0,0,Q543/Q$4)</f>
        <v>0</v>
      </c>
      <c r="S543" s="663"/>
      <c r="T543" s="663">
        <f t="shared" ref="T543" si="7297">IF(S543=0,0,S543/S$4)</f>
        <v>0</v>
      </c>
      <c r="U543" s="663"/>
      <c r="V543" s="663">
        <f t="shared" ref="V543" si="7298">IF(U543=0,0,U543/U$4)</f>
        <v>0</v>
      </c>
      <c r="W543" s="663"/>
      <c r="X543" s="663">
        <f t="shared" ref="X543" si="7299">IF(W543=0,0,W543/W$4)</f>
        <v>0</v>
      </c>
      <c r="Y543" s="663"/>
      <c r="Z543" s="663">
        <f t="shared" ref="Z543" si="7300">IF(Y543=0,0,Y543/Y$4)</f>
        <v>0</v>
      </c>
      <c r="AA543" s="663"/>
      <c r="AB543" s="663">
        <f t="shared" ref="AB543" si="7301">IF(AA543=0,0,AA543/AA$4)</f>
        <v>0</v>
      </c>
      <c r="AC543" s="663">
        <f>C543+E543+G543+I543+K543+M543+O543+Q543+S543+U543+W543+AA543+Y543</f>
        <v>0</v>
      </c>
      <c r="AD543" s="663">
        <f t="shared" ref="AD543" si="7302">IF(AC543=0,0,AC543/AC$4)</f>
        <v>0</v>
      </c>
      <c r="AE543" s="665"/>
      <c r="AF543" s="556"/>
      <c r="AG543" s="114"/>
      <c r="AH543" s="114"/>
      <c r="AI543" s="114"/>
      <c r="AJ543" s="114"/>
    </row>
    <row r="544" spans="1:36" s="556" customFormat="1" ht="15.75" outlineLevel="1" collapsed="1">
      <c r="A544" s="610" t="s">
        <v>1270</v>
      </c>
      <c r="B544" s="558" t="s">
        <v>269</v>
      </c>
      <c r="C544" s="657">
        <f>C545+C546+C553+C560+C566</f>
        <v>454579258.67698264</v>
      </c>
      <c r="D544" s="658">
        <f t="shared" si="6986"/>
        <v>2823.2470316532781</v>
      </c>
      <c r="E544" s="657">
        <f>E545+E546+E553+E560+E566</f>
        <v>0</v>
      </c>
      <c r="F544" s="658">
        <f t="shared" si="6986"/>
        <v>0</v>
      </c>
      <c r="G544" s="657">
        <f>G545+G546+G553+G560+G566</f>
        <v>0</v>
      </c>
      <c r="H544" s="658">
        <f t="shared" ref="H544" si="7303">IF(G544=0,0,G544/G$4)</f>
        <v>0</v>
      </c>
      <c r="I544" s="657">
        <f>I545+I546+I553+I560+I566</f>
        <v>0</v>
      </c>
      <c r="J544" s="658">
        <f t="shared" ref="J544" si="7304">IF(I544=0,0,I544/I$4)</f>
        <v>0</v>
      </c>
      <c r="K544" s="657">
        <f>K545+K546+K553+K560+K566</f>
        <v>0</v>
      </c>
      <c r="L544" s="658">
        <f t="shared" ref="L544" si="7305">IF(K544=0,0,K544/K$4)</f>
        <v>0</v>
      </c>
      <c r="M544" s="657">
        <f>M545+M546+M553+M560+M566</f>
        <v>0</v>
      </c>
      <c r="N544" s="658">
        <f t="shared" ref="N544" si="7306">IF(M544=0,0,M544/M$4)</f>
        <v>0</v>
      </c>
      <c r="O544" s="657">
        <f>O545+O546+O553+O560+O566</f>
        <v>0</v>
      </c>
      <c r="P544" s="658">
        <f t="shared" ref="P544" si="7307">IF(O544=0,0,O544/O$4)</f>
        <v>0</v>
      </c>
      <c r="Q544" s="657">
        <f>Q545+Q546+Q553+Q560+Q566</f>
        <v>0</v>
      </c>
      <c r="R544" s="658">
        <f t="shared" ref="R544" si="7308">IF(Q544=0,0,Q544/Q$4)</f>
        <v>0</v>
      </c>
      <c r="S544" s="657">
        <f>S545+S546+S553+S560+S566</f>
        <v>0</v>
      </c>
      <c r="T544" s="658">
        <f t="shared" ref="T544" si="7309">IF(S544=0,0,S544/S$4)</f>
        <v>0</v>
      </c>
      <c r="U544" s="657">
        <f>U545+U546+U553+U560+U566</f>
        <v>0</v>
      </c>
      <c r="V544" s="658">
        <f t="shared" ref="V544" si="7310">IF(U544=0,0,U544/U$4)</f>
        <v>0</v>
      </c>
      <c r="W544" s="657">
        <f>W545+W546+W553+W560+W566</f>
        <v>0</v>
      </c>
      <c r="X544" s="658">
        <f t="shared" ref="X544" si="7311">IF(W544=0,0,W544/W$4)</f>
        <v>0</v>
      </c>
      <c r="Y544" s="657">
        <f>Y545+Y546+Y553+Y560+Y566</f>
        <v>0</v>
      </c>
      <c r="Z544" s="658">
        <f t="shared" ref="Z544" si="7312">IF(Y544=0,0,Y544/Y$4)</f>
        <v>0</v>
      </c>
      <c r="AA544" s="657">
        <f>AA545+AA546+AA553+AA560+AA566</f>
        <v>0</v>
      </c>
      <c r="AB544" s="658">
        <f t="shared" ref="AB544" si="7313">IF(AA544=0,0,AA544/AA$4)</f>
        <v>0</v>
      </c>
      <c r="AC544" s="657">
        <f>AC545+AC546+AC553+AC560+AC566</f>
        <v>454579258.67698264</v>
      </c>
      <c r="AD544" s="658">
        <f t="shared" ref="AD544" si="7314">IF(AC544=0,0,AC544/AC$4)</f>
        <v>2823.2470316532781</v>
      </c>
      <c r="AE544" s="654"/>
    </row>
    <row r="545" spans="1:36" s="556" customFormat="1" ht="15.75" hidden="1" outlineLevel="2">
      <c r="A545" s="609" t="s">
        <v>1269</v>
      </c>
      <c r="B545" s="559" t="s">
        <v>268</v>
      </c>
      <c r="C545" s="659"/>
      <c r="D545" s="660">
        <f t="shared" si="6986"/>
        <v>0</v>
      </c>
      <c r="E545" s="659"/>
      <c r="F545" s="660">
        <f t="shared" si="6986"/>
        <v>0</v>
      </c>
      <c r="G545" s="659"/>
      <c r="H545" s="660">
        <f t="shared" ref="H545" si="7315">IF(G545=0,0,G545/G$4)</f>
        <v>0</v>
      </c>
      <c r="I545" s="659"/>
      <c r="J545" s="660">
        <f t="shared" ref="J545" si="7316">IF(I545=0,0,I545/I$4)</f>
        <v>0</v>
      </c>
      <c r="K545" s="659"/>
      <c r="L545" s="660">
        <f t="shared" ref="L545" si="7317">IF(K545=0,0,K545/K$4)</f>
        <v>0</v>
      </c>
      <c r="M545" s="659"/>
      <c r="N545" s="660">
        <f t="shared" ref="N545" si="7318">IF(M545=0,0,M545/M$4)</f>
        <v>0</v>
      </c>
      <c r="O545" s="659"/>
      <c r="P545" s="660">
        <f t="shared" ref="P545" si="7319">IF(O545=0,0,O545/O$4)</f>
        <v>0</v>
      </c>
      <c r="Q545" s="659"/>
      <c r="R545" s="660">
        <f t="shared" ref="R545" si="7320">IF(Q545=0,0,Q545/Q$4)</f>
        <v>0</v>
      </c>
      <c r="S545" s="659"/>
      <c r="T545" s="660">
        <f t="shared" ref="T545" si="7321">IF(S545=0,0,S545/S$4)</f>
        <v>0</v>
      </c>
      <c r="U545" s="659"/>
      <c r="V545" s="660">
        <f t="shared" ref="V545" si="7322">IF(U545=0,0,U545/U$4)</f>
        <v>0</v>
      </c>
      <c r="W545" s="659"/>
      <c r="X545" s="660">
        <f t="shared" ref="X545" si="7323">IF(W545=0,0,W545/W$4)</f>
        <v>0</v>
      </c>
      <c r="Y545" s="659"/>
      <c r="Z545" s="660">
        <f t="shared" ref="Z545" si="7324">IF(Y545=0,0,Y545/Y$4)</f>
        <v>0</v>
      </c>
      <c r="AA545" s="659"/>
      <c r="AB545" s="660">
        <f t="shared" ref="AB545" si="7325">IF(AA545=0,0,AA545/AA$4)</f>
        <v>0</v>
      </c>
      <c r="AC545" s="659">
        <f t="shared" ref="AC545:AC546" si="7326">C545+E545+G545+I545+K545+M545+O545+Q545+S545+U545+W545+AA545+Y545</f>
        <v>0</v>
      </c>
      <c r="AD545" s="660">
        <f t="shared" ref="AD545" si="7327">IF(AC545=0,0,AC545/AC$4)</f>
        <v>0</v>
      </c>
      <c r="AE545" s="654"/>
    </row>
    <row r="546" spans="1:36" s="556" customFormat="1" ht="15.75" hidden="1" outlineLevel="2" collapsed="1">
      <c r="A546" s="609" t="s">
        <v>1268</v>
      </c>
      <c r="B546" s="559" t="s">
        <v>267</v>
      </c>
      <c r="C546" s="659">
        <f>SUM(C547:C552)</f>
        <v>137827393.72317216</v>
      </c>
      <c r="D546" s="660">
        <f t="shared" si="6986"/>
        <v>856.00205636737371</v>
      </c>
      <c r="E546" s="659"/>
      <c r="F546" s="660">
        <f t="shared" si="6986"/>
        <v>0</v>
      </c>
      <c r="G546" s="659"/>
      <c r="H546" s="660">
        <f t="shared" ref="H546" si="7328">IF(G546=0,0,G546/G$4)</f>
        <v>0</v>
      </c>
      <c r="I546" s="659"/>
      <c r="J546" s="660">
        <f t="shared" ref="J546" si="7329">IF(I546=0,0,I546/I$4)</f>
        <v>0</v>
      </c>
      <c r="K546" s="659"/>
      <c r="L546" s="660">
        <f t="shared" ref="L546" si="7330">IF(K546=0,0,K546/K$4)</f>
        <v>0</v>
      </c>
      <c r="M546" s="659"/>
      <c r="N546" s="660">
        <f t="shared" ref="N546" si="7331">IF(M546=0,0,M546/M$4)</f>
        <v>0</v>
      </c>
      <c r="O546" s="659"/>
      <c r="P546" s="660">
        <f t="shared" ref="P546" si="7332">IF(O546=0,0,O546/O$4)</f>
        <v>0</v>
      </c>
      <c r="Q546" s="659"/>
      <c r="R546" s="660">
        <f t="shared" ref="R546" si="7333">IF(Q546=0,0,Q546/Q$4)</f>
        <v>0</v>
      </c>
      <c r="S546" s="659"/>
      <c r="T546" s="660">
        <f t="shared" ref="T546" si="7334">IF(S546=0,0,S546/S$4)</f>
        <v>0</v>
      </c>
      <c r="U546" s="659"/>
      <c r="V546" s="660">
        <f t="shared" ref="V546" si="7335">IF(U546=0,0,U546/U$4)</f>
        <v>0</v>
      </c>
      <c r="W546" s="659"/>
      <c r="X546" s="660">
        <f t="shared" ref="X546" si="7336">IF(W546=0,0,W546/W$4)</f>
        <v>0</v>
      </c>
      <c r="Y546" s="659"/>
      <c r="Z546" s="660">
        <f t="shared" ref="Z546" si="7337">IF(Y546=0,0,Y546/Y$4)</f>
        <v>0</v>
      </c>
      <c r="AA546" s="659"/>
      <c r="AB546" s="660">
        <f t="shared" ref="AB546" si="7338">IF(AA546=0,0,AA546/AA$4)</f>
        <v>0</v>
      </c>
      <c r="AC546" s="659">
        <f t="shared" si="7326"/>
        <v>137827393.72317216</v>
      </c>
      <c r="AD546" s="660">
        <f t="shared" ref="AD546" si="7339">IF(AC546=0,0,AC546/AC$4)</f>
        <v>856.00205636737371</v>
      </c>
      <c r="AE546" s="654"/>
    </row>
    <row r="547" spans="1:36" s="68" customFormat="1" hidden="1" outlineLevel="3">
      <c r="A547" s="117"/>
      <c r="B547" s="118" t="s">
        <v>282</v>
      </c>
      <c r="C547" s="661">
        <f>Калькулятор_жилье!K598</f>
        <v>7392074.8567680009</v>
      </c>
      <c r="D547" s="662">
        <f t="shared" si="6986"/>
        <v>45.909823201939709</v>
      </c>
      <c r="E547" s="661"/>
      <c r="F547" s="662">
        <f t="shared" si="6986"/>
        <v>0</v>
      </c>
      <c r="G547" s="661"/>
      <c r="H547" s="662">
        <f t="shared" ref="H547" si="7340">IF(G547=0,0,G547/G$4)</f>
        <v>0</v>
      </c>
      <c r="I547" s="661"/>
      <c r="J547" s="662">
        <f t="shared" ref="J547" si="7341">IF(I547=0,0,I547/I$4)</f>
        <v>0</v>
      </c>
      <c r="K547" s="661"/>
      <c r="L547" s="662">
        <f t="shared" ref="L547" si="7342">IF(K547=0,0,K547/K$4)</f>
        <v>0</v>
      </c>
      <c r="M547" s="661"/>
      <c r="N547" s="662">
        <f t="shared" ref="N547" si="7343">IF(M547=0,0,M547/M$4)</f>
        <v>0</v>
      </c>
      <c r="O547" s="661"/>
      <c r="P547" s="662">
        <f t="shared" ref="P547" si="7344">IF(O547=0,0,O547/O$4)</f>
        <v>0</v>
      </c>
      <c r="Q547" s="661"/>
      <c r="R547" s="662">
        <f t="shared" ref="R547" si="7345">IF(Q547=0,0,Q547/Q$4)</f>
        <v>0</v>
      </c>
      <c r="S547" s="661"/>
      <c r="T547" s="662">
        <f t="shared" ref="T547" si="7346">IF(S547=0,0,S547/S$4)</f>
        <v>0</v>
      </c>
      <c r="U547" s="661"/>
      <c r="V547" s="662">
        <f t="shared" ref="V547" si="7347">IF(U547=0,0,U547/U$4)</f>
        <v>0</v>
      </c>
      <c r="W547" s="661"/>
      <c r="X547" s="662">
        <f t="shared" ref="X547" si="7348">IF(W547=0,0,W547/W$4)</f>
        <v>0</v>
      </c>
      <c r="Y547" s="661"/>
      <c r="Z547" s="662">
        <f t="shared" ref="Z547" si="7349">IF(Y547=0,0,Y547/Y$4)</f>
        <v>0</v>
      </c>
      <c r="AA547" s="661"/>
      <c r="AB547" s="662">
        <f t="shared" ref="AB547" si="7350">IF(AA547=0,0,AA547/AA$4)</f>
        <v>0</v>
      </c>
      <c r="AC547" s="661">
        <f t="shared" ref="AC547:AC566" si="7351">C547+E547+G547+I547+K547+M547+O547+Q547+S547+U547+W547+AA547+Y547</f>
        <v>7392074.8567680009</v>
      </c>
      <c r="AD547" s="662">
        <f t="shared" ref="AD547" si="7352">IF(AC547=0,0,AC547/AC$4)</f>
        <v>45.909823201939709</v>
      </c>
      <c r="AE547" s="665"/>
      <c r="AF547" s="114"/>
      <c r="AG547" s="114"/>
      <c r="AH547" s="114"/>
      <c r="AI547" s="114"/>
      <c r="AJ547" s="114"/>
    </row>
    <row r="548" spans="1:36" s="68" customFormat="1" hidden="1" outlineLevel="3">
      <c r="A548" s="117"/>
      <c r="B548" s="118" t="s">
        <v>252</v>
      </c>
      <c r="C548" s="661">
        <f>Калькулятор_жилье!K586</f>
        <v>0</v>
      </c>
      <c r="D548" s="662">
        <f t="shared" si="6986"/>
        <v>0</v>
      </c>
      <c r="E548" s="661"/>
      <c r="F548" s="662">
        <f t="shared" si="6986"/>
        <v>0</v>
      </c>
      <c r="G548" s="661"/>
      <c r="H548" s="662">
        <f t="shared" ref="H548" si="7353">IF(G548=0,0,G548/G$4)</f>
        <v>0</v>
      </c>
      <c r="I548" s="661"/>
      <c r="J548" s="662">
        <f t="shared" ref="J548" si="7354">IF(I548=0,0,I548/I$4)</f>
        <v>0</v>
      </c>
      <c r="K548" s="661"/>
      <c r="L548" s="662">
        <f t="shared" ref="L548" si="7355">IF(K548=0,0,K548/K$4)</f>
        <v>0</v>
      </c>
      <c r="M548" s="661"/>
      <c r="N548" s="662">
        <f t="shared" ref="N548" si="7356">IF(M548=0,0,M548/M$4)</f>
        <v>0</v>
      </c>
      <c r="O548" s="661"/>
      <c r="P548" s="662">
        <f t="shared" ref="P548" si="7357">IF(O548=0,0,O548/O$4)</f>
        <v>0</v>
      </c>
      <c r="Q548" s="661"/>
      <c r="R548" s="662">
        <f t="shared" ref="R548" si="7358">IF(Q548=0,0,Q548/Q$4)</f>
        <v>0</v>
      </c>
      <c r="S548" s="661"/>
      <c r="T548" s="662">
        <f t="shared" ref="T548" si="7359">IF(S548=0,0,S548/S$4)</f>
        <v>0</v>
      </c>
      <c r="U548" s="661"/>
      <c r="V548" s="662">
        <f t="shared" ref="V548" si="7360">IF(U548=0,0,U548/U$4)</f>
        <v>0</v>
      </c>
      <c r="W548" s="661"/>
      <c r="X548" s="662">
        <f t="shared" ref="X548" si="7361">IF(W548=0,0,W548/W$4)</f>
        <v>0</v>
      </c>
      <c r="Y548" s="661"/>
      <c r="Z548" s="662">
        <f t="shared" ref="Z548" si="7362">IF(Y548=0,0,Y548/Y$4)</f>
        <v>0</v>
      </c>
      <c r="AA548" s="661"/>
      <c r="AB548" s="662">
        <f t="shared" ref="AB548" si="7363">IF(AA548=0,0,AA548/AA$4)</f>
        <v>0</v>
      </c>
      <c r="AC548" s="661">
        <f t="shared" si="7351"/>
        <v>0</v>
      </c>
      <c r="AD548" s="662">
        <f t="shared" ref="AD548" si="7364">IF(AC548=0,0,AC548/AC$4)</f>
        <v>0</v>
      </c>
      <c r="AE548" s="665"/>
      <c r="AF548" s="114"/>
      <c r="AG548" s="114"/>
      <c r="AH548" s="114"/>
      <c r="AI548" s="114"/>
      <c r="AJ548" s="114"/>
    </row>
    <row r="549" spans="1:36" s="68" customFormat="1" hidden="1" outlineLevel="3">
      <c r="A549" s="117"/>
      <c r="B549" s="118" t="s">
        <v>283</v>
      </c>
      <c r="C549" s="661">
        <f>Калькулятор_жилье!K583</f>
        <v>584432.60486414924</v>
      </c>
      <c r="D549" s="662">
        <f t="shared" si="6986"/>
        <v>3.6297248178156907</v>
      </c>
      <c r="E549" s="661"/>
      <c r="F549" s="662">
        <f t="shared" si="6986"/>
        <v>0</v>
      </c>
      <c r="G549" s="661"/>
      <c r="H549" s="662">
        <f t="shared" ref="H549" si="7365">IF(G549=0,0,G549/G$4)</f>
        <v>0</v>
      </c>
      <c r="I549" s="661"/>
      <c r="J549" s="662">
        <f t="shared" ref="J549" si="7366">IF(I549=0,0,I549/I$4)</f>
        <v>0</v>
      </c>
      <c r="K549" s="661"/>
      <c r="L549" s="662">
        <f t="shared" ref="L549" si="7367">IF(K549=0,0,K549/K$4)</f>
        <v>0</v>
      </c>
      <c r="M549" s="661"/>
      <c r="N549" s="662">
        <f t="shared" ref="N549" si="7368">IF(M549=0,0,M549/M$4)</f>
        <v>0</v>
      </c>
      <c r="O549" s="661"/>
      <c r="P549" s="662">
        <f t="shared" ref="P549" si="7369">IF(O549=0,0,O549/O$4)</f>
        <v>0</v>
      </c>
      <c r="Q549" s="661"/>
      <c r="R549" s="662">
        <f t="shared" ref="R549" si="7370">IF(Q549=0,0,Q549/Q$4)</f>
        <v>0</v>
      </c>
      <c r="S549" s="661"/>
      <c r="T549" s="662">
        <f t="shared" ref="T549" si="7371">IF(S549=0,0,S549/S$4)</f>
        <v>0</v>
      </c>
      <c r="U549" s="661"/>
      <c r="V549" s="662">
        <f t="shared" ref="V549" si="7372">IF(U549=0,0,U549/U$4)</f>
        <v>0</v>
      </c>
      <c r="W549" s="661"/>
      <c r="X549" s="662">
        <f t="shared" ref="X549" si="7373">IF(W549=0,0,W549/W$4)</f>
        <v>0</v>
      </c>
      <c r="Y549" s="661"/>
      <c r="Z549" s="662">
        <f t="shared" ref="Z549" si="7374">IF(Y549=0,0,Y549/Y$4)</f>
        <v>0</v>
      </c>
      <c r="AA549" s="661"/>
      <c r="AB549" s="662">
        <f t="shared" ref="AB549" si="7375">IF(AA549=0,0,AA549/AA$4)</f>
        <v>0</v>
      </c>
      <c r="AC549" s="661">
        <f t="shared" si="7351"/>
        <v>584432.60486414924</v>
      </c>
      <c r="AD549" s="662">
        <f t="shared" ref="AD549" si="7376">IF(AC549=0,0,AC549/AC$4)</f>
        <v>3.6297248178156907</v>
      </c>
      <c r="AE549" s="665"/>
      <c r="AF549" s="114"/>
      <c r="AG549" s="114"/>
      <c r="AH549" s="114"/>
      <c r="AI549" s="114"/>
      <c r="AJ549" s="114"/>
    </row>
    <row r="550" spans="1:36" s="68" customFormat="1" hidden="1" outlineLevel="3">
      <c r="A550" s="117"/>
      <c r="B550" s="118" t="s">
        <v>284</v>
      </c>
      <c r="C550" s="661">
        <f>Калькулятор_жилье!K579</f>
        <v>1430833.7998617601</v>
      </c>
      <c r="D550" s="662">
        <f t="shared" si="6986"/>
        <v>8.8864531347202842</v>
      </c>
      <c r="E550" s="661"/>
      <c r="F550" s="662">
        <f t="shared" si="6986"/>
        <v>0</v>
      </c>
      <c r="G550" s="661"/>
      <c r="H550" s="662">
        <f t="shared" ref="H550" si="7377">IF(G550=0,0,G550/G$4)</f>
        <v>0</v>
      </c>
      <c r="I550" s="661"/>
      <c r="J550" s="662">
        <f t="shared" ref="J550" si="7378">IF(I550=0,0,I550/I$4)</f>
        <v>0</v>
      </c>
      <c r="K550" s="661"/>
      <c r="L550" s="662">
        <f t="shared" ref="L550" si="7379">IF(K550=0,0,K550/K$4)</f>
        <v>0</v>
      </c>
      <c r="M550" s="661"/>
      <c r="N550" s="662">
        <f t="shared" ref="N550" si="7380">IF(M550=0,0,M550/M$4)</f>
        <v>0</v>
      </c>
      <c r="O550" s="661"/>
      <c r="P550" s="662">
        <f t="shared" ref="P550" si="7381">IF(O550=0,0,O550/O$4)</f>
        <v>0</v>
      </c>
      <c r="Q550" s="661"/>
      <c r="R550" s="662">
        <f t="shared" ref="R550" si="7382">IF(Q550=0,0,Q550/Q$4)</f>
        <v>0</v>
      </c>
      <c r="S550" s="661"/>
      <c r="T550" s="662">
        <f t="shared" ref="T550" si="7383">IF(S550=0,0,S550/S$4)</f>
        <v>0</v>
      </c>
      <c r="U550" s="661"/>
      <c r="V550" s="662">
        <f t="shared" ref="V550" si="7384">IF(U550=0,0,U550/U$4)</f>
        <v>0</v>
      </c>
      <c r="W550" s="661"/>
      <c r="X550" s="662">
        <f t="shared" ref="X550" si="7385">IF(W550=0,0,W550/W$4)</f>
        <v>0</v>
      </c>
      <c r="Y550" s="661"/>
      <c r="Z550" s="662">
        <f t="shared" ref="Z550" si="7386">IF(Y550=0,0,Y550/Y$4)</f>
        <v>0</v>
      </c>
      <c r="AA550" s="661"/>
      <c r="AB550" s="662">
        <f t="shared" ref="AB550" si="7387">IF(AA550=0,0,AA550/AA$4)</f>
        <v>0</v>
      </c>
      <c r="AC550" s="661">
        <f t="shared" si="7351"/>
        <v>1430833.7998617601</v>
      </c>
      <c r="AD550" s="662">
        <f t="shared" ref="AD550" si="7388">IF(AC550=0,0,AC550/AC$4)</f>
        <v>8.8864531347202842</v>
      </c>
      <c r="AE550" s="665"/>
      <c r="AF550" s="114"/>
      <c r="AG550" s="114"/>
      <c r="AH550" s="114"/>
      <c r="AI550" s="114"/>
      <c r="AJ550" s="114"/>
    </row>
    <row r="551" spans="1:36" s="68" customFormat="1" hidden="1" outlineLevel="3">
      <c r="A551" s="117"/>
      <c r="B551" s="118" t="str">
        <f>"СМР - Отдельно стоящее ДОУ на "&amp;Калькулятор_жилье!I573&amp;" мест"</f>
        <v>СМР - Отдельно стоящее ДОУ на 100 мест</v>
      </c>
      <c r="C551" s="661">
        <f>Калькулятор_жилье!K573</f>
        <v>128420052.46167824</v>
      </c>
      <c r="D551" s="662">
        <f t="shared" si="6986"/>
        <v>797.57605521289804</v>
      </c>
      <c r="E551" s="661"/>
      <c r="F551" s="662">
        <f t="shared" si="6986"/>
        <v>0</v>
      </c>
      <c r="G551" s="661"/>
      <c r="H551" s="662">
        <f t="shared" ref="H551" si="7389">IF(G551=0,0,G551/G$4)</f>
        <v>0</v>
      </c>
      <c r="I551" s="661"/>
      <c r="J551" s="662">
        <f t="shared" ref="J551" si="7390">IF(I551=0,0,I551/I$4)</f>
        <v>0</v>
      </c>
      <c r="K551" s="661"/>
      <c r="L551" s="662">
        <f t="shared" ref="L551" si="7391">IF(K551=0,0,K551/K$4)</f>
        <v>0</v>
      </c>
      <c r="M551" s="661"/>
      <c r="N551" s="662">
        <f t="shared" ref="N551" si="7392">IF(M551=0,0,M551/M$4)</f>
        <v>0</v>
      </c>
      <c r="O551" s="661"/>
      <c r="P551" s="662">
        <f t="shared" ref="P551" si="7393">IF(O551=0,0,O551/O$4)</f>
        <v>0</v>
      </c>
      <c r="Q551" s="661"/>
      <c r="R551" s="662">
        <f t="shared" ref="R551" si="7394">IF(Q551=0,0,Q551/Q$4)</f>
        <v>0</v>
      </c>
      <c r="S551" s="661"/>
      <c r="T551" s="662">
        <f t="shared" ref="T551" si="7395">IF(S551=0,0,S551/S$4)</f>
        <v>0</v>
      </c>
      <c r="U551" s="661"/>
      <c r="V551" s="662">
        <f t="shared" ref="V551" si="7396">IF(U551=0,0,U551/U$4)</f>
        <v>0</v>
      </c>
      <c r="W551" s="661"/>
      <c r="X551" s="662">
        <f t="shared" ref="X551" si="7397">IF(W551=0,0,W551/W$4)</f>
        <v>0</v>
      </c>
      <c r="Y551" s="661"/>
      <c r="Z551" s="662">
        <f t="shared" ref="Z551" si="7398">IF(Y551=0,0,Y551/Y$4)</f>
        <v>0</v>
      </c>
      <c r="AA551" s="661"/>
      <c r="AB551" s="662">
        <f t="shared" ref="AB551" si="7399">IF(AA551=0,0,AA551/AA$4)</f>
        <v>0</v>
      </c>
      <c r="AC551" s="661">
        <f t="shared" si="7351"/>
        <v>128420052.46167824</v>
      </c>
      <c r="AD551" s="662">
        <f t="shared" ref="AD551" si="7400">IF(AC551=0,0,AC551/AC$4)</f>
        <v>797.57605521289804</v>
      </c>
      <c r="AE551" s="665"/>
      <c r="AF551" s="114"/>
      <c r="AG551" s="114"/>
      <c r="AH551" s="114"/>
      <c r="AI551" s="114"/>
      <c r="AJ551" s="114"/>
    </row>
    <row r="552" spans="1:36" s="68" customFormat="1" hidden="1" outlineLevel="3">
      <c r="A552" s="117"/>
      <c r="B552" s="118" t="str">
        <f>"СМР - Отдельно стоящее ДОУ с бассейном на "&amp;Калькулятор_жилье!I574&amp;" мест"</f>
        <v>СМР - Отдельно стоящее ДОУ с бассейном на 0 мест</v>
      </c>
      <c r="C552" s="661">
        <f>Калькулятор_жилье!K574</f>
        <v>0</v>
      </c>
      <c r="D552" s="662">
        <f t="shared" si="6986"/>
        <v>0</v>
      </c>
      <c r="E552" s="661"/>
      <c r="F552" s="662">
        <f t="shared" si="6986"/>
        <v>0</v>
      </c>
      <c r="G552" s="661"/>
      <c r="H552" s="662">
        <f t="shared" ref="H552" si="7401">IF(G552=0,0,G552/G$4)</f>
        <v>0</v>
      </c>
      <c r="I552" s="661"/>
      <c r="J552" s="662">
        <f t="shared" ref="J552" si="7402">IF(I552=0,0,I552/I$4)</f>
        <v>0</v>
      </c>
      <c r="K552" s="661"/>
      <c r="L552" s="662">
        <f t="shared" ref="L552" si="7403">IF(K552=0,0,K552/K$4)</f>
        <v>0</v>
      </c>
      <c r="M552" s="661"/>
      <c r="N552" s="662">
        <f t="shared" ref="N552" si="7404">IF(M552=0,0,M552/M$4)</f>
        <v>0</v>
      </c>
      <c r="O552" s="661"/>
      <c r="P552" s="662">
        <f t="shared" ref="P552" si="7405">IF(O552=0,0,O552/O$4)</f>
        <v>0</v>
      </c>
      <c r="Q552" s="661"/>
      <c r="R552" s="662">
        <f t="shared" ref="R552" si="7406">IF(Q552=0,0,Q552/Q$4)</f>
        <v>0</v>
      </c>
      <c r="S552" s="661"/>
      <c r="T552" s="662">
        <f t="shared" ref="T552" si="7407">IF(S552=0,0,S552/S$4)</f>
        <v>0</v>
      </c>
      <c r="U552" s="661"/>
      <c r="V552" s="662">
        <f t="shared" ref="V552" si="7408">IF(U552=0,0,U552/U$4)</f>
        <v>0</v>
      </c>
      <c r="W552" s="661"/>
      <c r="X552" s="662">
        <f t="shared" ref="X552" si="7409">IF(W552=0,0,W552/W$4)</f>
        <v>0</v>
      </c>
      <c r="Y552" s="661"/>
      <c r="Z552" s="662">
        <f t="shared" ref="Z552" si="7410">IF(Y552=0,0,Y552/Y$4)</f>
        <v>0</v>
      </c>
      <c r="AA552" s="661"/>
      <c r="AB552" s="662">
        <f t="shared" ref="AB552" si="7411">IF(AA552=0,0,AA552/AA$4)</f>
        <v>0</v>
      </c>
      <c r="AC552" s="661">
        <f t="shared" si="7351"/>
        <v>0</v>
      </c>
      <c r="AD552" s="662">
        <f t="shared" ref="AD552" si="7412">IF(AC552=0,0,AC552/AC$4)</f>
        <v>0</v>
      </c>
      <c r="AE552" s="665"/>
      <c r="AF552" s="114"/>
      <c r="AG552" s="114"/>
      <c r="AH552" s="114"/>
      <c r="AI552" s="114"/>
      <c r="AJ552" s="114"/>
    </row>
    <row r="553" spans="1:36" s="556" customFormat="1" ht="15.75" hidden="1" outlineLevel="2" collapsed="1">
      <c r="A553" s="609" t="s">
        <v>1267</v>
      </c>
      <c r="B553" s="559" t="s">
        <v>36</v>
      </c>
      <c r="C553" s="659">
        <f>SUM(C554:C559)</f>
        <v>316751864.95381045</v>
      </c>
      <c r="D553" s="660">
        <f t="shared" si="6986"/>
        <v>1967.2449752859043</v>
      </c>
      <c r="E553" s="659"/>
      <c r="F553" s="660">
        <f t="shared" si="6986"/>
        <v>0</v>
      </c>
      <c r="G553" s="659"/>
      <c r="H553" s="660">
        <f t="shared" ref="H553" si="7413">IF(G553=0,0,G553/G$4)</f>
        <v>0</v>
      </c>
      <c r="I553" s="659"/>
      <c r="J553" s="660">
        <f t="shared" ref="J553" si="7414">IF(I553=0,0,I553/I$4)</f>
        <v>0</v>
      </c>
      <c r="K553" s="659"/>
      <c r="L553" s="660">
        <f t="shared" ref="L553" si="7415">IF(K553=0,0,K553/K$4)</f>
        <v>0</v>
      </c>
      <c r="M553" s="659"/>
      <c r="N553" s="660">
        <f t="shared" ref="N553" si="7416">IF(M553=0,0,M553/M$4)</f>
        <v>0</v>
      </c>
      <c r="O553" s="659"/>
      <c r="P553" s="660">
        <f t="shared" ref="P553" si="7417">IF(O553=0,0,O553/O$4)</f>
        <v>0</v>
      </c>
      <c r="Q553" s="659"/>
      <c r="R553" s="660">
        <f t="shared" ref="R553" si="7418">IF(Q553=0,0,Q553/Q$4)</f>
        <v>0</v>
      </c>
      <c r="S553" s="659"/>
      <c r="T553" s="660">
        <f t="shared" ref="T553" si="7419">IF(S553=0,0,S553/S$4)</f>
        <v>0</v>
      </c>
      <c r="U553" s="659"/>
      <c r="V553" s="660">
        <f t="shared" ref="V553" si="7420">IF(U553=0,0,U553/U$4)</f>
        <v>0</v>
      </c>
      <c r="W553" s="659"/>
      <c r="X553" s="660">
        <f t="shared" ref="X553" si="7421">IF(W553=0,0,W553/W$4)</f>
        <v>0</v>
      </c>
      <c r="Y553" s="659"/>
      <c r="Z553" s="660">
        <f t="shared" ref="Z553" si="7422">IF(Y553=0,0,Y553/Y$4)</f>
        <v>0</v>
      </c>
      <c r="AA553" s="659"/>
      <c r="AB553" s="660">
        <f t="shared" ref="AB553" si="7423">IF(AA553=0,0,AA553/AA$4)</f>
        <v>0</v>
      </c>
      <c r="AC553" s="659">
        <f t="shared" si="7351"/>
        <v>316751864.95381045</v>
      </c>
      <c r="AD553" s="660">
        <f t="shared" ref="AD553" si="7424">IF(AC553=0,0,AC553/AC$4)</f>
        <v>1967.2449752859043</v>
      </c>
      <c r="AE553" s="654"/>
    </row>
    <row r="554" spans="1:36" s="68" customFormat="1" hidden="1" outlineLevel="3">
      <c r="A554" s="117"/>
      <c r="B554" s="118" t="s">
        <v>282</v>
      </c>
      <c r="C554" s="661">
        <f>Калькулятор_жилье!K599</f>
        <v>3364668.5554944007</v>
      </c>
      <c r="D554" s="662">
        <f t="shared" si="6986"/>
        <v>20.896885043641525</v>
      </c>
      <c r="E554" s="661"/>
      <c r="F554" s="662">
        <f t="shared" si="6986"/>
        <v>0</v>
      </c>
      <c r="G554" s="661"/>
      <c r="H554" s="662">
        <f t="shared" ref="H554" si="7425">IF(G554=0,0,G554/G$4)</f>
        <v>0</v>
      </c>
      <c r="I554" s="661"/>
      <c r="J554" s="662">
        <f t="shared" ref="J554" si="7426">IF(I554=0,0,I554/I$4)</f>
        <v>0</v>
      </c>
      <c r="K554" s="661"/>
      <c r="L554" s="662">
        <f t="shared" ref="L554" si="7427">IF(K554=0,0,K554/K$4)</f>
        <v>0</v>
      </c>
      <c r="M554" s="661"/>
      <c r="N554" s="662">
        <f t="shared" ref="N554" si="7428">IF(M554=0,0,M554/M$4)</f>
        <v>0</v>
      </c>
      <c r="O554" s="661"/>
      <c r="P554" s="662">
        <f t="shared" ref="P554" si="7429">IF(O554=0,0,O554/O$4)</f>
        <v>0</v>
      </c>
      <c r="Q554" s="661"/>
      <c r="R554" s="662">
        <f t="shared" ref="R554" si="7430">IF(Q554=0,0,Q554/Q$4)</f>
        <v>0</v>
      </c>
      <c r="S554" s="661"/>
      <c r="T554" s="662">
        <f t="shared" ref="T554" si="7431">IF(S554=0,0,S554/S$4)</f>
        <v>0</v>
      </c>
      <c r="U554" s="661"/>
      <c r="V554" s="662">
        <f t="shared" ref="V554" si="7432">IF(U554=0,0,U554/U$4)</f>
        <v>0</v>
      </c>
      <c r="W554" s="661"/>
      <c r="X554" s="662">
        <f t="shared" ref="X554" si="7433">IF(W554=0,0,W554/W$4)</f>
        <v>0</v>
      </c>
      <c r="Y554" s="661"/>
      <c r="Z554" s="662">
        <f t="shared" ref="Z554" si="7434">IF(Y554=0,0,Y554/Y$4)</f>
        <v>0</v>
      </c>
      <c r="AA554" s="661"/>
      <c r="AB554" s="662">
        <f t="shared" ref="AB554" si="7435">IF(AA554=0,0,AA554/AA$4)</f>
        <v>0</v>
      </c>
      <c r="AC554" s="661">
        <f t="shared" si="7351"/>
        <v>3364668.5554944007</v>
      </c>
      <c r="AD554" s="662">
        <f t="shared" ref="AD554" si="7436">IF(AC554=0,0,AC554/AC$4)</f>
        <v>20.896885043641525</v>
      </c>
      <c r="AE554" s="665"/>
      <c r="AF554" s="114"/>
      <c r="AG554" s="114"/>
      <c r="AH554" s="114"/>
      <c r="AI554" s="114"/>
      <c r="AJ554" s="114"/>
    </row>
    <row r="555" spans="1:36" s="68" customFormat="1" hidden="1" outlineLevel="3">
      <c r="A555" s="117"/>
      <c r="B555" s="118" t="s">
        <v>252</v>
      </c>
      <c r="C555" s="661">
        <f>Калькулятор_жилье!K590</f>
        <v>0</v>
      </c>
      <c r="D555" s="662">
        <f t="shared" si="6986"/>
        <v>0</v>
      </c>
      <c r="E555" s="661"/>
      <c r="F555" s="662">
        <f t="shared" si="6986"/>
        <v>0</v>
      </c>
      <c r="G555" s="661"/>
      <c r="H555" s="662">
        <f t="shared" ref="H555" si="7437">IF(G555=0,0,G555/G$4)</f>
        <v>0</v>
      </c>
      <c r="I555" s="661"/>
      <c r="J555" s="662">
        <f t="shared" ref="J555" si="7438">IF(I555=0,0,I555/I$4)</f>
        <v>0</v>
      </c>
      <c r="K555" s="661"/>
      <c r="L555" s="662">
        <f t="shared" ref="L555" si="7439">IF(K555=0,0,K555/K$4)</f>
        <v>0</v>
      </c>
      <c r="M555" s="661"/>
      <c r="N555" s="662">
        <f t="shared" ref="N555" si="7440">IF(M555=0,0,M555/M$4)</f>
        <v>0</v>
      </c>
      <c r="O555" s="661"/>
      <c r="P555" s="662">
        <f t="shared" ref="P555" si="7441">IF(O555=0,0,O555/O$4)</f>
        <v>0</v>
      </c>
      <c r="Q555" s="661"/>
      <c r="R555" s="662">
        <f t="shared" ref="R555" si="7442">IF(Q555=0,0,Q555/Q$4)</f>
        <v>0</v>
      </c>
      <c r="S555" s="661"/>
      <c r="T555" s="662">
        <f t="shared" ref="T555" si="7443">IF(S555=0,0,S555/S$4)</f>
        <v>0</v>
      </c>
      <c r="U555" s="661"/>
      <c r="V555" s="662">
        <f t="shared" ref="V555" si="7444">IF(U555=0,0,U555/U$4)</f>
        <v>0</v>
      </c>
      <c r="W555" s="661"/>
      <c r="X555" s="662">
        <f t="shared" ref="X555" si="7445">IF(W555=0,0,W555/W$4)</f>
        <v>0</v>
      </c>
      <c r="Y555" s="661"/>
      <c r="Z555" s="662">
        <f t="shared" ref="Z555" si="7446">IF(Y555=0,0,Y555/Y$4)</f>
        <v>0</v>
      </c>
      <c r="AA555" s="661"/>
      <c r="AB555" s="662">
        <f t="shared" ref="AB555" si="7447">IF(AA555=0,0,AA555/AA$4)</f>
        <v>0</v>
      </c>
      <c r="AC555" s="661">
        <f t="shared" si="7351"/>
        <v>0</v>
      </c>
      <c r="AD555" s="662">
        <f t="shared" ref="AD555" si="7448">IF(AC555=0,0,AC555/AC$4)</f>
        <v>0</v>
      </c>
      <c r="AE555" s="665"/>
      <c r="AF555" s="114"/>
      <c r="AG555" s="114"/>
      <c r="AH555" s="114"/>
      <c r="AI555" s="114"/>
      <c r="AJ555" s="114"/>
    </row>
    <row r="556" spans="1:36" s="68" customFormat="1" hidden="1" outlineLevel="3">
      <c r="A556" s="117"/>
      <c r="B556" s="118" t="s">
        <v>283</v>
      </c>
      <c r="C556" s="661">
        <f>Калькулятор_жилье!K584</f>
        <v>10644971.160033859</v>
      </c>
      <c r="D556" s="662">
        <f t="shared" si="6986"/>
        <v>66.112526376738714</v>
      </c>
      <c r="E556" s="661"/>
      <c r="F556" s="662">
        <f t="shared" si="6986"/>
        <v>0</v>
      </c>
      <c r="G556" s="661"/>
      <c r="H556" s="662">
        <f t="shared" ref="H556" si="7449">IF(G556=0,0,G556/G$4)</f>
        <v>0</v>
      </c>
      <c r="I556" s="661"/>
      <c r="J556" s="662">
        <f t="shared" ref="J556" si="7450">IF(I556=0,0,I556/I$4)</f>
        <v>0</v>
      </c>
      <c r="K556" s="661"/>
      <c r="L556" s="662">
        <f t="shared" ref="L556" si="7451">IF(K556=0,0,K556/K$4)</f>
        <v>0</v>
      </c>
      <c r="M556" s="661"/>
      <c r="N556" s="662">
        <f t="shared" ref="N556" si="7452">IF(M556=0,0,M556/M$4)</f>
        <v>0</v>
      </c>
      <c r="O556" s="661"/>
      <c r="P556" s="662">
        <f t="shared" ref="P556" si="7453">IF(O556=0,0,O556/O$4)</f>
        <v>0</v>
      </c>
      <c r="Q556" s="661"/>
      <c r="R556" s="662">
        <f t="shared" ref="R556" si="7454">IF(Q556=0,0,Q556/Q$4)</f>
        <v>0</v>
      </c>
      <c r="S556" s="661"/>
      <c r="T556" s="662">
        <f t="shared" ref="T556" si="7455">IF(S556=0,0,S556/S$4)</f>
        <v>0</v>
      </c>
      <c r="U556" s="661"/>
      <c r="V556" s="662">
        <f t="shared" ref="V556" si="7456">IF(U556=0,0,U556/U$4)</f>
        <v>0</v>
      </c>
      <c r="W556" s="661"/>
      <c r="X556" s="662">
        <f t="shared" ref="X556" si="7457">IF(W556=0,0,W556/W$4)</f>
        <v>0</v>
      </c>
      <c r="Y556" s="661"/>
      <c r="Z556" s="662">
        <f t="shared" ref="Z556" si="7458">IF(Y556=0,0,Y556/Y$4)</f>
        <v>0</v>
      </c>
      <c r="AA556" s="661"/>
      <c r="AB556" s="662">
        <f t="shared" ref="AB556" si="7459">IF(AA556=0,0,AA556/AA$4)</f>
        <v>0</v>
      </c>
      <c r="AC556" s="661">
        <f t="shared" si="7351"/>
        <v>10644971.160033859</v>
      </c>
      <c r="AD556" s="662">
        <f t="shared" ref="AD556" si="7460">IF(AC556=0,0,AC556/AC$4)</f>
        <v>66.112526376738714</v>
      </c>
      <c r="AE556" s="665"/>
      <c r="AF556" s="114"/>
      <c r="AG556" s="114"/>
      <c r="AH556" s="114"/>
      <c r="AI556" s="114"/>
      <c r="AJ556" s="114"/>
    </row>
    <row r="557" spans="1:36" s="68" customFormat="1" hidden="1" outlineLevel="3">
      <c r="A557" s="117"/>
      <c r="B557" s="118" t="s">
        <v>284</v>
      </c>
      <c r="C557" s="661">
        <f>Калькулятор_жилье!K580</f>
        <v>3922047.9929702408</v>
      </c>
      <c r="D557" s="662">
        <f t="shared" si="6986"/>
        <v>24.35859125289123</v>
      </c>
      <c r="E557" s="661"/>
      <c r="F557" s="662">
        <f t="shared" si="6986"/>
        <v>0</v>
      </c>
      <c r="G557" s="661"/>
      <c r="H557" s="662">
        <f t="shared" ref="H557" si="7461">IF(G557=0,0,G557/G$4)</f>
        <v>0</v>
      </c>
      <c r="I557" s="661"/>
      <c r="J557" s="662">
        <f t="shared" ref="J557" si="7462">IF(I557=0,0,I557/I$4)</f>
        <v>0</v>
      </c>
      <c r="K557" s="661"/>
      <c r="L557" s="662">
        <f t="shared" ref="L557" si="7463">IF(K557=0,0,K557/K$4)</f>
        <v>0</v>
      </c>
      <c r="M557" s="661"/>
      <c r="N557" s="662">
        <f t="shared" ref="N557" si="7464">IF(M557=0,0,M557/M$4)</f>
        <v>0</v>
      </c>
      <c r="O557" s="661"/>
      <c r="P557" s="662">
        <f t="shared" ref="P557" si="7465">IF(O557=0,0,O557/O$4)</f>
        <v>0</v>
      </c>
      <c r="Q557" s="661"/>
      <c r="R557" s="662">
        <f t="shared" ref="R557" si="7466">IF(Q557=0,0,Q557/Q$4)</f>
        <v>0</v>
      </c>
      <c r="S557" s="661"/>
      <c r="T557" s="662">
        <f t="shared" ref="T557" si="7467">IF(S557=0,0,S557/S$4)</f>
        <v>0</v>
      </c>
      <c r="U557" s="661"/>
      <c r="V557" s="662">
        <f t="shared" ref="V557" si="7468">IF(U557=0,0,U557/U$4)</f>
        <v>0</v>
      </c>
      <c r="W557" s="661"/>
      <c r="X557" s="662">
        <f t="shared" ref="X557" si="7469">IF(W557=0,0,W557/W$4)</f>
        <v>0</v>
      </c>
      <c r="Y557" s="661"/>
      <c r="Z557" s="662">
        <f t="shared" ref="Z557" si="7470">IF(Y557=0,0,Y557/Y$4)</f>
        <v>0</v>
      </c>
      <c r="AA557" s="661"/>
      <c r="AB557" s="662">
        <f t="shared" ref="AB557" si="7471">IF(AA557=0,0,AA557/AA$4)</f>
        <v>0</v>
      </c>
      <c r="AC557" s="661">
        <f t="shared" si="7351"/>
        <v>3922047.9929702408</v>
      </c>
      <c r="AD557" s="662">
        <f t="shared" ref="AD557" si="7472">IF(AC557=0,0,AC557/AC$4)</f>
        <v>24.35859125289123</v>
      </c>
      <c r="AE557" s="665"/>
      <c r="AF557" s="114"/>
      <c r="AG557" s="114"/>
      <c r="AH557" s="114"/>
      <c r="AI557" s="114"/>
      <c r="AJ557" s="114"/>
    </row>
    <row r="558" spans="1:36" s="68" customFormat="1" hidden="1" outlineLevel="3">
      <c r="A558" s="117"/>
      <c r="B558" s="118" t="str">
        <f>"СМР - Отдельно стоящая школа (под ключ) на "&amp;Калькулятор_жилье!I575&amp;" мест"</f>
        <v>СМР - Отдельно стоящая школа (под ключ) на 200 мест</v>
      </c>
      <c r="C558" s="661">
        <f>Калькулятор_жилье!K575</f>
        <v>298820177.24531198</v>
      </c>
      <c r="D558" s="662">
        <f t="shared" si="6986"/>
        <v>1855.8769726126329</v>
      </c>
      <c r="E558" s="661"/>
      <c r="F558" s="662">
        <f t="shared" si="6986"/>
        <v>0</v>
      </c>
      <c r="G558" s="661"/>
      <c r="H558" s="662">
        <f t="shared" ref="H558" si="7473">IF(G558=0,0,G558/G$4)</f>
        <v>0</v>
      </c>
      <c r="I558" s="661"/>
      <c r="J558" s="662">
        <f t="shared" ref="J558" si="7474">IF(I558=0,0,I558/I$4)</f>
        <v>0</v>
      </c>
      <c r="K558" s="661"/>
      <c r="L558" s="662">
        <f t="shared" ref="L558" si="7475">IF(K558=0,0,K558/K$4)</f>
        <v>0</v>
      </c>
      <c r="M558" s="661"/>
      <c r="N558" s="662">
        <f t="shared" ref="N558" si="7476">IF(M558=0,0,M558/M$4)</f>
        <v>0</v>
      </c>
      <c r="O558" s="661"/>
      <c r="P558" s="662">
        <f t="shared" ref="P558" si="7477">IF(O558=0,0,O558/O$4)</f>
        <v>0</v>
      </c>
      <c r="Q558" s="661"/>
      <c r="R558" s="662">
        <f t="shared" ref="R558" si="7478">IF(Q558=0,0,Q558/Q$4)</f>
        <v>0</v>
      </c>
      <c r="S558" s="661"/>
      <c r="T558" s="662">
        <f t="shared" ref="T558" si="7479">IF(S558=0,0,S558/S$4)</f>
        <v>0</v>
      </c>
      <c r="U558" s="661"/>
      <c r="V558" s="662">
        <f t="shared" ref="V558" si="7480">IF(U558=0,0,U558/U$4)</f>
        <v>0</v>
      </c>
      <c r="W558" s="661"/>
      <c r="X558" s="662">
        <f t="shared" ref="X558" si="7481">IF(W558=0,0,W558/W$4)</f>
        <v>0</v>
      </c>
      <c r="Y558" s="661"/>
      <c r="Z558" s="662">
        <f t="shared" ref="Z558" si="7482">IF(Y558=0,0,Y558/Y$4)</f>
        <v>0</v>
      </c>
      <c r="AA558" s="661"/>
      <c r="AB558" s="662">
        <f t="shared" ref="AB558" si="7483">IF(AA558=0,0,AA558/AA$4)</f>
        <v>0</v>
      </c>
      <c r="AC558" s="661">
        <f t="shared" si="7351"/>
        <v>298820177.24531198</v>
      </c>
      <c r="AD558" s="662">
        <f t="shared" ref="AD558" si="7484">IF(AC558=0,0,AC558/AC$4)</f>
        <v>1855.8769726126329</v>
      </c>
      <c r="AE558" s="665"/>
      <c r="AF558" s="114"/>
      <c r="AG558" s="114"/>
      <c r="AH558" s="114"/>
      <c r="AI558" s="114"/>
      <c r="AJ558" s="114"/>
    </row>
    <row r="559" spans="1:36" s="68" customFormat="1" hidden="1" outlineLevel="3">
      <c r="A559" s="117"/>
      <c r="B559" s="118" t="str">
        <f>"СМР - Отдельно стоящая школа с бассейном (под ключ) на "&amp;Калькулятор_жилье!I576&amp;" мест"</f>
        <v>СМР - Отдельно стоящая школа с бассейном (под ключ) на 0 мест</v>
      </c>
      <c r="C559" s="661">
        <f>Калькулятор_жилье!K576</f>
        <v>0</v>
      </c>
      <c r="D559" s="662">
        <f t="shared" si="6986"/>
        <v>0</v>
      </c>
      <c r="E559" s="661"/>
      <c r="F559" s="662">
        <f t="shared" si="6986"/>
        <v>0</v>
      </c>
      <c r="G559" s="661"/>
      <c r="H559" s="662">
        <f t="shared" ref="H559" si="7485">IF(G559=0,0,G559/G$4)</f>
        <v>0</v>
      </c>
      <c r="I559" s="661"/>
      <c r="J559" s="662">
        <f t="shared" ref="J559" si="7486">IF(I559=0,0,I559/I$4)</f>
        <v>0</v>
      </c>
      <c r="K559" s="661"/>
      <c r="L559" s="662">
        <f t="shared" ref="L559" si="7487">IF(K559=0,0,K559/K$4)</f>
        <v>0</v>
      </c>
      <c r="M559" s="661"/>
      <c r="N559" s="662">
        <f t="shared" ref="N559" si="7488">IF(M559=0,0,M559/M$4)</f>
        <v>0</v>
      </c>
      <c r="O559" s="661"/>
      <c r="P559" s="662">
        <f t="shared" ref="P559" si="7489">IF(O559=0,0,O559/O$4)</f>
        <v>0</v>
      </c>
      <c r="Q559" s="661"/>
      <c r="R559" s="662">
        <f t="shared" ref="R559" si="7490">IF(Q559=0,0,Q559/Q$4)</f>
        <v>0</v>
      </c>
      <c r="S559" s="661"/>
      <c r="T559" s="662">
        <f t="shared" ref="T559" si="7491">IF(S559=0,0,S559/S$4)</f>
        <v>0</v>
      </c>
      <c r="U559" s="661"/>
      <c r="V559" s="662">
        <f t="shared" ref="V559" si="7492">IF(U559=0,0,U559/U$4)</f>
        <v>0</v>
      </c>
      <c r="W559" s="661"/>
      <c r="X559" s="662">
        <f t="shared" ref="X559" si="7493">IF(W559=0,0,W559/W$4)</f>
        <v>0</v>
      </c>
      <c r="Y559" s="661"/>
      <c r="Z559" s="662">
        <f t="shared" ref="Z559" si="7494">IF(Y559=0,0,Y559/Y$4)</f>
        <v>0</v>
      </c>
      <c r="AA559" s="661"/>
      <c r="AB559" s="662">
        <f t="shared" ref="AB559" si="7495">IF(AA559=0,0,AA559/AA$4)</f>
        <v>0</v>
      </c>
      <c r="AC559" s="661">
        <f t="shared" si="7351"/>
        <v>0</v>
      </c>
      <c r="AD559" s="662">
        <f t="shared" ref="AD559" si="7496">IF(AC559=0,0,AC559/AC$4)</f>
        <v>0</v>
      </c>
      <c r="AE559" s="665"/>
      <c r="AF559" s="114"/>
      <c r="AG559" s="114"/>
      <c r="AH559" s="114"/>
      <c r="AI559" s="114"/>
      <c r="AJ559" s="114"/>
    </row>
    <row r="560" spans="1:36" s="556" customFormat="1" ht="15.75" hidden="1" outlineLevel="2" collapsed="1">
      <c r="A560" s="609" t="s">
        <v>1266</v>
      </c>
      <c r="B560" s="559" t="s">
        <v>41</v>
      </c>
      <c r="C560" s="659">
        <f>SUM(C561:C565)</f>
        <v>0</v>
      </c>
      <c r="D560" s="660">
        <f t="shared" si="6986"/>
        <v>0</v>
      </c>
      <c r="E560" s="659"/>
      <c r="F560" s="660">
        <f t="shared" si="6986"/>
        <v>0</v>
      </c>
      <c r="G560" s="659"/>
      <c r="H560" s="660">
        <f t="shared" ref="H560" si="7497">IF(G560=0,0,G560/G$4)</f>
        <v>0</v>
      </c>
      <c r="I560" s="659"/>
      <c r="J560" s="660">
        <f t="shared" ref="J560" si="7498">IF(I560=0,0,I560/I$4)</f>
        <v>0</v>
      </c>
      <c r="K560" s="659"/>
      <c r="L560" s="660">
        <f t="shared" ref="L560" si="7499">IF(K560=0,0,K560/K$4)</f>
        <v>0</v>
      </c>
      <c r="M560" s="659"/>
      <c r="N560" s="660">
        <f t="shared" ref="N560" si="7500">IF(M560=0,0,M560/M$4)</f>
        <v>0</v>
      </c>
      <c r="O560" s="659"/>
      <c r="P560" s="660">
        <f t="shared" ref="P560" si="7501">IF(O560=0,0,O560/O$4)</f>
        <v>0</v>
      </c>
      <c r="Q560" s="659"/>
      <c r="R560" s="660">
        <f t="shared" ref="R560" si="7502">IF(Q560=0,0,Q560/Q$4)</f>
        <v>0</v>
      </c>
      <c r="S560" s="659"/>
      <c r="T560" s="660">
        <f t="shared" ref="T560" si="7503">IF(S560=0,0,S560/S$4)</f>
        <v>0</v>
      </c>
      <c r="U560" s="659"/>
      <c r="V560" s="660">
        <f t="shared" ref="V560" si="7504">IF(U560=0,0,U560/U$4)</f>
        <v>0</v>
      </c>
      <c r="W560" s="659"/>
      <c r="X560" s="660">
        <f t="shared" ref="X560" si="7505">IF(W560=0,0,W560/W$4)</f>
        <v>0</v>
      </c>
      <c r="Y560" s="659"/>
      <c r="Z560" s="660">
        <f t="shared" ref="Z560" si="7506">IF(Y560=0,0,Y560/Y$4)</f>
        <v>0</v>
      </c>
      <c r="AA560" s="659"/>
      <c r="AB560" s="660">
        <f t="shared" ref="AB560" si="7507">IF(AA560=0,0,AA560/AA$4)</f>
        <v>0</v>
      </c>
      <c r="AC560" s="659">
        <f t="shared" si="7351"/>
        <v>0</v>
      </c>
      <c r="AD560" s="660">
        <f t="shared" ref="AD560" si="7508">IF(AC560=0,0,AC560/AC$4)</f>
        <v>0</v>
      </c>
      <c r="AE560" s="654"/>
    </row>
    <row r="561" spans="1:36" s="68" customFormat="1" hidden="1" outlineLevel="3">
      <c r="A561" s="117"/>
      <c r="B561" s="118" t="s">
        <v>282</v>
      </c>
      <c r="C561" s="661">
        <f>Калькулятор_жилье!K600</f>
        <v>0</v>
      </c>
      <c r="D561" s="662">
        <f t="shared" si="6986"/>
        <v>0</v>
      </c>
      <c r="E561" s="661"/>
      <c r="F561" s="662">
        <f t="shared" si="6986"/>
        <v>0</v>
      </c>
      <c r="G561" s="661"/>
      <c r="H561" s="662">
        <f t="shared" ref="H561" si="7509">IF(G561=0,0,G561/G$4)</f>
        <v>0</v>
      </c>
      <c r="I561" s="661"/>
      <c r="J561" s="662">
        <f t="shared" ref="J561" si="7510">IF(I561=0,0,I561/I$4)</f>
        <v>0</v>
      </c>
      <c r="K561" s="661"/>
      <c r="L561" s="662">
        <f t="shared" ref="L561" si="7511">IF(K561=0,0,K561/K$4)</f>
        <v>0</v>
      </c>
      <c r="M561" s="661"/>
      <c r="N561" s="662">
        <f t="shared" ref="N561" si="7512">IF(M561=0,0,M561/M$4)</f>
        <v>0</v>
      </c>
      <c r="O561" s="661"/>
      <c r="P561" s="662">
        <f t="shared" ref="P561" si="7513">IF(O561=0,0,O561/O$4)</f>
        <v>0</v>
      </c>
      <c r="Q561" s="661"/>
      <c r="R561" s="662">
        <f t="shared" ref="R561" si="7514">IF(Q561=0,0,Q561/Q$4)</f>
        <v>0</v>
      </c>
      <c r="S561" s="661"/>
      <c r="T561" s="662">
        <f t="shared" ref="T561" si="7515">IF(S561=0,0,S561/S$4)</f>
        <v>0</v>
      </c>
      <c r="U561" s="661"/>
      <c r="V561" s="662">
        <f t="shared" ref="V561" si="7516">IF(U561=0,0,U561/U$4)</f>
        <v>0</v>
      </c>
      <c r="W561" s="661"/>
      <c r="X561" s="662">
        <f t="shared" ref="X561" si="7517">IF(W561=0,0,W561/W$4)</f>
        <v>0</v>
      </c>
      <c r="Y561" s="661"/>
      <c r="Z561" s="662">
        <f t="shared" ref="Z561" si="7518">IF(Y561=0,0,Y561/Y$4)</f>
        <v>0</v>
      </c>
      <c r="AA561" s="661"/>
      <c r="AB561" s="662">
        <f t="shared" ref="AB561" si="7519">IF(AA561=0,0,AA561/AA$4)</f>
        <v>0</v>
      </c>
      <c r="AC561" s="661">
        <f t="shared" si="7351"/>
        <v>0</v>
      </c>
      <c r="AD561" s="662">
        <f t="shared" ref="AD561" si="7520">IF(AC561=0,0,AC561/AC$4)</f>
        <v>0</v>
      </c>
      <c r="AE561" s="666"/>
      <c r="AF561" s="144"/>
      <c r="AG561" s="114"/>
      <c r="AH561" s="114"/>
      <c r="AI561" s="114"/>
      <c r="AJ561" s="114"/>
    </row>
    <row r="562" spans="1:36" s="68" customFormat="1" hidden="1" outlineLevel="3">
      <c r="A562" s="117"/>
      <c r="B562" s="118" t="s">
        <v>252</v>
      </c>
      <c r="C562" s="661">
        <f>Калькулятор_жилье!K594</f>
        <v>0</v>
      </c>
      <c r="D562" s="662">
        <f t="shared" si="6986"/>
        <v>0</v>
      </c>
      <c r="E562" s="661"/>
      <c r="F562" s="662">
        <f t="shared" si="6986"/>
        <v>0</v>
      </c>
      <c r="G562" s="661"/>
      <c r="H562" s="662">
        <f t="shared" ref="H562" si="7521">IF(G562=0,0,G562/G$4)</f>
        <v>0</v>
      </c>
      <c r="I562" s="661"/>
      <c r="J562" s="662">
        <f t="shared" ref="J562" si="7522">IF(I562=0,0,I562/I$4)</f>
        <v>0</v>
      </c>
      <c r="K562" s="661"/>
      <c r="L562" s="662">
        <f t="shared" ref="L562" si="7523">IF(K562=0,0,K562/K$4)</f>
        <v>0</v>
      </c>
      <c r="M562" s="661"/>
      <c r="N562" s="662">
        <f t="shared" ref="N562" si="7524">IF(M562=0,0,M562/M$4)</f>
        <v>0</v>
      </c>
      <c r="O562" s="661"/>
      <c r="P562" s="662">
        <f t="shared" ref="P562" si="7525">IF(O562=0,0,O562/O$4)</f>
        <v>0</v>
      </c>
      <c r="Q562" s="661"/>
      <c r="R562" s="662">
        <f t="shared" ref="R562" si="7526">IF(Q562=0,0,Q562/Q$4)</f>
        <v>0</v>
      </c>
      <c r="S562" s="661"/>
      <c r="T562" s="662">
        <f t="shared" ref="T562" si="7527">IF(S562=0,0,S562/S$4)</f>
        <v>0</v>
      </c>
      <c r="U562" s="661"/>
      <c r="V562" s="662">
        <f t="shared" ref="V562" si="7528">IF(U562=0,0,U562/U$4)</f>
        <v>0</v>
      </c>
      <c r="W562" s="661"/>
      <c r="X562" s="662">
        <f t="shared" ref="X562" si="7529">IF(W562=0,0,W562/W$4)</f>
        <v>0</v>
      </c>
      <c r="Y562" s="661"/>
      <c r="Z562" s="662">
        <f t="shared" ref="Z562" si="7530">IF(Y562=0,0,Y562/Y$4)</f>
        <v>0</v>
      </c>
      <c r="AA562" s="661"/>
      <c r="AB562" s="662">
        <f t="shared" ref="AB562" si="7531">IF(AA562=0,0,AA562/AA$4)</f>
        <v>0</v>
      </c>
      <c r="AC562" s="661">
        <f t="shared" si="7351"/>
        <v>0</v>
      </c>
      <c r="AD562" s="662">
        <f t="shared" ref="AD562" si="7532">IF(AC562=0,0,AC562/AC$4)</f>
        <v>0</v>
      </c>
      <c r="AE562" s="665"/>
      <c r="AF562" s="114"/>
      <c r="AG562" s="114"/>
      <c r="AH562" s="114"/>
      <c r="AI562" s="114"/>
      <c r="AJ562" s="114"/>
    </row>
    <row r="563" spans="1:36" s="68" customFormat="1" hidden="1" outlineLevel="3">
      <c r="A563" s="117"/>
      <c r="B563" s="118" t="s">
        <v>283</v>
      </c>
      <c r="C563" s="661">
        <f>Калькулятор_жилье!K585</f>
        <v>0</v>
      </c>
      <c r="D563" s="662">
        <f t="shared" si="6986"/>
        <v>0</v>
      </c>
      <c r="E563" s="661"/>
      <c r="F563" s="662">
        <f t="shared" si="6986"/>
        <v>0</v>
      </c>
      <c r="G563" s="661"/>
      <c r="H563" s="662">
        <f t="shared" ref="H563" si="7533">IF(G563=0,0,G563/G$4)</f>
        <v>0</v>
      </c>
      <c r="I563" s="661"/>
      <c r="J563" s="662">
        <f t="shared" ref="J563" si="7534">IF(I563=0,0,I563/I$4)</f>
        <v>0</v>
      </c>
      <c r="K563" s="661"/>
      <c r="L563" s="662">
        <f t="shared" ref="L563" si="7535">IF(K563=0,0,K563/K$4)</f>
        <v>0</v>
      </c>
      <c r="M563" s="661"/>
      <c r="N563" s="662">
        <f t="shared" ref="N563" si="7536">IF(M563=0,0,M563/M$4)</f>
        <v>0</v>
      </c>
      <c r="O563" s="661"/>
      <c r="P563" s="662">
        <f t="shared" ref="P563" si="7537">IF(O563=0,0,O563/O$4)</f>
        <v>0</v>
      </c>
      <c r="Q563" s="661"/>
      <c r="R563" s="662">
        <f t="shared" ref="R563" si="7538">IF(Q563=0,0,Q563/Q$4)</f>
        <v>0</v>
      </c>
      <c r="S563" s="661"/>
      <c r="T563" s="662">
        <f t="shared" ref="T563" si="7539">IF(S563=0,0,S563/S$4)</f>
        <v>0</v>
      </c>
      <c r="U563" s="661"/>
      <c r="V563" s="662">
        <f t="shared" ref="V563" si="7540">IF(U563=0,0,U563/U$4)</f>
        <v>0</v>
      </c>
      <c r="W563" s="661"/>
      <c r="X563" s="662">
        <f t="shared" ref="X563" si="7541">IF(W563=0,0,W563/W$4)</f>
        <v>0</v>
      </c>
      <c r="Y563" s="661"/>
      <c r="Z563" s="662">
        <f t="shared" ref="Z563" si="7542">IF(Y563=0,0,Y563/Y$4)</f>
        <v>0</v>
      </c>
      <c r="AA563" s="661"/>
      <c r="AB563" s="662">
        <f t="shared" ref="AB563" si="7543">IF(AA563=0,0,AA563/AA$4)</f>
        <v>0</v>
      </c>
      <c r="AC563" s="661">
        <f t="shared" si="7351"/>
        <v>0</v>
      </c>
      <c r="AD563" s="662">
        <f t="shared" ref="AD563" si="7544">IF(AC563=0,0,AC563/AC$4)</f>
        <v>0</v>
      </c>
      <c r="AE563" s="665"/>
      <c r="AF563" s="114"/>
      <c r="AG563" s="114"/>
      <c r="AH563" s="114"/>
      <c r="AI563" s="114"/>
      <c r="AJ563" s="114"/>
    </row>
    <row r="564" spans="1:36" s="68" customFormat="1" hidden="1" outlineLevel="3">
      <c r="A564" s="117"/>
      <c r="B564" s="118" t="s">
        <v>284</v>
      </c>
      <c r="C564" s="661">
        <f>Калькулятор_жилье!K581</f>
        <v>0</v>
      </c>
      <c r="D564" s="662">
        <f t="shared" si="6986"/>
        <v>0</v>
      </c>
      <c r="E564" s="661"/>
      <c r="F564" s="662">
        <f t="shared" si="6986"/>
        <v>0</v>
      </c>
      <c r="G564" s="661"/>
      <c r="H564" s="662">
        <f t="shared" ref="H564" si="7545">IF(G564=0,0,G564/G$4)</f>
        <v>0</v>
      </c>
      <c r="I564" s="661"/>
      <c r="J564" s="662">
        <f t="shared" ref="J564" si="7546">IF(I564=0,0,I564/I$4)</f>
        <v>0</v>
      </c>
      <c r="K564" s="661"/>
      <c r="L564" s="662">
        <f t="shared" ref="L564" si="7547">IF(K564=0,0,K564/K$4)</f>
        <v>0</v>
      </c>
      <c r="M564" s="661"/>
      <c r="N564" s="662">
        <f t="shared" ref="N564" si="7548">IF(M564=0,0,M564/M$4)</f>
        <v>0</v>
      </c>
      <c r="O564" s="661"/>
      <c r="P564" s="662">
        <f t="shared" ref="P564" si="7549">IF(O564=0,0,O564/O$4)</f>
        <v>0</v>
      </c>
      <c r="Q564" s="661"/>
      <c r="R564" s="662">
        <f t="shared" ref="R564" si="7550">IF(Q564=0,0,Q564/Q$4)</f>
        <v>0</v>
      </c>
      <c r="S564" s="661"/>
      <c r="T564" s="662">
        <f t="shared" ref="T564" si="7551">IF(S564=0,0,S564/S$4)</f>
        <v>0</v>
      </c>
      <c r="U564" s="661"/>
      <c r="V564" s="662">
        <f t="shared" ref="V564" si="7552">IF(U564=0,0,U564/U$4)</f>
        <v>0</v>
      </c>
      <c r="W564" s="661"/>
      <c r="X564" s="662">
        <f t="shared" ref="X564" si="7553">IF(W564=0,0,W564/W$4)</f>
        <v>0</v>
      </c>
      <c r="Y564" s="661"/>
      <c r="Z564" s="662">
        <f t="shared" ref="Z564" si="7554">IF(Y564=0,0,Y564/Y$4)</f>
        <v>0</v>
      </c>
      <c r="AA564" s="661"/>
      <c r="AB564" s="662">
        <f t="shared" ref="AB564" si="7555">IF(AA564=0,0,AA564/AA$4)</f>
        <v>0</v>
      </c>
      <c r="AC564" s="661">
        <f t="shared" si="7351"/>
        <v>0</v>
      </c>
      <c r="AD564" s="662">
        <f t="shared" ref="AD564" si="7556">IF(AC564=0,0,AC564/AC$4)</f>
        <v>0</v>
      </c>
      <c r="AE564" s="665"/>
      <c r="AF564" s="114"/>
      <c r="AG564" s="114"/>
      <c r="AH564" s="114"/>
      <c r="AI564" s="114"/>
      <c r="AJ564" s="114"/>
    </row>
    <row r="565" spans="1:36" s="68" customFormat="1" ht="30" hidden="1" outlineLevel="3">
      <c r="A565" s="117"/>
      <c r="B565" s="118" t="str">
        <f>"СМР - "&amp;Калькулятор_жилье!D577</f>
        <v>СМР - Отдельно стоящая поликлиника
 на кол-во посещений в смену</v>
      </c>
      <c r="C565" s="661">
        <f>Калькулятор_жилье!K577</f>
        <v>0</v>
      </c>
      <c r="D565" s="662">
        <f t="shared" si="6986"/>
        <v>0</v>
      </c>
      <c r="E565" s="661"/>
      <c r="F565" s="662">
        <f t="shared" si="6986"/>
        <v>0</v>
      </c>
      <c r="G565" s="661"/>
      <c r="H565" s="662">
        <f t="shared" ref="H565" si="7557">IF(G565=0,0,G565/G$4)</f>
        <v>0</v>
      </c>
      <c r="I565" s="661"/>
      <c r="J565" s="662">
        <f t="shared" ref="J565" si="7558">IF(I565=0,0,I565/I$4)</f>
        <v>0</v>
      </c>
      <c r="K565" s="661"/>
      <c r="L565" s="662">
        <f t="shared" ref="L565" si="7559">IF(K565=0,0,K565/K$4)</f>
        <v>0</v>
      </c>
      <c r="M565" s="661"/>
      <c r="N565" s="662">
        <f t="shared" ref="N565" si="7560">IF(M565=0,0,M565/M$4)</f>
        <v>0</v>
      </c>
      <c r="O565" s="661"/>
      <c r="P565" s="662">
        <f t="shared" ref="P565" si="7561">IF(O565=0,0,O565/O$4)</f>
        <v>0</v>
      </c>
      <c r="Q565" s="661"/>
      <c r="R565" s="662">
        <f t="shared" ref="R565" si="7562">IF(Q565=0,0,Q565/Q$4)</f>
        <v>0</v>
      </c>
      <c r="S565" s="661"/>
      <c r="T565" s="662">
        <f t="shared" ref="T565" si="7563">IF(S565=0,0,S565/S$4)</f>
        <v>0</v>
      </c>
      <c r="U565" s="661"/>
      <c r="V565" s="662">
        <f t="shared" ref="V565" si="7564">IF(U565=0,0,U565/U$4)</f>
        <v>0</v>
      </c>
      <c r="W565" s="661"/>
      <c r="X565" s="662">
        <f t="shared" ref="X565" si="7565">IF(W565=0,0,W565/W$4)</f>
        <v>0</v>
      </c>
      <c r="Y565" s="661"/>
      <c r="Z565" s="662">
        <f t="shared" ref="Z565" si="7566">IF(Y565=0,0,Y565/Y$4)</f>
        <v>0</v>
      </c>
      <c r="AA565" s="661"/>
      <c r="AB565" s="662">
        <f t="shared" ref="AB565" si="7567">IF(AA565=0,0,AA565/AA$4)</f>
        <v>0</v>
      </c>
      <c r="AC565" s="661">
        <f t="shared" si="7351"/>
        <v>0</v>
      </c>
      <c r="AD565" s="662">
        <f t="shared" ref="AD565" si="7568">IF(AC565=0,0,AC565/AC$4)</f>
        <v>0</v>
      </c>
      <c r="AE565" s="665"/>
      <c r="AF565" s="114"/>
      <c r="AG565" s="114"/>
      <c r="AH565" s="114"/>
      <c r="AI565" s="114"/>
      <c r="AJ565" s="114"/>
    </row>
    <row r="566" spans="1:36" s="556" customFormat="1" ht="15.75" hidden="1" outlineLevel="2">
      <c r="A566" s="609" t="s">
        <v>1265</v>
      </c>
      <c r="B566" s="559" t="s">
        <v>266</v>
      </c>
      <c r="C566" s="659">
        <f>Калькулятор_жилье!K560</f>
        <v>0</v>
      </c>
      <c r="D566" s="660">
        <f t="shared" si="6986"/>
        <v>0</v>
      </c>
      <c r="E566" s="659"/>
      <c r="F566" s="660">
        <f t="shared" si="6986"/>
        <v>0</v>
      </c>
      <c r="G566" s="659"/>
      <c r="H566" s="660">
        <f t="shared" ref="H566" si="7569">IF(G566=0,0,G566/G$4)</f>
        <v>0</v>
      </c>
      <c r="I566" s="659"/>
      <c r="J566" s="660">
        <f t="shared" ref="J566" si="7570">IF(I566=0,0,I566/I$4)</f>
        <v>0</v>
      </c>
      <c r="K566" s="659"/>
      <c r="L566" s="660">
        <f t="shared" ref="L566" si="7571">IF(K566=0,0,K566/K$4)</f>
        <v>0</v>
      </c>
      <c r="M566" s="659"/>
      <c r="N566" s="660">
        <f t="shared" ref="N566" si="7572">IF(M566=0,0,M566/M$4)</f>
        <v>0</v>
      </c>
      <c r="O566" s="659"/>
      <c r="P566" s="660">
        <f t="shared" ref="P566" si="7573">IF(O566=0,0,O566/O$4)</f>
        <v>0</v>
      </c>
      <c r="Q566" s="659"/>
      <c r="R566" s="660">
        <f t="shared" ref="R566" si="7574">IF(Q566=0,0,Q566/Q$4)</f>
        <v>0</v>
      </c>
      <c r="S566" s="659"/>
      <c r="T566" s="660">
        <f t="shared" ref="T566" si="7575">IF(S566=0,0,S566/S$4)</f>
        <v>0</v>
      </c>
      <c r="U566" s="659"/>
      <c r="V566" s="660">
        <f t="shared" ref="V566" si="7576">IF(U566=0,0,U566/U$4)</f>
        <v>0</v>
      </c>
      <c r="W566" s="659"/>
      <c r="X566" s="660">
        <f t="shared" ref="X566" si="7577">IF(W566=0,0,W566/W$4)</f>
        <v>0</v>
      </c>
      <c r="Y566" s="659"/>
      <c r="Z566" s="660">
        <f t="shared" ref="Z566" si="7578">IF(Y566=0,0,Y566/Y$4)</f>
        <v>0</v>
      </c>
      <c r="AA566" s="659"/>
      <c r="AB566" s="660">
        <f t="shared" ref="AB566" si="7579">IF(AA566=0,0,AA566/AA$4)</f>
        <v>0</v>
      </c>
      <c r="AC566" s="659">
        <f t="shared" si="7351"/>
        <v>0</v>
      </c>
      <c r="AD566" s="660">
        <f t="shared" ref="AD566" si="7580">IF(AC566=0,0,AC566/AC$4)</f>
        <v>0</v>
      </c>
      <c r="AE566" s="654"/>
    </row>
    <row r="567" spans="1:36" s="556" customFormat="1" ht="15.75" outlineLevel="1" collapsed="1">
      <c r="A567" s="610" t="s">
        <v>1618</v>
      </c>
      <c r="B567" s="558" t="s">
        <v>1263</v>
      </c>
      <c r="C567" s="657">
        <f>C568</f>
        <v>0</v>
      </c>
      <c r="D567" s="658">
        <f t="shared" si="6986"/>
        <v>0</v>
      </c>
      <c r="E567" s="657">
        <f t="shared" ref="E567" si="7581">E568</f>
        <v>0</v>
      </c>
      <c r="F567" s="658">
        <f t="shared" si="6986"/>
        <v>0</v>
      </c>
      <c r="G567" s="657">
        <f t="shared" ref="G567" si="7582">G568</f>
        <v>0</v>
      </c>
      <c r="H567" s="658">
        <f t="shared" ref="H567" si="7583">IF(G567=0,0,G567/G$4)</f>
        <v>0</v>
      </c>
      <c r="I567" s="657">
        <f t="shared" ref="I567" si="7584">I568</f>
        <v>0</v>
      </c>
      <c r="J567" s="658">
        <f t="shared" ref="J567" si="7585">IF(I567=0,0,I567/I$4)</f>
        <v>0</v>
      </c>
      <c r="K567" s="657">
        <f t="shared" ref="K567" si="7586">K568</f>
        <v>0</v>
      </c>
      <c r="L567" s="658">
        <f t="shared" ref="L567" si="7587">IF(K567=0,0,K567/K$4)</f>
        <v>0</v>
      </c>
      <c r="M567" s="657">
        <f t="shared" ref="M567" si="7588">M568</f>
        <v>0</v>
      </c>
      <c r="N567" s="658">
        <f t="shared" ref="N567" si="7589">IF(M567=0,0,M567/M$4)</f>
        <v>0</v>
      </c>
      <c r="O567" s="657">
        <f t="shared" ref="O567" si="7590">O568</f>
        <v>0</v>
      </c>
      <c r="P567" s="658">
        <f t="shared" ref="P567" si="7591">IF(O567=0,0,O567/O$4)</f>
        <v>0</v>
      </c>
      <c r="Q567" s="657">
        <f t="shared" ref="Q567" si="7592">Q568</f>
        <v>0</v>
      </c>
      <c r="R567" s="658">
        <f t="shared" ref="R567" si="7593">IF(Q567=0,0,Q567/Q$4)</f>
        <v>0</v>
      </c>
      <c r="S567" s="657">
        <f t="shared" ref="S567" si="7594">S568</f>
        <v>0</v>
      </c>
      <c r="T567" s="658">
        <f t="shared" ref="T567" si="7595">IF(S567=0,0,S567/S$4)</f>
        <v>0</v>
      </c>
      <c r="U567" s="657">
        <f t="shared" ref="U567" si="7596">U568</f>
        <v>0</v>
      </c>
      <c r="V567" s="658">
        <f t="shared" ref="V567" si="7597">IF(U567=0,0,U567/U$4)</f>
        <v>0</v>
      </c>
      <c r="W567" s="657">
        <f t="shared" ref="W567" si="7598">W568</f>
        <v>0</v>
      </c>
      <c r="X567" s="658">
        <f t="shared" ref="X567" si="7599">IF(W567=0,0,W567/W$4)</f>
        <v>0</v>
      </c>
      <c r="Y567" s="657">
        <f t="shared" ref="Y567" si="7600">Y568</f>
        <v>0</v>
      </c>
      <c r="Z567" s="658">
        <f t="shared" ref="Z567" si="7601">IF(Y567=0,0,Y567/Y$4)</f>
        <v>0</v>
      </c>
      <c r="AA567" s="657">
        <f t="shared" ref="AA567" si="7602">AA568</f>
        <v>0</v>
      </c>
      <c r="AB567" s="658">
        <f t="shared" ref="AB567" si="7603">IF(AA567=0,0,AA567/AA$4)</f>
        <v>0</v>
      </c>
      <c r="AC567" s="657">
        <f t="shared" ref="AC567" si="7604">AC568</f>
        <v>0</v>
      </c>
      <c r="AD567" s="658">
        <f t="shared" ref="AD567" si="7605">IF(AC567=0,0,AC567/AC$4)</f>
        <v>0</v>
      </c>
      <c r="AE567" s="654"/>
    </row>
    <row r="568" spans="1:36" s="556" customFormat="1" ht="15.75" hidden="1" outlineLevel="2" collapsed="1">
      <c r="A568" s="609" t="s">
        <v>1621</v>
      </c>
      <c r="B568" s="559" t="s">
        <v>1263</v>
      </c>
      <c r="C568" s="659"/>
      <c r="D568" s="660">
        <f t="shared" si="6986"/>
        <v>0</v>
      </c>
      <c r="E568" s="659"/>
      <c r="F568" s="660">
        <f t="shared" si="6986"/>
        <v>0</v>
      </c>
      <c r="G568" s="659"/>
      <c r="H568" s="660">
        <f t="shared" ref="H568" si="7606">IF(G568=0,0,G568/G$4)</f>
        <v>0</v>
      </c>
      <c r="I568" s="659"/>
      <c r="J568" s="660">
        <f t="shared" ref="J568" si="7607">IF(I568=0,0,I568/I$4)</f>
        <v>0</v>
      </c>
      <c r="K568" s="659"/>
      <c r="L568" s="660">
        <f t="shared" ref="L568" si="7608">IF(K568=0,0,K568/K$4)</f>
        <v>0</v>
      </c>
      <c r="M568" s="659"/>
      <c r="N568" s="660">
        <f t="shared" ref="N568" si="7609">IF(M568=0,0,M568/M$4)</f>
        <v>0</v>
      </c>
      <c r="O568" s="659"/>
      <c r="P568" s="660">
        <f t="shared" ref="P568" si="7610">IF(O568=0,0,O568/O$4)</f>
        <v>0</v>
      </c>
      <c r="Q568" s="659"/>
      <c r="R568" s="660">
        <f t="shared" ref="R568" si="7611">IF(Q568=0,0,Q568/Q$4)</f>
        <v>0</v>
      </c>
      <c r="S568" s="659"/>
      <c r="T568" s="660">
        <f t="shared" ref="T568" si="7612">IF(S568=0,0,S568/S$4)</f>
        <v>0</v>
      </c>
      <c r="U568" s="659"/>
      <c r="V568" s="660">
        <f t="shared" ref="V568" si="7613">IF(U568=0,0,U568/U$4)</f>
        <v>0</v>
      </c>
      <c r="W568" s="659"/>
      <c r="X568" s="660">
        <f t="shared" ref="X568" si="7614">IF(W568=0,0,W568/W$4)</f>
        <v>0</v>
      </c>
      <c r="Y568" s="659"/>
      <c r="Z568" s="660">
        <f t="shared" ref="Z568" si="7615">IF(Y568=0,0,Y568/Y$4)</f>
        <v>0</v>
      </c>
      <c r="AA568" s="659"/>
      <c r="AB568" s="660">
        <f t="shared" ref="AB568" si="7616">IF(AA568=0,0,AA568/AA$4)</f>
        <v>0</v>
      </c>
      <c r="AC568" s="659">
        <f>C568+E568+G568+I568+K568+M568+O568+Q568+S568+U568+W568+AA568+Y568</f>
        <v>0</v>
      </c>
      <c r="AD568" s="660">
        <f t="shared" ref="AD568" si="7617">IF(AC568=0,0,AC568/AC$4)</f>
        <v>0</v>
      </c>
      <c r="AE568" s="654"/>
    </row>
    <row r="569" spans="1:36" s="556" customFormat="1" ht="15.75">
      <c r="A569" s="611" t="s">
        <v>1262</v>
      </c>
      <c r="B569" s="557" t="s">
        <v>1261</v>
      </c>
      <c r="C569" s="655">
        <f>C570+C572+C598</f>
        <v>74239923.409160122</v>
      </c>
      <c r="D569" s="656">
        <f t="shared" si="6986"/>
        <v>461.0805253303804</v>
      </c>
      <c r="E569" s="655">
        <f t="shared" ref="E569" si="7618">E570+E572+E598</f>
        <v>0</v>
      </c>
      <c r="F569" s="656">
        <f t="shared" si="6986"/>
        <v>0</v>
      </c>
      <c r="G569" s="655">
        <f t="shared" ref="G569" si="7619">G570+G572+G598</f>
        <v>15707015.052151257</v>
      </c>
      <c r="H569" s="656">
        <f t="shared" ref="H569" si="7620">IF(G569=0,0,G569/G$4)</f>
        <v>376.26247975222441</v>
      </c>
      <c r="I569" s="655">
        <f t="shared" ref="I569" si="7621">I570+I572+I598</f>
        <v>13506658.668687526</v>
      </c>
      <c r="J569" s="656">
        <f t="shared" ref="J569" si="7622">IF(I569=0,0,I569/I$4)</f>
        <v>460.29702814489593</v>
      </c>
      <c r="K569" s="655">
        <f t="shared" ref="K569" si="7623">K570+K572+K598</f>
        <v>15659525.346033335</v>
      </c>
      <c r="L569" s="656">
        <f t="shared" ref="L569" si="7624">IF(K569=0,0,K569/K$4)</f>
        <v>367.81090625252222</v>
      </c>
      <c r="M569" s="655">
        <f t="shared" ref="M569" si="7625">M570+M572+M598</f>
        <v>311896.61835376668</v>
      </c>
      <c r="N569" s="656">
        <f t="shared" ref="N569" si="7626">IF(M569=0,0,M569/M$4)</f>
        <v>72.419573315168265</v>
      </c>
      <c r="O569" s="655">
        <f t="shared" ref="O569" si="7627">O570+O572+O598</f>
        <v>0</v>
      </c>
      <c r="P569" s="656">
        <f t="shared" ref="P569" si="7628">IF(O569=0,0,O569/O$4)</f>
        <v>0</v>
      </c>
      <c r="Q569" s="655">
        <f t="shared" ref="Q569" si="7629">Q570+Q572+Q598</f>
        <v>0</v>
      </c>
      <c r="R569" s="656">
        <f t="shared" ref="R569" si="7630">IF(Q569=0,0,Q569/Q$4)</f>
        <v>0</v>
      </c>
      <c r="S569" s="655">
        <f t="shared" ref="S569" si="7631">S570+S572+S598</f>
        <v>0</v>
      </c>
      <c r="T569" s="656">
        <f t="shared" ref="T569" si="7632">IF(S569=0,0,S569/S$4)</f>
        <v>0</v>
      </c>
      <c r="U569" s="655">
        <f t="shared" ref="U569" si="7633">U570+U572+U598</f>
        <v>0</v>
      </c>
      <c r="V569" s="656">
        <f t="shared" ref="V569" si="7634">IF(U569=0,0,U569/U$4)</f>
        <v>0</v>
      </c>
      <c r="W569" s="655">
        <f t="shared" ref="W569" si="7635">W570+W572+W598</f>
        <v>0</v>
      </c>
      <c r="X569" s="656">
        <f t="shared" ref="X569" si="7636">IF(W569=0,0,W569/W$4)</f>
        <v>0</v>
      </c>
      <c r="Y569" s="655">
        <f t="shared" ref="Y569" si="7637">Y570+Y572+Y598</f>
        <v>0</v>
      </c>
      <c r="Z569" s="656">
        <f t="shared" ref="Z569" si="7638">IF(Y569=0,0,Y569/Y$4)</f>
        <v>0</v>
      </c>
      <c r="AA569" s="655">
        <f t="shared" ref="AA569" si="7639">AA570+AA572+AA598</f>
        <v>0</v>
      </c>
      <c r="AB569" s="656">
        <f t="shared" ref="AB569" si="7640">IF(AA569=0,0,AA569/AA$4)</f>
        <v>0</v>
      </c>
      <c r="AC569" s="655">
        <f t="shared" ref="AC569" si="7641">AC570+AC572+AC598</f>
        <v>119425019.09438601</v>
      </c>
      <c r="AD569" s="656">
        <f t="shared" ref="AD569" si="7642">IF(AC569=0,0,AC569/AC$4)</f>
        <v>741.71076710507555</v>
      </c>
      <c r="AE569" s="654"/>
    </row>
    <row r="570" spans="1:36" s="556" customFormat="1" ht="15.75" outlineLevel="1" collapsed="1">
      <c r="A570" s="610" t="s">
        <v>1260</v>
      </c>
      <c r="B570" s="558" t="s">
        <v>49</v>
      </c>
      <c r="C570" s="657">
        <f>C571</f>
        <v>52692503.97630851</v>
      </c>
      <c r="D570" s="658">
        <f t="shared" si="6986"/>
        <v>327.25636421348702</v>
      </c>
      <c r="E570" s="657"/>
      <c r="F570" s="658">
        <f t="shared" si="6986"/>
        <v>0</v>
      </c>
      <c r="G570" s="657"/>
      <c r="H570" s="658">
        <f t="shared" ref="H570" si="7643">IF(G570=0,0,G570/G$4)</f>
        <v>0</v>
      </c>
      <c r="I570" s="657"/>
      <c r="J570" s="658">
        <f t="shared" ref="J570" si="7644">IF(I570=0,0,I570/I$4)</f>
        <v>0</v>
      </c>
      <c r="K570" s="657"/>
      <c r="L570" s="658">
        <f t="shared" ref="L570" si="7645">IF(K570=0,0,K570/K$4)</f>
        <v>0</v>
      </c>
      <c r="M570" s="657"/>
      <c r="N570" s="658">
        <f t="shared" ref="N570" si="7646">IF(M570=0,0,M570/M$4)</f>
        <v>0</v>
      </c>
      <c r="O570" s="657"/>
      <c r="P570" s="658">
        <f t="shared" ref="P570" si="7647">IF(O570=0,0,O570/O$4)</f>
        <v>0</v>
      </c>
      <c r="Q570" s="657"/>
      <c r="R570" s="658">
        <f t="shared" ref="R570" si="7648">IF(Q570=0,0,Q570/Q$4)</f>
        <v>0</v>
      </c>
      <c r="S570" s="657"/>
      <c r="T570" s="658">
        <f t="shared" ref="T570" si="7649">IF(S570=0,0,S570/S$4)</f>
        <v>0</v>
      </c>
      <c r="U570" s="657"/>
      <c r="V570" s="658">
        <f t="shared" ref="V570" si="7650">IF(U570=0,0,U570/U$4)</f>
        <v>0</v>
      </c>
      <c r="W570" s="657"/>
      <c r="X570" s="658">
        <f t="shared" ref="X570" si="7651">IF(W570=0,0,W570/W$4)</f>
        <v>0</v>
      </c>
      <c r="Y570" s="657"/>
      <c r="Z570" s="658">
        <f t="shared" ref="Z570" si="7652">IF(Y570=0,0,Y570/Y$4)</f>
        <v>0</v>
      </c>
      <c r="AA570" s="657"/>
      <c r="AB570" s="658">
        <f t="shared" ref="AB570" si="7653">IF(AA570=0,0,AA570/AA$4)</f>
        <v>0</v>
      </c>
      <c r="AC570" s="657">
        <f>AC571</f>
        <v>52692503.97630851</v>
      </c>
      <c r="AD570" s="658">
        <f t="shared" ref="AD570" si="7654">IF(AC570=0,0,AC570/AC$4)</f>
        <v>327.25636421348702</v>
      </c>
      <c r="AE570" s="654"/>
    </row>
    <row r="571" spans="1:36" s="68" customFormat="1" hidden="1" outlineLevel="2">
      <c r="A571" s="117"/>
      <c r="B571" s="118" t="s">
        <v>49</v>
      </c>
      <c r="C571" s="661">
        <f>Калькулятор_жилье!K603</f>
        <v>52692503.97630851</v>
      </c>
      <c r="D571" s="662">
        <f t="shared" si="6986"/>
        <v>327.25636421348702</v>
      </c>
      <c r="E571" s="661"/>
      <c r="F571" s="662">
        <f t="shared" si="6986"/>
        <v>0</v>
      </c>
      <c r="G571" s="661"/>
      <c r="H571" s="662">
        <f t="shared" ref="H571" si="7655">IF(G571=0,0,G571/G$4)</f>
        <v>0</v>
      </c>
      <c r="I571" s="661"/>
      <c r="J571" s="662">
        <f t="shared" ref="J571" si="7656">IF(I571=0,0,I571/I$4)</f>
        <v>0</v>
      </c>
      <c r="K571" s="661"/>
      <c r="L571" s="662">
        <f t="shared" ref="L571" si="7657">IF(K571=0,0,K571/K$4)</f>
        <v>0</v>
      </c>
      <c r="M571" s="661"/>
      <c r="N571" s="662">
        <f t="shared" ref="N571" si="7658">IF(M571=0,0,M571/M$4)</f>
        <v>0</v>
      </c>
      <c r="O571" s="661"/>
      <c r="P571" s="662">
        <f t="shared" ref="P571" si="7659">IF(O571=0,0,O571/O$4)</f>
        <v>0</v>
      </c>
      <c r="Q571" s="661"/>
      <c r="R571" s="662">
        <f t="shared" ref="R571" si="7660">IF(Q571=0,0,Q571/Q$4)</f>
        <v>0</v>
      </c>
      <c r="S571" s="661"/>
      <c r="T571" s="662">
        <f t="shared" ref="T571" si="7661">IF(S571=0,0,S571/S$4)</f>
        <v>0</v>
      </c>
      <c r="U571" s="661"/>
      <c r="V571" s="662">
        <f t="shared" ref="V571" si="7662">IF(U571=0,0,U571/U$4)</f>
        <v>0</v>
      </c>
      <c r="W571" s="661"/>
      <c r="X571" s="662">
        <f t="shared" ref="X571" si="7663">IF(W571=0,0,W571/W$4)</f>
        <v>0</v>
      </c>
      <c r="Y571" s="661"/>
      <c r="Z571" s="662">
        <f t="shared" ref="Z571" si="7664">IF(Y571=0,0,Y571/Y$4)</f>
        <v>0</v>
      </c>
      <c r="AA571" s="661"/>
      <c r="AB571" s="662">
        <f t="shared" ref="AB571" si="7665">IF(AA571=0,0,AA571/AA$4)</f>
        <v>0</v>
      </c>
      <c r="AC571" s="661">
        <f>C571+E571+G571+I571+K571+M571+O571+Q571+S571+U571+W571+AA571+Y571</f>
        <v>52692503.97630851</v>
      </c>
      <c r="AD571" s="662">
        <f t="shared" ref="AD571" si="7666">IF(AC571=0,0,AC571/AC$4)</f>
        <v>327.25636421348702</v>
      </c>
      <c r="AE571" s="665"/>
      <c r="AF571" s="114"/>
      <c r="AG571" s="114"/>
      <c r="AH571" s="114"/>
      <c r="AI571" s="114"/>
      <c r="AJ571" s="114"/>
    </row>
    <row r="572" spans="1:36" s="556" customFormat="1" ht="15.75" outlineLevel="1" collapsed="1">
      <c r="A572" s="610" t="s">
        <v>1259</v>
      </c>
      <c r="B572" s="558" t="s">
        <v>98</v>
      </c>
      <c r="C572" s="657">
        <f>SUM(C573,C587,C590,C592:C593,C595,C597)</f>
        <v>0</v>
      </c>
      <c r="D572" s="658">
        <f t="shared" si="6986"/>
        <v>0</v>
      </c>
      <c r="E572" s="657">
        <f t="shared" ref="E572" si="7667">SUM(E573,E587,E590,E592:E593,E595,E597)</f>
        <v>0</v>
      </c>
      <c r="F572" s="658">
        <f t="shared" si="6986"/>
        <v>0</v>
      </c>
      <c r="G572" s="657">
        <f t="shared" ref="G572" si="7668">SUM(G573,G587,G590,G592:G593,G595,G597)</f>
        <v>15707015.052151257</v>
      </c>
      <c r="H572" s="658">
        <f t="shared" ref="H572" si="7669">IF(G572=0,0,G572/G$4)</f>
        <v>376.26247975222441</v>
      </c>
      <c r="I572" s="657">
        <f t="shared" ref="I572" si="7670">SUM(I573,I587,I590,I592:I593,I595,I597)</f>
        <v>13506658.668687526</v>
      </c>
      <c r="J572" s="658">
        <f t="shared" ref="J572" si="7671">IF(I572=0,0,I572/I$4)</f>
        <v>460.29702814489593</v>
      </c>
      <c r="K572" s="657">
        <f t="shared" ref="K572" si="7672">SUM(K573,K587,K590,K592:K593,K595,K597)</f>
        <v>15659525.346033335</v>
      </c>
      <c r="L572" s="658">
        <f t="shared" ref="L572" si="7673">IF(K572=0,0,K572/K$4)</f>
        <v>367.81090625252222</v>
      </c>
      <c r="M572" s="657">
        <f t="shared" ref="M572" si="7674">SUM(M573,M587,M590,M592:M593,M595,M597)</f>
        <v>311896.61835376668</v>
      </c>
      <c r="N572" s="658">
        <f t="shared" ref="N572" si="7675">IF(M572=0,0,M572/M$4)</f>
        <v>72.419573315168265</v>
      </c>
      <c r="O572" s="657">
        <f t="shared" ref="O572" si="7676">SUM(O573,O587,O590,O592:O593,O595,O597)</f>
        <v>0</v>
      </c>
      <c r="P572" s="658">
        <f t="shared" ref="P572" si="7677">IF(O572=0,0,O572/O$4)</f>
        <v>0</v>
      </c>
      <c r="Q572" s="657">
        <f t="shared" ref="Q572" si="7678">SUM(Q573,Q587,Q590,Q592:Q593,Q595,Q597)</f>
        <v>0</v>
      </c>
      <c r="R572" s="658">
        <f t="shared" ref="R572" si="7679">IF(Q572=0,0,Q572/Q$4)</f>
        <v>0</v>
      </c>
      <c r="S572" s="657">
        <f t="shared" ref="S572" si="7680">SUM(S573,S587,S590,S592:S593,S595,S597)</f>
        <v>0</v>
      </c>
      <c r="T572" s="658">
        <f t="shared" ref="T572" si="7681">IF(S572=0,0,S572/S$4)</f>
        <v>0</v>
      </c>
      <c r="U572" s="657">
        <f t="shared" ref="U572" si="7682">SUM(U573,U587,U590,U592:U593,U595,U597)</f>
        <v>0</v>
      </c>
      <c r="V572" s="658">
        <f t="shared" ref="V572" si="7683">IF(U572=0,0,U572/U$4)</f>
        <v>0</v>
      </c>
      <c r="W572" s="657">
        <f t="shared" ref="W572" si="7684">SUM(W573,W587,W590,W592:W593,W595,W597)</f>
        <v>0</v>
      </c>
      <c r="X572" s="658">
        <f t="shared" ref="X572" si="7685">IF(W572=0,0,W572/W$4)</f>
        <v>0</v>
      </c>
      <c r="Y572" s="657">
        <f t="shared" ref="Y572" si="7686">SUM(Y573,Y587,Y590,Y592:Y593,Y595,Y597)</f>
        <v>0</v>
      </c>
      <c r="Z572" s="658">
        <f t="shared" ref="Z572" si="7687">IF(Y572=0,0,Y572/Y$4)</f>
        <v>0</v>
      </c>
      <c r="AA572" s="657">
        <f t="shared" ref="AA572" si="7688">SUM(AA573,AA587,AA590,AA592:AA593,AA595,AA597)</f>
        <v>0</v>
      </c>
      <c r="AB572" s="658">
        <f t="shared" ref="AB572" si="7689">IF(AA572=0,0,AA572/AA$4)</f>
        <v>0</v>
      </c>
      <c r="AC572" s="657">
        <f t="shared" ref="AC572" si="7690">SUM(AC573,AC587,AC590,AC592:AC593,AC595,AC597)</f>
        <v>45185095.685225882</v>
      </c>
      <c r="AD572" s="658">
        <f t="shared" ref="AD572" si="7691">IF(AC572=0,0,AC572/AC$4)</f>
        <v>280.63024177469515</v>
      </c>
      <c r="AE572" s="654"/>
    </row>
    <row r="573" spans="1:36" s="556" customFormat="1" ht="15.75" hidden="1" outlineLevel="2" collapsed="1">
      <c r="A573" s="609" t="s">
        <v>1258</v>
      </c>
      <c r="B573" s="559" t="s">
        <v>1164</v>
      </c>
      <c r="C573" s="659"/>
      <c r="D573" s="660">
        <f t="shared" si="6986"/>
        <v>0</v>
      </c>
      <c r="E573" s="659">
        <f>SUM(E574:E579,E582:E584)</f>
        <v>0</v>
      </c>
      <c r="F573" s="660">
        <f t="shared" si="6986"/>
        <v>0</v>
      </c>
      <c r="G573" s="659">
        <f t="shared" ref="G573" si="7692">SUM(G574:G579,G582:G584)</f>
        <v>13669386.823549287</v>
      </c>
      <c r="H573" s="660">
        <f t="shared" ref="H573" si="7693">IF(G573=0,0,G573/G$4)</f>
        <v>327.45097434770747</v>
      </c>
      <c r="I573" s="659">
        <f t="shared" ref="I573" si="7694">SUM(I574:I579,I582:I584)</f>
        <v>11773563.685255032</v>
      </c>
      <c r="J573" s="660">
        <f t="shared" ref="J573" si="7695">IF(I573=0,0,I573/I$4)</f>
        <v>401.2344213274007</v>
      </c>
      <c r="K573" s="659">
        <f t="shared" ref="K573" si="7696">SUM(K574:K579,K582:K584)</f>
        <v>13628469.777399052</v>
      </c>
      <c r="L573" s="660">
        <f t="shared" ref="L573" si="7697">IF(K573=0,0,K573/K$4)</f>
        <v>320.10547630870605</v>
      </c>
      <c r="M573" s="659">
        <f t="shared" ref="M573" si="7698">SUM(M574:M579,M582:M584)</f>
        <v>292178.63845070713</v>
      </c>
      <c r="N573" s="660">
        <f t="shared" ref="N573" si="7699">IF(M573=0,0,M573/M$4)</f>
        <v>67.841236753670273</v>
      </c>
      <c r="O573" s="659">
        <f t="shared" ref="O573" si="7700">SUM(O574:O579,O582:O584)</f>
        <v>0</v>
      </c>
      <c r="P573" s="660">
        <f t="shared" ref="P573" si="7701">IF(O573=0,0,O573/O$4)</f>
        <v>0</v>
      </c>
      <c r="Q573" s="659">
        <f t="shared" ref="Q573" si="7702">SUM(Q574:Q579,Q582:Q584)</f>
        <v>0</v>
      </c>
      <c r="R573" s="660">
        <f t="shared" ref="R573" si="7703">IF(Q573=0,0,Q573/Q$4)</f>
        <v>0</v>
      </c>
      <c r="S573" s="659">
        <f t="shared" ref="S573" si="7704">SUM(S574:S579,S582:S584)</f>
        <v>0</v>
      </c>
      <c r="T573" s="660">
        <f t="shared" ref="T573" si="7705">IF(S573=0,0,S573/S$4)</f>
        <v>0</v>
      </c>
      <c r="U573" s="659">
        <f t="shared" ref="U573" si="7706">SUM(U574:U579,U582:U584)</f>
        <v>0</v>
      </c>
      <c r="V573" s="660">
        <f t="shared" ref="V573" si="7707">IF(U573=0,0,U573/U$4)</f>
        <v>0</v>
      </c>
      <c r="W573" s="659">
        <f t="shared" ref="W573" si="7708">SUM(W574:W579,W582:W584)</f>
        <v>0</v>
      </c>
      <c r="X573" s="660">
        <f t="shared" ref="X573" si="7709">IF(W573=0,0,W573/W$4)</f>
        <v>0</v>
      </c>
      <c r="Y573" s="659">
        <f t="shared" ref="Y573" si="7710">SUM(Y574:Y579,Y582:Y584)</f>
        <v>0</v>
      </c>
      <c r="Z573" s="660">
        <f t="shared" ref="Z573" si="7711">IF(Y573=0,0,Y573/Y$4)</f>
        <v>0</v>
      </c>
      <c r="AA573" s="659">
        <f t="shared" ref="AA573" si="7712">SUM(AA574:AA579,AA582:AA584)</f>
        <v>0</v>
      </c>
      <c r="AB573" s="660">
        <f t="shared" ref="AB573" si="7713">IF(AA573=0,0,AA573/AA$4)</f>
        <v>0</v>
      </c>
      <c r="AC573" s="659">
        <f>SUM(AC574:AC579,AC582:AC584)</f>
        <v>39363598.924654074</v>
      </c>
      <c r="AD573" s="660">
        <f t="shared" ref="AD573" si="7714">IF(AC573=0,0,AC573/AC$4)</f>
        <v>244.47477903559474</v>
      </c>
      <c r="AE573" s="654"/>
    </row>
    <row r="574" spans="1:36" s="68" customFormat="1" hidden="1" outlineLevel="3">
      <c r="A574" s="117"/>
      <c r="B574" s="118" t="s">
        <v>947</v>
      </c>
      <c r="C574" s="661"/>
      <c r="D574" s="662">
        <f t="shared" si="6986"/>
        <v>0</v>
      </c>
      <c r="E574" s="661"/>
      <c r="F574" s="662">
        <f t="shared" si="6986"/>
        <v>0</v>
      </c>
      <c r="G574" s="661">
        <f>Калькулятор_жилье!M352</f>
        <v>169427.5</v>
      </c>
      <c r="H574" s="662">
        <f t="shared" ref="H574" si="7715">IF(G574=0,0,G574/G$4)</f>
        <v>4.0586458392353046</v>
      </c>
      <c r="I574" s="661">
        <f>Калькулятор_жилье!N352</f>
        <v>169427.5</v>
      </c>
      <c r="J574" s="662">
        <f t="shared" ref="J574" si="7716">IF(I574=0,0,I574/I$4)</f>
        <v>5.7739650234011233</v>
      </c>
      <c r="K574" s="661">
        <f>Калькулятор_жилье!O352</f>
        <v>169427.5</v>
      </c>
      <c r="L574" s="662">
        <f t="shared" ref="L574" si="7717">IF(K574=0,0,K574/K$4)</f>
        <v>3.9795128487010372</v>
      </c>
      <c r="M574" s="661">
        <f>Калькулятор_жилье!P352</f>
        <v>169427.5</v>
      </c>
      <c r="N574" s="662">
        <f t="shared" ref="N574" si="7718">IF(M574=0,0,M574/M$4)</f>
        <v>39.339532831800874</v>
      </c>
      <c r="O574" s="661">
        <f>Калькулятор_жилье!Q352</f>
        <v>0</v>
      </c>
      <c r="P574" s="662">
        <f t="shared" ref="P574" si="7719">IF(O574=0,0,O574/O$4)</f>
        <v>0</v>
      </c>
      <c r="Q574" s="661">
        <f>Калькулятор_жилье!R352</f>
        <v>0</v>
      </c>
      <c r="R574" s="662">
        <f t="shared" ref="R574" si="7720">IF(Q574=0,0,Q574/Q$4)</f>
        <v>0</v>
      </c>
      <c r="S574" s="661">
        <f>Калькулятор_жилье!S352</f>
        <v>0</v>
      </c>
      <c r="T574" s="662">
        <f t="shared" ref="T574" si="7721">IF(S574=0,0,S574/S$4)</f>
        <v>0</v>
      </c>
      <c r="U574" s="661">
        <f>Калькулятор_жилье!T352</f>
        <v>0</v>
      </c>
      <c r="V574" s="662">
        <f t="shared" ref="V574" si="7722">IF(U574=0,0,U574/U$4)</f>
        <v>0</v>
      </c>
      <c r="W574" s="661">
        <f>Калькулятор_жилье!U352</f>
        <v>0</v>
      </c>
      <c r="X574" s="662">
        <f t="shared" ref="X574" si="7723">IF(W574=0,0,W574/W$4)</f>
        <v>0</v>
      </c>
      <c r="Y574" s="661">
        <f>Калькулятор_жилье!V352</f>
        <v>0</v>
      </c>
      <c r="Z574" s="662">
        <f t="shared" ref="Z574" si="7724">IF(Y574=0,0,Y574/Y$4)</f>
        <v>0</v>
      </c>
      <c r="AA574" s="661">
        <f>Калькулятор_жилье!W352</f>
        <v>0</v>
      </c>
      <c r="AB574" s="662">
        <f t="shared" ref="AB574" si="7725">IF(AA574=0,0,AA574/AA$4)</f>
        <v>0</v>
      </c>
      <c r="AC574" s="661">
        <f>C574+E574+G574+I574+K574+M574+O574+Q574+S574+U574+W574+AA574+Y574</f>
        <v>677710</v>
      </c>
      <c r="AD574" s="662">
        <f t="shared" ref="AD574" si="7726">IF(AC574=0,0,AC574/AC$4)</f>
        <v>4.20904101826022</v>
      </c>
      <c r="AE574" s="665"/>
      <c r="AF574" s="114"/>
      <c r="AG574" s="114"/>
      <c r="AH574" s="114"/>
      <c r="AI574" s="114"/>
      <c r="AJ574" s="114"/>
    </row>
    <row r="575" spans="1:36" s="68" customFormat="1" hidden="1" outlineLevel="3">
      <c r="A575" s="117"/>
      <c r="B575" s="118" t="s">
        <v>884</v>
      </c>
      <c r="C575" s="661"/>
      <c r="D575" s="662">
        <f t="shared" si="6986"/>
        <v>0</v>
      </c>
      <c r="E575" s="661"/>
      <c r="F575" s="662">
        <f t="shared" si="6986"/>
        <v>0</v>
      </c>
      <c r="G575" s="661">
        <f>Калькулятор_жилье!M353</f>
        <v>0</v>
      </c>
      <c r="H575" s="662">
        <f t="shared" ref="H575" si="7727">IF(G575=0,0,G575/G$4)</f>
        <v>0</v>
      </c>
      <c r="I575" s="661">
        <f>Калькулятор_жилье!N353</f>
        <v>0</v>
      </c>
      <c r="J575" s="662">
        <f t="shared" ref="J575" si="7728">IF(I575=0,0,I575/I$4)</f>
        <v>0</v>
      </c>
      <c r="K575" s="661">
        <f>Калькулятор_жилье!O353</f>
        <v>0</v>
      </c>
      <c r="L575" s="662">
        <f t="shared" ref="L575" si="7729">IF(K575=0,0,K575/K$4)</f>
        <v>0</v>
      </c>
      <c r="M575" s="661">
        <f>Калькулятор_жилье!P353</f>
        <v>0</v>
      </c>
      <c r="N575" s="662">
        <f t="shared" ref="N575" si="7730">IF(M575=0,0,M575/M$4)</f>
        <v>0</v>
      </c>
      <c r="O575" s="661">
        <f>Калькулятор_жилье!Q353</f>
        <v>0</v>
      </c>
      <c r="P575" s="662">
        <f t="shared" ref="P575" si="7731">IF(O575=0,0,O575/O$4)</f>
        <v>0</v>
      </c>
      <c r="Q575" s="661">
        <f>Калькулятор_жилье!R353</f>
        <v>0</v>
      </c>
      <c r="R575" s="662">
        <f t="shared" ref="R575" si="7732">IF(Q575=0,0,Q575/Q$4)</f>
        <v>0</v>
      </c>
      <c r="S575" s="661">
        <f>Калькулятор_жилье!S353</f>
        <v>0</v>
      </c>
      <c r="T575" s="662">
        <f t="shared" ref="T575" si="7733">IF(S575=0,0,S575/S$4)</f>
        <v>0</v>
      </c>
      <c r="U575" s="661">
        <f>Калькулятор_жилье!T353</f>
        <v>0</v>
      </c>
      <c r="V575" s="662">
        <f t="shared" ref="V575" si="7734">IF(U575=0,0,U575/U$4)</f>
        <v>0</v>
      </c>
      <c r="W575" s="661">
        <f>Калькулятор_жилье!U353</f>
        <v>0</v>
      </c>
      <c r="X575" s="662">
        <f t="shared" ref="X575" si="7735">IF(W575=0,0,W575/W$4)</f>
        <v>0</v>
      </c>
      <c r="Y575" s="661">
        <f>Калькулятор_жилье!V353</f>
        <v>0</v>
      </c>
      <c r="Z575" s="662">
        <f t="shared" ref="Z575" si="7736">IF(Y575=0,0,Y575/Y$4)</f>
        <v>0</v>
      </c>
      <c r="AA575" s="661">
        <f>Калькулятор_жилье!W353</f>
        <v>0</v>
      </c>
      <c r="AB575" s="662">
        <f t="shared" ref="AB575" si="7737">IF(AA575=0,0,AA575/AA$4)</f>
        <v>0</v>
      </c>
      <c r="AC575" s="661">
        <f>C575+E575+G575+I575+K575+M575+O575+Q575+S575+U575+W575+AA575+Y575</f>
        <v>0</v>
      </c>
      <c r="AD575" s="662">
        <f t="shared" ref="AD575" si="7738">IF(AC575=0,0,AC575/AC$4)</f>
        <v>0</v>
      </c>
      <c r="AE575" s="665"/>
      <c r="AF575" s="114"/>
      <c r="AG575" s="114"/>
      <c r="AH575" s="114"/>
      <c r="AI575" s="114"/>
      <c r="AJ575" s="114"/>
    </row>
    <row r="576" spans="1:36" s="68" customFormat="1" hidden="1" outlineLevel="3">
      <c r="A576" s="117"/>
      <c r="B576" s="118" t="s">
        <v>478</v>
      </c>
      <c r="C576" s="661"/>
      <c r="D576" s="662">
        <f t="shared" si="6986"/>
        <v>0</v>
      </c>
      <c r="E576" s="661"/>
      <c r="F576" s="662">
        <f t="shared" si="6986"/>
        <v>0</v>
      </c>
      <c r="G576" s="661">
        <f>Калькулятор_жилье!M354+Калькулятор_жилье!M355</f>
        <v>5155547.8149296995</v>
      </c>
      <c r="H576" s="662">
        <f t="shared" ref="H576" si="7739">IF(G576=0,0,G576/G$4)</f>
        <v>123.50145453390441</v>
      </c>
      <c r="I576" s="661">
        <f>Калькулятор_жилье!N354+Калькулятор_жилье!N355</f>
        <v>3259724.6766354451</v>
      </c>
      <c r="J576" s="662">
        <f t="shared" ref="J576" si="7740">IF(I576=0,0,I576/I$4)</f>
        <v>111.089027866259</v>
      </c>
      <c r="K576" s="661">
        <f>Калькулятор_жилье!O354+Калькулятор_жилье!O355</f>
        <v>5114630.7687794641</v>
      </c>
      <c r="L576" s="662">
        <f t="shared" ref="L576" si="7741">IF(K576=0,0,K576/K$4)</f>
        <v>120.13243930719358</v>
      </c>
      <c r="M576" s="661">
        <f>Калькулятор_жилье!P354+Калькулятор_жилье!P355</f>
        <v>122751.13845070713</v>
      </c>
      <c r="N576" s="662">
        <f t="shared" ref="N576" si="7742">IF(M576=0,0,M576/M$4)</f>
        <v>28.501703921869399</v>
      </c>
      <c r="O576" s="661">
        <f>Калькулятор_жилье!Q354+Калькулятор_жилье!Q355</f>
        <v>0</v>
      </c>
      <c r="P576" s="662">
        <f t="shared" ref="P576" si="7743">IF(O576=0,0,O576/O$4)</f>
        <v>0</v>
      </c>
      <c r="Q576" s="661">
        <f>Калькулятор_жилье!R354+Калькулятор_жилье!R355</f>
        <v>0</v>
      </c>
      <c r="R576" s="662">
        <f t="shared" ref="R576" si="7744">IF(Q576=0,0,Q576/Q$4)</f>
        <v>0</v>
      </c>
      <c r="S576" s="661">
        <f>Калькулятор_жилье!S354+Калькулятор_жилье!S355</f>
        <v>0</v>
      </c>
      <c r="T576" s="662">
        <f t="shared" ref="T576" si="7745">IF(S576=0,0,S576/S$4)</f>
        <v>0</v>
      </c>
      <c r="U576" s="661">
        <f>Калькулятор_жилье!T354+Калькулятор_жилье!T355</f>
        <v>0</v>
      </c>
      <c r="V576" s="662">
        <f t="shared" ref="V576" si="7746">IF(U576=0,0,U576/U$4)</f>
        <v>0</v>
      </c>
      <c r="W576" s="661">
        <f>Калькулятор_жилье!U354+Калькулятор_жилье!U355</f>
        <v>0</v>
      </c>
      <c r="X576" s="662">
        <f t="shared" ref="X576" si="7747">IF(W576=0,0,W576/W$4)</f>
        <v>0</v>
      </c>
      <c r="Y576" s="661">
        <f>Калькулятор_жилье!V354+Калькулятор_жилье!V355</f>
        <v>0</v>
      </c>
      <c r="Z576" s="662">
        <f t="shared" ref="Z576" si="7748">IF(Y576=0,0,Y576/Y$4)</f>
        <v>0</v>
      </c>
      <c r="AA576" s="661">
        <f>Калькулятор_жилье!W354+Калькулятор_жилье!W355</f>
        <v>0</v>
      </c>
      <c r="AB576" s="662">
        <f t="shared" ref="AB576" si="7749">IF(AA576=0,0,AA576/AA$4)</f>
        <v>0</v>
      </c>
      <c r="AC576" s="661">
        <f>C576+E576+G576+I576+K576+M576+O576+Q576+S576+U576+W576+AA576+Y576</f>
        <v>13652654.398795316</v>
      </c>
      <c r="AD576" s="662">
        <f t="shared" ref="AD576" si="7750">IF(AC576=0,0,AC576/AC$4)</f>
        <v>84.792289286952112</v>
      </c>
      <c r="AE576" s="665"/>
      <c r="AF576" s="114"/>
      <c r="AG576" s="114"/>
      <c r="AH576" s="114"/>
      <c r="AI576" s="114"/>
      <c r="AJ576" s="114"/>
    </row>
    <row r="577" spans="1:36" s="68" customFormat="1" hidden="1" outlineLevel="3">
      <c r="A577" s="117"/>
      <c r="B577" s="118" t="s">
        <v>890</v>
      </c>
      <c r="C577" s="661"/>
      <c r="D577" s="662">
        <f t="shared" si="6986"/>
        <v>0</v>
      </c>
      <c r="E577" s="661"/>
      <c r="F577" s="662">
        <f t="shared" si="6986"/>
        <v>0</v>
      </c>
      <c r="G577" s="661">
        <f>SUM(Калькулятор_жилье!M358:M360)</f>
        <v>1608362.8441478293</v>
      </c>
      <c r="H577" s="662">
        <f t="shared" ref="H577" si="7751">IF(G577=0,0,G577/G$4)</f>
        <v>38.52842758927121</v>
      </c>
      <c r="I577" s="661">
        <f>SUM(Калькулятор_жилье!N358:N360)</f>
        <v>1608362.8441478293</v>
      </c>
      <c r="J577" s="662">
        <f t="shared" ref="J577" si="7752">IF(I577=0,0,I577/I$4)</f>
        <v>54.811826929202866</v>
      </c>
      <c r="K577" s="661">
        <f>SUM(Калькулятор_жилье!O358:O360)</f>
        <v>1608362.8441478293</v>
      </c>
      <c r="L577" s="662">
        <f t="shared" ref="L577" si="7753">IF(K577=0,0,K577/K$4)</f>
        <v>37.777223907923037</v>
      </c>
      <c r="M577" s="661">
        <f>SUM(Калькулятор_жилье!P358:P360)</f>
        <v>0</v>
      </c>
      <c r="N577" s="662">
        <f t="shared" ref="N577" si="7754">IF(M577=0,0,M577/M$4)</f>
        <v>0</v>
      </c>
      <c r="O577" s="661">
        <f>SUM(Калькулятор_жилье!Q358:Q360)</f>
        <v>0</v>
      </c>
      <c r="P577" s="662">
        <f t="shared" ref="P577" si="7755">IF(O577=0,0,O577/O$4)</f>
        <v>0</v>
      </c>
      <c r="Q577" s="661">
        <f>SUM(Калькулятор_жилье!R358:R360)</f>
        <v>0</v>
      </c>
      <c r="R577" s="662">
        <f t="shared" ref="R577" si="7756">IF(Q577=0,0,Q577/Q$4)</f>
        <v>0</v>
      </c>
      <c r="S577" s="661">
        <f>SUM(Калькулятор_жилье!S358:S360)</f>
        <v>0</v>
      </c>
      <c r="T577" s="662">
        <f t="shared" ref="T577" si="7757">IF(S577=0,0,S577/S$4)</f>
        <v>0</v>
      </c>
      <c r="U577" s="661">
        <f>SUM(Калькулятор_жилье!T358:T360)</f>
        <v>0</v>
      </c>
      <c r="V577" s="662">
        <f t="shared" ref="V577" si="7758">IF(U577=0,0,U577/U$4)</f>
        <v>0</v>
      </c>
      <c r="W577" s="661">
        <f>SUM(Калькулятор_жилье!U358:U360)</f>
        <v>0</v>
      </c>
      <c r="X577" s="662">
        <f t="shared" ref="X577" si="7759">IF(W577=0,0,W577/W$4)</f>
        <v>0</v>
      </c>
      <c r="Y577" s="661">
        <f>SUM(Калькулятор_жилье!V358:V360)</f>
        <v>0</v>
      </c>
      <c r="Z577" s="662">
        <f t="shared" ref="Z577" si="7760">IF(Y577=0,0,Y577/Y$4)</f>
        <v>0</v>
      </c>
      <c r="AA577" s="661">
        <f>SUM(Калькулятор_жилье!W358:W360)</f>
        <v>0</v>
      </c>
      <c r="AB577" s="662">
        <f t="shared" ref="AB577" si="7761">IF(AA577=0,0,AA577/AA$4)</f>
        <v>0</v>
      </c>
      <c r="AC577" s="661">
        <f t="shared" ref="AC577:AC586" si="7762">C577+E577+G577+I577+K577+M577+O577+Q577+S577+U577+W577+AA577+Y577</f>
        <v>4825088.532443488</v>
      </c>
      <c r="AD577" s="662">
        <f t="shared" ref="AD577" si="7763">IF(AC577=0,0,AC577/AC$4)</f>
        <v>29.967088503624929</v>
      </c>
      <c r="AE577" s="665"/>
      <c r="AF577" s="114"/>
      <c r="AG577" s="114"/>
      <c r="AH577" s="114"/>
      <c r="AI577" s="114"/>
      <c r="AJ577" s="114"/>
    </row>
    <row r="578" spans="1:36" s="68" customFormat="1" hidden="1" outlineLevel="3">
      <c r="A578" s="117"/>
      <c r="B578" s="118" t="s">
        <v>892</v>
      </c>
      <c r="C578" s="661"/>
      <c r="D578" s="662">
        <f t="shared" si="6986"/>
        <v>0</v>
      </c>
      <c r="E578" s="661"/>
      <c r="F578" s="662">
        <f t="shared" si="6986"/>
        <v>0</v>
      </c>
      <c r="G578" s="661">
        <f>Калькулятор_жилье!M361+Калькулятор_жилье!M362</f>
        <v>2306880.8873210656</v>
      </c>
      <c r="H578" s="662">
        <f t="shared" ref="H578" si="7764">IF(G578=0,0,G578/G$4)</f>
        <v>55.261468857989939</v>
      </c>
      <c r="I578" s="661">
        <f>Калькулятор_жилье!N361+Калькулятор_жилье!N362</f>
        <v>2306880.8873210656</v>
      </c>
      <c r="J578" s="662">
        <f t="shared" ref="J578" si="7765">IF(I578=0,0,I578/I$4)</f>
        <v>78.616809883545358</v>
      </c>
      <c r="K578" s="661">
        <f>Калькулятор_жилье!O361+Калькулятор_жилье!O362</f>
        <v>2306880.8873210656</v>
      </c>
      <c r="L578" s="662">
        <f t="shared" ref="L578" si="7766">IF(K578=0,0,K578/K$4)</f>
        <v>54.184014587460894</v>
      </c>
      <c r="M578" s="661">
        <f>Калькулятор_жилье!P361+Калькулятор_жилье!P362</f>
        <v>0</v>
      </c>
      <c r="N578" s="662">
        <f t="shared" ref="N578" si="7767">IF(M578=0,0,M578/M$4)</f>
        <v>0</v>
      </c>
      <c r="O578" s="661">
        <f>Калькулятор_жилье!Q361+Калькулятор_жилье!Q362</f>
        <v>0</v>
      </c>
      <c r="P578" s="662">
        <f t="shared" ref="P578" si="7768">IF(O578=0,0,O578/O$4)</f>
        <v>0</v>
      </c>
      <c r="Q578" s="661">
        <f>Калькулятор_жилье!R361+Калькулятор_жилье!R362</f>
        <v>0</v>
      </c>
      <c r="R578" s="662">
        <f t="shared" ref="R578" si="7769">IF(Q578=0,0,Q578/Q$4)</f>
        <v>0</v>
      </c>
      <c r="S578" s="661">
        <f>Калькулятор_жилье!S361+Калькулятор_жилье!S362</f>
        <v>0</v>
      </c>
      <c r="T578" s="662">
        <f t="shared" ref="T578" si="7770">IF(S578=0,0,S578/S$4)</f>
        <v>0</v>
      </c>
      <c r="U578" s="661">
        <f>Калькулятор_жилье!T361+Калькулятор_жилье!T362</f>
        <v>0</v>
      </c>
      <c r="V578" s="662">
        <f t="shared" ref="V578" si="7771">IF(U578=0,0,U578/U$4)</f>
        <v>0</v>
      </c>
      <c r="W578" s="661">
        <f>Калькулятор_жилье!U361+Калькулятор_жилье!U362</f>
        <v>0</v>
      </c>
      <c r="X578" s="662">
        <f t="shared" ref="X578" si="7772">IF(W578=0,0,W578/W$4)</f>
        <v>0</v>
      </c>
      <c r="Y578" s="661">
        <f>Калькулятор_жилье!V361+Калькулятор_жилье!V362</f>
        <v>0</v>
      </c>
      <c r="Z578" s="662">
        <f t="shared" ref="Z578" si="7773">IF(Y578=0,0,Y578/Y$4)</f>
        <v>0</v>
      </c>
      <c r="AA578" s="661">
        <f>Калькулятор_жилье!W361+Калькулятор_жилье!W362</f>
        <v>0</v>
      </c>
      <c r="AB578" s="662">
        <f t="shared" ref="AB578" si="7774">IF(AA578=0,0,AA578/AA$4)</f>
        <v>0</v>
      </c>
      <c r="AC578" s="661">
        <f t="shared" si="7762"/>
        <v>6920642.6619631965</v>
      </c>
      <c r="AD578" s="662">
        <f t="shared" ref="AD578" si="7775">IF(AC578=0,0,AC578/AC$4)</f>
        <v>42.98190795019211</v>
      </c>
      <c r="AE578" s="665"/>
      <c r="AF578" s="114"/>
      <c r="AG578" s="114"/>
      <c r="AH578" s="114"/>
      <c r="AI578" s="114"/>
      <c r="AJ578" s="114"/>
    </row>
    <row r="579" spans="1:36" s="68" customFormat="1" hidden="1" outlineLevel="3" collapsed="1">
      <c r="A579" s="117"/>
      <c r="B579" s="118" t="s">
        <v>893</v>
      </c>
      <c r="C579" s="661"/>
      <c r="D579" s="662">
        <f t="shared" si="6986"/>
        <v>0</v>
      </c>
      <c r="E579" s="661"/>
      <c r="F579" s="662">
        <f t="shared" si="6986"/>
        <v>0</v>
      </c>
      <c r="G579" s="661">
        <f>Калькулятор_жилье!M363</f>
        <v>369730.82998824271</v>
      </c>
      <c r="H579" s="662">
        <f t="shared" ref="H579" si="7776">IF(G579=0,0,G579/G$4)</f>
        <v>8.8569240221852823</v>
      </c>
      <c r="I579" s="661">
        <f>Калькулятор_жилье!N363</f>
        <v>369730.82998824271</v>
      </c>
      <c r="J579" s="662">
        <f t="shared" ref="J579" si="7777">IF(I579=0,0,I579/I$4)</f>
        <v>12.600155703325497</v>
      </c>
      <c r="K579" s="661">
        <f>Калькулятор_жилье!O363</f>
        <v>369730.82998824271</v>
      </c>
      <c r="L579" s="662">
        <f t="shared" ref="L579" si="7778">IF(K579=0,0,K579/K$4)</f>
        <v>8.6842371427254168</v>
      </c>
      <c r="M579" s="661">
        <f>Калькулятор_жилье!P363</f>
        <v>0</v>
      </c>
      <c r="N579" s="662">
        <f t="shared" ref="N579" si="7779">IF(M579=0,0,M579/M$4)</f>
        <v>0</v>
      </c>
      <c r="O579" s="661">
        <f>Калькулятор_жилье!Q363</f>
        <v>0</v>
      </c>
      <c r="P579" s="662">
        <f t="shared" ref="P579" si="7780">IF(O579=0,0,O579/O$4)</f>
        <v>0</v>
      </c>
      <c r="Q579" s="661">
        <f>Калькулятор_жилье!R363</f>
        <v>0</v>
      </c>
      <c r="R579" s="662">
        <f t="shared" ref="R579" si="7781">IF(Q579=0,0,Q579/Q$4)</f>
        <v>0</v>
      </c>
      <c r="S579" s="661">
        <f>Калькулятор_жилье!S363</f>
        <v>0</v>
      </c>
      <c r="T579" s="662">
        <f t="shared" ref="T579" si="7782">IF(S579=0,0,S579/S$4)</f>
        <v>0</v>
      </c>
      <c r="U579" s="661">
        <f>Калькулятор_жилье!T363</f>
        <v>0</v>
      </c>
      <c r="V579" s="662">
        <f t="shared" ref="V579" si="7783">IF(U579=0,0,U579/U$4)</f>
        <v>0</v>
      </c>
      <c r="W579" s="661">
        <f>Калькулятор_жилье!U363</f>
        <v>0</v>
      </c>
      <c r="X579" s="662">
        <f t="shared" ref="X579" si="7784">IF(W579=0,0,W579/W$4)</f>
        <v>0</v>
      </c>
      <c r="Y579" s="661">
        <f>Калькулятор_жилье!V363</f>
        <v>0</v>
      </c>
      <c r="Z579" s="662">
        <f t="shared" ref="Z579" si="7785">IF(Y579=0,0,Y579/Y$4)</f>
        <v>0</v>
      </c>
      <c r="AA579" s="661">
        <f>Калькулятор_жилье!W363</f>
        <v>0</v>
      </c>
      <c r="AB579" s="662">
        <f t="shared" ref="AB579" si="7786">IF(AA579=0,0,AA579/AA$4)</f>
        <v>0</v>
      </c>
      <c r="AC579" s="661">
        <f t="shared" si="7762"/>
        <v>1109192.4899647282</v>
      </c>
      <c r="AD579" s="662">
        <f t="shared" ref="AD579" si="7787">IF(AC579=0,0,AC579/AC$4)</f>
        <v>6.8888413737553362</v>
      </c>
      <c r="AE579" s="665"/>
      <c r="AF579" s="114"/>
      <c r="AG579" s="114"/>
      <c r="AH579" s="114"/>
      <c r="AI579" s="114"/>
      <c r="AJ579" s="114"/>
    </row>
    <row r="580" spans="1:36" s="68" customFormat="1" hidden="1" outlineLevel="4">
      <c r="A580" s="245"/>
      <c r="B580" s="246" t="s">
        <v>419</v>
      </c>
      <c r="C580" s="663"/>
      <c r="D580" s="664">
        <f t="shared" si="6986"/>
        <v>0</v>
      </c>
      <c r="E580" s="663">
        <f>E579-E581*курс</f>
        <v>0</v>
      </c>
      <c r="F580" s="664">
        <f t="shared" si="6986"/>
        <v>0</v>
      </c>
      <c r="G580" s="663">
        <f>G579-G581*курс</f>
        <v>184077.67699939694</v>
      </c>
      <c r="H580" s="664">
        <f t="shared" ref="H580" si="7788">IF(G580=0,0,G580/G$4)</f>
        <v>4.4095917005781393</v>
      </c>
      <c r="I580" s="663">
        <f>I579-I581*курс</f>
        <v>184077.67699939694</v>
      </c>
      <c r="J580" s="664">
        <f t="shared" ref="J580" si="7789">IF(I580=0,0,I580/I$4)</f>
        <v>6.2732323181505203</v>
      </c>
      <c r="K580" s="663">
        <f>K579-K581*курс</f>
        <v>184077.67699939694</v>
      </c>
      <c r="L580" s="664">
        <f t="shared" ref="L580" si="7790">IF(K580=0,0,K580/K$4)</f>
        <v>4.3236161826040016</v>
      </c>
      <c r="M580" s="663">
        <f>M579-M581*курс</f>
        <v>0</v>
      </c>
      <c r="N580" s="664">
        <f t="shared" ref="N580" si="7791">IF(M580=0,0,M580/M$4)</f>
        <v>0</v>
      </c>
      <c r="O580" s="663">
        <f>O579-O581*курс</f>
        <v>0</v>
      </c>
      <c r="P580" s="664">
        <f t="shared" ref="P580" si="7792">IF(O580=0,0,O580/O$4)</f>
        <v>0</v>
      </c>
      <c r="Q580" s="663">
        <f>Q579-Q581*курс</f>
        <v>0</v>
      </c>
      <c r="R580" s="664">
        <f t="shared" ref="R580" si="7793">IF(Q580=0,0,Q580/Q$4)</f>
        <v>0</v>
      </c>
      <c r="S580" s="663">
        <f>S579-S581*курс</f>
        <v>0</v>
      </c>
      <c r="T580" s="664">
        <f t="shared" ref="T580" si="7794">IF(S580=0,0,S580/S$4)</f>
        <v>0</v>
      </c>
      <c r="U580" s="663">
        <f>U579-U581*курс</f>
        <v>0</v>
      </c>
      <c r="V580" s="664">
        <f t="shared" ref="V580" si="7795">IF(U580=0,0,U580/U$4)</f>
        <v>0</v>
      </c>
      <c r="W580" s="663">
        <f>W579-W581*курс</f>
        <v>0</v>
      </c>
      <c r="X580" s="664">
        <f t="shared" ref="X580" si="7796">IF(W580=0,0,W580/W$4)</f>
        <v>0</v>
      </c>
      <c r="Y580" s="663">
        <f>Y579-Y581*курс</f>
        <v>0</v>
      </c>
      <c r="Z580" s="664">
        <f t="shared" ref="Z580" si="7797">IF(Y580=0,0,Y580/Y$4)</f>
        <v>0</v>
      </c>
      <c r="AA580" s="663">
        <f>AA579-AA581*курс</f>
        <v>0</v>
      </c>
      <c r="AB580" s="664">
        <f t="shared" ref="AB580" si="7798">IF(AA580=0,0,AA580/AA$4)</f>
        <v>0</v>
      </c>
      <c r="AC580" s="663">
        <f t="shared" ref="AC580" si="7799">C580+E580+G580+I580+K580+M580+O580+Q580+S580+U580+W580+AA580+Y580</f>
        <v>552233.03099819086</v>
      </c>
      <c r="AD580" s="664">
        <f t="shared" ref="AD580" si="7800">IF(AC580=0,0,AC580/AC$4)</f>
        <v>3.4297435173002513</v>
      </c>
      <c r="AE580" s="665"/>
      <c r="AF580" s="114"/>
      <c r="AG580" s="114"/>
      <c r="AH580" s="114"/>
      <c r="AI580" s="114"/>
      <c r="AJ580" s="114"/>
    </row>
    <row r="581" spans="1:36" s="68" customFormat="1" hidden="1" outlineLevel="4">
      <c r="A581" s="245"/>
      <c r="B581" s="246" t="s">
        <v>420</v>
      </c>
      <c r="C581" s="663"/>
      <c r="D581" s="664">
        <f t="shared" si="6986"/>
        <v>0</v>
      </c>
      <c r="E581" s="663"/>
      <c r="F581" s="664">
        <f t="shared" si="6986"/>
        <v>0</v>
      </c>
      <c r="G581" s="663">
        <f>Калькулятор_жилье!AC364</f>
        <v>2124.3796949692678</v>
      </c>
      <c r="H581" s="664">
        <f t="shared" ref="H581" si="7801">IF(G581=0,0,G581/G$4)</f>
        <v>5.0889641940906782E-2</v>
      </c>
      <c r="I581" s="663">
        <f>Калькулятор_жилье!AD364</f>
        <v>2124.3796949692678</v>
      </c>
      <c r="J581" s="664">
        <f t="shared" ref="J581" si="7802">IF(I581=0,0,I581/I$4)</f>
        <v>7.2397303006749777E-2</v>
      </c>
      <c r="K581" s="663">
        <f>Калькулятор_жилье!AE364</f>
        <v>2124.3796949692678</v>
      </c>
      <c r="L581" s="664">
        <f t="shared" ref="L581" si="7803">IF(K581=0,0,K581/K$4)</f>
        <v>4.9897426873735322E-2</v>
      </c>
      <c r="M581" s="663">
        <f>Калькулятор_жилье!AF364</f>
        <v>0</v>
      </c>
      <c r="N581" s="664">
        <f t="shared" ref="N581" si="7804">IF(M581=0,0,M581/M$4)</f>
        <v>0</v>
      </c>
      <c r="O581" s="663">
        <f>Калькулятор_жилье!AG364</f>
        <v>0</v>
      </c>
      <c r="P581" s="664">
        <f t="shared" ref="P581" si="7805">IF(O581=0,0,O581/O$4)</f>
        <v>0</v>
      </c>
      <c r="Q581" s="663">
        <f>Калькулятор_жилье!AH364</f>
        <v>0</v>
      </c>
      <c r="R581" s="664">
        <f t="shared" ref="R581" si="7806">IF(Q581=0,0,Q581/Q$4)</f>
        <v>0</v>
      </c>
      <c r="S581" s="663">
        <f>Калькулятор_жилье!AI364</f>
        <v>0</v>
      </c>
      <c r="T581" s="664">
        <f t="shared" ref="T581" si="7807">IF(S581=0,0,S581/S$4)</f>
        <v>0</v>
      </c>
      <c r="U581" s="663">
        <f>Калькулятор_жилье!AJ364</f>
        <v>0</v>
      </c>
      <c r="V581" s="664">
        <f t="shared" ref="V581" si="7808">IF(U581=0,0,U581/U$4)</f>
        <v>0</v>
      </c>
      <c r="W581" s="663">
        <f>Калькулятор_жилье!AK364</f>
        <v>0</v>
      </c>
      <c r="X581" s="664">
        <f t="shared" ref="X581" si="7809">IF(W581=0,0,W581/W$4)</f>
        <v>0</v>
      </c>
      <c r="Y581" s="663">
        <f>Калькулятор_жилье!AL364</f>
        <v>0</v>
      </c>
      <c r="Z581" s="664">
        <f t="shared" ref="Z581" si="7810">IF(Y581=0,0,Y581/Y$4)</f>
        <v>0</v>
      </c>
      <c r="AA581" s="663">
        <f>Калькулятор_жилье!AM364</f>
        <v>0</v>
      </c>
      <c r="AB581" s="664">
        <f t="shared" ref="AB581" si="7811">IF(AA581=0,0,AA581/AA$4)</f>
        <v>0</v>
      </c>
      <c r="AC581" s="663">
        <f>C581+E581+G581+I581+K581+M581+O581+Q581+S581+U581+W581+AA581+Y581</f>
        <v>6373.1390849078034</v>
      </c>
      <c r="AD581" s="664">
        <f t="shared" ref="AD581" si="7812">IF(AC581=0,0,AC581/AC$4)</f>
        <v>3.9581537565410503E-2</v>
      </c>
      <c r="AE581" s="665"/>
      <c r="AF581" s="114"/>
      <c r="AG581" s="114"/>
      <c r="AH581" s="114"/>
      <c r="AI581" s="114"/>
      <c r="AJ581" s="114"/>
    </row>
    <row r="582" spans="1:36" s="68" customFormat="1" hidden="1" outlineLevel="3">
      <c r="A582" s="117"/>
      <c r="B582" s="118" t="s">
        <v>894</v>
      </c>
      <c r="C582" s="661"/>
      <c r="D582" s="662">
        <f t="shared" ref="D582:F624" si="7813">IF(C582=0,0,C582/C$4)</f>
        <v>0</v>
      </c>
      <c r="E582" s="661"/>
      <c r="F582" s="662">
        <f t="shared" si="7813"/>
        <v>0</v>
      </c>
      <c r="G582" s="661">
        <f>Калькулятор_жилье!M364</f>
        <v>416412.71902879892</v>
      </c>
      <c r="H582" s="662">
        <f t="shared" ref="H582" si="7814">IF(G582=0,0,G582/G$4)</f>
        <v>9.9751914505667294</v>
      </c>
      <c r="I582" s="661">
        <f>Калькулятор_жилье!N364</f>
        <v>416412.71902879892</v>
      </c>
      <c r="J582" s="662">
        <f t="shared" ref="J582" si="7815">IF(I582=0,0,I582/I$4)</f>
        <v>14.191040267793861</v>
      </c>
      <c r="K582" s="661">
        <f>Калькулятор_жилье!O364</f>
        <v>416412.71902879892</v>
      </c>
      <c r="L582" s="662">
        <f t="shared" ref="L582" si="7816">IF(K582=0,0,K582/K$4)</f>
        <v>9.78070127775975</v>
      </c>
      <c r="M582" s="661">
        <f>Калькулятор_жилье!P364</f>
        <v>0</v>
      </c>
      <c r="N582" s="662">
        <f t="shared" ref="N582" si="7817">IF(M582=0,0,M582/M$4)</f>
        <v>0</v>
      </c>
      <c r="O582" s="661">
        <f>Калькулятор_жилье!Q364</f>
        <v>0</v>
      </c>
      <c r="P582" s="662">
        <f t="shared" ref="P582" si="7818">IF(O582=0,0,O582/O$4)</f>
        <v>0</v>
      </c>
      <c r="Q582" s="661">
        <f>Калькулятор_жилье!R364</f>
        <v>0</v>
      </c>
      <c r="R582" s="662">
        <f t="shared" ref="R582" si="7819">IF(Q582=0,0,Q582/Q$4)</f>
        <v>0</v>
      </c>
      <c r="S582" s="661">
        <f>Калькулятор_жилье!S364</f>
        <v>0</v>
      </c>
      <c r="T582" s="662">
        <f t="shared" ref="T582" si="7820">IF(S582=0,0,S582/S$4)</f>
        <v>0</v>
      </c>
      <c r="U582" s="661">
        <f>Калькулятор_жилье!T364</f>
        <v>0</v>
      </c>
      <c r="V582" s="662">
        <f t="shared" ref="V582" si="7821">IF(U582=0,0,U582/U$4)</f>
        <v>0</v>
      </c>
      <c r="W582" s="661">
        <f>Калькулятор_жилье!U364</f>
        <v>0</v>
      </c>
      <c r="X582" s="662">
        <f t="shared" ref="X582" si="7822">IF(W582=0,0,W582/W$4)</f>
        <v>0</v>
      </c>
      <c r="Y582" s="661">
        <f>Калькулятор_жилье!V364</f>
        <v>0</v>
      </c>
      <c r="Z582" s="662">
        <f t="shared" ref="Z582" si="7823">IF(Y582=0,0,Y582/Y$4)</f>
        <v>0</v>
      </c>
      <c r="AA582" s="661">
        <f>Калькулятор_жилье!W364</f>
        <v>0</v>
      </c>
      <c r="AB582" s="662">
        <f t="shared" ref="AB582" si="7824">IF(AA582=0,0,AA582/AA$4)</f>
        <v>0</v>
      </c>
      <c r="AC582" s="661">
        <f t="shared" si="7762"/>
        <v>1249238.1570863968</v>
      </c>
      <c r="AD582" s="662">
        <f t="shared" ref="AD582" si="7825">IF(AC582=0,0,AC582/AC$4)</f>
        <v>7.758620419873469</v>
      </c>
      <c r="AE582" s="665"/>
      <c r="AF582" s="114"/>
      <c r="AG582" s="114"/>
      <c r="AH582" s="114"/>
      <c r="AI582" s="114"/>
      <c r="AJ582" s="114"/>
    </row>
    <row r="583" spans="1:36" s="68" customFormat="1" hidden="1" outlineLevel="3">
      <c r="A583" s="117"/>
      <c r="B583" s="118" t="s">
        <v>895</v>
      </c>
      <c r="C583" s="661"/>
      <c r="D583" s="662">
        <f t="shared" si="7813"/>
        <v>0</v>
      </c>
      <c r="E583" s="661"/>
      <c r="F583" s="662">
        <f t="shared" si="7813"/>
        <v>0</v>
      </c>
      <c r="G583" s="661">
        <f>Калькулятор_жилье!M365</f>
        <v>2644463.3466543159</v>
      </c>
      <c r="H583" s="662">
        <f t="shared" ref="H583" si="7826">IF(G583=0,0,G583/G$4)</f>
        <v>63.348276749103938</v>
      </c>
      <c r="I583" s="661">
        <f>Калькулятор_жилье!N365</f>
        <v>2644463.3466543159</v>
      </c>
      <c r="J583" s="662">
        <f t="shared" ref="J583" si="7827">IF(I583=0,0,I583/I$4)</f>
        <v>90.121372677093746</v>
      </c>
      <c r="K583" s="661">
        <f>Калькулятор_жилье!O365</f>
        <v>2644463.3466543159</v>
      </c>
      <c r="L583" s="662">
        <f t="shared" ref="L583" si="7828">IF(K583=0,0,K583/K$4)</f>
        <v>62.113150851720029</v>
      </c>
      <c r="M583" s="661">
        <f>Калькулятор_жилье!P365</f>
        <v>0</v>
      </c>
      <c r="N583" s="662">
        <f t="shared" ref="N583" si="7829">IF(M583=0,0,M583/M$4)</f>
        <v>0</v>
      </c>
      <c r="O583" s="661">
        <f>Калькулятор_жилье!Q365</f>
        <v>0</v>
      </c>
      <c r="P583" s="662">
        <f t="shared" ref="P583" si="7830">IF(O583=0,0,O583/O$4)</f>
        <v>0</v>
      </c>
      <c r="Q583" s="661">
        <f>Калькулятор_жилье!R365</f>
        <v>0</v>
      </c>
      <c r="R583" s="662">
        <f t="shared" ref="R583" si="7831">IF(Q583=0,0,Q583/Q$4)</f>
        <v>0</v>
      </c>
      <c r="S583" s="661">
        <f>Калькулятор_жилье!S365</f>
        <v>0</v>
      </c>
      <c r="T583" s="662">
        <f t="shared" ref="T583" si="7832">IF(S583=0,0,S583/S$4)</f>
        <v>0</v>
      </c>
      <c r="U583" s="661">
        <f>Калькулятор_жилье!T365</f>
        <v>0</v>
      </c>
      <c r="V583" s="662">
        <f t="shared" ref="V583" si="7833">IF(U583=0,0,U583/U$4)</f>
        <v>0</v>
      </c>
      <c r="W583" s="661">
        <f>Калькулятор_жилье!U365</f>
        <v>0</v>
      </c>
      <c r="X583" s="662">
        <f t="shared" ref="X583" si="7834">IF(W583=0,0,W583/W$4)</f>
        <v>0</v>
      </c>
      <c r="Y583" s="661">
        <f>Калькулятор_жилье!V365</f>
        <v>0</v>
      </c>
      <c r="Z583" s="662">
        <f t="shared" ref="Z583" si="7835">IF(Y583=0,0,Y583/Y$4)</f>
        <v>0</v>
      </c>
      <c r="AA583" s="661">
        <f>Калькулятор_жилье!W365</f>
        <v>0</v>
      </c>
      <c r="AB583" s="662">
        <f t="shared" ref="AB583" si="7836">IF(AA583=0,0,AA583/AA$4)</f>
        <v>0</v>
      </c>
      <c r="AC583" s="661">
        <f t="shared" si="7762"/>
        <v>7933390.0399629474</v>
      </c>
      <c r="AD583" s="662">
        <f t="shared" ref="AD583" si="7837">IF(AC583=0,0,AC583/AC$4)</f>
        <v>49.271759442919738</v>
      </c>
      <c r="AE583" s="665"/>
      <c r="AF583" s="114"/>
      <c r="AG583" s="114"/>
      <c r="AH583" s="114"/>
      <c r="AI583" s="114"/>
      <c r="AJ583" s="114"/>
    </row>
    <row r="584" spans="1:36" s="68" customFormat="1" hidden="1" outlineLevel="3">
      <c r="A584" s="117"/>
      <c r="B584" s="118" t="s">
        <v>896</v>
      </c>
      <c r="C584" s="661"/>
      <c r="D584" s="662">
        <f t="shared" si="7813"/>
        <v>0</v>
      </c>
      <c r="E584" s="661"/>
      <c r="F584" s="662">
        <f t="shared" si="7813"/>
        <v>0</v>
      </c>
      <c r="G584" s="661">
        <f>Калькулятор_жилье!M371+Калькулятор_жилье!M372</f>
        <v>998560.88147933327</v>
      </c>
      <c r="H584" s="662">
        <f t="shared" ref="H584" si="7838">IF(G584=0,0,G584/G$4)</f>
        <v>23.920585305450615</v>
      </c>
      <c r="I584" s="661">
        <f>Калькулятор_жилье!N371+Калькулятор_жилье!N372</f>
        <v>998560.88147933327</v>
      </c>
      <c r="J584" s="662">
        <f t="shared" ref="J584" si="7839">IF(I584=0,0,I584/I$4)</f>
        <v>34.030222976779243</v>
      </c>
      <c r="K584" s="661">
        <f>Калькулятор_жилье!O371+Калькулятор_жилье!O372</f>
        <v>998560.88147933327</v>
      </c>
      <c r="L584" s="662">
        <f t="shared" ref="L584" si="7840">IF(K584=0,0,K584/K$4)</f>
        <v>23.454196385222236</v>
      </c>
      <c r="M584" s="661">
        <f>Калькулятор_жилье!P371+Калькулятор_жилье!P372</f>
        <v>0</v>
      </c>
      <c r="N584" s="662">
        <f t="shared" ref="N584" si="7841">IF(M584=0,0,M584/M$4)</f>
        <v>0</v>
      </c>
      <c r="O584" s="661">
        <f>Калькулятор_жилье!Q371+Калькулятор_жилье!Q372</f>
        <v>0</v>
      </c>
      <c r="P584" s="662">
        <f t="shared" ref="P584" si="7842">IF(O584=0,0,O584/O$4)</f>
        <v>0</v>
      </c>
      <c r="Q584" s="661">
        <f>Калькулятор_жилье!R371+Калькулятор_жилье!R372</f>
        <v>0</v>
      </c>
      <c r="R584" s="662">
        <f t="shared" ref="R584" si="7843">IF(Q584=0,0,Q584/Q$4)</f>
        <v>0</v>
      </c>
      <c r="S584" s="661">
        <f>Калькулятор_жилье!S371+Калькулятор_жилье!S372</f>
        <v>0</v>
      </c>
      <c r="T584" s="662">
        <f t="shared" ref="T584" si="7844">IF(S584=0,0,S584/S$4)</f>
        <v>0</v>
      </c>
      <c r="U584" s="661">
        <f>Калькулятор_жилье!T371+Калькулятор_жилье!T372</f>
        <v>0</v>
      </c>
      <c r="V584" s="662">
        <f t="shared" ref="V584" si="7845">IF(U584=0,0,U584/U$4)</f>
        <v>0</v>
      </c>
      <c r="W584" s="661">
        <f>Калькулятор_жилье!U371+Калькулятор_жилье!U372</f>
        <v>0</v>
      </c>
      <c r="X584" s="662">
        <f t="shared" ref="X584" si="7846">IF(W584=0,0,W584/W$4)</f>
        <v>0</v>
      </c>
      <c r="Y584" s="661">
        <f>Калькулятор_жилье!V371+Калькулятор_жилье!V372</f>
        <v>0</v>
      </c>
      <c r="Z584" s="662">
        <f t="shared" ref="Z584" si="7847">IF(Y584=0,0,Y584/Y$4)</f>
        <v>0</v>
      </c>
      <c r="AA584" s="661">
        <f>Калькулятор_жилье!W371+Калькулятор_жилье!W372</f>
        <v>0</v>
      </c>
      <c r="AB584" s="662">
        <f t="shared" ref="AB584" si="7848">IF(AA584=0,0,AA584/AA$4)</f>
        <v>0</v>
      </c>
      <c r="AC584" s="661">
        <f t="shared" si="7762"/>
        <v>2995682.6444379999</v>
      </c>
      <c r="AD584" s="662">
        <f t="shared" ref="AD584" si="7849">IF(AC584=0,0,AC584/AC$4)</f>
        <v>18.605231040016804</v>
      </c>
      <c r="AE584" s="665"/>
      <c r="AF584" s="114"/>
      <c r="AG584" s="114"/>
      <c r="AH584" s="114"/>
      <c r="AI584" s="114"/>
      <c r="AJ584" s="114"/>
    </row>
    <row r="585" spans="1:36" s="68" customFormat="1" hidden="1" outlineLevel="4">
      <c r="A585" s="245"/>
      <c r="B585" s="246" t="s">
        <v>419</v>
      </c>
      <c r="C585" s="663"/>
      <c r="D585" s="664">
        <f t="shared" si="7813"/>
        <v>0</v>
      </c>
      <c r="E585" s="663">
        <f>E584-E586*курс</f>
        <v>0</v>
      </c>
      <c r="F585" s="664">
        <f t="shared" si="7813"/>
        <v>0</v>
      </c>
      <c r="G585" s="663">
        <f>G584-G586*курс</f>
        <v>581560.77797459532</v>
      </c>
      <c r="H585" s="664">
        <f t="shared" ref="H585" si="7850">IF(G585=0,0,G585/G$4)</f>
        <v>13.931323024827952</v>
      </c>
      <c r="I585" s="663">
        <f>I584-I586*курс</f>
        <v>581560.77797459532</v>
      </c>
      <c r="J585" s="664">
        <f t="shared" ref="J585" si="7851">IF(I585=0,0,I585/I$4)</f>
        <v>19.819165076550497</v>
      </c>
      <c r="K585" s="663">
        <f>K584-K586*курс</f>
        <v>581560.77797459532</v>
      </c>
      <c r="L585" s="664">
        <f t="shared" ref="L585" si="7852">IF(K585=0,0,K585/K$4)</f>
        <v>13.659698621832188</v>
      </c>
      <c r="M585" s="663">
        <f>M584-M586*курс</f>
        <v>0</v>
      </c>
      <c r="N585" s="664">
        <f t="shared" ref="N585" si="7853">IF(M585=0,0,M585/M$4)</f>
        <v>0</v>
      </c>
      <c r="O585" s="663">
        <f>O584-O586*курс</f>
        <v>0</v>
      </c>
      <c r="P585" s="664">
        <f t="shared" ref="P585" si="7854">IF(O585=0,0,O585/O$4)</f>
        <v>0</v>
      </c>
      <c r="Q585" s="663">
        <f>Q584-Q586*курс</f>
        <v>0</v>
      </c>
      <c r="R585" s="664">
        <f t="shared" ref="R585" si="7855">IF(Q585=0,0,Q585/Q$4)</f>
        <v>0</v>
      </c>
      <c r="S585" s="663">
        <f>S584-S586*курс</f>
        <v>0</v>
      </c>
      <c r="T585" s="664">
        <f t="shared" ref="T585" si="7856">IF(S585=0,0,S585/S$4)</f>
        <v>0</v>
      </c>
      <c r="U585" s="663">
        <f>U584-U586*курс</f>
        <v>0</v>
      </c>
      <c r="V585" s="664">
        <f t="shared" ref="V585" si="7857">IF(U585=0,0,U585/U$4)</f>
        <v>0</v>
      </c>
      <c r="W585" s="663">
        <f>W584-W586*курс</f>
        <v>0</v>
      </c>
      <c r="X585" s="664">
        <f t="shared" ref="X585" si="7858">IF(W585=0,0,W585/W$4)</f>
        <v>0</v>
      </c>
      <c r="Y585" s="663">
        <f>Y584-Y586*курс</f>
        <v>0</v>
      </c>
      <c r="Z585" s="664">
        <f t="shared" ref="Z585" si="7859">IF(Y585=0,0,Y585/Y$4)</f>
        <v>0</v>
      </c>
      <c r="AA585" s="663">
        <f>AA584-AA586*курс</f>
        <v>0</v>
      </c>
      <c r="AB585" s="664">
        <f t="shared" ref="AB585" si="7860">IF(AA585=0,0,AA585/AA$4)</f>
        <v>0</v>
      </c>
      <c r="AC585" s="663">
        <f t="shared" si="7762"/>
        <v>1744682.3339237859</v>
      </c>
      <c r="AD585" s="664">
        <f t="shared" ref="AD585" si="7861">IF(AC585=0,0,AC585/AC$4)</f>
        <v>10.835666446295894</v>
      </c>
      <c r="AE585" s="665"/>
      <c r="AF585" s="114"/>
      <c r="AG585" s="114"/>
      <c r="AH585" s="114"/>
      <c r="AI585" s="114"/>
      <c r="AJ585" s="114"/>
    </row>
    <row r="586" spans="1:36" s="68" customFormat="1" hidden="1" outlineLevel="4">
      <c r="A586" s="245"/>
      <c r="B586" s="246" t="s">
        <v>420</v>
      </c>
      <c r="C586" s="663"/>
      <c r="D586" s="664">
        <f t="shared" si="7813"/>
        <v>0</v>
      </c>
      <c r="E586" s="663"/>
      <c r="F586" s="664">
        <f t="shared" si="7813"/>
        <v>0</v>
      </c>
      <c r="G586" s="663">
        <f>Калькулятор_жилье!AC371+Калькулятор_жилье!AC372</f>
        <v>4771.6213725644193</v>
      </c>
      <c r="H586" s="664">
        <f t="shared" ref="H586" si="7862">IF(G586=0,0,G586/G$4)</f>
        <v>0.11430447377294024</v>
      </c>
      <c r="I586" s="663">
        <f>Калькулятор_жилье!AD371+Калькулятор_жилье!AD372</f>
        <v>4771.6213725644193</v>
      </c>
      <c r="J586" s="664">
        <f t="shared" ref="J586" si="7863">IF(I586=0,0,I586/I$4)</f>
        <v>0.16261335916601624</v>
      </c>
      <c r="K586" s="663">
        <f>Калькулятор_жилье!AE371+Калькулятор_жилье!AE372</f>
        <v>4771.6213725644193</v>
      </c>
      <c r="L586" s="664">
        <f t="shared" ref="L586" si="7864">IF(K586=0,0,K586/K$4)</f>
        <v>0.11207583515814484</v>
      </c>
      <c r="M586" s="663">
        <f>Калькулятор_жилье!AF371+Калькулятор_жилье!AF372</f>
        <v>0</v>
      </c>
      <c r="N586" s="664">
        <f t="shared" ref="N586" si="7865">IF(M586=0,0,M586/M$4)</f>
        <v>0</v>
      </c>
      <c r="O586" s="663">
        <f>Калькулятор_жилье!AG371+Калькулятор_жилье!AG372</f>
        <v>0</v>
      </c>
      <c r="P586" s="664">
        <f t="shared" ref="P586" si="7866">IF(O586=0,0,O586/O$4)</f>
        <v>0</v>
      </c>
      <c r="Q586" s="663">
        <f>Калькулятор_жилье!AH371+Калькулятор_жилье!AH372</f>
        <v>0</v>
      </c>
      <c r="R586" s="664">
        <f t="shared" ref="R586" si="7867">IF(Q586=0,0,Q586/Q$4)</f>
        <v>0</v>
      </c>
      <c r="S586" s="663">
        <f>Калькулятор_жилье!AI371+Калькулятор_жилье!AI372</f>
        <v>0</v>
      </c>
      <c r="T586" s="664">
        <f t="shared" ref="T586" si="7868">IF(S586=0,0,S586/S$4)</f>
        <v>0</v>
      </c>
      <c r="U586" s="663">
        <f>Калькулятор_жилье!AJ371+Калькулятор_жилье!AJ372</f>
        <v>0</v>
      </c>
      <c r="V586" s="664">
        <f t="shared" ref="V586" si="7869">IF(U586=0,0,U586/U$4)</f>
        <v>0</v>
      </c>
      <c r="W586" s="663">
        <f>Калькулятор_жилье!AK371+Калькулятор_жилье!AK372</f>
        <v>0</v>
      </c>
      <c r="X586" s="664">
        <f t="shared" ref="X586" si="7870">IF(W586=0,0,W586/W$4)</f>
        <v>0</v>
      </c>
      <c r="Y586" s="663">
        <f>Калькулятор_жилье!AL371+Калькулятор_жилье!AL372</f>
        <v>0</v>
      </c>
      <c r="Z586" s="664">
        <f t="shared" ref="Z586" si="7871">IF(Y586=0,0,Y586/Y$4)</f>
        <v>0</v>
      </c>
      <c r="AA586" s="663">
        <f>Калькулятор_жилье!AM371+Калькулятор_жилье!AM372</f>
        <v>0</v>
      </c>
      <c r="AB586" s="664">
        <f t="shared" ref="AB586" si="7872">IF(AA586=0,0,AA586/AA$4)</f>
        <v>0</v>
      </c>
      <c r="AC586" s="663">
        <f t="shared" si="7762"/>
        <v>14314.864117693258</v>
      </c>
      <c r="AD586" s="664">
        <f t="shared" ref="AD586" si="7873">IF(AC586=0,0,AC586/AC$4)</f>
        <v>8.890506299477996E-2</v>
      </c>
      <c r="AE586" s="665"/>
      <c r="AF586" s="114"/>
      <c r="AG586" s="114"/>
      <c r="AH586" s="114"/>
      <c r="AI586" s="114"/>
      <c r="AJ586" s="114"/>
    </row>
    <row r="587" spans="1:36" s="556" customFormat="1" ht="15.75" hidden="1" outlineLevel="2">
      <c r="A587" s="609" t="s">
        <v>1257</v>
      </c>
      <c r="B587" s="559" t="s">
        <v>1256</v>
      </c>
      <c r="C587" s="659"/>
      <c r="D587" s="660">
        <f t="shared" si="7813"/>
        <v>0</v>
      </c>
      <c r="E587" s="659">
        <f>SUM(E588:E589)</f>
        <v>0</v>
      </c>
      <c r="F587" s="660">
        <f t="shared" si="7813"/>
        <v>0</v>
      </c>
      <c r="G587" s="659">
        <f t="shared" ref="G587" si="7874">SUM(G588:G589)</f>
        <v>828155.15592850174</v>
      </c>
      <c r="H587" s="660">
        <f t="shared" ref="H587" si="7875">IF(G587=0,0,G587/G$4)</f>
        <v>19.838506014964974</v>
      </c>
      <c r="I587" s="659">
        <f t="shared" ref="I587" si="7876">SUM(I588:I589)</f>
        <v>523621.91075902624</v>
      </c>
      <c r="J587" s="660">
        <f t="shared" ref="J587" si="7877">IF(I587=0,0,I587/I$4)</f>
        <v>17.844650946328557</v>
      </c>
      <c r="K587" s="659">
        <f t="shared" ref="K587" si="7878">SUM(K588:K589)</f>
        <v>821582.49596081534</v>
      </c>
      <c r="L587" s="660">
        <f t="shared" ref="L587" si="7879">IF(K587=0,0,K587/K$4)</f>
        <v>19.297328349553247</v>
      </c>
      <c r="M587" s="659">
        <f t="shared" ref="M587" si="7880">SUM(M588:M589)</f>
        <v>19717.979903059564</v>
      </c>
      <c r="N587" s="660">
        <f t="shared" ref="N587" si="7881">IF(M587=0,0,M587/M$4)</f>
        <v>4.5783365614979949</v>
      </c>
      <c r="O587" s="659">
        <f t="shared" ref="O587" si="7882">SUM(O588:O589)</f>
        <v>0</v>
      </c>
      <c r="P587" s="660">
        <f t="shared" ref="P587" si="7883">IF(O587=0,0,O587/O$4)</f>
        <v>0</v>
      </c>
      <c r="Q587" s="659">
        <f t="shared" ref="Q587" si="7884">SUM(Q588:Q589)</f>
        <v>0</v>
      </c>
      <c r="R587" s="660">
        <f t="shared" ref="R587" si="7885">IF(Q587=0,0,Q587/Q$4)</f>
        <v>0</v>
      </c>
      <c r="S587" s="659">
        <f t="shared" ref="S587" si="7886">SUM(S588:S589)</f>
        <v>0</v>
      </c>
      <c r="T587" s="660">
        <f t="shared" ref="T587" si="7887">IF(S587=0,0,S587/S$4)</f>
        <v>0</v>
      </c>
      <c r="U587" s="659">
        <f t="shared" ref="U587" si="7888">SUM(U588:U589)</f>
        <v>0</v>
      </c>
      <c r="V587" s="660">
        <f t="shared" ref="V587" si="7889">IF(U587=0,0,U587/U$4)</f>
        <v>0</v>
      </c>
      <c r="W587" s="659">
        <f t="shared" ref="W587" si="7890">SUM(W588:W589)</f>
        <v>0</v>
      </c>
      <c r="X587" s="660">
        <f t="shared" ref="X587" si="7891">IF(W587=0,0,W587/W$4)</f>
        <v>0</v>
      </c>
      <c r="Y587" s="659">
        <f t="shared" ref="Y587" si="7892">SUM(Y588:Y589)</f>
        <v>0</v>
      </c>
      <c r="Z587" s="660">
        <f t="shared" ref="Z587" si="7893">IF(Y587=0,0,Y587/Y$4)</f>
        <v>0</v>
      </c>
      <c r="AA587" s="659">
        <f t="shared" ref="AA587" si="7894">SUM(AA588:AA589)</f>
        <v>0</v>
      </c>
      <c r="AB587" s="660">
        <f t="shared" ref="AB587" si="7895">IF(AA587=0,0,AA587/AA$4)</f>
        <v>0</v>
      </c>
      <c r="AC587" s="659">
        <f t="shared" ref="AC587" si="7896">SUM(AC588:AC589)</f>
        <v>2193077.5425514029</v>
      </c>
      <c r="AD587" s="660">
        <f t="shared" ref="AD587" si="7897">IF(AC587=0,0,AC587/AC$4)</f>
        <v>13.620506312175088</v>
      </c>
      <c r="AE587" s="654"/>
    </row>
    <row r="588" spans="1:36" s="68" customFormat="1" hidden="1" outlineLevel="3">
      <c r="A588" s="117"/>
      <c r="B588" s="118" t="s">
        <v>886</v>
      </c>
      <c r="C588" s="661"/>
      <c r="D588" s="662">
        <f t="shared" si="7813"/>
        <v>0</v>
      </c>
      <c r="E588" s="661"/>
      <c r="F588" s="662">
        <f t="shared" si="7813"/>
        <v>0</v>
      </c>
      <c r="G588" s="661">
        <f>Калькулятор_жилье!M356</f>
        <v>542609.11776689347</v>
      </c>
      <c r="H588" s="662">
        <f t="shared" ref="H588" si="7898">IF(G588=0,0,G588/G$4)</f>
        <v>12.998233687894476</v>
      </c>
      <c r="I588" s="661">
        <f>Калькулятор_жилье!N356</f>
        <v>343078.25170975539</v>
      </c>
      <c r="J588" s="662">
        <f t="shared" ref="J588" si="7899">IF(I588=0,0,I588/I$4)</f>
        <v>11.691855369770163</v>
      </c>
      <c r="K588" s="661">
        <f>Калькулятор_жилье!O356</f>
        <v>538302.696197315</v>
      </c>
      <c r="L588" s="662">
        <f t="shared" ref="L588" si="7900">IF(K588=0,0,K588/K$4)</f>
        <v>12.643652866315243</v>
      </c>
      <c r="M588" s="661">
        <f>Калькулятор_жилье!P356</f>
        <v>12919.264708735558</v>
      </c>
      <c r="N588" s="662">
        <f t="shared" ref="N588" si="7901">IF(M588=0,0,M588/M$4)</f>
        <v>2.9997363956384224</v>
      </c>
      <c r="O588" s="661">
        <f>Калькулятор_жилье!Q356</f>
        <v>0</v>
      </c>
      <c r="P588" s="662">
        <f t="shared" ref="P588" si="7902">IF(O588=0,0,O588/O$4)</f>
        <v>0</v>
      </c>
      <c r="Q588" s="661">
        <f>Калькулятор_жилье!R356</f>
        <v>0</v>
      </c>
      <c r="R588" s="662">
        <f t="shared" ref="R588" si="7903">IF(Q588=0,0,Q588/Q$4)</f>
        <v>0</v>
      </c>
      <c r="S588" s="661">
        <f>Калькулятор_жилье!S356</f>
        <v>0</v>
      </c>
      <c r="T588" s="662">
        <f t="shared" ref="T588" si="7904">IF(S588=0,0,S588/S$4)</f>
        <v>0</v>
      </c>
      <c r="U588" s="661">
        <f>Калькулятор_жилье!T356</f>
        <v>0</v>
      </c>
      <c r="V588" s="662">
        <f t="shared" ref="V588" si="7905">IF(U588=0,0,U588/U$4)</f>
        <v>0</v>
      </c>
      <c r="W588" s="661">
        <f>Калькулятор_жилье!U356</f>
        <v>0</v>
      </c>
      <c r="X588" s="662">
        <f t="shared" ref="X588" si="7906">IF(W588=0,0,W588/W$4)</f>
        <v>0</v>
      </c>
      <c r="Y588" s="661">
        <f>Калькулятор_жилье!V356</f>
        <v>0</v>
      </c>
      <c r="Z588" s="662">
        <f t="shared" ref="Z588" si="7907">IF(Y588=0,0,Y588/Y$4)</f>
        <v>0</v>
      </c>
      <c r="AA588" s="661">
        <f>Калькулятор_жилье!W356</f>
        <v>0</v>
      </c>
      <c r="AB588" s="662">
        <f t="shared" ref="AB588" si="7908">IF(AA588=0,0,AA588/AA$4)</f>
        <v>0</v>
      </c>
      <c r="AC588" s="661">
        <f>C588+E588+G588+I588+K588+M588+O588+Q588+S588+U588+W588+AA588+Y588</f>
        <v>1436909.3303826994</v>
      </c>
      <c r="AD588" s="662">
        <f t="shared" ref="AD588" si="7909">IF(AC588=0,0,AC588/AC$4)</f>
        <v>8.9241863202573501</v>
      </c>
      <c r="AE588" s="665"/>
      <c r="AF588" s="114"/>
      <c r="AG588" s="114"/>
      <c r="AH588" s="114"/>
      <c r="AI588" s="114"/>
      <c r="AJ588" s="114"/>
    </row>
    <row r="589" spans="1:36" s="68" customFormat="1" hidden="1" outlineLevel="3">
      <c r="A589" s="117"/>
      <c r="B589" s="118" t="s">
        <v>887</v>
      </c>
      <c r="C589" s="661"/>
      <c r="D589" s="662">
        <f t="shared" si="7813"/>
        <v>0</v>
      </c>
      <c r="E589" s="661"/>
      <c r="F589" s="662">
        <f t="shared" si="7813"/>
        <v>0</v>
      </c>
      <c r="G589" s="661">
        <f>Калькулятор_жилье!M357</f>
        <v>285546.03816160827</v>
      </c>
      <c r="H589" s="662">
        <f t="shared" ref="H589" si="7910">IF(G589=0,0,G589/G$4)</f>
        <v>6.8402723270704984</v>
      </c>
      <c r="I589" s="661">
        <f>Калькулятор_жилье!N357</f>
        <v>180543.65904927085</v>
      </c>
      <c r="J589" s="662">
        <f t="shared" ref="J589" si="7911">IF(I589=0,0,I589/I$4)</f>
        <v>6.152795576558395</v>
      </c>
      <c r="K589" s="661">
        <f>Калькулятор_жилье!O357</f>
        <v>283279.79976350028</v>
      </c>
      <c r="L589" s="662">
        <f t="shared" ref="L589" si="7912">IF(K589=0,0,K589/K$4)</f>
        <v>6.6536754832380005</v>
      </c>
      <c r="M589" s="661">
        <f>Калькулятор_жилье!P357</f>
        <v>6798.715194324006</v>
      </c>
      <c r="N589" s="662">
        <f t="shared" ref="N589" si="7913">IF(M589=0,0,M589/M$4)</f>
        <v>1.5786001658595723</v>
      </c>
      <c r="O589" s="661">
        <f>Калькулятор_жилье!Q357</f>
        <v>0</v>
      </c>
      <c r="P589" s="662">
        <f t="shared" ref="P589" si="7914">IF(O589=0,0,O589/O$4)</f>
        <v>0</v>
      </c>
      <c r="Q589" s="661">
        <f>Калькулятор_жилье!R357</f>
        <v>0</v>
      </c>
      <c r="R589" s="662">
        <f t="shared" ref="R589" si="7915">IF(Q589=0,0,Q589/Q$4)</f>
        <v>0</v>
      </c>
      <c r="S589" s="661">
        <f>Калькулятор_жилье!S357</f>
        <v>0</v>
      </c>
      <c r="T589" s="662">
        <f t="shared" ref="T589" si="7916">IF(S589=0,0,S589/S$4)</f>
        <v>0</v>
      </c>
      <c r="U589" s="661">
        <f>Калькулятор_жилье!T357</f>
        <v>0</v>
      </c>
      <c r="V589" s="662">
        <f t="shared" ref="V589" si="7917">IF(U589=0,0,U589/U$4)</f>
        <v>0</v>
      </c>
      <c r="W589" s="661">
        <f>Калькулятор_жилье!U357</f>
        <v>0</v>
      </c>
      <c r="X589" s="662">
        <f t="shared" ref="X589" si="7918">IF(W589=0,0,W589/W$4)</f>
        <v>0</v>
      </c>
      <c r="Y589" s="661">
        <f>Калькулятор_жилье!V357</f>
        <v>0</v>
      </c>
      <c r="Z589" s="662">
        <f t="shared" ref="Z589" si="7919">IF(Y589=0,0,Y589/Y$4)</f>
        <v>0</v>
      </c>
      <c r="AA589" s="661">
        <f>Калькулятор_жилье!W357</f>
        <v>0</v>
      </c>
      <c r="AB589" s="662">
        <f t="shared" ref="AB589" si="7920">IF(AA589=0,0,AA589/AA$4)</f>
        <v>0</v>
      </c>
      <c r="AC589" s="661">
        <f>C589+E589+G589+I589+K589+M589+O589+Q589+S589+U589+W589+AA589+Y589</f>
        <v>756168.21216870344</v>
      </c>
      <c r="AD589" s="662">
        <f t="shared" ref="AD589" si="7921">IF(AC589=0,0,AC589/AC$4)</f>
        <v>4.6963199919177372</v>
      </c>
      <c r="AE589" s="665"/>
      <c r="AF589" s="114"/>
      <c r="AG589" s="114"/>
      <c r="AH589" s="114"/>
      <c r="AI589" s="114"/>
      <c r="AJ589" s="114"/>
    </row>
    <row r="590" spans="1:36" s="556" customFormat="1" ht="15.75" hidden="1" outlineLevel="2">
      <c r="A590" s="609" t="s">
        <v>1255</v>
      </c>
      <c r="B590" s="559" t="s">
        <v>1165</v>
      </c>
      <c r="C590" s="659"/>
      <c r="D590" s="660">
        <f t="shared" si="7813"/>
        <v>0</v>
      </c>
      <c r="E590" s="659"/>
      <c r="F590" s="660">
        <f t="shared" si="7813"/>
        <v>0</v>
      </c>
      <c r="G590" s="659">
        <f>G591</f>
        <v>128961.13645885899</v>
      </c>
      <c r="H590" s="660">
        <f t="shared" ref="H590" si="7922">IF(G590=0,0,G590/G$4)</f>
        <v>3.0892716938620022</v>
      </c>
      <c r="I590" s="659">
        <f t="shared" ref="I590" si="7923">I591</f>
        <v>128961.13645885899</v>
      </c>
      <c r="J590" s="660">
        <f t="shared" ref="J590" si="7924">IF(I590=0,0,I590/I$4)</f>
        <v>4.3949010124773791</v>
      </c>
      <c r="K590" s="659">
        <f t="shared" ref="K590" si="7925">K591</f>
        <v>128961.13645885899</v>
      </c>
      <c r="L590" s="660">
        <f t="shared" ref="L590" si="7926">IF(K590=0,0,K590/K$4)</f>
        <v>3.029038966644241</v>
      </c>
      <c r="M590" s="659">
        <f t="shared" ref="M590" si="7927">M591</f>
        <v>0</v>
      </c>
      <c r="N590" s="660">
        <f t="shared" ref="N590" si="7928">IF(M590=0,0,M590/M$4)</f>
        <v>0</v>
      </c>
      <c r="O590" s="659">
        <f t="shared" ref="O590" si="7929">O591</f>
        <v>0</v>
      </c>
      <c r="P590" s="660">
        <f t="shared" ref="P590" si="7930">IF(O590=0,0,O590/O$4)</f>
        <v>0</v>
      </c>
      <c r="Q590" s="659">
        <f t="shared" ref="Q590" si="7931">Q591</f>
        <v>0</v>
      </c>
      <c r="R590" s="660">
        <f t="shared" ref="R590" si="7932">IF(Q590=0,0,Q590/Q$4)</f>
        <v>0</v>
      </c>
      <c r="S590" s="659">
        <f t="shared" ref="S590" si="7933">S591</f>
        <v>0</v>
      </c>
      <c r="T590" s="660">
        <f t="shared" ref="T590" si="7934">IF(S590=0,0,S590/S$4)</f>
        <v>0</v>
      </c>
      <c r="U590" s="659">
        <f t="shared" ref="U590" si="7935">U591</f>
        <v>0</v>
      </c>
      <c r="V590" s="660">
        <f t="shared" ref="V590" si="7936">IF(U590=0,0,U590/U$4)</f>
        <v>0</v>
      </c>
      <c r="W590" s="659">
        <f t="shared" ref="W590" si="7937">W591</f>
        <v>0</v>
      </c>
      <c r="X590" s="660">
        <f t="shared" ref="X590" si="7938">IF(W590=0,0,W590/W$4)</f>
        <v>0</v>
      </c>
      <c r="Y590" s="659">
        <f t="shared" ref="Y590" si="7939">Y591</f>
        <v>0</v>
      </c>
      <c r="Z590" s="660">
        <f t="shared" ref="Z590" si="7940">IF(Y590=0,0,Y590/Y$4)</f>
        <v>0</v>
      </c>
      <c r="AA590" s="659">
        <f t="shared" ref="AA590" si="7941">AA591</f>
        <v>0</v>
      </c>
      <c r="AB590" s="660">
        <f t="shared" ref="AB590" si="7942">IF(AA590=0,0,AA590/AA$4)</f>
        <v>0</v>
      </c>
      <c r="AC590" s="659">
        <f t="shared" ref="AC590" si="7943">AC591</f>
        <v>386883.40937657701</v>
      </c>
      <c r="AD590" s="660">
        <f t="shared" ref="AD590" si="7944">IF(AC590=0,0,AC590/AC$4)</f>
        <v>2.4028096668934698</v>
      </c>
      <c r="AE590" s="654"/>
    </row>
    <row r="591" spans="1:36" s="68" customFormat="1" hidden="1" outlineLevel="3">
      <c r="A591" s="117"/>
      <c r="B591" s="118" t="s">
        <v>1844</v>
      </c>
      <c r="C591" s="661"/>
      <c r="D591" s="662">
        <f t="shared" si="7813"/>
        <v>0</v>
      </c>
      <c r="E591" s="661"/>
      <c r="F591" s="662">
        <f t="shared" si="7813"/>
        <v>0</v>
      </c>
      <c r="G591" s="661">
        <f>Калькулятор_жилье!M370</f>
        <v>128961.13645885899</v>
      </c>
      <c r="H591" s="662">
        <f t="shared" ref="H591" si="7945">IF(G591=0,0,G591/G$4)</f>
        <v>3.0892716938620022</v>
      </c>
      <c r="I591" s="661">
        <f>Калькулятор_жилье!N370</f>
        <v>128961.13645885899</v>
      </c>
      <c r="J591" s="662">
        <f t="shared" ref="J591" si="7946">IF(I591=0,0,I591/I$4)</f>
        <v>4.3949010124773791</v>
      </c>
      <c r="K591" s="661">
        <f>Калькулятор_жилье!O370</f>
        <v>128961.13645885899</v>
      </c>
      <c r="L591" s="662">
        <f t="shared" ref="L591" si="7947">IF(K591=0,0,K591/K$4)</f>
        <v>3.029038966644241</v>
      </c>
      <c r="M591" s="661">
        <f>Калькулятор_жилье!P370</f>
        <v>0</v>
      </c>
      <c r="N591" s="662">
        <f t="shared" ref="N591" si="7948">IF(M591=0,0,M591/M$4)</f>
        <v>0</v>
      </c>
      <c r="O591" s="661">
        <f>Калькулятор_жилье!Q370</f>
        <v>0</v>
      </c>
      <c r="P591" s="662">
        <f t="shared" ref="P591" si="7949">IF(O591=0,0,O591/O$4)</f>
        <v>0</v>
      </c>
      <c r="Q591" s="661">
        <f>Калькулятор_жилье!R370</f>
        <v>0</v>
      </c>
      <c r="R591" s="662">
        <f t="shared" ref="R591" si="7950">IF(Q591=0,0,Q591/Q$4)</f>
        <v>0</v>
      </c>
      <c r="S591" s="661">
        <f>Калькулятор_жилье!S370</f>
        <v>0</v>
      </c>
      <c r="T591" s="662">
        <f t="shared" ref="T591" si="7951">IF(S591=0,0,S591/S$4)</f>
        <v>0</v>
      </c>
      <c r="U591" s="661">
        <f>Калькулятор_жилье!T370</f>
        <v>0</v>
      </c>
      <c r="V591" s="662">
        <f t="shared" ref="V591" si="7952">IF(U591=0,0,U591/U$4)</f>
        <v>0</v>
      </c>
      <c r="W591" s="661">
        <f>Калькулятор_жилье!U370</f>
        <v>0</v>
      </c>
      <c r="X591" s="662">
        <f t="shared" ref="X591" si="7953">IF(W591=0,0,W591/W$4)</f>
        <v>0</v>
      </c>
      <c r="Y591" s="661">
        <f>Калькулятор_жилье!V370</f>
        <v>0</v>
      </c>
      <c r="Z591" s="662">
        <f t="shared" ref="Z591" si="7954">IF(Y591=0,0,Y591/Y$4)</f>
        <v>0</v>
      </c>
      <c r="AA591" s="661">
        <f>Калькулятор_жилье!W370</f>
        <v>0</v>
      </c>
      <c r="AB591" s="662">
        <f t="shared" ref="AB591" si="7955">IF(AA591=0,0,AA591/AA$4)</f>
        <v>0</v>
      </c>
      <c r="AC591" s="661">
        <f>C591+E591+G591+I591+K591+M591+O591+Q591+S591+U591+W591+AA591+Y591</f>
        <v>386883.40937657701</v>
      </c>
      <c r="AD591" s="662">
        <f t="shared" ref="AD591" si="7956">IF(AC591=0,0,AC591/AC$4)</f>
        <v>2.4028096668934698</v>
      </c>
      <c r="AE591" s="665"/>
      <c r="AF591" s="114"/>
      <c r="AG591" s="114"/>
      <c r="AH591" s="114"/>
      <c r="AI591" s="114"/>
      <c r="AJ591" s="114"/>
    </row>
    <row r="592" spans="1:36" s="556" customFormat="1" ht="15.75" hidden="1" outlineLevel="2">
      <c r="A592" s="609" t="s">
        <v>1254</v>
      </c>
      <c r="B592" s="559" t="s">
        <v>1166</v>
      </c>
      <c r="C592" s="659"/>
      <c r="D592" s="659">
        <f t="shared" si="7813"/>
        <v>0</v>
      </c>
      <c r="E592" s="659"/>
      <c r="F592" s="659">
        <f t="shared" si="7813"/>
        <v>0</v>
      </c>
      <c r="G592" s="659"/>
      <c r="H592" s="659">
        <f t="shared" ref="H592" si="7957">IF(G592=0,0,G592/G$4)</f>
        <v>0</v>
      </c>
      <c r="I592" s="659"/>
      <c r="J592" s="659">
        <f t="shared" ref="J592" si="7958">IF(I592=0,0,I592/I$4)</f>
        <v>0</v>
      </c>
      <c r="K592" s="659"/>
      <c r="L592" s="659">
        <f t="shared" ref="L592" si="7959">IF(K592=0,0,K592/K$4)</f>
        <v>0</v>
      </c>
      <c r="M592" s="659"/>
      <c r="N592" s="659">
        <f t="shared" ref="N592" si="7960">IF(M592=0,0,M592/M$4)</f>
        <v>0</v>
      </c>
      <c r="O592" s="659"/>
      <c r="P592" s="659">
        <f t="shared" ref="P592" si="7961">IF(O592=0,0,O592/O$4)</f>
        <v>0</v>
      </c>
      <c r="Q592" s="659"/>
      <c r="R592" s="659">
        <f t="shared" ref="R592" si="7962">IF(Q592=0,0,Q592/Q$4)</f>
        <v>0</v>
      </c>
      <c r="S592" s="659"/>
      <c r="T592" s="659">
        <f t="shared" ref="T592" si="7963">IF(S592=0,0,S592/S$4)</f>
        <v>0</v>
      </c>
      <c r="U592" s="659"/>
      <c r="V592" s="659">
        <f t="shared" ref="V592" si="7964">IF(U592=0,0,U592/U$4)</f>
        <v>0</v>
      </c>
      <c r="W592" s="659"/>
      <c r="X592" s="659">
        <f t="shared" ref="X592" si="7965">IF(W592=0,0,W592/W$4)</f>
        <v>0</v>
      </c>
      <c r="Y592" s="659"/>
      <c r="Z592" s="659">
        <f t="shared" ref="Z592" si="7966">IF(Y592=0,0,Y592/Y$4)</f>
        <v>0</v>
      </c>
      <c r="AA592" s="659"/>
      <c r="AB592" s="659">
        <f t="shared" ref="AB592" si="7967">IF(AA592=0,0,AA592/AA$4)</f>
        <v>0</v>
      </c>
      <c r="AC592" s="659"/>
      <c r="AD592" s="659">
        <f t="shared" ref="AD592" si="7968">IF(AC592=0,0,AC592/AC$4)</f>
        <v>0</v>
      </c>
      <c r="AE592" s="654"/>
    </row>
    <row r="593" spans="1:36" s="556" customFormat="1" ht="15.75" hidden="1" outlineLevel="2">
      <c r="A593" s="609" t="s">
        <v>1253</v>
      </c>
      <c r="B593" s="559" t="s">
        <v>1167</v>
      </c>
      <c r="C593" s="659"/>
      <c r="D593" s="660">
        <f t="shared" si="7813"/>
        <v>0</v>
      </c>
      <c r="E593" s="659"/>
      <c r="F593" s="660">
        <f t="shared" si="7813"/>
        <v>0</v>
      </c>
      <c r="G593" s="659">
        <f>G594</f>
        <v>34897.064895733318</v>
      </c>
      <c r="H593" s="660">
        <f t="shared" ref="H593" si="7969">IF(G593=0,0,G593/G$4)</f>
        <v>0.83596126508738211</v>
      </c>
      <c r="I593" s="659">
        <f t="shared" ref="I593" si="7970">I594</f>
        <v>34897.064895733318</v>
      </c>
      <c r="J593" s="660">
        <f t="shared" ref="J593" si="7971">IF(I593=0,0,I593/I$4)</f>
        <v>1.1892663949318931</v>
      </c>
      <c r="K593" s="659">
        <f t="shared" ref="K593" si="7972">K594</f>
        <v>34897.064895733318</v>
      </c>
      <c r="L593" s="660">
        <f t="shared" ref="L593" si="7973">IF(K593=0,0,K593/K$4)</f>
        <v>0.81966220439140436</v>
      </c>
      <c r="M593" s="659">
        <f t="shared" ref="M593" si="7974">M594</f>
        <v>0</v>
      </c>
      <c r="N593" s="660">
        <f t="shared" ref="N593" si="7975">IF(M593=0,0,M593/M$4)</f>
        <v>0</v>
      </c>
      <c r="O593" s="659">
        <f t="shared" ref="O593" si="7976">O594</f>
        <v>0</v>
      </c>
      <c r="P593" s="660">
        <f t="shared" ref="P593" si="7977">IF(O593=0,0,O593/O$4)</f>
        <v>0</v>
      </c>
      <c r="Q593" s="659">
        <f t="shared" ref="Q593" si="7978">Q594</f>
        <v>0</v>
      </c>
      <c r="R593" s="660">
        <f t="shared" ref="R593" si="7979">IF(Q593=0,0,Q593/Q$4)</f>
        <v>0</v>
      </c>
      <c r="S593" s="659">
        <f t="shared" ref="S593" si="7980">S594</f>
        <v>0</v>
      </c>
      <c r="T593" s="660">
        <f t="shared" ref="T593" si="7981">IF(S593=0,0,S593/S$4)</f>
        <v>0</v>
      </c>
      <c r="U593" s="659">
        <f t="shared" ref="U593" si="7982">U594</f>
        <v>0</v>
      </c>
      <c r="V593" s="660">
        <f t="shared" ref="V593" si="7983">IF(U593=0,0,U593/U$4)</f>
        <v>0</v>
      </c>
      <c r="W593" s="659">
        <f t="shared" ref="W593" si="7984">W594</f>
        <v>0</v>
      </c>
      <c r="X593" s="660">
        <f t="shared" ref="X593" si="7985">IF(W593=0,0,W593/W$4)</f>
        <v>0</v>
      </c>
      <c r="Y593" s="659">
        <f t="shared" ref="Y593" si="7986">Y594</f>
        <v>0</v>
      </c>
      <c r="Z593" s="660">
        <f t="shared" ref="Z593" si="7987">IF(Y593=0,0,Y593/Y$4)</f>
        <v>0</v>
      </c>
      <c r="AA593" s="659">
        <f t="shared" ref="AA593" si="7988">AA594</f>
        <v>0</v>
      </c>
      <c r="AB593" s="660">
        <f t="shared" ref="AB593" si="7989">IF(AA593=0,0,AA593/AA$4)</f>
        <v>0</v>
      </c>
      <c r="AC593" s="659">
        <f t="shared" ref="AC593" si="7990">AC594</f>
        <v>104691.19468719995</v>
      </c>
      <c r="AD593" s="660">
        <f t="shared" ref="AD593" si="7991">IF(AC593=0,0,AC593/AC$4)</f>
        <v>0.65020367515469901</v>
      </c>
      <c r="AE593" s="654"/>
    </row>
    <row r="594" spans="1:36" s="68" customFormat="1" hidden="1" outlineLevel="3">
      <c r="A594" s="117"/>
      <c r="B594" s="118" t="s">
        <v>896</v>
      </c>
      <c r="C594" s="661"/>
      <c r="D594" s="662">
        <f t="shared" si="7813"/>
        <v>0</v>
      </c>
      <c r="E594" s="661"/>
      <c r="F594" s="662">
        <f t="shared" si="7813"/>
        <v>0</v>
      </c>
      <c r="G594" s="661">
        <f>Калькулятор_жилье!M369</f>
        <v>34897.064895733318</v>
      </c>
      <c r="H594" s="662">
        <f t="shared" ref="H594" si="7992">IF(G594=0,0,G594/G$4)</f>
        <v>0.83596126508738211</v>
      </c>
      <c r="I594" s="661">
        <f>Калькулятор_жилье!N369</f>
        <v>34897.064895733318</v>
      </c>
      <c r="J594" s="662">
        <f t="shared" ref="J594" si="7993">IF(I594=0,0,I594/I$4)</f>
        <v>1.1892663949318931</v>
      </c>
      <c r="K594" s="661">
        <f>Калькулятор_жилье!O369</f>
        <v>34897.064895733318</v>
      </c>
      <c r="L594" s="662">
        <f t="shared" ref="L594" si="7994">IF(K594=0,0,K594/K$4)</f>
        <v>0.81966220439140436</v>
      </c>
      <c r="M594" s="661">
        <f>Калькулятор_жилье!P369</f>
        <v>0</v>
      </c>
      <c r="N594" s="662">
        <f t="shared" ref="N594" si="7995">IF(M594=0,0,M594/M$4)</f>
        <v>0</v>
      </c>
      <c r="O594" s="661">
        <f>Калькулятор_жилье!Q369</f>
        <v>0</v>
      </c>
      <c r="P594" s="662">
        <f t="shared" ref="P594" si="7996">IF(O594=0,0,O594/O$4)</f>
        <v>0</v>
      </c>
      <c r="Q594" s="661">
        <f>Калькулятор_жилье!R369</f>
        <v>0</v>
      </c>
      <c r="R594" s="662">
        <f t="shared" ref="R594" si="7997">IF(Q594=0,0,Q594/Q$4)</f>
        <v>0</v>
      </c>
      <c r="S594" s="661">
        <f>Калькулятор_жилье!S369</f>
        <v>0</v>
      </c>
      <c r="T594" s="662">
        <f t="shared" ref="T594" si="7998">IF(S594=0,0,S594/S$4)</f>
        <v>0</v>
      </c>
      <c r="U594" s="661">
        <f>Калькулятор_жилье!T369</f>
        <v>0</v>
      </c>
      <c r="V594" s="662">
        <f t="shared" ref="V594" si="7999">IF(U594=0,0,U594/U$4)</f>
        <v>0</v>
      </c>
      <c r="W594" s="661">
        <f>Калькулятор_жилье!U369</f>
        <v>0</v>
      </c>
      <c r="X594" s="662">
        <f t="shared" ref="X594" si="8000">IF(W594=0,0,W594/W$4)</f>
        <v>0</v>
      </c>
      <c r="Y594" s="661">
        <f>Калькулятор_жилье!V369</f>
        <v>0</v>
      </c>
      <c r="Z594" s="662">
        <f t="shared" ref="Z594" si="8001">IF(Y594=0,0,Y594/Y$4)</f>
        <v>0</v>
      </c>
      <c r="AA594" s="661">
        <f>Калькулятор_жилье!W369</f>
        <v>0</v>
      </c>
      <c r="AB594" s="662">
        <f t="shared" ref="AB594" si="8002">IF(AA594=0,0,AA594/AA$4)</f>
        <v>0</v>
      </c>
      <c r="AC594" s="661">
        <f>C594+E594+G594+I594+K594+M594+O594+Q594+S594+U594+W594+AA594+Y594</f>
        <v>104691.19468719995</v>
      </c>
      <c r="AD594" s="662">
        <f t="shared" ref="AD594" si="8003">IF(AC594=0,0,AC594/AC$4)</f>
        <v>0.65020367515469901</v>
      </c>
      <c r="AE594" s="665"/>
      <c r="AF594" s="114"/>
      <c r="AG594" s="114"/>
      <c r="AH594" s="114"/>
      <c r="AI594" s="114"/>
      <c r="AJ594" s="114"/>
    </row>
    <row r="595" spans="1:36" s="556" customFormat="1" ht="15.75" hidden="1" outlineLevel="2">
      <c r="A595" s="609" t="s">
        <v>1252</v>
      </c>
      <c r="B595" s="559" t="s">
        <v>1168</v>
      </c>
      <c r="C595" s="659"/>
      <c r="D595" s="660">
        <f t="shared" si="7813"/>
        <v>0</v>
      </c>
      <c r="E595" s="659"/>
      <c r="F595" s="660">
        <f t="shared" si="7813"/>
        <v>0</v>
      </c>
      <c r="G595" s="659">
        <f>G596</f>
        <v>1045614.8713188753</v>
      </c>
      <c r="H595" s="660">
        <f t="shared" ref="H595" si="8004">IF(G595=0,0,G595/G$4)</f>
        <v>25.04776643060254</v>
      </c>
      <c r="I595" s="659">
        <f t="shared" ref="I595" si="8005">I596</f>
        <v>1045614.8713188753</v>
      </c>
      <c r="J595" s="660">
        <f t="shared" ref="J595" si="8006">IF(I595=0,0,I595/I$4)</f>
        <v>35.633788463757377</v>
      </c>
      <c r="K595" s="659">
        <f t="shared" ref="K595" si="8007">K596</f>
        <v>1045614.8713188753</v>
      </c>
      <c r="L595" s="660">
        <f t="shared" ref="L595" si="8008">IF(K595=0,0,K595/K$4)</f>
        <v>24.559400423227316</v>
      </c>
      <c r="M595" s="659">
        <f t="shared" ref="M595" si="8009">M596</f>
        <v>0</v>
      </c>
      <c r="N595" s="660">
        <f t="shared" ref="N595" si="8010">IF(M595=0,0,M595/M$4)</f>
        <v>0</v>
      </c>
      <c r="O595" s="659">
        <f t="shared" ref="O595" si="8011">O596</f>
        <v>0</v>
      </c>
      <c r="P595" s="660">
        <f t="shared" ref="P595" si="8012">IF(O595=0,0,O595/O$4)</f>
        <v>0</v>
      </c>
      <c r="Q595" s="659">
        <f t="shared" ref="Q595" si="8013">Q596</f>
        <v>0</v>
      </c>
      <c r="R595" s="660">
        <f t="shared" ref="R595" si="8014">IF(Q595=0,0,Q595/Q$4)</f>
        <v>0</v>
      </c>
      <c r="S595" s="659">
        <f t="shared" ref="S595" si="8015">S596</f>
        <v>0</v>
      </c>
      <c r="T595" s="660">
        <f t="shared" ref="T595" si="8016">IF(S595=0,0,S595/S$4)</f>
        <v>0</v>
      </c>
      <c r="U595" s="659">
        <f t="shared" ref="U595" si="8017">U596</f>
        <v>0</v>
      </c>
      <c r="V595" s="660">
        <f t="shared" ref="V595" si="8018">IF(U595=0,0,U595/U$4)</f>
        <v>0</v>
      </c>
      <c r="W595" s="659">
        <f t="shared" ref="W595" si="8019">W596</f>
        <v>0</v>
      </c>
      <c r="X595" s="660">
        <f t="shared" ref="X595" si="8020">IF(W595=0,0,W595/W$4)</f>
        <v>0</v>
      </c>
      <c r="Y595" s="659">
        <f t="shared" ref="Y595" si="8021">Y596</f>
        <v>0</v>
      </c>
      <c r="Z595" s="660">
        <f t="shared" ref="Z595" si="8022">IF(Y595=0,0,Y595/Y$4)</f>
        <v>0</v>
      </c>
      <c r="AA595" s="659">
        <f t="shared" ref="AA595" si="8023">AA596</f>
        <v>0</v>
      </c>
      <c r="AB595" s="660">
        <f t="shared" ref="AB595" si="8024">IF(AA595=0,0,AA595/AA$4)</f>
        <v>0</v>
      </c>
      <c r="AC595" s="659">
        <f t="shared" ref="AC595" si="8025">AC596</f>
        <v>3136844.613956626</v>
      </c>
      <c r="AD595" s="660">
        <f t="shared" ref="AD595" si="8026">IF(AC595=0,0,AC595/AC$4)</f>
        <v>19.481943084877138</v>
      </c>
      <c r="AE595" s="654"/>
    </row>
    <row r="596" spans="1:36" s="68" customFormat="1" hidden="1" outlineLevel="3">
      <c r="A596" s="117"/>
      <c r="B596" s="118" t="s">
        <v>896</v>
      </c>
      <c r="C596" s="661"/>
      <c r="D596" s="662">
        <f t="shared" si="7813"/>
        <v>0</v>
      </c>
      <c r="E596" s="661"/>
      <c r="F596" s="662">
        <f t="shared" si="7813"/>
        <v>0</v>
      </c>
      <c r="G596" s="661">
        <f>SUM(Калькулятор_жилье!M366:M368)</f>
        <v>1045614.8713188753</v>
      </c>
      <c r="H596" s="662">
        <f t="shared" ref="H596" si="8027">IF(G596=0,0,G596/G$4)</f>
        <v>25.04776643060254</v>
      </c>
      <c r="I596" s="661">
        <f>SUM(Калькулятор_жилье!N366:N368)</f>
        <v>1045614.8713188753</v>
      </c>
      <c r="J596" s="662">
        <f t="shared" ref="J596" si="8028">IF(I596=0,0,I596/I$4)</f>
        <v>35.633788463757377</v>
      </c>
      <c r="K596" s="661">
        <f>SUM(Калькулятор_жилье!O366:O368)</f>
        <v>1045614.8713188753</v>
      </c>
      <c r="L596" s="662">
        <f t="shared" ref="L596" si="8029">IF(K596=0,0,K596/K$4)</f>
        <v>24.559400423227316</v>
      </c>
      <c r="M596" s="661">
        <f>SUM(Калькулятор_жилье!P366:P368)</f>
        <v>0</v>
      </c>
      <c r="N596" s="662">
        <f t="shared" ref="N596" si="8030">IF(M596=0,0,M596/M$4)</f>
        <v>0</v>
      </c>
      <c r="O596" s="661">
        <f>SUM(Калькулятор_жилье!Q366:Q368)</f>
        <v>0</v>
      </c>
      <c r="P596" s="662">
        <f t="shared" ref="P596" si="8031">IF(O596=0,0,O596/O$4)</f>
        <v>0</v>
      </c>
      <c r="Q596" s="661">
        <f>SUM(Калькулятор_жилье!R366:R368)</f>
        <v>0</v>
      </c>
      <c r="R596" s="662">
        <f t="shared" ref="R596" si="8032">IF(Q596=0,0,Q596/Q$4)</f>
        <v>0</v>
      </c>
      <c r="S596" s="661">
        <f>SUM(Калькулятор_жилье!S366:S368)</f>
        <v>0</v>
      </c>
      <c r="T596" s="662">
        <f t="shared" ref="T596" si="8033">IF(S596=0,0,S596/S$4)</f>
        <v>0</v>
      </c>
      <c r="U596" s="661">
        <f>SUM(Калькулятор_жилье!T366:T368)</f>
        <v>0</v>
      </c>
      <c r="V596" s="662">
        <f t="shared" ref="V596" si="8034">IF(U596=0,0,U596/U$4)</f>
        <v>0</v>
      </c>
      <c r="W596" s="661">
        <f>SUM(Калькулятор_жилье!U366:U368)</f>
        <v>0</v>
      </c>
      <c r="X596" s="662">
        <f t="shared" ref="X596" si="8035">IF(W596=0,0,W596/W$4)</f>
        <v>0</v>
      </c>
      <c r="Y596" s="661">
        <f>SUM(Калькулятор_жилье!V366:V368)</f>
        <v>0</v>
      </c>
      <c r="Z596" s="662">
        <f t="shared" ref="Z596" si="8036">IF(Y596=0,0,Y596/Y$4)</f>
        <v>0</v>
      </c>
      <c r="AA596" s="661">
        <f>SUM(Калькулятор_жилье!W366:W368)</f>
        <v>0</v>
      </c>
      <c r="AB596" s="662">
        <f t="shared" ref="AB596" si="8037">IF(AA596=0,0,AA596/AA$4)</f>
        <v>0</v>
      </c>
      <c r="AC596" s="661">
        <f>C596+E596+G596+I596+K596+M596+O596+Q596+S596+U596+W596+AA596+Y596</f>
        <v>3136844.613956626</v>
      </c>
      <c r="AD596" s="662">
        <f t="shared" ref="AD596" si="8038">IF(AC596=0,0,AC596/AC$4)</f>
        <v>19.481943084877138</v>
      </c>
      <c r="AE596" s="665"/>
      <c r="AF596" s="114"/>
      <c r="AG596" s="114"/>
      <c r="AH596" s="114"/>
      <c r="AI596" s="114"/>
      <c r="AJ596" s="114"/>
    </row>
    <row r="597" spans="1:36" s="556" customFormat="1" ht="15.75" hidden="1" outlineLevel="2">
      <c r="A597" s="609" t="s">
        <v>1251</v>
      </c>
      <c r="B597" s="559" t="s">
        <v>1169</v>
      </c>
      <c r="C597" s="659"/>
      <c r="D597" s="660">
        <f t="shared" si="7813"/>
        <v>0</v>
      </c>
      <c r="E597" s="659"/>
      <c r="F597" s="660">
        <f t="shared" si="7813"/>
        <v>0</v>
      </c>
      <c r="G597" s="659"/>
      <c r="H597" s="660">
        <f t="shared" ref="H597" si="8039">IF(G597=0,0,G597/G$4)</f>
        <v>0</v>
      </c>
      <c r="I597" s="659"/>
      <c r="J597" s="660">
        <f t="shared" ref="J597" si="8040">IF(I597=0,0,I597/I$4)</f>
        <v>0</v>
      </c>
      <c r="K597" s="659"/>
      <c r="L597" s="660">
        <f t="shared" ref="L597" si="8041">IF(K597=0,0,K597/K$4)</f>
        <v>0</v>
      </c>
      <c r="M597" s="659"/>
      <c r="N597" s="660">
        <f t="shared" ref="N597" si="8042">IF(M597=0,0,M597/M$4)</f>
        <v>0</v>
      </c>
      <c r="O597" s="659"/>
      <c r="P597" s="660">
        <f t="shared" ref="P597" si="8043">IF(O597=0,0,O597/O$4)</f>
        <v>0</v>
      </c>
      <c r="Q597" s="659"/>
      <c r="R597" s="660">
        <f t="shared" ref="R597" si="8044">IF(Q597=0,0,Q597/Q$4)</f>
        <v>0</v>
      </c>
      <c r="S597" s="659"/>
      <c r="T597" s="660">
        <f t="shared" ref="T597" si="8045">IF(S597=0,0,S597/S$4)</f>
        <v>0</v>
      </c>
      <c r="U597" s="659"/>
      <c r="V597" s="660">
        <f t="shared" ref="V597" si="8046">IF(U597=0,0,U597/U$4)</f>
        <v>0</v>
      </c>
      <c r="W597" s="659"/>
      <c r="X597" s="660">
        <f t="shared" ref="X597" si="8047">IF(W597=0,0,W597/W$4)</f>
        <v>0</v>
      </c>
      <c r="Y597" s="659"/>
      <c r="Z597" s="660">
        <f t="shared" ref="Z597" si="8048">IF(Y597=0,0,Y597/Y$4)</f>
        <v>0</v>
      </c>
      <c r="AA597" s="659"/>
      <c r="AB597" s="660">
        <f t="shared" ref="AB597" si="8049">IF(AA597=0,0,AA597/AA$4)</f>
        <v>0</v>
      </c>
      <c r="AC597" s="659"/>
      <c r="AD597" s="660">
        <f t="shared" ref="AD597" si="8050">IF(AC597=0,0,AC597/AC$4)</f>
        <v>0</v>
      </c>
      <c r="AE597" s="654"/>
    </row>
    <row r="598" spans="1:36" s="556" customFormat="1" ht="15.75" outlineLevel="1" collapsed="1">
      <c r="A598" s="610" t="s">
        <v>1250</v>
      </c>
      <c r="B598" s="558" t="s">
        <v>119</v>
      </c>
      <c r="C598" s="657">
        <f>C599+C624</f>
        <v>21547419.432851613</v>
      </c>
      <c r="D598" s="658">
        <f t="shared" si="7813"/>
        <v>133.82416111689338</v>
      </c>
      <c r="E598" s="657">
        <f t="shared" ref="E598" si="8051">E599+E624</f>
        <v>0</v>
      </c>
      <c r="F598" s="658">
        <f t="shared" si="7813"/>
        <v>0</v>
      </c>
      <c r="G598" s="657">
        <f t="shared" ref="G598" si="8052">G599+G624</f>
        <v>0</v>
      </c>
      <c r="H598" s="658">
        <f t="shared" ref="H598" si="8053">IF(G598=0,0,G598/G$4)</f>
        <v>0</v>
      </c>
      <c r="I598" s="657">
        <f t="shared" ref="I598" si="8054">I599+I624</f>
        <v>0</v>
      </c>
      <c r="J598" s="658">
        <f t="shared" ref="J598" si="8055">IF(I598=0,0,I598/I$4)</f>
        <v>0</v>
      </c>
      <c r="K598" s="657">
        <f t="shared" ref="K598" si="8056">K599+K624</f>
        <v>0</v>
      </c>
      <c r="L598" s="658">
        <f t="shared" ref="L598" si="8057">IF(K598=0,0,K598/K$4)</f>
        <v>0</v>
      </c>
      <c r="M598" s="657">
        <f t="shared" ref="M598" si="8058">M599+M624</f>
        <v>0</v>
      </c>
      <c r="N598" s="658">
        <f t="shared" ref="N598" si="8059">IF(M598=0,0,M598/M$4)</f>
        <v>0</v>
      </c>
      <c r="O598" s="657">
        <f t="shared" ref="O598" si="8060">O599+O624</f>
        <v>0</v>
      </c>
      <c r="P598" s="658">
        <f t="shared" ref="P598" si="8061">IF(O598=0,0,O598/O$4)</f>
        <v>0</v>
      </c>
      <c r="Q598" s="657">
        <f t="shared" ref="Q598" si="8062">Q599+Q624</f>
        <v>0</v>
      </c>
      <c r="R598" s="658">
        <f t="shared" ref="R598" si="8063">IF(Q598=0,0,Q598/Q$4)</f>
        <v>0</v>
      </c>
      <c r="S598" s="657">
        <f t="shared" ref="S598" si="8064">S599+S624</f>
        <v>0</v>
      </c>
      <c r="T598" s="658">
        <f t="shared" ref="T598" si="8065">IF(S598=0,0,S598/S$4)</f>
        <v>0</v>
      </c>
      <c r="U598" s="657">
        <f t="shared" ref="U598" si="8066">U599+U624</f>
        <v>0</v>
      </c>
      <c r="V598" s="658">
        <f t="shared" ref="V598" si="8067">IF(U598=0,0,U598/U$4)</f>
        <v>0</v>
      </c>
      <c r="W598" s="657">
        <f t="shared" ref="W598" si="8068">W599+W624</f>
        <v>0</v>
      </c>
      <c r="X598" s="658">
        <f t="shared" ref="X598" si="8069">IF(W598=0,0,W598/W$4)</f>
        <v>0</v>
      </c>
      <c r="Y598" s="657">
        <f t="shared" ref="Y598" si="8070">Y599+Y624</f>
        <v>0</v>
      </c>
      <c r="Z598" s="658">
        <f t="shared" ref="Z598" si="8071">IF(Y598=0,0,Y598/Y$4)</f>
        <v>0</v>
      </c>
      <c r="AA598" s="657">
        <f t="shared" ref="AA598" si="8072">AA599+AA624</f>
        <v>0</v>
      </c>
      <c r="AB598" s="658">
        <f t="shared" ref="AB598" si="8073">IF(AA598=0,0,AA598/AA$4)</f>
        <v>0</v>
      </c>
      <c r="AC598" s="657">
        <f t="shared" ref="AC598" si="8074">AC599+AC624</f>
        <v>21547419.432851613</v>
      </c>
      <c r="AD598" s="658">
        <f t="shared" ref="AD598" si="8075">IF(AC598=0,0,AC598/AC$4)</f>
        <v>133.82416111689338</v>
      </c>
      <c r="AE598" s="654"/>
    </row>
    <row r="599" spans="1:36" s="556" customFormat="1" ht="15.75" hidden="1" outlineLevel="2">
      <c r="A599" s="609" t="s">
        <v>1249</v>
      </c>
      <c r="B599" s="559" t="s">
        <v>1248</v>
      </c>
      <c r="C599" s="659">
        <f>C603+C606+C609+C612+C615+C618+C621+C602+C601+C600</f>
        <v>21547419.432851613</v>
      </c>
      <c r="D599" s="660">
        <f t="shared" si="7813"/>
        <v>133.82416111689338</v>
      </c>
      <c r="E599" s="659">
        <f t="shared" ref="E599" si="8076">E603+E606+E609+E612+E615+E618+E621+E602+E601+E600</f>
        <v>0</v>
      </c>
      <c r="F599" s="660">
        <f t="shared" si="7813"/>
        <v>0</v>
      </c>
      <c r="G599" s="659">
        <f t="shared" ref="G599" si="8077">G603+G606+G609+G612+G615+G618+G621+G602+G601+G600</f>
        <v>0</v>
      </c>
      <c r="H599" s="660">
        <f t="shared" ref="H599" si="8078">IF(G599=0,0,G599/G$4)</f>
        <v>0</v>
      </c>
      <c r="I599" s="659">
        <f t="shared" ref="I599" si="8079">I603+I606+I609+I612+I615+I618+I621+I602+I601+I600</f>
        <v>0</v>
      </c>
      <c r="J599" s="660">
        <f t="shared" ref="J599" si="8080">IF(I599=0,0,I599/I$4)</f>
        <v>0</v>
      </c>
      <c r="K599" s="659">
        <f t="shared" ref="K599" si="8081">K603+K606+K609+K612+K615+K618+K621+K602+K601+K600</f>
        <v>0</v>
      </c>
      <c r="L599" s="660">
        <f t="shared" ref="L599" si="8082">IF(K599=0,0,K599/K$4)</f>
        <v>0</v>
      </c>
      <c r="M599" s="659">
        <f t="shared" ref="M599" si="8083">M603+M606+M609+M612+M615+M618+M621+M602+M601+M600</f>
        <v>0</v>
      </c>
      <c r="N599" s="660">
        <f t="shared" ref="N599" si="8084">IF(M599=0,0,M599/M$4)</f>
        <v>0</v>
      </c>
      <c r="O599" s="659">
        <f t="shared" ref="O599" si="8085">O603+O606+O609+O612+O615+O618+O621+O602+O601+O600</f>
        <v>0</v>
      </c>
      <c r="P599" s="660">
        <f t="shared" ref="P599" si="8086">IF(O599=0,0,O599/O$4)</f>
        <v>0</v>
      </c>
      <c r="Q599" s="659">
        <f t="shared" ref="Q599" si="8087">Q603+Q606+Q609+Q612+Q615+Q618+Q621+Q602+Q601+Q600</f>
        <v>0</v>
      </c>
      <c r="R599" s="660">
        <f t="shared" ref="R599" si="8088">IF(Q599=0,0,Q599/Q$4)</f>
        <v>0</v>
      </c>
      <c r="S599" s="659">
        <f t="shared" ref="S599" si="8089">S603+S606+S609+S612+S615+S618+S621+S602+S601+S600</f>
        <v>0</v>
      </c>
      <c r="T599" s="660">
        <f t="shared" ref="T599" si="8090">IF(S599=0,0,S599/S$4)</f>
        <v>0</v>
      </c>
      <c r="U599" s="659">
        <f t="shared" ref="U599" si="8091">U603+U606+U609+U612+U615+U618+U621+U602+U601+U600</f>
        <v>0</v>
      </c>
      <c r="V599" s="660">
        <f t="shared" ref="V599" si="8092">IF(U599=0,0,U599/U$4)</f>
        <v>0</v>
      </c>
      <c r="W599" s="659">
        <f t="shared" ref="W599" si="8093">W603+W606+W609+W612+W615+W618+W621+W602+W601+W600</f>
        <v>0</v>
      </c>
      <c r="X599" s="660">
        <f t="shared" ref="X599" si="8094">IF(W599=0,0,W599/W$4)</f>
        <v>0</v>
      </c>
      <c r="Y599" s="659">
        <f t="shared" ref="Y599" si="8095">Y603+Y606+Y609+Y612+Y615+Y618+Y621+Y602+Y601+Y600</f>
        <v>0</v>
      </c>
      <c r="Z599" s="660">
        <f t="shared" ref="Z599" si="8096">IF(Y599=0,0,Y599/Y$4)</f>
        <v>0</v>
      </c>
      <c r="AA599" s="659">
        <f t="shared" ref="AA599" si="8097">AA603+AA606+AA609+AA612+AA615+AA618+AA621+AA602+AA601+AA600</f>
        <v>0</v>
      </c>
      <c r="AB599" s="660">
        <f t="shared" ref="AB599" si="8098">IF(AA599=0,0,AA599/AA$4)</f>
        <v>0</v>
      </c>
      <c r="AC599" s="659">
        <f>AC603+AC606+AC609+AC612+AC615+AC618+AC621+AC602+AC601+AC600</f>
        <v>21547419.432851613</v>
      </c>
      <c r="AD599" s="660">
        <f t="shared" ref="AD599" si="8099">IF(AC599=0,0,AC599/AC$4)</f>
        <v>133.82416111689338</v>
      </c>
      <c r="AE599" s="654"/>
    </row>
    <row r="600" spans="1:36" s="68" customFormat="1" hidden="1" outlineLevel="3">
      <c r="A600" s="117"/>
      <c r="B600" s="118" t="s">
        <v>1820</v>
      </c>
      <c r="C600" s="661">
        <f>Калькулятор_жилье!K528+Калькулятор_жилье!K529</f>
        <v>773617.02127659507</v>
      </c>
      <c r="D600" s="662">
        <f t="shared" si="7813"/>
        <v>4.8046889893575102</v>
      </c>
      <c r="E600" s="661"/>
      <c r="F600" s="662">
        <f t="shared" si="7813"/>
        <v>0</v>
      </c>
      <c r="G600" s="661"/>
      <c r="H600" s="662">
        <f t="shared" ref="H600" si="8100">IF(G600=0,0,G600/G$4)</f>
        <v>0</v>
      </c>
      <c r="I600" s="661"/>
      <c r="J600" s="662">
        <f t="shared" ref="J600" si="8101">IF(I600=0,0,I600/I$4)</f>
        <v>0</v>
      </c>
      <c r="K600" s="661"/>
      <c r="L600" s="662">
        <f t="shared" ref="L600" si="8102">IF(K600=0,0,K600/K$4)</f>
        <v>0</v>
      </c>
      <c r="M600" s="661"/>
      <c r="N600" s="662">
        <f t="shared" ref="N600" si="8103">IF(M600=0,0,M600/M$4)</f>
        <v>0</v>
      </c>
      <c r="O600" s="661"/>
      <c r="P600" s="662">
        <f t="shared" ref="P600" si="8104">IF(O600=0,0,O600/O$4)</f>
        <v>0</v>
      </c>
      <c r="Q600" s="661"/>
      <c r="R600" s="662">
        <f t="shared" ref="R600" si="8105">IF(Q600=0,0,Q600/Q$4)</f>
        <v>0</v>
      </c>
      <c r="S600" s="661"/>
      <c r="T600" s="662">
        <f t="shared" ref="T600" si="8106">IF(S600=0,0,S600/S$4)</f>
        <v>0</v>
      </c>
      <c r="U600" s="661"/>
      <c r="V600" s="662">
        <f t="shared" ref="V600" si="8107">IF(U600=0,0,U600/U$4)</f>
        <v>0</v>
      </c>
      <c r="W600" s="661"/>
      <c r="X600" s="662">
        <f t="shared" ref="X600" si="8108">IF(W600=0,0,W600/W$4)</f>
        <v>0</v>
      </c>
      <c r="Y600" s="661"/>
      <c r="Z600" s="662">
        <f t="shared" ref="Z600" si="8109">IF(Y600=0,0,Y600/Y$4)</f>
        <v>0</v>
      </c>
      <c r="AA600" s="661"/>
      <c r="AB600" s="662">
        <f t="shared" ref="AB600" si="8110">IF(AA600=0,0,AA600/AA$4)</f>
        <v>0</v>
      </c>
      <c r="AC600" s="661">
        <f t="shared" ref="AC600" si="8111">C600+E600+G600+I600+K600+M600+O600+Q600+S600+U600+W600+AA600+Y600</f>
        <v>773617.02127659507</v>
      </c>
      <c r="AD600" s="662">
        <f t="shared" ref="AD600" si="8112">IF(AC600=0,0,AC600/AC$4)</f>
        <v>4.8046889893575102</v>
      </c>
      <c r="AE600" s="665"/>
      <c r="AF600" s="114"/>
      <c r="AG600" s="114"/>
      <c r="AH600" s="114"/>
      <c r="AI600" s="114"/>
      <c r="AJ600" s="114"/>
    </row>
    <row r="601" spans="1:36" s="68" customFormat="1" hidden="1" outlineLevel="3">
      <c r="A601" s="117"/>
      <c r="B601" s="118" t="s">
        <v>1819</v>
      </c>
      <c r="C601" s="661">
        <f>Калькулятор_жилье!K530+Калькулятор_жилье!K531</f>
        <v>196344</v>
      </c>
      <c r="D601" s="662">
        <f t="shared" si="7813"/>
        <v>1.2194300654989372</v>
      </c>
      <c r="E601" s="661"/>
      <c r="F601" s="662">
        <f t="shared" si="7813"/>
        <v>0</v>
      </c>
      <c r="G601" s="661"/>
      <c r="H601" s="662">
        <f t="shared" ref="H601" si="8113">IF(G601=0,0,G601/G$4)</f>
        <v>0</v>
      </c>
      <c r="I601" s="661"/>
      <c r="J601" s="662">
        <f t="shared" ref="J601" si="8114">IF(I601=0,0,I601/I$4)</f>
        <v>0</v>
      </c>
      <c r="K601" s="661"/>
      <c r="L601" s="662">
        <f t="shared" ref="L601" si="8115">IF(K601=0,0,K601/K$4)</f>
        <v>0</v>
      </c>
      <c r="M601" s="661"/>
      <c r="N601" s="662">
        <f t="shared" ref="N601" si="8116">IF(M601=0,0,M601/M$4)</f>
        <v>0</v>
      </c>
      <c r="O601" s="661"/>
      <c r="P601" s="662">
        <f t="shared" ref="P601" si="8117">IF(O601=0,0,O601/O$4)</f>
        <v>0</v>
      </c>
      <c r="Q601" s="661"/>
      <c r="R601" s="662">
        <f t="shared" ref="R601" si="8118">IF(Q601=0,0,Q601/Q$4)</f>
        <v>0</v>
      </c>
      <c r="S601" s="661"/>
      <c r="T601" s="662">
        <f t="shared" ref="T601" si="8119">IF(S601=0,0,S601/S$4)</f>
        <v>0</v>
      </c>
      <c r="U601" s="661"/>
      <c r="V601" s="662">
        <f t="shared" ref="V601" si="8120">IF(U601=0,0,U601/U$4)</f>
        <v>0</v>
      </c>
      <c r="W601" s="661"/>
      <c r="X601" s="662">
        <f t="shared" ref="X601" si="8121">IF(W601=0,0,W601/W$4)</f>
        <v>0</v>
      </c>
      <c r="Y601" s="661"/>
      <c r="Z601" s="662">
        <f t="shared" ref="Z601" si="8122">IF(Y601=0,0,Y601/Y$4)</f>
        <v>0</v>
      </c>
      <c r="AA601" s="661"/>
      <c r="AB601" s="662">
        <f t="shared" ref="AB601" si="8123">IF(AA601=0,0,AA601/AA$4)</f>
        <v>0</v>
      </c>
      <c r="AC601" s="661">
        <f t="shared" ref="AC601" si="8124">C601+E601+G601+I601+K601+M601+O601+Q601+S601+U601+W601+AA601+Y601</f>
        <v>196344</v>
      </c>
      <c r="AD601" s="662">
        <f t="shared" ref="AD601" si="8125">IF(AC601=0,0,AC601/AC$4)</f>
        <v>1.2194300654989372</v>
      </c>
      <c r="AE601" s="665"/>
      <c r="AF601" s="114"/>
      <c r="AG601" s="114"/>
      <c r="AH601" s="114"/>
      <c r="AI601" s="114"/>
      <c r="AJ601" s="114"/>
    </row>
    <row r="602" spans="1:36" s="68" customFormat="1" hidden="1" outlineLevel="3">
      <c r="A602" s="117"/>
      <c r="B602" s="118" t="s">
        <v>1818</v>
      </c>
      <c r="C602" s="661">
        <f>Калькулятор_жилье!K546</f>
        <v>206444</v>
      </c>
      <c r="D602" s="662">
        <f t="shared" si="7813"/>
        <v>1.2821579495266604</v>
      </c>
      <c r="E602" s="661"/>
      <c r="F602" s="662">
        <f t="shared" si="7813"/>
        <v>0</v>
      </c>
      <c r="G602" s="661"/>
      <c r="H602" s="662">
        <f t="shared" ref="H602" si="8126">IF(G602=0,0,G602/G$4)</f>
        <v>0</v>
      </c>
      <c r="I602" s="661"/>
      <c r="J602" s="662">
        <f t="shared" ref="J602" si="8127">IF(I602=0,0,I602/I$4)</f>
        <v>0</v>
      </c>
      <c r="K602" s="661"/>
      <c r="L602" s="662">
        <f t="shared" ref="L602" si="8128">IF(K602=0,0,K602/K$4)</f>
        <v>0</v>
      </c>
      <c r="M602" s="661"/>
      <c r="N602" s="662">
        <f t="shared" ref="N602" si="8129">IF(M602=0,0,M602/M$4)</f>
        <v>0</v>
      </c>
      <c r="O602" s="661"/>
      <c r="P602" s="662">
        <f t="shared" ref="P602" si="8130">IF(O602=0,0,O602/O$4)</f>
        <v>0</v>
      </c>
      <c r="Q602" s="661"/>
      <c r="R602" s="662">
        <f t="shared" ref="R602" si="8131">IF(Q602=0,0,Q602/Q$4)</f>
        <v>0</v>
      </c>
      <c r="S602" s="661"/>
      <c r="T602" s="662">
        <f t="shared" ref="T602" si="8132">IF(S602=0,0,S602/S$4)</f>
        <v>0</v>
      </c>
      <c r="U602" s="661"/>
      <c r="V602" s="662">
        <f t="shared" ref="V602" si="8133">IF(U602=0,0,U602/U$4)</f>
        <v>0</v>
      </c>
      <c r="W602" s="661"/>
      <c r="X602" s="662">
        <f t="shared" ref="X602" si="8134">IF(W602=0,0,W602/W$4)</f>
        <v>0</v>
      </c>
      <c r="Y602" s="661"/>
      <c r="Z602" s="662">
        <f t="shared" ref="Z602" si="8135">IF(Y602=0,0,Y602/Y$4)</f>
        <v>0</v>
      </c>
      <c r="AA602" s="661"/>
      <c r="AB602" s="662">
        <f t="shared" ref="AB602" si="8136">IF(AA602=0,0,AA602/AA$4)</f>
        <v>0</v>
      </c>
      <c r="AC602" s="661">
        <f t="shared" ref="AC602" si="8137">C602+E602+G602+I602+K602+M602+O602+Q602+S602+U602+W602+AA602+Y602</f>
        <v>206444</v>
      </c>
      <c r="AD602" s="662">
        <f t="shared" ref="AD602" si="8138">IF(AC602=0,0,AC602/AC$4)</f>
        <v>1.2821579495266604</v>
      </c>
      <c r="AE602" s="665"/>
      <c r="AF602" s="114"/>
      <c r="AG602" s="114"/>
      <c r="AH602" s="114"/>
      <c r="AI602" s="114"/>
      <c r="AJ602" s="114"/>
    </row>
    <row r="603" spans="1:36" s="68" customFormat="1" hidden="1" outlineLevel="3" collapsed="1">
      <c r="A603" s="117"/>
      <c r="B603" s="118" t="str">
        <f>Калькулятор_жилье!D532</f>
        <v>Демонстрационный стенд с материалами</v>
      </c>
      <c r="C603" s="661">
        <f>Калькулятор_жилье!K532</f>
        <v>2097352.181830511</v>
      </c>
      <c r="D603" s="662">
        <f t="shared" si="7813"/>
        <v>13.02598657694617</v>
      </c>
      <c r="E603" s="661"/>
      <c r="F603" s="662">
        <f t="shared" si="7813"/>
        <v>0</v>
      </c>
      <c r="G603" s="661"/>
      <c r="H603" s="662">
        <f t="shared" ref="H603" si="8139">IF(G603=0,0,G603/G$4)</f>
        <v>0</v>
      </c>
      <c r="I603" s="661"/>
      <c r="J603" s="662">
        <f t="shared" ref="J603" si="8140">IF(I603=0,0,I603/I$4)</f>
        <v>0</v>
      </c>
      <c r="K603" s="661"/>
      <c r="L603" s="662">
        <f t="shared" ref="L603" si="8141">IF(K603=0,0,K603/K$4)</f>
        <v>0</v>
      </c>
      <c r="M603" s="661"/>
      <c r="N603" s="662">
        <f t="shared" ref="N603" si="8142">IF(M603=0,0,M603/M$4)</f>
        <v>0</v>
      </c>
      <c r="O603" s="661"/>
      <c r="P603" s="662">
        <f t="shared" ref="P603" si="8143">IF(O603=0,0,O603/O$4)</f>
        <v>0</v>
      </c>
      <c r="Q603" s="661"/>
      <c r="R603" s="662">
        <f t="shared" ref="R603" si="8144">IF(Q603=0,0,Q603/Q$4)</f>
        <v>0</v>
      </c>
      <c r="S603" s="661"/>
      <c r="T603" s="662">
        <f t="shared" ref="T603" si="8145">IF(S603=0,0,S603/S$4)</f>
        <v>0</v>
      </c>
      <c r="U603" s="661"/>
      <c r="V603" s="662">
        <f t="shared" ref="V603" si="8146">IF(U603=0,0,U603/U$4)</f>
        <v>0</v>
      </c>
      <c r="W603" s="661"/>
      <c r="X603" s="662">
        <f t="shared" ref="X603" si="8147">IF(W603=0,0,W603/W$4)</f>
        <v>0</v>
      </c>
      <c r="Y603" s="661"/>
      <c r="Z603" s="662">
        <f t="shared" ref="Z603" si="8148">IF(Y603=0,0,Y603/Y$4)</f>
        <v>0</v>
      </c>
      <c r="AA603" s="661"/>
      <c r="AB603" s="662">
        <f t="shared" ref="AB603" si="8149">IF(AA603=0,0,AA603/AA$4)</f>
        <v>0</v>
      </c>
      <c r="AC603" s="661">
        <f t="shared" ref="AC603:AC605" si="8150">C603+E603+G603+I603+K603+M603+O603+Q603+S603+U603+W603+AA603+Y603</f>
        <v>2097352.181830511</v>
      </c>
      <c r="AD603" s="662">
        <f t="shared" ref="AD603" si="8151">IF(AC603=0,0,AC603/AC$4)</f>
        <v>13.02598657694617</v>
      </c>
      <c r="AE603" s="665"/>
      <c r="AF603" s="114"/>
      <c r="AG603" s="114"/>
      <c r="AH603" s="114"/>
      <c r="AI603" s="114"/>
      <c r="AJ603" s="114"/>
    </row>
    <row r="604" spans="1:36" s="68" customFormat="1" hidden="1" outlineLevel="4">
      <c r="A604" s="245"/>
      <c r="B604" s="246" t="s">
        <v>419</v>
      </c>
      <c r="C604" s="663">
        <f>C603-C605*курс</f>
        <v>2097352.181830511</v>
      </c>
      <c r="D604" s="663">
        <f t="shared" si="7813"/>
        <v>13.02598657694617</v>
      </c>
      <c r="E604" s="663"/>
      <c r="F604" s="663">
        <f t="shared" si="7813"/>
        <v>0</v>
      </c>
      <c r="G604" s="663"/>
      <c r="H604" s="663">
        <f t="shared" ref="H604" si="8152">IF(G604=0,0,G604/G$4)</f>
        <v>0</v>
      </c>
      <c r="I604" s="663"/>
      <c r="J604" s="663">
        <f t="shared" ref="J604" si="8153">IF(I604=0,0,I604/I$4)</f>
        <v>0</v>
      </c>
      <c r="K604" s="663"/>
      <c r="L604" s="663">
        <f t="shared" ref="L604" si="8154">IF(K604=0,0,K604/K$4)</f>
        <v>0</v>
      </c>
      <c r="M604" s="663"/>
      <c r="N604" s="663">
        <f t="shared" ref="N604" si="8155">IF(M604=0,0,M604/M$4)</f>
        <v>0</v>
      </c>
      <c r="O604" s="663"/>
      <c r="P604" s="663">
        <f t="shared" ref="P604" si="8156">IF(O604=0,0,O604/O$4)</f>
        <v>0</v>
      </c>
      <c r="Q604" s="663"/>
      <c r="R604" s="663">
        <f t="shared" ref="R604" si="8157">IF(Q604=0,0,Q604/Q$4)</f>
        <v>0</v>
      </c>
      <c r="S604" s="663"/>
      <c r="T604" s="663">
        <f t="shared" ref="T604" si="8158">IF(S604=0,0,S604/S$4)</f>
        <v>0</v>
      </c>
      <c r="U604" s="663"/>
      <c r="V604" s="663">
        <f t="shared" ref="V604" si="8159">IF(U604=0,0,U604/U$4)</f>
        <v>0</v>
      </c>
      <c r="W604" s="663"/>
      <c r="X604" s="663">
        <f t="shared" ref="X604" si="8160">IF(W604=0,0,W604/W$4)</f>
        <v>0</v>
      </c>
      <c r="Y604" s="663"/>
      <c r="Z604" s="663">
        <f t="shared" ref="Z604" si="8161">IF(Y604=0,0,Y604/Y$4)</f>
        <v>0</v>
      </c>
      <c r="AA604" s="663"/>
      <c r="AB604" s="663">
        <f t="shared" ref="AB604" si="8162">IF(AA604=0,0,AA604/AA$4)</f>
        <v>0</v>
      </c>
      <c r="AC604" s="663">
        <f t="shared" si="8150"/>
        <v>2097352.181830511</v>
      </c>
      <c r="AD604" s="663">
        <f t="shared" ref="AD604" si="8163">IF(AC604=0,0,AC604/AC$4)</f>
        <v>13.02598657694617</v>
      </c>
      <c r="AE604" s="665"/>
      <c r="AF604" s="114"/>
      <c r="AG604" s="114"/>
      <c r="AH604" s="114"/>
      <c r="AI604" s="114"/>
      <c r="AJ604" s="114"/>
    </row>
    <row r="605" spans="1:36" s="68" customFormat="1" hidden="1" outlineLevel="4">
      <c r="A605" s="245"/>
      <c r="B605" s="246" t="s">
        <v>420</v>
      </c>
      <c r="C605" s="663">
        <f>Калькулятор_жилье!L532</f>
        <v>0</v>
      </c>
      <c r="D605" s="663">
        <f t="shared" si="7813"/>
        <v>0</v>
      </c>
      <c r="E605" s="663"/>
      <c r="F605" s="663">
        <f t="shared" si="7813"/>
        <v>0</v>
      </c>
      <c r="G605" s="663"/>
      <c r="H605" s="663">
        <f t="shared" ref="H605" si="8164">IF(G605=0,0,G605/G$4)</f>
        <v>0</v>
      </c>
      <c r="I605" s="663"/>
      <c r="J605" s="663">
        <f t="shared" ref="J605" si="8165">IF(I605=0,0,I605/I$4)</f>
        <v>0</v>
      </c>
      <c r="K605" s="663"/>
      <c r="L605" s="663">
        <f t="shared" ref="L605" si="8166">IF(K605=0,0,K605/K$4)</f>
        <v>0</v>
      </c>
      <c r="M605" s="663"/>
      <c r="N605" s="663">
        <f t="shared" ref="N605" si="8167">IF(M605=0,0,M605/M$4)</f>
        <v>0</v>
      </c>
      <c r="O605" s="663"/>
      <c r="P605" s="663">
        <f t="shared" ref="P605" si="8168">IF(O605=0,0,O605/O$4)</f>
        <v>0</v>
      </c>
      <c r="Q605" s="663"/>
      <c r="R605" s="663">
        <f t="shared" ref="R605" si="8169">IF(Q605=0,0,Q605/Q$4)</f>
        <v>0</v>
      </c>
      <c r="S605" s="663"/>
      <c r="T605" s="663">
        <f t="shared" ref="T605" si="8170">IF(S605=0,0,S605/S$4)</f>
        <v>0</v>
      </c>
      <c r="U605" s="663"/>
      <c r="V605" s="663">
        <f t="shared" ref="V605" si="8171">IF(U605=0,0,U605/U$4)</f>
        <v>0</v>
      </c>
      <c r="W605" s="663"/>
      <c r="X605" s="663">
        <f t="shared" ref="X605" si="8172">IF(W605=0,0,W605/W$4)</f>
        <v>0</v>
      </c>
      <c r="Y605" s="663"/>
      <c r="Z605" s="663">
        <f t="shared" ref="Z605" si="8173">IF(Y605=0,0,Y605/Y$4)</f>
        <v>0</v>
      </c>
      <c r="AA605" s="663"/>
      <c r="AB605" s="663">
        <f t="shared" ref="AB605" si="8174">IF(AA605=0,0,AA605/AA$4)</f>
        <v>0</v>
      </c>
      <c r="AC605" s="663">
        <f t="shared" si="8150"/>
        <v>0</v>
      </c>
      <c r="AD605" s="663">
        <f t="shared" ref="AD605" si="8175">IF(AC605=0,0,AC605/AC$4)</f>
        <v>0</v>
      </c>
      <c r="AE605" s="665"/>
      <c r="AF605" s="114"/>
      <c r="AG605" s="114"/>
      <c r="AH605" s="114"/>
      <c r="AI605" s="114"/>
      <c r="AJ605" s="114"/>
    </row>
    <row r="606" spans="1:36" s="68" customFormat="1" hidden="1" outlineLevel="3" collapsed="1">
      <c r="A606" s="117"/>
      <c r="B606" s="118" t="s">
        <v>1223</v>
      </c>
      <c r="C606" s="661">
        <f>Калькулятор_жилье!K535</f>
        <v>1349360</v>
      </c>
      <c r="D606" s="662">
        <f t="shared" si="7813"/>
        <v>8.3804453061038071</v>
      </c>
      <c r="E606" s="661"/>
      <c r="F606" s="662">
        <f t="shared" si="7813"/>
        <v>0</v>
      </c>
      <c r="G606" s="661"/>
      <c r="H606" s="662">
        <f t="shared" ref="H606" si="8176">IF(G606=0,0,G606/G$4)</f>
        <v>0</v>
      </c>
      <c r="I606" s="661"/>
      <c r="J606" s="662">
        <f t="shared" ref="J606" si="8177">IF(I606=0,0,I606/I$4)</f>
        <v>0</v>
      </c>
      <c r="K606" s="661"/>
      <c r="L606" s="662">
        <f t="shared" ref="L606" si="8178">IF(K606=0,0,K606/K$4)</f>
        <v>0</v>
      </c>
      <c r="M606" s="661"/>
      <c r="N606" s="662">
        <f t="shared" ref="N606" si="8179">IF(M606=0,0,M606/M$4)</f>
        <v>0</v>
      </c>
      <c r="O606" s="661"/>
      <c r="P606" s="662">
        <f t="shared" ref="P606" si="8180">IF(O606=0,0,O606/O$4)</f>
        <v>0</v>
      </c>
      <c r="Q606" s="661"/>
      <c r="R606" s="662">
        <f t="shared" ref="R606" si="8181">IF(Q606=0,0,Q606/Q$4)</f>
        <v>0</v>
      </c>
      <c r="S606" s="661"/>
      <c r="T606" s="662">
        <f t="shared" ref="T606" si="8182">IF(S606=0,0,S606/S$4)</f>
        <v>0</v>
      </c>
      <c r="U606" s="661"/>
      <c r="V606" s="662">
        <f t="shared" ref="V606" si="8183">IF(U606=0,0,U606/U$4)</f>
        <v>0</v>
      </c>
      <c r="W606" s="661"/>
      <c r="X606" s="662">
        <f t="shared" ref="X606" si="8184">IF(W606=0,0,W606/W$4)</f>
        <v>0</v>
      </c>
      <c r="Y606" s="661"/>
      <c r="Z606" s="662">
        <f t="shared" ref="Z606" si="8185">IF(Y606=0,0,Y606/Y$4)</f>
        <v>0</v>
      </c>
      <c r="AA606" s="661"/>
      <c r="AB606" s="662">
        <f t="shared" ref="AB606" si="8186">IF(AA606=0,0,AA606/AA$4)</f>
        <v>0</v>
      </c>
      <c r="AC606" s="661">
        <f t="shared" ref="AC606:AC608" si="8187">C606+E606+G606+I606+K606+M606+O606+Q606+S606+U606+W606+AA606+Y606</f>
        <v>1349360</v>
      </c>
      <c r="AD606" s="662">
        <f t="shared" ref="AD606" si="8188">IF(AC606=0,0,AC606/AC$4)</f>
        <v>8.3804453061038071</v>
      </c>
      <c r="AE606" s="665"/>
      <c r="AF606" s="114"/>
      <c r="AG606" s="114"/>
      <c r="AH606" s="114"/>
      <c r="AI606" s="114"/>
      <c r="AJ606" s="114"/>
    </row>
    <row r="607" spans="1:36" s="68" customFormat="1" hidden="1" outlineLevel="4">
      <c r="A607" s="245"/>
      <c r="B607" s="246" t="s">
        <v>419</v>
      </c>
      <c r="C607" s="663">
        <f>C606-C608*курс</f>
        <v>1349360</v>
      </c>
      <c r="D607" s="663">
        <f t="shared" si="7813"/>
        <v>8.3804453061038071</v>
      </c>
      <c r="E607" s="663"/>
      <c r="F607" s="663">
        <f t="shared" si="7813"/>
        <v>0</v>
      </c>
      <c r="G607" s="663"/>
      <c r="H607" s="663">
        <f t="shared" ref="H607" si="8189">IF(G607=0,0,G607/G$4)</f>
        <v>0</v>
      </c>
      <c r="I607" s="663"/>
      <c r="J607" s="663">
        <f t="shared" ref="J607" si="8190">IF(I607=0,0,I607/I$4)</f>
        <v>0</v>
      </c>
      <c r="K607" s="663"/>
      <c r="L607" s="663">
        <f t="shared" ref="L607" si="8191">IF(K607=0,0,K607/K$4)</f>
        <v>0</v>
      </c>
      <c r="M607" s="663"/>
      <c r="N607" s="663">
        <f t="shared" ref="N607" si="8192">IF(M607=0,0,M607/M$4)</f>
        <v>0</v>
      </c>
      <c r="O607" s="663"/>
      <c r="P607" s="663">
        <f t="shared" ref="P607" si="8193">IF(O607=0,0,O607/O$4)</f>
        <v>0</v>
      </c>
      <c r="Q607" s="663"/>
      <c r="R607" s="663">
        <f t="shared" ref="R607" si="8194">IF(Q607=0,0,Q607/Q$4)</f>
        <v>0</v>
      </c>
      <c r="S607" s="663"/>
      <c r="T607" s="663">
        <f t="shared" ref="T607" si="8195">IF(S607=0,0,S607/S$4)</f>
        <v>0</v>
      </c>
      <c r="U607" s="663"/>
      <c r="V607" s="663">
        <f t="shared" ref="V607" si="8196">IF(U607=0,0,U607/U$4)</f>
        <v>0</v>
      </c>
      <c r="W607" s="663"/>
      <c r="X607" s="663">
        <f t="shared" ref="X607" si="8197">IF(W607=0,0,W607/W$4)</f>
        <v>0</v>
      </c>
      <c r="Y607" s="663"/>
      <c r="Z607" s="663">
        <f t="shared" ref="Z607" si="8198">IF(Y607=0,0,Y607/Y$4)</f>
        <v>0</v>
      </c>
      <c r="AA607" s="663"/>
      <c r="AB607" s="663">
        <f t="shared" ref="AB607" si="8199">IF(AA607=0,0,AA607/AA$4)</f>
        <v>0</v>
      </c>
      <c r="AC607" s="663">
        <f t="shared" si="8187"/>
        <v>1349360</v>
      </c>
      <c r="AD607" s="663">
        <f t="shared" ref="AD607" si="8200">IF(AC607=0,0,AC607/AC$4)</f>
        <v>8.3804453061038071</v>
      </c>
      <c r="AE607" s="665"/>
      <c r="AF607" s="114"/>
      <c r="AG607" s="114"/>
      <c r="AH607" s="114"/>
      <c r="AI607" s="114"/>
      <c r="AJ607" s="114"/>
    </row>
    <row r="608" spans="1:36" s="68" customFormat="1" hidden="1" outlineLevel="4">
      <c r="A608" s="245"/>
      <c r="B608" s="246" t="s">
        <v>420</v>
      </c>
      <c r="C608" s="663">
        <f>Калькулятор_жилье!L535</f>
        <v>0</v>
      </c>
      <c r="D608" s="663">
        <f t="shared" si="7813"/>
        <v>0</v>
      </c>
      <c r="E608" s="663"/>
      <c r="F608" s="663">
        <f t="shared" si="7813"/>
        <v>0</v>
      </c>
      <c r="G608" s="663"/>
      <c r="H608" s="663">
        <f t="shared" ref="H608" si="8201">IF(G608=0,0,G608/G$4)</f>
        <v>0</v>
      </c>
      <c r="I608" s="663"/>
      <c r="J608" s="663">
        <f t="shared" ref="J608" si="8202">IF(I608=0,0,I608/I$4)</f>
        <v>0</v>
      </c>
      <c r="K608" s="663"/>
      <c r="L608" s="663">
        <f t="shared" ref="L608" si="8203">IF(K608=0,0,K608/K$4)</f>
        <v>0</v>
      </c>
      <c r="M608" s="663"/>
      <c r="N608" s="663">
        <f t="shared" ref="N608" si="8204">IF(M608=0,0,M608/M$4)</f>
        <v>0</v>
      </c>
      <c r="O608" s="663"/>
      <c r="P608" s="663">
        <f t="shared" ref="P608" si="8205">IF(O608=0,0,O608/O$4)</f>
        <v>0</v>
      </c>
      <c r="Q608" s="663"/>
      <c r="R608" s="663">
        <f t="shared" ref="R608" si="8206">IF(Q608=0,0,Q608/Q$4)</f>
        <v>0</v>
      </c>
      <c r="S608" s="663"/>
      <c r="T608" s="663">
        <f t="shared" ref="T608" si="8207">IF(S608=0,0,S608/S$4)</f>
        <v>0</v>
      </c>
      <c r="U608" s="663"/>
      <c r="V608" s="663">
        <f t="shared" ref="V608" si="8208">IF(U608=0,0,U608/U$4)</f>
        <v>0</v>
      </c>
      <c r="W608" s="663"/>
      <c r="X608" s="663">
        <f t="shared" ref="X608" si="8209">IF(W608=0,0,W608/W$4)</f>
        <v>0</v>
      </c>
      <c r="Y608" s="663"/>
      <c r="Z608" s="663">
        <f t="shared" ref="Z608" si="8210">IF(Y608=0,0,Y608/Y$4)</f>
        <v>0</v>
      </c>
      <c r="AA608" s="663"/>
      <c r="AB608" s="663">
        <f t="shared" ref="AB608" si="8211">IF(AA608=0,0,AA608/AA$4)</f>
        <v>0</v>
      </c>
      <c r="AC608" s="663">
        <f t="shared" si="8187"/>
        <v>0</v>
      </c>
      <c r="AD608" s="663">
        <f t="shared" ref="AD608" si="8212">IF(AC608=0,0,AC608/AC$4)</f>
        <v>0</v>
      </c>
      <c r="AE608" s="665"/>
      <c r="AF608" s="114"/>
      <c r="AG608" s="114"/>
      <c r="AH608" s="114"/>
      <c r="AI608" s="114"/>
      <c r="AJ608" s="114"/>
    </row>
    <row r="609" spans="1:36" s="68" customFormat="1" hidden="1" outlineLevel="3" collapsed="1">
      <c r="A609" s="117"/>
      <c r="B609" s="118" t="s">
        <v>1224</v>
      </c>
      <c r="C609" s="661">
        <f>Калькулятор_жилье!K536</f>
        <v>1946521.5093440653</v>
      </c>
      <c r="D609" s="662">
        <f t="shared" si="7813"/>
        <v>12.089225296594364</v>
      </c>
      <c r="E609" s="661"/>
      <c r="F609" s="662">
        <f t="shared" si="7813"/>
        <v>0</v>
      </c>
      <c r="G609" s="661"/>
      <c r="H609" s="662">
        <f t="shared" ref="H609" si="8213">IF(G609=0,0,G609/G$4)</f>
        <v>0</v>
      </c>
      <c r="I609" s="661"/>
      <c r="J609" s="662">
        <f t="shared" ref="J609" si="8214">IF(I609=0,0,I609/I$4)</f>
        <v>0</v>
      </c>
      <c r="K609" s="661"/>
      <c r="L609" s="662">
        <f t="shared" ref="L609" si="8215">IF(K609=0,0,K609/K$4)</f>
        <v>0</v>
      </c>
      <c r="M609" s="661"/>
      <c r="N609" s="662">
        <f t="shared" ref="N609" si="8216">IF(M609=0,0,M609/M$4)</f>
        <v>0</v>
      </c>
      <c r="O609" s="661"/>
      <c r="P609" s="662">
        <f t="shared" ref="P609" si="8217">IF(O609=0,0,O609/O$4)</f>
        <v>0</v>
      </c>
      <c r="Q609" s="661"/>
      <c r="R609" s="662">
        <f t="shared" ref="R609" si="8218">IF(Q609=0,0,Q609/Q$4)</f>
        <v>0</v>
      </c>
      <c r="S609" s="661"/>
      <c r="T609" s="662">
        <f t="shared" ref="T609" si="8219">IF(S609=0,0,S609/S$4)</f>
        <v>0</v>
      </c>
      <c r="U609" s="661"/>
      <c r="V609" s="662">
        <f t="shared" ref="V609" si="8220">IF(U609=0,0,U609/U$4)</f>
        <v>0</v>
      </c>
      <c r="W609" s="661"/>
      <c r="X609" s="662">
        <f t="shared" ref="X609" si="8221">IF(W609=0,0,W609/W$4)</f>
        <v>0</v>
      </c>
      <c r="Y609" s="661"/>
      <c r="Z609" s="662">
        <f t="shared" ref="Z609" si="8222">IF(Y609=0,0,Y609/Y$4)</f>
        <v>0</v>
      </c>
      <c r="AA609" s="661"/>
      <c r="AB609" s="662">
        <f t="shared" ref="AB609" si="8223">IF(AA609=0,0,AA609/AA$4)</f>
        <v>0</v>
      </c>
      <c r="AC609" s="661">
        <f>C609+E609+G609+I609+K609+M609+O609+Q609+S609+U609+W609+AA609+Y609</f>
        <v>1946521.5093440653</v>
      </c>
      <c r="AD609" s="662">
        <f t="shared" ref="AD609" si="8224">IF(AC609=0,0,AC609/AC$4)</f>
        <v>12.089225296594364</v>
      </c>
      <c r="AE609" s="665"/>
      <c r="AF609" s="114"/>
      <c r="AG609" s="114"/>
      <c r="AH609" s="114"/>
      <c r="AI609" s="114"/>
      <c r="AJ609" s="114"/>
    </row>
    <row r="610" spans="1:36" s="68" customFormat="1" hidden="1" outlineLevel="4">
      <c r="A610" s="245"/>
      <c r="B610" s="246" t="s">
        <v>419</v>
      </c>
      <c r="C610" s="663">
        <f>C609-C611*курс</f>
        <v>1946521.5093440653</v>
      </c>
      <c r="D610" s="663">
        <f t="shared" si="7813"/>
        <v>12.089225296594364</v>
      </c>
      <c r="E610" s="663"/>
      <c r="F610" s="663">
        <f t="shared" si="7813"/>
        <v>0</v>
      </c>
      <c r="G610" s="663"/>
      <c r="H610" s="663">
        <f t="shared" ref="H610" si="8225">IF(G610=0,0,G610/G$4)</f>
        <v>0</v>
      </c>
      <c r="I610" s="663"/>
      <c r="J610" s="663">
        <f t="shared" ref="J610" si="8226">IF(I610=0,0,I610/I$4)</f>
        <v>0</v>
      </c>
      <c r="K610" s="663"/>
      <c r="L610" s="663">
        <f t="shared" ref="L610" si="8227">IF(K610=0,0,K610/K$4)</f>
        <v>0</v>
      </c>
      <c r="M610" s="663"/>
      <c r="N610" s="663">
        <f t="shared" ref="N610" si="8228">IF(M610=0,0,M610/M$4)</f>
        <v>0</v>
      </c>
      <c r="O610" s="663"/>
      <c r="P610" s="663">
        <f t="shared" ref="P610" si="8229">IF(O610=0,0,O610/O$4)</f>
        <v>0</v>
      </c>
      <c r="Q610" s="663"/>
      <c r="R610" s="663">
        <f t="shared" ref="R610" si="8230">IF(Q610=0,0,Q610/Q$4)</f>
        <v>0</v>
      </c>
      <c r="S610" s="663"/>
      <c r="T610" s="663">
        <f t="shared" ref="T610" si="8231">IF(S610=0,0,S610/S$4)</f>
        <v>0</v>
      </c>
      <c r="U610" s="663"/>
      <c r="V610" s="663">
        <f t="shared" ref="V610" si="8232">IF(U610=0,0,U610/U$4)</f>
        <v>0</v>
      </c>
      <c r="W610" s="663"/>
      <c r="X610" s="663">
        <f t="shared" ref="X610" si="8233">IF(W610=0,0,W610/W$4)</f>
        <v>0</v>
      </c>
      <c r="Y610" s="663"/>
      <c r="Z610" s="663">
        <f t="shared" ref="Z610" si="8234">IF(Y610=0,0,Y610/Y$4)</f>
        <v>0</v>
      </c>
      <c r="AA610" s="663"/>
      <c r="AB610" s="663">
        <f t="shared" ref="AB610" si="8235">IF(AA610=0,0,AA610/AA$4)</f>
        <v>0</v>
      </c>
      <c r="AC610" s="663">
        <f>C610+E610+G610+I610+K610+M610+O610+Q610+S610+U610+W610+AA610+Y610</f>
        <v>1946521.5093440653</v>
      </c>
      <c r="AD610" s="663">
        <f t="shared" ref="AD610" si="8236">IF(AC610=0,0,AC610/AC$4)</f>
        <v>12.089225296594364</v>
      </c>
      <c r="AE610" s="665"/>
      <c r="AF610" s="114"/>
      <c r="AG610" s="114"/>
      <c r="AH610" s="114"/>
      <c r="AI610" s="114"/>
      <c r="AJ610" s="114"/>
    </row>
    <row r="611" spans="1:36" s="68" customFormat="1" hidden="1" outlineLevel="4">
      <c r="A611" s="245"/>
      <c r="B611" s="246" t="s">
        <v>420</v>
      </c>
      <c r="C611" s="663">
        <f>Калькулятор_жилье!L536</f>
        <v>0</v>
      </c>
      <c r="D611" s="663">
        <f t="shared" si="7813"/>
        <v>0</v>
      </c>
      <c r="E611" s="663"/>
      <c r="F611" s="663">
        <f t="shared" si="7813"/>
        <v>0</v>
      </c>
      <c r="G611" s="663"/>
      <c r="H611" s="663">
        <f t="shared" ref="H611" si="8237">IF(G611=0,0,G611/G$4)</f>
        <v>0</v>
      </c>
      <c r="I611" s="663"/>
      <c r="J611" s="663">
        <f t="shared" ref="J611" si="8238">IF(I611=0,0,I611/I$4)</f>
        <v>0</v>
      </c>
      <c r="K611" s="663"/>
      <c r="L611" s="663">
        <f t="shared" ref="L611" si="8239">IF(K611=0,0,K611/K$4)</f>
        <v>0</v>
      </c>
      <c r="M611" s="663"/>
      <c r="N611" s="663">
        <f t="shared" ref="N611" si="8240">IF(M611=0,0,M611/M$4)</f>
        <v>0</v>
      </c>
      <c r="O611" s="663"/>
      <c r="P611" s="663">
        <f t="shared" ref="P611" si="8241">IF(O611=0,0,O611/O$4)</f>
        <v>0</v>
      </c>
      <c r="Q611" s="663"/>
      <c r="R611" s="663">
        <f t="shared" ref="R611" si="8242">IF(Q611=0,0,Q611/Q$4)</f>
        <v>0</v>
      </c>
      <c r="S611" s="663"/>
      <c r="T611" s="663">
        <f t="shared" ref="T611" si="8243">IF(S611=0,0,S611/S$4)</f>
        <v>0</v>
      </c>
      <c r="U611" s="663"/>
      <c r="V611" s="663">
        <f t="shared" ref="V611" si="8244">IF(U611=0,0,U611/U$4)</f>
        <v>0</v>
      </c>
      <c r="W611" s="663"/>
      <c r="X611" s="663">
        <f t="shared" ref="X611" si="8245">IF(W611=0,0,W611/W$4)</f>
        <v>0</v>
      </c>
      <c r="Y611" s="663"/>
      <c r="Z611" s="663">
        <f t="shared" ref="Z611" si="8246">IF(Y611=0,0,Y611/Y$4)</f>
        <v>0</v>
      </c>
      <c r="AA611" s="663"/>
      <c r="AB611" s="663">
        <f t="shared" ref="AB611" si="8247">IF(AA611=0,0,AA611/AA$4)</f>
        <v>0</v>
      </c>
      <c r="AC611" s="663">
        <f t="shared" ref="AC611:AC614" si="8248">C611+E611+G611+I611+K611+M611+O611+Q611+S611+U611+W611+AA611+Y611</f>
        <v>0</v>
      </c>
      <c r="AD611" s="663">
        <f t="shared" ref="AD611" si="8249">IF(AC611=0,0,AC611/AC$4)</f>
        <v>0</v>
      </c>
      <c r="AE611" s="665"/>
      <c r="AF611" s="114"/>
      <c r="AG611" s="114"/>
      <c r="AH611" s="114"/>
      <c r="AI611" s="114"/>
      <c r="AJ611" s="114"/>
    </row>
    <row r="612" spans="1:36" s="68" customFormat="1" hidden="1" outlineLevel="3" collapsed="1">
      <c r="A612" s="117"/>
      <c r="B612" s="118" t="s">
        <v>1239</v>
      </c>
      <c r="C612" s="661">
        <f>Калькулятор_жилье!K539</f>
        <v>972113.76476000005</v>
      </c>
      <c r="D612" s="662">
        <f t="shared" si="7813"/>
        <v>6.0374890591701567</v>
      </c>
      <c r="E612" s="661"/>
      <c r="F612" s="662">
        <f t="shared" si="7813"/>
        <v>0</v>
      </c>
      <c r="G612" s="661"/>
      <c r="H612" s="662">
        <f t="shared" ref="H612" si="8250">IF(G612=0,0,G612/G$4)</f>
        <v>0</v>
      </c>
      <c r="I612" s="661"/>
      <c r="J612" s="662">
        <f t="shared" ref="J612" si="8251">IF(I612=0,0,I612/I$4)</f>
        <v>0</v>
      </c>
      <c r="K612" s="661"/>
      <c r="L612" s="662">
        <f t="shared" ref="L612" si="8252">IF(K612=0,0,K612/K$4)</f>
        <v>0</v>
      </c>
      <c r="M612" s="661"/>
      <c r="N612" s="662">
        <f t="shared" ref="N612" si="8253">IF(M612=0,0,M612/M$4)</f>
        <v>0</v>
      </c>
      <c r="O612" s="661"/>
      <c r="P612" s="662">
        <f t="shared" ref="P612" si="8254">IF(O612=0,0,O612/O$4)</f>
        <v>0</v>
      </c>
      <c r="Q612" s="661"/>
      <c r="R612" s="662">
        <f t="shared" ref="R612" si="8255">IF(Q612=0,0,Q612/Q$4)</f>
        <v>0</v>
      </c>
      <c r="S612" s="661"/>
      <c r="T612" s="662">
        <f t="shared" ref="T612" si="8256">IF(S612=0,0,S612/S$4)</f>
        <v>0</v>
      </c>
      <c r="U612" s="661"/>
      <c r="V612" s="662">
        <f t="shared" ref="V612" si="8257">IF(U612=0,0,U612/U$4)</f>
        <v>0</v>
      </c>
      <c r="W612" s="661"/>
      <c r="X612" s="662">
        <f t="shared" ref="X612" si="8258">IF(W612=0,0,W612/W$4)</f>
        <v>0</v>
      </c>
      <c r="Y612" s="661"/>
      <c r="Z612" s="662">
        <f t="shared" ref="Z612" si="8259">IF(Y612=0,0,Y612/Y$4)</f>
        <v>0</v>
      </c>
      <c r="AA612" s="661"/>
      <c r="AB612" s="662">
        <f t="shared" ref="AB612" si="8260">IF(AA612=0,0,AA612/AA$4)</f>
        <v>0</v>
      </c>
      <c r="AC612" s="661">
        <f t="shared" si="8248"/>
        <v>972113.76476000005</v>
      </c>
      <c r="AD612" s="662">
        <f t="shared" ref="AD612" si="8261">IF(AC612=0,0,AC612/AC$4)</f>
        <v>6.0374890591701567</v>
      </c>
      <c r="AE612" s="665"/>
      <c r="AF612" s="114"/>
      <c r="AG612" s="114"/>
      <c r="AH612" s="114"/>
      <c r="AI612" s="114"/>
      <c r="AJ612" s="114"/>
    </row>
    <row r="613" spans="1:36" s="68" customFormat="1" hidden="1" outlineLevel="4">
      <c r="A613" s="245"/>
      <c r="B613" s="246" t="s">
        <v>419</v>
      </c>
      <c r="C613" s="663">
        <f>C612-C614*курс</f>
        <v>972113.76476000005</v>
      </c>
      <c r="D613" s="663">
        <f t="shared" si="7813"/>
        <v>6.0374890591701567</v>
      </c>
      <c r="E613" s="663"/>
      <c r="F613" s="663">
        <f t="shared" si="7813"/>
        <v>0</v>
      </c>
      <c r="G613" s="663"/>
      <c r="H613" s="663">
        <f t="shared" ref="H613" si="8262">IF(G613=0,0,G613/G$4)</f>
        <v>0</v>
      </c>
      <c r="I613" s="663"/>
      <c r="J613" s="663">
        <f t="shared" ref="J613" si="8263">IF(I613=0,0,I613/I$4)</f>
        <v>0</v>
      </c>
      <c r="K613" s="663"/>
      <c r="L613" s="663">
        <f t="shared" ref="L613" si="8264">IF(K613=0,0,K613/K$4)</f>
        <v>0</v>
      </c>
      <c r="M613" s="663"/>
      <c r="N613" s="663">
        <f t="shared" ref="N613" si="8265">IF(M613=0,0,M613/M$4)</f>
        <v>0</v>
      </c>
      <c r="O613" s="663"/>
      <c r="P613" s="663">
        <f t="shared" ref="P613" si="8266">IF(O613=0,0,O613/O$4)</f>
        <v>0</v>
      </c>
      <c r="Q613" s="663"/>
      <c r="R613" s="663">
        <f t="shared" ref="R613" si="8267">IF(Q613=0,0,Q613/Q$4)</f>
        <v>0</v>
      </c>
      <c r="S613" s="663"/>
      <c r="T613" s="663">
        <f t="shared" ref="T613" si="8268">IF(S613=0,0,S613/S$4)</f>
        <v>0</v>
      </c>
      <c r="U613" s="663"/>
      <c r="V613" s="663">
        <f t="shared" ref="V613" si="8269">IF(U613=0,0,U613/U$4)</f>
        <v>0</v>
      </c>
      <c r="W613" s="663"/>
      <c r="X613" s="663">
        <f t="shared" ref="X613" si="8270">IF(W613=0,0,W613/W$4)</f>
        <v>0</v>
      </c>
      <c r="Y613" s="663"/>
      <c r="Z613" s="663">
        <f t="shared" ref="Z613" si="8271">IF(Y613=0,0,Y613/Y$4)</f>
        <v>0</v>
      </c>
      <c r="AA613" s="663"/>
      <c r="AB613" s="663">
        <f t="shared" ref="AB613" si="8272">IF(AA613=0,0,AA613/AA$4)</f>
        <v>0</v>
      </c>
      <c r="AC613" s="663">
        <f t="shared" si="8248"/>
        <v>972113.76476000005</v>
      </c>
      <c r="AD613" s="663">
        <f t="shared" ref="AD613" si="8273">IF(AC613=0,0,AC613/AC$4)</f>
        <v>6.0374890591701567</v>
      </c>
      <c r="AE613" s="665"/>
      <c r="AF613" s="114"/>
      <c r="AG613" s="114"/>
      <c r="AH613" s="114"/>
      <c r="AI613" s="114"/>
      <c r="AJ613" s="114"/>
    </row>
    <row r="614" spans="1:36" s="68" customFormat="1" hidden="1" outlineLevel="4">
      <c r="A614" s="245"/>
      <c r="B614" s="246" t="s">
        <v>420</v>
      </c>
      <c r="C614" s="663">
        <f>Калькулятор_жилье!L539</f>
        <v>0</v>
      </c>
      <c r="D614" s="663">
        <f t="shared" si="7813"/>
        <v>0</v>
      </c>
      <c r="E614" s="663"/>
      <c r="F614" s="663">
        <f t="shared" si="7813"/>
        <v>0</v>
      </c>
      <c r="G614" s="663"/>
      <c r="H614" s="663">
        <f t="shared" ref="H614" si="8274">IF(G614=0,0,G614/G$4)</f>
        <v>0</v>
      </c>
      <c r="I614" s="663"/>
      <c r="J614" s="663">
        <f t="shared" ref="J614" si="8275">IF(I614=0,0,I614/I$4)</f>
        <v>0</v>
      </c>
      <c r="K614" s="663"/>
      <c r="L614" s="663">
        <f t="shared" ref="L614" si="8276">IF(K614=0,0,K614/K$4)</f>
        <v>0</v>
      </c>
      <c r="M614" s="663"/>
      <c r="N614" s="663">
        <f t="shared" ref="N614" si="8277">IF(M614=0,0,M614/M$4)</f>
        <v>0</v>
      </c>
      <c r="O614" s="663"/>
      <c r="P614" s="663">
        <f t="shared" ref="P614" si="8278">IF(O614=0,0,O614/O$4)</f>
        <v>0</v>
      </c>
      <c r="Q614" s="663"/>
      <c r="R614" s="663">
        <f t="shared" ref="R614" si="8279">IF(Q614=0,0,Q614/Q$4)</f>
        <v>0</v>
      </c>
      <c r="S614" s="663"/>
      <c r="T614" s="663">
        <f t="shared" ref="T614" si="8280">IF(S614=0,0,S614/S$4)</f>
        <v>0</v>
      </c>
      <c r="U614" s="663"/>
      <c r="V614" s="663">
        <f t="shared" ref="V614" si="8281">IF(U614=0,0,U614/U$4)</f>
        <v>0</v>
      </c>
      <c r="W614" s="663"/>
      <c r="X614" s="663">
        <f t="shared" ref="X614" si="8282">IF(W614=0,0,W614/W$4)</f>
        <v>0</v>
      </c>
      <c r="Y614" s="663"/>
      <c r="Z614" s="663">
        <f t="shared" ref="Z614" si="8283">IF(Y614=0,0,Y614/Y$4)</f>
        <v>0</v>
      </c>
      <c r="AA614" s="663"/>
      <c r="AB614" s="663">
        <f t="shared" ref="AB614" si="8284">IF(AA614=0,0,AA614/AA$4)</f>
        <v>0</v>
      </c>
      <c r="AC614" s="663">
        <f t="shared" si="8248"/>
        <v>0</v>
      </c>
      <c r="AD614" s="663">
        <f t="shared" ref="AD614" si="8285">IF(AC614=0,0,AC614/AC$4)</f>
        <v>0</v>
      </c>
      <c r="AE614" s="665"/>
      <c r="AF614" s="114"/>
      <c r="AG614" s="114"/>
      <c r="AH614" s="114"/>
      <c r="AI614" s="114"/>
      <c r="AJ614" s="114"/>
    </row>
    <row r="615" spans="1:36" s="68" customFormat="1" hidden="1" outlineLevel="3" collapsed="1">
      <c r="A615" s="117"/>
      <c r="B615" s="118" t="s">
        <v>1225</v>
      </c>
      <c r="C615" s="661">
        <f>Калькулятор_жилье!K542</f>
        <v>4010517.9766686182</v>
      </c>
      <c r="D615" s="662">
        <f t="shared" si="7813"/>
        <v>24.908050151640378</v>
      </c>
      <c r="E615" s="661"/>
      <c r="F615" s="662">
        <f t="shared" si="7813"/>
        <v>0</v>
      </c>
      <c r="G615" s="661"/>
      <c r="H615" s="662">
        <f t="shared" ref="H615" si="8286">IF(G615=0,0,G615/G$4)</f>
        <v>0</v>
      </c>
      <c r="I615" s="661"/>
      <c r="J615" s="662">
        <f t="shared" ref="J615" si="8287">IF(I615=0,0,I615/I$4)</f>
        <v>0</v>
      </c>
      <c r="K615" s="661"/>
      <c r="L615" s="662">
        <f t="shared" ref="L615" si="8288">IF(K615=0,0,K615/K$4)</f>
        <v>0</v>
      </c>
      <c r="M615" s="661"/>
      <c r="N615" s="662">
        <f t="shared" ref="N615" si="8289">IF(M615=0,0,M615/M$4)</f>
        <v>0</v>
      </c>
      <c r="O615" s="661"/>
      <c r="P615" s="662">
        <f t="shared" ref="P615" si="8290">IF(O615=0,0,O615/O$4)</f>
        <v>0</v>
      </c>
      <c r="Q615" s="661"/>
      <c r="R615" s="662">
        <f t="shared" ref="R615" si="8291">IF(Q615=0,0,Q615/Q$4)</f>
        <v>0</v>
      </c>
      <c r="S615" s="661"/>
      <c r="T615" s="662">
        <f t="shared" ref="T615" si="8292">IF(S615=0,0,S615/S$4)</f>
        <v>0</v>
      </c>
      <c r="U615" s="661"/>
      <c r="V615" s="662">
        <f t="shared" ref="V615" si="8293">IF(U615=0,0,U615/U$4)</f>
        <v>0</v>
      </c>
      <c r="W615" s="661"/>
      <c r="X615" s="662">
        <f t="shared" ref="X615" si="8294">IF(W615=0,0,W615/W$4)</f>
        <v>0</v>
      </c>
      <c r="Y615" s="661"/>
      <c r="Z615" s="662">
        <f t="shared" ref="Z615" si="8295">IF(Y615=0,0,Y615/Y$4)</f>
        <v>0</v>
      </c>
      <c r="AA615" s="661"/>
      <c r="AB615" s="662">
        <f t="shared" ref="AB615" si="8296">IF(AA615=0,0,AA615/AA$4)</f>
        <v>0</v>
      </c>
      <c r="AC615" s="661">
        <f t="shared" ref="AC615:AC620" si="8297">C615+E615+G615+I615+K615+M615+O615+Q615+S615+U615+W615+AA615+Y615</f>
        <v>4010517.9766686182</v>
      </c>
      <c r="AD615" s="662">
        <f t="shared" ref="AD615" si="8298">IF(AC615=0,0,AC615/AC$4)</f>
        <v>24.908050151640378</v>
      </c>
      <c r="AE615" s="665"/>
      <c r="AF615" s="114"/>
      <c r="AG615" s="114"/>
      <c r="AH615" s="114"/>
      <c r="AI615" s="114"/>
      <c r="AJ615" s="114"/>
    </row>
    <row r="616" spans="1:36" s="68" customFormat="1" hidden="1" outlineLevel="4">
      <c r="A616" s="245"/>
      <c r="B616" s="246" t="s">
        <v>419</v>
      </c>
      <c r="C616" s="663">
        <f>C615-C617*курс</f>
        <v>2129470.5108672301</v>
      </c>
      <c r="D616" s="663">
        <f t="shared" si="7813"/>
        <v>13.225463291696622</v>
      </c>
      <c r="E616" s="663"/>
      <c r="F616" s="663">
        <f t="shared" si="7813"/>
        <v>0</v>
      </c>
      <c r="G616" s="663"/>
      <c r="H616" s="663">
        <f t="shared" ref="H616" si="8299">IF(G616=0,0,G616/G$4)</f>
        <v>0</v>
      </c>
      <c r="I616" s="663"/>
      <c r="J616" s="663">
        <f t="shared" ref="J616" si="8300">IF(I616=0,0,I616/I$4)</f>
        <v>0</v>
      </c>
      <c r="K616" s="663"/>
      <c r="L616" s="663">
        <f t="shared" ref="L616" si="8301">IF(K616=0,0,K616/K$4)</f>
        <v>0</v>
      </c>
      <c r="M616" s="663"/>
      <c r="N616" s="663">
        <f t="shared" ref="N616" si="8302">IF(M616=0,0,M616/M$4)</f>
        <v>0</v>
      </c>
      <c r="O616" s="663"/>
      <c r="P616" s="663">
        <f t="shared" ref="P616" si="8303">IF(O616=0,0,O616/O$4)</f>
        <v>0</v>
      </c>
      <c r="Q616" s="663"/>
      <c r="R616" s="663">
        <f t="shared" ref="R616" si="8304">IF(Q616=0,0,Q616/Q$4)</f>
        <v>0</v>
      </c>
      <c r="S616" s="663"/>
      <c r="T616" s="663">
        <f t="shared" ref="T616" si="8305">IF(S616=0,0,S616/S$4)</f>
        <v>0</v>
      </c>
      <c r="U616" s="663"/>
      <c r="V616" s="663">
        <f t="shared" ref="V616" si="8306">IF(U616=0,0,U616/U$4)</f>
        <v>0</v>
      </c>
      <c r="W616" s="663"/>
      <c r="X616" s="663">
        <f t="shared" ref="X616" si="8307">IF(W616=0,0,W616/W$4)</f>
        <v>0</v>
      </c>
      <c r="Y616" s="663"/>
      <c r="Z616" s="663">
        <f t="shared" ref="Z616" si="8308">IF(Y616=0,0,Y616/Y$4)</f>
        <v>0</v>
      </c>
      <c r="AA616" s="663"/>
      <c r="AB616" s="663">
        <f t="shared" ref="AB616" si="8309">IF(AA616=0,0,AA616/AA$4)</f>
        <v>0</v>
      </c>
      <c r="AC616" s="663">
        <f t="shared" si="8297"/>
        <v>2129470.5108672301</v>
      </c>
      <c r="AD616" s="663">
        <f t="shared" ref="AD616" si="8310">IF(AC616=0,0,AC616/AC$4)</f>
        <v>13.225463291696622</v>
      </c>
      <c r="AE616" s="665"/>
      <c r="AF616" s="114"/>
      <c r="AG616" s="114"/>
      <c r="AH616" s="114"/>
      <c r="AI616" s="114"/>
      <c r="AJ616" s="114"/>
    </row>
    <row r="617" spans="1:36" s="68" customFormat="1" hidden="1" outlineLevel="4">
      <c r="A617" s="245"/>
      <c r="B617" s="246" t="s">
        <v>420</v>
      </c>
      <c r="C617" s="663">
        <f>Калькулятор_жилье!L542</f>
        <v>21524.326289583427</v>
      </c>
      <c r="D617" s="663">
        <f t="shared" si="7813"/>
        <v>0.13368073695721394</v>
      </c>
      <c r="E617" s="663"/>
      <c r="F617" s="663">
        <f t="shared" si="7813"/>
        <v>0</v>
      </c>
      <c r="G617" s="663"/>
      <c r="H617" s="663">
        <f t="shared" ref="H617" si="8311">IF(G617=0,0,G617/G$4)</f>
        <v>0</v>
      </c>
      <c r="I617" s="663"/>
      <c r="J617" s="663">
        <f t="shared" ref="J617" si="8312">IF(I617=0,0,I617/I$4)</f>
        <v>0</v>
      </c>
      <c r="K617" s="663"/>
      <c r="L617" s="663">
        <f t="shared" ref="L617" si="8313">IF(K617=0,0,K617/K$4)</f>
        <v>0</v>
      </c>
      <c r="M617" s="663"/>
      <c r="N617" s="663">
        <f t="shared" ref="N617" si="8314">IF(M617=0,0,M617/M$4)</f>
        <v>0</v>
      </c>
      <c r="O617" s="663"/>
      <c r="P617" s="663">
        <f t="shared" ref="P617" si="8315">IF(O617=0,0,O617/O$4)</f>
        <v>0</v>
      </c>
      <c r="Q617" s="663"/>
      <c r="R617" s="663">
        <f t="shared" ref="R617" si="8316">IF(Q617=0,0,Q617/Q$4)</f>
        <v>0</v>
      </c>
      <c r="S617" s="663"/>
      <c r="T617" s="663">
        <f t="shared" ref="T617" si="8317">IF(S617=0,0,S617/S$4)</f>
        <v>0</v>
      </c>
      <c r="U617" s="663"/>
      <c r="V617" s="663">
        <f t="shared" ref="V617" si="8318">IF(U617=0,0,U617/U$4)</f>
        <v>0</v>
      </c>
      <c r="W617" s="663"/>
      <c r="X617" s="663">
        <f t="shared" ref="X617" si="8319">IF(W617=0,0,W617/W$4)</f>
        <v>0</v>
      </c>
      <c r="Y617" s="663"/>
      <c r="Z617" s="663">
        <f t="shared" ref="Z617" si="8320">IF(Y617=0,0,Y617/Y$4)</f>
        <v>0</v>
      </c>
      <c r="AA617" s="663"/>
      <c r="AB617" s="663">
        <f t="shared" ref="AB617" si="8321">IF(AA617=0,0,AA617/AA$4)</f>
        <v>0</v>
      </c>
      <c r="AC617" s="663">
        <f t="shared" si="8297"/>
        <v>21524.326289583427</v>
      </c>
      <c r="AD617" s="663">
        <f t="shared" ref="AD617" si="8322">IF(AC617=0,0,AC617/AC$4)</f>
        <v>0.13368073695721394</v>
      </c>
      <c r="AE617" s="665"/>
      <c r="AF617" s="114"/>
      <c r="AG617" s="114"/>
      <c r="AH617" s="114"/>
      <c r="AI617" s="114"/>
      <c r="AJ617" s="114"/>
    </row>
    <row r="618" spans="1:36" s="68" customFormat="1" hidden="1" outlineLevel="3" collapsed="1">
      <c r="A618" s="117"/>
      <c r="B618" s="118" t="s">
        <v>1240</v>
      </c>
      <c r="C618" s="661">
        <f>Калькулятор_жилье!K547</f>
        <v>6928103.3567345347</v>
      </c>
      <c r="D618" s="662">
        <f t="shared" si="7813"/>
        <v>43.028243949833964</v>
      </c>
      <c r="E618" s="661"/>
      <c r="F618" s="662">
        <f t="shared" si="7813"/>
        <v>0</v>
      </c>
      <c r="G618" s="661"/>
      <c r="H618" s="662">
        <f t="shared" ref="H618" si="8323">IF(G618=0,0,G618/G$4)</f>
        <v>0</v>
      </c>
      <c r="I618" s="661"/>
      <c r="J618" s="662">
        <f t="shared" ref="J618" si="8324">IF(I618=0,0,I618/I$4)</f>
        <v>0</v>
      </c>
      <c r="K618" s="661"/>
      <c r="L618" s="662">
        <f t="shared" ref="L618" si="8325">IF(K618=0,0,K618/K$4)</f>
        <v>0</v>
      </c>
      <c r="M618" s="661"/>
      <c r="N618" s="662">
        <f t="shared" ref="N618" si="8326">IF(M618=0,0,M618/M$4)</f>
        <v>0</v>
      </c>
      <c r="O618" s="661"/>
      <c r="P618" s="662">
        <f t="shared" ref="P618" si="8327">IF(O618=0,0,O618/O$4)</f>
        <v>0</v>
      </c>
      <c r="Q618" s="661"/>
      <c r="R618" s="662">
        <f t="shared" ref="R618" si="8328">IF(Q618=0,0,Q618/Q$4)</f>
        <v>0</v>
      </c>
      <c r="S618" s="661"/>
      <c r="T618" s="662">
        <f t="shared" ref="T618" si="8329">IF(S618=0,0,S618/S$4)</f>
        <v>0</v>
      </c>
      <c r="U618" s="661"/>
      <c r="V618" s="662">
        <f t="shared" ref="V618" si="8330">IF(U618=0,0,U618/U$4)</f>
        <v>0</v>
      </c>
      <c r="W618" s="661"/>
      <c r="X618" s="662">
        <f t="shared" ref="X618" si="8331">IF(W618=0,0,W618/W$4)</f>
        <v>0</v>
      </c>
      <c r="Y618" s="661"/>
      <c r="Z618" s="662">
        <f t="shared" ref="Z618" si="8332">IF(Y618=0,0,Y618/Y$4)</f>
        <v>0</v>
      </c>
      <c r="AA618" s="661"/>
      <c r="AB618" s="662">
        <f t="shared" ref="AB618" si="8333">IF(AA618=0,0,AA618/AA$4)</f>
        <v>0</v>
      </c>
      <c r="AC618" s="661">
        <f t="shared" si="8297"/>
        <v>6928103.3567345347</v>
      </c>
      <c r="AD618" s="662">
        <f t="shared" ref="AD618" si="8334">IF(AC618=0,0,AC618/AC$4)</f>
        <v>43.028243949833964</v>
      </c>
      <c r="AE618" s="665"/>
      <c r="AF618" s="114"/>
      <c r="AG618" s="114"/>
      <c r="AH618" s="114"/>
      <c r="AI618" s="114"/>
      <c r="AJ618" s="114"/>
    </row>
    <row r="619" spans="1:36" s="68" customFormat="1" hidden="1" outlineLevel="4">
      <c r="A619" s="245"/>
      <c r="B619" s="246" t="s">
        <v>419</v>
      </c>
      <c r="C619" s="663">
        <f>C618-C620*курс</f>
        <v>6928103.3567345347</v>
      </c>
      <c r="D619" s="663">
        <f t="shared" si="7813"/>
        <v>43.028243949833964</v>
      </c>
      <c r="E619" s="663"/>
      <c r="F619" s="663">
        <f t="shared" si="7813"/>
        <v>0</v>
      </c>
      <c r="G619" s="663"/>
      <c r="H619" s="663">
        <f t="shared" ref="H619" si="8335">IF(G619=0,0,G619/G$4)</f>
        <v>0</v>
      </c>
      <c r="I619" s="663"/>
      <c r="J619" s="663">
        <f t="shared" ref="J619" si="8336">IF(I619=0,0,I619/I$4)</f>
        <v>0</v>
      </c>
      <c r="K619" s="663"/>
      <c r="L619" s="663">
        <f t="shared" ref="L619" si="8337">IF(K619=0,0,K619/K$4)</f>
        <v>0</v>
      </c>
      <c r="M619" s="663"/>
      <c r="N619" s="663">
        <f t="shared" ref="N619" si="8338">IF(M619=0,0,M619/M$4)</f>
        <v>0</v>
      </c>
      <c r="O619" s="663"/>
      <c r="P619" s="663">
        <f t="shared" ref="P619" si="8339">IF(O619=0,0,O619/O$4)</f>
        <v>0</v>
      </c>
      <c r="Q619" s="663"/>
      <c r="R619" s="663">
        <f t="shared" ref="R619" si="8340">IF(Q619=0,0,Q619/Q$4)</f>
        <v>0</v>
      </c>
      <c r="S619" s="663"/>
      <c r="T619" s="663">
        <f t="shared" ref="T619" si="8341">IF(S619=0,0,S619/S$4)</f>
        <v>0</v>
      </c>
      <c r="U619" s="663"/>
      <c r="V619" s="663">
        <f t="shared" ref="V619" si="8342">IF(U619=0,0,U619/U$4)</f>
        <v>0</v>
      </c>
      <c r="W619" s="663"/>
      <c r="X619" s="663">
        <f t="shared" ref="X619" si="8343">IF(W619=0,0,W619/W$4)</f>
        <v>0</v>
      </c>
      <c r="Y619" s="663"/>
      <c r="Z619" s="663">
        <f t="shared" ref="Z619" si="8344">IF(Y619=0,0,Y619/Y$4)</f>
        <v>0</v>
      </c>
      <c r="AA619" s="663"/>
      <c r="AB619" s="663">
        <f t="shared" ref="AB619" si="8345">IF(AA619=0,0,AA619/AA$4)</f>
        <v>0</v>
      </c>
      <c r="AC619" s="663">
        <f t="shared" si="8297"/>
        <v>6928103.3567345347</v>
      </c>
      <c r="AD619" s="663">
        <f t="shared" ref="AD619" si="8346">IF(AC619=0,0,AC619/AC$4)</f>
        <v>43.028243949833964</v>
      </c>
      <c r="AE619" s="665"/>
      <c r="AF619" s="114"/>
      <c r="AG619" s="114"/>
      <c r="AH619" s="114"/>
      <c r="AI619" s="114"/>
      <c r="AJ619" s="114"/>
    </row>
    <row r="620" spans="1:36" s="68" customFormat="1" hidden="1" outlineLevel="4">
      <c r="A620" s="245"/>
      <c r="B620" s="246" t="s">
        <v>420</v>
      </c>
      <c r="C620" s="663">
        <f>Калькулятор_жилье!L547</f>
        <v>0</v>
      </c>
      <c r="D620" s="663">
        <f t="shared" si="7813"/>
        <v>0</v>
      </c>
      <c r="E620" s="663"/>
      <c r="F620" s="663">
        <f t="shared" si="7813"/>
        <v>0</v>
      </c>
      <c r="G620" s="663"/>
      <c r="H620" s="663">
        <f t="shared" ref="H620" si="8347">IF(G620=0,0,G620/G$4)</f>
        <v>0</v>
      </c>
      <c r="I620" s="663"/>
      <c r="J620" s="663">
        <f t="shared" ref="J620" si="8348">IF(I620=0,0,I620/I$4)</f>
        <v>0</v>
      </c>
      <c r="K620" s="663"/>
      <c r="L620" s="663">
        <f t="shared" ref="L620" si="8349">IF(K620=0,0,K620/K$4)</f>
        <v>0</v>
      </c>
      <c r="M620" s="663"/>
      <c r="N620" s="663">
        <f t="shared" ref="N620" si="8350">IF(M620=0,0,M620/M$4)</f>
        <v>0</v>
      </c>
      <c r="O620" s="663"/>
      <c r="P620" s="663">
        <f t="shared" ref="P620" si="8351">IF(O620=0,0,O620/O$4)</f>
        <v>0</v>
      </c>
      <c r="Q620" s="663"/>
      <c r="R620" s="663">
        <f t="shared" ref="R620" si="8352">IF(Q620=0,0,Q620/Q$4)</f>
        <v>0</v>
      </c>
      <c r="S620" s="663"/>
      <c r="T620" s="663">
        <f t="shared" ref="T620" si="8353">IF(S620=0,0,S620/S$4)</f>
        <v>0</v>
      </c>
      <c r="U620" s="663"/>
      <c r="V620" s="663">
        <f t="shared" ref="V620" si="8354">IF(U620=0,0,U620/U$4)</f>
        <v>0</v>
      </c>
      <c r="W620" s="663"/>
      <c r="X620" s="663">
        <f t="shared" ref="X620" si="8355">IF(W620=0,0,W620/W$4)</f>
        <v>0</v>
      </c>
      <c r="Y620" s="663"/>
      <c r="Z620" s="663">
        <f t="shared" ref="Z620" si="8356">IF(Y620=0,0,Y620/Y$4)</f>
        <v>0</v>
      </c>
      <c r="AA620" s="663"/>
      <c r="AB620" s="663">
        <f t="shared" ref="AB620" si="8357">IF(AA620=0,0,AA620/AA$4)</f>
        <v>0</v>
      </c>
      <c r="AC620" s="663">
        <f t="shared" si="8297"/>
        <v>0</v>
      </c>
      <c r="AD620" s="663">
        <f t="shared" ref="AD620" si="8358">IF(AC620=0,0,AC620/AC$4)</f>
        <v>0</v>
      </c>
      <c r="AE620" s="665"/>
      <c r="AF620" s="114"/>
      <c r="AG620" s="114"/>
      <c r="AH620" s="114"/>
      <c r="AI620" s="114"/>
      <c r="AJ620" s="114"/>
    </row>
    <row r="621" spans="1:36" s="68" customFormat="1" hidden="1" outlineLevel="3" collapsed="1">
      <c r="A621" s="117"/>
      <c r="B621" s="118" t="s">
        <v>1241</v>
      </c>
      <c r="C621" s="661">
        <f>Калькулятор_жилье!K548</f>
        <v>3067045.622237293</v>
      </c>
      <c r="D621" s="662">
        <f t="shared" si="7813"/>
        <v>19.048443772221461</v>
      </c>
      <c r="E621" s="661"/>
      <c r="F621" s="662">
        <f t="shared" si="7813"/>
        <v>0</v>
      </c>
      <c r="G621" s="661"/>
      <c r="H621" s="662">
        <f t="shared" ref="H621" si="8359">IF(G621=0,0,G621/G$4)</f>
        <v>0</v>
      </c>
      <c r="I621" s="661"/>
      <c r="J621" s="662">
        <f t="shared" ref="J621" si="8360">IF(I621=0,0,I621/I$4)</f>
        <v>0</v>
      </c>
      <c r="K621" s="661"/>
      <c r="L621" s="662">
        <f t="shared" ref="L621" si="8361">IF(K621=0,0,K621/K$4)</f>
        <v>0</v>
      </c>
      <c r="M621" s="661"/>
      <c r="N621" s="662">
        <f t="shared" ref="N621" si="8362">IF(M621=0,0,M621/M$4)</f>
        <v>0</v>
      </c>
      <c r="O621" s="661"/>
      <c r="P621" s="662">
        <f t="shared" ref="P621" si="8363">IF(O621=0,0,O621/O$4)</f>
        <v>0</v>
      </c>
      <c r="Q621" s="661"/>
      <c r="R621" s="662">
        <f t="shared" ref="R621" si="8364">IF(Q621=0,0,Q621/Q$4)</f>
        <v>0</v>
      </c>
      <c r="S621" s="661"/>
      <c r="T621" s="662">
        <f t="shared" ref="T621" si="8365">IF(S621=0,0,S621/S$4)</f>
        <v>0</v>
      </c>
      <c r="U621" s="661"/>
      <c r="V621" s="662">
        <f t="shared" ref="V621" si="8366">IF(U621=0,0,U621/U$4)</f>
        <v>0</v>
      </c>
      <c r="W621" s="661"/>
      <c r="X621" s="662">
        <f t="shared" ref="X621" si="8367">IF(W621=0,0,W621/W$4)</f>
        <v>0</v>
      </c>
      <c r="Y621" s="661"/>
      <c r="Z621" s="662">
        <f t="shared" ref="Z621" si="8368">IF(Y621=0,0,Y621/Y$4)</f>
        <v>0</v>
      </c>
      <c r="AA621" s="661"/>
      <c r="AB621" s="662">
        <f t="shared" ref="AB621" si="8369">IF(AA621=0,0,AA621/AA$4)</f>
        <v>0</v>
      </c>
      <c r="AC621" s="661">
        <f t="shared" ref="AC621:AC623" si="8370">C621+E621+G621+I621+K621+M621+O621+Q621+S621+U621+W621+AA621+Y621</f>
        <v>3067045.622237293</v>
      </c>
      <c r="AD621" s="662">
        <f t="shared" ref="AD621" si="8371">IF(AC621=0,0,AC621/AC$4)</f>
        <v>19.048443772221461</v>
      </c>
      <c r="AE621" s="665"/>
      <c r="AF621" s="114"/>
      <c r="AG621" s="114"/>
      <c r="AH621" s="114"/>
      <c r="AI621" s="114"/>
      <c r="AJ621" s="114"/>
    </row>
    <row r="622" spans="1:36" s="68" customFormat="1" hidden="1" outlineLevel="4">
      <c r="A622" s="245"/>
      <c r="B622" s="246" t="s">
        <v>419</v>
      </c>
      <c r="C622" s="663">
        <f>C621-C623*курс</f>
        <v>3067045.622237293</v>
      </c>
      <c r="D622" s="663">
        <f t="shared" si="7813"/>
        <v>19.048443772221461</v>
      </c>
      <c r="E622" s="663"/>
      <c r="F622" s="663">
        <f t="shared" si="7813"/>
        <v>0</v>
      </c>
      <c r="G622" s="663"/>
      <c r="H622" s="663">
        <f t="shared" ref="H622" si="8372">IF(G622=0,0,G622/G$4)</f>
        <v>0</v>
      </c>
      <c r="I622" s="663"/>
      <c r="J622" s="663">
        <f t="shared" ref="J622" si="8373">IF(I622=0,0,I622/I$4)</f>
        <v>0</v>
      </c>
      <c r="K622" s="663"/>
      <c r="L622" s="663">
        <f t="shared" ref="L622" si="8374">IF(K622=0,0,K622/K$4)</f>
        <v>0</v>
      </c>
      <c r="M622" s="663"/>
      <c r="N622" s="663">
        <f t="shared" ref="N622" si="8375">IF(M622=0,0,M622/M$4)</f>
        <v>0</v>
      </c>
      <c r="O622" s="663"/>
      <c r="P622" s="663">
        <f t="shared" ref="P622" si="8376">IF(O622=0,0,O622/O$4)</f>
        <v>0</v>
      </c>
      <c r="Q622" s="663"/>
      <c r="R622" s="663">
        <f t="shared" ref="R622" si="8377">IF(Q622=0,0,Q622/Q$4)</f>
        <v>0</v>
      </c>
      <c r="S622" s="663"/>
      <c r="T622" s="663">
        <f t="shared" ref="T622" si="8378">IF(S622=0,0,S622/S$4)</f>
        <v>0</v>
      </c>
      <c r="U622" s="663"/>
      <c r="V622" s="663">
        <f t="shared" ref="V622" si="8379">IF(U622=0,0,U622/U$4)</f>
        <v>0</v>
      </c>
      <c r="W622" s="663"/>
      <c r="X622" s="663">
        <f t="shared" ref="X622" si="8380">IF(W622=0,0,W622/W$4)</f>
        <v>0</v>
      </c>
      <c r="Y622" s="663"/>
      <c r="Z622" s="663">
        <f t="shared" ref="Z622" si="8381">IF(Y622=0,0,Y622/Y$4)</f>
        <v>0</v>
      </c>
      <c r="AA622" s="663"/>
      <c r="AB622" s="663">
        <f t="shared" ref="AB622" si="8382">IF(AA622=0,0,AA622/AA$4)</f>
        <v>0</v>
      </c>
      <c r="AC622" s="663">
        <f t="shared" si="8370"/>
        <v>3067045.622237293</v>
      </c>
      <c r="AD622" s="663">
        <f t="shared" ref="AD622" si="8383">IF(AC622=0,0,AC622/AC$4)</f>
        <v>19.048443772221461</v>
      </c>
      <c r="AE622" s="665"/>
      <c r="AF622" s="114"/>
      <c r="AG622" s="114"/>
      <c r="AH622" s="114"/>
      <c r="AI622" s="114"/>
      <c r="AJ622" s="114"/>
    </row>
    <row r="623" spans="1:36" s="68" customFormat="1" hidden="1" outlineLevel="4">
      <c r="A623" s="245"/>
      <c r="B623" s="246" t="s">
        <v>420</v>
      </c>
      <c r="C623" s="663">
        <f>Калькулятор_жилье!L548</f>
        <v>0</v>
      </c>
      <c r="D623" s="663">
        <f t="shared" si="7813"/>
        <v>0</v>
      </c>
      <c r="E623" s="663"/>
      <c r="F623" s="663">
        <f t="shared" si="7813"/>
        <v>0</v>
      </c>
      <c r="G623" s="663"/>
      <c r="H623" s="663">
        <f t="shared" ref="H623" si="8384">IF(G623=0,0,G623/G$4)</f>
        <v>0</v>
      </c>
      <c r="I623" s="663"/>
      <c r="J623" s="663">
        <f t="shared" ref="J623" si="8385">IF(I623=0,0,I623/I$4)</f>
        <v>0</v>
      </c>
      <c r="K623" s="663"/>
      <c r="L623" s="663">
        <f t="shared" ref="L623" si="8386">IF(K623=0,0,K623/K$4)</f>
        <v>0</v>
      </c>
      <c r="M623" s="663"/>
      <c r="N623" s="663">
        <f t="shared" ref="N623" si="8387">IF(M623=0,0,M623/M$4)</f>
        <v>0</v>
      </c>
      <c r="O623" s="663"/>
      <c r="P623" s="663">
        <f t="shared" ref="P623" si="8388">IF(O623=0,0,O623/O$4)</f>
        <v>0</v>
      </c>
      <c r="Q623" s="663"/>
      <c r="R623" s="663">
        <f t="shared" ref="R623" si="8389">IF(Q623=0,0,Q623/Q$4)</f>
        <v>0</v>
      </c>
      <c r="S623" s="663"/>
      <c r="T623" s="663">
        <f t="shared" ref="T623" si="8390">IF(S623=0,0,S623/S$4)</f>
        <v>0</v>
      </c>
      <c r="U623" s="663"/>
      <c r="V623" s="663">
        <f t="shared" ref="V623" si="8391">IF(U623=0,0,U623/U$4)</f>
        <v>0</v>
      </c>
      <c r="W623" s="663"/>
      <c r="X623" s="663">
        <f t="shared" ref="X623" si="8392">IF(W623=0,0,W623/W$4)</f>
        <v>0</v>
      </c>
      <c r="Y623" s="663"/>
      <c r="Z623" s="663">
        <f t="shared" ref="Z623" si="8393">IF(Y623=0,0,Y623/Y$4)</f>
        <v>0</v>
      </c>
      <c r="AA623" s="663"/>
      <c r="AB623" s="663">
        <f t="shared" ref="AB623" si="8394">IF(AA623=0,0,AA623/AA$4)</f>
        <v>0</v>
      </c>
      <c r="AC623" s="663">
        <f t="shared" si="8370"/>
        <v>0</v>
      </c>
      <c r="AD623" s="663">
        <f t="shared" ref="AD623" si="8395">IF(AC623=0,0,AC623/AC$4)</f>
        <v>0</v>
      </c>
      <c r="AE623" s="665"/>
      <c r="AF623" s="114"/>
      <c r="AG623" s="114"/>
      <c r="AH623" s="114"/>
      <c r="AI623" s="114"/>
      <c r="AJ623" s="114"/>
    </row>
    <row r="624" spans="1:36" s="556" customFormat="1" ht="15.75" hidden="1" outlineLevel="2">
      <c r="A624" s="609" t="s">
        <v>1247</v>
      </c>
      <c r="B624" s="559" t="s">
        <v>265</v>
      </c>
      <c r="C624" s="659"/>
      <c r="D624" s="660">
        <f t="shared" si="7813"/>
        <v>0</v>
      </c>
      <c r="E624" s="659"/>
      <c r="F624" s="660">
        <f t="shared" si="7813"/>
        <v>0</v>
      </c>
      <c r="G624" s="659"/>
      <c r="H624" s="660">
        <f t="shared" ref="H624" si="8396">IF(G624=0,0,G624/G$4)</f>
        <v>0</v>
      </c>
      <c r="I624" s="659"/>
      <c r="J624" s="660">
        <f t="shared" ref="J624" si="8397">IF(I624=0,0,I624/I$4)</f>
        <v>0</v>
      </c>
      <c r="K624" s="659"/>
      <c r="L624" s="660">
        <f t="shared" ref="L624" si="8398">IF(K624=0,0,K624/K$4)</f>
        <v>0</v>
      </c>
      <c r="M624" s="659"/>
      <c r="N624" s="660">
        <f t="shared" ref="N624" si="8399">IF(M624=0,0,M624/M$4)</f>
        <v>0</v>
      </c>
      <c r="O624" s="659"/>
      <c r="P624" s="660">
        <f t="shared" ref="P624" si="8400">IF(O624=0,0,O624/O$4)</f>
        <v>0</v>
      </c>
      <c r="Q624" s="659"/>
      <c r="R624" s="660">
        <f t="shared" ref="R624" si="8401">IF(Q624=0,0,Q624/Q$4)</f>
        <v>0</v>
      </c>
      <c r="S624" s="659"/>
      <c r="T624" s="660">
        <f t="shared" ref="T624" si="8402">IF(S624=0,0,S624/S$4)</f>
        <v>0</v>
      </c>
      <c r="U624" s="659"/>
      <c r="V624" s="660">
        <f t="shared" ref="V624" si="8403">IF(U624=0,0,U624/U$4)</f>
        <v>0</v>
      </c>
      <c r="W624" s="659"/>
      <c r="X624" s="660">
        <f t="shared" ref="X624" si="8404">IF(W624=0,0,W624/W$4)</f>
        <v>0</v>
      </c>
      <c r="Y624" s="659"/>
      <c r="Z624" s="660">
        <f t="shared" ref="Z624" si="8405">IF(Y624=0,0,Y624/Y$4)</f>
        <v>0</v>
      </c>
      <c r="AA624" s="659"/>
      <c r="AB624" s="660">
        <f t="shared" ref="AB624" si="8406">IF(AA624=0,0,AA624/AA$4)</f>
        <v>0</v>
      </c>
      <c r="AC624" s="659">
        <f t="shared" ref="AC624" si="8407">C624+E624+G624+I624+K624+M624+O624+Q624+S624+U624+W624+AA624+Y624</f>
        <v>0</v>
      </c>
      <c r="AD624" s="660">
        <f t="shared" ref="AD624" si="8408">IF(AC624=0,0,AC624/AC$4)</f>
        <v>0</v>
      </c>
      <c r="AE624" s="654"/>
    </row>
    <row r="625" spans="1:32" s="556" customFormat="1" ht="15.75">
      <c r="C625" s="654"/>
      <c r="D625" s="654"/>
      <c r="E625" s="654"/>
      <c r="F625" s="654"/>
      <c r="G625" s="654"/>
      <c r="H625" s="654"/>
      <c r="I625" s="654"/>
      <c r="J625" s="654"/>
      <c r="K625" s="654"/>
      <c r="L625" s="654"/>
      <c r="M625" s="654"/>
      <c r="N625" s="654"/>
      <c r="O625" s="654"/>
      <c r="P625" s="654"/>
      <c r="Q625" s="654"/>
      <c r="R625" s="654"/>
      <c r="S625" s="654"/>
      <c r="T625" s="654"/>
      <c r="U625" s="654"/>
      <c r="V625" s="654"/>
      <c r="W625" s="654"/>
      <c r="X625" s="654"/>
      <c r="Y625" s="654"/>
      <c r="Z625" s="654"/>
      <c r="AA625" s="654"/>
      <c r="AB625" s="654"/>
      <c r="AC625" s="654"/>
      <c r="AD625" s="654"/>
      <c r="AE625" s="654"/>
    </row>
    <row r="626" spans="1:32">
      <c r="A626" s="68"/>
      <c r="B626" s="114"/>
      <c r="C626" s="668"/>
      <c r="D626" s="665"/>
      <c r="E626" s="668"/>
      <c r="F626" s="665"/>
      <c r="G626" s="668"/>
      <c r="H626" s="665"/>
      <c r="I626" s="668"/>
      <c r="J626" s="665"/>
      <c r="K626" s="668"/>
      <c r="L626" s="665"/>
      <c r="M626" s="668"/>
      <c r="N626" s="665"/>
      <c r="O626" s="668"/>
      <c r="P626" s="665"/>
      <c r="Q626" s="668"/>
      <c r="R626" s="665"/>
      <c r="S626" s="668"/>
      <c r="T626" s="665"/>
      <c r="U626" s="668"/>
      <c r="V626" s="665"/>
      <c r="W626" s="668"/>
      <c r="X626" s="665"/>
      <c r="Y626" s="668"/>
      <c r="Z626" s="665"/>
      <c r="AA626" s="668"/>
      <c r="AB626" s="665"/>
      <c r="AC626" s="668"/>
      <c r="AD626" s="665"/>
      <c r="AE626" s="665"/>
      <c r="AF626" s="615"/>
    </row>
    <row r="627" spans="1:32">
      <c r="A627" s="68"/>
      <c r="B627" s="114"/>
      <c r="C627" s="668"/>
      <c r="D627" s="665"/>
      <c r="E627" s="668"/>
      <c r="F627" s="665"/>
      <c r="G627" s="668"/>
      <c r="H627" s="665"/>
      <c r="I627" s="668"/>
      <c r="J627" s="665"/>
      <c r="K627" s="668"/>
      <c r="L627" s="665"/>
      <c r="M627" s="668"/>
      <c r="N627" s="665"/>
      <c r="O627" s="668"/>
      <c r="P627" s="665"/>
      <c r="Q627" s="668"/>
      <c r="R627" s="665"/>
      <c r="S627" s="668"/>
      <c r="T627" s="665"/>
      <c r="U627" s="668"/>
      <c r="V627" s="665"/>
      <c r="W627" s="668"/>
      <c r="X627" s="665"/>
      <c r="Y627" s="668"/>
      <c r="Z627" s="665"/>
      <c r="AA627" s="668"/>
      <c r="AB627" s="665"/>
      <c r="AC627" s="668"/>
      <c r="AD627" s="665"/>
      <c r="AE627" s="665"/>
      <c r="AF627" s="615"/>
    </row>
    <row r="628" spans="1:32">
      <c r="A628" s="68"/>
      <c r="B628" s="114"/>
      <c r="C628" s="225"/>
      <c r="D628" s="114"/>
      <c r="E628" s="225"/>
      <c r="F628" s="114"/>
      <c r="G628" s="225"/>
      <c r="H628" s="114"/>
      <c r="I628" s="225"/>
      <c r="J628" s="114"/>
      <c r="K628" s="225"/>
      <c r="L628" s="114"/>
      <c r="M628" s="225"/>
      <c r="N628" s="114"/>
      <c r="O628" s="225"/>
      <c r="P628" s="114"/>
      <c r="Q628" s="225"/>
      <c r="R628" s="114"/>
      <c r="S628" s="225"/>
      <c r="T628" s="114"/>
      <c r="U628" s="225"/>
      <c r="V628" s="114"/>
      <c r="W628" s="225"/>
      <c r="X628" s="114"/>
      <c r="Y628" s="225"/>
      <c r="Z628" s="114"/>
      <c r="AA628" s="225"/>
      <c r="AB628" s="114"/>
      <c r="AC628" s="225"/>
      <c r="AD628" s="114"/>
      <c r="AF628" s="615"/>
    </row>
    <row r="629" spans="1:32">
      <c r="A629" s="68"/>
      <c r="B629" s="114"/>
      <c r="C629" s="225"/>
      <c r="D629" s="114"/>
      <c r="E629" s="225"/>
      <c r="F629" s="114"/>
      <c r="G629" s="225"/>
      <c r="H629" s="114"/>
      <c r="I629" s="225"/>
      <c r="J629" s="114"/>
      <c r="K629" s="225"/>
      <c r="L629" s="114"/>
      <c r="M629" s="225"/>
      <c r="N629" s="114"/>
      <c r="O629" s="225"/>
      <c r="P629" s="114"/>
      <c r="Q629" s="225"/>
      <c r="R629" s="114"/>
      <c r="S629" s="225"/>
      <c r="T629" s="114"/>
      <c r="U629" s="225"/>
      <c r="V629" s="114"/>
      <c r="W629" s="225"/>
      <c r="X629" s="114"/>
      <c r="Y629" s="225"/>
      <c r="Z629" s="114"/>
      <c r="AA629" s="225"/>
      <c r="AB629" s="114"/>
      <c r="AC629" s="225"/>
      <c r="AD629" s="114"/>
      <c r="AF629" s="615"/>
    </row>
  </sheetData>
  <mergeCells count="16">
    <mergeCell ref="A2:A3"/>
    <mergeCell ref="B2:B3"/>
    <mergeCell ref="AC2:AD2"/>
    <mergeCell ref="K2:L2"/>
    <mergeCell ref="I2:J2"/>
    <mergeCell ref="C2:D2"/>
    <mergeCell ref="E2:F2"/>
    <mergeCell ref="G2:H2"/>
    <mergeCell ref="M2:N2"/>
    <mergeCell ref="O2:P2"/>
    <mergeCell ref="Q2:R2"/>
    <mergeCell ref="S2:T2"/>
    <mergeCell ref="U2:V2"/>
    <mergeCell ref="W2:X2"/>
    <mergeCell ref="AA2:AB2"/>
    <mergeCell ref="Y2:Z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EV424"/>
  <sheetViews>
    <sheetView zoomScale="80" zoomScaleNormal="80" workbookViewId="0">
      <pane xSplit="6" ySplit="8" topLeftCell="G254" activePane="bottomRight" state="frozen"/>
      <selection pane="topRight" activeCell="G1" sqref="G1"/>
      <selection pane="bottomLeft" activeCell="A9" sqref="A9"/>
      <selection pane="bottomRight" activeCell="H380" sqref="H380"/>
    </sheetView>
  </sheetViews>
  <sheetFormatPr defaultRowHeight="15" outlineLevelRow="2" outlineLevelCol="1"/>
  <cols>
    <col min="1" max="1" width="6.7109375" style="308" customWidth="1"/>
    <col min="2" max="2" width="5.140625" style="308" customWidth="1"/>
    <col min="3" max="3" width="22" style="305" customWidth="1"/>
    <col min="4" max="4" width="46.5703125" style="305" customWidth="1"/>
    <col min="5" max="5" width="16.140625" style="305" customWidth="1"/>
    <col min="6" max="6" width="19" style="308" customWidth="1"/>
    <col min="7" max="7" width="17" style="308" customWidth="1"/>
    <col min="8" max="8" width="15.42578125" style="308" customWidth="1"/>
    <col min="9" max="9" width="14.7109375" style="308" customWidth="1"/>
    <col min="10" max="10" width="14.5703125" style="308" customWidth="1"/>
    <col min="11" max="14" width="14.5703125" style="308" hidden="1" customWidth="1" outlineLevel="1"/>
    <col min="15" max="15" width="15.85546875" style="308" hidden="1" customWidth="1" outlineLevel="1"/>
    <col min="16" max="17" width="15.28515625" style="308" hidden="1" customWidth="1" outlineLevel="1"/>
    <col min="18" max="18" width="15.28515625" style="308" hidden="1" customWidth="1" outlineLevel="1" collapsed="1"/>
    <col min="19" max="19" width="15.28515625" style="308" hidden="1" customWidth="1" outlineLevel="1"/>
    <col min="20" max="21" width="14.28515625" style="308" hidden="1" customWidth="1" outlineLevel="1"/>
    <col min="22" max="22" width="17.7109375" style="308" hidden="1" customWidth="1" outlineLevel="1"/>
    <col min="23" max="28" width="14.85546875" style="308" hidden="1" customWidth="1" outlineLevel="1"/>
    <col min="29" max="29" width="14.85546875" style="308" customWidth="1" collapsed="1"/>
    <col min="30" max="30" width="14.28515625" style="308" customWidth="1" collapsed="1"/>
    <col min="31" max="31" width="14.28515625" style="308" customWidth="1"/>
    <col min="32" max="32" width="14.28515625" style="308" hidden="1" customWidth="1" outlineLevel="1"/>
    <col min="33" max="33" width="14.28515625" style="308" hidden="1" customWidth="1" outlineLevel="1" collapsed="1"/>
    <col min="34" max="34" width="14.28515625" style="308" hidden="1" customWidth="1" outlineLevel="1"/>
    <col min="35" max="41" width="14.85546875" style="308" hidden="1" customWidth="1" outlineLevel="1"/>
    <col min="42" max="46" width="14.28515625" style="308" hidden="1" customWidth="1" outlineLevel="1"/>
    <col min="47" max="53" width="14.85546875" style="308" hidden="1" customWidth="1" outlineLevel="1"/>
    <col min="54" max="54" width="14.28515625" style="308" hidden="1" customWidth="1" outlineLevel="1"/>
    <col min="55" max="58" width="14.28515625" style="308" hidden="1" customWidth="1" outlineLevel="1" collapsed="1"/>
    <col min="59" max="65" width="14.85546875" style="308" hidden="1" customWidth="1" outlineLevel="1" collapsed="1"/>
    <col min="66" max="70" width="14.28515625" style="308" hidden="1" customWidth="1" outlineLevel="1" collapsed="1"/>
    <col min="71" max="77" width="14.85546875" style="308" hidden="1" customWidth="1" outlineLevel="1" collapsed="1"/>
    <col min="78" max="82" width="14.28515625" style="308" hidden="1" customWidth="1" outlineLevel="1" collapsed="1"/>
    <col min="83" max="89" width="14.85546875" style="308" hidden="1" customWidth="1" outlineLevel="1" collapsed="1"/>
    <col min="90" max="94" width="14.28515625" style="308" hidden="1" customWidth="1" outlineLevel="1" collapsed="1"/>
    <col min="95" max="101" width="14.85546875" style="308" hidden="1" customWidth="1" outlineLevel="1" collapsed="1"/>
    <col min="102" max="106" width="14.28515625" style="308" hidden="1" customWidth="1" outlineLevel="1" collapsed="1"/>
    <col min="107" max="107" width="14.85546875" style="308" hidden="1" customWidth="1" outlineLevel="1" collapsed="1"/>
    <col min="108" max="108" width="14.85546875" style="308" hidden="1" customWidth="1" outlineLevel="1"/>
    <col min="109" max="109" width="14.85546875" style="308" hidden="1" customWidth="1" outlineLevel="1" collapsed="1"/>
    <col min="110" max="110" width="14.85546875" style="308" hidden="1" customWidth="1" outlineLevel="1"/>
    <col min="111" max="113" width="14.85546875" style="308" hidden="1" customWidth="1" outlineLevel="1" collapsed="1"/>
    <col min="114" max="118" width="14.28515625" style="308" hidden="1" customWidth="1" outlineLevel="1" collapsed="1"/>
    <col min="119" max="122" width="14.85546875" style="308" hidden="1" customWidth="1" outlineLevel="1" collapsed="1"/>
    <col min="123" max="123" width="14.85546875" style="308" hidden="1" customWidth="1" outlineLevel="1"/>
    <col min="124" max="125" width="14.85546875" style="308" hidden="1" customWidth="1" outlineLevel="1" collapsed="1"/>
    <col min="126" max="126" width="14.28515625" style="308" hidden="1" customWidth="1" outlineLevel="1" collapsed="1"/>
    <col min="127" max="127" width="14.28515625" style="308" hidden="1" customWidth="1" outlineLevel="1"/>
    <col min="128" max="130" width="14.28515625" style="308" hidden="1" customWidth="1" outlineLevel="1" collapsed="1"/>
    <col min="131" max="132" width="14.85546875" style="308" hidden="1" customWidth="1" outlineLevel="1" collapsed="1"/>
    <col min="133" max="137" width="14.85546875" style="308" hidden="1" customWidth="1" outlineLevel="1"/>
    <col min="138" max="138" width="14.28515625" style="308" customWidth="1" collapsed="1"/>
    <col min="139" max="139" width="13.85546875" style="308" customWidth="1"/>
    <col min="140" max="140" width="14.28515625" style="308" bestFit="1" customWidth="1"/>
    <col min="141" max="16384" width="9.140625" style="308"/>
  </cols>
  <sheetData>
    <row r="1" spans="1:141" hidden="1" outlineLevel="1">
      <c r="D1" s="308"/>
      <c r="F1" s="386" t="s">
        <v>660</v>
      </c>
      <c r="G1" s="387">
        <f>IF(OR(G5=2020,G5=2024,G5=2028,G5=2032,G5=2036,G5=2040),366,365)</f>
        <v>365</v>
      </c>
      <c r="H1" s="387">
        <f t="shared" ref="H1:BS1" si="0">IF(OR(H5=2020,H5=2024,H5=2028,H5=2032,H5=2036,H5=2040),366,365)</f>
        <v>365</v>
      </c>
      <c r="I1" s="387">
        <f t="shared" si="0"/>
        <v>365</v>
      </c>
      <c r="J1" s="387">
        <f t="shared" si="0"/>
        <v>365</v>
      </c>
      <c r="K1" s="387">
        <f t="shared" si="0"/>
        <v>365</v>
      </c>
      <c r="L1" s="387">
        <f t="shared" si="0"/>
        <v>365</v>
      </c>
      <c r="M1" s="387">
        <f t="shared" si="0"/>
        <v>365</v>
      </c>
      <c r="N1" s="387">
        <f t="shared" si="0"/>
        <v>365</v>
      </c>
      <c r="O1" s="387">
        <f t="shared" si="0"/>
        <v>365</v>
      </c>
      <c r="P1" s="387">
        <f t="shared" si="0"/>
        <v>365</v>
      </c>
      <c r="Q1" s="387">
        <f t="shared" si="0"/>
        <v>365</v>
      </c>
      <c r="R1" s="387">
        <f t="shared" si="0"/>
        <v>365</v>
      </c>
      <c r="S1" s="387">
        <f t="shared" si="0"/>
        <v>365</v>
      </c>
      <c r="T1" s="387">
        <f t="shared" si="0"/>
        <v>365</v>
      </c>
      <c r="U1" s="387">
        <f t="shared" si="0"/>
        <v>365</v>
      </c>
      <c r="V1" s="387">
        <f t="shared" si="0"/>
        <v>365</v>
      </c>
      <c r="W1" s="387">
        <f t="shared" si="0"/>
        <v>365</v>
      </c>
      <c r="X1" s="387">
        <f t="shared" si="0"/>
        <v>365</v>
      </c>
      <c r="Y1" s="387">
        <f t="shared" si="0"/>
        <v>365</v>
      </c>
      <c r="Z1" s="387">
        <f t="shared" si="0"/>
        <v>365</v>
      </c>
      <c r="AA1" s="387">
        <f t="shared" si="0"/>
        <v>365</v>
      </c>
      <c r="AB1" s="387">
        <f t="shared" si="0"/>
        <v>365</v>
      </c>
      <c r="AC1" s="387">
        <f t="shared" si="0"/>
        <v>365</v>
      </c>
      <c r="AD1" s="387">
        <f t="shared" si="0"/>
        <v>365</v>
      </c>
      <c r="AE1" s="387">
        <f t="shared" si="0"/>
        <v>365</v>
      </c>
      <c r="AF1" s="387">
        <f t="shared" si="0"/>
        <v>365</v>
      </c>
      <c r="AG1" s="387">
        <f t="shared" si="0"/>
        <v>365</v>
      </c>
      <c r="AH1" s="387">
        <f t="shared" si="0"/>
        <v>365</v>
      </c>
      <c r="AI1" s="387">
        <f t="shared" si="0"/>
        <v>365</v>
      </c>
      <c r="AJ1" s="387">
        <f t="shared" si="0"/>
        <v>365</v>
      </c>
      <c r="AK1" s="387">
        <f t="shared" si="0"/>
        <v>365</v>
      </c>
      <c r="AL1" s="387">
        <f t="shared" si="0"/>
        <v>365</v>
      </c>
      <c r="AM1" s="387">
        <f t="shared" si="0"/>
        <v>365</v>
      </c>
      <c r="AN1" s="387">
        <f t="shared" si="0"/>
        <v>365</v>
      </c>
      <c r="AO1" s="387">
        <f t="shared" si="0"/>
        <v>365</v>
      </c>
      <c r="AP1" s="387">
        <f t="shared" si="0"/>
        <v>365</v>
      </c>
      <c r="AQ1" s="387">
        <f t="shared" si="0"/>
        <v>365</v>
      </c>
      <c r="AR1" s="387">
        <f t="shared" si="0"/>
        <v>365</v>
      </c>
      <c r="AS1" s="387">
        <f t="shared" si="0"/>
        <v>365</v>
      </c>
      <c r="AT1" s="387">
        <f t="shared" si="0"/>
        <v>365</v>
      </c>
      <c r="AU1" s="387">
        <f t="shared" si="0"/>
        <v>365</v>
      </c>
      <c r="AV1" s="387">
        <f t="shared" si="0"/>
        <v>365</v>
      </c>
      <c r="AW1" s="387">
        <f t="shared" si="0"/>
        <v>365</v>
      </c>
      <c r="AX1" s="387">
        <f t="shared" si="0"/>
        <v>365</v>
      </c>
      <c r="AY1" s="387">
        <f t="shared" si="0"/>
        <v>365</v>
      </c>
      <c r="AZ1" s="387">
        <f t="shared" si="0"/>
        <v>365</v>
      </c>
      <c r="BA1" s="387">
        <f t="shared" si="0"/>
        <v>365</v>
      </c>
      <c r="BB1" s="387">
        <f t="shared" si="0"/>
        <v>365</v>
      </c>
      <c r="BC1" s="387">
        <f t="shared" si="0"/>
        <v>365</v>
      </c>
      <c r="BD1" s="387">
        <f t="shared" si="0"/>
        <v>365</v>
      </c>
      <c r="BE1" s="387">
        <f t="shared" si="0"/>
        <v>365</v>
      </c>
      <c r="BF1" s="387">
        <f t="shared" si="0"/>
        <v>365</v>
      </c>
      <c r="BG1" s="387">
        <f t="shared" si="0"/>
        <v>365</v>
      </c>
      <c r="BH1" s="387">
        <f t="shared" si="0"/>
        <v>365</v>
      </c>
      <c r="BI1" s="387">
        <f t="shared" si="0"/>
        <v>365</v>
      </c>
      <c r="BJ1" s="387">
        <f t="shared" si="0"/>
        <v>365</v>
      </c>
      <c r="BK1" s="387">
        <f t="shared" si="0"/>
        <v>365</v>
      </c>
      <c r="BL1" s="387">
        <f t="shared" si="0"/>
        <v>365</v>
      </c>
      <c r="BM1" s="387">
        <f t="shared" si="0"/>
        <v>365</v>
      </c>
      <c r="BN1" s="387">
        <f t="shared" si="0"/>
        <v>365</v>
      </c>
      <c r="BO1" s="387">
        <f t="shared" si="0"/>
        <v>365</v>
      </c>
      <c r="BP1" s="387">
        <f t="shared" si="0"/>
        <v>365</v>
      </c>
      <c r="BQ1" s="387">
        <f t="shared" si="0"/>
        <v>365</v>
      </c>
      <c r="BR1" s="387">
        <f t="shared" si="0"/>
        <v>365</v>
      </c>
      <c r="BS1" s="387">
        <f t="shared" si="0"/>
        <v>365</v>
      </c>
      <c r="BT1" s="387">
        <f t="shared" ref="BT1:EE1" si="1">IF(OR(BT5=2020,BT5=2024,BT5=2028,BT5=2032,BT5=2036,BT5=2040),366,365)</f>
        <v>365</v>
      </c>
      <c r="BU1" s="387">
        <f t="shared" si="1"/>
        <v>365</v>
      </c>
      <c r="BV1" s="387">
        <f t="shared" si="1"/>
        <v>365</v>
      </c>
      <c r="BW1" s="387">
        <f t="shared" si="1"/>
        <v>365</v>
      </c>
      <c r="BX1" s="387">
        <f t="shared" si="1"/>
        <v>365</v>
      </c>
      <c r="BY1" s="387">
        <f t="shared" si="1"/>
        <v>365</v>
      </c>
      <c r="BZ1" s="387">
        <f t="shared" si="1"/>
        <v>365</v>
      </c>
      <c r="CA1" s="387">
        <f t="shared" si="1"/>
        <v>365</v>
      </c>
      <c r="CB1" s="387">
        <f t="shared" si="1"/>
        <v>365</v>
      </c>
      <c r="CC1" s="387">
        <f t="shared" si="1"/>
        <v>365</v>
      </c>
      <c r="CD1" s="387">
        <f t="shared" si="1"/>
        <v>365</v>
      </c>
      <c r="CE1" s="387">
        <f t="shared" si="1"/>
        <v>365</v>
      </c>
      <c r="CF1" s="387">
        <f t="shared" si="1"/>
        <v>365</v>
      </c>
      <c r="CG1" s="387">
        <f t="shared" si="1"/>
        <v>365</v>
      </c>
      <c r="CH1" s="387">
        <f t="shared" si="1"/>
        <v>365</v>
      </c>
      <c r="CI1" s="387">
        <f t="shared" si="1"/>
        <v>365</v>
      </c>
      <c r="CJ1" s="387">
        <f t="shared" si="1"/>
        <v>365</v>
      </c>
      <c r="CK1" s="387">
        <f t="shared" si="1"/>
        <v>365</v>
      </c>
      <c r="CL1" s="387">
        <f t="shared" si="1"/>
        <v>365</v>
      </c>
      <c r="CM1" s="387">
        <f t="shared" si="1"/>
        <v>365</v>
      </c>
      <c r="CN1" s="387">
        <f t="shared" si="1"/>
        <v>365</v>
      </c>
      <c r="CO1" s="387">
        <f t="shared" si="1"/>
        <v>365</v>
      </c>
      <c r="CP1" s="387">
        <f t="shared" si="1"/>
        <v>365</v>
      </c>
      <c r="CQ1" s="387">
        <f t="shared" si="1"/>
        <v>365</v>
      </c>
      <c r="CR1" s="387">
        <f t="shared" si="1"/>
        <v>365</v>
      </c>
      <c r="CS1" s="387">
        <f t="shared" si="1"/>
        <v>365</v>
      </c>
      <c r="CT1" s="387">
        <f t="shared" si="1"/>
        <v>365</v>
      </c>
      <c r="CU1" s="387">
        <f t="shared" si="1"/>
        <v>365</v>
      </c>
      <c r="CV1" s="387">
        <f t="shared" si="1"/>
        <v>365</v>
      </c>
      <c r="CW1" s="387">
        <f t="shared" si="1"/>
        <v>365</v>
      </c>
      <c r="CX1" s="387">
        <f t="shared" si="1"/>
        <v>365</v>
      </c>
      <c r="CY1" s="387">
        <f t="shared" si="1"/>
        <v>365</v>
      </c>
      <c r="CZ1" s="387">
        <f t="shared" si="1"/>
        <v>365</v>
      </c>
      <c r="DA1" s="387">
        <f t="shared" si="1"/>
        <v>365</v>
      </c>
      <c r="DB1" s="387">
        <f t="shared" si="1"/>
        <v>365</v>
      </c>
      <c r="DC1" s="387">
        <f t="shared" si="1"/>
        <v>365</v>
      </c>
      <c r="DD1" s="387">
        <f t="shared" si="1"/>
        <v>365</v>
      </c>
      <c r="DE1" s="387">
        <f t="shared" si="1"/>
        <v>365</v>
      </c>
      <c r="DF1" s="387">
        <f t="shared" si="1"/>
        <v>365</v>
      </c>
      <c r="DG1" s="387">
        <f t="shared" si="1"/>
        <v>365</v>
      </c>
      <c r="DH1" s="387">
        <f t="shared" si="1"/>
        <v>365</v>
      </c>
      <c r="DI1" s="387">
        <f t="shared" si="1"/>
        <v>365</v>
      </c>
      <c r="DJ1" s="387">
        <f t="shared" si="1"/>
        <v>365</v>
      </c>
      <c r="DK1" s="387">
        <f t="shared" si="1"/>
        <v>365</v>
      </c>
      <c r="DL1" s="387">
        <f t="shared" si="1"/>
        <v>365</v>
      </c>
      <c r="DM1" s="387">
        <f t="shared" si="1"/>
        <v>365</v>
      </c>
      <c r="DN1" s="387">
        <f t="shared" si="1"/>
        <v>365</v>
      </c>
      <c r="DO1" s="387">
        <f t="shared" si="1"/>
        <v>365</v>
      </c>
      <c r="DP1" s="387">
        <f t="shared" si="1"/>
        <v>365</v>
      </c>
      <c r="DQ1" s="387">
        <f t="shared" si="1"/>
        <v>365</v>
      </c>
      <c r="DR1" s="387">
        <f t="shared" si="1"/>
        <v>365</v>
      </c>
      <c r="DS1" s="387">
        <f t="shared" si="1"/>
        <v>365</v>
      </c>
      <c r="DT1" s="387">
        <f t="shared" si="1"/>
        <v>365</v>
      </c>
      <c r="DU1" s="387">
        <f t="shared" si="1"/>
        <v>365</v>
      </c>
      <c r="DV1" s="387">
        <f t="shared" si="1"/>
        <v>365</v>
      </c>
      <c r="DW1" s="387">
        <f t="shared" si="1"/>
        <v>365</v>
      </c>
      <c r="DX1" s="387">
        <f t="shared" si="1"/>
        <v>365</v>
      </c>
      <c r="DY1" s="387">
        <f t="shared" si="1"/>
        <v>365</v>
      </c>
      <c r="DZ1" s="387">
        <f t="shared" si="1"/>
        <v>365</v>
      </c>
      <c r="EA1" s="387">
        <f t="shared" si="1"/>
        <v>365</v>
      </c>
      <c r="EB1" s="387">
        <f t="shared" si="1"/>
        <v>365</v>
      </c>
      <c r="EC1" s="387">
        <f t="shared" si="1"/>
        <v>365</v>
      </c>
      <c r="ED1" s="387">
        <f t="shared" si="1"/>
        <v>365</v>
      </c>
      <c r="EE1" s="387">
        <f t="shared" si="1"/>
        <v>365</v>
      </c>
      <c r="EF1" s="387">
        <f t="shared" ref="EF1:EI1" si="2">IF(OR(EF5=2020,EF5=2024,EF5=2028,EF5=2032,EF5=2036,EF5=2040),366,365)</f>
        <v>365</v>
      </c>
      <c r="EG1" s="387">
        <f t="shared" si="2"/>
        <v>365</v>
      </c>
      <c r="EH1" s="387">
        <f t="shared" si="2"/>
        <v>365</v>
      </c>
      <c r="EI1" s="387">
        <f t="shared" si="2"/>
        <v>365</v>
      </c>
    </row>
    <row r="2" spans="1:141" hidden="1" outlineLevel="1">
      <c r="D2" s="308"/>
      <c r="F2" s="386" t="s">
        <v>661</v>
      </c>
      <c r="G2" s="387">
        <f>YEAR(G5)</f>
        <v>2023</v>
      </c>
      <c r="H2" s="387">
        <f t="shared" ref="H2:BS2" si="3">YEAR(H5)</f>
        <v>2023</v>
      </c>
      <c r="I2" s="387">
        <f t="shared" si="3"/>
        <v>2023</v>
      </c>
      <c r="J2" s="387">
        <f t="shared" si="3"/>
        <v>2023</v>
      </c>
      <c r="K2" s="387">
        <f t="shared" si="3"/>
        <v>2023</v>
      </c>
      <c r="L2" s="387">
        <f t="shared" si="3"/>
        <v>2023</v>
      </c>
      <c r="M2" s="387">
        <f t="shared" si="3"/>
        <v>2023</v>
      </c>
      <c r="N2" s="387">
        <f t="shared" si="3"/>
        <v>2023</v>
      </c>
      <c r="O2" s="387">
        <f t="shared" si="3"/>
        <v>2023</v>
      </c>
      <c r="P2" s="387">
        <f t="shared" si="3"/>
        <v>2023</v>
      </c>
      <c r="Q2" s="387">
        <f t="shared" si="3"/>
        <v>2024</v>
      </c>
      <c r="R2" s="387">
        <f t="shared" si="3"/>
        <v>2024</v>
      </c>
      <c r="S2" s="387">
        <f t="shared" si="3"/>
        <v>2024</v>
      </c>
      <c r="T2" s="387">
        <f t="shared" si="3"/>
        <v>2024</v>
      </c>
      <c r="U2" s="387">
        <f t="shared" si="3"/>
        <v>2024</v>
      </c>
      <c r="V2" s="387">
        <f t="shared" si="3"/>
        <v>2024</v>
      </c>
      <c r="W2" s="387">
        <f t="shared" si="3"/>
        <v>2024</v>
      </c>
      <c r="X2" s="387">
        <f t="shared" si="3"/>
        <v>2024</v>
      </c>
      <c r="Y2" s="387">
        <f t="shared" si="3"/>
        <v>2024</v>
      </c>
      <c r="Z2" s="387">
        <f t="shared" si="3"/>
        <v>2024</v>
      </c>
      <c r="AA2" s="387">
        <f t="shared" si="3"/>
        <v>2024</v>
      </c>
      <c r="AB2" s="387">
        <f t="shared" si="3"/>
        <v>2024</v>
      </c>
      <c r="AC2" s="387">
        <f t="shared" si="3"/>
        <v>2025</v>
      </c>
      <c r="AD2" s="387">
        <f t="shared" si="3"/>
        <v>2025</v>
      </c>
      <c r="AE2" s="387">
        <f t="shared" si="3"/>
        <v>2025</v>
      </c>
      <c r="AF2" s="387">
        <f t="shared" si="3"/>
        <v>2025</v>
      </c>
      <c r="AG2" s="387">
        <f t="shared" si="3"/>
        <v>2025</v>
      </c>
      <c r="AH2" s="387">
        <f t="shared" si="3"/>
        <v>2025</v>
      </c>
      <c r="AI2" s="387">
        <f t="shared" si="3"/>
        <v>2025</v>
      </c>
      <c r="AJ2" s="387">
        <f t="shared" si="3"/>
        <v>2025</v>
      </c>
      <c r="AK2" s="387">
        <f t="shared" si="3"/>
        <v>2025</v>
      </c>
      <c r="AL2" s="387">
        <f t="shared" si="3"/>
        <v>2025</v>
      </c>
      <c r="AM2" s="387">
        <f t="shared" si="3"/>
        <v>2025</v>
      </c>
      <c r="AN2" s="387">
        <f t="shared" si="3"/>
        <v>2025</v>
      </c>
      <c r="AO2" s="387">
        <f t="shared" si="3"/>
        <v>2026</v>
      </c>
      <c r="AP2" s="387">
        <f t="shared" si="3"/>
        <v>2026</v>
      </c>
      <c r="AQ2" s="387">
        <f t="shared" si="3"/>
        <v>2026</v>
      </c>
      <c r="AR2" s="387">
        <f t="shared" si="3"/>
        <v>2026</v>
      </c>
      <c r="AS2" s="387">
        <f t="shared" si="3"/>
        <v>2026</v>
      </c>
      <c r="AT2" s="387">
        <f t="shared" si="3"/>
        <v>2026</v>
      </c>
      <c r="AU2" s="387">
        <f t="shared" si="3"/>
        <v>2026</v>
      </c>
      <c r="AV2" s="387">
        <f t="shared" si="3"/>
        <v>2026</v>
      </c>
      <c r="AW2" s="387">
        <f t="shared" si="3"/>
        <v>2026</v>
      </c>
      <c r="AX2" s="387">
        <f t="shared" si="3"/>
        <v>2026</v>
      </c>
      <c r="AY2" s="387">
        <f t="shared" si="3"/>
        <v>2026</v>
      </c>
      <c r="AZ2" s="387">
        <f t="shared" si="3"/>
        <v>2026</v>
      </c>
      <c r="BA2" s="387">
        <f t="shared" si="3"/>
        <v>2027</v>
      </c>
      <c r="BB2" s="387">
        <f t="shared" si="3"/>
        <v>2027</v>
      </c>
      <c r="BC2" s="387">
        <f t="shared" si="3"/>
        <v>2027</v>
      </c>
      <c r="BD2" s="387">
        <f t="shared" si="3"/>
        <v>2027</v>
      </c>
      <c r="BE2" s="387">
        <f t="shared" si="3"/>
        <v>2027</v>
      </c>
      <c r="BF2" s="387">
        <f t="shared" si="3"/>
        <v>2027</v>
      </c>
      <c r="BG2" s="387">
        <f t="shared" si="3"/>
        <v>2027</v>
      </c>
      <c r="BH2" s="387">
        <f t="shared" si="3"/>
        <v>2027</v>
      </c>
      <c r="BI2" s="387">
        <f t="shared" si="3"/>
        <v>2027</v>
      </c>
      <c r="BJ2" s="387">
        <f t="shared" si="3"/>
        <v>2027</v>
      </c>
      <c r="BK2" s="387">
        <f t="shared" si="3"/>
        <v>2027</v>
      </c>
      <c r="BL2" s="387">
        <f t="shared" si="3"/>
        <v>2027</v>
      </c>
      <c r="BM2" s="387">
        <f t="shared" si="3"/>
        <v>2028</v>
      </c>
      <c r="BN2" s="387">
        <f t="shared" si="3"/>
        <v>2028</v>
      </c>
      <c r="BO2" s="387">
        <f t="shared" si="3"/>
        <v>2028</v>
      </c>
      <c r="BP2" s="387">
        <f t="shared" si="3"/>
        <v>2028</v>
      </c>
      <c r="BQ2" s="387">
        <f t="shared" si="3"/>
        <v>2028</v>
      </c>
      <c r="BR2" s="387">
        <f t="shared" si="3"/>
        <v>2028</v>
      </c>
      <c r="BS2" s="387">
        <f t="shared" si="3"/>
        <v>2028</v>
      </c>
      <c r="BT2" s="387">
        <f t="shared" ref="BT2:EE2" si="4">YEAR(BT5)</f>
        <v>2028</v>
      </c>
      <c r="BU2" s="387">
        <f t="shared" si="4"/>
        <v>2028</v>
      </c>
      <c r="BV2" s="387">
        <f t="shared" si="4"/>
        <v>2028</v>
      </c>
      <c r="BW2" s="387">
        <f t="shared" si="4"/>
        <v>2028</v>
      </c>
      <c r="BX2" s="387">
        <f t="shared" si="4"/>
        <v>2028</v>
      </c>
      <c r="BY2" s="387">
        <f t="shared" si="4"/>
        <v>2029</v>
      </c>
      <c r="BZ2" s="387">
        <f t="shared" si="4"/>
        <v>2029</v>
      </c>
      <c r="CA2" s="387">
        <f t="shared" si="4"/>
        <v>2029</v>
      </c>
      <c r="CB2" s="387">
        <f t="shared" si="4"/>
        <v>2029</v>
      </c>
      <c r="CC2" s="387">
        <f t="shared" si="4"/>
        <v>2029</v>
      </c>
      <c r="CD2" s="387">
        <f t="shared" si="4"/>
        <v>2029</v>
      </c>
      <c r="CE2" s="387">
        <f t="shared" si="4"/>
        <v>2029</v>
      </c>
      <c r="CF2" s="387">
        <f t="shared" si="4"/>
        <v>2029</v>
      </c>
      <c r="CG2" s="387">
        <f t="shared" si="4"/>
        <v>2029</v>
      </c>
      <c r="CH2" s="387">
        <f t="shared" si="4"/>
        <v>2029</v>
      </c>
      <c r="CI2" s="387">
        <f t="shared" si="4"/>
        <v>2029</v>
      </c>
      <c r="CJ2" s="387">
        <f t="shared" si="4"/>
        <v>2029</v>
      </c>
      <c r="CK2" s="387">
        <f t="shared" si="4"/>
        <v>2030</v>
      </c>
      <c r="CL2" s="387">
        <f t="shared" si="4"/>
        <v>2030</v>
      </c>
      <c r="CM2" s="387">
        <f t="shared" si="4"/>
        <v>2030</v>
      </c>
      <c r="CN2" s="387">
        <f t="shared" si="4"/>
        <v>2030</v>
      </c>
      <c r="CO2" s="387">
        <f t="shared" si="4"/>
        <v>2030</v>
      </c>
      <c r="CP2" s="387">
        <f t="shared" si="4"/>
        <v>2030</v>
      </c>
      <c r="CQ2" s="387">
        <f t="shared" si="4"/>
        <v>2030</v>
      </c>
      <c r="CR2" s="387">
        <f t="shared" si="4"/>
        <v>2030</v>
      </c>
      <c r="CS2" s="387">
        <f t="shared" si="4"/>
        <v>2030</v>
      </c>
      <c r="CT2" s="387">
        <f t="shared" si="4"/>
        <v>2030</v>
      </c>
      <c r="CU2" s="387">
        <f t="shared" si="4"/>
        <v>2030</v>
      </c>
      <c r="CV2" s="387">
        <f t="shared" si="4"/>
        <v>2030</v>
      </c>
      <c r="CW2" s="387">
        <f t="shared" si="4"/>
        <v>2031</v>
      </c>
      <c r="CX2" s="387">
        <f t="shared" si="4"/>
        <v>2031</v>
      </c>
      <c r="CY2" s="387">
        <f t="shared" si="4"/>
        <v>2031</v>
      </c>
      <c r="CZ2" s="387">
        <f t="shared" si="4"/>
        <v>2031</v>
      </c>
      <c r="DA2" s="387">
        <f t="shared" si="4"/>
        <v>2031</v>
      </c>
      <c r="DB2" s="387">
        <f t="shared" si="4"/>
        <v>2031</v>
      </c>
      <c r="DC2" s="387">
        <f t="shared" si="4"/>
        <v>2031</v>
      </c>
      <c r="DD2" s="387">
        <f t="shared" si="4"/>
        <v>2031</v>
      </c>
      <c r="DE2" s="387">
        <f t="shared" si="4"/>
        <v>2031</v>
      </c>
      <c r="DF2" s="387">
        <f t="shared" si="4"/>
        <v>2031</v>
      </c>
      <c r="DG2" s="387">
        <f t="shared" si="4"/>
        <v>2031</v>
      </c>
      <c r="DH2" s="387">
        <f t="shared" si="4"/>
        <v>2031</v>
      </c>
      <c r="DI2" s="387">
        <f t="shared" si="4"/>
        <v>2032</v>
      </c>
      <c r="DJ2" s="387">
        <f t="shared" si="4"/>
        <v>2032</v>
      </c>
      <c r="DK2" s="387">
        <f t="shared" si="4"/>
        <v>2032</v>
      </c>
      <c r="DL2" s="387">
        <f t="shared" si="4"/>
        <v>2032</v>
      </c>
      <c r="DM2" s="387">
        <f t="shared" si="4"/>
        <v>2032</v>
      </c>
      <c r="DN2" s="387">
        <f t="shared" si="4"/>
        <v>2032</v>
      </c>
      <c r="DO2" s="387">
        <f t="shared" si="4"/>
        <v>2032</v>
      </c>
      <c r="DP2" s="387">
        <f t="shared" si="4"/>
        <v>2032</v>
      </c>
      <c r="DQ2" s="387">
        <f t="shared" si="4"/>
        <v>2032</v>
      </c>
      <c r="DR2" s="387">
        <f t="shared" si="4"/>
        <v>2032</v>
      </c>
      <c r="DS2" s="387">
        <f t="shared" si="4"/>
        <v>2032</v>
      </c>
      <c r="DT2" s="387">
        <f t="shared" si="4"/>
        <v>2032</v>
      </c>
      <c r="DU2" s="387">
        <f t="shared" si="4"/>
        <v>2033</v>
      </c>
      <c r="DV2" s="387">
        <f t="shared" si="4"/>
        <v>2033</v>
      </c>
      <c r="DW2" s="387">
        <f t="shared" si="4"/>
        <v>2033</v>
      </c>
      <c r="DX2" s="387">
        <f t="shared" si="4"/>
        <v>2033</v>
      </c>
      <c r="DY2" s="387">
        <f t="shared" si="4"/>
        <v>2033</v>
      </c>
      <c r="DZ2" s="387">
        <f t="shared" si="4"/>
        <v>2033</v>
      </c>
      <c r="EA2" s="387">
        <f t="shared" si="4"/>
        <v>2033</v>
      </c>
      <c r="EB2" s="387">
        <f t="shared" si="4"/>
        <v>2033</v>
      </c>
      <c r="EC2" s="387">
        <f t="shared" si="4"/>
        <v>2033</v>
      </c>
      <c r="ED2" s="387">
        <f t="shared" si="4"/>
        <v>2033</v>
      </c>
      <c r="EE2" s="387">
        <f t="shared" si="4"/>
        <v>2033</v>
      </c>
      <c r="EF2" s="387">
        <f t="shared" ref="EF2:EI2" si="5">YEAR(EF5)</f>
        <v>2033</v>
      </c>
      <c r="EG2" s="387">
        <f t="shared" si="5"/>
        <v>2034</v>
      </c>
      <c r="EH2" s="387">
        <f t="shared" si="5"/>
        <v>2034</v>
      </c>
      <c r="EI2" s="387">
        <f t="shared" si="5"/>
        <v>2034</v>
      </c>
    </row>
    <row r="3" spans="1:141" hidden="1" outlineLevel="1">
      <c r="D3" s="308"/>
      <c r="F3" s="386" t="s">
        <v>662</v>
      </c>
      <c r="G3" s="387">
        <f>H5-G5</f>
        <v>31</v>
      </c>
      <c r="H3" s="387">
        <f>I5-H5</f>
        <v>30</v>
      </c>
      <c r="I3" s="387">
        <f t="shared" ref="I3:BT3" si="6">J5-I5</f>
        <v>31</v>
      </c>
      <c r="J3" s="387">
        <f t="shared" si="6"/>
        <v>30</v>
      </c>
      <c r="K3" s="387">
        <f t="shared" si="6"/>
        <v>31</v>
      </c>
      <c r="L3" s="387">
        <f t="shared" si="6"/>
        <v>31</v>
      </c>
      <c r="M3" s="387">
        <f t="shared" si="6"/>
        <v>30</v>
      </c>
      <c r="N3" s="387">
        <f t="shared" si="6"/>
        <v>31</v>
      </c>
      <c r="O3" s="387">
        <f t="shared" si="6"/>
        <v>30</v>
      </c>
      <c r="P3" s="387">
        <f t="shared" si="6"/>
        <v>31</v>
      </c>
      <c r="Q3" s="387">
        <f t="shared" si="6"/>
        <v>31</v>
      </c>
      <c r="R3" s="387">
        <f t="shared" si="6"/>
        <v>29</v>
      </c>
      <c r="S3" s="387">
        <f t="shared" si="6"/>
        <v>31</v>
      </c>
      <c r="T3" s="387">
        <f t="shared" si="6"/>
        <v>30</v>
      </c>
      <c r="U3" s="387">
        <f t="shared" si="6"/>
        <v>31</v>
      </c>
      <c r="V3" s="387">
        <f t="shared" si="6"/>
        <v>30</v>
      </c>
      <c r="W3" s="387">
        <f t="shared" si="6"/>
        <v>31</v>
      </c>
      <c r="X3" s="387">
        <f t="shared" si="6"/>
        <v>31</v>
      </c>
      <c r="Y3" s="387">
        <f t="shared" si="6"/>
        <v>30</v>
      </c>
      <c r="Z3" s="387">
        <f t="shared" si="6"/>
        <v>31</v>
      </c>
      <c r="AA3" s="387">
        <f t="shared" si="6"/>
        <v>30</v>
      </c>
      <c r="AB3" s="387">
        <f t="shared" si="6"/>
        <v>31</v>
      </c>
      <c r="AC3" s="387">
        <f t="shared" si="6"/>
        <v>31</v>
      </c>
      <c r="AD3" s="387">
        <f t="shared" si="6"/>
        <v>28</v>
      </c>
      <c r="AE3" s="387">
        <f t="shared" si="6"/>
        <v>31</v>
      </c>
      <c r="AF3" s="387">
        <f t="shared" si="6"/>
        <v>30</v>
      </c>
      <c r="AG3" s="387">
        <f t="shared" si="6"/>
        <v>31</v>
      </c>
      <c r="AH3" s="387">
        <f t="shared" si="6"/>
        <v>30</v>
      </c>
      <c r="AI3" s="387">
        <f t="shared" si="6"/>
        <v>31</v>
      </c>
      <c r="AJ3" s="387">
        <f t="shared" si="6"/>
        <v>31</v>
      </c>
      <c r="AK3" s="387">
        <f t="shared" si="6"/>
        <v>30</v>
      </c>
      <c r="AL3" s="387">
        <f t="shared" si="6"/>
        <v>31</v>
      </c>
      <c r="AM3" s="387">
        <f t="shared" si="6"/>
        <v>30</v>
      </c>
      <c r="AN3" s="387">
        <f t="shared" si="6"/>
        <v>31</v>
      </c>
      <c r="AO3" s="387">
        <f t="shared" si="6"/>
        <v>31</v>
      </c>
      <c r="AP3" s="387">
        <f t="shared" si="6"/>
        <v>28</v>
      </c>
      <c r="AQ3" s="387">
        <f t="shared" si="6"/>
        <v>31</v>
      </c>
      <c r="AR3" s="387">
        <f t="shared" si="6"/>
        <v>30</v>
      </c>
      <c r="AS3" s="387">
        <f t="shared" si="6"/>
        <v>31</v>
      </c>
      <c r="AT3" s="387">
        <f t="shared" si="6"/>
        <v>30</v>
      </c>
      <c r="AU3" s="387">
        <f t="shared" si="6"/>
        <v>31</v>
      </c>
      <c r="AV3" s="387">
        <f t="shared" si="6"/>
        <v>31</v>
      </c>
      <c r="AW3" s="387">
        <f t="shared" si="6"/>
        <v>30</v>
      </c>
      <c r="AX3" s="387">
        <f t="shared" si="6"/>
        <v>31</v>
      </c>
      <c r="AY3" s="387">
        <f t="shared" si="6"/>
        <v>30</v>
      </c>
      <c r="AZ3" s="387">
        <f t="shared" si="6"/>
        <v>31</v>
      </c>
      <c r="BA3" s="387">
        <f t="shared" si="6"/>
        <v>31</v>
      </c>
      <c r="BB3" s="387">
        <f t="shared" si="6"/>
        <v>28</v>
      </c>
      <c r="BC3" s="387">
        <f t="shared" si="6"/>
        <v>31</v>
      </c>
      <c r="BD3" s="387">
        <f t="shared" si="6"/>
        <v>30</v>
      </c>
      <c r="BE3" s="387">
        <f t="shared" si="6"/>
        <v>31</v>
      </c>
      <c r="BF3" s="387">
        <f t="shared" si="6"/>
        <v>30</v>
      </c>
      <c r="BG3" s="387">
        <f t="shared" si="6"/>
        <v>31</v>
      </c>
      <c r="BH3" s="387">
        <f t="shared" si="6"/>
        <v>31</v>
      </c>
      <c r="BI3" s="387">
        <f t="shared" si="6"/>
        <v>30</v>
      </c>
      <c r="BJ3" s="387">
        <f t="shared" si="6"/>
        <v>31</v>
      </c>
      <c r="BK3" s="387">
        <f t="shared" si="6"/>
        <v>30</v>
      </c>
      <c r="BL3" s="387">
        <f t="shared" si="6"/>
        <v>31</v>
      </c>
      <c r="BM3" s="387">
        <f t="shared" si="6"/>
        <v>31</v>
      </c>
      <c r="BN3" s="387">
        <f t="shared" si="6"/>
        <v>29</v>
      </c>
      <c r="BO3" s="387">
        <f t="shared" si="6"/>
        <v>31</v>
      </c>
      <c r="BP3" s="387">
        <f t="shared" si="6"/>
        <v>30</v>
      </c>
      <c r="BQ3" s="387">
        <f t="shared" si="6"/>
        <v>31</v>
      </c>
      <c r="BR3" s="387">
        <f t="shared" si="6"/>
        <v>30</v>
      </c>
      <c r="BS3" s="387">
        <f t="shared" si="6"/>
        <v>31</v>
      </c>
      <c r="BT3" s="387">
        <f t="shared" si="6"/>
        <v>31</v>
      </c>
      <c r="BU3" s="387">
        <f t="shared" ref="BU3:EF3" si="7">BV5-BU5</f>
        <v>30</v>
      </c>
      <c r="BV3" s="387">
        <f t="shared" si="7"/>
        <v>31</v>
      </c>
      <c r="BW3" s="387">
        <f t="shared" si="7"/>
        <v>30</v>
      </c>
      <c r="BX3" s="387">
        <f t="shared" si="7"/>
        <v>31</v>
      </c>
      <c r="BY3" s="387">
        <f t="shared" si="7"/>
        <v>31</v>
      </c>
      <c r="BZ3" s="387">
        <f t="shared" si="7"/>
        <v>28</v>
      </c>
      <c r="CA3" s="387">
        <f t="shared" si="7"/>
        <v>31</v>
      </c>
      <c r="CB3" s="387">
        <f t="shared" si="7"/>
        <v>30</v>
      </c>
      <c r="CC3" s="387">
        <f t="shared" si="7"/>
        <v>31</v>
      </c>
      <c r="CD3" s="387">
        <f t="shared" si="7"/>
        <v>30</v>
      </c>
      <c r="CE3" s="387">
        <f t="shared" si="7"/>
        <v>31</v>
      </c>
      <c r="CF3" s="387">
        <f t="shared" si="7"/>
        <v>31</v>
      </c>
      <c r="CG3" s="387">
        <f t="shared" si="7"/>
        <v>30</v>
      </c>
      <c r="CH3" s="387">
        <f t="shared" si="7"/>
        <v>31</v>
      </c>
      <c r="CI3" s="387">
        <f t="shared" si="7"/>
        <v>30</v>
      </c>
      <c r="CJ3" s="387">
        <f t="shared" si="7"/>
        <v>31</v>
      </c>
      <c r="CK3" s="387">
        <f t="shared" si="7"/>
        <v>31</v>
      </c>
      <c r="CL3" s="387">
        <f t="shared" si="7"/>
        <v>28</v>
      </c>
      <c r="CM3" s="387">
        <f t="shared" si="7"/>
        <v>31</v>
      </c>
      <c r="CN3" s="387">
        <f t="shared" si="7"/>
        <v>30</v>
      </c>
      <c r="CO3" s="387">
        <f t="shared" si="7"/>
        <v>31</v>
      </c>
      <c r="CP3" s="387">
        <f t="shared" si="7"/>
        <v>30</v>
      </c>
      <c r="CQ3" s="387">
        <f t="shared" si="7"/>
        <v>31</v>
      </c>
      <c r="CR3" s="387">
        <f t="shared" si="7"/>
        <v>31</v>
      </c>
      <c r="CS3" s="387">
        <f t="shared" si="7"/>
        <v>30</v>
      </c>
      <c r="CT3" s="387">
        <f t="shared" si="7"/>
        <v>31</v>
      </c>
      <c r="CU3" s="387">
        <f t="shared" si="7"/>
        <v>30</v>
      </c>
      <c r="CV3" s="387">
        <f t="shared" si="7"/>
        <v>31</v>
      </c>
      <c r="CW3" s="387">
        <f t="shared" si="7"/>
        <v>31</v>
      </c>
      <c r="CX3" s="387">
        <f t="shared" si="7"/>
        <v>28</v>
      </c>
      <c r="CY3" s="387">
        <f t="shared" si="7"/>
        <v>31</v>
      </c>
      <c r="CZ3" s="387">
        <f t="shared" si="7"/>
        <v>30</v>
      </c>
      <c r="DA3" s="387">
        <f t="shared" si="7"/>
        <v>31</v>
      </c>
      <c r="DB3" s="387">
        <f t="shared" si="7"/>
        <v>30</v>
      </c>
      <c r="DC3" s="387">
        <f t="shared" si="7"/>
        <v>31</v>
      </c>
      <c r="DD3" s="387">
        <f t="shared" si="7"/>
        <v>31</v>
      </c>
      <c r="DE3" s="387">
        <f t="shared" si="7"/>
        <v>30</v>
      </c>
      <c r="DF3" s="387">
        <f t="shared" si="7"/>
        <v>31</v>
      </c>
      <c r="DG3" s="387">
        <f t="shared" si="7"/>
        <v>30</v>
      </c>
      <c r="DH3" s="387">
        <f t="shared" si="7"/>
        <v>31</v>
      </c>
      <c r="DI3" s="387">
        <f t="shared" si="7"/>
        <v>31</v>
      </c>
      <c r="DJ3" s="387">
        <f t="shared" si="7"/>
        <v>29</v>
      </c>
      <c r="DK3" s="387">
        <f t="shared" si="7"/>
        <v>31</v>
      </c>
      <c r="DL3" s="387">
        <f t="shared" si="7"/>
        <v>30</v>
      </c>
      <c r="DM3" s="387">
        <f t="shared" si="7"/>
        <v>31</v>
      </c>
      <c r="DN3" s="387">
        <f t="shared" si="7"/>
        <v>30</v>
      </c>
      <c r="DO3" s="387">
        <f t="shared" si="7"/>
        <v>31</v>
      </c>
      <c r="DP3" s="387">
        <f t="shared" si="7"/>
        <v>31</v>
      </c>
      <c r="DQ3" s="387">
        <f t="shared" si="7"/>
        <v>30</v>
      </c>
      <c r="DR3" s="387">
        <f t="shared" si="7"/>
        <v>31</v>
      </c>
      <c r="DS3" s="387">
        <f t="shared" si="7"/>
        <v>30</v>
      </c>
      <c r="DT3" s="387">
        <f t="shared" si="7"/>
        <v>31</v>
      </c>
      <c r="DU3" s="387">
        <f t="shared" si="7"/>
        <v>31</v>
      </c>
      <c r="DV3" s="387">
        <f t="shared" si="7"/>
        <v>28</v>
      </c>
      <c r="DW3" s="387">
        <f t="shared" si="7"/>
        <v>31</v>
      </c>
      <c r="DX3" s="387">
        <f t="shared" si="7"/>
        <v>30</v>
      </c>
      <c r="DY3" s="387">
        <f t="shared" si="7"/>
        <v>31</v>
      </c>
      <c r="DZ3" s="387">
        <f t="shared" si="7"/>
        <v>30</v>
      </c>
      <c r="EA3" s="387">
        <f t="shared" si="7"/>
        <v>31</v>
      </c>
      <c r="EB3" s="387">
        <f t="shared" si="7"/>
        <v>31</v>
      </c>
      <c r="EC3" s="387">
        <f t="shared" si="7"/>
        <v>30</v>
      </c>
      <c r="ED3" s="387">
        <f t="shared" si="7"/>
        <v>31</v>
      </c>
      <c r="EE3" s="387">
        <f t="shared" si="7"/>
        <v>30</v>
      </c>
      <c r="EF3" s="387">
        <f t="shared" si="7"/>
        <v>31</v>
      </c>
      <c r="EG3" s="387">
        <f t="shared" ref="EG3:EI3" si="8">EH5-EG5</f>
        <v>31</v>
      </c>
      <c r="EH3" s="387">
        <f t="shared" si="8"/>
        <v>28</v>
      </c>
      <c r="EI3" s="387">
        <f t="shared" si="8"/>
        <v>31</v>
      </c>
    </row>
    <row r="4" spans="1:141" collapsed="1"/>
    <row r="5" spans="1:141" ht="18.75">
      <c r="C5" s="311" t="s">
        <v>545</v>
      </c>
      <c r="E5" s="312" t="s">
        <v>373</v>
      </c>
      <c r="F5" s="311" t="s">
        <v>547</v>
      </c>
      <c r="G5" s="307">
        <f>DATE(YEAR(Калькулятор_жилье!F2),MONTH(Калькулятор_жилье!F2),1)</f>
        <v>44986</v>
      </c>
      <c r="H5" s="307">
        <f>DATE(YEAR(G5),MONTH(G5)+1,1)</f>
        <v>45017</v>
      </c>
      <c r="I5" s="307">
        <f t="shared" ref="I5:BT5" si="9">DATE(YEAR(H5),MONTH(H5)+1,1)</f>
        <v>45047</v>
      </c>
      <c r="J5" s="307">
        <f t="shared" si="9"/>
        <v>45078</v>
      </c>
      <c r="K5" s="307">
        <f t="shared" si="9"/>
        <v>45108</v>
      </c>
      <c r="L5" s="307">
        <f t="shared" si="9"/>
        <v>45139</v>
      </c>
      <c r="M5" s="307">
        <f t="shared" si="9"/>
        <v>45170</v>
      </c>
      <c r="N5" s="307">
        <f t="shared" si="9"/>
        <v>45200</v>
      </c>
      <c r="O5" s="307">
        <f t="shared" si="9"/>
        <v>45231</v>
      </c>
      <c r="P5" s="307">
        <f t="shared" si="9"/>
        <v>45261</v>
      </c>
      <c r="Q5" s="307">
        <f t="shared" si="9"/>
        <v>45292</v>
      </c>
      <c r="R5" s="307">
        <f t="shared" si="9"/>
        <v>45323</v>
      </c>
      <c r="S5" s="307">
        <f t="shared" si="9"/>
        <v>45352</v>
      </c>
      <c r="T5" s="307">
        <f t="shared" si="9"/>
        <v>45383</v>
      </c>
      <c r="U5" s="307">
        <f t="shared" si="9"/>
        <v>45413</v>
      </c>
      <c r="V5" s="307">
        <f t="shared" si="9"/>
        <v>45444</v>
      </c>
      <c r="W5" s="307">
        <f t="shared" si="9"/>
        <v>45474</v>
      </c>
      <c r="X5" s="307">
        <f t="shared" si="9"/>
        <v>45505</v>
      </c>
      <c r="Y5" s="307">
        <f t="shared" si="9"/>
        <v>45536</v>
      </c>
      <c r="Z5" s="307">
        <f t="shared" si="9"/>
        <v>45566</v>
      </c>
      <c r="AA5" s="307">
        <f t="shared" si="9"/>
        <v>45597</v>
      </c>
      <c r="AB5" s="307">
        <f t="shared" si="9"/>
        <v>45627</v>
      </c>
      <c r="AC5" s="307">
        <f t="shared" si="9"/>
        <v>45658</v>
      </c>
      <c r="AD5" s="307">
        <f t="shared" si="9"/>
        <v>45689</v>
      </c>
      <c r="AE5" s="307">
        <f t="shared" si="9"/>
        <v>45717</v>
      </c>
      <c r="AF5" s="307">
        <f t="shared" si="9"/>
        <v>45748</v>
      </c>
      <c r="AG5" s="307">
        <f t="shared" si="9"/>
        <v>45778</v>
      </c>
      <c r="AH5" s="307">
        <f t="shared" si="9"/>
        <v>45809</v>
      </c>
      <c r="AI5" s="307">
        <f t="shared" si="9"/>
        <v>45839</v>
      </c>
      <c r="AJ5" s="307">
        <f t="shared" si="9"/>
        <v>45870</v>
      </c>
      <c r="AK5" s="307">
        <f t="shared" si="9"/>
        <v>45901</v>
      </c>
      <c r="AL5" s="307">
        <f t="shared" si="9"/>
        <v>45931</v>
      </c>
      <c r="AM5" s="307">
        <f t="shared" si="9"/>
        <v>45962</v>
      </c>
      <c r="AN5" s="307">
        <f t="shared" si="9"/>
        <v>45992</v>
      </c>
      <c r="AO5" s="307">
        <f t="shared" si="9"/>
        <v>46023</v>
      </c>
      <c r="AP5" s="307">
        <f t="shared" si="9"/>
        <v>46054</v>
      </c>
      <c r="AQ5" s="307">
        <f t="shared" si="9"/>
        <v>46082</v>
      </c>
      <c r="AR5" s="307">
        <f t="shared" si="9"/>
        <v>46113</v>
      </c>
      <c r="AS5" s="307">
        <f t="shared" si="9"/>
        <v>46143</v>
      </c>
      <c r="AT5" s="307">
        <f t="shared" si="9"/>
        <v>46174</v>
      </c>
      <c r="AU5" s="307">
        <f t="shared" si="9"/>
        <v>46204</v>
      </c>
      <c r="AV5" s="307">
        <f t="shared" si="9"/>
        <v>46235</v>
      </c>
      <c r="AW5" s="307">
        <f t="shared" si="9"/>
        <v>46266</v>
      </c>
      <c r="AX5" s="307">
        <f t="shared" si="9"/>
        <v>46296</v>
      </c>
      <c r="AY5" s="307">
        <f t="shared" si="9"/>
        <v>46327</v>
      </c>
      <c r="AZ5" s="307">
        <f t="shared" si="9"/>
        <v>46357</v>
      </c>
      <c r="BA5" s="307">
        <f t="shared" si="9"/>
        <v>46388</v>
      </c>
      <c r="BB5" s="307">
        <f t="shared" si="9"/>
        <v>46419</v>
      </c>
      <c r="BC5" s="307">
        <f t="shared" si="9"/>
        <v>46447</v>
      </c>
      <c r="BD5" s="307">
        <f t="shared" si="9"/>
        <v>46478</v>
      </c>
      <c r="BE5" s="307">
        <f t="shared" si="9"/>
        <v>46508</v>
      </c>
      <c r="BF5" s="307">
        <f t="shared" si="9"/>
        <v>46539</v>
      </c>
      <c r="BG5" s="307">
        <f t="shared" si="9"/>
        <v>46569</v>
      </c>
      <c r="BH5" s="307">
        <f t="shared" si="9"/>
        <v>46600</v>
      </c>
      <c r="BI5" s="307">
        <f t="shared" si="9"/>
        <v>46631</v>
      </c>
      <c r="BJ5" s="307">
        <f t="shared" si="9"/>
        <v>46661</v>
      </c>
      <c r="BK5" s="307">
        <f t="shared" si="9"/>
        <v>46692</v>
      </c>
      <c r="BL5" s="307">
        <f t="shared" si="9"/>
        <v>46722</v>
      </c>
      <c r="BM5" s="307">
        <f t="shared" si="9"/>
        <v>46753</v>
      </c>
      <c r="BN5" s="307">
        <f t="shared" si="9"/>
        <v>46784</v>
      </c>
      <c r="BO5" s="307">
        <f t="shared" si="9"/>
        <v>46813</v>
      </c>
      <c r="BP5" s="307">
        <f t="shared" si="9"/>
        <v>46844</v>
      </c>
      <c r="BQ5" s="307">
        <f t="shared" si="9"/>
        <v>46874</v>
      </c>
      <c r="BR5" s="307">
        <f t="shared" si="9"/>
        <v>46905</v>
      </c>
      <c r="BS5" s="307">
        <f t="shared" si="9"/>
        <v>46935</v>
      </c>
      <c r="BT5" s="307">
        <f t="shared" si="9"/>
        <v>46966</v>
      </c>
      <c r="BU5" s="307">
        <f t="shared" ref="BU5:EF5" si="10">DATE(YEAR(BT5),MONTH(BT5)+1,1)</f>
        <v>46997</v>
      </c>
      <c r="BV5" s="307">
        <f t="shared" si="10"/>
        <v>47027</v>
      </c>
      <c r="BW5" s="307">
        <f t="shared" si="10"/>
        <v>47058</v>
      </c>
      <c r="BX5" s="307">
        <f t="shared" si="10"/>
        <v>47088</v>
      </c>
      <c r="BY5" s="307">
        <f t="shared" si="10"/>
        <v>47119</v>
      </c>
      <c r="BZ5" s="307">
        <f t="shared" si="10"/>
        <v>47150</v>
      </c>
      <c r="CA5" s="307">
        <f t="shared" si="10"/>
        <v>47178</v>
      </c>
      <c r="CB5" s="307">
        <f t="shared" si="10"/>
        <v>47209</v>
      </c>
      <c r="CC5" s="307">
        <f t="shared" si="10"/>
        <v>47239</v>
      </c>
      <c r="CD5" s="307">
        <f t="shared" si="10"/>
        <v>47270</v>
      </c>
      <c r="CE5" s="307">
        <f t="shared" si="10"/>
        <v>47300</v>
      </c>
      <c r="CF5" s="307">
        <f t="shared" si="10"/>
        <v>47331</v>
      </c>
      <c r="CG5" s="307">
        <f t="shared" si="10"/>
        <v>47362</v>
      </c>
      <c r="CH5" s="307">
        <f t="shared" si="10"/>
        <v>47392</v>
      </c>
      <c r="CI5" s="307">
        <f t="shared" si="10"/>
        <v>47423</v>
      </c>
      <c r="CJ5" s="307">
        <f t="shared" si="10"/>
        <v>47453</v>
      </c>
      <c r="CK5" s="307">
        <f t="shared" si="10"/>
        <v>47484</v>
      </c>
      <c r="CL5" s="307">
        <f t="shared" si="10"/>
        <v>47515</v>
      </c>
      <c r="CM5" s="307">
        <f t="shared" si="10"/>
        <v>47543</v>
      </c>
      <c r="CN5" s="307">
        <f t="shared" si="10"/>
        <v>47574</v>
      </c>
      <c r="CO5" s="307">
        <f t="shared" si="10"/>
        <v>47604</v>
      </c>
      <c r="CP5" s="307">
        <f t="shared" si="10"/>
        <v>47635</v>
      </c>
      <c r="CQ5" s="307">
        <f t="shared" si="10"/>
        <v>47665</v>
      </c>
      <c r="CR5" s="307">
        <f t="shared" si="10"/>
        <v>47696</v>
      </c>
      <c r="CS5" s="307">
        <f t="shared" si="10"/>
        <v>47727</v>
      </c>
      <c r="CT5" s="307">
        <f t="shared" si="10"/>
        <v>47757</v>
      </c>
      <c r="CU5" s="307">
        <f t="shared" si="10"/>
        <v>47788</v>
      </c>
      <c r="CV5" s="307">
        <f t="shared" si="10"/>
        <v>47818</v>
      </c>
      <c r="CW5" s="307">
        <f t="shared" si="10"/>
        <v>47849</v>
      </c>
      <c r="CX5" s="307">
        <f t="shared" si="10"/>
        <v>47880</v>
      </c>
      <c r="CY5" s="307">
        <f t="shared" si="10"/>
        <v>47908</v>
      </c>
      <c r="CZ5" s="307">
        <f t="shared" si="10"/>
        <v>47939</v>
      </c>
      <c r="DA5" s="307">
        <f t="shared" si="10"/>
        <v>47969</v>
      </c>
      <c r="DB5" s="307">
        <f t="shared" si="10"/>
        <v>48000</v>
      </c>
      <c r="DC5" s="307">
        <f t="shared" si="10"/>
        <v>48030</v>
      </c>
      <c r="DD5" s="307">
        <f t="shared" si="10"/>
        <v>48061</v>
      </c>
      <c r="DE5" s="307">
        <f t="shared" si="10"/>
        <v>48092</v>
      </c>
      <c r="DF5" s="307">
        <f t="shared" si="10"/>
        <v>48122</v>
      </c>
      <c r="DG5" s="307">
        <f t="shared" si="10"/>
        <v>48153</v>
      </c>
      <c r="DH5" s="307">
        <f t="shared" si="10"/>
        <v>48183</v>
      </c>
      <c r="DI5" s="307">
        <f t="shared" si="10"/>
        <v>48214</v>
      </c>
      <c r="DJ5" s="307">
        <f t="shared" si="10"/>
        <v>48245</v>
      </c>
      <c r="DK5" s="307">
        <f t="shared" si="10"/>
        <v>48274</v>
      </c>
      <c r="DL5" s="307">
        <f t="shared" si="10"/>
        <v>48305</v>
      </c>
      <c r="DM5" s="307">
        <f t="shared" si="10"/>
        <v>48335</v>
      </c>
      <c r="DN5" s="307">
        <f t="shared" si="10"/>
        <v>48366</v>
      </c>
      <c r="DO5" s="307">
        <f t="shared" si="10"/>
        <v>48396</v>
      </c>
      <c r="DP5" s="307">
        <f t="shared" si="10"/>
        <v>48427</v>
      </c>
      <c r="DQ5" s="307">
        <f t="shared" si="10"/>
        <v>48458</v>
      </c>
      <c r="DR5" s="307">
        <f t="shared" si="10"/>
        <v>48488</v>
      </c>
      <c r="DS5" s="307">
        <f t="shared" si="10"/>
        <v>48519</v>
      </c>
      <c r="DT5" s="307">
        <f t="shared" si="10"/>
        <v>48549</v>
      </c>
      <c r="DU5" s="307">
        <f t="shared" si="10"/>
        <v>48580</v>
      </c>
      <c r="DV5" s="307">
        <f t="shared" si="10"/>
        <v>48611</v>
      </c>
      <c r="DW5" s="307">
        <f t="shared" si="10"/>
        <v>48639</v>
      </c>
      <c r="DX5" s="307">
        <f t="shared" si="10"/>
        <v>48670</v>
      </c>
      <c r="DY5" s="307">
        <f t="shared" si="10"/>
        <v>48700</v>
      </c>
      <c r="DZ5" s="307">
        <f t="shared" si="10"/>
        <v>48731</v>
      </c>
      <c r="EA5" s="307">
        <f t="shared" si="10"/>
        <v>48761</v>
      </c>
      <c r="EB5" s="307">
        <f t="shared" si="10"/>
        <v>48792</v>
      </c>
      <c r="EC5" s="307">
        <f t="shared" si="10"/>
        <v>48823</v>
      </c>
      <c r="ED5" s="307">
        <f t="shared" si="10"/>
        <v>48853</v>
      </c>
      <c r="EE5" s="307">
        <f t="shared" si="10"/>
        <v>48884</v>
      </c>
      <c r="EF5" s="307">
        <f t="shared" si="10"/>
        <v>48914</v>
      </c>
      <c r="EG5" s="307">
        <f t="shared" ref="EG5:EJ5" si="11">DATE(YEAR(EF5),MONTH(EF5)+1,1)</f>
        <v>48945</v>
      </c>
      <c r="EH5" s="307">
        <f t="shared" si="11"/>
        <v>48976</v>
      </c>
      <c r="EI5" s="307">
        <f t="shared" si="11"/>
        <v>49004</v>
      </c>
      <c r="EJ5" s="307">
        <f t="shared" si="11"/>
        <v>49035</v>
      </c>
      <c r="EK5" s="313"/>
    </row>
    <row r="6" spans="1:141">
      <c r="A6" s="321"/>
      <c r="F6" s="314">
        <f ca="1">MAX(G6:EJ6)</f>
        <v>82</v>
      </c>
      <c r="G6" s="314">
        <v>1</v>
      </c>
      <c r="H6" s="314">
        <f ca="1">IF(SUM(H8:$EJ8)=0,0,G6+1)</f>
        <v>2</v>
      </c>
      <c r="I6" s="314">
        <f ca="1">IF(SUM(I8:$EJ8)=0,0,H6+1)</f>
        <v>3</v>
      </c>
      <c r="J6" s="314">
        <f ca="1">IF(SUM(J8:$EJ8)=0,0,I6+1)</f>
        <v>4</v>
      </c>
      <c r="K6" s="314">
        <f ca="1">IF(SUM(K8:$EJ8)=0,0,J6+1)</f>
        <v>5</v>
      </c>
      <c r="L6" s="314">
        <f ca="1">IF(SUM(L8:$EJ8)=0,0,K6+1)</f>
        <v>6</v>
      </c>
      <c r="M6" s="314">
        <f ca="1">IF(SUM(M8:$EJ8)=0,0,L6+1)</f>
        <v>7</v>
      </c>
      <c r="N6" s="314">
        <f ca="1">IF(SUM(N8:$EJ8)=0,0,M6+1)</f>
        <v>8</v>
      </c>
      <c r="O6" s="314">
        <f ca="1">IF(SUM(O8:$EJ8)=0,0,N6+1)</f>
        <v>9</v>
      </c>
      <c r="P6" s="314">
        <f ca="1">IF(SUM(P8:$EJ8)=0,0,O6+1)</f>
        <v>10</v>
      </c>
      <c r="Q6" s="314">
        <f ca="1">IF(SUM(Q8:$EJ8)=0,0,P6+1)</f>
        <v>11</v>
      </c>
      <c r="R6" s="314">
        <f ca="1">IF(SUM(R8:$EJ8)=0,0,Q6+1)</f>
        <v>12</v>
      </c>
      <c r="S6" s="314">
        <f ca="1">IF(SUM(S8:$EJ8)=0,0,R6+1)</f>
        <v>13</v>
      </c>
      <c r="T6" s="314">
        <f ca="1">IF(SUM(T8:$EJ8)=0,0,S6+1)</f>
        <v>14</v>
      </c>
      <c r="U6" s="314">
        <f ca="1">IF(SUM(U8:$EJ8)=0,0,T6+1)</f>
        <v>15</v>
      </c>
      <c r="V6" s="314">
        <f ca="1">IF(SUM(V8:$EJ8)=0,0,U6+1)</f>
        <v>16</v>
      </c>
      <c r="W6" s="314">
        <f ca="1">IF(SUM(W8:$EJ8)=0,0,V6+1)</f>
        <v>17</v>
      </c>
      <c r="X6" s="314">
        <f ca="1">IF(SUM(X8:$EJ8)=0,0,W6+1)</f>
        <v>18</v>
      </c>
      <c r="Y6" s="314">
        <f ca="1">IF(SUM(Y8:$EJ8)=0,0,X6+1)</f>
        <v>19</v>
      </c>
      <c r="Z6" s="314">
        <f ca="1">IF(SUM(Z8:$EJ8)=0,0,Y6+1)</f>
        <v>20</v>
      </c>
      <c r="AA6" s="314">
        <f ca="1">IF(SUM(AA8:$EJ8)=0,0,Z6+1)</f>
        <v>21</v>
      </c>
      <c r="AB6" s="314">
        <f ca="1">IF(SUM(AB8:$EJ8)=0,0,AA6+1)</f>
        <v>22</v>
      </c>
      <c r="AC6" s="314">
        <f ca="1">IF(SUM(AC8:$EJ8)=0,0,AB6+1)</f>
        <v>23</v>
      </c>
      <c r="AD6" s="314">
        <f ca="1">IF(SUM(AD8:$EJ8)=0,0,AC6+1)</f>
        <v>24</v>
      </c>
      <c r="AE6" s="314">
        <f ca="1">IF(SUM(AE8:$EJ8)=0,0,AD6+1)</f>
        <v>25</v>
      </c>
      <c r="AF6" s="314">
        <f ca="1">IF(SUM(AF8:$EJ8)=0,0,AE6+1)</f>
        <v>26</v>
      </c>
      <c r="AG6" s="314">
        <f ca="1">IF(SUM(AG8:$EJ8)=0,0,AF6+1)</f>
        <v>27</v>
      </c>
      <c r="AH6" s="314">
        <f ca="1">IF(SUM(AH8:$EJ8)=0,0,AG6+1)</f>
        <v>28</v>
      </c>
      <c r="AI6" s="314">
        <f ca="1">IF(SUM(AI8:$EJ8)=0,0,AH6+1)</f>
        <v>29</v>
      </c>
      <c r="AJ6" s="314">
        <f ca="1">IF(SUM(AJ8:$EJ8)=0,0,AI6+1)</f>
        <v>30</v>
      </c>
      <c r="AK6" s="314">
        <f ca="1">IF(SUM(AK8:$EJ8)=0,0,AJ6+1)</f>
        <v>31</v>
      </c>
      <c r="AL6" s="314">
        <f ca="1">IF(SUM(AL8:$EJ8)=0,0,AK6+1)</f>
        <v>32</v>
      </c>
      <c r="AM6" s="314">
        <f ca="1">IF(SUM(AM8:$EJ8)=0,0,AL6+1)</f>
        <v>33</v>
      </c>
      <c r="AN6" s="314">
        <f ca="1">IF(SUM(AN8:$EJ8)=0,0,AM6+1)</f>
        <v>34</v>
      </c>
      <c r="AO6" s="314">
        <f ca="1">IF(SUM(AO8:$EJ8)=0,0,AN6+1)</f>
        <v>35</v>
      </c>
      <c r="AP6" s="314">
        <f ca="1">IF(SUM(AP8:$EJ8)=0,0,AO6+1)</f>
        <v>36</v>
      </c>
      <c r="AQ6" s="314">
        <f ca="1">IF(SUM(AQ8:$EJ8)=0,0,AP6+1)</f>
        <v>37</v>
      </c>
      <c r="AR6" s="314">
        <f ca="1">IF(SUM(AR8:$EJ8)=0,0,AQ6+1)</f>
        <v>38</v>
      </c>
      <c r="AS6" s="314">
        <f ca="1">IF(SUM(AS8:$EJ8)=0,0,AR6+1)</f>
        <v>39</v>
      </c>
      <c r="AT6" s="314">
        <f ca="1">IF(SUM(AT8:$EJ8)=0,0,AS6+1)</f>
        <v>40</v>
      </c>
      <c r="AU6" s="314">
        <f ca="1">IF(SUM(AU8:$EJ8)=0,0,AT6+1)</f>
        <v>41</v>
      </c>
      <c r="AV6" s="314">
        <f ca="1">IF(SUM(AV8:$EJ8)=0,0,AU6+1)</f>
        <v>42</v>
      </c>
      <c r="AW6" s="314">
        <f ca="1">IF(SUM(AW8:$EJ8)=0,0,AV6+1)</f>
        <v>43</v>
      </c>
      <c r="AX6" s="314">
        <f ca="1">IF(SUM(AX8:$EJ8)=0,0,AW6+1)</f>
        <v>44</v>
      </c>
      <c r="AY6" s="314">
        <f ca="1">IF(SUM(AY8:$EJ8)=0,0,AX6+1)</f>
        <v>45</v>
      </c>
      <c r="AZ6" s="314">
        <f ca="1">IF(SUM(AZ8:$EJ8)=0,0,AY6+1)</f>
        <v>46</v>
      </c>
      <c r="BA6" s="314">
        <f ca="1">IF(SUM(BA8:$EJ8)=0,0,AZ6+1)</f>
        <v>47</v>
      </c>
      <c r="BB6" s="314">
        <f ca="1">IF(SUM(BB8:$EJ8)=0,0,BA6+1)</f>
        <v>48</v>
      </c>
      <c r="BC6" s="314">
        <f ca="1">IF(SUM(BC8:$EJ8)=0,0,BB6+1)</f>
        <v>49</v>
      </c>
      <c r="BD6" s="314">
        <f ca="1">IF(SUM(BD8:$EJ8)=0,0,BC6+1)</f>
        <v>50</v>
      </c>
      <c r="BE6" s="314">
        <f ca="1">IF(SUM(BE8:$EJ8)=0,0,BD6+1)</f>
        <v>51</v>
      </c>
      <c r="BF6" s="314">
        <f ca="1">IF(SUM(BF8:$EJ8)=0,0,BE6+1)</f>
        <v>52</v>
      </c>
      <c r="BG6" s="314">
        <f ca="1">IF(SUM(BG8:$EJ8)=0,0,BF6+1)</f>
        <v>53</v>
      </c>
      <c r="BH6" s="314">
        <f ca="1">IF(SUM(BH8:$EJ8)=0,0,BG6+1)</f>
        <v>54</v>
      </c>
      <c r="BI6" s="314">
        <f ca="1">IF(SUM(BI8:$EJ8)=0,0,BH6+1)</f>
        <v>55</v>
      </c>
      <c r="BJ6" s="314">
        <f ca="1">IF(SUM(BJ8:$EJ8)=0,0,BI6+1)</f>
        <v>56</v>
      </c>
      <c r="BK6" s="314">
        <f ca="1">IF(SUM(BK8:$EJ8)=0,0,BJ6+1)</f>
        <v>57</v>
      </c>
      <c r="BL6" s="314">
        <f ca="1">IF(SUM(BL8:$EJ8)=0,0,BK6+1)</f>
        <v>58</v>
      </c>
      <c r="BM6" s="314">
        <f ca="1">IF(SUM(BM8:$EJ8)=0,0,BL6+1)</f>
        <v>59</v>
      </c>
      <c r="BN6" s="314">
        <f ca="1">IF(SUM(BN8:$EJ8)=0,0,BM6+1)</f>
        <v>60</v>
      </c>
      <c r="BO6" s="314">
        <f ca="1">IF(SUM(BO8:$EJ8)=0,0,BN6+1)</f>
        <v>61</v>
      </c>
      <c r="BP6" s="314">
        <f ca="1">IF(SUM(BP8:$EJ8)=0,0,BO6+1)</f>
        <v>62</v>
      </c>
      <c r="BQ6" s="314">
        <f ca="1">IF(SUM(BQ8:$EJ8)=0,0,BP6+1)</f>
        <v>63</v>
      </c>
      <c r="BR6" s="314">
        <f ca="1">IF(SUM(BR8:$EJ8)=0,0,BQ6+1)</f>
        <v>64</v>
      </c>
      <c r="BS6" s="314">
        <f ca="1">IF(SUM(BS8:$EJ8)=0,0,BR6+1)</f>
        <v>65</v>
      </c>
      <c r="BT6" s="314">
        <f ca="1">IF(SUM(BT8:$EJ8)=0,0,BS6+1)</f>
        <v>66</v>
      </c>
      <c r="BU6" s="314">
        <f ca="1">IF(SUM(BU8:$EJ8)=0,0,BT6+1)</f>
        <v>67</v>
      </c>
      <c r="BV6" s="314">
        <f ca="1">IF(SUM(BV8:$EJ8)=0,0,BU6+1)</f>
        <v>68</v>
      </c>
      <c r="BW6" s="314">
        <f ca="1">IF(SUM(BW8:$EJ8)=0,0,BV6+1)</f>
        <v>69</v>
      </c>
      <c r="BX6" s="314">
        <f ca="1">IF(SUM(BX8:$EJ8)=0,0,BW6+1)</f>
        <v>70</v>
      </c>
      <c r="BY6" s="314">
        <f ca="1">IF(SUM(BY8:$EJ8)=0,0,BX6+1)</f>
        <v>71</v>
      </c>
      <c r="BZ6" s="314">
        <f ca="1">IF(SUM(BZ8:$EJ8)=0,0,BY6+1)</f>
        <v>72</v>
      </c>
      <c r="CA6" s="314">
        <f ca="1">IF(SUM(CA8:$EJ8)=0,0,BZ6+1)</f>
        <v>73</v>
      </c>
      <c r="CB6" s="314">
        <f ca="1">IF(SUM(CB8:$EJ8)=0,0,CA6+1)</f>
        <v>74</v>
      </c>
      <c r="CC6" s="314">
        <f ca="1">IF(SUM(CC8:$EJ8)=0,0,CB6+1)</f>
        <v>75</v>
      </c>
      <c r="CD6" s="314">
        <f ca="1">IF(SUM(CD8:$EJ8)=0,0,CC6+1)</f>
        <v>76</v>
      </c>
      <c r="CE6" s="314">
        <f ca="1">IF(SUM(CE8:$EJ8)=0,0,CD6+1)</f>
        <v>77</v>
      </c>
      <c r="CF6" s="314">
        <f ca="1">IF(SUM(CF8:$EJ8)=0,0,CE6+1)</f>
        <v>78</v>
      </c>
      <c r="CG6" s="314">
        <f ca="1">IF(SUM(CG8:$EJ8)=0,0,CF6+1)</f>
        <v>79</v>
      </c>
      <c r="CH6" s="314">
        <f ca="1">IF(SUM(CH8:$EJ8)=0,0,CG6+1)</f>
        <v>80</v>
      </c>
      <c r="CI6" s="314">
        <f ca="1">IF(SUM(CI8:$EJ8)=0,0,CH6+1)</f>
        <v>81</v>
      </c>
      <c r="CJ6" s="314">
        <f ca="1">IF(SUM(CJ8:$EJ8)=0,0,CI6+1)</f>
        <v>82</v>
      </c>
      <c r="CK6" s="314">
        <f ca="1">IF(SUM(CK8:$EJ8)=0,0,CJ6+1)</f>
        <v>0</v>
      </c>
      <c r="CL6" s="314">
        <f ca="1">IF(SUM(CL8:$EJ8)=0,0,CK6+1)</f>
        <v>0</v>
      </c>
      <c r="CM6" s="314">
        <f ca="1">IF(SUM(CM8:$EJ8)=0,0,CL6+1)</f>
        <v>0</v>
      </c>
      <c r="CN6" s="314">
        <f ca="1">IF(SUM(CN8:$EJ8)=0,0,CM6+1)</f>
        <v>0</v>
      </c>
      <c r="CO6" s="314">
        <f ca="1">IF(SUM(CO8:$EJ8)=0,0,CN6+1)</f>
        <v>0</v>
      </c>
      <c r="CP6" s="314">
        <f ca="1">IF(SUM(CP8:$EJ8)=0,0,CO6+1)</f>
        <v>0</v>
      </c>
      <c r="CQ6" s="314">
        <f ca="1">IF(SUM(CQ8:$EJ8)=0,0,CP6+1)</f>
        <v>0</v>
      </c>
      <c r="CR6" s="314">
        <f ca="1">IF(SUM(CR8:$EJ8)=0,0,CQ6+1)</f>
        <v>0</v>
      </c>
      <c r="CS6" s="314">
        <f ca="1">IF(SUM(CS8:$EJ8)=0,0,CR6+1)</f>
        <v>0</v>
      </c>
      <c r="CT6" s="314">
        <f ca="1">IF(SUM(CT8:$EJ8)=0,0,CS6+1)</f>
        <v>0</v>
      </c>
      <c r="CU6" s="314">
        <f ca="1">IF(SUM(CU8:$EJ8)=0,0,CT6+1)</f>
        <v>0</v>
      </c>
      <c r="CV6" s="314">
        <f ca="1">IF(SUM(CV8:$EJ8)=0,0,CU6+1)</f>
        <v>0</v>
      </c>
      <c r="CW6" s="314">
        <f ca="1">IF(SUM(CW8:$EJ8)=0,0,CV6+1)</f>
        <v>0</v>
      </c>
      <c r="CX6" s="314">
        <f ca="1">IF(SUM(CX8:$EJ8)=0,0,CW6+1)</f>
        <v>0</v>
      </c>
      <c r="CY6" s="314">
        <f ca="1">IF(SUM(CY8:$EJ8)=0,0,CX6+1)</f>
        <v>0</v>
      </c>
      <c r="CZ6" s="314">
        <f ca="1">IF(SUM(CZ8:$EJ8)=0,0,CY6+1)</f>
        <v>0</v>
      </c>
      <c r="DA6" s="314">
        <f ca="1">IF(SUM(DA8:$EJ8)=0,0,CZ6+1)</f>
        <v>0</v>
      </c>
      <c r="DB6" s="314">
        <f ca="1">IF(SUM(DB8:$EJ8)=0,0,DA6+1)</f>
        <v>0</v>
      </c>
      <c r="DC6" s="314">
        <f ca="1">IF(SUM(DC8:$EJ8)=0,0,DB6+1)</f>
        <v>0</v>
      </c>
      <c r="DD6" s="314">
        <f ca="1">IF(SUM(DD8:$EJ8)=0,0,DC6+1)</f>
        <v>0</v>
      </c>
      <c r="DE6" s="314">
        <f ca="1">IF(SUM(DE8:$EJ8)=0,0,DD6+1)</f>
        <v>0</v>
      </c>
      <c r="DF6" s="314">
        <f ca="1">IF(SUM(DF8:$EJ8)=0,0,DE6+1)</f>
        <v>0</v>
      </c>
      <c r="DG6" s="314">
        <f ca="1">IF(SUM(DG8:$EJ8)=0,0,DF6+1)</f>
        <v>0</v>
      </c>
      <c r="DH6" s="314">
        <f ca="1">IF(SUM(DH8:$EJ8)=0,0,DG6+1)</f>
        <v>0</v>
      </c>
      <c r="DI6" s="314">
        <f ca="1">IF(SUM(DI8:$EJ8)=0,0,DH6+1)</f>
        <v>0</v>
      </c>
      <c r="DJ6" s="314">
        <f ca="1">IF(SUM(DJ8:$EJ8)=0,0,DI6+1)</f>
        <v>0</v>
      </c>
      <c r="DK6" s="314">
        <f ca="1">IF(SUM(DK8:$EJ8)=0,0,DJ6+1)</f>
        <v>0</v>
      </c>
      <c r="DL6" s="314">
        <f ca="1">IF(SUM(DL8:$EJ8)=0,0,DK6+1)</f>
        <v>0</v>
      </c>
      <c r="DM6" s="314">
        <f ca="1">IF(SUM(DM8:$EJ8)=0,0,DL6+1)</f>
        <v>0</v>
      </c>
      <c r="DN6" s="314">
        <f ca="1">IF(SUM(DN8:$EJ8)=0,0,DM6+1)</f>
        <v>0</v>
      </c>
      <c r="DO6" s="314">
        <f ca="1">IF(SUM(DO8:$EJ8)=0,0,DN6+1)</f>
        <v>0</v>
      </c>
      <c r="DP6" s="314">
        <f ca="1">IF(SUM(DP8:$EJ8)=0,0,DO6+1)</f>
        <v>0</v>
      </c>
      <c r="DQ6" s="314">
        <f ca="1">IF(SUM(DQ8:$EJ8)=0,0,DP6+1)</f>
        <v>0</v>
      </c>
      <c r="DR6" s="314">
        <f ca="1">IF(SUM(DR8:$EJ8)=0,0,DQ6+1)</f>
        <v>0</v>
      </c>
      <c r="DS6" s="314">
        <f ca="1">IF(SUM(DS8:$EJ8)=0,0,DR6+1)</f>
        <v>0</v>
      </c>
      <c r="DT6" s="314">
        <f ca="1">IF(SUM(DT8:$EJ8)=0,0,DS6+1)</f>
        <v>0</v>
      </c>
      <c r="DU6" s="314">
        <f ca="1">IF(SUM(DU8:$EJ8)=0,0,DT6+1)</f>
        <v>0</v>
      </c>
      <c r="DV6" s="314">
        <f ca="1">IF(SUM(DV8:$EJ8)=0,0,DU6+1)</f>
        <v>0</v>
      </c>
      <c r="DW6" s="314">
        <f ca="1">IF(SUM(DW8:$EJ8)=0,0,DV6+1)</f>
        <v>0</v>
      </c>
      <c r="DX6" s="314">
        <f ca="1">IF(SUM(DX8:$EJ8)=0,0,DW6+1)</f>
        <v>0</v>
      </c>
      <c r="DY6" s="314">
        <f ca="1">IF(SUM(DY8:$EJ8)=0,0,DX6+1)</f>
        <v>0</v>
      </c>
      <c r="DZ6" s="314">
        <f ca="1">IF(SUM(DZ8:$EJ8)=0,0,DY6+1)</f>
        <v>0</v>
      </c>
      <c r="EA6" s="314">
        <f ca="1">IF(SUM(EA8:$EJ8)=0,0,DZ6+1)</f>
        <v>0</v>
      </c>
      <c r="EB6" s="314">
        <f ca="1">IF(SUM(EB8:$EJ8)=0,0,EA6+1)</f>
        <v>0</v>
      </c>
      <c r="EC6" s="314">
        <f ca="1">IF(SUM(EC8:$EJ8)=0,0,EB6+1)</f>
        <v>0</v>
      </c>
      <c r="ED6" s="314">
        <f ca="1">IF(SUM(ED8:$EJ8)=0,0,EC6+1)</f>
        <v>0</v>
      </c>
      <c r="EE6" s="314">
        <f ca="1">IF(SUM(EE8:$EJ8)=0,0,ED6+1)</f>
        <v>0</v>
      </c>
      <c r="EF6" s="314">
        <f ca="1">IF(SUM(EF8:$EJ8)=0,0,EE6+1)</f>
        <v>0</v>
      </c>
      <c r="EG6" s="314">
        <f ca="1">IF(SUM(EG8:$EJ8)=0,0,EF6+1)</f>
        <v>0</v>
      </c>
      <c r="EH6" s="314">
        <f ca="1">IF(SUM(EH8:$EJ8)=0,0,EG6+1)</f>
        <v>0</v>
      </c>
      <c r="EI6" s="314">
        <f ca="1">IF(SUM(EI8:$EJ8)=0,0,EH6+1)</f>
        <v>0</v>
      </c>
      <c r="EJ6" s="314">
        <f>IF(SUM(EJ8:$EJ8)=0,0,EI6+1)</f>
        <v>0</v>
      </c>
      <c r="EK6" s="313"/>
    </row>
    <row r="7" spans="1:141" ht="21" customHeight="1">
      <c r="A7" s="321"/>
      <c r="B7" s="1004" t="s">
        <v>540</v>
      </c>
      <c r="C7" s="1004"/>
      <c r="D7" s="307">
        <f ca="1">MAX(G227:EI227)</f>
        <v>47119</v>
      </c>
      <c r="F7" s="314"/>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4"/>
      <c r="BC7" s="314"/>
      <c r="BD7" s="314"/>
      <c r="BE7" s="314"/>
      <c r="BF7" s="314"/>
      <c r="BG7" s="314"/>
      <c r="BH7" s="314"/>
      <c r="BI7" s="314"/>
      <c r="BJ7" s="314"/>
      <c r="BK7" s="314"/>
      <c r="BL7" s="314"/>
      <c r="BM7" s="314"/>
      <c r="BN7" s="314"/>
      <c r="BO7" s="314"/>
      <c r="BP7" s="314"/>
      <c r="BQ7" s="314"/>
      <c r="BR7" s="314"/>
      <c r="BS7" s="314"/>
      <c r="BT7" s="314"/>
      <c r="BU7" s="314"/>
      <c r="BV7" s="314"/>
      <c r="BW7" s="314"/>
      <c r="BX7" s="314"/>
      <c r="BY7" s="314"/>
      <c r="BZ7" s="314"/>
      <c r="CA7" s="314"/>
      <c r="CB7" s="314"/>
      <c r="CC7" s="314"/>
      <c r="CD7" s="314"/>
      <c r="CE7" s="314"/>
      <c r="CF7" s="314"/>
      <c r="CG7" s="314"/>
      <c r="CH7" s="314"/>
      <c r="CI7" s="314"/>
      <c r="CJ7" s="314"/>
      <c r="CK7" s="314"/>
      <c r="CL7" s="314"/>
      <c r="CM7" s="314"/>
      <c r="CN7" s="314"/>
      <c r="CO7" s="314"/>
      <c r="CP7" s="314"/>
      <c r="CQ7" s="314"/>
      <c r="CR7" s="314"/>
      <c r="CS7" s="314"/>
      <c r="CT7" s="314"/>
      <c r="CU7" s="314"/>
      <c r="CV7" s="314"/>
      <c r="CW7" s="314"/>
      <c r="CX7" s="314"/>
      <c r="CY7" s="314"/>
      <c r="CZ7" s="314"/>
      <c r="DA7" s="314"/>
      <c r="DB7" s="314"/>
      <c r="DC7" s="314"/>
      <c r="DD7" s="314"/>
      <c r="DE7" s="314"/>
      <c r="DF7" s="314"/>
      <c r="DG7" s="314"/>
      <c r="DH7" s="314"/>
      <c r="DI7" s="314"/>
      <c r="DJ7" s="314"/>
      <c r="DK7" s="314"/>
      <c r="DL7" s="314"/>
      <c r="DM7" s="314"/>
      <c r="DN7" s="314"/>
      <c r="DO7" s="314"/>
      <c r="DP7" s="314"/>
      <c r="DQ7" s="314"/>
      <c r="DR7" s="314"/>
      <c r="DS7" s="314"/>
      <c r="DT7" s="314"/>
      <c r="DU7" s="314"/>
      <c r="DV7" s="314"/>
      <c r="DW7" s="314"/>
      <c r="DX7" s="314"/>
      <c r="DY7" s="314"/>
      <c r="DZ7" s="314"/>
      <c r="EA7" s="314"/>
      <c r="EB7" s="314"/>
      <c r="EC7" s="314"/>
      <c r="ED7" s="314"/>
      <c r="EE7" s="314"/>
      <c r="EF7" s="314"/>
      <c r="EG7" s="314"/>
      <c r="EH7" s="314"/>
      <c r="EI7" s="314"/>
      <c r="EJ7" s="314"/>
      <c r="EK7" s="313"/>
    </row>
    <row r="8" spans="1:141" collapsed="1">
      <c r="A8" s="321"/>
      <c r="C8" s="315" t="s">
        <v>193</v>
      </c>
      <c r="D8" s="315" t="s">
        <v>1616</v>
      </c>
      <c r="E8" s="316">
        <f ca="1">F8-SUM(G8:EJ8)</f>
        <v>15725185.546405792</v>
      </c>
      <c r="F8" s="316">
        <f t="shared" ref="F8:AK8" si="12">SUM(F10:F65)</f>
        <v>13356884718.705786</v>
      </c>
      <c r="G8" s="605">
        <f t="shared" ca="1" si="12"/>
        <v>3427461.542787259</v>
      </c>
      <c r="H8" s="605">
        <f t="shared" ca="1" si="12"/>
        <v>18831520.506229009</v>
      </c>
      <c r="I8" s="605">
        <f t="shared" ca="1" si="12"/>
        <v>8397791.0273651872</v>
      </c>
      <c r="J8" s="605">
        <f t="shared" ca="1" si="12"/>
        <v>13331713.668806506</v>
      </c>
      <c r="K8" s="605">
        <f t="shared" ca="1" si="12"/>
        <v>12901658.389167588</v>
      </c>
      <c r="L8" s="605">
        <f t="shared" ca="1" si="12"/>
        <v>13331713.668806506</v>
      </c>
      <c r="M8" s="605">
        <f t="shared" ca="1" si="12"/>
        <v>12394773.830564288</v>
      </c>
      <c r="N8" s="605">
        <f t="shared" ca="1" si="12"/>
        <v>50332430.574522011</v>
      </c>
      <c r="O8" s="605">
        <f t="shared" ca="1" si="12"/>
        <v>6070429.9224293204</v>
      </c>
      <c r="P8" s="605">
        <f t="shared" ca="1" si="12"/>
        <v>10333823.682523057</v>
      </c>
      <c r="Q8" s="605">
        <f t="shared" ca="1" si="12"/>
        <v>35539804.484748803</v>
      </c>
      <c r="R8" s="605">
        <f t="shared" ca="1" si="12"/>
        <v>58077387.023007222</v>
      </c>
      <c r="S8" s="605">
        <f t="shared" ca="1" si="12"/>
        <v>23706430.351022121</v>
      </c>
      <c r="T8" s="605">
        <f t="shared" ca="1" si="12"/>
        <v>96484428.224189728</v>
      </c>
      <c r="U8" s="605">
        <f t="shared" ca="1" si="12"/>
        <v>50345770.282567404</v>
      </c>
      <c r="V8" s="605">
        <f t="shared" ca="1" si="12"/>
        <v>41916888.400312379</v>
      </c>
      <c r="W8" s="605">
        <f t="shared" ca="1" si="12"/>
        <v>54874959.895567358</v>
      </c>
      <c r="X8" s="605">
        <f t="shared" ca="1" si="12"/>
        <v>118683454.77590656</v>
      </c>
      <c r="Y8" s="605">
        <f t="shared" ca="1" si="12"/>
        <v>56704125.225419596</v>
      </c>
      <c r="Z8" s="605">
        <f t="shared" ca="1" si="12"/>
        <v>46592189.606604688</v>
      </c>
      <c r="AA8" s="605">
        <f t="shared" ca="1" si="12"/>
        <v>214569507.21870303</v>
      </c>
      <c r="AB8" s="605">
        <f t="shared" ca="1" si="12"/>
        <v>147494797.08091807</v>
      </c>
      <c r="AC8" s="605">
        <f t="shared" ca="1" si="12"/>
        <v>187330617.16112372</v>
      </c>
      <c r="AD8" s="605">
        <f t="shared" ca="1" si="12"/>
        <v>178491960.38389206</v>
      </c>
      <c r="AE8" s="605">
        <f t="shared" ca="1" si="12"/>
        <v>101561979.03189665</v>
      </c>
      <c r="AF8" s="605">
        <f t="shared" ca="1" si="12"/>
        <v>101272562.10807246</v>
      </c>
      <c r="AG8" s="605">
        <f t="shared" ca="1" si="12"/>
        <v>97407353.275625914</v>
      </c>
      <c r="AH8" s="605">
        <f t="shared" ca="1" si="12"/>
        <v>100654265.05148011</v>
      </c>
      <c r="AI8" s="605">
        <f t="shared" ca="1" si="12"/>
        <v>97407353.275625914</v>
      </c>
      <c r="AJ8" s="605">
        <f t="shared" ca="1" si="12"/>
        <v>100654265.05148011</v>
      </c>
      <c r="AK8" s="605">
        <f t="shared" ca="1" si="12"/>
        <v>100654265.05148011</v>
      </c>
      <c r="AL8" s="605">
        <f t="shared" ref="AL8:BQ8" ca="1" si="13">SUM(AL10:AL65)</f>
        <v>97407353.275625914</v>
      </c>
      <c r="AM8" s="605">
        <f t="shared" ca="1" si="13"/>
        <v>100654265.05148011</v>
      </c>
      <c r="AN8" s="605">
        <f t="shared" ca="1" si="13"/>
        <v>345047714.9234935</v>
      </c>
      <c r="AO8" s="605">
        <f t="shared" ca="1" si="13"/>
        <v>100654265.05148011</v>
      </c>
      <c r="AP8" s="605">
        <f t="shared" ca="1" si="13"/>
        <v>105174612.32252103</v>
      </c>
      <c r="AQ8" s="605">
        <f t="shared" ca="1" si="13"/>
        <v>125531926.24375144</v>
      </c>
      <c r="AR8" s="605">
        <f t="shared" ca="1" si="13"/>
        <v>907438459.20727229</v>
      </c>
      <c r="AS8" s="605">
        <f t="shared" ca="1" si="13"/>
        <v>105953285.24676844</v>
      </c>
      <c r="AT8" s="605">
        <f t="shared" ca="1" si="13"/>
        <v>306520280.65768093</v>
      </c>
      <c r="AU8" s="605">
        <f t="shared" ca="1" si="13"/>
        <v>393218033.83699268</v>
      </c>
      <c r="AV8" s="605">
        <f t="shared" ca="1" si="13"/>
        <v>1029941283.1020718</v>
      </c>
      <c r="AW8" s="605">
        <f t="shared" ca="1" si="13"/>
        <v>356677030.56405121</v>
      </c>
      <c r="AX8" s="605">
        <f t="shared" ca="1" si="13"/>
        <v>427234871.33364117</v>
      </c>
      <c r="AY8" s="605">
        <f t="shared" ca="1" si="13"/>
        <v>655964995.72797275</v>
      </c>
      <c r="AZ8" s="605">
        <f t="shared" ca="1" si="13"/>
        <v>854296650.94487906</v>
      </c>
      <c r="BA8" s="605">
        <f t="shared" ca="1" si="13"/>
        <v>543205592.09564579</v>
      </c>
      <c r="BB8" s="605">
        <f t="shared" ca="1" si="13"/>
        <v>519497670.82917756</v>
      </c>
      <c r="BC8" s="605">
        <f t="shared" ca="1" si="13"/>
        <v>514572866.41314918</v>
      </c>
      <c r="BD8" s="605">
        <f t="shared" ca="1" si="13"/>
        <v>531560829.9827016</v>
      </c>
      <c r="BE8" s="605">
        <f t="shared" ca="1" si="13"/>
        <v>478830954.35628307</v>
      </c>
      <c r="BF8" s="605">
        <f t="shared" ca="1" si="13"/>
        <v>465191445.87343836</v>
      </c>
      <c r="BG8" s="605">
        <f t="shared" ca="1" si="13"/>
        <v>451414332.99545377</v>
      </c>
      <c r="BH8" s="605">
        <f t="shared" ca="1" si="13"/>
        <v>334416420.42908543</v>
      </c>
      <c r="BI8" s="605">
        <f t="shared" ca="1" si="13"/>
        <v>199481997.68575668</v>
      </c>
      <c r="BJ8" s="605">
        <f t="shared" ca="1" si="13"/>
        <v>499038559.7683692</v>
      </c>
      <c r="BK8" s="605">
        <f t="shared" ca="1" si="13"/>
        <v>113083430.97049694</v>
      </c>
      <c r="BL8" s="605">
        <f t="shared" ca="1" si="13"/>
        <v>95624173.180055052</v>
      </c>
      <c r="BM8" s="605">
        <f t="shared" ca="1" si="13"/>
        <v>70625404.87673609</v>
      </c>
      <c r="BN8" s="605">
        <f t="shared" ca="1" si="13"/>
        <v>41469667.61806345</v>
      </c>
      <c r="BO8" s="605">
        <f t="shared" ca="1" si="13"/>
        <v>12641039.659099653</v>
      </c>
      <c r="BP8" s="605">
        <f t="shared" ca="1" si="13"/>
        <v>13512835.497658249</v>
      </c>
      <c r="BQ8" s="605">
        <f t="shared" ca="1" si="13"/>
        <v>13076937.578378953</v>
      </c>
      <c r="BR8" s="605">
        <f t="shared" ref="BR8:CW8" ca="1" si="14">SUM(BR10:BR65)</f>
        <v>13512835.497658249</v>
      </c>
      <c r="BS8" s="605">
        <f t="shared" ca="1" si="14"/>
        <v>13076937.578378953</v>
      </c>
      <c r="BT8" s="605">
        <f t="shared" ca="1" si="14"/>
        <v>13512835.497658249</v>
      </c>
      <c r="BU8" s="605">
        <f t="shared" ca="1" si="14"/>
        <v>13512835.497658249</v>
      </c>
      <c r="BV8" s="605">
        <f t="shared" ca="1" si="14"/>
        <v>13076937.578378953</v>
      </c>
      <c r="BW8" s="605">
        <f t="shared" ca="1" si="14"/>
        <v>13512835.497658249</v>
      </c>
      <c r="BX8" s="605">
        <f t="shared" ca="1" si="14"/>
        <v>13327137.086918855</v>
      </c>
      <c r="BY8" s="605">
        <f t="shared" ca="1" si="14"/>
        <v>27857234.993055157</v>
      </c>
      <c r="BZ8" s="605">
        <f t="shared" ca="1" si="14"/>
        <v>52170841.589960396</v>
      </c>
      <c r="CA8" s="605">
        <f t="shared" ca="1" si="14"/>
        <v>0</v>
      </c>
      <c r="CB8" s="605">
        <f t="shared" ca="1" si="14"/>
        <v>5896722.7449342776</v>
      </c>
      <c r="CC8" s="605">
        <f t="shared" ca="1" si="14"/>
        <v>739450.59023287054</v>
      </c>
      <c r="CD8" s="605">
        <f t="shared" ca="1" si="14"/>
        <v>11239925.566992048</v>
      </c>
      <c r="CE8" s="605">
        <f t="shared" ca="1" si="14"/>
        <v>13327202.326639529</v>
      </c>
      <c r="CF8" s="605">
        <f t="shared" ca="1" si="14"/>
        <v>25432366.211682152</v>
      </c>
      <c r="CG8" s="605">
        <f t="shared" ca="1" si="14"/>
        <v>85113998.450423405</v>
      </c>
      <c r="CH8" s="605">
        <f t="shared" ca="1" si="14"/>
        <v>0</v>
      </c>
      <c r="CI8" s="605">
        <f t="shared" ca="1" si="14"/>
        <v>0</v>
      </c>
      <c r="CJ8" s="605">
        <f t="shared" ca="1" si="14"/>
        <v>57112569.379077844</v>
      </c>
      <c r="CK8" s="605">
        <f t="shared" ca="1" si="14"/>
        <v>0</v>
      </c>
      <c r="CL8" s="605">
        <f t="shared" ca="1" si="14"/>
        <v>0</v>
      </c>
      <c r="CM8" s="605">
        <f t="shared" ca="1" si="14"/>
        <v>0</v>
      </c>
      <c r="CN8" s="605">
        <f t="shared" ca="1" si="14"/>
        <v>0</v>
      </c>
      <c r="CO8" s="605">
        <f t="shared" ca="1" si="14"/>
        <v>0</v>
      </c>
      <c r="CP8" s="605">
        <f t="shared" ca="1" si="14"/>
        <v>0</v>
      </c>
      <c r="CQ8" s="605">
        <f t="shared" ca="1" si="14"/>
        <v>0</v>
      </c>
      <c r="CR8" s="605">
        <f t="shared" ca="1" si="14"/>
        <v>0</v>
      </c>
      <c r="CS8" s="605">
        <f t="shared" ca="1" si="14"/>
        <v>0</v>
      </c>
      <c r="CT8" s="605">
        <f t="shared" ca="1" si="14"/>
        <v>0</v>
      </c>
      <c r="CU8" s="605">
        <f t="shared" ca="1" si="14"/>
        <v>0</v>
      </c>
      <c r="CV8" s="605">
        <f t="shared" ca="1" si="14"/>
        <v>0</v>
      </c>
      <c r="CW8" s="605">
        <f t="shared" ca="1" si="14"/>
        <v>0</v>
      </c>
      <c r="CX8" s="605">
        <f t="shared" ref="CX8:EC8" ca="1" si="15">SUM(CX10:CX65)</f>
        <v>0</v>
      </c>
      <c r="CY8" s="605">
        <f t="shared" ca="1" si="15"/>
        <v>0</v>
      </c>
      <c r="CZ8" s="605">
        <f t="shared" ca="1" si="15"/>
        <v>0</v>
      </c>
      <c r="DA8" s="605">
        <f t="shared" ca="1" si="15"/>
        <v>0</v>
      </c>
      <c r="DB8" s="605">
        <f t="shared" ca="1" si="15"/>
        <v>0</v>
      </c>
      <c r="DC8" s="605">
        <f t="shared" ca="1" si="15"/>
        <v>0</v>
      </c>
      <c r="DD8" s="605">
        <f t="shared" ca="1" si="15"/>
        <v>0</v>
      </c>
      <c r="DE8" s="605">
        <f t="shared" ca="1" si="15"/>
        <v>0</v>
      </c>
      <c r="DF8" s="605">
        <f t="shared" ca="1" si="15"/>
        <v>0</v>
      </c>
      <c r="DG8" s="605">
        <f t="shared" ca="1" si="15"/>
        <v>0</v>
      </c>
      <c r="DH8" s="605">
        <f t="shared" ca="1" si="15"/>
        <v>0</v>
      </c>
      <c r="DI8" s="605">
        <f t="shared" ca="1" si="15"/>
        <v>0</v>
      </c>
      <c r="DJ8" s="605">
        <f t="shared" ca="1" si="15"/>
        <v>0</v>
      </c>
      <c r="DK8" s="605">
        <f t="shared" ca="1" si="15"/>
        <v>0</v>
      </c>
      <c r="DL8" s="605">
        <f t="shared" ca="1" si="15"/>
        <v>0</v>
      </c>
      <c r="DM8" s="605">
        <f t="shared" ca="1" si="15"/>
        <v>0</v>
      </c>
      <c r="DN8" s="605">
        <f t="shared" ca="1" si="15"/>
        <v>0</v>
      </c>
      <c r="DO8" s="605">
        <f t="shared" ca="1" si="15"/>
        <v>0</v>
      </c>
      <c r="DP8" s="605">
        <f t="shared" ca="1" si="15"/>
        <v>0</v>
      </c>
      <c r="DQ8" s="605">
        <f t="shared" ca="1" si="15"/>
        <v>0</v>
      </c>
      <c r="DR8" s="605">
        <f t="shared" ca="1" si="15"/>
        <v>0</v>
      </c>
      <c r="DS8" s="605">
        <f t="shared" ca="1" si="15"/>
        <v>0</v>
      </c>
      <c r="DT8" s="605">
        <f t="shared" ca="1" si="15"/>
        <v>0</v>
      </c>
      <c r="DU8" s="605">
        <f t="shared" ca="1" si="15"/>
        <v>0</v>
      </c>
      <c r="DV8" s="605">
        <f t="shared" ca="1" si="15"/>
        <v>0</v>
      </c>
      <c r="DW8" s="605">
        <f t="shared" ca="1" si="15"/>
        <v>0</v>
      </c>
      <c r="DX8" s="605">
        <f t="shared" ca="1" si="15"/>
        <v>0</v>
      </c>
      <c r="DY8" s="605">
        <f t="shared" ca="1" si="15"/>
        <v>0</v>
      </c>
      <c r="DZ8" s="605">
        <f t="shared" ca="1" si="15"/>
        <v>0</v>
      </c>
      <c r="EA8" s="605">
        <f t="shared" ca="1" si="15"/>
        <v>0</v>
      </c>
      <c r="EB8" s="605">
        <f t="shared" ca="1" si="15"/>
        <v>0</v>
      </c>
      <c r="EC8" s="605">
        <f t="shared" ca="1" si="15"/>
        <v>0</v>
      </c>
      <c r="ED8" s="605">
        <f t="shared" ref="ED8:EJ8" ca="1" si="16">SUM(ED10:ED65)</f>
        <v>0</v>
      </c>
      <c r="EE8" s="605">
        <f t="shared" ca="1" si="16"/>
        <v>0</v>
      </c>
      <c r="EF8" s="605">
        <f t="shared" ca="1" si="16"/>
        <v>0</v>
      </c>
      <c r="EG8" s="605">
        <f t="shared" ca="1" si="16"/>
        <v>0</v>
      </c>
      <c r="EH8" s="605">
        <f t="shared" ca="1" si="16"/>
        <v>0</v>
      </c>
      <c r="EI8" s="605">
        <f t="shared" ca="1" si="16"/>
        <v>0</v>
      </c>
      <c r="EJ8" s="605">
        <f t="shared" si="16"/>
        <v>0</v>
      </c>
      <c r="EK8" s="313"/>
    </row>
    <row r="9" spans="1:141" customFormat="1" ht="15.75">
      <c r="A9" s="321"/>
      <c r="C9" s="611" t="s">
        <v>1615</v>
      </c>
      <c r="D9" s="557" t="s">
        <v>1614</v>
      </c>
    </row>
    <row r="10" spans="1:141" customFormat="1" outlineLevel="1">
      <c r="A10" s="321"/>
      <c r="B10" s="308"/>
      <c r="C10" s="317" t="s">
        <v>1612</v>
      </c>
      <c r="D10" s="317" t="s">
        <v>405</v>
      </c>
      <c r="E10" s="606">
        <f t="shared" ref="E10:E53" ca="1" si="17">F10-SUM(G10:EJ10)</f>
        <v>0</v>
      </c>
      <c r="F10" s="606">
        <f>'Распределение по статьям'!AC8-F12</f>
        <v>45589754.263687044</v>
      </c>
      <c r="G10" s="606">
        <f t="shared" ref="G10:AL10" ca="1" si="18">G70*$F$10</f>
        <v>3427461.542787259</v>
      </c>
      <c r="H10" s="606">
        <f t="shared" ca="1" si="18"/>
        <v>7261283.7463771859</v>
      </c>
      <c r="I10" s="606">
        <f t="shared" ca="1" si="18"/>
        <v>7027048.7868166314</v>
      </c>
      <c r="J10" s="606">
        <f t="shared" ca="1" si="18"/>
        <v>7261283.7463771859</v>
      </c>
      <c r="K10" s="606">
        <f t="shared" ca="1" si="18"/>
        <v>7027048.7868166314</v>
      </c>
      <c r="L10" s="606">
        <f t="shared" ca="1" si="18"/>
        <v>7261283.7463771859</v>
      </c>
      <c r="M10" s="606">
        <f t="shared" ca="1" si="18"/>
        <v>6324343.908134968</v>
      </c>
      <c r="N10" s="606">
        <f t="shared" ca="1" si="18"/>
        <v>0</v>
      </c>
      <c r="O10" s="606">
        <f t="shared" ca="1" si="18"/>
        <v>0</v>
      </c>
      <c r="P10" s="606">
        <f t="shared" ca="1" si="18"/>
        <v>0</v>
      </c>
      <c r="Q10" s="606">
        <f t="shared" ca="1" si="18"/>
        <v>0</v>
      </c>
      <c r="R10" s="606">
        <f t="shared" ca="1" si="18"/>
        <v>0</v>
      </c>
      <c r="S10" s="606">
        <f t="shared" ca="1" si="18"/>
        <v>0</v>
      </c>
      <c r="T10" s="606">
        <f t="shared" ca="1" si="18"/>
        <v>0</v>
      </c>
      <c r="U10" s="606">
        <f t="shared" ca="1" si="18"/>
        <v>0</v>
      </c>
      <c r="V10" s="606">
        <f t="shared" ca="1" si="18"/>
        <v>0</v>
      </c>
      <c r="W10" s="606">
        <f t="shared" ca="1" si="18"/>
        <v>0</v>
      </c>
      <c r="X10" s="606">
        <f t="shared" ca="1" si="18"/>
        <v>0</v>
      </c>
      <c r="Y10" s="606">
        <f t="shared" ca="1" si="18"/>
        <v>0</v>
      </c>
      <c r="Z10" s="606">
        <f t="shared" ca="1" si="18"/>
        <v>0</v>
      </c>
      <c r="AA10" s="606">
        <f t="shared" ca="1" si="18"/>
        <v>0</v>
      </c>
      <c r="AB10" s="606">
        <f t="shared" ca="1" si="18"/>
        <v>0</v>
      </c>
      <c r="AC10" s="606">
        <f t="shared" ca="1" si="18"/>
        <v>0</v>
      </c>
      <c r="AD10" s="606">
        <f t="shared" ca="1" si="18"/>
        <v>0</v>
      </c>
      <c r="AE10" s="606">
        <f t="shared" ca="1" si="18"/>
        <v>0</v>
      </c>
      <c r="AF10" s="606">
        <f t="shared" ca="1" si="18"/>
        <v>0</v>
      </c>
      <c r="AG10" s="606">
        <f t="shared" ca="1" si="18"/>
        <v>0</v>
      </c>
      <c r="AH10" s="606">
        <f t="shared" ca="1" si="18"/>
        <v>0</v>
      </c>
      <c r="AI10" s="606">
        <f t="shared" ca="1" si="18"/>
        <v>0</v>
      </c>
      <c r="AJ10" s="606">
        <f t="shared" ca="1" si="18"/>
        <v>0</v>
      </c>
      <c r="AK10" s="606">
        <f t="shared" ca="1" si="18"/>
        <v>0</v>
      </c>
      <c r="AL10" s="606">
        <f t="shared" ca="1" si="18"/>
        <v>0</v>
      </c>
      <c r="AM10" s="606">
        <f t="shared" ref="AM10:BR10" ca="1" si="19">AM70*$F$10</f>
        <v>0</v>
      </c>
      <c r="AN10" s="606">
        <f t="shared" ca="1" si="19"/>
        <v>0</v>
      </c>
      <c r="AO10" s="606">
        <f t="shared" ca="1" si="19"/>
        <v>0</v>
      </c>
      <c r="AP10" s="606">
        <f t="shared" ca="1" si="19"/>
        <v>0</v>
      </c>
      <c r="AQ10" s="606">
        <f t="shared" ca="1" si="19"/>
        <v>0</v>
      </c>
      <c r="AR10" s="606">
        <f t="shared" ca="1" si="19"/>
        <v>0</v>
      </c>
      <c r="AS10" s="606">
        <f t="shared" ca="1" si="19"/>
        <v>0</v>
      </c>
      <c r="AT10" s="606">
        <f t="shared" ca="1" si="19"/>
        <v>0</v>
      </c>
      <c r="AU10" s="606">
        <f t="shared" ca="1" si="19"/>
        <v>0</v>
      </c>
      <c r="AV10" s="606">
        <f t="shared" ca="1" si="19"/>
        <v>0</v>
      </c>
      <c r="AW10" s="606">
        <f t="shared" ca="1" si="19"/>
        <v>0</v>
      </c>
      <c r="AX10" s="606">
        <f t="shared" ca="1" si="19"/>
        <v>0</v>
      </c>
      <c r="AY10" s="606">
        <f t="shared" ca="1" si="19"/>
        <v>0</v>
      </c>
      <c r="AZ10" s="606">
        <f t="shared" ca="1" si="19"/>
        <v>0</v>
      </c>
      <c r="BA10" s="606">
        <f t="shared" ca="1" si="19"/>
        <v>0</v>
      </c>
      <c r="BB10" s="606">
        <f t="shared" ca="1" si="19"/>
        <v>0</v>
      </c>
      <c r="BC10" s="606">
        <f t="shared" ca="1" si="19"/>
        <v>0</v>
      </c>
      <c r="BD10" s="606">
        <f t="shared" ca="1" si="19"/>
        <v>0</v>
      </c>
      <c r="BE10" s="606">
        <f t="shared" ca="1" si="19"/>
        <v>0</v>
      </c>
      <c r="BF10" s="606">
        <f t="shared" ca="1" si="19"/>
        <v>0</v>
      </c>
      <c r="BG10" s="606">
        <f t="shared" ca="1" si="19"/>
        <v>0</v>
      </c>
      <c r="BH10" s="606">
        <f t="shared" ca="1" si="19"/>
        <v>0</v>
      </c>
      <c r="BI10" s="606">
        <f t="shared" ca="1" si="19"/>
        <v>0</v>
      </c>
      <c r="BJ10" s="606">
        <f t="shared" ca="1" si="19"/>
        <v>0</v>
      </c>
      <c r="BK10" s="606">
        <f t="shared" ca="1" si="19"/>
        <v>0</v>
      </c>
      <c r="BL10" s="606">
        <f t="shared" ca="1" si="19"/>
        <v>0</v>
      </c>
      <c r="BM10" s="606">
        <f t="shared" ca="1" si="19"/>
        <v>0</v>
      </c>
      <c r="BN10" s="606">
        <f t="shared" ca="1" si="19"/>
        <v>0</v>
      </c>
      <c r="BO10" s="606">
        <f t="shared" ca="1" si="19"/>
        <v>0</v>
      </c>
      <c r="BP10" s="606">
        <f t="shared" ca="1" si="19"/>
        <v>0</v>
      </c>
      <c r="BQ10" s="606">
        <f t="shared" ca="1" si="19"/>
        <v>0</v>
      </c>
      <c r="BR10" s="606">
        <f t="shared" ca="1" si="19"/>
        <v>0</v>
      </c>
      <c r="BS10" s="606">
        <f t="shared" ref="BS10:CX10" ca="1" si="20">BS70*$F$10</f>
        <v>0</v>
      </c>
      <c r="BT10" s="606">
        <f t="shared" ca="1" si="20"/>
        <v>0</v>
      </c>
      <c r="BU10" s="606">
        <f t="shared" ca="1" si="20"/>
        <v>0</v>
      </c>
      <c r="BV10" s="606">
        <f t="shared" ca="1" si="20"/>
        <v>0</v>
      </c>
      <c r="BW10" s="606">
        <f t="shared" ca="1" si="20"/>
        <v>0</v>
      </c>
      <c r="BX10" s="606">
        <f t="shared" ca="1" si="20"/>
        <v>0</v>
      </c>
      <c r="BY10" s="606">
        <f t="shared" ca="1" si="20"/>
        <v>0</v>
      </c>
      <c r="BZ10" s="606">
        <f t="shared" ca="1" si="20"/>
        <v>0</v>
      </c>
      <c r="CA10" s="606">
        <f t="shared" ca="1" si="20"/>
        <v>0</v>
      </c>
      <c r="CB10" s="606">
        <f t="shared" ca="1" si="20"/>
        <v>0</v>
      </c>
      <c r="CC10" s="606">
        <f t="shared" ca="1" si="20"/>
        <v>0</v>
      </c>
      <c r="CD10" s="606">
        <f t="shared" ca="1" si="20"/>
        <v>0</v>
      </c>
      <c r="CE10" s="606">
        <f t="shared" ca="1" si="20"/>
        <v>0</v>
      </c>
      <c r="CF10" s="606">
        <f t="shared" ca="1" si="20"/>
        <v>0</v>
      </c>
      <c r="CG10" s="606">
        <f t="shared" ca="1" si="20"/>
        <v>0</v>
      </c>
      <c r="CH10" s="606">
        <f t="shared" ca="1" si="20"/>
        <v>0</v>
      </c>
      <c r="CI10" s="606">
        <f t="shared" ca="1" si="20"/>
        <v>0</v>
      </c>
      <c r="CJ10" s="606">
        <f t="shared" ca="1" si="20"/>
        <v>0</v>
      </c>
      <c r="CK10" s="606">
        <f t="shared" ca="1" si="20"/>
        <v>0</v>
      </c>
      <c r="CL10" s="606">
        <f t="shared" ca="1" si="20"/>
        <v>0</v>
      </c>
      <c r="CM10" s="606">
        <f t="shared" ca="1" si="20"/>
        <v>0</v>
      </c>
      <c r="CN10" s="606">
        <f t="shared" ca="1" si="20"/>
        <v>0</v>
      </c>
      <c r="CO10" s="606">
        <f t="shared" ca="1" si="20"/>
        <v>0</v>
      </c>
      <c r="CP10" s="606">
        <f t="shared" ca="1" si="20"/>
        <v>0</v>
      </c>
      <c r="CQ10" s="606">
        <f t="shared" ca="1" si="20"/>
        <v>0</v>
      </c>
      <c r="CR10" s="606">
        <f t="shared" ca="1" si="20"/>
        <v>0</v>
      </c>
      <c r="CS10" s="606">
        <f t="shared" ca="1" si="20"/>
        <v>0</v>
      </c>
      <c r="CT10" s="606">
        <f t="shared" ca="1" si="20"/>
        <v>0</v>
      </c>
      <c r="CU10" s="606">
        <f t="shared" ca="1" si="20"/>
        <v>0</v>
      </c>
      <c r="CV10" s="606">
        <f t="shared" ca="1" si="20"/>
        <v>0</v>
      </c>
      <c r="CW10" s="606">
        <f t="shared" ca="1" si="20"/>
        <v>0</v>
      </c>
      <c r="CX10" s="606">
        <f t="shared" ca="1" si="20"/>
        <v>0</v>
      </c>
      <c r="CY10" s="606">
        <f t="shared" ref="CY10:ED10" ca="1" si="21">CY70*$F$10</f>
        <v>0</v>
      </c>
      <c r="CZ10" s="606">
        <f t="shared" ca="1" si="21"/>
        <v>0</v>
      </c>
      <c r="DA10" s="606">
        <f t="shared" ca="1" si="21"/>
        <v>0</v>
      </c>
      <c r="DB10" s="606">
        <f t="shared" ca="1" si="21"/>
        <v>0</v>
      </c>
      <c r="DC10" s="606">
        <f t="shared" ca="1" si="21"/>
        <v>0</v>
      </c>
      <c r="DD10" s="606">
        <f t="shared" ca="1" si="21"/>
        <v>0</v>
      </c>
      <c r="DE10" s="606">
        <f t="shared" ca="1" si="21"/>
        <v>0</v>
      </c>
      <c r="DF10" s="606">
        <f t="shared" ca="1" si="21"/>
        <v>0</v>
      </c>
      <c r="DG10" s="606">
        <f t="shared" ca="1" si="21"/>
        <v>0</v>
      </c>
      <c r="DH10" s="606">
        <f t="shared" ca="1" si="21"/>
        <v>0</v>
      </c>
      <c r="DI10" s="606">
        <f t="shared" ca="1" si="21"/>
        <v>0</v>
      </c>
      <c r="DJ10" s="606">
        <f t="shared" ca="1" si="21"/>
        <v>0</v>
      </c>
      <c r="DK10" s="606">
        <f t="shared" ca="1" si="21"/>
        <v>0</v>
      </c>
      <c r="DL10" s="606">
        <f t="shared" ca="1" si="21"/>
        <v>0</v>
      </c>
      <c r="DM10" s="606">
        <f t="shared" ca="1" si="21"/>
        <v>0</v>
      </c>
      <c r="DN10" s="606">
        <f t="shared" ca="1" si="21"/>
        <v>0</v>
      </c>
      <c r="DO10" s="606">
        <f t="shared" ca="1" si="21"/>
        <v>0</v>
      </c>
      <c r="DP10" s="606">
        <f t="shared" ca="1" si="21"/>
        <v>0</v>
      </c>
      <c r="DQ10" s="606">
        <f t="shared" ca="1" si="21"/>
        <v>0</v>
      </c>
      <c r="DR10" s="606">
        <f t="shared" ca="1" si="21"/>
        <v>0</v>
      </c>
      <c r="DS10" s="606">
        <f t="shared" ca="1" si="21"/>
        <v>0</v>
      </c>
      <c r="DT10" s="606">
        <f t="shared" ca="1" si="21"/>
        <v>0</v>
      </c>
      <c r="DU10" s="606">
        <f t="shared" ca="1" si="21"/>
        <v>0</v>
      </c>
      <c r="DV10" s="606">
        <f t="shared" ca="1" si="21"/>
        <v>0</v>
      </c>
      <c r="DW10" s="606">
        <f t="shared" ca="1" si="21"/>
        <v>0</v>
      </c>
      <c r="DX10" s="606">
        <f t="shared" ca="1" si="21"/>
        <v>0</v>
      </c>
      <c r="DY10" s="606">
        <f t="shared" ca="1" si="21"/>
        <v>0</v>
      </c>
      <c r="DZ10" s="606">
        <f t="shared" ca="1" si="21"/>
        <v>0</v>
      </c>
      <c r="EA10" s="606">
        <f t="shared" ca="1" si="21"/>
        <v>0</v>
      </c>
      <c r="EB10" s="606">
        <f t="shared" ca="1" si="21"/>
        <v>0</v>
      </c>
      <c r="EC10" s="606">
        <f t="shared" ca="1" si="21"/>
        <v>0</v>
      </c>
      <c r="ED10" s="606">
        <f t="shared" ca="1" si="21"/>
        <v>0</v>
      </c>
      <c r="EE10" s="606">
        <f t="shared" ref="EE10:EJ10" ca="1" si="22">EE70*$F$10</f>
        <v>0</v>
      </c>
      <c r="EF10" s="606">
        <f t="shared" ca="1" si="22"/>
        <v>0</v>
      </c>
      <c r="EG10" s="606">
        <f t="shared" ca="1" si="22"/>
        <v>0</v>
      </c>
      <c r="EH10" s="606">
        <f t="shared" ca="1" si="22"/>
        <v>0</v>
      </c>
      <c r="EI10" s="606">
        <f t="shared" ca="1" si="22"/>
        <v>0</v>
      </c>
      <c r="EJ10" s="606">
        <f t="shared" si="22"/>
        <v>0</v>
      </c>
    </row>
    <row r="11" spans="1:141" customFormat="1" outlineLevel="1">
      <c r="A11" s="321"/>
      <c r="B11" s="321"/>
      <c r="C11" s="317" t="s">
        <v>1789</v>
      </c>
      <c r="D11" s="317" t="s">
        <v>1696</v>
      </c>
      <c r="E11" s="606">
        <f t="shared" ca="1" si="17"/>
        <v>0</v>
      </c>
      <c r="F11" s="606">
        <f>'Распределение по статьям'!AC85</f>
        <v>41219803.772822417</v>
      </c>
      <c r="G11" s="606">
        <f t="shared" ref="G11:AL11" ca="1" si="23">$F11*G222</f>
        <v>0</v>
      </c>
      <c r="H11" s="606">
        <f t="shared" ca="1" si="23"/>
        <v>0</v>
      </c>
      <c r="I11" s="606">
        <f t="shared" ca="1" si="23"/>
        <v>0</v>
      </c>
      <c r="J11" s="606">
        <f t="shared" ca="1" si="23"/>
        <v>0</v>
      </c>
      <c r="K11" s="606">
        <f t="shared" ca="1" si="23"/>
        <v>0</v>
      </c>
      <c r="L11" s="606">
        <f t="shared" ca="1" si="23"/>
        <v>0</v>
      </c>
      <c r="M11" s="606">
        <f t="shared" ca="1" si="23"/>
        <v>0</v>
      </c>
      <c r="N11" s="606">
        <f t="shared" ca="1" si="23"/>
        <v>0</v>
      </c>
      <c r="O11" s="606">
        <f t="shared" ca="1" si="23"/>
        <v>0</v>
      </c>
      <c r="P11" s="606">
        <f t="shared" ca="1" si="23"/>
        <v>0</v>
      </c>
      <c r="Q11" s="606">
        <f t="shared" ca="1" si="23"/>
        <v>0</v>
      </c>
      <c r="R11" s="606">
        <f t="shared" ca="1" si="23"/>
        <v>0</v>
      </c>
      <c r="S11" s="606">
        <f t="shared" ca="1" si="23"/>
        <v>0</v>
      </c>
      <c r="T11" s="606">
        <f t="shared" ca="1" si="23"/>
        <v>0</v>
      </c>
      <c r="U11" s="606">
        <f t="shared" ca="1" si="23"/>
        <v>0</v>
      </c>
      <c r="V11" s="606">
        <f t="shared" ca="1" si="23"/>
        <v>0</v>
      </c>
      <c r="W11" s="606">
        <f t="shared" ca="1" si="23"/>
        <v>0</v>
      </c>
      <c r="X11" s="606">
        <f t="shared" ca="1" si="23"/>
        <v>0</v>
      </c>
      <c r="Y11" s="606">
        <f t="shared" ca="1" si="23"/>
        <v>0</v>
      </c>
      <c r="Z11" s="606">
        <f t="shared" ca="1" si="23"/>
        <v>0</v>
      </c>
      <c r="AA11" s="606">
        <f t="shared" ca="1" si="23"/>
        <v>0</v>
      </c>
      <c r="AB11" s="606">
        <f t="shared" ca="1" si="23"/>
        <v>9686653.8866132647</v>
      </c>
      <c r="AC11" s="606">
        <f t="shared" ca="1" si="23"/>
        <v>10648449.307979124</v>
      </c>
      <c r="AD11" s="606">
        <f t="shared" ca="1" si="23"/>
        <v>9617954.2136585638</v>
      </c>
      <c r="AE11" s="606">
        <f t="shared" ca="1" si="23"/>
        <v>10648449.307979124</v>
      </c>
      <c r="AF11" s="606">
        <f t="shared" ca="1" si="23"/>
        <v>618297.05659234012</v>
      </c>
      <c r="AG11" s="606">
        <f t="shared" ca="1" si="23"/>
        <v>0</v>
      </c>
      <c r="AH11" s="606">
        <f t="shared" ca="1" si="23"/>
        <v>0</v>
      </c>
      <c r="AI11" s="606">
        <f t="shared" ca="1" si="23"/>
        <v>0</v>
      </c>
      <c r="AJ11" s="606">
        <f t="shared" ca="1" si="23"/>
        <v>0</v>
      </c>
      <c r="AK11" s="606">
        <f t="shared" ca="1" si="23"/>
        <v>0</v>
      </c>
      <c r="AL11" s="606">
        <f t="shared" ca="1" si="23"/>
        <v>0</v>
      </c>
      <c r="AM11" s="606">
        <f t="shared" ref="AM11:BR11" ca="1" si="24">$F11*AM222</f>
        <v>0</v>
      </c>
      <c r="AN11" s="606">
        <f t="shared" ca="1" si="24"/>
        <v>0</v>
      </c>
      <c r="AO11" s="606">
        <f t="shared" ca="1" si="24"/>
        <v>0</v>
      </c>
      <c r="AP11" s="606">
        <f t="shared" ca="1" si="24"/>
        <v>0</v>
      </c>
      <c r="AQ11" s="606">
        <f t="shared" ca="1" si="24"/>
        <v>0</v>
      </c>
      <c r="AR11" s="606">
        <f t="shared" ca="1" si="24"/>
        <v>0</v>
      </c>
      <c r="AS11" s="606">
        <f t="shared" ca="1" si="24"/>
        <v>0</v>
      </c>
      <c r="AT11" s="606">
        <f t="shared" ca="1" si="24"/>
        <v>0</v>
      </c>
      <c r="AU11" s="606">
        <f t="shared" ca="1" si="24"/>
        <v>0</v>
      </c>
      <c r="AV11" s="606">
        <f t="shared" ca="1" si="24"/>
        <v>0</v>
      </c>
      <c r="AW11" s="606">
        <f t="shared" ca="1" si="24"/>
        <v>0</v>
      </c>
      <c r="AX11" s="606">
        <f t="shared" ca="1" si="24"/>
        <v>0</v>
      </c>
      <c r="AY11" s="606">
        <f t="shared" ca="1" si="24"/>
        <v>0</v>
      </c>
      <c r="AZ11" s="606">
        <f t="shared" ca="1" si="24"/>
        <v>0</v>
      </c>
      <c r="BA11" s="606">
        <f t="shared" ca="1" si="24"/>
        <v>0</v>
      </c>
      <c r="BB11" s="606">
        <f t="shared" ca="1" si="24"/>
        <v>0</v>
      </c>
      <c r="BC11" s="606">
        <f t="shared" ca="1" si="24"/>
        <v>0</v>
      </c>
      <c r="BD11" s="606">
        <f t="shared" ca="1" si="24"/>
        <v>0</v>
      </c>
      <c r="BE11" s="606">
        <f t="shared" ca="1" si="24"/>
        <v>0</v>
      </c>
      <c r="BF11" s="606">
        <f t="shared" ca="1" si="24"/>
        <v>0</v>
      </c>
      <c r="BG11" s="606">
        <f t="shared" ca="1" si="24"/>
        <v>0</v>
      </c>
      <c r="BH11" s="606">
        <f t="shared" ca="1" si="24"/>
        <v>0</v>
      </c>
      <c r="BI11" s="606">
        <f t="shared" ca="1" si="24"/>
        <v>0</v>
      </c>
      <c r="BJ11" s="606">
        <f t="shared" ca="1" si="24"/>
        <v>0</v>
      </c>
      <c r="BK11" s="606">
        <f t="shared" ca="1" si="24"/>
        <v>0</v>
      </c>
      <c r="BL11" s="606">
        <f t="shared" ca="1" si="24"/>
        <v>0</v>
      </c>
      <c r="BM11" s="606">
        <f t="shared" ca="1" si="24"/>
        <v>0</v>
      </c>
      <c r="BN11" s="606">
        <f t="shared" ca="1" si="24"/>
        <v>0</v>
      </c>
      <c r="BO11" s="606">
        <f t="shared" ca="1" si="24"/>
        <v>0</v>
      </c>
      <c r="BP11" s="606">
        <f t="shared" ca="1" si="24"/>
        <v>0</v>
      </c>
      <c r="BQ11" s="606">
        <f t="shared" ca="1" si="24"/>
        <v>0</v>
      </c>
      <c r="BR11" s="606">
        <f t="shared" ca="1" si="24"/>
        <v>0</v>
      </c>
      <c r="BS11" s="606">
        <f t="shared" ref="BS11:CX11" ca="1" si="25">$F11*BS222</f>
        <v>0</v>
      </c>
      <c r="BT11" s="606">
        <f t="shared" ca="1" si="25"/>
        <v>0</v>
      </c>
      <c r="BU11" s="606">
        <f t="shared" ca="1" si="25"/>
        <v>0</v>
      </c>
      <c r="BV11" s="606">
        <f t="shared" ca="1" si="25"/>
        <v>0</v>
      </c>
      <c r="BW11" s="606">
        <f t="shared" ca="1" si="25"/>
        <v>0</v>
      </c>
      <c r="BX11" s="606">
        <f t="shared" ca="1" si="25"/>
        <v>0</v>
      </c>
      <c r="BY11" s="606">
        <f t="shared" ca="1" si="25"/>
        <v>0</v>
      </c>
      <c r="BZ11" s="606">
        <f t="shared" ca="1" si="25"/>
        <v>0</v>
      </c>
      <c r="CA11" s="606">
        <f t="shared" ca="1" si="25"/>
        <v>0</v>
      </c>
      <c r="CB11" s="606">
        <f t="shared" ca="1" si="25"/>
        <v>0</v>
      </c>
      <c r="CC11" s="606">
        <f t="shared" ca="1" si="25"/>
        <v>0</v>
      </c>
      <c r="CD11" s="606">
        <f t="shared" ca="1" si="25"/>
        <v>0</v>
      </c>
      <c r="CE11" s="606">
        <f t="shared" ca="1" si="25"/>
        <v>0</v>
      </c>
      <c r="CF11" s="606">
        <f t="shared" ca="1" si="25"/>
        <v>0</v>
      </c>
      <c r="CG11" s="606">
        <f t="shared" ca="1" si="25"/>
        <v>0</v>
      </c>
      <c r="CH11" s="606">
        <f t="shared" ca="1" si="25"/>
        <v>0</v>
      </c>
      <c r="CI11" s="606">
        <f t="shared" ca="1" si="25"/>
        <v>0</v>
      </c>
      <c r="CJ11" s="606">
        <f t="shared" ca="1" si="25"/>
        <v>0</v>
      </c>
      <c r="CK11" s="606">
        <f t="shared" ca="1" si="25"/>
        <v>0</v>
      </c>
      <c r="CL11" s="606">
        <f t="shared" ca="1" si="25"/>
        <v>0</v>
      </c>
      <c r="CM11" s="606">
        <f t="shared" ca="1" si="25"/>
        <v>0</v>
      </c>
      <c r="CN11" s="606">
        <f t="shared" ca="1" si="25"/>
        <v>0</v>
      </c>
      <c r="CO11" s="606">
        <f t="shared" ca="1" si="25"/>
        <v>0</v>
      </c>
      <c r="CP11" s="606">
        <f t="shared" ca="1" si="25"/>
        <v>0</v>
      </c>
      <c r="CQ11" s="606">
        <f t="shared" ca="1" si="25"/>
        <v>0</v>
      </c>
      <c r="CR11" s="606">
        <f t="shared" ca="1" si="25"/>
        <v>0</v>
      </c>
      <c r="CS11" s="606">
        <f t="shared" ca="1" si="25"/>
        <v>0</v>
      </c>
      <c r="CT11" s="606">
        <f t="shared" ca="1" si="25"/>
        <v>0</v>
      </c>
      <c r="CU11" s="606">
        <f t="shared" ca="1" si="25"/>
        <v>0</v>
      </c>
      <c r="CV11" s="606">
        <f t="shared" ca="1" si="25"/>
        <v>0</v>
      </c>
      <c r="CW11" s="606">
        <f t="shared" ca="1" si="25"/>
        <v>0</v>
      </c>
      <c r="CX11" s="606">
        <f t="shared" ca="1" si="25"/>
        <v>0</v>
      </c>
      <c r="CY11" s="606">
        <f t="shared" ref="CY11:ED11" ca="1" si="26">$F11*CY222</f>
        <v>0</v>
      </c>
      <c r="CZ11" s="606">
        <f t="shared" ca="1" si="26"/>
        <v>0</v>
      </c>
      <c r="DA11" s="606">
        <f t="shared" ca="1" si="26"/>
        <v>0</v>
      </c>
      <c r="DB11" s="606">
        <f t="shared" ca="1" si="26"/>
        <v>0</v>
      </c>
      <c r="DC11" s="606">
        <f t="shared" ca="1" si="26"/>
        <v>0</v>
      </c>
      <c r="DD11" s="606">
        <f t="shared" ca="1" si="26"/>
        <v>0</v>
      </c>
      <c r="DE11" s="606">
        <f t="shared" ca="1" si="26"/>
        <v>0</v>
      </c>
      <c r="DF11" s="606">
        <f t="shared" ca="1" si="26"/>
        <v>0</v>
      </c>
      <c r="DG11" s="606">
        <f t="shared" ca="1" si="26"/>
        <v>0</v>
      </c>
      <c r="DH11" s="606">
        <f t="shared" ca="1" si="26"/>
        <v>0</v>
      </c>
      <c r="DI11" s="606">
        <f t="shared" ca="1" si="26"/>
        <v>0</v>
      </c>
      <c r="DJ11" s="606">
        <f t="shared" ca="1" si="26"/>
        <v>0</v>
      </c>
      <c r="DK11" s="606">
        <f t="shared" ca="1" si="26"/>
        <v>0</v>
      </c>
      <c r="DL11" s="606">
        <f t="shared" ca="1" si="26"/>
        <v>0</v>
      </c>
      <c r="DM11" s="606">
        <f t="shared" ca="1" si="26"/>
        <v>0</v>
      </c>
      <c r="DN11" s="606">
        <f t="shared" ca="1" si="26"/>
        <v>0</v>
      </c>
      <c r="DO11" s="606">
        <f t="shared" ca="1" si="26"/>
        <v>0</v>
      </c>
      <c r="DP11" s="606">
        <f t="shared" ca="1" si="26"/>
        <v>0</v>
      </c>
      <c r="DQ11" s="606">
        <f t="shared" ca="1" si="26"/>
        <v>0</v>
      </c>
      <c r="DR11" s="606">
        <f t="shared" ca="1" si="26"/>
        <v>0</v>
      </c>
      <c r="DS11" s="606">
        <f t="shared" ca="1" si="26"/>
        <v>0</v>
      </c>
      <c r="DT11" s="606">
        <f t="shared" ca="1" si="26"/>
        <v>0</v>
      </c>
      <c r="DU11" s="606">
        <f t="shared" ca="1" si="26"/>
        <v>0</v>
      </c>
      <c r="DV11" s="606">
        <f t="shared" ca="1" si="26"/>
        <v>0</v>
      </c>
      <c r="DW11" s="606">
        <f t="shared" ca="1" si="26"/>
        <v>0</v>
      </c>
      <c r="DX11" s="606">
        <f t="shared" ca="1" si="26"/>
        <v>0</v>
      </c>
      <c r="DY11" s="606">
        <f t="shared" ca="1" si="26"/>
        <v>0</v>
      </c>
      <c r="DZ11" s="606">
        <f t="shared" ca="1" si="26"/>
        <v>0</v>
      </c>
      <c r="EA11" s="606">
        <f t="shared" ca="1" si="26"/>
        <v>0</v>
      </c>
      <c r="EB11" s="606">
        <f t="shared" ca="1" si="26"/>
        <v>0</v>
      </c>
      <c r="EC11" s="606">
        <f t="shared" ca="1" si="26"/>
        <v>0</v>
      </c>
      <c r="ED11" s="606">
        <f t="shared" ca="1" si="26"/>
        <v>0</v>
      </c>
      <c r="EE11" s="606">
        <f t="shared" ref="EE11:EJ11" ca="1" si="27">$F11*EE222</f>
        <v>0</v>
      </c>
      <c r="EF11" s="606">
        <f t="shared" ca="1" si="27"/>
        <v>0</v>
      </c>
      <c r="EG11" s="606">
        <f t="shared" ca="1" si="27"/>
        <v>0</v>
      </c>
      <c r="EH11" s="606">
        <f t="shared" ca="1" si="27"/>
        <v>0</v>
      </c>
      <c r="EI11" s="606">
        <f t="shared" ca="1" si="27"/>
        <v>0</v>
      </c>
      <c r="EJ11" s="606">
        <f t="shared" si="27"/>
        <v>0</v>
      </c>
    </row>
    <row r="12" spans="1:141" customFormat="1" ht="30" outlineLevel="1">
      <c r="A12" s="321"/>
      <c r="B12" s="321"/>
      <c r="C12" s="317" t="s">
        <v>1752</v>
      </c>
      <c r="D12" s="317" t="s">
        <v>1659</v>
      </c>
      <c r="E12" s="606">
        <f t="shared" ca="1" si="17"/>
        <v>0</v>
      </c>
      <c r="F12" s="606">
        <f>'Распределение по статьям'!AC45</f>
        <v>262383619.68751284</v>
      </c>
      <c r="G12" s="606">
        <f t="shared" ref="G12:AL12" ca="1" si="28">$F12*G223</f>
        <v>0</v>
      </c>
      <c r="H12" s="606">
        <f t="shared" ca="1" si="28"/>
        <v>0</v>
      </c>
      <c r="I12" s="606">
        <f t="shared" ca="1" si="28"/>
        <v>0</v>
      </c>
      <c r="J12" s="606">
        <f t="shared" ca="1" si="28"/>
        <v>0</v>
      </c>
      <c r="K12" s="606">
        <f t="shared" ca="1" si="28"/>
        <v>0</v>
      </c>
      <c r="L12" s="606">
        <f t="shared" ca="1" si="28"/>
        <v>0</v>
      </c>
      <c r="M12" s="606">
        <f t="shared" ca="1" si="28"/>
        <v>0</v>
      </c>
      <c r="N12" s="606">
        <f t="shared" ca="1" si="28"/>
        <v>0</v>
      </c>
      <c r="O12" s="606">
        <f t="shared" ca="1" si="28"/>
        <v>0</v>
      </c>
      <c r="P12" s="606">
        <f t="shared" ca="1" si="28"/>
        <v>0</v>
      </c>
      <c r="Q12" s="606">
        <f t="shared" ca="1" si="28"/>
        <v>0</v>
      </c>
      <c r="R12" s="606">
        <f t="shared" ca="1" si="28"/>
        <v>0</v>
      </c>
      <c r="S12" s="606">
        <f t="shared" ca="1" si="28"/>
        <v>0</v>
      </c>
      <c r="T12" s="606">
        <f t="shared" ca="1" si="28"/>
        <v>0</v>
      </c>
      <c r="U12" s="606">
        <f t="shared" ca="1" si="28"/>
        <v>0</v>
      </c>
      <c r="V12" s="606">
        <f t="shared" ca="1" si="28"/>
        <v>0</v>
      </c>
      <c r="W12" s="606">
        <f t="shared" ca="1" si="28"/>
        <v>0</v>
      </c>
      <c r="X12" s="606">
        <f t="shared" ca="1" si="28"/>
        <v>0</v>
      </c>
      <c r="Y12" s="606">
        <f t="shared" ca="1" si="28"/>
        <v>0</v>
      </c>
      <c r="Z12" s="606">
        <f t="shared" ca="1" si="28"/>
        <v>0</v>
      </c>
      <c r="AA12" s="606">
        <f t="shared" ca="1" si="28"/>
        <v>0</v>
      </c>
      <c r="AB12" s="606">
        <f t="shared" ca="1" si="28"/>
        <v>92490225.939848244</v>
      </c>
      <c r="AC12" s="606">
        <f t="shared" ca="1" si="28"/>
        <v>101673652.62891123</v>
      </c>
      <c r="AD12" s="606">
        <f t="shared" ca="1" si="28"/>
        <v>68219741.118753389</v>
      </c>
      <c r="AE12" s="606">
        <f t="shared" ca="1" si="28"/>
        <v>0</v>
      </c>
      <c r="AF12" s="606">
        <f t="shared" ca="1" si="28"/>
        <v>0</v>
      </c>
      <c r="AG12" s="606">
        <f t="shared" ca="1" si="28"/>
        <v>0</v>
      </c>
      <c r="AH12" s="606">
        <f t="shared" ca="1" si="28"/>
        <v>0</v>
      </c>
      <c r="AI12" s="606">
        <f t="shared" ca="1" si="28"/>
        <v>0</v>
      </c>
      <c r="AJ12" s="606">
        <f t="shared" ca="1" si="28"/>
        <v>0</v>
      </c>
      <c r="AK12" s="606">
        <f t="shared" ca="1" si="28"/>
        <v>0</v>
      </c>
      <c r="AL12" s="606">
        <f t="shared" ca="1" si="28"/>
        <v>0</v>
      </c>
      <c r="AM12" s="606">
        <f t="shared" ref="AM12:BR12" ca="1" si="29">$F12*AM223</f>
        <v>0</v>
      </c>
      <c r="AN12" s="606">
        <f t="shared" ca="1" si="29"/>
        <v>0</v>
      </c>
      <c r="AO12" s="606">
        <f t="shared" ca="1" si="29"/>
        <v>0</v>
      </c>
      <c r="AP12" s="606">
        <f t="shared" ca="1" si="29"/>
        <v>0</v>
      </c>
      <c r="AQ12" s="606">
        <f t="shared" ca="1" si="29"/>
        <v>0</v>
      </c>
      <c r="AR12" s="606">
        <f t="shared" ca="1" si="29"/>
        <v>0</v>
      </c>
      <c r="AS12" s="606">
        <f t="shared" ca="1" si="29"/>
        <v>0</v>
      </c>
      <c r="AT12" s="606">
        <f t="shared" ca="1" si="29"/>
        <v>0</v>
      </c>
      <c r="AU12" s="606">
        <f t="shared" ca="1" si="29"/>
        <v>0</v>
      </c>
      <c r="AV12" s="606">
        <f t="shared" ca="1" si="29"/>
        <v>0</v>
      </c>
      <c r="AW12" s="606">
        <f t="shared" ca="1" si="29"/>
        <v>0</v>
      </c>
      <c r="AX12" s="606">
        <f t="shared" ca="1" si="29"/>
        <v>0</v>
      </c>
      <c r="AY12" s="606">
        <f t="shared" ca="1" si="29"/>
        <v>0</v>
      </c>
      <c r="AZ12" s="606">
        <f t="shared" ca="1" si="29"/>
        <v>0</v>
      </c>
      <c r="BA12" s="606">
        <f t="shared" ca="1" si="29"/>
        <v>0</v>
      </c>
      <c r="BB12" s="606">
        <f t="shared" ca="1" si="29"/>
        <v>0</v>
      </c>
      <c r="BC12" s="606">
        <f t="shared" ca="1" si="29"/>
        <v>0</v>
      </c>
      <c r="BD12" s="606">
        <f t="shared" ca="1" si="29"/>
        <v>0</v>
      </c>
      <c r="BE12" s="606">
        <f t="shared" ca="1" si="29"/>
        <v>0</v>
      </c>
      <c r="BF12" s="606">
        <f t="shared" ca="1" si="29"/>
        <v>0</v>
      </c>
      <c r="BG12" s="606">
        <f t="shared" ca="1" si="29"/>
        <v>0</v>
      </c>
      <c r="BH12" s="606">
        <f t="shared" ca="1" si="29"/>
        <v>0</v>
      </c>
      <c r="BI12" s="606">
        <f t="shared" ca="1" si="29"/>
        <v>0</v>
      </c>
      <c r="BJ12" s="606">
        <f t="shared" ca="1" si="29"/>
        <v>0</v>
      </c>
      <c r="BK12" s="606">
        <f t="shared" ca="1" si="29"/>
        <v>0</v>
      </c>
      <c r="BL12" s="606">
        <f t="shared" ca="1" si="29"/>
        <v>0</v>
      </c>
      <c r="BM12" s="606">
        <f t="shared" ca="1" si="29"/>
        <v>0</v>
      </c>
      <c r="BN12" s="606">
        <f t="shared" ca="1" si="29"/>
        <v>0</v>
      </c>
      <c r="BO12" s="606">
        <f t="shared" ca="1" si="29"/>
        <v>0</v>
      </c>
      <c r="BP12" s="606">
        <f t="shared" ca="1" si="29"/>
        <v>0</v>
      </c>
      <c r="BQ12" s="606">
        <f t="shared" ca="1" si="29"/>
        <v>0</v>
      </c>
      <c r="BR12" s="606">
        <f t="shared" ca="1" si="29"/>
        <v>0</v>
      </c>
      <c r="BS12" s="606">
        <f t="shared" ref="BS12:CX12" ca="1" si="30">$F12*BS223</f>
        <v>0</v>
      </c>
      <c r="BT12" s="606">
        <f t="shared" ca="1" si="30"/>
        <v>0</v>
      </c>
      <c r="BU12" s="606">
        <f t="shared" ca="1" si="30"/>
        <v>0</v>
      </c>
      <c r="BV12" s="606">
        <f t="shared" ca="1" si="30"/>
        <v>0</v>
      </c>
      <c r="BW12" s="606">
        <f t="shared" ca="1" si="30"/>
        <v>0</v>
      </c>
      <c r="BX12" s="606">
        <f t="shared" ca="1" si="30"/>
        <v>0</v>
      </c>
      <c r="BY12" s="606">
        <f t="shared" ca="1" si="30"/>
        <v>0</v>
      </c>
      <c r="BZ12" s="606">
        <f t="shared" ca="1" si="30"/>
        <v>0</v>
      </c>
      <c r="CA12" s="606">
        <f t="shared" ca="1" si="30"/>
        <v>0</v>
      </c>
      <c r="CB12" s="606">
        <f t="shared" ca="1" si="30"/>
        <v>0</v>
      </c>
      <c r="CC12" s="606">
        <f t="shared" ca="1" si="30"/>
        <v>0</v>
      </c>
      <c r="CD12" s="606">
        <f t="shared" ca="1" si="30"/>
        <v>0</v>
      </c>
      <c r="CE12" s="606">
        <f t="shared" ca="1" si="30"/>
        <v>0</v>
      </c>
      <c r="CF12" s="606">
        <f t="shared" ca="1" si="30"/>
        <v>0</v>
      </c>
      <c r="CG12" s="606">
        <f t="shared" ca="1" si="30"/>
        <v>0</v>
      </c>
      <c r="CH12" s="606">
        <f t="shared" ca="1" si="30"/>
        <v>0</v>
      </c>
      <c r="CI12" s="606">
        <f t="shared" ca="1" si="30"/>
        <v>0</v>
      </c>
      <c r="CJ12" s="606">
        <f t="shared" ca="1" si="30"/>
        <v>0</v>
      </c>
      <c r="CK12" s="606">
        <f t="shared" ca="1" si="30"/>
        <v>0</v>
      </c>
      <c r="CL12" s="606">
        <f t="shared" ca="1" si="30"/>
        <v>0</v>
      </c>
      <c r="CM12" s="606">
        <f t="shared" ca="1" si="30"/>
        <v>0</v>
      </c>
      <c r="CN12" s="606">
        <f t="shared" ca="1" si="30"/>
        <v>0</v>
      </c>
      <c r="CO12" s="606">
        <f t="shared" ca="1" si="30"/>
        <v>0</v>
      </c>
      <c r="CP12" s="606">
        <f t="shared" ca="1" si="30"/>
        <v>0</v>
      </c>
      <c r="CQ12" s="606">
        <f t="shared" ca="1" si="30"/>
        <v>0</v>
      </c>
      <c r="CR12" s="606">
        <f t="shared" ca="1" si="30"/>
        <v>0</v>
      </c>
      <c r="CS12" s="606">
        <f t="shared" ca="1" si="30"/>
        <v>0</v>
      </c>
      <c r="CT12" s="606">
        <f t="shared" ca="1" si="30"/>
        <v>0</v>
      </c>
      <c r="CU12" s="606">
        <f t="shared" ca="1" si="30"/>
        <v>0</v>
      </c>
      <c r="CV12" s="606">
        <f t="shared" ca="1" si="30"/>
        <v>0</v>
      </c>
      <c r="CW12" s="606">
        <f t="shared" ca="1" si="30"/>
        <v>0</v>
      </c>
      <c r="CX12" s="606">
        <f t="shared" ca="1" si="30"/>
        <v>0</v>
      </c>
      <c r="CY12" s="606">
        <f t="shared" ref="CY12:ED12" ca="1" si="31">$F12*CY223</f>
        <v>0</v>
      </c>
      <c r="CZ12" s="606">
        <f t="shared" ca="1" si="31"/>
        <v>0</v>
      </c>
      <c r="DA12" s="606">
        <f t="shared" ca="1" si="31"/>
        <v>0</v>
      </c>
      <c r="DB12" s="606">
        <f t="shared" ca="1" si="31"/>
        <v>0</v>
      </c>
      <c r="DC12" s="606">
        <f t="shared" ca="1" si="31"/>
        <v>0</v>
      </c>
      <c r="DD12" s="606">
        <f t="shared" ca="1" si="31"/>
        <v>0</v>
      </c>
      <c r="DE12" s="606">
        <f t="shared" ca="1" si="31"/>
        <v>0</v>
      </c>
      <c r="DF12" s="606">
        <f t="shared" ca="1" si="31"/>
        <v>0</v>
      </c>
      <c r="DG12" s="606">
        <f t="shared" ca="1" si="31"/>
        <v>0</v>
      </c>
      <c r="DH12" s="606">
        <f t="shared" ca="1" si="31"/>
        <v>0</v>
      </c>
      <c r="DI12" s="606">
        <f t="shared" ca="1" si="31"/>
        <v>0</v>
      </c>
      <c r="DJ12" s="606">
        <f t="shared" ca="1" si="31"/>
        <v>0</v>
      </c>
      <c r="DK12" s="606">
        <f t="shared" ca="1" si="31"/>
        <v>0</v>
      </c>
      <c r="DL12" s="606">
        <f t="shared" ca="1" si="31"/>
        <v>0</v>
      </c>
      <c r="DM12" s="606">
        <f t="shared" ca="1" si="31"/>
        <v>0</v>
      </c>
      <c r="DN12" s="606">
        <f t="shared" ca="1" si="31"/>
        <v>0</v>
      </c>
      <c r="DO12" s="606">
        <f t="shared" ca="1" si="31"/>
        <v>0</v>
      </c>
      <c r="DP12" s="606">
        <f t="shared" ca="1" si="31"/>
        <v>0</v>
      </c>
      <c r="DQ12" s="606">
        <f t="shared" ca="1" si="31"/>
        <v>0</v>
      </c>
      <c r="DR12" s="606">
        <f t="shared" ca="1" si="31"/>
        <v>0</v>
      </c>
      <c r="DS12" s="606">
        <f t="shared" ca="1" si="31"/>
        <v>0</v>
      </c>
      <c r="DT12" s="606">
        <f t="shared" ca="1" si="31"/>
        <v>0</v>
      </c>
      <c r="DU12" s="606">
        <f t="shared" ca="1" si="31"/>
        <v>0</v>
      </c>
      <c r="DV12" s="606">
        <f t="shared" ca="1" si="31"/>
        <v>0</v>
      </c>
      <c r="DW12" s="606">
        <f t="shared" ca="1" si="31"/>
        <v>0</v>
      </c>
      <c r="DX12" s="606">
        <f t="shared" ca="1" si="31"/>
        <v>0</v>
      </c>
      <c r="DY12" s="606">
        <f t="shared" ca="1" si="31"/>
        <v>0</v>
      </c>
      <c r="DZ12" s="606">
        <f t="shared" ca="1" si="31"/>
        <v>0</v>
      </c>
      <c r="EA12" s="606">
        <f t="shared" ca="1" si="31"/>
        <v>0</v>
      </c>
      <c r="EB12" s="606">
        <f t="shared" ca="1" si="31"/>
        <v>0</v>
      </c>
      <c r="EC12" s="606">
        <f t="shared" ca="1" si="31"/>
        <v>0</v>
      </c>
      <c r="ED12" s="606">
        <f t="shared" ca="1" si="31"/>
        <v>0</v>
      </c>
      <c r="EE12" s="606">
        <f t="shared" ref="EE12:EJ12" ca="1" si="32">$F12*EE223</f>
        <v>0</v>
      </c>
      <c r="EF12" s="606">
        <f t="shared" ca="1" si="32"/>
        <v>0</v>
      </c>
      <c r="EG12" s="606">
        <f t="shared" ca="1" si="32"/>
        <v>0</v>
      </c>
      <c r="EH12" s="606">
        <f t="shared" ca="1" si="32"/>
        <v>0</v>
      </c>
      <c r="EI12" s="606">
        <f t="shared" ca="1" si="32"/>
        <v>0</v>
      </c>
      <c r="EJ12" s="606">
        <f t="shared" si="32"/>
        <v>0</v>
      </c>
    </row>
    <row r="13" spans="1:141" customFormat="1" outlineLevel="1">
      <c r="A13" s="321"/>
      <c r="B13" s="308"/>
      <c r="C13" s="317" t="s">
        <v>1611</v>
      </c>
      <c r="D13" s="317" t="s">
        <v>408</v>
      </c>
      <c r="E13" s="606">
        <f t="shared" ca="1" si="17"/>
        <v>0</v>
      </c>
      <c r="F13" s="606">
        <f>'Распределение по статьям'!AC49</f>
        <v>148466012.33388945</v>
      </c>
      <c r="G13" s="606">
        <f t="shared" ref="G13:AL13" si="33">G76*$F$13</f>
        <v>0</v>
      </c>
      <c r="H13" s="606">
        <f t="shared" ca="1" si="33"/>
        <v>0</v>
      </c>
      <c r="I13" s="606">
        <f t="shared" ca="1" si="33"/>
        <v>0</v>
      </c>
      <c r="J13" s="606">
        <f t="shared" ca="1" si="33"/>
        <v>0</v>
      </c>
      <c r="K13" s="606">
        <f t="shared" ca="1" si="33"/>
        <v>0</v>
      </c>
      <c r="L13" s="606">
        <f t="shared" ca="1" si="33"/>
        <v>0</v>
      </c>
      <c r="M13" s="606">
        <f t="shared" ca="1" si="33"/>
        <v>0</v>
      </c>
      <c r="N13" s="606">
        <f t="shared" ca="1" si="33"/>
        <v>44457820.972171053</v>
      </c>
      <c r="O13" s="606">
        <f t="shared" ca="1" si="33"/>
        <v>0</v>
      </c>
      <c r="P13" s="606">
        <f t="shared" ca="1" si="33"/>
        <v>6613237.6010341179</v>
      </c>
      <c r="Q13" s="606">
        <f t="shared" ca="1" si="33"/>
        <v>18637305.966550693</v>
      </c>
      <c r="R13" s="606">
        <f t="shared" ca="1" si="33"/>
        <v>18637305.966550693</v>
      </c>
      <c r="S13" s="606">
        <f t="shared" ca="1" si="33"/>
        <v>17434899.129999038</v>
      </c>
      <c r="T13" s="606">
        <f t="shared" ca="1" si="33"/>
        <v>18637305.966550693</v>
      </c>
      <c r="U13" s="606">
        <f t="shared" ca="1" si="33"/>
        <v>18036102.548274867</v>
      </c>
      <c r="V13" s="606">
        <f t="shared" ca="1" si="33"/>
        <v>6012034.1827582885</v>
      </c>
      <c r="W13" s="606">
        <f t="shared" ca="1" si="33"/>
        <v>0</v>
      </c>
      <c r="X13" s="606">
        <f t="shared" ca="1" si="33"/>
        <v>0</v>
      </c>
      <c r="Y13" s="606">
        <f t="shared" ca="1" si="33"/>
        <v>0</v>
      </c>
      <c r="Z13" s="606">
        <f t="shared" ca="1" si="33"/>
        <v>0</v>
      </c>
      <c r="AA13" s="606">
        <f t="shared" ca="1" si="33"/>
        <v>0</v>
      </c>
      <c r="AB13" s="606">
        <f t="shared" ca="1" si="33"/>
        <v>0</v>
      </c>
      <c r="AC13" s="606">
        <f t="shared" ca="1" si="33"/>
        <v>0</v>
      </c>
      <c r="AD13" s="606">
        <f t="shared" ca="1" si="33"/>
        <v>0</v>
      </c>
      <c r="AE13" s="606">
        <f t="shared" ca="1" si="33"/>
        <v>0</v>
      </c>
      <c r="AF13" s="606">
        <f t="shared" ca="1" si="33"/>
        <v>0</v>
      </c>
      <c r="AG13" s="606">
        <f t="shared" ca="1" si="33"/>
        <v>0</v>
      </c>
      <c r="AH13" s="606">
        <f t="shared" ca="1" si="33"/>
        <v>0</v>
      </c>
      <c r="AI13" s="606">
        <f t="shared" ca="1" si="33"/>
        <v>0</v>
      </c>
      <c r="AJ13" s="606">
        <f t="shared" ca="1" si="33"/>
        <v>0</v>
      </c>
      <c r="AK13" s="606">
        <f t="shared" ca="1" si="33"/>
        <v>0</v>
      </c>
      <c r="AL13" s="606">
        <f t="shared" ca="1" si="33"/>
        <v>0</v>
      </c>
      <c r="AM13" s="606">
        <f t="shared" ref="AM13:BR13" ca="1" si="34">AM76*$F$13</f>
        <v>0</v>
      </c>
      <c r="AN13" s="606">
        <f t="shared" ca="1" si="34"/>
        <v>0</v>
      </c>
      <c r="AO13" s="606">
        <f t="shared" ca="1" si="34"/>
        <v>0</v>
      </c>
      <c r="AP13" s="606">
        <f t="shared" ca="1" si="34"/>
        <v>0</v>
      </c>
      <c r="AQ13" s="606">
        <f t="shared" ca="1" si="34"/>
        <v>0</v>
      </c>
      <c r="AR13" s="606">
        <f t="shared" ca="1" si="34"/>
        <v>0</v>
      </c>
      <c r="AS13" s="606">
        <f t="shared" ca="1" si="34"/>
        <v>0</v>
      </c>
      <c r="AT13" s="606">
        <f t="shared" ca="1" si="34"/>
        <v>0</v>
      </c>
      <c r="AU13" s="606">
        <f t="shared" ca="1" si="34"/>
        <v>0</v>
      </c>
      <c r="AV13" s="606">
        <f t="shared" ca="1" si="34"/>
        <v>0</v>
      </c>
      <c r="AW13" s="606">
        <f t="shared" ca="1" si="34"/>
        <v>0</v>
      </c>
      <c r="AX13" s="606">
        <f t="shared" ca="1" si="34"/>
        <v>0</v>
      </c>
      <c r="AY13" s="606">
        <f t="shared" ca="1" si="34"/>
        <v>0</v>
      </c>
      <c r="AZ13" s="606">
        <f t="shared" ca="1" si="34"/>
        <v>0</v>
      </c>
      <c r="BA13" s="606">
        <f t="shared" ca="1" si="34"/>
        <v>0</v>
      </c>
      <c r="BB13" s="606">
        <f t="shared" ca="1" si="34"/>
        <v>0</v>
      </c>
      <c r="BC13" s="606">
        <f t="shared" ca="1" si="34"/>
        <v>0</v>
      </c>
      <c r="BD13" s="606">
        <f t="shared" ca="1" si="34"/>
        <v>0</v>
      </c>
      <c r="BE13" s="606">
        <f t="shared" ca="1" si="34"/>
        <v>0</v>
      </c>
      <c r="BF13" s="606">
        <f t="shared" ca="1" si="34"/>
        <v>0</v>
      </c>
      <c r="BG13" s="606">
        <f t="shared" ca="1" si="34"/>
        <v>0</v>
      </c>
      <c r="BH13" s="606">
        <f t="shared" ca="1" si="34"/>
        <v>0</v>
      </c>
      <c r="BI13" s="606">
        <f t="shared" ca="1" si="34"/>
        <v>0</v>
      </c>
      <c r="BJ13" s="606">
        <f t="shared" ca="1" si="34"/>
        <v>0</v>
      </c>
      <c r="BK13" s="606">
        <f t="shared" ca="1" si="34"/>
        <v>0</v>
      </c>
      <c r="BL13" s="606">
        <f t="shared" ca="1" si="34"/>
        <v>0</v>
      </c>
      <c r="BM13" s="606">
        <f t="shared" ca="1" si="34"/>
        <v>0</v>
      </c>
      <c r="BN13" s="606">
        <f t="shared" ca="1" si="34"/>
        <v>0</v>
      </c>
      <c r="BO13" s="606">
        <f t="shared" ca="1" si="34"/>
        <v>0</v>
      </c>
      <c r="BP13" s="606">
        <f t="shared" ca="1" si="34"/>
        <v>0</v>
      </c>
      <c r="BQ13" s="606">
        <f t="shared" ca="1" si="34"/>
        <v>0</v>
      </c>
      <c r="BR13" s="606">
        <f t="shared" ca="1" si="34"/>
        <v>0</v>
      </c>
      <c r="BS13" s="606">
        <f t="shared" ref="BS13:CX13" ca="1" si="35">BS76*$F$13</f>
        <v>0</v>
      </c>
      <c r="BT13" s="606">
        <f t="shared" ca="1" si="35"/>
        <v>0</v>
      </c>
      <c r="BU13" s="606">
        <f t="shared" ca="1" si="35"/>
        <v>0</v>
      </c>
      <c r="BV13" s="606">
        <f t="shared" ca="1" si="35"/>
        <v>0</v>
      </c>
      <c r="BW13" s="606">
        <f t="shared" ca="1" si="35"/>
        <v>0</v>
      </c>
      <c r="BX13" s="606">
        <f t="shared" ca="1" si="35"/>
        <v>0</v>
      </c>
      <c r="BY13" s="606">
        <f t="shared" ca="1" si="35"/>
        <v>0</v>
      </c>
      <c r="BZ13" s="606">
        <f t="shared" ca="1" si="35"/>
        <v>0</v>
      </c>
      <c r="CA13" s="606">
        <f t="shared" ca="1" si="35"/>
        <v>0</v>
      </c>
      <c r="CB13" s="606">
        <f t="shared" ca="1" si="35"/>
        <v>0</v>
      </c>
      <c r="CC13" s="606">
        <f t="shared" ca="1" si="35"/>
        <v>0</v>
      </c>
      <c r="CD13" s="606">
        <f t="shared" ca="1" si="35"/>
        <v>0</v>
      </c>
      <c r="CE13" s="606">
        <f t="shared" ca="1" si="35"/>
        <v>0</v>
      </c>
      <c r="CF13" s="606">
        <f t="shared" ca="1" si="35"/>
        <v>0</v>
      </c>
      <c r="CG13" s="606">
        <f t="shared" ca="1" si="35"/>
        <v>0</v>
      </c>
      <c r="CH13" s="606">
        <f t="shared" ca="1" si="35"/>
        <v>0</v>
      </c>
      <c r="CI13" s="606">
        <f t="shared" ca="1" si="35"/>
        <v>0</v>
      </c>
      <c r="CJ13" s="606">
        <f t="shared" ca="1" si="35"/>
        <v>0</v>
      </c>
      <c r="CK13" s="606">
        <f t="shared" ca="1" si="35"/>
        <v>0</v>
      </c>
      <c r="CL13" s="606">
        <f t="shared" ca="1" si="35"/>
        <v>0</v>
      </c>
      <c r="CM13" s="606">
        <f t="shared" ca="1" si="35"/>
        <v>0</v>
      </c>
      <c r="CN13" s="606">
        <f t="shared" ca="1" si="35"/>
        <v>0</v>
      </c>
      <c r="CO13" s="606">
        <f t="shared" ca="1" si="35"/>
        <v>0</v>
      </c>
      <c r="CP13" s="606">
        <f t="shared" ca="1" si="35"/>
        <v>0</v>
      </c>
      <c r="CQ13" s="606">
        <f t="shared" ca="1" si="35"/>
        <v>0</v>
      </c>
      <c r="CR13" s="606">
        <f t="shared" ca="1" si="35"/>
        <v>0</v>
      </c>
      <c r="CS13" s="606">
        <f t="shared" ca="1" si="35"/>
        <v>0</v>
      </c>
      <c r="CT13" s="606">
        <f t="shared" ca="1" si="35"/>
        <v>0</v>
      </c>
      <c r="CU13" s="606">
        <f t="shared" ca="1" si="35"/>
        <v>0</v>
      </c>
      <c r="CV13" s="606">
        <f t="shared" ca="1" si="35"/>
        <v>0</v>
      </c>
      <c r="CW13" s="606">
        <f t="shared" ca="1" si="35"/>
        <v>0</v>
      </c>
      <c r="CX13" s="606">
        <f t="shared" ca="1" si="35"/>
        <v>0</v>
      </c>
      <c r="CY13" s="606">
        <f t="shared" ref="CY13:ED13" ca="1" si="36">CY76*$F$13</f>
        <v>0</v>
      </c>
      <c r="CZ13" s="606">
        <f t="shared" ca="1" si="36"/>
        <v>0</v>
      </c>
      <c r="DA13" s="606">
        <f t="shared" ca="1" si="36"/>
        <v>0</v>
      </c>
      <c r="DB13" s="606">
        <f t="shared" ca="1" si="36"/>
        <v>0</v>
      </c>
      <c r="DC13" s="606">
        <f t="shared" ca="1" si="36"/>
        <v>0</v>
      </c>
      <c r="DD13" s="606">
        <f t="shared" ca="1" si="36"/>
        <v>0</v>
      </c>
      <c r="DE13" s="606">
        <f t="shared" ca="1" si="36"/>
        <v>0</v>
      </c>
      <c r="DF13" s="606">
        <f t="shared" ca="1" si="36"/>
        <v>0</v>
      </c>
      <c r="DG13" s="606">
        <f t="shared" ca="1" si="36"/>
        <v>0</v>
      </c>
      <c r="DH13" s="606">
        <f t="shared" ca="1" si="36"/>
        <v>0</v>
      </c>
      <c r="DI13" s="606">
        <f t="shared" ca="1" si="36"/>
        <v>0</v>
      </c>
      <c r="DJ13" s="606">
        <f t="shared" ca="1" si="36"/>
        <v>0</v>
      </c>
      <c r="DK13" s="606">
        <f t="shared" ca="1" si="36"/>
        <v>0</v>
      </c>
      <c r="DL13" s="606">
        <f t="shared" ca="1" si="36"/>
        <v>0</v>
      </c>
      <c r="DM13" s="606">
        <f t="shared" ca="1" si="36"/>
        <v>0</v>
      </c>
      <c r="DN13" s="606">
        <f t="shared" ca="1" si="36"/>
        <v>0</v>
      </c>
      <c r="DO13" s="606">
        <f t="shared" ca="1" si="36"/>
        <v>0</v>
      </c>
      <c r="DP13" s="606">
        <f t="shared" ca="1" si="36"/>
        <v>0</v>
      </c>
      <c r="DQ13" s="606">
        <f t="shared" ca="1" si="36"/>
        <v>0</v>
      </c>
      <c r="DR13" s="606">
        <f t="shared" ca="1" si="36"/>
        <v>0</v>
      </c>
      <c r="DS13" s="606">
        <f t="shared" ca="1" si="36"/>
        <v>0</v>
      </c>
      <c r="DT13" s="606">
        <f t="shared" ca="1" si="36"/>
        <v>0</v>
      </c>
      <c r="DU13" s="606">
        <f t="shared" ca="1" si="36"/>
        <v>0</v>
      </c>
      <c r="DV13" s="606">
        <f t="shared" ca="1" si="36"/>
        <v>0</v>
      </c>
      <c r="DW13" s="606">
        <f t="shared" ca="1" si="36"/>
        <v>0</v>
      </c>
      <c r="DX13" s="606">
        <f t="shared" ca="1" si="36"/>
        <v>0</v>
      </c>
      <c r="DY13" s="606">
        <f t="shared" ca="1" si="36"/>
        <v>0</v>
      </c>
      <c r="DZ13" s="606">
        <f t="shared" ca="1" si="36"/>
        <v>0</v>
      </c>
      <c r="EA13" s="606">
        <f t="shared" ca="1" si="36"/>
        <v>0</v>
      </c>
      <c r="EB13" s="606">
        <f t="shared" ca="1" si="36"/>
        <v>0</v>
      </c>
      <c r="EC13" s="606">
        <f t="shared" ca="1" si="36"/>
        <v>0</v>
      </c>
      <c r="ED13" s="606">
        <f t="shared" ca="1" si="36"/>
        <v>0</v>
      </c>
      <c r="EE13" s="606">
        <f t="shared" ref="EE13:EJ13" ca="1" si="37">EE76*$F$13</f>
        <v>0</v>
      </c>
      <c r="EF13" s="606">
        <f t="shared" ca="1" si="37"/>
        <v>0</v>
      </c>
      <c r="EG13" s="606">
        <f t="shared" ca="1" si="37"/>
        <v>0</v>
      </c>
      <c r="EH13" s="606">
        <f t="shared" ca="1" si="37"/>
        <v>0</v>
      </c>
      <c r="EI13" s="606">
        <f t="shared" ca="1" si="37"/>
        <v>0</v>
      </c>
      <c r="EJ13" s="606">
        <f t="shared" si="37"/>
        <v>0</v>
      </c>
    </row>
    <row r="14" spans="1:141" customFormat="1" outlineLevel="1">
      <c r="A14" s="321"/>
      <c r="B14" s="308"/>
      <c r="C14" s="317" t="s">
        <v>1610</v>
      </c>
      <c r="D14" s="317" t="s">
        <v>338</v>
      </c>
      <c r="E14" s="606">
        <f t="shared" ca="1" si="17"/>
        <v>0</v>
      </c>
      <c r="F14" s="606">
        <f>'Распределение по статьям'!AC80-'Распределение по статьям'!AC85</f>
        <v>183739343.61982685</v>
      </c>
      <c r="G14" s="606">
        <f t="shared" ref="G14:AL14" si="38">G79*$F$14</f>
        <v>0</v>
      </c>
      <c r="H14" s="606">
        <f t="shared" ca="1" si="38"/>
        <v>0</v>
      </c>
      <c r="I14" s="606">
        <f t="shared" ca="1" si="38"/>
        <v>0</v>
      </c>
      <c r="J14" s="606">
        <f t="shared" ca="1" si="38"/>
        <v>0</v>
      </c>
      <c r="K14" s="606">
        <f t="shared" ca="1" si="38"/>
        <v>0</v>
      </c>
      <c r="L14" s="606">
        <f t="shared" ca="1" si="38"/>
        <v>0</v>
      </c>
      <c r="M14" s="606">
        <f t="shared" ca="1" si="38"/>
        <v>0</v>
      </c>
      <c r="N14" s="606">
        <f t="shared" ca="1" si="38"/>
        <v>0</v>
      </c>
      <c r="O14" s="606">
        <f t="shared" ca="1" si="38"/>
        <v>0</v>
      </c>
      <c r="P14" s="606">
        <f t="shared" ca="1" si="38"/>
        <v>0</v>
      </c>
      <c r="Q14" s="606">
        <f t="shared" ca="1" si="38"/>
        <v>0</v>
      </c>
      <c r="R14" s="606">
        <f t="shared" ca="1" si="38"/>
        <v>39440081.056456529</v>
      </c>
      <c r="S14" s="606">
        <f t="shared" ca="1" si="38"/>
        <v>0</v>
      </c>
      <c r="T14" s="606">
        <f t="shared" ca="1" si="38"/>
        <v>15266443.720472515</v>
      </c>
      <c r="U14" s="606">
        <f t="shared" ca="1" si="38"/>
        <v>15684702.452540252</v>
      </c>
      <c r="V14" s="606">
        <f t="shared" ca="1" si="38"/>
        <v>16207525.867624927</v>
      </c>
      <c r="W14" s="606">
        <f t="shared" ca="1" si="38"/>
        <v>15684702.452540252</v>
      </c>
      <c r="X14" s="606">
        <f t="shared" ca="1" si="38"/>
        <v>16207525.867624927</v>
      </c>
      <c r="Y14" s="606">
        <f t="shared" ca="1" si="38"/>
        <v>16207525.867624927</v>
      </c>
      <c r="Z14" s="606">
        <f t="shared" ca="1" si="38"/>
        <v>15684702.452540252</v>
      </c>
      <c r="AA14" s="606">
        <f t="shared" ca="1" si="38"/>
        <v>16207525.867624927</v>
      </c>
      <c r="AB14" s="606">
        <f t="shared" ca="1" si="38"/>
        <v>15684702.452540252</v>
      </c>
      <c r="AC14" s="606">
        <f t="shared" ca="1" si="38"/>
        <v>1463905.562237096</v>
      </c>
      <c r="AD14" s="606">
        <f t="shared" ca="1" si="38"/>
        <v>0</v>
      </c>
      <c r="AE14" s="606">
        <f t="shared" ca="1" si="38"/>
        <v>0</v>
      </c>
      <c r="AF14" s="606">
        <f t="shared" ca="1" si="38"/>
        <v>0</v>
      </c>
      <c r="AG14" s="606">
        <f t="shared" ca="1" si="38"/>
        <v>0</v>
      </c>
      <c r="AH14" s="606">
        <f t="shared" ca="1" si="38"/>
        <v>0</v>
      </c>
      <c r="AI14" s="606">
        <f t="shared" ca="1" si="38"/>
        <v>0</v>
      </c>
      <c r="AJ14" s="606">
        <f t="shared" ca="1" si="38"/>
        <v>0</v>
      </c>
      <c r="AK14" s="606">
        <f t="shared" ca="1" si="38"/>
        <v>0</v>
      </c>
      <c r="AL14" s="606">
        <f t="shared" ca="1" si="38"/>
        <v>0</v>
      </c>
      <c r="AM14" s="606">
        <f t="shared" ref="AM14:BR14" ca="1" si="39">AM79*$F$14</f>
        <v>0</v>
      </c>
      <c r="AN14" s="606">
        <f t="shared" ca="1" si="39"/>
        <v>0</v>
      </c>
      <c r="AO14" s="606">
        <f t="shared" ca="1" si="39"/>
        <v>0</v>
      </c>
      <c r="AP14" s="606">
        <f t="shared" ca="1" si="39"/>
        <v>0</v>
      </c>
      <c r="AQ14" s="606">
        <f t="shared" ca="1" si="39"/>
        <v>0</v>
      </c>
      <c r="AR14" s="606">
        <f t="shared" ca="1" si="39"/>
        <v>0</v>
      </c>
      <c r="AS14" s="606">
        <f t="shared" ca="1" si="39"/>
        <v>0</v>
      </c>
      <c r="AT14" s="606">
        <f t="shared" ca="1" si="39"/>
        <v>0</v>
      </c>
      <c r="AU14" s="606">
        <f t="shared" ca="1" si="39"/>
        <v>0</v>
      </c>
      <c r="AV14" s="606">
        <f t="shared" ca="1" si="39"/>
        <v>0</v>
      </c>
      <c r="AW14" s="606">
        <f t="shared" ca="1" si="39"/>
        <v>0</v>
      </c>
      <c r="AX14" s="606">
        <f t="shared" ca="1" si="39"/>
        <v>0</v>
      </c>
      <c r="AY14" s="606">
        <f t="shared" ca="1" si="39"/>
        <v>0</v>
      </c>
      <c r="AZ14" s="606">
        <f t="shared" ca="1" si="39"/>
        <v>0</v>
      </c>
      <c r="BA14" s="606">
        <f t="shared" ca="1" si="39"/>
        <v>0</v>
      </c>
      <c r="BB14" s="606">
        <f t="shared" ca="1" si="39"/>
        <v>0</v>
      </c>
      <c r="BC14" s="606">
        <f t="shared" ca="1" si="39"/>
        <v>0</v>
      </c>
      <c r="BD14" s="606">
        <f t="shared" ca="1" si="39"/>
        <v>0</v>
      </c>
      <c r="BE14" s="606">
        <f t="shared" ca="1" si="39"/>
        <v>0</v>
      </c>
      <c r="BF14" s="606">
        <f t="shared" ca="1" si="39"/>
        <v>0</v>
      </c>
      <c r="BG14" s="606">
        <f t="shared" ca="1" si="39"/>
        <v>0</v>
      </c>
      <c r="BH14" s="606">
        <f t="shared" ca="1" si="39"/>
        <v>0</v>
      </c>
      <c r="BI14" s="606">
        <f t="shared" ca="1" si="39"/>
        <v>0</v>
      </c>
      <c r="BJ14" s="606">
        <f t="shared" ca="1" si="39"/>
        <v>0</v>
      </c>
      <c r="BK14" s="606">
        <f t="shared" ca="1" si="39"/>
        <v>0</v>
      </c>
      <c r="BL14" s="606">
        <f t="shared" ca="1" si="39"/>
        <v>0</v>
      </c>
      <c r="BM14" s="606">
        <f t="shared" ca="1" si="39"/>
        <v>0</v>
      </c>
      <c r="BN14" s="606">
        <f t="shared" ca="1" si="39"/>
        <v>0</v>
      </c>
      <c r="BO14" s="606">
        <f t="shared" ca="1" si="39"/>
        <v>0</v>
      </c>
      <c r="BP14" s="606">
        <f t="shared" ca="1" si="39"/>
        <v>0</v>
      </c>
      <c r="BQ14" s="606">
        <f t="shared" ca="1" si="39"/>
        <v>0</v>
      </c>
      <c r="BR14" s="606">
        <f t="shared" ca="1" si="39"/>
        <v>0</v>
      </c>
      <c r="BS14" s="606">
        <f t="shared" ref="BS14:CX14" ca="1" si="40">BS79*$F$14</f>
        <v>0</v>
      </c>
      <c r="BT14" s="606">
        <f t="shared" ca="1" si="40"/>
        <v>0</v>
      </c>
      <c r="BU14" s="606">
        <f t="shared" ca="1" si="40"/>
        <v>0</v>
      </c>
      <c r="BV14" s="606">
        <f t="shared" ca="1" si="40"/>
        <v>0</v>
      </c>
      <c r="BW14" s="606">
        <f t="shared" ca="1" si="40"/>
        <v>0</v>
      </c>
      <c r="BX14" s="606">
        <f t="shared" ca="1" si="40"/>
        <v>0</v>
      </c>
      <c r="BY14" s="606">
        <f t="shared" ca="1" si="40"/>
        <v>0</v>
      </c>
      <c r="BZ14" s="606">
        <f t="shared" ca="1" si="40"/>
        <v>0</v>
      </c>
      <c r="CA14" s="606">
        <f t="shared" ca="1" si="40"/>
        <v>0</v>
      </c>
      <c r="CB14" s="606">
        <f t="shared" ca="1" si="40"/>
        <v>0</v>
      </c>
      <c r="CC14" s="606">
        <f t="shared" ca="1" si="40"/>
        <v>0</v>
      </c>
      <c r="CD14" s="606">
        <f t="shared" ca="1" si="40"/>
        <v>0</v>
      </c>
      <c r="CE14" s="606">
        <f t="shared" ca="1" si="40"/>
        <v>0</v>
      </c>
      <c r="CF14" s="606">
        <f t="shared" ca="1" si="40"/>
        <v>0</v>
      </c>
      <c r="CG14" s="606">
        <f t="shared" ca="1" si="40"/>
        <v>0</v>
      </c>
      <c r="CH14" s="606">
        <f t="shared" ca="1" si="40"/>
        <v>0</v>
      </c>
      <c r="CI14" s="606">
        <f t="shared" ca="1" si="40"/>
        <v>0</v>
      </c>
      <c r="CJ14" s="606">
        <f t="shared" ca="1" si="40"/>
        <v>0</v>
      </c>
      <c r="CK14" s="606">
        <f t="shared" ca="1" si="40"/>
        <v>0</v>
      </c>
      <c r="CL14" s="606">
        <f t="shared" ca="1" si="40"/>
        <v>0</v>
      </c>
      <c r="CM14" s="606">
        <f t="shared" ca="1" si="40"/>
        <v>0</v>
      </c>
      <c r="CN14" s="606">
        <f t="shared" ca="1" si="40"/>
        <v>0</v>
      </c>
      <c r="CO14" s="606">
        <f t="shared" ca="1" si="40"/>
        <v>0</v>
      </c>
      <c r="CP14" s="606">
        <f t="shared" ca="1" si="40"/>
        <v>0</v>
      </c>
      <c r="CQ14" s="606">
        <f t="shared" ca="1" si="40"/>
        <v>0</v>
      </c>
      <c r="CR14" s="606">
        <f t="shared" ca="1" si="40"/>
        <v>0</v>
      </c>
      <c r="CS14" s="606">
        <f t="shared" ca="1" si="40"/>
        <v>0</v>
      </c>
      <c r="CT14" s="606">
        <f t="shared" ca="1" si="40"/>
        <v>0</v>
      </c>
      <c r="CU14" s="606">
        <f t="shared" ca="1" si="40"/>
        <v>0</v>
      </c>
      <c r="CV14" s="606">
        <f t="shared" ca="1" si="40"/>
        <v>0</v>
      </c>
      <c r="CW14" s="606">
        <f t="shared" ca="1" si="40"/>
        <v>0</v>
      </c>
      <c r="CX14" s="606">
        <f t="shared" ca="1" si="40"/>
        <v>0</v>
      </c>
      <c r="CY14" s="606">
        <f t="shared" ref="CY14:ED14" ca="1" si="41">CY79*$F$14</f>
        <v>0</v>
      </c>
      <c r="CZ14" s="606">
        <f t="shared" ca="1" si="41"/>
        <v>0</v>
      </c>
      <c r="DA14" s="606">
        <f t="shared" ca="1" si="41"/>
        <v>0</v>
      </c>
      <c r="DB14" s="606">
        <f t="shared" ca="1" si="41"/>
        <v>0</v>
      </c>
      <c r="DC14" s="606">
        <f t="shared" ca="1" si="41"/>
        <v>0</v>
      </c>
      <c r="DD14" s="606">
        <f t="shared" ca="1" si="41"/>
        <v>0</v>
      </c>
      <c r="DE14" s="606">
        <f t="shared" ca="1" si="41"/>
        <v>0</v>
      </c>
      <c r="DF14" s="606">
        <f t="shared" ca="1" si="41"/>
        <v>0</v>
      </c>
      <c r="DG14" s="606">
        <f t="shared" ca="1" si="41"/>
        <v>0</v>
      </c>
      <c r="DH14" s="606">
        <f t="shared" ca="1" si="41"/>
        <v>0</v>
      </c>
      <c r="DI14" s="606">
        <f t="shared" ca="1" si="41"/>
        <v>0</v>
      </c>
      <c r="DJ14" s="606">
        <f t="shared" ca="1" si="41"/>
        <v>0</v>
      </c>
      <c r="DK14" s="606">
        <f t="shared" ca="1" si="41"/>
        <v>0</v>
      </c>
      <c r="DL14" s="606">
        <f t="shared" ca="1" si="41"/>
        <v>0</v>
      </c>
      <c r="DM14" s="606">
        <f t="shared" ca="1" si="41"/>
        <v>0</v>
      </c>
      <c r="DN14" s="606">
        <f t="shared" ca="1" si="41"/>
        <v>0</v>
      </c>
      <c r="DO14" s="606">
        <f t="shared" ca="1" si="41"/>
        <v>0</v>
      </c>
      <c r="DP14" s="606">
        <f t="shared" ca="1" si="41"/>
        <v>0</v>
      </c>
      <c r="DQ14" s="606">
        <f t="shared" ca="1" si="41"/>
        <v>0</v>
      </c>
      <c r="DR14" s="606">
        <f t="shared" ca="1" si="41"/>
        <v>0</v>
      </c>
      <c r="DS14" s="606">
        <f t="shared" ca="1" si="41"/>
        <v>0</v>
      </c>
      <c r="DT14" s="606">
        <f t="shared" ca="1" si="41"/>
        <v>0</v>
      </c>
      <c r="DU14" s="606">
        <f t="shared" ca="1" si="41"/>
        <v>0</v>
      </c>
      <c r="DV14" s="606">
        <f t="shared" ca="1" si="41"/>
        <v>0</v>
      </c>
      <c r="DW14" s="606">
        <f t="shared" ca="1" si="41"/>
        <v>0</v>
      </c>
      <c r="DX14" s="606">
        <f t="shared" ca="1" si="41"/>
        <v>0</v>
      </c>
      <c r="DY14" s="606">
        <f t="shared" ca="1" si="41"/>
        <v>0</v>
      </c>
      <c r="DZ14" s="606">
        <f t="shared" ca="1" si="41"/>
        <v>0</v>
      </c>
      <c r="EA14" s="606">
        <f t="shared" ca="1" si="41"/>
        <v>0</v>
      </c>
      <c r="EB14" s="606">
        <f t="shared" ca="1" si="41"/>
        <v>0</v>
      </c>
      <c r="EC14" s="606">
        <f t="shared" ca="1" si="41"/>
        <v>0</v>
      </c>
      <c r="ED14" s="606">
        <f t="shared" ca="1" si="41"/>
        <v>0</v>
      </c>
      <c r="EE14" s="606">
        <f t="shared" ref="EE14:EJ14" ca="1" si="42">EE79*$F$14</f>
        <v>0</v>
      </c>
      <c r="EF14" s="606">
        <f t="shared" ca="1" si="42"/>
        <v>0</v>
      </c>
      <c r="EG14" s="606">
        <f t="shared" ca="1" si="42"/>
        <v>0</v>
      </c>
      <c r="EH14" s="606">
        <f t="shared" ca="1" si="42"/>
        <v>0</v>
      </c>
      <c r="EI14" s="606">
        <f t="shared" ca="1" si="42"/>
        <v>0</v>
      </c>
      <c r="EJ14" s="606">
        <f t="shared" si="42"/>
        <v>0</v>
      </c>
    </row>
    <row r="15" spans="1:141" s="321" customFormat="1" outlineLevel="1">
      <c r="B15" s="332"/>
      <c r="C15" s="317" t="s">
        <v>1609</v>
      </c>
      <c r="D15" s="317" t="s">
        <v>1713</v>
      </c>
      <c r="E15" s="606">
        <f t="shared" ca="1" si="17"/>
        <v>0</v>
      </c>
      <c r="F15" s="606">
        <f>'Распределение по статьям'!AC102-F16-F17</f>
        <v>0</v>
      </c>
      <c r="G15" s="606">
        <f t="shared" ref="G15:AL15" si="43">G96*$F$15</f>
        <v>0</v>
      </c>
      <c r="H15" s="606">
        <f t="shared" ca="1" si="43"/>
        <v>0</v>
      </c>
      <c r="I15" s="606">
        <f t="shared" ca="1" si="43"/>
        <v>0</v>
      </c>
      <c r="J15" s="606">
        <f t="shared" ca="1" si="43"/>
        <v>0</v>
      </c>
      <c r="K15" s="606">
        <f t="shared" ca="1" si="43"/>
        <v>0</v>
      </c>
      <c r="L15" s="606">
        <f t="shared" ca="1" si="43"/>
        <v>0</v>
      </c>
      <c r="M15" s="606">
        <f t="shared" ca="1" si="43"/>
        <v>0</v>
      </c>
      <c r="N15" s="606">
        <f t="shared" ca="1" si="43"/>
        <v>0</v>
      </c>
      <c r="O15" s="606">
        <f t="shared" ca="1" si="43"/>
        <v>0</v>
      </c>
      <c r="P15" s="606">
        <f t="shared" ca="1" si="43"/>
        <v>0</v>
      </c>
      <c r="Q15" s="606">
        <f t="shared" ca="1" si="43"/>
        <v>0</v>
      </c>
      <c r="R15" s="606">
        <f t="shared" ca="1" si="43"/>
        <v>0</v>
      </c>
      <c r="S15" s="606">
        <f t="shared" ca="1" si="43"/>
        <v>0</v>
      </c>
      <c r="T15" s="606">
        <f t="shared" ca="1" si="43"/>
        <v>0</v>
      </c>
      <c r="U15" s="606">
        <f t="shared" ca="1" si="43"/>
        <v>0</v>
      </c>
      <c r="V15" s="606">
        <f t="shared" ca="1" si="43"/>
        <v>0</v>
      </c>
      <c r="W15" s="606">
        <f t="shared" ca="1" si="43"/>
        <v>0</v>
      </c>
      <c r="X15" s="606">
        <f t="shared" ca="1" si="43"/>
        <v>0</v>
      </c>
      <c r="Y15" s="606">
        <f t="shared" ca="1" si="43"/>
        <v>0</v>
      </c>
      <c r="Z15" s="606">
        <f t="shared" ca="1" si="43"/>
        <v>0</v>
      </c>
      <c r="AA15" s="606">
        <f t="shared" ca="1" si="43"/>
        <v>0</v>
      </c>
      <c r="AB15" s="606">
        <f t="shared" ca="1" si="43"/>
        <v>0</v>
      </c>
      <c r="AC15" s="606">
        <f t="shared" ca="1" si="43"/>
        <v>0</v>
      </c>
      <c r="AD15" s="606">
        <f t="shared" ca="1" si="43"/>
        <v>0</v>
      </c>
      <c r="AE15" s="606">
        <f t="shared" ca="1" si="43"/>
        <v>0</v>
      </c>
      <c r="AF15" s="606">
        <f t="shared" ca="1" si="43"/>
        <v>0</v>
      </c>
      <c r="AG15" s="606">
        <f t="shared" ca="1" si="43"/>
        <v>0</v>
      </c>
      <c r="AH15" s="606">
        <f t="shared" ca="1" si="43"/>
        <v>0</v>
      </c>
      <c r="AI15" s="606">
        <f t="shared" ca="1" si="43"/>
        <v>0</v>
      </c>
      <c r="AJ15" s="606">
        <f t="shared" ca="1" si="43"/>
        <v>0</v>
      </c>
      <c r="AK15" s="606">
        <f t="shared" ca="1" si="43"/>
        <v>0</v>
      </c>
      <c r="AL15" s="606">
        <f t="shared" ca="1" si="43"/>
        <v>0</v>
      </c>
      <c r="AM15" s="606">
        <f t="shared" ref="AM15:BR15" ca="1" si="44">AM96*$F$15</f>
        <v>0</v>
      </c>
      <c r="AN15" s="606">
        <f t="shared" ca="1" si="44"/>
        <v>0</v>
      </c>
      <c r="AO15" s="606">
        <f t="shared" ca="1" si="44"/>
        <v>0</v>
      </c>
      <c r="AP15" s="606">
        <f t="shared" ca="1" si="44"/>
        <v>0</v>
      </c>
      <c r="AQ15" s="606">
        <f t="shared" ca="1" si="44"/>
        <v>0</v>
      </c>
      <c r="AR15" s="606">
        <f t="shared" ca="1" si="44"/>
        <v>0</v>
      </c>
      <c r="AS15" s="606">
        <f t="shared" ca="1" si="44"/>
        <v>0</v>
      </c>
      <c r="AT15" s="606">
        <f t="shared" ca="1" si="44"/>
        <v>0</v>
      </c>
      <c r="AU15" s="606">
        <f t="shared" ca="1" si="44"/>
        <v>0</v>
      </c>
      <c r="AV15" s="606">
        <f t="shared" ca="1" si="44"/>
        <v>0</v>
      </c>
      <c r="AW15" s="606">
        <f t="shared" ca="1" si="44"/>
        <v>0</v>
      </c>
      <c r="AX15" s="606">
        <f t="shared" ca="1" si="44"/>
        <v>0</v>
      </c>
      <c r="AY15" s="606">
        <f t="shared" ca="1" si="44"/>
        <v>0</v>
      </c>
      <c r="AZ15" s="606">
        <f t="shared" ca="1" si="44"/>
        <v>0</v>
      </c>
      <c r="BA15" s="606">
        <f t="shared" ca="1" si="44"/>
        <v>0</v>
      </c>
      <c r="BB15" s="606">
        <f t="shared" ca="1" si="44"/>
        <v>0</v>
      </c>
      <c r="BC15" s="606">
        <f t="shared" ca="1" si="44"/>
        <v>0</v>
      </c>
      <c r="BD15" s="606">
        <f t="shared" ca="1" si="44"/>
        <v>0</v>
      </c>
      <c r="BE15" s="606">
        <f t="shared" ca="1" si="44"/>
        <v>0</v>
      </c>
      <c r="BF15" s="606">
        <f t="shared" ca="1" si="44"/>
        <v>0</v>
      </c>
      <c r="BG15" s="606">
        <f t="shared" ca="1" si="44"/>
        <v>0</v>
      </c>
      <c r="BH15" s="606">
        <f t="shared" ca="1" si="44"/>
        <v>0</v>
      </c>
      <c r="BI15" s="606">
        <f t="shared" ca="1" si="44"/>
        <v>0</v>
      </c>
      <c r="BJ15" s="606">
        <f t="shared" ca="1" si="44"/>
        <v>0</v>
      </c>
      <c r="BK15" s="606">
        <f t="shared" ca="1" si="44"/>
        <v>0</v>
      </c>
      <c r="BL15" s="606">
        <f t="shared" ca="1" si="44"/>
        <v>0</v>
      </c>
      <c r="BM15" s="606">
        <f t="shared" ca="1" si="44"/>
        <v>0</v>
      </c>
      <c r="BN15" s="606">
        <f t="shared" ca="1" si="44"/>
        <v>0</v>
      </c>
      <c r="BO15" s="606">
        <f t="shared" ca="1" si="44"/>
        <v>0</v>
      </c>
      <c r="BP15" s="606">
        <f t="shared" ca="1" si="44"/>
        <v>0</v>
      </c>
      <c r="BQ15" s="606">
        <f t="shared" ca="1" si="44"/>
        <v>0</v>
      </c>
      <c r="BR15" s="606">
        <f t="shared" ca="1" si="44"/>
        <v>0</v>
      </c>
      <c r="BS15" s="606">
        <f t="shared" ref="BS15:CX15" ca="1" si="45">BS96*$F$15</f>
        <v>0</v>
      </c>
      <c r="BT15" s="606">
        <f t="shared" ca="1" si="45"/>
        <v>0</v>
      </c>
      <c r="BU15" s="606">
        <f t="shared" ca="1" si="45"/>
        <v>0</v>
      </c>
      <c r="BV15" s="606">
        <f t="shared" ca="1" si="45"/>
        <v>0</v>
      </c>
      <c r="BW15" s="606">
        <f t="shared" ca="1" si="45"/>
        <v>0</v>
      </c>
      <c r="BX15" s="606">
        <f t="shared" ca="1" si="45"/>
        <v>0</v>
      </c>
      <c r="BY15" s="606">
        <f t="shared" ca="1" si="45"/>
        <v>0</v>
      </c>
      <c r="BZ15" s="606">
        <f t="shared" ca="1" si="45"/>
        <v>0</v>
      </c>
      <c r="CA15" s="606">
        <f t="shared" ca="1" si="45"/>
        <v>0</v>
      </c>
      <c r="CB15" s="606">
        <f t="shared" ca="1" si="45"/>
        <v>0</v>
      </c>
      <c r="CC15" s="606">
        <f t="shared" ca="1" si="45"/>
        <v>0</v>
      </c>
      <c r="CD15" s="606">
        <f t="shared" ca="1" si="45"/>
        <v>0</v>
      </c>
      <c r="CE15" s="606">
        <f t="shared" ca="1" si="45"/>
        <v>0</v>
      </c>
      <c r="CF15" s="606">
        <f t="shared" ca="1" si="45"/>
        <v>0</v>
      </c>
      <c r="CG15" s="606">
        <f t="shared" ca="1" si="45"/>
        <v>0</v>
      </c>
      <c r="CH15" s="606">
        <f t="shared" ca="1" si="45"/>
        <v>0</v>
      </c>
      <c r="CI15" s="606">
        <f t="shared" ca="1" si="45"/>
        <v>0</v>
      </c>
      <c r="CJ15" s="606">
        <f t="shared" ca="1" si="45"/>
        <v>0</v>
      </c>
      <c r="CK15" s="606">
        <f t="shared" ca="1" si="45"/>
        <v>0</v>
      </c>
      <c r="CL15" s="606">
        <f t="shared" ca="1" si="45"/>
        <v>0</v>
      </c>
      <c r="CM15" s="606">
        <f t="shared" ca="1" si="45"/>
        <v>0</v>
      </c>
      <c r="CN15" s="606">
        <f t="shared" ca="1" si="45"/>
        <v>0</v>
      </c>
      <c r="CO15" s="606">
        <f t="shared" ca="1" si="45"/>
        <v>0</v>
      </c>
      <c r="CP15" s="606">
        <f t="shared" ca="1" si="45"/>
        <v>0</v>
      </c>
      <c r="CQ15" s="606">
        <f t="shared" ca="1" si="45"/>
        <v>0</v>
      </c>
      <c r="CR15" s="606">
        <f t="shared" ca="1" si="45"/>
        <v>0</v>
      </c>
      <c r="CS15" s="606">
        <f t="shared" ca="1" si="45"/>
        <v>0</v>
      </c>
      <c r="CT15" s="606">
        <f t="shared" ca="1" si="45"/>
        <v>0</v>
      </c>
      <c r="CU15" s="606">
        <f t="shared" ca="1" si="45"/>
        <v>0</v>
      </c>
      <c r="CV15" s="606">
        <f t="shared" ca="1" si="45"/>
        <v>0</v>
      </c>
      <c r="CW15" s="606">
        <f t="shared" ca="1" si="45"/>
        <v>0</v>
      </c>
      <c r="CX15" s="606">
        <f t="shared" ca="1" si="45"/>
        <v>0</v>
      </c>
      <c r="CY15" s="606">
        <f t="shared" ref="CY15:ED15" ca="1" si="46">CY96*$F$15</f>
        <v>0</v>
      </c>
      <c r="CZ15" s="606">
        <f t="shared" ca="1" si="46"/>
        <v>0</v>
      </c>
      <c r="DA15" s="606">
        <f t="shared" ca="1" si="46"/>
        <v>0</v>
      </c>
      <c r="DB15" s="606">
        <f t="shared" ca="1" si="46"/>
        <v>0</v>
      </c>
      <c r="DC15" s="606">
        <f t="shared" ca="1" si="46"/>
        <v>0</v>
      </c>
      <c r="DD15" s="606">
        <f t="shared" ca="1" si="46"/>
        <v>0</v>
      </c>
      <c r="DE15" s="606">
        <f t="shared" ca="1" si="46"/>
        <v>0</v>
      </c>
      <c r="DF15" s="606">
        <f t="shared" ca="1" si="46"/>
        <v>0</v>
      </c>
      <c r="DG15" s="606">
        <f t="shared" ca="1" si="46"/>
        <v>0</v>
      </c>
      <c r="DH15" s="606">
        <f t="shared" ca="1" si="46"/>
        <v>0</v>
      </c>
      <c r="DI15" s="606">
        <f t="shared" ca="1" si="46"/>
        <v>0</v>
      </c>
      <c r="DJ15" s="606">
        <f t="shared" ca="1" si="46"/>
        <v>0</v>
      </c>
      <c r="DK15" s="606">
        <f t="shared" ca="1" si="46"/>
        <v>0</v>
      </c>
      <c r="DL15" s="606">
        <f t="shared" ca="1" si="46"/>
        <v>0</v>
      </c>
      <c r="DM15" s="606">
        <f t="shared" ca="1" si="46"/>
        <v>0</v>
      </c>
      <c r="DN15" s="606">
        <f t="shared" ca="1" si="46"/>
        <v>0</v>
      </c>
      <c r="DO15" s="606">
        <f t="shared" ca="1" si="46"/>
        <v>0</v>
      </c>
      <c r="DP15" s="606">
        <f t="shared" ca="1" si="46"/>
        <v>0</v>
      </c>
      <c r="DQ15" s="606">
        <f t="shared" ca="1" si="46"/>
        <v>0</v>
      </c>
      <c r="DR15" s="606">
        <f t="shared" ca="1" si="46"/>
        <v>0</v>
      </c>
      <c r="DS15" s="606">
        <f t="shared" ca="1" si="46"/>
        <v>0</v>
      </c>
      <c r="DT15" s="606">
        <f t="shared" ca="1" si="46"/>
        <v>0</v>
      </c>
      <c r="DU15" s="606">
        <f t="shared" ca="1" si="46"/>
        <v>0</v>
      </c>
      <c r="DV15" s="606">
        <f t="shared" ca="1" si="46"/>
        <v>0</v>
      </c>
      <c r="DW15" s="606">
        <f t="shared" ca="1" si="46"/>
        <v>0</v>
      </c>
      <c r="DX15" s="606">
        <f t="shared" ca="1" si="46"/>
        <v>0</v>
      </c>
      <c r="DY15" s="606">
        <f t="shared" ca="1" si="46"/>
        <v>0</v>
      </c>
      <c r="DZ15" s="606">
        <f t="shared" ca="1" si="46"/>
        <v>0</v>
      </c>
      <c r="EA15" s="606">
        <f t="shared" ca="1" si="46"/>
        <v>0</v>
      </c>
      <c r="EB15" s="606">
        <f t="shared" ca="1" si="46"/>
        <v>0</v>
      </c>
      <c r="EC15" s="606">
        <f t="shared" ca="1" si="46"/>
        <v>0</v>
      </c>
      <c r="ED15" s="606">
        <f t="shared" ca="1" si="46"/>
        <v>0</v>
      </c>
      <c r="EE15" s="606">
        <f t="shared" ref="EE15:EJ15" ca="1" si="47">EE96*$F$15</f>
        <v>0</v>
      </c>
      <c r="EF15" s="606">
        <f t="shared" ca="1" si="47"/>
        <v>0</v>
      </c>
      <c r="EG15" s="606">
        <f t="shared" ca="1" si="47"/>
        <v>0</v>
      </c>
      <c r="EH15" s="606">
        <f t="shared" ca="1" si="47"/>
        <v>0</v>
      </c>
      <c r="EI15" s="606">
        <f t="shared" ca="1" si="47"/>
        <v>0</v>
      </c>
      <c r="EJ15" s="606">
        <f t="shared" si="47"/>
        <v>0</v>
      </c>
      <c r="EK15" s="332"/>
    </row>
    <row r="16" spans="1:141" customFormat="1" outlineLevel="1" collapsed="1">
      <c r="A16" s="321"/>
      <c r="B16" s="321"/>
      <c r="C16" s="317" t="s">
        <v>1622</v>
      </c>
      <c r="D16" s="317" t="s">
        <v>778</v>
      </c>
      <c r="E16" s="606">
        <f ca="1">F16-SUM(G16:EJ16)</f>
        <v>0</v>
      </c>
      <c r="F16" s="606">
        <f>'Распределение по статьям'!AC104</f>
        <v>42117004.328571543</v>
      </c>
      <c r="G16" s="606">
        <f t="shared" ref="G16:AL16" si="48">G82*$F$16</f>
        <v>0</v>
      </c>
      <c r="H16" s="606">
        <f t="shared" si="48"/>
        <v>0</v>
      </c>
      <c r="I16" s="606">
        <f t="shared" ca="1" si="48"/>
        <v>0</v>
      </c>
      <c r="J16" s="606">
        <f t="shared" ca="1" si="48"/>
        <v>0</v>
      </c>
      <c r="K16" s="606">
        <f t="shared" ca="1" si="48"/>
        <v>0</v>
      </c>
      <c r="L16" s="606">
        <f t="shared" ca="1" si="48"/>
        <v>0</v>
      </c>
      <c r="M16" s="606">
        <f t="shared" ca="1" si="48"/>
        <v>0</v>
      </c>
      <c r="N16" s="606">
        <f t="shared" ca="1" si="48"/>
        <v>0</v>
      </c>
      <c r="O16" s="606">
        <f t="shared" ca="1" si="48"/>
        <v>0</v>
      </c>
      <c r="P16" s="606">
        <f t="shared" ca="1" si="48"/>
        <v>0</v>
      </c>
      <c r="Q16" s="606">
        <f t="shared" ca="1" si="48"/>
        <v>0</v>
      </c>
      <c r="R16" s="606">
        <f t="shared" ca="1" si="48"/>
        <v>0</v>
      </c>
      <c r="S16" s="606">
        <f t="shared" ca="1" si="48"/>
        <v>0</v>
      </c>
      <c r="T16" s="606">
        <f t="shared" ca="1" si="48"/>
        <v>29481903.030000091</v>
      </c>
      <c r="U16" s="606">
        <f t="shared" ca="1" si="48"/>
        <v>12635101.298571449</v>
      </c>
      <c r="V16" s="606">
        <f t="shared" ca="1" si="48"/>
        <v>0</v>
      </c>
      <c r="W16" s="606">
        <f t="shared" ca="1" si="48"/>
        <v>0</v>
      </c>
      <c r="X16" s="606">
        <f t="shared" ca="1" si="48"/>
        <v>0</v>
      </c>
      <c r="Y16" s="606">
        <f t="shared" ca="1" si="48"/>
        <v>0</v>
      </c>
      <c r="Z16" s="606">
        <f t="shared" ca="1" si="48"/>
        <v>0</v>
      </c>
      <c r="AA16" s="606">
        <f t="shared" ca="1" si="48"/>
        <v>0</v>
      </c>
      <c r="AB16" s="606">
        <f t="shared" ca="1" si="48"/>
        <v>0</v>
      </c>
      <c r="AC16" s="606">
        <f t="shared" ca="1" si="48"/>
        <v>0</v>
      </c>
      <c r="AD16" s="606">
        <f t="shared" ca="1" si="48"/>
        <v>0</v>
      </c>
      <c r="AE16" s="606">
        <f t="shared" ca="1" si="48"/>
        <v>0</v>
      </c>
      <c r="AF16" s="606">
        <f t="shared" ca="1" si="48"/>
        <v>0</v>
      </c>
      <c r="AG16" s="606">
        <f t="shared" ca="1" si="48"/>
        <v>0</v>
      </c>
      <c r="AH16" s="606">
        <f t="shared" ca="1" si="48"/>
        <v>0</v>
      </c>
      <c r="AI16" s="606">
        <f t="shared" ca="1" si="48"/>
        <v>0</v>
      </c>
      <c r="AJ16" s="606">
        <f t="shared" ca="1" si="48"/>
        <v>0</v>
      </c>
      <c r="AK16" s="606">
        <f t="shared" ca="1" si="48"/>
        <v>0</v>
      </c>
      <c r="AL16" s="606">
        <f t="shared" ca="1" si="48"/>
        <v>0</v>
      </c>
      <c r="AM16" s="606">
        <f t="shared" ref="AM16:BR16" ca="1" si="49">AM82*$F$16</f>
        <v>0</v>
      </c>
      <c r="AN16" s="606">
        <f t="shared" ca="1" si="49"/>
        <v>0</v>
      </c>
      <c r="AO16" s="606">
        <f t="shared" ca="1" si="49"/>
        <v>0</v>
      </c>
      <c r="AP16" s="606">
        <f t="shared" ca="1" si="49"/>
        <v>0</v>
      </c>
      <c r="AQ16" s="606">
        <f t="shared" ca="1" si="49"/>
        <v>0</v>
      </c>
      <c r="AR16" s="606">
        <f t="shared" ca="1" si="49"/>
        <v>0</v>
      </c>
      <c r="AS16" s="606">
        <f t="shared" ca="1" si="49"/>
        <v>0</v>
      </c>
      <c r="AT16" s="606">
        <f t="shared" ca="1" si="49"/>
        <v>0</v>
      </c>
      <c r="AU16" s="606">
        <f t="shared" ca="1" si="49"/>
        <v>0</v>
      </c>
      <c r="AV16" s="606">
        <f t="shared" ca="1" si="49"/>
        <v>0</v>
      </c>
      <c r="AW16" s="606">
        <f t="shared" ca="1" si="49"/>
        <v>0</v>
      </c>
      <c r="AX16" s="606">
        <f t="shared" ca="1" si="49"/>
        <v>0</v>
      </c>
      <c r="AY16" s="606">
        <f t="shared" ca="1" si="49"/>
        <v>0</v>
      </c>
      <c r="AZ16" s="606">
        <f t="shared" ca="1" si="49"/>
        <v>0</v>
      </c>
      <c r="BA16" s="606">
        <f t="shared" ca="1" si="49"/>
        <v>0</v>
      </c>
      <c r="BB16" s="606">
        <f t="shared" ca="1" si="49"/>
        <v>0</v>
      </c>
      <c r="BC16" s="606">
        <f t="shared" ca="1" si="49"/>
        <v>0</v>
      </c>
      <c r="BD16" s="606">
        <f t="shared" ca="1" si="49"/>
        <v>0</v>
      </c>
      <c r="BE16" s="606">
        <f t="shared" ca="1" si="49"/>
        <v>0</v>
      </c>
      <c r="BF16" s="606">
        <f t="shared" ca="1" si="49"/>
        <v>0</v>
      </c>
      <c r="BG16" s="606">
        <f t="shared" ca="1" si="49"/>
        <v>0</v>
      </c>
      <c r="BH16" s="606">
        <f t="shared" ca="1" si="49"/>
        <v>0</v>
      </c>
      <c r="BI16" s="606">
        <f t="shared" ca="1" si="49"/>
        <v>0</v>
      </c>
      <c r="BJ16" s="606">
        <f t="shared" ca="1" si="49"/>
        <v>0</v>
      </c>
      <c r="BK16" s="606">
        <f t="shared" ca="1" si="49"/>
        <v>0</v>
      </c>
      <c r="BL16" s="606">
        <f t="shared" ca="1" si="49"/>
        <v>0</v>
      </c>
      <c r="BM16" s="606">
        <f t="shared" ca="1" si="49"/>
        <v>0</v>
      </c>
      <c r="BN16" s="606">
        <f t="shared" ca="1" si="49"/>
        <v>0</v>
      </c>
      <c r="BO16" s="606">
        <f t="shared" ca="1" si="49"/>
        <v>0</v>
      </c>
      <c r="BP16" s="606">
        <f t="shared" ca="1" si="49"/>
        <v>0</v>
      </c>
      <c r="BQ16" s="606">
        <f t="shared" ca="1" si="49"/>
        <v>0</v>
      </c>
      <c r="BR16" s="606">
        <f t="shared" ca="1" si="49"/>
        <v>0</v>
      </c>
      <c r="BS16" s="606">
        <f t="shared" ref="BS16:CX16" ca="1" si="50">BS82*$F$16</f>
        <v>0</v>
      </c>
      <c r="BT16" s="606">
        <f t="shared" ca="1" si="50"/>
        <v>0</v>
      </c>
      <c r="BU16" s="606">
        <f t="shared" ca="1" si="50"/>
        <v>0</v>
      </c>
      <c r="BV16" s="606">
        <f t="shared" ca="1" si="50"/>
        <v>0</v>
      </c>
      <c r="BW16" s="606">
        <f t="shared" ca="1" si="50"/>
        <v>0</v>
      </c>
      <c r="BX16" s="606">
        <f t="shared" ca="1" si="50"/>
        <v>0</v>
      </c>
      <c r="BY16" s="606">
        <f t="shared" ca="1" si="50"/>
        <v>0</v>
      </c>
      <c r="BZ16" s="606">
        <f t="shared" ca="1" si="50"/>
        <v>0</v>
      </c>
      <c r="CA16" s="606">
        <f t="shared" ca="1" si="50"/>
        <v>0</v>
      </c>
      <c r="CB16" s="606">
        <f t="shared" ca="1" si="50"/>
        <v>0</v>
      </c>
      <c r="CC16" s="606">
        <f t="shared" ca="1" si="50"/>
        <v>0</v>
      </c>
      <c r="CD16" s="606">
        <f t="shared" ca="1" si="50"/>
        <v>0</v>
      </c>
      <c r="CE16" s="606">
        <f t="shared" ca="1" si="50"/>
        <v>0</v>
      </c>
      <c r="CF16" s="606">
        <f t="shared" ca="1" si="50"/>
        <v>0</v>
      </c>
      <c r="CG16" s="606">
        <f t="shared" ca="1" si="50"/>
        <v>0</v>
      </c>
      <c r="CH16" s="606">
        <f t="shared" ca="1" si="50"/>
        <v>0</v>
      </c>
      <c r="CI16" s="606">
        <f t="shared" ca="1" si="50"/>
        <v>0</v>
      </c>
      <c r="CJ16" s="606">
        <f t="shared" ca="1" si="50"/>
        <v>0</v>
      </c>
      <c r="CK16" s="606">
        <f t="shared" ca="1" si="50"/>
        <v>0</v>
      </c>
      <c r="CL16" s="606">
        <f t="shared" ca="1" si="50"/>
        <v>0</v>
      </c>
      <c r="CM16" s="606">
        <f t="shared" ca="1" si="50"/>
        <v>0</v>
      </c>
      <c r="CN16" s="606">
        <f t="shared" ca="1" si="50"/>
        <v>0</v>
      </c>
      <c r="CO16" s="606">
        <f t="shared" ca="1" si="50"/>
        <v>0</v>
      </c>
      <c r="CP16" s="606">
        <f t="shared" ca="1" si="50"/>
        <v>0</v>
      </c>
      <c r="CQ16" s="606">
        <f t="shared" ca="1" si="50"/>
        <v>0</v>
      </c>
      <c r="CR16" s="606">
        <f t="shared" ca="1" si="50"/>
        <v>0</v>
      </c>
      <c r="CS16" s="606">
        <f t="shared" ca="1" si="50"/>
        <v>0</v>
      </c>
      <c r="CT16" s="606">
        <f t="shared" ca="1" si="50"/>
        <v>0</v>
      </c>
      <c r="CU16" s="606">
        <f t="shared" ca="1" si="50"/>
        <v>0</v>
      </c>
      <c r="CV16" s="606">
        <f t="shared" ca="1" si="50"/>
        <v>0</v>
      </c>
      <c r="CW16" s="606">
        <f t="shared" ca="1" si="50"/>
        <v>0</v>
      </c>
      <c r="CX16" s="606">
        <f t="shared" ca="1" si="50"/>
        <v>0</v>
      </c>
      <c r="CY16" s="606">
        <f t="shared" ref="CY16:ED16" ca="1" si="51">CY82*$F$16</f>
        <v>0</v>
      </c>
      <c r="CZ16" s="606">
        <f t="shared" ca="1" si="51"/>
        <v>0</v>
      </c>
      <c r="DA16" s="606">
        <f t="shared" ca="1" si="51"/>
        <v>0</v>
      </c>
      <c r="DB16" s="606">
        <f t="shared" ca="1" si="51"/>
        <v>0</v>
      </c>
      <c r="DC16" s="606">
        <f t="shared" ca="1" si="51"/>
        <v>0</v>
      </c>
      <c r="DD16" s="606">
        <f t="shared" ca="1" si="51"/>
        <v>0</v>
      </c>
      <c r="DE16" s="606">
        <f t="shared" ca="1" si="51"/>
        <v>0</v>
      </c>
      <c r="DF16" s="606">
        <f t="shared" ca="1" si="51"/>
        <v>0</v>
      </c>
      <c r="DG16" s="606">
        <f t="shared" ca="1" si="51"/>
        <v>0</v>
      </c>
      <c r="DH16" s="606">
        <f t="shared" ca="1" si="51"/>
        <v>0</v>
      </c>
      <c r="DI16" s="606">
        <f t="shared" ca="1" si="51"/>
        <v>0</v>
      </c>
      <c r="DJ16" s="606">
        <f t="shared" ca="1" si="51"/>
        <v>0</v>
      </c>
      <c r="DK16" s="606">
        <f t="shared" ca="1" si="51"/>
        <v>0</v>
      </c>
      <c r="DL16" s="606">
        <f t="shared" ca="1" si="51"/>
        <v>0</v>
      </c>
      <c r="DM16" s="606">
        <f t="shared" ca="1" si="51"/>
        <v>0</v>
      </c>
      <c r="DN16" s="606">
        <f t="shared" ca="1" si="51"/>
        <v>0</v>
      </c>
      <c r="DO16" s="606">
        <f t="shared" ca="1" si="51"/>
        <v>0</v>
      </c>
      <c r="DP16" s="606">
        <f t="shared" ca="1" si="51"/>
        <v>0</v>
      </c>
      <c r="DQ16" s="606">
        <f t="shared" ca="1" si="51"/>
        <v>0</v>
      </c>
      <c r="DR16" s="606">
        <f t="shared" ca="1" si="51"/>
        <v>0</v>
      </c>
      <c r="DS16" s="606">
        <f t="shared" ca="1" si="51"/>
        <v>0</v>
      </c>
      <c r="DT16" s="606">
        <f t="shared" ca="1" si="51"/>
        <v>0</v>
      </c>
      <c r="DU16" s="606">
        <f t="shared" ca="1" si="51"/>
        <v>0</v>
      </c>
      <c r="DV16" s="606">
        <f t="shared" ca="1" si="51"/>
        <v>0</v>
      </c>
      <c r="DW16" s="606">
        <f t="shared" ca="1" si="51"/>
        <v>0</v>
      </c>
      <c r="DX16" s="606">
        <f t="shared" ca="1" si="51"/>
        <v>0</v>
      </c>
      <c r="DY16" s="606">
        <f t="shared" ca="1" si="51"/>
        <v>0</v>
      </c>
      <c r="DZ16" s="606">
        <f t="shared" ca="1" si="51"/>
        <v>0</v>
      </c>
      <c r="EA16" s="606">
        <f t="shared" ca="1" si="51"/>
        <v>0</v>
      </c>
      <c r="EB16" s="606">
        <f t="shared" ca="1" si="51"/>
        <v>0</v>
      </c>
      <c r="EC16" s="606">
        <f t="shared" ca="1" si="51"/>
        <v>0</v>
      </c>
      <c r="ED16" s="606">
        <f t="shared" ca="1" si="51"/>
        <v>0</v>
      </c>
      <c r="EE16" s="606">
        <f t="shared" ref="EE16:EJ16" ca="1" si="52">EE82*$F$16</f>
        <v>0</v>
      </c>
      <c r="EF16" s="606">
        <f t="shared" ca="1" si="52"/>
        <v>0</v>
      </c>
      <c r="EG16" s="606">
        <f t="shared" ca="1" si="52"/>
        <v>0</v>
      </c>
      <c r="EH16" s="606">
        <f t="shared" ca="1" si="52"/>
        <v>0</v>
      </c>
      <c r="EI16" s="606">
        <f t="shared" ca="1" si="52"/>
        <v>0</v>
      </c>
      <c r="EJ16" s="606">
        <f t="shared" si="52"/>
        <v>0</v>
      </c>
    </row>
    <row r="17" spans="1:141" customFormat="1" outlineLevel="1">
      <c r="A17" s="321"/>
      <c r="B17" s="321"/>
      <c r="C17" s="317" t="s">
        <v>1619</v>
      </c>
      <c r="D17" s="317" t="s">
        <v>1620</v>
      </c>
      <c r="E17" s="606">
        <f ca="1">F17-SUM(G17:EJ17)</f>
        <v>0</v>
      </c>
      <c r="F17" s="606">
        <f>'Распределение по статьям'!AC106</f>
        <v>0</v>
      </c>
      <c r="G17" s="606">
        <f t="shared" ref="G17:AL17" si="53">G82*$F$17</f>
        <v>0</v>
      </c>
      <c r="H17" s="606">
        <f t="shared" si="53"/>
        <v>0</v>
      </c>
      <c r="I17" s="606">
        <f t="shared" ca="1" si="53"/>
        <v>0</v>
      </c>
      <c r="J17" s="606">
        <f t="shared" ca="1" si="53"/>
        <v>0</v>
      </c>
      <c r="K17" s="606">
        <f t="shared" ca="1" si="53"/>
        <v>0</v>
      </c>
      <c r="L17" s="606">
        <f t="shared" ca="1" si="53"/>
        <v>0</v>
      </c>
      <c r="M17" s="606">
        <f t="shared" ca="1" si="53"/>
        <v>0</v>
      </c>
      <c r="N17" s="606">
        <f t="shared" ca="1" si="53"/>
        <v>0</v>
      </c>
      <c r="O17" s="606">
        <f t="shared" ca="1" si="53"/>
        <v>0</v>
      </c>
      <c r="P17" s="606">
        <f t="shared" ca="1" si="53"/>
        <v>0</v>
      </c>
      <c r="Q17" s="606">
        <f t="shared" ca="1" si="53"/>
        <v>0</v>
      </c>
      <c r="R17" s="606">
        <f t="shared" ca="1" si="53"/>
        <v>0</v>
      </c>
      <c r="S17" s="606">
        <f t="shared" ca="1" si="53"/>
        <v>0</v>
      </c>
      <c r="T17" s="606">
        <f t="shared" ca="1" si="53"/>
        <v>0</v>
      </c>
      <c r="U17" s="606">
        <f t="shared" ca="1" si="53"/>
        <v>0</v>
      </c>
      <c r="V17" s="606">
        <f t="shared" ca="1" si="53"/>
        <v>0</v>
      </c>
      <c r="W17" s="606">
        <f t="shared" ca="1" si="53"/>
        <v>0</v>
      </c>
      <c r="X17" s="606">
        <f t="shared" ca="1" si="53"/>
        <v>0</v>
      </c>
      <c r="Y17" s="606">
        <f t="shared" ca="1" si="53"/>
        <v>0</v>
      </c>
      <c r="Z17" s="606">
        <f t="shared" ca="1" si="53"/>
        <v>0</v>
      </c>
      <c r="AA17" s="606">
        <f t="shared" ca="1" si="53"/>
        <v>0</v>
      </c>
      <c r="AB17" s="606">
        <f t="shared" ca="1" si="53"/>
        <v>0</v>
      </c>
      <c r="AC17" s="606">
        <f t="shared" ca="1" si="53"/>
        <v>0</v>
      </c>
      <c r="AD17" s="606">
        <f t="shared" ca="1" si="53"/>
        <v>0</v>
      </c>
      <c r="AE17" s="606">
        <f t="shared" ca="1" si="53"/>
        <v>0</v>
      </c>
      <c r="AF17" s="606">
        <f t="shared" ca="1" si="53"/>
        <v>0</v>
      </c>
      <c r="AG17" s="606">
        <f t="shared" ca="1" si="53"/>
        <v>0</v>
      </c>
      <c r="AH17" s="606">
        <f t="shared" ca="1" si="53"/>
        <v>0</v>
      </c>
      <c r="AI17" s="606">
        <f t="shared" ca="1" si="53"/>
        <v>0</v>
      </c>
      <c r="AJ17" s="606">
        <f t="shared" ca="1" si="53"/>
        <v>0</v>
      </c>
      <c r="AK17" s="606">
        <f t="shared" ca="1" si="53"/>
        <v>0</v>
      </c>
      <c r="AL17" s="606">
        <f t="shared" ca="1" si="53"/>
        <v>0</v>
      </c>
      <c r="AM17" s="606">
        <f t="shared" ref="AM17:BR17" ca="1" si="54">AM82*$F$17</f>
        <v>0</v>
      </c>
      <c r="AN17" s="606">
        <f t="shared" ca="1" si="54"/>
        <v>0</v>
      </c>
      <c r="AO17" s="606">
        <f t="shared" ca="1" si="54"/>
        <v>0</v>
      </c>
      <c r="AP17" s="606">
        <f t="shared" ca="1" si="54"/>
        <v>0</v>
      </c>
      <c r="AQ17" s="606">
        <f t="shared" ca="1" si="54"/>
        <v>0</v>
      </c>
      <c r="AR17" s="606">
        <f t="shared" ca="1" si="54"/>
        <v>0</v>
      </c>
      <c r="AS17" s="606">
        <f t="shared" ca="1" si="54"/>
        <v>0</v>
      </c>
      <c r="AT17" s="606">
        <f t="shared" ca="1" si="54"/>
        <v>0</v>
      </c>
      <c r="AU17" s="606">
        <f t="shared" ca="1" si="54"/>
        <v>0</v>
      </c>
      <c r="AV17" s="606">
        <f t="shared" ca="1" si="54"/>
        <v>0</v>
      </c>
      <c r="AW17" s="606">
        <f t="shared" ca="1" si="54"/>
        <v>0</v>
      </c>
      <c r="AX17" s="606">
        <f t="shared" ca="1" si="54"/>
        <v>0</v>
      </c>
      <c r="AY17" s="606">
        <f t="shared" ca="1" si="54"/>
        <v>0</v>
      </c>
      <c r="AZ17" s="606">
        <f t="shared" ca="1" si="54"/>
        <v>0</v>
      </c>
      <c r="BA17" s="606">
        <f t="shared" ca="1" si="54"/>
        <v>0</v>
      </c>
      <c r="BB17" s="606">
        <f t="shared" ca="1" si="54"/>
        <v>0</v>
      </c>
      <c r="BC17" s="606">
        <f t="shared" ca="1" si="54"/>
        <v>0</v>
      </c>
      <c r="BD17" s="606">
        <f t="shared" ca="1" si="54"/>
        <v>0</v>
      </c>
      <c r="BE17" s="606">
        <f t="shared" ca="1" si="54"/>
        <v>0</v>
      </c>
      <c r="BF17" s="606">
        <f t="shared" ca="1" si="54"/>
        <v>0</v>
      </c>
      <c r="BG17" s="606">
        <f t="shared" ca="1" si="54"/>
        <v>0</v>
      </c>
      <c r="BH17" s="606">
        <f t="shared" ca="1" si="54"/>
        <v>0</v>
      </c>
      <c r="BI17" s="606">
        <f t="shared" ca="1" si="54"/>
        <v>0</v>
      </c>
      <c r="BJ17" s="606">
        <f t="shared" ca="1" si="54"/>
        <v>0</v>
      </c>
      <c r="BK17" s="606">
        <f t="shared" ca="1" si="54"/>
        <v>0</v>
      </c>
      <c r="BL17" s="606">
        <f t="shared" ca="1" si="54"/>
        <v>0</v>
      </c>
      <c r="BM17" s="606">
        <f t="shared" ca="1" si="54"/>
        <v>0</v>
      </c>
      <c r="BN17" s="606">
        <f t="shared" ca="1" si="54"/>
        <v>0</v>
      </c>
      <c r="BO17" s="606">
        <f t="shared" ca="1" si="54"/>
        <v>0</v>
      </c>
      <c r="BP17" s="606">
        <f t="shared" ca="1" si="54"/>
        <v>0</v>
      </c>
      <c r="BQ17" s="606">
        <f t="shared" ca="1" si="54"/>
        <v>0</v>
      </c>
      <c r="BR17" s="606">
        <f t="shared" ca="1" si="54"/>
        <v>0</v>
      </c>
      <c r="BS17" s="606">
        <f t="shared" ref="BS17:CX17" ca="1" si="55">BS82*$F$17</f>
        <v>0</v>
      </c>
      <c r="BT17" s="606">
        <f t="shared" ca="1" si="55"/>
        <v>0</v>
      </c>
      <c r="BU17" s="606">
        <f t="shared" ca="1" si="55"/>
        <v>0</v>
      </c>
      <c r="BV17" s="606">
        <f t="shared" ca="1" si="55"/>
        <v>0</v>
      </c>
      <c r="BW17" s="606">
        <f t="shared" ca="1" si="55"/>
        <v>0</v>
      </c>
      <c r="BX17" s="606">
        <f t="shared" ca="1" si="55"/>
        <v>0</v>
      </c>
      <c r="BY17" s="606">
        <f t="shared" ca="1" si="55"/>
        <v>0</v>
      </c>
      <c r="BZ17" s="606">
        <f t="shared" ca="1" si="55"/>
        <v>0</v>
      </c>
      <c r="CA17" s="606">
        <f t="shared" ca="1" si="55"/>
        <v>0</v>
      </c>
      <c r="CB17" s="606">
        <f t="shared" ca="1" si="55"/>
        <v>0</v>
      </c>
      <c r="CC17" s="606">
        <f t="shared" ca="1" si="55"/>
        <v>0</v>
      </c>
      <c r="CD17" s="606">
        <f t="shared" ca="1" si="55"/>
        <v>0</v>
      </c>
      <c r="CE17" s="606">
        <f t="shared" ca="1" si="55"/>
        <v>0</v>
      </c>
      <c r="CF17" s="606">
        <f t="shared" ca="1" si="55"/>
        <v>0</v>
      </c>
      <c r="CG17" s="606">
        <f t="shared" ca="1" si="55"/>
        <v>0</v>
      </c>
      <c r="CH17" s="606">
        <f t="shared" ca="1" si="55"/>
        <v>0</v>
      </c>
      <c r="CI17" s="606">
        <f t="shared" ca="1" si="55"/>
        <v>0</v>
      </c>
      <c r="CJ17" s="606">
        <f t="shared" ca="1" si="55"/>
        <v>0</v>
      </c>
      <c r="CK17" s="606">
        <f t="shared" ca="1" si="55"/>
        <v>0</v>
      </c>
      <c r="CL17" s="606">
        <f t="shared" ca="1" si="55"/>
        <v>0</v>
      </c>
      <c r="CM17" s="606">
        <f t="shared" ca="1" si="55"/>
        <v>0</v>
      </c>
      <c r="CN17" s="606">
        <f t="shared" ca="1" si="55"/>
        <v>0</v>
      </c>
      <c r="CO17" s="606">
        <f t="shared" ca="1" si="55"/>
        <v>0</v>
      </c>
      <c r="CP17" s="606">
        <f t="shared" ca="1" si="55"/>
        <v>0</v>
      </c>
      <c r="CQ17" s="606">
        <f t="shared" ca="1" si="55"/>
        <v>0</v>
      </c>
      <c r="CR17" s="606">
        <f t="shared" ca="1" si="55"/>
        <v>0</v>
      </c>
      <c r="CS17" s="606">
        <f t="shared" ca="1" si="55"/>
        <v>0</v>
      </c>
      <c r="CT17" s="606">
        <f t="shared" ca="1" si="55"/>
        <v>0</v>
      </c>
      <c r="CU17" s="606">
        <f t="shared" ca="1" si="55"/>
        <v>0</v>
      </c>
      <c r="CV17" s="606">
        <f t="shared" ca="1" si="55"/>
        <v>0</v>
      </c>
      <c r="CW17" s="606">
        <f t="shared" ca="1" si="55"/>
        <v>0</v>
      </c>
      <c r="CX17" s="606">
        <f t="shared" ca="1" si="55"/>
        <v>0</v>
      </c>
      <c r="CY17" s="606">
        <f t="shared" ref="CY17:ED17" ca="1" si="56">CY82*$F$17</f>
        <v>0</v>
      </c>
      <c r="CZ17" s="606">
        <f t="shared" ca="1" si="56"/>
        <v>0</v>
      </c>
      <c r="DA17" s="606">
        <f t="shared" ca="1" si="56"/>
        <v>0</v>
      </c>
      <c r="DB17" s="606">
        <f t="shared" ca="1" si="56"/>
        <v>0</v>
      </c>
      <c r="DC17" s="606">
        <f t="shared" ca="1" si="56"/>
        <v>0</v>
      </c>
      <c r="DD17" s="606">
        <f t="shared" ca="1" si="56"/>
        <v>0</v>
      </c>
      <c r="DE17" s="606">
        <f t="shared" ca="1" si="56"/>
        <v>0</v>
      </c>
      <c r="DF17" s="606">
        <f t="shared" ca="1" si="56"/>
        <v>0</v>
      </c>
      <c r="DG17" s="606">
        <f t="shared" ca="1" si="56"/>
        <v>0</v>
      </c>
      <c r="DH17" s="606">
        <f t="shared" ca="1" si="56"/>
        <v>0</v>
      </c>
      <c r="DI17" s="606">
        <f t="shared" ca="1" si="56"/>
        <v>0</v>
      </c>
      <c r="DJ17" s="606">
        <f t="shared" ca="1" si="56"/>
        <v>0</v>
      </c>
      <c r="DK17" s="606">
        <f t="shared" ca="1" si="56"/>
        <v>0</v>
      </c>
      <c r="DL17" s="606">
        <f t="shared" ca="1" si="56"/>
        <v>0</v>
      </c>
      <c r="DM17" s="606">
        <f t="shared" ca="1" si="56"/>
        <v>0</v>
      </c>
      <c r="DN17" s="606">
        <f t="shared" ca="1" si="56"/>
        <v>0</v>
      </c>
      <c r="DO17" s="606">
        <f t="shared" ca="1" si="56"/>
        <v>0</v>
      </c>
      <c r="DP17" s="606">
        <f t="shared" ca="1" si="56"/>
        <v>0</v>
      </c>
      <c r="DQ17" s="606">
        <f t="shared" ca="1" si="56"/>
        <v>0</v>
      </c>
      <c r="DR17" s="606">
        <f t="shared" ca="1" si="56"/>
        <v>0</v>
      </c>
      <c r="DS17" s="606">
        <f t="shared" ca="1" si="56"/>
        <v>0</v>
      </c>
      <c r="DT17" s="606">
        <f t="shared" ca="1" si="56"/>
        <v>0</v>
      </c>
      <c r="DU17" s="606">
        <f t="shared" ca="1" si="56"/>
        <v>0</v>
      </c>
      <c r="DV17" s="606">
        <f t="shared" ca="1" si="56"/>
        <v>0</v>
      </c>
      <c r="DW17" s="606">
        <f t="shared" ca="1" si="56"/>
        <v>0</v>
      </c>
      <c r="DX17" s="606">
        <f t="shared" ca="1" si="56"/>
        <v>0</v>
      </c>
      <c r="DY17" s="606">
        <f t="shared" ca="1" si="56"/>
        <v>0</v>
      </c>
      <c r="DZ17" s="606">
        <f t="shared" ca="1" si="56"/>
        <v>0</v>
      </c>
      <c r="EA17" s="606">
        <f t="shared" ca="1" si="56"/>
        <v>0</v>
      </c>
      <c r="EB17" s="606">
        <f t="shared" ca="1" si="56"/>
        <v>0</v>
      </c>
      <c r="EC17" s="606">
        <f t="shared" ca="1" si="56"/>
        <v>0</v>
      </c>
      <c r="ED17" s="606">
        <f t="shared" ca="1" si="56"/>
        <v>0</v>
      </c>
      <c r="EE17" s="606">
        <f t="shared" ref="EE17:EJ17" ca="1" si="57">EE82*$F$17</f>
        <v>0</v>
      </c>
      <c r="EF17" s="606">
        <f t="shared" ca="1" si="57"/>
        <v>0</v>
      </c>
      <c r="EG17" s="606">
        <f t="shared" ca="1" si="57"/>
        <v>0</v>
      </c>
      <c r="EH17" s="606">
        <f t="shared" ca="1" si="57"/>
        <v>0</v>
      </c>
      <c r="EI17" s="606">
        <f t="shared" ca="1" si="57"/>
        <v>0</v>
      </c>
      <c r="EJ17" s="606">
        <f t="shared" si="57"/>
        <v>0</v>
      </c>
    </row>
    <row r="18" spans="1:141" customFormat="1" ht="15.75">
      <c r="A18" s="321"/>
      <c r="C18" s="611" t="s">
        <v>1608</v>
      </c>
      <c r="D18" s="557" t="s">
        <v>979</v>
      </c>
    </row>
    <row r="19" spans="1:141" hidden="1" outlineLevel="1">
      <c r="A19" s="321"/>
      <c r="B19" s="313"/>
      <c r="C19" s="317" t="s">
        <v>1607</v>
      </c>
      <c r="D19" s="317" t="s">
        <v>1806</v>
      </c>
      <c r="E19" s="606">
        <f t="shared" ca="1" si="17"/>
        <v>0</v>
      </c>
      <c r="F19" s="318">
        <f>'Распределение по статьям'!AC110</f>
        <v>6738090.5886077937</v>
      </c>
      <c r="G19" s="318">
        <f t="shared" ref="G19:AL19" si="58">$F19*G82</f>
        <v>0</v>
      </c>
      <c r="H19" s="606">
        <f t="shared" si="58"/>
        <v>0</v>
      </c>
      <c r="I19" s="606">
        <f t="shared" ca="1" si="58"/>
        <v>0</v>
      </c>
      <c r="J19" s="606">
        <f t="shared" ca="1" si="58"/>
        <v>0</v>
      </c>
      <c r="K19" s="606">
        <f t="shared" ca="1" si="58"/>
        <v>0</v>
      </c>
      <c r="L19" s="606">
        <f t="shared" ca="1" si="58"/>
        <v>0</v>
      </c>
      <c r="M19" s="606">
        <f t="shared" ca="1" si="58"/>
        <v>0</v>
      </c>
      <c r="N19" s="606">
        <f t="shared" ca="1" si="58"/>
        <v>0</v>
      </c>
      <c r="O19" s="606">
        <f t="shared" ca="1" si="58"/>
        <v>0</v>
      </c>
      <c r="P19" s="606">
        <f t="shared" ca="1" si="58"/>
        <v>0</v>
      </c>
      <c r="Q19" s="606">
        <f t="shared" ca="1" si="58"/>
        <v>0</v>
      </c>
      <c r="R19" s="606">
        <f t="shared" ca="1" si="58"/>
        <v>0</v>
      </c>
      <c r="S19" s="606">
        <f t="shared" ca="1" si="58"/>
        <v>0</v>
      </c>
      <c r="T19" s="606">
        <f t="shared" ca="1" si="58"/>
        <v>4716663.4120254572</v>
      </c>
      <c r="U19" s="606">
        <f t="shared" ca="1" si="58"/>
        <v>2021427.1765823357</v>
      </c>
      <c r="V19" s="606">
        <f t="shared" ca="1" si="58"/>
        <v>0</v>
      </c>
      <c r="W19" s="606">
        <f t="shared" ca="1" si="58"/>
        <v>0</v>
      </c>
      <c r="X19" s="606">
        <f t="shared" ca="1" si="58"/>
        <v>0</v>
      </c>
      <c r="Y19" s="606">
        <f t="shared" ca="1" si="58"/>
        <v>0</v>
      </c>
      <c r="Z19" s="606">
        <f t="shared" ca="1" si="58"/>
        <v>0</v>
      </c>
      <c r="AA19" s="606">
        <f t="shared" ca="1" si="58"/>
        <v>0</v>
      </c>
      <c r="AB19" s="606">
        <f t="shared" ca="1" si="58"/>
        <v>0</v>
      </c>
      <c r="AC19" s="606">
        <f t="shared" ca="1" si="58"/>
        <v>0</v>
      </c>
      <c r="AD19" s="606">
        <f t="shared" ca="1" si="58"/>
        <v>0</v>
      </c>
      <c r="AE19" s="606">
        <f t="shared" ca="1" si="58"/>
        <v>0</v>
      </c>
      <c r="AF19" s="606">
        <f t="shared" ca="1" si="58"/>
        <v>0</v>
      </c>
      <c r="AG19" s="606">
        <f t="shared" ca="1" si="58"/>
        <v>0</v>
      </c>
      <c r="AH19" s="606">
        <f t="shared" ca="1" si="58"/>
        <v>0</v>
      </c>
      <c r="AI19" s="606">
        <f t="shared" ca="1" si="58"/>
        <v>0</v>
      </c>
      <c r="AJ19" s="606">
        <f t="shared" ca="1" si="58"/>
        <v>0</v>
      </c>
      <c r="AK19" s="606">
        <f t="shared" ca="1" si="58"/>
        <v>0</v>
      </c>
      <c r="AL19" s="606">
        <f t="shared" ca="1" si="58"/>
        <v>0</v>
      </c>
      <c r="AM19" s="606">
        <f t="shared" ref="AM19:BR19" ca="1" si="59">$F19*AM82</f>
        <v>0</v>
      </c>
      <c r="AN19" s="606">
        <f t="shared" ca="1" si="59"/>
        <v>0</v>
      </c>
      <c r="AO19" s="606">
        <f t="shared" ca="1" si="59"/>
        <v>0</v>
      </c>
      <c r="AP19" s="606">
        <f t="shared" ca="1" si="59"/>
        <v>0</v>
      </c>
      <c r="AQ19" s="606">
        <f t="shared" ca="1" si="59"/>
        <v>0</v>
      </c>
      <c r="AR19" s="606">
        <f t="shared" ca="1" si="59"/>
        <v>0</v>
      </c>
      <c r="AS19" s="606">
        <f t="shared" ca="1" si="59"/>
        <v>0</v>
      </c>
      <c r="AT19" s="606">
        <f t="shared" ca="1" si="59"/>
        <v>0</v>
      </c>
      <c r="AU19" s="606">
        <f t="shared" ca="1" si="59"/>
        <v>0</v>
      </c>
      <c r="AV19" s="606">
        <f t="shared" ca="1" si="59"/>
        <v>0</v>
      </c>
      <c r="AW19" s="606">
        <f t="shared" ca="1" si="59"/>
        <v>0</v>
      </c>
      <c r="AX19" s="606">
        <f t="shared" ca="1" si="59"/>
        <v>0</v>
      </c>
      <c r="AY19" s="606">
        <f t="shared" ca="1" si="59"/>
        <v>0</v>
      </c>
      <c r="AZ19" s="606">
        <f t="shared" ca="1" si="59"/>
        <v>0</v>
      </c>
      <c r="BA19" s="606">
        <f t="shared" ca="1" si="59"/>
        <v>0</v>
      </c>
      <c r="BB19" s="606">
        <f t="shared" ca="1" si="59"/>
        <v>0</v>
      </c>
      <c r="BC19" s="606">
        <f t="shared" ca="1" si="59"/>
        <v>0</v>
      </c>
      <c r="BD19" s="606">
        <f t="shared" ca="1" si="59"/>
        <v>0</v>
      </c>
      <c r="BE19" s="606">
        <f t="shared" ca="1" si="59"/>
        <v>0</v>
      </c>
      <c r="BF19" s="606">
        <f t="shared" ca="1" si="59"/>
        <v>0</v>
      </c>
      <c r="BG19" s="606">
        <f t="shared" ca="1" si="59"/>
        <v>0</v>
      </c>
      <c r="BH19" s="606">
        <f t="shared" ca="1" si="59"/>
        <v>0</v>
      </c>
      <c r="BI19" s="606">
        <f t="shared" ca="1" si="59"/>
        <v>0</v>
      </c>
      <c r="BJ19" s="606">
        <f t="shared" ca="1" si="59"/>
        <v>0</v>
      </c>
      <c r="BK19" s="606">
        <f t="shared" ca="1" si="59"/>
        <v>0</v>
      </c>
      <c r="BL19" s="606">
        <f t="shared" ca="1" si="59"/>
        <v>0</v>
      </c>
      <c r="BM19" s="606">
        <f t="shared" ca="1" si="59"/>
        <v>0</v>
      </c>
      <c r="BN19" s="606">
        <f t="shared" ca="1" si="59"/>
        <v>0</v>
      </c>
      <c r="BO19" s="606">
        <f t="shared" ca="1" si="59"/>
        <v>0</v>
      </c>
      <c r="BP19" s="606">
        <f t="shared" ca="1" si="59"/>
        <v>0</v>
      </c>
      <c r="BQ19" s="606">
        <f t="shared" ca="1" si="59"/>
        <v>0</v>
      </c>
      <c r="BR19" s="606">
        <f t="shared" ca="1" si="59"/>
        <v>0</v>
      </c>
      <c r="BS19" s="606">
        <f t="shared" ref="BS19:CX19" ca="1" si="60">$F19*BS82</f>
        <v>0</v>
      </c>
      <c r="BT19" s="606">
        <f t="shared" ca="1" si="60"/>
        <v>0</v>
      </c>
      <c r="BU19" s="606">
        <f t="shared" ca="1" si="60"/>
        <v>0</v>
      </c>
      <c r="BV19" s="606">
        <f t="shared" ca="1" si="60"/>
        <v>0</v>
      </c>
      <c r="BW19" s="606">
        <f t="shared" ca="1" si="60"/>
        <v>0</v>
      </c>
      <c r="BX19" s="606">
        <f t="shared" ca="1" si="60"/>
        <v>0</v>
      </c>
      <c r="BY19" s="606">
        <f t="shared" ca="1" si="60"/>
        <v>0</v>
      </c>
      <c r="BZ19" s="606">
        <f t="shared" ca="1" si="60"/>
        <v>0</v>
      </c>
      <c r="CA19" s="606">
        <f t="shared" ca="1" si="60"/>
        <v>0</v>
      </c>
      <c r="CB19" s="606">
        <f t="shared" ca="1" si="60"/>
        <v>0</v>
      </c>
      <c r="CC19" s="606">
        <f t="shared" ca="1" si="60"/>
        <v>0</v>
      </c>
      <c r="CD19" s="606">
        <f t="shared" ca="1" si="60"/>
        <v>0</v>
      </c>
      <c r="CE19" s="606">
        <f t="shared" ca="1" si="60"/>
        <v>0</v>
      </c>
      <c r="CF19" s="606">
        <f t="shared" ca="1" si="60"/>
        <v>0</v>
      </c>
      <c r="CG19" s="606">
        <f t="shared" ca="1" si="60"/>
        <v>0</v>
      </c>
      <c r="CH19" s="606">
        <f t="shared" ca="1" si="60"/>
        <v>0</v>
      </c>
      <c r="CI19" s="606">
        <f t="shared" ca="1" si="60"/>
        <v>0</v>
      </c>
      <c r="CJ19" s="606">
        <f t="shared" ca="1" si="60"/>
        <v>0</v>
      </c>
      <c r="CK19" s="606">
        <f t="shared" ca="1" si="60"/>
        <v>0</v>
      </c>
      <c r="CL19" s="606">
        <f t="shared" ca="1" si="60"/>
        <v>0</v>
      </c>
      <c r="CM19" s="606">
        <f t="shared" ca="1" si="60"/>
        <v>0</v>
      </c>
      <c r="CN19" s="606">
        <f t="shared" ca="1" si="60"/>
        <v>0</v>
      </c>
      <c r="CO19" s="606">
        <f t="shared" ca="1" si="60"/>
        <v>0</v>
      </c>
      <c r="CP19" s="606">
        <f t="shared" ca="1" si="60"/>
        <v>0</v>
      </c>
      <c r="CQ19" s="606">
        <f t="shared" ca="1" si="60"/>
        <v>0</v>
      </c>
      <c r="CR19" s="606">
        <f t="shared" ca="1" si="60"/>
        <v>0</v>
      </c>
      <c r="CS19" s="606">
        <f t="shared" ca="1" si="60"/>
        <v>0</v>
      </c>
      <c r="CT19" s="606">
        <f t="shared" ca="1" si="60"/>
        <v>0</v>
      </c>
      <c r="CU19" s="606">
        <f t="shared" ca="1" si="60"/>
        <v>0</v>
      </c>
      <c r="CV19" s="606">
        <f t="shared" ca="1" si="60"/>
        <v>0</v>
      </c>
      <c r="CW19" s="606">
        <f t="shared" ca="1" si="60"/>
        <v>0</v>
      </c>
      <c r="CX19" s="606">
        <f t="shared" ca="1" si="60"/>
        <v>0</v>
      </c>
      <c r="CY19" s="606">
        <f t="shared" ref="CY19:ED19" ca="1" si="61">$F19*CY82</f>
        <v>0</v>
      </c>
      <c r="CZ19" s="606">
        <f t="shared" ca="1" si="61"/>
        <v>0</v>
      </c>
      <c r="DA19" s="606">
        <f t="shared" ca="1" si="61"/>
        <v>0</v>
      </c>
      <c r="DB19" s="606">
        <f t="shared" ca="1" si="61"/>
        <v>0</v>
      </c>
      <c r="DC19" s="606">
        <f t="shared" ca="1" si="61"/>
        <v>0</v>
      </c>
      <c r="DD19" s="606">
        <f t="shared" ca="1" si="61"/>
        <v>0</v>
      </c>
      <c r="DE19" s="606">
        <f t="shared" ca="1" si="61"/>
        <v>0</v>
      </c>
      <c r="DF19" s="606">
        <f t="shared" ca="1" si="61"/>
        <v>0</v>
      </c>
      <c r="DG19" s="606">
        <f t="shared" ca="1" si="61"/>
        <v>0</v>
      </c>
      <c r="DH19" s="606">
        <f t="shared" ca="1" si="61"/>
        <v>0</v>
      </c>
      <c r="DI19" s="606">
        <f t="shared" ca="1" si="61"/>
        <v>0</v>
      </c>
      <c r="DJ19" s="606">
        <f t="shared" ca="1" si="61"/>
        <v>0</v>
      </c>
      <c r="DK19" s="606">
        <f t="shared" ca="1" si="61"/>
        <v>0</v>
      </c>
      <c r="DL19" s="606">
        <f t="shared" ca="1" si="61"/>
        <v>0</v>
      </c>
      <c r="DM19" s="606">
        <f t="shared" ca="1" si="61"/>
        <v>0</v>
      </c>
      <c r="DN19" s="606">
        <f t="shared" ca="1" si="61"/>
        <v>0</v>
      </c>
      <c r="DO19" s="606">
        <f t="shared" ca="1" si="61"/>
        <v>0</v>
      </c>
      <c r="DP19" s="606">
        <f t="shared" ca="1" si="61"/>
        <v>0</v>
      </c>
      <c r="DQ19" s="606">
        <f t="shared" ca="1" si="61"/>
        <v>0</v>
      </c>
      <c r="DR19" s="606">
        <f t="shared" ca="1" si="61"/>
        <v>0</v>
      </c>
      <c r="DS19" s="606">
        <f t="shared" ca="1" si="61"/>
        <v>0</v>
      </c>
      <c r="DT19" s="606">
        <f t="shared" ca="1" si="61"/>
        <v>0</v>
      </c>
      <c r="DU19" s="606">
        <f t="shared" ca="1" si="61"/>
        <v>0</v>
      </c>
      <c r="DV19" s="606">
        <f t="shared" ca="1" si="61"/>
        <v>0</v>
      </c>
      <c r="DW19" s="606">
        <f t="shared" ca="1" si="61"/>
        <v>0</v>
      </c>
      <c r="DX19" s="606">
        <f t="shared" ca="1" si="61"/>
        <v>0</v>
      </c>
      <c r="DY19" s="606">
        <f t="shared" ca="1" si="61"/>
        <v>0</v>
      </c>
      <c r="DZ19" s="606">
        <f t="shared" ca="1" si="61"/>
        <v>0</v>
      </c>
      <c r="EA19" s="606">
        <f t="shared" ca="1" si="61"/>
        <v>0</v>
      </c>
      <c r="EB19" s="606">
        <f t="shared" ca="1" si="61"/>
        <v>0</v>
      </c>
      <c r="EC19" s="606">
        <f t="shared" ca="1" si="61"/>
        <v>0</v>
      </c>
      <c r="ED19" s="606">
        <f t="shared" ca="1" si="61"/>
        <v>0</v>
      </c>
      <c r="EE19" s="606">
        <f t="shared" ref="EE19:EJ19" ca="1" si="62">$F19*EE82</f>
        <v>0</v>
      </c>
      <c r="EF19" s="606">
        <f t="shared" ca="1" si="62"/>
        <v>0</v>
      </c>
      <c r="EG19" s="606">
        <f t="shared" ca="1" si="62"/>
        <v>0</v>
      </c>
      <c r="EH19" s="606">
        <f t="shared" ca="1" si="62"/>
        <v>0</v>
      </c>
      <c r="EI19" s="606">
        <f t="shared" ca="1" si="62"/>
        <v>0</v>
      </c>
      <c r="EJ19" s="606">
        <f t="shared" si="62"/>
        <v>0</v>
      </c>
      <c r="EK19" s="313"/>
    </row>
    <row r="20" spans="1:141" hidden="1" outlineLevel="1">
      <c r="A20" s="321"/>
      <c r="B20" s="313"/>
      <c r="C20" s="317" t="s">
        <v>1604</v>
      </c>
      <c r="D20" s="317" t="s">
        <v>984</v>
      </c>
      <c r="E20" s="606">
        <f t="shared" ca="1" si="17"/>
        <v>0</v>
      </c>
      <c r="F20" s="318">
        <f>'Распределение по статьям'!AC113</f>
        <v>143697610.62443271</v>
      </c>
      <c r="G20" s="318">
        <f t="shared" ref="G20:AL20" si="63">$F20*G85</f>
        <v>0</v>
      </c>
      <c r="H20" s="606">
        <f t="shared" si="63"/>
        <v>0</v>
      </c>
      <c r="I20" s="606">
        <f t="shared" ca="1" si="63"/>
        <v>0</v>
      </c>
      <c r="J20" s="606">
        <f t="shared" ca="1" si="63"/>
        <v>0</v>
      </c>
      <c r="K20" s="606">
        <f t="shared" ca="1" si="63"/>
        <v>0</v>
      </c>
      <c r="L20" s="606">
        <f t="shared" ca="1" si="63"/>
        <v>0</v>
      </c>
      <c r="M20" s="606">
        <f t="shared" ca="1" si="63"/>
        <v>0</v>
      </c>
      <c r="N20" s="606">
        <f t="shared" ca="1" si="63"/>
        <v>0</v>
      </c>
      <c r="O20" s="606">
        <f t="shared" ca="1" si="63"/>
        <v>0</v>
      </c>
      <c r="P20" s="606">
        <f t="shared" ca="1" si="63"/>
        <v>0</v>
      </c>
      <c r="Q20" s="606">
        <f t="shared" ca="1" si="63"/>
        <v>0</v>
      </c>
      <c r="R20" s="606">
        <f t="shared" ca="1" si="63"/>
        <v>0</v>
      </c>
      <c r="S20" s="606">
        <f t="shared" ca="1" si="63"/>
        <v>0</v>
      </c>
      <c r="T20" s="606">
        <f t="shared" ca="1" si="63"/>
        <v>0</v>
      </c>
      <c r="U20" s="606">
        <f t="shared" ca="1" si="63"/>
        <v>0</v>
      </c>
      <c r="V20" s="606">
        <f t="shared" ca="1" si="63"/>
        <v>18288786.80674598</v>
      </c>
      <c r="W20" s="606">
        <f t="shared" ca="1" si="63"/>
        <v>39190257.443027101</v>
      </c>
      <c r="X20" s="606">
        <f t="shared" ca="1" si="63"/>
        <v>40496599.357794672</v>
      </c>
      <c r="Y20" s="606">
        <f t="shared" ca="1" si="63"/>
        <v>40496599.357794672</v>
      </c>
      <c r="Z20" s="606">
        <f t="shared" ca="1" si="63"/>
        <v>5225367.6590702804</v>
      </c>
      <c r="AA20" s="606">
        <f t="shared" ca="1" si="63"/>
        <v>0</v>
      </c>
      <c r="AB20" s="606">
        <f t="shared" ca="1" si="63"/>
        <v>0</v>
      </c>
      <c r="AC20" s="606">
        <f t="shared" ca="1" si="63"/>
        <v>0</v>
      </c>
      <c r="AD20" s="606">
        <f t="shared" ca="1" si="63"/>
        <v>0</v>
      </c>
      <c r="AE20" s="606">
        <f t="shared" ca="1" si="63"/>
        <v>0</v>
      </c>
      <c r="AF20" s="606">
        <f t="shared" ca="1" si="63"/>
        <v>0</v>
      </c>
      <c r="AG20" s="606">
        <f t="shared" ca="1" si="63"/>
        <v>0</v>
      </c>
      <c r="AH20" s="606">
        <f t="shared" ca="1" si="63"/>
        <v>0</v>
      </c>
      <c r="AI20" s="606">
        <f t="shared" ca="1" si="63"/>
        <v>0</v>
      </c>
      <c r="AJ20" s="606">
        <f t="shared" ca="1" si="63"/>
        <v>0</v>
      </c>
      <c r="AK20" s="606">
        <f t="shared" ca="1" si="63"/>
        <v>0</v>
      </c>
      <c r="AL20" s="606">
        <f t="shared" ca="1" si="63"/>
        <v>0</v>
      </c>
      <c r="AM20" s="606">
        <f t="shared" ref="AM20:BR20" ca="1" si="64">$F20*AM85</f>
        <v>0</v>
      </c>
      <c r="AN20" s="606">
        <f t="shared" ca="1" si="64"/>
        <v>0</v>
      </c>
      <c r="AO20" s="606">
        <f t="shared" ca="1" si="64"/>
        <v>0</v>
      </c>
      <c r="AP20" s="606">
        <f t="shared" ca="1" si="64"/>
        <v>0</v>
      </c>
      <c r="AQ20" s="606">
        <f t="shared" ca="1" si="64"/>
        <v>0</v>
      </c>
      <c r="AR20" s="606">
        <f t="shared" ca="1" si="64"/>
        <v>0</v>
      </c>
      <c r="AS20" s="606">
        <f t="shared" ca="1" si="64"/>
        <v>0</v>
      </c>
      <c r="AT20" s="606">
        <f t="shared" ca="1" si="64"/>
        <v>0</v>
      </c>
      <c r="AU20" s="606">
        <f t="shared" ca="1" si="64"/>
        <v>0</v>
      </c>
      <c r="AV20" s="606">
        <f t="shared" ca="1" si="64"/>
        <v>0</v>
      </c>
      <c r="AW20" s="606">
        <f t="shared" ca="1" si="64"/>
        <v>0</v>
      </c>
      <c r="AX20" s="606">
        <f t="shared" ca="1" si="64"/>
        <v>0</v>
      </c>
      <c r="AY20" s="606">
        <f t="shared" ca="1" si="64"/>
        <v>0</v>
      </c>
      <c r="AZ20" s="606">
        <f t="shared" ca="1" si="64"/>
        <v>0</v>
      </c>
      <c r="BA20" s="606">
        <f t="shared" ca="1" si="64"/>
        <v>0</v>
      </c>
      <c r="BB20" s="606">
        <f t="shared" ca="1" si="64"/>
        <v>0</v>
      </c>
      <c r="BC20" s="606">
        <f t="shared" ca="1" si="64"/>
        <v>0</v>
      </c>
      <c r="BD20" s="606">
        <f t="shared" ca="1" si="64"/>
        <v>0</v>
      </c>
      <c r="BE20" s="606">
        <f t="shared" ca="1" si="64"/>
        <v>0</v>
      </c>
      <c r="BF20" s="606">
        <f t="shared" ca="1" si="64"/>
        <v>0</v>
      </c>
      <c r="BG20" s="606">
        <f t="shared" ca="1" si="64"/>
        <v>0</v>
      </c>
      <c r="BH20" s="606">
        <f t="shared" ca="1" si="64"/>
        <v>0</v>
      </c>
      <c r="BI20" s="606">
        <f t="shared" ca="1" si="64"/>
        <v>0</v>
      </c>
      <c r="BJ20" s="606">
        <f t="shared" ca="1" si="64"/>
        <v>0</v>
      </c>
      <c r="BK20" s="606">
        <f t="shared" ca="1" si="64"/>
        <v>0</v>
      </c>
      <c r="BL20" s="606">
        <f t="shared" ca="1" si="64"/>
        <v>0</v>
      </c>
      <c r="BM20" s="606">
        <f t="shared" ca="1" si="64"/>
        <v>0</v>
      </c>
      <c r="BN20" s="606">
        <f t="shared" ca="1" si="64"/>
        <v>0</v>
      </c>
      <c r="BO20" s="606">
        <f t="shared" ca="1" si="64"/>
        <v>0</v>
      </c>
      <c r="BP20" s="606">
        <f t="shared" ca="1" si="64"/>
        <v>0</v>
      </c>
      <c r="BQ20" s="606">
        <f t="shared" ca="1" si="64"/>
        <v>0</v>
      </c>
      <c r="BR20" s="606">
        <f t="shared" ca="1" si="64"/>
        <v>0</v>
      </c>
      <c r="BS20" s="606">
        <f t="shared" ref="BS20:CX20" ca="1" si="65">$F20*BS85</f>
        <v>0</v>
      </c>
      <c r="BT20" s="606">
        <f t="shared" ca="1" si="65"/>
        <v>0</v>
      </c>
      <c r="BU20" s="606">
        <f t="shared" ca="1" si="65"/>
        <v>0</v>
      </c>
      <c r="BV20" s="606">
        <f t="shared" ca="1" si="65"/>
        <v>0</v>
      </c>
      <c r="BW20" s="606">
        <f t="shared" ca="1" si="65"/>
        <v>0</v>
      </c>
      <c r="BX20" s="606">
        <f t="shared" ca="1" si="65"/>
        <v>0</v>
      </c>
      <c r="BY20" s="606">
        <f t="shared" ca="1" si="65"/>
        <v>0</v>
      </c>
      <c r="BZ20" s="606">
        <f t="shared" ca="1" si="65"/>
        <v>0</v>
      </c>
      <c r="CA20" s="606">
        <f t="shared" ca="1" si="65"/>
        <v>0</v>
      </c>
      <c r="CB20" s="606">
        <f t="shared" ca="1" si="65"/>
        <v>0</v>
      </c>
      <c r="CC20" s="606">
        <f t="shared" ca="1" si="65"/>
        <v>0</v>
      </c>
      <c r="CD20" s="606">
        <f t="shared" ca="1" si="65"/>
        <v>0</v>
      </c>
      <c r="CE20" s="606">
        <f t="shared" ca="1" si="65"/>
        <v>0</v>
      </c>
      <c r="CF20" s="606">
        <f t="shared" ca="1" si="65"/>
        <v>0</v>
      </c>
      <c r="CG20" s="606">
        <f t="shared" ca="1" si="65"/>
        <v>0</v>
      </c>
      <c r="CH20" s="606">
        <f t="shared" ca="1" si="65"/>
        <v>0</v>
      </c>
      <c r="CI20" s="606">
        <f t="shared" ca="1" si="65"/>
        <v>0</v>
      </c>
      <c r="CJ20" s="606">
        <f t="shared" ca="1" si="65"/>
        <v>0</v>
      </c>
      <c r="CK20" s="606">
        <f t="shared" ca="1" si="65"/>
        <v>0</v>
      </c>
      <c r="CL20" s="606">
        <f t="shared" ca="1" si="65"/>
        <v>0</v>
      </c>
      <c r="CM20" s="606">
        <f t="shared" ca="1" si="65"/>
        <v>0</v>
      </c>
      <c r="CN20" s="606">
        <f t="shared" ca="1" si="65"/>
        <v>0</v>
      </c>
      <c r="CO20" s="606">
        <f t="shared" ca="1" si="65"/>
        <v>0</v>
      </c>
      <c r="CP20" s="606">
        <f t="shared" ca="1" si="65"/>
        <v>0</v>
      </c>
      <c r="CQ20" s="606">
        <f t="shared" ca="1" si="65"/>
        <v>0</v>
      </c>
      <c r="CR20" s="606">
        <f t="shared" ca="1" si="65"/>
        <v>0</v>
      </c>
      <c r="CS20" s="606">
        <f t="shared" ca="1" si="65"/>
        <v>0</v>
      </c>
      <c r="CT20" s="606">
        <f t="shared" ca="1" si="65"/>
        <v>0</v>
      </c>
      <c r="CU20" s="606">
        <f t="shared" ca="1" si="65"/>
        <v>0</v>
      </c>
      <c r="CV20" s="606">
        <f t="shared" ca="1" si="65"/>
        <v>0</v>
      </c>
      <c r="CW20" s="606">
        <f t="shared" ca="1" si="65"/>
        <v>0</v>
      </c>
      <c r="CX20" s="606">
        <f t="shared" ca="1" si="65"/>
        <v>0</v>
      </c>
      <c r="CY20" s="606">
        <f t="shared" ref="CY20:ED20" ca="1" si="66">$F20*CY85</f>
        <v>0</v>
      </c>
      <c r="CZ20" s="606">
        <f t="shared" ca="1" si="66"/>
        <v>0</v>
      </c>
      <c r="DA20" s="606">
        <f t="shared" ca="1" si="66"/>
        <v>0</v>
      </c>
      <c r="DB20" s="606">
        <f t="shared" ca="1" si="66"/>
        <v>0</v>
      </c>
      <c r="DC20" s="606">
        <f t="shared" ca="1" si="66"/>
        <v>0</v>
      </c>
      <c r="DD20" s="606">
        <f t="shared" ca="1" si="66"/>
        <v>0</v>
      </c>
      <c r="DE20" s="606">
        <f t="shared" ca="1" si="66"/>
        <v>0</v>
      </c>
      <c r="DF20" s="606">
        <f t="shared" ca="1" si="66"/>
        <v>0</v>
      </c>
      <c r="DG20" s="606">
        <f t="shared" ca="1" si="66"/>
        <v>0</v>
      </c>
      <c r="DH20" s="606">
        <f t="shared" ca="1" si="66"/>
        <v>0</v>
      </c>
      <c r="DI20" s="606">
        <f t="shared" ca="1" si="66"/>
        <v>0</v>
      </c>
      <c r="DJ20" s="606">
        <f t="shared" ca="1" si="66"/>
        <v>0</v>
      </c>
      <c r="DK20" s="606">
        <f t="shared" ca="1" si="66"/>
        <v>0</v>
      </c>
      <c r="DL20" s="606">
        <f t="shared" ca="1" si="66"/>
        <v>0</v>
      </c>
      <c r="DM20" s="606">
        <f t="shared" ca="1" si="66"/>
        <v>0</v>
      </c>
      <c r="DN20" s="606">
        <f t="shared" ca="1" si="66"/>
        <v>0</v>
      </c>
      <c r="DO20" s="606">
        <f t="shared" ca="1" si="66"/>
        <v>0</v>
      </c>
      <c r="DP20" s="606">
        <f t="shared" ca="1" si="66"/>
        <v>0</v>
      </c>
      <c r="DQ20" s="606">
        <f t="shared" ca="1" si="66"/>
        <v>0</v>
      </c>
      <c r="DR20" s="606">
        <f t="shared" ca="1" si="66"/>
        <v>0</v>
      </c>
      <c r="DS20" s="606">
        <f t="shared" ca="1" si="66"/>
        <v>0</v>
      </c>
      <c r="DT20" s="606">
        <f t="shared" ca="1" si="66"/>
        <v>0</v>
      </c>
      <c r="DU20" s="606">
        <f t="shared" ca="1" si="66"/>
        <v>0</v>
      </c>
      <c r="DV20" s="606">
        <f t="shared" ca="1" si="66"/>
        <v>0</v>
      </c>
      <c r="DW20" s="606">
        <f t="shared" ca="1" si="66"/>
        <v>0</v>
      </c>
      <c r="DX20" s="606">
        <f t="shared" ca="1" si="66"/>
        <v>0</v>
      </c>
      <c r="DY20" s="606">
        <f t="shared" ca="1" si="66"/>
        <v>0</v>
      </c>
      <c r="DZ20" s="606">
        <f t="shared" ca="1" si="66"/>
        <v>0</v>
      </c>
      <c r="EA20" s="606">
        <f t="shared" ca="1" si="66"/>
        <v>0</v>
      </c>
      <c r="EB20" s="606">
        <f t="shared" ca="1" si="66"/>
        <v>0</v>
      </c>
      <c r="EC20" s="606">
        <f t="shared" ca="1" si="66"/>
        <v>0</v>
      </c>
      <c r="ED20" s="606">
        <f t="shared" ca="1" si="66"/>
        <v>0</v>
      </c>
      <c r="EE20" s="606">
        <f t="shared" ref="EE20:EJ20" ca="1" si="67">$F20*EE85</f>
        <v>0</v>
      </c>
      <c r="EF20" s="606">
        <f t="shared" ca="1" si="67"/>
        <v>0</v>
      </c>
      <c r="EG20" s="606">
        <f t="shared" ca="1" si="67"/>
        <v>0</v>
      </c>
      <c r="EH20" s="606">
        <f t="shared" ca="1" si="67"/>
        <v>0</v>
      </c>
      <c r="EI20" s="606">
        <f t="shared" ca="1" si="67"/>
        <v>0</v>
      </c>
      <c r="EJ20" s="606">
        <f t="shared" si="67"/>
        <v>0</v>
      </c>
      <c r="EK20" s="313"/>
    </row>
    <row r="21" spans="1:141" hidden="1" outlineLevel="1">
      <c r="A21" s="321"/>
      <c r="B21" s="313"/>
      <c r="C21" s="317" t="s">
        <v>1560</v>
      </c>
      <c r="D21" s="317" t="s">
        <v>10</v>
      </c>
      <c r="E21" s="606">
        <f t="shared" ca="1" si="17"/>
        <v>0</v>
      </c>
      <c r="F21" s="318">
        <f>'Распределение по статьям'!AC159</f>
        <v>550927373.78210652</v>
      </c>
      <c r="G21" s="318">
        <f t="shared" ref="G21:AL21" si="68">$F21*G88</f>
        <v>0</v>
      </c>
      <c r="H21" s="606">
        <f t="shared" ca="1" si="68"/>
        <v>0</v>
      </c>
      <c r="I21" s="606">
        <f t="shared" ca="1" si="68"/>
        <v>0</v>
      </c>
      <c r="J21" s="606">
        <f t="shared" ca="1" si="68"/>
        <v>0</v>
      </c>
      <c r="K21" s="606">
        <f t="shared" ca="1" si="68"/>
        <v>0</v>
      </c>
      <c r="L21" s="606">
        <f t="shared" ca="1" si="68"/>
        <v>0</v>
      </c>
      <c r="M21" s="606">
        <f t="shared" ca="1" si="68"/>
        <v>0</v>
      </c>
      <c r="N21" s="606">
        <f t="shared" ca="1" si="68"/>
        <v>0</v>
      </c>
      <c r="O21" s="606">
        <f t="shared" ca="1" si="68"/>
        <v>0</v>
      </c>
      <c r="P21" s="606">
        <f t="shared" ca="1" si="68"/>
        <v>0</v>
      </c>
      <c r="Q21" s="606">
        <f t="shared" ca="1" si="68"/>
        <v>0</v>
      </c>
      <c r="R21" s="606">
        <f t="shared" ca="1" si="68"/>
        <v>0</v>
      </c>
      <c r="S21" s="606">
        <f t="shared" ca="1" si="68"/>
        <v>0</v>
      </c>
      <c r="T21" s="606">
        <f t="shared" ca="1" si="68"/>
        <v>0</v>
      </c>
      <c r="U21" s="606">
        <f t="shared" ca="1" si="68"/>
        <v>0</v>
      </c>
      <c r="V21" s="606">
        <f t="shared" ca="1" si="68"/>
        <v>0</v>
      </c>
      <c r="W21" s="606">
        <f t="shared" ca="1" si="68"/>
        <v>0</v>
      </c>
      <c r="X21" s="606">
        <f t="shared" ca="1" si="68"/>
        <v>61979329.550486974</v>
      </c>
      <c r="Y21" s="606">
        <f t="shared" ca="1" si="68"/>
        <v>0</v>
      </c>
      <c r="Z21" s="606">
        <f t="shared" ca="1" si="68"/>
        <v>25682119.494994156</v>
      </c>
      <c r="AA21" s="606">
        <f t="shared" ca="1" si="68"/>
        <v>30620988.628646877</v>
      </c>
      <c r="AB21" s="606">
        <f t="shared" ca="1" si="68"/>
        <v>29633214.801916331</v>
      </c>
      <c r="AC21" s="606">
        <f t="shared" ca="1" si="68"/>
        <v>30620988.628646877</v>
      </c>
      <c r="AD21" s="606">
        <f t="shared" ca="1" si="68"/>
        <v>30620988.628646877</v>
      </c>
      <c r="AE21" s="606">
        <f t="shared" ca="1" si="68"/>
        <v>27657667.148455244</v>
      </c>
      <c r="AF21" s="606">
        <f t="shared" ca="1" si="68"/>
        <v>30620988.628646877</v>
      </c>
      <c r="AG21" s="606">
        <f t="shared" ca="1" si="68"/>
        <v>29633214.801916331</v>
      </c>
      <c r="AH21" s="606">
        <f t="shared" ca="1" si="68"/>
        <v>30620988.628646877</v>
      </c>
      <c r="AI21" s="606">
        <f t="shared" ca="1" si="68"/>
        <v>29633214.801916331</v>
      </c>
      <c r="AJ21" s="606">
        <f t="shared" ca="1" si="68"/>
        <v>30620988.628646877</v>
      </c>
      <c r="AK21" s="606">
        <f t="shared" ca="1" si="68"/>
        <v>30620988.628646877</v>
      </c>
      <c r="AL21" s="606">
        <f t="shared" ca="1" si="68"/>
        <v>29633214.801916331</v>
      </c>
      <c r="AM21" s="606">
        <f t="shared" ref="AM21:BR21" ca="1" si="69">$F21*AM88</f>
        <v>30620988.628646877</v>
      </c>
      <c r="AN21" s="606">
        <f t="shared" ca="1" si="69"/>
        <v>29633214.801916331</v>
      </c>
      <c r="AO21" s="606">
        <f t="shared" ca="1" si="69"/>
        <v>30620988.628646877</v>
      </c>
      <c r="AP21" s="606">
        <f t="shared" ca="1" si="69"/>
        <v>11853285.920766534</v>
      </c>
      <c r="AQ21" s="606">
        <f t="shared" ca="1" si="69"/>
        <v>0</v>
      </c>
      <c r="AR21" s="606">
        <f t="shared" ca="1" si="69"/>
        <v>0</v>
      </c>
      <c r="AS21" s="606">
        <f t="shared" ca="1" si="69"/>
        <v>0</v>
      </c>
      <c r="AT21" s="606">
        <f t="shared" ca="1" si="69"/>
        <v>0</v>
      </c>
      <c r="AU21" s="606">
        <f t="shared" ca="1" si="69"/>
        <v>0</v>
      </c>
      <c r="AV21" s="606">
        <f t="shared" ca="1" si="69"/>
        <v>0</v>
      </c>
      <c r="AW21" s="606">
        <f t="shared" ca="1" si="69"/>
        <v>0</v>
      </c>
      <c r="AX21" s="606">
        <f t="shared" ca="1" si="69"/>
        <v>0</v>
      </c>
      <c r="AY21" s="606">
        <f t="shared" ca="1" si="69"/>
        <v>0</v>
      </c>
      <c r="AZ21" s="606">
        <f t="shared" ca="1" si="69"/>
        <v>0</v>
      </c>
      <c r="BA21" s="606">
        <f t="shared" ca="1" si="69"/>
        <v>0</v>
      </c>
      <c r="BB21" s="606">
        <f t="shared" ca="1" si="69"/>
        <v>0</v>
      </c>
      <c r="BC21" s="606">
        <f t="shared" ca="1" si="69"/>
        <v>0</v>
      </c>
      <c r="BD21" s="606">
        <f t="shared" ca="1" si="69"/>
        <v>0</v>
      </c>
      <c r="BE21" s="606">
        <f t="shared" ca="1" si="69"/>
        <v>0</v>
      </c>
      <c r="BF21" s="606">
        <f t="shared" ca="1" si="69"/>
        <v>0</v>
      </c>
      <c r="BG21" s="606">
        <f t="shared" ca="1" si="69"/>
        <v>0</v>
      </c>
      <c r="BH21" s="606">
        <f t="shared" ca="1" si="69"/>
        <v>0</v>
      </c>
      <c r="BI21" s="606">
        <f t="shared" ca="1" si="69"/>
        <v>0</v>
      </c>
      <c r="BJ21" s="606">
        <f t="shared" ca="1" si="69"/>
        <v>0</v>
      </c>
      <c r="BK21" s="606">
        <f t="shared" ca="1" si="69"/>
        <v>0</v>
      </c>
      <c r="BL21" s="606">
        <f t="shared" ca="1" si="69"/>
        <v>0</v>
      </c>
      <c r="BM21" s="606">
        <f t="shared" ca="1" si="69"/>
        <v>0</v>
      </c>
      <c r="BN21" s="606">
        <f t="shared" ca="1" si="69"/>
        <v>0</v>
      </c>
      <c r="BO21" s="606">
        <f t="shared" ca="1" si="69"/>
        <v>0</v>
      </c>
      <c r="BP21" s="606">
        <f t="shared" ca="1" si="69"/>
        <v>0</v>
      </c>
      <c r="BQ21" s="606">
        <f t="shared" ca="1" si="69"/>
        <v>0</v>
      </c>
      <c r="BR21" s="606">
        <f t="shared" ca="1" si="69"/>
        <v>0</v>
      </c>
      <c r="BS21" s="606">
        <f t="shared" ref="BS21:CX21" ca="1" si="70">$F21*BS88</f>
        <v>0</v>
      </c>
      <c r="BT21" s="606">
        <f t="shared" ca="1" si="70"/>
        <v>0</v>
      </c>
      <c r="BU21" s="606">
        <f t="shared" ca="1" si="70"/>
        <v>0</v>
      </c>
      <c r="BV21" s="606">
        <f t="shared" ca="1" si="70"/>
        <v>0</v>
      </c>
      <c r="BW21" s="606">
        <f t="shared" ca="1" si="70"/>
        <v>0</v>
      </c>
      <c r="BX21" s="606">
        <f t="shared" ca="1" si="70"/>
        <v>0</v>
      </c>
      <c r="BY21" s="606">
        <f t="shared" ca="1" si="70"/>
        <v>0</v>
      </c>
      <c r="BZ21" s="606">
        <f t="shared" ca="1" si="70"/>
        <v>0</v>
      </c>
      <c r="CA21" s="606">
        <f t="shared" ca="1" si="70"/>
        <v>0</v>
      </c>
      <c r="CB21" s="606">
        <f t="shared" ca="1" si="70"/>
        <v>0</v>
      </c>
      <c r="CC21" s="606">
        <f t="shared" ca="1" si="70"/>
        <v>0</v>
      </c>
      <c r="CD21" s="606">
        <f t="shared" ca="1" si="70"/>
        <v>0</v>
      </c>
      <c r="CE21" s="606">
        <f t="shared" ca="1" si="70"/>
        <v>0</v>
      </c>
      <c r="CF21" s="606">
        <f t="shared" ca="1" si="70"/>
        <v>0</v>
      </c>
      <c r="CG21" s="606">
        <f t="shared" ca="1" si="70"/>
        <v>0</v>
      </c>
      <c r="CH21" s="606">
        <f t="shared" ca="1" si="70"/>
        <v>0</v>
      </c>
      <c r="CI21" s="606">
        <f t="shared" ca="1" si="70"/>
        <v>0</v>
      </c>
      <c r="CJ21" s="606">
        <f t="shared" ca="1" si="70"/>
        <v>0</v>
      </c>
      <c r="CK21" s="606">
        <f t="shared" ca="1" si="70"/>
        <v>0</v>
      </c>
      <c r="CL21" s="606">
        <f t="shared" ca="1" si="70"/>
        <v>0</v>
      </c>
      <c r="CM21" s="606">
        <f t="shared" ca="1" si="70"/>
        <v>0</v>
      </c>
      <c r="CN21" s="606">
        <f t="shared" ca="1" si="70"/>
        <v>0</v>
      </c>
      <c r="CO21" s="606">
        <f t="shared" ca="1" si="70"/>
        <v>0</v>
      </c>
      <c r="CP21" s="606">
        <f t="shared" ca="1" si="70"/>
        <v>0</v>
      </c>
      <c r="CQ21" s="606">
        <f t="shared" ca="1" si="70"/>
        <v>0</v>
      </c>
      <c r="CR21" s="606">
        <f t="shared" ca="1" si="70"/>
        <v>0</v>
      </c>
      <c r="CS21" s="606">
        <f t="shared" ca="1" si="70"/>
        <v>0</v>
      </c>
      <c r="CT21" s="606">
        <f t="shared" ca="1" si="70"/>
        <v>0</v>
      </c>
      <c r="CU21" s="606">
        <f t="shared" ca="1" si="70"/>
        <v>0</v>
      </c>
      <c r="CV21" s="606">
        <f t="shared" ca="1" si="70"/>
        <v>0</v>
      </c>
      <c r="CW21" s="606">
        <f t="shared" ca="1" si="70"/>
        <v>0</v>
      </c>
      <c r="CX21" s="606">
        <f t="shared" ca="1" si="70"/>
        <v>0</v>
      </c>
      <c r="CY21" s="606">
        <f t="shared" ref="CY21:ED21" ca="1" si="71">$F21*CY88</f>
        <v>0</v>
      </c>
      <c r="CZ21" s="606">
        <f t="shared" ca="1" si="71"/>
        <v>0</v>
      </c>
      <c r="DA21" s="606">
        <f t="shared" ca="1" si="71"/>
        <v>0</v>
      </c>
      <c r="DB21" s="606">
        <f t="shared" ca="1" si="71"/>
        <v>0</v>
      </c>
      <c r="DC21" s="606">
        <f t="shared" ca="1" si="71"/>
        <v>0</v>
      </c>
      <c r="DD21" s="606">
        <f t="shared" ca="1" si="71"/>
        <v>0</v>
      </c>
      <c r="DE21" s="606">
        <f t="shared" ca="1" si="71"/>
        <v>0</v>
      </c>
      <c r="DF21" s="606">
        <f t="shared" ca="1" si="71"/>
        <v>0</v>
      </c>
      <c r="DG21" s="606">
        <f t="shared" ca="1" si="71"/>
        <v>0</v>
      </c>
      <c r="DH21" s="606">
        <f t="shared" ca="1" si="71"/>
        <v>0</v>
      </c>
      <c r="DI21" s="606">
        <f t="shared" ca="1" si="71"/>
        <v>0</v>
      </c>
      <c r="DJ21" s="606">
        <f t="shared" ca="1" si="71"/>
        <v>0</v>
      </c>
      <c r="DK21" s="606">
        <f t="shared" ca="1" si="71"/>
        <v>0</v>
      </c>
      <c r="DL21" s="606">
        <f t="shared" ca="1" si="71"/>
        <v>0</v>
      </c>
      <c r="DM21" s="606">
        <f t="shared" ca="1" si="71"/>
        <v>0</v>
      </c>
      <c r="DN21" s="606">
        <f t="shared" ca="1" si="71"/>
        <v>0</v>
      </c>
      <c r="DO21" s="606">
        <f t="shared" ca="1" si="71"/>
        <v>0</v>
      </c>
      <c r="DP21" s="606">
        <f t="shared" ca="1" si="71"/>
        <v>0</v>
      </c>
      <c r="DQ21" s="606">
        <f t="shared" ca="1" si="71"/>
        <v>0</v>
      </c>
      <c r="DR21" s="606">
        <f t="shared" ca="1" si="71"/>
        <v>0</v>
      </c>
      <c r="DS21" s="606">
        <f t="shared" ca="1" si="71"/>
        <v>0</v>
      </c>
      <c r="DT21" s="606">
        <f t="shared" ca="1" si="71"/>
        <v>0</v>
      </c>
      <c r="DU21" s="606">
        <f t="shared" ca="1" si="71"/>
        <v>0</v>
      </c>
      <c r="DV21" s="606">
        <f t="shared" ca="1" si="71"/>
        <v>0</v>
      </c>
      <c r="DW21" s="606">
        <f t="shared" ca="1" si="71"/>
        <v>0</v>
      </c>
      <c r="DX21" s="606">
        <f t="shared" ca="1" si="71"/>
        <v>0</v>
      </c>
      <c r="DY21" s="606">
        <f t="shared" ca="1" si="71"/>
        <v>0</v>
      </c>
      <c r="DZ21" s="606">
        <f t="shared" ca="1" si="71"/>
        <v>0</v>
      </c>
      <c r="EA21" s="606">
        <f t="shared" ca="1" si="71"/>
        <v>0</v>
      </c>
      <c r="EB21" s="606">
        <f t="shared" ca="1" si="71"/>
        <v>0</v>
      </c>
      <c r="EC21" s="606">
        <f t="shared" ca="1" si="71"/>
        <v>0</v>
      </c>
      <c r="ED21" s="606">
        <f t="shared" ca="1" si="71"/>
        <v>0</v>
      </c>
      <c r="EE21" s="606">
        <f t="shared" ref="EE21:EJ21" ca="1" si="72">$F21*EE88</f>
        <v>0</v>
      </c>
      <c r="EF21" s="606">
        <f t="shared" ca="1" si="72"/>
        <v>0</v>
      </c>
      <c r="EG21" s="606">
        <f t="shared" ca="1" si="72"/>
        <v>0</v>
      </c>
      <c r="EH21" s="606">
        <f t="shared" ca="1" si="72"/>
        <v>0</v>
      </c>
      <c r="EI21" s="606">
        <f t="shared" ca="1" si="72"/>
        <v>0</v>
      </c>
      <c r="EJ21" s="606">
        <f t="shared" si="72"/>
        <v>0</v>
      </c>
      <c r="EK21" s="313"/>
    </row>
    <row r="22" spans="1:141" s="321" customFormat="1" hidden="1" outlineLevel="1">
      <c r="B22" s="332"/>
      <c r="C22" s="317" t="s">
        <v>1561</v>
      </c>
      <c r="D22" s="317" t="s">
        <v>1807</v>
      </c>
      <c r="E22" s="606">
        <f t="shared" ca="1" si="17"/>
        <v>0</v>
      </c>
      <c r="F22" s="606">
        <f>'Распределение по статьям'!AC158-'Распределение по статьям'!AC159-'Распределение по статьям'!AC183</f>
        <v>1118273284.8162081</v>
      </c>
      <c r="G22" s="606">
        <f t="shared" ref="G22:AL22" si="73">G91*$F$22</f>
        <v>0</v>
      </c>
      <c r="H22" s="606">
        <f t="shared" ca="1" si="73"/>
        <v>0</v>
      </c>
      <c r="I22" s="606">
        <f t="shared" ca="1" si="73"/>
        <v>0</v>
      </c>
      <c r="J22" s="606">
        <f t="shared" ca="1" si="73"/>
        <v>0</v>
      </c>
      <c r="K22" s="606">
        <f t="shared" ca="1" si="73"/>
        <v>0</v>
      </c>
      <c r="L22" s="606">
        <f t="shared" ca="1" si="73"/>
        <v>0</v>
      </c>
      <c r="M22" s="606">
        <f t="shared" ca="1" si="73"/>
        <v>0</v>
      </c>
      <c r="N22" s="606">
        <f t="shared" ca="1" si="73"/>
        <v>0</v>
      </c>
      <c r="O22" s="606">
        <f t="shared" ca="1" si="73"/>
        <v>0</v>
      </c>
      <c r="P22" s="606">
        <f t="shared" ca="1" si="73"/>
        <v>0</v>
      </c>
      <c r="Q22" s="606">
        <f t="shared" ca="1" si="73"/>
        <v>0</v>
      </c>
      <c r="R22" s="606">
        <f t="shared" ca="1" si="73"/>
        <v>0</v>
      </c>
      <c r="S22" s="606">
        <f t="shared" ca="1" si="73"/>
        <v>0</v>
      </c>
      <c r="T22" s="606">
        <f t="shared" ca="1" si="73"/>
        <v>0</v>
      </c>
      <c r="U22" s="606">
        <f t="shared" ca="1" si="73"/>
        <v>0</v>
      </c>
      <c r="V22" s="606">
        <f t="shared" ca="1" si="73"/>
        <v>0</v>
      </c>
      <c r="W22" s="606">
        <f t="shared" ca="1" si="73"/>
        <v>0</v>
      </c>
      <c r="X22" s="606">
        <f t="shared" ca="1" si="73"/>
        <v>0</v>
      </c>
      <c r="Y22" s="606">
        <f t="shared" ca="1" si="73"/>
        <v>0</v>
      </c>
      <c r="Z22" s="606">
        <f t="shared" ca="1" si="73"/>
        <v>0</v>
      </c>
      <c r="AA22" s="606">
        <f t="shared" ca="1" si="73"/>
        <v>167740992.72243121</v>
      </c>
      <c r="AB22" s="606">
        <f t="shared" ca="1" si="73"/>
        <v>0</v>
      </c>
      <c r="AC22" s="606">
        <f t="shared" ca="1" si="73"/>
        <v>42923621.033349402</v>
      </c>
      <c r="AD22" s="606">
        <f t="shared" ca="1" si="73"/>
        <v>70033276.422833234</v>
      </c>
      <c r="AE22" s="606">
        <f t="shared" ca="1" si="73"/>
        <v>63255862.575462282</v>
      </c>
      <c r="AF22" s="606">
        <f t="shared" ca="1" si="73"/>
        <v>70033276.422833234</v>
      </c>
      <c r="AG22" s="606">
        <f t="shared" ca="1" si="73"/>
        <v>67774138.473709583</v>
      </c>
      <c r="AH22" s="606">
        <f t="shared" ca="1" si="73"/>
        <v>70033276.422833234</v>
      </c>
      <c r="AI22" s="606">
        <f t="shared" ca="1" si="73"/>
        <v>67774138.473709583</v>
      </c>
      <c r="AJ22" s="606">
        <f t="shared" ca="1" si="73"/>
        <v>70033276.422833234</v>
      </c>
      <c r="AK22" s="606">
        <f t="shared" ca="1" si="73"/>
        <v>70033276.422833234</v>
      </c>
      <c r="AL22" s="606">
        <f t="shared" ca="1" si="73"/>
        <v>67774138.473709583</v>
      </c>
      <c r="AM22" s="606">
        <f t="shared" ref="AM22:BR22" ca="1" si="74">AM91*$F$22</f>
        <v>70033276.422833234</v>
      </c>
      <c r="AN22" s="606">
        <f t="shared" ca="1" si="74"/>
        <v>67774138.473709583</v>
      </c>
      <c r="AO22" s="606">
        <f t="shared" ca="1" si="74"/>
        <v>70033276.422833234</v>
      </c>
      <c r="AP22" s="606">
        <f t="shared" ca="1" si="74"/>
        <v>27109655.389483832</v>
      </c>
      <c r="AQ22" s="606">
        <f t="shared" ca="1" si="74"/>
        <v>27956832.120405205</v>
      </c>
      <c r="AR22" s="606">
        <f t="shared" ca="1" si="74"/>
        <v>0</v>
      </c>
      <c r="AS22" s="606">
        <f t="shared" ca="1" si="74"/>
        <v>0</v>
      </c>
      <c r="AT22" s="606">
        <f t="shared" ca="1" si="74"/>
        <v>0</v>
      </c>
      <c r="AU22" s="606">
        <f t="shared" ca="1" si="74"/>
        <v>0</v>
      </c>
      <c r="AV22" s="606">
        <f t="shared" ca="1" si="74"/>
        <v>0</v>
      </c>
      <c r="AW22" s="606">
        <f t="shared" ca="1" si="74"/>
        <v>0</v>
      </c>
      <c r="AX22" s="606">
        <f t="shared" ca="1" si="74"/>
        <v>0</v>
      </c>
      <c r="AY22" s="606">
        <f t="shared" ca="1" si="74"/>
        <v>0</v>
      </c>
      <c r="AZ22" s="606">
        <f t="shared" ca="1" si="74"/>
        <v>0</v>
      </c>
      <c r="BA22" s="606">
        <f t="shared" ca="1" si="74"/>
        <v>0</v>
      </c>
      <c r="BB22" s="606">
        <f t="shared" ca="1" si="74"/>
        <v>0</v>
      </c>
      <c r="BC22" s="606">
        <f t="shared" ca="1" si="74"/>
        <v>0</v>
      </c>
      <c r="BD22" s="606">
        <f t="shared" ca="1" si="74"/>
        <v>0</v>
      </c>
      <c r="BE22" s="606">
        <f t="shared" ca="1" si="74"/>
        <v>0</v>
      </c>
      <c r="BF22" s="606">
        <f t="shared" ca="1" si="74"/>
        <v>0</v>
      </c>
      <c r="BG22" s="606">
        <f t="shared" ca="1" si="74"/>
        <v>0</v>
      </c>
      <c r="BH22" s="606">
        <f t="shared" ca="1" si="74"/>
        <v>0</v>
      </c>
      <c r="BI22" s="606">
        <f t="shared" ca="1" si="74"/>
        <v>0</v>
      </c>
      <c r="BJ22" s="606">
        <f t="shared" ca="1" si="74"/>
        <v>0</v>
      </c>
      <c r="BK22" s="606">
        <f t="shared" ca="1" si="74"/>
        <v>0</v>
      </c>
      <c r="BL22" s="606">
        <f t="shared" ca="1" si="74"/>
        <v>0</v>
      </c>
      <c r="BM22" s="606">
        <f t="shared" ca="1" si="74"/>
        <v>0</v>
      </c>
      <c r="BN22" s="606">
        <f t="shared" ca="1" si="74"/>
        <v>27956832.120405205</v>
      </c>
      <c r="BO22" s="606">
        <f t="shared" ca="1" si="74"/>
        <v>0</v>
      </c>
      <c r="BP22" s="606">
        <f t="shared" ca="1" si="74"/>
        <v>0</v>
      </c>
      <c r="BQ22" s="606">
        <f t="shared" ca="1" si="74"/>
        <v>0</v>
      </c>
      <c r="BR22" s="606">
        <f t="shared" ca="1" si="74"/>
        <v>0</v>
      </c>
      <c r="BS22" s="606">
        <f t="shared" ref="BS22:CX22" ca="1" si="75">BS91*$F$22</f>
        <v>0</v>
      </c>
      <c r="BT22" s="606">
        <f t="shared" ca="1" si="75"/>
        <v>0</v>
      </c>
      <c r="BU22" s="606">
        <f t="shared" ca="1" si="75"/>
        <v>0</v>
      </c>
      <c r="BV22" s="606">
        <f t="shared" ca="1" si="75"/>
        <v>0</v>
      </c>
      <c r="BW22" s="606">
        <f t="shared" ca="1" si="75"/>
        <v>0</v>
      </c>
      <c r="BX22" s="606">
        <f t="shared" ca="1" si="75"/>
        <v>0</v>
      </c>
      <c r="BY22" s="606">
        <f t="shared" ca="1" si="75"/>
        <v>0</v>
      </c>
      <c r="BZ22" s="606">
        <f t="shared" ca="1" si="75"/>
        <v>0</v>
      </c>
      <c r="CA22" s="606">
        <f t="shared" ca="1" si="75"/>
        <v>0</v>
      </c>
      <c r="CB22" s="606">
        <f t="shared" ca="1" si="75"/>
        <v>0</v>
      </c>
      <c r="CC22" s="606">
        <f t="shared" ca="1" si="75"/>
        <v>0</v>
      </c>
      <c r="CD22" s="606">
        <f t="shared" ca="1" si="75"/>
        <v>0</v>
      </c>
      <c r="CE22" s="606">
        <f t="shared" ca="1" si="75"/>
        <v>0</v>
      </c>
      <c r="CF22" s="606">
        <f t="shared" ca="1" si="75"/>
        <v>0</v>
      </c>
      <c r="CG22" s="606">
        <f t="shared" ca="1" si="75"/>
        <v>0</v>
      </c>
      <c r="CH22" s="606">
        <f t="shared" ca="1" si="75"/>
        <v>0</v>
      </c>
      <c r="CI22" s="606">
        <f t="shared" ca="1" si="75"/>
        <v>0</v>
      </c>
      <c r="CJ22" s="606">
        <f t="shared" ca="1" si="75"/>
        <v>0</v>
      </c>
      <c r="CK22" s="606">
        <f t="shared" ca="1" si="75"/>
        <v>0</v>
      </c>
      <c r="CL22" s="606">
        <f t="shared" ca="1" si="75"/>
        <v>0</v>
      </c>
      <c r="CM22" s="606">
        <f t="shared" ca="1" si="75"/>
        <v>0</v>
      </c>
      <c r="CN22" s="606">
        <f t="shared" ca="1" si="75"/>
        <v>0</v>
      </c>
      <c r="CO22" s="606">
        <f t="shared" ca="1" si="75"/>
        <v>0</v>
      </c>
      <c r="CP22" s="606">
        <f t="shared" ca="1" si="75"/>
        <v>0</v>
      </c>
      <c r="CQ22" s="606">
        <f t="shared" ca="1" si="75"/>
        <v>0</v>
      </c>
      <c r="CR22" s="606">
        <f t="shared" ca="1" si="75"/>
        <v>0</v>
      </c>
      <c r="CS22" s="606">
        <f t="shared" ca="1" si="75"/>
        <v>0</v>
      </c>
      <c r="CT22" s="606">
        <f t="shared" ca="1" si="75"/>
        <v>0</v>
      </c>
      <c r="CU22" s="606">
        <f t="shared" ca="1" si="75"/>
        <v>0</v>
      </c>
      <c r="CV22" s="606">
        <f t="shared" ca="1" si="75"/>
        <v>0</v>
      </c>
      <c r="CW22" s="606">
        <f t="shared" ca="1" si="75"/>
        <v>0</v>
      </c>
      <c r="CX22" s="606">
        <f t="shared" ca="1" si="75"/>
        <v>0</v>
      </c>
      <c r="CY22" s="606">
        <f t="shared" ref="CY22:ED22" ca="1" si="76">CY91*$F$22</f>
        <v>0</v>
      </c>
      <c r="CZ22" s="606">
        <f t="shared" ca="1" si="76"/>
        <v>0</v>
      </c>
      <c r="DA22" s="606">
        <f t="shared" ca="1" si="76"/>
        <v>0</v>
      </c>
      <c r="DB22" s="606">
        <f t="shared" ca="1" si="76"/>
        <v>0</v>
      </c>
      <c r="DC22" s="606">
        <f t="shared" ca="1" si="76"/>
        <v>0</v>
      </c>
      <c r="DD22" s="606">
        <f t="shared" ca="1" si="76"/>
        <v>0</v>
      </c>
      <c r="DE22" s="606">
        <f t="shared" ca="1" si="76"/>
        <v>0</v>
      </c>
      <c r="DF22" s="606">
        <f t="shared" ca="1" si="76"/>
        <v>0</v>
      </c>
      <c r="DG22" s="606">
        <f t="shared" ca="1" si="76"/>
        <v>0</v>
      </c>
      <c r="DH22" s="606">
        <f t="shared" ca="1" si="76"/>
        <v>0</v>
      </c>
      <c r="DI22" s="606">
        <f t="shared" ca="1" si="76"/>
        <v>0</v>
      </c>
      <c r="DJ22" s="606">
        <f t="shared" ca="1" si="76"/>
        <v>0</v>
      </c>
      <c r="DK22" s="606">
        <f t="shared" ca="1" si="76"/>
        <v>0</v>
      </c>
      <c r="DL22" s="606">
        <f t="shared" ca="1" si="76"/>
        <v>0</v>
      </c>
      <c r="DM22" s="606">
        <f t="shared" ca="1" si="76"/>
        <v>0</v>
      </c>
      <c r="DN22" s="606">
        <f t="shared" ca="1" si="76"/>
        <v>0</v>
      </c>
      <c r="DO22" s="606">
        <f t="shared" ca="1" si="76"/>
        <v>0</v>
      </c>
      <c r="DP22" s="606">
        <f t="shared" ca="1" si="76"/>
        <v>0</v>
      </c>
      <c r="DQ22" s="606">
        <f t="shared" ca="1" si="76"/>
        <v>0</v>
      </c>
      <c r="DR22" s="606">
        <f t="shared" ca="1" si="76"/>
        <v>0</v>
      </c>
      <c r="DS22" s="606">
        <f t="shared" ca="1" si="76"/>
        <v>0</v>
      </c>
      <c r="DT22" s="606">
        <f t="shared" ca="1" si="76"/>
        <v>0</v>
      </c>
      <c r="DU22" s="606">
        <f t="shared" ca="1" si="76"/>
        <v>0</v>
      </c>
      <c r="DV22" s="606">
        <f t="shared" ca="1" si="76"/>
        <v>0</v>
      </c>
      <c r="DW22" s="606">
        <f t="shared" ca="1" si="76"/>
        <v>0</v>
      </c>
      <c r="DX22" s="606">
        <f t="shared" ca="1" si="76"/>
        <v>0</v>
      </c>
      <c r="DY22" s="606">
        <f t="shared" ca="1" si="76"/>
        <v>0</v>
      </c>
      <c r="DZ22" s="606">
        <f t="shared" ca="1" si="76"/>
        <v>0</v>
      </c>
      <c r="EA22" s="606">
        <f t="shared" ca="1" si="76"/>
        <v>0</v>
      </c>
      <c r="EB22" s="606">
        <f t="shared" ca="1" si="76"/>
        <v>0</v>
      </c>
      <c r="EC22" s="606">
        <f t="shared" ca="1" si="76"/>
        <v>0</v>
      </c>
      <c r="ED22" s="606">
        <f t="shared" ca="1" si="76"/>
        <v>0</v>
      </c>
      <c r="EE22" s="606">
        <f t="shared" ref="EE22:EJ22" ca="1" si="77">EE91*$F$22</f>
        <v>0</v>
      </c>
      <c r="EF22" s="606">
        <f t="shared" ca="1" si="77"/>
        <v>0</v>
      </c>
      <c r="EG22" s="606">
        <f t="shared" ca="1" si="77"/>
        <v>0</v>
      </c>
      <c r="EH22" s="606">
        <f t="shared" ca="1" si="77"/>
        <v>0</v>
      </c>
      <c r="EI22" s="606">
        <f t="shared" ca="1" si="77"/>
        <v>0</v>
      </c>
      <c r="EJ22" s="606">
        <f t="shared" si="77"/>
        <v>0</v>
      </c>
      <c r="EK22" s="332"/>
    </row>
    <row r="23" spans="1:141" s="321" customFormat="1" hidden="1" outlineLevel="1">
      <c r="B23" s="332"/>
      <c r="C23" s="317" t="s">
        <v>1527</v>
      </c>
      <c r="D23" s="317" t="s">
        <v>1808</v>
      </c>
      <c r="E23" s="606">
        <f t="shared" ca="1" si="17"/>
        <v>0</v>
      </c>
      <c r="F23" s="606">
        <f>'Распределение по статьям'!AC186-'Распределение по статьям'!AC198</f>
        <v>1650020581.6072528</v>
      </c>
      <c r="G23" s="606">
        <f t="shared" ref="G23:AL23" si="78">G96*$F$23</f>
        <v>0</v>
      </c>
      <c r="H23" s="606">
        <f t="shared" ca="1" si="78"/>
        <v>0</v>
      </c>
      <c r="I23" s="606">
        <f t="shared" ca="1" si="78"/>
        <v>0</v>
      </c>
      <c r="J23" s="606">
        <f t="shared" ca="1" si="78"/>
        <v>0</v>
      </c>
      <c r="K23" s="606">
        <f t="shared" ca="1" si="78"/>
        <v>0</v>
      </c>
      <c r="L23" s="606">
        <f t="shared" ca="1" si="78"/>
        <v>0</v>
      </c>
      <c r="M23" s="606">
        <f t="shared" ca="1" si="78"/>
        <v>0</v>
      </c>
      <c r="N23" s="606">
        <f t="shared" ca="1" si="78"/>
        <v>0</v>
      </c>
      <c r="O23" s="606">
        <f t="shared" ca="1" si="78"/>
        <v>0</v>
      </c>
      <c r="P23" s="606">
        <f t="shared" ca="1" si="78"/>
        <v>0</v>
      </c>
      <c r="Q23" s="606">
        <f t="shared" ca="1" si="78"/>
        <v>0</v>
      </c>
      <c r="R23" s="606">
        <f t="shared" ca="1" si="78"/>
        <v>0</v>
      </c>
      <c r="S23" s="606">
        <f t="shared" ca="1" si="78"/>
        <v>0</v>
      </c>
      <c r="T23" s="606">
        <f t="shared" ca="1" si="78"/>
        <v>0</v>
      </c>
      <c r="U23" s="606">
        <f t="shared" ca="1" si="78"/>
        <v>0</v>
      </c>
      <c r="V23" s="606">
        <f t="shared" ca="1" si="78"/>
        <v>0</v>
      </c>
      <c r="W23" s="606">
        <f t="shared" ca="1" si="78"/>
        <v>0</v>
      </c>
      <c r="X23" s="606">
        <f t="shared" ca="1" si="78"/>
        <v>0</v>
      </c>
      <c r="Y23" s="606">
        <f t="shared" ca="1" si="78"/>
        <v>0</v>
      </c>
      <c r="Z23" s="606">
        <f t="shared" ca="1" si="78"/>
        <v>0</v>
      </c>
      <c r="AA23" s="606">
        <f t="shared" ca="1" si="78"/>
        <v>0</v>
      </c>
      <c r="AB23" s="606">
        <f t="shared" ca="1" si="78"/>
        <v>0</v>
      </c>
      <c r="AC23" s="606">
        <f t="shared" ca="1" si="78"/>
        <v>0</v>
      </c>
      <c r="AD23" s="606">
        <f t="shared" ca="1" si="78"/>
        <v>0</v>
      </c>
      <c r="AE23" s="606">
        <f t="shared" ca="1" si="78"/>
        <v>0</v>
      </c>
      <c r="AF23" s="606">
        <f t="shared" ca="1" si="78"/>
        <v>0</v>
      </c>
      <c r="AG23" s="606">
        <f t="shared" ca="1" si="78"/>
        <v>0</v>
      </c>
      <c r="AH23" s="606">
        <f t="shared" ca="1" si="78"/>
        <v>0</v>
      </c>
      <c r="AI23" s="606">
        <f t="shared" ca="1" si="78"/>
        <v>0</v>
      </c>
      <c r="AJ23" s="606">
        <f t="shared" ca="1" si="78"/>
        <v>0</v>
      </c>
      <c r="AK23" s="606">
        <f t="shared" ca="1" si="78"/>
        <v>0</v>
      </c>
      <c r="AL23" s="606">
        <f t="shared" ca="1" si="78"/>
        <v>0</v>
      </c>
      <c r="AM23" s="606">
        <f t="shared" ref="AM23:BR23" ca="1" si="79">AM96*$F$23</f>
        <v>0</v>
      </c>
      <c r="AN23" s="606">
        <f t="shared" ca="1" si="79"/>
        <v>247503087.24108791</v>
      </c>
      <c r="AO23" s="606">
        <f t="shared" ca="1" si="79"/>
        <v>0</v>
      </c>
      <c r="AP23" s="606">
        <f t="shared" ca="1" si="79"/>
        <v>66174967.916702494</v>
      </c>
      <c r="AQ23" s="606">
        <f t="shared" ca="1" si="79"/>
        <v>97521005.350929976</v>
      </c>
      <c r="AR23" s="606">
        <f t="shared" ca="1" si="79"/>
        <v>107969684.49567248</v>
      </c>
      <c r="AS23" s="606">
        <f t="shared" ca="1" si="79"/>
        <v>104486791.44742499</v>
      </c>
      <c r="AT23" s="606">
        <f t="shared" ca="1" si="79"/>
        <v>107969684.49567248</v>
      </c>
      <c r="AU23" s="606">
        <f t="shared" ca="1" si="79"/>
        <v>104486791.44742499</v>
      </c>
      <c r="AV23" s="606">
        <f t="shared" ca="1" si="79"/>
        <v>107969684.49567248</v>
      </c>
      <c r="AW23" s="606">
        <f t="shared" ca="1" si="79"/>
        <v>107969684.49567248</v>
      </c>
      <c r="AX23" s="606">
        <f t="shared" ca="1" si="79"/>
        <v>104486791.44742499</v>
      </c>
      <c r="AY23" s="606">
        <f t="shared" ca="1" si="79"/>
        <v>107969684.49567248</v>
      </c>
      <c r="AZ23" s="606">
        <f t="shared" ca="1" si="79"/>
        <v>104486791.44742499</v>
      </c>
      <c r="BA23" s="606">
        <f t="shared" ca="1" si="79"/>
        <v>107969684.49567248</v>
      </c>
      <c r="BB23" s="606">
        <f t="shared" ca="1" si="79"/>
        <v>90555219.254434988</v>
      </c>
      <c r="BC23" s="606">
        <f t="shared" ca="1" si="79"/>
        <v>41250514.540181324</v>
      </c>
      <c r="BD23" s="606">
        <f t="shared" ca="1" si="79"/>
        <v>0</v>
      </c>
      <c r="BE23" s="606">
        <f t="shared" ca="1" si="79"/>
        <v>0</v>
      </c>
      <c r="BF23" s="606">
        <f t="shared" ca="1" si="79"/>
        <v>0</v>
      </c>
      <c r="BG23" s="606">
        <f t="shared" ca="1" si="79"/>
        <v>0</v>
      </c>
      <c r="BH23" s="606">
        <f t="shared" ca="1" si="79"/>
        <v>0</v>
      </c>
      <c r="BI23" s="606">
        <f t="shared" ca="1" si="79"/>
        <v>0</v>
      </c>
      <c r="BJ23" s="606">
        <f t="shared" ca="1" si="79"/>
        <v>0</v>
      </c>
      <c r="BK23" s="606">
        <f t="shared" ca="1" si="79"/>
        <v>0</v>
      </c>
      <c r="BL23" s="606">
        <f t="shared" ca="1" si="79"/>
        <v>0</v>
      </c>
      <c r="BM23" s="606">
        <f t="shared" ca="1" si="79"/>
        <v>0</v>
      </c>
      <c r="BN23" s="606">
        <f t="shared" ca="1" si="79"/>
        <v>0</v>
      </c>
      <c r="BO23" s="606">
        <f t="shared" ca="1" si="79"/>
        <v>0</v>
      </c>
      <c r="BP23" s="606">
        <f t="shared" ca="1" si="79"/>
        <v>0</v>
      </c>
      <c r="BQ23" s="606">
        <f t="shared" ca="1" si="79"/>
        <v>0</v>
      </c>
      <c r="BR23" s="606">
        <f t="shared" ca="1" si="79"/>
        <v>0</v>
      </c>
      <c r="BS23" s="606">
        <f t="shared" ref="BS23:CX23" ca="1" si="80">BS96*$F$23</f>
        <v>0</v>
      </c>
      <c r="BT23" s="606">
        <f t="shared" ca="1" si="80"/>
        <v>0</v>
      </c>
      <c r="BU23" s="606">
        <f t="shared" ca="1" si="80"/>
        <v>0</v>
      </c>
      <c r="BV23" s="606">
        <f t="shared" ca="1" si="80"/>
        <v>0</v>
      </c>
      <c r="BW23" s="606">
        <f t="shared" ca="1" si="80"/>
        <v>0</v>
      </c>
      <c r="BX23" s="606">
        <f t="shared" ca="1" si="80"/>
        <v>0</v>
      </c>
      <c r="BY23" s="606">
        <f t="shared" ca="1" si="80"/>
        <v>0</v>
      </c>
      <c r="BZ23" s="606">
        <f t="shared" ca="1" si="80"/>
        <v>41250514.540181324</v>
      </c>
      <c r="CA23" s="606">
        <f t="shared" ca="1" si="80"/>
        <v>0</v>
      </c>
      <c r="CB23" s="606">
        <f t="shared" ca="1" si="80"/>
        <v>0</v>
      </c>
      <c r="CC23" s="606">
        <f t="shared" ca="1" si="80"/>
        <v>0</v>
      </c>
      <c r="CD23" s="606">
        <f t="shared" ca="1" si="80"/>
        <v>0</v>
      </c>
      <c r="CE23" s="606">
        <f t="shared" ca="1" si="80"/>
        <v>0</v>
      </c>
      <c r="CF23" s="606">
        <f t="shared" ca="1" si="80"/>
        <v>0</v>
      </c>
      <c r="CG23" s="606">
        <f t="shared" ca="1" si="80"/>
        <v>0</v>
      </c>
      <c r="CH23" s="606">
        <f t="shared" ca="1" si="80"/>
        <v>0</v>
      </c>
      <c r="CI23" s="606">
        <f t="shared" ca="1" si="80"/>
        <v>0</v>
      </c>
      <c r="CJ23" s="606">
        <f t="shared" ca="1" si="80"/>
        <v>0</v>
      </c>
      <c r="CK23" s="606">
        <f t="shared" ca="1" si="80"/>
        <v>0</v>
      </c>
      <c r="CL23" s="606">
        <f t="shared" ca="1" si="80"/>
        <v>0</v>
      </c>
      <c r="CM23" s="606">
        <f t="shared" ca="1" si="80"/>
        <v>0</v>
      </c>
      <c r="CN23" s="606">
        <f t="shared" ca="1" si="80"/>
        <v>0</v>
      </c>
      <c r="CO23" s="606">
        <f t="shared" ca="1" si="80"/>
        <v>0</v>
      </c>
      <c r="CP23" s="606">
        <f t="shared" ca="1" si="80"/>
        <v>0</v>
      </c>
      <c r="CQ23" s="606">
        <f t="shared" ca="1" si="80"/>
        <v>0</v>
      </c>
      <c r="CR23" s="606">
        <f t="shared" ca="1" si="80"/>
        <v>0</v>
      </c>
      <c r="CS23" s="606">
        <f t="shared" ca="1" si="80"/>
        <v>0</v>
      </c>
      <c r="CT23" s="606">
        <f t="shared" ca="1" si="80"/>
        <v>0</v>
      </c>
      <c r="CU23" s="606">
        <f t="shared" ca="1" si="80"/>
        <v>0</v>
      </c>
      <c r="CV23" s="606">
        <f t="shared" ca="1" si="80"/>
        <v>0</v>
      </c>
      <c r="CW23" s="606">
        <f t="shared" ca="1" si="80"/>
        <v>0</v>
      </c>
      <c r="CX23" s="606">
        <f t="shared" ca="1" si="80"/>
        <v>0</v>
      </c>
      <c r="CY23" s="606">
        <f t="shared" ref="CY23:ED23" ca="1" si="81">CY96*$F$23</f>
        <v>0</v>
      </c>
      <c r="CZ23" s="606">
        <f t="shared" ca="1" si="81"/>
        <v>0</v>
      </c>
      <c r="DA23" s="606">
        <f t="shared" ca="1" si="81"/>
        <v>0</v>
      </c>
      <c r="DB23" s="606">
        <f t="shared" ca="1" si="81"/>
        <v>0</v>
      </c>
      <c r="DC23" s="606">
        <f t="shared" ca="1" si="81"/>
        <v>0</v>
      </c>
      <c r="DD23" s="606">
        <f t="shared" ca="1" si="81"/>
        <v>0</v>
      </c>
      <c r="DE23" s="606">
        <f t="shared" ca="1" si="81"/>
        <v>0</v>
      </c>
      <c r="DF23" s="606">
        <f t="shared" ca="1" si="81"/>
        <v>0</v>
      </c>
      <c r="DG23" s="606">
        <f t="shared" ca="1" si="81"/>
        <v>0</v>
      </c>
      <c r="DH23" s="606">
        <f t="shared" ca="1" si="81"/>
        <v>0</v>
      </c>
      <c r="DI23" s="606">
        <f t="shared" ca="1" si="81"/>
        <v>0</v>
      </c>
      <c r="DJ23" s="606">
        <f t="shared" ca="1" si="81"/>
        <v>0</v>
      </c>
      <c r="DK23" s="606">
        <f t="shared" ca="1" si="81"/>
        <v>0</v>
      </c>
      <c r="DL23" s="606">
        <f t="shared" ca="1" si="81"/>
        <v>0</v>
      </c>
      <c r="DM23" s="606">
        <f t="shared" ca="1" si="81"/>
        <v>0</v>
      </c>
      <c r="DN23" s="606">
        <f t="shared" ca="1" si="81"/>
        <v>0</v>
      </c>
      <c r="DO23" s="606">
        <f t="shared" ca="1" si="81"/>
        <v>0</v>
      </c>
      <c r="DP23" s="606">
        <f t="shared" ca="1" si="81"/>
        <v>0</v>
      </c>
      <c r="DQ23" s="606">
        <f t="shared" ca="1" si="81"/>
        <v>0</v>
      </c>
      <c r="DR23" s="606">
        <f t="shared" ca="1" si="81"/>
        <v>0</v>
      </c>
      <c r="DS23" s="606">
        <f t="shared" ca="1" si="81"/>
        <v>0</v>
      </c>
      <c r="DT23" s="606">
        <f t="shared" ca="1" si="81"/>
        <v>0</v>
      </c>
      <c r="DU23" s="606">
        <f t="shared" ca="1" si="81"/>
        <v>0</v>
      </c>
      <c r="DV23" s="606">
        <f t="shared" ca="1" si="81"/>
        <v>0</v>
      </c>
      <c r="DW23" s="606">
        <f t="shared" ca="1" si="81"/>
        <v>0</v>
      </c>
      <c r="DX23" s="606">
        <f t="shared" ca="1" si="81"/>
        <v>0</v>
      </c>
      <c r="DY23" s="606">
        <f t="shared" ca="1" si="81"/>
        <v>0</v>
      </c>
      <c r="DZ23" s="606">
        <f t="shared" ca="1" si="81"/>
        <v>0</v>
      </c>
      <c r="EA23" s="606">
        <f t="shared" ca="1" si="81"/>
        <v>0</v>
      </c>
      <c r="EB23" s="606">
        <f t="shared" ca="1" si="81"/>
        <v>0</v>
      </c>
      <c r="EC23" s="606">
        <f t="shared" ca="1" si="81"/>
        <v>0</v>
      </c>
      <c r="ED23" s="606">
        <f t="shared" ca="1" si="81"/>
        <v>0</v>
      </c>
      <c r="EE23" s="606">
        <f t="shared" ref="EE23:EJ23" ca="1" si="82">EE96*$F$23</f>
        <v>0</v>
      </c>
      <c r="EF23" s="606">
        <f t="shared" ca="1" si="82"/>
        <v>0</v>
      </c>
      <c r="EG23" s="606">
        <f t="shared" ca="1" si="82"/>
        <v>0</v>
      </c>
      <c r="EH23" s="606">
        <f t="shared" ca="1" si="82"/>
        <v>0</v>
      </c>
      <c r="EI23" s="606">
        <f t="shared" ca="1" si="82"/>
        <v>0</v>
      </c>
      <c r="EJ23" s="606">
        <f t="shared" si="82"/>
        <v>0</v>
      </c>
      <c r="EK23" s="332"/>
    </row>
    <row r="24" spans="1:141" s="321" customFormat="1" hidden="1" outlineLevel="1">
      <c r="B24" s="332"/>
      <c r="C24" s="317" t="s">
        <v>1502</v>
      </c>
      <c r="D24" s="317" t="s">
        <v>1065</v>
      </c>
      <c r="E24" s="606">
        <f t="shared" ca="1" si="17"/>
        <v>0</v>
      </c>
      <c r="F24" s="606">
        <f>'Распределение по статьям'!AC204</f>
        <v>915162.71186440659</v>
      </c>
      <c r="G24" s="606">
        <f t="shared" ref="G24:AL24" si="83">G96*$F$24</f>
        <v>0</v>
      </c>
      <c r="H24" s="606">
        <f t="shared" ca="1" si="83"/>
        <v>0</v>
      </c>
      <c r="I24" s="606">
        <f t="shared" ca="1" si="83"/>
        <v>0</v>
      </c>
      <c r="J24" s="606">
        <f t="shared" ca="1" si="83"/>
        <v>0</v>
      </c>
      <c r="K24" s="606">
        <f t="shared" ca="1" si="83"/>
        <v>0</v>
      </c>
      <c r="L24" s="606">
        <f t="shared" ca="1" si="83"/>
        <v>0</v>
      </c>
      <c r="M24" s="606">
        <f t="shared" ca="1" si="83"/>
        <v>0</v>
      </c>
      <c r="N24" s="606">
        <f t="shared" ca="1" si="83"/>
        <v>0</v>
      </c>
      <c r="O24" s="606">
        <f t="shared" ca="1" si="83"/>
        <v>0</v>
      </c>
      <c r="P24" s="606">
        <f t="shared" ca="1" si="83"/>
        <v>0</v>
      </c>
      <c r="Q24" s="606">
        <f t="shared" ca="1" si="83"/>
        <v>0</v>
      </c>
      <c r="R24" s="606">
        <f t="shared" ca="1" si="83"/>
        <v>0</v>
      </c>
      <c r="S24" s="606">
        <f t="shared" ca="1" si="83"/>
        <v>0</v>
      </c>
      <c r="T24" s="606">
        <f t="shared" ca="1" si="83"/>
        <v>0</v>
      </c>
      <c r="U24" s="606">
        <f t="shared" ca="1" si="83"/>
        <v>0</v>
      </c>
      <c r="V24" s="606">
        <f t="shared" ca="1" si="83"/>
        <v>0</v>
      </c>
      <c r="W24" s="606">
        <f t="shared" ca="1" si="83"/>
        <v>0</v>
      </c>
      <c r="X24" s="606">
        <f t="shared" ca="1" si="83"/>
        <v>0</v>
      </c>
      <c r="Y24" s="606">
        <f t="shared" ca="1" si="83"/>
        <v>0</v>
      </c>
      <c r="Z24" s="606">
        <f t="shared" ca="1" si="83"/>
        <v>0</v>
      </c>
      <c r="AA24" s="606">
        <f t="shared" ca="1" si="83"/>
        <v>0</v>
      </c>
      <c r="AB24" s="606">
        <f t="shared" ca="1" si="83"/>
        <v>0</v>
      </c>
      <c r="AC24" s="606">
        <f t="shared" ca="1" si="83"/>
        <v>0</v>
      </c>
      <c r="AD24" s="606">
        <f t="shared" ca="1" si="83"/>
        <v>0</v>
      </c>
      <c r="AE24" s="606">
        <f t="shared" ca="1" si="83"/>
        <v>0</v>
      </c>
      <c r="AF24" s="606">
        <f t="shared" ca="1" si="83"/>
        <v>0</v>
      </c>
      <c r="AG24" s="606">
        <f t="shared" ca="1" si="83"/>
        <v>0</v>
      </c>
      <c r="AH24" s="606">
        <f t="shared" ca="1" si="83"/>
        <v>0</v>
      </c>
      <c r="AI24" s="606">
        <f t="shared" ca="1" si="83"/>
        <v>0</v>
      </c>
      <c r="AJ24" s="606">
        <f t="shared" ca="1" si="83"/>
        <v>0</v>
      </c>
      <c r="AK24" s="606">
        <f t="shared" ca="1" si="83"/>
        <v>0</v>
      </c>
      <c r="AL24" s="606">
        <f t="shared" ca="1" si="83"/>
        <v>0</v>
      </c>
      <c r="AM24" s="606">
        <f t="shared" ref="AM24:BR24" ca="1" si="84">AM96*$F$24</f>
        <v>0</v>
      </c>
      <c r="AN24" s="606">
        <f t="shared" ca="1" si="84"/>
        <v>137274.40677966099</v>
      </c>
      <c r="AO24" s="606">
        <f t="shared" ca="1" si="84"/>
        <v>0</v>
      </c>
      <c r="AP24" s="606">
        <f t="shared" ca="1" si="84"/>
        <v>36703.09556817673</v>
      </c>
      <c r="AQ24" s="606">
        <f t="shared" ca="1" si="84"/>
        <v>54088.772416260443</v>
      </c>
      <c r="AR24" s="606">
        <f t="shared" ca="1" si="84"/>
        <v>59883.998032288349</v>
      </c>
      <c r="AS24" s="606">
        <f t="shared" ca="1" si="84"/>
        <v>57952.256160279052</v>
      </c>
      <c r="AT24" s="606">
        <f t="shared" ca="1" si="84"/>
        <v>59883.998032288349</v>
      </c>
      <c r="AU24" s="606">
        <f t="shared" ca="1" si="84"/>
        <v>57952.256160279052</v>
      </c>
      <c r="AV24" s="606">
        <f t="shared" ca="1" si="84"/>
        <v>59883.998032288349</v>
      </c>
      <c r="AW24" s="606">
        <f t="shared" ca="1" si="84"/>
        <v>59883.998032288349</v>
      </c>
      <c r="AX24" s="606">
        <f t="shared" ca="1" si="84"/>
        <v>57952.256160279052</v>
      </c>
      <c r="AY24" s="606">
        <f t="shared" ca="1" si="84"/>
        <v>59883.998032288349</v>
      </c>
      <c r="AZ24" s="606">
        <f t="shared" ca="1" si="84"/>
        <v>57952.256160279052</v>
      </c>
      <c r="BA24" s="606">
        <f t="shared" ca="1" si="84"/>
        <v>59883.998032288349</v>
      </c>
      <c r="BB24" s="606">
        <f t="shared" ca="1" si="84"/>
        <v>50225.288672241841</v>
      </c>
      <c r="BC24" s="606">
        <f t="shared" ca="1" si="84"/>
        <v>22879.067796610165</v>
      </c>
      <c r="BD24" s="606">
        <f t="shared" ca="1" si="84"/>
        <v>0</v>
      </c>
      <c r="BE24" s="606">
        <f t="shared" ca="1" si="84"/>
        <v>0</v>
      </c>
      <c r="BF24" s="606">
        <f t="shared" ca="1" si="84"/>
        <v>0</v>
      </c>
      <c r="BG24" s="606">
        <f t="shared" ca="1" si="84"/>
        <v>0</v>
      </c>
      <c r="BH24" s="606">
        <f t="shared" ca="1" si="84"/>
        <v>0</v>
      </c>
      <c r="BI24" s="606">
        <f t="shared" ca="1" si="84"/>
        <v>0</v>
      </c>
      <c r="BJ24" s="606">
        <f t="shared" ca="1" si="84"/>
        <v>0</v>
      </c>
      <c r="BK24" s="606">
        <f t="shared" ca="1" si="84"/>
        <v>0</v>
      </c>
      <c r="BL24" s="606">
        <f t="shared" ca="1" si="84"/>
        <v>0</v>
      </c>
      <c r="BM24" s="606">
        <f t="shared" ca="1" si="84"/>
        <v>0</v>
      </c>
      <c r="BN24" s="606">
        <f t="shared" ca="1" si="84"/>
        <v>0</v>
      </c>
      <c r="BO24" s="606">
        <f t="shared" ca="1" si="84"/>
        <v>0</v>
      </c>
      <c r="BP24" s="606">
        <f t="shared" ca="1" si="84"/>
        <v>0</v>
      </c>
      <c r="BQ24" s="606">
        <f t="shared" ca="1" si="84"/>
        <v>0</v>
      </c>
      <c r="BR24" s="606">
        <f t="shared" ca="1" si="84"/>
        <v>0</v>
      </c>
      <c r="BS24" s="606">
        <f t="shared" ref="BS24:CX24" ca="1" si="85">BS96*$F$24</f>
        <v>0</v>
      </c>
      <c r="BT24" s="606">
        <f t="shared" ca="1" si="85"/>
        <v>0</v>
      </c>
      <c r="BU24" s="606">
        <f t="shared" ca="1" si="85"/>
        <v>0</v>
      </c>
      <c r="BV24" s="606">
        <f t="shared" ca="1" si="85"/>
        <v>0</v>
      </c>
      <c r="BW24" s="606">
        <f t="shared" ca="1" si="85"/>
        <v>0</v>
      </c>
      <c r="BX24" s="606">
        <f t="shared" ca="1" si="85"/>
        <v>0</v>
      </c>
      <c r="BY24" s="606">
        <f t="shared" ca="1" si="85"/>
        <v>0</v>
      </c>
      <c r="BZ24" s="606">
        <f t="shared" ca="1" si="85"/>
        <v>22879.067796610165</v>
      </c>
      <c r="CA24" s="606">
        <f t="shared" ca="1" si="85"/>
        <v>0</v>
      </c>
      <c r="CB24" s="606">
        <f t="shared" ca="1" si="85"/>
        <v>0</v>
      </c>
      <c r="CC24" s="606">
        <f t="shared" ca="1" si="85"/>
        <v>0</v>
      </c>
      <c r="CD24" s="606">
        <f t="shared" ca="1" si="85"/>
        <v>0</v>
      </c>
      <c r="CE24" s="606">
        <f t="shared" ca="1" si="85"/>
        <v>0</v>
      </c>
      <c r="CF24" s="606">
        <f t="shared" ca="1" si="85"/>
        <v>0</v>
      </c>
      <c r="CG24" s="606">
        <f t="shared" ca="1" si="85"/>
        <v>0</v>
      </c>
      <c r="CH24" s="606">
        <f t="shared" ca="1" si="85"/>
        <v>0</v>
      </c>
      <c r="CI24" s="606">
        <f t="shared" ca="1" si="85"/>
        <v>0</v>
      </c>
      <c r="CJ24" s="606">
        <f t="shared" ca="1" si="85"/>
        <v>0</v>
      </c>
      <c r="CK24" s="606">
        <f t="shared" ca="1" si="85"/>
        <v>0</v>
      </c>
      <c r="CL24" s="606">
        <f t="shared" ca="1" si="85"/>
        <v>0</v>
      </c>
      <c r="CM24" s="606">
        <f t="shared" ca="1" si="85"/>
        <v>0</v>
      </c>
      <c r="CN24" s="606">
        <f t="shared" ca="1" si="85"/>
        <v>0</v>
      </c>
      <c r="CO24" s="606">
        <f t="shared" ca="1" si="85"/>
        <v>0</v>
      </c>
      <c r="CP24" s="606">
        <f t="shared" ca="1" si="85"/>
        <v>0</v>
      </c>
      <c r="CQ24" s="606">
        <f t="shared" ca="1" si="85"/>
        <v>0</v>
      </c>
      <c r="CR24" s="606">
        <f t="shared" ca="1" si="85"/>
        <v>0</v>
      </c>
      <c r="CS24" s="606">
        <f t="shared" ca="1" si="85"/>
        <v>0</v>
      </c>
      <c r="CT24" s="606">
        <f t="shared" ca="1" si="85"/>
        <v>0</v>
      </c>
      <c r="CU24" s="606">
        <f t="shared" ca="1" si="85"/>
        <v>0</v>
      </c>
      <c r="CV24" s="606">
        <f t="shared" ca="1" si="85"/>
        <v>0</v>
      </c>
      <c r="CW24" s="606">
        <f t="shared" ca="1" si="85"/>
        <v>0</v>
      </c>
      <c r="CX24" s="606">
        <f t="shared" ca="1" si="85"/>
        <v>0</v>
      </c>
      <c r="CY24" s="606">
        <f t="shared" ref="CY24:ED24" ca="1" si="86">CY96*$F$24</f>
        <v>0</v>
      </c>
      <c r="CZ24" s="606">
        <f t="shared" ca="1" si="86"/>
        <v>0</v>
      </c>
      <c r="DA24" s="606">
        <f t="shared" ca="1" si="86"/>
        <v>0</v>
      </c>
      <c r="DB24" s="606">
        <f t="shared" ca="1" si="86"/>
        <v>0</v>
      </c>
      <c r="DC24" s="606">
        <f t="shared" ca="1" si="86"/>
        <v>0</v>
      </c>
      <c r="DD24" s="606">
        <f t="shared" ca="1" si="86"/>
        <v>0</v>
      </c>
      <c r="DE24" s="606">
        <f t="shared" ca="1" si="86"/>
        <v>0</v>
      </c>
      <c r="DF24" s="606">
        <f t="shared" ca="1" si="86"/>
        <v>0</v>
      </c>
      <c r="DG24" s="606">
        <f t="shared" ca="1" si="86"/>
        <v>0</v>
      </c>
      <c r="DH24" s="606">
        <f t="shared" ca="1" si="86"/>
        <v>0</v>
      </c>
      <c r="DI24" s="606">
        <f t="shared" ca="1" si="86"/>
        <v>0</v>
      </c>
      <c r="DJ24" s="606">
        <f t="shared" ca="1" si="86"/>
        <v>0</v>
      </c>
      <c r="DK24" s="606">
        <f t="shared" ca="1" si="86"/>
        <v>0</v>
      </c>
      <c r="DL24" s="606">
        <f t="shared" ca="1" si="86"/>
        <v>0</v>
      </c>
      <c r="DM24" s="606">
        <f t="shared" ca="1" si="86"/>
        <v>0</v>
      </c>
      <c r="DN24" s="606">
        <f t="shared" ca="1" si="86"/>
        <v>0</v>
      </c>
      <c r="DO24" s="606">
        <f t="shared" ca="1" si="86"/>
        <v>0</v>
      </c>
      <c r="DP24" s="606">
        <f t="shared" ca="1" si="86"/>
        <v>0</v>
      </c>
      <c r="DQ24" s="606">
        <f t="shared" ca="1" si="86"/>
        <v>0</v>
      </c>
      <c r="DR24" s="606">
        <f t="shared" ca="1" si="86"/>
        <v>0</v>
      </c>
      <c r="DS24" s="606">
        <f t="shared" ca="1" si="86"/>
        <v>0</v>
      </c>
      <c r="DT24" s="606">
        <f t="shared" ca="1" si="86"/>
        <v>0</v>
      </c>
      <c r="DU24" s="606">
        <f t="shared" ca="1" si="86"/>
        <v>0</v>
      </c>
      <c r="DV24" s="606">
        <f t="shared" ca="1" si="86"/>
        <v>0</v>
      </c>
      <c r="DW24" s="606">
        <f t="shared" ca="1" si="86"/>
        <v>0</v>
      </c>
      <c r="DX24" s="606">
        <f t="shared" ca="1" si="86"/>
        <v>0</v>
      </c>
      <c r="DY24" s="606">
        <f t="shared" ca="1" si="86"/>
        <v>0</v>
      </c>
      <c r="DZ24" s="606">
        <f t="shared" ca="1" si="86"/>
        <v>0</v>
      </c>
      <c r="EA24" s="606">
        <f t="shared" ca="1" si="86"/>
        <v>0</v>
      </c>
      <c r="EB24" s="606">
        <f t="shared" ca="1" si="86"/>
        <v>0</v>
      </c>
      <c r="EC24" s="606">
        <f t="shared" ca="1" si="86"/>
        <v>0</v>
      </c>
      <c r="ED24" s="606">
        <f t="shared" ca="1" si="86"/>
        <v>0</v>
      </c>
      <c r="EE24" s="606">
        <f t="shared" ref="EE24:EJ24" ca="1" si="87">EE96*$F$24</f>
        <v>0</v>
      </c>
      <c r="EF24" s="606">
        <f t="shared" ca="1" si="87"/>
        <v>0</v>
      </c>
      <c r="EG24" s="606">
        <f t="shared" ca="1" si="87"/>
        <v>0</v>
      </c>
      <c r="EH24" s="606">
        <f t="shared" ca="1" si="87"/>
        <v>0</v>
      </c>
      <c r="EI24" s="606">
        <f t="shared" ca="1" si="87"/>
        <v>0</v>
      </c>
      <c r="EJ24" s="606">
        <f t="shared" si="87"/>
        <v>0</v>
      </c>
      <c r="EK24" s="332"/>
    </row>
    <row r="25" spans="1:141" s="321" customFormat="1" hidden="1" outlineLevel="1">
      <c r="B25" s="332"/>
      <c r="C25" s="317" t="s">
        <v>1533</v>
      </c>
      <c r="D25" s="317" t="s">
        <v>1532</v>
      </c>
      <c r="E25" s="606">
        <f t="shared" ca="1" si="17"/>
        <v>0</v>
      </c>
      <c r="F25" s="606">
        <f>'Распределение по статьям'!AC183</f>
        <v>23769116.858923633</v>
      </c>
      <c r="G25" s="606">
        <f t="shared" ref="G25:AL25" si="88">G168*$F$25</f>
        <v>0</v>
      </c>
      <c r="H25" s="606">
        <f t="shared" ca="1" si="88"/>
        <v>0</v>
      </c>
      <c r="I25" s="606">
        <f t="shared" ca="1" si="88"/>
        <v>0</v>
      </c>
      <c r="J25" s="606">
        <f t="shared" ca="1" si="88"/>
        <v>0</v>
      </c>
      <c r="K25" s="606">
        <f t="shared" ca="1" si="88"/>
        <v>0</v>
      </c>
      <c r="L25" s="606">
        <f t="shared" ca="1" si="88"/>
        <v>0</v>
      </c>
      <c r="M25" s="606">
        <f t="shared" ca="1" si="88"/>
        <v>0</v>
      </c>
      <c r="N25" s="606">
        <f t="shared" ca="1" si="88"/>
        <v>0</v>
      </c>
      <c r="O25" s="606">
        <f t="shared" ca="1" si="88"/>
        <v>0</v>
      </c>
      <c r="P25" s="606">
        <f t="shared" ca="1" si="88"/>
        <v>0</v>
      </c>
      <c r="Q25" s="606">
        <f t="shared" ca="1" si="88"/>
        <v>0</v>
      </c>
      <c r="R25" s="606">
        <f t="shared" ca="1" si="88"/>
        <v>0</v>
      </c>
      <c r="S25" s="606">
        <f t="shared" ca="1" si="88"/>
        <v>0</v>
      </c>
      <c r="T25" s="606">
        <f t="shared" ca="1" si="88"/>
        <v>0</v>
      </c>
      <c r="U25" s="606">
        <f t="shared" ca="1" si="88"/>
        <v>0</v>
      </c>
      <c r="V25" s="606">
        <f t="shared" ca="1" si="88"/>
        <v>0</v>
      </c>
      <c r="W25" s="606">
        <f t="shared" ca="1" si="88"/>
        <v>0</v>
      </c>
      <c r="X25" s="606">
        <f t="shared" ca="1" si="88"/>
        <v>0</v>
      </c>
      <c r="Y25" s="606">
        <f t="shared" ca="1" si="88"/>
        <v>0</v>
      </c>
      <c r="Z25" s="606">
        <f t="shared" ca="1" si="88"/>
        <v>0</v>
      </c>
      <c r="AA25" s="606">
        <f t="shared" ca="1" si="88"/>
        <v>0</v>
      </c>
      <c r="AB25" s="606">
        <f t="shared" ca="1" si="88"/>
        <v>0</v>
      </c>
      <c r="AC25" s="606">
        <f t="shared" ca="1" si="88"/>
        <v>0</v>
      </c>
      <c r="AD25" s="606">
        <f t="shared" ca="1" si="88"/>
        <v>0</v>
      </c>
      <c r="AE25" s="606">
        <f t="shared" ca="1" si="88"/>
        <v>0</v>
      </c>
      <c r="AF25" s="606">
        <f t="shared" ca="1" si="88"/>
        <v>0</v>
      </c>
      <c r="AG25" s="606">
        <f t="shared" ca="1" si="88"/>
        <v>0</v>
      </c>
      <c r="AH25" s="606">
        <f t="shared" ca="1" si="88"/>
        <v>0</v>
      </c>
      <c r="AI25" s="606">
        <f t="shared" ca="1" si="88"/>
        <v>0</v>
      </c>
      <c r="AJ25" s="606">
        <f t="shared" ca="1" si="88"/>
        <v>0</v>
      </c>
      <c r="AK25" s="606">
        <f t="shared" ca="1" si="88"/>
        <v>0</v>
      </c>
      <c r="AL25" s="606">
        <f t="shared" ca="1" si="88"/>
        <v>0</v>
      </c>
      <c r="AM25" s="606">
        <f t="shared" ref="AM25:BR25" ca="1" si="89">AM168*$F$25</f>
        <v>0</v>
      </c>
      <c r="AN25" s="606">
        <f t="shared" ca="1" si="89"/>
        <v>0</v>
      </c>
      <c r="AO25" s="606">
        <f t="shared" ca="1" si="89"/>
        <v>0</v>
      </c>
      <c r="AP25" s="606">
        <f t="shared" ca="1" si="89"/>
        <v>0</v>
      </c>
      <c r="AQ25" s="606">
        <f t="shared" ca="1" si="89"/>
        <v>0</v>
      </c>
      <c r="AR25" s="606">
        <f t="shared" ca="1" si="89"/>
        <v>0</v>
      </c>
      <c r="AS25" s="606">
        <f t="shared" ca="1" si="89"/>
        <v>0</v>
      </c>
      <c r="AT25" s="606">
        <f t="shared" ca="1" si="89"/>
        <v>0</v>
      </c>
      <c r="AU25" s="606">
        <f t="shared" ca="1" si="89"/>
        <v>0</v>
      </c>
      <c r="AV25" s="606">
        <f t="shared" ca="1" si="89"/>
        <v>7130735.0576770892</v>
      </c>
      <c r="AW25" s="606">
        <f t="shared" ca="1" si="89"/>
        <v>0</v>
      </c>
      <c r="AX25" s="606">
        <f t="shared" ca="1" si="89"/>
        <v>433456.25605231663</v>
      </c>
      <c r="AY25" s="606">
        <f t="shared" ca="1" si="89"/>
        <v>2660820.5817072839</v>
      </c>
      <c r="AZ25" s="606">
        <f t="shared" ca="1" si="89"/>
        <v>2574987.6597167263</v>
      </c>
      <c r="BA25" s="606">
        <f t="shared" ca="1" si="89"/>
        <v>2660820.5817072839</v>
      </c>
      <c r="BB25" s="606">
        <f t="shared" ca="1" si="89"/>
        <v>2660820.5817072839</v>
      </c>
      <c r="BC25" s="606">
        <f t="shared" ca="1" si="89"/>
        <v>2403321.8157356116</v>
      </c>
      <c r="BD25" s="606">
        <f t="shared" ca="1" si="89"/>
        <v>2055698.4816738523</v>
      </c>
      <c r="BE25" s="606">
        <f t="shared" ca="1" si="89"/>
        <v>594227.92147309089</v>
      </c>
      <c r="BF25" s="606">
        <f t="shared" ca="1" si="89"/>
        <v>0</v>
      </c>
      <c r="BG25" s="606">
        <f t="shared" ca="1" si="89"/>
        <v>0</v>
      </c>
      <c r="BH25" s="606">
        <f t="shared" ca="1" si="89"/>
        <v>0</v>
      </c>
      <c r="BI25" s="606">
        <f t="shared" ca="1" si="89"/>
        <v>0</v>
      </c>
      <c r="BJ25" s="606">
        <f t="shared" ca="1" si="89"/>
        <v>0</v>
      </c>
      <c r="BK25" s="606">
        <f t="shared" ca="1" si="89"/>
        <v>0</v>
      </c>
      <c r="BL25" s="606">
        <f t="shared" ca="1" si="89"/>
        <v>0</v>
      </c>
      <c r="BM25" s="606">
        <f t="shared" ca="1" si="89"/>
        <v>0</v>
      </c>
      <c r="BN25" s="606">
        <f t="shared" ca="1" si="89"/>
        <v>0</v>
      </c>
      <c r="BO25" s="606">
        <f t="shared" ca="1" si="89"/>
        <v>0</v>
      </c>
      <c r="BP25" s="606">
        <f t="shared" ca="1" si="89"/>
        <v>0</v>
      </c>
      <c r="BQ25" s="606">
        <f t="shared" ca="1" si="89"/>
        <v>0</v>
      </c>
      <c r="BR25" s="606">
        <f t="shared" ca="1" si="89"/>
        <v>0</v>
      </c>
      <c r="BS25" s="606">
        <f t="shared" ref="BS25:CX25" ca="1" si="90">BS168*$F$25</f>
        <v>0</v>
      </c>
      <c r="BT25" s="606">
        <f t="shared" ca="1" si="90"/>
        <v>0</v>
      </c>
      <c r="BU25" s="606">
        <f t="shared" ca="1" si="90"/>
        <v>0</v>
      </c>
      <c r="BV25" s="606">
        <f t="shared" ca="1" si="90"/>
        <v>0</v>
      </c>
      <c r="BW25" s="606">
        <f t="shared" ca="1" si="90"/>
        <v>0</v>
      </c>
      <c r="BX25" s="606">
        <f t="shared" ca="1" si="90"/>
        <v>0</v>
      </c>
      <c r="BY25" s="606">
        <f t="shared" ca="1" si="90"/>
        <v>0</v>
      </c>
      <c r="BZ25" s="606">
        <f t="shared" ca="1" si="90"/>
        <v>0</v>
      </c>
      <c r="CA25" s="606">
        <f t="shared" ca="1" si="90"/>
        <v>0</v>
      </c>
      <c r="CB25" s="606">
        <f t="shared" ca="1" si="90"/>
        <v>594227.92147309089</v>
      </c>
      <c r="CC25" s="606">
        <f t="shared" ca="1" si="90"/>
        <v>0</v>
      </c>
      <c r="CD25" s="606">
        <f t="shared" ca="1" si="90"/>
        <v>0</v>
      </c>
      <c r="CE25" s="606">
        <f t="shared" ca="1" si="90"/>
        <v>0</v>
      </c>
      <c r="CF25" s="606">
        <f t="shared" ca="1" si="90"/>
        <v>0</v>
      </c>
      <c r="CG25" s="606">
        <f t="shared" ca="1" si="90"/>
        <v>0</v>
      </c>
      <c r="CH25" s="606">
        <f t="shared" ca="1" si="90"/>
        <v>0</v>
      </c>
      <c r="CI25" s="606">
        <f t="shared" ca="1" si="90"/>
        <v>0</v>
      </c>
      <c r="CJ25" s="606">
        <f t="shared" ca="1" si="90"/>
        <v>0</v>
      </c>
      <c r="CK25" s="606">
        <f t="shared" ca="1" si="90"/>
        <v>0</v>
      </c>
      <c r="CL25" s="606">
        <f t="shared" ca="1" si="90"/>
        <v>0</v>
      </c>
      <c r="CM25" s="606">
        <f t="shared" ca="1" si="90"/>
        <v>0</v>
      </c>
      <c r="CN25" s="606">
        <f t="shared" ca="1" si="90"/>
        <v>0</v>
      </c>
      <c r="CO25" s="606">
        <f t="shared" ca="1" si="90"/>
        <v>0</v>
      </c>
      <c r="CP25" s="606">
        <f t="shared" ca="1" si="90"/>
        <v>0</v>
      </c>
      <c r="CQ25" s="606">
        <f t="shared" ca="1" si="90"/>
        <v>0</v>
      </c>
      <c r="CR25" s="606">
        <f t="shared" ca="1" si="90"/>
        <v>0</v>
      </c>
      <c r="CS25" s="606">
        <f t="shared" ca="1" si="90"/>
        <v>0</v>
      </c>
      <c r="CT25" s="606">
        <f t="shared" ca="1" si="90"/>
        <v>0</v>
      </c>
      <c r="CU25" s="606">
        <f t="shared" ca="1" si="90"/>
        <v>0</v>
      </c>
      <c r="CV25" s="606">
        <f t="shared" ca="1" si="90"/>
        <v>0</v>
      </c>
      <c r="CW25" s="606">
        <f t="shared" ca="1" si="90"/>
        <v>0</v>
      </c>
      <c r="CX25" s="606">
        <f t="shared" ca="1" si="90"/>
        <v>0</v>
      </c>
      <c r="CY25" s="606">
        <f t="shared" ref="CY25:ED25" ca="1" si="91">CY168*$F$25</f>
        <v>0</v>
      </c>
      <c r="CZ25" s="606">
        <f t="shared" ca="1" si="91"/>
        <v>0</v>
      </c>
      <c r="DA25" s="606">
        <f t="shared" ca="1" si="91"/>
        <v>0</v>
      </c>
      <c r="DB25" s="606">
        <f t="shared" ca="1" si="91"/>
        <v>0</v>
      </c>
      <c r="DC25" s="606">
        <f t="shared" ca="1" si="91"/>
        <v>0</v>
      </c>
      <c r="DD25" s="606">
        <f t="shared" ca="1" si="91"/>
        <v>0</v>
      </c>
      <c r="DE25" s="606">
        <f t="shared" ca="1" si="91"/>
        <v>0</v>
      </c>
      <c r="DF25" s="606">
        <f t="shared" ca="1" si="91"/>
        <v>0</v>
      </c>
      <c r="DG25" s="606">
        <f t="shared" ca="1" si="91"/>
        <v>0</v>
      </c>
      <c r="DH25" s="606">
        <f t="shared" ca="1" si="91"/>
        <v>0</v>
      </c>
      <c r="DI25" s="606">
        <f t="shared" ca="1" si="91"/>
        <v>0</v>
      </c>
      <c r="DJ25" s="606">
        <f t="shared" ca="1" si="91"/>
        <v>0</v>
      </c>
      <c r="DK25" s="606">
        <f t="shared" ca="1" si="91"/>
        <v>0</v>
      </c>
      <c r="DL25" s="606">
        <f t="shared" ca="1" si="91"/>
        <v>0</v>
      </c>
      <c r="DM25" s="606">
        <f t="shared" ca="1" si="91"/>
        <v>0</v>
      </c>
      <c r="DN25" s="606">
        <f t="shared" ca="1" si="91"/>
        <v>0</v>
      </c>
      <c r="DO25" s="606">
        <f t="shared" ca="1" si="91"/>
        <v>0</v>
      </c>
      <c r="DP25" s="606">
        <f t="shared" ca="1" si="91"/>
        <v>0</v>
      </c>
      <c r="DQ25" s="606">
        <f t="shared" ca="1" si="91"/>
        <v>0</v>
      </c>
      <c r="DR25" s="606">
        <f t="shared" ca="1" si="91"/>
        <v>0</v>
      </c>
      <c r="DS25" s="606">
        <f t="shared" ca="1" si="91"/>
        <v>0</v>
      </c>
      <c r="DT25" s="606">
        <f t="shared" ca="1" si="91"/>
        <v>0</v>
      </c>
      <c r="DU25" s="606">
        <f t="shared" ca="1" si="91"/>
        <v>0</v>
      </c>
      <c r="DV25" s="606">
        <f t="shared" ca="1" si="91"/>
        <v>0</v>
      </c>
      <c r="DW25" s="606">
        <f t="shared" ca="1" si="91"/>
        <v>0</v>
      </c>
      <c r="DX25" s="606">
        <f t="shared" ca="1" si="91"/>
        <v>0</v>
      </c>
      <c r="DY25" s="606">
        <f t="shared" ca="1" si="91"/>
        <v>0</v>
      </c>
      <c r="DZ25" s="606">
        <f t="shared" ca="1" si="91"/>
        <v>0</v>
      </c>
      <c r="EA25" s="606">
        <f t="shared" ca="1" si="91"/>
        <v>0</v>
      </c>
      <c r="EB25" s="606">
        <f t="shared" ca="1" si="91"/>
        <v>0</v>
      </c>
      <c r="EC25" s="606">
        <f t="shared" ca="1" si="91"/>
        <v>0</v>
      </c>
      <c r="ED25" s="606">
        <f t="shared" ca="1" si="91"/>
        <v>0</v>
      </c>
      <c r="EE25" s="606">
        <f t="shared" ref="EE25:EJ25" ca="1" si="92">EE168*$F$25</f>
        <v>0</v>
      </c>
      <c r="EF25" s="606">
        <f t="shared" ca="1" si="92"/>
        <v>0</v>
      </c>
      <c r="EG25" s="606">
        <f t="shared" ca="1" si="92"/>
        <v>0</v>
      </c>
      <c r="EH25" s="606">
        <f t="shared" ca="1" si="92"/>
        <v>0</v>
      </c>
      <c r="EI25" s="606">
        <f t="shared" ca="1" si="92"/>
        <v>0</v>
      </c>
      <c r="EJ25" s="606">
        <f t="shared" si="92"/>
        <v>0</v>
      </c>
      <c r="EK25" s="332"/>
    </row>
    <row r="26" spans="1:141" s="321" customFormat="1" hidden="1" outlineLevel="1">
      <c r="B26" s="332"/>
      <c r="C26" s="317" t="s">
        <v>1507</v>
      </c>
      <c r="D26" s="317" t="s">
        <v>1054</v>
      </c>
      <c r="E26" s="606">
        <f t="shared" ca="1" si="17"/>
        <v>0</v>
      </c>
      <c r="F26" s="606">
        <f>'Распределение по статьям'!AC198</f>
        <v>212099792.93844748</v>
      </c>
      <c r="G26" s="606">
        <f t="shared" ref="G26:AL26" si="93">G168*$F$26</f>
        <v>0</v>
      </c>
      <c r="H26" s="606">
        <f t="shared" ca="1" si="93"/>
        <v>0</v>
      </c>
      <c r="I26" s="606">
        <f t="shared" ca="1" si="93"/>
        <v>0</v>
      </c>
      <c r="J26" s="606">
        <f t="shared" ca="1" si="93"/>
        <v>0</v>
      </c>
      <c r="K26" s="606">
        <f t="shared" ca="1" si="93"/>
        <v>0</v>
      </c>
      <c r="L26" s="606">
        <f t="shared" ca="1" si="93"/>
        <v>0</v>
      </c>
      <c r="M26" s="606">
        <f t="shared" ca="1" si="93"/>
        <v>0</v>
      </c>
      <c r="N26" s="606">
        <f t="shared" ca="1" si="93"/>
        <v>0</v>
      </c>
      <c r="O26" s="606">
        <f t="shared" ca="1" si="93"/>
        <v>0</v>
      </c>
      <c r="P26" s="606">
        <f t="shared" ca="1" si="93"/>
        <v>0</v>
      </c>
      <c r="Q26" s="606">
        <f t="shared" ca="1" si="93"/>
        <v>0</v>
      </c>
      <c r="R26" s="606">
        <f t="shared" ca="1" si="93"/>
        <v>0</v>
      </c>
      <c r="S26" s="606">
        <f t="shared" ca="1" si="93"/>
        <v>0</v>
      </c>
      <c r="T26" s="606">
        <f t="shared" ca="1" si="93"/>
        <v>0</v>
      </c>
      <c r="U26" s="606">
        <f t="shared" ca="1" si="93"/>
        <v>0</v>
      </c>
      <c r="V26" s="606">
        <f t="shared" ca="1" si="93"/>
        <v>0</v>
      </c>
      <c r="W26" s="606">
        <f t="shared" ca="1" si="93"/>
        <v>0</v>
      </c>
      <c r="X26" s="606">
        <f t="shared" ca="1" si="93"/>
        <v>0</v>
      </c>
      <c r="Y26" s="606">
        <f t="shared" ca="1" si="93"/>
        <v>0</v>
      </c>
      <c r="Z26" s="606">
        <f t="shared" ca="1" si="93"/>
        <v>0</v>
      </c>
      <c r="AA26" s="606">
        <f t="shared" ca="1" si="93"/>
        <v>0</v>
      </c>
      <c r="AB26" s="606">
        <f t="shared" ca="1" si="93"/>
        <v>0</v>
      </c>
      <c r="AC26" s="606">
        <f t="shared" ca="1" si="93"/>
        <v>0</v>
      </c>
      <c r="AD26" s="606">
        <f t="shared" ca="1" si="93"/>
        <v>0</v>
      </c>
      <c r="AE26" s="606">
        <f t="shared" ca="1" si="93"/>
        <v>0</v>
      </c>
      <c r="AF26" s="606">
        <f t="shared" ca="1" si="93"/>
        <v>0</v>
      </c>
      <c r="AG26" s="606">
        <f t="shared" ca="1" si="93"/>
        <v>0</v>
      </c>
      <c r="AH26" s="606">
        <f t="shared" ca="1" si="93"/>
        <v>0</v>
      </c>
      <c r="AI26" s="606">
        <f t="shared" ca="1" si="93"/>
        <v>0</v>
      </c>
      <c r="AJ26" s="606">
        <f t="shared" ca="1" si="93"/>
        <v>0</v>
      </c>
      <c r="AK26" s="606">
        <f t="shared" ca="1" si="93"/>
        <v>0</v>
      </c>
      <c r="AL26" s="606">
        <f t="shared" ca="1" si="93"/>
        <v>0</v>
      </c>
      <c r="AM26" s="606">
        <f t="shared" ref="AM26:BR26" ca="1" si="94">AM168*$F$26</f>
        <v>0</v>
      </c>
      <c r="AN26" s="606">
        <f t="shared" ca="1" si="94"/>
        <v>0</v>
      </c>
      <c r="AO26" s="606">
        <f t="shared" ca="1" si="94"/>
        <v>0</v>
      </c>
      <c r="AP26" s="606">
        <f t="shared" ca="1" si="94"/>
        <v>0</v>
      </c>
      <c r="AQ26" s="606">
        <f t="shared" ca="1" si="94"/>
        <v>0</v>
      </c>
      <c r="AR26" s="606">
        <f t="shared" ca="1" si="94"/>
        <v>0</v>
      </c>
      <c r="AS26" s="606">
        <f t="shared" ca="1" si="94"/>
        <v>0</v>
      </c>
      <c r="AT26" s="606">
        <f t="shared" ca="1" si="94"/>
        <v>0</v>
      </c>
      <c r="AU26" s="606">
        <f t="shared" ca="1" si="94"/>
        <v>0</v>
      </c>
      <c r="AV26" s="606">
        <f t="shared" ca="1" si="94"/>
        <v>63629937.881534241</v>
      </c>
      <c r="AW26" s="606">
        <f t="shared" ca="1" si="94"/>
        <v>0</v>
      </c>
      <c r="AX26" s="606">
        <f t="shared" ca="1" si="94"/>
        <v>3867875.3906691964</v>
      </c>
      <c r="AY26" s="606">
        <f t="shared" ca="1" si="94"/>
        <v>23743393.4872762</v>
      </c>
      <c r="AZ26" s="606">
        <f t="shared" ca="1" si="94"/>
        <v>22977477.568331804</v>
      </c>
      <c r="BA26" s="606">
        <f t="shared" ca="1" si="94"/>
        <v>23743393.4872762</v>
      </c>
      <c r="BB26" s="606">
        <f t="shared" ca="1" si="94"/>
        <v>23743393.4872762</v>
      </c>
      <c r="BC26" s="606">
        <f t="shared" ca="1" si="94"/>
        <v>21445645.730443019</v>
      </c>
      <c r="BD26" s="606">
        <f t="shared" ca="1" si="94"/>
        <v>18343686.258718215</v>
      </c>
      <c r="BE26" s="606">
        <f t="shared" ca="1" si="94"/>
        <v>5302494.8234611871</v>
      </c>
      <c r="BF26" s="606">
        <f t="shared" ca="1" si="94"/>
        <v>0</v>
      </c>
      <c r="BG26" s="606">
        <f t="shared" ca="1" si="94"/>
        <v>0</v>
      </c>
      <c r="BH26" s="606">
        <f t="shared" ca="1" si="94"/>
        <v>0</v>
      </c>
      <c r="BI26" s="606">
        <f t="shared" ca="1" si="94"/>
        <v>0</v>
      </c>
      <c r="BJ26" s="606">
        <f t="shared" ca="1" si="94"/>
        <v>0</v>
      </c>
      <c r="BK26" s="606">
        <f t="shared" ca="1" si="94"/>
        <v>0</v>
      </c>
      <c r="BL26" s="606">
        <f t="shared" ca="1" si="94"/>
        <v>0</v>
      </c>
      <c r="BM26" s="606">
        <f t="shared" ca="1" si="94"/>
        <v>0</v>
      </c>
      <c r="BN26" s="606">
        <f t="shared" ca="1" si="94"/>
        <v>0</v>
      </c>
      <c r="BO26" s="606">
        <f t="shared" ca="1" si="94"/>
        <v>0</v>
      </c>
      <c r="BP26" s="606">
        <f t="shared" ca="1" si="94"/>
        <v>0</v>
      </c>
      <c r="BQ26" s="606">
        <f t="shared" ca="1" si="94"/>
        <v>0</v>
      </c>
      <c r="BR26" s="606">
        <f t="shared" ca="1" si="94"/>
        <v>0</v>
      </c>
      <c r="BS26" s="606">
        <f t="shared" ref="BS26:CX26" ca="1" si="95">BS168*$F$26</f>
        <v>0</v>
      </c>
      <c r="BT26" s="606">
        <f t="shared" ca="1" si="95"/>
        <v>0</v>
      </c>
      <c r="BU26" s="606">
        <f t="shared" ca="1" si="95"/>
        <v>0</v>
      </c>
      <c r="BV26" s="606">
        <f t="shared" ca="1" si="95"/>
        <v>0</v>
      </c>
      <c r="BW26" s="606">
        <f t="shared" ca="1" si="95"/>
        <v>0</v>
      </c>
      <c r="BX26" s="606">
        <f t="shared" ca="1" si="95"/>
        <v>0</v>
      </c>
      <c r="BY26" s="606">
        <f t="shared" ca="1" si="95"/>
        <v>0</v>
      </c>
      <c r="BZ26" s="606">
        <f t="shared" ca="1" si="95"/>
        <v>0</v>
      </c>
      <c r="CA26" s="606">
        <f t="shared" ca="1" si="95"/>
        <v>0</v>
      </c>
      <c r="CB26" s="606">
        <f t="shared" ca="1" si="95"/>
        <v>5302494.8234611871</v>
      </c>
      <c r="CC26" s="606">
        <f t="shared" ca="1" si="95"/>
        <v>0</v>
      </c>
      <c r="CD26" s="606">
        <f t="shared" ca="1" si="95"/>
        <v>0</v>
      </c>
      <c r="CE26" s="606">
        <f t="shared" ca="1" si="95"/>
        <v>0</v>
      </c>
      <c r="CF26" s="606">
        <f t="shared" ca="1" si="95"/>
        <v>0</v>
      </c>
      <c r="CG26" s="606">
        <f t="shared" ca="1" si="95"/>
        <v>0</v>
      </c>
      <c r="CH26" s="606">
        <f t="shared" ca="1" si="95"/>
        <v>0</v>
      </c>
      <c r="CI26" s="606">
        <f t="shared" ca="1" si="95"/>
        <v>0</v>
      </c>
      <c r="CJ26" s="606">
        <f t="shared" ca="1" si="95"/>
        <v>0</v>
      </c>
      <c r="CK26" s="606">
        <f t="shared" ca="1" si="95"/>
        <v>0</v>
      </c>
      <c r="CL26" s="606">
        <f t="shared" ca="1" si="95"/>
        <v>0</v>
      </c>
      <c r="CM26" s="606">
        <f t="shared" ca="1" si="95"/>
        <v>0</v>
      </c>
      <c r="CN26" s="606">
        <f t="shared" ca="1" si="95"/>
        <v>0</v>
      </c>
      <c r="CO26" s="606">
        <f t="shared" ca="1" si="95"/>
        <v>0</v>
      </c>
      <c r="CP26" s="606">
        <f t="shared" ca="1" si="95"/>
        <v>0</v>
      </c>
      <c r="CQ26" s="606">
        <f t="shared" ca="1" si="95"/>
        <v>0</v>
      </c>
      <c r="CR26" s="606">
        <f t="shared" ca="1" si="95"/>
        <v>0</v>
      </c>
      <c r="CS26" s="606">
        <f t="shared" ca="1" si="95"/>
        <v>0</v>
      </c>
      <c r="CT26" s="606">
        <f t="shared" ca="1" si="95"/>
        <v>0</v>
      </c>
      <c r="CU26" s="606">
        <f t="shared" ca="1" si="95"/>
        <v>0</v>
      </c>
      <c r="CV26" s="606">
        <f t="shared" ca="1" si="95"/>
        <v>0</v>
      </c>
      <c r="CW26" s="606">
        <f t="shared" ca="1" si="95"/>
        <v>0</v>
      </c>
      <c r="CX26" s="606">
        <f t="shared" ca="1" si="95"/>
        <v>0</v>
      </c>
      <c r="CY26" s="606">
        <f t="shared" ref="CY26:ED26" ca="1" si="96">CY168*$F$26</f>
        <v>0</v>
      </c>
      <c r="CZ26" s="606">
        <f t="shared" ca="1" si="96"/>
        <v>0</v>
      </c>
      <c r="DA26" s="606">
        <f t="shared" ca="1" si="96"/>
        <v>0</v>
      </c>
      <c r="DB26" s="606">
        <f t="shared" ca="1" si="96"/>
        <v>0</v>
      </c>
      <c r="DC26" s="606">
        <f t="shared" ca="1" si="96"/>
        <v>0</v>
      </c>
      <c r="DD26" s="606">
        <f t="shared" ca="1" si="96"/>
        <v>0</v>
      </c>
      <c r="DE26" s="606">
        <f t="shared" ca="1" si="96"/>
        <v>0</v>
      </c>
      <c r="DF26" s="606">
        <f t="shared" ca="1" si="96"/>
        <v>0</v>
      </c>
      <c r="DG26" s="606">
        <f t="shared" ca="1" si="96"/>
        <v>0</v>
      </c>
      <c r="DH26" s="606">
        <f t="shared" ca="1" si="96"/>
        <v>0</v>
      </c>
      <c r="DI26" s="606">
        <f t="shared" ca="1" si="96"/>
        <v>0</v>
      </c>
      <c r="DJ26" s="606">
        <f t="shared" ca="1" si="96"/>
        <v>0</v>
      </c>
      <c r="DK26" s="606">
        <f t="shared" ca="1" si="96"/>
        <v>0</v>
      </c>
      <c r="DL26" s="606">
        <f t="shared" ca="1" si="96"/>
        <v>0</v>
      </c>
      <c r="DM26" s="606">
        <f t="shared" ca="1" si="96"/>
        <v>0</v>
      </c>
      <c r="DN26" s="606">
        <f t="shared" ca="1" si="96"/>
        <v>0</v>
      </c>
      <c r="DO26" s="606">
        <f t="shared" ca="1" si="96"/>
        <v>0</v>
      </c>
      <c r="DP26" s="606">
        <f t="shared" ca="1" si="96"/>
        <v>0</v>
      </c>
      <c r="DQ26" s="606">
        <f t="shared" ca="1" si="96"/>
        <v>0</v>
      </c>
      <c r="DR26" s="606">
        <f t="shared" ca="1" si="96"/>
        <v>0</v>
      </c>
      <c r="DS26" s="606">
        <f t="shared" ca="1" si="96"/>
        <v>0</v>
      </c>
      <c r="DT26" s="606">
        <f t="shared" ca="1" si="96"/>
        <v>0</v>
      </c>
      <c r="DU26" s="606">
        <f t="shared" ca="1" si="96"/>
        <v>0</v>
      </c>
      <c r="DV26" s="606">
        <f t="shared" ca="1" si="96"/>
        <v>0</v>
      </c>
      <c r="DW26" s="606">
        <f t="shared" ca="1" si="96"/>
        <v>0</v>
      </c>
      <c r="DX26" s="606">
        <f t="shared" ca="1" si="96"/>
        <v>0</v>
      </c>
      <c r="DY26" s="606">
        <f t="shared" ca="1" si="96"/>
        <v>0</v>
      </c>
      <c r="DZ26" s="606">
        <f t="shared" ca="1" si="96"/>
        <v>0</v>
      </c>
      <c r="EA26" s="606">
        <f t="shared" ca="1" si="96"/>
        <v>0</v>
      </c>
      <c r="EB26" s="606">
        <f t="shared" ca="1" si="96"/>
        <v>0</v>
      </c>
      <c r="EC26" s="606">
        <f t="shared" ca="1" si="96"/>
        <v>0</v>
      </c>
      <c r="ED26" s="606">
        <f t="shared" ca="1" si="96"/>
        <v>0</v>
      </c>
      <c r="EE26" s="606">
        <f t="shared" ref="EE26:EJ26" ca="1" si="97">EE168*$F$26</f>
        <v>0</v>
      </c>
      <c r="EF26" s="606">
        <f t="shared" ca="1" si="97"/>
        <v>0</v>
      </c>
      <c r="EG26" s="606">
        <f t="shared" ca="1" si="97"/>
        <v>0</v>
      </c>
      <c r="EH26" s="606">
        <f t="shared" ca="1" si="97"/>
        <v>0</v>
      </c>
      <c r="EI26" s="606">
        <f t="shared" ca="1" si="97"/>
        <v>0</v>
      </c>
      <c r="EJ26" s="606">
        <f t="shared" si="97"/>
        <v>0</v>
      </c>
      <c r="EK26" s="332"/>
    </row>
    <row r="27" spans="1:141" customFormat="1" hidden="1" outlineLevel="1">
      <c r="A27" s="321"/>
      <c r="B27" s="321"/>
      <c r="C27" s="317" t="s">
        <v>1491</v>
      </c>
      <c r="D27" s="317" t="s">
        <v>1076</v>
      </c>
      <c r="E27" s="606">
        <f t="shared" ca="1" si="17"/>
        <v>0</v>
      </c>
      <c r="F27" s="606">
        <f>'Распределение по статьям'!AC213</f>
        <v>0</v>
      </c>
      <c r="G27" s="606">
        <f t="shared" ref="G27:AL27" si="98">G106*$F$27</f>
        <v>0</v>
      </c>
      <c r="H27" s="606">
        <f t="shared" ca="1" si="98"/>
        <v>0</v>
      </c>
      <c r="I27" s="606">
        <f t="shared" ca="1" si="98"/>
        <v>0</v>
      </c>
      <c r="J27" s="606">
        <f t="shared" ca="1" si="98"/>
        <v>0</v>
      </c>
      <c r="K27" s="606">
        <f t="shared" ca="1" si="98"/>
        <v>0</v>
      </c>
      <c r="L27" s="606">
        <f t="shared" ca="1" si="98"/>
        <v>0</v>
      </c>
      <c r="M27" s="606">
        <f t="shared" ca="1" si="98"/>
        <v>0</v>
      </c>
      <c r="N27" s="606">
        <f t="shared" ca="1" si="98"/>
        <v>0</v>
      </c>
      <c r="O27" s="606">
        <f t="shared" ca="1" si="98"/>
        <v>0</v>
      </c>
      <c r="P27" s="606">
        <f t="shared" ca="1" si="98"/>
        <v>0</v>
      </c>
      <c r="Q27" s="606">
        <f t="shared" ca="1" si="98"/>
        <v>0</v>
      </c>
      <c r="R27" s="606">
        <f t="shared" ca="1" si="98"/>
        <v>0</v>
      </c>
      <c r="S27" s="606">
        <f t="shared" ca="1" si="98"/>
        <v>0</v>
      </c>
      <c r="T27" s="606">
        <f t="shared" ca="1" si="98"/>
        <v>0</v>
      </c>
      <c r="U27" s="606">
        <f t="shared" ca="1" si="98"/>
        <v>0</v>
      </c>
      <c r="V27" s="606">
        <f t="shared" ca="1" si="98"/>
        <v>0</v>
      </c>
      <c r="W27" s="606">
        <f t="shared" ca="1" si="98"/>
        <v>0</v>
      </c>
      <c r="X27" s="606">
        <f t="shared" ca="1" si="98"/>
        <v>0</v>
      </c>
      <c r="Y27" s="606">
        <f t="shared" ca="1" si="98"/>
        <v>0</v>
      </c>
      <c r="Z27" s="606">
        <f t="shared" ca="1" si="98"/>
        <v>0</v>
      </c>
      <c r="AA27" s="606">
        <f t="shared" ca="1" si="98"/>
        <v>0</v>
      </c>
      <c r="AB27" s="606">
        <f t="shared" ca="1" si="98"/>
        <v>0</v>
      </c>
      <c r="AC27" s="606">
        <f t="shared" ca="1" si="98"/>
        <v>0</v>
      </c>
      <c r="AD27" s="606">
        <f t="shared" ca="1" si="98"/>
        <v>0</v>
      </c>
      <c r="AE27" s="606">
        <f t="shared" ca="1" si="98"/>
        <v>0</v>
      </c>
      <c r="AF27" s="606">
        <f t="shared" ca="1" si="98"/>
        <v>0</v>
      </c>
      <c r="AG27" s="606">
        <f t="shared" ca="1" si="98"/>
        <v>0</v>
      </c>
      <c r="AH27" s="606">
        <f t="shared" ca="1" si="98"/>
        <v>0</v>
      </c>
      <c r="AI27" s="606">
        <f t="shared" ca="1" si="98"/>
        <v>0</v>
      </c>
      <c r="AJ27" s="606">
        <f t="shared" ca="1" si="98"/>
        <v>0</v>
      </c>
      <c r="AK27" s="606">
        <f t="shared" ca="1" si="98"/>
        <v>0</v>
      </c>
      <c r="AL27" s="606">
        <f t="shared" ca="1" si="98"/>
        <v>0</v>
      </c>
      <c r="AM27" s="606">
        <f t="shared" ref="AM27:BR27" ca="1" si="99">AM106*$F$27</f>
        <v>0</v>
      </c>
      <c r="AN27" s="606">
        <f t="shared" ca="1" si="99"/>
        <v>0</v>
      </c>
      <c r="AO27" s="606">
        <f t="shared" ca="1" si="99"/>
        <v>0</v>
      </c>
      <c r="AP27" s="606">
        <f t="shared" ca="1" si="99"/>
        <v>0</v>
      </c>
      <c r="AQ27" s="606">
        <f t="shared" ca="1" si="99"/>
        <v>0</v>
      </c>
      <c r="AR27" s="606">
        <f t="shared" ca="1" si="99"/>
        <v>0</v>
      </c>
      <c r="AS27" s="606">
        <f t="shared" ca="1" si="99"/>
        <v>0</v>
      </c>
      <c r="AT27" s="606">
        <f t="shared" ca="1" si="99"/>
        <v>0</v>
      </c>
      <c r="AU27" s="606">
        <f t="shared" ca="1" si="99"/>
        <v>0</v>
      </c>
      <c r="AV27" s="606">
        <f t="shared" ca="1" si="99"/>
        <v>0</v>
      </c>
      <c r="AW27" s="606">
        <f t="shared" ca="1" si="99"/>
        <v>0</v>
      </c>
      <c r="AX27" s="606">
        <f t="shared" ca="1" si="99"/>
        <v>0</v>
      </c>
      <c r="AY27" s="606">
        <f t="shared" ca="1" si="99"/>
        <v>0</v>
      </c>
      <c r="AZ27" s="606">
        <f t="shared" ca="1" si="99"/>
        <v>0</v>
      </c>
      <c r="BA27" s="606">
        <f t="shared" ca="1" si="99"/>
        <v>0</v>
      </c>
      <c r="BB27" s="606">
        <f t="shared" ca="1" si="99"/>
        <v>0</v>
      </c>
      <c r="BC27" s="606">
        <f t="shared" ca="1" si="99"/>
        <v>0</v>
      </c>
      <c r="BD27" s="606">
        <f t="shared" ca="1" si="99"/>
        <v>0</v>
      </c>
      <c r="BE27" s="606">
        <f t="shared" ca="1" si="99"/>
        <v>0</v>
      </c>
      <c r="BF27" s="606">
        <f t="shared" ca="1" si="99"/>
        <v>0</v>
      </c>
      <c r="BG27" s="606">
        <f t="shared" ca="1" si="99"/>
        <v>0</v>
      </c>
      <c r="BH27" s="606">
        <f t="shared" ca="1" si="99"/>
        <v>0</v>
      </c>
      <c r="BI27" s="606">
        <f t="shared" ca="1" si="99"/>
        <v>0</v>
      </c>
      <c r="BJ27" s="606">
        <f t="shared" ca="1" si="99"/>
        <v>0</v>
      </c>
      <c r="BK27" s="606">
        <f t="shared" ca="1" si="99"/>
        <v>0</v>
      </c>
      <c r="BL27" s="606">
        <f t="shared" ca="1" si="99"/>
        <v>0</v>
      </c>
      <c r="BM27" s="606">
        <f t="shared" ca="1" si="99"/>
        <v>0</v>
      </c>
      <c r="BN27" s="606">
        <f t="shared" ca="1" si="99"/>
        <v>0</v>
      </c>
      <c r="BO27" s="606">
        <f t="shared" ca="1" si="99"/>
        <v>0</v>
      </c>
      <c r="BP27" s="606">
        <f t="shared" ca="1" si="99"/>
        <v>0</v>
      </c>
      <c r="BQ27" s="606">
        <f t="shared" ca="1" si="99"/>
        <v>0</v>
      </c>
      <c r="BR27" s="606">
        <f t="shared" ca="1" si="99"/>
        <v>0</v>
      </c>
      <c r="BS27" s="606">
        <f t="shared" ref="BS27:CX27" ca="1" si="100">BS106*$F$27</f>
        <v>0</v>
      </c>
      <c r="BT27" s="606">
        <f t="shared" ca="1" si="100"/>
        <v>0</v>
      </c>
      <c r="BU27" s="606">
        <f t="shared" ca="1" si="100"/>
        <v>0</v>
      </c>
      <c r="BV27" s="606">
        <f t="shared" ca="1" si="100"/>
        <v>0</v>
      </c>
      <c r="BW27" s="606">
        <f t="shared" ca="1" si="100"/>
        <v>0</v>
      </c>
      <c r="BX27" s="606">
        <f t="shared" ca="1" si="100"/>
        <v>0</v>
      </c>
      <c r="BY27" s="606">
        <f t="shared" ca="1" si="100"/>
        <v>0</v>
      </c>
      <c r="BZ27" s="606">
        <f t="shared" ca="1" si="100"/>
        <v>0</v>
      </c>
      <c r="CA27" s="606">
        <f t="shared" ca="1" si="100"/>
        <v>0</v>
      </c>
      <c r="CB27" s="606">
        <f t="shared" ca="1" si="100"/>
        <v>0</v>
      </c>
      <c r="CC27" s="606">
        <f t="shared" ca="1" si="100"/>
        <v>0</v>
      </c>
      <c r="CD27" s="606">
        <f t="shared" ca="1" si="100"/>
        <v>0</v>
      </c>
      <c r="CE27" s="606">
        <f t="shared" ca="1" si="100"/>
        <v>0</v>
      </c>
      <c r="CF27" s="606">
        <f t="shared" ca="1" si="100"/>
        <v>0</v>
      </c>
      <c r="CG27" s="606">
        <f t="shared" ca="1" si="100"/>
        <v>0</v>
      </c>
      <c r="CH27" s="606">
        <f t="shared" ca="1" si="100"/>
        <v>0</v>
      </c>
      <c r="CI27" s="606">
        <f t="shared" ca="1" si="100"/>
        <v>0</v>
      </c>
      <c r="CJ27" s="606">
        <f t="shared" ca="1" si="100"/>
        <v>0</v>
      </c>
      <c r="CK27" s="606">
        <f t="shared" ca="1" si="100"/>
        <v>0</v>
      </c>
      <c r="CL27" s="606">
        <f t="shared" ca="1" si="100"/>
        <v>0</v>
      </c>
      <c r="CM27" s="606">
        <f t="shared" ca="1" si="100"/>
        <v>0</v>
      </c>
      <c r="CN27" s="606">
        <f t="shared" ca="1" si="100"/>
        <v>0</v>
      </c>
      <c r="CO27" s="606">
        <f t="shared" ca="1" si="100"/>
        <v>0</v>
      </c>
      <c r="CP27" s="606">
        <f t="shared" ca="1" si="100"/>
        <v>0</v>
      </c>
      <c r="CQ27" s="606">
        <f t="shared" ca="1" si="100"/>
        <v>0</v>
      </c>
      <c r="CR27" s="606">
        <f t="shared" ca="1" si="100"/>
        <v>0</v>
      </c>
      <c r="CS27" s="606">
        <f t="shared" ca="1" si="100"/>
        <v>0</v>
      </c>
      <c r="CT27" s="606">
        <f t="shared" ca="1" si="100"/>
        <v>0</v>
      </c>
      <c r="CU27" s="606">
        <f t="shared" ca="1" si="100"/>
        <v>0</v>
      </c>
      <c r="CV27" s="606">
        <f t="shared" ca="1" si="100"/>
        <v>0</v>
      </c>
      <c r="CW27" s="606">
        <f t="shared" ca="1" si="100"/>
        <v>0</v>
      </c>
      <c r="CX27" s="606">
        <f t="shared" ca="1" si="100"/>
        <v>0</v>
      </c>
      <c r="CY27" s="606">
        <f t="shared" ref="CY27:ED27" ca="1" si="101">CY106*$F$27</f>
        <v>0</v>
      </c>
      <c r="CZ27" s="606">
        <f t="shared" ca="1" si="101"/>
        <v>0</v>
      </c>
      <c r="DA27" s="606">
        <f t="shared" ca="1" si="101"/>
        <v>0</v>
      </c>
      <c r="DB27" s="606">
        <f t="shared" ca="1" si="101"/>
        <v>0</v>
      </c>
      <c r="DC27" s="606">
        <f t="shared" ca="1" si="101"/>
        <v>0</v>
      </c>
      <c r="DD27" s="606">
        <f t="shared" ca="1" si="101"/>
        <v>0</v>
      </c>
      <c r="DE27" s="606">
        <f t="shared" ca="1" si="101"/>
        <v>0</v>
      </c>
      <c r="DF27" s="606">
        <f t="shared" ca="1" si="101"/>
        <v>0</v>
      </c>
      <c r="DG27" s="606">
        <f t="shared" ca="1" si="101"/>
        <v>0</v>
      </c>
      <c r="DH27" s="606">
        <f t="shared" ca="1" si="101"/>
        <v>0</v>
      </c>
      <c r="DI27" s="606">
        <f t="shared" ca="1" si="101"/>
        <v>0</v>
      </c>
      <c r="DJ27" s="606">
        <f t="shared" ca="1" si="101"/>
        <v>0</v>
      </c>
      <c r="DK27" s="606">
        <f t="shared" ca="1" si="101"/>
        <v>0</v>
      </c>
      <c r="DL27" s="606">
        <f t="shared" ca="1" si="101"/>
        <v>0</v>
      </c>
      <c r="DM27" s="606">
        <f t="shared" ca="1" si="101"/>
        <v>0</v>
      </c>
      <c r="DN27" s="606">
        <f t="shared" ca="1" si="101"/>
        <v>0</v>
      </c>
      <c r="DO27" s="606">
        <f t="shared" ca="1" si="101"/>
        <v>0</v>
      </c>
      <c r="DP27" s="606">
        <f t="shared" ca="1" si="101"/>
        <v>0</v>
      </c>
      <c r="DQ27" s="606">
        <f t="shared" ca="1" si="101"/>
        <v>0</v>
      </c>
      <c r="DR27" s="606">
        <f t="shared" ca="1" si="101"/>
        <v>0</v>
      </c>
      <c r="DS27" s="606">
        <f t="shared" ca="1" si="101"/>
        <v>0</v>
      </c>
      <c r="DT27" s="606">
        <f t="shared" ca="1" si="101"/>
        <v>0</v>
      </c>
      <c r="DU27" s="606">
        <f t="shared" ca="1" si="101"/>
        <v>0</v>
      </c>
      <c r="DV27" s="606">
        <f t="shared" ca="1" si="101"/>
        <v>0</v>
      </c>
      <c r="DW27" s="606">
        <f t="shared" ca="1" si="101"/>
        <v>0</v>
      </c>
      <c r="DX27" s="606">
        <f t="shared" ca="1" si="101"/>
        <v>0</v>
      </c>
      <c r="DY27" s="606">
        <f t="shared" ca="1" si="101"/>
        <v>0</v>
      </c>
      <c r="DZ27" s="606">
        <f t="shared" ca="1" si="101"/>
        <v>0</v>
      </c>
      <c r="EA27" s="606">
        <f t="shared" ca="1" si="101"/>
        <v>0</v>
      </c>
      <c r="EB27" s="606">
        <f t="shared" ca="1" si="101"/>
        <v>0</v>
      </c>
      <c r="EC27" s="606">
        <f t="shared" ca="1" si="101"/>
        <v>0</v>
      </c>
      <c r="ED27" s="606">
        <f t="shared" ca="1" si="101"/>
        <v>0</v>
      </c>
      <c r="EE27" s="606">
        <f t="shared" ref="EE27:EJ27" ca="1" si="102">EE106*$F$27</f>
        <v>0</v>
      </c>
      <c r="EF27" s="606">
        <f t="shared" ca="1" si="102"/>
        <v>0</v>
      </c>
      <c r="EG27" s="606">
        <f t="shared" ca="1" si="102"/>
        <v>0</v>
      </c>
      <c r="EH27" s="606">
        <f t="shared" ca="1" si="102"/>
        <v>0</v>
      </c>
      <c r="EI27" s="606">
        <f t="shared" ca="1" si="102"/>
        <v>0</v>
      </c>
      <c r="EJ27" s="606">
        <f t="shared" si="102"/>
        <v>0</v>
      </c>
    </row>
    <row r="28" spans="1:141" customFormat="1" hidden="1" outlineLevel="1">
      <c r="A28" s="321"/>
      <c r="B28" s="321"/>
      <c r="C28" s="317" t="s">
        <v>1490</v>
      </c>
      <c r="D28" s="317" t="s">
        <v>1077</v>
      </c>
      <c r="E28" s="606">
        <f t="shared" ca="1" si="17"/>
        <v>0</v>
      </c>
      <c r="F28" s="606">
        <f>'Распределение по статьям'!AC214</f>
        <v>0</v>
      </c>
      <c r="G28" s="606">
        <f t="shared" ref="G28:AL28" si="103">G106*$F$28</f>
        <v>0</v>
      </c>
      <c r="H28" s="606">
        <f t="shared" ca="1" si="103"/>
        <v>0</v>
      </c>
      <c r="I28" s="606">
        <f t="shared" ca="1" si="103"/>
        <v>0</v>
      </c>
      <c r="J28" s="606">
        <f t="shared" ca="1" si="103"/>
        <v>0</v>
      </c>
      <c r="K28" s="606">
        <f t="shared" ca="1" si="103"/>
        <v>0</v>
      </c>
      <c r="L28" s="606">
        <f t="shared" ca="1" si="103"/>
        <v>0</v>
      </c>
      <c r="M28" s="606">
        <f t="shared" ca="1" si="103"/>
        <v>0</v>
      </c>
      <c r="N28" s="606">
        <f t="shared" ca="1" si="103"/>
        <v>0</v>
      </c>
      <c r="O28" s="606">
        <f t="shared" ca="1" si="103"/>
        <v>0</v>
      </c>
      <c r="P28" s="606">
        <f t="shared" ca="1" si="103"/>
        <v>0</v>
      </c>
      <c r="Q28" s="606">
        <f t="shared" ca="1" si="103"/>
        <v>0</v>
      </c>
      <c r="R28" s="606">
        <f t="shared" ca="1" si="103"/>
        <v>0</v>
      </c>
      <c r="S28" s="606">
        <f t="shared" ca="1" si="103"/>
        <v>0</v>
      </c>
      <c r="T28" s="606">
        <f t="shared" ca="1" si="103"/>
        <v>0</v>
      </c>
      <c r="U28" s="606">
        <f t="shared" ca="1" si="103"/>
        <v>0</v>
      </c>
      <c r="V28" s="606">
        <f t="shared" ca="1" si="103"/>
        <v>0</v>
      </c>
      <c r="W28" s="606">
        <f t="shared" ca="1" si="103"/>
        <v>0</v>
      </c>
      <c r="X28" s="606">
        <f t="shared" ca="1" si="103"/>
        <v>0</v>
      </c>
      <c r="Y28" s="606">
        <f t="shared" ca="1" si="103"/>
        <v>0</v>
      </c>
      <c r="Z28" s="606">
        <f t="shared" ca="1" si="103"/>
        <v>0</v>
      </c>
      <c r="AA28" s="606">
        <f t="shared" ca="1" si="103"/>
        <v>0</v>
      </c>
      <c r="AB28" s="606">
        <f t="shared" ca="1" si="103"/>
        <v>0</v>
      </c>
      <c r="AC28" s="606">
        <f t="shared" ca="1" si="103"/>
        <v>0</v>
      </c>
      <c r="AD28" s="606">
        <f t="shared" ca="1" si="103"/>
        <v>0</v>
      </c>
      <c r="AE28" s="606">
        <f t="shared" ca="1" si="103"/>
        <v>0</v>
      </c>
      <c r="AF28" s="606">
        <f t="shared" ca="1" si="103"/>
        <v>0</v>
      </c>
      <c r="AG28" s="606">
        <f t="shared" ca="1" si="103"/>
        <v>0</v>
      </c>
      <c r="AH28" s="606">
        <f t="shared" ca="1" si="103"/>
        <v>0</v>
      </c>
      <c r="AI28" s="606">
        <f t="shared" ca="1" si="103"/>
        <v>0</v>
      </c>
      <c r="AJ28" s="606">
        <f t="shared" ca="1" si="103"/>
        <v>0</v>
      </c>
      <c r="AK28" s="606">
        <f t="shared" ca="1" si="103"/>
        <v>0</v>
      </c>
      <c r="AL28" s="606">
        <f t="shared" ca="1" si="103"/>
        <v>0</v>
      </c>
      <c r="AM28" s="606">
        <f t="shared" ref="AM28:BR28" ca="1" si="104">AM106*$F$28</f>
        <v>0</v>
      </c>
      <c r="AN28" s="606">
        <f t="shared" ca="1" si="104"/>
        <v>0</v>
      </c>
      <c r="AO28" s="606">
        <f t="shared" ca="1" si="104"/>
        <v>0</v>
      </c>
      <c r="AP28" s="606">
        <f t="shared" ca="1" si="104"/>
        <v>0</v>
      </c>
      <c r="AQ28" s="606">
        <f t="shared" ca="1" si="104"/>
        <v>0</v>
      </c>
      <c r="AR28" s="606">
        <f t="shared" ca="1" si="104"/>
        <v>0</v>
      </c>
      <c r="AS28" s="606">
        <f t="shared" ca="1" si="104"/>
        <v>0</v>
      </c>
      <c r="AT28" s="606">
        <f t="shared" ca="1" si="104"/>
        <v>0</v>
      </c>
      <c r="AU28" s="606">
        <f t="shared" ca="1" si="104"/>
        <v>0</v>
      </c>
      <c r="AV28" s="606">
        <f t="shared" ca="1" si="104"/>
        <v>0</v>
      </c>
      <c r="AW28" s="606">
        <f t="shared" ca="1" si="104"/>
        <v>0</v>
      </c>
      <c r="AX28" s="606">
        <f t="shared" ca="1" si="104"/>
        <v>0</v>
      </c>
      <c r="AY28" s="606">
        <f t="shared" ca="1" si="104"/>
        <v>0</v>
      </c>
      <c r="AZ28" s="606">
        <f t="shared" ca="1" si="104"/>
        <v>0</v>
      </c>
      <c r="BA28" s="606">
        <f t="shared" ca="1" si="104"/>
        <v>0</v>
      </c>
      <c r="BB28" s="606">
        <f t="shared" ca="1" si="104"/>
        <v>0</v>
      </c>
      <c r="BC28" s="606">
        <f t="shared" ca="1" si="104"/>
        <v>0</v>
      </c>
      <c r="BD28" s="606">
        <f t="shared" ca="1" si="104"/>
        <v>0</v>
      </c>
      <c r="BE28" s="606">
        <f t="shared" ca="1" si="104"/>
        <v>0</v>
      </c>
      <c r="BF28" s="606">
        <f t="shared" ca="1" si="104"/>
        <v>0</v>
      </c>
      <c r="BG28" s="606">
        <f t="shared" ca="1" si="104"/>
        <v>0</v>
      </c>
      <c r="BH28" s="606">
        <f t="shared" ca="1" si="104"/>
        <v>0</v>
      </c>
      <c r="BI28" s="606">
        <f t="shared" ca="1" si="104"/>
        <v>0</v>
      </c>
      <c r="BJ28" s="606">
        <f t="shared" ca="1" si="104"/>
        <v>0</v>
      </c>
      <c r="BK28" s="606">
        <f t="shared" ca="1" si="104"/>
        <v>0</v>
      </c>
      <c r="BL28" s="606">
        <f t="shared" ca="1" si="104"/>
        <v>0</v>
      </c>
      <c r="BM28" s="606">
        <f t="shared" ca="1" si="104"/>
        <v>0</v>
      </c>
      <c r="BN28" s="606">
        <f t="shared" ca="1" si="104"/>
        <v>0</v>
      </c>
      <c r="BO28" s="606">
        <f t="shared" ca="1" si="104"/>
        <v>0</v>
      </c>
      <c r="BP28" s="606">
        <f t="shared" ca="1" si="104"/>
        <v>0</v>
      </c>
      <c r="BQ28" s="606">
        <f t="shared" ca="1" si="104"/>
        <v>0</v>
      </c>
      <c r="BR28" s="606">
        <f t="shared" ca="1" si="104"/>
        <v>0</v>
      </c>
      <c r="BS28" s="606">
        <f t="shared" ref="BS28:CX28" ca="1" si="105">BS106*$F$28</f>
        <v>0</v>
      </c>
      <c r="BT28" s="606">
        <f t="shared" ca="1" si="105"/>
        <v>0</v>
      </c>
      <c r="BU28" s="606">
        <f t="shared" ca="1" si="105"/>
        <v>0</v>
      </c>
      <c r="BV28" s="606">
        <f t="shared" ca="1" si="105"/>
        <v>0</v>
      </c>
      <c r="BW28" s="606">
        <f t="shared" ca="1" si="105"/>
        <v>0</v>
      </c>
      <c r="BX28" s="606">
        <f t="shared" ca="1" si="105"/>
        <v>0</v>
      </c>
      <c r="BY28" s="606">
        <f t="shared" ca="1" si="105"/>
        <v>0</v>
      </c>
      <c r="BZ28" s="606">
        <f t="shared" ca="1" si="105"/>
        <v>0</v>
      </c>
      <c r="CA28" s="606">
        <f t="shared" ca="1" si="105"/>
        <v>0</v>
      </c>
      <c r="CB28" s="606">
        <f t="shared" ca="1" si="105"/>
        <v>0</v>
      </c>
      <c r="CC28" s="606">
        <f t="shared" ca="1" si="105"/>
        <v>0</v>
      </c>
      <c r="CD28" s="606">
        <f t="shared" ca="1" si="105"/>
        <v>0</v>
      </c>
      <c r="CE28" s="606">
        <f t="shared" ca="1" si="105"/>
        <v>0</v>
      </c>
      <c r="CF28" s="606">
        <f t="shared" ca="1" si="105"/>
        <v>0</v>
      </c>
      <c r="CG28" s="606">
        <f t="shared" ca="1" si="105"/>
        <v>0</v>
      </c>
      <c r="CH28" s="606">
        <f t="shared" ca="1" si="105"/>
        <v>0</v>
      </c>
      <c r="CI28" s="606">
        <f t="shared" ca="1" si="105"/>
        <v>0</v>
      </c>
      <c r="CJ28" s="606">
        <f t="shared" ca="1" si="105"/>
        <v>0</v>
      </c>
      <c r="CK28" s="606">
        <f t="shared" ca="1" si="105"/>
        <v>0</v>
      </c>
      <c r="CL28" s="606">
        <f t="shared" ca="1" si="105"/>
        <v>0</v>
      </c>
      <c r="CM28" s="606">
        <f t="shared" ca="1" si="105"/>
        <v>0</v>
      </c>
      <c r="CN28" s="606">
        <f t="shared" ca="1" si="105"/>
        <v>0</v>
      </c>
      <c r="CO28" s="606">
        <f t="shared" ca="1" si="105"/>
        <v>0</v>
      </c>
      <c r="CP28" s="606">
        <f t="shared" ca="1" si="105"/>
        <v>0</v>
      </c>
      <c r="CQ28" s="606">
        <f t="shared" ca="1" si="105"/>
        <v>0</v>
      </c>
      <c r="CR28" s="606">
        <f t="shared" ca="1" si="105"/>
        <v>0</v>
      </c>
      <c r="CS28" s="606">
        <f t="shared" ca="1" si="105"/>
        <v>0</v>
      </c>
      <c r="CT28" s="606">
        <f t="shared" ca="1" si="105"/>
        <v>0</v>
      </c>
      <c r="CU28" s="606">
        <f t="shared" ca="1" si="105"/>
        <v>0</v>
      </c>
      <c r="CV28" s="606">
        <f t="shared" ca="1" si="105"/>
        <v>0</v>
      </c>
      <c r="CW28" s="606">
        <f t="shared" ca="1" si="105"/>
        <v>0</v>
      </c>
      <c r="CX28" s="606">
        <f t="shared" ca="1" si="105"/>
        <v>0</v>
      </c>
      <c r="CY28" s="606">
        <f t="shared" ref="CY28:ED28" ca="1" si="106">CY106*$F$28</f>
        <v>0</v>
      </c>
      <c r="CZ28" s="606">
        <f t="shared" ca="1" si="106"/>
        <v>0</v>
      </c>
      <c r="DA28" s="606">
        <f t="shared" ca="1" si="106"/>
        <v>0</v>
      </c>
      <c r="DB28" s="606">
        <f t="shared" ca="1" si="106"/>
        <v>0</v>
      </c>
      <c r="DC28" s="606">
        <f t="shared" ca="1" si="106"/>
        <v>0</v>
      </c>
      <c r="DD28" s="606">
        <f t="shared" ca="1" si="106"/>
        <v>0</v>
      </c>
      <c r="DE28" s="606">
        <f t="shared" ca="1" si="106"/>
        <v>0</v>
      </c>
      <c r="DF28" s="606">
        <f t="shared" ca="1" si="106"/>
        <v>0</v>
      </c>
      <c r="DG28" s="606">
        <f t="shared" ca="1" si="106"/>
        <v>0</v>
      </c>
      <c r="DH28" s="606">
        <f t="shared" ca="1" si="106"/>
        <v>0</v>
      </c>
      <c r="DI28" s="606">
        <f t="shared" ca="1" si="106"/>
        <v>0</v>
      </c>
      <c r="DJ28" s="606">
        <f t="shared" ca="1" si="106"/>
        <v>0</v>
      </c>
      <c r="DK28" s="606">
        <f t="shared" ca="1" si="106"/>
        <v>0</v>
      </c>
      <c r="DL28" s="606">
        <f t="shared" ca="1" si="106"/>
        <v>0</v>
      </c>
      <c r="DM28" s="606">
        <f t="shared" ca="1" si="106"/>
        <v>0</v>
      </c>
      <c r="DN28" s="606">
        <f t="shared" ca="1" si="106"/>
        <v>0</v>
      </c>
      <c r="DO28" s="606">
        <f t="shared" ca="1" si="106"/>
        <v>0</v>
      </c>
      <c r="DP28" s="606">
        <f t="shared" ca="1" si="106"/>
        <v>0</v>
      </c>
      <c r="DQ28" s="606">
        <f t="shared" ca="1" si="106"/>
        <v>0</v>
      </c>
      <c r="DR28" s="606">
        <f t="shared" ca="1" si="106"/>
        <v>0</v>
      </c>
      <c r="DS28" s="606">
        <f t="shared" ca="1" si="106"/>
        <v>0</v>
      </c>
      <c r="DT28" s="606">
        <f t="shared" ca="1" si="106"/>
        <v>0</v>
      </c>
      <c r="DU28" s="606">
        <f t="shared" ca="1" si="106"/>
        <v>0</v>
      </c>
      <c r="DV28" s="606">
        <f t="shared" ca="1" si="106"/>
        <v>0</v>
      </c>
      <c r="DW28" s="606">
        <f t="shared" ca="1" si="106"/>
        <v>0</v>
      </c>
      <c r="DX28" s="606">
        <f t="shared" ca="1" si="106"/>
        <v>0</v>
      </c>
      <c r="DY28" s="606">
        <f t="shared" ca="1" si="106"/>
        <v>0</v>
      </c>
      <c r="DZ28" s="606">
        <f t="shared" ca="1" si="106"/>
        <v>0</v>
      </c>
      <c r="EA28" s="606">
        <f t="shared" ca="1" si="106"/>
        <v>0</v>
      </c>
      <c r="EB28" s="606">
        <f t="shared" ca="1" si="106"/>
        <v>0</v>
      </c>
      <c r="EC28" s="606">
        <f t="shared" ca="1" si="106"/>
        <v>0</v>
      </c>
      <c r="ED28" s="606">
        <f t="shared" ca="1" si="106"/>
        <v>0</v>
      </c>
      <c r="EE28" s="606">
        <f t="shared" ref="EE28:EJ28" ca="1" si="107">EE106*$F$28</f>
        <v>0</v>
      </c>
      <c r="EF28" s="606">
        <f t="shared" ca="1" si="107"/>
        <v>0</v>
      </c>
      <c r="EG28" s="606">
        <f t="shared" ca="1" si="107"/>
        <v>0</v>
      </c>
      <c r="EH28" s="606">
        <f t="shared" ca="1" si="107"/>
        <v>0</v>
      </c>
      <c r="EI28" s="606">
        <f t="shared" ca="1" si="107"/>
        <v>0</v>
      </c>
      <c r="EJ28" s="606">
        <f t="shared" si="107"/>
        <v>0</v>
      </c>
    </row>
    <row r="29" spans="1:141" customFormat="1" hidden="1" outlineLevel="1">
      <c r="A29" s="321"/>
      <c r="B29" s="321"/>
      <c r="C29" s="317" t="s">
        <v>1489</v>
      </c>
      <c r="D29" s="317" t="s">
        <v>1074</v>
      </c>
      <c r="E29" s="606">
        <f t="shared" ca="1" si="17"/>
        <v>0</v>
      </c>
      <c r="F29" s="606">
        <f>'Распределение по статьям'!AC215</f>
        <v>29578023.609314822</v>
      </c>
      <c r="G29" s="606">
        <f t="shared" ref="G29:AL29" si="108">G101*$F$29</f>
        <v>0</v>
      </c>
      <c r="H29" s="606">
        <f t="shared" ca="1" si="108"/>
        <v>0</v>
      </c>
      <c r="I29" s="606">
        <f t="shared" ca="1" si="108"/>
        <v>0</v>
      </c>
      <c r="J29" s="606">
        <f t="shared" ca="1" si="108"/>
        <v>0</v>
      </c>
      <c r="K29" s="606">
        <f t="shared" ca="1" si="108"/>
        <v>0</v>
      </c>
      <c r="L29" s="606">
        <f t="shared" ca="1" si="108"/>
        <v>0</v>
      </c>
      <c r="M29" s="606">
        <f t="shared" ca="1" si="108"/>
        <v>0</v>
      </c>
      <c r="N29" s="606">
        <f t="shared" ca="1" si="108"/>
        <v>0</v>
      </c>
      <c r="O29" s="606">
        <f t="shared" ca="1" si="108"/>
        <v>0</v>
      </c>
      <c r="P29" s="606">
        <f t="shared" ca="1" si="108"/>
        <v>0</v>
      </c>
      <c r="Q29" s="606">
        <f t="shared" ca="1" si="108"/>
        <v>0</v>
      </c>
      <c r="R29" s="606">
        <f t="shared" ca="1" si="108"/>
        <v>0</v>
      </c>
      <c r="S29" s="606">
        <f t="shared" ca="1" si="108"/>
        <v>0</v>
      </c>
      <c r="T29" s="606">
        <f t="shared" ca="1" si="108"/>
        <v>0</v>
      </c>
      <c r="U29" s="606">
        <f t="shared" ca="1" si="108"/>
        <v>0</v>
      </c>
      <c r="V29" s="606">
        <f t="shared" ca="1" si="108"/>
        <v>0</v>
      </c>
      <c r="W29" s="606">
        <f t="shared" ca="1" si="108"/>
        <v>0</v>
      </c>
      <c r="X29" s="606">
        <f t="shared" ca="1" si="108"/>
        <v>0</v>
      </c>
      <c r="Y29" s="606">
        <f t="shared" ca="1" si="108"/>
        <v>0</v>
      </c>
      <c r="Z29" s="606">
        <f t="shared" ca="1" si="108"/>
        <v>0</v>
      </c>
      <c r="AA29" s="606">
        <f t="shared" ca="1" si="108"/>
        <v>0</v>
      </c>
      <c r="AB29" s="606">
        <f t="shared" ca="1" si="108"/>
        <v>0</v>
      </c>
      <c r="AC29" s="606">
        <f t="shared" ca="1" si="108"/>
        <v>0</v>
      </c>
      <c r="AD29" s="606">
        <f t="shared" ca="1" si="108"/>
        <v>0</v>
      </c>
      <c r="AE29" s="606">
        <f t="shared" ca="1" si="108"/>
        <v>0</v>
      </c>
      <c r="AF29" s="606">
        <f t="shared" ca="1" si="108"/>
        <v>0</v>
      </c>
      <c r="AG29" s="606">
        <f t="shared" ca="1" si="108"/>
        <v>0</v>
      </c>
      <c r="AH29" s="606">
        <f t="shared" ca="1" si="108"/>
        <v>0</v>
      </c>
      <c r="AI29" s="606">
        <f t="shared" ca="1" si="108"/>
        <v>0</v>
      </c>
      <c r="AJ29" s="606">
        <f t="shared" ca="1" si="108"/>
        <v>0</v>
      </c>
      <c r="AK29" s="606">
        <f t="shared" ca="1" si="108"/>
        <v>0</v>
      </c>
      <c r="AL29" s="606">
        <f t="shared" ca="1" si="108"/>
        <v>0</v>
      </c>
      <c r="AM29" s="606">
        <f t="shared" ref="AM29:BR29" ca="1" si="109">AM101*$F$29</f>
        <v>0</v>
      </c>
      <c r="AN29" s="606">
        <f t="shared" ca="1" si="109"/>
        <v>0</v>
      </c>
      <c r="AO29" s="606">
        <f t="shared" ca="1" si="109"/>
        <v>0</v>
      </c>
      <c r="AP29" s="606">
        <f t="shared" ca="1" si="109"/>
        <v>0</v>
      </c>
      <c r="AQ29" s="606">
        <f t="shared" ca="1" si="109"/>
        <v>0</v>
      </c>
      <c r="AR29" s="606">
        <f t="shared" ca="1" si="109"/>
        <v>0</v>
      </c>
      <c r="AS29" s="606">
        <f t="shared" ca="1" si="109"/>
        <v>0</v>
      </c>
      <c r="AT29" s="606">
        <f t="shared" ca="1" si="109"/>
        <v>0</v>
      </c>
      <c r="AU29" s="606">
        <f t="shared" ca="1" si="109"/>
        <v>0</v>
      </c>
      <c r="AV29" s="606">
        <f t="shared" ca="1" si="109"/>
        <v>0</v>
      </c>
      <c r="AW29" s="606">
        <f t="shared" ca="1" si="109"/>
        <v>0</v>
      </c>
      <c r="AX29" s="606">
        <f t="shared" ca="1" si="109"/>
        <v>0</v>
      </c>
      <c r="AY29" s="606">
        <f t="shared" ca="1" si="109"/>
        <v>0</v>
      </c>
      <c r="AZ29" s="606">
        <f t="shared" ca="1" si="109"/>
        <v>2957802.3609314822</v>
      </c>
      <c r="BA29" s="606">
        <f t="shared" ca="1" si="109"/>
        <v>0</v>
      </c>
      <c r="BB29" s="606">
        <f t="shared" ca="1" si="109"/>
        <v>1795808.5762798283</v>
      </c>
      <c r="BC29" s="606">
        <f t="shared" ca="1" si="109"/>
        <v>10056528.027167039</v>
      </c>
      <c r="BD29" s="606">
        <f t="shared" ca="1" si="109"/>
        <v>11134013.172934936</v>
      </c>
      <c r="BE29" s="606">
        <f t="shared" ca="1" si="109"/>
        <v>2154970.2915357943</v>
      </c>
      <c r="BF29" s="606">
        <f t="shared" ca="1" si="109"/>
        <v>739450.59023287054</v>
      </c>
      <c r="BG29" s="606">
        <f t="shared" ca="1" si="109"/>
        <v>0</v>
      </c>
      <c r="BH29" s="606">
        <f t="shared" ca="1" si="109"/>
        <v>0</v>
      </c>
      <c r="BI29" s="606">
        <f t="shared" ca="1" si="109"/>
        <v>0</v>
      </c>
      <c r="BJ29" s="606">
        <f t="shared" ca="1" si="109"/>
        <v>0</v>
      </c>
      <c r="BK29" s="606">
        <f t="shared" ca="1" si="109"/>
        <v>0</v>
      </c>
      <c r="BL29" s="606">
        <f t="shared" ca="1" si="109"/>
        <v>0</v>
      </c>
      <c r="BM29" s="606">
        <f t="shared" ca="1" si="109"/>
        <v>0</v>
      </c>
      <c r="BN29" s="606">
        <f t="shared" ca="1" si="109"/>
        <v>0</v>
      </c>
      <c r="BO29" s="606">
        <f t="shared" ca="1" si="109"/>
        <v>0</v>
      </c>
      <c r="BP29" s="606">
        <f t="shared" ca="1" si="109"/>
        <v>0</v>
      </c>
      <c r="BQ29" s="606">
        <f t="shared" ca="1" si="109"/>
        <v>0</v>
      </c>
      <c r="BR29" s="606">
        <f t="shared" ca="1" si="109"/>
        <v>0</v>
      </c>
      <c r="BS29" s="606">
        <f t="shared" ref="BS29:CX29" ca="1" si="110">BS101*$F$29</f>
        <v>0</v>
      </c>
      <c r="BT29" s="606">
        <f t="shared" ca="1" si="110"/>
        <v>0</v>
      </c>
      <c r="BU29" s="606">
        <f t="shared" ca="1" si="110"/>
        <v>0</v>
      </c>
      <c r="BV29" s="606">
        <f t="shared" ca="1" si="110"/>
        <v>0</v>
      </c>
      <c r="BW29" s="606">
        <f t="shared" ca="1" si="110"/>
        <v>0</v>
      </c>
      <c r="BX29" s="606">
        <f t="shared" ca="1" si="110"/>
        <v>0</v>
      </c>
      <c r="BY29" s="606">
        <f t="shared" ca="1" si="110"/>
        <v>0</v>
      </c>
      <c r="BZ29" s="606">
        <f t="shared" ca="1" si="110"/>
        <v>0</v>
      </c>
      <c r="CA29" s="606">
        <f t="shared" ca="1" si="110"/>
        <v>0</v>
      </c>
      <c r="CB29" s="606">
        <f t="shared" ca="1" si="110"/>
        <v>0</v>
      </c>
      <c r="CC29" s="606">
        <f t="shared" ca="1" si="110"/>
        <v>739450.59023287054</v>
      </c>
      <c r="CD29" s="606">
        <f t="shared" ca="1" si="110"/>
        <v>0</v>
      </c>
      <c r="CE29" s="606">
        <f t="shared" ca="1" si="110"/>
        <v>0</v>
      </c>
      <c r="CF29" s="606">
        <f t="shared" ca="1" si="110"/>
        <v>0</v>
      </c>
      <c r="CG29" s="606">
        <f t="shared" ca="1" si="110"/>
        <v>0</v>
      </c>
      <c r="CH29" s="606">
        <f t="shared" ca="1" si="110"/>
        <v>0</v>
      </c>
      <c r="CI29" s="606">
        <f t="shared" ca="1" si="110"/>
        <v>0</v>
      </c>
      <c r="CJ29" s="606">
        <f t="shared" ca="1" si="110"/>
        <v>0</v>
      </c>
      <c r="CK29" s="606">
        <f t="shared" ca="1" si="110"/>
        <v>0</v>
      </c>
      <c r="CL29" s="606">
        <f t="shared" ca="1" si="110"/>
        <v>0</v>
      </c>
      <c r="CM29" s="606">
        <f t="shared" ca="1" si="110"/>
        <v>0</v>
      </c>
      <c r="CN29" s="606">
        <f t="shared" ca="1" si="110"/>
        <v>0</v>
      </c>
      <c r="CO29" s="606">
        <f t="shared" ca="1" si="110"/>
        <v>0</v>
      </c>
      <c r="CP29" s="606">
        <f t="shared" ca="1" si="110"/>
        <v>0</v>
      </c>
      <c r="CQ29" s="606">
        <f t="shared" ca="1" si="110"/>
        <v>0</v>
      </c>
      <c r="CR29" s="606">
        <f t="shared" ca="1" si="110"/>
        <v>0</v>
      </c>
      <c r="CS29" s="606">
        <f t="shared" ca="1" si="110"/>
        <v>0</v>
      </c>
      <c r="CT29" s="606">
        <f t="shared" ca="1" si="110"/>
        <v>0</v>
      </c>
      <c r="CU29" s="606">
        <f t="shared" ca="1" si="110"/>
        <v>0</v>
      </c>
      <c r="CV29" s="606">
        <f t="shared" ca="1" si="110"/>
        <v>0</v>
      </c>
      <c r="CW29" s="606">
        <f t="shared" ca="1" si="110"/>
        <v>0</v>
      </c>
      <c r="CX29" s="606">
        <f t="shared" ca="1" si="110"/>
        <v>0</v>
      </c>
      <c r="CY29" s="606">
        <f t="shared" ref="CY29:ED29" ca="1" si="111">CY101*$F$29</f>
        <v>0</v>
      </c>
      <c r="CZ29" s="606">
        <f t="shared" ca="1" si="111"/>
        <v>0</v>
      </c>
      <c r="DA29" s="606">
        <f t="shared" ca="1" si="111"/>
        <v>0</v>
      </c>
      <c r="DB29" s="606">
        <f t="shared" ca="1" si="111"/>
        <v>0</v>
      </c>
      <c r="DC29" s="606">
        <f t="shared" ca="1" si="111"/>
        <v>0</v>
      </c>
      <c r="DD29" s="606">
        <f t="shared" ca="1" si="111"/>
        <v>0</v>
      </c>
      <c r="DE29" s="606">
        <f t="shared" ca="1" si="111"/>
        <v>0</v>
      </c>
      <c r="DF29" s="606">
        <f t="shared" ca="1" si="111"/>
        <v>0</v>
      </c>
      <c r="DG29" s="606">
        <f t="shared" ca="1" si="111"/>
        <v>0</v>
      </c>
      <c r="DH29" s="606">
        <f t="shared" ca="1" si="111"/>
        <v>0</v>
      </c>
      <c r="DI29" s="606">
        <f t="shared" ca="1" si="111"/>
        <v>0</v>
      </c>
      <c r="DJ29" s="606">
        <f t="shared" ca="1" si="111"/>
        <v>0</v>
      </c>
      <c r="DK29" s="606">
        <f t="shared" ca="1" si="111"/>
        <v>0</v>
      </c>
      <c r="DL29" s="606">
        <f t="shared" ca="1" si="111"/>
        <v>0</v>
      </c>
      <c r="DM29" s="606">
        <f t="shared" ca="1" si="111"/>
        <v>0</v>
      </c>
      <c r="DN29" s="606">
        <f t="shared" ca="1" si="111"/>
        <v>0</v>
      </c>
      <c r="DO29" s="606">
        <f t="shared" ca="1" si="111"/>
        <v>0</v>
      </c>
      <c r="DP29" s="606">
        <f t="shared" ca="1" si="111"/>
        <v>0</v>
      </c>
      <c r="DQ29" s="606">
        <f t="shared" ca="1" si="111"/>
        <v>0</v>
      </c>
      <c r="DR29" s="606">
        <f t="shared" ca="1" si="111"/>
        <v>0</v>
      </c>
      <c r="DS29" s="606">
        <f t="shared" ca="1" si="111"/>
        <v>0</v>
      </c>
      <c r="DT29" s="606">
        <f t="shared" ca="1" si="111"/>
        <v>0</v>
      </c>
      <c r="DU29" s="606">
        <f t="shared" ca="1" si="111"/>
        <v>0</v>
      </c>
      <c r="DV29" s="606">
        <f t="shared" ca="1" si="111"/>
        <v>0</v>
      </c>
      <c r="DW29" s="606">
        <f t="shared" ca="1" si="111"/>
        <v>0</v>
      </c>
      <c r="DX29" s="606">
        <f t="shared" ca="1" si="111"/>
        <v>0</v>
      </c>
      <c r="DY29" s="606">
        <f t="shared" ca="1" si="111"/>
        <v>0</v>
      </c>
      <c r="DZ29" s="606">
        <f t="shared" ca="1" si="111"/>
        <v>0</v>
      </c>
      <c r="EA29" s="606">
        <f t="shared" ca="1" si="111"/>
        <v>0</v>
      </c>
      <c r="EB29" s="606">
        <f t="shared" ca="1" si="111"/>
        <v>0</v>
      </c>
      <c r="EC29" s="606">
        <f t="shared" ca="1" si="111"/>
        <v>0</v>
      </c>
      <c r="ED29" s="606">
        <f t="shared" ca="1" si="111"/>
        <v>0</v>
      </c>
      <c r="EE29" s="606">
        <f t="shared" ref="EE29:EJ29" ca="1" si="112">EE101*$F$29</f>
        <v>0</v>
      </c>
      <c r="EF29" s="606">
        <f t="shared" ca="1" si="112"/>
        <v>0</v>
      </c>
      <c r="EG29" s="606">
        <f t="shared" ca="1" si="112"/>
        <v>0</v>
      </c>
      <c r="EH29" s="606">
        <f t="shared" ca="1" si="112"/>
        <v>0</v>
      </c>
      <c r="EI29" s="606">
        <f t="shared" ca="1" si="112"/>
        <v>0</v>
      </c>
      <c r="EJ29" s="606">
        <f t="shared" si="112"/>
        <v>0</v>
      </c>
    </row>
    <row r="30" spans="1:141" customFormat="1" hidden="1" outlineLevel="1">
      <c r="A30" s="321"/>
      <c r="B30" s="321"/>
      <c r="C30" s="317"/>
      <c r="D30" s="317" t="s">
        <v>476</v>
      </c>
      <c r="E30" s="606">
        <f t="shared" ca="1" si="17"/>
        <v>0</v>
      </c>
      <c r="F30" s="606">
        <f>'Распределение по статьям'!AC219</f>
        <v>0</v>
      </c>
      <c r="G30" s="606">
        <f t="shared" ref="G30:AL30" si="113">G121*$F$30</f>
        <v>0</v>
      </c>
      <c r="H30" s="606">
        <f t="shared" ca="1" si="113"/>
        <v>0</v>
      </c>
      <c r="I30" s="606">
        <f t="shared" ca="1" si="113"/>
        <v>0</v>
      </c>
      <c r="J30" s="606">
        <f t="shared" ca="1" si="113"/>
        <v>0</v>
      </c>
      <c r="K30" s="606">
        <f t="shared" ca="1" si="113"/>
        <v>0</v>
      </c>
      <c r="L30" s="606">
        <f t="shared" ca="1" si="113"/>
        <v>0</v>
      </c>
      <c r="M30" s="606">
        <f t="shared" ca="1" si="113"/>
        <v>0</v>
      </c>
      <c r="N30" s="606">
        <f t="shared" ca="1" si="113"/>
        <v>0</v>
      </c>
      <c r="O30" s="606">
        <f t="shared" ca="1" si="113"/>
        <v>0</v>
      </c>
      <c r="P30" s="606">
        <f t="shared" ca="1" si="113"/>
        <v>0</v>
      </c>
      <c r="Q30" s="606">
        <f t="shared" ca="1" si="113"/>
        <v>0</v>
      </c>
      <c r="R30" s="606">
        <f t="shared" ca="1" si="113"/>
        <v>0</v>
      </c>
      <c r="S30" s="606">
        <f t="shared" ca="1" si="113"/>
        <v>0</v>
      </c>
      <c r="T30" s="606">
        <f t="shared" ca="1" si="113"/>
        <v>0</v>
      </c>
      <c r="U30" s="606">
        <f t="shared" ca="1" si="113"/>
        <v>0</v>
      </c>
      <c r="V30" s="606">
        <f t="shared" ca="1" si="113"/>
        <v>0</v>
      </c>
      <c r="W30" s="606">
        <f t="shared" ca="1" si="113"/>
        <v>0</v>
      </c>
      <c r="X30" s="606">
        <f t="shared" ca="1" si="113"/>
        <v>0</v>
      </c>
      <c r="Y30" s="606">
        <f t="shared" ca="1" si="113"/>
        <v>0</v>
      </c>
      <c r="Z30" s="606">
        <f t="shared" ca="1" si="113"/>
        <v>0</v>
      </c>
      <c r="AA30" s="606">
        <f t="shared" ca="1" si="113"/>
        <v>0</v>
      </c>
      <c r="AB30" s="606">
        <f t="shared" ca="1" si="113"/>
        <v>0</v>
      </c>
      <c r="AC30" s="606">
        <f t="shared" ca="1" si="113"/>
        <v>0</v>
      </c>
      <c r="AD30" s="606">
        <f t="shared" ca="1" si="113"/>
        <v>0</v>
      </c>
      <c r="AE30" s="606">
        <f t="shared" ca="1" si="113"/>
        <v>0</v>
      </c>
      <c r="AF30" s="606">
        <f t="shared" ca="1" si="113"/>
        <v>0</v>
      </c>
      <c r="AG30" s="606">
        <f t="shared" ca="1" si="113"/>
        <v>0</v>
      </c>
      <c r="AH30" s="606">
        <f t="shared" ca="1" si="113"/>
        <v>0</v>
      </c>
      <c r="AI30" s="606">
        <f t="shared" ca="1" si="113"/>
        <v>0</v>
      </c>
      <c r="AJ30" s="606">
        <f t="shared" ca="1" si="113"/>
        <v>0</v>
      </c>
      <c r="AK30" s="606">
        <f t="shared" ca="1" si="113"/>
        <v>0</v>
      </c>
      <c r="AL30" s="606">
        <f t="shared" ca="1" si="113"/>
        <v>0</v>
      </c>
      <c r="AM30" s="606">
        <f t="shared" ref="AM30:BR30" ca="1" si="114">AM121*$F$30</f>
        <v>0</v>
      </c>
      <c r="AN30" s="606">
        <f t="shared" ca="1" si="114"/>
        <v>0</v>
      </c>
      <c r="AO30" s="606">
        <f t="shared" ca="1" si="114"/>
        <v>0</v>
      </c>
      <c r="AP30" s="606">
        <f t="shared" ca="1" si="114"/>
        <v>0</v>
      </c>
      <c r="AQ30" s="606">
        <f t="shared" ca="1" si="114"/>
        <v>0</v>
      </c>
      <c r="AR30" s="606">
        <f t="shared" ca="1" si="114"/>
        <v>0</v>
      </c>
      <c r="AS30" s="606">
        <f t="shared" ca="1" si="114"/>
        <v>0</v>
      </c>
      <c r="AT30" s="606">
        <f t="shared" ca="1" si="114"/>
        <v>0</v>
      </c>
      <c r="AU30" s="606">
        <f t="shared" ca="1" si="114"/>
        <v>0</v>
      </c>
      <c r="AV30" s="606">
        <f t="shared" ca="1" si="114"/>
        <v>0</v>
      </c>
      <c r="AW30" s="606">
        <f t="shared" ca="1" si="114"/>
        <v>0</v>
      </c>
      <c r="AX30" s="606">
        <f t="shared" ca="1" si="114"/>
        <v>0</v>
      </c>
      <c r="AY30" s="606">
        <f t="shared" ca="1" si="114"/>
        <v>0</v>
      </c>
      <c r="AZ30" s="606">
        <f t="shared" ca="1" si="114"/>
        <v>0</v>
      </c>
      <c r="BA30" s="606">
        <f t="shared" ca="1" si="114"/>
        <v>0</v>
      </c>
      <c r="BB30" s="606">
        <f t="shared" ca="1" si="114"/>
        <v>0</v>
      </c>
      <c r="BC30" s="606">
        <f t="shared" ca="1" si="114"/>
        <v>0</v>
      </c>
      <c r="BD30" s="606">
        <f t="shared" ca="1" si="114"/>
        <v>0</v>
      </c>
      <c r="BE30" s="606">
        <f t="shared" ca="1" si="114"/>
        <v>0</v>
      </c>
      <c r="BF30" s="606">
        <f t="shared" ca="1" si="114"/>
        <v>0</v>
      </c>
      <c r="BG30" s="606">
        <f t="shared" ca="1" si="114"/>
        <v>0</v>
      </c>
      <c r="BH30" s="606">
        <f t="shared" ca="1" si="114"/>
        <v>0</v>
      </c>
      <c r="BI30" s="606">
        <f t="shared" ca="1" si="114"/>
        <v>0</v>
      </c>
      <c r="BJ30" s="606">
        <f t="shared" ca="1" si="114"/>
        <v>0</v>
      </c>
      <c r="BK30" s="606">
        <f t="shared" ca="1" si="114"/>
        <v>0</v>
      </c>
      <c r="BL30" s="606">
        <f t="shared" ca="1" si="114"/>
        <v>0</v>
      </c>
      <c r="BM30" s="606">
        <f t="shared" ca="1" si="114"/>
        <v>0</v>
      </c>
      <c r="BN30" s="606">
        <f t="shared" ca="1" si="114"/>
        <v>0</v>
      </c>
      <c r="BO30" s="606">
        <f t="shared" ca="1" si="114"/>
        <v>0</v>
      </c>
      <c r="BP30" s="606">
        <f t="shared" ca="1" si="114"/>
        <v>0</v>
      </c>
      <c r="BQ30" s="606">
        <f t="shared" ca="1" si="114"/>
        <v>0</v>
      </c>
      <c r="BR30" s="606">
        <f t="shared" ca="1" si="114"/>
        <v>0</v>
      </c>
      <c r="BS30" s="606">
        <f t="shared" ref="BS30:CX30" ca="1" si="115">BS121*$F$30</f>
        <v>0</v>
      </c>
      <c r="BT30" s="606">
        <f t="shared" ca="1" si="115"/>
        <v>0</v>
      </c>
      <c r="BU30" s="606">
        <f t="shared" ca="1" si="115"/>
        <v>0</v>
      </c>
      <c r="BV30" s="606">
        <f t="shared" ca="1" si="115"/>
        <v>0</v>
      </c>
      <c r="BW30" s="606">
        <f t="shared" ca="1" si="115"/>
        <v>0</v>
      </c>
      <c r="BX30" s="606">
        <f t="shared" ca="1" si="115"/>
        <v>0</v>
      </c>
      <c r="BY30" s="606">
        <f t="shared" ca="1" si="115"/>
        <v>0</v>
      </c>
      <c r="BZ30" s="606">
        <f t="shared" ca="1" si="115"/>
        <v>0</v>
      </c>
      <c r="CA30" s="606">
        <f t="shared" ca="1" si="115"/>
        <v>0</v>
      </c>
      <c r="CB30" s="606">
        <f t="shared" ca="1" si="115"/>
        <v>0</v>
      </c>
      <c r="CC30" s="606">
        <f t="shared" ca="1" si="115"/>
        <v>0</v>
      </c>
      <c r="CD30" s="606">
        <f t="shared" ca="1" si="115"/>
        <v>0</v>
      </c>
      <c r="CE30" s="606">
        <f t="shared" ca="1" si="115"/>
        <v>0</v>
      </c>
      <c r="CF30" s="606">
        <f t="shared" ca="1" si="115"/>
        <v>0</v>
      </c>
      <c r="CG30" s="606">
        <f t="shared" ca="1" si="115"/>
        <v>0</v>
      </c>
      <c r="CH30" s="606">
        <f t="shared" ca="1" si="115"/>
        <v>0</v>
      </c>
      <c r="CI30" s="606">
        <f t="shared" ca="1" si="115"/>
        <v>0</v>
      </c>
      <c r="CJ30" s="606">
        <f t="shared" ca="1" si="115"/>
        <v>0</v>
      </c>
      <c r="CK30" s="606">
        <f t="shared" ca="1" si="115"/>
        <v>0</v>
      </c>
      <c r="CL30" s="606">
        <f t="shared" ca="1" si="115"/>
        <v>0</v>
      </c>
      <c r="CM30" s="606">
        <f t="shared" ca="1" si="115"/>
        <v>0</v>
      </c>
      <c r="CN30" s="606">
        <f t="shared" ca="1" si="115"/>
        <v>0</v>
      </c>
      <c r="CO30" s="606">
        <f t="shared" ca="1" si="115"/>
        <v>0</v>
      </c>
      <c r="CP30" s="606">
        <f t="shared" ca="1" si="115"/>
        <v>0</v>
      </c>
      <c r="CQ30" s="606">
        <f t="shared" ca="1" si="115"/>
        <v>0</v>
      </c>
      <c r="CR30" s="606">
        <f t="shared" ca="1" si="115"/>
        <v>0</v>
      </c>
      <c r="CS30" s="606">
        <f t="shared" ca="1" si="115"/>
        <v>0</v>
      </c>
      <c r="CT30" s="606">
        <f t="shared" ca="1" si="115"/>
        <v>0</v>
      </c>
      <c r="CU30" s="606">
        <f t="shared" ca="1" si="115"/>
        <v>0</v>
      </c>
      <c r="CV30" s="606">
        <f t="shared" ca="1" si="115"/>
        <v>0</v>
      </c>
      <c r="CW30" s="606">
        <f t="shared" ca="1" si="115"/>
        <v>0</v>
      </c>
      <c r="CX30" s="606">
        <f t="shared" ca="1" si="115"/>
        <v>0</v>
      </c>
      <c r="CY30" s="606">
        <f t="shared" ref="CY30:ED30" ca="1" si="116">CY121*$F$30</f>
        <v>0</v>
      </c>
      <c r="CZ30" s="606">
        <f t="shared" ca="1" si="116"/>
        <v>0</v>
      </c>
      <c r="DA30" s="606">
        <f t="shared" ca="1" si="116"/>
        <v>0</v>
      </c>
      <c r="DB30" s="606">
        <f t="shared" ca="1" si="116"/>
        <v>0</v>
      </c>
      <c r="DC30" s="606">
        <f t="shared" ca="1" si="116"/>
        <v>0</v>
      </c>
      <c r="DD30" s="606">
        <f t="shared" ca="1" si="116"/>
        <v>0</v>
      </c>
      <c r="DE30" s="606">
        <f t="shared" ca="1" si="116"/>
        <v>0</v>
      </c>
      <c r="DF30" s="606">
        <f t="shared" ca="1" si="116"/>
        <v>0</v>
      </c>
      <c r="DG30" s="606">
        <f t="shared" ca="1" si="116"/>
        <v>0</v>
      </c>
      <c r="DH30" s="606">
        <f t="shared" ca="1" si="116"/>
        <v>0</v>
      </c>
      <c r="DI30" s="606">
        <f t="shared" ca="1" si="116"/>
        <v>0</v>
      </c>
      <c r="DJ30" s="606">
        <f t="shared" ca="1" si="116"/>
        <v>0</v>
      </c>
      <c r="DK30" s="606">
        <f t="shared" ca="1" si="116"/>
        <v>0</v>
      </c>
      <c r="DL30" s="606">
        <f t="shared" ca="1" si="116"/>
        <v>0</v>
      </c>
      <c r="DM30" s="606">
        <f t="shared" ca="1" si="116"/>
        <v>0</v>
      </c>
      <c r="DN30" s="606">
        <f t="shared" ca="1" si="116"/>
        <v>0</v>
      </c>
      <c r="DO30" s="606">
        <f t="shared" ca="1" si="116"/>
        <v>0</v>
      </c>
      <c r="DP30" s="606">
        <f t="shared" ca="1" si="116"/>
        <v>0</v>
      </c>
      <c r="DQ30" s="606">
        <f t="shared" ca="1" si="116"/>
        <v>0</v>
      </c>
      <c r="DR30" s="606">
        <f t="shared" ca="1" si="116"/>
        <v>0</v>
      </c>
      <c r="DS30" s="606">
        <f t="shared" ca="1" si="116"/>
        <v>0</v>
      </c>
      <c r="DT30" s="606">
        <f t="shared" ca="1" si="116"/>
        <v>0</v>
      </c>
      <c r="DU30" s="606">
        <f t="shared" ca="1" si="116"/>
        <v>0</v>
      </c>
      <c r="DV30" s="606">
        <f t="shared" ca="1" si="116"/>
        <v>0</v>
      </c>
      <c r="DW30" s="606">
        <f t="shared" ca="1" si="116"/>
        <v>0</v>
      </c>
      <c r="DX30" s="606">
        <f t="shared" ca="1" si="116"/>
        <v>0</v>
      </c>
      <c r="DY30" s="606">
        <f t="shared" ca="1" si="116"/>
        <v>0</v>
      </c>
      <c r="DZ30" s="606">
        <f t="shared" ca="1" si="116"/>
        <v>0</v>
      </c>
      <c r="EA30" s="606">
        <f t="shared" ca="1" si="116"/>
        <v>0</v>
      </c>
      <c r="EB30" s="606">
        <f t="shared" ca="1" si="116"/>
        <v>0</v>
      </c>
      <c r="EC30" s="606">
        <f t="shared" ca="1" si="116"/>
        <v>0</v>
      </c>
      <c r="ED30" s="606">
        <f t="shared" ca="1" si="116"/>
        <v>0</v>
      </c>
      <c r="EE30" s="606">
        <f t="shared" ref="EE30:EJ30" ca="1" si="117">EE121*$F$30</f>
        <v>0</v>
      </c>
      <c r="EF30" s="606">
        <f t="shared" ca="1" si="117"/>
        <v>0</v>
      </c>
      <c r="EG30" s="606">
        <f t="shared" ca="1" si="117"/>
        <v>0</v>
      </c>
      <c r="EH30" s="606">
        <f t="shared" ca="1" si="117"/>
        <v>0</v>
      </c>
      <c r="EI30" s="606">
        <f t="shared" ca="1" si="117"/>
        <v>0</v>
      </c>
      <c r="EJ30" s="606">
        <f t="shared" si="117"/>
        <v>0</v>
      </c>
    </row>
    <row r="31" spans="1:141" customFormat="1" hidden="1" outlineLevel="1">
      <c r="A31" s="321"/>
      <c r="B31" s="321"/>
      <c r="C31" s="317"/>
      <c r="D31" s="317" t="s">
        <v>1079</v>
      </c>
      <c r="E31" s="606">
        <f t="shared" ca="1" si="17"/>
        <v>0</v>
      </c>
      <c r="F31" s="606">
        <f>'Распределение по статьям'!AC220+'Распределение по статьям'!AC222</f>
        <v>94131560.154413342</v>
      </c>
      <c r="G31" s="606">
        <f t="shared" ref="G31:AL31" si="118">G106*$F$31</f>
        <v>0</v>
      </c>
      <c r="H31" s="606">
        <f t="shared" ca="1" si="118"/>
        <v>0</v>
      </c>
      <c r="I31" s="606">
        <f t="shared" ca="1" si="118"/>
        <v>0</v>
      </c>
      <c r="J31" s="606">
        <f t="shared" ca="1" si="118"/>
        <v>0</v>
      </c>
      <c r="K31" s="606">
        <f t="shared" ca="1" si="118"/>
        <v>0</v>
      </c>
      <c r="L31" s="606">
        <f t="shared" ca="1" si="118"/>
        <v>0</v>
      </c>
      <c r="M31" s="606">
        <f t="shared" ca="1" si="118"/>
        <v>0</v>
      </c>
      <c r="N31" s="606">
        <f t="shared" ca="1" si="118"/>
        <v>0</v>
      </c>
      <c r="O31" s="606">
        <f t="shared" ca="1" si="118"/>
        <v>0</v>
      </c>
      <c r="P31" s="606">
        <f t="shared" ca="1" si="118"/>
        <v>0</v>
      </c>
      <c r="Q31" s="606">
        <f t="shared" ca="1" si="118"/>
        <v>0</v>
      </c>
      <c r="R31" s="606">
        <f t="shared" ca="1" si="118"/>
        <v>0</v>
      </c>
      <c r="S31" s="606">
        <f t="shared" ca="1" si="118"/>
        <v>0</v>
      </c>
      <c r="T31" s="606">
        <f t="shared" ca="1" si="118"/>
        <v>0</v>
      </c>
      <c r="U31" s="606">
        <f t="shared" ca="1" si="118"/>
        <v>0</v>
      </c>
      <c r="V31" s="606">
        <f t="shared" ca="1" si="118"/>
        <v>0</v>
      </c>
      <c r="W31" s="606">
        <f t="shared" ca="1" si="118"/>
        <v>0</v>
      </c>
      <c r="X31" s="606">
        <f t="shared" ca="1" si="118"/>
        <v>0</v>
      </c>
      <c r="Y31" s="606">
        <f t="shared" ca="1" si="118"/>
        <v>0</v>
      </c>
      <c r="Z31" s="606">
        <f t="shared" ca="1" si="118"/>
        <v>0</v>
      </c>
      <c r="AA31" s="606">
        <f t="shared" ca="1" si="118"/>
        <v>0</v>
      </c>
      <c r="AB31" s="606">
        <f t="shared" ca="1" si="118"/>
        <v>0</v>
      </c>
      <c r="AC31" s="606">
        <f t="shared" ca="1" si="118"/>
        <v>0</v>
      </c>
      <c r="AD31" s="606">
        <f t="shared" ca="1" si="118"/>
        <v>0</v>
      </c>
      <c r="AE31" s="606">
        <f t="shared" ca="1" si="118"/>
        <v>0</v>
      </c>
      <c r="AF31" s="606">
        <f t="shared" ca="1" si="118"/>
        <v>0</v>
      </c>
      <c r="AG31" s="606">
        <f t="shared" ca="1" si="118"/>
        <v>0</v>
      </c>
      <c r="AH31" s="606">
        <f t="shared" ca="1" si="118"/>
        <v>0</v>
      </c>
      <c r="AI31" s="606">
        <f t="shared" ca="1" si="118"/>
        <v>0</v>
      </c>
      <c r="AJ31" s="606">
        <f t="shared" ca="1" si="118"/>
        <v>0</v>
      </c>
      <c r="AK31" s="606">
        <f t="shared" ca="1" si="118"/>
        <v>0</v>
      </c>
      <c r="AL31" s="606">
        <f t="shared" ca="1" si="118"/>
        <v>0</v>
      </c>
      <c r="AM31" s="606">
        <f t="shared" ref="AM31:BR31" ca="1" si="119">AM106*$F$31</f>
        <v>0</v>
      </c>
      <c r="AN31" s="606">
        <f t="shared" ca="1" si="119"/>
        <v>0</v>
      </c>
      <c r="AO31" s="606">
        <f t="shared" ca="1" si="119"/>
        <v>0</v>
      </c>
      <c r="AP31" s="606">
        <f t="shared" ca="1" si="119"/>
        <v>0</v>
      </c>
      <c r="AQ31" s="606">
        <f t="shared" ca="1" si="119"/>
        <v>0</v>
      </c>
      <c r="AR31" s="606">
        <f t="shared" ca="1" si="119"/>
        <v>0</v>
      </c>
      <c r="AS31" s="606">
        <f t="shared" ca="1" si="119"/>
        <v>0</v>
      </c>
      <c r="AT31" s="606">
        <f t="shared" ca="1" si="119"/>
        <v>0</v>
      </c>
      <c r="AU31" s="606">
        <f t="shared" ca="1" si="119"/>
        <v>0</v>
      </c>
      <c r="AV31" s="606">
        <f t="shared" ca="1" si="119"/>
        <v>0</v>
      </c>
      <c r="AW31" s="606">
        <f t="shared" ca="1" si="119"/>
        <v>0</v>
      </c>
      <c r="AX31" s="606">
        <f t="shared" ca="1" si="119"/>
        <v>0</v>
      </c>
      <c r="AY31" s="606">
        <f t="shared" ca="1" si="119"/>
        <v>0</v>
      </c>
      <c r="AZ31" s="606">
        <f t="shared" ca="1" si="119"/>
        <v>9413156.0154413339</v>
      </c>
      <c r="BA31" s="606">
        <f t="shared" ca="1" si="119"/>
        <v>0</v>
      </c>
      <c r="BB31" s="606">
        <f t="shared" ca="1" si="119"/>
        <v>3478775.0491848411</v>
      </c>
      <c r="BC31" s="606">
        <f t="shared" ca="1" si="119"/>
        <v>19481140.275435109</v>
      </c>
      <c r="BD31" s="606">
        <f t="shared" ca="1" si="119"/>
        <v>21568405.304946013</v>
      </c>
      <c r="BE31" s="606">
        <f t="shared" ca="1" si="119"/>
        <v>20872650.295109045</v>
      </c>
      <c r="BF31" s="606">
        <f t="shared" ca="1" si="119"/>
        <v>14610855.206576332</v>
      </c>
      <c r="BG31" s="606">
        <f t="shared" ca="1" si="119"/>
        <v>2353289.0038603335</v>
      </c>
      <c r="BH31" s="606">
        <f t="shared" ca="1" si="119"/>
        <v>0</v>
      </c>
      <c r="BI31" s="606">
        <f t="shared" ca="1" si="119"/>
        <v>0</v>
      </c>
      <c r="BJ31" s="606">
        <f t="shared" ca="1" si="119"/>
        <v>0</v>
      </c>
      <c r="BK31" s="606">
        <f t="shared" ca="1" si="119"/>
        <v>0</v>
      </c>
      <c r="BL31" s="606">
        <f t="shared" ca="1" si="119"/>
        <v>0</v>
      </c>
      <c r="BM31" s="606">
        <f t="shared" ca="1" si="119"/>
        <v>0</v>
      </c>
      <c r="BN31" s="606">
        <f t="shared" ca="1" si="119"/>
        <v>0</v>
      </c>
      <c r="BO31" s="606">
        <f t="shared" ca="1" si="119"/>
        <v>0</v>
      </c>
      <c r="BP31" s="606">
        <f t="shared" ca="1" si="119"/>
        <v>0</v>
      </c>
      <c r="BQ31" s="606">
        <f t="shared" ca="1" si="119"/>
        <v>0</v>
      </c>
      <c r="BR31" s="606">
        <f t="shared" ca="1" si="119"/>
        <v>0</v>
      </c>
      <c r="BS31" s="606">
        <f t="shared" ref="BS31:CX31" ca="1" si="120">BS106*$F$31</f>
        <v>0</v>
      </c>
      <c r="BT31" s="606">
        <f t="shared" ca="1" si="120"/>
        <v>0</v>
      </c>
      <c r="BU31" s="606">
        <f t="shared" ca="1" si="120"/>
        <v>0</v>
      </c>
      <c r="BV31" s="606">
        <f t="shared" ca="1" si="120"/>
        <v>0</v>
      </c>
      <c r="BW31" s="606">
        <f t="shared" ca="1" si="120"/>
        <v>0</v>
      </c>
      <c r="BX31" s="606">
        <f t="shared" ca="1" si="120"/>
        <v>0</v>
      </c>
      <c r="BY31" s="606">
        <f t="shared" ca="1" si="120"/>
        <v>0</v>
      </c>
      <c r="BZ31" s="606">
        <f t="shared" ca="1" si="120"/>
        <v>0</v>
      </c>
      <c r="CA31" s="606">
        <f t="shared" ca="1" si="120"/>
        <v>0</v>
      </c>
      <c r="CB31" s="606">
        <f t="shared" ca="1" si="120"/>
        <v>0</v>
      </c>
      <c r="CC31" s="606">
        <f t="shared" ca="1" si="120"/>
        <v>0</v>
      </c>
      <c r="CD31" s="606">
        <f t="shared" ca="1" si="120"/>
        <v>2353289.0038603335</v>
      </c>
      <c r="CE31" s="606">
        <f t="shared" ca="1" si="120"/>
        <v>0</v>
      </c>
      <c r="CF31" s="606">
        <f t="shared" ca="1" si="120"/>
        <v>0</v>
      </c>
      <c r="CG31" s="606">
        <f t="shared" ca="1" si="120"/>
        <v>0</v>
      </c>
      <c r="CH31" s="606">
        <f t="shared" ca="1" si="120"/>
        <v>0</v>
      </c>
      <c r="CI31" s="606">
        <f t="shared" ca="1" si="120"/>
        <v>0</v>
      </c>
      <c r="CJ31" s="606">
        <f t="shared" ca="1" si="120"/>
        <v>0</v>
      </c>
      <c r="CK31" s="606">
        <f t="shared" ca="1" si="120"/>
        <v>0</v>
      </c>
      <c r="CL31" s="606">
        <f t="shared" ca="1" si="120"/>
        <v>0</v>
      </c>
      <c r="CM31" s="606">
        <f t="shared" ca="1" si="120"/>
        <v>0</v>
      </c>
      <c r="CN31" s="606">
        <f t="shared" ca="1" si="120"/>
        <v>0</v>
      </c>
      <c r="CO31" s="606">
        <f t="shared" ca="1" si="120"/>
        <v>0</v>
      </c>
      <c r="CP31" s="606">
        <f t="shared" ca="1" si="120"/>
        <v>0</v>
      </c>
      <c r="CQ31" s="606">
        <f t="shared" ca="1" si="120"/>
        <v>0</v>
      </c>
      <c r="CR31" s="606">
        <f t="shared" ca="1" si="120"/>
        <v>0</v>
      </c>
      <c r="CS31" s="606">
        <f t="shared" ca="1" si="120"/>
        <v>0</v>
      </c>
      <c r="CT31" s="606">
        <f t="shared" ca="1" si="120"/>
        <v>0</v>
      </c>
      <c r="CU31" s="606">
        <f t="shared" ca="1" si="120"/>
        <v>0</v>
      </c>
      <c r="CV31" s="606">
        <f t="shared" ca="1" si="120"/>
        <v>0</v>
      </c>
      <c r="CW31" s="606">
        <f t="shared" ca="1" si="120"/>
        <v>0</v>
      </c>
      <c r="CX31" s="606">
        <f t="shared" ca="1" si="120"/>
        <v>0</v>
      </c>
      <c r="CY31" s="606">
        <f t="shared" ref="CY31:ED31" ca="1" si="121">CY106*$F$31</f>
        <v>0</v>
      </c>
      <c r="CZ31" s="606">
        <f t="shared" ca="1" si="121"/>
        <v>0</v>
      </c>
      <c r="DA31" s="606">
        <f t="shared" ca="1" si="121"/>
        <v>0</v>
      </c>
      <c r="DB31" s="606">
        <f t="shared" ca="1" si="121"/>
        <v>0</v>
      </c>
      <c r="DC31" s="606">
        <f t="shared" ca="1" si="121"/>
        <v>0</v>
      </c>
      <c r="DD31" s="606">
        <f t="shared" ca="1" si="121"/>
        <v>0</v>
      </c>
      <c r="DE31" s="606">
        <f t="shared" ca="1" si="121"/>
        <v>0</v>
      </c>
      <c r="DF31" s="606">
        <f t="shared" ca="1" si="121"/>
        <v>0</v>
      </c>
      <c r="DG31" s="606">
        <f t="shared" ca="1" si="121"/>
        <v>0</v>
      </c>
      <c r="DH31" s="606">
        <f t="shared" ca="1" si="121"/>
        <v>0</v>
      </c>
      <c r="DI31" s="606">
        <f t="shared" ca="1" si="121"/>
        <v>0</v>
      </c>
      <c r="DJ31" s="606">
        <f t="shared" ca="1" si="121"/>
        <v>0</v>
      </c>
      <c r="DK31" s="606">
        <f t="shared" ca="1" si="121"/>
        <v>0</v>
      </c>
      <c r="DL31" s="606">
        <f t="shared" ca="1" si="121"/>
        <v>0</v>
      </c>
      <c r="DM31" s="606">
        <f t="shared" ca="1" si="121"/>
        <v>0</v>
      </c>
      <c r="DN31" s="606">
        <f t="shared" ca="1" si="121"/>
        <v>0</v>
      </c>
      <c r="DO31" s="606">
        <f t="shared" ca="1" si="121"/>
        <v>0</v>
      </c>
      <c r="DP31" s="606">
        <f t="shared" ca="1" si="121"/>
        <v>0</v>
      </c>
      <c r="DQ31" s="606">
        <f t="shared" ca="1" si="121"/>
        <v>0</v>
      </c>
      <c r="DR31" s="606">
        <f t="shared" ca="1" si="121"/>
        <v>0</v>
      </c>
      <c r="DS31" s="606">
        <f t="shared" ca="1" si="121"/>
        <v>0</v>
      </c>
      <c r="DT31" s="606">
        <f t="shared" ca="1" si="121"/>
        <v>0</v>
      </c>
      <c r="DU31" s="606">
        <f t="shared" ca="1" si="121"/>
        <v>0</v>
      </c>
      <c r="DV31" s="606">
        <f t="shared" ca="1" si="121"/>
        <v>0</v>
      </c>
      <c r="DW31" s="606">
        <f t="shared" ca="1" si="121"/>
        <v>0</v>
      </c>
      <c r="DX31" s="606">
        <f t="shared" ca="1" si="121"/>
        <v>0</v>
      </c>
      <c r="DY31" s="606">
        <f t="shared" ca="1" si="121"/>
        <v>0</v>
      </c>
      <c r="DZ31" s="606">
        <f t="shared" ca="1" si="121"/>
        <v>0</v>
      </c>
      <c r="EA31" s="606">
        <f t="shared" ca="1" si="121"/>
        <v>0</v>
      </c>
      <c r="EB31" s="606">
        <f t="shared" ca="1" si="121"/>
        <v>0</v>
      </c>
      <c r="EC31" s="606">
        <f t="shared" ca="1" si="121"/>
        <v>0</v>
      </c>
      <c r="ED31" s="606">
        <f t="shared" ca="1" si="121"/>
        <v>0</v>
      </c>
      <c r="EE31" s="606">
        <f t="shared" ref="EE31:EJ31" ca="1" si="122">EE106*$F$31</f>
        <v>0</v>
      </c>
      <c r="EF31" s="606">
        <f t="shared" ca="1" si="122"/>
        <v>0</v>
      </c>
      <c r="EG31" s="606">
        <f t="shared" ca="1" si="122"/>
        <v>0</v>
      </c>
      <c r="EH31" s="606">
        <f t="shared" ca="1" si="122"/>
        <v>0</v>
      </c>
      <c r="EI31" s="606">
        <f t="shared" ca="1" si="122"/>
        <v>0</v>
      </c>
      <c r="EJ31" s="606">
        <f t="shared" si="122"/>
        <v>0</v>
      </c>
    </row>
    <row r="32" spans="1:141" customFormat="1" hidden="1" outlineLevel="1">
      <c r="A32" s="321"/>
      <c r="B32" s="321"/>
      <c r="C32" s="317" t="s">
        <v>1486</v>
      </c>
      <c r="D32" s="317" t="s">
        <v>1081</v>
      </c>
      <c r="E32" s="606">
        <f t="shared" ca="1" si="17"/>
        <v>0</v>
      </c>
      <c r="F32" s="606">
        <f>'Распределение по статьям'!AC221</f>
        <v>0</v>
      </c>
      <c r="G32" s="606">
        <f t="shared" ref="G32:AL32" si="123">G116*$F$32</f>
        <v>0</v>
      </c>
      <c r="H32" s="606">
        <f t="shared" ca="1" si="123"/>
        <v>0</v>
      </c>
      <c r="I32" s="606">
        <f t="shared" ca="1" si="123"/>
        <v>0</v>
      </c>
      <c r="J32" s="606">
        <f t="shared" ca="1" si="123"/>
        <v>0</v>
      </c>
      <c r="K32" s="606">
        <f t="shared" ca="1" si="123"/>
        <v>0</v>
      </c>
      <c r="L32" s="606">
        <f t="shared" ca="1" si="123"/>
        <v>0</v>
      </c>
      <c r="M32" s="606">
        <f t="shared" ca="1" si="123"/>
        <v>0</v>
      </c>
      <c r="N32" s="606">
        <f t="shared" ca="1" si="123"/>
        <v>0</v>
      </c>
      <c r="O32" s="606">
        <f t="shared" ca="1" si="123"/>
        <v>0</v>
      </c>
      <c r="P32" s="606">
        <f t="shared" ca="1" si="123"/>
        <v>0</v>
      </c>
      <c r="Q32" s="606">
        <f t="shared" ca="1" si="123"/>
        <v>0</v>
      </c>
      <c r="R32" s="606">
        <f t="shared" ca="1" si="123"/>
        <v>0</v>
      </c>
      <c r="S32" s="606">
        <f t="shared" ca="1" si="123"/>
        <v>0</v>
      </c>
      <c r="T32" s="606">
        <f t="shared" ca="1" si="123"/>
        <v>0</v>
      </c>
      <c r="U32" s="606">
        <f t="shared" ca="1" si="123"/>
        <v>0</v>
      </c>
      <c r="V32" s="606">
        <f t="shared" ca="1" si="123"/>
        <v>0</v>
      </c>
      <c r="W32" s="606">
        <f t="shared" ca="1" si="123"/>
        <v>0</v>
      </c>
      <c r="X32" s="606">
        <f t="shared" ca="1" si="123"/>
        <v>0</v>
      </c>
      <c r="Y32" s="606">
        <f t="shared" ca="1" si="123"/>
        <v>0</v>
      </c>
      <c r="Z32" s="606">
        <f t="shared" ca="1" si="123"/>
        <v>0</v>
      </c>
      <c r="AA32" s="606">
        <f t="shared" ca="1" si="123"/>
        <v>0</v>
      </c>
      <c r="AB32" s="606">
        <f t="shared" ca="1" si="123"/>
        <v>0</v>
      </c>
      <c r="AC32" s="606">
        <f t="shared" ca="1" si="123"/>
        <v>0</v>
      </c>
      <c r="AD32" s="606">
        <f t="shared" ca="1" si="123"/>
        <v>0</v>
      </c>
      <c r="AE32" s="606">
        <f t="shared" ca="1" si="123"/>
        <v>0</v>
      </c>
      <c r="AF32" s="606">
        <f t="shared" ca="1" si="123"/>
        <v>0</v>
      </c>
      <c r="AG32" s="606">
        <f t="shared" ca="1" si="123"/>
        <v>0</v>
      </c>
      <c r="AH32" s="606">
        <f t="shared" ca="1" si="123"/>
        <v>0</v>
      </c>
      <c r="AI32" s="606">
        <f t="shared" ca="1" si="123"/>
        <v>0</v>
      </c>
      <c r="AJ32" s="606">
        <f t="shared" ca="1" si="123"/>
        <v>0</v>
      </c>
      <c r="AK32" s="606">
        <f t="shared" ca="1" si="123"/>
        <v>0</v>
      </c>
      <c r="AL32" s="606">
        <f t="shared" ca="1" si="123"/>
        <v>0</v>
      </c>
      <c r="AM32" s="606">
        <f t="shared" ref="AM32:BR32" ca="1" si="124">AM116*$F$32</f>
        <v>0</v>
      </c>
      <c r="AN32" s="606">
        <f t="shared" ca="1" si="124"/>
        <v>0</v>
      </c>
      <c r="AO32" s="606">
        <f t="shared" ca="1" si="124"/>
        <v>0</v>
      </c>
      <c r="AP32" s="606">
        <f t="shared" ca="1" si="124"/>
        <v>0</v>
      </c>
      <c r="AQ32" s="606">
        <f t="shared" ca="1" si="124"/>
        <v>0</v>
      </c>
      <c r="AR32" s="606">
        <f t="shared" ca="1" si="124"/>
        <v>0</v>
      </c>
      <c r="AS32" s="606">
        <f t="shared" ca="1" si="124"/>
        <v>0</v>
      </c>
      <c r="AT32" s="606">
        <f t="shared" ca="1" si="124"/>
        <v>0</v>
      </c>
      <c r="AU32" s="606">
        <f t="shared" ca="1" si="124"/>
        <v>0</v>
      </c>
      <c r="AV32" s="606">
        <f t="shared" ca="1" si="124"/>
        <v>0</v>
      </c>
      <c r="AW32" s="606">
        <f t="shared" ca="1" si="124"/>
        <v>0</v>
      </c>
      <c r="AX32" s="606">
        <f t="shared" ca="1" si="124"/>
        <v>0</v>
      </c>
      <c r="AY32" s="606">
        <f t="shared" ca="1" si="124"/>
        <v>0</v>
      </c>
      <c r="AZ32" s="606">
        <f t="shared" ca="1" si="124"/>
        <v>0</v>
      </c>
      <c r="BA32" s="606">
        <f t="shared" ca="1" si="124"/>
        <v>0</v>
      </c>
      <c r="BB32" s="606">
        <f t="shared" ca="1" si="124"/>
        <v>0</v>
      </c>
      <c r="BC32" s="606">
        <f t="shared" ca="1" si="124"/>
        <v>0</v>
      </c>
      <c r="BD32" s="606">
        <f t="shared" ca="1" si="124"/>
        <v>0</v>
      </c>
      <c r="BE32" s="606">
        <f t="shared" ca="1" si="124"/>
        <v>0</v>
      </c>
      <c r="BF32" s="606">
        <f t="shared" ca="1" si="124"/>
        <v>0</v>
      </c>
      <c r="BG32" s="606">
        <f t="shared" ca="1" si="124"/>
        <v>0</v>
      </c>
      <c r="BH32" s="606">
        <f t="shared" ca="1" si="124"/>
        <v>0</v>
      </c>
      <c r="BI32" s="606">
        <f t="shared" ca="1" si="124"/>
        <v>0</v>
      </c>
      <c r="BJ32" s="606">
        <f t="shared" ca="1" si="124"/>
        <v>0</v>
      </c>
      <c r="BK32" s="606">
        <f t="shared" ca="1" si="124"/>
        <v>0</v>
      </c>
      <c r="BL32" s="606">
        <f t="shared" ca="1" si="124"/>
        <v>0</v>
      </c>
      <c r="BM32" s="606">
        <f t="shared" ca="1" si="124"/>
        <v>0</v>
      </c>
      <c r="BN32" s="606">
        <f t="shared" ca="1" si="124"/>
        <v>0</v>
      </c>
      <c r="BO32" s="606">
        <f t="shared" ca="1" si="124"/>
        <v>0</v>
      </c>
      <c r="BP32" s="606">
        <f t="shared" ca="1" si="124"/>
        <v>0</v>
      </c>
      <c r="BQ32" s="606">
        <f t="shared" ca="1" si="124"/>
        <v>0</v>
      </c>
      <c r="BR32" s="606">
        <f t="shared" ca="1" si="124"/>
        <v>0</v>
      </c>
      <c r="BS32" s="606">
        <f t="shared" ref="BS32:CX32" ca="1" si="125">BS116*$F$32</f>
        <v>0</v>
      </c>
      <c r="BT32" s="606">
        <f t="shared" ca="1" si="125"/>
        <v>0</v>
      </c>
      <c r="BU32" s="606">
        <f t="shared" ca="1" si="125"/>
        <v>0</v>
      </c>
      <c r="BV32" s="606">
        <f t="shared" ca="1" si="125"/>
        <v>0</v>
      </c>
      <c r="BW32" s="606">
        <f t="shared" ca="1" si="125"/>
        <v>0</v>
      </c>
      <c r="BX32" s="606">
        <f t="shared" ca="1" si="125"/>
        <v>0</v>
      </c>
      <c r="BY32" s="606">
        <f t="shared" ca="1" si="125"/>
        <v>0</v>
      </c>
      <c r="BZ32" s="606">
        <f t="shared" ca="1" si="125"/>
        <v>0</v>
      </c>
      <c r="CA32" s="606">
        <f t="shared" ca="1" si="125"/>
        <v>0</v>
      </c>
      <c r="CB32" s="606">
        <f t="shared" ca="1" si="125"/>
        <v>0</v>
      </c>
      <c r="CC32" s="606">
        <f t="shared" ca="1" si="125"/>
        <v>0</v>
      </c>
      <c r="CD32" s="606">
        <f t="shared" ca="1" si="125"/>
        <v>0</v>
      </c>
      <c r="CE32" s="606">
        <f t="shared" ca="1" si="125"/>
        <v>0</v>
      </c>
      <c r="CF32" s="606">
        <f t="shared" ca="1" si="125"/>
        <v>0</v>
      </c>
      <c r="CG32" s="606">
        <f t="shared" ca="1" si="125"/>
        <v>0</v>
      </c>
      <c r="CH32" s="606">
        <f t="shared" ca="1" si="125"/>
        <v>0</v>
      </c>
      <c r="CI32" s="606">
        <f t="shared" ca="1" si="125"/>
        <v>0</v>
      </c>
      <c r="CJ32" s="606">
        <f t="shared" ca="1" si="125"/>
        <v>0</v>
      </c>
      <c r="CK32" s="606">
        <f t="shared" ca="1" si="125"/>
        <v>0</v>
      </c>
      <c r="CL32" s="606">
        <f t="shared" ca="1" si="125"/>
        <v>0</v>
      </c>
      <c r="CM32" s="606">
        <f t="shared" ca="1" si="125"/>
        <v>0</v>
      </c>
      <c r="CN32" s="606">
        <f t="shared" ca="1" si="125"/>
        <v>0</v>
      </c>
      <c r="CO32" s="606">
        <f t="shared" ca="1" si="125"/>
        <v>0</v>
      </c>
      <c r="CP32" s="606">
        <f t="shared" ca="1" si="125"/>
        <v>0</v>
      </c>
      <c r="CQ32" s="606">
        <f t="shared" ca="1" si="125"/>
        <v>0</v>
      </c>
      <c r="CR32" s="606">
        <f t="shared" ca="1" si="125"/>
        <v>0</v>
      </c>
      <c r="CS32" s="606">
        <f t="shared" ca="1" si="125"/>
        <v>0</v>
      </c>
      <c r="CT32" s="606">
        <f t="shared" ca="1" si="125"/>
        <v>0</v>
      </c>
      <c r="CU32" s="606">
        <f t="shared" ca="1" si="125"/>
        <v>0</v>
      </c>
      <c r="CV32" s="606">
        <f t="shared" ca="1" si="125"/>
        <v>0</v>
      </c>
      <c r="CW32" s="606">
        <f t="shared" ca="1" si="125"/>
        <v>0</v>
      </c>
      <c r="CX32" s="606">
        <f t="shared" ca="1" si="125"/>
        <v>0</v>
      </c>
      <c r="CY32" s="606">
        <f t="shared" ref="CY32:ED32" ca="1" si="126">CY116*$F$32</f>
        <v>0</v>
      </c>
      <c r="CZ32" s="606">
        <f t="shared" ca="1" si="126"/>
        <v>0</v>
      </c>
      <c r="DA32" s="606">
        <f t="shared" ca="1" si="126"/>
        <v>0</v>
      </c>
      <c r="DB32" s="606">
        <f t="shared" ca="1" si="126"/>
        <v>0</v>
      </c>
      <c r="DC32" s="606">
        <f t="shared" ca="1" si="126"/>
        <v>0</v>
      </c>
      <c r="DD32" s="606">
        <f t="shared" ca="1" si="126"/>
        <v>0</v>
      </c>
      <c r="DE32" s="606">
        <f t="shared" ca="1" si="126"/>
        <v>0</v>
      </c>
      <c r="DF32" s="606">
        <f t="shared" ca="1" si="126"/>
        <v>0</v>
      </c>
      <c r="DG32" s="606">
        <f t="shared" ca="1" si="126"/>
        <v>0</v>
      </c>
      <c r="DH32" s="606">
        <f t="shared" ca="1" si="126"/>
        <v>0</v>
      </c>
      <c r="DI32" s="606">
        <f t="shared" ca="1" si="126"/>
        <v>0</v>
      </c>
      <c r="DJ32" s="606">
        <f t="shared" ca="1" si="126"/>
        <v>0</v>
      </c>
      <c r="DK32" s="606">
        <f t="shared" ca="1" si="126"/>
        <v>0</v>
      </c>
      <c r="DL32" s="606">
        <f t="shared" ca="1" si="126"/>
        <v>0</v>
      </c>
      <c r="DM32" s="606">
        <f t="shared" ca="1" si="126"/>
        <v>0</v>
      </c>
      <c r="DN32" s="606">
        <f t="shared" ca="1" si="126"/>
        <v>0</v>
      </c>
      <c r="DO32" s="606">
        <f t="shared" ca="1" si="126"/>
        <v>0</v>
      </c>
      <c r="DP32" s="606">
        <f t="shared" ca="1" si="126"/>
        <v>0</v>
      </c>
      <c r="DQ32" s="606">
        <f t="shared" ca="1" si="126"/>
        <v>0</v>
      </c>
      <c r="DR32" s="606">
        <f t="shared" ca="1" si="126"/>
        <v>0</v>
      </c>
      <c r="DS32" s="606">
        <f t="shared" ca="1" si="126"/>
        <v>0</v>
      </c>
      <c r="DT32" s="606">
        <f t="shared" ca="1" si="126"/>
        <v>0</v>
      </c>
      <c r="DU32" s="606">
        <f t="shared" ca="1" si="126"/>
        <v>0</v>
      </c>
      <c r="DV32" s="606">
        <f t="shared" ca="1" si="126"/>
        <v>0</v>
      </c>
      <c r="DW32" s="606">
        <f t="shared" ca="1" si="126"/>
        <v>0</v>
      </c>
      <c r="DX32" s="606">
        <f t="shared" ca="1" si="126"/>
        <v>0</v>
      </c>
      <c r="DY32" s="606">
        <f t="shared" ca="1" si="126"/>
        <v>0</v>
      </c>
      <c r="DZ32" s="606">
        <f t="shared" ca="1" si="126"/>
        <v>0</v>
      </c>
      <c r="EA32" s="606">
        <f t="shared" ca="1" si="126"/>
        <v>0</v>
      </c>
      <c r="EB32" s="606">
        <f t="shared" ca="1" si="126"/>
        <v>0</v>
      </c>
      <c r="EC32" s="606">
        <f t="shared" ca="1" si="126"/>
        <v>0</v>
      </c>
      <c r="ED32" s="606">
        <f t="shared" ca="1" si="126"/>
        <v>0</v>
      </c>
      <c r="EE32" s="606">
        <f t="shared" ref="EE32:EJ32" ca="1" si="127">EE116*$F$32</f>
        <v>0</v>
      </c>
      <c r="EF32" s="606">
        <f t="shared" ca="1" si="127"/>
        <v>0</v>
      </c>
      <c r="EG32" s="606">
        <f t="shared" ca="1" si="127"/>
        <v>0</v>
      </c>
      <c r="EH32" s="606">
        <f t="shared" ca="1" si="127"/>
        <v>0</v>
      </c>
      <c r="EI32" s="606">
        <f t="shared" ca="1" si="127"/>
        <v>0</v>
      </c>
      <c r="EJ32" s="606">
        <f t="shared" si="127"/>
        <v>0</v>
      </c>
    </row>
    <row r="33" spans="1:140" customFormat="1" hidden="1" outlineLevel="1">
      <c r="A33" s="321"/>
      <c r="B33" s="321"/>
      <c r="C33" s="317" t="s">
        <v>1484</v>
      </c>
      <c r="D33" s="317" t="s">
        <v>345</v>
      </c>
      <c r="E33" s="606">
        <f t="shared" ca="1" si="17"/>
        <v>0</v>
      </c>
      <c r="F33" s="606">
        <f>'Распределение по статьям'!AC223</f>
        <v>1446585269.4408517</v>
      </c>
      <c r="G33" s="606">
        <f t="shared" ref="G33:AL33" si="128">G126*$F$33</f>
        <v>0</v>
      </c>
      <c r="H33" s="606">
        <f t="shared" ca="1" si="128"/>
        <v>0</v>
      </c>
      <c r="I33" s="606">
        <f t="shared" ca="1" si="128"/>
        <v>0</v>
      </c>
      <c r="J33" s="606">
        <f t="shared" ca="1" si="128"/>
        <v>0</v>
      </c>
      <c r="K33" s="606">
        <f t="shared" ca="1" si="128"/>
        <v>0</v>
      </c>
      <c r="L33" s="606">
        <f t="shared" ca="1" si="128"/>
        <v>0</v>
      </c>
      <c r="M33" s="606">
        <f t="shared" ca="1" si="128"/>
        <v>0</v>
      </c>
      <c r="N33" s="606">
        <f t="shared" ca="1" si="128"/>
        <v>0</v>
      </c>
      <c r="O33" s="606">
        <f t="shared" ca="1" si="128"/>
        <v>0</v>
      </c>
      <c r="P33" s="606">
        <f t="shared" ca="1" si="128"/>
        <v>0</v>
      </c>
      <c r="Q33" s="606">
        <f t="shared" ca="1" si="128"/>
        <v>0</v>
      </c>
      <c r="R33" s="606">
        <f t="shared" ca="1" si="128"/>
        <v>0</v>
      </c>
      <c r="S33" s="606">
        <f t="shared" ca="1" si="128"/>
        <v>0</v>
      </c>
      <c r="T33" s="606">
        <f t="shared" ca="1" si="128"/>
        <v>0</v>
      </c>
      <c r="U33" s="606">
        <f t="shared" ca="1" si="128"/>
        <v>0</v>
      </c>
      <c r="V33" s="606">
        <f t="shared" ca="1" si="128"/>
        <v>0</v>
      </c>
      <c r="W33" s="606">
        <f t="shared" ca="1" si="128"/>
        <v>0</v>
      </c>
      <c r="X33" s="606">
        <f t="shared" ca="1" si="128"/>
        <v>0</v>
      </c>
      <c r="Y33" s="606">
        <f t="shared" ca="1" si="128"/>
        <v>0</v>
      </c>
      <c r="Z33" s="606">
        <f t="shared" ca="1" si="128"/>
        <v>0</v>
      </c>
      <c r="AA33" s="606">
        <f t="shared" ca="1" si="128"/>
        <v>0</v>
      </c>
      <c r="AB33" s="606">
        <f t="shared" ca="1" si="128"/>
        <v>0</v>
      </c>
      <c r="AC33" s="606">
        <f t="shared" ca="1" si="128"/>
        <v>0</v>
      </c>
      <c r="AD33" s="606">
        <f t="shared" ca="1" si="128"/>
        <v>0</v>
      </c>
      <c r="AE33" s="606">
        <f t="shared" ca="1" si="128"/>
        <v>0</v>
      </c>
      <c r="AF33" s="606">
        <f t="shared" ca="1" si="128"/>
        <v>0</v>
      </c>
      <c r="AG33" s="606">
        <f t="shared" ca="1" si="128"/>
        <v>0</v>
      </c>
      <c r="AH33" s="606">
        <f t="shared" ca="1" si="128"/>
        <v>0</v>
      </c>
      <c r="AI33" s="606">
        <f t="shared" ca="1" si="128"/>
        <v>0</v>
      </c>
      <c r="AJ33" s="606">
        <f t="shared" ca="1" si="128"/>
        <v>0</v>
      </c>
      <c r="AK33" s="606">
        <f t="shared" ca="1" si="128"/>
        <v>0</v>
      </c>
      <c r="AL33" s="606">
        <f t="shared" ca="1" si="128"/>
        <v>0</v>
      </c>
      <c r="AM33" s="606">
        <f t="shared" ref="AM33:BR33" ca="1" si="129">AM126*$F$33</f>
        <v>0</v>
      </c>
      <c r="AN33" s="606">
        <f t="shared" ca="1" si="129"/>
        <v>0</v>
      </c>
      <c r="AO33" s="606">
        <f t="shared" ca="1" si="129"/>
        <v>0</v>
      </c>
      <c r="AP33" s="606">
        <f t="shared" ca="1" si="129"/>
        <v>0</v>
      </c>
      <c r="AQ33" s="606">
        <f t="shared" ca="1" si="129"/>
        <v>0</v>
      </c>
      <c r="AR33" s="606">
        <f t="shared" ca="1" si="129"/>
        <v>216987790.41612774</v>
      </c>
      <c r="AS33" s="606">
        <f t="shared" ca="1" si="129"/>
        <v>0</v>
      </c>
      <c r="AT33" s="606">
        <f t="shared" ca="1" si="129"/>
        <v>51456741.394521676</v>
      </c>
      <c r="AU33" s="606">
        <f t="shared" ca="1" si="129"/>
        <v>61015898.886784598</v>
      </c>
      <c r="AV33" s="606">
        <f t="shared" ca="1" si="129"/>
        <v>63049762.18301075</v>
      </c>
      <c r="AW33" s="606">
        <f t="shared" ca="1" si="129"/>
        <v>63049762.18301075</v>
      </c>
      <c r="AX33" s="606">
        <f t="shared" ca="1" si="129"/>
        <v>61015898.886784598</v>
      </c>
      <c r="AY33" s="606">
        <f t="shared" ca="1" si="129"/>
        <v>63049762.18301075</v>
      </c>
      <c r="AZ33" s="606">
        <f t="shared" ca="1" si="129"/>
        <v>61015898.886784598</v>
      </c>
      <c r="BA33" s="606">
        <f t="shared" ca="1" si="129"/>
        <v>63049762.18301075</v>
      </c>
      <c r="BB33" s="606">
        <f t="shared" ca="1" si="129"/>
        <v>63049762.18301075</v>
      </c>
      <c r="BC33" s="606">
        <f t="shared" ca="1" si="129"/>
        <v>56948172.294332296</v>
      </c>
      <c r="BD33" s="606">
        <f t="shared" ca="1" si="129"/>
        <v>63049762.18301075</v>
      </c>
      <c r="BE33" s="606">
        <f t="shared" ca="1" si="129"/>
        <v>61015898.886784598</v>
      </c>
      <c r="BF33" s="606">
        <f t="shared" ca="1" si="129"/>
        <v>63049762.18301075</v>
      </c>
      <c r="BG33" s="606">
        <f t="shared" ca="1" si="129"/>
        <v>61015898.886784598</v>
      </c>
      <c r="BH33" s="606">
        <f t="shared" ca="1" si="129"/>
        <v>63049762.18301075</v>
      </c>
      <c r="BI33" s="606">
        <f t="shared" ca="1" si="129"/>
        <v>63049762.18301075</v>
      </c>
      <c r="BJ33" s="606">
        <f t="shared" ca="1" si="129"/>
        <v>61015898.886784598</v>
      </c>
      <c r="BK33" s="606">
        <f t="shared" ca="1" si="129"/>
        <v>63049762.18301075</v>
      </c>
      <c r="BL33" s="606">
        <f t="shared" ca="1" si="129"/>
        <v>52270286.713012233</v>
      </c>
      <c r="BM33" s="606">
        <f t="shared" ca="1" si="129"/>
        <v>36164631.736021295</v>
      </c>
      <c r="BN33" s="606">
        <f t="shared" ca="1" si="129"/>
        <v>0</v>
      </c>
      <c r="BO33" s="606">
        <f t="shared" ca="1" si="129"/>
        <v>0</v>
      </c>
      <c r="BP33" s="606">
        <f t="shared" ca="1" si="129"/>
        <v>0</v>
      </c>
      <c r="BQ33" s="606">
        <f t="shared" ca="1" si="129"/>
        <v>0</v>
      </c>
      <c r="BR33" s="606">
        <f t="shared" ca="1" si="129"/>
        <v>0</v>
      </c>
      <c r="BS33" s="606">
        <f t="shared" ref="BS33:CX33" ca="1" si="130">BS126*$F$33</f>
        <v>0</v>
      </c>
      <c r="BT33" s="606">
        <f t="shared" ca="1" si="130"/>
        <v>0</v>
      </c>
      <c r="BU33" s="606">
        <f t="shared" ca="1" si="130"/>
        <v>0</v>
      </c>
      <c r="BV33" s="606">
        <f t="shared" ca="1" si="130"/>
        <v>0</v>
      </c>
      <c r="BW33" s="606">
        <f t="shared" ca="1" si="130"/>
        <v>0</v>
      </c>
      <c r="BX33" s="606">
        <f t="shared" ca="1" si="130"/>
        <v>0</v>
      </c>
      <c r="BY33" s="606">
        <f t="shared" ca="1" si="130"/>
        <v>0</v>
      </c>
      <c r="BZ33" s="606">
        <f t="shared" ca="1" si="130"/>
        <v>0</v>
      </c>
      <c r="CA33" s="606">
        <f t="shared" ca="1" si="130"/>
        <v>0</v>
      </c>
      <c r="CB33" s="606">
        <f t="shared" ca="1" si="130"/>
        <v>0</v>
      </c>
      <c r="CC33" s="606">
        <f t="shared" ca="1" si="130"/>
        <v>0</v>
      </c>
      <c r="CD33" s="606">
        <f t="shared" ca="1" si="130"/>
        <v>0</v>
      </c>
      <c r="CE33" s="606">
        <f t="shared" ca="1" si="130"/>
        <v>0</v>
      </c>
      <c r="CF33" s="606">
        <f t="shared" ca="1" si="130"/>
        <v>0</v>
      </c>
      <c r="CG33" s="606">
        <f t="shared" ca="1" si="130"/>
        <v>0</v>
      </c>
      <c r="CH33" s="606">
        <f t="shared" ca="1" si="130"/>
        <v>0</v>
      </c>
      <c r="CI33" s="606">
        <f t="shared" ca="1" si="130"/>
        <v>0</v>
      </c>
      <c r="CJ33" s="606">
        <f t="shared" ca="1" si="130"/>
        <v>36164631.736021295</v>
      </c>
      <c r="CK33" s="606">
        <f t="shared" ca="1" si="130"/>
        <v>0</v>
      </c>
      <c r="CL33" s="606">
        <f t="shared" ca="1" si="130"/>
        <v>0</v>
      </c>
      <c r="CM33" s="606">
        <f t="shared" ca="1" si="130"/>
        <v>0</v>
      </c>
      <c r="CN33" s="606">
        <f t="shared" ca="1" si="130"/>
        <v>0</v>
      </c>
      <c r="CO33" s="606">
        <f t="shared" ca="1" si="130"/>
        <v>0</v>
      </c>
      <c r="CP33" s="606">
        <f t="shared" ca="1" si="130"/>
        <v>0</v>
      </c>
      <c r="CQ33" s="606">
        <f t="shared" ca="1" si="130"/>
        <v>0</v>
      </c>
      <c r="CR33" s="606">
        <f t="shared" ca="1" si="130"/>
        <v>0</v>
      </c>
      <c r="CS33" s="606">
        <f t="shared" ca="1" si="130"/>
        <v>0</v>
      </c>
      <c r="CT33" s="606">
        <f t="shared" ca="1" si="130"/>
        <v>0</v>
      </c>
      <c r="CU33" s="606">
        <f t="shared" ca="1" si="130"/>
        <v>0</v>
      </c>
      <c r="CV33" s="606">
        <f t="shared" ca="1" si="130"/>
        <v>0</v>
      </c>
      <c r="CW33" s="606">
        <f t="shared" ca="1" si="130"/>
        <v>0</v>
      </c>
      <c r="CX33" s="606">
        <f t="shared" ca="1" si="130"/>
        <v>0</v>
      </c>
      <c r="CY33" s="606">
        <f t="shared" ref="CY33:ED33" ca="1" si="131">CY126*$F$33</f>
        <v>0</v>
      </c>
      <c r="CZ33" s="606">
        <f t="shared" ca="1" si="131"/>
        <v>0</v>
      </c>
      <c r="DA33" s="606">
        <f t="shared" ca="1" si="131"/>
        <v>0</v>
      </c>
      <c r="DB33" s="606">
        <f t="shared" ca="1" si="131"/>
        <v>0</v>
      </c>
      <c r="DC33" s="606">
        <f t="shared" ca="1" si="131"/>
        <v>0</v>
      </c>
      <c r="DD33" s="606">
        <f t="shared" ca="1" si="131"/>
        <v>0</v>
      </c>
      <c r="DE33" s="606">
        <f t="shared" ca="1" si="131"/>
        <v>0</v>
      </c>
      <c r="DF33" s="606">
        <f t="shared" ca="1" si="131"/>
        <v>0</v>
      </c>
      <c r="DG33" s="606">
        <f t="shared" ca="1" si="131"/>
        <v>0</v>
      </c>
      <c r="DH33" s="606">
        <f t="shared" ca="1" si="131"/>
        <v>0</v>
      </c>
      <c r="DI33" s="606">
        <f t="shared" ca="1" si="131"/>
        <v>0</v>
      </c>
      <c r="DJ33" s="606">
        <f t="shared" ca="1" si="131"/>
        <v>0</v>
      </c>
      <c r="DK33" s="606">
        <f t="shared" ca="1" si="131"/>
        <v>0</v>
      </c>
      <c r="DL33" s="606">
        <f t="shared" ca="1" si="131"/>
        <v>0</v>
      </c>
      <c r="DM33" s="606">
        <f t="shared" ca="1" si="131"/>
        <v>0</v>
      </c>
      <c r="DN33" s="606">
        <f t="shared" ca="1" si="131"/>
        <v>0</v>
      </c>
      <c r="DO33" s="606">
        <f t="shared" ca="1" si="131"/>
        <v>0</v>
      </c>
      <c r="DP33" s="606">
        <f t="shared" ca="1" si="131"/>
        <v>0</v>
      </c>
      <c r="DQ33" s="606">
        <f t="shared" ca="1" si="131"/>
        <v>0</v>
      </c>
      <c r="DR33" s="606">
        <f t="shared" ca="1" si="131"/>
        <v>0</v>
      </c>
      <c r="DS33" s="606">
        <f t="shared" ca="1" si="131"/>
        <v>0</v>
      </c>
      <c r="DT33" s="606">
        <f t="shared" ca="1" si="131"/>
        <v>0</v>
      </c>
      <c r="DU33" s="606">
        <f t="shared" ca="1" si="131"/>
        <v>0</v>
      </c>
      <c r="DV33" s="606">
        <f t="shared" ca="1" si="131"/>
        <v>0</v>
      </c>
      <c r="DW33" s="606">
        <f t="shared" ca="1" si="131"/>
        <v>0</v>
      </c>
      <c r="DX33" s="606">
        <f t="shared" ca="1" si="131"/>
        <v>0</v>
      </c>
      <c r="DY33" s="606">
        <f t="shared" ca="1" si="131"/>
        <v>0</v>
      </c>
      <c r="DZ33" s="606">
        <f t="shared" ca="1" si="131"/>
        <v>0</v>
      </c>
      <c r="EA33" s="606">
        <f t="shared" ca="1" si="131"/>
        <v>0</v>
      </c>
      <c r="EB33" s="606">
        <f t="shared" ca="1" si="131"/>
        <v>0</v>
      </c>
      <c r="EC33" s="606">
        <f t="shared" ca="1" si="131"/>
        <v>0</v>
      </c>
      <c r="ED33" s="606">
        <f t="shared" ca="1" si="131"/>
        <v>0</v>
      </c>
      <c r="EE33" s="606">
        <f t="shared" ref="EE33:EJ33" ca="1" si="132">EE126*$F$33</f>
        <v>0</v>
      </c>
      <c r="EF33" s="606">
        <f t="shared" ca="1" si="132"/>
        <v>0</v>
      </c>
      <c r="EG33" s="606">
        <f t="shared" ca="1" si="132"/>
        <v>0</v>
      </c>
      <c r="EH33" s="606">
        <f t="shared" ca="1" si="132"/>
        <v>0</v>
      </c>
      <c r="EI33" s="606">
        <f t="shared" ca="1" si="132"/>
        <v>0</v>
      </c>
      <c r="EJ33" s="606">
        <f t="shared" si="132"/>
        <v>0</v>
      </c>
    </row>
    <row r="34" spans="1:140" customFormat="1" hidden="1" outlineLevel="1">
      <c r="A34" s="321"/>
      <c r="B34" s="321"/>
      <c r="C34" s="317" t="s">
        <v>1462</v>
      </c>
      <c r="D34" s="317" t="s">
        <v>1102</v>
      </c>
      <c r="E34" s="606">
        <f t="shared" ca="1" si="17"/>
        <v>0</v>
      </c>
      <c r="F34" s="606">
        <f>'Распределение по статьям'!AC253</f>
        <v>655800371.38713872</v>
      </c>
      <c r="G34" s="606">
        <f t="shared" ref="G34:AL34" si="133">G126*$F$34</f>
        <v>0</v>
      </c>
      <c r="H34" s="606">
        <f t="shared" ca="1" si="133"/>
        <v>0</v>
      </c>
      <c r="I34" s="606">
        <f t="shared" ca="1" si="133"/>
        <v>0</v>
      </c>
      <c r="J34" s="606">
        <f t="shared" ca="1" si="133"/>
        <v>0</v>
      </c>
      <c r="K34" s="606">
        <f t="shared" ca="1" si="133"/>
        <v>0</v>
      </c>
      <c r="L34" s="606">
        <f t="shared" ca="1" si="133"/>
        <v>0</v>
      </c>
      <c r="M34" s="606">
        <f t="shared" ca="1" si="133"/>
        <v>0</v>
      </c>
      <c r="N34" s="606">
        <f t="shared" ca="1" si="133"/>
        <v>0</v>
      </c>
      <c r="O34" s="606">
        <f t="shared" ca="1" si="133"/>
        <v>0</v>
      </c>
      <c r="P34" s="606">
        <f t="shared" ca="1" si="133"/>
        <v>0</v>
      </c>
      <c r="Q34" s="606">
        <f t="shared" ca="1" si="133"/>
        <v>0</v>
      </c>
      <c r="R34" s="606">
        <f t="shared" ca="1" si="133"/>
        <v>0</v>
      </c>
      <c r="S34" s="606">
        <f t="shared" ca="1" si="133"/>
        <v>0</v>
      </c>
      <c r="T34" s="606">
        <f t="shared" ca="1" si="133"/>
        <v>0</v>
      </c>
      <c r="U34" s="606">
        <f t="shared" ca="1" si="133"/>
        <v>0</v>
      </c>
      <c r="V34" s="606">
        <f t="shared" ca="1" si="133"/>
        <v>0</v>
      </c>
      <c r="W34" s="606">
        <f t="shared" ca="1" si="133"/>
        <v>0</v>
      </c>
      <c r="X34" s="606">
        <f t="shared" ca="1" si="133"/>
        <v>0</v>
      </c>
      <c r="Y34" s="606">
        <f t="shared" ca="1" si="133"/>
        <v>0</v>
      </c>
      <c r="Z34" s="606">
        <f t="shared" ca="1" si="133"/>
        <v>0</v>
      </c>
      <c r="AA34" s="606">
        <f t="shared" ca="1" si="133"/>
        <v>0</v>
      </c>
      <c r="AB34" s="606">
        <f t="shared" ca="1" si="133"/>
        <v>0</v>
      </c>
      <c r="AC34" s="606">
        <f t="shared" ca="1" si="133"/>
        <v>0</v>
      </c>
      <c r="AD34" s="606">
        <f t="shared" ca="1" si="133"/>
        <v>0</v>
      </c>
      <c r="AE34" s="606">
        <f t="shared" ca="1" si="133"/>
        <v>0</v>
      </c>
      <c r="AF34" s="606">
        <f t="shared" ca="1" si="133"/>
        <v>0</v>
      </c>
      <c r="AG34" s="606">
        <f t="shared" ca="1" si="133"/>
        <v>0</v>
      </c>
      <c r="AH34" s="606">
        <f t="shared" ca="1" si="133"/>
        <v>0</v>
      </c>
      <c r="AI34" s="606">
        <f t="shared" ca="1" si="133"/>
        <v>0</v>
      </c>
      <c r="AJ34" s="606">
        <f t="shared" ca="1" si="133"/>
        <v>0</v>
      </c>
      <c r="AK34" s="606">
        <f t="shared" ca="1" si="133"/>
        <v>0</v>
      </c>
      <c r="AL34" s="606">
        <f t="shared" ca="1" si="133"/>
        <v>0</v>
      </c>
      <c r="AM34" s="606">
        <f t="shared" ref="AM34:BR34" ca="1" si="134">AM126*$F$34</f>
        <v>0</v>
      </c>
      <c r="AN34" s="606">
        <f t="shared" ca="1" si="134"/>
        <v>0</v>
      </c>
      <c r="AO34" s="606">
        <f t="shared" ca="1" si="134"/>
        <v>0</v>
      </c>
      <c r="AP34" s="606">
        <f t="shared" ca="1" si="134"/>
        <v>0</v>
      </c>
      <c r="AQ34" s="606">
        <f t="shared" ca="1" si="134"/>
        <v>0</v>
      </c>
      <c r="AR34" s="606">
        <f t="shared" ca="1" si="134"/>
        <v>98370055.7080708</v>
      </c>
      <c r="AS34" s="606">
        <f t="shared" ca="1" si="134"/>
        <v>0</v>
      </c>
      <c r="AT34" s="606">
        <f t="shared" ca="1" si="134"/>
        <v>23327591.418059204</v>
      </c>
      <c r="AU34" s="606">
        <f t="shared" ca="1" si="134"/>
        <v>27661175.594536602</v>
      </c>
      <c r="AV34" s="606">
        <f t="shared" ca="1" si="134"/>
        <v>28583214.781021155</v>
      </c>
      <c r="AW34" s="606">
        <f t="shared" ca="1" si="134"/>
        <v>28583214.781021155</v>
      </c>
      <c r="AX34" s="606">
        <f t="shared" ca="1" si="134"/>
        <v>27661175.594536602</v>
      </c>
      <c r="AY34" s="606">
        <f t="shared" ca="1" si="134"/>
        <v>28583214.781021155</v>
      </c>
      <c r="AZ34" s="606">
        <f t="shared" ca="1" si="134"/>
        <v>27661175.594536602</v>
      </c>
      <c r="BA34" s="606">
        <f t="shared" ca="1" si="134"/>
        <v>28583214.781021155</v>
      </c>
      <c r="BB34" s="606">
        <f t="shared" ca="1" si="134"/>
        <v>28583214.781021155</v>
      </c>
      <c r="BC34" s="606">
        <f t="shared" ca="1" si="134"/>
        <v>25817097.2215675</v>
      </c>
      <c r="BD34" s="606">
        <f t="shared" ca="1" si="134"/>
        <v>28583214.781021155</v>
      </c>
      <c r="BE34" s="606">
        <f t="shared" ca="1" si="134"/>
        <v>27661175.594536602</v>
      </c>
      <c r="BF34" s="606">
        <f t="shared" ca="1" si="134"/>
        <v>28583214.781021155</v>
      </c>
      <c r="BG34" s="606">
        <f t="shared" ca="1" si="134"/>
        <v>27661175.594536602</v>
      </c>
      <c r="BH34" s="606">
        <f t="shared" ca="1" si="134"/>
        <v>28583214.781021155</v>
      </c>
      <c r="BI34" s="606">
        <f t="shared" ca="1" si="134"/>
        <v>28583214.781021155</v>
      </c>
      <c r="BJ34" s="606">
        <f t="shared" ca="1" si="134"/>
        <v>27661175.594536602</v>
      </c>
      <c r="BK34" s="606">
        <f t="shared" ca="1" si="134"/>
        <v>28583214.781021155</v>
      </c>
      <c r="BL34" s="606">
        <f t="shared" ca="1" si="134"/>
        <v>23696407.092653066</v>
      </c>
      <c r="BM34" s="606">
        <f t="shared" ca="1" si="134"/>
        <v>16395009.284678468</v>
      </c>
      <c r="BN34" s="606">
        <f t="shared" ca="1" si="134"/>
        <v>0</v>
      </c>
      <c r="BO34" s="606">
        <f t="shared" ca="1" si="134"/>
        <v>0</v>
      </c>
      <c r="BP34" s="606">
        <f t="shared" ca="1" si="134"/>
        <v>0</v>
      </c>
      <c r="BQ34" s="606">
        <f t="shared" ca="1" si="134"/>
        <v>0</v>
      </c>
      <c r="BR34" s="606">
        <f t="shared" ca="1" si="134"/>
        <v>0</v>
      </c>
      <c r="BS34" s="606">
        <f t="shared" ref="BS34:CX34" ca="1" si="135">BS126*$F$34</f>
        <v>0</v>
      </c>
      <c r="BT34" s="606">
        <f t="shared" ca="1" si="135"/>
        <v>0</v>
      </c>
      <c r="BU34" s="606">
        <f t="shared" ca="1" si="135"/>
        <v>0</v>
      </c>
      <c r="BV34" s="606">
        <f t="shared" ca="1" si="135"/>
        <v>0</v>
      </c>
      <c r="BW34" s="606">
        <f t="shared" ca="1" si="135"/>
        <v>0</v>
      </c>
      <c r="BX34" s="606">
        <f t="shared" ca="1" si="135"/>
        <v>0</v>
      </c>
      <c r="BY34" s="606">
        <f t="shared" ca="1" si="135"/>
        <v>0</v>
      </c>
      <c r="BZ34" s="606">
        <f t="shared" ca="1" si="135"/>
        <v>0</v>
      </c>
      <c r="CA34" s="606">
        <f t="shared" ca="1" si="135"/>
        <v>0</v>
      </c>
      <c r="CB34" s="606">
        <f t="shared" ca="1" si="135"/>
        <v>0</v>
      </c>
      <c r="CC34" s="606">
        <f t="shared" ca="1" si="135"/>
        <v>0</v>
      </c>
      <c r="CD34" s="606">
        <f t="shared" ca="1" si="135"/>
        <v>0</v>
      </c>
      <c r="CE34" s="606">
        <f t="shared" ca="1" si="135"/>
        <v>0</v>
      </c>
      <c r="CF34" s="606">
        <f t="shared" ca="1" si="135"/>
        <v>0</v>
      </c>
      <c r="CG34" s="606">
        <f t="shared" ca="1" si="135"/>
        <v>0</v>
      </c>
      <c r="CH34" s="606">
        <f t="shared" ca="1" si="135"/>
        <v>0</v>
      </c>
      <c r="CI34" s="606">
        <f t="shared" ca="1" si="135"/>
        <v>0</v>
      </c>
      <c r="CJ34" s="606">
        <f t="shared" ca="1" si="135"/>
        <v>16395009.284678468</v>
      </c>
      <c r="CK34" s="606">
        <f t="shared" ca="1" si="135"/>
        <v>0</v>
      </c>
      <c r="CL34" s="606">
        <f t="shared" ca="1" si="135"/>
        <v>0</v>
      </c>
      <c r="CM34" s="606">
        <f t="shared" ca="1" si="135"/>
        <v>0</v>
      </c>
      <c r="CN34" s="606">
        <f t="shared" ca="1" si="135"/>
        <v>0</v>
      </c>
      <c r="CO34" s="606">
        <f t="shared" ca="1" si="135"/>
        <v>0</v>
      </c>
      <c r="CP34" s="606">
        <f t="shared" ca="1" si="135"/>
        <v>0</v>
      </c>
      <c r="CQ34" s="606">
        <f t="shared" ca="1" si="135"/>
        <v>0</v>
      </c>
      <c r="CR34" s="606">
        <f t="shared" ca="1" si="135"/>
        <v>0</v>
      </c>
      <c r="CS34" s="606">
        <f t="shared" ca="1" si="135"/>
        <v>0</v>
      </c>
      <c r="CT34" s="606">
        <f t="shared" ca="1" si="135"/>
        <v>0</v>
      </c>
      <c r="CU34" s="606">
        <f t="shared" ca="1" si="135"/>
        <v>0</v>
      </c>
      <c r="CV34" s="606">
        <f t="shared" ca="1" si="135"/>
        <v>0</v>
      </c>
      <c r="CW34" s="606">
        <f t="shared" ca="1" si="135"/>
        <v>0</v>
      </c>
      <c r="CX34" s="606">
        <f t="shared" ca="1" si="135"/>
        <v>0</v>
      </c>
      <c r="CY34" s="606">
        <f t="shared" ref="CY34:ED34" ca="1" si="136">CY126*$F$34</f>
        <v>0</v>
      </c>
      <c r="CZ34" s="606">
        <f t="shared" ca="1" si="136"/>
        <v>0</v>
      </c>
      <c r="DA34" s="606">
        <f t="shared" ca="1" si="136"/>
        <v>0</v>
      </c>
      <c r="DB34" s="606">
        <f t="shared" ca="1" si="136"/>
        <v>0</v>
      </c>
      <c r="DC34" s="606">
        <f t="shared" ca="1" si="136"/>
        <v>0</v>
      </c>
      <c r="DD34" s="606">
        <f t="shared" ca="1" si="136"/>
        <v>0</v>
      </c>
      <c r="DE34" s="606">
        <f t="shared" ca="1" si="136"/>
        <v>0</v>
      </c>
      <c r="DF34" s="606">
        <f t="shared" ca="1" si="136"/>
        <v>0</v>
      </c>
      <c r="DG34" s="606">
        <f t="shared" ca="1" si="136"/>
        <v>0</v>
      </c>
      <c r="DH34" s="606">
        <f t="shared" ca="1" si="136"/>
        <v>0</v>
      </c>
      <c r="DI34" s="606">
        <f t="shared" ca="1" si="136"/>
        <v>0</v>
      </c>
      <c r="DJ34" s="606">
        <f t="shared" ca="1" si="136"/>
        <v>0</v>
      </c>
      <c r="DK34" s="606">
        <f t="shared" ca="1" si="136"/>
        <v>0</v>
      </c>
      <c r="DL34" s="606">
        <f t="shared" ca="1" si="136"/>
        <v>0</v>
      </c>
      <c r="DM34" s="606">
        <f t="shared" ca="1" si="136"/>
        <v>0</v>
      </c>
      <c r="DN34" s="606">
        <f t="shared" ca="1" si="136"/>
        <v>0</v>
      </c>
      <c r="DO34" s="606">
        <f t="shared" ca="1" si="136"/>
        <v>0</v>
      </c>
      <c r="DP34" s="606">
        <f t="shared" ca="1" si="136"/>
        <v>0</v>
      </c>
      <c r="DQ34" s="606">
        <f t="shared" ca="1" si="136"/>
        <v>0</v>
      </c>
      <c r="DR34" s="606">
        <f t="shared" ca="1" si="136"/>
        <v>0</v>
      </c>
      <c r="DS34" s="606">
        <f t="shared" ca="1" si="136"/>
        <v>0</v>
      </c>
      <c r="DT34" s="606">
        <f t="shared" ca="1" si="136"/>
        <v>0</v>
      </c>
      <c r="DU34" s="606">
        <f t="shared" ca="1" si="136"/>
        <v>0</v>
      </c>
      <c r="DV34" s="606">
        <f t="shared" ca="1" si="136"/>
        <v>0</v>
      </c>
      <c r="DW34" s="606">
        <f t="shared" ca="1" si="136"/>
        <v>0</v>
      </c>
      <c r="DX34" s="606">
        <f t="shared" ca="1" si="136"/>
        <v>0</v>
      </c>
      <c r="DY34" s="606">
        <f t="shared" ca="1" si="136"/>
        <v>0</v>
      </c>
      <c r="DZ34" s="606">
        <f t="shared" ca="1" si="136"/>
        <v>0</v>
      </c>
      <c r="EA34" s="606">
        <f t="shared" ca="1" si="136"/>
        <v>0</v>
      </c>
      <c r="EB34" s="606">
        <f t="shared" ca="1" si="136"/>
        <v>0</v>
      </c>
      <c r="EC34" s="606">
        <f t="shared" ca="1" si="136"/>
        <v>0</v>
      </c>
      <c r="ED34" s="606">
        <f t="shared" ca="1" si="136"/>
        <v>0</v>
      </c>
      <c r="EE34" s="606">
        <f t="shared" ref="EE34:EJ34" ca="1" si="137">EE126*$F$34</f>
        <v>0</v>
      </c>
      <c r="EF34" s="606">
        <f t="shared" ca="1" si="137"/>
        <v>0</v>
      </c>
      <c r="EG34" s="606">
        <f t="shared" ca="1" si="137"/>
        <v>0</v>
      </c>
      <c r="EH34" s="606">
        <f t="shared" ca="1" si="137"/>
        <v>0</v>
      </c>
      <c r="EI34" s="606">
        <f t="shared" ca="1" si="137"/>
        <v>0</v>
      </c>
      <c r="EJ34" s="606">
        <f t="shared" si="137"/>
        <v>0</v>
      </c>
    </row>
    <row r="35" spans="1:140" customFormat="1" hidden="1" outlineLevel="1">
      <c r="A35" s="321"/>
      <c r="B35" s="321"/>
      <c r="C35" s="317" t="s">
        <v>1434</v>
      </c>
      <c r="D35" s="317" t="s">
        <v>80</v>
      </c>
      <c r="E35" s="606">
        <f t="shared" ca="1" si="17"/>
        <v>0</v>
      </c>
      <c r="F35" s="606">
        <f>'Распределение по статьям'!AC285</f>
        <v>3044889829.5940037</v>
      </c>
      <c r="G35" s="606">
        <f t="shared" ref="G35:AL35" si="138">G131*$F$35</f>
        <v>0</v>
      </c>
      <c r="H35" s="606">
        <f t="shared" ca="1" si="138"/>
        <v>0</v>
      </c>
      <c r="I35" s="606">
        <f t="shared" ca="1" si="138"/>
        <v>0</v>
      </c>
      <c r="J35" s="606">
        <f t="shared" ca="1" si="138"/>
        <v>0</v>
      </c>
      <c r="K35" s="606">
        <f t="shared" ca="1" si="138"/>
        <v>0</v>
      </c>
      <c r="L35" s="606">
        <f t="shared" ca="1" si="138"/>
        <v>0</v>
      </c>
      <c r="M35" s="606">
        <f t="shared" ca="1" si="138"/>
        <v>0</v>
      </c>
      <c r="N35" s="606">
        <f t="shared" ca="1" si="138"/>
        <v>0</v>
      </c>
      <c r="O35" s="606">
        <f t="shared" ca="1" si="138"/>
        <v>0</v>
      </c>
      <c r="P35" s="606">
        <f t="shared" ca="1" si="138"/>
        <v>0</v>
      </c>
      <c r="Q35" s="606">
        <f t="shared" ca="1" si="138"/>
        <v>0</v>
      </c>
      <c r="R35" s="606">
        <f t="shared" ca="1" si="138"/>
        <v>0</v>
      </c>
      <c r="S35" s="606">
        <f t="shared" ca="1" si="138"/>
        <v>0</v>
      </c>
      <c r="T35" s="606">
        <f t="shared" ca="1" si="138"/>
        <v>0</v>
      </c>
      <c r="U35" s="606">
        <f t="shared" ca="1" si="138"/>
        <v>0</v>
      </c>
      <c r="V35" s="606">
        <f t="shared" ca="1" si="138"/>
        <v>0</v>
      </c>
      <c r="W35" s="606">
        <f t="shared" ca="1" si="138"/>
        <v>0</v>
      </c>
      <c r="X35" s="606">
        <f t="shared" ca="1" si="138"/>
        <v>0</v>
      </c>
      <c r="Y35" s="606">
        <f t="shared" ca="1" si="138"/>
        <v>0</v>
      </c>
      <c r="Z35" s="606">
        <f t="shared" ca="1" si="138"/>
        <v>0</v>
      </c>
      <c r="AA35" s="606">
        <f t="shared" ca="1" si="138"/>
        <v>0</v>
      </c>
      <c r="AB35" s="606">
        <f t="shared" ca="1" si="138"/>
        <v>0</v>
      </c>
      <c r="AC35" s="606">
        <f t="shared" ca="1" si="138"/>
        <v>0</v>
      </c>
      <c r="AD35" s="606">
        <f t="shared" ca="1" si="138"/>
        <v>0</v>
      </c>
      <c r="AE35" s="606">
        <f t="shared" ca="1" si="138"/>
        <v>0</v>
      </c>
      <c r="AF35" s="606">
        <f t="shared" ca="1" si="138"/>
        <v>0</v>
      </c>
      <c r="AG35" s="606">
        <f t="shared" ca="1" si="138"/>
        <v>0</v>
      </c>
      <c r="AH35" s="606">
        <f t="shared" ca="1" si="138"/>
        <v>0</v>
      </c>
      <c r="AI35" s="606">
        <f t="shared" ca="1" si="138"/>
        <v>0</v>
      </c>
      <c r="AJ35" s="606">
        <f t="shared" ca="1" si="138"/>
        <v>0</v>
      </c>
      <c r="AK35" s="606">
        <f t="shared" ca="1" si="138"/>
        <v>0</v>
      </c>
      <c r="AL35" s="606">
        <f t="shared" ca="1" si="138"/>
        <v>0</v>
      </c>
      <c r="AM35" s="606">
        <f t="shared" ref="AM35:BR35" ca="1" si="139">AM131*$F$35</f>
        <v>0</v>
      </c>
      <c r="AN35" s="606">
        <f t="shared" ca="1" si="139"/>
        <v>0</v>
      </c>
      <c r="AO35" s="606">
        <f t="shared" ca="1" si="139"/>
        <v>0</v>
      </c>
      <c r="AP35" s="606">
        <f t="shared" ca="1" si="139"/>
        <v>0</v>
      </c>
      <c r="AQ35" s="606">
        <f t="shared" ca="1" si="139"/>
        <v>0</v>
      </c>
      <c r="AR35" s="606">
        <f t="shared" ca="1" si="139"/>
        <v>456733474.43910056</v>
      </c>
      <c r="AS35" s="606">
        <f t="shared" ca="1" si="139"/>
        <v>0</v>
      </c>
      <c r="AT35" s="606">
        <f t="shared" ca="1" si="139"/>
        <v>117228258.43936911</v>
      </c>
      <c r="AU35" s="606">
        <f t="shared" ca="1" si="139"/>
        <v>139005840.04668278</v>
      </c>
      <c r="AV35" s="606">
        <f t="shared" ca="1" si="139"/>
        <v>143639368.04823887</v>
      </c>
      <c r="AW35" s="606">
        <f t="shared" ca="1" si="139"/>
        <v>143639368.04823887</v>
      </c>
      <c r="AX35" s="606">
        <f t="shared" ca="1" si="139"/>
        <v>139005840.04668278</v>
      </c>
      <c r="AY35" s="606">
        <f t="shared" ca="1" si="139"/>
        <v>143639368.04823887</v>
      </c>
      <c r="AZ35" s="606">
        <f t="shared" ca="1" si="139"/>
        <v>139005840.04668278</v>
      </c>
      <c r="BA35" s="606">
        <f t="shared" ca="1" si="139"/>
        <v>143639368.04823887</v>
      </c>
      <c r="BB35" s="606">
        <f t="shared" ca="1" si="139"/>
        <v>143639368.04823887</v>
      </c>
      <c r="BC35" s="606">
        <f t="shared" ca="1" si="139"/>
        <v>129738784.04357059</v>
      </c>
      <c r="BD35" s="606">
        <f t="shared" ca="1" si="139"/>
        <v>143639368.04823887</v>
      </c>
      <c r="BE35" s="606">
        <f t="shared" ca="1" si="139"/>
        <v>139005840.04668278</v>
      </c>
      <c r="BF35" s="606">
        <f t="shared" ca="1" si="139"/>
        <v>143639368.04823887</v>
      </c>
      <c r="BG35" s="606">
        <f t="shared" ca="1" si="139"/>
        <v>139005840.04668278</v>
      </c>
      <c r="BH35" s="606">
        <f t="shared" ca="1" si="139"/>
        <v>143639368.04823887</v>
      </c>
      <c r="BI35" s="606">
        <f t="shared" ca="1" si="139"/>
        <v>40311693.613537952</v>
      </c>
      <c r="BJ35" s="606">
        <f t="shared" ca="1" si="139"/>
        <v>380611228.69925046</v>
      </c>
      <c r="BK35" s="606">
        <f t="shared" ca="1" si="139"/>
        <v>0</v>
      </c>
      <c r="BL35" s="606">
        <f t="shared" ca="1" si="139"/>
        <v>0</v>
      </c>
      <c r="BM35" s="606">
        <f t="shared" ca="1" si="139"/>
        <v>0</v>
      </c>
      <c r="BN35" s="606">
        <f t="shared" ca="1" si="139"/>
        <v>0</v>
      </c>
      <c r="BO35" s="606">
        <f t="shared" ca="1" si="139"/>
        <v>0</v>
      </c>
      <c r="BP35" s="606">
        <f t="shared" ca="1" si="139"/>
        <v>0</v>
      </c>
      <c r="BQ35" s="606">
        <f t="shared" ca="1" si="139"/>
        <v>0</v>
      </c>
      <c r="BR35" s="606">
        <f t="shared" ca="1" si="139"/>
        <v>0</v>
      </c>
      <c r="BS35" s="606">
        <f t="shared" ref="BS35:CX35" ca="1" si="140">BS131*$F$35</f>
        <v>0</v>
      </c>
      <c r="BT35" s="606">
        <f t="shared" ca="1" si="140"/>
        <v>0</v>
      </c>
      <c r="BU35" s="606">
        <f t="shared" ca="1" si="140"/>
        <v>0</v>
      </c>
      <c r="BV35" s="606">
        <f t="shared" ca="1" si="140"/>
        <v>0</v>
      </c>
      <c r="BW35" s="606">
        <f t="shared" ca="1" si="140"/>
        <v>0</v>
      </c>
      <c r="BX35" s="606">
        <f t="shared" ca="1" si="140"/>
        <v>0</v>
      </c>
      <c r="BY35" s="606">
        <f t="shared" ca="1" si="140"/>
        <v>0</v>
      </c>
      <c r="BZ35" s="606">
        <f t="shared" ca="1" si="140"/>
        <v>0</v>
      </c>
      <c r="CA35" s="606">
        <f t="shared" ca="1" si="140"/>
        <v>0</v>
      </c>
      <c r="CB35" s="606">
        <f t="shared" ca="1" si="140"/>
        <v>0</v>
      </c>
      <c r="CC35" s="606">
        <f t="shared" ca="1" si="140"/>
        <v>0</v>
      </c>
      <c r="CD35" s="606">
        <f t="shared" ca="1" si="140"/>
        <v>0</v>
      </c>
      <c r="CE35" s="606">
        <f t="shared" ca="1" si="140"/>
        <v>0</v>
      </c>
      <c r="CF35" s="606">
        <f t="shared" ca="1" si="140"/>
        <v>0</v>
      </c>
      <c r="CG35" s="606">
        <f t="shared" ca="1" si="140"/>
        <v>76122245.739850089</v>
      </c>
      <c r="CH35" s="606">
        <f t="shared" ca="1" si="140"/>
        <v>0</v>
      </c>
      <c r="CI35" s="606">
        <f t="shared" ca="1" si="140"/>
        <v>0</v>
      </c>
      <c r="CJ35" s="606">
        <f t="shared" ca="1" si="140"/>
        <v>0</v>
      </c>
      <c r="CK35" s="606">
        <f t="shared" ca="1" si="140"/>
        <v>0</v>
      </c>
      <c r="CL35" s="606">
        <f t="shared" ca="1" si="140"/>
        <v>0</v>
      </c>
      <c r="CM35" s="606">
        <f t="shared" ca="1" si="140"/>
        <v>0</v>
      </c>
      <c r="CN35" s="606">
        <f t="shared" ca="1" si="140"/>
        <v>0</v>
      </c>
      <c r="CO35" s="606">
        <f t="shared" ca="1" si="140"/>
        <v>0</v>
      </c>
      <c r="CP35" s="606">
        <f t="shared" ca="1" si="140"/>
        <v>0</v>
      </c>
      <c r="CQ35" s="606">
        <f t="shared" ca="1" si="140"/>
        <v>0</v>
      </c>
      <c r="CR35" s="606">
        <f t="shared" ca="1" si="140"/>
        <v>0</v>
      </c>
      <c r="CS35" s="606">
        <f t="shared" ca="1" si="140"/>
        <v>0</v>
      </c>
      <c r="CT35" s="606">
        <f t="shared" ca="1" si="140"/>
        <v>0</v>
      </c>
      <c r="CU35" s="606">
        <f t="shared" ca="1" si="140"/>
        <v>0</v>
      </c>
      <c r="CV35" s="606">
        <f t="shared" ca="1" si="140"/>
        <v>0</v>
      </c>
      <c r="CW35" s="606">
        <f t="shared" ca="1" si="140"/>
        <v>0</v>
      </c>
      <c r="CX35" s="606">
        <f t="shared" ca="1" si="140"/>
        <v>0</v>
      </c>
      <c r="CY35" s="606">
        <f t="shared" ref="CY35:ED35" ca="1" si="141">CY131*$F$35</f>
        <v>0</v>
      </c>
      <c r="CZ35" s="606">
        <f t="shared" ca="1" si="141"/>
        <v>0</v>
      </c>
      <c r="DA35" s="606">
        <f t="shared" ca="1" si="141"/>
        <v>0</v>
      </c>
      <c r="DB35" s="606">
        <f t="shared" ca="1" si="141"/>
        <v>0</v>
      </c>
      <c r="DC35" s="606">
        <f t="shared" ca="1" si="141"/>
        <v>0</v>
      </c>
      <c r="DD35" s="606">
        <f t="shared" ca="1" si="141"/>
        <v>0</v>
      </c>
      <c r="DE35" s="606">
        <f t="shared" ca="1" si="141"/>
        <v>0</v>
      </c>
      <c r="DF35" s="606">
        <f t="shared" ca="1" si="141"/>
        <v>0</v>
      </c>
      <c r="DG35" s="606">
        <f t="shared" ca="1" si="141"/>
        <v>0</v>
      </c>
      <c r="DH35" s="606">
        <f t="shared" ca="1" si="141"/>
        <v>0</v>
      </c>
      <c r="DI35" s="606">
        <f t="shared" ca="1" si="141"/>
        <v>0</v>
      </c>
      <c r="DJ35" s="606">
        <f t="shared" ca="1" si="141"/>
        <v>0</v>
      </c>
      <c r="DK35" s="606">
        <f t="shared" ca="1" si="141"/>
        <v>0</v>
      </c>
      <c r="DL35" s="606">
        <f t="shared" ca="1" si="141"/>
        <v>0</v>
      </c>
      <c r="DM35" s="606">
        <f t="shared" ca="1" si="141"/>
        <v>0</v>
      </c>
      <c r="DN35" s="606">
        <f t="shared" ca="1" si="141"/>
        <v>0</v>
      </c>
      <c r="DO35" s="606">
        <f t="shared" ca="1" si="141"/>
        <v>0</v>
      </c>
      <c r="DP35" s="606">
        <f t="shared" ca="1" si="141"/>
        <v>0</v>
      </c>
      <c r="DQ35" s="606">
        <f t="shared" ca="1" si="141"/>
        <v>0</v>
      </c>
      <c r="DR35" s="606">
        <f t="shared" ca="1" si="141"/>
        <v>0</v>
      </c>
      <c r="DS35" s="606">
        <f t="shared" ca="1" si="141"/>
        <v>0</v>
      </c>
      <c r="DT35" s="606">
        <f t="shared" ca="1" si="141"/>
        <v>0</v>
      </c>
      <c r="DU35" s="606">
        <f t="shared" ca="1" si="141"/>
        <v>0</v>
      </c>
      <c r="DV35" s="606">
        <f t="shared" ca="1" si="141"/>
        <v>0</v>
      </c>
      <c r="DW35" s="606">
        <f t="shared" ca="1" si="141"/>
        <v>0</v>
      </c>
      <c r="DX35" s="606">
        <f t="shared" ca="1" si="141"/>
        <v>0</v>
      </c>
      <c r="DY35" s="606">
        <f t="shared" ca="1" si="141"/>
        <v>0</v>
      </c>
      <c r="DZ35" s="606">
        <f t="shared" ca="1" si="141"/>
        <v>0</v>
      </c>
      <c r="EA35" s="606">
        <f t="shared" ca="1" si="141"/>
        <v>0</v>
      </c>
      <c r="EB35" s="606">
        <f t="shared" ca="1" si="141"/>
        <v>0</v>
      </c>
      <c r="EC35" s="606">
        <f t="shared" ca="1" si="141"/>
        <v>0</v>
      </c>
      <c r="ED35" s="606">
        <f t="shared" ca="1" si="141"/>
        <v>0</v>
      </c>
      <c r="EE35" s="606">
        <f t="shared" ref="EE35:EJ35" ca="1" si="142">EE131*$F$35</f>
        <v>0</v>
      </c>
      <c r="EF35" s="606">
        <f t="shared" ca="1" si="142"/>
        <v>0</v>
      </c>
      <c r="EG35" s="606">
        <f t="shared" ca="1" si="142"/>
        <v>0</v>
      </c>
      <c r="EH35" s="606">
        <f t="shared" ca="1" si="142"/>
        <v>0</v>
      </c>
      <c r="EI35" s="606">
        <f t="shared" ca="1" si="142"/>
        <v>0</v>
      </c>
      <c r="EJ35" s="606">
        <f t="shared" si="142"/>
        <v>0</v>
      </c>
    </row>
    <row r="36" spans="1:140" customFormat="1" hidden="1" outlineLevel="1">
      <c r="A36" s="321"/>
      <c r="B36" s="321"/>
      <c r="C36" s="317" t="s">
        <v>1403</v>
      </c>
      <c r="D36" s="317" t="s">
        <v>87</v>
      </c>
      <c r="E36" s="606">
        <f t="shared" ca="1" si="17"/>
        <v>0</v>
      </c>
      <c r="F36" s="606">
        <f>'Распределение по статьям'!AC351</f>
        <v>273216564.38605475</v>
      </c>
      <c r="G36" s="606">
        <f t="shared" ref="G36:AL36" si="143">G137*$F$36</f>
        <v>0</v>
      </c>
      <c r="H36" s="606">
        <f t="shared" ca="1" si="143"/>
        <v>0</v>
      </c>
      <c r="I36" s="606">
        <f t="shared" ca="1" si="143"/>
        <v>0</v>
      </c>
      <c r="J36" s="606">
        <f t="shared" ca="1" si="143"/>
        <v>0</v>
      </c>
      <c r="K36" s="606">
        <f t="shared" ca="1" si="143"/>
        <v>0</v>
      </c>
      <c r="L36" s="606">
        <f t="shared" ca="1" si="143"/>
        <v>0</v>
      </c>
      <c r="M36" s="606">
        <f t="shared" ca="1" si="143"/>
        <v>0</v>
      </c>
      <c r="N36" s="606">
        <f t="shared" ca="1" si="143"/>
        <v>0</v>
      </c>
      <c r="O36" s="606">
        <f t="shared" ca="1" si="143"/>
        <v>0</v>
      </c>
      <c r="P36" s="606">
        <f t="shared" ca="1" si="143"/>
        <v>0</v>
      </c>
      <c r="Q36" s="606">
        <f t="shared" ca="1" si="143"/>
        <v>0</v>
      </c>
      <c r="R36" s="606">
        <f t="shared" ca="1" si="143"/>
        <v>0</v>
      </c>
      <c r="S36" s="606">
        <f t="shared" ca="1" si="143"/>
        <v>0</v>
      </c>
      <c r="T36" s="606">
        <f t="shared" ca="1" si="143"/>
        <v>0</v>
      </c>
      <c r="U36" s="606">
        <f t="shared" ca="1" si="143"/>
        <v>0</v>
      </c>
      <c r="V36" s="606">
        <f t="shared" ca="1" si="143"/>
        <v>0</v>
      </c>
      <c r="W36" s="606">
        <f t="shared" ca="1" si="143"/>
        <v>0</v>
      </c>
      <c r="X36" s="606">
        <f t="shared" ca="1" si="143"/>
        <v>0</v>
      </c>
      <c r="Y36" s="606">
        <f t="shared" ca="1" si="143"/>
        <v>0</v>
      </c>
      <c r="Z36" s="606">
        <f t="shared" ca="1" si="143"/>
        <v>0</v>
      </c>
      <c r="AA36" s="606">
        <f t="shared" ca="1" si="143"/>
        <v>0</v>
      </c>
      <c r="AB36" s="606">
        <f t="shared" ca="1" si="143"/>
        <v>0</v>
      </c>
      <c r="AC36" s="606">
        <f t="shared" ca="1" si="143"/>
        <v>0</v>
      </c>
      <c r="AD36" s="606">
        <f t="shared" ca="1" si="143"/>
        <v>0</v>
      </c>
      <c r="AE36" s="606">
        <f t="shared" ca="1" si="143"/>
        <v>0</v>
      </c>
      <c r="AF36" s="606">
        <f t="shared" ca="1" si="143"/>
        <v>0</v>
      </c>
      <c r="AG36" s="606">
        <f t="shared" ca="1" si="143"/>
        <v>0</v>
      </c>
      <c r="AH36" s="606">
        <f t="shared" ca="1" si="143"/>
        <v>0</v>
      </c>
      <c r="AI36" s="606">
        <f t="shared" ca="1" si="143"/>
        <v>0</v>
      </c>
      <c r="AJ36" s="606">
        <f t="shared" ca="1" si="143"/>
        <v>0</v>
      </c>
      <c r="AK36" s="606">
        <f t="shared" ca="1" si="143"/>
        <v>0</v>
      </c>
      <c r="AL36" s="606">
        <f t="shared" ca="1" si="143"/>
        <v>0</v>
      </c>
      <c r="AM36" s="606">
        <f t="shared" ref="AM36:BR36" ca="1" si="144">AM137*$F$36</f>
        <v>0</v>
      </c>
      <c r="AN36" s="606">
        <f t="shared" ca="1" si="144"/>
        <v>0</v>
      </c>
      <c r="AO36" s="606">
        <f t="shared" ca="1" si="144"/>
        <v>0</v>
      </c>
      <c r="AP36" s="606">
        <f t="shared" ca="1" si="144"/>
        <v>0</v>
      </c>
      <c r="AQ36" s="606">
        <f t="shared" ca="1" si="144"/>
        <v>0</v>
      </c>
      <c r="AR36" s="606">
        <f t="shared" ca="1" si="144"/>
        <v>0</v>
      </c>
      <c r="AS36" s="606">
        <f t="shared" ca="1" si="144"/>
        <v>0</v>
      </c>
      <c r="AT36" s="606">
        <f t="shared" ca="1" si="144"/>
        <v>0</v>
      </c>
      <c r="AU36" s="606">
        <f t="shared" ca="1" si="144"/>
        <v>0</v>
      </c>
      <c r="AV36" s="606">
        <f t="shared" ca="1" si="144"/>
        <v>109286625.7544219</v>
      </c>
      <c r="AW36" s="606">
        <f t="shared" ca="1" si="144"/>
        <v>0</v>
      </c>
      <c r="AX36" s="606">
        <f t="shared" ca="1" si="144"/>
        <v>0</v>
      </c>
      <c r="AY36" s="606">
        <f t="shared" ca="1" si="144"/>
        <v>0</v>
      </c>
      <c r="AZ36" s="606">
        <f t="shared" ca="1" si="144"/>
        <v>0</v>
      </c>
      <c r="BA36" s="606">
        <f t="shared" ca="1" si="144"/>
        <v>0</v>
      </c>
      <c r="BB36" s="606">
        <f t="shared" ca="1" si="144"/>
        <v>6026835.9791041482</v>
      </c>
      <c r="BC36" s="606">
        <f t="shared" ca="1" si="144"/>
        <v>33750281.482983239</v>
      </c>
      <c r="BD36" s="606">
        <f t="shared" ca="1" si="144"/>
        <v>37366383.070445716</v>
      </c>
      <c r="BE36" s="606">
        <f t="shared" ca="1" si="144"/>
        <v>36161015.874624893</v>
      </c>
      <c r="BF36" s="606">
        <f t="shared" ca="1" si="144"/>
        <v>9642937.5665666386</v>
      </c>
      <c r="BG36" s="606">
        <f t="shared" ca="1" si="144"/>
        <v>34152070.548256844</v>
      </c>
      <c r="BH36" s="606">
        <f t="shared" ca="1" si="144"/>
        <v>0</v>
      </c>
      <c r="BI36" s="606">
        <f t="shared" ca="1" si="144"/>
        <v>0</v>
      </c>
      <c r="BJ36" s="606">
        <f t="shared" ca="1" si="144"/>
        <v>0</v>
      </c>
      <c r="BK36" s="606">
        <f t="shared" ca="1" si="144"/>
        <v>0</v>
      </c>
      <c r="BL36" s="606">
        <f t="shared" ca="1" si="144"/>
        <v>0</v>
      </c>
      <c r="BM36" s="606">
        <f t="shared" ca="1" si="144"/>
        <v>0</v>
      </c>
      <c r="BN36" s="606">
        <f t="shared" ca="1" si="144"/>
        <v>0</v>
      </c>
      <c r="BO36" s="606">
        <f t="shared" ca="1" si="144"/>
        <v>0</v>
      </c>
      <c r="BP36" s="606">
        <f t="shared" ca="1" si="144"/>
        <v>0</v>
      </c>
      <c r="BQ36" s="606">
        <f t="shared" ca="1" si="144"/>
        <v>0</v>
      </c>
      <c r="BR36" s="606">
        <f t="shared" ca="1" si="144"/>
        <v>0</v>
      </c>
      <c r="BS36" s="606">
        <f t="shared" ref="BS36:CX36" ca="1" si="145">BS137*$F$36</f>
        <v>0</v>
      </c>
      <c r="BT36" s="606">
        <f t="shared" ca="1" si="145"/>
        <v>0</v>
      </c>
      <c r="BU36" s="606">
        <f t="shared" ca="1" si="145"/>
        <v>0</v>
      </c>
      <c r="BV36" s="606">
        <f t="shared" ca="1" si="145"/>
        <v>0</v>
      </c>
      <c r="BW36" s="606">
        <f t="shared" ca="1" si="145"/>
        <v>0</v>
      </c>
      <c r="BX36" s="606">
        <f t="shared" ca="1" si="145"/>
        <v>0</v>
      </c>
      <c r="BY36" s="606">
        <f t="shared" ca="1" si="145"/>
        <v>0</v>
      </c>
      <c r="BZ36" s="606">
        <f t="shared" ca="1" si="145"/>
        <v>0</v>
      </c>
      <c r="CA36" s="606">
        <f t="shared" ca="1" si="145"/>
        <v>0</v>
      </c>
      <c r="CB36" s="606">
        <f t="shared" ca="1" si="145"/>
        <v>0</v>
      </c>
      <c r="CC36" s="606">
        <f t="shared" ca="1" si="145"/>
        <v>0</v>
      </c>
      <c r="CD36" s="606">
        <f t="shared" ca="1" si="145"/>
        <v>6830414.109651369</v>
      </c>
      <c r="CE36" s="606">
        <f t="shared" ca="1" si="145"/>
        <v>0</v>
      </c>
      <c r="CF36" s="606">
        <f t="shared" ca="1" si="145"/>
        <v>0</v>
      </c>
      <c r="CG36" s="606">
        <f t="shared" ca="1" si="145"/>
        <v>0</v>
      </c>
      <c r="CH36" s="606">
        <f t="shared" ca="1" si="145"/>
        <v>0</v>
      </c>
      <c r="CI36" s="606">
        <f t="shared" ca="1" si="145"/>
        <v>0</v>
      </c>
      <c r="CJ36" s="606">
        <f t="shared" ca="1" si="145"/>
        <v>0</v>
      </c>
      <c r="CK36" s="606">
        <f t="shared" ca="1" si="145"/>
        <v>0</v>
      </c>
      <c r="CL36" s="606">
        <f t="shared" ca="1" si="145"/>
        <v>0</v>
      </c>
      <c r="CM36" s="606">
        <f t="shared" ca="1" si="145"/>
        <v>0</v>
      </c>
      <c r="CN36" s="606">
        <f t="shared" ca="1" si="145"/>
        <v>0</v>
      </c>
      <c r="CO36" s="606">
        <f t="shared" ca="1" si="145"/>
        <v>0</v>
      </c>
      <c r="CP36" s="606">
        <f t="shared" ca="1" si="145"/>
        <v>0</v>
      </c>
      <c r="CQ36" s="606">
        <f t="shared" ca="1" si="145"/>
        <v>0</v>
      </c>
      <c r="CR36" s="606">
        <f t="shared" ca="1" si="145"/>
        <v>0</v>
      </c>
      <c r="CS36" s="606">
        <f t="shared" ca="1" si="145"/>
        <v>0</v>
      </c>
      <c r="CT36" s="606">
        <f t="shared" ca="1" si="145"/>
        <v>0</v>
      </c>
      <c r="CU36" s="606">
        <f t="shared" ca="1" si="145"/>
        <v>0</v>
      </c>
      <c r="CV36" s="606">
        <f t="shared" ca="1" si="145"/>
        <v>0</v>
      </c>
      <c r="CW36" s="606">
        <f t="shared" ca="1" si="145"/>
        <v>0</v>
      </c>
      <c r="CX36" s="606">
        <f t="shared" ca="1" si="145"/>
        <v>0</v>
      </c>
      <c r="CY36" s="606">
        <f t="shared" ref="CY36:ED36" ca="1" si="146">CY137*$F$36</f>
        <v>0</v>
      </c>
      <c r="CZ36" s="606">
        <f t="shared" ca="1" si="146"/>
        <v>0</v>
      </c>
      <c r="DA36" s="606">
        <f t="shared" ca="1" si="146"/>
        <v>0</v>
      </c>
      <c r="DB36" s="606">
        <f t="shared" ca="1" si="146"/>
        <v>0</v>
      </c>
      <c r="DC36" s="606">
        <f t="shared" ca="1" si="146"/>
        <v>0</v>
      </c>
      <c r="DD36" s="606">
        <f t="shared" ca="1" si="146"/>
        <v>0</v>
      </c>
      <c r="DE36" s="606">
        <f t="shared" ca="1" si="146"/>
        <v>0</v>
      </c>
      <c r="DF36" s="606">
        <f t="shared" ca="1" si="146"/>
        <v>0</v>
      </c>
      <c r="DG36" s="606">
        <f t="shared" ca="1" si="146"/>
        <v>0</v>
      </c>
      <c r="DH36" s="606">
        <f t="shared" ca="1" si="146"/>
        <v>0</v>
      </c>
      <c r="DI36" s="606">
        <f t="shared" ca="1" si="146"/>
        <v>0</v>
      </c>
      <c r="DJ36" s="606">
        <f t="shared" ca="1" si="146"/>
        <v>0</v>
      </c>
      <c r="DK36" s="606">
        <f t="shared" ca="1" si="146"/>
        <v>0</v>
      </c>
      <c r="DL36" s="606">
        <f t="shared" ca="1" si="146"/>
        <v>0</v>
      </c>
      <c r="DM36" s="606">
        <f t="shared" ca="1" si="146"/>
        <v>0</v>
      </c>
      <c r="DN36" s="606">
        <f t="shared" ca="1" si="146"/>
        <v>0</v>
      </c>
      <c r="DO36" s="606">
        <f t="shared" ca="1" si="146"/>
        <v>0</v>
      </c>
      <c r="DP36" s="606">
        <f t="shared" ca="1" si="146"/>
        <v>0</v>
      </c>
      <c r="DQ36" s="606">
        <f t="shared" ca="1" si="146"/>
        <v>0</v>
      </c>
      <c r="DR36" s="606">
        <f t="shared" ca="1" si="146"/>
        <v>0</v>
      </c>
      <c r="DS36" s="606">
        <f t="shared" ca="1" si="146"/>
        <v>0</v>
      </c>
      <c r="DT36" s="606">
        <f t="shared" ca="1" si="146"/>
        <v>0</v>
      </c>
      <c r="DU36" s="606">
        <f t="shared" ca="1" si="146"/>
        <v>0</v>
      </c>
      <c r="DV36" s="606">
        <f t="shared" ca="1" si="146"/>
        <v>0</v>
      </c>
      <c r="DW36" s="606">
        <f t="shared" ca="1" si="146"/>
        <v>0</v>
      </c>
      <c r="DX36" s="606">
        <f t="shared" ca="1" si="146"/>
        <v>0</v>
      </c>
      <c r="DY36" s="606">
        <f t="shared" ca="1" si="146"/>
        <v>0</v>
      </c>
      <c r="DZ36" s="606">
        <f t="shared" ca="1" si="146"/>
        <v>0</v>
      </c>
      <c r="EA36" s="606">
        <f t="shared" ca="1" si="146"/>
        <v>0</v>
      </c>
      <c r="EB36" s="606">
        <f t="shared" ca="1" si="146"/>
        <v>0</v>
      </c>
      <c r="EC36" s="606">
        <f t="shared" ca="1" si="146"/>
        <v>0</v>
      </c>
      <c r="ED36" s="606">
        <f t="shared" ca="1" si="146"/>
        <v>0</v>
      </c>
      <c r="EE36" s="606">
        <f t="shared" ref="EE36:EJ36" ca="1" si="147">EE137*$F$36</f>
        <v>0</v>
      </c>
      <c r="EF36" s="606">
        <f t="shared" ca="1" si="147"/>
        <v>0</v>
      </c>
      <c r="EG36" s="606">
        <f t="shared" ca="1" si="147"/>
        <v>0</v>
      </c>
      <c r="EH36" s="606">
        <f t="shared" ca="1" si="147"/>
        <v>0</v>
      </c>
      <c r="EI36" s="606">
        <f t="shared" ca="1" si="147"/>
        <v>0</v>
      </c>
      <c r="EJ36" s="606">
        <f t="shared" si="147"/>
        <v>0</v>
      </c>
    </row>
    <row r="37" spans="1:140" customFormat="1" hidden="1" outlineLevel="1">
      <c r="A37" s="321"/>
      <c r="B37" s="321"/>
      <c r="C37" s="317" t="s">
        <v>1398</v>
      </c>
      <c r="D37" s="317" t="s">
        <v>18</v>
      </c>
      <c r="E37" s="606">
        <f t="shared" ca="1" si="17"/>
        <v>0</v>
      </c>
      <c r="F37" s="606">
        <f>'Распределение по статьям'!AC371</f>
        <v>359670108.42293286</v>
      </c>
      <c r="G37" s="606">
        <f t="shared" ref="G37:AL37" si="148">G163*$F$37</f>
        <v>0</v>
      </c>
      <c r="H37" s="606">
        <f t="shared" ca="1" si="148"/>
        <v>0</v>
      </c>
      <c r="I37" s="606">
        <f t="shared" ca="1" si="148"/>
        <v>0</v>
      </c>
      <c r="J37" s="606">
        <f t="shared" ca="1" si="148"/>
        <v>0</v>
      </c>
      <c r="K37" s="606">
        <f t="shared" ca="1" si="148"/>
        <v>0</v>
      </c>
      <c r="L37" s="606">
        <f t="shared" ca="1" si="148"/>
        <v>0</v>
      </c>
      <c r="M37" s="606">
        <f t="shared" ca="1" si="148"/>
        <v>0</v>
      </c>
      <c r="N37" s="606">
        <f t="shared" ca="1" si="148"/>
        <v>0</v>
      </c>
      <c r="O37" s="606">
        <f t="shared" ca="1" si="148"/>
        <v>0</v>
      </c>
      <c r="P37" s="606">
        <f t="shared" ca="1" si="148"/>
        <v>0</v>
      </c>
      <c r="Q37" s="606">
        <f t="shared" ca="1" si="148"/>
        <v>0</v>
      </c>
      <c r="R37" s="606">
        <f t="shared" ca="1" si="148"/>
        <v>0</v>
      </c>
      <c r="S37" s="606">
        <f t="shared" ca="1" si="148"/>
        <v>0</v>
      </c>
      <c r="T37" s="606">
        <f t="shared" ca="1" si="148"/>
        <v>0</v>
      </c>
      <c r="U37" s="606">
        <f t="shared" ca="1" si="148"/>
        <v>0</v>
      </c>
      <c r="V37" s="606">
        <f t="shared" ca="1" si="148"/>
        <v>0</v>
      </c>
      <c r="W37" s="606">
        <f t="shared" ca="1" si="148"/>
        <v>0</v>
      </c>
      <c r="X37" s="606">
        <f t="shared" ca="1" si="148"/>
        <v>0</v>
      </c>
      <c r="Y37" s="606">
        <f t="shared" ca="1" si="148"/>
        <v>0</v>
      </c>
      <c r="Z37" s="606">
        <f t="shared" ca="1" si="148"/>
        <v>0</v>
      </c>
      <c r="AA37" s="606">
        <f t="shared" ca="1" si="148"/>
        <v>0</v>
      </c>
      <c r="AB37" s="606">
        <f t="shared" ca="1" si="148"/>
        <v>0</v>
      </c>
      <c r="AC37" s="606">
        <f t="shared" ca="1" si="148"/>
        <v>0</v>
      </c>
      <c r="AD37" s="606">
        <f t="shared" ca="1" si="148"/>
        <v>0</v>
      </c>
      <c r="AE37" s="606">
        <f t="shared" ca="1" si="148"/>
        <v>0</v>
      </c>
      <c r="AF37" s="606">
        <f t="shared" ca="1" si="148"/>
        <v>0</v>
      </c>
      <c r="AG37" s="606">
        <f t="shared" ca="1" si="148"/>
        <v>0</v>
      </c>
      <c r="AH37" s="606">
        <f t="shared" ca="1" si="148"/>
        <v>0</v>
      </c>
      <c r="AI37" s="606">
        <f t="shared" ca="1" si="148"/>
        <v>0</v>
      </c>
      <c r="AJ37" s="606">
        <f t="shared" ca="1" si="148"/>
        <v>0</v>
      </c>
      <c r="AK37" s="606">
        <f t="shared" ca="1" si="148"/>
        <v>0</v>
      </c>
      <c r="AL37" s="606">
        <f t="shared" ca="1" si="148"/>
        <v>0</v>
      </c>
      <c r="AM37" s="606">
        <f t="shared" ref="AM37:BR37" ca="1" si="149">AM163*$F$37</f>
        <v>0</v>
      </c>
      <c r="AN37" s="606">
        <f t="shared" ca="1" si="149"/>
        <v>0</v>
      </c>
      <c r="AO37" s="606">
        <f t="shared" ca="1" si="149"/>
        <v>0</v>
      </c>
      <c r="AP37" s="606">
        <f t="shared" ca="1" si="149"/>
        <v>0</v>
      </c>
      <c r="AQ37" s="606">
        <f t="shared" ca="1" si="149"/>
        <v>0</v>
      </c>
      <c r="AR37" s="606">
        <f t="shared" ca="1" si="149"/>
        <v>0</v>
      </c>
      <c r="AS37" s="606">
        <f t="shared" ca="1" si="149"/>
        <v>0</v>
      </c>
      <c r="AT37" s="606">
        <f t="shared" ca="1" si="149"/>
        <v>0</v>
      </c>
      <c r="AU37" s="606">
        <f t="shared" ca="1" si="149"/>
        <v>0</v>
      </c>
      <c r="AV37" s="606">
        <f t="shared" ca="1" si="149"/>
        <v>107901032.52687986</v>
      </c>
      <c r="AW37" s="606">
        <f t="shared" ca="1" si="149"/>
        <v>0</v>
      </c>
      <c r="AX37" s="606">
        <f t="shared" ca="1" si="149"/>
        <v>3482646.4038297334</v>
      </c>
      <c r="AY37" s="606">
        <f t="shared" ca="1" si="149"/>
        <v>21378621.488855742</v>
      </c>
      <c r="AZ37" s="606">
        <f t="shared" ca="1" si="149"/>
        <v>20688988.537602331</v>
      </c>
      <c r="BA37" s="606">
        <f t="shared" ca="1" si="149"/>
        <v>21378621.488855742</v>
      </c>
      <c r="BB37" s="606">
        <f t="shared" ca="1" si="149"/>
        <v>21378621.488855742</v>
      </c>
      <c r="BC37" s="606">
        <f t="shared" ca="1" si="149"/>
        <v>19309722.635095507</v>
      </c>
      <c r="BD37" s="606">
        <f t="shared" ca="1" si="149"/>
        <v>21378621.488855742</v>
      </c>
      <c r="BE37" s="606">
        <f t="shared" ca="1" si="149"/>
        <v>20688988.537602331</v>
      </c>
      <c r="BF37" s="606">
        <f t="shared" ca="1" si="149"/>
        <v>21378621.488855742</v>
      </c>
      <c r="BG37" s="606">
        <f t="shared" ca="1" si="149"/>
        <v>20688988.537602331</v>
      </c>
      <c r="BH37" s="606">
        <f t="shared" ca="1" si="149"/>
        <v>21378621.488855742</v>
      </c>
      <c r="BI37" s="606">
        <f t="shared" ca="1" si="149"/>
        <v>20654506.890039653</v>
      </c>
      <c r="BJ37" s="606">
        <f t="shared" ca="1" si="149"/>
        <v>8991752.7105733212</v>
      </c>
      <c r="BK37" s="606">
        <f t="shared" ca="1" si="149"/>
        <v>0</v>
      </c>
      <c r="BL37" s="606">
        <f t="shared" ca="1" si="149"/>
        <v>0</v>
      </c>
      <c r="BM37" s="606">
        <f t="shared" ca="1" si="149"/>
        <v>0</v>
      </c>
      <c r="BN37" s="606">
        <f t="shared" ca="1" si="149"/>
        <v>0</v>
      </c>
      <c r="BO37" s="606">
        <f t="shared" ca="1" si="149"/>
        <v>0</v>
      </c>
      <c r="BP37" s="606">
        <f t="shared" ca="1" si="149"/>
        <v>0</v>
      </c>
      <c r="BQ37" s="606">
        <f t="shared" ca="1" si="149"/>
        <v>0</v>
      </c>
      <c r="BR37" s="606">
        <f t="shared" ca="1" si="149"/>
        <v>0</v>
      </c>
      <c r="BS37" s="606">
        <f t="shared" ref="BS37:CX37" ca="1" si="150">BS163*$F$37</f>
        <v>0</v>
      </c>
      <c r="BT37" s="606">
        <f t="shared" ca="1" si="150"/>
        <v>0</v>
      </c>
      <c r="BU37" s="606">
        <f t="shared" ca="1" si="150"/>
        <v>0</v>
      </c>
      <c r="BV37" s="606">
        <f t="shared" ca="1" si="150"/>
        <v>0</v>
      </c>
      <c r="BW37" s="606">
        <f t="shared" ca="1" si="150"/>
        <v>0</v>
      </c>
      <c r="BX37" s="606">
        <f t="shared" ca="1" si="150"/>
        <v>0</v>
      </c>
      <c r="BY37" s="606">
        <f t="shared" ca="1" si="150"/>
        <v>0</v>
      </c>
      <c r="BZ37" s="606">
        <f t="shared" ca="1" si="150"/>
        <v>0</v>
      </c>
      <c r="CA37" s="606">
        <f t="shared" ca="1" si="150"/>
        <v>0</v>
      </c>
      <c r="CB37" s="606">
        <f t="shared" ca="1" si="150"/>
        <v>0</v>
      </c>
      <c r="CC37" s="606">
        <f t="shared" ca="1" si="150"/>
        <v>0</v>
      </c>
      <c r="CD37" s="606">
        <f t="shared" ca="1" si="150"/>
        <v>0</v>
      </c>
      <c r="CE37" s="606">
        <f t="shared" ca="1" si="150"/>
        <v>0</v>
      </c>
      <c r="CF37" s="606">
        <f t="shared" ca="1" si="150"/>
        <v>0</v>
      </c>
      <c r="CG37" s="606">
        <f t="shared" ca="1" si="150"/>
        <v>8991752.7105733212</v>
      </c>
      <c r="CH37" s="606">
        <f t="shared" ca="1" si="150"/>
        <v>0</v>
      </c>
      <c r="CI37" s="606">
        <f t="shared" ca="1" si="150"/>
        <v>0</v>
      </c>
      <c r="CJ37" s="606">
        <f t="shared" ca="1" si="150"/>
        <v>0</v>
      </c>
      <c r="CK37" s="606">
        <f t="shared" ca="1" si="150"/>
        <v>0</v>
      </c>
      <c r="CL37" s="606">
        <f t="shared" ca="1" si="150"/>
        <v>0</v>
      </c>
      <c r="CM37" s="606">
        <f t="shared" ca="1" si="150"/>
        <v>0</v>
      </c>
      <c r="CN37" s="606">
        <f t="shared" ca="1" si="150"/>
        <v>0</v>
      </c>
      <c r="CO37" s="606">
        <f t="shared" ca="1" si="150"/>
        <v>0</v>
      </c>
      <c r="CP37" s="606">
        <f t="shared" ca="1" si="150"/>
        <v>0</v>
      </c>
      <c r="CQ37" s="606">
        <f t="shared" ca="1" si="150"/>
        <v>0</v>
      </c>
      <c r="CR37" s="606">
        <f t="shared" ca="1" si="150"/>
        <v>0</v>
      </c>
      <c r="CS37" s="606">
        <f t="shared" ca="1" si="150"/>
        <v>0</v>
      </c>
      <c r="CT37" s="606">
        <f t="shared" ca="1" si="150"/>
        <v>0</v>
      </c>
      <c r="CU37" s="606">
        <f t="shared" ca="1" si="150"/>
        <v>0</v>
      </c>
      <c r="CV37" s="606">
        <f t="shared" ca="1" si="150"/>
        <v>0</v>
      </c>
      <c r="CW37" s="606">
        <f t="shared" ca="1" si="150"/>
        <v>0</v>
      </c>
      <c r="CX37" s="606">
        <f t="shared" ca="1" si="150"/>
        <v>0</v>
      </c>
      <c r="CY37" s="606">
        <f t="shared" ref="CY37:ED37" ca="1" si="151">CY163*$F$37</f>
        <v>0</v>
      </c>
      <c r="CZ37" s="606">
        <f t="shared" ca="1" si="151"/>
        <v>0</v>
      </c>
      <c r="DA37" s="606">
        <f t="shared" ca="1" si="151"/>
        <v>0</v>
      </c>
      <c r="DB37" s="606">
        <f t="shared" ca="1" si="151"/>
        <v>0</v>
      </c>
      <c r="DC37" s="606">
        <f t="shared" ca="1" si="151"/>
        <v>0</v>
      </c>
      <c r="DD37" s="606">
        <f t="shared" ca="1" si="151"/>
        <v>0</v>
      </c>
      <c r="DE37" s="606">
        <f t="shared" ca="1" si="151"/>
        <v>0</v>
      </c>
      <c r="DF37" s="606">
        <f t="shared" ca="1" si="151"/>
        <v>0</v>
      </c>
      <c r="DG37" s="606">
        <f t="shared" ca="1" si="151"/>
        <v>0</v>
      </c>
      <c r="DH37" s="606">
        <f t="shared" ca="1" si="151"/>
        <v>0</v>
      </c>
      <c r="DI37" s="606">
        <f t="shared" ca="1" si="151"/>
        <v>0</v>
      </c>
      <c r="DJ37" s="606">
        <f t="shared" ca="1" si="151"/>
        <v>0</v>
      </c>
      <c r="DK37" s="606">
        <f t="shared" ca="1" si="151"/>
        <v>0</v>
      </c>
      <c r="DL37" s="606">
        <f t="shared" ca="1" si="151"/>
        <v>0</v>
      </c>
      <c r="DM37" s="606">
        <f t="shared" ca="1" si="151"/>
        <v>0</v>
      </c>
      <c r="DN37" s="606">
        <f t="shared" ca="1" si="151"/>
        <v>0</v>
      </c>
      <c r="DO37" s="606">
        <f t="shared" ca="1" si="151"/>
        <v>0</v>
      </c>
      <c r="DP37" s="606">
        <f t="shared" ca="1" si="151"/>
        <v>0</v>
      </c>
      <c r="DQ37" s="606">
        <f t="shared" ca="1" si="151"/>
        <v>0</v>
      </c>
      <c r="DR37" s="606">
        <f t="shared" ca="1" si="151"/>
        <v>0</v>
      </c>
      <c r="DS37" s="606">
        <f t="shared" ca="1" si="151"/>
        <v>0</v>
      </c>
      <c r="DT37" s="606">
        <f t="shared" ca="1" si="151"/>
        <v>0</v>
      </c>
      <c r="DU37" s="606">
        <f t="shared" ca="1" si="151"/>
        <v>0</v>
      </c>
      <c r="DV37" s="606">
        <f t="shared" ca="1" si="151"/>
        <v>0</v>
      </c>
      <c r="DW37" s="606">
        <f t="shared" ca="1" si="151"/>
        <v>0</v>
      </c>
      <c r="DX37" s="606">
        <f t="shared" ca="1" si="151"/>
        <v>0</v>
      </c>
      <c r="DY37" s="606">
        <f t="shared" ca="1" si="151"/>
        <v>0</v>
      </c>
      <c r="DZ37" s="606">
        <f t="shared" ca="1" si="151"/>
        <v>0</v>
      </c>
      <c r="EA37" s="606">
        <f t="shared" ca="1" si="151"/>
        <v>0</v>
      </c>
      <c r="EB37" s="606">
        <f t="shared" ca="1" si="151"/>
        <v>0</v>
      </c>
      <c r="EC37" s="606">
        <f t="shared" ca="1" si="151"/>
        <v>0</v>
      </c>
      <c r="ED37" s="606">
        <f t="shared" ca="1" si="151"/>
        <v>0</v>
      </c>
      <c r="EE37" s="606">
        <f t="shared" ref="EE37:EJ37" ca="1" si="152">EE163*$F$37</f>
        <v>0</v>
      </c>
      <c r="EF37" s="606">
        <f t="shared" ca="1" si="152"/>
        <v>0</v>
      </c>
      <c r="EG37" s="606">
        <f t="shared" ca="1" si="152"/>
        <v>0</v>
      </c>
      <c r="EH37" s="606">
        <f t="shared" ca="1" si="152"/>
        <v>0</v>
      </c>
      <c r="EI37" s="606">
        <f t="shared" ca="1" si="152"/>
        <v>0</v>
      </c>
      <c r="EJ37" s="606">
        <f t="shared" si="152"/>
        <v>0</v>
      </c>
    </row>
    <row r="38" spans="1:140" customFormat="1" ht="30" hidden="1" outlineLevel="1">
      <c r="A38" s="321"/>
      <c r="B38" s="321"/>
      <c r="C38" s="317" t="s">
        <v>1394</v>
      </c>
      <c r="D38" s="317" t="s">
        <v>1393</v>
      </c>
      <c r="E38" s="606">
        <f t="shared" ca="1" si="17"/>
        <v>0</v>
      </c>
      <c r="F38" s="606">
        <f>'Распределение по статьям'!AC377</f>
        <v>24003897.577096131</v>
      </c>
      <c r="G38" s="606">
        <f t="shared" ref="G38:AL38" si="153">G148*$F$38</f>
        <v>0</v>
      </c>
      <c r="H38" s="606">
        <f t="shared" ca="1" si="153"/>
        <v>0</v>
      </c>
      <c r="I38" s="606">
        <f t="shared" ca="1" si="153"/>
        <v>0</v>
      </c>
      <c r="J38" s="606">
        <f t="shared" ca="1" si="153"/>
        <v>0</v>
      </c>
      <c r="K38" s="606">
        <f t="shared" ca="1" si="153"/>
        <v>0</v>
      </c>
      <c r="L38" s="606">
        <f t="shared" ca="1" si="153"/>
        <v>0</v>
      </c>
      <c r="M38" s="606">
        <f t="shared" ca="1" si="153"/>
        <v>0</v>
      </c>
      <c r="N38" s="606">
        <f t="shared" ca="1" si="153"/>
        <v>0</v>
      </c>
      <c r="O38" s="606">
        <f t="shared" ca="1" si="153"/>
        <v>0</v>
      </c>
      <c r="P38" s="606">
        <f t="shared" ca="1" si="153"/>
        <v>0</v>
      </c>
      <c r="Q38" s="606">
        <f t="shared" ca="1" si="153"/>
        <v>0</v>
      </c>
      <c r="R38" s="606">
        <f t="shared" ca="1" si="153"/>
        <v>0</v>
      </c>
      <c r="S38" s="606">
        <f t="shared" ca="1" si="153"/>
        <v>0</v>
      </c>
      <c r="T38" s="606">
        <f t="shared" ca="1" si="153"/>
        <v>0</v>
      </c>
      <c r="U38" s="606">
        <f t="shared" ca="1" si="153"/>
        <v>0</v>
      </c>
      <c r="V38" s="606">
        <f t="shared" ca="1" si="153"/>
        <v>0</v>
      </c>
      <c r="W38" s="606">
        <f t="shared" ca="1" si="153"/>
        <v>0</v>
      </c>
      <c r="X38" s="606">
        <f t="shared" ca="1" si="153"/>
        <v>0</v>
      </c>
      <c r="Y38" s="606">
        <f t="shared" ca="1" si="153"/>
        <v>0</v>
      </c>
      <c r="Z38" s="606">
        <f t="shared" ca="1" si="153"/>
        <v>0</v>
      </c>
      <c r="AA38" s="606">
        <f t="shared" ca="1" si="153"/>
        <v>0</v>
      </c>
      <c r="AB38" s="606">
        <f t="shared" ca="1" si="153"/>
        <v>0</v>
      </c>
      <c r="AC38" s="606">
        <f t="shared" ca="1" si="153"/>
        <v>0</v>
      </c>
      <c r="AD38" s="606">
        <f t="shared" ca="1" si="153"/>
        <v>0</v>
      </c>
      <c r="AE38" s="606">
        <f t="shared" ca="1" si="153"/>
        <v>0</v>
      </c>
      <c r="AF38" s="606">
        <f t="shared" ca="1" si="153"/>
        <v>0</v>
      </c>
      <c r="AG38" s="606">
        <f t="shared" ca="1" si="153"/>
        <v>0</v>
      </c>
      <c r="AH38" s="606">
        <f t="shared" ca="1" si="153"/>
        <v>0</v>
      </c>
      <c r="AI38" s="606">
        <f t="shared" ca="1" si="153"/>
        <v>0</v>
      </c>
      <c r="AJ38" s="606">
        <f t="shared" ca="1" si="153"/>
        <v>0</v>
      </c>
      <c r="AK38" s="606">
        <f t="shared" ca="1" si="153"/>
        <v>0</v>
      </c>
      <c r="AL38" s="606">
        <f t="shared" ca="1" si="153"/>
        <v>0</v>
      </c>
      <c r="AM38" s="606">
        <f t="shared" ref="AM38:BR38" ca="1" si="154">AM148*$F$38</f>
        <v>0</v>
      </c>
      <c r="AN38" s="606">
        <f t="shared" ca="1" si="154"/>
        <v>0</v>
      </c>
      <c r="AO38" s="606">
        <f t="shared" ca="1" si="154"/>
        <v>0</v>
      </c>
      <c r="AP38" s="606">
        <f t="shared" ca="1" si="154"/>
        <v>0</v>
      </c>
      <c r="AQ38" s="606">
        <f t="shared" ca="1" si="154"/>
        <v>0</v>
      </c>
      <c r="AR38" s="606">
        <f t="shared" ca="1" si="154"/>
        <v>0</v>
      </c>
      <c r="AS38" s="606">
        <f t="shared" ca="1" si="154"/>
        <v>0</v>
      </c>
      <c r="AT38" s="606">
        <f t="shared" ca="1" si="154"/>
        <v>0</v>
      </c>
      <c r="AU38" s="606">
        <f t="shared" ca="1" si="154"/>
        <v>0</v>
      </c>
      <c r="AV38" s="606">
        <f t="shared" ca="1" si="154"/>
        <v>7201169.2731288392</v>
      </c>
      <c r="AW38" s="606">
        <f t="shared" ca="1" si="154"/>
        <v>0</v>
      </c>
      <c r="AX38" s="606">
        <f t="shared" ca="1" si="154"/>
        <v>331062.15881016059</v>
      </c>
      <c r="AY38" s="606">
        <f t="shared" ca="1" si="154"/>
        <v>2032262.7570524663</v>
      </c>
      <c r="AZ38" s="606">
        <f t="shared" ca="1" si="154"/>
        <v>1966705.8939217418</v>
      </c>
      <c r="BA38" s="606">
        <f t="shared" ca="1" si="154"/>
        <v>2032262.7570524663</v>
      </c>
      <c r="BB38" s="606">
        <f t="shared" ca="1" si="154"/>
        <v>2032262.7570524663</v>
      </c>
      <c r="BC38" s="606">
        <f t="shared" ca="1" si="154"/>
        <v>1835592.1676602922</v>
      </c>
      <c r="BD38" s="606">
        <f t="shared" ca="1" si="154"/>
        <v>2032262.7570524663</v>
      </c>
      <c r="BE38" s="606">
        <f t="shared" ca="1" si="154"/>
        <v>1966705.8939217418</v>
      </c>
      <c r="BF38" s="606">
        <f t="shared" ca="1" si="154"/>
        <v>1373416.2825886821</v>
      </c>
      <c r="BG38" s="606">
        <f t="shared" ca="1" si="154"/>
        <v>600097.43942740327</v>
      </c>
      <c r="BH38" s="606">
        <f t="shared" ca="1" si="154"/>
        <v>0</v>
      </c>
      <c r="BI38" s="606">
        <f t="shared" ca="1" si="154"/>
        <v>0</v>
      </c>
      <c r="BJ38" s="606">
        <f t="shared" ca="1" si="154"/>
        <v>0</v>
      </c>
      <c r="BK38" s="606">
        <f t="shared" ca="1" si="154"/>
        <v>0</v>
      </c>
      <c r="BL38" s="606">
        <f t="shared" ca="1" si="154"/>
        <v>0</v>
      </c>
      <c r="BM38" s="606">
        <f t="shared" ca="1" si="154"/>
        <v>0</v>
      </c>
      <c r="BN38" s="606">
        <f t="shared" ca="1" si="154"/>
        <v>0</v>
      </c>
      <c r="BO38" s="606">
        <f t="shared" ca="1" si="154"/>
        <v>0</v>
      </c>
      <c r="BP38" s="606">
        <f t="shared" ca="1" si="154"/>
        <v>0</v>
      </c>
      <c r="BQ38" s="606">
        <f t="shared" ca="1" si="154"/>
        <v>0</v>
      </c>
      <c r="BR38" s="606">
        <f t="shared" ca="1" si="154"/>
        <v>0</v>
      </c>
      <c r="BS38" s="606">
        <f t="shared" ref="BS38:CX38" ca="1" si="155">BS148*$F$38</f>
        <v>0</v>
      </c>
      <c r="BT38" s="606">
        <f t="shared" ca="1" si="155"/>
        <v>0</v>
      </c>
      <c r="BU38" s="606">
        <f t="shared" ca="1" si="155"/>
        <v>0</v>
      </c>
      <c r="BV38" s="606">
        <f t="shared" ca="1" si="155"/>
        <v>0</v>
      </c>
      <c r="BW38" s="606">
        <f t="shared" ca="1" si="155"/>
        <v>0</v>
      </c>
      <c r="BX38" s="606">
        <f t="shared" ca="1" si="155"/>
        <v>0</v>
      </c>
      <c r="BY38" s="606">
        <f t="shared" ca="1" si="155"/>
        <v>0</v>
      </c>
      <c r="BZ38" s="606">
        <f t="shared" ca="1" si="155"/>
        <v>0</v>
      </c>
      <c r="CA38" s="606">
        <f t="shared" ca="1" si="155"/>
        <v>0</v>
      </c>
      <c r="CB38" s="606">
        <f t="shared" ca="1" si="155"/>
        <v>0</v>
      </c>
      <c r="CC38" s="606">
        <f t="shared" ca="1" si="155"/>
        <v>0</v>
      </c>
      <c r="CD38" s="606">
        <f t="shared" ca="1" si="155"/>
        <v>600097.43942740327</v>
      </c>
      <c r="CE38" s="606">
        <f t="shared" ca="1" si="155"/>
        <v>0</v>
      </c>
      <c r="CF38" s="606">
        <f t="shared" ca="1" si="155"/>
        <v>0</v>
      </c>
      <c r="CG38" s="606">
        <f t="shared" ca="1" si="155"/>
        <v>0</v>
      </c>
      <c r="CH38" s="606">
        <f t="shared" ca="1" si="155"/>
        <v>0</v>
      </c>
      <c r="CI38" s="606">
        <f t="shared" ca="1" si="155"/>
        <v>0</v>
      </c>
      <c r="CJ38" s="606">
        <f t="shared" ca="1" si="155"/>
        <v>0</v>
      </c>
      <c r="CK38" s="606">
        <f t="shared" ca="1" si="155"/>
        <v>0</v>
      </c>
      <c r="CL38" s="606">
        <f t="shared" ca="1" si="155"/>
        <v>0</v>
      </c>
      <c r="CM38" s="606">
        <f t="shared" ca="1" si="155"/>
        <v>0</v>
      </c>
      <c r="CN38" s="606">
        <f t="shared" ca="1" si="155"/>
        <v>0</v>
      </c>
      <c r="CO38" s="606">
        <f t="shared" ca="1" si="155"/>
        <v>0</v>
      </c>
      <c r="CP38" s="606">
        <f t="shared" ca="1" si="155"/>
        <v>0</v>
      </c>
      <c r="CQ38" s="606">
        <f t="shared" ca="1" si="155"/>
        <v>0</v>
      </c>
      <c r="CR38" s="606">
        <f t="shared" ca="1" si="155"/>
        <v>0</v>
      </c>
      <c r="CS38" s="606">
        <f t="shared" ca="1" si="155"/>
        <v>0</v>
      </c>
      <c r="CT38" s="606">
        <f t="shared" ca="1" si="155"/>
        <v>0</v>
      </c>
      <c r="CU38" s="606">
        <f t="shared" ca="1" si="155"/>
        <v>0</v>
      </c>
      <c r="CV38" s="606">
        <f t="shared" ca="1" si="155"/>
        <v>0</v>
      </c>
      <c r="CW38" s="606">
        <f t="shared" ca="1" si="155"/>
        <v>0</v>
      </c>
      <c r="CX38" s="606">
        <f t="shared" ca="1" si="155"/>
        <v>0</v>
      </c>
      <c r="CY38" s="606">
        <f t="shared" ref="CY38:ED38" ca="1" si="156">CY148*$F$38</f>
        <v>0</v>
      </c>
      <c r="CZ38" s="606">
        <f t="shared" ca="1" si="156"/>
        <v>0</v>
      </c>
      <c r="DA38" s="606">
        <f t="shared" ca="1" si="156"/>
        <v>0</v>
      </c>
      <c r="DB38" s="606">
        <f t="shared" ca="1" si="156"/>
        <v>0</v>
      </c>
      <c r="DC38" s="606">
        <f t="shared" ca="1" si="156"/>
        <v>0</v>
      </c>
      <c r="DD38" s="606">
        <f t="shared" ca="1" si="156"/>
        <v>0</v>
      </c>
      <c r="DE38" s="606">
        <f t="shared" ca="1" si="156"/>
        <v>0</v>
      </c>
      <c r="DF38" s="606">
        <f t="shared" ca="1" si="156"/>
        <v>0</v>
      </c>
      <c r="DG38" s="606">
        <f t="shared" ca="1" si="156"/>
        <v>0</v>
      </c>
      <c r="DH38" s="606">
        <f t="shared" ca="1" si="156"/>
        <v>0</v>
      </c>
      <c r="DI38" s="606">
        <f t="shared" ca="1" si="156"/>
        <v>0</v>
      </c>
      <c r="DJ38" s="606">
        <f t="shared" ca="1" si="156"/>
        <v>0</v>
      </c>
      <c r="DK38" s="606">
        <f t="shared" ca="1" si="156"/>
        <v>0</v>
      </c>
      <c r="DL38" s="606">
        <f t="shared" ca="1" si="156"/>
        <v>0</v>
      </c>
      <c r="DM38" s="606">
        <f t="shared" ca="1" si="156"/>
        <v>0</v>
      </c>
      <c r="DN38" s="606">
        <f t="shared" ca="1" si="156"/>
        <v>0</v>
      </c>
      <c r="DO38" s="606">
        <f t="shared" ca="1" si="156"/>
        <v>0</v>
      </c>
      <c r="DP38" s="606">
        <f t="shared" ca="1" si="156"/>
        <v>0</v>
      </c>
      <c r="DQ38" s="606">
        <f t="shared" ca="1" si="156"/>
        <v>0</v>
      </c>
      <c r="DR38" s="606">
        <f t="shared" ca="1" si="156"/>
        <v>0</v>
      </c>
      <c r="DS38" s="606">
        <f t="shared" ca="1" si="156"/>
        <v>0</v>
      </c>
      <c r="DT38" s="606">
        <f t="shared" ca="1" si="156"/>
        <v>0</v>
      </c>
      <c r="DU38" s="606">
        <f t="shared" ca="1" si="156"/>
        <v>0</v>
      </c>
      <c r="DV38" s="606">
        <f t="shared" ca="1" si="156"/>
        <v>0</v>
      </c>
      <c r="DW38" s="606">
        <f t="shared" ca="1" si="156"/>
        <v>0</v>
      </c>
      <c r="DX38" s="606">
        <f t="shared" ca="1" si="156"/>
        <v>0</v>
      </c>
      <c r="DY38" s="606">
        <f t="shared" ca="1" si="156"/>
        <v>0</v>
      </c>
      <c r="DZ38" s="606">
        <f t="shared" ca="1" si="156"/>
        <v>0</v>
      </c>
      <c r="EA38" s="606">
        <f t="shared" ca="1" si="156"/>
        <v>0</v>
      </c>
      <c r="EB38" s="606">
        <f t="shared" ca="1" si="156"/>
        <v>0</v>
      </c>
      <c r="EC38" s="606">
        <f t="shared" ca="1" si="156"/>
        <v>0</v>
      </c>
      <c r="ED38" s="606">
        <f t="shared" ca="1" si="156"/>
        <v>0</v>
      </c>
      <c r="EE38" s="606">
        <f t="shared" ref="EE38:EJ38" ca="1" si="157">EE148*$F$38</f>
        <v>0</v>
      </c>
      <c r="EF38" s="606">
        <f t="shared" ca="1" si="157"/>
        <v>0</v>
      </c>
      <c r="EG38" s="606">
        <f t="shared" ca="1" si="157"/>
        <v>0</v>
      </c>
      <c r="EH38" s="606">
        <f t="shared" ca="1" si="157"/>
        <v>0</v>
      </c>
      <c r="EI38" s="606">
        <f t="shared" ca="1" si="157"/>
        <v>0</v>
      </c>
      <c r="EJ38" s="606">
        <f t="shared" si="157"/>
        <v>0</v>
      </c>
    </row>
    <row r="39" spans="1:140" customFormat="1" hidden="1" outlineLevel="1">
      <c r="A39" s="321"/>
      <c r="B39" s="321"/>
      <c r="C39" s="317" t="s">
        <v>1392</v>
      </c>
      <c r="D39" s="317" t="s">
        <v>1391</v>
      </c>
      <c r="E39" s="606">
        <f t="shared" ca="1" si="17"/>
        <v>0</v>
      </c>
      <c r="F39" s="606">
        <f>'Распределение по статьям'!AC378+'Распределение по статьям'!AC391+'Распределение по статьям'!AC392</f>
        <v>27540045.087823242</v>
      </c>
      <c r="G39" s="606">
        <f t="shared" ref="G39:AL39" si="158">G158*$F$39</f>
        <v>0</v>
      </c>
      <c r="H39" s="606">
        <f t="shared" ca="1" si="158"/>
        <v>0</v>
      </c>
      <c r="I39" s="606">
        <f t="shared" ca="1" si="158"/>
        <v>0</v>
      </c>
      <c r="J39" s="606">
        <f t="shared" ca="1" si="158"/>
        <v>0</v>
      </c>
      <c r="K39" s="606">
        <f t="shared" ca="1" si="158"/>
        <v>0</v>
      </c>
      <c r="L39" s="606">
        <f t="shared" ca="1" si="158"/>
        <v>0</v>
      </c>
      <c r="M39" s="606">
        <f t="shared" ca="1" si="158"/>
        <v>0</v>
      </c>
      <c r="N39" s="606">
        <f t="shared" ca="1" si="158"/>
        <v>0</v>
      </c>
      <c r="O39" s="606">
        <f t="shared" ca="1" si="158"/>
        <v>0</v>
      </c>
      <c r="P39" s="606">
        <f t="shared" ca="1" si="158"/>
        <v>0</v>
      </c>
      <c r="Q39" s="606">
        <f t="shared" ca="1" si="158"/>
        <v>0</v>
      </c>
      <c r="R39" s="606">
        <f t="shared" ca="1" si="158"/>
        <v>0</v>
      </c>
      <c r="S39" s="606">
        <f t="shared" ca="1" si="158"/>
        <v>0</v>
      </c>
      <c r="T39" s="606">
        <f t="shared" ca="1" si="158"/>
        <v>0</v>
      </c>
      <c r="U39" s="606">
        <f t="shared" ca="1" si="158"/>
        <v>0</v>
      </c>
      <c r="V39" s="606">
        <f t="shared" ca="1" si="158"/>
        <v>0</v>
      </c>
      <c r="W39" s="606">
        <f t="shared" ca="1" si="158"/>
        <v>0</v>
      </c>
      <c r="X39" s="606">
        <f t="shared" ca="1" si="158"/>
        <v>0</v>
      </c>
      <c r="Y39" s="606">
        <f t="shared" ca="1" si="158"/>
        <v>0</v>
      </c>
      <c r="Z39" s="606">
        <f t="shared" ca="1" si="158"/>
        <v>0</v>
      </c>
      <c r="AA39" s="606">
        <f t="shared" ca="1" si="158"/>
        <v>0</v>
      </c>
      <c r="AB39" s="606">
        <f t="shared" ca="1" si="158"/>
        <v>0</v>
      </c>
      <c r="AC39" s="606">
        <f t="shared" ca="1" si="158"/>
        <v>0</v>
      </c>
      <c r="AD39" s="606">
        <f t="shared" ca="1" si="158"/>
        <v>0</v>
      </c>
      <c r="AE39" s="606">
        <f t="shared" ca="1" si="158"/>
        <v>0</v>
      </c>
      <c r="AF39" s="606">
        <f t="shared" ca="1" si="158"/>
        <v>0</v>
      </c>
      <c r="AG39" s="606">
        <f t="shared" ca="1" si="158"/>
        <v>0</v>
      </c>
      <c r="AH39" s="606">
        <f t="shared" ca="1" si="158"/>
        <v>0</v>
      </c>
      <c r="AI39" s="606">
        <f t="shared" ca="1" si="158"/>
        <v>0</v>
      </c>
      <c r="AJ39" s="606">
        <f t="shared" ca="1" si="158"/>
        <v>0</v>
      </c>
      <c r="AK39" s="606">
        <f t="shared" ca="1" si="158"/>
        <v>0</v>
      </c>
      <c r="AL39" s="606">
        <f t="shared" ca="1" si="158"/>
        <v>0</v>
      </c>
      <c r="AM39" s="606">
        <f t="shared" ref="AM39:BR39" ca="1" si="159">AM158*$F$39</f>
        <v>0</v>
      </c>
      <c r="AN39" s="606">
        <f t="shared" ca="1" si="159"/>
        <v>0</v>
      </c>
      <c r="AO39" s="606">
        <f t="shared" ca="1" si="159"/>
        <v>0</v>
      </c>
      <c r="AP39" s="606">
        <f t="shared" ca="1" si="159"/>
        <v>0</v>
      </c>
      <c r="AQ39" s="606">
        <f t="shared" ca="1" si="159"/>
        <v>0</v>
      </c>
      <c r="AR39" s="606">
        <f t="shared" ca="1" si="159"/>
        <v>0</v>
      </c>
      <c r="AS39" s="606">
        <f t="shared" ca="1" si="159"/>
        <v>0</v>
      </c>
      <c r="AT39" s="606">
        <f t="shared" ca="1" si="159"/>
        <v>0</v>
      </c>
      <c r="AU39" s="606">
        <f t="shared" ca="1" si="159"/>
        <v>0</v>
      </c>
      <c r="AV39" s="606">
        <f t="shared" ca="1" si="159"/>
        <v>8262013.5263469722</v>
      </c>
      <c r="AW39" s="606">
        <f t="shared" ca="1" si="159"/>
        <v>0</v>
      </c>
      <c r="AX39" s="606">
        <f t="shared" ca="1" si="159"/>
        <v>321708.88968249108</v>
      </c>
      <c r="AY39" s="606">
        <f t="shared" ca="1" si="159"/>
        <v>1974846.6495360793</v>
      </c>
      <c r="AZ39" s="606">
        <f t="shared" ca="1" si="159"/>
        <v>1911141.9189058833</v>
      </c>
      <c r="BA39" s="606">
        <f t="shared" ca="1" si="159"/>
        <v>1974846.6495360793</v>
      </c>
      <c r="BB39" s="606">
        <f t="shared" ca="1" si="159"/>
        <v>1974846.6495360793</v>
      </c>
      <c r="BC39" s="606">
        <f t="shared" ca="1" si="159"/>
        <v>1783732.4576454912</v>
      </c>
      <c r="BD39" s="606">
        <f t="shared" ca="1" si="159"/>
        <v>1974846.6495360793</v>
      </c>
      <c r="BE39" s="606">
        <f t="shared" ca="1" si="159"/>
        <v>1911141.9189058833</v>
      </c>
      <c r="BF39" s="606">
        <f t="shared" ca="1" si="159"/>
        <v>1974846.6495360793</v>
      </c>
      <c r="BG39" s="606">
        <f t="shared" ca="1" si="159"/>
        <v>1911141.9189058833</v>
      </c>
      <c r="BH39" s="606">
        <f t="shared" ca="1" si="159"/>
        <v>187928.95535907781</v>
      </c>
      <c r="BI39" s="606">
        <f t="shared" ca="1" si="159"/>
        <v>688501.1271955811</v>
      </c>
      <c r="BJ39" s="606">
        <f t="shared" ca="1" si="159"/>
        <v>0</v>
      </c>
      <c r="BK39" s="606">
        <f t="shared" ca="1" si="159"/>
        <v>0</v>
      </c>
      <c r="BL39" s="606">
        <f t="shared" ca="1" si="159"/>
        <v>0</v>
      </c>
      <c r="BM39" s="606">
        <f t="shared" ca="1" si="159"/>
        <v>0</v>
      </c>
      <c r="BN39" s="606">
        <f t="shared" ca="1" si="159"/>
        <v>0</v>
      </c>
      <c r="BO39" s="606">
        <f t="shared" ca="1" si="159"/>
        <v>0</v>
      </c>
      <c r="BP39" s="606">
        <f t="shared" ca="1" si="159"/>
        <v>0</v>
      </c>
      <c r="BQ39" s="606">
        <f t="shared" ca="1" si="159"/>
        <v>0</v>
      </c>
      <c r="BR39" s="606">
        <f t="shared" ca="1" si="159"/>
        <v>0</v>
      </c>
      <c r="BS39" s="606">
        <f t="shared" ref="BS39:CX39" ca="1" si="160">BS158*$F$39</f>
        <v>0</v>
      </c>
      <c r="BT39" s="606">
        <f t="shared" ca="1" si="160"/>
        <v>0</v>
      </c>
      <c r="BU39" s="606">
        <f t="shared" ca="1" si="160"/>
        <v>0</v>
      </c>
      <c r="BV39" s="606">
        <f t="shared" ca="1" si="160"/>
        <v>0</v>
      </c>
      <c r="BW39" s="606">
        <f t="shared" ca="1" si="160"/>
        <v>0</v>
      </c>
      <c r="BX39" s="606">
        <f t="shared" ca="1" si="160"/>
        <v>0</v>
      </c>
      <c r="BY39" s="606">
        <f t="shared" ca="1" si="160"/>
        <v>0</v>
      </c>
      <c r="BZ39" s="606">
        <f t="shared" ca="1" si="160"/>
        <v>0</v>
      </c>
      <c r="CA39" s="606">
        <f t="shared" ca="1" si="160"/>
        <v>0</v>
      </c>
      <c r="CB39" s="606">
        <f t="shared" ca="1" si="160"/>
        <v>0</v>
      </c>
      <c r="CC39" s="606">
        <f t="shared" ca="1" si="160"/>
        <v>0</v>
      </c>
      <c r="CD39" s="606">
        <f t="shared" ca="1" si="160"/>
        <v>0</v>
      </c>
      <c r="CE39" s="606">
        <f t="shared" ca="1" si="160"/>
        <v>0</v>
      </c>
      <c r="CF39" s="606">
        <f t="shared" ca="1" si="160"/>
        <v>688501.1271955811</v>
      </c>
      <c r="CG39" s="606">
        <f t="shared" ca="1" si="160"/>
        <v>0</v>
      </c>
      <c r="CH39" s="606">
        <f t="shared" ca="1" si="160"/>
        <v>0</v>
      </c>
      <c r="CI39" s="606">
        <f t="shared" ca="1" si="160"/>
        <v>0</v>
      </c>
      <c r="CJ39" s="606">
        <f t="shared" ca="1" si="160"/>
        <v>0</v>
      </c>
      <c r="CK39" s="606">
        <f t="shared" ca="1" si="160"/>
        <v>0</v>
      </c>
      <c r="CL39" s="606">
        <f t="shared" ca="1" si="160"/>
        <v>0</v>
      </c>
      <c r="CM39" s="606">
        <f t="shared" ca="1" si="160"/>
        <v>0</v>
      </c>
      <c r="CN39" s="606">
        <f t="shared" ca="1" si="160"/>
        <v>0</v>
      </c>
      <c r="CO39" s="606">
        <f t="shared" ca="1" si="160"/>
        <v>0</v>
      </c>
      <c r="CP39" s="606">
        <f t="shared" ca="1" si="160"/>
        <v>0</v>
      </c>
      <c r="CQ39" s="606">
        <f t="shared" ca="1" si="160"/>
        <v>0</v>
      </c>
      <c r="CR39" s="606">
        <f t="shared" ca="1" si="160"/>
        <v>0</v>
      </c>
      <c r="CS39" s="606">
        <f t="shared" ca="1" si="160"/>
        <v>0</v>
      </c>
      <c r="CT39" s="606">
        <f t="shared" ca="1" si="160"/>
        <v>0</v>
      </c>
      <c r="CU39" s="606">
        <f t="shared" ca="1" si="160"/>
        <v>0</v>
      </c>
      <c r="CV39" s="606">
        <f t="shared" ca="1" si="160"/>
        <v>0</v>
      </c>
      <c r="CW39" s="606">
        <f t="shared" ca="1" si="160"/>
        <v>0</v>
      </c>
      <c r="CX39" s="606">
        <f t="shared" ca="1" si="160"/>
        <v>0</v>
      </c>
      <c r="CY39" s="606">
        <f t="shared" ref="CY39:ED39" ca="1" si="161">CY158*$F$39</f>
        <v>0</v>
      </c>
      <c r="CZ39" s="606">
        <f t="shared" ca="1" si="161"/>
        <v>0</v>
      </c>
      <c r="DA39" s="606">
        <f t="shared" ca="1" si="161"/>
        <v>0</v>
      </c>
      <c r="DB39" s="606">
        <f t="shared" ca="1" si="161"/>
        <v>0</v>
      </c>
      <c r="DC39" s="606">
        <f t="shared" ca="1" si="161"/>
        <v>0</v>
      </c>
      <c r="DD39" s="606">
        <f t="shared" ca="1" si="161"/>
        <v>0</v>
      </c>
      <c r="DE39" s="606">
        <f t="shared" ca="1" si="161"/>
        <v>0</v>
      </c>
      <c r="DF39" s="606">
        <f t="shared" ca="1" si="161"/>
        <v>0</v>
      </c>
      <c r="DG39" s="606">
        <f t="shared" ca="1" si="161"/>
        <v>0</v>
      </c>
      <c r="DH39" s="606">
        <f t="shared" ca="1" si="161"/>
        <v>0</v>
      </c>
      <c r="DI39" s="606">
        <f t="shared" ca="1" si="161"/>
        <v>0</v>
      </c>
      <c r="DJ39" s="606">
        <f t="shared" ca="1" si="161"/>
        <v>0</v>
      </c>
      <c r="DK39" s="606">
        <f t="shared" ca="1" si="161"/>
        <v>0</v>
      </c>
      <c r="DL39" s="606">
        <f t="shared" ca="1" si="161"/>
        <v>0</v>
      </c>
      <c r="DM39" s="606">
        <f t="shared" ca="1" si="161"/>
        <v>0</v>
      </c>
      <c r="DN39" s="606">
        <f t="shared" ca="1" si="161"/>
        <v>0</v>
      </c>
      <c r="DO39" s="606">
        <f t="shared" ca="1" si="161"/>
        <v>0</v>
      </c>
      <c r="DP39" s="606">
        <f t="shared" ca="1" si="161"/>
        <v>0</v>
      </c>
      <c r="DQ39" s="606">
        <f t="shared" ca="1" si="161"/>
        <v>0</v>
      </c>
      <c r="DR39" s="606">
        <f t="shared" ca="1" si="161"/>
        <v>0</v>
      </c>
      <c r="DS39" s="606">
        <f t="shared" ca="1" si="161"/>
        <v>0</v>
      </c>
      <c r="DT39" s="606">
        <f t="shared" ca="1" si="161"/>
        <v>0</v>
      </c>
      <c r="DU39" s="606">
        <f t="shared" ca="1" si="161"/>
        <v>0</v>
      </c>
      <c r="DV39" s="606">
        <f t="shared" ca="1" si="161"/>
        <v>0</v>
      </c>
      <c r="DW39" s="606">
        <f t="shared" ca="1" si="161"/>
        <v>0</v>
      </c>
      <c r="DX39" s="606">
        <f t="shared" ca="1" si="161"/>
        <v>0</v>
      </c>
      <c r="DY39" s="606">
        <f t="shared" ca="1" si="161"/>
        <v>0</v>
      </c>
      <c r="DZ39" s="606">
        <f t="shared" ca="1" si="161"/>
        <v>0</v>
      </c>
      <c r="EA39" s="606">
        <f t="shared" ca="1" si="161"/>
        <v>0</v>
      </c>
      <c r="EB39" s="606">
        <f t="shared" ca="1" si="161"/>
        <v>0</v>
      </c>
      <c r="EC39" s="606">
        <f t="shared" ca="1" si="161"/>
        <v>0</v>
      </c>
      <c r="ED39" s="606">
        <f t="shared" ca="1" si="161"/>
        <v>0</v>
      </c>
      <c r="EE39" s="606">
        <f t="shared" ref="EE39:EJ39" ca="1" si="162">EE158*$F$39</f>
        <v>0</v>
      </c>
      <c r="EF39" s="606">
        <f t="shared" ca="1" si="162"/>
        <v>0</v>
      </c>
      <c r="EG39" s="606">
        <f t="shared" ca="1" si="162"/>
        <v>0</v>
      </c>
      <c r="EH39" s="606">
        <f t="shared" ca="1" si="162"/>
        <v>0</v>
      </c>
      <c r="EI39" s="606">
        <f t="shared" ca="1" si="162"/>
        <v>0</v>
      </c>
      <c r="EJ39" s="606">
        <f t="shared" si="162"/>
        <v>0</v>
      </c>
    </row>
    <row r="40" spans="1:140" customFormat="1" ht="30" hidden="1" outlineLevel="1">
      <c r="A40" s="321"/>
      <c r="B40" s="321"/>
      <c r="C40" s="317" t="s">
        <v>1384</v>
      </c>
      <c r="D40" s="317" t="s">
        <v>1383</v>
      </c>
      <c r="E40" s="606">
        <f t="shared" ca="1" si="17"/>
        <v>0</v>
      </c>
      <c r="F40" s="606">
        <f>'Распределение по статьям'!AC389</f>
        <v>0</v>
      </c>
      <c r="G40" s="606">
        <f t="shared" ref="G40:AL40" si="163">G148*$F$40</f>
        <v>0</v>
      </c>
      <c r="H40" s="606">
        <f t="shared" ca="1" si="163"/>
        <v>0</v>
      </c>
      <c r="I40" s="606">
        <f t="shared" ca="1" si="163"/>
        <v>0</v>
      </c>
      <c r="J40" s="606">
        <f t="shared" ca="1" si="163"/>
        <v>0</v>
      </c>
      <c r="K40" s="606">
        <f t="shared" ca="1" si="163"/>
        <v>0</v>
      </c>
      <c r="L40" s="606">
        <f t="shared" ca="1" si="163"/>
        <v>0</v>
      </c>
      <c r="M40" s="606">
        <f t="shared" ca="1" si="163"/>
        <v>0</v>
      </c>
      <c r="N40" s="606">
        <f t="shared" ca="1" si="163"/>
        <v>0</v>
      </c>
      <c r="O40" s="606">
        <f t="shared" ca="1" si="163"/>
        <v>0</v>
      </c>
      <c r="P40" s="606">
        <f t="shared" ca="1" si="163"/>
        <v>0</v>
      </c>
      <c r="Q40" s="606">
        <f t="shared" ca="1" si="163"/>
        <v>0</v>
      </c>
      <c r="R40" s="606">
        <f t="shared" ca="1" si="163"/>
        <v>0</v>
      </c>
      <c r="S40" s="606">
        <f t="shared" ca="1" si="163"/>
        <v>0</v>
      </c>
      <c r="T40" s="606">
        <f t="shared" ca="1" si="163"/>
        <v>0</v>
      </c>
      <c r="U40" s="606">
        <f t="shared" ca="1" si="163"/>
        <v>0</v>
      </c>
      <c r="V40" s="606">
        <f t="shared" ca="1" si="163"/>
        <v>0</v>
      </c>
      <c r="W40" s="606">
        <f t="shared" ca="1" si="163"/>
        <v>0</v>
      </c>
      <c r="X40" s="606">
        <f t="shared" ca="1" si="163"/>
        <v>0</v>
      </c>
      <c r="Y40" s="606">
        <f t="shared" ca="1" si="163"/>
        <v>0</v>
      </c>
      <c r="Z40" s="606">
        <f t="shared" ca="1" si="163"/>
        <v>0</v>
      </c>
      <c r="AA40" s="606">
        <f t="shared" ca="1" si="163"/>
        <v>0</v>
      </c>
      <c r="AB40" s="606">
        <f t="shared" ca="1" si="163"/>
        <v>0</v>
      </c>
      <c r="AC40" s="606">
        <f t="shared" ca="1" si="163"/>
        <v>0</v>
      </c>
      <c r="AD40" s="606">
        <f t="shared" ca="1" si="163"/>
        <v>0</v>
      </c>
      <c r="AE40" s="606">
        <f t="shared" ca="1" si="163"/>
        <v>0</v>
      </c>
      <c r="AF40" s="606">
        <f t="shared" ca="1" si="163"/>
        <v>0</v>
      </c>
      <c r="AG40" s="606">
        <f t="shared" ca="1" si="163"/>
        <v>0</v>
      </c>
      <c r="AH40" s="606">
        <f t="shared" ca="1" si="163"/>
        <v>0</v>
      </c>
      <c r="AI40" s="606">
        <f t="shared" ca="1" si="163"/>
        <v>0</v>
      </c>
      <c r="AJ40" s="606">
        <f t="shared" ca="1" si="163"/>
        <v>0</v>
      </c>
      <c r="AK40" s="606">
        <f t="shared" ca="1" si="163"/>
        <v>0</v>
      </c>
      <c r="AL40" s="606">
        <f t="shared" ca="1" si="163"/>
        <v>0</v>
      </c>
      <c r="AM40" s="606">
        <f t="shared" ref="AM40:BR40" ca="1" si="164">AM148*$F$40</f>
        <v>0</v>
      </c>
      <c r="AN40" s="606">
        <f t="shared" ca="1" si="164"/>
        <v>0</v>
      </c>
      <c r="AO40" s="606">
        <f t="shared" ca="1" si="164"/>
        <v>0</v>
      </c>
      <c r="AP40" s="606">
        <f t="shared" ca="1" si="164"/>
        <v>0</v>
      </c>
      <c r="AQ40" s="606">
        <f t="shared" ca="1" si="164"/>
        <v>0</v>
      </c>
      <c r="AR40" s="606">
        <f t="shared" ca="1" si="164"/>
        <v>0</v>
      </c>
      <c r="AS40" s="606">
        <f t="shared" ca="1" si="164"/>
        <v>0</v>
      </c>
      <c r="AT40" s="606">
        <f t="shared" ca="1" si="164"/>
        <v>0</v>
      </c>
      <c r="AU40" s="606">
        <f t="shared" ca="1" si="164"/>
        <v>0</v>
      </c>
      <c r="AV40" s="606">
        <f t="shared" ca="1" si="164"/>
        <v>0</v>
      </c>
      <c r="AW40" s="606">
        <f t="shared" ca="1" si="164"/>
        <v>0</v>
      </c>
      <c r="AX40" s="606">
        <f t="shared" ca="1" si="164"/>
        <v>0</v>
      </c>
      <c r="AY40" s="606">
        <f t="shared" ca="1" si="164"/>
        <v>0</v>
      </c>
      <c r="AZ40" s="606">
        <f t="shared" ca="1" si="164"/>
        <v>0</v>
      </c>
      <c r="BA40" s="606">
        <f t="shared" ca="1" si="164"/>
        <v>0</v>
      </c>
      <c r="BB40" s="606">
        <f t="shared" ca="1" si="164"/>
        <v>0</v>
      </c>
      <c r="BC40" s="606">
        <f t="shared" ca="1" si="164"/>
        <v>0</v>
      </c>
      <c r="BD40" s="606">
        <f t="shared" ca="1" si="164"/>
        <v>0</v>
      </c>
      <c r="BE40" s="606">
        <f t="shared" ca="1" si="164"/>
        <v>0</v>
      </c>
      <c r="BF40" s="606">
        <f t="shared" ca="1" si="164"/>
        <v>0</v>
      </c>
      <c r="BG40" s="606">
        <f t="shared" ca="1" si="164"/>
        <v>0</v>
      </c>
      <c r="BH40" s="606">
        <f t="shared" ca="1" si="164"/>
        <v>0</v>
      </c>
      <c r="BI40" s="606">
        <f t="shared" ca="1" si="164"/>
        <v>0</v>
      </c>
      <c r="BJ40" s="606">
        <f t="shared" ca="1" si="164"/>
        <v>0</v>
      </c>
      <c r="BK40" s="606">
        <f t="shared" ca="1" si="164"/>
        <v>0</v>
      </c>
      <c r="BL40" s="606">
        <f t="shared" ca="1" si="164"/>
        <v>0</v>
      </c>
      <c r="BM40" s="606">
        <f t="shared" ca="1" si="164"/>
        <v>0</v>
      </c>
      <c r="BN40" s="606">
        <f t="shared" ca="1" si="164"/>
        <v>0</v>
      </c>
      <c r="BO40" s="606">
        <f t="shared" ca="1" si="164"/>
        <v>0</v>
      </c>
      <c r="BP40" s="606">
        <f t="shared" ca="1" si="164"/>
        <v>0</v>
      </c>
      <c r="BQ40" s="606">
        <f t="shared" ca="1" si="164"/>
        <v>0</v>
      </c>
      <c r="BR40" s="606">
        <f t="shared" ca="1" si="164"/>
        <v>0</v>
      </c>
      <c r="BS40" s="606">
        <f t="shared" ref="BS40:CX40" ca="1" si="165">BS148*$F$40</f>
        <v>0</v>
      </c>
      <c r="BT40" s="606">
        <f t="shared" ca="1" si="165"/>
        <v>0</v>
      </c>
      <c r="BU40" s="606">
        <f t="shared" ca="1" si="165"/>
        <v>0</v>
      </c>
      <c r="BV40" s="606">
        <f t="shared" ca="1" si="165"/>
        <v>0</v>
      </c>
      <c r="BW40" s="606">
        <f t="shared" ca="1" si="165"/>
        <v>0</v>
      </c>
      <c r="BX40" s="606">
        <f t="shared" ca="1" si="165"/>
        <v>0</v>
      </c>
      <c r="BY40" s="606">
        <f t="shared" ca="1" si="165"/>
        <v>0</v>
      </c>
      <c r="BZ40" s="606">
        <f t="shared" ca="1" si="165"/>
        <v>0</v>
      </c>
      <c r="CA40" s="606">
        <f t="shared" ca="1" si="165"/>
        <v>0</v>
      </c>
      <c r="CB40" s="606">
        <f t="shared" ca="1" si="165"/>
        <v>0</v>
      </c>
      <c r="CC40" s="606">
        <f t="shared" ca="1" si="165"/>
        <v>0</v>
      </c>
      <c r="CD40" s="606">
        <f t="shared" ca="1" si="165"/>
        <v>0</v>
      </c>
      <c r="CE40" s="606">
        <f t="shared" ca="1" si="165"/>
        <v>0</v>
      </c>
      <c r="CF40" s="606">
        <f t="shared" ca="1" si="165"/>
        <v>0</v>
      </c>
      <c r="CG40" s="606">
        <f t="shared" ca="1" si="165"/>
        <v>0</v>
      </c>
      <c r="CH40" s="606">
        <f t="shared" ca="1" si="165"/>
        <v>0</v>
      </c>
      <c r="CI40" s="606">
        <f t="shared" ca="1" si="165"/>
        <v>0</v>
      </c>
      <c r="CJ40" s="606">
        <f t="shared" ca="1" si="165"/>
        <v>0</v>
      </c>
      <c r="CK40" s="606">
        <f t="shared" ca="1" si="165"/>
        <v>0</v>
      </c>
      <c r="CL40" s="606">
        <f t="shared" ca="1" si="165"/>
        <v>0</v>
      </c>
      <c r="CM40" s="606">
        <f t="shared" ca="1" si="165"/>
        <v>0</v>
      </c>
      <c r="CN40" s="606">
        <f t="shared" ca="1" si="165"/>
        <v>0</v>
      </c>
      <c r="CO40" s="606">
        <f t="shared" ca="1" si="165"/>
        <v>0</v>
      </c>
      <c r="CP40" s="606">
        <f t="shared" ca="1" si="165"/>
        <v>0</v>
      </c>
      <c r="CQ40" s="606">
        <f t="shared" ca="1" si="165"/>
        <v>0</v>
      </c>
      <c r="CR40" s="606">
        <f t="shared" ca="1" si="165"/>
        <v>0</v>
      </c>
      <c r="CS40" s="606">
        <f t="shared" ca="1" si="165"/>
        <v>0</v>
      </c>
      <c r="CT40" s="606">
        <f t="shared" ca="1" si="165"/>
        <v>0</v>
      </c>
      <c r="CU40" s="606">
        <f t="shared" ca="1" si="165"/>
        <v>0</v>
      </c>
      <c r="CV40" s="606">
        <f t="shared" ca="1" si="165"/>
        <v>0</v>
      </c>
      <c r="CW40" s="606">
        <f t="shared" ca="1" si="165"/>
        <v>0</v>
      </c>
      <c r="CX40" s="606">
        <f t="shared" ca="1" si="165"/>
        <v>0</v>
      </c>
      <c r="CY40" s="606">
        <f t="shared" ref="CY40:ED40" ca="1" si="166">CY148*$F$40</f>
        <v>0</v>
      </c>
      <c r="CZ40" s="606">
        <f t="shared" ca="1" si="166"/>
        <v>0</v>
      </c>
      <c r="DA40" s="606">
        <f t="shared" ca="1" si="166"/>
        <v>0</v>
      </c>
      <c r="DB40" s="606">
        <f t="shared" ca="1" si="166"/>
        <v>0</v>
      </c>
      <c r="DC40" s="606">
        <f t="shared" ca="1" si="166"/>
        <v>0</v>
      </c>
      <c r="DD40" s="606">
        <f t="shared" ca="1" si="166"/>
        <v>0</v>
      </c>
      <c r="DE40" s="606">
        <f t="shared" ca="1" si="166"/>
        <v>0</v>
      </c>
      <c r="DF40" s="606">
        <f t="shared" ca="1" si="166"/>
        <v>0</v>
      </c>
      <c r="DG40" s="606">
        <f t="shared" ca="1" si="166"/>
        <v>0</v>
      </c>
      <c r="DH40" s="606">
        <f t="shared" ca="1" si="166"/>
        <v>0</v>
      </c>
      <c r="DI40" s="606">
        <f t="shared" ca="1" si="166"/>
        <v>0</v>
      </c>
      <c r="DJ40" s="606">
        <f t="shared" ca="1" si="166"/>
        <v>0</v>
      </c>
      <c r="DK40" s="606">
        <f t="shared" ca="1" si="166"/>
        <v>0</v>
      </c>
      <c r="DL40" s="606">
        <f t="shared" ca="1" si="166"/>
        <v>0</v>
      </c>
      <c r="DM40" s="606">
        <f t="shared" ca="1" si="166"/>
        <v>0</v>
      </c>
      <c r="DN40" s="606">
        <f t="shared" ca="1" si="166"/>
        <v>0</v>
      </c>
      <c r="DO40" s="606">
        <f t="shared" ca="1" si="166"/>
        <v>0</v>
      </c>
      <c r="DP40" s="606">
        <f t="shared" ca="1" si="166"/>
        <v>0</v>
      </c>
      <c r="DQ40" s="606">
        <f t="shared" ca="1" si="166"/>
        <v>0</v>
      </c>
      <c r="DR40" s="606">
        <f t="shared" ca="1" si="166"/>
        <v>0</v>
      </c>
      <c r="DS40" s="606">
        <f t="shared" ca="1" si="166"/>
        <v>0</v>
      </c>
      <c r="DT40" s="606">
        <f t="shared" ca="1" si="166"/>
        <v>0</v>
      </c>
      <c r="DU40" s="606">
        <f t="shared" ca="1" si="166"/>
        <v>0</v>
      </c>
      <c r="DV40" s="606">
        <f t="shared" ca="1" si="166"/>
        <v>0</v>
      </c>
      <c r="DW40" s="606">
        <f t="shared" ca="1" si="166"/>
        <v>0</v>
      </c>
      <c r="DX40" s="606">
        <f t="shared" ca="1" si="166"/>
        <v>0</v>
      </c>
      <c r="DY40" s="606">
        <f t="shared" ca="1" si="166"/>
        <v>0</v>
      </c>
      <c r="DZ40" s="606">
        <f t="shared" ca="1" si="166"/>
        <v>0</v>
      </c>
      <c r="EA40" s="606">
        <f t="shared" ca="1" si="166"/>
        <v>0</v>
      </c>
      <c r="EB40" s="606">
        <f t="shared" ca="1" si="166"/>
        <v>0</v>
      </c>
      <c r="EC40" s="606">
        <f t="shared" ca="1" si="166"/>
        <v>0</v>
      </c>
      <c r="ED40" s="606">
        <f t="shared" ca="1" si="166"/>
        <v>0</v>
      </c>
      <c r="EE40" s="606">
        <f t="shared" ref="EE40:EJ40" ca="1" si="167">EE148*$F$40</f>
        <v>0</v>
      </c>
      <c r="EF40" s="606">
        <f t="shared" ca="1" si="167"/>
        <v>0</v>
      </c>
      <c r="EG40" s="606">
        <f t="shared" ca="1" si="167"/>
        <v>0</v>
      </c>
      <c r="EH40" s="606">
        <f t="shared" ca="1" si="167"/>
        <v>0</v>
      </c>
      <c r="EI40" s="606">
        <f t="shared" ca="1" si="167"/>
        <v>0</v>
      </c>
      <c r="EJ40" s="606">
        <f t="shared" si="167"/>
        <v>0</v>
      </c>
    </row>
    <row r="41" spans="1:140" customFormat="1" ht="30" hidden="1" outlineLevel="1">
      <c r="A41" s="321"/>
      <c r="B41" s="321"/>
      <c r="C41" s="317" t="s">
        <v>1382</v>
      </c>
      <c r="D41" s="317" t="s">
        <v>1381</v>
      </c>
      <c r="E41" s="606">
        <f t="shared" ca="1" si="17"/>
        <v>0</v>
      </c>
      <c r="F41" s="606">
        <f>'Распределение по статьям'!AC390</f>
        <v>0</v>
      </c>
      <c r="G41" s="606">
        <f t="shared" ref="G41:AL41" si="168">G217*$F$41</f>
        <v>0</v>
      </c>
      <c r="H41" s="606">
        <f t="shared" ca="1" si="168"/>
        <v>0</v>
      </c>
      <c r="I41" s="606">
        <f t="shared" ca="1" si="168"/>
        <v>0</v>
      </c>
      <c r="J41" s="606">
        <f t="shared" ca="1" si="168"/>
        <v>0</v>
      </c>
      <c r="K41" s="606">
        <f t="shared" ca="1" si="168"/>
        <v>0</v>
      </c>
      <c r="L41" s="606">
        <f t="shared" ca="1" si="168"/>
        <v>0</v>
      </c>
      <c r="M41" s="606">
        <f t="shared" ca="1" si="168"/>
        <v>0</v>
      </c>
      <c r="N41" s="606">
        <f t="shared" ca="1" si="168"/>
        <v>0</v>
      </c>
      <c r="O41" s="606">
        <f t="shared" ca="1" si="168"/>
        <v>0</v>
      </c>
      <c r="P41" s="606">
        <f t="shared" ca="1" si="168"/>
        <v>0</v>
      </c>
      <c r="Q41" s="606">
        <f t="shared" ca="1" si="168"/>
        <v>0</v>
      </c>
      <c r="R41" s="606">
        <f t="shared" ca="1" si="168"/>
        <v>0</v>
      </c>
      <c r="S41" s="606">
        <f t="shared" ca="1" si="168"/>
        <v>0</v>
      </c>
      <c r="T41" s="606">
        <f t="shared" ca="1" si="168"/>
        <v>0</v>
      </c>
      <c r="U41" s="606">
        <f t="shared" ca="1" si="168"/>
        <v>0</v>
      </c>
      <c r="V41" s="606">
        <f t="shared" ca="1" si="168"/>
        <v>0</v>
      </c>
      <c r="W41" s="606">
        <f t="shared" ca="1" si="168"/>
        <v>0</v>
      </c>
      <c r="X41" s="606">
        <f t="shared" ca="1" si="168"/>
        <v>0</v>
      </c>
      <c r="Y41" s="606">
        <f t="shared" ca="1" si="168"/>
        <v>0</v>
      </c>
      <c r="Z41" s="606">
        <f t="shared" ca="1" si="168"/>
        <v>0</v>
      </c>
      <c r="AA41" s="606">
        <f t="shared" ca="1" si="168"/>
        <v>0</v>
      </c>
      <c r="AB41" s="606">
        <f t="shared" ca="1" si="168"/>
        <v>0</v>
      </c>
      <c r="AC41" s="606">
        <f t="shared" ca="1" si="168"/>
        <v>0</v>
      </c>
      <c r="AD41" s="606">
        <f t="shared" ca="1" si="168"/>
        <v>0</v>
      </c>
      <c r="AE41" s="606">
        <f t="shared" ca="1" si="168"/>
        <v>0</v>
      </c>
      <c r="AF41" s="606">
        <f t="shared" ca="1" si="168"/>
        <v>0</v>
      </c>
      <c r="AG41" s="606">
        <f t="shared" ca="1" si="168"/>
        <v>0</v>
      </c>
      <c r="AH41" s="606">
        <f t="shared" ca="1" si="168"/>
        <v>0</v>
      </c>
      <c r="AI41" s="606">
        <f t="shared" ca="1" si="168"/>
        <v>0</v>
      </c>
      <c r="AJ41" s="606">
        <f t="shared" ca="1" si="168"/>
        <v>0</v>
      </c>
      <c r="AK41" s="606">
        <f t="shared" ca="1" si="168"/>
        <v>0</v>
      </c>
      <c r="AL41" s="606">
        <f t="shared" ca="1" si="168"/>
        <v>0</v>
      </c>
      <c r="AM41" s="606">
        <f t="shared" ref="AM41:BR41" ca="1" si="169">AM217*$F$41</f>
        <v>0</v>
      </c>
      <c r="AN41" s="606">
        <f t="shared" ca="1" si="169"/>
        <v>0</v>
      </c>
      <c r="AO41" s="606">
        <f t="shared" ca="1" si="169"/>
        <v>0</v>
      </c>
      <c r="AP41" s="606">
        <f t="shared" ca="1" si="169"/>
        <v>0</v>
      </c>
      <c r="AQ41" s="606">
        <f t="shared" ca="1" si="169"/>
        <v>0</v>
      </c>
      <c r="AR41" s="606">
        <f t="shared" ca="1" si="169"/>
        <v>0</v>
      </c>
      <c r="AS41" s="606">
        <f t="shared" ca="1" si="169"/>
        <v>0</v>
      </c>
      <c r="AT41" s="606">
        <f t="shared" ca="1" si="169"/>
        <v>0</v>
      </c>
      <c r="AU41" s="606">
        <f t="shared" ca="1" si="169"/>
        <v>0</v>
      </c>
      <c r="AV41" s="606">
        <f t="shared" ca="1" si="169"/>
        <v>0</v>
      </c>
      <c r="AW41" s="606">
        <f t="shared" ca="1" si="169"/>
        <v>0</v>
      </c>
      <c r="AX41" s="606">
        <f t="shared" ca="1" si="169"/>
        <v>0</v>
      </c>
      <c r="AY41" s="606">
        <f t="shared" ca="1" si="169"/>
        <v>0</v>
      </c>
      <c r="AZ41" s="606">
        <f t="shared" ca="1" si="169"/>
        <v>0</v>
      </c>
      <c r="BA41" s="606">
        <f t="shared" ca="1" si="169"/>
        <v>0</v>
      </c>
      <c r="BB41" s="606">
        <f t="shared" ca="1" si="169"/>
        <v>0</v>
      </c>
      <c r="BC41" s="606">
        <f t="shared" ca="1" si="169"/>
        <v>0</v>
      </c>
      <c r="BD41" s="606">
        <f t="shared" ca="1" si="169"/>
        <v>0</v>
      </c>
      <c r="BE41" s="606">
        <f t="shared" ca="1" si="169"/>
        <v>0</v>
      </c>
      <c r="BF41" s="606">
        <f t="shared" ca="1" si="169"/>
        <v>0</v>
      </c>
      <c r="BG41" s="606">
        <f t="shared" ca="1" si="169"/>
        <v>0</v>
      </c>
      <c r="BH41" s="606">
        <f t="shared" ca="1" si="169"/>
        <v>0</v>
      </c>
      <c r="BI41" s="606">
        <f t="shared" ca="1" si="169"/>
        <v>0</v>
      </c>
      <c r="BJ41" s="606">
        <f t="shared" ca="1" si="169"/>
        <v>0</v>
      </c>
      <c r="BK41" s="606">
        <f t="shared" ca="1" si="169"/>
        <v>0</v>
      </c>
      <c r="BL41" s="606">
        <f t="shared" ca="1" si="169"/>
        <v>0</v>
      </c>
      <c r="BM41" s="606">
        <f t="shared" ca="1" si="169"/>
        <v>0</v>
      </c>
      <c r="BN41" s="606">
        <f t="shared" ca="1" si="169"/>
        <v>0</v>
      </c>
      <c r="BO41" s="606">
        <f t="shared" ca="1" si="169"/>
        <v>0</v>
      </c>
      <c r="BP41" s="606">
        <f t="shared" ca="1" si="169"/>
        <v>0</v>
      </c>
      <c r="BQ41" s="606">
        <f t="shared" ca="1" si="169"/>
        <v>0</v>
      </c>
      <c r="BR41" s="606">
        <f t="shared" ca="1" si="169"/>
        <v>0</v>
      </c>
      <c r="BS41" s="606">
        <f t="shared" ref="BS41:CX41" ca="1" si="170">BS217*$F$41</f>
        <v>0</v>
      </c>
      <c r="BT41" s="606">
        <f t="shared" ca="1" si="170"/>
        <v>0</v>
      </c>
      <c r="BU41" s="606">
        <f t="shared" ca="1" si="170"/>
        <v>0</v>
      </c>
      <c r="BV41" s="606">
        <f t="shared" ca="1" si="170"/>
        <v>0</v>
      </c>
      <c r="BW41" s="606">
        <f t="shared" ca="1" si="170"/>
        <v>0</v>
      </c>
      <c r="BX41" s="606">
        <f t="shared" ca="1" si="170"/>
        <v>0</v>
      </c>
      <c r="BY41" s="606">
        <f t="shared" ca="1" si="170"/>
        <v>0</v>
      </c>
      <c r="BZ41" s="606">
        <f t="shared" ca="1" si="170"/>
        <v>0</v>
      </c>
      <c r="CA41" s="606">
        <f t="shared" ca="1" si="170"/>
        <v>0</v>
      </c>
      <c r="CB41" s="606">
        <f t="shared" ca="1" si="170"/>
        <v>0</v>
      </c>
      <c r="CC41" s="606">
        <f t="shared" ca="1" si="170"/>
        <v>0</v>
      </c>
      <c r="CD41" s="606">
        <f t="shared" ca="1" si="170"/>
        <v>0</v>
      </c>
      <c r="CE41" s="606">
        <f t="shared" ca="1" si="170"/>
        <v>0</v>
      </c>
      <c r="CF41" s="606">
        <f t="shared" ca="1" si="170"/>
        <v>0</v>
      </c>
      <c r="CG41" s="606">
        <f t="shared" ca="1" si="170"/>
        <v>0</v>
      </c>
      <c r="CH41" s="606">
        <f t="shared" ca="1" si="170"/>
        <v>0</v>
      </c>
      <c r="CI41" s="606">
        <f t="shared" ca="1" si="170"/>
        <v>0</v>
      </c>
      <c r="CJ41" s="606">
        <f t="shared" ca="1" si="170"/>
        <v>0</v>
      </c>
      <c r="CK41" s="606">
        <f t="shared" ca="1" si="170"/>
        <v>0</v>
      </c>
      <c r="CL41" s="606">
        <f t="shared" ca="1" si="170"/>
        <v>0</v>
      </c>
      <c r="CM41" s="606">
        <f t="shared" ca="1" si="170"/>
        <v>0</v>
      </c>
      <c r="CN41" s="606">
        <f t="shared" ca="1" si="170"/>
        <v>0</v>
      </c>
      <c r="CO41" s="606">
        <f t="shared" ca="1" si="170"/>
        <v>0</v>
      </c>
      <c r="CP41" s="606">
        <f t="shared" ca="1" si="170"/>
        <v>0</v>
      </c>
      <c r="CQ41" s="606">
        <f t="shared" ca="1" si="170"/>
        <v>0</v>
      </c>
      <c r="CR41" s="606">
        <f t="shared" ca="1" si="170"/>
        <v>0</v>
      </c>
      <c r="CS41" s="606">
        <f t="shared" ca="1" si="170"/>
        <v>0</v>
      </c>
      <c r="CT41" s="606">
        <f t="shared" ca="1" si="170"/>
        <v>0</v>
      </c>
      <c r="CU41" s="606">
        <f t="shared" ca="1" si="170"/>
        <v>0</v>
      </c>
      <c r="CV41" s="606">
        <f t="shared" ca="1" si="170"/>
        <v>0</v>
      </c>
      <c r="CW41" s="606">
        <f t="shared" ca="1" si="170"/>
        <v>0</v>
      </c>
      <c r="CX41" s="606">
        <f t="shared" ca="1" si="170"/>
        <v>0</v>
      </c>
      <c r="CY41" s="606">
        <f t="shared" ref="CY41:ED41" ca="1" si="171">CY217*$F$41</f>
        <v>0</v>
      </c>
      <c r="CZ41" s="606">
        <f t="shared" ca="1" si="171"/>
        <v>0</v>
      </c>
      <c r="DA41" s="606">
        <f t="shared" ca="1" si="171"/>
        <v>0</v>
      </c>
      <c r="DB41" s="606">
        <f t="shared" ca="1" si="171"/>
        <v>0</v>
      </c>
      <c r="DC41" s="606">
        <f t="shared" ca="1" si="171"/>
        <v>0</v>
      </c>
      <c r="DD41" s="606">
        <f t="shared" ca="1" si="171"/>
        <v>0</v>
      </c>
      <c r="DE41" s="606">
        <f t="shared" ca="1" si="171"/>
        <v>0</v>
      </c>
      <c r="DF41" s="606">
        <f t="shared" ca="1" si="171"/>
        <v>0</v>
      </c>
      <c r="DG41" s="606">
        <f t="shared" ca="1" si="171"/>
        <v>0</v>
      </c>
      <c r="DH41" s="606">
        <f t="shared" ca="1" si="171"/>
        <v>0</v>
      </c>
      <c r="DI41" s="606">
        <f t="shared" ca="1" si="171"/>
        <v>0</v>
      </c>
      <c r="DJ41" s="606">
        <f t="shared" ca="1" si="171"/>
        <v>0</v>
      </c>
      <c r="DK41" s="606">
        <f t="shared" ca="1" si="171"/>
        <v>0</v>
      </c>
      <c r="DL41" s="606">
        <f t="shared" ca="1" si="171"/>
        <v>0</v>
      </c>
      <c r="DM41" s="606">
        <f t="shared" ca="1" si="171"/>
        <v>0</v>
      </c>
      <c r="DN41" s="606">
        <f t="shared" ca="1" si="171"/>
        <v>0</v>
      </c>
      <c r="DO41" s="606">
        <f t="shared" ca="1" si="171"/>
        <v>0</v>
      </c>
      <c r="DP41" s="606">
        <f t="shared" ca="1" si="171"/>
        <v>0</v>
      </c>
      <c r="DQ41" s="606">
        <f t="shared" ca="1" si="171"/>
        <v>0</v>
      </c>
      <c r="DR41" s="606">
        <f t="shared" ca="1" si="171"/>
        <v>0</v>
      </c>
      <c r="DS41" s="606">
        <f t="shared" ca="1" si="171"/>
        <v>0</v>
      </c>
      <c r="DT41" s="606">
        <f t="shared" ca="1" si="171"/>
        <v>0</v>
      </c>
      <c r="DU41" s="606">
        <f t="shared" ca="1" si="171"/>
        <v>0</v>
      </c>
      <c r="DV41" s="606">
        <f t="shared" ca="1" si="171"/>
        <v>0</v>
      </c>
      <c r="DW41" s="606">
        <f t="shared" ca="1" si="171"/>
        <v>0</v>
      </c>
      <c r="DX41" s="606">
        <f t="shared" ca="1" si="171"/>
        <v>0</v>
      </c>
      <c r="DY41" s="606">
        <f t="shared" ca="1" si="171"/>
        <v>0</v>
      </c>
      <c r="DZ41" s="606">
        <f t="shared" ca="1" si="171"/>
        <v>0</v>
      </c>
      <c r="EA41" s="606">
        <f t="shared" ca="1" si="171"/>
        <v>0</v>
      </c>
      <c r="EB41" s="606">
        <f t="shared" ca="1" si="171"/>
        <v>0</v>
      </c>
      <c r="EC41" s="606">
        <f t="shared" ca="1" si="171"/>
        <v>0</v>
      </c>
      <c r="ED41" s="606">
        <f t="shared" ca="1" si="171"/>
        <v>0</v>
      </c>
      <c r="EE41" s="606">
        <f t="shared" ref="EE41:EJ41" ca="1" si="172">EE217*$F$41</f>
        <v>0</v>
      </c>
      <c r="EF41" s="606">
        <f t="shared" ca="1" si="172"/>
        <v>0</v>
      </c>
      <c r="EG41" s="606">
        <f t="shared" ca="1" si="172"/>
        <v>0</v>
      </c>
      <c r="EH41" s="606">
        <f t="shared" ca="1" si="172"/>
        <v>0</v>
      </c>
      <c r="EI41" s="606">
        <f t="shared" ca="1" si="172"/>
        <v>0</v>
      </c>
      <c r="EJ41" s="606">
        <f t="shared" si="172"/>
        <v>0</v>
      </c>
    </row>
    <row r="42" spans="1:140" customFormat="1" hidden="1" outlineLevel="1">
      <c r="A42" s="321"/>
      <c r="B42" s="321"/>
      <c r="C42" s="317" t="s">
        <v>1376</v>
      </c>
      <c r="D42" s="317" t="s">
        <v>1163</v>
      </c>
      <c r="E42" s="606">
        <f t="shared" ca="1" si="17"/>
        <v>0</v>
      </c>
      <c r="F42" s="606">
        <f>'Распределение по статьям'!AC394+'Распределение по статьям'!AC407+'Распределение по статьям'!AC469+'Распределение по статьям'!AC470</f>
        <v>608938496.17141151</v>
      </c>
      <c r="G42" s="606">
        <f t="shared" ref="G42:AL42" si="173">G158*$F$42</f>
        <v>0</v>
      </c>
      <c r="H42" s="606">
        <f t="shared" ca="1" si="173"/>
        <v>0</v>
      </c>
      <c r="I42" s="606">
        <f t="shared" ca="1" si="173"/>
        <v>0</v>
      </c>
      <c r="J42" s="606">
        <f t="shared" ca="1" si="173"/>
        <v>0</v>
      </c>
      <c r="K42" s="606">
        <f t="shared" ca="1" si="173"/>
        <v>0</v>
      </c>
      <c r="L42" s="606">
        <f t="shared" ca="1" si="173"/>
        <v>0</v>
      </c>
      <c r="M42" s="606">
        <f t="shared" ca="1" si="173"/>
        <v>0</v>
      </c>
      <c r="N42" s="606">
        <f t="shared" ca="1" si="173"/>
        <v>0</v>
      </c>
      <c r="O42" s="606">
        <f t="shared" ca="1" si="173"/>
        <v>0</v>
      </c>
      <c r="P42" s="606">
        <f t="shared" ca="1" si="173"/>
        <v>0</v>
      </c>
      <c r="Q42" s="606">
        <f t="shared" ca="1" si="173"/>
        <v>0</v>
      </c>
      <c r="R42" s="606">
        <f t="shared" ca="1" si="173"/>
        <v>0</v>
      </c>
      <c r="S42" s="606">
        <f t="shared" ca="1" si="173"/>
        <v>0</v>
      </c>
      <c r="T42" s="606">
        <f t="shared" ca="1" si="173"/>
        <v>0</v>
      </c>
      <c r="U42" s="606">
        <f t="shared" ca="1" si="173"/>
        <v>0</v>
      </c>
      <c r="V42" s="606">
        <f t="shared" ca="1" si="173"/>
        <v>0</v>
      </c>
      <c r="W42" s="606">
        <f t="shared" ca="1" si="173"/>
        <v>0</v>
      </c>
      <c r="X42" s="606">
        <f t="shared" ca="1" si="173"/>
        <v>0</v>
      </c>
      <c r="Y42" s="606">
        <f t="shared" ca="1" si="173"/>
        <v>0</v>
      </c>
      <c r="Z42" s="606">
        <f t="shared" ca="1" si="173"/>
        <v>0</v>
      </c>
      <c r="AA42" s="606">
        <f t="shared" ca="1" si="173"/>
        <v>0</v>
      </c>
      <c r="AB42" s="606">
        <f t="shared" ca="1" si="173"/>
        <v>0</v>
      </c>
      <c r="AC42" s="606">
        <f t="shared" ca="1" si="173"/>
        <v>0</v>
      </c>
      <c r="AD42" s="606">
        <f t="shared" ca="1" si="173"/>
        <v>0</v>
      </c>
      <c r="AE42" s="606">
        <f t="shared" ca="1" si="173"/>
        <v>0</v>
      </c>
      <c r="AF42" s="606">
        <f t="shared" ca="1" si="173"/>
        <v>0</v>
      </c>
      <c r="AG42" s="606">
        <f t="shared" ca="1" si="173"/>
        <v>0</v>
      </c>
      <c r="AH42" s="606">
        <f t="shared" ca="1" si="173"/>
        <v>0</v>
      </c>
      <c r="AI42" s="606">
        <f t="shared" ca="1" si="173"/>
        <v>0</v>
      </c>
      <c r="AJ42" s="606">
        <f t="shared" ca="1" si="173"/>
        <v>0</v>
      </c>
      <c r="AK42" s="606">
        <f t="shared" ca="1" si="173"/>
        <v>0</v>
      </c>
      <c r="AL42" s="606">
        <f t="shared" ca="1" si="173"/>
        <v>0</v>
      </c>
      <c r="AM42" s="606">
        <f t="shared" ref="AM42:BR42" ca="1" si="174">AM158*$F$42</f>
        <v>0</v>
      </c>
      <c r="AN42" s="606">
        <f t="shared" ca="1" si="174"/>
        <v>0</v>
      </c>
      <c r="AO42" s="606">
        <f t="shared" ca="1" si="174"/>
        <v>0</v>
      </c>
      <c r="AP42" s="606">
        <f t="shared" ca="1" si="174"/>
        <v>0</v>
      </c>
      <c r="AQ42" s="606">
        <f t="shared" ca="1" si="174"/>
        <v>0</v>
      </c>
      <c r="AR42" s="606">
        <f t="shared" ca="1" si="174"/>
        <v>0</v>
      </c>
      <c r="AS42" s="606">
        <f t="shared" ca="1" si="174"/>
        <v>0</v>
      </c>
      <c r="AT42" s="606">
        <f t="shared" ca="1" si="174"/>
        <v>0</v>
      </c>
      <c r="AU42" s="606">
        <f t="shared" ca="1" si="174"/>
        <v>0</v>
      </c>
      <c r="AV42" s="606">
        <f t="shared" ca="1" si="174"/>
        <v>182681548.85142344</v>
      </c>
      <c r="AW42" s="606">
        <f t="shared" ca="1" si="174"/>
        <v>0</v>
      </c>
      <c r="AX42" s="606">
        <f t="shared" ca="1" si="174"/>
        <v>7113311.7924649911</v>
      </c>
      <c r="AY42" s="606">
        <f t="shared" ca="1" si="174"/>
        <v>43665874.369586982</v>
      </c>
      <c r="AZ42" s="606">
        <f t="shared" ca="1" si="174"/>
        <v>42257297.777019657</v>
      </c>
      <c r="BA42" s="606">
        <f t="shared" ca="1" si="174"/>
        <v>43665874.369586982</v>
      </c>
      <c r="BB42" s="606">
        <f t="shared" ca="1" si="174"/>
        <v>43665874.369586982</v>
      </c>
      <c r="BC42" s="606">
        <f t="shared" ca="1" si="174"/>
        <v>39440144.591885015</v>
      </c>
      <c r="BD42" s="606">
        <f t="shared" ca="1" si="174"/>
        <v>43665874.369586982</v>
      </c>
      <c r="BE42" s="606">
        <f t="shared" ca="1" si="174"/>
        <v>42257297.777019657</v>
      </c>
      <c r="BF42" s="606">
        <f t="shared" ca="1" si="174"/>
        <v>43665874.369586982</v>
      </c>
      <c r="BG42" s="606">
        <f t="shared" ca="1" si="174"/>
        <v>42257297.777019657</v>
      </c>
      <c r="BH42" s="606">
        <f t="shared" ca="1" si="174"/>
        <v>4155300.9480735837</v>
      </c>
      <c r="BI42" s="606">
        <f t="shared" ca="1" si="174"/>
        <v>15223462.404285289</v>
      </c>
      <c r="BJ42" s="606">
        <f t="shared" ca="1" si="174"/>
        <v>0</v>
      </c>
      <c r="BK42" s="606">
        <f t="shared" ca="1" si="174"/>
        <v>0</v>
      </c>
      <c r="BL42" s="606">
        <f t="shared" ca="1" si="174"/>
        <v>0</v>
      </c>
      <c r="BM42" s="606">
        <f t="shared" ca="1" si="174"/>
        <v>0</v>
      </c>
      <c r="BN42" s="606">
        <f t="shared" ca="1" si="174"/>
        <v>0</v>
      </c>
      <c r="BO42" s="606">
        <f t="shared" ca="1" si="174"/>
        <v>0</v>
      </c>
      <c r="BP42" s="606">
        <f t="shared" ca="1" si="174"/>
        <v>0</v>
      </c>
      <c r="BQ42" s="606">
        <f t="shared" ca="1" si="174"/>
        <v>0</v>
      </c>
      <c r="BR42" s="606">
        <f t="shared" ca="1" si="174"/>
        <v>0</v>
      </c>
      <c r="BS42" s="606">
        <f t="shared" ref="BS42:CX42" ca="1" si="175">BS158*$F$42</f>
        <v>0</v>
      </c>
      <c r="BT42" s="606">
        <f t="shared" ca="1" si="175"/>
        <v>0</v>
      </c>
      <c r="BU42" s="606">
        <f t="shared" ca="1" si="175"/>
        <v>0</v>
      </c>
      <c r="BV42" s="606">
        <f t="shared" ca="1" si="175"/>
        <v>0</v>
      </c>
      <c r="BW42" s="606">
        <f t="shared" ca="1" si="175"/>
        <v>0</v>
      </c>
      <c r="BX42" s="606">
        <f t="shared" ca="1" si="175"/>
        <v>0</v>
      </c>
      <c r="BY42" s="606">
        <f t="shared" ca="1" si="175"/>
        <v>0</v>
      </c>
      <c r="BZ42" s="606">
        <f t="shared" ca="1" si="175"/>
        <v>0</v>
      </c>
      <c r="CA42" s="606">
        <f t="shared" ca="1" si="175"/>
        <v>0</v>
      </c>
      <c r="CB42" s="606">
        <f t="shared" ca="1" si="175"/>
        <v>0</v>
      </c>
      <c r="CC42" s="606">
        <f t="shared" ca="1" si="175"/>
        <v>0</v>
      </c>
      <c r="CD42" s="606">
        <f t="shared" ca="1" si="175"/>
        <v>0</v>
      </c>
      <c r="CE42" s="606">
        <f t="shared" ca="1" si="175"/>
        <v>0</v>
      </c>
      <c r="CF42" s="606">
        <f t="shared" ca="1" si="175"/>
        <v>15223462.404285289</v>
      </c>
      <c r="CG42" s="606">
        <f t="shared" ca="1" si="175"/>
        <v>0</v>
      </c>
      <c r="CH42" s="606">
        <f t="shared" ca="1" si="175"/>
        <v>0</v>
      </c>
      <c r="CI42" s="606">
        <f t="shared" ca="1" si="175"/>
        <v>0</v>
      </c>
      <c r="CJ42" s="606">
        <f t="shared" ca="1" si="175"/>
        <v>0</v>
      </c>
      <c r="CK42" s="606">
        <f t="shared" ca="1" si="175"/>
        <v>0</v>
      </c>
      <c r="CL42" s="606">
        <f t="shared" ca="1" si="175"/>
        <v>0</v>
      </c>
      <c r="CM42" s="606">
        <f t="shared" ca="1" si="175"/>
        <v>0</v>
      </c>
      <c r="CN42" s="606">
        <f t="shared" ca="1" si="175"/>
        <v>0</v>
      </c>
      <c r="CO42" s="606">
        <f t="shared" ca="1" si="175"/>
        <v>0</v>
      </c>
      <c r="CP42" s="606">
        <f t="shared" ca="1" si="175"/>
        <v>0</v>
      </c>
      <c r="CQ42" s="606">
        <f t="shared" ca="1" si="175"/>
        <v>0</v>
      </c>
      <c r="CR42" s="606">
        <f t="shared" ca="1" si="175"/>
        <v>0</v>
      </c>
      <c r="CS42" s="606">
        <f t="shared" ca="1" si="175"/>
        <v>0</v>
      </c>
      <c r="CT42" s="606">
        <f t="shared" ca="1" si="175"/>
        <v>0</v>
      </c>
      <c r="CU42" s="606">
        <f t="shared" ca="1" si="175"/>
        <v>0</v>
      </c>
      <c r="CV42" s="606">
        <f t="shared" ca="1" si="175"/>
        <v>0</v>
      </c>
      <c r="CW42" s="606">
        <f t="shared" ca="1" si="175"/>
        <v>0</v>
      </c>
      <c r="CX42" s="606">
        <f t="shared" ca="1" si="175"/>
        <v>0</v>
      </c>
      <c r="CY42" s="606">
        <f t="shared" ref="CY42:ED42" ca="1" si="176">CY158*$F$42</f>
        <v>0</v>
      </c>
      <c r="CZ42" s="606">
        <f t="shared" ca="1" si="176"/>
        <v>0</v>
      </c>
      <c r="DA42" s="606">
        <f t="shared" ca="1" si="176"/>
        <v>0</v>
      </c>
      <c r="DB42" s="606">
        <f t="shared" ca="1" si="176"/>
        <v>0</v>
      </c>
      <c r="DC42" s="606">
        <f t="shared" ca="1" si="176"/>
        <v>0</v>
      </c>
      <c r="DD42" s="606">
        <f t="shared" ca="1" si="176"/>
        <v>0</v>
      </c>
      <c r="DE42" s="606">
        <f t="shared" ca="1" si="176"/>
        <v>0</v>
      </c>
      <c r="DF42" s="606">
        <f t="shared" ca="1" si="176"/>
        <v>0</v>
      </c>
      <c r="DG42" s="606">
        <f t="shared" ca="1" si="176"/>
        <v>0</v>
      </c>
      <c r="DH42" s="606">
        <f t="shared" ca="1" si="176"/>
        <v>0</v>
      </c>
      <c r="DI42" s="606">
        <f t="shared" ca="1" si="176"/>
        <v>0</v>
      </c>
      <c r="DJ42" s="606">
        <f t="shared" ca="1" si="176"/>
        <v>0</v>
      </c>
      <c r="DK42" s="606">
        <f t="shared" ca="1" si="176"/>
        <v>0</v>
      </c>
      <c r="DL42" s="606">
        <f t="shared" ca="1" si="176"/>
        <v>0</v>
      </c>
      <c r="DM42" s="606">
        <f t="shared" ca="1" si="176"/>
        <v>0</v>
      </c>
      <c r="DN42" s="606">
        <f t="shared" ca="1" si="176"/>
        <v>0</v>
      </c>
      <c r="DO42" s="606">
        <f t="shared" ca="1" si="176"/>
        <v>0</v>
      </c>
      <c r="DP42" s="606">
        <f t="shared" ca="1" si="176"/>
        <v>0</v>
      </c>
      <c r="DQ42" s="606">
        <f t="shared" ca="1" si="176"/>
        <v>0</v>
      </c>
      <c r="DR42" s="606">
        <f t="shared" ca="1" si="176"/>
        <v>0</v>
      </c>
      <c r="DS42" s="606">
        <f t="shared" ca="1" si="176"/>
        <v>0</v>
      </c>
      <c r="DT42" s="606">
        <f t="shared" ca="1" si="176"/>
        <v>0</v>
      </c>
      <c r="DU42" s="606">
        <f t="shared" ca="1" si="176"/>
        <v>0</v>
      </c>
      <c r="DV42" s="606">
        <f t="shared" ca="1" si="176"/>
        <v>0</v>
      </c>
      <c r="DW42" s="606">
        <f t="shared" ca="1" si="176"/>
        <v>0</v>
      </c>
      <c r="DX42" s="606">
        <f t="shared" ca="1" si="176"/>
        <v>0</v>
      </c>
      <c r="DY42" s="606">
        <f t="shared" ca="1" si="176"/>
        <v>0</v>
      </c>
      <c r="DZ42" s="606">
        <f t="shared" ca="1" si="176"/>
        <v>0</v>
      </c>
      <c r="EA42" s="606">
        <f t="shared" ca="1" si="176"/>
        <v>0</v>
      </c>
      <c r="EB42" s="606">
        <f t="shared" ca="1" si="176"/>
        <v>0</v>
      </c>
      <c r="EC42" s="606">
        <f t="shared" ca="1" si="176"/>
        <v>0</v>
      </c>
      <c r="ED42" s="606">
        <f t="shared" ca="1" si="176"/>
        <v>0</v>
      </c>
      <c r="EE42" s="606">
        <f t="shared" ref="EE42:EJ42" ca="1" si="177">EE158*$F$42</f>
        <v>0</v>
      </c>
      <c r="EF42" s="606">
        <f t="shared" ca="1" si="177"/>
        <v>0</v>
      </c>
      <c r="EG42" s="606">
        <f t="shared" ca="1" si="177"/>
        <v>0</v>
      </c>
      <c r="EH42" s="606">
        <f t="shared" ca="1" si="177"/>
        <v>0</v>
      </c>
      <c r="EI42" s="606">
        <f t="shared" ca="1" si="177"/>
        <v>0</v>
      </c>
      <c r="EJ42" s="606">
        <f t="shared" si="177"/>
        <v>0</v>
      </c>
    </row>
    <row r="43" spans="1:140" customFormat="1" ht="30" hidden="1" outlineLevel="1">
      <c r="A43" s="321"/>
      <c r="B43" s="321"/>
      <c r="C43" s="317" t="s">
        <v>1356</v>
      </c>
      <c r="D43" s="317" t="s">
        <v>1355</v>
      </c>
      <c r="E43" s="606">
        <f t="shared" ca="1" si="17"/>
        <v>0</v>
      </c>
      <c r="F43" s="606">
        <f>'Распределение по статьям'!AC412</f>
        <v>0</v>
      </c>
      <c r="G43" s="606">
        <f t="shared" ref="G43:AL43" si="178">G148*$F$43</f>
        <v>0</v>
      </c>
      <c r="H43" s="606">
        <f t="shared" ca="1" si="178"/>
        <v>0</v>
      </c>
      <c r="I43" s="606">
        <f t="shared" ca="1" si="178"/>
        <v>0</v>
      </c>
      <c r="J43" s="606">
        <f t="shared" ca="1" si="178"/>
        <v>0</v>
      </c>
      <c r="K43" s="606">
        <f t="shared" ca="1" si="178"/>
        <v>0</v>
      </c>
      <c r="L43" s="606">
        <f t="shared" ca="1" si="178"/>
        <v>0</v>
      </c>
      <c r="M43" s="606">
        <f t="shared" ca="1" si="178"/>
        <v>0</v>
      </c>
      <c r="N43" s="606">
        <f t="shared" ca="1" si="178"/>
        <v>0</v>
      </c>
      <c r="O43" s="606">
        <f t="shared" ca="1" si="178"/>
        <v>0</v>
      </c>
      <c r="P43" s="606">
        <f t="shared" ca="1" si="178"/>
        <v>0</v>
      </c>
      <c r="Q43" s="606">
        <f t="shared" ca="1" si="178"/>
        <v>0</v>
      </c>
      <c r="R43" s="606">
        <f t="shared" ca="1" si="178"/>
        <v>0</v>
      </c>
      <c r="S43" s="606">
        <f t="shared" ca="1" si="178"/>
        <v>0</v>
      </c>
      <c r="T43" s="606">
        <f t="shared" ca="1" si="178"/>
        <v>0</v>
      </c>
      <c r="U43" s="606">
        <f t="shared" ca="1" si="178"/>
        <v>0</v>
      </c>
      <c r="V43" s="606">
        <f t="shared" ca="1" si="178"/>
        <v>0</v>
      </c>
      <c r="W43" s="606">
        <f t="shared" ca="1" si="178"/>
        <v>0</v>
      </c>
      <c r="X43" s="606">
        <f t="shared" ca="1" si="178"/>
        <v>0</v>
      </c>
      <c r="Y43" s="606">
        <f t="shared" ca="1" si="178"/>
        <v>0</v>
      </c>
      <c r="Z43" s="606">
        <f t="shared" ca="1" si="178"/>
        <v>0</v>
      </c>
      <c r="AA43" s="606">
        <f t="shared" ca="1" si="178"/>
        <v>0</v>
      </c>
      <c r="AB43" s="606">
        <f t="shared" ca="1" si="178"/>
        <v>0</v>
      </c>
      <c r="AC43" s="606">
        <f t="shared" ca="1" si="178"/>
        <v>0</v>
      </c>
      <c r="AD43" s="606">
        <f t="shared" ca="1" si="178"/>
        <v>0</v>
      </c>
      <c r="AE43" s="606">
        <f t="shared" ca="1" si="178"/>
        <v>0</v>
      </c>
      <c r="AF43" s="606">
        <f t="shared" ca="1" si="178"/>
        <v>0</v>
      </c>
      <c r="AG43" s="606">
        <f t="shared" ca="1" si="178"/>
        <v>0</v>
      </c>
      <c r="AH43" s="606">
        <f t="shared" ca="1" si="178"/>
        <v>0</v>
      </c>
      <c r="AI43" s="606">
        <f t="shared" ca="1" si="178"/>
        <v>0</v>
      </c>
      <c r="AJ43" s="606">
        <f t="shared" ca="1" si="178"/>
        <v>0</v>
      </c>
      <c r="AK43" s="606">
        <f t="shared" ca="1" si="178"/>
        <v>0</v>
      </c>
      <c r="AL43" s="606">
        <f t="shared" ca="1" si="178"/>
        <v>0</v>
      </c>
      <c r="AM43" s="606">
        <f t="shared" ref="AM43:BR43" ca="1" si="179">AM148*$F$43</f>
        <v>0</v>
      </c>
      <c r="AN43" s="606">
        <f t="shared" ca="1" si="179"/>
        <v>0</v>
      </c>
      <c r="AO43" s="606">
        <f t="shared" ca="1" si="179"/>
        <v>0</v>
      </c>
      <c r="AP43" s="606">
        <f t="shared" ca="1" si="179"/>
        <v>0</v>
      </c>
      <c r="AQ43" s="606">
        <f t="shared" ca="1" si="179"/>
        <v>0</v>
      </c>
      <c r="AR43" s="606">
        <f t="shared" ca="1" si="179"/>
        <v>0</v>
      </c>
      <c r="AS43" s="606">
        <f t="shared" ca="1" si="179"/>
        <v>0</v>
      </c>
      <c r="AT43" s="606">
        <f t="shared" ca="1" si="179"/>
        <v>0</v>
      </c>
      <c r="AU43" s="606">
        <f t="shared" ca="1" si="179"/>
        <v>0</v>
      </c>
      <c r="AV43" s="606">
        <f t="shared" ca="1" si="179"/>
        <v>0</v>
      </c>
      <c r="AW43" s="606">
        <f t="shared" ca="1" si="179"/>
        <v>0</v>
      </c>
      <c r="AX43" s="606">
        <f t="shared" ca="1" si="179"/>
        <v>0</v>
      </c>
      <c r="AY43" s="606">
        <f t="shared" ca="1" si="179"/>
        <v>0</v>
      </c>
      <c r="AZ43" s="606">
        <f t="shared" ca="1" si="179"/>
        <v>0</v>
      </c>
      <c r="BA43" s="606">
        <f t="shared" ca="1" si="179"/>
        <v>0</v>
      </c>
      <c r="BB43" s="606">
        <f t="shared" ca="1" si="179"/>
        <v>0</v>
      </c>
      <c r="BC43" s="606">
        <f t="shared" ca="1" si="179"/>
        <v>0</v>
      </c>
      <c r="BD43" s="606">
        <f t="shared" ca="1" si="179"/>
        <v>0</v>
      </c>
      <c r="BE43" s="606">
        <f t="shared" ca="1" si="179"/>
        <v>0</v>
      </c>
      <c r="BF43" s="606">
        <f t="shared" ca="1" si="179"/>
        <v>0</v>
      </c>
      <c r="BG43" s="606">
        <f t="shared" ca="1" si="179"/>
        <v>0</v>
      </c>
      <c r="BH43" s="606">
        <f t="shared" ca="1" si="179"/>
        <v>0</v>
      </c>
      <c r="BI43" s="606">
        <f t="shared" ca="1" si="179"/>
        <v>0</v>
      </c>
      <c r="BJ43" s="606">
        <f t="shared" ca="1" si="179"/>
        <v>0</v>
      </c>
      <c r="BK43" s="606">
        <f t="shared" ca="1" si="179"/>
        <v>0</v>
      </c>
      <c r="BL43" s="606">
        <f t="shared" ca="1" si="179"/>
        <v>0</v>
      </c>
      <c r="BM43" s="606">
        <f t="shared" ca="1" si="179"/>
        <v>0</v>
      </c>
      <c r="BN43" s="606">
        <f t="shared" ca="1" si="179"/>
        <v>0</v>
      </c>
      <c r="BO43" s="606">
        <f t="shared" ca="1" si="179"/>
        <v>0</v>
      </c>
      <c r="BP43" s="606">
        <f t="shared" ca="1" si="179"/>
        <v>0</v>
      </c>
      <c r="BQ43" s="606">
        <f t="shared" ca="1" si="179"/>
        <v>0</v>
      </c>
      <c r="BR43" s="606">
        <f t="shared" ca="1" si="179"/>
        <v>0</v>
      </c>
      <c r="BS43" s="606">
        <f t="shared" ref="BS43:CX43" ca="1" si="180">BS148*$F$43</f>
        <v>0</v>
      </c>
      <c r="BT43" s="606">
        <f t="shared" ca="1" si="180"/>
        <v>0</v>
      </c>
      <c r="BU43" s="606">
        <f t="shared" ca="1" si="180"/>
        <v>0</v>
      </c>
      <c r="BV43" s="606">
        <f t="shared" ca="1" si="180"/>
        <v>0</v>
      </c>
      <c r="BW43" s="606">
        <f t="shared" ca="1" si="180"/>
        <v>0</v>
      </c>
      <c r="BX43" s="606">
        <f t="shared" ca="1" si="180"/>
        <v>0</v>
      </c>
      <c r="BY43" s="606">
        <f t="shared" ca="1" si="180"/>
        <v>0</v>
      </c>
      <c r="BZ43" s="606">
        <f t="shared" ca="1" si="180"/>
        <v>0</v>
      </c>
      <c r="CA43" s="606">
        <f t="shared" ca="1" si="180"/>
        <v>0</v>
      </c>
      <c r="CB43" s="606">
        <f t="shared" ca="1" si="180"/>
        <v>0</v>
      </c>
      <c r="CC43" s="606">
        <f t="shared" ca="1" si="180"/>
        <v>0</v>
      </c>
      <c r="CD43" s="606">
        <f t="shared" ca="1" si="180"/>
        <v>0</v>
      </c>
      <c r="CE43" s="606">
        <f t="shared" ca="1" si="180"/>
        <v>0</v>
      </c>
      <c r="CF43" s="606">
        <f t="shared" ca="1" si="180"/>
        <v>0</v>
      </c>
      <c r="CG43" s="606">
        <f t="shared" ca="1" si="180"/>
        <v>0</v>
      </c>
      <c r="CH43" s="606">
        <f t="shared" ca="1" si="180"/>
        <v>0</v>
      </c>
      <c r="CI43" s="606">
        <f t="shared" ca="1" si="180"/>
        <v>0</v>
      </c>
      <c r="CJ43" s="606">
        <f t="shared" ca="1" si="180"/>
        <v>0</v>
      </c>
      <c r="CK43" s="606">
        <f t="shared" ca="1" si="180"/>
        <v>0</v>
      </c>
      <c r="CL43" s="606">
        <f t="shared" ca="1" si="180"/>
        <v>0</v>
      </c>
      <c r="CM43" s="606">
        <f t="shared" ca="1" si="180"/>
        <v>0</v>
      </c>
      <c r="CN43" s="606">
        <f t="shared" ca="1" si="180"/>
        <v>0</v>
      </c>
      <c r="CO43" s="606">
        <f t="shared" ca="1" si="180"/>
        <v>0</v>
      </c>
      <c r="CP43" s="606">
        <f t="shared" ca="1" si="180"/>
        <v>0</v>
      </c>
      <c r="CQ43" s="606">
        <f t="shared" ca="1" si="180"/>
        <v>0</v>
      </c>
      <c r="CR43" s="606">
        <f t="shared" ca="1" si="180"/>
        <v>0</v>
      </c>
      <c r="CS43" s="606">
        <f t="shared" ca="1" si="180"/>
        <v>0</v>
      </c>
      <c r="CT43" s="606">
        <f t="shared" ca="1" si="180"/>
        <v>0</v>
      </c>
      <c r="CU43" s="606">
        <f t="shared" ca="1" si="180"/>
        <v>0</v>
      </c>
      <c r="CV43" s="606">
        <f t="shared" ca="1" si="180"/>
        <v>0</v>
      </c>
      <c r="CW43" s="606">
        <f t="shared" ca="1" si="180"/>
        <v>0</v>
      </c>
      <c r="CX43" s="606">
        <f t="shared" ca="1" si="180"/>
        <v>0</v>
      </c>
      <c r="CY43" s="606">
        <f t="shared" ref="CY43:ED43" ca="1" si="181">CY148*$F$43</f>
        <v>0</v>
      </c>
      <c r="CZ43" s="606">
        <f t="shared" ca="1" si="181"/>
        <v>0</v>
      </c>
      <c r="DA43" s="606">
        <f t="shared" ca="1" si="181"/>
        <v>0</v>
      </c>
      <c r="DB43" s="606">
        <f t="shared" ca="1" si="181"/>
        <v>0</v>
      </c>
      <c r="DC43" s="606">
        <f t="shared" ca="1" si="181"/>
        <v>0</v>
      </c>
      <c r="DD43" s="606">
        <f t="shared" ca="1" si="181"/>
        <v>0</v>
      </c>
      <c r="DE43" s="606">
        <f t="shared" ca="1" si="181"/>
        <v>0</v>
      </c>
      <c r="DF43" s="606">
        <f t="shared" ca="1" si="181"/>
        <v>0</v>
      </c>
      <c r="DG43" s="606">
        <f t="shared" ca="1" si="181"/>
        <v>0</v>
      </c>
      <c r="DH43" s="606">
        <f t="shared" ca="1" si="181"/>
        <v>0</v>
      </c>
      <c r="DI43" s="606">
        <f t="shared" ca="1" si="181"/>
        <v>0</v>
      </c>
      <c r="DJ43" s="606">
        <f t="shared" ca="1" si="181"/>
        <v>0</v>
      </c>
      <c r="DK43" s="606">
        <f t="shared" ca="1" si="181"/>
        <v>0</v>
      </c>
      <c r="DL43" s="606">
        <f t="shared" ca="1" si="181"/>
        <v>0</v>
      </c>
      <c r="DM43" s="606">
        <f t="shared" ca="1" si="181"/>
        <v>0</v>
      </c>
      <c r="DN43" s="606">
        <f t="shared" ca="1" si="181"/>
        <v>0</v>
      </c>
      <c r="DO43" s="606">
        <f t="shared" ca="1" si="181"/>
        <v>0</v>
      </c>
      <c r="DP43" s="606">
        <f t="shared" ca="1" si="181"/>
        <v>0</v>
      </c>
      <c r="DQ43" s="606">
        <f t="shared" ca="1" si="181"/>
        <v>0</v>
      </c>
      <c r="DR43" s="606">
        <f t="shared" ca="1" si="181"/>
        <v>0</v>
      </c>
      <c r="DS43" s="606">
        <f t="shared" ca="1" si="181"/>
        <v>0</v>
      </c>
      <c r="DT43" s="606">
        <f t="shared" ca="1" si="181"/>
        <v>0</v>
      </c>
      <c r="DU43" s="606">
        <f t="shared" ca="1" si="181"/>
        <v>0</v>
      </c>
      <c r="DV43" s="606">
        <f t="shared" ca="1" si="181"/>
        <v>0</v>
      </c>
      <c r="DW43" s="606">
        <f t="shared" ca="1" si="181"/>
        <v>0</v>
      </c>
      <c r="DX43" s="606">
        <f t="shared" ca="1" si="181"/>
        <v>0</v>
      </c>
      <c r="DY43" s="606">
        <f t="shared" ca="1" si="181"/>
        <v>0</v>
      </c>
      <c r="DZ43" s="606">
        <f t="shared" ca="1" si="181"/>
        <v>0</v>
      </c>
      <c r="EA43" s="606">
        <f t="shared" ca="1" si="181"/>
        <v>0</v>
      </c>
      <c r="EB43" s="606">
        <f t="shared" ca="1" si="181"/>
        <v>0</v>
      </c>
      <c r="EC43" s="606">
        <f t="shared" ca="1" si="181"/>
        <v>0</v>
      </c>
      <c r="ED43" s="606">
        <f t="shared" ca="1" si="181"/>
        <v>0</v>
      </c>
      <c r="EE43" s="606">
        <f t="shared" ref="EE43:EJ43" ca="1" si="182">EE148*$F$43</f>
        <v>0</v>
      </c>
      <c r="EF43" s="606">
        <f t="shared" ca="1" si="182"/>
        <v>0</v>
      </c>
      <c r="EG43" s="606">
        <f t="shared" ca="1" si="182"/>
        <v>0</v>
      </c>
      <c r="EH43" s="606">
        <f t="shared" ca="1" si="182"/>
        <v>0</v>
      </c>
      <c r="EI43" s="606">
        <f t="shared" ca="1" si="182"/>
        <v>0</v>
      </c>
      <c r="EJ43" s="606">
        <f t="shared" si="182"/>
        <v>0</v>
      </c>
    </row>
    <row r="44" spans="1:140" customFormat="1" ht="30" hidden="1" outlineLevel="1">
      <c r="A44" s="321"/>
      <c r="B44" s="321"/>
      <c r="C44" s="317" t="s">
        <v>1354</v>
      </c>
      <c r="D44" s="317" t="s">
        <v>1353</v>
      </c>
      <c r="E44" s="606">
        <f t="shared" ca="1" si="17"/>
        <v>0</v>
      </c>
      <c r="F44" s="606">
        <f>'Распределение по статьям'!AC413</f>
        <v>58245000.562117666</v>
      </c>
      <c r="G44" s="606">
        <f t="shared" ref="G44:AL44" si="183">G148*$F$44</f>
        <v>0</v>
      </c>
      <c r="H44" s="606">
        <f t="shared" ca="1" si="183"/>
        <v>0</v>
      </c>
      <c r="I44" s="606">
        <f t="shared" ca="1" si="183"/>
        <v>0</v>
      </c>
      <c r="J44" s="606">
        <f t="shared" ca="1" si="183"/>
        <v>0</v>
      </c>
      <c r="K44" s="606">
        <f t="shared" ca="1" si="183"/>
        <v>0</v>
      </c>
      <c r="L44" s="606">
        <f t="shared" ca="1" si="183"/>
        <v>0</v>
      </c>
      <c r="M44" s="606">
        <f t="shared" ca="1" si="183"/>
        <v>0</v>
      </c>
      <c r="N44" s="606">
        <f t="shared" ca="1" si="183"/>
        <v>0</v>
      </c>
      <c r="O44" s="606">
        <f t="shared" ca="1" si="183"/>
        <v>0</v>
      </c>
      <c r="P44" s="606">
        <f t="shared" ca="1" si="183"/>
        <v>0</v>
      </c>
      <c r="Q44" s="606">
        <f t="shared" ca="1" si="183"/>
        <v>0</v>
      </c>
      <c r="R44" s="606">
        <f t="shared" ca="1" si="183"/>
        <v>0</v>
      </c>
      <c r="S44" s="606">
        <f t="shared" ca="1" si="183"/>
        <v>0</v>
      </c>
      <c r="T44" s="606">
        <f t="shared" ca="1" si="183"/>
        <v>0</v>
      </c>
      <c r="U44" s="606">
        <f t="shared" ca="1" si="183"/>
        <v>0</v>
      </c>
      <c r="V44" s="606">
        <f t="shared" ca="1" si="183"/>
        <v>0</v>
      </c>
      <c r="W44" s="606">
        <f t="shared" ca="1" si="183"/>
        <v>0</v>
      </c>
      <c r="X44" s="606">
        <f t="shared" ca="1" si="183"/>
        <v>0</v>
      </c>
      <c r="Y44" s="606">
        <f t="shared" ca="1" si="183"/>
        <v>0</v>
      </c>
      <c r="Z44" s="606">
        <f t="shared" ca="1" si="183"/>
        <v>0</v>
      </c>
      <c r="AA44" s="606">
        <f t="shared" ca="1" si="183"/>
        <v>0</v>
      </c>
      <c r="AB44" s="606">
        <f t="shared" ca="1" si="183"/>
        <v>0</v>
      </c>
      <c r="AC44" s="606">
        <f t="shared" ca="1" si="183"/>
        <v>0</v>
      </c>
      <c r="AD44" s="606">
        <f t="shared" ca="1" si="183"/>
        <v>0</v>
      </c>
      <c r="AE44" s="606">
        <f t="shared" ca="1" si="183"/>
        <v>0</v>
      </c>
      <c r="AF44" s="606">
        <f t="shared" ca="1" si="183"/>
        <v>0</v>
      </c>
      <c r="AG44" s="606">
        <f t="shared" ca="1" si="183"/>
        <v>0</v>
      </c>
      <c r="AH44" s="606">
        <f t="shared" ca="1" si="183"/>
        <v>0</v>
      </c>
      <c r="AI44" s="606">
        <f t="shared" ca="1" si="183"/>
        <v>0</v>
      </c>
      <c r="AJ44" s="606">
        <f t="shared" ca="1" si="183"/>
        <v>0</v>
      </c>
      <c r="AK44" s="606">
        <f t="shared" ca="1" si="183"/>
        <v>0</v>
      </c>
      <c r="AL44" s="606">
        <f t="shared" ca="1" si="183"/>
        <v>0</v>
      </c>
      <c r="AM44" s="606">
        <f t="shared" ref="AM44:BR44" ca="1" si="184">AM148*$F$44</f>
        <v>0</v>
      </c>
      <c r="AN44" s="606">
        <f t="shared" ca="1" si="184"/>
        <v>0</v>
      </c>
      <c r="AO44" s="606">
        <f t="shared" ca="1" si="184"/>
        <v>0</v>
      </c>
      <c r="AP44" s="606">
        <f t="shared" ca="1" si="184"/>
        <v>0</v>
      </c>
      <c r="AQ44" s="606">
        <f t="shared" ca="1" si="184"/>
        <v>0</v>
      </c>
      <c r="AR44" s="606">
        <f t="shared" ca="1" si="184"/>
        <v>0</v>
      </c>
      <c r="AS44" s="606">
        <f t="shared" ca="1" si="184"/>
        <v>0</v>
      </c>
      <c r="AT44" s="606">
        <f t="shared" ca="1" si="184"/>
        <v>0</v>
      </c>
      <c r="AU44" s="606">
        <f t="shared" ca="1" si="184"/>
        <v>0</v>
      </c>
      <c r="AV44" s="606">
        <f t="shared" ca="1" si="184"/>
        <v>17473500.168635298</v>
      </c>
      <c r="AW44" s="606">
        <f t="shared" ca="1" si="184"/>
        <v>0</v>
      </c>
      <c r="AX44" s="606">
        <f t="shared" ca="1" si="184"/>
        <v>803316.02666030102</v>
      </c>
      <c r="AY44" s="606">
        <f t="shared" ca="1" si="184"/>
        <v>4931246.8963305494</v>
      </c>
      <c r="AZ44" s="606">
        <f t="shared" ca="1" si="184"/>
        <v>4772174.4158037584</v>
      </c>
      <c r="BA44" s="606">
        <f t="shared" ca="1" si="184"/>
        <v>4931246.8963305494</v>
      </c>
      <c r="BB44" s="606">
        <f t="shared" ca="1" si="184"/>
        <v>4931246.8963305494</v>
      </c>
      <c r="BC44" s="606">
        <f t="shared" ca="1" si="184"/>
        <v>4454029.4547501737</v>
      </c>
      <c r="BD44" s="606">
        <f t="shared" ca="1" si="184"/>
        <v>4931246.8963305494</v>
      </c>
      <c r="BE44" s="606">
        <f t="shared" ca="1" si="184"/>
        <v>4772174.4158037584</v>
      </c>
      <c r="BF44" s="606">
        <f t="shared" ca="1" si="184"/>
        <v>3332568.4670362892</v>
      </c>
      <c r="BG44" s="606">
        <f t="shared" ca="1" si="184"/>
        <v>1456125.0140529417</v>
      </c>
      <c r="BH44" s="606">
        <f t="shared" ca="1" si="184"/>
        <v>0</v>
      </c>
      <c r="BI44" s="606">
        <f t="shared" ca="1" si="184"/>
        <v>0</v>
      </c>
      <c r="BJ44" s="606">
        <f t="shared" ca="1" si="184"/>
        <v>0</v>
      </c>
      <c r="BK44" s="606">
        <f t="shared" ca="1" si="184"/>
        <v>0</v>
      </c>
      <c r="BL44" s="606">
        <f t="shared" ca="1" si="184"/>
        <v>0</v>
      </c>
      <c r="BM44" s="606">
        <f t="shared" ca="1" si="184"/>
        <v>0</v>
      </c>
      <c r="BN44" s="606">
        <f t="shared" ca="1" si="184"/>
        <v>0</v>
      </c>
      <c r="BO44" s="606">
        <f t="shared" ca="1" si="184"/>
        <v>0</v>
      </c>
      <c r="BP44" s="606">
        <f t="shared" ca="1" si="184"/>
        <v>0</v>
      </c>
      <c r="BQ44" s="606">
        <f t="shared" ca="1" si="184"/>
        <v>0</v>
      </c>
      <c r="BR44" s="606">
        <f t="shared" ca="1" si="184"/>
        <v>0</v>
      </c>
      <c r="BS44" s="606">
        <f t="shared" ref="BS44:CX44" ca="1" si="185">BS148*$F$44</f>
        <v>0</v>
      </c>
      <c r="BT44" s="606">
        <f t="shared" ca="1" si="185"/>
        <v>0</v>
      </c>
      <c r="BU44" s="606">
        <f t="shared" ca="1" si="185"/>
        <v>0</v>
      </c>
      <c r="BV44" s="606">
        <f t="shared" ca="1" si="185"/>
        <v>0</v>
      </c>
      <c r="BW44" s="606">
        <f t="shared" ca="1" si="185"/>
        <v>0</v>
      </c>
      <c r="BX44" s="606">
        <f t="shared" ca="1" si="185"/>
        <v>0</v>
      </c>
      <c r="BY44" s="606">
        <f t="shared" ca="1" si="185"/>
        <v>0</v>
      </c>
      <c r="BZ44" s="606">
        <f t="shared" ca="1" si="185"/>
        <v>0</v>
      </c>
      <c r="CA44" s="606">
        <f t="shared" ca="1" si="185"/>
        <v>0</v>
      </c>
      <c r="CB44" s="606">
        <f t="shared" ca="1" si="185"/>
        <v>0</v>
      </c>
      <c r="CC44" s="606">
        <f t="shared" ca="1" si="185"/>
        <v>0</v>
      </c>
      <c r="CD44" s="606">
        <f t="shared" ca="1" si="185"/>
        <v>1456125.0140529417</v>
      </c>
      <c r="CE44" s="606">
        <f t="shared" ca="1" si="185"/>
        <v>0</v>
      </c>
      <c r="CF44" s="606">
        <f t="shared" ca="1" si="185"/>
        <v>0</v>
      </c>
      <c r="CG44" s="606">
        <f t="shared" ca="1" si="185"/>
        <v>0</v>
      </c>
      <c r="CH44" s="606">
        <f t="shared" ca="1" si="185"/>
        <v>0</v>
      </c>
      <c r="CI44" s="606">
        <f t="shared" ca="1" si="185"/>
        <v>0</v>
      </c>
      <c r="CJ44" s="606">
        <f t="shared" ca="1" si="185"/>
        <v>0</v>
      </c>
      <c r="CK44" s="606">
        <f t="shared" ca="1" si="185"/>
        <v>0</v>
      </c>
      <c r="CL44" s="606">
        <f t="shared" ca="1" si="185"/>
        <v>0</v>
      </c>
      <c r="CM44" s="606">
        <f t="shared" ca="1" si="185"/>
        <v>0</v>
      </c>
      <c r="CN44" s="606">
        <f t="shared" ca="1" si="185"/>
        <v>0</v>
      </c>
      <c r="CO44" s="606">
        <f t="shared" ca="1" si="185"/>
        <v>0</v>
      </c>
      <c r="CP44" s="606">
        <f t="shared" ca="1" si="185"/>
        <v>0</v>
      </c>
      <c r="CQ44" s="606">
        <f t="shared" ca="1" si="185"/>
        <v>0</v>
      </c>
      <c r="CR44" s="606">
        <f t="shared" ca="1" si="185"/>
        <v>0</v>
      </c>
      <c r="CS44" s="606">
        <f t="shared" ca="1" si="185"/>
        <v>0</v>
      </c>
      <c r="CT44" s="606">
        <f t="shared" ca="1" si="185"/>
        <v>0</v>
      </c>
      <c r="CU44" s="606">
        <f t="shared" ca="1" si="185"/>
        <v>0</v>
      </c>
      <c r="CV44" s="606">
        <f t="shared" ca="1" si="185"/>
        <v>0</v>
      </c>
      <c r="CW44" s="606">
        <f t="shared" ca="1" si="185"/>
        <v>0</v>
      </c>
      <c r="CX44" s="606">
        <f t="shared" ca="1" si="185"/>
        <v>0</v>
      </c>
      <c r="CY44" s="606">
        <f t="shared" ref="CY44:ED44" ca="1" si="186">CY148*$F$44</f>
        <v>0</v>
      </c>
      <c r="CZ44" s="606">
        <f t="shared" ca="1" si="186"/>
        <v>0</v>
      </c>
      <c r="DA44" s="606">
        <f t="shared" ca="1" si="186"/>
        <v>0</v>
      </c>
      <c r="DB44" s="606">
        <f t="shared" ca="1" si="186"/>
        <v>0</v>
      </c>
      <c r="DC44" s="606">
        <f t="shared" ca="1" si="186"/>
        <v>0</v>
      </c>
      <c r="DD44" s="606">
        <f t="shared" ca="1" si="186"/>
        <v>0</v>
      </c>
      <c r="DE44" s="606">
        <f t="shared" ca="1" si="186"/>
        <v>0</v>
      </c>
      <c r="DF44" s="606">
        <f t="shared" ca="1" si="186"/>
        <v>0</v>
      </c>
      <c r="DG44" s="606">
        <f t="shared" ca="1" si="186"/>
        <v>0</v>
      </c>
      <c r="DH44" s="606">
        <f t="shared" ca="1" si="186"/>
        <v>0</v>
      </c>
      <c r="DI44" s="606">
        <f t="shared" ca="1" si="186"/>
        <v>0</v>
      </c>
      <c r="DJ44" s="606">
        <f t="shared" ca="1" si="186"/>
        <v>0</v>
      </c>
      <c r="DK44" s="606">
        <f t="shared" ca="1" si="186"/>
        <v>0</v>
      </c>
      <c r="DL44" s="606">
        <f t="shared" ca="1" si="186"/>
        <v>0</v>
      </c>
      <c r="DM44" s="606">
        <f t="shared" ca="1" si="186"/>
        <v>0</v>
      </c>
      <c r="DN44" s="606">
        <f t="shared" ca="1" si="186"/>
        <v>0</v>
      </c>
      <c r="DO44" s="606">
        <f t="shared" ca="1" si="186"/>
        <v>0</v>
      </c>
      <c r="DP44" s="606">
        <f t="shared" ca="1" si="186"/>
        <v>0</v>
      </c>
      <c r="DQ44" s="606">
        <f t="shared" ca="1" si="186"/>
        <v>0</v>
      </c>
      <c r="DR44" s="606">
        <f t="shared" ca="1" si="186"/>
        <v>0</v>
      </c>
      <c r="DS44" s="606">
        <f t="shared" ca="1" si="186"/>
        <v>0</v>
      </c>
      <c r="DT44" s="606">
        <f t="shared" ca="1" si="186"/>
        <v>0</v>
      </c>
      <c r="DU44" s="606">
        <f t="shared" ca="1" si="186"/>
        <v>0</v>
      </c>
      <c r="DV44" s="606">
        <f t="shared" ca="1" si="186"/>
        <v>0</v>
      </c>
      <c r="DW44" s="606">
        <f t="shared" ca="1" si="186"/>
        <v>0</v>
      </c>
      <c r="DX44" s="606">
        <f t="shared" ca="1" si="186"/>
        <v>0</v>
      </c>
      <c r="DY44" s="606">
        <f t="shared" ca="1" si="186"/>
        <v>0</v>
      </c>
      <c r="DZ44" s="606">
        <f t="shared" ca="1" si="186"/>
        <v>0</v>
      </c>
      <c r="EA44" s="606">
        <f t="shared" ca="1" si="186"/>
        <v>0</v>
      </c>
      <c r="EB44" s="606">
        <f t="shared" ca="1" si="186"/>
        <v>0</v>
      </c>
      <c r="EC44" s="606">
        <f t="shared" ca="1" si="186"/>
        <v>0</v>
      </c>
      <c r="ED44" s="606">
        <f t="shared" ca="1" si="186"/>
        <v>0</v>
      </c>
      <c r="EE44" s="606">
        <f t="shared" ref="EE44:EJ44" ca="1" si="187">EE148*$F$44</f>
        <v>0</v>
      </c>
      <c r="EF44" s="606">
        <f t="shared" ca="1" si="187"/>
        <v>0</v>
      </c>
      <c r="EG44" s="606">
        <f t="shared" ca="1" si="187"/>
        <v>0</v>
      </c>
      <c r="EH44" s="606">
        <f t="shared" ca="1" si="187"/>
        <v>0</v>
      </c>
      <c r="EI44" s="606">
        <f t="shared" ca="1" si="187"/>
        <v>0</v>
      </c>
      <c r="EJ44" s="606">
        <f t="shared" si="187"/>
        <v>0</v>
      </c>
    </row>
    <row r="45" spans="1:140" customFormat="1" hidden="1" outlineLevel="1">
      <c r="A45" s="321"/>
      <c r="B45" s="321"/>
      <c r="C45" s="317" t="s">
        <v>1352</v>
      </c>
      <c r="D45" s="317" t="s">
        <v>95</v>
      </c>
      <c r="E45" s="606">
        <f t="shared" ca="1" si="17"/>
        <v>0</v>
      </c>
      <c r="F45" s="606">
        <f>'Распределение по статьям'!AC414</f>
        <v>573775979.81587625</v>
      </c>
      <c r="G45" s="606">
        <f t="shared" ref="G45:AL45" si="188">G153*$F$45</f>
        <v>0</v>
      </c>
      <c r="H45" s="606">
        <f t="shared" ca="1" si="188"/>
        <v>0</v>
      </c>
      <c r="I45" s="606">
        <f t="shared" ca="1" si="188"/>
        <v>0</v>
      </c>
      <c r="J45" s="606">
        <f t="shared" ca="1" si="188"/>
        <v>0</v>
      </c>
      <c r="K45" s="606">
        <f t="shared" ca="1" si="188"/>
        <v>0</v>
      </c>
      <c r="L45" s="606">
        <f t="shared" ca="1" si="188"/>
        <v>0</v>
      </c>
      <c r="M45" s="606">
        <f t="shared" ca="1" si="188"/>
        <v>0</v>
      </c>
      <c r="N45" s="606">
        <f t="shared" ca="1" si="188"/>
        <v>0</v>
      </c>
      <c r="O45" s="606">
        <f t="shared" ca="1" si="188"/>
        <v>0</v>
      </c>
      <c r="P45" s="606">
        <f t="shared" ca="1" si="188"/>
        <v>0</v>
      </c>
      <c r="Q45" s="606">
        <f t="shared" ca="1" si="188"/>
        <v>0</v>
      </c>
      <c r="R45" s="606">
        <f t="shared" ca="1" si="188"/>
        <v>0</v>
      </c>
      <c r="S45" s="606">
        <f t="shared" ca="1" si="188"/>
        <v>0</v>
      </c>
      <c r="T45" s="606">
        <f t="shared" ca="1" si="188"/>
        <v>0</v>
      </c>
      <c r="U45" s="606">
        <f t="shared" ca="1" si="188"/>
        <v>0</v>
      </c>
      <c r="V45" s="606">
        <f t="shared" ca="1" si="188"/>
        <v>0</v>
      </c>
      <c r="W45" s="606">
        <f t="shared" ca="1" si="188"/>
        <v>0</v>
      </c>
      <c r="X45" s="606">
        <f t="shared" ca="1" si="188"/>
        <v>0</v>
      </c>
      <c r="Y45" s="606">
        <f t="shared" ca="1" si="188"/>
        <v>0</v>
      </c>
      <c r="Z45" s="606">
        <f t="shared" ca="1" si="188"/>
        <v>0</v>
      </c>
      <c r="AA45" s="606">
        <f t="shared" ca="1" si="188"/>
        <v>0</v>
      </c>
      <c r="AB45" s="606">
        <f t="shared" ca="1" si="188"/>
        <v>0</v>
      </c>
      <c r="AC45" s="606">
        <f t="shared" ca="1" si="188"/>
        <v>0</v>
      </c>
      <c r="AD45" s="606">
        <f t="shared" ca="1" si="188"/>
        <v>0</v>
      </c>
      <c r="AE45" s="606">
        <f t="shared" ca="1" si="188"/>
        <v>0</v>
      </c>
      <c r="AF45" s="606">
        <f t="shared" ca="1" si="188"/>
        <v>0</v>
      </c>
      <c r="AG45" s="606">
        <f t="shared" ca="1" si="188"/>
        <v>0</v>
      </c>
      <c r="AH45" s="606">
        <f t="shared" ca="1" si="188"/>
        <v>0</v>
      </c>
      <c r="AI45" s="606">
        <f t="shared" ca="1" si="188"/>
        <v>0</v>
      </c>
      <c r="AJ45" s="606">
        <f t="shared" ca="1" si="188"/>
        <v>0</v>
      </c>
      <c r="AK45" s="606">
        <f t="shared" ca="1" si="188"/>
        <v>0</v>
      </c>
      <c r="AL45" s="606">
        <f t="shared" ca="1" si="188"/>
        <v>0</v>
      </c>
      <c r="AM45" s="606">
        <f t="shared" ref="AM45:BR45" ca="1" si="189">AM153*$F$45</f>
        <v>0</v>
      </c>
      <c r="AN45" s="606">
        <f t="shared" ca="1" si="189"/>
        <v>0</v>
      </c>
      <c r="AO45" s="606">
        <f t="shared" ca="1" si="189"/>
        <v>0</v>
      </c>
      <c r="AP45" s="606">
        <f t="shared" ca="1" si="189"/>
        <v>0</v>
      </c>
      <c r="AQ45" s="606">
        <f t="shared" ca="1" si="189"/>
        <v>0</v>
      </c>
      <c r="AR45" s="606">
        <f t="shared" ca="1" si="189"/>
        <v>0</v>
      </c>
      <c r="AS45" s="606">
        <f t="shared" ca="1" si="189"/>
        <v>0</v>
      </c>
      <c r="AT45" s="606">
        <f t="shared" ca="1" si="189"/>
        <v>0</v>
      </c>
      <c r="AU45" s="606">
        <f t="shared" ca="1" si="189"/>
        <v>0</v>
      </c>
      <c r="AV45" s="606">
        <f t="shared" ca="1" si="189"/>
        <v>172132793.94476286</v>
      </c>
      <c r="AW45" s="606">
        <f t="shared" ca="1" si="189"/>
        <v>0</v>
      </c>
      <c r="AX45" s="606">
        <f t="shared" ca="1" si="189"/>
        <v>25112262.049941573</v>
      </c>
      <c r="AY45" s="606">
        <f t="shared" ca="1" si="189"/>
        <v>154154479.91053209</v>
      </c>
      <c r="AZ45" s="606">
        <f t="shared" ca="1" si="189"/>
        <v>149181754.75212783</v>
      </c>
      <c r="BA45" s="606">
        <f t="shared" ca="1" si="189"/>
        <v>44505890.167718075</v>
      </c>
      <c r="BB45" s="606">
        <f t="shared" ca="1" si="189"/>
        <v>14344399.495396907</v>
      </c>
      <c r="BC45" s="606">
        <f t="shared" ca="1" si="189"/>
        <v>0</v>
      </c>
      <c r="BD45" s="606">
        <f t="shared" ca="1" si="189"/>
        <v>0</v>
      </c>
      <c r="BE45" s="606">
        <f t="shared" ca="1" si="189"/>
        <v>0</v>
      </c>
      <c r="BF45" s="606">
        <f t="shared" ca="1" si="189"/>
        <v>0</v>
      </c>
      <c r="BG45" s="606">
        <f t="shared" ca="1" si="189"/>
        <v>0</v>
      </c>
      <c r="BH45" s="606">
        <f t="shared" ca="1" si="189"/>
        <v>0</v>
      </c>
      <c r="BI45" s="606">
        <f t="shared" ca="1" si="189"/>
        <v>0</v>
      </c>
      <c r="BJ45" s="606">
        <f t="shared" ca="1" si="189"/>
        <v>0</v>
      </c>
      <c r="BK45" s="606">
        <f t="shared" ca="1" si="189"/>
        <v>0</v>
      </c>
      <c r="BL45" s="606">
        <f t="shared" ca="1" si="189"/>
        <v>0</v>
      </c>
      <c r="BM45" s="606">
        <f t="shared" ca="1" si="189"/>
        <v>0</v>
      </c>
      <c r="BN45" s="606">
        <f t="shared" ca="1" si="189"/>
        <v>0</v>
      </c>
      <c r="BO45" s="606">
        <f t="shared" ca="1" si="189"/>
        <v>0</v>
      </c>
      <c r="BP45" s="606">
        <f t="shared" ca="1" si="189"/>
        <v>0</v>
      </c>
      <c r="BQ45" s="606">
        <f t="shared" ca="1" si="189"/>
        <v>0</v>
      </c>
      <c r="BR45" s="606">
        <f t="shared" ca="1" si="189"/>
        <v>0</v>
      </c>
      <c r="BS45" s="606">
        <f t="shared" ref="BS45:CX45" ca="1" si="190">BS153*$F$45</f>
        <v>0</v>
      </c>
      <c r="BT45" s="606">
        <f t="shared" ca="1" si="190"/>
        <v>0</v>
      </c>
      <c r="BU45" s="606">
        <f t="shared" ca="1" si="190"/>
        <v>0</v>
      </c>
      <c r="BV45" s="606">
        <f t="shared" ca="1" si="190"/>
        <v>0</v>
      </c>
      <c r="BW45" s="606">
        <f t="shared" ca="1" si="190"/>
        <v>0</v>
      </c>
      <c r="BX45" s="606">
        <f t="shared" ca="1" si="190"/>
        <v>0</v>
      </c>
      <c r="BY45" s="606">
        <f t="shared" ca="1" si="190"/>
        <v>14344399.495396907</v>
      </c>
      <c r="BZ45" s="606">
        <f t="shared" ca="1" si="190"/>
        <v>0</v>
      </c>
      <c r="CA45" s="606">
        <f t="shared" ca="1" si="190"/>
        <v>0</v>
      </c>
      <c r="CB45" s="606">
        <f t="shared" ca="1" si="190"/>
        <v>0</v>
      </c>
      <c r="CC45" s="606">
        <f t="shared" ca="1" si="190"/>
        <v>0</v>
      </c>
      <c r="CD45" s="606">
        <f t="shared" ca="1" si="190"/>
        <v>0</v>
      </c>
      <c r="CE45" s="606">
        <f t="shared" ca="1" si="190"/>
        <v>0</v>
      </c>
      <c r="CF45" s="606">
        <f t="shared" ca="1" si="190"/>
        <v>0</v>
      </c>
      <c r="CG45" s="606">
        <f t="shared" ca="1" si="190"/>
        <v>0</v>
      </c>
      <c r="CH45" s="606">
        <f t="shared" ca="1" si="190"/>
        <v>0</v>
      </c>
      <c r="CI45" s="606">
        <f t="shared" ca="1" si="190"/>
        <v>0</v>
      </c>
      <c r="CJ45" s="606">
        <f t="shared" ca="1" si="190"/>
        <v>0</v>
      </c>
      <c r="CK45" s="606">
        <f t="shared" ca="1" si="190"/>
        <v>0</v>
      </c>
      <c r="CL45" s="606">
        <f t="shared" ca="1" si="190"/>
        <v>0</v>
      </c>
      <c r="CM45" s="606">
        <f t="shared" ca="1" si="190"/>
        <v>0</v>
      </c>
      <c r="CN45" s="606">
        <f t="shared" ca="1" si="190"/>
        <v>0</v>
      </c>
      <c r="CO45" s="606">
        <f t="shared" ca="1" si="190"/>
        <v>0</v>
      </c>
      <c r="CP45" s="606">
        <f t="shared" ca="1" si="190"/>
        <v>0</v>
      </c>
      <c r="CQ45" s="606">
        <f t="shared" ca="1" si="190"/>
        <v>0</v>
      </c>
      <c r="CR45" s="606">
        <f t="shared" ca="1" si="190"/>
        <v>0</v>
      </c>
      <c r="CS45" s="606">
        <f t="shared" ca="1" si="190"/>
        <v>0</v>
      </c>
      <c r="CT45" s="606">
        <f t="shared" ca="1" si="190"/>
        <v>0</v>
      </c>
      <c r="CU45" s="606">
        <f t="shared" ca="1" si="190"/>
        <v>0</v>
      </c>
      <c r="CV45" s="606">
        <f t="shared" ca="1" si="190"/>
        <v>0</v>
      </c>
      <c r="CW45" s="606">
        <f t="shared" ca="1" si="190"/>
        <v>0</v>
      </c>
      <c r="CX45" s="606">
        <f t="shared" ca="1" si="190"/>
        <v>0</v>
      </c>
      <c r="CY45" s="606">
        <f t="shared" ref="CY45:ED45" ca="1" si="191">CY153*$F$45</f>
        <v>0</v>
      </c>
      <c r="CZ45" s="606">
        <f t="shared" ca="1" si="191"/>
        <v>0</v>
      </c>
      <c r="DA45" s="606">
        <f t="shared" ca="1" si="191"/>
        <v>0</v>
      </c>
      <c r="DB45" s="606">
        <f t="shared" ca="1" si="191"/>
        <v>0</v>
      </c>
      <c r="DC45" s="606">
        <f t="shared" ca="1" si="191"/>
        <v>0</v>
      </c>
      <c r="DD45" s="606">
        <f t="shared" ca="1" si="191"/>
        <v>0</v>
      </c>
      <c r="DE45" s="606">
        <f t="shared" ca="1" si="191"/>
        <v>0</v>
      </c>
      <c r="DF45" s="606">
        <f t="shared" ca="1" si="191"/>
        <v>0</v>
      </c>
      <c r="DG45" s="606">
        <f t="shared" ca="1" si="191"/>
        <v>0</v>
      </c>
      <c r="DH45" s="606">
        <f t="shared" ca="1" si="191"/>
        <v>0</v>
      </c>
      <c r="DI45" s="606">
        <f t="shared" ca="1" si="191"/>
        <v>0</v>
      </c>
      <c r="DJ45" s="606">
        <f t="shared" ca="1" si="191"/>
        <v>0</v>
      </c>
      <c r="DK45" s="606">
        <f t="shared" ca="1" si="191"/>
        <v>0</v>
      </c>
      <c r="DL45" s="606">
        <f t="shared" ca="1" si="191"/>
        <v>0</v>
      </c>
      <c r="DM45" s="606">
        <f t="shared" ca="1" si="191"/>
        <v>0</v>
      </c>
      <c r="DN45" s="606">
        <f t="shared" ca="1" si="191"/>
        <v>0</v>
      </c>
      <c r="DO45" s="606">
        <f t="shared" ca="1" si="191"/>
        <v>0</v>
      </c>
      <c r="DP45" s="606">
        <f t="shared" ca="1" si="191"/>
        <v>0</v>
      </c>
      <c r="DQ45" s="606">
        <f t="shared" ca="1" si="191"/>
        <v>0</v>
      </c>
      <c r="DR45" s="606">
        <f t="shared" ca="1" si="191"/>
        <v>0</v>
      </c>
      <c r="DS45" s="606">
        <f t="shared" ca="1" si="191"/>
        <v>0</v>
      </c>
      <c r="DT45" s="606">
        <f t="shared" ca="1" si="191"/>
        <v>0</v>
      </c>
      <c r="DU45" s="606">
        <f t="shared" ca="1" si="191"/>
        <v>0</v>
      </c>
      <c r="DV45" s="606">
        <f t="shared" ca="1" si="191"/>
        <v>0</v>
      </c>
      <c r="DW45" s="606">
        <f t="shared" ca="1" si="191"/>
        <v>0</v>
      </c>
      <c r="DX45" s="606">
        <f t="shared" ca="1" si="191"/>
        <v>0</v>
      </c>
      <c r="DY45" s="606">
        <f t="shared" ca="1" si="191"/>
        <v>0</v>
      </c>
      <c r="DZ45" s="606">
        <f t="shared" ca="1" si="191"/>
        <v>0</v>
      </c>
      <c r="EA45" s="606">
        <f t="shared" ca="1" si="191"/>
        <v>0</v>
      </c>
      <c r="EB45" s="606">
        <f t="shared" ca="1" si="191"/>
        <v>0</v>
      </c>
      <c r="EC45" s="606">
        <f t="shared" ca="1" si="191"/>
        <v>0</v>
      </c>
      <c r="ED45" s="606">
        <f t="shared" ca="1" si="191"/>
        <v>0</v>
      </c>
      <c r="EE45" s="606">
        <f t="shared" ref="EE45:EJ45" ca="1" si="192">EE153*$F$45</f>
        <v>0</v>
      </c>
      <c r="EF45" s="606">
        <f t="shared" ca="1" si="192"/>
        <v>0</v>
      </c>
      <c r="EG45" s="606">
        <f t="shared" ca="1" si="192"/>
        <v>0</v>
      </c>
      <c r="EH45" s="606">
        <f t="shared" ca="1" si="192"/>
        <v>0</v>
      </c>
      <c r="EI45" s="606">
        <f t="shared" ca="1" si="192"/>
        <v>0</v>
      </c>
      <c r="EJ45" s="606">
        <f t="shared" si="192"/>
        <v>0</v>
      </c>
    </row>
    <row r="46" spans="1:140" customFormat="1" hidden="1" outlineLevel="1">
      <c r="A46" s="321"/>
      <c r="B46" s="321"/>
      <c r="C46" s="317" t="s">
        <v>1351</v>
      </c>
      <c r="D46" s="317" t="s">
        <v>348</v>
      </c>
      <c r="E46" s="606">
        <f t="shared" ca="1" si="17"/>
        <v>0</v>
      </c>
      <c r="F46" s="606">
        <f>'Распределение по статьям'!AC415</f>
        <v>10007980.341596132</v>
      </c>
      <c r="G46" s="606">
        <f t="shared" ref="G46:AL46" si="193">G143*$F$46</f>
        <v>0</v>
      </c>
      <c r="H46" s="606">
        <f t="shared" ca="1" si="193"/>
        <v>0</v>
      </c>
      <c r="I46" s="606">
        <f t="shared" ca="1" si="193"/>
        <v>0</v>
      </c>
      <c r="J46" s="606">
        <f t="shared" ca="1" si="193"/>
        <v>0</v>
      </c>
      <c r="K46" s="606">
        <f t="shared" ca="1" si="193"/>
        <v>0</v>
      </c>
      <c r="L46" s="606">
        <f t="shared" ca="1" si="193"/>
        <v>0</v>
      </c>
      <c r="M46" s="606">
        <f t="shared" ca="1" si="193"/>
        <v>0</v>
      </c>
      <c r="N46" s="606">
        <f t="shared" ca="1" si="193"/>
        <v>0</v>
      </c>
      <c r="O46" s="606">
        <f t="shared" ca="1" si="193"/>
        <v>0</v>
      </c>
      <c r="P46" s="606">
        <f t="shared" ca="1" si="193"/>
        <v>0</v>
      </c>
      <c r="Q46" s="606">
        <f t="shared" ca="1" si="193"/>
        <v>0</v>
      </c>
      <c r="R46" s="606">
        <f t="shared" ca="1" si="193"/>
        <v>0</v>
      </c>
      <c r="S46" s="606">
        <f t="shared" ca="1" si="193"/>
        <v>0</v>
      </c>
      <c r="T46" s="606">
        <f t="shared" ca="1" si="193"/>
        <v>0</v>
      </c>
      <c r="U46" s="606">
        <f t="shared" ca="1" si="193"/>
        <v>0</v>
      </c>
      <c r="V46" s="606">
        <f t="shared" ca="1" si="193"/>
        <v>0</v>
      </c>
      <c r="W46" s="606">
        <f t="shared" ca="1" si="193"/>
        <v>0</v>
      </c>
      <c r="X46" s="606">
        <f t="shared" ca="1" si="193"/>
        <v>0</v>
      </c>
      <c r="Y46" s="606">
        <f t="shared" ca="1" si="193"/>
        <v>0</v>
      </c>
      <c r="Z46" s="606">
        <f t="shared" ca="1" si="193"/>
        <v>0</v>
      </c>
      <c r="AA46" s="606">
        <f t="shared" ca="1" si="193"/>
        <v>0</v>
      </c>
      <c r="AB46" s="606">
        <f t="shared" ca="1" si="193"/>
        <v>0</v>
      </c>
      <c r="AC46" s="606">
        <f t="shared" ca="1" si="193"/>
        <v>0</v>
      </c>
      <c r="AD46" s="606">
        <f t="shared" ca="1" si="193"/>
        <v>0</v>
      </c>
      <c r="AE46" s="606">
        <f t="shared" ca="1" si="193"/>
        <v>0</v>
      </c>
      <c r="AF46" s="606">
        <f t="shared" ca="1" si="193"/>
        <v>0</v>
      </c>
      <c r="AG46" s="606">
        <f t="shared" ca="1" si="193"/>
        <v>0</v>
      </c>
      <c r="AH46" s="606">
        <f t="shared" ca="1" si="193"/>
        <v>0</v>
      </c>
      <c r="AI46" s="606">
        <f t="shared" ca="1" si="193"/>
        <v>0</v>
      </c>
      <c r="AJ46" s="606">
        <f t="shared" ca="1" si="193"/>
        <v>0</v>
      </c>
      <c r="AK46" s="606">
        <f t="shared" ca="1" si="193"/>
        <v>0</v>
      </c>
      <c r="AL46" s="606">
        <f t="shared" ca="1" si="193"/>
        <v>0</v>
      </c>
      <c r="AM46" s="606">
        <f t="shared" ref="AM46:BR46" ca="1" si="194">AM143*$F$46</f>
        <v>0</v>
      </c>
      <c r="AN46" s="606">
        <f t="shared" ca="1" si="194"/>
        <v>0</v>
      </c>
      <c r="AO46" s="606">
        <f t="shared" ca="1" si="194"/>
        <v>0</v>
      </c>
      <c r="AP46" s="606">
        <f t="shared" ca="1" si="194"/>
        <v>0</v>
      </c>
      <c r="AQ46" s="606">
        <f t="shared" ca="1" si="194"/>
        <v>0</v>
      </c>
      <c r="AR46" s="606">
        <f t="shared" ca="1" si="194"/>
        <v>0</v>
      </c>
      <c r="AS46" s="606">
        <f t="shared" ca="1" si="194"/>
        <v>0</v>
      </c>
      <c r="AT46" s="606">
        <f t="shared" ca="1" si="194"/>
        <v>0</v>
      </c>
      <c r="AU46" s="606">
        <f t="shared" ca="1" si="194"/>
        <v>0</v>
      </c>
      <c r="AV46" s="606">
        <f t="shared" ca="1" si="194"/>
        <v>3002394.1024788395</v>
      </c>
      <c r="AW46" s="606">
        <f t="shared" ca="1" si="194"/>
        <v>0</v>
      </c>
      <c r="AX46" s="606">
        <f t="shared" ca="1" si="194"/>
        <v>547519.92452148953</v>
      </c>
      <c r="AY46" s="606">
        <f t="shared" ca="1" si="194"/>
        <v>3361013.3980527008</v>
      </c>
      <c r="AZ46" s="606">
        <f t="shared" ca="1" si="194"/>
        <v>2596653.899463295</v>
      </c>
      <c r="BA46" s="606">
        <f t="shared" ca="1" si="194"/>
        <v>250199.50853990333</v>
      </c>
      <c r="BB46" s="606">
        <f t="shared" ca="1" si="194"/>
        <v>0</v>
      </c>
      <c r="BC46" s="606">
        <f t="shared" ca="1" si="194"/>
        <v>0</v>
      </c>
      <c r="BD46" s="606">
        <f t="shared" ca="1" si="194"/>
        <v>0</v>
      </c>
      <c r="BE46" s="606">
        <f t="shared" ca="1" si="194"/>
        <v>0</v>
      </c>
      <c r="BF46" s="606">
        <f t="shared" ca="1" si="194"/>
        <v>0</v>
      </c>
      <c r="BG46" s="606">
        <f t="shared" ca="1" si="194"/>
        <v>0</v>
      </c>
      <c r="BH46" s="606">
        <f t="shared" ca="1" si="194"/>
        <v>0</v>
      </c>
      <c r="BI46" s="606">
        <f t="shared" ca="1" si="194"/>
        <v>0</v>
      </c>
      <c r="BJ46" s="606">
        <f t="shared" ca="1" si="194"/>
        <v>0</v>
      </c>
      <c r="BK46" s="606">
        <f t="shared" ca="1" si="194"/>
        <v>0</v>
      </c>
      <c r="BL46" s="606">
        <f t="shared" ca="1" si="194"/>
        <v>0</v>
      </c>
      <c r="BM46" s="606">
        <f t="shared" ca="1" si="194"/>
        <v>0</v>
      </c>
      <c r="BN46" s="606">
        <f t="shared" ca="1" si="194"/>
        <v>0</v>
      </c>
      <c r="BO46" s="606">
        <f t="shared" ca="1" si="194"/>
        <v>0</v>
      </c>
      <c r="BP46" s="606">
        <f t="shared" ca="1" si="194"/>
        <v>0</v>
      </c>
      <c r="BQ46" s="606">
        <f t="shared" ca="1" si="194"/>
        <v>0</v>
      </c>
      <c r="BR46" s="606">
        <f t="shared" ca="1" si="194"/>
        <v>0</v>
      </c>
      <c r="BS46" s="606">
        <f t="shared" ref="BS46:CX46" ca="1" si="195">BS143*$F$46</f>
        <v>0</v>
      </c>
      <c r="BT46" s="606">
        <f t="shared" ca="1" si="195"/>
        <v>0</v>
      </c>
      <c r="BU46" s="606">
        <f t="shared" ca="1" si="195"/>
        <v>0</v>
      </c>
      <c r="BV46" s="606">
        <f t="shared" ca="1" si="195"/>
        <v>0</v>
      </c>
      <c r="BW46" s="606">
        <f t="shared" ca="1" si="195"/>
        <v>0</v>
      </c>
      <c r="BX46" s="606">
        <f t="shared" ca="1" si="195"/>
        <v>250199.50853990333</v>
      </c>
      <c r="BY46" s="606">
        <f t="shared" ca="1" si="195"/>
        <v>0</v>
      </c>
      <c r="BZ46" s="606">
        <f t="shared" ca="1" si="195"/>
        <v>0</v>
      </c>
      <c r="CA46" s="606">
        <f t="shared" ca="1" si="195"/>
        <v>0</v>
      </c>
      <c r="CB46" s="606">
        <f t="shared" ca="1" si="195"/>
        <v>0</v>
      </c>
      <c r="CC46" s="606">
        <f t="shared" ca="1" si="195"/>
        <v>0</v>
      </c>
      <c r="CD46" s="606">
        <f t="shared" ca="1" si="195"/>
        <v>0</v>
      </c>
      <c r="CE46" s="606">
        <f t="shared" ca="1" si="195"/>
        <v>0</v>
      </c>
      <c r="CF46" s="606">
        <f t="shared" ca="1" si="195"/>
        <v>0</v>
      </c>
      <c r="CG46" s="606">
        <f t="shared" ca="1" si="195"/>
        <v>0</v>
      </c>
      <c r="CH46" s="606">
        <f t="shared" ca="1" si="195"/>
        <v>0</v>
      </c>
      <c r="CI46" s="606">
        <f t="shared" ca="1" si="195"/>
        <v>0</v>
      </c>
      <c r="CJ46" s="606">
        <f t="shared" ca="1" si="195"/>
        <v>0</v>
      </c>
      <c r="CK46" s="606">
        <f t="shared" ca="1" si="195"/>
        <v>0</v>
      </c>
      <c r="CL46" s="606">
        <f t="shared" ca="1" si="195"/>
        <v>0</v>
      </c>
      <c r="CM46" s="606">
        <f t="shared" ca="1" si="195"/>
        <v>0</v>
      </c>
      <c r="CN46" s="606">
        <f t="shared" ca="1" si="195"/>
        <v>0</v>
      </c>
      <c r="CO46" s="606">
        <f t="shared" ca="1" si="195"/>
        <v>0</v>
      </c>
      <c r="CP46" s="606">
        <f t="shared" ca="1" si="195"/>
        <v>0</v>
      </c>
      <c r="CQ46" s="606">
        <f t="shared" ca="1" si="195"/>
        <v>0</v>
      </c>
      <c r="CR46" s="606">
        <f t="shared" ca="1" si="195"/>
        <v>0</v>
      </c>
      <c r="CS46" s="606">
        <f t="shared" ca="1" si="195"/>
        <v>0</v>
      </c>
      <c r="CT46" s="606">
        <f t="shared" ca="1" si="195"/>
        <v>0</v>
      </c>
      <c r="CU46" s="606">
        <f t="shared" ca="1" si="195"/>
        <v>0</v>
      </c>
      <c r="CV46" s="606">
        <f t="shared" ca="1" si="195"/>
        <v>0</v>
      </c>
      <c r="CW46" s="606">
        <f t="shared" ca="1" si="195"/>
        <v>0</v>
      </c>
      <c r="CX46" s="606">
        <f t="shared" ca="1" si="195"/>
        <v>0</v>
      </c>
      <c r="CY46" s="606">
        <f t="shared" ref="CY46:ED46" ca="1" si="196">CY143*$F$46</f>
        <v>0</v>
      </c>
      <c r="CZ46" s="606">
        <f t="shared" ca="1" si="196"/>
        <v>0</v>
      </c>
      <c r="DA46" s="606">
        <f t="shared" ca="1" si="196"/>
        <v>0</v>
      </c>
      <c r="DB46" s="606">
        <f t="shared" ca="1" si="196"/>
        <v>0</v>
      </c>
      <c r="DC46" s="606">
        <f t="shared" ca="1" si="196"/>
        <v>0</v>
      </c>
      <c r="DD46" s="606">
        <f t="shared" ca="1" si="196"/>
        <v>0</v>
      </c>
      <c r="DE46" s="606">
        <f t="shared" ca="1" si="196"/>
        <v>0</v>
      </c>
      <c r="DF46" s="606">
        <f t="shared" ca="1" si="196"/>
        <v>0</v>
      </c>
      <c r="DG46" s="606">
        <f t="shared" ca="1" si="196"/>
        <v>0</v>
      </c>
      <c r="DH46" s="606">
        <f t="shared" ca="1" si="196"/>
        <v>0</v>
      </c>
      <c r="DI46" s="606">
        <f t="shared" ca="1" si="196"/>
        <v>0</v>
      </c>
      <c r="DJ46" s="606">
        <f t="shared" ca="1" si="196"/>
        <v>0</v>
      </c>
      <c r="DK46" s="606">
        <f t="shared" ca="1" si="196"/>
        <v>0</v>
      </c>
      <c r="DL46" s="606">
        <f t="shared" ca="1" si="196"/>
        <v>0</v>
      </c>
      <c r="DM46" s="606">
        <f t="shared" ca="1" si="196"/>
        <v>0</v>
      </c>
      <c r="DN46" s="606">
        <f t="shared" ca="1" si="196"/>
        <v>0</v>
      </c>
      <c r="DO46" s="606">
        <f t="shared" ca="1" si="196"/>
        <v>0</v>
      </c>
      <c r="DP46" s="606">
        <f t="shared" ca="1" si="196"/>
        <v>0</v>
      </c>
      <c r="DQ46" s="606">
        <f t="shared" ca="1" si="196"/>
        <v>0</v>
      </c>
      <c r="DR46" s="606">
        <f t="shared" ca="1" si="196"/>
        <v>0</v>
      </c>
      <c r="DS46" s="606">
        <f t="shared" ca="1" si="196"/>
        <v>0</v>
      </c>
      <c r="DT46" s="606">
        <f t="shared" ca="1" si="196"/>
        <v>0</v>
      </c>
      <c r="DU46" s="606">
        <f t="shared" ca="1" si="196"/>
        <v>0</v>
      </c>
      <c r="DV46" s="606">
        <f t="shared" ca="1" si="196"/>
        <v>0</v>
      </c>
      <c r="DW46" s="606">
        <f t="shared" ca="1" si="196"/>
        <v>0</v>
      </c>
      <c r="DX46" s="606">
        <f t="shared" ca="1" si="196"/>
        <v>0</v>
      </c>
      <c r="DY46" s="606">
        <f t="shared" ca="1" si="196"/>
        <v>0</v>
      </c>
      <c r="DZ46" s="606">
        <f t="shared" ca="1" si="196"/>
        <v>0</v>
      </c>
      <c r="EA46" s="606">
        <f t="shared" ca="1" si="196"/>
        <v>0</v>
      </c>
      <c r="EB46" s="606">
        <f t="shared" ca="1" si="196"/>
        <v>0</v>
      </c>
      <c r="EC46" s="606">
        <f t="shared" ca="1" si="196"/>
        <v>0</v>
      </c>
      <c r="ED46" s="606">
        <f t="shared" ca="1" si="196"/>
        <v>0</v>
      </c>
      <c r="EE46" s="606">
        <f t="shared" ref="EE46:EJ46" ca="1" si="197">EE143*$F$46</f>
        <v>0</v>
      </c>
      <c r="EF46" s="606">
        <f t="shared" ca="1" si="197"/>
        <v>0</v>
      </c>
      <c r="EG46" s="606">
        <f t="shared" ca="1" si="197"/>
        <v>0</v>
      </c>
      <c r="EH46" s="606">
        <f t="shared" ca="1" si="197"/>
        <v>0</v>
      </c>
      <c r="EI46" s="606">
        <f t="shared" ca="1" si="197"/>
        <v>0</v>
      </c>
      <c r="EJ46" s="606">
        <f t="shared" si="197"/>
        <v>0</v>
      </c>
    </row>
    <row r="47" spans="1:140" customFormat="1" ht="30" hidden="1" outlineLevel="1">
      <c r="A47" s="321"/>
      <c r="B47" s="321"/>
      <c r="C47" s="317" t="s">
        <v>1350</v>
      </c>
      <c r="D47" s="317" t="s">
        <v>1349</v>
      </c>
      <c r="E47" s="606">
        <f t="shared" ca="1" si="17"/>
        <v>15725185.546400001</v>
      </c>
      <c r="F47" s="606">
        <f>'Распределение по статьям'!AC458</f>
        <v>15725185.546400001</v>
      </c>
      <c r="G47" s="606">
        <f t="shared" ref="G47:AL47" si="198">G217*$F$47</f>
        <v>0</v>
      </c>
      <c r="H47" s="606">
        <f t="shared" ca="1" si="198"/>
        <v>0</v>
      </c>
      <c r="I47" s="606">
        <f t="shared" ca="1" si="198"/>
        <v>0</v>
      </c>
      <c r="J47" s="606">
        <f t="shared" ca="1" si="198"/>
        <v>0</v>
      </c>
      <c r="K47" s="606">
        <f t="shared" ca="1" si="198"/>
        <v>0</v>
      </c>
      <c r="L47" s="606">
        <f t="shared" ca="1" si="198"/>
        <v>0</v>
      </c>
      <c r="M47" s="606">
        <f t="shared" ca="1" si="198"/>
        <v>0</v>
      </c>
      <c r="N47" s="606">
        <f t="shared" ca="1" si="198"/>
        <v>0</v>
      </c>
      <c r="O47" s="606">
        <f t="shared" ca="1" si="198"/>
        <v>0</v>
      </c>
      <c r="P47" s="606">
        <f t="shared" ca="1" si="198"/>
        <v>0</v>
      </c>
      <c r="Q47" s="606">
        <f t="shared" ca="1" si="198"/>
        <v>0</v>
      </c>
      <c r="R47" s="606">
        <f t="shared" ca="1" si="198"/>
        <v>0</v>
      </c>
      <c r="S47" s="606">
        <f t="shared" ca="1" si="198"/>
        <v>0</v>
      </c>
      <c r="T47" s="606">
        <f t="shared" ca="1" si="198"/>
        <v>0</v>
      </c>
      <c r="U47" s="606">
        <f t="shared" ca="1" si="198"/>
        <v>0</v>
      </c>
      <c r="V47" s="606">
        <f t="shared" ca="1" si="198"/>
        <v>0</v>
      </c>
      <c r="W47" s="606">
        <f t="shared" ca="1" si="198"/>
        <v>0</v>
      </c>
      <c r="X47" s="606">
        <f t="shared" ca="1" si="198"/>
        <v>0</v>
      </c>
      <c r="Y47" s="606">
        <f t="shared" ca="1" si="198"/>
        <v>0</v>
      </c>
      <c r="Z47" s="606">
        <f t="shared" ca="1" si="198"/>
        <v>0</v>
      </c>
      <c r="AA47" s="606">
        <f t="shared" ca="1" si="198"/>
        <v>0</v>
      </c>
      <c r="AB47" s="606">
        <f t="shared" ca="1" si="198"/>
        <v>0</v>
      </c>
      <c r="AC47" s="606">
        <f t="shared" ca="1" si="198"/>
        <v>0</v>
      </c>
      <c r="AD47" s="606">
        <f t="shared" ca="1" si="198"/>
        <v>0</v>
      </c>
      <c r="AE47" s="606">
        <f t="shared" ca="1" si="198"/>
        <v>0</v>
      </c>
      <c r="AF47" s="606">
        <f t="shared" ca="1" si="198"/>
        <v>0</v>
      </c>
      <c r="AG47" s="606">
        <f t="shared" ca="1" si="198"/>
        <v>0</v>
      </c>
      <c r="AH47" s="606">
        <f t="shared" ca="1" si="198"/>
        <v>0</v>
      </c>
      <c r="AI47" s="606">
        <f t="shared" ca="1" si="198"/>
        <v>0</v>
      </c>
      <c r="AJ47" s="606">
        <f t="shared" ca="1" si="198"/>
        <v>0</v>
      </c>
      <c r="AK47" s="606">
        <f t="shared" ca="1" si="198"/>
        <v>0</v>
      </c>
      <c r="AL47" s="606">
        <f t="shared" ca="1" si="198"/>
        <v>0</v>
      </c>
      <c r="AM47" s="606">
        <f t="shared" ref="AM47:BR47" ca="1" si="199">AM217*$F$47</f>
        <v>0</v>
      </c>
      <c r="AN47" s="606">
        <f t="shared" ca="1" si="199"/>
        <v>0</v>
      </c>
      <c r="AO47" s="606">
        <f t="shared" ca="1" si="199"/>
        <v>0</v>
      </c>
      <c r="AP47" s="606">
        <f t="shared" ca="1" si="199"/>
        <v>0</v>
      </c>
      <c r="AQ47" s="606">
        <f t="shared" ca="1" si="199"/>
        <v>0</v>
      </c>
      <c r="AR47" s="606">
        <f t="shared" ca="1" si="199"/>
        <v>0</v>
      </c>
      <c r="AS47" s="606">
        <f t="shared" ca="1" si="199"/>
        <v>0</v>
      </c>
      <c r="AT47" s="606">
        <f t="shared" ca="1" si="199"/>
        <v>0</v>
      </c>
      <c r="AU47" s="606">
        <f t="shared" ca="1" si="199"/>
        <v>0</v>
      </c>
      <c r="AV47" s="606">
        <f t="shared" ca="1" si="199"/>
        <v>0</v>
      </c>
      <c r="AW47" s="606">
        <f t="shared" ca="1" si="199"/>
        <v>0</v>
      </c>
      <c r="AX47" s="606">
        <f t="shared" ca="1" si="199"/>
        <v>0</v>
      </c>
      <c r="AY47" s="606">
        <f t="shared" ca="1" si="199"/>
        <v>0</v>
      </c>
      <c r="AZ47" s="606">
        <f t="shared" ca="1" si="199"/>
        <v>0</v>
      </c>
      <c r="BA47" s="606">
        <f t="shared" ca="1" si="199"/>
        <v>0</v>
      </c>
      <c r="BB47" s="606">
        <f t="shared" ca="1" si="199"/>
        <v>0</v>
      </c>
      <c r="BC47" s="606">
        <f t="shared" ca="1" si="199"/>
        <v>0</v>
      </c>
      <c r="BD47" s="606">
        <f t="shared" ca="1" si="199"/>
        <v>0</v>
      </c>
      <c r="BE47" s="606">
        <f t="shared" ca="1" si="199"/>
        <v>0</v>
      </c>
      <c r="BF47" s="606">
        <f t="shared" ca="1" si="199"/>
        <v>0</v>
      </c>
      <c r="BG47" s="606">
        <f t="shared" ca="1" si="199"/>
        <v>0</v>
      </c>
      <c r="BH47" s="606">
        <f t="shared" ca="1" si="199"/>
        <v>0</v>
      </c>
      <c r="BI47" s="606">
        <f t="shared" ca="1" si="199"/>
        <v>0</v>
      </c>
      <c r="BJ47" s="606">
        <f t="shared" ca="1" si="199"/>
        <v>0</v>
      </c>
      <c r="BK47" s="606">
        <f t="shared" ca="1" si="199"/>
        <v>0</v>
      </c>
      <c r="BL47" s="606">
        <f t="shared" ca="1" si="199"/>
        <v>0</v>
      </c>
      <c r="BM47" s="606">
        <f t="shared" ca="1" si="199"/>
        <v>0</v>
      </c>
      <c r="BN47" s="606">
        <f t="shared" ca="1" si="199"/>
        <v>0</v>
      </c>
      <c r="BO47" s="606">
        <f t="shared" ca="1" si="199"/>
        <v>0</v>
      </c>
      <c r="BP47" s="606">
        <f t="shared" ca="1" si="199"/>
        <v>0</v>
      </c>
      <c r="BQ47" s="606">
        <f t="shared" ca="1" si="199"/>
        <v>0</v>
      </c>
      <c r="BR47" s="606">
        <f t="shared" ca="1" si="199"/>
        <v>0</v>
      </c>
      <c r="BS47" s="606">
        <f t="shared" ref="BS47:CX47" ca="1" si="200">BS217*$F$47</f>
        <v>0</v>
      </c>
      <c r="BT47" s="606">
        <f t="shared" ca="1" si="200"/>
        <v>0</v>
      </c>
      <c r="BU47" s="606">
        <f t="shared" ca="1" si="200"/>
        <v>0</v>
      </c>
      <c r="BV47" s="606">
        <f t="shared" ca="1" si="200"/>
        <v>0</v>
      </c>
      <c r="BW47" s="606">
        <f t="shared" ca="1" si="200"/>
        <v>0</v>
      </c>
      <c r="BX47" s="606">
        <f t="shared" ca="1" si="200"/>
        <v>0</v>
      </c>
      <c r="BY47" s="606">
        <f t="shared" ca="1" si="200"/>
        <v>0</v>
      </c>
      <c r="BZ47" s="606">
        <f t="shared" ca="1" si="200"/>
        <v>0</v>
      </c>
      <c r="CA47" s="606">
        <f t="shared" ca="1" si="200"/>
        <v>0</v>
      </c>
      <c r="CB47" s="606">
        <f t="shared" ca="1" si="200"/>
        <v>0</v>
      </c>
      <c r="CC47" s="606">
        <f t="shared" ca="1" si="200"/>
        <v>0</v>
      </c>
      <c r="CD47" s="606">
        <f t="shared" ca="1" si="200"/>
        <v>0</v>
      </c>
      <c r="CE47" s="606">
        <f t="shared" ca="1" si="200"/>
        <v>0</v>
      </c>
      <c r="CF47" s="606">
        <f t="shared" ca="1" si="200"/>
        <v>0</v>
      </c>
      <c r="CG47" s="606">
        <f t="shared" ca="1" si="200"/>
        <v>0</v>
      </c>
      <c r="CH47" s="606">
        <f t="shared" ca="1" si="200"/>
        <v>0</v>
      </c>
      <c r="CI47" s="606">
        <f t="shared" ca="1" si="200"/>
        <v>0</v>
      </c>
      <c r="CJ47" s="606">
        <f t="shared" ca="1" si="200"/>
        <v>0</v>
      </c>
      <c r="CK47" s="606">
        <f t="shared" ca="1" si="200"/>
        <v>0</v>
      </c>
      <c r="CL47" s="606">
        <f t="shared" ca="1" si="200"/>
        <v>0</v>
      </c>
      <c r="CM47" s="606">
        <f t="shared" ca="1" si="200"/>
        <v>0</v>
      </c>
      <c r="CN47" s="606">
        <f t="shared" ca="1" si="200"/>
        <v>0</v>
      </c>
      <c r="CO47" s="606">
        <f t="shared" ca="1" si="200"/>
        <v>0</v>
      </c>
      <c r="CP47" s="606">
        <f t="shared" ca="1" si="200"/>
        <v>0</v>
      </c>
      <c r="CQ47" s="606">
        <f t="shared" ca="1" si="200"/>
        <v>0</v>
      </c>
      <c r="CR47" s="606">
        <f t="shared" ca="1" si="200"/>
        <v>0</v>
      </c>
      <c r="CS47" s="606">
        <f t="shared" ca="1" si="200"/>
        <v>0</v>
      </c>
      <c r="CT47" s="606">
        <f t="shared" ca="1" si="200"/>
        <v>0</v>
      </c>
      <c r="CU47" s="606">
        <f t="shared" ca="1" si="200"/>
        <v>0</v>
      </c>
      <c r="CV47" s="606">
        <f t="shared" ca="1" si="200"/>
        <v>0</v>
      </c>
      <c r="CW47" s="606">
        <f t="shared" ca="1" si="200"/>
        <v>0</v>
      </c>
      <c r="CX47" s="606">
        <f t="shared" ca="1" si="200"/>
        <v>0</v>
      </c>
      <c r="CY47" s="606">
        <f t="shared" ref="CY47:ED47" ca="1" si="201">CY217*$F$47</f>
        <v>0</v>
      </c>
      <c r="CZ47" s="606">
        <f t="shared" ca="1" si="201"/>
        <v>0</v>
      </c>
      <c r="DA47" s="606">
        <f t="shared" ca="1" si="201"/>
        <v>0</v>
      </c>
      <c r="DB47" s="606">
        <f t="shared" ca="1" si="201"/>
        <v>0</v>
      </c>
      <c r="DC47" s="606">
        <f t="shared" ca="1" si="201"/>
        <v>0</v>
      </c>
      <c r="DD47" s="606">
        <f t="shared" ca="1" si="201"/>
        <v>0</v>
      </c>
      <c r="DE47" s="606">
        <f t="shared" ca="1" si="201"/>
        <v>0</v>
      </c>
      <c r="DF47" s="606">
        <f t="shared" ca="1" si="201"/>
        <v>0</v>
      </c>
      <c r="DG47" s="606">
        <f t="shared" ca="1" si="201"/>
        <v>0</v>
      </c>
      <c r="DH47" s="606">
        <f t="shared" ca="1" si="201"/>
        <v>0</v>
      </c>
      <c r="DI47" s="606">
        <f t="shared" ca="1" si="201"/>
        <v>0</v>
      </c>
      <c r="DJ47" s="606">
        <f t="shared" ca="1" si="201"/>
        <v>0</v>
      </c>
      <c r="DK47" s="606">
        <f t="shared" ca="1" si="201"/>
        <v>0</v>
      </c>
      <c r="DL47" s="606">
        <f t="shared" ca="1" si="201"/>
        <v>0</v>
      </c>
      <c r="DM47" s="606">
        <f t="shared" ca="1" si="201"/>
        <v>0</v>
      </c>
      <c r="DN47" s="606">
        <f t="shared" ca="1" si="201"/>
        <v>0</v>
      </c>
      <c r="DO47" s="606">
        <f t="shared" ca="1" si="201"/>
        <v>0</v>
      </c>
      <c r="DP47" s="606">
        <f t="shared" ca="1" si="201"/>
        <v>0</v>
      </c>
      <c r="DQ47" s="606">
        <f t="shared" ca="1" si="201"/>
        <v>0</v>
      </c>
      <c r="DR47" s="606">
        <f t="shared" ca="1" si="201"/>
        <v>0</v>
      </c>
      <c r="DS47" s="606">
        <f t="shared" ca="1" si="201"/>
        <v>0</v>
      </c>
      <c r="DT47" s="606">
        <f t="shared" ca="1" si="201"/>
        <v>0</v>
      </c>
      <c r="DU47" s="606">
        <f t="shared" ca="1" si="201"/>
        <v>0</v>
      </c>
      <c r="DV47" s="606">
        <f t="shared" ca="1" si="201"/>
        <v>0</v>
      </c>
      <c r="DW47" s="606">
        <f t="shared" ca="1" si="201"/>
        <v>0</v>
      </c>
      <c r="DX47" s="606">
        <f t="shared" ca="1" si="201"/>
        <v>0</v>
      </c>
      <c r="DY47" s="606">
        <f t="shared" ca="1" si="201"/>
        <v>0</v>
      </c>
      <c r="DZ47" s="606">
        <f t="shared" ca="1" si="201"/>
        <v>0</v>
      </c>
      <c r="EA47" s="606">
        <f t="shared" ca="1" si="201"/>
        <v>0</v>
      </c>
      <c r="EB47" s="606">
        <f t="shared" ca="1" si="201"/>
        <v>0</v>
      </c>
      <c r="EC47" s="606">
        <f t="shared" ca="1" si="201"/>
        <v>0</v>
      </c>
      <c r="ED47" s="606">
        <f t="shared" ca="1" si="201"/>
        <v>0</v>
      </c>
      <c r="EE47" s="606">
        <f t="shared" ref="EE47:EJ47" ca="1" si="202">EE217*$F$47</f>
        <v>0</v>
      </c>
      <c r="EF47" s="606">
        <f t="shared" ca="1" si="202"/>
        <v>0</v>
      </c>
      <c r="EG47" s="606">
        <f t="shared" ca="1" si="202"/>
        <v>0</v>
      </c>
      <c r="EH47" s="606">
        <f t="shared" ca="1" si="202"/>
        <v>0</v>
      </c>
      <c r="EI47" s="606">
        <f t="shared" ca="1" si="202"/>
        <v>0</v>
      </c>
      <c r="EJ47" s="606">
        <f t="shared" si="202"/>
        <v>0</v>
      </c>
    </row>
    <row r="48" spans="1:140" customFormat="1" hidden="1" outlineLevel="1">
      <c r="A48" s="321"/>
      <c r="B48" s="321"/>
      <c r="C48" s="317" t="s">
        <v>1344</v>
      </c>
      <c r="D48" s="317" t="s">
        <v>1172</v>
      </c>
      <c r="E48" s="606">
        <f t="shared" ca="1" si="17"/>
        <v>0</v>
      </c>
      <c r="F48" s="606">
        <f>'Распределение по статьям'!AC471</f>
        <v>182117134.33512318</v>
      </c>
      <c r="G48" s="606">
        <f t="shared" ref="G48:AL48" si="203">G126*$F$48</f>
        <v>0</v>
      </c>
      <c r="H48" s="606">
        <f t="shared" ca="1" si="203"/>
        <v>0</v>
      </c>
      <c r="I48" s="606">
        <f t="shared" ca="1" si="203"/>
        <v>0</v>
      </c>
      <c r="J48" s="606">
        <f t="shared" ca="1" si="203"/>
        <v>0</v>
      </c>
      <c r="K48" s="606">
        <f t="shared" ca="1" si="203"/>
        <v>0</v>
      </c>
      <c r="L48" s="606">
        <f t="shared" ca="1" si="203"/>
        <v>0</v>
      </c>
      <c r="M48" s="606">
        <f t="shared" ca="1" si="203"/>
        <v>0</v>
      </c>
      <c r="N48" s="606">
        <f t="shared" ca="1" si="203"/>
        <v>0</v>
      </c>
      <c r="O48" s="606">
        <f t="shared" ca="1" si="203"/>
        <v>0</v>
      </c>
      <c r="P48" s="606">
        <f t="shared" ca="1" si="203"/>
        <v>0</v>
      </c>
      <c r="Q48" s="606">
        <f t="shared" ca="1" si="203"/>
        <v>0</v>
      </c>
      <c r="R48" s="606">
        <f t="shared" ca="1" si="203"/>
        <v>0</v>
      </c>
      <c r="S48" s="606">
        <f t="shared" ca="1" si="203"/>
        <v>0</v>
      </c>
      <c r="T48" s="606">
        <f t="shared" ca="1" si="203"/>
        <v>0</v>
      </c>
      <c r="U48" s="606">
        <f t="shared" ca="1" si="203"/>
        <v>0</v>
      </c>
      <c r="V48" s="606">
        <f t="shared" ca="1" si="203"/>
        <v>0</v>
      </c>
      <c r="W48" s="606">
        <f t="shared" ca="1" si="203"/>
        <v>0</v>
      </c>
      <c r="X48" s="606">
        <f t="shared" ca="1" si="203"/>
        <v>0</v>
      </c>
      <c r="Y48" s="606">
        <f t="shared" ca="1" si="203"/>
        <v>0</v>
      </c>
      <c r="Z48" s="606">
        <f t="shared" ca="1" si="203"/>
        <v>0</v>
      </c>
      <c r="AA48" s="606">
        <f t="shared" ca="1" si="203"/>
        <v>0</v>
      </c>
      <c r="AB48" s="606">
        <f t="shared" ca="1" si="203"/>
        <v>0</v>
      </c>
      <c r="AC48" s="606">
        <f t="shared" ca="1" si="203"/>
        <v>0</v>
      </c>
      <c r="AD48" s="606">
        <f t="shared" ca="1" si="203"/>
        <v>0</v>
      </c>
      <c r="AE48" s="606">
        <f t="shared" ca="1" si="203"/>
        <v>0</v>
      </c>
      <c r="AF48" s="606">
        <f t="shared" ca="1" si="203"/>
        <v>0</v>
      </c>
      <c r="AG48" s="606">
        <f t="shared" ca="1" si="203"/>
        <v>0</v>
      </c>
      <c r="AH48" s="606">
        <f t="shared" ca="1" si="203"/>
        <v>0</v>
      </c>
      <c r="AI48" s="606">
        <f t="shared" ca="1" si="203"/>
        <v>0</v>
      </c>
      <c r="AJ48" s="606">
        <f t="shared" ca="1" si="203"/>
        <v>0</v>
      </c>
      <c r="AK48" s="606">
        <f t="shared" ca="1" si="203"/>
        <v>0</v>
      </c>
      <c r="AL48" s="606">
        <f t="shared" ca="1" si="203"/>
        <v>0</v>
      </c>
      <c r="AM48" s="606">
        <f t="shared" ref="AM48:BR48" ca="1" si="204">AM126*$F$48</f>
        <v>0</v>
      </c>
      <c r="AN48" s="606">
        <f t="shared" ca="1" si="204"/>
        <v>0</v>
      </c>
      <c r="AO48" s="606">
        <f t="shared" ca="1" si="204"/>
        <v>0</v>
      </c>
      <c r="AP48" s="606">
        <f t="shared" ca="1" si="204"/>
        <v>0</v>
      </c>
      <c r="AQ48" s="606">
        <f t="shared" ca="1" si="204"/>
        <v>0</v>
      </c>
      <c r="AR48" s="606">
        <f t="shared" ca="1" si="204"/>
        <v>27317570.150268476</v>
      </c>
      <c r="AS48" s="606">
        <f t="shared" ca="1" si="204"/>
        <v>0</v>
      </c>
      <c r="AT48" s="606">
        <f t="shared" ca="1" si="204"/>
        <v>6478120.9120261734</v>
      </c>
      <c r="AU48" s="606">
        <f t="shared" ca="1" si="204"/>
        <v>7681566.2988452651</v>
      </c>
      <c r="AV48" s="606">
        <f t="shared" ca="1" si="204"/>
        <v>7937618.5088067744</v>
      </c>
      <c r="AW48" s="606">
        <f t="shared" ca="1" si="204"/>
        <v>7937618.5088067744</v>
      </c>
      <c r="AX48" s="606">
        <f t="shared" ca="1" si="204"/>
        <v>7681566.2988452651</v>
      </c>
      <c r="AY48" s="606">
        <f t="shared" ca="1" si="204"/>
        <v>7937618.5088067744</v>
      </c>
      <c r="AZ48" s="606">
        <f t="shared" ca="1" si="204"/>
        <v>7681566.2988452651</v>
      </c>
      <c r="BA48" s="606">
        <f t="shared" ca="1" si="204"/>
        <v>7937618.5088067744</v>
      </c>
      <c r="BB48" s="606">
        <f t="shared" ca="1" si="204"/>
        <v>7937618.5088067744</v>
      </c>
      <c r="BC48" s="606">
        <f t="shared" ca="1" si="204"/>
        <v>7169461.8789222483</v>
      </c>
      <c r="BD48" s="606">
        <f t="shared" ca="1" si="204"/>
        <v>7937618.5088067744</v>
      </c>
      <c r="BE48" s="606">
        <f t="shared" ca="1" si="204"/>
        <v>7681566.2988452651</v>
      </c>
      <c r="BF48" s="606">
        <f t="shared" ca="1" si="204"/>
        <v>7937618.5088067744</v>
      </c>
      <c r="BG48" s="606">
        <f t="shared" ca="1" si="204"/>
        <v>7681566.2988452651</v>
      </c>
      <c r="BH48" s="606">
        <f t="shared" ca="1" si="204"/>
        <v>7937618.5088067744</v>
      </c>
      <c r="BI48" s="606">
        <f t="shared" ca="1" si="204"/>
        <v>7937618.5088067744</v>
      </c>
      <c r="BJ48" s="606">
        <f t="shared" ca="1" si="204"/>
        <v>7681566.2988452651</v>
      </c>
      <c r="BK48" s="606">
        <f t="shared" ca="1" si="204"/>
        <v>7937618.5088067744</v>
      </c>
      <c r="BL48" s="606">
        <f t="shared" ca="1" si="204"/>
        <v>6580541.7960107885</v>
      </c>
      <c r="BM48" s="606">
        <f t="shared" ca="1" si="204"/>
        <v>4552928.3583780797</v>
      </c>
      <c r="BN48" s="606">
        <f t="shared" ca="1" si="204"/>
        <v>0</v>
      </c>
      <c r="BO48" s="606">
        <f t="shared" ca="1" si="204"/>
        <v>0</v>
      </c>
      <c r="BP48" s="606">
        <f t="shared" ca="1" si="204"/>
        <v>0</v>
      </c>
      <c r="BQ48" s="606">
        <f t="shared" ca="1" si="204"/>
        <v>0</v>
      </c>
      <c r="BR48" s="606">
        <f t="shared" ca="1" si="204"/>
        <v>0</v>
      </c>
      <c r="BS48" s="606">
        <f t="shared" ref="BS48:CX48" ca="1" si="205">BS126*$F$48</f>
        <v>0</v>
      </c>
      <c r="BT48" s="606">
        <f t="shared" ca="1" si="205"/>
        <v>0</v>
      </c>
      <c r="BU48" s="606">
        <f t="shared" ca="1" si="205"/>
        <v>0</v>
      </c>
      <c r="BV48" s="606">
        <f t="shared" ca="1" si="205"/>
        <v>0</v>
      </c>
      <c r="BW48" s="606">
        <f t="shared" ca="1" si="205"/>
        <v>0</v>
      </c>
      <c r="BX48" s="606">
        <f t="shared" ca="1" si="205"/>
        <v>0</v>
      </c>
      <c r="BY48" s="606">
        <f t="shared" ca="1" si="205"/>
        <v>0</v>
      </c>
      <c r="BZ48" s="606">
        <f t="shared" ca="1" si="205"/>
        <v>0</v>
      </c>
      <c r="CA48" s="606">
        <f t="shared" ca="1" si="205"/>
        <v>0</v>
      </c>
      <c r="CB48" s="606">
        <f t="shared" ca="1" si="205"/>
        <v>0</v>
      </c>
      <c r="CC48" s="606">
        <f t="shared" ca="1" si="205"/>
        <v>0</v>
      </c>
      <c r="CD48" s="606">
        <f t="shared" ca="1" si="205"/>
        <v>0</v>
      </c>
      <c r="CE48" s="606">
        <f t="shared" ca="1" si="205"/>
        <v>0</v>
      </c>
      <c r="CF48" s="606">
        <f t="shared" ca="1" si="205"/>
        <v>0</v>
      </c>
      <c r="CG48" s="606">
        <f t="shared" ca="1" si="205"/>
        <v>0</v>
      </c>
      <c r="CH48" s="606">
        <f t="shared" ca="1" si="205"/>
        <v>0</v>
      </c>
      <c r="CI48" s="606">
        <f t="shared" ca="1" si="205"/>
        <v>0</v>
      </c>
      <c r="CJ48" s="606">
        <f t="shared" ca="1" si="205"/>
        <v>4552928.3583780797</v>
      </c>
      <c r="CK48" s="606">
        <f t="shared" ca="1" si="205"/>
        <v>0</v>
      </c>
      <c r="CL48" s="606">
        <f t="shared" ca="1" si="205"/>
        <v>0</v>
      </c>
      <c r="CM48" s="606">
        <f t="shared" ca="1" si="205"/>
        <v>0</v>
      </c>
      <c r="CN48" s="606">
        <f t="shared" ca="1" si="205"/>
        <v>0</v>
      </c>
      <c r="CO48" s="606">
        <f t="shared" ca="1" si="205"/>
        <v>0</v>
      </c>
      <c r="CP48" s="606">
        <f t="shared" ca="1" si="205"/>
        <v>0</v>
      </c>
      <c r="CQ48" s="606">
        <f t="shared" ca="1" si="205"/>
        <v>0</v>
      </c>
      <c r="CR48" s="606">
        <f t="shared" ca="1" si="205"/>
        <v>0</v>
      </c>
      <c r="CS48" s="606">
        <f t="shared" ca="1" si="205"/>
        <v>0</v>
      </c>
      <c r="CT48" s="606">
        <f t="shared" ca="1" si="205"/>
        <v>0</v>
      </c>
      <c r="CU48" s="606">
        <f t="shared" ca="1" si="205"/>
        <v>0</v>
      </c>
      <c r="CV48" s="606">
        <f t="shared" ca="1" si="205"/>
        <v>0</v>
      </c>
      <c r="CW48" s="606">
        <f t="shared" ca="1" si="205"/>
        <v>0</v>
      </c>
      <c r="CX48" s="606">
        <f t="shared" ca="1" si="205"/>
        <v>0</v>
      </c>
      <c r="CY48" s="606">
        <f t="shared" ref="CY48:ED48" ca="1" si="206">CY126*$F$48</f>
        <v>0</v>
      </c>
      <c r="CZ48" s="606">
        <f t="shared" ca="1" si="206"/>
        <v>0</v>
      </c>
      <c r="DA48" s="606">
        <f t="shared" ca="1" si="206"/>
        <v>0</v>
      </c>
      <c r="DB48" s="606">
        <f t="shared" ca="1" si="206"/>
        <v>0</v>
      </c>
      <c r="DC48" s="606">
        <f t="shared" ca="1" si="206"/>
        <v>0</v>
      </c>
      <c r="DD48" s="606">
        <f t="shared" ca="1" si="206"/>
        <v>0</v>
      </c>
      <c r="DE48" s="606">
        <f t="shared" ca="1" si="206"/>
        <v>0</v>
      </c>
      <c r="DF48" s="606">
        <f t="shared" ca="1" si="206"/>
        <v>0</v>
      </c>
      <c r="DG48" s="606">
        <f t="shared" ca="1" si="206"/>
        <v>0</v>
      </c>
      <c r="DH48" s="606">
        <f t="shared" ca="1" si="206"/>
        <v>0</v>
      </c>
      <c r="DI48" s="606">
        <f t="shared" ca="1" si="206"/>
        <v>0</v>
      </c>
      <c r="DJ48" s="606">
        <f t="shared" ca="1" si="206"/>
        <v>0</v>
      </c>
      <c r="DK48" s="606">
        <f t="shared" ca="1" si="206"/>
        <v>0</v>
      </c>
      <c r="DL48" s="606">
        <f t="shared" ca="1" si="206"/>
        <v>0</v>
      </c>
      <c r="DM48" s="606">
        <f t="shared" ca="1" si="206"/>
        <v>0</v>
      </c>
      <c r="DN48" s="606">
        <f t="shared" ca="1" si="206"/>
        <v>0</v>
      </c>
      <c r="DO48" s="606">
        <f t="shared" ca="1" si="206"/>
        <v>0</v>
      </c>
      <c r="DP48" s="606">
        <f t="shared" ca="1" si="206"/>
        <v>0</v>
      </c>
      <c r="DQ48" s="606">
        <f t="shared" ca="1" si="206"/>
        <v>0</v>
      </c>
      <c r="DR48" s="606">
        <f t="shared" ca="1" si="206"/>
        <v>0</v>
      </c>
      <c r="DS48" s="606">
        <f t="shared" ca="1" si="206"/>
        <v>0</v>
      </c>
      <c r="DT48" s="606">
        <f t="shared" ca="1" si="206"/>
        <v>0</v>
      </c>
      <c r="DU48" s="606">
        <f t="shared" ca="1" si="206"/>
        <v>0</v>
      </c>
      <c r="DV48" s="606">
        <f t="shared" ca="1" si="206"/>
        <v>0</v>
      </c>
      <c r="DW48" s="606">
        <f t="shared" ca="1" si="206"/>
        <v>0</v>
      </c>
      <c r="DX48" s="606">
        <f t="shared" ca="1" si="206"/>
        <v>0</v>
      </c>
      <c r="DY48" s="606">
        <f t="shared" ca="1" si="206"/>
        <v>0</v>
      </c>
      <c r="DZ48" s="606">
        <f t="shared" ca="1" si="206"/>
        <v>0</v>
      </c>
      <c r="EA48" s="606">
        <f t="shared" ca="1" si="206"/>
        <v>0</v>
      </c>
      <c r="EB48" s="606">
        <f t="shared" ca="1" si="206"/>
        <v>0</v>
      </c>
      <c r="EC48" s="606">
        <f t="shared" ca="1" si="206"/>
        <v>0</v>
      </c>
      <c r="ED48" s="606">
        <f t="shared" ca="1" si="206"/>
        <v>0</v>
      </c>
      <c r="EE48" s="606">
        <f t="shared" ref="EE48:EJ48" ca="1" si="207">EE126*$F$48</f>
        <v>0</v>
      </c>
      <c r="EF48" s="606">
        <f t="shared" ca="1" si="207"/>
        <v>0</v>
      </c>
      <c r="EG48" s="606">
        <f t="shared" ca="1" si="207"/>
        <v>0</v>
      </c>
      <c r="EH48" s="606">
        <f t="shared" ca="1" si="207"/>
        <v>0</v>
      </c>
      <c r="EI48" s="606">
        <f t="shared" ca="1" si="207"/>
        <v>0</v>
      </c>
      <c r="EJ48" s="606">
        <f t="shared" si="207"/>
        <v>0</v>
      </c>
    </row>
    <row r="49" spans="1:140" customFormat="1" hidden="1" outlineLevel="1">
      <c r="A49" s="321"/>
      <c r="B49" s="321"/>
      <c r="C49" s="317" t="s">
        <v>1323</v>
      </c>
      <c r="D49" s="317" t="s">
        <v>1180</v>
      </c>
      <c r="E49" s="606">
        <f t="shared" ca="1" si="17"/>
        <v>0</v>
      </c>
      <c r="F49" s="606">
        <f>'Распределение по статьям'!AC485</f>
        <v>533088093.06558114</v>
      </c>
      <c r="G49" s="606">
        <f t="shared" ref="G49:AL49" si="208">G176*$F$49</f>
        <v>0</v>
      </c>
      <c r="H49" s="606">
        <f t="shared" ca="1" si="208"/>
        <v>0</v>
      </c>
      <c r="I49" s="606">
        <f t="shared" ca="1" si="208"/>
        <v>0</v>
      </c>
      <c r="J49" s="606">
        <f t="shared" ca="1" si="208"/>
        <v>0</v>
      </c>
      <c r="K49" s="606">
        <f t="shared" ca="1" si="208"/>
        <v>0</v>
      </c>
      <c r="L49" s="606">
        <f t="shared" ca="1" si="208"/>
        <v>0</v>
      </c>
      <c r="M49" s="606">
        <f t="shared" ca="1" si="208"/>
        <v>0</v>
      </c>
      <c r="N49" s="606">
        <f t="shared" ca="1" si="208"/>
        <v>0</v>
      </c>
      <c r="O49" s="606">
        <f t="shared" ca="1" si="208"/>
        <v>0</v>
      </c>
      <c r="P49" s="606">
        <f t="shared" ca="1" si="208"/>
        <v>0</v>
      </c>
      <c r="Q49" s="606">
        <f t="shared" ca="1" si="208"/>
        <v>0</v>
      </c>
      <c r="R49" s="606">
        <f t="shared" ca="1" si="208"/>
        <v>0</v>
      </c>
      <c r="S49" s="606">
        <f t="shared" ca="1" si="208"/>
        <v>0</v>
      </c>
      <c r="T49" s="606">
        <f t="shared" ca="1" si="208"/>
        <v>0</v>
      </c>
      <c r="U49" s="606">
        <f t="shared" ca="1" si="208"/>
        <v>0</v>
      </c>
      <c r="V49" s="606">
        <f t="shared" ca="1" si="208"/>
        <v>0</v>
      </c>
      <c r="W49" s="606">
        <f t="shared" ca="1" si="208"/>
        <v>0</v>
      </c>
      <c r="X49" s="606">
        <f t="shared" ca="1" si="208"/>
        <v>0</v>
      </c>
      <c r="Y49" s="606">
        <f t="shared" ca="1" si="208"/>
        <v>0</v>
      </c>
      <c r="Z49" s="606">
        <f t="shared" ca="1" si="208"/>
        <v>0</v>
      </c>
      <c r="AA49" s="606">
        <f t="shared" ca="1" si="208"/>
        <v>0</v>
      </c>
      <c r="AB49" s="606">
        <f t="shared" ca="1" si="208"/>
        <v>0</v>
      </c>
      <c r="AC49" s="606">
        <f t="shared" ca="1" si="208"/>
        <v>0</v>
      </c>
      <c r="AD49" s="606">
        <f t="shared" ca="1" si="208"/>
        <v>0</v>
      </c>
      <c r="AE49" s="606">
        <f t="shared" ca="1" si="208"/>
        <v>0</v>
      </c>
      <c r="AF49" s="606">
        <f t="shared" ca="1" si="208"/>
        <v>0</v>
      </c>
      <c r="AG49" s="606">
        <f t="shared" ca="1" si="208"/>
        <v>0</v>
      </c>
      <c r="AH49" s="606">
        <f t="shared" ca="1" si="208"/>
        <v>0</v>
      </c>
      <c r="AI49" s="606">
        <f t="shared" ca="1" si="208"/>
        <v>0</v>
      </c>
      <c r="AJ49" s="606">
        <f t="shared" ca="1" si="208"/>
        <v>0</v>
      </c>
      <c r="AK49" s="606">
        <f t="shared" ca="1" si="208"/>
        <v>0</v>
      </c>
      <c r="AL49" s="606">
        <f t="shared" ca="1" si="208"/>
        <v>0</v>
      </c>
      <c r="AM49" s="606">
        <f t="shared" ref="AM49:BR49" ca="1" si="209">AM176*$F$49</f>
        <v>0</v>
      </c>
      <c r="AN49" s="606">
        <f t="shared" ca="1" si="209"/>
        <v>0</v>
      </c>
      <c r="AO49" s="606">
        <f t="shared" ca="1" si="209"/>
        <v>0</v>
      </c>
      <c r="AP49" s="606">
        <f t="shared" ca="1" si="209"/>
        <v>0</v>
      </c>
      <c r="AQ49" s="606">
        <f t="shared" ca="1" si="209"/>
        <v>0</v>
      </c>
      <c r="AR49" s="606">
        <f t="shared" ca="1" si="209"/>
        <v>0</v>
      </c>
      <c r="AS49" s="606">
        <f t="shared" ca="1" si="209"/>
        <v>0</v>
      </c>
      <c r="AT49" s="606">
        <f t="shared" ca="1" si="209"/>
        <v>0</v>
      </c>
      <c r="AU49" s="606">
        <f t="shared" ca="1" si="209"/>
        <v>53308809.306558117</v>
      </c>
      <c r="AV49" s="606">
        <f t="shared" ca="1" si="209"/>
        <v>0</v>
      </c>
      <c r="AW49" s="606">
        <f t="shared" ca="1" si="209"/>
        <v>5437498.549268919</v>
      </c>
      <c r="AX49" s="606">
        <f t="shared" ca="1" si="209"/>
        <v>45312487.910574391</v>
      </c>
      <c r="AY49" s="606">
        <f t="shared" ca="1" si="209"/>
        <v>46822904.174260207</v>
      </c>
      <c r="AZ49" s="606">
        <f t="shared" ca="1" si="209"/>
        <v>45312487.910574391</v>
      </c>
      <c r="BA49" s="606">
        <f t="shared" ca="1" si="209"/>
        <v>46822904.174260207</v>
      </c>
      <c r="BB49" s="606">
        <f t="shared" ca="1" si="209"/>
        <v>46822904.174260207</v>
      </c>
      <c r="BC49" s="606">
        <f t="shared" ca="1" si="209"/>
        <v>42291655.383202769</v>
      </c>
      <c r="BD49" s="606">
        <f t="shared" ca="1" si="209"/>
        <v>46822904.174260207</v>
      </c>
      <c r="BE49" s="606">
        <f t="shared" ca="1" si="209"/>
        <v>45312487.910574391</v>
      </c>
      <c r="BF49" s="606">
        <f t="shared" ca="1" si="209"/>
        <v>46822904.174260207</v>
      </c>
      <c r="BG49" s="606">
        <f t="shared" ca="1" si="209"/>
        <v>35343740.570247993</v>
      </c>
      <c r="BH49" s="606">
        <f t="shared" ca="1" si="209"/>
        <v>13327202.326639529</v>
      </c>
      <c r="BI49" s="606">
        <f t="shared" ca="1" si="209"/>
        <v>0</v>
      </c>
      <c r="BJ49" s="606">
        <f t="shared" ca="1" si="209"/>
        <v>0</v>
      </c>
      <c r="BK49" s="606">
        <f t="shared" ca="1" si="209"/>
        <v>0</v>
      </c>
      <c r="BL49" s="606">
        <f t="shared" ca="1" si="209"/>
        <v>0</v>
      </c>
      <c r="BM49" s="606">
        <f t="shared" ca="1" si="209"/>
        <v>0</v>
      </c>
      <c r="BN49" s="606">
        <f t="shared" ca="1" si="209"/>
        <v>0</v>
      </c>
      <c r="BO49" s="606">
        <f t="shared" ca="1" si="209"/>
        <v>0</v>
      </c>
      <c r="BP49" s="606">
        <f t="shared" ca="1" si="209"/>
        <v>0</v>
      </c>
      <c r="BQ49" s="606">
        <f t="shared" ca="1" si="209"/>
        <v>0</v>
      </c>
      <c r="BR49" s="606">
        <f t="shared" ca="1" si="209"/>
        <v>0</v>
      </c>
      <c r="BS49" s="606">
        <f t="shared" ref="BS49:CX49" ca="1" si="210">BS176*$F$49</f>
        <v>0</v>
      </c>
      <c r="BT49" s="606">
        <f t="shared" ca="1" si="210"/>
        <v>0</v>
      </c>
      <c r="BU49" s="606">
        <f t="shared" ca="1" si="210"/>
        <v>0</v>
      </c>
      <c r="BV49" s="606">
        <f t="shared" ca="1" si="210"/>
        <v>0</v>
      </c>
      <c r="BW49" s="606">
        <f t="shared" ca="1" si="210"/>
        <v>0</v>
      </c>
      <c r="BX49" s="606">
        <f t="shared" ca="1" si="210"/>
        <v>0</v>
      </c>
      <c r="BY49" s="606">
        <f t="shared" ca="1" si="210"/>
        <v>0</v>
      </c>
      <c r="BZ49" s="606">
        <f t="shared" ca="1" si="210"/>
        <v>0</v>
      </c>
      <c r="CA49" s="606">
        <f t="shared" ca="1" si="210"/>
        <v>0</v>
      </c>
      <c r="CB49" s="606">
        <f t="shared" ca="1" si="210"/>
        <v>0</v>
      </c>
      <c r="CC49" s="606">
        <f t="shared" ca="1" si="210"/>
        <v>0</v>
      </c>
      <c r="CD49" s="606">
        <f t="shared" ca="1" si="210"/>
        <v>0</v>
      </c>
      <c r="CE49" s="606">
        <f t="shared" ca="1" si="210"/>
        <v>13327202.326639529</v>
      </c>
      <c r="CF49" s="606">
        <f t="shared" ca="1" si="210"/>
        <v>0</v>
      </c>
      <c r="CG49" s="606">
        <f t="shared" ca="1" si="210"/>
        <v>0</v>
      </c>
      <c r="CH49" s="606">
        <f t="shared" ca="1" si="210"/>
        <v>0</v>
      </c>
      <c r="CI49" s="606">
        <f t="shared" ca="1" si="210"/>
        <v>0</v>
      </c>
      <c r="CJ49" s="606">
        <f t="shared" ca="1" si="210"/>
        <v>0</v>
      </c>
      <c r="CK49" s="606">
        <f t="shared" ca="1" si="210"/>
        <v>0</v>
      </c>
      <c r="CL49" s="606">
        <f t="shared" ca="1" si="210"/>
        <v>0</v>
      </c>
      <c r="CM49" s="606">
        <f t="shared" ca="1" si="210"/>
        <v>0</v>
      </c>
      <c r="CN49" s="606">
        <f t="shared" ca="1" si="210"/>
        <v>0</v>
      </c>
      <c r="CO49" s="606">
        <f t="shared" ca="1" si="210"/>
        <v>0</v>
      </c>
      <c r="CP49" s="606">
        <f t="shared" ca="1" si="210"/>
        <v>0</v>
      </c>
      <c r="CQ49" s="606">
        <f t="shared" ca="1" si="210"/>
        <v>0</v>
      </c>
      <c r="CR49" s="606">
        <f t="shared" ca="1" si="210"/>
        <v>0</v>
      </c>
      <c r="CS49" s="606">
        <f t="shared" ca="1" si="210"/>
        <v>0</v>
      </c>
      <c r="CT49" s="606">
        <f t="shared" ca="1" si="210"/>
        <v>0</v>
      </c>
      <c r="CU49" s="606">
        <f t="shared" ca="1" si="210"/>
        <v>0</v>
      </c>
      <c r="CV49" s="606">
        <f t="shared" ca="1" si="210"/>
        <v>0</v>
      </c>
      <c r="CW49" s="606">
        <f t="shared" ca="1" si="210"/>
        <v>0</v>
      </c>
      <c r="CX49" s="606">
        <f t="shared" ca="1" si="210"/>
        <v>0</v>
      </c>
      <c r="CY49" s="606">
        <f t="shared" ref="CY49:ED49" ca="1" si="211">CY176*$F$49</f>
        <v>0</v>
      </c>
      <c r="CZ49" s="606">
        <f t="shared" ca="1" si="211"/>
        <v>0</v>
      </c>
      <c r="DA49" s="606">
        <f t="shared" ca="1" si="211"/>
        <v>0</v>
      </c>
      <c r="DB49" s="606">
        <f t="shared" ca="1" si="211"/>
        <v>0</v>
      </c>
      <c r="DC49" s="606">
        <f t="shared" ca="1" si="211"/>
        <v>0</v>
      </c>
      <c r="DD49" s="606">
        <f t="shared" ca="1" si="211"/>
        <v>0</v>
      </c>
      <c r="DE49" s="606">
        <f t="shared" ca="1" si="211"/>
        <v>0</v>
      </c>
      <c r="DF49" s="606">
        <f t="shared" ca="1" si="211"/>
        <v>0</v>
      </c>
      <c r="DG49" s="606">
        <f t="shared" ca="1" si="211"/>
        <v>0</v>
      </c>
      <c r="DH49" s="606">
        <f t="shared" ca="1" si="211"/>
        <v>0</v>
      </c>
      <c r="DI49" s="606">
        <f t="shared" ca="1" si="211"/>
        <v>0</v>
      </c>
      <c r="DJ49" s="606">
        <f t="shared" ca="1" si="211"/>
        <v>0</v>
      </c>
      <c r="DK49" s="606">
        <f t="shared" ca="1" si="211"/>
        <v>0</v>
      </c>
      <c r="DL49" s="606">
        <f t="shared" ca="1" si="211"/>
        <v>0</v>
      </c>
      <c r="DM49" s="606">
        <f t="shared" ca="1" si="211"/>
        <v>0</v>
      </c>
      <c r="DN49" s="606">
        <f t="shared" ca="1" si="211"/>
        <v>0</v>
      </c>
      <c r="DO49" s="606">
        <f t="shared" ca="1" si="211"/>
        <v>0</v>
      </c>
      <c r="DP49" s="606">
        <f t="shared" ca="1" si="211"/>
        <v>0</v>
      </c>
      <c r="DQ49" s="606">
        <f t="shared" ca="1" si="211"/>
        <v>0</v>
      </c>
      <c r="DR49" s="606">
        <f t="shared" ca="1" si="211"/>
        <v>0</v>
      </c>
      <c r="DS49" s="606">
        <f t="shared" ca="1" si="211"/>
        <v>0</v>
      </c>
      <c r="DT49" s="606">
        <f t="shared" ca="1" si="211"/>
        <v>0</v>
      </c>
      <c r="DU49" s="606">
        <f t="shared" ca="1" si="211"/>
        <v>0</v>
      </c>
      <c r="DV49" s="606">
        <f t="shared" ca="1" si="211"/>
        <v>0</v>
      </c>
      <c r="DW49" s="606">
        <f t="shared" ca="1" si="211"/>
        <v>0</v>
      </c>
      <c r="DX49" s="606">
        <f t="shared" ca="1" si="211"/>
        <v>0</v>
      </c>
      <c r="DY49" s="606">
        <f t="shared" ca="1" si="211"/>
        <v>0</v>
      </c>
      <c r="DZ49" s="606">
        <f t="shared" ca="1" si="211"/>
        <v>0</v>
      </c>
      <c r="EA49" s="606">
        <f t="shared" ca="1" si="211"/>
        <v>0</v>
      </c>
      <c r="EB49" s="606">
        <f t="shared" ca="1" si="211"/>
        <v>0</v>
      </c>
      <c r="EC49" s="606">
        <f t="shared" ca="1" si="211"/>
        <v>0</v>
      </c>
      <c r="ED49" s="606">
        <f t="shared" ca="1" si="211"/>
        <v>0</v>
      </c>
      <c r="EE49" s="606">
        <f t="shared" ref="EE49:EJ49" ca="1" si="212">EE176*$F$49</f>
        <v>0</v>
      </c>
      <c r="EF49" s="606">
        <f t="shared" ca="1" si="212"/>
        <v>0</v>
      </c>
      <c r="EG49" s="606">
        <f t="shared" ca="1" si="212"/>
        <v>0</v>
      </c>
      <c r="EH49" s="606">
        <f t="shared" ca="1" si="212"/>
        <v>0</v>
      </c>
      <c r="EI49" s="606">
        <f t="shared" ca="1" si="212"/>
        <v>0</v>
      </c>
      <c r="EJ49" s="606">
        <f t="shared" si="212"/>
        <v>0</v>
      </c>
    </row>
    <row r="50" spans="1:140" customFormat="1" hidden="1" outlineLevel="1">
      <c r="A50" s="321"/>
      <c r="B50" s="321"/>
      <c r="C50" s="317" t="s">
        <v>1294</v>
      </c>
      <c r="D50" s="317" t="s">
        <v>19</v>
      </c>
      <c r="E50" s="606">
        <f t="shared" ca="1" si="17"/>
        <v>0</v>
      </c>
      <c r="F50" s="606">
        <f>'Распределение по статьям'!AC505-'Распределение по статьям'!AC506-'Распределение по статьям'!AC525</f>
        <v>380816107.2080512</v>
      </c>
      <c r="G50" s="606">
        <f t="shared" ref="G50:AL50" si="213">G181*$F$50</f>
        <v>0</v>
      </c>
      <c r="H50" s="606">
        <f t="shared" ca="1" si="213"/>
        <v>0</v>
      </c>
      <c r="I50" s="606">
        <f t="shared" ca="1" si="213"/>
        <v>0</v>
      </c>
      <c r="J50" s="606">
        <f t="shared" ca="1" si="213"/>
        <v>0</v>
      </c>
      <c r="K50" s="606">
        <f t="shared" ca="1" si="213"/>
        <v>0</v>
      </c>
      <c r="L50" s="606">
        <f t="shared" ca="1" si="213"/>
        <v>0</v>
      </c>
      <c r="M50" s="606">
        <f t="shared" ca="1" si="213"/>
        <v>0</v>
      </c>
      <c r="N50" s="606">
        <f t="shared" ca="1" si="213"/>
        <v>0</v>
      </c>
      <c r="O50" s="606">
        <f t="shared" ca="1" si="213"/>
        <v>0</v>
      </c>
      <c r="P50" s="606">
        <f t="shared" ca="1" si="213"/>
        <v>0</v>
      </c>
      <c r="Q50" s="606">
        <f t="shared" ca="1" si="213"/>
        <v>0</v>
      </c>
      <c r="R50" s="606">
        <f t="shared" ca="1" si="213"/>
        <v>0</v>
      </c>
      <c r="S50" s="606">
        <f t="shared" ca="1" si="213"/>
        <v>0</v>
      </c>
      <c r="T50" s="606">
        <f t="shared" ca="1" si="213"/>
        <v>0</v>
      </c>
      <c r="U50" s="606">
        <f t="shared" ca="1" si="213"/>
        <v>0</v>
      </c>
      <c r="V50" s="606">
        <f t="shared" ca="1" si="213"/>
        <v>0</v>
      </c>
      <c r="W50" s="606">
        <f t="shared" ca="1" si="213"/>
        <v>0</v>
      </c>
      <c r="X50" s="606">
        <f t="shared" ca="1" si="213"/>
        <v>0</v>
      </c>
      <c r="Y50" s="606">
        <f t="shared" ca="1" si="213"/>
        <v>0</v>
      </c>
      <c r="Z50" s="606">
        <f t="shared" ca="1" si="213"/>
        <v>0</v>
      </c>
      <c r="AA50" s="606">
        <f t="shared" ca="1" si="213"/>
        <v>0</v>
      </c>
      <c r="AB50" s="606">
        <f t="shared" ca="1" si="213"/>
        <v>0</v>
      </c>
      <c r="AC50" s="606">
        <f t="shared" ca="1" si="213"/>
        <v>0</v>
      </c>
      <c r="AD50" s="606">
        <f t="shared" ca="1" si="213"/>
        <v>0</v>
      </c>
      <c r="AE50" s="606">
        <f t="shared" ca="1" si="213"/>
        <v>0</v>
      </c>
      <c r="AF50" s="606">
        <f t="shared" ca="1" si="213"/>
        <v>0</v>
      </c>
      <c r="AG50" s="606">
        <f t="shared" ca="1" si="213"/>
        <v>0</v>
      </c>
      <c r="AH50" s="606">
        <f t="shared" ca="1" si="213"/>
        <v>0</v>
      </c>
      <c r="AI50" s="606">
        <f t="shared" ca="1" si="213"/>
        <v>0</v>
      </c>
      <c r="AJ50" s="606">
        <f t="shared" ca="1" si="213"/>
        <v>0</v>
      </c>
      <c r="AK50" s="606">
        <f t="shared" ca="1" si="213"/>
        <v>0</v>
      </c>
      <c r="AL50" s="606">
        <f t="shared" ca="1" si="213"/>
        <v>0</v>
      </c>
      <c r="AM50" s="606">
        <f t="shared" ref="AM50:BR50" ca="1" si="214">AM181*$F$50</f>
        <v>0</v>
      </c>
      <c r="AN50" s="606">
        <f t="shared" ca="1" si="214"/>
        <v>0</v>
      </c>
      <c r="AO50" s="606">
        <f t="shared" ca="1" si="214"/>
        <v>0</v>
      </c>
      <c r="AP50" s="606">
        <f t="shared" ca="1" si="214"/>
        <v>0</v>
      </c>
      <c r="AQ50" s="606">
        <f t="shared" ca="1" si="214"/>
        <v>0</v>
      </c>
      <c r="AR50" s="606">
        <f t="shared" ca="1" si="214"/>
        <v>0</v>
      </c>
      <c r="AS50" s="606">
        <f t="shared" ca="1" si="214"/>
        <v>0</v>
      </c>
      <c r="AT50" s="606">
        <f t="shared" ca="1" si="214"/>
        <v>0</v>
      </c>
      <c r="AU50" s="606">
        <f t="shared" ca="1" si="214"/>
        <v>0</v>
      </c>
      <c r="AV50" s="606">
        <f t="shared" ca="1" si="214"/>
        <v>0</v>
      </c>
      <c r="AW50" s="606">
        <f t="shared" ca="1" si="214"/>
        <v>0</v>
      </c>
      <c r="AX50" s="606">
        <f t="shared" ca="1" si="214"/>
        <v>0</v>
      </c>
      <c r="AY50" s="606">
        <f t="shared" ca="1" si="214"/>
        <v>0</v>
      </c>
      <c r="AZ50" s="606">
        <f t="shared" ca="1" si="214"/>
        <v>71403020.101509586</v>
      </c>
      <c r="BA50" s="606">
        <f t="shared" ca="1" si="214"/>
        <v>0</v>
      </c>
      <c r="BB50" s="606">
        <f t="shared" ca="1" si="214"/>
        <v>10646983.664025089</v>
      </c>
      <c r="BC50" s="606">
        <f t="shared" ca="1" si="214"/>
        <v>45169021.604954958</v>
      </c>
      <c r="BD50" s="606">
        <f t="shared" ca="1" si="214"/>
        <v>50008559.634057276</v>
      </c>
      <c r="BE50" s="606">
        <f t="shared" ca="1" si="214"/>
        <v>48395380.291023172</v>
      </c>
      <c r="BF50" s="606">
        <f t="shared" ca="1" si="214"/>
        <v>50008559.634057276</v>
      </c>
      <c r="BG50" s="606">
        <f t="shared" ca="1" si="214"/>
        <v>48395380.291023172</v>
      </c>
      <c r="BH50" s="606">
        <f t="shared" ca="1" si="214"/>
        <v>37748396.626998082</v>
      </c>
      <c r="BI50" s="606">
        <f t="shared" ca="1" si="214"/>
        <v>9520402.6802012809</v>
      </c>
      <c r="BJ50" s="606">
        <f t="shared" ca="1" si="214"/>
        <v>0</v>
      </c>
      <c r="BK50" s="606">
        <f t="shared" ca="1" si="214"/>
        <v>0</v>
      </c>
      <c r="BL50" s="606">
        <f t="shared" ca="1" si="214"/>
        <v>0</v>
      </c>
      <c r="BM50" s="606">
        <f t="shared" ca="1" si="214"/>
        <v>0</v>
      </c>
      <c r="BN50" s="606">
        <f t="shared" ca="1" si="214"/>
        <v>0</v>
      </c>
      <c r="BO50" s="606">
        <f t="shared" ca="1" si="214"/>
        <v>0</v>
      </c>
      <c r="BP50" s="606">
        <f t="shared" ca="1" si="214"/>
        <v>0</v>
      </c>
      <c r="BQ50" s="606">
        <f t="shared" ca="1" si="214"/>
        <v>0</v>
      </c>
      <c r="BR50" s="606">
        <f t="shared" ca="1" si="214"/>
        <v>0</v>
      </c>
      <c r="BS50" s="606">
        <f t="shared" ref="BS50:CX50" ca="1" si="215">BS181*$F$50</f>
        <v>0</v>
      </c>
      <c r="BT50" s="606">
        <f t="shared" ca="1" si="215"/>
        <v>0</v>
      </c>
      <c r="BU50" s="606">
        <f t="shared" ca="1" si="215"/>
        <v>0</v>
      </c>
      <c r="BV50" s="606">
        <f t="shared" ca="1" si="215"/>
        <v>0</v>
      </c>
      <c r="BW50" s="606">
        <f t="shared" ca="1" si="215"/>
        <v>0</v>
      </c>
      <c r="BX50" s="606">
        <f t="shared" ca="1" si="215"/>
        <v>0</v>
      </c>
      <c r="BY50" s="606">
        <f t="shared" ca="1" si="215"/>
        <v>0</v>
      </c>
      <c r="BZ50" s="606">
        <f t="shared" ca="1" si="215"/>
        <v>0</v>
      </c>
      <c r="CA50" s="606">
        <f t="shared" ca="1" si="215"/>
        <v>0</v>
      </c>
      <c r="CB50" s="606">
        <f t="shared" ca="1" si="215"/>
        <v>0</v>
      </c>
      <c r="CC50" s="606">
        <f t="shared" ca="1" si="215"/>
        <v>0</v>
      </c>
      <c r="CD50" s="606">
        <f t="shared" ca="1" si="215"/>
        <v>0</v>
      </c>
      <c r="CE50" s="606">
        <f t="shared" ca="1" si="215"/>
        <v>0</v>
      </c>
      <c r="CF50" s="606">
        <f t="shared" ca="1" si="215"/>
        <v>9520402.6802012809</v>
      </c>
      <c r="CG50" s="606">
        <f t="shared" ca="1" si="215"/>
        <v>0</v>
      </c>
      <c r="CH50" s="606">
        <f t="shared" ca="1" si="215"/>
        <v>0</v>
      </c>
      <c r="CI50" s="606">
        <f t="shared" ca="1" si="215"/>
        <v>0</v>
      </c>
      <c r="CJ50" s="606">
        <f t="shared" ca="1" si="215"/>
        <v>0</v>
      </c>
      <c r="CK50" s="606">
        <f t="shared" ca="1" si="215"/>
        <v>0</v>
      </c>
      <c r="CL50" s="606">
        <f t="shared" ca="1" si="215"/>
        <v>0</v>
      </c>
      <c r="CM50" s="606">
        <f t="shared" ca="1" si="215"/>
        <v>0</v>
      </c>
      <c r="CN50" s="606">
        <f t="shared" ca="1" si="215"/>
        <v>0</v>
      </c>
      <c r="CO50" s="606">
        <f t="shared" ca="1" si="215"/>
        <v>0</v>
      </c>
      <c r="CP50" s="606">
        <f t="shared" ca="1" si="215"/>
        <v>0</v>
      </c>
      <c r="CQ50" s="606">
        <f t="shared" ca="1" si="215"/>
        <v>0</v>
      </c>
      <c r="CR50" s="606">
        <f t="shared" ca="1" si="215"/>
        <v>0</v>
      </c>
      <c r="CS50" s="606">
        <f t="shared" ca="1" si="215"/>
        <v>0</v>
      </c>
      <c r="CT50" s="606">
        <f t="shared" ca="1" si="215"/>
        <v>0</v>
      </c>
      <c r="CU50" s="606">
        <f t="shared" ca="1" si="215"/>
        <v>0</v>
      </c>
      <c r="CV50" s="606">
        <f t="shared" ca="1" si="215"/>
        <v>0</v>
      </c>
      <c r="CW50" s="606">
        <f t="shared" ca="1" si="215"/>
        <v>0</v>
      </c>
      <c r="CX50" s="606">
        <f t="shared" ca="1" si="215"/>
        <v>0</v>
      </c>
      <c r="CY50" s="606">
        <f t="shared" ref="CY50:ED50" ca="1" si="216">CY181*$F$50</f>
        <v>0</v>
      </c>
      <c r="CZ50" s="606">
        <f t="shared" ca="1" si="216"/>
        <v>0</v>
      </c>
      <c r="DA50" s="606">
        <f t="shared" ca="1" si="216"/>
        <v>0</v>
      </c>
      <c r="DB50" s="606">
        <f t="shared" ca="1" si="216"/>
        <v>0</v>
      </c>
      <c r="DC50" s="606">
        <f t="shared" ca="1" si="216"/>
        <v>0</v>
      </c>
      <c r="DD50" s="606">
        <f t="shared" ca="1" si="216"/>
        <v>0</v>
      </c>
      <c r="DE50" s="606">
        <f t="shared" ca="1" si="216"/>
        <v>0</v>
      </c>
      <c r="DF50" s="606">
        <f t="shared" ca="1" si="216"/>
        <v>0</v>
      </c>
      <c r="DG50" s="606">
        <f t="shared" ca="1" si="216"/>
        <v>0</v>
      </c>
      <c r="DH50" s="606">
        <f t="shared" ca="1" si="216"/>
        <v>0</v>
      </c>
      <c r="DI50" s="606">
        <f t="shared" ca="1" si="216"/>
        <v>0</v>
      </c>
      <c r="DJ50" s="606">
        <f t="shared" ca="1" si="216"/>
        <v>0</v>
      </c>
      <c r="DK50" s="606">
        <f t="shared" ca="1" si="216"/>
        <v>0</v>
      </c>
      <c r="DL50" s="606">
        <f t="shared" ca="1" si="216"/>
        <v>0</v>
      </c>
      <c r="DM50" s="606">
        <f t="shared" ca="1" si="216"/>
        <v>0</v>
      </c>
      <c r="DN50" s="606">
        <f t="shared" ca="1" si="216"/>
        <v>0</v>
      </c>
      <c r="DO50" s="606">
        <f t="shared" ca="1" si="216"/>
        <v>0</v>
      </c>
      <c r="DP50" s="606">
        <f t="shared" ca="1" si="216"/>
        <v>0</v>
      </c>
      <c r="DQ50" s="606">
        <f t="shared" ca="1" si="216"/>
        <v>0</v>
      </c>
      <c r="DR50" s="606">
        <f t="shared" ca="1" si="216"/>
        <v>0</v>
      </c>
      <c r="DS50" s="606">
        <f t="shared" ca="1" si="216"/>
        <v>0</v>
      </c>
      <c r="DT50" s="606">
        <f t="shared" ca="1" si="216"/>
        <v>0</v>
      </c>
      <c r="DU50" s="606">
        <f t="shared" ca="1" si="216"/>
        <v>0</v>
      </c>
      <c r="DV50" s="606">
        <f t="shared" ca="1" si="216"/>
        <v>0</v>
      </c>
      <c r="DW50" s="606">
        <f t="shared" ca="1" si="216"/>
        <v>0</v>
      </c>
      <c r="DX50" s="606">
        <f t="shared" ca="1" si="216"/>
        <v>0</v>
      </c>
      <c r="DY50" s="606">
        <f t="shared" ca="1" si="216"/>
        <v>0</v>
      </c>
      <c r="DZ50" s="606">
        <f t="shared" ca="1" si="216"/>
        <v>0</v>
      </c>
      <c r="EA50" s="606">
        <f t="shared" ca="1" si="216"/>
        <v>0</v>
      </c>
      <c r="EB50" s="606">
        <f t="shared" ca="1" si="216"/>
        <v>0</v>
      </c>
      <c r="EC50" s="606">
        <f t="shared" ca="1" si="216"/>
        <v>0</v>
      </c>
      <c r="ED50" s="606">
        <f t="shared" ca="1" si="216"/>
        <v>0</v>
      </c>
      <c r="EE50" s="606">
        <f t="shared" ref="EE50:EJ50" ca="1" si="217">EE181*$F$50</f>
        <v>0</v>
      </c>
      <c r="EF50" s="606">
        <f t="shared" ca="1" si="217"/>
        <v>0</v>
      </c>
      <c r="EG50" s="606">
        <f t="shared" ca="1" si="217"/>
        <v>0</v>
      </c>
      <c r="EH50" s="606">
        <f t="shared" ca="1" si="217"/>
        <v>0</v>
      </c>
      <c r="EI50" s="606">
        <f t="shared" ca="1" si="217"/>
        <v>0</v>
      </c>
      <c r="EJ50" s="606">
        <f t="shared" si="217"/>
        <v>0</v>
      </c>
    </row>
    <row r="51" spans="1:140" customFormat="1" hidden="1" outlineLevel="1">
      <c r="A51" s="321"/>
      <c r="B51" s="321"/>
      <c r="C51" s="317" t="s">
        <v>1293</v>
      </c>
      <c r="D51" s="317" t="s">
        <v>1199</v>
      </c>
      <c r="E51" s="606">
        <f t="shared" ca="1" si="17"/>
        <v>0</v>
      </c>
      <c r="F51" s="606">
        <f>'Распределение по статьям'!AC506</f>
        <v>0</v>
      </c>
      <c r="G51" s="606">
        <f t="shared" ref="G51:AL51" si="218">G106*$F$51</f>
        <v>0</v>
      </c>
      <c r="H51" s="606">
        <f t="shared" ca="1" si="218"/>
        <v>0</v>
      </c>
      <c r="I51" s="606">
        <f t="shared" ca="1" si="218"/>
        <v>0</v>
      </c>
      <c r="J51" s="606">
        <f t="shared" ca="1" si="218"/>
        <v>0</v>
      </c>
      <c r="K51" s="606">
        <f t="shared" ca="1" si="218"/>
        <v>0</v>
      </c>
      <c r="L51" s="606">
        <f t="shared" ca="1" si="218"/>
        <v>0</v>
      </c>
      <c r="M51" s="606">
        <f t="shared" ca="1" si="218"/>
        <v>0</v>
      </c>
      <c r="N51" s="606">
        <f t="shared" ca="1" si="218"/>
        <v>0</v>
      </c>
      <c r="O51" s="606">
        <f t="shared" ca="1" si="218"/>
        <v>0</v>
      </c>
      <c r="P51" s="606">
        <f t="shared" ca="1" si="218"/>
        <v>0</v>
      </c>
      <c r="Q51" s="606">
        <f t="shared" ca="1" si="218"/>
        <v>0</v>
      </c>
      <c r="R51" s="606">
        <f t="shared" ca="1" si="218"/>
        <v>0</v>
      </c>
      <c r="S51" s="606">
        <f t="shared" ca="1" si="218"/>
        <v>0</v>
      </c>
      <c r="T51" s="606">
        <f t="shared" ca="1" si="218"/>
        <v>0</v>
      </c>
      <c r="U51" s="606">
        <f t="shared" ca="1" si="218"/>
        <v>0</v>
      </c>
      <c r="V51" s="606">
        <f t="shared" ca="1" si="218"/>
        <v>0</v>
      </c>
      <c r="W51" s="606">
        <f t="shared" ca="1" si="218"/>
        <v>0</v>
      </c>
      <c r="X51" s="606">
        <f t="shared" ca="1" si="218"/>
        <v>0</v>
      </c>
      <c r="Y51" s="606">
        <f t="shared" ca="1" si="218"/>
        <v>0</v>
      </c>
      <c r="Z51" s="606">
        <f t="shared" ca="1" si="218"/>
        <v>0</v>
      </c>
      <c r="AA51" s="606">
        <f t="shared" ca="1" si="218"/>
        <v>0</v>
      </c>
      <c r="AB51" s="606">
        <f t="shared" ca="1" si="218"/>
        <v>0</v>
      </c>
      <c r="AC51" s="606">
        <f t="shared" ca="1" si="218"/>
        <v>0</v>
      </c>
      <c r="AD51" s="606">
        <f t="shared" ca="1" si="218"/>
        <v>0</v>
      </c>
      <c r="AE51" s="606">
        <f t="shared" ca="1" si="218"/>
        <v>0</v>
      </c>
      <c r="AF51" s="606">
        <f t="shared" ca="1" si="218"/>
        <v>0</v>
      </c>
      <c r="AG51" s="606">
        <f t="shared" ca="1" si="218"/>
        <v>0</v>
      </c>
      <c r="AH51" s="606">
        <f t="shared" ca="1" si="218"/>
        <v>0</v>
      </c>
      <c r="AI51" s="606">
        <f t="shared" ca="1" si="218"/>
        <v>0</v>
      </c>
      <c r="AJ51" s="606">
        <f t="shared" ca="1" si="218"/>
        <v>0</v>
      </c>
      <c r="AK51" s="606">
        <f t="shared" ca="1" si="218"/>
        <v>0</v>
      </c>
      <c r="AL51" s="606">
        <f t="shared" ca="1" si="218"/>
        <v>0</v>
      </c>
      <c r="AM51" s="606">
        <f t="shared" ref="AM51:BR51" ca="1" si="219">AM106*$F$51</f>
        <v>0</v>
      </c>
      <c r="AN51" s="606">
        <f t="shared" ca="1" si="219"/>
        <v>0</v>
      </c>
      <c r="AO51" s="606">
        <f t="shared" ca="1" si="219"/>
        <v>0</v>
      </c>
      <c r="AP51" s="606">
        <f t="shared" ca="1" si="219"/>
        <v>0</v>
      </c>
      <c r="AQ51" s="606">
        <f t="shared" ca="1" si="219"/>
        <v>0</v>
      </c>
      <c r="AR51" s="606">
        <f t="shared" ca="1" si="219"/>
        <v>0</v>
      </c>
      <c r="AS51" s="606">
        <f t="shared" ca="1" si="219"/>
        <v>0</v>
      </c>
      <c r="AT51" s="606">
        <f t="shared" ca="1" si="219"/>
        <v>0</v>
      </c>
      <c r="AU51" s="606">
        <f t="shared" ca="1" si="219"/>
        <v>0</v>
      </c>
      <c r="AV51" s="606">
        <f t="shared" ca="1" si="219"/>
        <v>0</v>
      </c>
      <c r="AW51" s="606">
        <f t="shared" ca="1" si="219"/>
        <v>0</v>
      </c>
      <c r="AX51" s="606">
        <f t="shared" ca="1" si="219"/>
        <v>0</v>
      </c>
      <c r="AY51" s="606">
        <f t="shared" ca="1" si="219"/>
        <v>0</v>
      </c>
      <c r="AZ51" s="606">
        <f t="shared" ca="1" si="219"/>
        <v>0</v>
      </c>
      <c r="BA51" s="606">
        <f t="shared" ca="1" si="219"/>
        <v>0</v>
      </c>
      <c r="BB51" s="606">
        <f t="shared" ca="1" si="219"/>
        <v>0</v>
      </c>
      <c r="BC51" s="606">
        <f t="shared" ca="1" si="219"/>
        <v>0</v>
      </c>
      <c r="BD51" s="606">
        <f t="shared" ca="1" si="219"/>
        <v>0</v>
      </c>
      <c r="BE51" s="606">
        <f t="shared" ca="1" si="219"/>
        <v>0</v>
      </c>
      <c r="BF51" s="606">
        <f t="shared" ca="1" si="219"/>
        <v>0</v>
      </c>
      <c r="BG51" s="606">
        <f t="shared" ca="1" si="219"/>
        <v>0</v>
      </c>
      <c r="BH51" s="606">
        <f t="shared" ca="1" si="219"/>
        <v>0</v>
      </c>
      <c r="BI51" s="606">
        <f t="shared" ca="1" si="219"/>
        <v>0</v>
      </c>
      <c r="BJ51" s="606">
        <f t="shared" ca="1" si="219"/>
        <v>0</v>
      </c>
      <c r="BK51" s="606">
        <f t="shared" ca="1" si="219"/>
        <v>0</v>
      </c>
      <c r="BL51" s="606">
        <f t="shared" ca="1" si="219"/>
        <v>0</v>
      </c>
      <c r="BM51" s="606">
        <f t="shared" ca="1" si="219"/>
        <v>0</v>
      </c>
      <c r="BN51" s="606">
        <f t="shared" ca="1" si="219"/>
        <v>0</v>
      </c>
      <c r="BO51" s="606">
        <f t="shared" ca="1" si="219"/>
        <v>0</v>
      </c>
      <c r="BP51" s="606">
        <f t="shared" ca="1" si="219"/>
        <v>0</v>
      </c>
      <c r="BQ51" s="606">
        <f t="shared" ca="1" si="219"/>
        <v>0</v>
      </c>
      <c r="BR51" s="606">
        <f t="shared" ca="1" si="219"/>
        <v>0</v>
      </c>
      <c r="BS51" s="606">
        <f t="shared" ref="BS51:CX51" ca="1" si="220">BS106*$F$51</f>
        <v>0</v>
      </c>
      <c r="BT51" s="606">
        <f t="shared" ca="1" si="220"/>
        <v>0</v>
      </c>
      <c r="BU51" s="606">
        <f t="shared" ca="1" si="220"/>
        <v>0</v>
      </c>
      <c r="BV51" s="606">
        <f t="shared" ca="1" si="220"/>
        <v>0</v>
      </c>
      <c r="BW51" s="606">
        <f t="shared" ca="1" si="220"/>
        <v>0</v>
      </c>
      <c r="BX51" s="606">
        <f t="shared" ca="1" si="220"/>
        <v>0</v>
      </c>
      <c r="BY51" s="606">
        <f t="shared" ca="1" si="220"/>
        <v>0</v>
      </c>
      <c r="BZ51" s="606">
        <f t="shared" ca="1" si="220"/>
        <v>0</v>
      </c>
      <c r="CA51" s="606">
        <f t="shared" ca="1" si="220"/>
        <v>0</v>
      </c>
      <c r="CB51" s="606">
        <f t="shared" ca="1" si="220"/>
        <v>0</v>
      </c>
      <c r="CC51" s="606">
        <f t="shared" ca="1" si="220"/>
        <v>0</v>
      </c>
      <c r="CD51" s="606">
        <f t="shared" ca="1" si="220"/>
        <v>0</v>
      </c>
      <c r="CE51" s="606">
        <f t="shared" ca="1" si="220"/>
        <v>0</v>
      </c>
      <c r="CF51" s="606">
        <f t="shared" ca="1" si="220"/>
        <v>0</v>
      </c>
      <c r="CG51" s="606">
        <f t="shared" ca="1" si="220"/>
        <v>0</v>
      </c>
      <c r="CH51" s="606">
        <f t="shared" ca="1" si="220"/>
        <v>0</v>
      </c>
      <c r="CI51" s="606">
        <f t="shared" ca="1" si="220"/>
        <v>0</v>
      </c>
      <c r="CJ51" s="606">
        <f t="shared" ca="1" si="220"/>
        <v>0</v>
      </c>
      <c r="CK51" s="606">
        <f t="shared" ca="1" si="220"/>
        <v>0</v>
      </c>
      <c r="CL51" s="606">
        <f t="shared" ca="1" si="220"/>
        <v>0</v>
      </c>
      <c r="CM51" s="606">
        <f t="shared" ca="1" si="220"/>
        <v>0</v>
      </c>
      <c r="CN51" s="606">
        <f t="shared" ca="1" si="220"/>
        <v>0</v>
      </c>
      <c r="CO51" s="606">
        <f t="shared" ca="1" si="220"/>
        <v>0</v>
      </c>
      <c r="CP51" s="606">
        <f t="shared" ca="1" si="220"/>
        <v>0</v>
      </c>
      <c r="CQ51" s="606">
        <f t="shared" ca="1" si="220"/>
        <v>0</v>
      </c>
      <c r="CR51" s="606">
        <f t="shared" ca="1" si="220"/>
        <v>0</v>
      </c>
      <c r="CS51" s="606">
        <f t="shared" ca="1" si="220"/>
        <v>0</v>
      </c>
      <c r="CT51" s="606">
        <f t="shared" ca="1" si="220"/>
        <v>0</v>
      </c>
      <c r="CU51" s="606">
        <f t="shared" ca="1" si="220"/>
        <v>0</v>
      </c>
      <c r="CV51" s="606">
        <f t="shared" ca="1" si="220"/>
        <v>0</v>
      </c>
      <c r="CW51" s="606">
        <f t="shared" ca="1" si="220"/>
        <v>0</v>
      </c>
      <c r="CX51" s="606">
        <f t="shared" ca="1" si="220"/>
        <v>0</v>
      </c>
      <c r="CY51" s="606">
        <f t="shared" ref="CY51:ED51" ca="1" si="221">CY106*$F$51</f>
        <v>0</v>
      </c>
      <c r="CZ51" s="606">
        <f t="shared" ca="1" si="221"/>
        <v>0</v>
      </c>
      <c r="DA51" s="606">
        <f t="shared" ca="1" si="221"/>
        <v>0</v>
      </c>
      <c r="DB51" s="606">
        <f t="shared" ca="1" si="221"/>
        <v>0</v>
      </c>
      <c r="DC51" s="606">
        <f t="shared" ca="1" si="221"/>
        <v>0</v>
      </c>
      <c r="DD51" s="606">
        <f t="shared" ca="1" si="221"/>
        <v>0</v>
      </c>
      <c r="DE51" s="606">
        <f t="shared" ca="1" si="221"/>
        <v>0</v>
      </c>
      <c r="DF51" s="606">
        <f t="shared" ca="1" si="221"/>
        <v>0</v>
      </c>
      <c r="DG51" s="606">
        <f t="shared" ca="1" si="221"/>
        <v>0</v>
      </c>
      <c r="DH51" s="606">
        <f t="shared" ca="1" si="221"/>
        <v>0</v>
      </c>
      <c r="DI51" s="606">
        <f t="shared" ca="1" si="221"/>
        <v>0</v>
      </c>
      <c r="DJ51" s="606">
        <f t="shared" ca="1" si="221"/>
        <v>0</v>
      </c>
      <c r="DK51" s="606">
        <f t="shared" ca="1" si="221"/>
        <v>0</v>
      </c>
      <c r="DL51" s="606">
        <f t="shared" ca="1" si="221"/>
        <v>0</v>
      </c>
      <c r="DM51" s="606">
        <f t="shared" ca="1" si="221"/>
        <v>0</v>
      </c>
      <c r="DN51" s="606">
        <f t="shared" ca="1" si="221"/>
        <v>0</v>
      </c>
      <c r="DO51" s="606">
        <f t="shared" ca="1" si="221"/>
        <v>0</v>
      </c>
      <c r="DP51" s="606">
        <f t="shared" ca="1" si="221"/>
        <v>0</v>
      </c>
      <c r="DQ51" s="606">
        <f t="shared" ca="1" si="221"/>
        <v>0</v>
      </c>
      <c r="DR51" s="606">
        <f t="shared" ca="1" si="221"/>
        <v>0</v>
      </c>
      <c r="DS51" s="606">
        <f t="shared" ca="1" si="221"/>
        <v>0</v>
      </c>
      <c r="DT51" s="606">
        <f t="shared" ca="1" si="221"/>
        <v>0</v>
      </c>
      <c r="DU51" s="606">
        <f t="shared" ca="1" si="221"/>
        <v>0</v>
      </c>
      <c r="DV51" s="606">
        <f t="shared" ca="1" si="221"/>
        <v>0</v>
      </c>
      <c r="DW51" s="606">
        <f t="shared" ca="1" si="221"/>
        <v>0</v>
      </c>
      <c r="DX51" s="606">
        <f t="shared" ca="1" si="221"/>
        <v>0</v>
      </c>
      <c r="DY51" s="606">
        <f t="shared" ca="1" si="221"/>
        <v>0</v>
      </c>
      <c r="DZ51" s="606">
        <f t="shared" ca="1" si="221"/>
        <v>0</v>
      </c>
      <c r="EA51" s="606">
        <f t="shared" ca="1" si="221"/>
        <v>0</v>
      </c>
      <c r="EB51" s="606">
        <f t="shared" ca="1" si="221"/>
        <v>0</v>
      </c>
      <c r="EC51" s="606">
        <f t="shared" ca="1" si="221"/>
        <v>0</v>
      </c>
      <c r="ED51" s="606">
        <f t="shared" ca="1" si="221"/>
        <v>0</v>
      </c>
      <c r="EE51" s="606">
        <f t="shared" ref="EE51:EJ51" ca="1" si="222">EE106*$F$51</f>
        <v>0</v>
      </c>
      <c r="EF51" s="606">
        <f t="shared" ca="1" si="222"/>
        <v>0</v>
      </c>
      <c r="EG51" s="606">
        <f t="shared" ca="1" si="222"/>
        <v>0</v>
      </c>
      <c r="EH51" s="606">
        <f t="shared" ca="1" si="222"/>
        <v>0</v>
      </c>
      <c r="EI51" s="606">
        <f t="shared" ca="1" si="222"/>
        <v>0</v>
      </c>
      <c r="EJ51" s="606">
        <f t="shared" si="222"/>
        <v>0</v>
      </c>
    </row>
    <row r="52" spans="1:140" customFormat="1" hidden="1" outlineLevel="1">
      <c r="A52" s="321"/>
      <c r="B52" s="321"/>
      <c r="C52" s="317" t="s">
        <v>1277</v>
      </c>
      <c r="D52" s="317" t="s">
        <v>1245</v>
      </c>
      <c r="E52" s="606">
        <f t="shared" si="17"/>
        <v>0</v>
      </c>
      <c r="F52" s="606">
        <f>'Распределение по статьям'!AC525</f>
        <v>0</v>
      </c>
      <c r="G52" s="606">
        <f t="shared" ref="G52:AL52" si="223">G196*$F$52</f>
        <v>0</v>
      </c>
      <c r="H52" s="606">
        <f t="shared" si="223"/>
        <v>0</v>
      </c>
      <c r="I52" s="606">
        <f t="shared" si="223"/>
        <v>0</v>
      </c>
      <c r="J52" s="606">
        <f t="shared" si="223"/>
        <v>0</v>
      </c>
      <c r="K52" s="606">
        <f t="shared" si="223"/>
        <v>0</v>
      </c>
      <c r="L52" s="606">
        <f t="shared" si="223"/>
        <v>0</v>
      </c>
      <c r="M52" s="606">
        <f t="shared" si="223"/>
        <v>0</v>
      </c>
      <c r="N52" s="606">
        <f t="shared" si="223"/>
        <v>0</v>
      </c>
      <c r="O52" s="606">
        <f t="shared" si="223"/>
        <v>0</v>
      </c>
      <c r="P52" s="606">
        <f t="shared" si="223"/>
        <v>0</v>
      </c>
      <c r="Q52" s="606">
        <f t="shared" si="223"/>
        <v>0</v>
      </c>
      <c r="R52" s="606">
        <f t="shared" si="223"/>
        <v>0</v>
      </c>
      <c r="S52" s="606">
        <f t="shared" si="223"/>
        <v>0</v>
      </c>
      <c r="T52" s="606">
        <f t="shared" si="223"/>
        <v>0</v>
      </c>
      <c r="U52" s="606">
        <f t="shared" si="223"/>
        <v>0</v>
      </c>
      <c r="V52" s="606">
        <f t="shared" si="223"/>
        <v>0</v>
      </c>
      <c r="W52" s="606">
        <f t="shared" si="223"/>
        <v>0</v>
      </c>
      <c r="X52" s="606">
        <f t="shared" si="223"/>
        <v>0</v>
      </c>
      <c r="Y52" s="606">
        <f t="shared" si="223"/>
        <v>0</v>
      </c>
      <c r="Z52" s="606">
        <f t="shared" si="223"/>
        <v>0</v>
      </c>
      <c r="AA52" s="606">
        <f t="shared" si="223"/>
        <v>0</v>
      </c>
      <c r="AB52" s="606">
        <f t="shared" si="223"/>
        <v>0</v>
      </c>
      <c r="AC52" s="606">
        <f t="shared" si="223"/>
        <v>0</v>
      </c>
      <c r="AD52" s="606">
        <f t="shared" si="223"/>
        <v>0</v>
      </c>
      <c r="AE52" s="606">
        <f t="shared" si="223"/>
        <v>0</v>
      </c>
      <c r="AF52" s="606">
        <f t="shared" si="223"/>
        <v>0</v>
      </c>
      <c r="AG52" s="606">
        <f t="shared" si="223"/>
        <v>0</v>
      </c>
      <c r="AH52" s="606">
        <f t="shared" si="223"/>
        <v>0</v>
      </c>
      <c r="AI52" s="606">
        <f t="shared" si="223"/>
        <v>0</v>
      </c>
      <c r="AJ52" s="606">
        <f t="shared" si="223"/>
        <v>0</v>
      </c>
      <c r="AK52" s="606">
        <f t="shared" si="223"/>
        <v>0</v>
      </c>
      <c r="AL52" s="606">
        <f t="shared" si="223"/>
        <v>0</v>
      </c>
      <c r="AM52" s="606">
        <f t="shared" ref="AM52:BR52" si="224">AM196*$F$52</f>
        <v>0</v>
      </c>
      <c r="AN52" s="606">
        <f t="shared" si="224"/>
        <v>0</v>
      </c>
      <c r="AO52" s="606">
        <f t="shared" si="224"/>
        <v>0</v>
      </c>
      <c r="AP52" s="606">
        <f t="shared" si="224"/>
        <v>0</v>
      </c>
      <c r="AQ52" s="606">
        <f t="shared" si="224"/>
        <v>0</v>
      </c>
      <c r="AR52" s="606">
        <f t="shared" si="224"/>
        <v>0</v>
      </c>
      <c r="AS52" s="606">
        <f t="shared" si="224"/>
        <v>0</v>
      </c>
      <c r="AT52" s="606">
        <f t="shared" si="224"/>
        <v>0</v>
      </c>
      <c r="AU52" s="606">
        <f t="shared" si="224"/>
        <v>0</v>
      </c>
      <c r="AV52" s="606">
        <f t="shared" si="224"/>
        <v>0</v>
      </c>
      <c r="AW52" s="606">
        <f t="shared" si="224"/>
        <v>0</v>
      </c>
      <c r="AX52" s="606">
        <f t="shared" si="224"/>
        <v>0</v>
      </c>
      <c r="AY52" s="606">
        <f t="shared" si="224"/>
        <v>0</v>
      </c>
      <c r="AZ52" s="606">
        <f t="shared" si="224"/>
        <v>0</v>
      </c>
      <c r="BA52" s="606">
        <f t="shared" si="224"/>
        <v>0</v>
      </c>
      <c r="BB52" s="606">
        <f t="shared" si="224"/>
        <v>0</v>
      </c>
      <c r="BC52" s="606">
        <f t="shared" si="224"/>
        <v>0</v>
      </c>
      <c r="BD52" s="606">
        <f t="shared" si="224"/>
        <v>0</v>
      </c>
      <c r="BE52" s="606">
        <f t="shared" si="224"/>
        <v>0</v>
      </c>
      <c r="BF52" s="606">
        <f t="shared" si="224"/>
        <v>0</v>
      </c>
      <c r="BG52" s="606">
        <f t="shared" si="224"/>
        <v>0</v>
      </c>
      <c r="BH52" s="606">
        <f t="shared" si="224"/>
        <v>0</v>
      </c>
      <c r="BI52" s="606">
        <f t="shared" si="224"/>
        <v>0</v>
      </c>
      <c r="BJ52" s="606">
        <f t="shared" si="224"/>
        <v>0</v>
      </c>
      <c r="BK52" s="606">
        <f t="shared" si="224"/>
        <v>0</v>
      </c>
      <c r="BL52" s="606">
        <f t="shared" si="224"/>
        <v>0</v>
      </c>
      <c r="BM52" s="606">
        <f t="shared" si="224"/>
        <v>0</v>
      </c>
      <c r="BN52" s="606">
        <f t="shared" si="224"/>
        <v>0</v>
      </c>
      <c r="BO52" s="606">
        <f t="shared" si="224"/>
        <v>0</v>
      </c>
      <c r="BP52" s="606">
        <f t="shared" si="224"/>
        <v>0</v>
      </c>
      <c r="BQ52" s="606">
        <f t="shared" si="224"/>
        <v>0</v>
      </c>
      <c r="BR52" s="606">
        <f t="shared" si="224"/>
        <v>0</v>
      </c>
      <c r="BS52" s="606">
        <f t="shared" ref="BS52:CX52" si="225">BS196*$F$52</f>
        <v>0</v>
      </c>
      <c r="BT52" s="606">
        <f t="shared" si="225"/>
        <v>0</v>
      </c>
      <c r="BU52" s="606">
        <f t="shared" si="225"/>
        <v>0</v>
      </c>
      <c r="BV52" s="606">
        <f t="shared" si="225"/>
        <v>0</v>
      </c>
      <c r="BW52" s="606">
        <f t="shared" si="225"/>
        <v>0</v>
      </c>
      <c r="BX52" s="606">
        <f t="shared" si="225"/>
        <v>0</v>
      </c>
      <c r="BY52" s="606">
        <f t="shared" si="225"/>
        <v>0</v>
      </c>
      <c r="BZ52" s="606">
        <f t="shared" si="225"/>
        <v>0</v>
      </c>
      <c r="CA52" s="606">
        <f t="shared" si="225"/>
        <v>0</v>
      </c>
      <c r="CB52" s="606">
        <f t="shared" si="225"/>
        <v>0</v>
      </c>
      <c r="CC52" s="606">
        <f t="shared" si="225"/>
        <v>0</v>
      </c>
      <c r="CD52" s="606">
        <f t="shared" si="225"/>
        <v>0</v>
      </c>
      <c r="CE52" s="606">
        <f t="shared" si="225"/>
        <v>0</v>
      </c>
      <c r="CF52" s="606">
        <f t="shared" si="225"/>
        <v>0</v>
      </c>
      <c r="CG52" s="606">
        <f t="shared" si="225"/>
        <v>0</v>
      </c>
      <c r="CH52" s="606">
        <f t="shared" si="225"/>
        <v>0</v>
      </c>
      <c r="CI52" s="606">
        <f t="shared" si="225"/>
        <v>0</v>
      </c>
      <c r="CJ52" s="606">
        <f t="shared" si="225"/>
        <v>0</v>
      </c>
      <c r="CK52" s="606">
        <f t="shared" si="225"/>
        <v>0</v>
      </c>
      <c r="CL52" s="606">
        <f t="shared" si="225"/>
        <v>0</v>
      </c>
      <c r="CM52" s="606">
        <f t="shared" si="225"/>
        <v>0</v>
      </c>
      <c r="CN52" s="606">
        <f t="shared" si="225"/>
        <v>0</v>
      </c>
      <c r="CO52" s="606">
        <f t="shared" si="225"/>
        <v>0</v>
      </c>
      <c r="CP52" s="606">
        <f t="shared" si="225"/>
        <v>0</v>
      </c>
      <c r="CQ52" s="606">
        <f t="shared" si="225"/>
        <v>0</v>
      </c>
      <c r="CR52" s="606">
        <f t="shared" si="225"/>
        <v>0</v>
      </c>
      <c r="CS52" s="606">
        <f t="shared" si="225"/>
        <v>0</v>
      </c>
      <c r="CT52" s="606">
        <f t="shared" si="225"/>
        <v>0</v>
      </c>
      <c r="CU52" s="606">
        <f t="shared" si="225"/>
        <v>0</v>
      </c>
      <c r="CV52" s="606">
        <f t="shared" si="225"/>
        <v>0</v>
      </c>
      <c r="CW52" s="606">
        <f t="shared" si="225"/>
        <v>0</v>
      </c>
      <c r="CX52" s="606">
        <f t="shared" si="225"/>
        <v>0</v>
      </c>
      <c r="CY52" s="606">
        <f t="shared" ref="CY52:ED52" si="226">CY196*$F$52</f>
        <v>0</v>
      </c>
      <c r="CZ52" s="606">
        <f t="shared" si="226"/>
        <v>0</v>
      </c>
      <c r="DA52" s="606">
        <f t="shared" si="226"/>
        <v>0</v>
      </c>
      <c r="DB52" s="606">
        <f t="shared" si="226"/>
        <v>0</v>
      </c>
      <c r="DC52" s="606">
        <f t="shared" si="226"/>
        <v>0</v>
      </c>
      <c r="DD52" s="606">
        <f t="shared" si="226"/>
        <v>0</v>
      </c>
      <c r="DE52" s="606">
        <f t="shared" si="226"/>
        <v>0</v>
      </c>
      <c r="DF52" s="606">
        <f t="shared" si="226"/>
        <v>0</v>
      </c>
      <c r="DG52" s="606">
        <f t="shared" si="226"/>
        <v>0</v>
      </c>
      <c r="DH52" s="606">
        <f t="shared" si="226"/>
        <v>0</v>
      </c>
      <c r="DI52" s="606">
        <f t="shared" si="226"/>
        <v>0</v>
      </c>
      <c r="DJ52" s="606">
        <f t="shared" si="226"/>
        <v>0</v>
      </c>
      <c r="DK52" s="606">
        <f t="shared" si="226"/>
        <v>0</v>
      </c>
      <c r="DL52" s="606">
        <f t="shared" si="226"/>
        <v>0</v>
      </c>
      <c r="DM52" s="606">
        <f t="shared" si="226"/>
        <v>0</v>
      </c>
      <c r="DN52" s="606">
        <f t="shared" si="226"/>
        <v>0</v>
      </c>
      <c r="DO52" s="606">
        <f t="shared" si="226"/>
        <v>0</v>
      </c>
      <c r="DP52" s="606">
        <f t="shared" si="226"/>
        <v>0</v>
      </c>
      <c r="DQ52" s="606">
        <f t="shared" si="226"/>
        <v>0</v>
      </c>
      <c r="DR52" s="606">
        <f t="shared" si="226"/>
        <v>0</v>
      </c>
      <c r="DS52" s="606">
        <f t="shared" si="226"/>
        <v>0</v>
      </c>
      <c r="DT52" s="606">
        <f t="shared" si="226"/>
        <v>0</v>
      </c>
      <c r="DU52" s="606">
        <f t="shared" si="226"/>
        <v>0</v>
      </c>
      <c r="DV52" s="606">
        <f t="shared" si="226"/>
        <v>0</v>
      </c>
      <c r="DW52" s="606">
        <f t="shared" si="226"/>
        <v>0</v>
      </c>
      <c r="DX52" s="606">
        <f t="shared" si="226"/>
        <v>0</v>
      </c>
      <c r="DY52" s="606">
        <f t="shared" si="226"/>
        <v>0</v>
      </c>
      <c r="DZ52" s="606">
        <f t="shared" si="226"/>
        <v>0</v>
      </c>
      <c r="EA52" s="606">
        <f t="shared" si="226"/>
        <v>0</v>
      </c>
      <c r="EB52" s="606">
        <f t="shared" si="226"/>
        <v>0</v>
      </c>
      <c r="EC52" s="606">
        <f t="shared" si="226"/>
        <v>0</v>
      </c>
      <c r="ED52" s="606">
        <f t="shared" si="226"/>
        <v>0</v>
      </c>
      <c r="EE52" s="606">
        <f t="shared" ref="EE52:EJ52" si="227">EE196*$F$52</f>
        <v>0</v>
      </c>
      <c r="EF52" s="606">
        <f t="shared" si="227"/>
        <v>0</v>
      </c>
      <c r="EG52" s="606">
        <f t="shared" si="227"/>
        <v>0</v>
      </c>
      <c r="EH52" s="606">
        <f t="shared" si="227"/>
        <v>0</v>
      </c>
      <c r="EI52" s="606">
        <f t="shared" si="227"/>
        <v>0</v>
      </c>
      <c r="EJ52" s="606">
        <f t="shared" si="227"/>
        <v>0</v>
      </c>
    </row>
    <row r="53" spans="1:140" customFormat="1" hidden="1" outlineLevel="1">
      <c r="A53" s="321"/>
      <c r="B53" s="321"/>
      <c r="C53" s="317" t="s">
        <v>1276</v>
      </c>
      <c r="D53" s="317" t="s">
        <v>1812</v>
      </c>
      <c r="E53" s="606">
        <f t="shared" ca="1" si="17"/>
        <v>0</v>
      </c>
      <c r="F53" s="606">
        <f>'Распределение по статьям'!AC535-'Распределение по статьям'!AC540</f>
        <v>0</v>
      </c>
      <c r="G53" s="606">
        <f t="shared" ref="G53:AL53" si="228">G186*$F$53</f>
        <v>0</v>
      </c>
      <c r="H53" s="606">
        <f t="shared" ca="1" si="228"/>
        <v>0</v>
      </c>
      <c r="I53" s="606">
        <f t="shared" ca="1" si="228"/>
        <v>0</v>
      </c>
      <c r="J53" s="606">
        <f t="shared" ca="1" si="228"/>
        <v>0</v>
      </c>
      <c r="K53" s="606">
        <f t="shared" ca="1" si="228"/>
        <v>0</v>
      </c>
      <c r="L53" s="606">
        <f t="shared" ca="1" si="228"/>
        <v>0</v>
      </c>
      <c r="M53" s="606">
        <f t="shared" ca="1" si="228"/>
        <v>0</v>
      </c>
      <c r="N53" s="606">
        <f t="shared" ca="1" si="228"/>
        <v>0</v>
      </c>
      <c r="O53" s="606">
        <f t="shared" ca="1" si="228"/>
        <v>0</v>
      </c>
      <c r="P53" s="606">
        <f t="shared" ca="1" si="228"/>
        <v>0</v>
      </c>
      <c r="Q53" s="606">
        <f t="shared" ca="1" si="228"/>
        <v>0</v>
      </c>
      <c r="R53" s="606">
        <f t="shared" ca="1" si="228"/>
        <v>0</v>
      </c>
      <c r="S53" s="606">
        <f t="shared" ca="1" si="228"/>
        <v>0</v>
      </c>
      <c r="T53" s="606">
        <f t="shared" ca="1" si="228"/>
        <v>0</v>
      </c>
      <c r="U53" s="606">
        <f t="shared" ca="1" si="228"/>
        <v>0</v>
      </c>
      <c r="V53" s="606">
        <f t="shared" ca="1" si="228"/>
        <v>0</v>
      </c>
      <c r="W53" s="606">
        <f t="shared" ca="1" si="228"/>
        <v>0</v>
      </c>
      <c r="X53" s="606">
        <f t="shared" ca="1" si="228"/>
        <v>0</v>
      </c>
      <c r="Y53" s="606">
        <f t="shared" ca="1" si="228"/>
        <v>0</v>
      </c>
      <c r="Z53" s="606">
        <f t="shared" ca="1" si="228"/>
        <v>0</v>
      </c>
      <c r="AA53" s="606">
        <f t="shared" ca="1" si="228"/>
        <v>0</v>
      </c>
      <c r="AB53" s="606">
        <f t="shared" ca="1" si="228"/>
        <v>0</v>
      </c>
      <c r="AC53" s="606">
        <f t="shared" ca="1" si="228"/>
        <v>0</v>
      </c>
      <c r="AD53" s="606">
        <f t="shared" ca="1" si="228"/>
        <v>0</v>
      </c>
      <c r="AE53" s="606">
        <f t="shared" ca="1" si="228"/>
        <v>0</v>
      </c>
      <c r="AF53" s="606">
        <f t="shared" ca="1" si="228"/>
        <v>0</v>
      </c>
      <c r="AG53" s="606">
        <f t="shared" ca="1" si="228"/>
        <v>0</v>
      </c>
      <c r="AH53" s="606">
        <f t="shared" ca="1" si="228"/>
        <v>0</v>
      </c>
      <c r="AI53" s="606">
        <f t="shared" ca="1" si="228"/>
        <v>0</v>
      </c>
      <c r="AJ53" s="606">
        <f t="shared" ca="1" si="228"/>
        <v>0</v>
      </c>
      <c r="AK53" s="606">
        <f t="shared" ca="1" si="228"/>
        <v>0</v>
      </c>
      <c r="AL53" s="606">
        <f t="shared" ca="1" si="228"/>
        <v>0</v>
      </c>
      <c r="AM53" s="606">
        <f t="shared" ref="AM53:BR53" ca="1" si="229">AM186*$F$53</f>
        <v>0</v>
      </c>
      <c r="AN53" s="606">
        <f t="shared" ca="1" si="229"/>
        <v>0</v>
      </c>
      <c r="AO53" s="606">
        <f t="shared" ca="1" si="229"/>
        <v>0</v>
      </c>
      <c r="AP53" s="606">
        <f t="shared" ca="1" si="229"/>
        <v>0</v>
      </c>
      <c r="AQ53" s="606">
        <f t="shared" ca="1" si="229"/>
        <v>0</v>
      </c>
      <c r="AR53" s="606">
        <f t="shared" ca="1" si="229"/>
        <v>0</v>
      </c>
      <c r="AS53" s="606">
        <f t="shared" ca="1" si="229"/>
        <v>0</v>
      </c>
      <c r="AT53" s="606">
        <f t="shared" ca="1" si="229"/>
        <v>0</v>
      </c>
      <c r="AU53" s="606">
        <f t="shared" ca="1" si="229"/>
        <v>0</v>
      </c>
      <c r="AV53" s="606">
        <f t="shared" ca="1" si="229"/>
        <v>0</v>
      </c>
      <c r="AW53" s="606">
        <f t="shared" ca="1" si="229"/>
        <v>0</v>
      </c>
      <c r="AX53" s="606">
        <f t="shared" ca="1" si="229"/>
        <v>0</v>
      </c>
      <c r="AY53" s="606">
        <f t="shared" ca="1" si="229"/>
        <v>0</v>
      </c>
      <c r="AZ53" s="606">
        <f t="shared" ca="1" si="229"/>
        <v>0</v>
      </c>
      <c r="BA53" s="606">
        <f t="shared" ca="1" si="229"/>
        <v>0</v>
      </c>
      <c r="BB53" s="606">
        <f t="shared" ca="1" si="229"/>
        <v>0</v>
      </c>
      <c r="BC53" s="606">
        <f t="shared" ca="1" si="229"/>
        <v>0</v>
      </c>
      <c r="BD53" s="606">
        <f t="shared" ca="1" si="229"/>
        <v>0</v>
      </c>
      <c r="BE53" s="606">
        <f t="shared" ca="1" si="229"/>
        <v>0</v>
      </c>
      <c r="BF53" s="606">
        <f t="shared" ca="1" si="229"/>
        <v>0</v>
      </c>
      <c r="BG53" s="606">
        <f t="shared" ca="1" si="229"/>
        <v>0</v>
      </c>
      <c r="BH53" s="606">
        <f t="shared" ca="1" si="229"/>
        <v>0</v>
      </c>
      <c r="BI53" s="606">
        <f t="shared" ca="1" si="229"/>
        <v>0</v>
      </c>
      <c r="BJ53" s="606">
        <f t="shared" ca="1" si="229"/>
        <v>0</v>
      </c>
      <c r="BK53" s="606">
        <f t="shared" ca="1" si="229"/>
        <v>0</v>
      </c>
      <c r="BL53" s="606">
        <f t="shared" ca="1" si="229"/>
        <v>0</v>
      </c>
      <c r="BM53" s="606">
        <f t="shared" ca="1" si="229"/>
        <v>0</v>
      </c>
      <c r="BN53" s="606">
        <f t="shared" ca="1" si="229"/>
        <v>0</v>
      </c>
      <c r="BO53" s="606">
        <f t="shared" ca="1" si="229"/>
        <v>0</v>
      </c>
      <c r="BP53" s="606">
        <f t="shared" ca="1" si="229"/>
        <v>0</v>
      </c>
      <c r="BQ53" s="606">
        <f t="shared" ca="1" si="229"/>
        <v>0</v>
      </c>
      <c r="BR53" s="606">
        <f t="shared" ca="1" si="229"/>
        <v>0</v>
      </c>
      <c r="BS53" s="606">
        <f t="shared" ref="BS53:CX53" ca="1" si="230">BS186*$F$53</f>
        <v>0</v>
      </c>
      <c r="BT53" s="606">
        <f t="shared" ca="1" si="230"/>
        <v>0</v>
      </c>
      <c r="BU53" s="606">
        <f t="shared" ca="1" si="230"/>
        <v>0</v>
      </c>
      <c r="BV53" s="606">
        <f t="shared" ca="1" si="230"/>
        <v>0</v>
      </c>
      <c r="BW53" s="606">
        <f t="shared" ca="1" si="230"/>
        <v>0</v>
      </c>
      <c r="BX53" s="606">
        <f t="shared" ca="1" si="230"/>
        <v>0</v>
      </c>
      <c r="BY53" s="606">
        <f t="shared" ca="1" si="230"/>
        <v>0</v>
      </c>
      <c r="BZ53" s="606">
        <f t="shared" ca="1" si="230"/>
        <v>0</v>
      </c>
      <c r="CA53" s="606">
        <f t="shared" ca="1" si="230"/>
        <v>0</v>
      </c>
      <c r="CB53" s="606">
        <f t="shared" ca="1" si="230"/>
        <v>0</v>
      </c>
      <c r="CC53" s="606">
        <f t="shared" ca="1" si="230"/>
        <v>0</v>
      </c>
      <c r="CD53" s="606">
        <f t="shared" ca="1" si="230"/>
        <v>0</v>
      </c>
      <c r="CE53" s="606">
        <f t="shared" ca="1" si="230"/>
        <v>0</v>
      </c>
      <c r="CF53" s="606">
        <f t="shared" ca="1" si="230"/>
        <v>0</v>
      </c>
      <c r="CG53" s="606">
        <f t="shared" ca="1" si="230"/>
        <v>0</v>
      </c>
      <c r="CH53" s="606">
        <f t="shared" ca="1" si="230"/>
        <v>0</v>
      </c>
      <c r="CI53" s="606">
        <f t="shared" ca="1" si="230"/>
        <v>0</v>
      </c>
      <c r="CJ53" s="606">
        <f t="shared" ca="1" si="230"/>
        <v>0</v>
      </c>
      <c r="CK53" s="606">
        <f t="shared" ca="1" si="230"/>
        <v>0</v>
      </c>
      <c r="CL53" s="606">
        <f t="shared" ca="1" si="230"/>
        <v>0</v>
      </c>
      <c r="CM53" s="606">
        <f t="shared" ca="1" si="230"/>
        <v>0</v>
      </c>
      <c r="CN53" s="606">
        <f t="shared" ca="1" si="230"/>
        <v>0</v>
      </c>
      <c r="CO53" s="606">
        <f t="shared" ca="1" si="230"/>
        <v>0</v>
      </c>
      <c r="CP53" s="606">
        <f t="shared" ca="1" si="230"/>
        <v>0</v>
      </c>
      <c r="CQ53" s="606">
        <f t="shared" ca="1" si="230"/>
        <v>0</v>
      </c>
      <c r="CR53" s="606">
        <f t="shared" ca="1" si="230"/>
        <v>0</v>
      </c>
      <c r="CS53" s="606">
        <f t="shared" ca="1" si="230"/>
        <v>0</v>
      </c>
      <c r="CT53" s="606">
        <f t="shared" ca="1" si="230"/>
        <v>0</v>
      </c>
      <c r="CU53" s="606">
        <f t="shared" ca="1" si="230"/>
        <v>0</v>
      </c>
      <c r="CV53" s="606">
        <f t="shared" ca="1" si="230"/>
        <v>0</v>
      </c>
      <c r="CW53" s="606">
        <f t="shared" ca="1" si="230"/>
        <v>0</v>
      </c>
      <c r="CX53" s="606">
        <f t="shared" ca="1" si="230"/>
        <v>0</v>
      </c>
      <c r="CY53" s="606">
        <f t="shared" ref="CY53:ED53" ca="1" si="231">CY186*$F$53</f>
        <v>0</v>
      </c>
      <c r="CZ53" s="606">
        <f t="shared" ca="1" si="231"/>
        <v>0</v>
      </c>
      <c r="DA53" s="606">
        <f t="shared" ca="1" si="231"/>
        <v>0</v>
      </c>
      <c r="DB53" s="606">
        <f t="shared" ca="1" si="231"/>
        <v>0</v>
      </c>
      <c r="DC53" s="606">
        <f t="shared" ca="1" si="231"/>
        <v>0</v>
      </c>
      <c r="DD53" s="606">
        <f t="shared" ca="1" si="231"/>
        <v>0</v>
      </c>
      <c r="DE53" s="606">
        <f t="shared" ca="1" si="231"/>
        <v>0</v>
      </c>
      <c r="DF53" s="606">
        <f t="shared" ca="1" si="231"/>
        <v>0</v>
      </c>
      <c r="DG53" s="606">
        <f t="shared" ca="1" si="231"/>
        <v>0</v>
      </c>
      <c r="DH53" s="606">
        <f t="shared" ca="1" si="231"/>
        <v>0</v>
      </c>
      <c r="DI53" s="606">
        <f t="shared" ca="1" si="231"/>
        <v>0</v>
      </c>
      <c r="DJ53" s="606">
        <f t="shared" ca="1" si="231"/>
        <v>0</v>
      </c>
      <c r="DK53" s="606">
        <f t="shared" ca="1" si="231"/>
        <v>0</v>
      </c>
      <c r="DL53" s="606">
        <f t="shared" ca="1" si="231"/>
        <v>0</v>
      </c>
      <c r="DM53" s="606">
        <f t="shared" ca="1" si="231"/>
        <v>0</v>
      </c>
      <c r="DN53" s="606">
        <f t="shared" ca="1" si="231"/>
        <v>0</v>
      </c>
      <c r="DO53" s="606">
        <f t="shared" ca="1" si="231"/>
        <v>0</v>
      </c>
      <c r="DP53" s="606">
        <f t="shared" ca="1" si="231"/>
        <v>0</v>
      </c>
      <c r="DQ53" s="606">
        <f t="shared" ca="1" si="231"/>
        <v>0</v>
      </c>
      <c r="DR53" s="606">
        <f t="shared" ca="1" si="231"/>
        <v>0</v>
      </c>
      <c r="DS53" s="606">
        <f t="shared" ca="1" si="231"/>
        <v>0</v>
      </c>
      <c r="DT53" s="606">
        <f t="shared" ca="1" si="231"/>
        <v>0</v>
      </c>
      <c r="DU53" s="606">
        <f t="shared" ca="1" si="231"/>
        <v>0</v>
      </c>
      <c r="DV53" s="606">
        <f t="shared" ca="1" si="231"/>
        <v>0</v>
      </c>
      <c r="DW53" s="606">
        <f t="shared" ca="1" si="231"/>
        <v>0</v>
      </c>
      <c r="DX53" s="606">
        <f t="shared" ca="1" si="231"/>
        <v>0</v>
      </c>
      <c r="DY53" s="606">
        <f t="shared" ca="1" si="231"/>
        <v>0</v>
      </c>
      <c r="DZ53" s="606">
        <f t="shared" ca="1" si="231"/>
        <v>0</v>
      </c>
      <c r="EA53" s="606">
        <f t="shared" ca="1" si="231"/>
        <v>0</v>
      </c>
      <c r="EB53" s="606">
        <f t="shared" ca="1" si="231"/>
        <v>0</v>
      </c>
      <c r="EC53" s="606">
        <f t="shared" ca="1" si="231"/>
        <v>0</v>
      </c>
      <c r="ED53" s="606">
        <f t="shared" ca="1" si="231"/>
        <v>0</v>
      </c>
      <c r="EE53" s="606">
        <f t="shared" ref="EE53:EJ53" ca="1" si="232">EE186*$F$53</f>
        <v>0</v>
      </c>
      <c r="EF53" s="606">
        <f t="shared" ca="1" si="232"/>
        <v>0</v>
      </c>
      <c r="EG53" s="606">
        <f t="shared" ca="1" si="232"/>
        <v>0</v>
      </c>
      <c r="EH53" s="606">
        <f t="shared" ca="1" si="232"/>
        <v>0</v>
      </c>
      <c r="EI53" s="606">
        <f t="shared" ca="1" si="232"/>
        <v>0</v>
      </c>
      <c r="EJ53" s="606">
        <f t="shared" si="232"/>
        <v>0</v>
      </c>
    </row>
    <row r="54" spans="1:140" customFormat="1" hidden="1" outlineLevel="1">
      <c r="A54" s="321"/>
      <c r="B54" s="321"/>
      <c r="C54" s="317" t="s">
        <v>1271</v>
      </c>
      <c r="D54" s="317" t="s">
        <v>1220</v>
      </c>
      <c r="E54" s="606">
        <f t="shared" ref="E54:E65" ca="1" si="233">F54-SUM(G54:EJ54)</f>
        <v>0</v>
      </c>
      <c r="F54" s="606">
        <f>'Распределение по статьям'!AC540</f>
        <v>34794242.294475406</v>
      </c>
      <c r="G54" s="606">
        <f t="shared" ref="G54:AL54" si="234">G191*$F$54</f>
        <v>0</v>
      </c>
      <c r="H54" s="606">
        <f t="shared" ca="1" si="234"/>
        <v>0</v>
      </c>
      <c r="I54" s="606">
        <f t="shared" ca="1" si="234"/>
        <v>0</v>
      </c>
      <c r="J54" s="606">
        <f t="shared" ca="1" si="234"/>
        <v>0</v>
      </c>
      <c r="K54" s="606">
        <f t="shared" ca="1" si="234"/>
        <v>0</v>
      </c>
      <c r="L54" s="606">
        <f t="shared" ca="1" si="234"/>
        <v>0</v>
      </c>
      <c r="M54" s="606">
        <f t="shared" ca="1" si="234"/>
        <v>0</v>
      </c>
      <c r="N54" s="606">
        <f t="shared" ca="1" si="234"/>
        <v>0</v>
      </c>
      <c r="O54" s="606">
        <f t="shared" ca="1" si="234"/>
        <v>0</v>
      </c>
      <c r="P54" s="606">
        <f t="shared" ca="1" si="234"/>
        <v>0</v>
      </c>
      <c r="Q54" s="606">
        <f t="shared" ca="1" si="234"/>
        <v>10438272.688342622</v>
      </c>
      <c r="R54" s="606">
        <f t="shared" ca="1" si="234"/>
        <v>0</v>
      </c>
      <c r="S54" s="606">
        <f t="shared" ca="1" si="234"/>
        <v>3873034.0954037895</v>
      </c>
      <c r="T54" s="606">
        <f t="shared" ca="1" si="234"/>
        <v>17527599.555841982</v>
      </c>
      <c r="U54" s="606">
        <f t="shared" ca="1" si="234"/>
        <v>1215623.8401632374</v>
      </c>
      <c r="V54" s="606">
        <f t="shared" ca="1" si="234"/>
        <v>869856.05736188521</v>
      </c>
      <c r="W54" s="606">
        <f t="shared" ca="1" si="234"/>
        <v>0</v>
      </c>
      <c r="X54" s="606">
        <f t="shared" ca="1" si="234"/>
        <v>0</v>
      </c>
      <c r="Y54" s="606">
        <f t="shared" ca="1" si="234"/>
        <v>0</v>
      </c>
      <c r="Z54" s="606">
        <f t="shared" ca="1" si="234"/>
        <v>0</v>
      </c>
      <c r="AA54" s="606">
        <f t="shared" ca="1" si="234"/>
        <v>0</v>
      </c>
      <c r="AB54" s="606">
        <f t="shared" ca="1" si="234"/>
        <v>0</v>
      </c>
      <c r="AC54" s="606">
        <f t="shared" ca="1" si="234"/>
        <v>0</v>
      </c>
      <c r="AD54" s="606">
        <f t="shared" ca="1" si="234"/>
        <v>0</v>
      </c>
      <c r="AE54" s="606">
        <f t="shared" ca="1" si="234"/>
        <v>0</v>
      </c>
      <c r="AF54" s="606">
        <f t="shared" ca="1" si="234"/>
        <v>0</v>
      </c>
      <c r="AG54" s="606">
        <f t="shared" ca="1" si="234"/>
        <v>0</v>
      </c>
      <c r="AH54" s="606">
        <f t="shared" ca="1" si="234"/>
        <v>0</v>
      </c>
      <c r="AI54" s="606">
        <f t="shared" ca="1" si="234"/>
        <v>0</v>
      </c>
      <c r="AJ54" s="606">
        <f t="shared" ca="1" si="234"/>
        <v>0</v>
      </c>
      <c r="AK54" s="606">
        <f t="shared" ca="1" si="234"/>
        <v>0</v>
      </c>
      <c r="AL54" s="606">
        <f t="shared" ca="1" si="234"/>
        <v>0</v>
      </c>
      <c r="AM54" s="606">
        <f t="shared" ref="AM54:BR54" ca="1" si="235">AM191*$F$54</f>
        <v>0</v>
      </c>
      <c r="AN54" s="606">
        <f t="shared" ca="1" si="235"/>
        <v>0</v>
      </c>
      <c r="AO54" s="606">
        <f t="shared" ca="1" si="235"/>
        <v>0</v>
      </c>
      <c r="AP54" s="606">
        <f t="shared" ca="1" si="235"/>
        <v>0</v>
      </c>
      <c r="AQ54" s="606">
        <f t="shared" ca="1" si="235"/>
        <v>0</v>
      </c>
      <c r="AR54" s="606">
        <f t="shared" ca="1" si="235"/>
        <v>0</v>
      </c>
      <c r="AS54" s="606">
        <f t="shared" ca="1" si="235"/>
        <v>869856.05736188521</v>
      </c>
      <c r="AT54" s="606">
        <f t="shared" ca="1" si="235"/>
        <v>0</v>
      </c>
      <c r="AU54" s="606">
        <f t="shared" ca="1" si="235"/>
        <v>0</v>
      </c>
      <c r="AV54" s="606">
        <f t="shared" ca="1" si="235"/>
        <v>0</v>
      </c>
      <c r="AW54" s="606">
        <f t="shared" ca="1" si="235"/>
        <v>0</v>
      </c>
      <c r="AX54" s="606">
        <f t="shared" ca="1" si="235"/>
        <v>0</v>
      </c>
      <c r="AY54" s="606">
        <f t="shared" ca="1" si="235"/>
        <v>0</v>
      </c>
      <c r="AZ54" s="606">
        <f t="shared" ca="1" si="235"/>
        <v>0</v>
      </c>
      <c r="BA54" s="606">
        <f t="shared" ca="1" si="235"/>
        <v>0</v>
      </c>
      <c r="BB54" s="606">
        <f t="shared" ca="1" si="235"/>
        <v>0</v>
      </c>
      <c r="BC54" s="606">
        <f t="shared" ca="1" si="235"/>
        <v>0</v>
      </c>
      <c r="BD54" s="606">
        <f t="shared" ca="1" si="235"/>
        <v>0</v>
      </c>
      <c r="BE54" s="606">
        <f t="shared" ca="1" si="235"/>
        <v>0</v>
      </c>
      <c r="BF54" s="606">
        <f t="shared" ca="1" si="235"/>
        <v>0</v>
      </c>
      <c r="BG54" s="606">
        <f t="shared" ca="1" si="235"/>
        <v>0</v>
      </c>
      <c r="BH54" s="606">
        <f t="shared" ca="1" si="235"/>
        <v>0</v>
      </c>
      <c r="BI54" s="606">
        <f t="shared" ca="1" si="235"/>
        <v>0</v>
      </c>
      <c r="BJ54" s="606">
        <f t="shared" ca="1" si="235"/>
        <v>0</v>
      </c>
      <c r="BK54" s="606">
        <f t="shared" ca="1" si="235"/>
        <v>0</v>
      </c>
      <c r="BL54" s="606">
        <f t="shared" ca="1" si="235"/>
        <v>0</v>
      </c>
      <c r="BM54" s="606">
        <f t="shared" ca="1" si="235"/>
        <v>0</v>
      </c>
      <c r="BN54" s="606">
        <f t="shared" ca="1" si="235"/>
        <v>0</v>
      </c>
      <c r="BO54" s="606">
        <f t="shared" ca="1" si="235"/>
        <v>0</v>
      </c>
      <c r="BP54" s="606">
        <f t="shared" ca="1" si="235"/>
        <v>0</v>
      </c>
      <c r="BQ54" s="606">
        <f t="shared" ca="1" si="235"/>
        <v>0</v>
      </c>
      <c r="BR54" s="606">
        <f t="shared" ca="1" si="235"/>
        <v>0</v>
      </c>
      <c r="BS54" s="606">
        <f t="shared" ref="BS54:CX54" ca="1" si="236">BS191*$F$54</f>
        <v>0</v>
      </c>
      <c r="BT54" s="606">
        <f t="shared" ca="1" si="236"/>
        <v>0</v>
      </c>
      <c r="BU54" s="606">
        <f t="shared" ca="1" si="236"/>
        <v>0</v>
      </c>
      <c r="BV54" s="606">
        <f t="shared" ca="1" si="236"/>
        <v>0</v>
      </c>
      <c r="BW54" s="606">
        <f t="shared" ca="1" si="236"/>
        <v>0</v>
      </c>
      <c r="BX54" s="606">
        <f t="shared" ca="1" si="236"/>
        <v>0</v>
      </c>
      <c r="BY54" s="606">
        <f t="shared" ca="1" si="236"/>
        <v>0</v>
      </c>
      <c r="BZ54" s="606">
        <f t="shared" ca="1" si="236"/>
        <v>0</v>
      </c>
      <c r="CA54" s="606">
        <f t="shared" ca="1" si="236"/>
        <v>0</v>
      </c>
      <c r="CB54" s="606">
        <f t="shared" ca="1" si="236"/>
        <v>0</v>
      </c>
      <c r="CC54" s="606">
        <f t="shared" ca="1" si="236"/>
        <v>0</v>
      </c>
      <c r="CD54" s="606">
        <f t="shared" ca="1" si="236"/>
        <v>0</v>
      </c>
      <c r="CE54" s="606">
        <f t="shared" ca="1" si="236"/>
        <v>0</v>
      </c>
      <c r="CF54" s="606">
        <f t="shared" ca="1" si="236"/>
        <v>0</v>
      </c>
      <c r="CG54" s="606">
        <f t="shared" ca="1" si="236"/>
        <v>0</v>
      </c>
      <c r="CH54" s="606">
        <f t="shared" ca="1" si="236"/>
        <v>0</v>
      </c>
      <c r="CI54" s="606">
        <f t="shared" ca="1" si="236"/>
        <v>0</v>
      </c>
      <c r="CJ54" s="606">
        <f t="shared" ca="1" si="236"/>
        <v>0</v>
      </c>
      <c r="CK54" s="606">
        <f t="shared" ca="1" si="236"/>
        <v>0</v>
      </c>
      <c r="CL54" s="606">
        <f t="shared" ca="1" si="236"/>
        <v>0</v>
      </c>
      <c r="CM54" s="606">
        <f t="shared" ca="1" si="236"/>
        <v>0</v>
      </c>
      <c r="CN54" s="606">
        <f t="shared" ca="1" si="236"/>
        <v>0</v>
      </c>
      <c r="CO54" s="606">
        <f t="shared" ca="1" si="236"/>
        <v>0</v>
      </c>
      <c r="CP54" s="606">
        <f t="shared" ca="1" si="236"/>
        <v>0</v>
      </c>
      <c r="CQ54" s="606">
        <f t="shared" ca="1" si="236"/>
        <v>0</v>
      </c>
      <c r="CR54" s="606">
        <f t="shared" ca="1" si="236"/>
        <v>0</v>
      </c>
      <c r="CS54" s="606">
        <f t="shared" ca="1" si="236"/>
        <v>0</v>
      </c>
      <c r="CT54" s="606">
        <f t="shared" ca="1" si="236"/>
        <v>0</v>
      </c>
      <c r="CU54" s="606">
        <f t="shared" ca="1" si="236"/>
        <v>0</v>
      </c>
      <c r="CV54" s="606">
        <f t="shared" ca="1" si="236"/>
        <v>0</v>
      </c>
      <c r="CW54" s="606">
        <f t="shared" ca="1" si="236"/>
        <v>0</v>
      </c>
      <c r="CX54" s="606">
        <f t="shared" ca="1" si="236"/>
        <v>0</v>
      </c>
      <c r="CY54" s="606">
        <f t="shared" ref="CY54:ED54" ca="1" si="237">CY191*$F$54</f>
        <v>0</v>
      </c>
      <c r="CZ54" s="606">
        <f t="shared" ca="1" si="237"/>
        <v>0</v>
      </c>
      <c r="DA54" s="606">
        <f t="shared" ca="1" si="237"/>
        <v>0</v>
      </c>
      <c r="DB54" s="606">
        <f t="shared" ca="1" si="237"/>
        <v>0</v>
      </c>
      <c r="DC54" s="606">
        <f t="shared" ca="1" si="237"/>
        <v>0</v>
      </c>
      <c r="DD54" s="606">
        <f t="shared" ca="1" si="237"/>
        <v>0</v>
      </c>
      <c r="DE54" s="606">
        <f t="shared" ca="1" si="237"/>
        <v>0</v>
      </c>
      <c r="DF54" s="606">
        <f t="shared" ca="1" si="237"/>
        <v>0</v>
      </c>
      <c r="DG54" s="606">
        <f t="shared" ca="1" si="237"/>
        <v>0</v>
      </c>
      <c r="DH54" s="606">
        <f t="shared" ca="1" si="237"/>
        <v>0</v>
      </c>
      <c r="DI54" s="606">
        <f t="shared" ca="1" si="237"/>
        <v>0</v>
      </c>
      <c r="DJ54" s="606">
        <f t="shared" ca="1" si="237"/>
        <v>0</v>
      </c>
      <c r="DK54" s="606">
        <f t="shared" ca="1" si="237"/>
        <v>0</v>
      </c>
      <c r="DL54" s="606">
        <f t="shared" ca="1" si="237"/>
        <v>0</v>
      </c>
      <c r="DM54" s="606">
        <f t="shared" ca="1" si="237"/>
        <v>0</v>
      </c>
      <c r="DN54" s="606">
        <f t="shared" ca="1" si="237"/>
        <v>0</v>
      </c>
      <c r="DO54" s="606">
        <f t="shared" ca="1" si="237"/>
        <v>0</v>
      </c>
      <c r="DP54" s="606">
        <f t="shared" ca="1" si="237"/>
        <v>0</v>
      </c>
      <c r="DQ54" s="606">
        <f t="shared" ca="1" si="237"/>
        <v>0</v>
      </c>
      <c r="DR54" s="606">
        <f t="shared" ca="1" si="237"/>
        <v>0</v>
      </c>
      <c r="DS54" s="606">
        <f t="shared" ca="1" si="237"/>
        <v>0</v>
      </c>
      <c r="DT54" s="606">
        <f t="shared" ca="1" si="237"/>
        <v>0</v>
      </c>
      <c r="DU54" s="606">
        <f t="shared" ca="1" si="237"/>
        <v>0</v>
      </c>
      <c r="DV54" s="606">
        <f t="shared" ca="1" si="237"/>
        <v>0</v>
      </c>
      <c r="DW54" s="606">
        <f t="shared" ca="1" si="237"/>
        <v>0</v>
      </c>
      <c r="DX54" s="606">
        <f t="shared" ca="1" si="237"/>
        <v>0</v>
      </c>
      <c r="DY54" s="606">
        <f t="shared" ca="1" si="237"/>
        <v>0</v>
      </c>
      <c r="DZ54" s="606">
        <f t="shared" ca="1" si="237"/>
        <v>0</v>
      </c>
      <c r="EA54" s="606">
        <f t="shared" ca="1" si="237"/>
        <v>0</v>
      </c>
      <c r="EB54" s="606">
        <f t="shared" ca="1" si="237"/>
        <v>0</v>
      </c>
      <c r="EC54" s="606">
        <f t="shared" ca="1" si="237"/>
        <v>0</v>
      </c>
      <c r="ED54" s="606">
        <f t="shared" ca="1" si="237"/>
        <v>0</v>
      </c>
      <c r="EE54" s="606">
        <f t="shared" ref="EE54:EJ54" ca="1" si="238">EE191*$F$54</f>
        <v>0</v>
      </c>
      <c r="EF54" s="606">
        <f t="shared" ca="1" si="238"/>
        <v>0</v>
      </c>
      <c r="EG54" s="606">
        <f t="shared" ca="1" si="238"/>
        <v>0</v>
      </c>
      <c r="EH54" s="606">
        <f t="shared" ca="1" si="238"/>
        <v>0</v>
      </c>
      <c r="EI54" s="606">
        <f t="shared" ca="1" si="238"/>
        <v>0</v>
      </c>
      <c r="EJ54" s="606">
        <f t="shared" si="238"/>
        <v>0</v>
      </c>
    </row>
    <row r="55" spans="1:140" customFormat="1" hidden="1" outlineLevel="1">
      <c r="A55" s="321"/>
      <c r="B55" s="321"/>
      <c r="C55" s="317"/>
      <c r="D55" s="317" t="s">
        <v>1809</v>
      </c>
      <c r="E55" s="606">
        <f t="shared" ca="1" si="233"/>
        <v>0</v>
      </c>
      <c r="F55" s="606">
        <f>IF('Распределение по статьям'!AC552=0,'Распределение по статьям'!AC546+'Распределение по статьям'!AC545,0)</f>
        <v>137827393.72317216</v>
      </c>
      <c r="G55" s="606">
        <f t="shared" ref="G55:AL55" si="239">G205*$F$55</f>
        <v>0</v>
      </c>
      <c r="H55" s="606">
        <f t="shared" ca="1" si="239"/>
        <v>0</v>
      </c>
      <c r="I55" s="606">
        <f t="shared" ca="1" si="239"/>
        <v>0</v>
      </c>
      <c r="J55" s="606">
        <f t="shared" ca="1" si="239"/>
        <v>0</v>
      </c>
      <c r="K55" s="606">
        <f t="shared" ca="1" si="239"/>
        <v>0</v>
      </c>
      <c r="L55" s="606">
        <f t="shared" ca="1" si="239"/>
        <v>0</v>
      </c>
      <c r="M55" s="606">
        <f t="shared" ca="1" si="239"/>
        <v>0</v>
      </c>
      <c r="N55" s="606">
        <f t="shared" ca="1" si="239"/>
        <v>0</v>
      </c>
      <c r="O55" s="606">
        <f t="shared" ca="1" si="239"/>
        <v>0</v>
      </c>
      <c r="P55" s="606">
        <f t="shared" ca="1" si="239"/>
        <v>0</v>
      </c>
      <c r="Q55" s="606">
        <f t="shared" ca="1" si="239"/>
        <v>0</v>
      </c>
      <c r="R55" s="606">
        <f t="shared" ca="1" si="239"/>
        <v>0</v>
      </c>
      <c r="S55" s="606">
        <f t="shared" ca="1" si="239"/>
        <v>0</v>
      </c>
      <c r="T55" s="606">
        <f t="shared" ca="1" si="239"/>
        <v>0</v>
      </c>
      <c r="U55" s="606">
        <f t="shared" ca="1" si="239"/>
        <v>0</v>
      </c>
      <c r="V55" s="606">
        <f t="shared" ca="1" si="239"/>
        <v>0</v>
      </c>
      <c r="W55" s="606">
        <f t="shared" ca="1" si="239"/>
        <v>0</v>
      </c>
      <c r="X55" s="606">
        <f t="shared" ca="1" si="239"/>
        <v>0</v>
      </c>
      <c r="Y55" s="606">
        <f t="shared" ca="1" si="239"/>
        <v>0</v>
      </c>
      <c r="Z55" s="606">
        <f t="shared" ca="1" si="239"/>
        <v>0</v>
      </c>
      <c r="AA55" s="606">
        <f t="shared" ca="1" si="239"/>
        <v>0</v>
      </c>
      <c r="AB55" s="606">
        <f t="shared" ca="1" si="239"/>
        <v>0</v>
      </c>
      <c r="AC55" s="606">
        <f t="shared" ca="1" si="239"/>
        <v>0</v>
      </c>
      <c r="AD55" s="606">
        <f t="shared" ca="1" si="239"/>
        <v>0</v>
      </c>
      <c r="AE55" s="606">
        <f t="shared" ca="1" si="239"/>
        <v>0</v>
      </c>
      <c r="AF55" s="606">
        <f t="shared" ca="1" si="239"/>
        <v>0</v>
      </c>
      <c r="AG55" s="606">
        <f t="shared" ca="1" si="239"/>
        <v>0</v>
      </c>
      <c r="AH55" s="606">
        <f t="shared" ca="1" si="239"/>
        <v>0</v>
      </c>
      <c r="AI55" s="606">
        <f t="shared" ca="1" si="239"/>
        <v>0</v>
      </c>
      <c r="AJ55" s="606">
        <f t="shared" ca="1" si="239"/>
        <v>0</v>
      </c>
      <c r="AK55" s="606">
        <f t="shared" ca="1" si="239"/>
        <v>0</v>
      </c>
      <c r="AL55" s="606">
        <f t="shared" ca="1" si="239"/>
        <v>0</v>
      </c>
      <c r="AM55" s="606">
        <f t="shared" ref="AM55:BR55" ca="1" si="240">AM205*$F$55</f>
        <v>0</v>
      </c>
      <c r="AN55" s="606">
        <f t="shared" ca="1" si="240"/>
        <v>0</v>
      </c>
      <c r="AO55" s="606">
        <f t="shared" ca="1" si="240"/>
        <v>0</v>
      </c>
      <c r="AP55" s="606">
        <f t="shared" ca="1" si="240"/>
        <v>0</v>
      </c>
      <c r="AQ55" s="606">
        <f t="shared" ca="1" si="240"/>
        <v>0</v>
      </c>
      <c r="AR55" s="606">
        <f t="shared" ca="1" si="240"/>
        <v>0</v>
      </c>
      <c r="AS55" s="606">
        <f t="shared" ca="1" si="240"/>
        <v>0</v>
      </c>
      <c r="AT55" s="606">
        <f t="shared" ca="1" si="240"/>
        <v>0</v>
      </c>
      <c r="AU55" s="606">
        <f t="shared" ca="1" si="240"/>
        <v>0</v>
      </c>
      <c r="AV55" s="606">
        <f t="shared" ca="1" si="240"/>
        <v>0</v>
      </c>
      <c r="AW55" s="606">
        <f t="shared" ca="1" si="240"/>
        <v>0</v>
      </c>
      <c r="AX55" s="606">
        <f t="shared" ca="1" si="240"/>
        <v>0</v>
      </c>
      <c r="AY55" s="606">
        <f t="shared" ca="1" si="240"/>
        <v>0</v>
      </c>
      <c r="AZ55" s="606">
        <f t="shared" ca="1" si="240"/>
        <v>41348218.116951644</v>
      </c>
      <c r="BA55" s="606">
        <f t="shared" ca="1" si="240"/>
        <v>0</v>
      </c>
      <c r="BB55" s="606">
        <f t="shared" ca="1" si="240"/>
        <v>660816.27127548296</v>
      </c>
      <c r="BC55" s="606">
        <f t="shared" ca="1" si="240"/>
        <v>3700571.1191427046</v>
      </c>
      <c r="BD55" s="606">
        <f t="shared" ca="1" si="240"/>
        <v>4097060.8819079939</v>
      </c>
      <c r="BE55" s="606">
        <f t="shared" ca="1" si="240"/>
        <v>3964897.6276528975</v>
      </c>
      <c r="BF55" s="606">
        <f t="shared" ca="1" si="240"/>
        <v>4097060.8819079939</v>
      </c>
      <c r="BG55" s="606">
        <f t="shared" ca="1" si="240"/>
        <v>3964897.6276528975</v>
      </c>
      <c r="BH55" s="606">
        <f t="shared" ca="1" si="240"/>
        <v>4097060.8819079939</v>
      </c>
      <c r="BI55" s="606">
        <f t="shared" ca="1" si="240"/>
        <v>4097060.8819079939</v>
      </c>
      <c r="BJ55" s="606">
        <f t="shared" ca="1" si="240"/>
        <v>3964897.6276528975</v>
      </c>
      <c r="BK55" s="606">
        <f t="shared" ca="1" si="240"/>
        <v>4097060.8819079939</v>
      </c>
      <c r="BL55" s="606">
        <f t="shared" ca="1" si="240"/>
        <v>3964897.6276528975</v>
      </c>
      <c r="BM55" s="606">
        <f t="shared" ca="1" si="240"/>
        <v>4097060.8819079939</v>
      </c>
      <c r="BN55" s="606">
        <f t="shared" ca="1" si="240"/>
        <v>4097060.8819079939</v>
      </c>
      <c r="BO55" s="606">
        <f t="shared" ca="1" si="240"/>
        <v>3832734.3733978011</v>
      </c>
      <c r="BP55" s="606">
        <f t="shared" ca="1" si="240"/>
        <v>4097060.8819079939</v>
      </c>
      <c r="BQ55" s="606">
        <f t="shared" ca="1" si="240"/>
        <v>3964897.6276528975</v>
      </c>
      <c r="BR55" s="606">
        <f t="shared" ca="1" si="240"/>
        <v>4097060.8819079939</v>
      </c>
      <c r="BS55" s="606">
        <f t="shared" ref="BS55:CX55" ca="1" si="241">BS205*$F$55</f>
        <v>3964897.6276528975</v>
      </c>
      <c r="BT55" s="606">
        <f t="shared" ca="1" si="241"/>
        <v>4097060.8819079939</v>
      </c>
      <c r="BU55" s="606">
        <f t="shared" ca="1" si="241"/>
        <v>4097060.8819079939</v>
      </c>
      <c r="BV55" s="606">
        <f t="shared" ca="1" si="241"/>
        <v>3964897.6276528975</v>
      </c>
      <c r="BW55" s="606">
        <f t="shared" ca="1" si="241"/>
        <v>4097060.8819079939</v>
      </c>
      <c r="BX55" s="606">
        <f t="shared" ca="1" si="241"/>
        <v>3964897.6276528975</v>
      </c>
      <c r="BY55" s="606">
        <f t="shared" ca="1" si="241"/>
        <v>4097060.8819079939</v>
      </c>
      <c r="BZ55" s="606">
        <f t="shared" ca="1" si="241"/>
        <v>3304081.3563774144</v>
      </c>
      <c r="CA55" s="606">
        <f t="shared" ca="1" si="241"/>
        <v>0</v>
      </c>
      <c r="CB55" s="606">
        <f t="shared" ca="1" si="241"/>
        <v>0</v>
      </c>
      <c r="CC55" s="606">
        <f t="shared" ca="1" si="241"/>
        <v>0</v>
      </c>
      <c r="CD55" s="606">
        <f t="shared" ca="1" si="241"/>
        <v>0</v>
      </c>
      <c r="CE55" s="606">
        <f t="shared" ca="1" si="241"/>
        <v>0</v>
      </c>
      <c r="CF55" s="606">
        <f t="shared" ca="1" si="241"/>
        <v>0</v>
      </c>
      <c r="CG55" s="606">
        <f t="shared" ca="1" si="241"/>
        <v>0</v>
      </c>
      <c r="CH55" s="606">
        <f t="shared" ca="1" si="241"/>
        <v>0</v>
      </c>
      <c r="CI55" s="606">
        <f t="shared" ca="1" si="241"/>
        <v>0</v>
      </c>
      <c r="CJ55" s="606">
        <f t="shared" ca="1" si="241"/>
        <v>0</v>
      </c>
      <c r="CK55" s="606">
        <f t="shared" ca="1" si="241"/>
        <v>0</v>
      </c>
      <c r="CL55" s="606">
        <f t="shared" ca="1" si="241"/>
        <v>0</v>
      </c>
      <c r="CM55" s="606">
        <f t="shared" ca="1" si="241"/>
        <v>0</v>
      </c>
      <c r="CN55" s="606">
        <f t="shared" ca="1" si="241"/>
        <v>0</v>
      </c>
      <c r="CO55" s="606">
        <f t="shared" ca="1" si="241"/>
        <v>0</v>
      </c>
      <c r="CP55" s="606">
        <f t="shared" ca="1" si="241"/>
        <v>0</v>
      </c>
      <c r="CQ55" s="606">
        <f t="shared" ca="1" si="241"/>
        <v>0</v>
      </c>
      <c r="CR55" s="606">
        <f t="shared" ca="1" si="241"/>
        <v>0</v>
      </c>
      <c r="CS55" s="606">
        <f t="shared" ca="1" si="241"/>
        <v>0</v>
      </c>
      <c r="CT55" s="606">
        <f t="shared" ca="1" si="241"/>
        <v>0</v>
      </c>
      <c r="CU55" s="606">
        <f t="shared" ca="1" si="241"/>
        <v>0</v>
      </c>
      <c r="CV55" s="606">
        <f t="shared" ca="1" si="241"/>
        <v>0</v>
      </c>
      <c r="CW55" s="606">
        <f t="shared" ca="1" si="241"/>
        <v>0</v>
      </c>
      <c r="CX55" s="606">
        <f t="shared" ca="1" si="241"/>
        <v>0</v>
      </c>
      <c r="CY55" s="606">
        <f t="shared" ref="CY55:ED55" ca="1" si="242">CY205*$F$55</f>
        <v>0</v>
      </c>
      <c r="CZ55" s="606">
        <f t="shared" ca="1" si="242"/>
        <v>0</v>
      </c>
      <c r="DA55" s="606">
        <f t="shared" ca="1" si="242"/>
        <v>0</v>
      </c>
      <c r="DB55" s="606">
        <f t="shared" ca="1" si="242"/>
        <v>0</v>
      </c>
      <c r="DC55" s="606">
        <f t="shared" ca="1" si="242"/>
        <v>0</v>
      </c>
      <c r="DD55" s="606">
        <f t="shared" ca="1" si="242"/>
        <v>0</v>
      </c>
      <c r="DE55" s="606">
        <f t="shared" ca="1" si="242"/>
        <v>0</v>
      </c>
      <c r="DF55" s="606">
        <f t="shared" ca="1" si="242"/>
        <v>0</v>
      </c>
      <c r="DG55" s="606">
        <f t="shared" ca="1" si="242"/>
        <v>0</v>
      </c>
      <c r="DH55" s="606">
        <f t="shared" ca="1" si="242"/>
        <v>0</v>
      </c>
      <c r="DI55" s="606">
        <f t="shared" ca="1" si="242"/>
        <v>0</v>
      </c>
      <c r="DJ55" s="606">
        <f t="shared" ca="1" si="242"/>
        <v>0</v>
      </c>
      <c r="DK55" s="606">
        <f t="shared" ca="1" si="242"/>
        <v>0</v>
      </c>
      <c r="DL55" s="606">
        <f t="shared" ca="1" si="242"/>
        <v>0</v>
      </c>
      <c r="DM55" s="606">
        <f t="shared" ca="1" si="242"/>
        <v>0</v>
      </c>
      <c r="DN55" s="606">
        <f t="shared" ca="1" si="242"/>
        <v>0</v>
      </c>
      <c r="DO55" s="606">
        <f t="shared" ca="1" si="242"/>
        <v>0</v>
      </c>
      <c r="DP55" s="606">
        <f t="shared" ca="1" si="242"/>
        <v>0</v>
      </c>
      <c r="DQ55" s="606">
        <f t="shared" ca="1" si="242"/>
        <v>0</v>
      </c>
      <c r="DR55" s="606">
        <f t="shared" ca="1" si="242"/>
        <v>0</v>
      </c>
      <c r="DS55" s="606">
        <f t="shared" ca="1" si="242"/>
        <v>0</v>
      </c>
      <c r="DT55" s="606">
        <f t="shared" ca="1" si="242"/>
        <v>0</v>
      </c>
      <c r="DU55" s="606">
        <f t="shared" ca="1" si="242"/>
        <v>0</v>
      </c>
      <c r="DV55" s="606">
        <f t="shared" ca="1" si="242"/>
        <v>0</v>
      </c>
      <c r="DW55" s="606">
        <f t="shared" ca="1" si="242"/>
        <v>0</v>
      </c>
      <c r="DX55" s="606">
        <f t="shared" ca="1" si="242"/>
        <v>0</v>
      </c>
      <c r="DY55" s="606">
        <f t="shared" ca="1" si="242"/>
        <v>0</v>
      </c>
      <c r="DZ55" s="606">
        <f t="shared" ca="1" si="242"/>
        <v>0</v>
      </c>
      <c r="EA55" s="606">
        <f t="shared" ca="1" si="242"/>
        <v>0</v>
      </c>
      <c r="EB55" s="606">
        <f t="shared" ca="1" si="242"/>
        <v>0</v>
      </c>
      <c r="EC55" s="606">
        <f t="shared" ca="1" si="242"/>
        <v>0</v>
      </c>
      <c r="ED55" s="606">
        <f t="shared" ca="1" si="242"/>
        <v>0</v>
      </c>
      <c r="EE55" s="606">
        <f t="shared" ref="EE55:EJ55" ca="1" si="243">EE205*$F$55</f>
        <v>0</v>
      </c>
      <c r="EF55" s="606">
        <f t="shared" ca="1" si="243"/>
        <v>0</v>
      </c>
      <c r="EG55" s="606">
        <f t="shared" ca="1" si="243"/>
        <v>0</v>
      </c>
      <c r="EH55" s="606">
        <f t="shared" ca="1" si="243"/>
        <v>0</v>
      </c>
      <c r="EI55" s="606">
        <f t="shared" ca="1" si="243"/>
        <v>0</v>
      </c>
      <c r="EJ55" s="606">
        <f t="shared" si="243"/>
        <v>0</v>
      </c>
    </row>
    <row r="56" spans="1:140" customFormat="1" hidden="1" outlineLevel="1">
      <c r="A56" s="321"/>
      <c r="B56" s="321"/>
      <c r="C56" s="317"/>
      <c r="D56" s="317" t="s">
        <v>1810</v>
      </c>
      <c r="E56" s="606">
        <f t="shared" ca="1" si="233"/>
        <v>0</v>
      </c>
      <c r="F56" s="606">
        <f>IF('Распределение по статьям'!AC552=0,0,'Распределение по статьям'!AC546+'Распределение по статьям'!AC545)</f>
        <v>0</v>
      </c>
      <c r="G56" s="606">
        <f t="shared" ref="G56:AL56" si="244">G208*$F$56</f>
        <v>0</v>
      </c>
      <c r="H56" s="606">
        <f t="shared" ca="1" si="244"/>
        <v>0</v>
      </c>
      <c r="I56" s="606">
        <f t="shared" ca="1" si="244"/>
        <v>0</v>
      </c>
      <c r="J56" s="606">
        <f t="shared" ca="1" si="244"/>
        <v>0</v>
      </c>
      <c r="K56" s="606">
        <f t="shared" ca="1" si="244"/>
        <v>0</v>
      </c>
      <c r="L56" s="606">
        <f t="shared" ca="1" si="244"/>
        <v>0</v>
      </c>
      <c r="M56" s="606">
        <f t="shared" ca="1" si="244"/>
        <v>0</v>
      </c>
      <c r="N56" s="606">
        <f t="shared" ca="1" si="244"/>
        <v>0</v>
      </c>
      <c r="O56" s="606">
        <f t="shared" ca="1" si="244"/>
        <v>0</v>
      </c>
      <c r="P56" s="606">
        <f t="shared" ca="1" si="244"/>
        <v>0</v>
      </c>
      <c r="Q56" s="606">
        <f t="shared" ca="1" si="244"/>
        <v>0</v>
      </c>
      <c r="R56" s="606">
        <f t="shared" ca="1" si="244"/>
        <v>0</v>
      </c>
      <c r="S56" s="606">
        <f t="shared" ca="1" si="244"/>
        <v>0</v>
      </c>
      <c r="T56" s="606">
        <f t="shared" ca="1" si="244"/>
        <v>0</v>
      </c>
      <c r="U56" s="606">
        <f t="shared" ca="1" si="244"/>
        <v>0</v>
      </c>
      <c r="V56" s="606">
        <f t="shared" ca="1" si="244"/>
        <v>0</v>
      </c>
      <c r="W56" s="606">
        <f t="shared" ca="1" si="244"/>
        <v>0</v>
      </c>
      <c r="X56" s="606">
        <f t="shared" ca="1" si="244"/>
        <v>0</v>
      </c>
      <c r="Y56" s="606">
        <f t="shared" ca="1" si="244"/>
        <v>0</v>
      </c>
      <c r="Z56" s="606">
        <f t="shared" ca="1" si="244"/>
        <v>0</v>
      </c>
      <c r="AA56" s="606">
        <f t="shared" ca="1" si="244"/>
        <v>0</v>
      </c>
      <c r="AB56" s="606">
        <f t="shared" ca="1" si="244"/>
        <v>0</v>
      </c>
      <c r="AC56" s="606">
        <f t="shared" ca="1" si="244"/>
        <v>0</v>
      </c>
      <c r="AD56" s="606">
        <f t="shared" ca="1" si="244"/>
        <v>0</v>
      </c>
      <c r="AE56" s="606">
        <f t="shared" ca="1" si="244"/>
        <v>0</v>
      </c>
      <c r="AF56" s="606">
        <f t="shared" ca="1" si="244"/>
        <v>0</v>
      </c>
      <c r="AG56" s="606">
        <f t="shared" ca="1" si="244"/>
        <v>0</v>
      </c>
      <c r="AH56" s="606">
        <f t="shared" ca="1" si="244"/>
        <v>0</v>
      </c>
      <c r="AI56" s="606">
        <f t="shared" ca="1" si="244"/>
        <v>0</v>
      </c>
      <c r="AJ56" s="606">
        <f t="shared" ca="1" si="244"/>
        <v>0</v>
      </c>
      <c r="AK56" s="606">
        <f t="shared" ca="1" si="244"/>
        <v>0</v>
      </c>
      <c r="AL56" s="606">
        <f t="shared" ca="1" si="244"/>
        <v>0</v>
      </c>
      <c r="AM56" s="606">
        <f t="shared" ref="AM56:BR56" ca="1" si="245">AM208*$F$56</f>
        <v>0</v>
      </c>
      <c r="AN56" s="606">
        <f t="shared" ca="1" si="245"/>
        <v>0</v>
      </c>
      <c r="AO56" s="606">
        <f t="shared" ca="1" si="245"/>
        <v>0</v>
      </c>
      <c r="AP56" s="606">
        <f t="shared" ca="1" si="245"/>
        <v>0</v>
      </c>
      <c r="AQ56" s="606">
        <f t="shared" ca="1" si="245"/>
        <v>0</v>
      </c>
      <c r="AR56" s="606">
        <f t="shared" ca="1" si="245"/>
        <v>0</v>
      </c>
      <c r="AS56" s="606">
        <f t="shared" ca="1" si="245"/>
        <v>0</v>
      </c>
      <c r="AT56" s="606">
        <f t="shared" ca="1" si="245"/>
        <v>0</v>
      </c>
      <c r="AU56" s="606">
        <f t="shared" ca="1" si="245"/>
        <v>0</v>
      </c>
      <c r="AV56" s="606">
        <f t="shared" ca="1" si="245"/>
        <v>0</v>
      </c>
      <c r="AW56" s="606">
        <f t="shared" ca="1" si="245"/>
        <v>0</v>
      </c>
      <c r="AX56" s="606">
        <f t="shared" ca="1" si="245"/>
        <v>0</v>
      </c>
      <c r="AY56" s="606">
        <f t="shared" ca="1" si="245"/>
        <v>0</v>
      </c>
      <c r="AZ56" s="606">
        <f t="shared" ca="1" si="245"/>
        <v>0</v>
      </c>
      <c r="BA56" s="606">
        <f t="shared" ca="1" si="245"/>
        <v>0</v>
      </c>
      <c r="BB56" s="606">
        <f t="shared" ca="1" si="245"/>
        <v>0</v>
      </c>
      <c r="BC56" s="606">
        <f t="shared" ca="1" si="245"/>
        <v>0</v>
      </c>
      <c r="BD56" s="606">
        <f t="shared" ca="1" si="245"/>
        <v>0</v>
      </c>
      <c r="BE56" s="606">
        <f t="shared" ca="1" si="245"/>
        <v>0</v>
      </c>
      <c r="BF56" s="606">
        <f t="shared" ca="1" si="245"/>
        <v>0</v>
      </c>
      <c r="BG56" s="606">
        <f t="shared" ca="1" si="245"/>
        <v>0</v>
      </c>
      <c r="BH56" s="606">
        <f t="shared" ca="1" si="245"/>
        <v>0</v>
      </c>
      <c r="BI56" s="606">
        <f t="shared" ca="1" si="245"/>
        <v>0</v>
      </c>
      <c r="BJ56" s="606">
        <f t="shared" ca="1" si="245"/>
        <v>0</v>
      </c>
      <c r="BK56" s="606">
        <f t="shared" ca="1" si="245"/>
        <v>0</v>
      </c>
      <c r="BL56" s="606">
        <f t="shared" ca="1" si="245"/>
        <v>0</v>
      </c>
      <c r="BM56" s="606">
        <f t="shared" ca="1" si="245"/>
        <v>0</v>
      </c>
      <c r="BN56" s="606">
        <f t="shared" ca="1" si="245"/>
        <v>0</v>
      </c>
      <c r="BO56" s="606">
        <f t="shared" ca="1" si="245"/>
        <v>0</v>
      </c>
      <c r="BP56" s="606">
        <f t="shared" ca="1" si="245"/>
        <v>0</v>
      </c>
      <c r="BQ56" s="606">
        <f t="shared" ca="1" si="245"/>
        <v>0</v>
      </c>
      <c r="BR56" s="606">
        <f t="shared" ca="1" si="245"/>
        <v>0</v>
      </c>
      <c r="BS56" s="606">
        <f t="shared" ref="BS56:CX56" ca="1" si="246">BS208*$F$56</f>
        <v>0</v>
      </c>
      <c r="BT56" s="606">
        <f t="shared" ca="1" si="246"/>
        <v>0</v>
      </c>
      <c r="BU56" s="606">
        <f t="shared" ca="1" si="246"/>
        <v>0</v>
      </c>
      <c r="BV56" s="606">
        <f t="shared" ca="1" si="246"/>
        <v>0</v>
      </c>
      <c r="BW56" s="606">
        <f t="shared" ca="1" si="246"/>
        <v>0</v>
      </c>
      <c r="BX56" s="606">
        <f t="shared" ca="1" si="246"/>
        <v>0</v>
      </c>
      <c r="BY56" s="606">
        <f t="shared" ca="1" si="246"/>
        <v>0</v>
      </c>
      <c r="BZ56" s="606">
        <f t="shared" ca="1" si="246"/>
        <v>0</v>
      </c>
      <c r="CA56" s="606">
        <f t="shared" ca="1" si="246"/>
        <v>0</v>
      </c>
      <c r="CB56" s="606">
        <f t="shared" ca="1" si="246"/>
        <v>0</v>
      </c>
      <c r="CC56" s="606">
        <f t="shared" ca="1" si="246"/>
        <v>0</v>
      </c>
      <c r="CD56" s="606">
        <f t="shared" ca="1" si="246"/>
        <v>0</v>
      </c>
      <c r="CE56" s="606">
        <f t="shared" ca="1" si="246"/>
        <v>0</v>
      </c>
      <c r="CF56" s="606">
        <f t="shared" ca="1" si="246"/>
        <v>0</v>
      </c>
      <c r="CG56" s="606">
        <f t="shared" ca="1" si="246"/>
        <v>0</v>
      </c>
      <c r="CH56" s="606">
        <f t="shared" ca="1" si="246"/>
        <v>0</v>
      </c>
      <c r="CI56" s="606">
        <f t="shared" ca="1" si="246"/>
        <v>0</v>
      </c>
      <c r="CJ56" s="606">
        <f t="shared" ca="1" si="246"/>
        <v>0</v>
      </c>
      <c r="CK56" s="606">
        <f t="shared" ca="1" si="246"/>
        <v>0</v>
      </c>
      <c r="CL56" s="606">
        <f t="shared" ca="1" si="246"/>
        <v>0</v>
      </c>
      <c r="CM56" s="606">
        <f t="shared" ca="1" si="246"/>
        <v>0</v>
      </c>
      <c r="CN56" s="606">
        <f t="shared" ca="1" si="246"/>
        <v>0</v>
      </c>
      <c r="CO56" s="606">
        <f t="shared" ca="1" si="246"/>
        <v>0</v>
      </c>
      <c r="CP56" s="606">
        <f t="shared" ca="1" si="246"/>
        <v>0</v>
      </c>
      <c r="CQ56" s="606">
        <f t="shared" ca="1" si="246"/>
        <v>0</v>
      </c>
      <c r="CR56" s="606">
        <f t="shared" ca="1" si="246"/>
        <v>0</v>
      </c>
      <c r="CS56" s="606">
        <f t="shared" ca="1" si="246"/>
        <v>0</v>
      </c>
      <c r="CT56" s="606">
        <f t="shared" ca="1" si="246"/>
        <v>0</v>
      </c>
      <c r="CU56" s="606">
        <f t="shared" ca="1" si="246"/>
        <v>0</v>
      </c>
      <c r="CV56" s="606">
        <f t="shared" ca="1" si="246"/>
        <v>0</v>
      </c>
      <c r="CW56" s="606">
        <f t="shared" ca="1" si="246"/>
        <v>0</v>
      </c>
      <c r="CX56" s="606">
        <f t="shared" ca="1" si="246"/>
        <v>0</v>
      </c>
      <c r="CY56" s="606">
        <f t="shared" ref="CY56:ED56" ca="1" si="247">CY208*$F$56</f>
        <v>0</v>
      </c>
      <c r="CZ56" s="606">
        <f t="shared" ca="1" si="247"/>
        <v>0</v>
      </c>
      <c r="DA56" s="606">
        <f t="shared" ca="1" si="247"/>
        <v>0</v>
      </c>
      <c r="DB56" s="606">
        <f t="shared" ca="1" si="247"/>
        <v>0</v>
      </c>
      <c r="DC56" s="606">
        <f t="shared" ca="1" si="247"/>
        <v>0</v>
      </c>
      <c r="DD56" s="606">
        <f t="shared" ca="1" si="247"/>
        <v>0</v>
      </c>
      <c r="DE56" s="606">
        <f t="shared" ca="1" si="247"/>
        <v>0</v>
      </c>
      <c r="DF56" s="606">
        <f t="shared" ca="1" si="247"/>
        <v>0</v>
      </c>
      <c r="DG56" s="606">
        <f t="shared" ca="1" si="247"/>
        <v>0</v>
      </c>
      <c r="DH56" s="606">
        <f t="shared" ca="1" si="247"/>
        <v>0</v>
      </c>
      <c r="DI56" s="606">
        <f t="shared" ca="1" si="247"/>
        <v>0</v>
      </c>
      <c r="DJ56" s="606">
        <f t="shared" ca="1" si="247"/>
        <v>0</v>
      </c>
      <c r="DK56" s="606">
        <f t="shared" ca="1" si="247"/>
        <v>0</v>
      </c>
      <c r="DL56" s="606">
        <f t="shared" ca="1" si="247"/>
        <v>0</v>
      </c>
      <c r="DM56" s="606">
        <f t="shared" ca="1" si="247"/>
        <v>0</v>
      </c>
      <c r="DN56" s="606">
        <f t="shared" ca="1" si="247"/>
        <v>0</v>
      </c>
      <c r="DO56" s="606">
        <f t="shared" ca="1" si="247"/>
        <v>0</v>
      </c>
      <c r="DP56" s="606">
        <f t="shared" ca="1" si="247"/>
        <v>0</v>
      </c>
      <c r="DQ56" s="606">
        <f t="shared" ca="1" si="247"/>
        <v>0</v>
      </c>
      <c r="DR56" s="606">
        <f t="shared" ca="1" si="247"/>
        <v>0</v>
      </c>
      <c r="DS56" s="606">
        <f t="shared" ca="1" si="247"/>
        <v>0</v>
      </c>
      <c r="DT56" s="606">
        <f t="shared" ca="1" si="247"/>
        <v>0</v>
      </c>
      <c r="DU56" s="606">
        <f t="shared" ca="1" si="247"/>
        <v>0</v>
      </c>
      <c r="DV56" s="606">
        <f t="shared" ca="1" si="247"/>
        <v>0</v>
      </c>
      <c r="DW56" s="606">
        <f t="shared" ca="1" si="247"/>
        <v>0</v>
      </c>
      <c r="DX56" s="606">
        <f t="shared" ca="1" si="247"/>
        <v>0</v>
      </c>
      <c r="DY56" s="606">
        <f t="shared" ca="1" si="247"/>
        <v>0</v>
      </c>
      <c r="DZ56" s="606">
        <f t="shared" ca="1" si="247"/>
        <v>0</v>
      </c>
      <c r="EA56" s="606">
        <f t="shared" ca="1" si="247"/>
        <v>0</v>
      </c>
      <c r="EB56" s="606">
        <f t="shared" ca="1" si="247"/>
        <v>0</v>
      </c>
      <c r="EC56" s="606">
        <f t="shared" ca="1" si="247"/>
        <v>0</v>
      </c>
      <c r="ED56" s="606">
        <f t="shared" ca="1" si="247"/>
        <v>0</v>
      </c>
      <c r="EE56" s="606">
        <f t="shared" ref="EE56:EJ56" ca="1" si="248">EE208*$F$56</f>
        <v>0</v>
      </c>
      <c r="EF56" s="606">
        <f t="shared" ca="1" si="248"/>
        <v>0</v>
      </c>
      <c r="EG56" s="606">
        <f t="shared" ca="1" si="248"/>
        <v>0</v>
      </c>
      <c r="EH56" s="606">
        <f t="shared" ca="1" si="248"/>
        <v>0</v>
      </c>
      <c r="EI56" s="606">
        <f t="shared" ca="1" si="248"/>
        <v>0</v>
      </c>
      <c r="EJ56" s="606">
        <f t="shared" si="248"/>
        <v>0</v>
      </c>
    </row>
    <row r="57" spans="1:140" customFormat="1" hidden="1" outlineLevel="1">
      <c r="A57" s="321"/>
      <c r="B57" s="321"/>
      <c r="C57" s="317"/>
      <c r="D57" s="317" t="s">
        <v>36</v>
      </c>
      <c r="E57" s="606">
        <f t="shared" ca="1" si="233"/>
        <v>0</v>
      </c>
      <c r="F57" s="606">
        <f>IF('Распределение по статьям'!AC559=0,'Распределение по статьям'!AC553,0)</f>
        <v>316751864.95381045</v>
      </c>
      <c r="G57" s="606">
        <f t="shared" ref="G57:AL57" si="249">G199*$F$57</f>
        <v>0</v>
      </c>
      <c r="H57" s="606">
        <f t="shared" ca="1" si="249"/>
        <v>0</v>
      </c>
      <c r="I57" s="606">
        <f t="shared" ca="1" si="249"/>
        <v>0</v>
      </c>
      <c r="J57" s="606">
        <f t="shared" ca="1" si="249"/>
        <v>0</v>
      </c>
      <c r="K57" s="606">
        <f t="shared" ca="1" si="249"/>
        <v>0</v>
      </c>
      <c r="L57" s="606">
        <f t="shared" ca="1" si="249"/>
        <v>0</v>
      </c>
      <c r="M57" s="606">
        <f t="shared" ca="1" si="249"/>
        <v>0</v>
      </c>
      <c r="N57" s="606">
        <f t="shared" ca="1" si="249"/>
        <v>0</v>
      </c>
      <c r="O57" s="606">
        <f t="shared" ca="1" si="249"/>
        <v>0</v>
      </c>
      <c r="P57" s="606">
        <f t="shared" ca="1" si="249"/>
        <v>0</v>
      </c>
      <c r="Q57" s="606">
        <f t="shared" ca="1" si="249"/>
        <v>0</v>
      </c>
      <c r="R57" s="606">
        <f t="shared" ca="1" si="249"/>
        <v>0</v>
      </c>
      <c r="S57" s="606">
        <f t="shared" ca="1" si="249"/>
        <v>0</v>
      </c>
      <c r="T57" s="606">
        <f t="shared" ca="1" si="249"/>
        <v>0</v>
      </c>
      <c r="U57" s="606">
        <f t="shared" ca="1" si="249"/>
        <v>0</v>
      </c>
      <c r="V57" s="606">
        <f t="shared" ca="1" si="249"/>
        <v>0</v>
      </c>
      <c r="W57" s="606">
        <f t="shared" ca="1" si="249"/>
        <v>0</v>
      </c>
      <c r="X57" s="606">
        <f t="shared" ca="1" si="249"/>
        <v>0</v>
      </c>
      <c r="Y57" s="606">
        <f t="shared" ca="1" si="249"/>
        <v>0</v>
      </c>
      <c r="Z57" s="606">
        <f t="shared" ca="1" si="249"/>
        <v>0</v>
      </c>
      <c r="AA57" s="606">
        <f t="shared" ca="1" si="249"/>
        <v>0</v>
      </c>
      <c r="AB57" s="606">
        <f t="shared" ca="1" si="249"/>
        <v>0</v>
      </c>
      <c r="AC57" s="606">
        <f t="shared" ca="1" si="249"/>
        <v>0</v>
      </c>
      <c r="AD57" s="606">
        <f t="shared" ca="1" si="249"/>
        <v>0</v>
      </c>
      <c r="AE57" s="606">
        <f t="shared" ca="1" si="249"/>
        <v>0</v>
      </c>
      <c r="AF57" s="606">
        <f t="shared" ca="1" si="249"/>
        <v>0</v>
      </c>
      <c r="AG57" s="606">
        <f t="shared" ca="1" si="249"/>
        <v>0</v>
      </c>
      <c r="AH57" s="606">
        <f t="shared" ca="1" si="249"/>
        <v>0</v>
      </c>
      <c r="AI57" s="606">
        <f t="shared" ca="1" si="249"/>
        <v>0</v>
      </c>
      <c r="AJ57" s="606">
        <f t="shared" ca="1" si="249"/>
        <v>0</v>
      </c>
      <c r="AK57" s="606">
        <f t="shared" ca="1" si="249"/>
        <v>0</v>
      </c>
      <c r="AL57" s="606">
        <f t="shared" ca="1" si="249"/>
        <v>0</v>
      </c>
      <c r="AM57" s="606">
        <f t="shared" ref="AM57:BR57" ca="1" si="250">AM199*$F$57</f>
        <v>0</v>
      </c>
      <c r="AN57" s="606">
        <f t="shared" ca="1" si="250"/>
        <v>0</v>
      </c>
      <c r="AO57" s="606">
        <f t="shared" ca="1" si="250"/>
        <v>0</v>
      </c>
      <c r="AP57" s="606">
        <f t="shared" ca="1" si="250"/>
        <v>0</v>
      </c>
      <c r="AQ57" s="606">
        <f t="shared" ca="1" si="250"/>
        <v>0</v>
      </c>
      <c r="AR57" s="606">
        <f t="shared" ca="1" si="250"/>
        <v>0</v>
      </c>
      <c r="AS57" s="606">
        <f t="shared" ca="1" si="250"/>
        <v>0</v>
      </c>
      <c r="AT57" s="606">
        <f t="shared" ca="1" si="250"/>
        <v>0</v>
      </c>
      <c r="AU57" s="606">
        <f t="shared" ca="1" si="250"/>
        <v>0</v>
      </c>
      <c r="AV57" s="606">
        <f t="shared" ca="1" si="250"/>
        <v>0</v>
      </c>
      <c r="AW57" s="606">
        <f t="shared" ca="1" si="250"/>
        <v>0</v>
      </c>
      <c r="AX57" s="606">
        <f t="shared" ca="1" si="250"/>
        <v>0</v>
      </c>
      <c r="AY57" s="606">
        <f t="shared" ca="1" si="250"/>
        <v>0</v>
      </c>
      <c r="AZ57" s="606">
        <f t="shared" ca="1" si="250"/>
        <v>95025559.486143127</v>
      </c>
      <c r="BA57" s="606">
        <f t="shared" ca="1" si="250"/>
        <v>0</v>
      </c>
      <c r="BB57" s="606">
        <f t="shared" ca="1" si="250"/>
        <v>1518673.325121009</v>
      </c>
      <c r="BC57" s="606">
        <f t="shared" ca="1" si="250"/>
        <v>8504570.62067765</v>
      </c>
      <c r="BD57" s="606">
        <f t="shared" ca="1" si="250"/>
        <v>9415774.6157502551</v>
      </c>
      <c r="BE57" s="606">
        <f t="shared" ca="1" si="250"/>
        <v>9112039.9507260546</v>
      </c>
      <c r="BF57" s="606">
        <f t="shared" ca="1" si="250"/>
        <v>9415774.6157502551</v>
      </c>
      <c r="BG57" s="606">
        <f t="shared" ca="1" si="250"/>
        <v>9112039.9507260546</v>
      </c>
      <c r="BH57" s="606">
        <f t="shared" ca="1" si="250"/>
        <v>9415774.6157502551</v>
      </c>
      <c r="BI57" s="606">
        <f t="shared" ca="1" si="250"/>
        <v>9415774.6157502551</v>
      </c>
      <c r="BJ57" s="606">
        <f t="shared" ca="1" si="250"/>
        <v>9112039.9507260546</v>
      </c>
      <c r="BK57" s="606">
        <f t="shared" ca="1" si="250"/>
        <v>9415774.6157502551</v>
      </c>
      <c r="BL57" s="606">
        <f t="shared" ca="1" si="250"/>
        <v>9112039.9507260546</v>
      </c>
      <c r="BM57" s="606">
        <f t="shared" ca="1" si="250"/>
        <v>9415774.6157502551</v>
      </c>
      <c r="BN57" s="606">
        <f t="shared" ca="1" si="250"/>
        <v>9415774.6157502551</v>
      </c>
      <c r="BO57" s="606">
        <f t="shared" ca="1" si="250"/>
        <v>8808305.2857018523</v>
      </c>
      <c r="BP57" s="606">
        <f t="shared" ca="1" si="250"/>
        <v>9415774.6157502551</v>
      </c>
      <c r="BQ57" s="606">
        <f t="shared" ca="1" si="250"/>
        <v>9112039.9507260546</v>
      </c>
      <c r="BR57" s="606">
        <f t="shared" ca="1" si="250"/>
        <v>9415774.6157502551</v>
      </c>
      <c r="BS57" s="606">
        <f t="shared" ref="BS57:CX57" ca="1" si="251">BS199*$F$57</f>
        <v>9112039.9507260546</v>
      </c>
      <c r="BT57" s="606">
        <f t="shared" ca="1" si="251"/>
        <v>9415774.6157502551</v>
      </c>
      <c r="BU57" s="606">
        <f t="shared" ca="1" si="251"/>
        <v>9415774.6157502551</v>
      </c>
      <c r="BV57" s="606">
        <f t="shared" ca="1" si="251"/>
        <v>9112039.9507260546</v>
      </c>
      <c r="BW57" s="606">
        <f t="shared" ca="1" si="251"/>
        <v>9415774.6157502551</v>
      </c>
      <c r="BX57" s="606">
        <f t="shared" ca="1" si="251"/>
        <v>9112039.9507260546</v>
      </c>
      <c r="BY57" s="606">
        <f t="shared" ca="1" si="251"/>
        <v>9415774.6157502551</v>
      </c>
      <c r="BZ57" s="606">
        <f t="shared" ca="1" si="251"/>
        <v>7593366.6256050449</v>
      </c>
      <c r="CA57" s="606">
        <f t="shared" ca="1" si="251"/>
        <v>0</v>
      </c>
      <c r="CB57" s="606">
        <f t="shared" ca="1" si="251"/>
        <v>0</v>
      </c>
      <c r="CC57" s="606">
        <f t="shared" ca="1" si="251"/>
        <v>0</v>
      </c>
      <c r="CD57" s="606">
        <f t="shared" ca="1" si="251"/>
        <v>0</v>
      </c>
      <c r="CE57" s="606">
        <f t="shared" ca="1" si="251"/>
        <v>0</v>
      </c>
      <c r="CF57" s="606">
        <f t="shared" ca="1" si="251"/>
        <v>0</v>
      </c>
      <c r="CG57" s="606">
        <f t="shared" ca="1" si="251"/>
        <v>0</v>
      </c>
      <c r="CH57" s="606">
        <f t="shared" ca="1" si="251"/>
        <v>0</v>
      </c>
      <c r="CI57" s="606">
        <f t="shared" ca="1" si="251"/>
        <v>0</v>
      </c>
      <c r="CJ57" s="606">
        <f t="shared" ca="1" si="251"/>
        <v>0</v>
      </c>
      <c r="CK57" s="606">
        <f t="shared" ca="1" si="251"/>
        <v>0</v>
      </c>
      <c r="CL57" s="606">
        <f t="shared" ca="1" si="251"/>
        <v>0</v>
      </c>
      <c r="CM57" s="606">
        <f t="shared" ca="1" si="251"/>
        <v>0</v>
      </c>
      <c r="CN57" s="606">
        <f t="shared" ca="1" si="251"/>
        <v>0</v>
      </c>
      <c r="CO57" s="606">
        <f t="shared" ca="1" si="251"/>
        <v>0</v>
      </c>
      <c r="CP57" s="606">
        <f t="shared" ca="1" si="251"/>
        <v>0</v>
      </c>
      <c r="CQ57" s="606">
        <f t="shared" ca="1" si="251"/>
        <v>0</v>
      </c>
      <c r="CR57" s="606">
        <f t="shared" ca="1" si="251"/>
        <v>0</v>
      </c>
      <c r="CS57" s="606">
        <f t="shared" ca="1" si="251"/>
        <v>0</v>
      </c>
      <c r="CT57" s="606">
        <f t="shared" ca="1" si="251"/>
        <v>0</v>
      </c>
      <c r="CU57" s="606">
        <f t="shared" ca="1" si="251"/>
        <v>0</v>
      </c>
      <c r="CV57" s="606">
        <f t="shared" ca="1" si="251"/>
        <v>0</v>
      </c>
      <c r="CW57" s="606">
        <f t="shared" ca="1" si="251"/>
        <v>0</v>
      </c>
      <c r="CX57" s="606">
        <f t="shared" ca="1" si="251"/>
        <v>0</v>
      </c>
      <c r="CY57" s="606">
        <f t="shared" ref="CY57:ED57" ca="1" si="252">CY199*$F$57</f>
        <v>0</v>
      </c>
      <c r="CZ57" s="606">
        <f t="shared" ca="1" si="252"/>
        <v>0</v>
      </c>
      <c r="DA57" s="606">
        <f t="shared" ca="1" si="252"/>
        <v>0</v>
      </c>
      <c r="DB57" s="606">
        <f t="shared" ca="1" si="252"/>
        <v>0</v>
      </c>
      <c r="DC57" s="606">
        <f t="shared" ca="1" si="252"/>
        <v>0</v>
      </c>
      <c r="DD57" s="606">
        <f t="shared" ca="1" si="252"/>
        <v>0</v>
      </c>
      <c r="DE57" s="606">
        <f t="shared" ca="1" si="252"/>
        <v>0</v>
      </c>
      <c r="DF57" s="606">
        <f t="shared" ca="1" si="252"/>
        <v>0</v>
      </c>
      <c r="DG57" s="606">
        <f t="shared" ca="1" si="252"/>
        <v>0</v>
      </c>
      <c r="DH57" s="606">
        <f t="shared" ca="1" si="252"/>
        <v>0</v>
      </c>
      <c r="DI57" s="606">
        <f t="shared" ca="1" si="252"/>
        <v>0</v>
      </c>
      <c r="DJ57" s="606">
        <f t="shared" ca="1" si="252"/>
        <v>0</v>
      </c>
      <c r="DK57" s="606">
        <f t="shared" ca="1" si="252"/>
        <v>0</v>
      </c>
      <c r="DL57" s="606">
        <f t="shared" ca="1" si="252"/>
        <v>0</v>
      </c>
      <c r="DM57" s="606">
        <f t="shared" ca="1" si="252"/>
        <v>0</v>
      </c>
      <c r="DN57" s="606">
        <f t="shared" ca="1" si="252"/>
        <v>0</v>
      </c>
      <c r="DO57" s="606">
        <f t="shared" ca="1" si="252"/>
        <v>0</v>
      </c>
      <c r="DP57" s="606">
        <f t="shared" ca="1" si="252"/>
        <v>0</v>
      </c>
      <c r="DQ57" s="606">
        <f t="shared" ca="1" si="252"/>
        <v>0</v>
      </c>
      <c r="DR57" s="606">
        <f t="shared" ca="1" si="252"/>
        <v>0</v>
      </c>
      <c r="DS57" s="606">
        <f t="shared" ca="1" si="252"/>
        <v>0</v>
      </c>
      <c r="DT57" s="606">
        <f t="shared" ca="1" si="252"/>
        <v>0</v>
      </c>
      <c r="DU57" s="606">
        <f t="shared" ca="1" si="252"/>
        <v>0</v>
      </c>
      <c r="DV57" s="606">
        <f t="shared" ca="1" si="252"/>
        <v>0</v>
      </c>
      <c r="DW57" s="606">
        <f t="shared" ca="1" si="252"/>
        <v>0</v>
      </c>
      <c r="DX57" s="606">
        <f t="shared" ca="1" si="252"/>
        <v>0</v>
      </c>
      <c r="DY57" s="606">
        <f t="shared" ca="1" si="252"/>
        <v>0</v>
      </c>
      <c r="DZ57" s="606">
        <f t="shared" ca="1" si="252"/>
        <v>0</v>
      </c>
      <c r="EA57" s="606">
        <f t="shared" ca="1" si="252"/>
        <v>0</v>
      </c>
      <c r="EB57" s="606">
        <f t="shared" ca="1" si="252"/>
        <v>0</v>
      </c>
      <c r="EC57" s="606">
        <f t="shared" ca="1" si="252"/>
        <v>0</v>
      </c>
      <c r="ED57" s="606">
        <f t="shared" ca="1" si="252"/>
        <v>0</v>
      </c>
      <c r="EE57" s="606">
        <f t="shared" ref="EE57:EJ57" ca="1" si="253">EE199*$F$57</f>
        <v>0</v>
      </c>
      <c r="EF57" s="606">
        <f t="shared" ca="1" si="253"/>
        <v>0</v>
      </c>
      <c r="EG57" s="606">
        <f t="shared" ca="1" si="253"/>
        <v>0</v>
      </c>
      <c r="EH57" s="606">
        <f t="shared" ca="1" si="253"/>
        <v>0</v>
      </c>
      <c r="EI57" s="606">
        <f t="shared" ca="1" si="253"/>
        <v>0</v>
      </c>
      <c r="EJ57" s="606">
        <f t="shared" si="253"/>
        <v>0</v>
      </c>
    </row>
    <row r="58" spans="1:140" customFormat="1" hidden="1" outlineLevel="1">
      <c r="A58" s="321"/>
      <c r="B58" s="321"/>
      <c r="C58" s="317"/>
      <c r="D58" s="317" t="s">
        <v>1811</v>
      </c>
      <c r="E58" s="606">
        <f t="shared" ca="1" si="233"/>
        <v>0</v>
      </c>
      <c r="F58" s="606">
        <f>IF('Распределение по статьям'!AC558=0,'Распределение по статьям'!AC553,0)</f>
        <v>0</v>
      </c>
      <c r="G58" s="606">
        <f t="shared" ref="G58:AL58" si="254">G202*$F$58</f>
        <v>0</v>
      </c>
      <c r="H58" s="606">
        <f t="shared" ca="1" si="254"/>
        <v>0</v>
      </c>
      <c r="I58" s="606">
        <f t="shared" ca="1" si="254"/>
        <v>0</v>
      </c>
      <c r="J58" s="606">
        <f t="shared" ca="1" si="254"/>
        <v>0</v>
      </c>
      <c r="K58" s="606">
        <f t="shared" ca="1" si="254"/>
        <v>0</v>
      </c>
      <c r="L58" s="606">
        <f t="shared" ca="1" si="254"/>
        <v>0</v>
      </c>
      <c r="M58" s="606">
        <f t="shared" ca="1" si="254"/>
        <v>0</v>
      </c>
      <c r="N58" s="606">
        <f t="shared" ca="1" si="254"/>
        <v>0</v>
      </c>
      <c r="O58" s="606">
        <f t="shared" ca="1" si="254"/>
        <v>0</v>
      </c>
      <c r="P58" s="606">
        <f t="shared" ca="1" si="254"/>
        <v>0</v>
      </c>
      <c r="Q58" s="606">
        <f t="shared" ca="1" si="254"/>
        <v>0</v>
      </c>
      <c r="R58" s="606">
        <f t="shared" ca="1" si="254"/>
        <v>0</v>
      </c>
      <c r="S58" s="606">
        <f t="shared" ca="1" si="254"/>
        <v>0</v>
      </c>
      <c r="T58" s="606">
        <f t="shared" ca="1" si="254"/>
        <v>0</v>
      </c>
      <c r="U58" s="606">
        <f t="shared" ca="1" si="254"/>
        <v>0</v>
      </c>
      <c r="V58" s="606">
        <f t="shared" ca="1" si="254"/>
        <v>0</v>
      </c>
      <c r="W58" s="606">
        <f t="shared" ca="1" si="254"/>
        <v>0</v>
      </c>
      <c r="X58" s="606">
        <f t="shared" ca="1" si="254"/>
        <v>0</v>
      </c>
      <c r="Y58" s="606">
        <f t="shared" ca="1" si="254"/>
        <v>0</v>
      </c>
      <c r="Z58" s="606">
        <f t="shared" ca="1" si="254"/>
        <v>0</v>
      </c>
      <c r="AA58" s="606">
        <f t="shared" ca="1" si="254"/>
        <v>0</v>
      </c>
      <c r="AB58" s="606">
        <f t="shared" ca="1" si="254"/>
        <v>0</v>
      </c>
      <c r="AC58" s="606">
        <f t="shared" ca="1" si="254"/>
        <v>0</v>
      </c>
      <c r="AD58" s="606">
        <f t="shared" ca="1" si="254"/>
        <v>0</v>
      </c>
      <c r="AE58" s="606">
        <f t="shared" ca="1" si="254"/>
        <v>0</v>
      </c>
      <c r="AF58" s="606">
        <f t="shared" ca="1" si="254"/>
        <v>0</v>
      </c>
      <c r="AG58" s="606">
        <f t="shared" ca="1" si="254"/>
        <v>0</v>
      </c>
      <c r="AH58" s="606">
        <f t="shared" ca="1" si="254"/>
        <v>0</v>
      </c>
      <c r="AI58" s="606">
        <f t="shared" ca="1" si="254"/>
        <v>0</v>
      </c>
      <c r="AJ58" s="606">
        <f t="shared" ca="1" si="254"/>
        <v>0</v>
      </c>
      <c r="AK58" s="606">
        <f t="shared" ca="1" si="254"/>
        <v>0</v>
      </c>
      <c r="AL58" s="606">
        <f t="shared" ca="1" si="254"/>
        <v>0</v>
      </c>
      <c r="AM58" s="606">
        <f t="shared" ref="AM58:BR58" ca="1" si="255">AM202*$F$58</f>
        <v>0</v>
      </c>
      <c r="AN58" s="606">
        <f t="shared" ca="1" si="255"/>
        <v>0</v>
      </c>
      <c r="AO58" s="606">
        <f t="shared" ca="1" si="255"/>
        <v>0</v>
      </c>
      <c r="AP58" s="606">
        <f t="shared" ca="1" si="255"/>
        <v>0</v>
      </c>
      <c r="AQ58" s="606">
        <f t="shared" ca="1" si="255"/>
        <v>0</v>
      </c>
      <c r="AR58" s="606">
        <f t="shared" ca="1" si="255"/>
        <v>0</v>
      </c>
      <c r="AS58" s="606">
        <f t="shared" ca="1" si="255"/>
        <v>0</v>
      </c>
      <c r="AT58" s="606">
        <f t="shared" ca="1" si="255"/>
        <v>0</v>
      </c>
      <c r="AU58" s="606">
        <f t="shared" ca="1" si="255"/>
        <v>0</v>
      </c>
      <c r="AV58" s="606">
        <f t="shared" ca="1" si="255"/>
        <v>0</v>
      </c>
      <c r="AW58" s="606">
        <f t="shared" ca="1" si="255"/>
        <v>0</v>
      </c>
      <c r="AX58" s="606">
        <f t="shared" ca="1" si="255"/>
        <v>0</v>
      </c>
      <c r="AY58" s="606">
        <f t="shared" ca="1" si="255"/>
        <v>0</v>
      </c>
      <c r="AZ58" s="606">
        <f t="shared" ca="1" si="255"/>
        <v>0</v>
      </c>
      <c r="BA58" s="606">
        <f t="shared" ca="1" si="255"/>
        <v>0</v>
      </c>
      <c r="BB58" s="606">
        <f t="shared" ca="1" si="255"/>
        <v>0</v>
      </c>
      <c r="BC58" s="606">
        <f t="shared" ca="1" si="255"/>
        <v>0</v>
      </c>
      <c r="BD58" s="606">
        <f t="shared" ca="1" si="255"/>
        <v>0</v>
      </c>
      <c r="BE58" s="606">
        <f t="shared" ca="1" si="255"/>
        <v>0</v>
      </c>
      <c r="BF58" s="606">
        <f t="shared" ca="1" si="255"/>
        <v>0</v>
      </c>
      <c r="BG58" s="606">
        <f t="shared" ca="1" si="255"/>
        <v>0</v>
      </c>
      <c r="BH58" s="606">
        <f t="shared" ca="1" si="255"/>
        <v>0</v>
      </c>
      <c r="BI58" s="606">
        <f t="shared" ca="1" si="255"/>
        <v>0</v>
      </c>
      <c r="BJ58" s="606">
        <f t="shared" ca="1" si="255"/>
        <v>0</v>
      </c>
      <c r="BK58" s="606">
        <f t="shared" ca="1" si="255"/>
        <v>0</v>
      </c>
      <c r="BL58" s="606">
        <f t="shared" ca="1" si="255"/>
        <v>0</v>
      </c>
      <c r="BM58" s="606">
        <f t="shared" ca="1" si="255"/>
        <v>0</v>
      </c>
      <c r="BN58" s="606">
        <f t="shared" ca="1" si="255"/>
        <v>0</v>
      </c>
      <c r="BO58" s="606">
        <f t="shared" ca="1" si="255"/>
        <v>0</v>
      </c>
      <c r="BP58" s="606">
        <f t="shared" ca="1" si="255"/>
        <v>0</v>
      </c>
      <c r="BQ58" s="606">
        <f t="shared" ca="1" si="255"/>
        <v>0</v>
      </c>
      <c r="BR58" s="606">
        <f t="shared" ca="1" si="255"/>
        <v>0</v>
      </c>
      <c r="BS58" s="606">
        <f t="shared" ref="BS58:CX58" ca="1" si="256">BS202*$F$58</f>
        <v>0</v>
      </c>
      <c r="BT58" s="606">
        <f t="shared" ca="1" si="256"/>
        <v>0</v>
      </c>
      <c r="BU58" s="606">
        <f t="shared" ca="1" si="256"/>
        <v>0</v>
      </c>
      <c r="BV58" s="606">
        <f t="shared" ca="1" si="256"/>
        <v>0</v>
      </c>
      <c r="BW58" s="606">
        <f t="shared" ca="1" si="256"/>
        <v>0</v>
      </c>
      <c r="BX58" s="606">
        <f t="shared" ca="1" si="256"/>
        <v>0</v>
      </c>
      <c r="BY58" s="606">
        <f t="shared" ca="1" si="256"/>
        <v>0</v>
      </c>
      <c r="BZ58" s="606">
        <f t="shared" ca="1" si="256"/>
        <v>0</v>
      </c>
      <c r="CA58" s="606">
        <f t="shared" ca="1" si="256"/>
        <v>0</v>
      </c>
      <c r="CB58" s="606">
        <f t="shared" ca="1" si="256"/>
        <v>0</v>
      </c>
      <c r="CC58" s="606">
        <f t="shared" ca="1" si="256"/>
        <v>0</v>
      </c>
      <c r="CD58" s="606">
        <f t="shared" ca="1" si="256"/>
        <v>0</v>
      </c>
      <c r="CE58" s="606">
        <f t="shared" ca="1" si="256"/>
        <v>0</v>
      </c>
      <c r="CF58" s="606">
        <f t="shared" ca="1" si="256"/>
        <v>0</v>
      </c>
      <c r="CG58" s="606">
        <f t="shared" ca="1" si="256"/>
        <v>0</v>
      </c>
      <c r="CH58" s="606">
        <f t="shared" ca="1" si="256"/>
        <v>0</v>
      </c>
      <c r="CI58" s="606">
        <f t="shared" ca="1" si="256"/>
        <v>0</v>
      </c>
      <c r="CJ58" s="606">
        <f t="shared" ca="1" si="256"/>
        <v>0</v>
      </c>
      <c r="CK58" s="606">
        <f t="shared" ca="1" si="256"/>
        <v>0</v>
      </c>
      <c r="CL58" s="606">
        <f t="shared" ca="1" si="256"/>
        <v>0</v>
      </c>
      <c r="CM58" s="606">
        <f t="shared" ca="1" si="256"/>
        <v>0</v>
      </c>
      <c r="CN58" s="606">
        <f t="shared" ca="1" si="256"/>
        <v>0</v>
      </c>
      <c r="CO58" s="606">
        <f t="shared" ca="1" si="256"/>
        <v>0</v>
      </c>
      <c r="CP58" s="606">
        <f t="shared" ca="1" si="256"/>
        <v>0</v>
      </c>
      <c r="CQ58" s="606">
        <f t="shared" ca="1" si="256"/>
        <v>0</v>
      </c>
      <c r="CR58" s="606">
        <f t="shared" ca="1" si="256"/>
        <v>0</v>
      </c>
      <c r="CS58" s="606">
        <f t="shared" ca="1" si="256"/>
        <v>0</v>
      </c>
      <c r="CT58" s="606">
        <f t="shared" ca="1" si="256"/>
        <v>0</v>
      </c>
      <c r="CU58" s="606">
        <f t="shared" ca="1" si="256"/>
        <v>0</v>
      </c>
      <c r="CV58" s="606">
        <f t="shared" ca="1" si="256"/>
        <v>0</v>
      </c>
      <c r="CW58" s="606">
        <f t="shared" ca="1" si="256"/>
        <v>0</v>
      </c>
      <c r="CX58" s="606">
        <f t="shared" ca="1" si="256"/>
        <v>0</v>
      </c>
      <c r="CY58" s="606">
        <f t="shared" ref="CY58:ED58" ca="1" si="257">CY202*$F$58</f>
        <v>0</v>
      </c>
      <c r="CZ58" s="606">
        <f t="shared" ca="1" si="257"/>
        <v>0</v>
      </c>
      <c r="DA58" s="606">
        <f t="shared" ca="1" si="257"/>
        <v>0</v>
      </c>
      <c r="DB58" s="606">
        <f t="shared" ca="1" si="257"/>
        <v>0</v>
      </c>
      <c r="DC58" s="606">
        <f t="shared" ca="1" si="257"/>
        <v>0</v>
      </c>
      <c r="DD58" s="606">
        <f t="shared" ca="1" si="257"/>
        <v>0</v>
      </c>
      <c r="DE58" s="606">
        <f t="shared" ca="1" si="257"/>
        <v>0</v>
      </c>
      <c r="DF58" s="606">
        <f t="shared" ca="1" si="257"/>
        <v>0</v>
      </c>
      <c r="DG58" s="606">
        <f t="shared" ca="1" si="257"/>
        <v>0</v>
      </c>
      <c r="DH58" s="606">
        <f t="shared" ca="1" si="257"/>
        <v>0</v>
      </c>
      <c r="DI58" s="606">
        <f t="shared" ca="1" si="257"/>
        <v>0</v>
      </c>
      <c r="DJ58" s="606">
        <f t="shared" ca="1" si="257"/>
        <v>0</v>
      </c>
      <c r="DK58" s="606">
        <f t="shared" ca="1" si="257"/>
        <v>0</v>
      </c>
      <c r="DL58" s="606">
        <f t="shared" ca="1" si="257"/>
        <v>0</v>
      </c>
      <c r="DM58" s="606">
        <f t="shared" ca="1" si="257"/>
        <v>0</v>
      </c>
      <c r="DN58" s="606">
        <f t="shared" ca="1" si="257"/>
        <v>0</v>
      </c>
      <c r="DO58" s="606">
        <f t="shared" ca="1" si="257"/>
        <v>0</v>
      </c>
      <c r="DP58" s="606">
        <f t="shared" ca="1" si="257"/>
        <v>0</v>
      </c>
      <c r="DQ58" s="606">
        <f t="shared" ca="1" si="257"/>
        <v>0</v>
      </c>
      <c r="DR58" s="606">
        <f t="shared" ca="1" si="257"/>
        <v>0</v>
      </c>
      <c r="DS58" s="606">
        <f t="shared" ca="1" si="257"/>
        <v>0</v>
      </c>
      <c r="DT58" s="606">
        <f t="shared" ca="1" si="257"/>
        <v>0</v>
      </c>
      <c r="DU58" s="606">
        <f t="shared" ca="1" si="257"/>
        <v>0</v>
      </c>
      <c r="DV58" s="606">
        <f t="shared" ca="1" si="257"/>
        <v>0</v>
      </c>
      <c r="DW58" s="606">
        <f t="shared" ca="1" si="257"/>
        <v>0</v>
      </c>
      <c r="DX58" s="606">
        <f t="shared" ca="1" si="257"/>
        <v>0</v>
      </c>
      <c r="DY58" s="606">
        <f t="shared" ca="1" si="257"/>
        <v>0</v>
      </c>
      <c r="DZ58" s="606">
        <f t="shared" ca="1" si="257"/>
        <v>0</v>
      </c>
      <c r="EA58" s="606">
        <f t="shared" ca="1" si="257"/>
        <v>0</v>
      </c>
      <c r="EB58" s="606">
        <f t="shared" ca="1" si="257"/>
        <v>0</v>
      </c>
      <c r="EC58" s="606">
        <f t="shared" ca="1" si="257"/>
        <v>0</v>
      </c>
      <c r="ED58" s="606">
        <f t="shared" ca="1" si="257"/>
        <v>0</v>
      </c>
      <c r="EE58" s="606">
        <f t="shared" ref="EE58:EJ58" ca="1" si="258">EE202*$F$58</f>
        <v>0</v>
      </c>
      <c r="EF58" s="606">
        <f t="shared" ca="1" si="258"/>
        <v>0</v>
      </c>
      <c r="EG58" s="606">
        <f t="shared" ca="1" si="258"/>
        <v>0</v>
      </c>
      <c r="EH58" s="606">
        <f t="shared" ca="1" si="258"/>
        <v>0</v>
      </c>
      <c r="EI58" s="606">
        <f t="shared" ca="1" si="258"/>
        <v>0</v>
      </c>
      <c r="EJ58" s="606">
        <f t="shared" si="258"/>
        <v>0</v>
      </c>
    </row>
    <row r="59" spans="1:140" customFormat="1" hidden="1" outlineLevel="1">
      <c r="A59" s="321"/>
      <c r="B59" s="321"/>
      <c r="C59" s="317" t="s">
        <v>1266</v>
      </c>
      <c r="D59" s="317" t="s">
        <v>41</v>
      </c>
      <c r="E59" s="606">
        <f t="shared" ca="1" si="233"/>
        <v>0</v>
      </c>
      <c r="F59" s="606">
        <f>'Распределение по статьям'!AC560</f>
        <v>0</v>
      </c>
      <c r="G59" s="606">
        <f t="shared" ref="G59:AL59" si="259">G211*$F$59</f>
        <v>0</v>
      </c>
      <c r="H59" s="606">
        <f t="shared" ca="1" si="259"/>
        <v>0</v>
      </c>
      <c r="I59" s="606">
        <f t="shared" ca="1" si="259"/>
        <v>0</v>
      </c>
      <c r="J59" s="606">
        <f t="shared" ca="1" si="259"/>
        <v>0</v>
      </c>
      <c r="K59" s="606">
        <f t="shared" ca="1" si="259"/>
        <v>0</v>
      </c>
      <c r="L59" s="606">
        <f t="shared" ca="1" si="259"/>
        <v>0</v>
      </c>
      <c r="M59" s="606">
        <f t="shared" ca="1" si="259"/>
        <v>0</v>
      </c>
      <c r="N59" s="606">
        <f t="shared" ca="1" si="259"/>
        <v>0</v>
      </c>
      <c r="O59" s="606">
        <f t="shared" ca="1" si="259"/>
        <v>0</v>
      </c>
      <c r="P59" s="606">
        <f t="shared" ca="1" si="259"/>
        <v>0</v>
      </c>
      <c r="Q59" s="606">
        <f t="shared" ca="1" si="259"/>
        <v>0</v>
      </c>
      <c r="R59" s="606">
        <f t="shared" ca="1" si="259"/>
        <v>0</v>
      </c>
      <c r="S59" s="606">
        <f t="shared" ca="1" si="259"/>
        <v>0</v>
      </c>
      <c r="T59" s="606">
        <f t="shared" ca="1" si="259"/>
        <v>0</v>
      </c>
      <c r="U59" s="606">
        <f t="shared" ca="1" si="259"/>
        <v>0</v>
      </c>
      <c r="V59" s="606">
        <f t="shared" ca="1" si="259"/>
        <v>0</v>
      </c>
      <c r="W59" s="606">
        <f t="shared" ca="1" si="259"/>
        <v>0</v>
      </c>
      <c r="X59" s="606">
        <f t="shared" ca="1" si="259"/>
        <v>0</v>
      </c>
      <c r="Y59" s="606">
        <f t="shared" ca="1" si="259"/>
        <v>0</v>
      </c>
      <c r="Z59" s="606">
        <f t="shared" ca="1" si="259"/>
        <v>0</v>
      </c>
      <c r="AA59" s="606">
        <f t="shared" ca="1" si="259"/>
        <v>0</v>
      </c>
      <c r="AB59" s="606">
        <f t="shared" ca="1" si="259"/>
        <v>0</v>
      </c>
      <c r="AC59" s="606">
        <f t="shared" ca="1" si="259"/>
        <v>0</v>
      </c>
      <c r="AD59" s="606">
        <f t="shared" ca="1" si="259"/>
        <v>0</v>
      </c>
      <c r="AE59" s="606">
        <f t="shared" ca="1" si="259"/>
        <v>0</v>
      </c>
      <c r="AF59" s="606">
        <f t="shared" ca="1" si="259"/>
        <v>0</v>
      </c>
      <c r="AG59" s="606">
        <f t="shared" ca="1" si="259"/>
        <v>0</v>
      </c>
      <c r="AH59" s="606">
        <f t="shared" ca="1" si="259"/>
        <v>0</v>
      </c>
      <c r="AI59" s="606">
        <f t="shared" ca="1" si="259"/>
        <v>0</v>
      </c>
      <c r="AJ59" s="606">
        <f t="shared" ca="1" si="259"/>
        <v>0</v>
      </c>
      <c r="AK59" s="606">
        <f t="shared" ca="1" si="259"/>
        <v>0</v>
      </c>
      <c r="AL59" s="606">
        <f t="shared" ca="1" si="259"/>
        <v>0</v>
      </c>
      <c r="AM59" s="606">
        <f t="shared" ref="AM59:BR59" ca="1" si="260">AM211*$F$59</f>
        <v>0</v>
      </c>
      <c r="AN59" s="606">
        <f t="shared" ca="1" si="260"/>
        <v>0</v>
      </c>
      <c r="AO59" s="606">
        <f t="shared" ca="1" si="260"/>
        <v>0</v>
      </c>
      <c r="AP59" s="606">
        <f t="shared" ca="1" si="260"/>
        <v>0</v>
      </c>
      <c r="AQ59" s="606">
        <f t="shared" ca="1" si="260"/>
        <v>0</v>
      </c>
      <c r="AR59" s="606">
        <f t="shared" ca="1" si="260"/>
        <v>0</v>
      </c>
      <c r="AS59" s="606">
        <f t="shared" ca="1" si="260"/>
        <v>0</v>
      </c>
      <c r="AT59" s="606">
        <f t="shared" ca="1" si="260"/>
        <v>0</v>
      </c>
      <c r="AU59" s="606">
        <f t="shared" ca="1" si="260"/>
        <v>0</v>
      </c>
      <c r="AV59" s="606">
        <f t="shared" ca="1" si="260"/>
        <v>0</v>
      </c>
      <c r="AW59" s="606">
        <f t="shared" ca="1" si="260"/>
        <v>0</v>
      </c>
      <c r="AX59" s="606">
        <f t="shared" ca="1" si="260"/>
        <v>0</v>
      </c>
      <c r="AY59" s="606">
        <f t="shared" ca="1" si="260"/>
        <v>0</v>
      </c>
      <c r="AZ59" s="606">
        <f t="shared" ca="1" si="260"/>
        <v>0</v>
      </c>
      <c r="BA59" s="606">
        <f t="shared" ca="1" si="260"/>
        <v>0</v>
      </c>
      <c r="BB59" s="606">
        <f t="shared" ca="1" si="260"/>
        <v>0</v>
      </c>
      <c r="BC59" s="606">
        <f t="shared" ca="1" si="260"/>
        <v>0</v>
      </c>
      <c r="BD59" s="606">
        <f t="shared" ca="1" si="260"/>
        <v>0</v>
      </c>
      <c r="BE59" s="606">
        <f t="shared" ca="1" si="260"/>
        <v>0</v>
      </c>
      <c r="BF59" s="606">
        <f t="shared" ca="1" si="260"/>
        <v>0</v>
      </c>
      <c r="BG59" s="606">
        <f t="shared" ca="1" si="260"/>
        <v>0</v>
      </c>
      <c r="BH59" s="606">
        <f t="shared" ca="1" si="260"/>
        <v>0</v>
      </c>
      <c r="BI59" s="606">
        <f t="shared" ca="1" si="260"/>
        <v>0</v>
      </c>
      <c r="BJ59" s="606">
        <f t="shared" ca="1" si="260"/>
        <v>0</v>
      </c>
      <c r="BK59" s="606">
        <f t="shared" ca="1" si="260"/>
        <v>0</v>
      </c>
      <c r="BL59" s="606">
        <f t="shared" ca="1" si="260"/>
        <v>0</v>
      </c>
      <c r="BM59" s="606">
        <f t="shared" ca="1" si="260"/>
        <v>0</v>
      </c>
      <c r="BN59" s="606">
        <f t="shared" ca="1" si="260"/>
        <v>0</v>
      </c>
      <c r="BO59" s="606">
        <f t="shared" ca="1" si="260"/>
        <v>0</v>
      </c>
      <c r="BP59" s="606">
        <f t="shared" ca="1" si="260"/>
        <v>0</v>
      </c>
      <c r="BQ59" s="606">
        <f t="shared" ca="1" si="260"/>
        <v>0</v>
      </c>
      <c r="BR59" s="606">
        <f t="shared" ca="1" si="260"/>
        <v>0</v>
      </c>
      <c r="BS59" s="606">
        <f t="shared" ref="BS59:CX59" ca="1" si="261">BS211*$F$59</f>
        <v>0</v>
      </c>
      <c r="BT59" s="606">
        <f t="shared" ca="1" si="261"/>
        <v>0</v>
      </c>
      <c r="BU59" s="606">
        <f t="shared" ca="1" si="261"/>
        <v>0</v>
      </c>
      <c r="BV59" s="606">
        <f t="shared" ca="1" si="261"/>
        <v>0</v>
      </c>
      <c r="BW59" s="606">
        <f t="shared" ca="1" si="261"/>
        <v>0</v>
      </c>
      <c r="BX59" s="606">
        <f t="shared" ca="1" si="261"/>
        <v>0</v>
      </c>
      <c r="BY59" s="606">
        <f t="shared" ca="1" si="261"/>
        <v>0</v>
      </c>
      <c r="BZ59" s="606">
        <f t="shared" ca="1" si="261"/>
        <v>0</v>
      </c>
      <c r="CA59" s="606">
        <f t="shared" ca="1" si="261"/>
        <v>0</v>
      </c>
      <c r="CB59" s="606">
        <f t="shared" ca="1" si="261"/>
        <v>0</v>
      </c>
      <c r="CC59" s="606">
        <f t="shared" ca="1" si="261"/>
        <v>0</v>
      </c>
      <c r="CD59" s="606">
        <f t="shared" ca="1" si="261"/>
        <v>0</v>
      </c>
      <c r="CE59" s="606">
        <f t="shared" ca="1" si="261"/>
        <v>0</v>
      </c>
      <c r="CF59" s="606">
        <f t="shared" ca="1" si="261"/>
        <v>0</v>
      </c>
      <c r="CG59" s="606">
        <f t="shared" ca="1" si="261"/>
        <v>0</v>
      </c>
      <c r="CH59" s="606">
        <f t="shared" ca="1" si="261"/>
        <v>0</v>
      </c>
      <c r="CI59" s="606">
        <f t="shared" ca="1" si="261"/>
        <v>0</v>
      </c>
      <c r="CJ59" s="606">
        <f t="shared" ca="1" si="261"/>
        <v>0</v>
      </c>
      <c r="CK59" s="606">
        <f t="shared" ca="1" si="261"/>
        <v>0</v>
      </c>
      <c r="CL59" s="606">
        <f t="shared" ca="1" si="261"/>
        <v>0</v>
      </c>
      <c r="CM59" s="606">
        <f t="shared" ca="1" si="261"/>
        <v>0</v>
      </c>
      <c r="CN59" s="606">
        <f t="shared" ca="1" si="261"/>
        <v>0</v>
      </c>
      <c r="CO59" s="606">
        <f t="shared" ca="1" si="261"/>
        <v>0</v>
      </c>
      <c r="CP59" s="606">
        <f t="shared" ca="1" si="261"/>
        <v>0</v>
      </c>
      <c r="CQ59" s="606">
        <f t="shared" ca="1" si="261"/>
        <v>0</v>
      </c>
      <c r="CR59" s="606">
        <f t="shared" ca="1" si="261"/>
        <v>0</v>
      </c>
      <c r="CS59" s="606">
        <f t="shared" ca="1" si="261"/>
        <v>0</v>
      </c>
      <c r="CT59" s="606">
        <f t="shared" ca="1" si="261"/>
        <v>0</v>
      </c>
      <c r="CU59" s="606">
        <f t="shared" ca="1" si="261"/>
        <v>0</v>
      </c>
      <c r="CV59" s="606">
        <f t="shared" ca="1" si="261"/>
        <v>0</v>
      </c>
      <c r="CW59" s="606">
        <f t="shared" ca="1" si="261"/>
        <v>0</v>
      </c>
      <c r="CX59" s="606">
        <f t="shared" ca="1" si="261"/>
        <v>0</v>
      </c>
      <c r="CY59" s="606">
        <f t="shared" ref="CY59:ED59" ca="1" si="262">CY211*$F$59</f>
        <v>0</v>
      </c>
      <c r="CZ59" s="606">
        <f t="shared" ca="1" si="262"/>
        <v>0</v>
      </c>
      <c r="DA59" s="606">
        <f t="shared" ca="1" si="262"/>
        <v>0</v>
      </c>
      <c r="DB59" s="606">
        <f t="shared" ca="1" si="262"/>
        <v>0</v>
      </c>
      <c r="DC59" s="606">
        <f t="shared" ca="1" si="262"/>
        <v>0</v>
      </c>
      <c r="DD59" s="606">
        <f t="shared" ca="1" si="262"/>
        <v>0</v>
      </c>
      <c r="DE59" s="606">
        <f t="shared" ca="1" si="262"/>
        <v>0</v>
      </c>
      <c r="DF59" s="606">
        <f t="shared" ca="1" si="262"/>
        <v>0</v>
      </c>
      <c r="DG59" s="606">
        <f t="shared" ca="1" si="262"/>
        <v>0</v>
      </c>
      <c r="DH59" s="606">
        <f t="shared" ca="1" si="262"/>
        <v>0</v>
      </c>
      <c r="DI59" s="606">
        <f t="shared" ca="1" si="262"/>
        <v>0</v>
      </c>
      <c r="DJ59" s="606">
        <f t="shared" ca="1" si="262"/>
        <v>0</v>
      </c>
      <c r="DK59" s="606">
        <f t="shared" ca="1" si="262"/>
        <v>0</v>
      </c>
      <c r="DL59" s="606">
        <f t="shared" ca="1" si="262"/>
        <v>0</v>
      </c>
      <c r="DM59" s="606">
        <f t="shared" ca="1" si="262"/>
        <v>0</v>
      </c>
      <c r="DN59" s="606">
        <f t="shared" ca="1" si="262"/>
        <v>0</v>
      </c>
      <c r="DO59" s="606">
        <f t="shared" ca="1" si="262"/>
        <v>0</v>
      </c>
      <c r="DP59" s="606">
        <f t="shared" ca="1" si="262"/>
        <v>0</v>
      </c>
      <c r="DQ59" s="606">
        <f t="shared" ca="1" si="262"/>
        <v>0</v>
      </c>
      <c r="DR59" s="606">
        <f t="shared" ca="1" si="262"/>
        <v>0</v>
      </c>
      <c r="DS59" s="606">
        <f t="shared" ca="1" si="262"/>
        <v>0</v>
      </c>
      <c r="DT59" s="606">
        <f t="shared" ca="1" si="262"/>
        <v>0</v>
      </c>
      <c r="DU59" s="606">
        <f t="shared" ca="1" si="262"/>
        <v>0</v>
      </c>
      <c r="DV59" s="606">
        <f t="shared" ca="1" si="262"/>
        <v>0</v>
      </c>
      <c r="DW59" s="606">
        <f t="shared" ca="1" si="262"/>
        <v>0</v>
      </c>
      <c r="DX59" s="606">
        <f t="shared" ca="1" si="262"/>
        <v>0</v>
      </c>
      <c r="DY59" s="606">
        <f t="shared" ca="1" si="262"/>
        <v>0</v>
      </c>
      <c r="DZ59" s="606">
        <f t="shared" ca="1" si="262"/>
        <v>0</v>
      </c>
      <c r="EA59" s="606">
        <f t="shared" ca="1" si="262"/>
        <v>0</v>
      </c>
      <c r="EB59" s="606">
        <f t="shared" ca="1" si="262"/>
        <v>0</v>
      </c>
      <c r="EC59" s="606">
        <f t="shared" ca="1" si="262"/>
        <v>0</v>
      </c>
      <c r="ED59" s="606">
        <f t="shared" ca="1" si="262"/>
        <v>0</v>
      </c>
      <c r="EE59" s="606">
        <f t="shared" ref="EE59:EJ59" ca="1" si="263">EE211*$F$59</f>
        <v>0</v>
      </c>
      <c r="EF59" s="606">
        <f t="shared" ca="1" si="263"/>
        <v>0</v>
      </c>
      <c r="EG59" s="606">
        <f t="shared" ca="1" si="263"/>
        <v>0</v>
      </c>
      <c r="EH59" s="606">
        <f t="shared" ca="1" si="263"/>
        <v>0</v>
      </c>
      <c r="EI59" s="606">
        <f t="shared" ca="1" si="263"/>
        <v>0</v>
      </c>
      <c r="EJ59" s="606">
        <f t="shared" si="263"/>
        <v>0</v>
      </c>
    </row>
    <row r="60" spans="1:140" customFormat="1" hidden="1" outlineLevel="1">
      <c r="A60" s="321"/>
      <c r="B60" s="321"/>
      <c r="C60" s="317" t="s">
        <v>1265</v>
      </c>
      <c r="D60" s="317" t="s">
        <v>266</v>
      </c>
      <c r="E60" s="606">
        <f t="shared" ca="1" si="233"/>
        <v>0</v>
      </c>
      <c r="F60" s="606">
        <f>'Распределение по статьям'!AC566</f>
        <v>0</v>
      </c>
      <c r="G60" s="606">
        <f t="shared" ref="G60:AL60" si="264">G214*$F$60</f>
        <v>0</v>
      </c>
      <c r="H60" s="606">
        <f t="shared" ca="1" si="264"/>
        <v>0</v>
      </c>
      <c r="I60" s="606">
        <f t="shared" ca="1" si="264"/>
        <v>0</v>
      </c>
      <c r="J60" s="606">
        <f t="shared" ca="1" si="264"/>
        <v>0</v>
      </c>
      <c r="K60" s="606">
        <f t="shared" ca="1" si="264"/>
        <v>0</v>
      </c>
      <c r="L60" s="606">
        <f t="shared" ca="1" si="264"/>
        <v>0</v>
      </c>
      <c r="M60" s="606">
        <f t="shared" ca="1" si="264"/>
        <v>0</v>
      </c>
      <c r="N60" s="606">
        <f t="shared" ca="1" si="264"/>
        <v>0</v>
      </c>
      <c r="O60" s="606">
        <f t="shared" ca="1" si="264"/>
        <v>0</v>
      </c>
      <c r="P60" s="606">
        <f t="shared" ca="1" si="264"/>
        <v>0</v>
      </c>
      <c r="Q60" s="606">
        <f t="shared" ca="1" si="264"/>
        <v>0</v>
      </c>
      <c r="R60" s="606">
        <f t="shared" ca="1" si="264"/>
        <v>0</v>
      </c>
      <c r="S60" s="606">
        <f t="shared" ca="1" si="264"/>
        <v>0</v>
      </c>
      <c r="T60" s="606">
        <f t="shared" ca="1" si="264"/>
        <v>0</v>
      </c>
      <c r="U60" s="606">
        <f t="shared" ca="1" si="264"/>
        <v>0</v>
      </c>
      <c r="V60" s="606">
        <f t="shared" ca="1" si="264"/>
        <v>0</v>
      </c>
      <c r="W60" s="606">
        <f t="shared" ca="1" si="264"/>
        <v>0</v>
      </c>
      <c r="X60" s="606">
        <f t="shared" ca="1" si="264"/>
        <v>0</v>
      </c>
      <c r="Y60" s="606">
        <f t="shared" ca="1" si="264"/>
        <v>0</v>
      </c>
      <c r="Z60" s="606">
        <f t="shared" ca="1" si="264"/>
        <v>0</v>
      </c>
      <c r="AA60" s="606">
        <f t="shared" ca="1" si="264"/>
        <v>0</v>
      </c>
      <c r="AB60" s="606">
        <f t="shared" ca="1" si="264"/>
        <v>0</v>
      </c>
      <c r="AC60" s="606">
        <f t="shared" ca="1" si="264"/>
        <v>0</v>
      </c>
      <c r="AD60" s="606">
        <f t="shared" ca="1" si="264"/>
        <v>0</v>
      </c>
      <c r="AE60" s="606">
        <f t="shared" ca="1" si="264"/>
        <v>0</v>
      </c>
      <c r="AF60" s="606">
        <f t="shared" ca="1" si="264"/>
        <v>0</v>
      </c>
      <c r="AG60" s="606">
        <f t="shared" ca="1" si="264"/>
        <v>0</v>
      </c>
      <c r="AH60" s="606">
        <f t="shared" ca="1" si="264"/>
        <v>0</v>
      </c>
      <c r="AI60" s="606">
        <f t="shared" ca="1" si="264"/>
        <v>0</v>
      </c>
      <c r="AJ60" s="606">
        <f t="shared" ca="1" si="264"/>
        <v>0</v>
      </c>
      <c r="AK60" s="606">
        <f t="shared" ca="1" si="264"/>
        <v>0</v>
      </c>
      <c r="AL60" s="606">
        <f t="shared" ca="1" si="264"/>
        <v>0</v>
      </c>
      <c r="AM60" s="606">
        <f t="shared" ref="AM60:BR60" ca="1" si="265">AM214*$F$60</f>
        <v>0</v>
      </c>
      <c r="AN60" s="606">
        <f t="shared" ca="1" si="265"/>
        <v>0</v>
      </c>
      <c r="AO60" s="606">
        <f t="shared" ca="1" si="265"/>
        <v>0</v>
      </c>
      <c r="AP60" s="606">
        <f t="shared" ca="1" si="265"/>
        <v>0</v>
      </c>
      <c r="AQ60" s="606">
        <f t="shared" ca="1" si="265"/>
        <v>0</v>
      </c>
      <c r="AR60" s="606">
        <f t="shared" ca="1" si="265"/>
        <v>0</v>
      </c>
      <c r="AS60" s="606">
        <f t="shared" ca="1" si="265"/>
        <v>0</v>
      </c>
      <c r="AT60" s="606">
        <f t="shared" ca="1" si="265"/>
        <v>0</v>
      </c>
      <c r="AU60" s="606">
        <f t="shared" ca="1" si="265"/>
        <v>0</v>
      </c>
      <c r="AV60" s="606">
        <f t="shared" ca="1" si="265"/>
        <v>0</v>
      </c>
      <c r="AW60" s="606">
        <f t="shared" ca="1" si="265"/>
        <v>0</v>
      </c>
      <c r="AX60" s="606">
        <f t="shared" ca="1" si="265"/>
        <v>0</v>
      </c>
      <c r="AY60" s="606">
        <f t="shared" ca="1" si="265"/>
        <v>0</v>
      </c>
      <c r="AZ60" s="606">
        <f t="shared" ca="1" si="265"/>
        <v>0</v>
      </c>
      <c r="BA60" s="606">
        <f t="shared" ca="1" si="265"/>
        <v>0</v>
      </c>
      <c r="BB60" s="606">
        <f t="shared" ca="1" si="265"/>
        <v>0</v>
      </c>
      <c r="BC60" s="606">
        <f t="shared" ca="1" si="265"/>
        <v>0</v>
      </c>
      <c r="BD60" s="606">
        <f t="shared" ca="1" si="265"/>
        <v>0</v>
      </c>
      <c r="BE60" s="606">
        <f t="shared" ca="1" si="265"/>
        <v>0</v>
      </c>
      <c r="BF60" s="606">
        <f t="shared" ca="1" si="265"/>
        <v>0</v>
      </c>
      <c r="BG60" s="606">
        <f t="shared" ca="1" si="265"/>
        <v>0</v>
      </c>
      <c r="BH60" s="606">
        <f t="shared" ca="1" si="265"/>
        <v>0</v>
      </c>
      <c r="BI60" s="606">
        <f t="shared" ca="1" si="265"/>
        <v>0</v>
      </c>
      <c r="BJ60" s="606">
        <f t="shared" ca="1" si="265"/>
        <v>0</v>
      </c>
      <c r="BK60" s="606">
        <f t="shared" ca="1" si="265"/>
        <v>0</v>
      </c>
      <c r="BL60" s="606">
        <f t="shared" ca="1" si="265"/>
        <v>0</v>
      </c>
      <c r="BM60" s="606">
        <f t="shared" ca="1" si="265"/>
        <v>0</v>
      </c>
      <c r="BN60" s="606">
        <f t="shared" ca="1" si="265"/>
        <v>0</v>
      </c>
      <c r="BO60" s="606">
        <f t="shared" ca="1" si="265"/>
        <v>0</v>
      </c>
      <c r="BP60" s="606">
        <f t="shared" ca="1" si="265"/>
        <v>0</v>
      </c>
      <c r="BQ60" s="606">
        <f t="shared" ca="1" si="265"/>
        <v>0</v>
      </c>
      <c r="BR60" s="606">
        <f t="shared" ca="1" si="265"/>
        <v>0</v>
      </c>
      <c r="BS60" s="606">
        <f t="shared" ref="BS60:CX60" ca="1" si="266">BS214*$F$60</f>
        <v>0</v>
      </c>
      <c r="BT60" s="606">
        <f t="shared" ca="1" si="266"/>
        <v>0</v>
      </c>
      <c r="BU60" s="606">
        <f t="shared" ca="1" si="266"/>
        <v>0</v>
      </c>
      <c r="BV60" s="606">
        <f t="shared" ca="1" si="266"/>
        <v>0</v>
      </c>
      <c r="BW60" s="606">
        <f t="shared" ca="1" si="266"/>
        <v>0</v>
      </c>
      <c r="BX60" s="606">
        <f t="shared" ca="1" si="266"/>
        <v>0</v>
      </c>
      <c r="BY60" s="606">
        <f t="shared" ca="1" si="266"/>
        <v>0</v>
      </c>
      <c r="BZ60" s="606">
        <f t="shared" ca="1" si="266"/>
        <v>0</v>
      </c>
      <c r="CA60" s="606">
        <f t="shared" ca="1" si="266"/>
        <v>0</v>
      </c>
      <c r="CB60" s="606">
        <f t="shared" ca="1" si="266"/>
        <v>0</v>
      </c>
      <c r="CC60" s="606">
        <f t="shared" ca="1" si="266"/>
        <v>0</v>
      </c>
      <c r="CD60" s="606">
        <f t="shared" ca="1" si="266"/>
        <v>0</v>
      </c>
      <c r="CE60" s="606">
        <f t="shared" ca="1" si="266"/>
        <v>0</v>
      </c>
      <c r="CF60" s="606">
        <f t="shared" ca="1" si="266"/>
        <v>0</v>
      </c>
      <c r="CG60" s="606">
        <f t="shared" ca="1" si="266"/>
        <v>0</v>
      </c>
      <c r="CH60" s="606">
        <f t="shared" ca="1" si="266"/>
        <v>0</v>
      </c>
      <c r="CI60" s="606">
        <f t="shared" ca="1" si="266"/>
        <v>0</v>
      </c>
      <c r="CJ60" s="606">
        <f t="shared" ca="1" si="266"/>
        <v>0</v>
      </c>
      <c r="CK60" s="606">
        <f t="shared" ca="1" si="266"/>
        <v>0</v>
      </c>
      <c r="CL60" s="606">
        <f t="shared" ca="1" si="266"/>
        <v>0</v>
      </c>
      <c r="CM60" s="606">
        <f t="shared" ca="1" si="266"/>
        <v>0</v>
      </c>
      <c r="CN60" s="606">
        <f t="shared" ca="1" si="266"/>
        <v>0</v>
      </c>
      <c r="CO60" s="606">
        <f t="shared" ca="1" si="266"/>
        <v>0</v>
      </c>
      <c r="CP60" s="606">
        <f t="shared" ca="1" si="266"/>
        <v>0</v>
      </c>
      <c r="CQ60" s="606">
        <f t="shared" ca="1" si="266"/>
        <v>0</v>
      </c>
      <c r="CR60" s="606">
        <f t="shared" ca="1" si="266"/>
        <v>0</v>
      </c>
      <c r="CS60" s="606">
        <f t="shared" ca="1" si="266"/>
        <v>0</v>
      </c>
      <c r="CT60" s="606">
        <f t="shared" ca="1" si="266"/>
        <v>0</v>
      </c>
      <c r="CU60" s="606">
        <f t="shared" ca="1" si="266"/>
        <v>0</v>
      </c>
      <c r="CV60" s="606">
        <f t="shared" ca="1" si="266"/>
        <v>0</v>
      </c>
      <c r="CW60" s="606">
        <f t="shared" ca="1" si="266"/>
        <v>0</v>
      </c>
      <c r="CX60" s="606">
        <f t="shared" ca="1" si="266"/>
        <v>0</v>
      </c>
      <c r="CY60" s="606">
        <f t="shared" ref="CY60:ED60" ca="1" si="267">CY214*$F$60</f>
        <v>0</v>
      </c>
      <c r="CZ60" s="606">
        <f t="shared" ca="1" si="267"/>
        <v>0</v>
      </c>
      <c r="DA60" s="606">
        <f t="shared" ca="1" si="267"/>
        <v>0</v>
      </c>
      <c r="DB60" s="606">
        <f t="shared" ca="1" si="267"/>
        <v>0</v>
      </c>
      <c r="DC60" s="606">
        <f t="shared" ca="1" si="267"/>
        <v>0</v>
      </c>
      <c r="DD60" s="606">
        <f t="shared" ca="1" si="267"/>
        <v>0</v>
      </c>
      <c r="DE60" s="606">
        <f t="shared" ca="1" si="267"/>
        <v>0</v>
      </c>
      <c r="DF60" s="606">
        <f t="shared" ca="1" si="267"/>
        <v>0</v>
      </c>
      <c r="DG60" s="606">
        <f t="shared" ca="1" si="267"/>
        <v>0</v>
      </c>
      <c r="DH60" s="606">
        <f t="shared" ca="1" si="267"/>
        <v>0</v>
      </c>
      <c r="DI60" s="606">
        <f t="shared" ca="1" si="267"/>
        <v>0</v>
      </c>
      <c r="DJ60" s="606">
        <f t="shared" ca="1" si="267"/>
        <v>0</v>
      </c>
      <c r="DK60" s="606">
        <f t="shared" ca="1" si="267"/>
        <v>0</v>
      </c>
      <c r="DL60" s="606">
        <f t="shared" ca="1" si="267"/>
        <v>0</v>
      </c>
      <c r="DM60" s="606">
        <f t="shared" ca="1" si="267"/>
        <v>0</v>
      </c>
      <c r="DN60" s="606">
        <f t="shared" ca="1" si="267"/>
        <v>0</v>
      </c>
      <c r="DO60" s="606">
        <f t="shared" ca="1" si="267"/>
        <v>0</v>
      </c>
      <c r="DP60" s="606">
        <f t="shared" ca="1" si="267"/>
        <v>0</v>
      </c>
      <c r="DQ60" s="606">
        <f t="shared" ca="1" si="267"/>
        <v>0</v>
      </c>
      <c r="DR60" s="606">
        <f t="shared" ca="1" si="267"/>
        <v>0</v>
      </c>
      <c r="DS60" s="606">
        <f t="shared" ca="1" si="267"/>
        <v>0</v>
      </c>
      <c r="DT60" s="606">
        <f t="shared" ca="1" si="267"/>
        <v>0</v>
      </c>
      <c r="DU60" s="606">
        <f t="shared" ca="1" si="267"/>
        <v>0</v>
      </c>
      <c r="DV60" s="606">
        <f t="shared" ca="1" si="267"/>
        <v>0</v>
      </c>
      <c r="DW60" s="606">
        <f t="shared" ca="1" si="267"/>
        <v>0</v>
      </c>
      <c r="DX60" s="606">
        <f t="shared" ca="1" si="267"/>
        <v>0</v>
      </c>
      <c r="DY60" s="606">
        <f t="shared" ca="1" si="267"/>
        <v>0</v>
      </c>
      <c r="DZ60" s="606">
        <f t="shared" ca="1" si="267"/>
        <v>0</v>
      </c>
      <c r="EA60" s="606">
        <f t="shared" ca="1" si="267"/>
        <v>0</v>
      </c>
      <c r="EB60" s="606">
        <f t="shared" ca="1" si="267"/>
        <v>0</v>
      </c>
      <c r="EC60" s="606">
        <f t="shared" ca="1" si="267"/>
        <v>0</v>
      </c>
      <c r="ED60" s="606">
        <f t="shared" ca="1" si="267"/>
        <v>0</v>
      </c>
      <c r="EE60" s="606">
        <f t="shared" ref="EE60:EJ60" ca="1" si="268">EE214*$F$60</f>
        <v>0</v>
      </c>
      <c r="EF60" s="606">
        <f t="shared" ca="1" si="268"/>
        <v>0</v>
      </c>
      <c r="EG60" s="606">
        <f t="shared" ca="1" si="268"/>
        <v>0</v>
      </c>
      <c r="EH60" s="606">
        <f t="shared" ca="1" si="268"/>
        <v>0</v>
      </c>
      <c r="EI60" s="606">
        <f t="shared" ca="1" si="268"/>
        <v>0</v>
      </c>
      <c r="EJ60" s="606">
        <f t="shared" si="268"/>
        <v>0</v>
      </c>
    </row>
    <row r="61" spans="1:140" customFormat="1" hidden="1" outlineLevel="1">
      <c r="A61" s="321"/>
      <c r="B61" s="321"/>
      <c r="C61" s="317" t="s">
        <v>1264</v>
      </c>
      <c r="D61" s="317" t="s">
        <v>1263</v>
      </c>
      <c r="E61" s="606">
        <f t="shared" ca="1" si="233"/>
        <v>0</v>
      </c>
      <c r="F61" s="606">
        <f>'Распределение по статьям'!AC567</f>
        <v>0</v>
      </c>
      <c r="G61" s="606">
        <f>G126*$F$61</f>
        <v>0</v>
      </c>
      <c r="H61" s="606">
        <f t="shared" ref="H61:BS61" ca="1" si="269">H126*$F$61</f>
        <v>0</v>
      </c>
      <c r="I61" s="606">
        <f t="shared" ca="1" si="269"/>
        <v>0</v>
      </c>
      <c r="J61" s="606">
        <f t="shared" ca="1" si="269"/>
        <v>0</v>
      </c>
      <c r="K61" s="606">
        <f t="shared" ca="1" si="269"/>
        <v>0</v>
      </c>
      <c r="L61" s="606">
        <f t="shared" ca="1" si="269"/>
        <v>0</v>
      </c>
      <c r="M61" s="606">
        <f t="shared" ca="1" si="269"/>
        <v>0</v>
      </c>
      <c r="N61" s="606">
        <f t="shared" ca="1" si="269"/>
        <v>0</v>
      </c>
      <c r="O61" s="606">
        <f t="shared" ca="1" si="269"/>
        <v>0</v>
      </c>
      <c r="P61" s="606">
        <f t="shared" ca="1" si="269"/>
        <v>0</v>
      </c>
      <c r="Q61" s="606">
        <f t="shared" ca="1" si="269"/>
        <v>0</v>
      </c>
      <c r="R61" s="606">
        <f t="shared" ca="1" si="269"/>
        <v>0</v>
      </c>
      <c r="S61" s="606">
        <f t="shared" ca="1" si="269"/>
        <v>0</v>
      </c>
      <c r="T61" s="606">
        <f t="shared" ca="1" si="269"/>
        <v>0</v>
      </c>
      <c r="U61" s="606">
        <f t="shared" ca="1" si="269"/>
        <v>0</v>
      </c>
      <c r="V61" s="606">
        <f t="shared" ca="1" si="269"/>
        <v>0</v>
      </c>
      <c r="W61" s="606">
        <f t="shared" ca="1" si="269"/>
        <v>0</v>
      </c>
      <c r="X61" s="606">
        <f t="shared" ca="1" si="269"/>
        <v>0</v>
      </c>
      <c r="Y61" s="606">
        <f t="shared" ca="1" si="269"/>
        <v>0</v>
      </c>
      <c r="Z61" s="606">
        <f t="shared" ca="1" si="269"/>
        <v>0</v>
      </c>
      <c r="AA61" s="606">
        <f t="shared" ca="1" si="269"/>
        <v>0</v>
      </c>
      <c r="AB61" s="606">
        <f t="shared" ca="1" si="269"/>
        <v>0</v>
      </c>
      <c r="AC61" s="606">
        <f t="shared" ca="1" si="269"/>
        <v>0</v>
      </c>
      <c r="AD61" s="606">
        <f t="shared" ca="1" si="269"/>
        <v>0</v>
      </c>
      <c r="AE61" s="606">
        <f t="shared" ca="1" si="269"/>
        <v>0</v>
      </c>
      <c r="AF61" s="606">
        <f t="shared" ca="1" si="269"/>
        <v>0</v>
      </c>
      <c r="AG61" s="606">
        <f t="shared" ca="1" si="269"/>
        <v>0</v>
      </c>
      <c r="AH61" s="606">
        <f t="shared" ca="1" si="269"/>
        <v>0</v>
      </c>
      <c r="AI61" s="606">
        <f t="shared" ca="1" si="269"/>
        <v>0</v>
      </c>
      <c r="AJ61" s="606">
        <f t="shared" ca="1" si="269"/>
        <v>0</v>
      </c>
      <c r="AK61" s="606">
        <f t="shared" ca="1" si="269"/>
        <v>0</v>
      </c>
      <c r="AL61" s="606">
        <f t="shared" ca="1" si="269"/>
        <v>0</v>
      </c>
      <c r="AM61" s="606">
        <f t="shared" ca="1" si="269"/>
        <v>0</v>
      </c>
      <c r="AN61" s="606">
        <f t="shared" ca="1" si="269"/>
        <v>0</v>
      </c>
      <c r="AO61" s="606">
        <f t="shared" ca="1" si="269"/>
        <v>0</v>
      </c>
      <c r="AP61" s="606">
        <f t="shared" ca="1" si="269"/>
        <v>0</v>
      </c>
      <c r="AQ61" s="606">
        <f t="shared" ca="1" si="269"/>
        <v>0</v>
      </c>
      <c r="AR61" s="606">
        <f t="shared" ca="1" si="269"/>
        <v>0</v>
      </c>
      <c r="AS61" s="606">
        <f t="shared" ca="1" si="269"/>
        <v>0</v>
      </c>
      <c r="AT61" s="606">
        <f t="shared" ca="1" si="269"/>
        <v>0</v>
      </c>
      <c r="AU61" s="606">
        <f t="shared" ca="1" si="269"/>
        <v>0</v>
      </c>
      <c r="AV61" s="606">
        <f t="shared" ca="1" si="269"/>
        <v>0</v>
      </c>
      <c r="AW61" s="606">
        <f t="shared" ca="1" si="269"/>
        <v>0</v>
      </c>
      <c r="AX61" s="606">
        <f t="shared" ca="1" si="269"/>
        <v>0</v>
      </c>
      <c r="AY61" s="606">
        <f t="shared" ca="1" si="269"/>
        <v>0</v>
      </c>
      <c r="AZ61" s="606">
        <f t="shared" ca="1" si="269"/>
        <v>0</v>
      </c>
      <c r="BA61" s="606">
        <f t="shared" ca="1" si="269"/>
        <v>0</v>
      </c>
      <c r="BB61" s="606">
        <f t="shared" ca="1" si="269"/>
        <v>0</v>
      </c>
      <c r="BC61" s="606">
        <f t="shared" ca="1" si="269"/>
        <v>0</v>
      </c>
      <c r="BD61" s="606">
        <f t="shared" ca="1" si="269"/>
        <v>0</v>
      </c>
      <c r="BE61" s="606">
        <f t="shared" ca="1" si="269"/>
        <v>0</v>
      </c>
      <c r="BF61" s="606">
        <f t="shared" ca="1" si="269"/>
        <v>0</v>
      </c>
      <c r="BG61" s="606">
        <f t="shared" ca="1" si="269"/>
        <v>0</v>
      </c>
      <c r="BH61" s="606">
        <f t="shared" ca="1" si="269"/>
        <v>0</v>
      </c>
      <c r="BI61" s="606">
        <f t="shared" ca="1" si="269"/>
        <v>0</v>
      </c>
      <c r="BJ61" s="606">
        <f t="shared" ca="1" si="269"/>
        <v>0</v>
      </c>
      <c r="BK61" s="606">
        <f t="shared" ca="1" si="269"/>
        <v>0</v>
      </c>
      <c r="BL61" s="606">
        <f t="shared" ca="1" si="269"/>
        <v>0</v>
      </c>
      <c r="BM61" s="606">
        <f t="shared" ca="1" si="269"/>
        <v>0</v>
      </c>
      <c r="BN61" s="606">
        <f t="shared" ca="1" si="269"/>
        <v>0</v>
      </c>
      <c r="BO61" s="606">
        <f t="shared" ca="1" si="269"/>
        <v>0</v>
      </c>
      <c r="BP61" s="606">
        <f t="shared" ca="1" si="269"/>
        <v>0</v>
      </c>
      <c r="BQ61" s="606">
        <f t="shared" ca="1" si="269"/>
        <v>0</v>
      </c>
      <c r="BR61" s="606">
        <f t="shared" ca="1" si="269"/>
        <v>0</v>
      </c>
      <c r="BS61" s="606">
        <f t="shared" ca="1" si="269"/>
        <v>0</v>
      </c>
      <c r="BT61" s="606">
        <f t="shared" ref="BT61:EE61" ca="1" si="270">BT126*$F$61</f>
        <v>0</v>
      </c>
      <c r="BU61" s="606">
        <f t="shared" ca="1" si="270"/>
        <v>0</v>
      </c>
      <c r="BV61" s="606">
        <f t="shared" ca="1" si="270"/>
        <v>0</v>
      </c>
      <c r="BW61" s="606">
        <f t="shared" ca="1" si="270"/>
        <v>0</v>
      </c>
      <c r="BX61" s="606">
        <f t="shared" ca="1" si="270"/>
        <v>0</v>
      </c>
      <c r="BY61" s="606">
        <f t="shared" ca="1" si="270"/>
        <v>0</v>
      </c>
      <c r="BZ61" s="606">
        <f t="shared" ca="1" si="270"/>
        <v>0</v>
      </c>
      <c r="CA61" s="606">
        <f t="shared" ca="1" si="270"/>
        <v>0</v>
      </c>
      <c r="CB61" s="606">
        <f t="shared" ca="1" si="270"/>
        <v>0</v>
      </c>
      <c r="CC61" s="606">
        <f t="shared" ca="1" si="270"/>
        <v>0</v>
      </c>
      <c r="CD61" s="606">
        <f t="shared" ca="1" si="270"/>
        <v>0</v>
      </c>
      <c r="CE61" s="606">
        <f t="shared" ca="1" si="270"/>
        <v>0</v>
      </c>
      <c r="CF61" s="606">
        <f t="shared" ca="1" si="270"/>
        <v>0</v>
      </c>
      <c r="CG61" s="606">
        <f t="shared" ca="1" si="270"/>
        <v>0</v>
      </c>
      <c r="CH61" s="606">
        <f t="shared" ca="1" si="270"/>
        <v>0</v>
      </c>
      <c r="CI61" s="606">
        <f t="shared" ca="1" si="270"/>
        <v>0</v>
      </c>
      <c r="CJ61" s="606">
        <f t="shared" ca="1" si="270"/>
        <v>0</v>
      </c>
      <c r="CK61" s="606">
        <f t="shared" ca="1" si="270"/>
        <v>0</v>
      </c>
      <c r="CL61" s="606">
        <f t="shared" ca="1" si="270"/>
        <v>0</v>
      </c>
      <c r="CM61" s="606">
        <f t="shared" ca="1" si="270"/>
        <v>0</v>
      </c>
      <c r="CN61" s="606">
        <f t="shared" ca="1" si="270"/>
        <v>0</v>
      </c>
      <c r="CO61" s="606">
        <f t="shared" ca="1" si="270"/>
        <v>0</v>
      </c>
      <c r="CP61" s="606">
        <f t="shared" ca="1" si="270"/>
        <v>0</v>
      </c>
      <c r="CQ61" s="606">
        <f t="shared" ca="1" si="270"/>
        <v>0</v>
      </c>
      <c r="CR61" s="606">
        <f t="shared" ca="1" si="270"/>
        <v>0</v>
      </c>
      <c r="CS61" s="606">
        <f t="shared" ca="1" si="270"/>
        <v>0</v>
      </c>
      <c r="CT61" s="606">
        <f t="shared" ca="1" si="270"/>
        <v>0</v>
      </c>
      <c r="CU61" s="606">
        <f t="shared" ca="1" si="270"/>
        <v>0</v>
      </c>
      <c r="CV61" s="606">
        <f t="shared" ca="1" si="270"/>
        <v>0</v>
      </c>
      <c r="CW61" s="606">
        <f t="shared" ca="1" si="270"/>
        <v>0</v>
      </c>
      <c r="CX61" s="606">
        <f t="shared" ca="1" si="270"/>
        <v>0</v>
      </c>
      <c r="CY61" s="606">
        <f t="shared" ca="1" si="270"/>
        <v>0</v>
      </c>
      <c r="CZ61" s="606">
        <f t="shared" ca="1" si="270"/>
        <v>0</v>
      </c>
      <c r="DA61" s="606">
        <f t="shared" ca="1" si="270"/>
        <v>0</v>
      </c>
      <c r="DB61" s="606">
        <f t="shared" ca="1" si="270"/>
        <v>0</v>
      </c>
      <c r="DC61" s="606">
        <f t="shared" ca="1" si="270"/>
        <v>0</v>
      </c>
      <c r="DD61" s="606">
        <f t="shared" ca="1" si="270"/>
        <v>0</v>
      </c>
      <c r="DE61" s="606">
        <f t="shared" ca="1" si="270"/>
        <v>0</v>
      </c>
      <c r="DF61" s="606">
        <f t="shared" ca="1" si="270"/>
        <v>0</v>
      </c>
      <c r="DG61" s="606">
        <f t="shared" ca="1" si="270"/>
        <v>0</v>
      </c>
      <c r="DH61" s="606">
        <f t="shared" ca="1" si="270"/>
        <v>0</v>
      </c>
      <c r="DI61" s="606">
        <f t="shared" ca="1" si="270"/>
        <v>0</v>
      </c>
      <c r="DJ61" s="606">
        <f t="shared" ca="1" si="270"/>
        <v>0</v>
      </c>
      <c r="DK61" s="606">
        <f t="shared" ca="1" si="270"/>
        <v>0</v>
      </c>
      <c r="DL61" s="606">
        <f t="shared" ca="1" si="270"/>
        <v>0</v>
      </c>
      <c r="DM61" s="606">
        <f t="shared" ca="1" si="270"/>
        <v>0</v>
      </c>
      <c r="DN61" s="606">
        <f t="shared" ca="1" si="270"/>
        <v>0</v>
      </c>
      <c r="DO61" s="606">
        <f t="shared" ca="1" si="270"/>
        <v>0</v>
      </c>
      <c r="DP61" s="606">
        <f t="shared" ca="1" si="270"/>
        <v>0</v>
      </c>
      <c r="DQ61" s="606">
        <f t="shared" ca="1" si="270"/>
        <v>0</v>
      </c>
      <c r="DR61" s="606">
        <f t="shared" ca="1" si="270"/>
        <v>0</v>
      </c>
      <c r="DS61" s="606">
        <f t="shared" ca="1" si="270"/>
        <v>0</v>
      </c>
      <c r="DT61" s="606">
        <f t="shared" ca="1" si="270"/>
        <v>0</v>
      </c>
      <c r="DU61" s="606">
        <f t="shared" ca="1" si="270"/>
        <v>0</v>
      </c>
      <c r="DV61" s="606">
        <f t="shared" ca="1" si="270"/>
        <v>0</v>
      </c>
      <c r="DW61" s="606">
        <f t="shared" ca="1" si="270"/>
        <v>0</v>
      </c>
      <c r="DX61" s="606">
        <f t="shared" ca="1" si="270"/>
        <v>0</v>
      </c>
      <c r="DY61" s="606">
        <f t="shared" ca="1" si="270"/>
        <v>0</v>
      </c>
      <c r="DZ61" s="606">
        <f t="shared" ca="1" si="270"/>
        <v>0</v>
      </c>
      <c r="EA61" s="606">
        <f t="shared" ca="1" si="270"/>
        <v>0</v>
      </c>
      <c r="EB61" s="606">
        <f t="shared" ca="1" si="270"/>
        <v>0</v>
      </c>
      <c r="EC61" s="606">
        <f t="shared" ca="1" si="270"/>
        <v>0</v>
      </c>
      <c r="ED61" s="606">
        <f t="shared" ca="1" si="270"/>
        <v>0</v>
      </c>
      <c r="EE61" s="606">
        <f t="shared" ca="1" si="270"/>
        <v>0</v>
      </c>
      <c r="EF61" s="606">
        <f t="shared" ref="EF61:EJ61" ca="1" si="271">EF126*$F$61</f>
        <v>0</v>
      </c>
      <c r="EG61" s="606">
        <f t="shared" ca="1" si="271"/>
        <v>0</v>
      </c>
      <c r="EH61" s="606">
        <f t="shared" ca="1" si="271"/>
        <v>0</v>
      </c>
      <c r="EI61" s="606">
        <f t="shared" ca="1" si="271"/>
        <v>0</v>
      </c>
      <c r="EJ61" s="606">
        <f t="shared" si="271"/>
        <v>0</v>
      </c>
    </row>
    <row r="62" spans="1:140" customFormat="1" ht="15.75" collapsed="1">
      <c r="A62" s="321"/>
      <c r="C62" s="611" t="s">
        <v>1262</v>
      </c>
      <c r="D62" s="557" t="s">
        <v>1261</v>
      </c>
    </row>
    <row r="63" spans="1:140" customFormat="1" ht="30" hidden="1" outlineLevel="1">
      <c r="A63" s="321"/>
      <c r="B63" s="308"/>
      <c r="C63" s="317" t="s">
        <v>1260</v>
      </c>
      <c r="D63" s="317" t="s">
        <v>49</v>
      </c>
      <c r="E63" s="606">
        <f ca="1">F63-SUM(G63:EJ63)</f>
        <v>0</v>
      </c>
      <c r="F63" s="606">
        <f>'Распределение по статьям'!AC570</f>
        <v>52692503.97630851</v>
      </c>
      <c r="G63" s="606">
        <f t="shared" ref="G63:AL63" si="272">G73*$F$63</f>
        <v>0</v>
      </c>
      <c r="H63" s="606">
        <f t="shared" ca="1" si="272"/>
        <v>11570236.759851823</v>
      </c>
      <c r="I63" s="606">
        <f t="shared" ca="1" si="272"/>
        <v>1370742.2405485562</v>
      </c>
      <c r="J63" s="606">
        <f t="shared" ca="1" si="272"/>
        <v>6070429.9224293204</v>
      </c>
      <c r="K63" s="606">
        <f t="shared" ca="1" si="272"/>
        <v>5874609.6023509558</v>
      </c>
      <c r="L63" s="606">
        <f t="shared" ca="1" si="272"/>
        <v>6070429.9224293204</v>
      </c>
      <c r="M63" s="606">
        <f t="shared" ca="1" si="272"/>
        <v>6070429.9224293204</v>
      </c>
      <c r="N63" s="606">
        <f t="shared" ca="1" si="272"/>
        <v>5874609.6023509558</v>
      </c>
      <c r="O63" s="606">
        <f t="shared" ca="1" si="272"/>
        <v>6070429.9224293204</v>
      </c>
      <c r="P63" s="606">
        <f t="shared" ca="1" si="272"/>
        <v>3720586.0814889381</v>
      </c>
      <c r="Q63" s="606">
        <f t="shared" ca="1" si="272"/>
        <v>0</v>
      </c>
      <c r="R63" s="606">
        <f t="shared" ca="1" si="272"/>
        <v>0</v>
      </c>
      <c r="S63" s="606">
        <f t="shared" ca="1" si="272"/>
        <v>0</v>
      </c>
      <c r="T63" s="606">
        <f t="shared" ca="1" si="272"/>
        <v>0</v>
      </c>
      <c r="U63" s="606">
        <f t="shared" ca="1" si="272"/>
        <v>0</v>
      </c>
      <c r="V63" s="606">
        <f t="shared" ca="1" si="272"/>
        <v>0</v>
      </c>
      <c r="W63" s="606">
        <f t="shared" ca="1" si="272"/>
        <v>0</v>
      </c>
      <c r="X63" s="606">
        <f t="shared" ca="1" si="272"/>
        <v>0</v>
      </c>
      <c r="Y63" s="606">
        <f t="shared" ca="1" si="272"/>
        <v>0</v>
      </c>
      <c r="Z63" s="606">
        <f t="shared" ca="1" si="272"/>
        <v>0</v>
      </c>
      <c r="AA63" s="606">
        <f t="shared" ca="1" si="272"/>
        <v>0</v>
      </c>
      <c r="AB63" s="606">
        <f t="shared" ca="1" si="272"/>
        <v>0</v>
      </c>
      <c r="AC63" s="606">
        <f t="shared" ca="1" si="272"/>
        <v>0</v>
      </c>
      <c r="AD63" s="606">
        <f t="shared" ca="1" si="272"/>
        <v>0</v>
      </c>
      <c r="AE63" s="606">
        <f t="shared" ca="1" si="272"/>
        <v>0</v>
      </c>
      <c r="AF63" s="606">
        <f t="shared" ca="1" si="272"/>
        <v>0</v>
      </c>
      <c r="AG63" s="606">
        <f t="shared" ca="1" si="272"/>
        <v>0</v>
      </c>
      <c r="AH63" s="606">
        <f t="shared" ca="1" si="272"/>
        <v>0</v>
      </c>
      <c r="AI63" s="606">
        <f t="shared" ca="1" si="272"/>
        <v>0</v>
      </c>
      <c r="AJ63" s="606">
        <f t="shared" ca="1" si="272"/>
        <v>0</v>
      </c>
      <c r="AK63" s="606">
        <f t="shared" ca="1" si="272"/>
        <v>0</v>
      </c>
      <c r="AL63" s="606">
        <f t="shared" ca="1" si="272"/>
        <v>0</v>
      </c>
      <c r="AM63" s="606">
        <f t="shared" ref="AM63:BR63" ca="1" si="273">AM73*$F$63</f>
        <v>0</v>
      </c>
      <c r="AN63" s="606">
        <f t="shared" ca="1" si="273"/>
        <v>0</v>
      </c>
      <c r="AO63" s="606">
        <f t="shared" ca="1" si="273"/>
        <v>0</v>
      </c>
      <c r="AP63" s="606">
        <f t="shared" ca="1" si="273"/>
        <v>0</v>
      </c>
      <c r="AQ63" s="606">
        <f t="shared" ca="1" si="273"/>
        <v>0</v>
      </c>
      <c r="AR63" s="606">
        <f t="shared" ca="1" si="273"/>
        <v>0</v>
      </c>
      <c r="AS63" s="606">
        <f t="shared" ca="1" si="273"/>
        <v>0</v>
      </c>
      <c r="AT63" s="606">
        <f t="shared" ca="1" si="273"/>
        <v>0</v>
      </c>
      <c r="AU63" s="606">
        <f t="shared" ca="1" si="273"/>
        <v>0</v>
      </c>
      <c r="AV63" s="606">
        <f t="shared" ca="1" si="273"/>
        <v>0</v>
      </c>
      <c r="AW63" s="606">
        <f t="shared" ca="1" si="273"/>
        <v>0</v>
      </c>
      <c r="AX63" s="606">
        <f t="shared" ca="1" si="273"/>
        <v>0</v>
      </c>
      <c r="AY63" s="606">
        <f t="shared" ca="1" si="273"/>
        <v>0</v>
      </c>
      <c r="AZ63" s="606">
        <f t="shared" ca="1" si="273"/>
        <v>0</v>
      </c>
      <c r="BA63" s="606">
        <f t="shared" ca="1" si="273"/>
        <v>0</v>
      </c>
      <c r="BB63" s="606">
        <f t="shared" ca="1" si="273"/>
        <v>0</v>
      </c>
      <c r="BC63" s="606">
        <f t="shared" ca="1" si="273"/>
        <v>0</v>
      </c>
      <c r="BD63" s="606">
        <f t="shared" ca="1" si="273"/>
        <v>0</v>
      </c>
      <c r="BE63" s="606">
        <f t="shared" ca="1" si="273"/>
        <v>0</v>
      </c>
      <c r="BF63" s="606">
        <f t="shared" ca="1" si="273"/>
        <v>0</v>
      </c>
      <c r="BG63" s="606">
        <f t="shared" ca="1" si="273"/>
        <v>0</v>
      </c>
      <c r="BH63" s="606">
        <f t="shared" ca="1" si="273"/>
        <v>0</v>
      </c>
      <c r="BI63" s="606">
        <f t="shared" ca="1" si="273"/>
        <v>0</v>
      </c>
      <c r="BJ63" s="606">
        <f t="shared" ca="1" si="273"/>
        <v>0</v>
      </c>
      <c r="BK63" s="606">
        <f t="shared" ca="1" si="273"/>
        <v>0</v>
      </c>
      <c r="BL63" s="606">
        <f t="shared" ca="1" si="273"/>
        <v>0</v>
      </c>
      <c r="BM63" s="606">
        <f t="shared" ca="1" si="273"/>
        <v>0</v>
      </c>
      <c r="BN63" s="606">
        <f t="shared" ca="1" si="273"/>
        <v>0</v>
      </c>
      <c r="BO63" s="606">
        <f t="shared" ca="1" si="273"/>
        <v>0</v>
      </c>
      <c r="BP63" s="606">
        <f t="shared" ca="1" si="273"/>
        <v>0</v>
      </c>
      <c r="BQ63" s="606">
        <f t="shared" ca="1" si="273"/>
        <v>0</v>
      </c>
      <c r="BR63" s="606">
        <f t="shared" ca="1" si="273"/>
        <v>0</v>
      </c>
      <c r="BS63" s="606">
        <f t="shared" ref="BS63:CX63" ca="1" si="274">BS73*$F$63</f>
        <v>0</v>
      </c>
      <c r="BT63" s="606">
        <f t="shared" ca="1" si="274"/>
        <v>0</v>
      </c>
      <c r="BU63" s="606">
        <f t="shared" ca="1" si="274"/>
        <v>0</v>
      </c>
      <c r="BV63" s="606">
        <f t="shared" ca="1" si="274"/>
        <v>0</v>
      </c>
      <c r="BW63" s="606">
        <f t="shared" ca="1" si="274"/>
        <v>0</v>
      </c>
      <c r="BX63" s="606">
        <f t="shared" ca="1" si="274"/>
        <v>0</v>
      </c>
      <c r="BY63" s="606">
        <f t="shared" ca="1" si="274"/>
        <v>0</v>
      </c>
      <c r="BZ63" s="606">
        <f t="shared" ca="1" si="274"/>
        <v>0</v>
      </c>
      <c r="CA63" s="606">
        <f t="shared" ca="1" si="274"/>
        <v>0</v>
      </c>
      <c r="CB63" s="606">
        <f t="shared" ca="1" si="274"/>
        <v>0</v>
      </c>
      <c r="CC63" s="606">
        <f t="shared" ca="1" si="274"/>
        <v>0</v>
      </c>
      <c r="CD63" s="606">
        <f t="shared" ca="1" si="274"/>
        <v>0</v>
      </c>
      <c r="CE63" s="606">
        <f t="shared" ca="1" si="274"/>
        <v>0</v>
      </c>
      <c r="CF63" s="606">
        <f t="shared" ca="1" si="274"/>
        <v>0</v>
      </c>
      <c r="CG63" s="606">
        <f t="shared" ca="1" si="274"/>
        <v>0</v>
      </c>
      <c r="CH63" s="606">
        <f t="shared" ca="1" si="274"/>
        <v>0</v>
      </c>
      <c r="CI63" s="606">
        <f t="shared" ca="1" si="274"/>
        <v>0</v>
      </c>
      <c r="CJ63" s="606">
        <f t="shared" ca="1" si="274"/>
        <v>0</v>
      </c>
      <c r="CK63" s="606">
        <f t="shared" ca="1" si="274"/>
        <v>0</v>
      </c>
      <c r="CL63" s="606">
        <f t="shared" ca="1" si="274"/>
        <v>0</v>
      </c>
      <c r="CM63" s="606">
        <f t="shared" ca="1" si="274"/>
        <v>0</v>
      </c>
      <c r="CN63" s="606">
        <f t="shared" ca="1" si="274"/>
        <v>0</v>
      </c>
      <c r="CO63" s="606">
        <f t="shared" ca="1" si="274"/>
        <v>0</v>
      </c>
      <c r="CP63" s="606">
        <f t="shared" ca="1" si="274"/>
        <v>0</v>
      </c>
      <c r="CQ63" s="606">
        <f t="shared" ca="1" si="274"/>
        <v>0</v>
      </c>
      <c r="CR63" s="606">
        <f t="shared" ca="1" si="274"/>
        <v>0</v>
      </c>
      <c r="CS63" s="606">
        <f t="shared" ca="1" si="274"/>
        <v>0</v>
      </c>
      <c r="CT63" s="606">
        <f t="shared" ca="1" si="274"/>
        <v>0</v>
      </c>
      <c r="CU63" s="606">
        <f t="shared" ca="1" si="274"/>
        <v>0</v>
      </c>
      <c r="CV63" s="606">
        <f t="shared" ca="1" si="274"/>
        <v>0</v>
      </c>
      <c r="CW63" s="606">
        <f t="shared" ca="1" si="274"/>
        <v>0</v>
      </c>
      <c r="CX63" s="606">
        <f t="shared" ca="1" si="274"/>
        <v>0</v>
      </c>
      <c r="CY63" s="606">
        <f t="shared" ref="CY63:ED63" ca="1" si="275">CY73*$F$63</f>
        <v>0</v>
      </c>
      <c r="CZ63" s="606">
        <f t="shared" ca="1" si="275"/>
        <v>0</v>
      </c>
      <c r="DA63" s="606">
        <f t="shared" ca="1" si="275"/>
        <v>0</v>
      </c>
      <c r="DB63" s="606">
        <f t="shared" ca="1" si="275"/>
        <v>0</v>
      </c>
      <c r="DC63" s="606">
        <f t="shared" ca="1" si="275"/>
        <v>0</v>
      </c>
      <c r="DD63" s="606">
        <f t="shared" ca="1" si="275"/>
        <v>0</v>
      </c>
      <c r="DE63" s="606">
        <f t="shared" ca="1" si="275"/>
        <v>0</v>
      </c>
      <c r="DF63" s="606">
        <f t="shared" ca="1" si="275"/>
        <v>0</v>
      </c>
      <c r="DG63" s="606">
        <f t="shared" ca="1" si="275"/>
        <v>0</v>
      </c>
      <c r="DH63" s="606">
        <f t="shared" ca="1" si="275"/>
        <v>0</v>
      </c>
      <c r="DI63" s="606">
        <f t="shared" ca="1" si="275"/>
        <v>0</v>
      </c>
      <c r="DJ63" s="606">
        <f t="shared" ca="1" si="275"/>
        <v>0</v>
      </c>
      <c r="DK63" s="606">
        <f t="shared" ca="1" si="275"/>
        <v>0</v>
      </c>
      <c r="DL63" s="606">
        <f t="shared" ca="1" si="275"/>
        <v>0</v>
      </c>
      <c r="DM63" s="606">
        <f t="shared" ca="1" si="275"/>
        <v>0</v>
      </c>
      <c r="DN63" s="606">
        <f t="shared" ca="1" si="275"/>
        <v>0</v>
      </c>
      <c r="DO63" s="606">
        <f t="shared" ca="1" si="275"/>
        <v>0</v>
      </c>
      <c r="DP63" s="606">
        <f t="shared" ca="1" si="275"/>
        <v>0</v>
      </c>
      <c r="DQ63" s="606">
        <f t="shared" ca="1" si="275"/>
        <v>0</v>
      </c>
      <c r="DR63" s="606">
        <f t="shared" ca="1" si="275"/>
        <v>0</v>
      </c>
      <c r="DS63" s="606">
        <f t="shared" ca="1" si="275"/>
        <v>0</v>
      </c>
      <c r="DT63" s="606">
        <f t="shared" ca="1" si="275"/>
        <v>0</v>
      </c>
      <c r="DU63" s="606">
        <f t="shared" ca="1" si="275"/>
        <v>0</v>
      </c>
      <c r="DV63" s="606">
        <f t="shared" ca="1" si="275"/>
        <v>0</v>
      </c>
      <c r="DW63" s="606">
        <f t="shared" ca="1" si="275"/>
        <v>0</v>
      </c>
      <c r="DX63" s="606">
        <f t="shared" ca="1" si="275"/>
        <v>0</v>
      </c>
      <c r="DY63" s="606">
        <f t="shared" ca="1" si="275"/>
        <v>0</v>
      </c>
      <c r="DZ63" s="606">
        <f t="shared" ca="1" si="275"/>
        <v>0</v>
      </c>
      <c r="EA63" s="606">
        <f t="shared" ca="1" si="275"/>
        <v>0</v>
      </c>
      <c r="EB63" s="606">
        <f t="shared" ca="1" si="275"/>
        <v>0</v>
      </c>
      <c r="EC63" s="606">
        <f t="shared" ca="1" si="275"/>
        <v>0</v>
      </c>
      <c r="ED63" s="606">
        <f t="shared" ca="1" si="275"/>
        <v>0</v>
      </c>
      <c r="EE63" s="606">
        <f t="shared" ref="EE63:EJ63" ca="1" si="276">EE73*$F$63</f>
        <v>0</v>
      </c>
      <c r="EF63" s="606">
        <f t="shared" ca="1" si="276"/>
        <v>0</v>
      </c>
      <c r="EG63" s="606">
        <f t="shared" ca="1" si="276"/>
        <v>0</v>
      </c>
      <c r="EH63" s="606">
        <f t="shared" ca="1" si="276"/>
        <v>0</v>
      </c>
      <c r="EI63" s="606">
        <f t="shared" ca="1" si="276"/>
        <v>0</v>
      </c>
      <c r="EJ63" s="606">
        <f t="shared" si="276"/>
        <v>0</v>
      </c>
    </row>
    <row r="64" spans="1:140" customFormat="1" hidden="1" outlineLevel="1">
      <c r="A64" s="321"/>
      <c r="B64" s="321"/>
      <c r="C64" s="317" t="s">
        <v>1259</v>
      </c>
      <c r="D64" s="317" t="s">
        <v>98</v>
      </c>
      <c r="E64" s="606">
        <f t="shared" ca="1" si="233"/>
        <v>0</v>
      </c>
      <c r="F64" s="606">
        <f>'Распределение по статьям'!AC572</f>
        <v>45185095.685225882</v>
      </c>
      <c r="G64" s="606">
        <f>G173*$F$64</f>
        <v>0</v>
      </c>
      <c r="H64" s="606">
        <f t="shared" ref="H64:BS64" ca="1" si="277">H173*$F$64</f>
        <v>0</v>
      </c>
      <c r="I64" s="606">
        <f t="shared" ca="1" si="277"/>
        <v>0</v>
      </c>
      <c r="J64" s="606">
        <f t="shared" ca="1" si="277"/>
        <v>0</v>
      </c>
      <c r="K64" s="606">
        <f t="shared" ca="1" si="277"/>
        <v>0</v>
      </c>
      <c r="L64" s="606">
        <f t="shared" ca="1" si="277"/>
        <v>0</v>
      </c>
      <c r="M64" s="606">
        <f t="shared" ca="1" si="277"/>
        <v>0</v>
      </c>
      <c r="N64" s="606">
        <f t="shared" ca="1" si="277"/>
        <v>0</v>
      </c>
      <c r="O64" s="606">
        <f t="shared" ca="1" si="277"/>
        <v>0</v>
      </c>
      <c r="P64" s="606">
        <f t="shared" ca="1" si="277"/>
        <v>0</v>
      </c>
      <c r="Q64" s="606">
        <f t="shared" ca="1" si="277"/>
        <v>0</v>
      </c>
      <c r="R64" s="606">
        <f t="shared" ca="1" si="277"/>
        <v>0</v>
      </c>
      <c r="S64" s="606">
        <f t="shared" ca="1" si="277"/>
        <v>0</v>
      </c>
      <c r="T64" s="606">
        <f t="shared" ca="1" si="277"/>
        <v>0</v>
      </c>
      <c r="U64" s="606">
        <f t="shared" ca="1" si="277"/>
        <v>0</v>
      </c>
      <c r="V64" s="606">
        <f t="shared" ca="1" si="277"/>
        <v>0</v>
      </c>
      <c r="W64" s="606">
        <f t="shared" ca="1" si="277"/>
        <v>0</v>
      </c>
      <c r="X64" s="606">
        <f t="shared" ca="1" si="277"/>
        <v>0</v>
      </c>
      <c r="Y64" s="606">
        <f t="shared" ca="1" si="277"/>
        <v>0</v>
      </c>
      <c r="Z64" s="606">
        <f t="shared" ca="1" si="277"/>
        <v>0</v>
      </c>
      <c r="AA64" s="606">
        <f t="shared" ca="1" si="277"/>
        <v>0</v>
      </c>
      <c r="AB64" s="606">
        <f t="shared" ca="1" si="277"/>
        <v>0</v>
      </c>
      <c r="AC64" s="606">
        <f t="shared" ca="1" si="277"/>
        <v>0</v>
      </c>
      <c r="AD64" s="606">
        <f t="shared" ca="1" si="277"/>
        <v>0</v>
      </c>
      <c r="AE64" s="606">
        <f t="shared" ca="1" si="277"/>
        <v>0</v>
      </c>
      <c r="AF64" s="606">
        <f t="shared" ca="1" si="277"/>
        <v>0</v>
      </c>
      <c r="AG64" s="606">
        <f t="shared" ca="1" si="277"/>
        <v>0</v>
      </c>
      <c r="AH64" s="606">
        <f t="shared" ca="1" si="277"/>
        <v>0</v>
      </c>
      <c r="AI64" s="606">
        <f t="shared" ca="1" si="277"/>
        <v>0</v>
      </c>
      <c r="AJ64" s="606">
        <f t="shared" ca="1" si="277"/>
        <v>0</v>
      </c>
      <c r="AK64" s="606">
        <f t="shared" ca="1" si="277"/>
        <v>0</v>
      </c>
      <c r="AL64" s="606">
        <f t="shared" ca="1" si="277"/>
        <v>0</v>
      </c>
      <c r="AM64" s="606">
        <f t="shared" ca="1" si="277"/>
        <v>0</v>
      </c>
      <c r="AN64" s="606">
        <f t="shared" ca="1" si="277"/>
        <v>0</v>
      </c>
      <c r="AO64" s="606">
        <f t="shared" ca="1" si="277"/>
        <v>0</v>
      </c>
      <c r="AP64" s="606">
        <f t="shared" ca="1" si="277"/>
        <v>0</v>
      </c>
      <c r="AQ64" s="606">
        <f t="shared" ca="1" si="277"/>
        <v>0</v>
      </c>
      <c r="AR64" s="606">
        <f t="shared" ca="1" si="277"/>
        <v>0</v>
      </c>
      <c r="AS64" s="606">
        <f t="shared" ca="1" si="277"/>
        <v>0</v>
      </c>
      <c r="AT64" s="606">
        <f t="shared" ca="1" si="277"/>
        <v>0</v>
      </c>
      <c r="AU64" s="606">
        <f t="shared" ca="1" si="277"/>
        <v>0</v>
      </c>
      <c r="AV64" s="606">
        <f t="shared" ca="1" si="277"/>
        <v>0</v>
      </c>
      <c r="AW64" s="606">
        <f t="shared" ca="1" si="277"/>
        <v>0</v>
      </c>
      <c r="AX64" s="606">
        <f t="shared" ca="1" si="277"/>
        <v>0</v>
      </c>
      <c r="AY64" s="606">
        <f t="shared" ca="1" si="277"/>
        <v>0</v>
      </c>
      <c r="AZ64" s="606">
        <f t="shared" ca="1" si="277"/>
        <v>0</v>
      </c>
      <c r="BA64" s="606">
        <f t="shared" ca="1" si="277"/>
        <v>0</v>
      </c>
      <c r="BB64" s="606">
        <f t="shared" ca="1" si="277"/>
        <v>0</v>
      </c>
      <c r="BC64" s="606">
        <f t="shared" ca="1" si="277"/>
        <v>0</v>
      </c>
      <c r="BD64" s="606">
        <f t="shared" ca="1" si="277"/>
        <v>13555528.705567764</v>
      </c>
      <c r="BE64" s="606">
        <f t="shared" ca="1" si="277"/>
        <v>0</v>
      </c>
      <c r="BF64" s="606">
        <f t="shared" ca="1" si="277"/>
        <v>14918612.425405417</v>
      </c>
      <c r="BG64" s="606">
        <f t="shared" ca="1" si="277"/>
        <v>15814783.489829058</v>
      </c>
      <c r="BH64" s="606">
        <f t="shared" ca="1" si="277"/>
        <v>896171.06442364061</v>
      </c>
      <c r="BI64" s="606">
        <f t="shared" ca="1" si="277"/>
        <v>0</v>
      </c>
      <c r="BJ64" s="606">
        <f t="shared" ca="1" si="277"/>
        <v>0</v>
      </c>
      <c r="BK64" s="606">
        <f t="shared" ca="1" si="277"/>
        <v>0</v>
      </c>
      <c r="BL64" s="606">
        <f t="shared" ca="1" si="277"/>
        <v>0</v>
      </c>
      <c r="BM64" s="606">
        <f t="shared" ca="1" si="277"/>
        <v>0</v>
      </c>
      <c r="BN64" s="606">
        <f t="shared" ca="1" si="277"/>
        <v>0</v>
      </c>
      <c r="BO64" s="606">
        <f t="shared" ca="1" si="277"/>
        <v>0</v>
      </c>
      <c r="BP64" s="606">
        <f t="shared" ca="1" si="277"/>
        <v>0</v>
      </c>
      <c r="BQ64" s="606">
        <f t="shared" ca="1" si="277"/>
        <v>0</v>
      </c>
      <c r="BR64" s="606">
        <f t="shared" ca="1" si="277"/>
        <v>0</v>
      </c>
      <c r="BS64" s="606">
        <f t="shared" ca="1" si="277"/>
        <v>0</v>
      </c>
      <c r="BT64" s="606">
        <f t="shared" ref="BT64:EE64" ca="1" si="278">BT173*$F$64</f>
        <v>0</v>
      </c>
      <c r="BU64" s="606">
        <f t="shared" ca="1" si="278"/>
        <v>0</v>
      </c>
      <c r="BV64" s="606">
        <f t="shared" ca="1" si="278"/>
        <v>0</v>
      </c>
      <c r="BW64" s="606">
        <f t="shared" ca="1" si="278"/>
        <v>0</v>
      </c>
      <c r="BX64" s="606">
        <f t="shared" ca="1" si="278"/>
        <v>0</v>
      </c>
      <c r="BY64" s="606">
        <f t="shared" ca="1" si="278"/>
        <v>0</v>
      </c>
      <c r="BZ64" s="606">
        <f t="shared" ca="1" si="278"/>
        <v>0</v>
      </c>
      <c r="CA64" s="606">
        <f t="shared" ca="1" si="278"/>
        <v>0</v>
      </c>
      <c r="CB64" s="606">
        <f t="shared" ca="1" si="278"/>
        <v>0</v>
      </c>
      <c r="CC64" s="606">
        <f t="shared" ca="1" si="278"/>
        <v>0</v>
      </c>
      <c r="CD64" s="606">
        <f t="shared" ca="1" si="278"/>
        <v>0</v>
      </c>
      <c r="CE64" s="606">
        <f t="shared" ca="1" si="278"/>
        <v>0</v>
      </c>
      <c r="CF64" s="606">
        <f t="shared" ca="1" si="278"/>
        <v>0</v>
      </c>
      <c r="CG64" s="606">
        <f t="shared" ca="1" si="278"/>
        <v>0</v>
      </c>
      <c r="CH64" s="606">
        <f t="shared" ca="1" si="278"/>
        <v>0</v>
      </c>
      <c r="CI64" s="606">
        <f t="shared" ca="1" si="278"/>
        <v>0</v>
      </c>
      <c r="CJ64" s="606">
        <f t="shared" ca="1" si="278"/>
        <v>0</v>
      </c>
      <c r="CK64" s="606">
        <f t="shared" ca="1" si="278"/>
        <v>0</v>
      </c>
      <c r="CL64" s="606">
        <f t="shared" ca="1" si="278"/>
        <v>0</v>
      </c>
      <c r="CM64" s="606">
        <f t="shared" ca="1" si="278"/>
        <v>0</v>
      </c>
      <c r="CN64" s="606">
        <f t="shared" ca="1" si="278"/>
        <v>0</v>
      </c>
      <c r="CO64" s="606">
        <f t="shared" ca="1" si="278"/>
        <v>0</v>
      </c>
      <c r="CP64" s="606">
        <f t="shared" ca="1" si="278"/>
        <v>0</v>
      </c>
      <c r="CQ64" s="606">
        <f t="shared" ca="1" si="278"/>
        <v>0</v>
      </c>
      <c r="CR64" s="606">
        <f t="shared" ca="1" si="278"/>
        <v>0</v>
      </c>
      <c r="CS64" s="606">
        <f t="shared" ca="1" si="278"/>
        <v>0</v>
      </c>
      <c r="CT64" s="606">
        <f t="shared" ca="1" si="278"/>
        <v>0</v>
      </c>
      <c r="CU64" s="606">
        <f t="shared" ca="1" si="278"/>
        <v>0</v>
      </c>
      <c r="CV64" s="606">
        <f t="shared" ca="1" si="278"/>
        <v>0</v>
      </c>
      <c r="CW64" s="606">
        <f t="shared" ca="1" si="278"/>
        <v>0</v>
      </c>
      <c r="CX64" s="606">
        <f t="shared" ca="1" si="278"/>
        <v>0</v>
      </c>
      <c r="CY64" s="606">
        <f t="shared" ca="1" si="278"/>
        <v>0</v>
      </c>
      <c r="CZ64" s="606">
        <f t="shared" ca="1" si="278"/>
        <v>0</v>
      </c>
      <c r="DA64" s="606">
        <f t="shared" ca="1" si="278"/>
        <v>0</v>
      </c>
      <c r="DB64" s="606">
        <f t="shared" ca="1" si="278"/>
        <v>0</v>
      </c>
      <c r="DC64" s="606">
        <f t="shared" ca="1" si="278"/>
        <v>0</v>
      </c>
      <c r="DD64" s="606">
        <f t="shared" ca="1" si="278"/>
        <v>0</v>
      </c>
      <c r="DE64" s="606">
        <f t="shared" ca="1" si="278"/>
        <v>0</v>
      </c>
      <c r="DF64" s="606">
        <f t="shared" ca="1" si="278"/>
        <v>0</v>
      </c>
      <c r="DG64" s="606">
        <f t="shared" ca="1" si="278"/>
        <v>0</v>
      </c>
      <c r="DH64" s="606">
        <f t="shared" ca="1" si="278"/>
        <v>0</v>
      </c>
      <c r="DI64" s="606">
        <f t="shared" ca="1" si="278"/>
        <v>0</v>
      </c>
      <c r="DJ64" s="606">
        <f t="shared" ca="1" si="278"/>
        <v>0</v>
      </c>
      <c r="DK64" s="606">
        <f t="shared" ca="1" si="278"/>
        <v>0</v>
      </c>
      <c r="DL64" s="606">
        <f t="shared" ca="1" si="278"/>
        <v>0</v>
      </c>
      <c r="DM64" s="606">
        <f t="shared" ca="1" si="278"/>
        <v>0</v>
      </c>
      <c r="DN64" s="606">
        <f t="shared" ca="1" si="278"/>
        <v>0</v>
      </c>
      <c r="DO64" s="606">
        <f t="shared" ca="1" si="278"/>
        <v>0</v>
      </c>
      <c r="DP64" s="606">
        <f t="shared" ca="1" si="278"/>
        <v>0</v>
      </c>
      <c r="DQ64" s="606">
        <f t="shared" ca="1" si="278"/>
        <v>0</v>
      </c>
      <c r="DR64" s="606">
        <f t="shared" ca="1" si="278"/>
        <v>0</v>
      </c>
      <c r="DS64" s="606">
        <f t="shared" ca="1" si="278"/>
        <v>0</v>
      </c>
      <c r="DT64" s="606">
        <f t="shared" ca="1" si="278"/>
        <v>0</v>
      </c>
      <c r="DU64" s="606">
        <f t="shared" ca="1" si="278"/>
        <v>0</v>
      </c>
      <c r="DV64" s="606">
        <f t="shared" ca="1" si="278"/>
        <v>0</v>
      </c>
      <c r="DW64" s="606">
        <f t="shared" ca="1" si="278"/>
        <v>0</v>
      </c>
      <c r="DX64" s="606">
        <f t="shared" ca="1" si="278"/>
        <v>0</v>
      </c>
      <c r="DY64" s="606">
        <f t="shared" ca="1" si="278"/>
        <v>0</v>
      </c>
      <c r="DZ64" s="606">
        <f t="shared" ca="1" si="278"/>
        <v>0</v>
      </c>
      <c r="EA64" s="606">
        <f t="shared" ca="1" si="278"/>
        <v>0</v>
      </c>
      <c r="EB64" s="606">
        <f t="shared" ca="1" si="278"/>
        <v>0</v>
      </c>
      <c r="EC64" s="606">
        <f t="shared" ca="1" si="278"/>
        <v>0</v>
      </c>
      <c r="ED64" s="606">
        <f t="shared" ca="1" si="278"/>
        <v>0</v>
      </c>
      <c r="EE64" s="606">
        <f t="shared" ca="1" si="278"/>
        <v>0</v>
      </c>
      <c r="EF64" s="606">
        <f t="shared" ref="EF64:EJ64" ca="1" si="279">EF173*$F$64</f>
        <v>0</v>
      </c>
      <c r="EG64" s="606">
        <f t="shared" ca="1" si="279"/>
        <v>0</v>
      </c>
      <c r="EH64" s="606">
        <f t="shared" ca="1" si="279"/>
        <v>0</v>
      </c>
      <c r="EI64" s="606">
        <f t="shared" ca="1" si="279"/>
        <v>0</v>
      </c>
      <c r="EJ64" s="606">
        <f t="shared" si="279"/>
        <v>0</v>
      </c>
    </row>
    <row r="65" spans="1:143" customFormat="1" hidden="1" outlineLevel="1">
      <c r="A65" s="321"/>
      <c r="B65" s="321"/>
      <c r="C65" s="317" t="s">
        <v>1250</v>
      </c>
      <c r="D65" s="317" t="s">
        <v>119</v>
      </c>
      <c r="E65" s="606">
        <f t="shared" ca="1" si="233"/>
        <v>0</v>
      </c>
      <c r="F65" s="606">
        <f>'Распределение по статьям'!AC598</f>
        <v>21547419.432851613</v>
      </c>
      <c r="G65" s="606">
        <f>G191*$F$65</f>
        <v>0</v>
      </c>
      <c r="H65" s="606">
        <f t="shared" ref="H65:BS65" ca="1" si="280">H191*$F$65</f>
        <v>0</v>
      </c>
      <c r="I65" s="606">
        <f t="shared" ca="1" si="280"/>
        <v>0</v>
      </c>
      <c r="J65" s="606">
        <f t="shared" ca="1" si="280"/>
        <v>0</v>
      </c>
      <c r="K65" s="606">
        <f t="shared" ca="1" si="280"/>
        <v>0</v>
      </c>
      <c r="L65" s="606">
        <f t="shared" ca="1" si="280"/>
        <v>0</v>
      </c>
      <c r="M65" s="606">
        <f t="shared" ca="1" si="280"/>
        <v>0</v>
      </c>
      <c r="N65" s="606">
        <f t="shared" ca="1" si="280"/>
        <v>0</v>
      </c>
      <c r="O65" s="606">
        <f t="shared" ca="1" si="280"/>
        <v>0</v>
      </c>
      <c r="P65" s="606">
        <f t="shared" ca="1" si="280"/>
        <v>0</v>
      </c>
      <c r="Q65" s="606">
        <f t="shared" ca="1" si="280"/>
        <v>6464225.829855484</v>
      </c>
      <c r="R65" s="606">
        <f t="shared" ca="1" si="280"/>
        <v>0</v>
      </c>
      <c r="S65" s="606">
        <f t="shared" ca="1" si="280"/>
        <v>2398497.1256192927</v>
      </c>
      <c r="T65" s="606">
        <f t="shared" ca="1" si="280"/>
        <v>10854512.539298998</v>
      </c>
      <c r="U65" s="606">
        <f t="shared" ca="1" si="280"/>
        <v>752812.96643525513</v>
      </c>
      <c r="V65" s="606">
        <f t="shared" ca="1" si="280"/>
        <v>538685.48582129029</v>
      </c>
      <c r="W65" s="606">
        <f t="shared" ca="1" si="280"/>
        <v>0</v>
      </c>
      <c r="X65" s="606">
        <f t="shared" ca="1" si="280"/>
        <v>0</v>
      </c>
      <c r="Y65" s="606">
        <f t="shared" ca="1" si="280"/>
        <v>0</v>
      </c>
      <c r="Z65" s="606">
        <f t="shared" ca="1" si="280"/>
        <v>0</v>
      </c>
      <c r="AA65" s="606">
        <f t="shared" ca="1" si="280"/>
        <v>0</v>
      </c>
      <c r="AB65" s="606">
        <f t="shared" ca="1" si="280"/>
        <v>0</v>
      </c>
      <c r="AC65" s="606">
        <f t="shared" ca="1" si="280"/>
        <v>0</v>
      </c>
      <c r="AD65" s="606">
        <f t="shared" ca="1" si="280"/>
        <v>0</v>
      </c>
      <c r="AE65" s="606">
        <f t="shared" ca="1" si="280"/>
        <v>0</v>
      </c>
      <c r="AF65" s="606">
        <f t="shared" ca="1" si="280"/>
        <v>0</v>
      </c>
      <c r="AG65" s="606">
        <f t="shared" ca="1" si="280"/>
        <v>0</v>
      </c>
      <c r="AH65" s="606">
        <f t="shared" ca="1" si="280"/>
        <v>0</v>
      </c>
      <c r="AI65" s="606">
        <f t="shared" ca="1" si="280"/>
        <v>0</v>
      </c>
      <c r="AJ65" s="606">
        <f t="shared" ca="1" si="280"/>
        <v>0</v>
      </c>
      <c r="AK65" s="606">
        <f t="shared" ca="1" si="280"/>
        <v>0</v>
      </c>
      <c r="AL65" s="606">
        <f t="shared" ca="1" si="280"/>
        <v>0</v>
      </c>
      <c r="AM65" s="606">
        <f t="shared" ca="1" si="280"/>
        <v>0</v>
      </c>
      <c r="AN65" s="606">
        <f t="shared" ca="1" si="280"/>
        <v>0</v>
      </c>
      <c r="AO65" s="606">
        <f t="shared" ca="1" si="280"/>
        <v>0</v>
      </c>
      <c r="AP65" s="606">
        <f t="shared" ca="1" si="280"/>
        <v>0</v>
      </c>
      <c r="AQ65" s="606">
        <f t="shared" ca="1" si="280"/>
        <v>0</v>
      </c>
      <c r="AR65" s="606">
        <f t="shared" ca="1" si="280"/>
        <v>0</v>
      </c>
      <c r="AS65" s="606">
        <f t="shared" ca="1" si="280"/>
        <v>538685.48582129029</v>
      </c>
      <c r="AT65" s="606">
        <f t="shared" ca="1" si="280"/>
        <v>0</v>
      </c>
      <c r="AU65" s="606">
        <f t="shared" ca="1" si="280"/>
        <v>0</v>
      </c>
      <c r="AV65" s="606">
        <f t="shared" ca="1" si="280"/>
        <v>0</v>
      </c>
      <c r="AW65" s="606">
        <f t="shared" ca="1" si="280"/>
        <v>0</v>
      </c>
      <c r="AX65" s="606">
        <f t="shared" ca="1" si="280"/>
        <v>0</v>
      </c>
      <c r="AY65" s="606">
        <f t="shared" ca="1" si="280"/>
        <v>0</v>
      </c>
      <c r="AZ65" s="606">
        <f t="shared" ca="1" si="280"/>
        <v>0</v>
      </c>
      <c r="BA65" s="606">
        <f t="shared" ca="1" si="280"/>
        <v>0</v>
      </c>
      <c r="BB65" s="606">
        <f t="shared" ca="1" si="280"/>
        <v>0</v>
      </c>
      <c r="BC65" s="606">
        <f t="shared" ca="1" si="280"/>
        <v>0</v>
      </c>
      <c r="BD65" s="606">
        <f t="shared" ca="1" si="280"/>
        <v>0</v>
      </c>
      <c r="BE65" s="606">
        <f t="shared" ca="1" si="280"/>
        <v>0</v>
      </c>
      <c r="BF65" s="606">
        <f t="shared" ca="1" si="280"/>
        <v>0</v>
      </c>
      <c r="BG65" s="606">
        <f t="shared" ca="1" si="280"/>
        <v>0</v>
      </c>
      <c r="BH65" s="606">
        <f t="shared" ca="1" si="280"/>
        <v>0</v>
      </c>
      <c r="BI65" s="606">
        <f t="shared" ca="1" si="280"/>
        <v>0</v>
      </c>
      <c r="BJ65" s="606">
        <f t="shared" ca="1" si="280"/>
        <v>0</v>
      </c>
      <c r="BK65" s="606">
        <f t="shared" ca="1" si="280"/>
        <v>0</v>
      </c>
      <c r="BL65" s="606">
        <f t="shared" ca="1" si="280"/>
        <v>0</v>
      </c>
      <c r="BM65" s="606">
        <f t="shared" ca="1" si="280"/>
        <v>0</v>
      </c>
      <c r="BN65" s="606">
        <f t="shared" ca="1" si="280"/>
        <v>0</v>
      </c>
      <c r="BO65" s="606">
        <f t="shared" ca="1" si="280"/>
        <v>0</v>
      </c>
      <c r="BP65" s="606">
        <f t="shared" ca="1" si="280"/>
        <v>0</v>
      </c>
      <c r="BQ65" s="606">
        <f t="shared" ca="1" si="280"/>
        <v>0</v>
      </c>
      <c r="BR65" s="606">
        <f t="shared" ca="1" si="280"/>
        <v>0</v>
      </c>
      <c r="BS65" s="606">
        <f t="shared" ca="1" si="280"/>
        <v>0</v>
      </c>
      <c r="BT65" s="606">
        <f t="shared" ref="BT65:EE65" ca="1" si="281">BT191*$F$65</f>
        <v>0</v>
      </c>
      <c r="BU65" s="606">
        <f t="shared" ca="1" si="281"/>
        <v>0</v>
      </c>
      <c r="BV65" s="606">
        <f t="shared" ca="1" si="281"/>
        <v>0</v>
      </c>
      <c r="BW65" s="606">
        <f t="shared" ca="1" si="281"/>
        <v>0</v>
      </c>
      <c r="BX65" s="606">
        <f t="shared" ca="1" si="281"/>
        <v>0</v>
      </c>
      <c r="BY65" s="606">
        <f t="shared" ca="1" si="281"/>
        <v>0</v>
      </c>
      <c r="BZ65" s="606">
        <f t="shared" ca="1" si="281"/>
        <v>0</v>
      </c>
      <c r="CA65" s="606">
        <f t="shared" ca="1" si="281"/>
        <v>0</v>
      </c>
      <c r="CB65" s="606">
        <f t="shared" ca="1" si="281"/>
        <v>0</v>
      </c>
      <c r="CC65" s="606">
        <f t="shared" ca="1" si="281"/>
        <v>0</v>
      </c>
      <c r="CD65" s="606">
        <f t="shared" ca="1" si="281"/>
        <v>0</v>
      </c>
      <c r="CE65" s="606">
        <f t="shared" ca="1" si="281"/>
        <v>0</v>
      </c>
      <c r="CF65" s="606">
        <f t="shared" ca="1" si="281"/>
        <v>0</v>
      </c>
      <c r="CG65" s="606">
        <f t="shared" ca="1" si="281"/>
        <v>0</v>
      </c>
      <c r="CH65" s="606">
        <f t="shared" ca="1" si="281"/>
        <v>0</v>
      </c>
      <c r="CI65" s="606">
        <f t="shared" ca="1" si="281"/>
        <v>0</v>
      </c>
      <c r="CJ65" s="606">
        <f t="shared" ca="1" si="281"/>
        <v>0</v>
      </c>
      <c r="CK65" s="606">
        <f t="shared" ca="1" si="281"/>
        <v>0</v>
      </c>
      <c r="CL65" s="606">
        <f t="shared" ca="1" si="281"/>
        <v>0</v>
      </c>
      <c r="CM65" s="606">
        <f t="shared" ca="1" si="281"/>
        <v>0</v>
      </c>
      <c r="CN65" s="606">
        <f t="shared" ca="1" si="281"/>
        <v>0</v>
      </c>
      <c r="CO65" s="606">
        <f t="shared" ca="1" si="281"/>
        <v>0</v>
      </c>
      <c r="CP65" s="606">
        <f t="shared" ca="1" si="281"/>
        <v>0</v>
      </c>
      <c r="CQ65" s="606">
        <f t="shared" ca="1" si="281"/>
        <v>0</v>
      </c>
      <c r="CR65" s="606">
        <f t="shared" ca="1" si="281"/>
        <v>0</v>
      </c>
      <c r="CS65" s="606">
        <f t="shared" ca="1" si="281"/>
        <v>0</v>
      </c>
      <c r="CT65" s="606">
        <f t="shared" ca="1" si="281"/>
        <v>0</v>
      </c>
      <c r="CU65" s="606">
        <f t="shared" ca="1" si="281"/>
        <v>0</v>
      </c>
      <c r="CV65" s="606">
        <f t="shared" ca="1" si="281"/>
        <v>0</v>
      </c>
      <c r="CW65" s="606">
        <f t="shared" ca="1" si="281"/>
        <v>0</v>
      </c>
      <c r="CX65" s="606">
        <f t="shared" ca="1" si="281"/>
        <v>0</v>
      </c>
      <c r="CY65" s="606">
        <f t="shared" ca="1" si="281"/>
        <v>0</v>
      </c>
      <c r="CZ65" s="606">
        <f t="shared" ca="1" si="281"/>
        <v>0</v>
      </c>
      <c r="DA65" s="606">
        <f t="shared" ca="1" si="281"/>
        <v>0</v>
      </c>
      <c r="DB65" s="606">
        <f t="shared" ca="1" si="281"/>
        <v>0</v>
      </c>
      <c r="DC65" s="606">
        <f t="shared" ca="1" si="281"/>
        <v>0</v>
      </c>
      <c r="DD65" s="606">
        <f t="shared" ca="1" si="281"/>
        <v>0</v>
      </c>
      <c r="DE65" s="606">
        <f t="shared" ca="1" si="281"/>
        <v>0</v>
      </c>
      <c r="DF65" s="606">
        <f t="shared" ca="1" si="281"/>
        <v>0</v>
      </c>
      <c r="DG65" s="606">
        <f t="shared" ca="1" si="281"/>
        <v>0</v>
      </c>
      <c r="DH65" s="606">
        <f t="shared" ca="1" si="281"/>
        <v>0</v>
      </c>
      <c r="DI65" s="606">
        <f t="shared" ca="1" si="281"/>
        <v>0</v>
      </c>
      <c r="DJ65" s="606">
        <f t="shared" ca="1" si="281"/>
        <v>0</v>
      </c>
      <c r="DK65" s="606">
        <f t="shared" ca="1" si="281"/>
        <v>0</v>
      </c>
      <c r="DL65" s="606">
        <f t="shared" ca="1" si="281"/>
        <v>0</v>
      </c>
      <c r="DM65" s="606">
        <f t="shared" ca="1" si="281"/>
        <v>0</v>
      </c>
      <c r="DN65" s="606">
        <f t="shared" ca="1" si="281"/>
        <v>0</v>
      </c>
      <c r="DO65" s="606">
        <f t="shared" ca="1" si="281"/>
        <v>0</v>
      </c>
      <c r="DP65" s="606">
        <f t="shared" ca="1" si="281"/>
        <v>0</v>
      </c>
      <c r="DQ65" s="606">
        <f t="shared" ca="1" si="281"/>
        <v>0</v>
      </c>
      <c r="DR65" s="606">
        <f t="shared" ca="1" si="281"/>
        <v>0</v>
      </c>
      <c r="DS65" s="606">
        <f t="shared" ca="1" si="281"/>
        <v>0</v>
      </c>
      <c r="DT65" s="606">
        <f t="shared" ca="1" si="281"/>
        <v>0</v>
      </c>
      <c r="DU65" s="606">
        <f t="shared" ca="1" si="281"/>
        <v>0</v>
      </c>
      <c r="DV65" s="606">
        <f t="shared" ca="1" si="281"/>
        <v>0</v>
      </c>
      <c r="DW65" s="606">
        <f t="shared" ca="1" si="281"/>
        <v>0</v>
      </c>
      <c r="DX65" s="606">
        <f t="shared" ca="1" si="281"/>
        <v>0</v>
      </c>
      <c r="DY65" s="606">
        <f t="shared" ca="1" si="281"/>
        <v>0</v>
      </c>
      <c r="DZ65" s="606">
        <f t="shared" ca="1" si="281"/>
        <v>0</v>
      </c>
      <c r="EA65" s="606">
        <f t="shared" ca="1" si="281"/>
        <v>0</v>
      </c>
      <c r="EB65" s="606">
        <f t="shared" ca="1" si="281"/>
        <v>0</v>
      </c>
      <c r="EC65" s="606">
        <f t="shared" ca="1" si="281"/>
        <v>0</v>
      </c>
      <c r="ED65" s="606">
        <f t="shared" ca="1" si="281"/>
        <v>0</v>
      </c>
      <c r="EE65" s="606">
        <f t="shared" ca="1" si="281"/>
        <v>0</v>
      </c>
      <c r="EF65" s="606">
        <f t="shared" ref="EF65:EJ65" ca="1" si="282">EF191*$F$65</f>
        <v>0</v>
      </c>
      <c r="EG65" s="606">
        <f t="shared" ca="1" si="282"/>
        <v>0</v>
      </c>
      <c r="EH65" s="606">
        <f t="shared" ca="1" si="282"/>
        <v>0</v>
      </c>
      <c r="EI65" s="606">
        <f t="shared" ca="1" si="282"/>
        <v>0</v>
      </c>
      <c r="EJ65" s="606">
        <f t="shared" si="282"/>
        <v>0</v>
      </c>
    </row>
    <row r="66" spans="1:143" collapsed="1">
      <c r="A66" s="321"/>
      <c r="B66" s="313"/>
      <c r="F66" s="321"/>
      <c r="G66" s="321"/>
      <c r="H66" s="321"/>
      <c r="I66" s="321"/>
      <c r="J66" s="321"/>
      <c r="K66" s="321"/>
      <c r="L66" s="321"/>
      <c r="M66" s="321"/>
      <c r="N66" s="321"/>
      <c r="O66" s="321"/>
      <c r="P66" s="321"/>
      <c r="Q66" s="321"/>
      <c r="R66" s="321"/>
      <c r="S66" s="321"/>
      <c r="T66" s="321"/>
      <c r="U66" s="321"/>
      <c r="V66" s="321"/>
      <c r="W66" s="321"/>
      <c r="X66" s="321"/>
      <c r="Y66" s="321"/>
      <c r="Z66" s="321"/>
      <c r="AA66" s="321"/>
      <c r="AB66" s="321"/>
      <c r="AC66" s="321"/>
      <c r="AD66" s="321"/>
      <c r="AE66" s="321"/>
      <c r="AF66" s="321"/>
      <c r="AG66" s="321"/>
      <c r="AH66" s="321"/>
      <c r="AI66" s="321"/>
      <c r="AJ66" s="321"/>
      <c r="AK66" s="321"/>
      <c r="AL66" s="321"/>
      <c r="AM66" s="321"/>
      <c r="AN66" s="321"/>
      <c r="AO66" s="321"/>
      <c r="AP66" s="321"/>
      <c r="AQ66" s="321"/>
      <c r="AR66" s="321"/>
      <c r="AS66" s="321"/>
      <c r="AT66" s="321"/>
      <c r="AU66" s="321"/>
      <c r="AV66" s="321"/>
      <c r="AW66" s="321"/>
      <c r="AX66" s="321"/>
      <c r="AY66" s="321"/>
      <c r="AZ66" s="321"/>
      <c r="BA66" s="321"/>
      <c r="BB66" s="321"/>
      <c r="BC66" s="321"/>
      <c r="BD66" s="321"/>
      <c r="BE66" s="321"/>
      <c r="BF66" s="321"/>
      <c r="BG66" s="321"/>
      <c r="BH66" s="321"/>
      <c r="BI66" s="321"/>
      <c r="BJ66" s="321"/>
      <c r="BK66" s="321"/>
      <c r="BL66" s="321"/>
      <c r="BM66" s="321"/>
      <c r="BN66" s="321"/>
      <c r="BO66" s="321"/>
      <c r="BP66" s="321"/>
      <c r="BQ66" s="321"/>
      <c r="BR66" s="321"/>
      <c r="BS66" s="321"/>
      <c r="BT66" s="321"/>
      <c r="BU66" s="321"/>
      <c r="BV66" s="321"/>
      <c r="BW66" s="321"/>
      <c r="BX66" s="321"/>
      <c r="BY66" s="321"/>
      <c r="BZ66" s="321"/>
      <c r="CA66" s="321"/>
      <c r="CB66" s="321"/>
      <c r="CC66" s="321"/>
      <c r="CD66" s="321"/>
      <c r="CE66" s="321"/>
      <c r="CF66" s="321"/>
      <c r="CG66" s="321"/>
      <c r="CH66" s="321"/>
      <c r="CI66" s="321"/>
      <c r="CJ66" s="321"/>
      <c r="CK66" s="321"/>
      <c r="CL66" s="321"/>
      <c r="CM66" s="321"/>
      <c r="CN66" s="321"/>
      <c r="CO66" s="321"/>
      <c r="CP66" s="321"/>
      <c r="CQ66" s="321"/>
      <c r="CR66" s="321"/>
      <c r="CS66" s="321"/>
      <c r="CT66" s="321"/>
      <c r="CU66" s="321"/>
      <c r="CV66" s="321"/>
      <c r="CW66" s="321"/>
      <c r="CX66" s="321"/>
      <c r="CY66" s="321"/>
      <c r="CZ66" s="321"/>
      <c r="DA66" s="321"/>
      <c r="DB66" s="321"/>
      <c r="DC66" s="321"/>
      <c r="DD66" s="321"/>
      <c r="DE66" s="321"/>
      <c r="DF66" s="321"/>
      <c r="DG66" s="321"/>
      <c r="DH66" s="321"/>
      <c r="DI66" s="321"/>
      <c r="DJ66" s="321"/>
      <c r="DK66" s="321"/>
      <c r="DL66" s="321"/>
      <c r="DM66" s="321"/>
      <c r="DN66" s="321"/>
      <c r="DO66" s="321"/>
      <c r="DP66" s="321"/>
      <c r="DQ66" s="321"/>
      <c r="DR66" s="321"/>
      <c r="DS66" s="321"/>
      <c r="DT66" s="321"/>
      <c r="DU66" s="321"/>
      <c r="DV66" s="321"/>
      <c r="DW66" s="321"/>
      <c r="DX66" s="321"/>
      <c r="DY66" s="321"/>
      <c r="DZ66" s="321"/>
      <c r="EA66" s="321"/>
      <c r="EB66" s="321"/>
      <c r="EC66" s="321"/>
      <c r="ED66" s="321"/>
      <c r="EE66" s="321"/>
      <c r="EF66" s="321"/>
      <c r="EG66" s="321"/>
      <c r="EH66" s="321"/>
      <c r="EI66" s="321"/>
      <c r="EJ66" s="321"/>
      <c r="EK66" s="321"/>
      <c r="EL66" s="321"/>
      <c r="EM66" s="321"/>
    </row>
    <row r="67" spans="1:143">
      <c r="A67" s="321"/>
      <c r="B67" s="313"/>
      <c r="D67" s="389" t="s">
        <v>373</v>
      </c>
      <c r="E67" s="309">
        <f ca="1">E8</f>
        <v>15725185.546405792</v>
      </c>
      <c r="F67" s="309">
        <f>(F8)-'Распределение по статьям'!AC5</f>
        <v>0</v>
      </c>
    </row>
    <row r="68" spans="1:143">
      <c r="A68" s="321"/>
      <c r="B68" s="313"/>
      <c r="C68" s="390" t="s">
        <v>663</v>
      </c>
      <c r="D68" s="390" t="s">
        <v>662</v>
      </c>
      <c r="F68" s="320"/>
      <c r="G68" s="320"/>
      <c r="H68" s="320"/>
      <c r="I68" s="320"/>
      <c r="J68" s="320"/>
      <c r="K68" s="320"/>
      <c r="L68" s="320"/>
      <c r="M68" s="320"/>
      <c r="N68" s="320"/>
      <c r="O68" s="320"/>
      <c r="P68" s="320"/>
      <c r="Q68" s="320"/>
      <c r="R68" s="320"/>
      <c r="S68" s="320"/>
      <c r="T68" s="320"/>
      <c r="U68" s="320"/>
      <c r="V68" s="320"/>
      <c r="W68" s="320"/>
      <c r="X68" s="320"/>
      <c r="Y68" s="320"/>
      <c r="Z68" s="320"/>
      <c r="AA68" s="320"/>
      <c r="AB68" s="320"/>
      <c r="AC68" s="320"/>
      <c r="AD68" s="320"/>
      <c r="AE68" s="320"/>
      <c r="AF68" s="320"/>
      <c r="AG68" s="320"/>
      <c r="AH68" s="320"/>
      <c r="AI68" s="320"/>
      <c r="AJ68" s="320"/>
      <c r="AK68" s="320"/>
      <c r="AL68" s="320"/>
      <c r="AM68" s="320"/>
      <c r="AN68" s="320"/>
      <c r="AO68" s="320"/>
      <c r="AP68" s="320"/>
      <c r="AQ68" s="320"/>
      <c r="AR68" s="320"/>
      <c r="AS68" s="320"/>
      <c r="AT68" s="320"/>
      <c r="AU68" s="320"/>
      <c r="AV68" s="320"/>
      <c r="AW68" s="320"/>
      <c r="AX68" s="320"/>
      <c r="AY68" s="320"/>
      <c r="AZ68" s="320"/>
      <c r="BA68" s="320"/>
      <c r="BB68" s="320"/>
      <c r="BC68" s="320"/>
      <c r="BD68" s="320"/>
      <c r="BE68" s="320"/>
      <c r="BF68" s="320"/>
      <c r="BG68" s="320"/>
      <c r="BH68" s="320"/>
      <c r="BI68" s="320"/>
      <c r="BJ68" s="320"/>
      <c r="BK68" s="320"/>
      <c r="BL68" s="320"/>
      <c r="BM68" s="320"/>
      <c r="BN68" s="320"/>
      <c r="BO68" s="320"/>
      <c r="BP68" s="320"/>
      <c r="BQ68" s="320"/>
      <c r="BR68" s="320"/>
      <c r="BS68" s="320"/>
      <c r="BT68" s="320"/>
      <c r="BU68" s="320"/>
      <c r="BV68" s="320"/>
      <c r="BW68" s="320"/>
      <c r="BX68" s="320"/>
      <c r="BY68" s="320"/>
      <c r="BZ68" s="320"/>
      <c r="CA68" s="320"/>
      <c r="CB68" s="320"/>
      <c r="CC68" s="320"/>
      <c r="CD68" s="320"/>
      <c r="CE68" s="320"/>
      <c r="CF68" s="320"/>
      <c r="CG68" s="320"/>
      <c r="CH68" s="320"/>
      <c r="CI68" s="320"/>
      <c r="CJ68" s="320"/>
      <c r="CK68" s="320"/>
      <c r="CL68" s="320"/>
      <c r="CM68" s="320"/>
      <c r="CN68" s="320"/>
      <c r="CO68" s="320"/>
      <c r="CP68" s="320"/>
      <c r="CQ68" s="320"/>
      <c r="CR68" s="320"/>
      <c r="CS68" s="320"/>
      <c r="CT68" s="320"/>
      <c r="CU68" s="320"/>
      <c r="CV68" s="320"/>
      <c r="CW68" s="320"/>
      <c r="CX68" s="320"/>
      <c r="CY68" s="320"/>
      <c r="CZ68" s="320"/>
      <c r="DA68" s="320"/>
      <c r="DB68" s="320"/>
      <c r="DC68" s="320"/>
      <c r="DD68" s="320"/>
      <c r="DE68" s="320"/>
      <c r="DF68" s="320"/>
      <c r="DG68" s="320"/>
      <c r="DH68" s="320"/>
      <c r="DI68" s="320"/>
      <c r="DJ68" s="320"/>
      <c r="DK68" s="320"/>
      <c r="DL68" s="320"/>
      <c r="DM68" s="320"/>
      <c r="DN68" s="320"/>
      <c r="DO68" s="320"/>
      <c r="DP68" s="320"/>
      <c r="DQ68" s="320"/>
      <c r="DR68" s="320"/>
      <c r="DS68" s="320"/>
      <c r="DT68" s="320"/>
      <c r="DU68" s="320"/>
      <c r="DV68" s="320"/>
      <c r="DW68" s="320"/>
      <c r="DX68" s="320"/>
      <c r="DY68" s="320"/>
      <c r="DZ68" s="320"/>
      <c r="EA68" s="320"/>
      <c r="EB68" s="320"/>
      <c r="EC68" s="320"/>
      <c r="ED68" s="320"/>
      <c r="EE68" s="320"/>
      <c r="EF68" s="320"/>
      <c r="EG68" s="320"/>
      <c r="EH68" s="320"/>
      <c r="EI68" s="320"/>
      <c r="EJ68" s="320"/>
    </row>
    <row r="69" spans="1:143" hidden="1" outlineLevel="1" collapsed="1">
      <c r="A69" s="332"/>
      <c r="B69" s="313"/>
      <c r="C69" s="315" t="s">
        <v>193</v>
      </c>
      <c r="D69" s="315" t="s">
        <v>1616</v>
      </c>
      <c r="E69" s="309">
        <f ca="1">SUM(E70:E223)</f>
        <v>1.1102230246251565E-16</v>
      </c>
      <c r="G69" s="391"/>
      <c r="H69" s="391"/>
      <c r="I69" s="391"/>
      <c r="J69" s="391"/>
      <c r="K69" s="391"/>
      <c r="L69" s="391"/>
      <c r="M69" s="391"/>
      <c r="N69" s="391"/>
      <c r="O69" s="391"/>
      <c r="P69" s="391"/>
      <c r="Q69" s="391"/>
      <c r="R69" s="391"/>
      <c r="S69" s="391"/>
      <c r="T69" s="391"/>
      <c r="U69" s="391"/>
      <c r="V69" s="391"/>
      <c r="W69" s="391"/>
      <c r="X69" s="391"/>
      <c r="Y69" s="391"/>
      <c r="Z69" s="391"/>
      <c r="AA69" s="391"/>
      <c r="AB69" s="391"/>
      <c r="AC69" s="391"/>
      <c r="AD69" s="391"/>
      <c r="AE69" s="391"/>
      <c r="AF69" s="391"/>
      <c r="AG69" s="391"/>
      <c r="AH69" s="391"/>
      <c r="AI69" s="391"/>
      <c r="AJ69" s="391"/>
      <c r="AK69" s="391"/>
      <c r="AL69" s="391"/>
      <c r="AM69" s="391"/>
      <c r="AN69" s="391"/>
      <c r="AO69" s="391"/>
      <c r="AP69" s="391"/>
      <c r="AQ69" s="391"/>
      <c r="AR69" s="391"/>
      <c r="AS69" s="391"/>
      <c r="AT69" s="391"/>
      <c r="AU69" s="391"/>
      <c r="AV69" s="391"/>
      <c r="AW69" s="391"/>
      <c r="AX69" s="391"/>
      <c r="AY69" s="391"/>
      <c r="AZ69" s="391"/>
      <c r="BA69" s="391"/>
      <c r="BB69" s="391"/>
      <c r="BC69" s="391"/>
      <c r="BD69" s="391"/>
      <c r="BE69" s="391"/>
      <c r="BF69" s="391"/>
      <c r="BG69" s="391"/>
      <c r="BH69" s="391"/>
      <c r="BI69" s="391"/>
      <c r="BJ69" s="391"/>
      <c r="BK69" s="391"/>
      <c r="BL69" s="391"/>
      <c r="BM69" s="391"/>
      <c r="BN69" s="391"/>
      <c r="BO69" s="391"/>
      <c r="BP69" s="391"/>
      <c r="BQ69" s="391"/>
      <c r="BR69" s="391"/>
      <c r="BS69" s="391"/>
      <c r="BT69" s="391"/>
      <c r="BU69" s="391"/>
      <c r="BV69" s="391"/>
      <c r="BW69" s="391"/>
      <c r="BX69" s="391"/>
      <c r="BY69" s="391"/>
      <c r="BZ69" s="391"/>
      <c r="CA69" s="391"/>
      <c r="CB69" s="391"/>
      <c r="CC69" s="391"/>
      <c r="CD69" s="391"/>
      <c r="CE69" s="391"/>
      <c r="CF69" s="391"/>
      <c r="CG69" s="391"/>
      <c r="CH69" s="391"/>
      <c r="CI69" s="391"/>
      <c r="CJ69" s="391"/>
      <c r="CK69" s="391"/>
      <c r="CL69" s="391"/>
      <c r="CM69" s="391"/>
      <c r="CN69" s="391"/>
      <c r="CO69" s="391"/>
      <c r="CP69" s="391"/>
      <c r="CQ69" s="391"/>
      <c r="CR69" s="391"/>
      <c r="CS69" s="391"/>
      <c r="CT69" s="391"/>
      <c r="CU69" s="391"/>
      <c r="CV69" s="391"/>
      <c r="CW69" s="391"/>
      <c r="CX69" s="391"/>
      <c r="CY69" s="391"/>
      <c r="CZ69" s="391"/>
      <c r="DA69" s="391"/>
      <c r="DB69" s="391"/>
      <c r="DC69" s="391"/>
      <c r="DD69" s="391"/>
      <c r="DE69" s="391"/>
      <c r="DF69" s="391"/>
      <c r="DG69" s="391"/>
      <c r="DH69" s="391"/>
      <c r="DI69" s="391"/>
      <c r="DJ69" s="391"/>
      <c r="DK69" s="391"/>
      <c r="DL69" s="391"/>
      <c r="DM69" s="391"/>
      <c r="DN69" s="391"/>
      <c r="DO69" s="391"/>
      <c r="DP69" s="391"/>
      <c r="DQ69" s="391"/>
      <c r="DR69" s="391"/>
      <c r="DS69" s="391"/>
      <c r="DT69" s="391"/>
      <c r="DU69" s="391"/>
      <c r="DV69" s="391"/>
      <c r="DW69" s="391"/>
      <c r="DX69" s="391"/>
      <c r="DY69" s="391"/>
      <c r="DZ69" s="391"/>
      <c r="EA69" s="391"/>
      <c r="EB69" s="391"/>
      <c r="EC69" s="391"/>
      <c r="ED69" s="391"/>
      <c r="EE69" s="391"/>
      <c r="EF69" s="391"/>
      <c r="EG69" s="391"/>
      <c r="EH69" s="391"/>
      <c r="EI69" s="391"/>
    </row>
    <row r="70" spans="1:143" hidden="1" outlineLevel="1" collapsed="1">
      <c r="A70" s="332"/>
      <c r="B70" s="313"/>
      <c r="C70" s="392" t="s">
        <v>47</v>
      </c>
      <c r="D70" s="392" t="s">
        <v>337</v>
      </c>
      <c r="E70" s="393">
        <f ca="1">ROUND(IF(F70=0,0,100%-F70),0)</f>
        <v>0</v>
      </c>
      <c r="F70" s="394">
        <f t="shared" ref="F70:F223" ca="1" si="283">SUM(G70:EJ70)</f>
        <v>1</v>
      </c>
      <c r="G70" s="395">
        <f ca="1">SUM(G71:G72)</f>
        <v>7.5180522425348673E-2</v>
      </c>
      <c r="H70" s="395">
        <f t="shared" ref="H70:BS70" ca="1" si="284">SUM(H71:H72)</f>
        <v>0.15927446558230107</v>
      </c>
      <c r="I70" s="395">
        <f t="shared" ca="1" si="284"/>
        <v>0.15413657959577523</v>
      </c>
      <c r="J70" s="395">
        <f t="shared" ca="1" si="284"/>
        <v>0.15927446558230107</v>
      </c>
      <c r="K70" s="395">
        <f t="shared" ca="1" si="284"/>
        <v>0.15413657959577523</v>
      </c>
      <c r="L70" s="395">
        <f t="shared" ca="1" si="284"/>
        <v>0.15927446558230107</v>
      </c>
      <c r="M70" s="395">
        <f t="shared" ca="1" si="284"/>
        <v>0.1387229216361977</v>
      </c>
      <c r="N70" s="395">
        <f t="shared" ca="1" si="284"/>
        <v>0</v>
      </c>
      <c r="O70" s="395">
        <f t="shared" ca="1" si="284"/>
        <v>0</v>
      </c>
      <c r="P70" s="395">
        <f t="shared" ca="1" si="284"/>
        <v>0</v>
      </c>
      <c r="Q70" s="395">
        <f t="shared" ca="1" si="284"/>
        <v>0</v>
      </c>
      <c r="R70" s="395">
        <f t="shared" ca="1" si="284"/>
        <v>0</v>
      </c>
      <c r="S70" s="395">
        <f t="shared" ca="1" si="284"/>
        <v>0</v>
      </c>
      <c r="T70" s="395">
        <f t="shared" ca="1" si="284"/>
        <v>0</v>
      </c>
      <c r="U70" s="395">
        <f t="shared" ca="1" si="284"/>
        <v>0</v>
      </c>
      <c r="V70" s="395">
        <f t="shared" ca="1" si="284"/>
        <v>0</v>
      </c>
      <c r="W70" s="395">
        <f t="shared" ca="1" si="284"/>
        <v>0</v>
      </c>
      <c r="X70" s="395">
        <f t="shared" ca="1" si="284"/>
        <v>0</v>
      </c>
      <c r="Y70" s="395">
        <f t="shared" ca="1" si="284"/>
        <v>0</v>
      </c>
      <c r="Z70" s="395">
        <f t="shared" ca="1" si="284"/>
        <v>0</v>
      </c>
      <c r="AA70" s="395">
        <f t="shared" ca="1" si="284"/>
        <v>0</v>
      </c>
      <c r="AB70" s="395">
        <f t="shared" ca="1" si="284"/>
        <v>0</v>
      </c>
      <c r="AC70" s="395">
        <f t="shared" ca="1" si="284"/>
        <v>0</v>
      </c>
      <c r="AD70" s="395">
        <f t="shared" ca="1" si="284"/>
        <v>0</v>
      </c>
      <c r="AE70" s="395">
        <f t="shared" ca="1" si="284"/>
        <v>0</v>
      </c>
      <c r="AF70" s="395">
        <f t="shared" ca="1" si="284"/>
        <v>0</v>
      </c>
      <c r="AG70" s="395">
        <f t="shared" ca="1" si="284"/>
        <v>0</v>
      </c>
      <c r="AH70" s="395">
        <f t="shared" ca="1" si="284"/>
        <v>0</v>
      </c>
      <c r="AI70" s="395">
        <f t="shared" ca="1" si="284"/>
        <v>0</v>
      </c>
      <c r="AJ70" s="395">
        <f t="shared" ca="1" si="284"/>
        <v>0</v>
      </c>
      <c r="AK70" s="395">
        <f t="shared" ca="1" si="284"/>
        <v>0</v>
      </c>
      <c r="AL70" s="395">
        <f t="shared" ca="1" si="284"/>
        <v>0</v>
      </c>
      <c r="AM70" s="395">
        <f t="shared" ca="1" si="284"/>
        <v>0</v>
      </c>
      <c r="AN70" s="395">
        <f t="shared" ca="1" si="284"/>
        <v>0</v>
      </c>
      <c r="AO70" s="395">
        <f t="shared" ca="1" si="284"/>
        <v>0</v>
      </c>
      <c r="AP70" s="395">
        <f t="shared" ca="1" si="284"/>
        <v>0</v>
      </c>
      <c r="AQ70" s="395">
        <f t="shared" ca="1" si="284"/>
        <v>0</v>
      </c>
      <c r="AR70" s="395">
        <f t="shared" ca="1" si="284"/>
        <v>0</v>
      </c>
      <c r="AS70" s="395">
        <f t="shared" ca="1" si="284"/>
        <v>0</v>
      </c>
      <c r="AT70" s="395">
        <f t="shared" ca="1" si="284"/>
        <v>0</v>
      </c>
      <c r="AU70" s="395">
        <f t="shared" ca="1" si="284"/>
        <v>0</v>
      </c>
      <c r="AV70" s="395">
        <f t="shared" ca="1" si="284"/>
        <v>0</v>
      </c>
      <c r="AW70" s="395">
        <f t="shared" ca="1" si="284"/>
        <v>0</v>
      </c>
      <c r="AX70" s="395">
        <f t="shared" ca="1" si="284"/>
        <v>0</v>
      </c>
      <c r="AY70" s="395">
        <f t="shared" ca="1" si="284"/>
        <v>0</v>
      </c>
      <c r="AZ70" s="395">
        <f t="shared" ca="1" si="284"/>
        <v>0</v>
      </c>
      <c r="BA70" s="395">
        <f t="shared" ca="1" si="284"/>
        <v>0</v>
      </c>
      <c r="BB70" s="395">
        <f t="shared" ca="1" si="284"/>
        <v>0</v>
      </c>
      <c r="BC70" s="395">
        <f t="shared" ca="1" si="284"/>
        <v>0</v>
      </c>
      <c r="BD70" s="395">
        <f t="shared" ca="1" si="284"/>
        <v>0</v>
      </c>
      <c r="BE70" s="395">
        <f t="shared" ca="1" si="284"/>
        <v>0</v>
      </c>
      <c r="BF70" s="395">
        <f t="shared" ca="1" si="284"/>
        <v>0</v>
      </c>
      <c r="BG70" s="395">
        <f t="shared" ca="1" si="284"/>
        <v>0</v>
      </c>
      <c r="BH70" s="395">
        <f t="shared" ca="1" si="284"/>
        <v>0</v>
      </c>
      <c r="BI70" s="395">
        <f t="shared" ca="1" si="284"/>
        <v>0</v>
      </c>
      <c r="BJ70" s="395">
        <f t="shared" ca="1" si="284"/>
        <v>0</v>
      </c>
      <c r="BK70" s="395">
        <f t="shared" ca="1" si="284"/>
        <v>0</v>
      </c>
      <c r="BL70" s="395">
        <f t="shared" ca="1" si="284"/>
        <v>0</v>
      </c>
      <c r="BM70" s="395">
        <f t="shared" ca="1" si="284"/>
        <v>0</v>
      </c>
      <c r="BN70" s="395">
        <f t="shared" ca="1" si="284"/>
        <v>0</v>
      </c>
      <c r="BO70" s="395">
        <f t="shared" ca="1" si="284"/>
        <v>0</v>
      </c>
      <c r="BP70" s="395">
        <f t="shared" ca="1" si="284"/>
        <v>0</v>
      </c>
      <c r="BQ70" s="395">
        <f t="shared" ca="1" si="284"/>
        <v>0</v>
      </c>
      <c r="BR70" s="395">
        <f t="shared" ca="1" si="284"/>
        <v>0</v>
      </c>
      <c r="BS70" s="395">
        <f t="shared" ca="1" si="284"/>
        <v>0</v>
      </c>
      <c r="BT70" s="395">
        <f t="shared" ref="BT70:EE70" ca="1" si="285">SUM(BT71:BT72)</f>
        <v>0</v>
      </c>
      <c r="BU70" s="395">
        <f t="shared" ca="1" si="285"/>
        <v>0</v>
      </c>
      <c r="BV70" s="395">
        <f t="shared" ca="1" si="285"/>
        <v>0</v>
      </c>
      <c r="BW70" s="395">
        <f t="shared" ca="1" si="285"/>
        <v>0</v>
      </c>
      <c r="BX70" s="395">
        <f t="shared" ca="1" si="285"/>
        <v>0</v>
      </c>
      <c r="BY70" s="395">
        <f t="shared" ca="1" si="285"/>
        <v>0</v>
      </c>
      <c r="BZ70" s="395">
        <f t="shared" ca="1" si="285"/>
        <v>0</v>
      </c>
      <c r="CA70" s="395">
        <f t="shared" ca="1" si="285"/>
        <v>0</v>
      </c>
      <c r="CB70" s="395">
        <f t="shared" ca="1" si="285"/>
        <v>0</v>
      </c>
      <c r="CC70" s="395">
        <f t="shared" ca="1" si="285"/>
        <v>0</v>
      </c>
      <c r="CD70" s="395">
        <f t="shared" ca="1" si="285"/>
        <v>0</v>
      </c>
      <c r="CE70" s="395">
        <f t="shared" ca="1" si="285"/>
        <v>0</v>
      </c>
      <c r="CF70" s="395">
        <f t="shared" ca="1" si="285"/>
        <v>0</v>
      </c>
      <c r="CG70" s="395">
        <f t="shared" ca="1" si="285"/>
        <v>0</v>
      </c>
      <c r="CH70" s="395">
        <f t="shared" ca="1" si="285"/>
        <v>0</v>
      </c>
      <c r="CI70" s="395">
        <f t="shared" ca="1" si="285"/>
        <v>0</v>
      </c>
      <c r="CJ70" s="395">
        <f t="shared" ca="1" si="285"/>
        <v>0</v>
      </c>
      <c r="CK70" s="395">
        <f t="shared" ca="1" si="285"/>
        <v>0</v>
      </c>
      <c r="CL70" s="395">
        <f t="shared" ca="1" si="285"/>
        <v>0</v>
      </c>
      <c r="CM70" s="395">
        <f t="shared" ca="1" si="285"/>
        <v>0</v>
      </c>
      <c r="CN70" s="395">
        <f t="shared" ca="1" si="285"/>
        <v>0</v>
      </c>
      <c r="CO70" s="395">
        <f t="shared" ca="1" si="285"/>
        <v>0</v>
      </c>
      <c r="CP70" s="395">
        <f t="shared" ca="1" si="285"/>
        <v>0</v>
      </c>
      <c r="CQ70" s="395">
        <f t="shared" ca="1" si="285"/>
        <v>0</v>
      </c>
      <c r="CR70" s="395">
        <f t="shared" ca="1" si="285"/>
        <v>0</v>
      </c>
      <c r="CS70" s="395">
        <f t="shared" ca="1" si="285"/>
        <v>0</v>
      </c>
      <c r="CT70" s="395">
        <f t="shared" ca="1" si="285"/>
        <v>0</v>
      </c>
      <c r="CU70" s="395">
        <f t="shared" ca="1" si="285"/>
        <v>0</v>
      </c>
      <c r="CV70" s="395">
        <f t="shared" ca="1" si="285"/>
        <v>0</v>
      </c>
      <c r="CW70" s="395">
        <f t="shared" ca="1" si="285"/>
        <v>0</v>
      </c>
      <c r="CX70" s="395">
        <f t="shared" ca="1" si="285"/>
        <v>0</v>
      </c>
      <c r="CY70" s="395">
        <f t="shared" ca="1" si="285"/>
        <v>0</v>
      </c>
      <c r="CZ70" s="395">
        <f t="shared" ca="1" si="285"/>
        <v>0</v>
      </c>
      <c r="DA70" s="395">
        <f t="shared" ca="1" si="285"/>
        <v>0</v>
      </c>
      <c r="DB70" s="395">
        <f t="shared" ca="1" si="285"/>
        <v>0</v>
      </c>
      <c r="DC70" s="395">
        <f t="shared" ca="1" si="285"/>
        <v>0</v>
      </c>
      <c r="DD70" s="395">
        <f t="shared" ca="1" si="285"/>
        <v>0</v>
      </c>
      <c r="DE70" s="395">
        <f t="shared" ca="1" si="285"/>
        <v>0</v>
      </c>
      <c r="DF70" s="395">
        <f t="shared" ca="1" si="285"/>
        <v>0</v>
      </c>
      <c r="DG70" s="395">
        <f t="shared" ca="1" si="285"/>
        <v>0</v>
      </c>
      <c r="DH70" s="395">
        <f t="shared" ca="1" si="285"/>
        <v>0</v>
      </c>
      <c r="DI70" s="395">
        <f t="shared" ca="1" si="285"/>
        <v>0</v>
      </c>
      <c r="DJ70" s="395">
        <f t="shared" ca="1" si="285"/>
        <v>0</v>
      </c>
      <c r="DK70" s="395">
        <f t="shared" ca="1" si="285"/>
        <v>0</v>
      </c>
      <c r="DL70" s="395">
        <f t="shared" ca="1" si="285"/>
        <v>0</v>
      </c>
      <c r="DM70" s="395">
        <f t="shared" ca="1" si="285"/>
        <v>0</v>
      </c>
      <c r="DN70" s="395">
        <f t="shared" ca="1" si="285"/>
        <v>0</v>
      </c>
      <c r="DO70" s="395">
        <f t="shared" ca="1" si="285"/>
        <v>0</v>
      </c>
      <c r="DP70" s="395">
        <f t="shared" ca="1" si="285"/>
        <v>0</v>
      </c>
      <c r="DQ70" s="395">
        <f t="shared" ca="1" si="285"/>
        <v>0</v>
      </c>
      <c r="DR70" s="395">
        <f t="shared" ca="1" si="285"/>
        <v>0</v>
      </c>
      <c r="DS70" s="395">
        <f t="shared" ca="1" si="285"/>
        <v>0</v>
      </c>
      <c r="DT70" s="395">
        <f t="shared" ca="1" si="285"/>
        <v>0</v>
      </c>
      <c r="DU70" s="395">
        <f t="shared" ca="1" si="285"/>
        <v>0</v>
      </c>
      <c r="DV70" s="395">
        <f t="shared" ca="1" si="285"/>
        <v>0</v>
      </c>
      <c r="DW70" s="395">
        <f t="shared" ca="1" si="285"/>
        <v>0</v>
      </c>
      <c r="DX70" s="395">
        <f t="shared" ca="1" si="285"/>
        <v>0</v>
      </c>
      <c r="DY70" s="395">
        <f t="shared" ca="1" si="285"/>
        <v>0</v>
      </c>
      <c r="DZ70" s="395">
        <f t="shared" ca="1" si="285"/>
        <v>0</v>
      </c>
      <c r="EA70" s="395">
        <f t="shared" ca="1" si="285"/>
        <v>0</v>
      </c>
      <c r="EB70" s="395">
        <f t="shared" ca="1" si="285"/>
        <v>0</v>
      </c>
      <c r="EC70" s="395">
        <f t="shared" ca="1" si="285"/>
        <v>0</v>
      </c>
      <c r="ED70" s="395">
        <f t="shared" ca="1" si="285"/>
        <v>0</v>
      </c>
      <c r="EE70" s="395">
        <f t="shared" ca="1" si="285"/>
        <v>0</v>
      </c>
      <c r="EF70" s="395">
        <f t="shared" ref="EF70:EI70" ca="1" si="286">SUM(EF71:EF72)</f>
        <v>0</v>
      </c>
      <c r="EG70" s="395">
        <f t="shared" ca="1" si="286"/>
        <v>0</v>
      </c>
      <c r="EH70" s="395">
        <f t="shared" ca="1" si="286"/>
        <v>0</v>
      </c>
      <c r="EI70" s="395">
        <f t="shared" ca="1" si="286"/>
        <v>0</v>
      </c>
      <c r="EJ70" s="396"/>
      <c r="EK70" s="313"/>
    </row>
    <row r="71" spans="1:143" hidden="1" outlineLevel="2">
      <c r="A71" s="332"/>
      <c r="B71" s="549">
        <f>длительность!B175</f>
        <v>7.5180522425348673E-2</v>
      </c>
      <c r="C71" s="317"/>
      <c r="D71" s="317" t="s">
        <v>664</v>
      </c>
      <c r="E71" s="318">
        <f ca="1">IF(F71=0,0,B71-F71)</f>
        <v>0</v>
      </c>
      <c r="F71" s="397">
        <f t="shared" ca="1" si="283"/>
        <v>7.5180522425348673E-2</v>
      </c>
      <c r="G71" s="395">
        <f ca="1">IF($E$228=0,0,B71)</f>
        <v>7.5180522425348673E-2</v>
      </c>
      <c r="H71" s="395">
        <f ca="1">IF(SUM($G71:G71)=$B71,0,IF(I72&gt;0%,$B71,0%))</f>
        <v>0</v>
      </c>
      <c r="I71" s="395">
        <f ca="1">IF(SUM($G71:H71)=$B71,0,IF(J72&gt;0%,$B71,0%))</f>
        <v>0</v>
      </c>
      <c r="J71" s="395">
        <f ca="1">IF(SUM($G71:I71)=$B71,0,IF(K72&gt;0%,$B71,0%))</f>
        <v>0</v>
      </c>
      <c r="K71" s="395">
        <f ca="1">IF(SUM($G71:J71)=$B71,0,IF(L72&gt;0%,$B71,0%))</f>
        <v>0</v>
      </c>
      <c r="L71" s="395">
        <f ca="1">IF(SUM($G71:K71)=$B71,0,IF(M72&gt;0%,$B71,0%))</f>
        <v>0</v>
      </c>
      <c r="M71" s="395">
        <f ca="1">IF(SUM($G71:L71)=$B71,0,IF(N72&gt;0%,$B71,0%))</f>
        <v>0</v>
      </c>
      <c r="N71" s="395">
        <f ca="1">IF(SUM($G71:M71)=$B71,0,IF(O72&gt;0%,$B71,0%))</f>
        <v>0</v>
      </c>
      <c r="O71" s="395">
        <f ca="1">IF(SUM($G71:N71)=$B71,0,IF(P72&gt;0%,$B71,0%))</f>
        <v>0</v>
      </c>
      <c r="P71" s="395">
        <f ca="1">IF(SUM($G71:O71)=$B71,0,IF(Q72&gt;0%,$B71,0%))</f>
        <v>0</v>
      </c>
      <c r="Q71" s="395">
        <f ca="1">IF(SUM($G71:P71)=$B71,0,IF(R72&gt;0%,$B71,0%))</f>
        <v>0</v>
      </c>
      <c r="R71" s="395">
        <f ca="1">IF(SUM($G71:Q71)=$B71,0,IF(S72&gt;0%,$B71,0%))</f>
        <v>0</v>
      </c>
      <c r="S71" s="395">
        <f ca="1">IF(SUM($G71:R71)=$B71,0,IF(T72&gt;0%,$B71,0%))</f>
        <v>0</v>
      </c>
      <c r="T71" s="395">
        <f ca="1">IF(SUM($G71:S71)=$B71,0,IF(U72&gt;0%,$B71,0%))</f>
        <v>0</v>
      </c>
      <c r="U71" s="395">
        <f ca="1">IF(SUM($G71:T71)=$B71,0,IF(V72&gt;0%,$B71,0%))</f>
        <v>0</v>
      </c>
      <c r="V71" s="395">
        <f ca="1">IF(SUM($G71:U71)=$B71,0,IF(W72&gt;0%,$B71,0%))</f>
        <v>0</v>
      </c>
      <c r="W71" s="395">
        <f ca="1">IF(SUM($G71:V71)=$B71,0,IF(X72&gt;0%,$B71,0%))</f>
        <v>0</v>
      </c>
      <c r="X71" s="395">
        <f ca="1">IF(SUM($G71:W71)=$B71,0,IF(Y72&gt;0%,$B71,0%))</f>
        <v>0</v>
      </c>
      <c r="Y71" s="395">
        <f ca="1">IF(SUM($G71:X71)=$B71,0,IF(Z72&gt;0%,$B71,0%))</f>
        <v>0</v>
      </c>
      <c r="Z71" s="395">
        <f ca="1">IF(SUM($G71:Y71)=$B71,0,IF(AA72&gt;0%,$B71,0%))</f>
        <v>0</v>
      </c>
      <c r="AA71" s="395">
        <f ca="1">IF(SUM($G71:Z71)=$B71,0,IF(AB72&gt;0%,$B71,0%))</f>
        <v>0</v>
      </c>
      <c r="AB71" s="395">
        <f ca="1">IF(SUM($G71:AA71)=$B71,0,IF(AC72&gt;0%,$B71,0%))</f>
        <v>0</v>
      </c>
      <c r="AC71" s="395">
        <f ca="1">IF(SUM($G71:AB71)=$B71,0,IF(AD72&gt;0%,$B71,0%))</f>
        <v>0</v>
      </c>
      <c r="AD71" s="395">
        <f ca="1">IF(SUM($G71:AC71)=$B71,0,IF(AE72&gt;0%,$B71,0%))</f>
        <v>0</v>
      </c>
      <c r="AE71" s="395">
        <f ca="1">IF(SUM($G71:AD71)=$B71,0,IF(AF72&gt;0%,$B71,0%))</f>
        <v>0</v>
      </c>
      <c r="AF71" s="395">
        <f ca="1">IF(SUM($G71:AE71)=$B71,0,IF(AG72&gt;0%,$B71,0%))</f>
        <v>0</v>
      </c>
      <c r="AG71" s="395">
        <f ca="1">IF(SUM($G71:AF71)=$B71,0,IF(AH72&gt;0%,$B71,0%))</f>
        <v>0</v>
      </c>
      <c r="AH71" s="395">
        <f ca="1">IF(SUM($G71:AG71)=$B71,0,IF(AI72&gt;0%,$B71,0%))</f>
        <v>0</v>
      </c>
      <c r="AI71" s="395">
        <f ca="1">IF(SUM($G71:AH71)=$B71,0,IF(AJ72&gt;0%,$B71,0%))</f>
        <v>0</v>
      </c>
      <c r="AJ71" s="395">
        <f ca="1">IF(SUM($G71:AI71)=$B71,0,IF(AK72&gt;0%,$B71,0%))</f>
        <v>0</v>
      </c>
      <c r="AK71" s="395">
        <f ca="1">IF(SUM($G71:AJ71)=$B71,0,IF(AL72&gt;0%,$B71,0%))</f>
        <v>0</v>
      </c>
      <c r="AL71" s="395">
        <f ca="1">IF(SUM($G71:AK71)=$B71,0,IF(AM72&gt;0%,$B71,0%))</f>
        <v>0</v>
      </c>
      <c r="AM71" s="395">
        <f ca="1">IF(SUM($G71:AL71)=$B71,0,IF(AN72&gt;0%,$B71,0%))</f>
        <v>0</v>
      </c>
      <c r="AN71" s="395">
        <f ca="1">IF(SUM($G71:AM71)=$B71,0,IF(AO72&gt;0%,$B71,0%))</f>
        <v>0</v>
      </c>
      <c r="AO71" s="395">
        <f ca="1">IF(SUM($G71:AN71)=$B71,0,IF(AP72&gt;0%,$B71,0%))</f>
        <v>0</v>
      </c>
      <c r="AP71" s="395">
        <f ca="1">IF(SUM($G71:AO71)=$B71,0,IF(AQ72&gt;0%,$B71,0%))</f>
        <v>0</v>
      </c>
      <c r="AQ71" s="395">
        <f ca="1">IF(SUM($G71:AP71)=$B71,0,IF(AR72&gt;0%,$B71,0%))</f>
        <v>0</v>
      </c>
      <c r="AR71" s="395">
        <f ca="1">IF(SUM($G71:AQ71)=$B71,0,IF(AS72&gt;0%,$B71,0%))</f>
        <v>0</v>
      </c>
      <c r="AS71" s="395">
        <f ca="1">IF(SUM($G71:AR71)=$B71,0,IF(AT72&gt;0%,$B71,0%))</f>
        <v>0</v>
      </c>
      <c r="AT71" s="395">
        <f ca="1">IF(SUM($G71:AS71)=$B71,0,IF(AU72&gt;0%,$B71,0%))</f>
        <v>0</v>
      </c>
      <c r="AU71" s="395">
        <f ca="1">IF(SUM($G71:AT71)=$B71,0,IF(AV72&gt;0%,$B71,0%))</f>
        <v>0</v>
      </c>
      <c r="AV71" s="395">
        <f ca="1">IF(SUM($G71:AU71)=$B71,0,IF(AW72&gt;0%,$B71,0%))</f>
        <v>0</v>
      </c>
      <c r="AW71" s="395">
        <f ca="1">IF(SUM($G71:AV71)=$B71,0,IF(AX72&gt;0%,$B71,0%))</f>
        <v>0</v>
      </c>
      <c r="AX71" s="395">
        <f ca="1">IF(SUM($G71:AW71)=$B71,0,IF(AY72&gt;0%,$B71,0%))</f>
        <v>0</v>
      </c>
      <c r="AY71" s="395">
        <f ca="1">IF(SUM($G71:AX71)=$B71,0,IF(AZ72&gt;0%,$B71,0%))</f>
        <v>0</v>
      </c>
      <c r="AZ71" s="395">
        <f ca="1">IF(SUM($G71:AY71)=$B71,0,IF(BA72&gt;0%,$B71,0%))</f>
        <v>0</v>
      </c>
      <c r="BA71" s="395">
        <f ca="1">IF(SUM($G71:AZ71)=$B71,0,IF(BB72&gt;0%,$B71,0%))</f>
        <v>0</v>
      </c>
      <c r="BB71" s="395">
        <f ca="1">IF(SUM($G71:BA71)=$B71,0,IF(BC72&gt;0%,$B71,0%))</f>
        <v>0</v>
      </c>
      <c r="BC71" s="395">
        <f ca="1">IF(SUM($G71:BB71)=$B71,0,IF(BD72&gt;0%,$B71,0%))</f>
        <v>0</v>
      </c>
      <c r="BD71" s="395">
        <f ca="1">IF(SUM($G71:BC71)=$B71,0,IF(BE72&gt;0%,$B71,0%))</f>
        <v>0</v>
      </c>
      <c r="BE71" s="395">
        <f ca="1">IF(SUM($G71:BD71)=$B71,0,IF(BF72&gt;0%,$B71,0%))</f>
        <v>0</v>
      </c>
      <c r="BF71" s="395">
        <f ca="1">IF(SUM($G71:BE71)=$B71,0,IF(BG72&gt;0%,$B71,0%))</f>
        <v>0</v>
      </c>
      <c r="BG71" s="395">
        <f ca="1">IF(SUM($G71:BF71)=$B71,0,IF(BH72&gt;0%,$B71,0%))</f>
        <v>0</v>
      </c>
      <c r="BH71" s="395">
        <f ca="1">IF(SUM($G71:BG71)=$B71,0,IF(BI72&gt;0%,$B71,0%))</f>
        <v>0</v>
      </c>
      <c r="BI71" s="395">
        <f ca="1">IF(SUM($G71:BH71)=$B71,0,IF(BJ72&gt;0%,$B71,0%))</f>
        <v>0</v>
      </c>
      <c r="BJ71" s="395">
        <f ca="1">IF(SUM($G71:BI71)=$B71,0,IF(BK72&gt;0%,$B71,0%))</f>
        <v>0</v>
      </c>
      <c r="BK71" s="395">
        <f ca="1">IF(SUM($G71:BJ71)=$B71,0,IF(BL72&gt;0%,$B71,0%))</f>
        <v>0</v>
      </c>
      <c r="BL71" s="395">
        <f ca="1">IF(SUM($G71:BK71)=$B71,0,IF(BM72&gt;0%,$B71,0%))</f>
        <v>0</v>
      </c>
      <c r="BM71" s="395">
        <f ca="1">IF(SUM($G71:BL71)=$B71,0,IF(BN72&gt;0%,$B71,0%))</f>
        <v>0</v>
      </c>
      <c r="BN71" s="395">
        <f ca="1">IF(SUM($G71:BM71)=$B71,0,IF(BO72&gt;0%,$B71,0%))</f>
        <v>0</v>
      </c>
      <c r="BO71" s="395">
        <f ca="1">IF(SUM($G71:BN71)=$B71,0,IF(BP72&gt;0%,$B71,0%))</f>
        <v>0</v>
      </c>
      <c r="BP71" s="395">
        <f ca="1">IF(SUM($G71:BO71)=$B71,0,IF(BQ72&gt;0%,$B71,0%))</f>
        <v>0</v>
      </c>
      <c r="BQ71" s="395">
        <f ca="1">IF(SUM($G71:BP71)=$B71,0,IF(BR72&gt;0%,$B71,0%))</f>
        <v>0</v>
      </c>
      <c r="BR71" s="395">
        <f ca="1">IF(SUM($G71:BQ71)=$B71,0,IF(BS72&gt;0%,$B71,0%))</f>
        <v>0</v>
      </c>
      <c r="BS71" s="395">
        <f ca="1">IF(SUM($G71:BR71)=$B71,0,IF(BT72&gt;0%,$B71,0%))</f>
        <v>0</v>
      </c>
      <c r="BT71" s="395">
        <f ca="1">IF(SUM($G71:BS71)=$B71,0,IF(BU72&gt;0%,$B71,0%))</f>
        <v>0</v>
      </c>
      <c r="BU71" s="395">
        <f ca="1">IF(SUM($G71:BT71)=$B71,0,IF(BV72&gt;0%,$B71,0%))</f>
        <v>0</v>
      </c>
      <c r="BV71" s="395">
        <f ca="1">IF(SUM($G71:BU71)=$B71,0,IF(BW72&gt;0%,$B71,0%))</f>
        <v>0</v>
      </c>
      <c r="BW71" s="395">
        <f ca="1">IF(SUM($G71:BV71)=$B71,0,IF(BX72&gt;0%,$B71,0%))</f>
        <v>0</v>
      </c>
      <c r="BX71" s="395">
        <f ca="1">IF(SUM($G71:BW71)=$B71,0,IF(BY72&gt;0%,$B71,0%))</f>
        <v>0</v>
      </c>
      <c r="BY71" s="395">
        <f ca="1">IF(SUM($G71:BX71)=$B71,0,IF(BZ72&gt;0%,$B71,0%))</f>
        <v>0</v>
      </c>
      <c r="BZ71" s="395">
        <f ca="1">IF(SUM($G71:BY71)=$B71,0,IF(CA72&gt;0%,$B71,0%))</f>
        <v>0</v>
      </c>
      <c r="CA71" s="395">
        <f ca="1">IF(SUM($G71:BZ71)=$B71,0,IF(CB72&gt;0%,$B71,0%))</f>
        <v>0</v>
      </c>
      <c r="CB71" s="395">
        <f ca="1">IF(SUM($G71:CA71)=$B71,0,IF(CC72&gt;0%,$B71,0%))</f>
        <v>0</v>
      </c>
      <c r="CC71" s="395">
        <f ca="1">IF(SUM($G71:CB71)=$B71,0,IF(CD72&gt;0%,$B71,0%))</f>
        <v>0</v>
      </c>
      <c r="CD71" s="395">
        <f ca="1">IF(SUM($G71:CC71)=$B71,0,IF(CE72&gt;0%,$B71,0%))</f>
        <v>0</v>
      </c>
      <c r="CE71" s="395">
        <f ca="1">IF(SUM($G71:CD71)=$B71,0,IF(CF72&gt;0%,$B71,0%))</f>
        <v>0</v>
      </c>
      <c r="CF71" s="395">
        <f ca="1">IF(SUM($G71:CE71)=$B71,0,IF(CG72&gt;0%,$B71,0%))</f>
        <v>0</v>
      </c>
      <c r="CG71" s="395">
        <f ca="1">IF(SUM($G71:CF71)=$B71,0,IF(CH72&gt;0%,$B71,0%))</f>
        <v>0</v>
      </c>
      <c r="CH71" s="395">
        <f ca="1">IF(SUM($G71:CG71)=$B71,0,IF(CI72&gt;0%,$B71,0%))</f>
        <v>0</v>
      </c>
      <c r="CI71" s="395">
        <f ca="1">IF(SUM($G71:CH71)=$B71,0,IF(CJ72&gt;0%,$B71,0%))</f>
        <v>0</v>
      </c>
      <c r="CJ71" s="395">
        <f ca="1">IF(SUM($G71:CI71)=$B71,0,IF(CK72&gt;0%,$B71,0%))</f>
        <v>0</v>
      </c>
      <c r="CK71" s="395">
        <f ca="1">IF(SUM($G71:CJ71)=$B71,0,IF(CL72&gt;0%,$B71,0%))</f>
        <v>0</v>
      </c>
      <c r="CL71" s="395">
        <f ca="1">IF(SUM($G71:CK71)=$B71,0,IF(CM72&gt;0%,$B71,0%))</f>
        <v>0</v>
      </c>
      <c r="CM71" s="395">
        <f ca="1">IF(SUM($G71:CL71)=$B71,0,IF(CN72&gt;0%,$B71,0%))</f>
        <v>0</v>
      </c>
      <c r="CN71" s="395">
        <f ca="1">IF(SUM($G71:CM71)=$B71,0,IF(CO72&gt;0%,$B71,0%))</f>
        <v>0</v>
      </c>
      <c r="CO71" s="395">
        <f ca="1">IF(SUM($G71:CN71)=$B71,0,IF(CP72&gt;0%,$B71,0%))</f>
        <v>0</v>
      </c>
      <c r="CP71" s="395">
        <f ca="1">IF(SUM($G71:CO71)=$B71,0,IF(CQ72&gt;0%,$B71,0%))</f>
        <v>0</v>
      </c>
      <c r="CQ71" s="395">
        <f ca="1">IF(SUM($G71:CP71)=$B71,0,IF(CR72&gt;0%,$B71,0%))</f>
        <v>0</v>
      </c>
      <c r="CR71" s="395">
        <f ca="1">IF(SUM($G71:CQ71)=$B71,0,IF(CS72&gt;0%,$B71,0%))</f>
        <v>0</v>
      </c>
      <c r="CS71" s="395">
        <f ca="1">IF(SUM($G71:CR71)=$B71,0,IF(CT72&gt;0%,$B71,0%))</f>
        <v>0</v>
      </c>
      <c r="CT71" s="395">
        <f ca="1">IF(SUM($G71:CS71)=$B71,0,IF(CU72&gt;0%,$B71,0%))</f>
        <v>0</v>
      </c>
      <c r="CU71" s="395">
        <f ca="1">IF(SUM($G71:CT71)=$B71,0,IF(CV72&gt;0%,$B71,0%))</f>
        <v>0</v>
      </c>
      <c r="CV71" s="395">
        <f ca="1">IF(SUM($G71:CU71)=$B71,0,IF(CW72&gt;0%,$B71,0%))</f>
        <v>0</v>
      </c>
      <c r="CW71" s="395">
        <f ca="1">IF(SUM($G71:CV71)=$B71,0,IF(CX72&gt;0%,$B71,0%))</f>
        <v>0</v>
      </c>
      <c r="CX71" s="395">
        <f ca="1">IF(SUM($G71:CW71)=$B71,0,IF(CY72&gt;0%,$B71,0%))</f>
        <v>0</v>
      </c>
      <c r="CY71" s="395">
        <f ca="1">IF(SUM($G71:CX71)=$B71,0,IF(CZ72&gt;0%,$B71,0%))</f>
        <v>0</v>
      </c>
      <c r="CZ71" s="395">
        <f ca="1">IF(SUM($G71:CY71)=$B71,0,IF(DA72&gt;0%,$B71,0%))</f>
        <v>0</v>
      </c>
      <c r="DA71" s="395">
        <f ca="1">IF(SUM($G71:CZ71)=$B71,0,IF(DB72&gt;0%,$B71,0%))</f>
        <v>0</v>
      </c>
      <c r="DB71" s="395">
        <f ca="1">IF(SUM($G71:DA71)=$B71,0,IF(DC72&gt;0%,$B71,0%))</f>
        <v>0</v>
      </c>
      <c r="DC71" s="395">
        <f ca="1">IF(SUM($G71:DB71)=$B71,0,IF(DD72&gt;0%,$B71,0%))</f>
        <v>0</v>
      </c>
      <c r="DD71" s="395">
        <f ca="1">IF(SUM($G71:DC71)=$B71,0,IF(DE72&gt;0%,$B71,0%))</f>
        <v>0</v>
      </c>
      <c r="DE71" s="395">
        <f ca="1">IF(SUM($G71:DD71)=$B71,0,IF(DF72&gt;0%,$B71,0%))</f>
        <v>0</v>
      </c>
      <c r="DF71" s="395">
        <f ca="1">IF(SUM($G71:DE71)=$B71,0,IF(DG72&gt;0%,$B71,0%))</f>
        <v>0</v>
      </c>
      <c r="DG71" s="395">
        <f ca="1">IF(SUM($G71:DF71)=$B71,0,IF(DH72&gt;0%,$B71,0%))</f>
        <v>0</v>
      </c>
      <c r="DH71" s="395">
        <f ca="1">IF(SUM($G71:DG71)=$B71,0,IF(DI72&gt;0%,$B71,0%))</f>
        <v>0</v>
      </c>
      <c r="DI71" s="395">
        <f ca="1">IF(SUM($G71:DH71)=$B71,0,IF(DJ72&gt;0%,$B71,0%))</f>
        <v>0</v>
      </c>
      <c r="DJ71" s="395">
        <f ca="1">IF(SUM($G71:DI71)=$B71,0,IF(DK72&gt;0%,$B71,0%))</f>
        <v>0</v>
      </c>
      <c r="DK71" s="395">
        <f ca="1">IF(SUM($G71:DJ71)=$B71,0,IF(DL72&gt;0%,$B71,0%))</f>
        <v>0</v>
      </c>
      <c r="DL71" s="395">
        <f ca="1">IF(SUM($G71:DK71)=$B71,0,IF(DM72&gt;0%,$B71,0%))</f>
        <v>0</v>
      </c>
      <c r="DM71" s="395">
        <f ca="1">IF(SUM($G71:DL71)=$B71,0,IF(DN72&gt;0%,$B71,0%))</f>
        <v>0</v>
      </c>
      <c r="DN71" s="395">
        <f ca="1">IF(SUM($G71:DM71)=$B71,0,IF(DO72&gt;0%,$B71,0%))</f>
        <v>0</v>
      </c>
      <c r="DO71" s="395">
        <f ca="1">IF(SUM($G71:DN71)=$B71,0,IF(DP72&gt;0%,$B71,0%))</f>
        <v>0</v>
      </c>
      <c r="DP71" s="395">
        <f ca="1">IF(SUM($G71:DO71)=$B71,0,IF(DQ72&gt;0%,$B71,0%))</f>
        <v>0</v>
      </c>
      <c r="DQ71" s="395">
        <f ca="1">IF(SUM($G71:DP71)=$B71,0,IF(DR72&gt;0%,$B71,0%))</f>
        <v>0</v>
      </c>
      <c r="DR71" s="395">
        <f ca="1">IF(SUM($G71:DQ71)=$B71,0,IF(DS72&gt;0%,$B71,0%))</f>
        <v>0</v>
      </c>
      <c r="DS71" s="395">
        <f ca="1">IF(SUM($G71:DR71)=$B71,0,IF(DT72&gt;0%,$B71,0%))</f>
        <v>0</v>
      </c>
      <c r="DT71" s="395">
        <f ca="1">IF(SUM($G71:DS71)=$B71,0,IF(DU72&gt;0%,$B71,0%))</f>
        <v>0</v>
      </c>
      <c r="DU71" s="395">
        <f ca="1">IF(SUM($G71:DT71)=$B71,0,IF(DV72&gt;0%,$B71,0%))</f>
        <v>0</v>
      </c>
      <c r="DV71" s="395">
        <f ca="1">IF(SUM($G71:DU71)=$B71,0,IF(DW72&gt;0%,$B71,0%))</f>
        <v>0</v>
      </c>
      <c r="DW71" s="395">
        <f ca="1">IF(SUM($G71:DV71)=$B71,0,IF(DX72&gt;0%,$B71,0%))</f>
        <v>0</v>
      </c>
      <c r="DX71" s="395">
        <f ca="1">IF(SUM($G71:DW71)=$B71,0,IF(DY72&gt;0%,$B71,0%))</f>
        <v>0</v>
      </c>
      <c r="DY71" s="395">
        <f ca="1">IF(SUM($G71:DX71)=$B71,0,IF(DZ72&gt;0%,$B71,0%))</f>
        <v>0</v>
      </c>
      <c r="DZ71" s="395">
        <f ca="1">IF(SUM($G71:DY71)=$B71,0,IF(EA72&gt;0%,$B71,0%))</f>
        <v>0</v>
      </c>
      <c r="EA71" s="395">
        <f ca="1">IF(SUM($G71:DZ71)=$B71,0,IF(EB72&gt;0%,$B71,0%))</f>
        <v>0</v>
      </c>
      <c r="EB71" s="395">
        <f ca="1">IF(SUM($G71:EA71)=$B71,0,IF(EC72&gt;0%,$B71,0%))</f>
        <v>0</v>
      </c>
      <c r="EC71" s="395">
        <f ca="1">IF(SUM($G71:EB71)=$B71,0,IF(ED72&gt;0%,$B71,0%))</f>
        <v>0</v>
      </c>
      <c r="ED71" s="395">
        <f ca="1">IF(SUM($G71:EC71)=$B71,0,IF(EE72&gt;0%,$B71,0%))</f>
        <v>0</v>
      </c>
      <c r="EE71" s="395">
        <f ca="1">IF(SUM($G71:ED71)=$B71,0,IF(EF72&gt;0%,$B71,0%))</f>
        <v>0</v>
      </c>
      <c r="EF71" s="395">
        <f ca="1">IF(SUM($G71:EE71)=$B71,0,IF(EG72&gt;0%,$B71,0%))</f>
        <v>0</v>
      </c>
      <c r="EG71" s="395">
        <f ca="1">IF(SUM($G71:EF71)=$B71,0,IF(EH72&gt;0%,$B71,0%))</f>
        <v>0</v>
      </c>
      <c r="EH71" s="395">
        <f ca="1">IF(SUM($G71:EG71)=$B71,0,IF(EI72&gt;0%,$B71,0%))</f>
        <v>0</v>
      </c>
      <c r="EI71" s="395">
        <f ca="1">IF(SUM($G71:EH71)=$B71,0,IF(EJ72&gt;0%,$B71,0%))</f>
        <v>0</v>
      </c>
      <c r="EJ71" s="398"/>
      <c r="EK71" s="313"/>
    </row>
    <row r="72" spans="1:143" hidden="1" outlineLevel="2">
      <c r="A72" s="332"/>
      <c r="B72" s="549">
        <f>длительность!C175</f>
        <v>0.92481947757465133</v>
      </c>
      <c r="C72" s="317"/>
      <c r="D72" s="317" t="s">
        <v>663</v>
      </c>
      <c r="E72" s="318">
        <f ca="1">ROUND(IF(F72=0,0,B72-F72),3)</f>
        <v>0</v>
      </c>
      <c r="F72" s="397">
        <f t="shared" ca="1" si="283"/>
        <v>0.92481947757465133</v>
      </c>
      <c r="G72" s="395"/>
      <c r="H72" s="395">
        <f ca="1">IF($E$228=0,0,IF(SUM($G72:G72)=$B72,0,IF(SUM($G228:G228)&gt;=$E228,($B72/$E228)*($E228-SUM(F228:$G228)),($B72/$E228)*G228)))</f>
        <v>0.15927446558230107</v>
      </c>
      <c r="I72" s="395">
        <f ca="1">IF($E$228=0,0,IF(SUM($G72:H72)=$B72,0,IF(SUM($G228:H228)&gt;=$E228,($B72/$E228)*($E228-SUM(G228:$G228)),($B72/$E228)*H228)))</f>
        <v>0.15413657959577523</v>
      </c>
      <c r="J72" s="395">
        <f ca="1">IF($E$228=0,0,IF(SUM($G72:I72)=$B72,0,IF(SUM($G228:I228)&gt;=$E228,($B72/$E228)*($E228-SUM($G228:H228)),($B72/$E228)*I228)))</f>
        <v>0.15927446558230107</v>
      </c>
      <c r="K72" s="395">
        <f ca="1">IF($E$228=0,0,IF(SUM($G72:J72)=$B72,0,IF(SUM($G228:J228)&gt;=$E228,($B72/$E228)*($E228-SUM($G228:I228)),($B72/$E228)*J228)))</f>
        <v>0.15413657959577523</v>
      </c>
      <c r="L72" s="395">
        <f ca="1">IF($E$228=0,0,IF(SUM($G72:K72)=$B72,0,IF(SUM($G228:K228)&gt;=$E228,($B72/$E228)*($E228-SUM($G228:J228)),($B72/$E228)*K228)))</f>
        <v>0.15927446558230107</v>
      </c>
      <c r="M72" s="395">
        <f ca="1">IF($E$228=0,0,IF(SUM($G72:L72)=$B72,0,IF(SUM($G228:L228)&gt;=$E228,($B72/$E228)*($E228-SUM($G228:K228)),($B72/$E228)*L228)))</f>
        <v>0.1387229216361977</v>
      </c>
      <c r="N72" s="395">
        <f ca="1">IF($E$228=0,0,IF(SUM($G72:M72)=$B72,0,IF(SUM($G228:M228)&gt;=$E228,($B72/$E228)*($E228-SUM($G228:L228)),($B72/$E228)*M228)))</f>
        <v>0</v>
      </c>
      <c r="O72" s="395">
        <f ca="1">IF($E$228=0,0,IF(SUM($G72:N72)=$B72,0,IF(SUM($G228:N228)&gt;=$E228,($B72/$E228)*($E228-SUM($G228:M228)),($B72/$E228)*N228)))</f>
        <v>0</v>
      </c>
      <c r="P72" s="395">
        <f ca="1">IF($E$228=0,0,IF(SUM($G72:O72)=$B72,0,IF(SUM($G228:O228)&gt;=$E228,($B72/$E228)*($E228-SUM($G228:N228)),($B72/$E228)*O228)))</f>
        <v>0</v>
      </c>
      <c r="Q72" s="395">
        <f ca="1">IF($E$228=0,0,IF(SUM($G72:P72)=$B72,0,IF(SUM($G228:P228)&gt;=$E228,($B72/$E228)*($E228-SUM($G228:O228)),($B72/$E228)*P228)))</f>
        <v>0</v>
      </c>
      <c r="R72" s="395">
        <f ca="1">IF($E$228=0,0,IF(SUM($G72:Q72)=$B72,0,IF(SUM($G228:Q228)&gt;=$E228,($B72/$E228)*($E228-SUM($G228:P228)),($B72/$E228)*Q228)))</f>
        <v>0</v>
      </c>
      <c r="S72" s="395">
        <f ca="1">IF($E$228=0,0,IF(SUM($G72:R72)=$B72,0,IF(SUM($G228:R228)&gt;=$E228,($B72/$E228)*($E228-SUM($G228:Q228)),($B72/$E228)*R228)))</f>
        <v>0</v>
      </c>
      <c r="T72" s="395">
        <f ca="1">IF($E$228=0,0,IF(SUM($G72:S72)=$B72,0,IF(SUM($G228:S228)&gt;=$E228,($B72/$E228)*($E228-SUM($G228:R228)),($B72/$E228)*S228)))</f>
        <v>0</v>
      </c>
      <c r="U72" s="395">
        <f ca="1">IF($E$228=0,0,IF(SUM($G72:T72)=$B72,0,IF(SUM($G228:T228)&gt;=$E228,($B72/$E228)*($E228-SUM($G228:S228)),($B72/$E228)*T228)))</f>
        <v>0</v>
      </c>
      <c r="V72" s="395">
        <f ca="1">IF($E$228=0,0,IF(SUM($G72:U72)=$B72,0,IF(SUM($G228:U228)&gt;=$E228,($B72/$E228)*($E228-SUM($G228:T228)),($B72/$E228)*U228)))</f>
        <v>0</v>
      </c>
      <c r="W72" s="395">
        <f ca="1">IF($E$228=0,0,IF(SUM($G72:V72)=$B72,0,IF(SUM($G228:V228)&gt;=$E228,($B72/$E228)*($E228-SUM($G228:U228)),($B72/$E228)*V228)))</f>
        <v>0</v>
      </c>
      <c r="X72" s="395">
        <f ca="1">IF($E$228=0,0,IF(SUM($G72:W72)=$B72,0,IF(SUM($G228:W228)&gt;=$E228,($B72/$E228)*($E228-SUM($G228:V228)),($B72/$E228)*W228)))</f>
        <v>0</v>
      </c>
      <c r="Y72" s="395">
        <f ca="1">IF($E$228=0,0,IF(SUM($G72:X72)=$B72,0,IF(SUM($G228:X228)&gt;=$E228,($B72/$E228)*($E228-SUM($G228:W228)),($B72/$E228)*X228)))</f>
        <v>0</v>
      </c>
      <c r="Z72" s="395">
        <f ca="1">IF($E$228=0,0,IF(SUM($G72:Y72)=$B72,0,IF(SUM($G228:Y228)&gt;=$E228,($B72/$E228)*($E228-SUM($G228:X228)),($B72/$E228)*Y228)))</f>
        <v>0</v>
      </c>
      <c r="AA72" s="395">
        <f ca="1">IF($E$228=0,0,IF(SUM($G72:Z72)=$B72,0,IF(SUM($G228:Z228)&gt;=$E228,($B72/$E228)*($E228-SUM($G228:Y228)),($B72/$E228)*Z228)))</f>
        <v>0</v>
      </c>
      <c r="AB72" s="395">
        <f ca="1">IF($E$228=0,0,IF(SUM($G72:AA72)=$B72,0,IF(SUM($G228:AA228)&gt;=$E228,($B72/$E228)*($E228-SUM($G228:Z228)),($B72/$E228)*AA228)))</f>
        <v>0</v>
      </c>
      <c r="AC72" s="395">
        <f ca="1">IF($E$228=0,0,IF(SUM($G72:AB72)=$B72,0,IF(SUM($G228:AB228)&gt;=$E228,($B72/$E228)*($E228-SUM($G228:AA228)),($B72/$E228)*AB228)))</f>
        <v>0</v>
      </c>
      <c r="AD72" s="395">
        <f ca="1">IF($E$228=0,0,IF(SUM($G72:AC72)=$B72,0,IF(SUM($G228:AC228)&gt;=$E228,($B72/$E228)*($E228-SUM($G228:AB228)),($B72/$E228)*AC228)))</f>
        <v>0</v>
      </c>
      <c r="AE72" s="395">
        <f ca="1">IF($E$228=0,0,IF(SUM($G72:AD72)=$B72,0,IF(SUM($G228:AD228)&gt;=$E228,($B72/$E228)*($E228-SUM($G228:AC228)),($B72/$E228)*AD228)))</f>
        <v>0</v>
      </c>
      <c r="AF72" s="395">
        <f ca="1">IF($E$228=0,0,IF(SUM($G72:AE72)=$B72,0,IF(SUM($G228:AE228)&gt;=$E228,($B72/$E228)*($E228-SUM($G228:AD228)),($B72/$E228)*AE228)))</f>
        <v>0</v>
      </c>
      <c r="AG72" s="395">
        <f ca="1">IF($E$228=0,0,IF(SUM($G72:AF72)=$B72,0,IF(SUM($G228:AF228)&gt;=$E228,($B72/$E228)*($E228-SUM($G228:AE228)),($B72/$E228)*AF228)))</f>
        <v>0</v>
      </c>
      <c r="AH72" s="395">
        <f ca="1">IF($E$228=0,0,IF(SUM($G72:AG72)=$B72,0,IF(SUM($G228:AG228)&gt;=$E228,($B72/$E228)*($E228-SUM($G228:AF228)),($B72/$E228)*AG228)))</f>
        <v>0</v>
      </c>
      <c r="AI72" s="395">
        <f ca="1">IF($E$228=0,0,IF(SUM($G72:AH72)=$B72,0,IF(SUM($G228:AH228)&gt;=$E228,($B72/$E228)*($E228-SUM($G228:AG228)),($B72/$E228)*AH228)))</f>
        <v>0</v>
      </c>
      <c r="AJ72" s="395">
        <f ca="1">IF($E$228=0,0,IF(SUM($G72:AI72)=$B72,0,IF(SUM($G228:AI228)&gt;=$E228,($B72/$E228)*($E228-SUM($G228:AH228)),($B72/$E228)*AI228)))</f>
        <v>0</v>
      </c>
      <c r="AK72" s="395">
        <f ca="1">IF($E$228=0,0,IF(SUM($G72:AJ72)=$B72,0,IF(SUM($G228:AJ228)&gt;=$E228,($B72/$E228)*($E228-SUM($G228:AI228)),($B72/$E228)*AJ228)))</f>
        <v>0</v>
      </c>
      <c r="AL72" s="395">
        <f ca="1">IF($E$228=0,0,IF(SUM($G72:AK72)=$B72,0,IF(SUM($G228:AK228)&gt;=$E228,($B72/$E228)*($E228-SUM($G228:AJ228)),($B72/$E228)*AK228)))</f>
        <v>0</v>
      </c>
      <c r="AM72" s="395">
        <f ca="1">IF($E$228=0,0,IF(SUM($G72:AL72)=$B72,0,IF(SUM($G228:AL228)&gt;=$E228,($B72/$E228)*($E228-SUM($G228:AK228)),($B72/$E228)*AL228)))</f>
        <v>0</v>
      </c>
      <c r="AN72" s="395">
        <f ca="1">IF($E$228=0,0,IF(SUM($G72:AM72)=$B72,0,IF(SUM($G228:AM228)&gt;=$E228,($B72/$E228)*($E228-SUM($G228:AL228)),($B72/$E228)*AM228)))</f>
        <v>0</v>
      </c>
      <c r="AO72" s="395">
        <f ca="1">IF($E$228=0,0,IF(SUM($G72:AN72)=$B72,0,IF(SUM($G228:AN228)&gt;=$E228,($B72/$E228)*($E228-SUM($G228:AM228)),($B72/$E228)*AN228)))</f>
        <v>0</v>
      </c>
      <c r="AP72" s="395">
        <f ca="1">IF($E$228=0,0,IF(SUM($G72:AO72)=$B72,0,IF(SUM($G228:AO228)&gt;=$E228,($B72/$E228)*($E228-SUM($G228:AN228)),($B72/$E228)*AO228)))</f>
        <v>0</v>
      </c>
      <c r="AQ72" s="395">
        <f ca="1">IF($E$228=0,0,IF(SUM($G72:AP72)=$B72,0,IF(SUM($G228:AP228)&gt;=$E228,($B72/$E228)*($E228-SUM($G228:AO228)),($B72/$E228)*AP228)))</f>
        <v>0</v>
      </c>
      <c r="AR72" s="395">
        <f ca="1">IF($E$228=0,0,IF(SUM($G72:AQ72)=$B72,0,IF(SUM($G228:AQ228)&gt;=$E228,($B72/$E228)*($E228-SUM($G228:AP228)),($B72/$E228)*AQ228)))</f>
        <v>0</v>
      </c>
      <c r="AS72" s="395">
        <f ca="1">IF($E$228=0,0,IF(SUM($G72:AR72)=$B72,0,IF(SUM($G228:AR228)&gt;=$E228,($B72/$E228)*($E228-SUM($G228:AQ228)),($B72/$E228)*AR228)))</f>
        <v>0</v>
      </c>
      <c r="AT72" s="395">
        <f ca="1">IF($E$228=0,0,IF(SUM($G72:AS72)=$B72,0,IF(SUM($G228:AS228)&gt;=$E228,($B72/$E228)*($E228-SUM($G228:AR228)),($B72/$E228)*AS228)))</f>
        <v>0</v>
      </c>
      <c r="AU72" s="395">
        <f ca="1">IF($E$228=0,0,IF(SUM($G72:AT72)=$B72,0,IF(SUM($G228:AT228)&gt;=$E228,($B72/$E228)*($E228-SUM($G228:AS228)),($B72/$E228)*AT228)))</f>
        <v>0</v>
      </c>
      <c r="AV72" s="395">
        <f ca="1">IF($E$228=0,0,IF(SUM($G72:AU72)=$B72,0,IF(SUM($G228:AU228)&gt;=$E228,($B72/$E228)*($E228-SUM($G228:AT228)),($B72/$E228)*AU228)))</f>
        <v>0</v>
      </c>
      <c r="AW72" s="395">
        <f ca="1">IF($E$228=0,0,IF(SUM($G72:AV72)=$B72,0,IF(SUM($G228:AV228)&gt;=$E228,($B72/$E228)*($E228-SUM($G228:AU228)),($B72/$E228)*AV228)))</f>
        <v>0</v>
      </c>
      <c r="AX72" s="395">
        <f ca="1">IF($E$228=0,0,IF(SUM($G72:AW72)=$B72,0,IF(SUM($G228:AW228)&gt;=$E228,($B72/$E228)*($E228-SUM($G228:AV228)),($B72/$E228)*AW228)))</f>
        <v>0</v>
      </c>
      <c r="AY72" s="395">
        <f ca="1">IF($E$228=0,0,IF(SUM($G72:AX72)=$B72,0,IF(SUM($G228:AX228)&gt;=$E228,($B72/$E228)*($E228-SUM($G228:AW228)),($B72/$E228)*AX228)))</f>
        <v>0</v>
      </c>
      <c r="AZ72" s="395">
        <f ca="1">IF($E$228=0,0,IF(SUM($G72:AY72)=$B72,0,IF(SUM($G228:AY228)&gt;=$E228,($B72/$E228)*($E228-SUM($G228:AX228)),($B72/$E228)*AY228)))</f>
        <v>0</v>
      </c>
      <c r="BA72" s="395">
        <f ca="1">IF($E$228=0,0,IF(SUM($G72:AZ72)=$B72,0,IF(SUM($G228:AZ228)&gt;=$E228,($B72/$E228)*($E228-SUM($G228:AY228)),($B72/$E228)*AZ228)))</f>
        <v>0</v>
      </c>
      <c r="BB72" s="395">
        <f ca="1">IF($E$228=0,0,IF(SUM($G72:BA72)=$B72,0,IF(SUM($G228:BA228)&gt;=$E228,($B72/$E228)*($E228-SUM($G228:AZ228)),($B72/$E228)*BA228)))</f>
        <v>0</v>
      </c>
      <c r="BC72" s="395">
        <f ca="1">IF($E$228=0,0,IF(SUM($G72:BB72)=$B72,0,IF(SUM($G228:BB228)&gt;=$E228,($B72/$E228)*($E228-SUM($G228:BA228)),($B72/$E228)*BB228)))</f>
        <v>0</v>
      </c>
      <c r="BD72" s="395">
        <f ca="1">IF($E$228=0,0,IF(SUM($G72:BC72)=$B72,0,IF(SUM($G228:BC228)&gt;=$E228,($B72/$E228)*($E228-SUM($G228:BB228)),($B72/$E228)*BC228)))</f>
        <v>0</v>
      </c>
      <c r="BE72" s="395">
        <f ca="1">IF($E$228=0,0,IF(SUM($G72:BD72)=$B72,0,IF(SUM($G228:BD228)&gt;=$E228,($B72/$E228)*($E228-SUM($G228:BC228)),($B72/$E228)*BD228)))</f>
        <v>0</v>
      </c>
      <c r="BF72" s="395">
        <f ca="1">IF($E$228=0,0,IF(SUM($G72:BE72)=$B72,0,IF(SUM($G228:BE228)&gt;=$E228,($B72/$E228)*($E228-SUM($G228:BD228)),($B72/$E228)*BE228)))</f>
        <v>0</v>
      </c>
      <c r="BG72" s="395">
        <f ca="1">IF($E$228=0,0,IF(SUM($G72:BF72)=$B72,0,IF(SUM($G228:BF228)&gt;=$E228,($B72/$E228)*($E228-SUM($G228:BE228)),($B72/$E228)*BF228)))</f>
        <v>0</v>
      </c>
      <c r="BH72" s="395">
        <f ca="1">IF($E$228=0,0,IF(SUM($G72:BG72)=$B72,0,IF(SUM($G228:BG228)&gt;=$E228,($B72/$E228)*($E228-SUM($G228:BF228)),($B72/$E228)*BG228)))</f>
        <v>0</v>
      </c>
      <c r="BI72" s="395">
        <f ca="1">IF($E$228=0,0,IF(SUM($G72:BH72)=$B72,0,IF(SUM($G228:BH228)&gt;=$E228,($B72/$E228)*($E228-SUM($G228:BG228)),($B72/$E228)*BH228)))</f>
        <v>0</v>
      </c>
      <c r="BJ72" s="395">
        <f ca="1">IF($E$228=0,0,IF(SUM($G72:BI72)=$B72,0,IF(SUM($G228:BI228)&gt;=$E228,($B72/$E228)*($E228-SUM($G228:BH228)),($B72/$E228)*BI228)))</f>
        <v>0</v>
      </c>
      <c r="BK72" s="395">
        <f ca="1">IF($E$228=0,0,IF(SUM($G72:BJ72)=$B72,0,IF(SUM($G228:BJ228)&gt;=$E228,($B72/$E228)*($E228-SUM($G228:BI228)),($B72/$E228)*BJ228)))</f>
        <v>0</v>
      </c>
      <c r="BL72" s="395">
        <f ca="1">IF($E$228=0,0,IF(SUM($G72:BK72)=$B72,0,IF(SUM($G228:BK228)&gt;=$E228,($B72/$E228)*($E228-SUM($G228:BJ228)),($B72/$E228)*BK228)))</f>
        <v>0</v>
      </c>
      <c r="BM72" s="395">
        <f ca="1">IF($E$228=0,0,IF(SUM($G72:BL72)=$B72,0,IF(SUM($G228:BL228)&gt;=$E228,($B72/$E228)*($E228-SUM($G228:BK228)),($B72/$E228)*BL228)))</f>
        <v>0</v>
      </c>
      <c r="BN72" s="395">
        <f ca="1">IF($E$228=0,0,IF(SUM($G72:BM72)=$B72,0,IF(SUM($G228:BM228)&gt;=$E228,($B72/$E228)*($E228-SUM($G228:BL228)),($B72/$E228)*BM228)))</f>
        <v>0</v>
      </c>
      <c r="BO72" s="395">
        <f ca="1">IF($E$228=0,0,IF(SUM($G72:BN72)=$B72,0,IF(SUM($G228:BN228)&gt;=$E228,($B72/$E228)*($E228-SUM($G228:BM228)),($B72/$E228)*BN228)))</f>
        <v>0</v>
      </c>
      <c r="BP72" s="395">
        <f ca="1">IF($E$228=0,0,IF(SUM($G72:BO72)=$B72,0,IF(SUM($G228:BO228)&gt;=$E228,($B72/$E228)*($E228-SUM($G228:BN228)),($B72/$E228)*BO228)))</f>
        <v>0</v>
      </c>
      <c r="BQ72" s="395">
        <f ca="1">IF($E$228=0,0,IF(SUM($G72:BP72)=$B72,0,IF(SUM($G228:BP228)&gt;=$E228,($B72/$E228)*($E228-SUM($G228:BO228)),($B72/$E228)*BP228)))</f>
        <v>0</v>
      </c>
      <c r="BR72" s="395">
        <f ca="1">IF($E$228=0,0,IF(SUM($G72:BQ72)=$B72,0,IF(SUM($G228:BQ228)&gt;=$E228,($B72/$E228)*($E228-SUM($G228:BP228)),($B72/$E228)*BQ228)))</f>
        <v>0</v>
      </c>
      <c r="BS72" s="395">
        <f ca="1">IF($E$228=0,0,IF(SUM($G72:BR72)=$B72,0,IF(SUM($G228:BR228)&gt;=$E228,($B72/$E228)*($E228-SUM($G228:BQ228)),($B72/$E228)*BR228)))</f>
        <v>0</v>
      </c>
      <c r="BT72" s="395">
        <f ca="1">IF($E$228=0,0,IF(SUM($G72:BS72)=$B72,0,IF(SUM($G228:BS228)&gt;=$E228,($B72/$E228)*($E228-SUM($G228:BR228)),($B72/$E228)*BS228)))</f>
        <v>0</v>
      </c>
      <c r="BU72" s="395">
        <f ca="1">IF($E$228=0,0,IF(SUM($G72:BT72)=$B72,0,IF(SUM($G228:BT228)&gt;=$E228,($B72/$E228)*($E228-SUM($G228:BS228)),($B72/$E228)*BT228)))</f>
        <v>0</v>
      </c>
      <c r="BV72" s="395">
        <f ca="1">IF($E$228=0,0,IF(SUM($G72:BU72)=$B72,0,IF(SUM($G228:BU228)&gt;=$E228,($B72/$E228)*($E228-SUM($G228:BT228)),($B72/$E228)*BU228)))</f>
        <v>0</v>
      </c>
      <c r="BW72" s="395">
        <f ca="1">IF($E$228=0,0,IF(SUM($G72:BV72)=$B72,0,IF(SUM($G228:BV228)&gt;=$E228,($B72/$E228)*($E228-SUM($G228:BU228)),($B72/$E228)*BV228)))</f>
        <v>0</v>
      </c>
      <c r="BX72" s="395">
        <f ca="1">IF($E$228=0,0,IF(SUM($G72:BW72)=$B72,0,IF(SUM($G228:BW228)&gt;=$E228,($B72/$E228)*($E228-SUM($G228:BV228)),($B72/$E228)*BW228)))</f>
        <v>0</v>
      </c>
      <c r="BY72" s="395">
        <f ca="1">IF($E$228=0,0,IF(SUM($G72:BX72)=$B72,0,IF(SUM($G228:BX228)&gt;=$E228,($B72/$E228)*($E228-SUM($G228:BW228)),($B72/$E228)*BX228)))</f>
        <v>0</v>
      </c>
      <c r="BZ72" s="395">
        <f ca="1">IF($E$228=0,0,IF(SUM($G72:BY72)=$B72,0,IF(SUM($G228:BY228)&gt;=$E228,($B72/$E228)*($E228-SUM($G228:BX228)),($B72/$E228)*BY228)))</f>
        <v>0</v>
      </c>
      <c r="CA72" s="395">
        <f ca="1">IF($E$228=0,0,IF(SUM($G72:BZ72)=$B72,0,IF(SUM($G228:BZ228)&gt;=$E228,($B72/$E228)*($E228-SUM($G228:BY228)),($B72/$E228)*BZ228)))</f>
        <v>0</v>
      </c>
      <c r="CB72" s="395">
        <f ca="1">IF($E$228=0,0,IF(SUM($G72:CA72)=$B72,0,IF(SUM($G228:CA228)&gt;=$E228,($B72/$E228)*($E228-SUM($G228:BZ228)),($B72/$E228)*CA228)))</f>
        <v>0</v>
      </c>
      <c r="CC72" s="395">
        <f ca="1">IF($E$228=0,0,IF(SUM($G72:CB72)=$B72,0,IF(SUM($G228:CB228)&gt;=$E228,($B72/$E228)*($E228-SUM($G228:CA228)),($B72/$E228)*CB228)))</f>
        <v>0</v>
      </c>
      <c r="CD72" s="395">
        <f ca="1">IF($E$228=0,0,IF(SUM($G72:CC72)=$B72,0,IF(SUM($G228:CC228)&gt;=$E228,($B72/$E228)*($E228-SUM($G228:CB228)),($B72/$E228)*CC228)))</f>
        <v>0</v>
      </c>
      <c r="CE72" s="395">
        <f ca="1">IF($E$228=0,0,IF(SUM($G72:CD72)=$B72,0,IF(SUM($G228:CD228)&gt;=$E228,($B72/$E228)*($E228-SUM($G228:CC228)),($B72/$E228)*CD228)))</f>
        <v>0</v>
      </c>
      <c r="CF72" s="395">
        <f ca="1">IF($E$228=0,0,IF(SUM($G72:CE72)=$B72,0,IF(SUM($G228:CE228)&gt;=$E228,($B72/$E228)*($E228-SUM($G228:CD228)),($B72/$E228)*CE228)))</f>
        <v>0</v>
      </c>
      <c r="CG72" s="395">
        <f ca="1">IF($E$228=0,0,IF(SUM($G72:CF72)=$B72,0,IF(SUM($G228:CF228)&gt;=$E228,($B72/$E228)*($E228-SUM($G228:CE228)),($B72/$E228)*CF228)))</f>
        <v>0</v>
      </c>
      <c r="CH72" s="395">
        <f ca="1">IF($E$228=0,0,IF(SUM($G72:CG72)=$B72,0,IF(SUM($G228:CG228)&gt;=$E228,($B72/$E228)*($E228-SUM($G228:CF228)),($B72/$E228)*CG228)))</f>
        <v>0</v>
      </c>
      <c r="CI72" s="395">
        <f ca="1">IF($E$228=0,0,IF(SUM($G72:CH72)=$B72,0,IF(SUM($G228:CH228)&gt;=$E228,($B72/$E228)*($E228-SUM($G228:CG228)),($B72/$E228)*CH228)))</f>
        <v>0</v>
      </c>
      <c r="CJ72" s="395">
        <f ca="1">IF($E$228=0,0,IF(SUM($G72:CI72)=$B72,0,IF(SUM($G228:CI228)&gt;=$E228,($B72/$E228)*($E228-SUM($G228:CH228)),($B72/$E228)*CI228)))</f>
        <v>0</v>
      </c>
      <c r="CK72" s="395">
        <f ca="1">IF($E$228=0,0,IF(SUM($G72:CJ72)=$B72,0,IF(SUM($G228:CJ228)&gt;=$E228,($B72/$E228)*($E228-SUM($G228:CI228)),($B72/$E228)*CJ228)))</f>
        <v>0</v>
      </c>
      <c r="CL72" s="395">
        <f ca="1">IF($E$228=0,0,IF(SUM($G72:CK72)=$B72,0,IF(SUM($G228:CK228)&gt;=$E228,($B72/$E228)*($E228-SUM($G228:CJ228)),($B72/$E228)*CK228)))</f>
        <v>0</v>
      </c>
      <c r="CM72" s="395">
        <f ca="1">IF($E$228=0,0,IF(SUM($G72:CL72)=$B72,0,IF(SUM($G228:CL228)&gt;=$E228,($B72/$E228)*($E228-SUM($G228:CK228)),($B72/$E228)*CL228)))</f>
        <v>0</v>
      </c>
      <c r="CN72" s="395">
        <f ca="1">IF($E$228=0,0,IF(SUM($G72:CM72)=$B72,0,IF(SUM($G228:CM228)&gt;=$E228,($B72/$E228)*($E228-SUM($G228:CL228)),($B72/$E228)*CM228)))</f>
        <v>0</v>
      </c>
      <c r="CO72" s="395">
        <f ca="1">IF($E$228=0,0,IF(SUM($G72:CN72)=$B72,0,IF(SUM($G228:CN228)&gt;=$E228,($B72/$E228)*($E228-SUM($G228:CM228)),($B72/$E228)*CN228)))</f>
        <v>0</v>
      </c>
      <c r="CP72" s="395">
        <f ca="1">IF($E$228=0,0,IF(SUM($G72:CO72)=$B72,0,IF(SUM($G228:CO228)&gt;=$E228,($B72/$E228)*($E228-SUM($G228:CN228)),($B72/$E228)*CO228)))</f>
        <v>0</v>
      </c>
      <c r="CQ72" s="395">
        <f ca="1">IF($E$228=0,0,IF(SUM($G72:CP72)=$B72,0,IF(SUM($G228:CP228)&gt;=$E228,($B72/$E228)*($E228-SUM($G228:CO228)),($B72/$E228)*CP228)))</f>
        <v>0</v>
      </c>
      <c r="CR72" s="395">
        <f ca="1">IF($E$228=0,0,IF(SUM($G72:CQ72)=$B72,0,IF(SUM($G228:CQ228)&gt;=$E228,($B72/$E228)*($E228-SUM($G228:CP228)),($B72/$E228)*CQ228)))</f>
        <v>0</v>
      </c>
      <c r="CS72" s="395">
        <f ca="1">IF($E$228=0,0,IF(SUM($G72:CR72)=$B72,0,IF(SUM($G228:CR228)&gt;=$E228,($B72/$E228)*($E228-SUM($G228:CQ228)),($B72/$E228)*CR228)))</f>
        <v>0</v>
      </c>
      <c r="CT72" s="395">
        <f ca="1">IF($E$228=0,0,IF(SUM($G72:CS72)=$B72,0,IF(SUM($G228:CS228)&gt;=$E228,($B72/$E228)*($E228-SUM($G228:CR228)),($B72/$E228)*CS228)))</f>
        <v>0</v>
      </c>
      <c r="CU72" s="395">
        <f ca="1">IF($E$228=0,0,IF(SUM($G72:CT72)=$B72,0,IF(SUM($G228:CT228)&gt;=$E228,($B72/$E228)*($E228-SUM($G228:CS228)),($B72/$E228)*CT228)))</f>
        <v>0</v>
      </c>
      <c r="CV72" s="395">
        <f ca="1">IF($E$228=0,0,IF(SUM($G72:CU72)=$B72,0,IF(SUM($G228:CU228)&gt;=$E228,($B72/$E228)*($E228-SUM($G228:CT228)),($B72/$E228)*CU228)))</f>
        <v>0</v>
      </c>
      <c r="CW72" s="395">
        <f ca="1">IF($E$228=0,0,IF(SUM($G72:CV72)=$B72,0,IF(SUM($G228:CV228)&gt;=$E228,($B72/$E228)*($E228-SUM($G228:CU228)),($B72/$E228)*CV228)))</f>
        <v>0</v>
      </c>
      <c r="CX72" s="395">
        <f ca="1">IF($E$228=0,0,IF(SUM($G72:CW72)=$B72,0,IF(SUM($G228:CW228)&gt;=$E228,($B72/$E228)*($E228-SUM($G228:CV228)),($B72/$E228)*CW228)))</f>
        <v>0</v>
      </c>
      <c r="CY72" s="395">
        <f ca="1">IF($E$228=0,0,IF(SUM($G72:CX72)=$B72,0,IF(SUM($G228:CX228)&gt;=$E228,($B72/$E228)*($E228-SUM($G228:CW228)),($B72/$E228)*CX228)))</f>
        <v>0</v>
      </c>
      <c r="CZ72" s="395">
        <f ca="1">IF($E$228=0,0,IF(SUM($G72:CY72)=$B72,0,IF(SUM($G228:CY228)&gt;=$E228,($B72/$E228)*($E228-SUM($G228:CX228)),($B72/$E228)*CY228)))</f>
        <v>0</v>
      </c>
      <c r="DA72" s="395">
        <f ca="1">IF($E$228=0,0,IF(SUM($G72:CZ72)=$B72,0,IF(SUM($G228:CZ228)&gt;=$E228,($B72/$E228)*($E228-SUM($G228:CY228)),($B72/$E228)*CZ228)))</f>
        <v>0</v>
      </c>
      <c r="DB72" s="395">
        <f ca="1">IF($E$228=0,0,IF(SUM($G72:DA72)=$B72,0,IF(SUM($G228:DA228)&gt;=$E228,($B72/$E228)*($E228-SUM($G228:CZ228)),($B72/$E228)*DA228)))</f>
        <v>0</v>
      </c>
      <c r="DC72" s="395">
        <f ca="1">IF($E$228=0,0,IF(SUM($G72:DB72)=$B72,0,IF(SUM($G228:DB228)&gt;=$E228,($B72/$E228)*($E228-SUM($G228:DA228)),($B72/$E228)*DB228)))</f>
        <v>0</v>
      </c>
      <c r="DD72" s="395">
        <f ca="1">IF($E$228=0,0,IF(SUM($G72:DC72)=$B72,0,IF(SUM($G228:DC228)&gt;=$E228,($B72/$E228)*($E228-SUM($G228:DB228)),($B72/$E228)*DC228)))</f>
        <v>0</v>
      </c>
      <c r="DE72" s="395">
        <f ca="1">IF($E$228=0,0,IF(SUM($G72:DD72)=$B72,0,IF(SUM($G228:DD228)&gt;=$E228,($B72/$E228)*($E228-SUM($G228:DC228)),($B72/$E228)*DD228)))</f>
        <v>0</v>
      </c>
      <c r="DF72" s="395">
        <f ca="1">IF($E$228=0,0,IF(SUM($G72:DE72)=$B72,0,IF(SUM($G228:DE228)&gt;=$E228,($B72/$E228)*($E228-SUM($G228:DD228)),($B72/$E228)*DE228)))</f>
        <v>0</v>
      </c>
      <c r="DG72" s="395">
        <f ca="1">IF($E$228=0,0,IF(SUM($G72:DF72)=$B72,0,IF(SUM($G228:DF228)&gt;=$E228,($B72/$E228)*($E228-SUM($G228:DE228)),($B72/$E228)*DF228)))</f>
        <v>0</v>
      </c>
      <c r="DH72" s="395">
        <f ca="1">IF($E$228=0,0,IF(SUM($G72:DG72)=$B72,0,IF(SUM($G228:DG228)&gt;=$E228,($B72/$E228)*($E228-SUM($G228:DF228)),($B72/$E228)*DG228)))</f>
        <v>0</v>
      </c>
      <c r="DI72" s="395">
        <f ca="1">IF($E$228=0,0,IF(SUM($G72:DH72)=$B72,0,IF(SUM($G228:DH228)&gt;=$E228,($B72/$E228)*($E228-SUM($G228:DG228)),($B72/$E228)*DH228)))</f>
        <v>0</v>
      </c>
      <c r="DJ72" s="395">
        <f ca="1">IF($E$228=0,0,IF(SUM($G72:DI72)=$B72,0,IF(SUM($G228:DI228)&gt;=$E228,($B72/$E228)*($E228-SUM($G228:DH228)),($B72/$E228)*DI228)))</f>
        <v>0</v>
      </c>
      <c r="DK72" s="395">
        <f ca="1">IF($E$228=0,0,IF(SUM($G72:DJ72)=$B72,0,IF(SUM($G228:DJ228)&gt;=$E228,($B72/$E228)*($E228-SUM($G228:DI228)),($B72/$E228)*DJ228)))</f>
        <v>0</v>
      </c>
      <c r="DL72" s="395">
        <f ca="1">IF($E$228=0,0,IF(SUM($G72:DK72)=$B72,0,IF(SUM($G228:DK228)&gt;=$E228,($B72/$E228)*($E228-SUM($G228:DJ228)),($B72/$E228)*DK228)))</f>
        <v>0</v>
      </c>
      <c r="DM72" s="395">
        <f ca="1">IF($E$228=0,0,IF(SUM($G72:DL72)=$B72,0,IF(SUM($G228:DL228)&gt;=$E228,($B72/$E228)*($E228-SUM($G228:DK228)),($B72/$E228)*DL228)))</f>
        <v>0</v>
      </c>
      <c r="DN72" s="395">
        <f ca="1">IF($E$228=0,0,IF(SUM($G72:DM72)=$B72,0,IF(SUM($G228:DM228)&gt;=$E228,($B72/$E228)*($E228-SUM($G228:DL228)),($B72/$E228)*DM228)))</f>
        <v>0</v>
      </c>
      <c r="DO72" s="395">
        <f ca="1">IF($E$228=0,0,IF(SUM($G72:DN72)=$B72,0,IF(SUM($G228:DN228)&gt;=$E228,($B72/$E228)*($E228-SUM($G228:DM228)),($B72/$E228)*DN228)))</f>
        <v>0</v>
      </c>
      <c r="DP72" s="395">
        <f ca="1">IF($E$228=0,0,IF(SUM($G72:DO72)=$B72,0,IF(SUM($G228:DO228)&gt;=$E228,($B72/$E228)*($E228-SUM($G228:DN228)),($B72/$E228)*DO228)))</f>
        <v>0</v>
      </c>
      <c r="DQ72" s="395">
        <f ca="1">IF($E$228=0,0,IF(SUM($G72:DP72)=$B72,0,IF(SUM($G228:DP228)&gt;=$E228,($B72/$E228)*($E228-SUM($G228:DO228)),($B72/$E228)*DP228)))</f>
        <v>0</v>
      </c>
      <c r="DR72" s="395">
        <f ca="1">IF($E$228=0,0,IF(SUM($G72:DQ72)=$B72,0,IF(SUM($G228:DQ228)&gt;=$E228,($B72/$E228)*($E228-SUM($G228:DP228)),($B72/$E228)*DQ228)))</f>
        <v>0</v>
      </c>
      <c r="DS72" s="395">
        <f ca="1">IF($E$228=0,0,IF(SUM($G72:DR72)=$B72,0,IF(SUM($G228:DR228)&gt;=$E228,($B72/$E228)*($E228-SUM($G228:DQ228)),($B72/$E228)*DR228)))</f>
        <v>0</v>
      </c>
      <c r="DT72" s="395">
        <f ca="1">IF($E$228=0,0,IF(SUM($G72:DS72)=$B72,0,IF(SUM($G228:DS228)&gt;=$E228,($B72/$E228)*($E228-SUM($G228:DR228)),($B72/$E228)*DS228)))</f>
        <v>0</v>
      </c>
      <c r="DU72" s="395">
        <f ca="1">IF($E$228=0,0,IF(SUM($G72:DT72)=$B72,0,IF(SUM($G228:DT228)&gt;=$E228,($B72/$E228)*($E228-SUM($G228:DS228)),($B72/$E228)*DT228)))</f>
        <v>0</v>
      </c>
      <c r="DV72" s="395">
        <f ca="1">IF($E$228=0,0,IF(SUM($G72:DU72)=$B72,0,IF(SUM($G228:DU228)&gt;=$E228,($B72/$E228)*($E228-SUM($G228:DT228)),($B72/$E228)*DU228)))</f>
        <v>0</v>
      </c>
      <c r="DW72" s="395">
        <f ca="1">IF($E$228=0,0,IF(SUM($G72:DV72)=$B72,0,IF(SUM($G228:DV228)&gt;=$E228,($B72/$E228)*($E228-SUM($G228:DU228)),($B72/$E228)*DV228)))</f>
        <v>0</v>
      </c>
      <c r="DX72" s="395">
        <f ca="1">IF($E$228=0,0,IF(SUM($G72:DW72)=$B72,0,IF(SUM($G228:DW228)&gt;=$E228,($B72/$E228)*($E228-SUM($G228:DV228)),($B72/$E228)*DW228)))</f>
        <v>0</v>
      </c>
      <c r="DY72" s="395">
        <f ca="1">IF($E$228=0,0,IF(SUM($G72:DX72)=$B72,0,IF(SUM($G228:DX228)&gt;=$E228,($B72/$E228)*($E228-SUM($G228:DW228)),($B72/$E228)*DX228)))</f>
        <v>0</v>
      </c>
      <c r="DZ72" s="395">
        <f ca="1">IF($E$228=0,0,IF(SUM($G72:DY72)=$B72,0,IF(SUM($G228:DY228)&gt;=$E228,($B72/$E228)*($E228-SUM($G228:DX228)),($B72/$E228)*DY228)))</f>
        <v>0</v>
      </c>
      <c r="EA72" s="395">
        <f ca="1">IF($E$228=0,0,IF(SUM($G72:DZ72)=$B72,0,IF(SUM($G228:DZ228)&gt;=$E228,($B72/$E228)*($E228-SUM($G228:DY228)),($B72/$E228)*DZ228)))</f>
        <v>0</v>
      </c>
      <c r="EB72" s="395">
        <f ca="1">IF($E$228=0,0,IF(SUM($G72:EA72)=$B72,0,IF(SUM($G228:EA228)&gt;=$E228,($B72/$E228)*($E228-SUM($G228:DZ228)),($B72/$E228)*EA228)))</f>
        <v>0</v>
      </c>
      <c r="EC72" s="395">
        <f ca="1">IF($E$228=0,0,IF(SUM($G72:EB72)=$B72,0,IF(SUM($G228:EB228)&gt;=$E228,($B72/$E228)*($E228-SUM($G228:EA228)),($B72/$E228)*EB228)))</f>
        <v>0</v>
      </c>
      <c r="ED72" s="395">
        <f ca="1">IF($E$228=0,0,IF(SUM($G72:EC72)=$B72,0,IF(SUM($G228:EC228)&gt;=$E228,($B72/$E228)*($E228-SUM($G228:EB228)),($B72/$E228)*EC228)))</f>
        <v>0</v>
      </c>
      <c r="EE72" s="395">
        <f ca="1">IF($E$228=0,0,IF(SUM($G72:ED72)=$B72,0,IF(SUM($G228:ED228)&gt;=$E228,($B72/$E228)*($E228-SUM($G228:EC228)),($B72/$E228)*ED228)))</f>
        <v>0</v>
      </c>
      <c r="EF72" s="395">
        <f ca="1">IF($E$228=0,0,IF(SUM($G72:EE72)=$B72,0,IF(SUM($G228:EE228)&gt;=$E228,($B72/$E228)*($E228-SUM($G228:ED228)),($B72/$E228)*EE228)))</f>
        <v>0</v>
      </c>
      <c r="EG72" s="395">
        <f ca="1">IF($E$228=0,0,IF(SUM($G72:EF72)=$B72,0,IF(SUM($G228:EF228)&gt;=$E228,($B72/$E228)*($E228-SUM($G228:EE228)),($B72/$E228)*EF228)))</f>
        <v>0</v>
      </c>
      <c r="EH72" s="395">
        <f ca="1">IF($E$228=0,0,IF(SUM($G72:EG72)=$B72,0,IF(SUM($G228:EG228)&gt;=$E228,($B72/$E228)*($E228-SUM($G228:EF228)),($B72/$E228)*EG228)))</f>
        <v>0</v>
      </c>
      <c r="EI72" s="395">
        <f ca="1">IF($E$228=0,0,IF(SUM($G72:EH72)=$B72,0,IF(SUM($G228:EH228)&gt;=$E228,($B72/$E228)*($E228-SUM($G228:EG228)),($B72/$E228)*EH228)))</f>
        <v>0</v>
      </c>
      <c r="EJ72" s="398"/>
      <c r="EK72" s="313"/>
    </row>
    <row r="73" spans="1:143" ht="30" hidden="1" outlineLevel="1" collapsed="1">
      <c r="A73" s="332"/>
      <c r="B73" s="313"/>
      <c r="C73" s="392" t="s">
        <v>48</v>
      </c>
      <c r="D73" s="392" t="s">
        <v>49</v>
      </c>
      <c r="E73" s="393">
        <f ca="1">ROUND(IF(F73=0,0,100%-F73),0)</f>
        <v>0</v>
      </c>
      <c r="F73" s="394">
        <f t="shared" ca="1" si="283"/>
        <v>1</v>
      </c>
      <c r="G73" s="395">
        <f>SUM(G74:G75)</f>
        <v>0</v>
      </c>
      <c r="H73" s="395">
        <f t="shared" ref="H73:BS73" ca="1" si="287">SUM(H74:H75)</f>
        <v>0.21958031763026498</v>
      </c>
      <c r="I73" s="395">
        <f t="shared" ca="1" si="287"/>
        <v>2.6013989412324502E-2</v>
      </c>
      <c r="J73" s="395">
        <f t="shared" ca="1" si="287"/>
        <v>0.11520481025457993</v>
      </c>
      <c r="K73" s="395">
        <f t="shared" ca="1" si="287"/>
        <v>0.1114885260528193</v>
      </c>
      <c r="L73" s="395">
        <f t="shared" ca="1" si="287"/>
        <v>0.11520481025457993</v>
      </c>
      <c r="M73" s="395">
        <f t="shared" ca="1" si="287"/>
        <v>0.11520481025457993</v>
      </c>
      <c r="N73" s="395">
        <f t="shared" ca="1" si="287"/>
        <v>0.1114885260528193</v>
      </c>
      <c r="O73" s="395">
        <f t="shared" ca="1" si="287"/>
        <v>0.11520481025457993</v>
      </c>
      <c r="P73" s="395">
        <f t="shared" ca="1" si="287"/>
        <v>7.0609399833452213E-2</v>
      </c>
      <c r="Q73" s="395">
        <f t="shared" ca="1" si="287"/>
        <v>0</v>
      </c>
      <c r="R73" s="395">
        <f t="shared" ca="1" si="287"/>
        <v>0</v>
      </c>
      <c r="S73" s="395">
        <f t="shared" ca="1" si="287"/>
        <v>0</v>
      </c>
      <c r="T73" s="395">
        <f t="shared" ca="1" si="287"/>
        <v>0</v>
      </c>
      <c r="U73" s="395">
        <f t="shared" ca="1" si="287"/>
        <v>0</v>
      </c>
      <c r="V73" s="395">
        <f t="shared" ca="1" si="287"/>
        <v>0</v>
      </c>
      <c r="W73" s="395">
        <f t="shared" ca="1" si="287"/>
        <v>0</v>
      </c>
      <c r="X73" s="395">
        <f t="shared" ca="1" si="287"/>
        <v>0</v>
      </c>
      <c r="Y73" s="395">
        <f t="shared" ca="1" si="287"/>
        <v>0</v>
      </c>
      <c r="Z73" s="395">
        <f t="shared" ca="1" si="287"/>
        <v>0</v>
      </c>
      <c r="AA73" s="395">
        <f t="shared" ca="1" si="287"/>
        <v>0</v>
      </c>
      <c r="AB73" s="395">
        <f t="shared" ca="1" si="287"/>
        <v>0</v>
      </c>
      <c r="AC73" s="395">
        <f t="shared" ca="1" si="287"/>
        <v>0</v>
      </c>
      <c r="AD73" s="395">
        <f t="shared" ca="1" si="287"/>
        <v>0</v>
      </c>
      <c r="AE73" s="395">
        <f t="shared" ca="1" si="287"/>
        <v>0</v>
      </c>
      <c r="AF73" s="395">
        <f t="shared" ca="1" si="287"/>
        <v>0</v>
      </c>
      <c r="AG73" s="395">
        <f t="shared" ca="1" si="287"/>
        <v>0</v>
      </c>
      <c r="AH73" s="395">
        <f t="shared" ca="1" si="287"/>
        <v>0</v>
      </c>
      <c r="AI73" s="395">
        <f t="shared" ca="1" si="287"/>
        <v>0</v>
      </c>
      <c r="AJ73" s="395">
        <f t="shared" ca="1" si="287"/>
        <v>0</v>
      </c>
      <c r="AK73" s="395">
        <f t="shared" ca="1" si="287"/>
        <v>0</v>
      </c>
      <c r="AL73" s="395">
        <f t="shared" ca="1" si="287"/>
        <v>0</v>
      </c>
      <c r="AM73" s="395">
        <f t="shared" ca="1" si="287"/>
        <v>0</v>
      </c>
      <c r="AN73" s="395">
        <f t="shared" ca="1" si="287"/>
        <v>0</v>
      </c>
      <c r="AO73" s="395">
        <f t="shared" ca="1" si="287"/>
        <v>0</v>
      </c>
      <c r="AP73" s="395">
        <f t="shared" ca="1" si="287"/>
        <v>0</v>
      </c>
      <c r="AQ73" s="395">
        <f t="shared" ca="1" si="287"/>
        <v>0</v>
      </c>
      <c r="AR73" s="395">
        <f t="shared" ca="1" si="287"/>
        <v>0</v>
      </c>
      <c r="AS73" s="395">
        <f t="shared" ca="1" si="287"/>
        <v>0</v>
      </c>
      <c r="AT73" s="395">
        <f t="shared" ca="1" si="287"/>
        <v>0</v>
      </c>
      <c r="AU73" s="395">
        <f t="shared" ca="1" si="287"/>
        <v>0</v>
      </c>
      <c r="AV73" s="395">
        <f t="shared" ca="1" si="287"/>
        <v>0</v>
      </c>
      <c r="AW73" s="395">
        <f t="shared" ca="1" si="287"/>
        <v>0</v>
      </c>
      <c r="AX73" s="395">
        <f t="shared" ca="1" si="287"/>
        <v>0</v>
      </c>
      <c r="AY73" s="395">
        <f t="shared" ca="1" si="287"/>
        <v>0</v>
      </c>
      <c r="AZ73" s="395">
        <f t="shared" ca="1" si="287"/>
        <v>0</v>
      </c>
      <c r="BA73" s="395">
        <f t="shared" ca="1" si="287"/>
        <v>0</v>
      </c>
      <c r="BB73" s="395">
        <f t="shared" ca="1" si="287"/>
        <v>0</v>
      </c>
      <c r="BC73" s="395">
        <f t="shared" ca="1" si="287"/>
        <v>0</v>
      </c>
      <c r="BD73" s="395">
        <f t="shared" ca="1" si="287"/>
        <v>0</v>
      </c>
      <c r="BE73" s="395">
        <f t="shared" ca="1" si="287"/>
        <v>0</v>
      </c>
      <c r="BF73" s="395">
        <f t="shared" ca="1" si="287"/>
        <v>0</v>
      </c>
      <c r="BG73" s="395">
        <f t="shared" ca="1" si="287"/>
        <v>0</v>
      </c>
      <c r="BH73" s="395">
        <f t="shared" ca="1" si="287"/>
        <v>0</v>
      </c>
      <c r="BI73" s="395">
        <f t="shared" ca="1" si="287"/>
        <v>0</v>
      </c>
      <c r="BJ73" s="395">
        <f t="shared" ca="1" si="287"/>
        <v>0</v>
      </c>
      <c r="BK73" s="395">
        <f t="shared" ca="1" si="287"/>
        <v>0</v>
      </c>
      <c r="BL73" s="395">
        <f t="shared" ca="1" si="287"/>
        <v>0</v>
      </c>
      <c r="BM73" s="395">
        <f t="shared" ca="1" si="287"/>
        <v>0</v>
      </c>
      <c r="BN73" s="395">
        <f t="shared" ca="1" si="287"/>
        <v>0</v>
      </c>
      <c r="BO73" s="395">
        <f t="shared" ca="1" si="287"/>
        <v>0</v>
      </c>
      <c r="BP73" s="395">
        <f t="shared" ca="1" si="287"/>
        <v>0</v>
      </c>
      <c r="BQ73" s="395">
        <f t="shared" ca="1" si="287"/>
        <v>0</v>
      </c>
      <c r="BR73" s="395">
        <f t="shared" ca="1" si="287"/>
        <v>0</v>
      </c>
      <c r="BS73" s="395">
        <f t="shared" ca="1" si="287"/>
        <v>0</v>
      </c>
      <c r="BT73" s="395">
        <f t="shared" ref="BT73:EE73" ca="1" si="288">SUM(BT74:BT75)</f>
        <v>0</v>
      </c>
      <c r="BU73" s="395">
        <f t="shared" ca="1" si="288"/>
        <v>0</v>
      </c>
      <c r="BV73" s="395">
        <f t="shared" ca="1" si="288"/>
        <v>0</v>
      </c>
      <c r="BW73" s="395">
        <f t="shared" ca="1" si="288"/>
        <v>0</v>
      </c>
      <c r="BX73" s="395">
        <f t="shared" ca="1" si="288"/>
        <v>0</v>
      </c>
      <c r="BY73" s="395">
        <f t="shared" ca="1" si="288"/>
        <v>0</v>
      </c>
      <c r="BZ73" s="395">
        <f t="shared" ca="1" si="288"/>
        <v>0</v>
      </c>
      <c r="CA73" s="395">
        <f t="shared" ca="1" si="288"/>
        <v>0</v>
      </c>
      <c r="CB73" s="395">
        <f t="shared" ca="1" si="288"/>
        <v>0</v>
      </c>
      <c r="CC73" s="395">
        <f t="shared" ca="1" si="288"/>
        <v>0</v>
      </c>
      <c r="CD73" s="395">
        <f t="shared" ca="1" si="288"/>
        <v>0</v>
      </c>
      <c r="CE73" s="395">
        <f t="shared" ca="1" si="288"/>
        <v>0</v>
      </c>
      <c r="CF73" s="395">
        <f t="shared" ca="1" si="288"/>
        <v>0</v>
      </c>
      <c r="CG73" s="395">
        <f t="shared" ca="1" si="288"/>
        <v>0</v>
      </c>
      <c r="CH73" s="395">
        <f t="shared" ca="1" si="288"/>
        <v>0</v>
      </c>
      <c r="CI73" s="395">
        <f t="shared" ca="1" si="288"/>
        <v>0</v>
      </c>
      <c r="CJ73" s="395">
        <f t="shared" ca="1" si="288"/>
        <v>0</v>
      </c>
      <c r="CK73" s="395">
        <f t="shared" ca="1" si="288"/>
        <v>0</v>
      </c>
      <c r="CL73" s="395">
        <f t="shared" ca="1" si="288"/>
        <v>0</v>
      </c>
      <c r="CM73" s="395">
        <f t="shared" ca="1" si="288"/>
        <v>0</v>
      </c>
      <c r="CN73" s="395">
        <f t="shared" ca="1" si="288"/>
        <v>0</v>
      </c>
      <c r="CO73" s="395">
        <f t="shared" ca="1" si="288"/>
        <v>0</v>
      </c>
      <c r="CP73" s="395">
        <f t="shared" ca="1" si="288"/>
        <v>0</v>
      </c>
      <c r="CQ73" s="395">
        <f t="shared" ca="1" si="288"/>
        <v>0</v>
      </c>
      <c r="CR73" s="395">
        <f t="shared" ca="1" si="288"/>
        <v>0</v>
      </c>
      <c r="CS73" s="395">
        <f t="shared" ca="1" si="288"/>
        <v>0</v>
      </c>
      <c r="CT73" s="395">
        <f t="shared" ca="1" si="288"/>
        <v>0</v>
      </c>
      <c r="CU73" s="395">
        <f t="shared" ca="1" si="288"/>
        <v>0</v>
      </c>
      <c r="CV73" s="395">
        <f t="shared" ca="1" si="288"/>
        <v>0</v>
      </c>
      <c r="CW73" s="395">
        <f t="shared" ca="1" si="288"/>
        <v>0</v>
      </c>
      <c r="CX73" s="395">
        <f t="shared" ca="1" si="288"/>
        <v>0</v>
      </c>
      <c r="CY73" s="395">
        <f t="shared" ca="1" si="288"/>
        <v>0</v>
      </c>
      <c r="CZ73" s="395">
        <f t="shared" ca="1" si="288"/>
        <v>0</v>
      </c>
      <c r="DA73" s="395">
        <f t="shared" ca="1" si="288"/>
        <v>0</v>
      </c>
      <c r="DB73" s="395">
        <f t="shared" ca="1" si="288"/>
        <v>0</v>
      </c>
      <c r="DC73" s="395">
        <f t="shared" ca="1" si="288"/>
        <v>0</v>
      </c>
      <c r="DD73" s="395">
        <f t="shared" ca="1" si="288"/>
        <v>0</v>
      </c>
      <c r="DE73" s="395">
        <f t="shared" ca="1" si="288"/>
        <v>0</v>
      </c>
      <c r="DF73" s="395">
        <f t="shared" ca="1" si="288"/>
        <v>0</v>
      </c>
      <c r="DG73" s="395">
        <f t="shared" ca="1" si="288"/>
        <v>0</v>
      </c>
      <c r="DH73" s="395">
        <f t="shared" ca="1" si="288"/>
        <v>0</v>
      </c>
      <c r="DI73" s="395">
        <f t="shared" ca="1" si="288"/>
        <v>0</v>
      </c>
      <c r="DJ73" s="395">
        <f t="shared" ca="1" si="288"/>
        <v>0</v>
      </c>
      <c r="DK73" s="395">
        <f t="shared" ca="1" si="288"/>
        <v>0</v>
      </c>
      <c r="DL73" s="395">
        <f t="shared" ca="1" si="288"/>
        <v>0</v>
      </c>
      <c r="DM73" s="395">
        <f t="shared" ca="1" si="288"/>
        <v>0</v>
      </c>
      <c r="DN73" s="395">
        <f t="shared" ca="1" si="288"/>
        <v>0</v>
      </c>
      <c r="DO73" s="395">
        <f t="shared" ca="1" si="288"/>
        <v>0</v>
      </c>
      <c r="DP73" s="395">
        <f t="shared" ca="1" si="288"/>
        <v>0</v>
      </c>
      <c r="DQ73" s="395">
        <f t="shared" ca="1" si="288"/>
        <v>0</v>
      </c>
      <c r="DR73" s="395">
        <f t="shared" ca="1" si="288"/>
        <v>0</v>
      </c>
      <c r="DS73" s="395">
        <f t="shared" ca="1" si="288"/>
        <v>0</v>
      </c>
      <c r="DT73" s="395">
        <f t="shared" ca="1" si="288"/>
        <v>0</v>
      </c>
      <c r="DU73" s="395">
        <f t="shared" ca="1" si="288"/>
        <v>0</v>
      </c>
      <c r="DV73" s="395">
        <f t="shared" ca="1" si="288"/>
        <v>0</v>
      </c>
      <c r="DW73" s="395">
        <f t="shared" ca="1" si="288"/>
        <v>0</v>
      </c>
      <c r="DX73" s="395">
        <f t="shared" ca="1" si="288"/>
        <v>0</v>
      </c>
      <c r="DY73" s="395">
        <f t="shared" ca="1" si="288"/>
        <v>0</v>
      </c>
      <c r="DZ73" s="395">
        <f t="shared" ca="1" si="288"/>
        <v>0</v>
      </c>
      <c r="EA73" s="395">
        <f t="shared" ca="1" si="288"/>
        <v>0</v>
      </c>
      <c r="EB73" s="395">
        <f t="shared" ca="1" si="288"/>
        <v>0</v>
      </c>
      <c r="EC73" s="395">
        <f t="shared" ca="1" si="288"/>
        <v>0</v>
      </c>
      <c r="ED73" s="395">
        <f t="shared" ca="1" si="288"/>
        <v>0</v>
      </c>
      <c r="EE73" s="395">
        <f t="shared" ca="1" si="288"/>
        <v>0</v>
      </c>
      <c r="EF73" s="395">
        <f t="shared" ref="EF73:EI73" ca="1" si="289">SUM(EF74:EF75)</f>
        <v>0</v>
      </c>
      <c r="EG73" s="395">
        <f t="shared" ca="1" si="289"/>
        <v>0</v>
      </c>
      <c r="EH73" s="395">
        <f t="shared" ca="1" si="289"/>
        <v>0</v>
      </c>
      <c r="EI73" s="395">
        <f t="shared" ca="1" si="289"/>
        <v>0</v>
      </c>
      <c r="EJ73" s="398"/>
      <c r="EK73" s="313"/>
    </row>
    <row r="74" spans="1:143" hidden="1" outlineLevel="2">
      <c r="A74" s="332"/>
      <c r="B74" s="549">
        <f>длительность!B176</f>
        <v>0.21958031763026498</v>
      </c>
      <c r="C74" s="317"/>
      <c r="D74" s="317" t="s">
        <v>664</v>
      </c>
      <c r="E74" s="318">
        <f ca="1">IF(F74=0,0,B74-F74)</f>
        <v>0</v>
      </c>
      <c r="F74" s="397">
        <f ca="1">SUM(G74:EJ74)</f>
        <v>0.21958031763026498</v>
      </c>
      <c r="G74" s="395"/>
      <c r="H74" s="395">
        <f ca="1">IF(SUM($G74:G74)=$B74,0,IF(J75&gt;0%,$B74,0%))</f>
        <v>0.21958031763026498</v>
      </c>
      <c r="I74" s="395">
        <f ca="1">IF(SUM($G74:H74)=$B74,0,IF(K75&gt;0%,$B74,0%))</f>
        <v>0</v>
      </c>
      <c r="J74" s="395">
        <f ca="1">IF(SUM($G74:I74)=$B74,0,IF(L75&gt;0%,$B74,0%))</f>
        <v>0</v>
      </c>
      <c r="K74" s="395">
        <f ca="1">IF(SUM($G74:J74)=$B74,0,IF(M75&gt;0%,$B74,0%))</f>
        <v>0</v>
      </c>
      <c r="L74" s="395">
        <f ca="1">IF(SUM($G74:K74)=$B74,0,IF(N75&gt;0%,$B74,0%))</f>
        <v>0</v>
      </c>
      <c r="M74" s="395">
        <f ca="1">IF(SUM($G74:L74)=$B74,0,IF(O75&gt;0%,$B74,0%))</f>
        <v>0</v>
      </c>
      <c r="N74" s="395">
        <f ca="1">IF(SUM($G74:M74)=$B74,0,IF(P75&gt;0%,$B74,0%))</f>
        <v>0</v>
      </c>
      <c r="O74" s="395">
        <f ca="1">IF(SUM($G74:N74)=$B74,0,IF(Q75&gt;0%,$B74,0%))</f>
        <v>0</v>
      </c>
      <c r="P74" s="395">
        <f ca="1">IF(SUM($G74:O74)=$B74,0,IF(R75&gt;0%,$B74,0%))</f>
        <v>0</v>
      </c>
      <c r="Q74" s="395">
        <f ca="1">IF(SUM($G74:P74)=$B74,0,IF(S75&gt;0%,$B74,0%))</f>
        <v>0</v>
      </c>
      <c r="R74" s="395">
        <f ca="1">IF(SUM($G74:Q74)=$B74,0,IF(T75&gt;0%,$B74,0%))</f>
        <v>0</v>
      </c>
      <c r="S74" s="395">
        <f ca="1">IF(SUM($G74:R74)=$B74,0,IF(U75&gt;0%,$B74,0%))</f>
        <v>0</v>
      </c>
      <c r="T74" s="395">
        <f ca="1">IF(SUM($G74:S74)=$B74,0,IF(V75&gt;0%,$B74,0%))</f>
        <v>0</v>
      </c>
      <c r="U74" s="395">
        <f ca="1">IF(SUM($G74:T74)=$B74,0,IF(W75&gt;0%,$B74,0%))</f>
        <v>0</v>
      </c>
      <c r="V74" s="395">
        <f ca="1">IF(SUM($G74:U74)=$B74,0,IF(X75&gt;0%,$B74,0%))</f>
        <v>0</v>
      </c>
      <c r="W74" s="395">
        <f ca="1">IF(SUM($G74:V74)=$B74,0,IF(Y75&gt;0%,$B74,0%))</f>
        <v>0</v>
      </c>
      <c r="X74" s="395">
        <f ca="1">IF(SUM($G74:W74)=$B74,0,IF(Z75&gt;0%,$B74,0%))</f>
        <v>0</v>
      </c>
      <c r="Y74" s="395">
        <f ca="1">IF(SUM($G74:X74)=$B74,0,IF(AA75&gt;0%,$B74,0%))</f>
        <v>0</v>
      </c>
      <c r="Z74" s="395">
        <f ca="1">IF(SUM($G74:Y74)=$B74,0,IF(AB75&gt;0%,$B74,0%))</f>
        <v>0</v>
      </c>
      <c r="AA74" s="395">
        <f ca="1">IF(SUM($G74:Z74)=$B74,0,IF(AC75&gt;0%,$B74,0%))</f>
        <v>0</v>
      </c>
      <c r="AB74" s="395">
        <f ca="1">IF(SUM($G74:AA74)=$B74,0,IF(AD75&gt;0%,$B74,0%))</f>
        <v>0</v>
      </c>
      <c r="AC74" s="395">
        <f ca="1">IF(SUM($G74:AB74)=$B74,0,IF(AE75&gt;0%,$B74,0%))</f>
        <v>0</v>
      </c>
      <c r="AD74" s="395">
        <f ca="1">IF(SUM($G74:AC74)=$B74,0,IF(AF75&gt;0%,$B74,0%))</f>
        <v>0</v>
      </c>
      <c r="AE74" s="395">
        <f ca="1">IF(SUM($G74:AD74)=$B74,0,IF(AG75&gt;0%,$B74,0%))</f>
        <v>0</v>
      </c>
      <c r="AF74" s="395">
        <f ca="1">IF(SUM($G74:AE74)=$B74,0,IF(AH75&gt;0%,$B74,0%))</f>
        <v>0</v>
      </c>
      <c r="AG74" s="395">
        <f ca="1">IF(SUM($G74:AF74)=$B74,0,IF(AI75&gt;0%,$B74,0%))</f>
        <v>0</v>
      </c>
      <c r="AH74" s="395">
        <f ca="1">IF(SUM($G74:AG74)=$B74,0,IF(AJ75&gt;0%,$B74,0%))</f>
        <v>0</v>
      </c>
      <c r="AI74" s="395">
        <f ca="1">IF(SUM($G74:AH74)=$B74,0,IF(AK75&gt;0%,$B74,0%))</f>
        <v>0</v>
      </c>
      <c r="AJ74" s="395">
        <f ca="1">IF(SUM($G74:AI74)=$B74,0,IF(AL75&gt;0%,$B74,0%))</f>
        <v>0</v>
      </c>
      <c r="AK74" s="395">
        <f ca="1">IF(SUM($G74:AJ74)=$B74,0,IF(AM75&gt;0%,$B74,0%))</f>
        <v>0</v>
      </c>
      <c r="AL74" s="395">
        <f ca="1">IF(SUM($G74:AK74)=$B74,0,IF(AN75&gt;0%,$B74,0%))</f>
        <v>0</v>
      </c>
      <c r="AM74" s="395">
        <f ca="1">IF(SUM($G74:AL74)=$B74,0,IF(AO75&gt;0%,$B74,0%))</f>
        <v>0</v>
      </c>
      <c r="AN74" s="395">
        <f ca="1">IF(SUM($G74:AM74)=$B74,0,IF(AP75&gt;0%,$B74,0%))</f>
        <v>0</v>
      </c>
      <c r="AO74" s="395">
        <f ca="1">IF(SUM($G74:AN74)=$B74,0,IF(AQ75&gt;0%,$B74,0%))</f>
        <v>0</v>
      </c>
      <c r="AP74" s="395">
        <f ca="1">IF(SUM($G74:AO74)=$B74,0,IF(AR75&gt;0%,$B74,0%))</f>
        <v>0</v>
      </c>
      <c r="AQ74" s="395">
        <f ca="1">IF(SUM($G74:AP74)=$B74,0,IF(AS75&gt;0%,$B74,0%))</f>
        <v>0</v>
      </c>
      <c r="AR74" s="395">
        <f ca="1">IF(SUM($G74:AQ74)=$B74,0,IF(AT75&gt;0%,$B74,0%))</f>
        <v>0</v>
      </c>
      <c r="AS74" s="395">
        <f ca="1">IF(SUM($G74:AR74)=$B74,0,IF(AU75&gt;0%,$B74,0%))</f>
        <v>0</v>
      </c>
      <c r="AT74" s="395">
        <f ca="1">IF(SUM($G74:AS74)=$B74,0,IF(AV75&gt;0%,$B74,0%))</f>
        <v>0</v>
      </c>
      <c r="AU74" s="395">
        <f ca="1">IF(SUM($G74:AT74)=$B74,0,IF(AW75&gt;0%,$B74,0%))</f>
        <v>0</v>
      </c>
      <c r="AV74" s="395">
        <f ca="1">IF(SUM($G74:AU74)=$B74,0,IF(AX75&gt;0%,$B74,0%))</f>
        <v>0</v>
      </c>
      <c r="AW74" s="395">
        <f ca="1">IF(SUM($G74:AV74)=$B74,0,IF(AY75&gt;0%,$B74,0%))</f>
        <v>0</v>
      </c>
      <c r="AX74" s="395">
        <f ca="1">IF(SUM($G74:AW74)=$B74,0,IF(AZ75&gt;0%,$B74,0%))</f>
        <v>0</v>
      </c>
      <c r="AY74" s="395">
        <f ca="1">IF(SUM($G74:AX74)=$B74,0,IF(BA75&gt;0%,$B74,0%))</f>
        <v>0</v>
      </c>
      <c r="AZ74" s="395">
        <f ca="1">IF(SUM($G74:AY74)=$B74,0,IF(BB75&gt;0%,$B74,0%))</f>
        <v>0</v>
      </c>
      <c r="BA74" s="395">
        <f ca="1">IF(SUM($G74:AZ74)=$B74,0,IF(BC75&gt;0%,$B74,0%))</f>
        <v>0</v>
      </c>
      <c r="BB74" s="395">
        <f ca="1">IF(SUM($G74:BA74)=$B74,0,IF(BD75&gt;0%,$B74,0%))</f>
        <v>0</v>
      </c>
      <c r="BC74" s="395">
        <f ca="1">IF(SUM($G74:BB74)=$B74,0,IF(BE75&gt;0%,$B74,0%))</f>
        <v>0</v>
      </c>
      <c r="BD74" s="395">
        <f ca="1">IF(SUM($G74:BC74)=$B74,0,IF(BF75&gt;0%,$B74,0%))</f>
        <v>0</v>
      </c>
      <c r="BE74" s="395">
        <f ca="1">IF(SUM($G74:BD74)=$B74,0,IF(BG75&gt;0%,$B74,0%))</f>
        <v>0</v>
      </c>
      <c r="BF74" s="395">
        <f ca="1">IF(SUM($G74:BE74)=$B74,0,IF(BH75&gt;0%,$B74,0%))</f>
        <v>0</v>
      </c>
      <c r="BG74" s="395">
        <f ca="1">IF(SUM($G74:BF74)=$B74,0,IF(BI75&gt;0%,$B74,0%))</f>
        <v>0</v>
      </c>
      <c r="BH74" s="395">
        <f ca="1">IF(SUM($G74:BG74)=$B74,0,IF(BJ75&gt;0%,$B74,0%))</f>
        <v>0</v>
      </c>
      <c r="BI74" s="395">
        <f ca="1">IF(SUM($G74:BH74)=$B74,0,IF(BK75&gt;0%,$B74,0%))</f>
        <v>0</v>
      </c>
      <c r="BJ74" s="395">
        <f ca="1">IF(SUM($G74:BI74)=$B74,0,IF(BL75&gt;0%,$B74,0%))</f>
        <v>0</v>
      </c>
      <c r="BK74" s="395">
        <f ca="1">IF(SUM($G74:BJ74)=$B74,0,IF(BM75&gt;0%,$B74,0%))</f>
        <v>0</v>
      </c>
      <c r="BL74" s="395">
        <f ca="1">IF(SUM($G74:BK74)=$B74,0,IF(BN75&gt;0%,$B74,0%))</f>
        <v>0</v>
      </c>
      <c r="BM74" s="395">
        <f ca="1">IF(SUM($G74:BL74)=$B74,0,IF(BO75&gt;0%,$B74,0%))</f>
        <v>0</v>
      </c>
      <c r="BN74" s="395">
        <f ca="1">IF(SUM($G74:BM74)=$B74,0,IF(BP75&gt;0%,$B74,0%))</f>
        <v>0</v>
      </c>
      <c r="BO74" s="395">
        <f ca="1">IF(SUM($G74:BN74)=$B74,0,IF(BQ75&gt;0%,$B74,0%))</f>
        <v>0</v>
      </c>
      <c r="BP74" s="395">
        <f ca="1">IF(SUM($G74:BO74)=$B74,0,IF(BR75&gt;0%,$B74,0%))</f>
        <v>0</v>
      </c>
      <c r="BQ74" s="395">
        <f ca="1">IF(SUM($G74:BP74)=$B74,0,IF(BS75&gt;0%,$B74,0%))</f>
        <v>0</v>
      </c>
      <c r="BR74" s="395">
        <f ca="1">IF(SUM($G74:BQ74)=$B74,0,IF(BT75&gt;0%,$B74,0%))</f>
        <v>0</v>
      </c>
      <c r="BS74" s="395">
        <f ca="1">IF(SUM($G74:BR74)=$B74,0,IF(BU75&gt;0%,$B74,0%))</f>
        <v>0</v>
      </c>
      <c r="BT74" s="395">
        <f ca="1">IF(SUM($G74:BS74)=$B74,0,IF(BV75&gt;0%,$B74,0%))</f>
        <v>0</v>
      </c>
      <c r="BU74" s="395">
        <f ca="1">IF(SUM($G74:BT74)=$B74,0,IF(BW75&gt;0%,$B74,0%))</f>
        <v>0</v>
      </c>
      <c r="BV74" s="395">
        <f ca="1">IF(SUM($G74:BU74)=$B74,0,IF(BX75&gt;0%,$B74,0%))</f>
        <v>0</v>
      </c>
      <c r="BW74" s="395">
        <f ca="1">IF(SUM($G74:BV74)=$B74,0,IF(BY75&gt;0%,$B74,0%))</f>
        <v>0</v>
      </c>
      <c r="BX74" s="395">
        <f ca="1">IF(SUM($G74:BW74)=$B74,0,IF(BZ75&gt;0%,$B74,0%))</f>
        <v>0</v>
      </c>
      <c r="BY74" s="395">
        <f ca="1">IF(SUM($G74:BX74)=$B74,0,IF(CA75&gt;0%,$B74,0%))</f>
        <v>0</v>
      </c>
      <c r="BZ74" s="395">
        <f ca="1">IF(SUM($G74:BY74)=$B74,0,IF(CB75&gt;0%,$B74,0%))</f>
        <v>0</v>
      </c>
      <c r="CA74" s="395">
        <f ca="1">IF(SUM($G74:BZ74)=$B74,0,IF(CC75&gt;0%,$B74,0%))</f>
        <v>0</v>
      </c>
      <c r="CB74" s="395">
        <f ca="1">IF(SUM($G74:CA74)=$B74,0,IF(CD75&gt;0%,$B74,0%))</f>
        <v>0</v>
      </c>
      <c r="CC74" s="395">
        <f ca="1">IF(SUM($G74:CB74)=$B74,0,IF(CE75&gt;0%,$B74,0%))</f>
        <v>0</v>
      </c>
      <c r="CD74" s="395">
        <f ca="1">IF(SUM($G74:CC74)=$B74,0,IF(CF75&gt;0%,$B74,0%))</f>
        <v>0</v>
      </c>
      <c r="CE74" s="395">
        <f ca="1">IF(SUM($G74:CD74)=$B74,0,IF(CG75&gt;0%,$B74,0%))</f>
        <v>0</v>
      </c>
      <c r="CF74" s="395">
        <f ca="1">IF(SUM($G74:CE74)=$B74,0,IF(CH75&gt;0%,$B74,0%))</f>
        <v>0</v>
      </c>
      <c r="CG74" s="395">
        <f ca="1">IF(SUM($G74:CF74)=$B74,0,IF(CI75&gt;0%,$B74,0%))</f>
        <v>0</v>
      </c>
      <c r="CH74" s="395">
        <f ca="1">IF(SUM($G74:CG74)=$B74,0,IF(CJ75&gt;0%,$B74,0%))</f>
        <v>0</v>
      </c>
      <c r="CI74" s="395">
        <f ca="1">IF(SUM($G74:CH74)=$B74,0,IF(CK75&gt;0%,$B74,0%))</f>
        <v>0</v>
      </c>
      <c r="CJ74" s="395">
        <f ca="1">IF(SUM($G74:CI74)=$B74,0,IF(CL75&gt;0%,$B74,0%))</f>
        <v>0</v>
      </c>
      <c r="CK74" s="395">
        <f ca="1">IF(SUM($G74:CJ74)=$B74,0,IF(CM75&gt;0%,$B74,0%))</f>
        <v>0</v>
      </c>
      <c r="CL74" s="395">
        <f ca="1">IF(SUM($G74:CK74)=$B74,0,IF(CN75&gt;0%,$B74,0%))</f>
        <v>0</v>
      </c>
      <c r="CM74" s="395">
        <f ca="1">IF(SUM($G74:CL74)=$B74,0,IF(CO75&gt;0%,$B74,0%))</f>
        <v>0</v>
      </c>
      <c r="CN74" s="395">
        <f ca="1">IF(SUM($G74:CM74)=$B74,0,IF(CP75&gt;0%,$B74,0%))</f>
        <v>0</v>
      </c>
      <c r="CO74" s="395">
        <f ca="1">IF(SUM($G74:CN74)=$B74,0,IF(CQ75&gt;0%,$B74,0%))</f>
        <v>0</v>
      </c>
      <c r="CP74" s="395">
        <f ca="1">IF(SUM($G74:CO74)=$B74,0,IF(CR75&gt;0%,$B74,0%))</f>
        <v>0</v>
      </c>
      <c r="CQ74" s="395">
        <f ca="1">IF(SUM($G74:CP74)=$B74,0,IF(CS75&gt;0%,$B74,0%))</f>
        <v>0</v>
      </c>
      <c r="CR74" s="395">
        <f ca="1">IF(SUM($G74:CQ74)=$B74,0,IF(CT75&gt;0%,$B74,0%))</f>
        <v>0</v>
      </c>
      <c r="CS74" s="395">
        <f ca="1">IF(SUM($G74:CR74)=$B74,0,IF(CU75&gt;0%,$B74,0%))</f>
        <v>0</v>
      </c>
      <c r="CT74" s="395">
        <f ca="1">IF(SUM($G74:CS74)=$B74,0,IF(CV75&gt;0%,$B74,0%))</f>
        <v>0</v>
      </c>
      <c r="CU74" s="395">
        <f ca="1">IF(SUM($G74:CT74)=$B74,0,IF(CW75&gt;0%,$B74,0%))</f>
        <v>0</v>
      </c>
      <c r="CV74" s="395">
        <f ca="1">IF(SUM($G74:CU74)=$B74,0,IF(CX75&gt;0%,$B74,0%))</f>
        <v>0</v>
      </c>
      <c r="CW74" s="395">
        <f ca="1">IF(SUM($G74:CV74)=$B74,0,IF(CY75&gt;0%,$B74,0%))</f>
        <v>0</v>
      </c>
      <c r="CX74" s="395">
        <f ca="1">IF(SUM($G74:CW74)=$B74,0,IF(CZ75&gt;0%,$B74,0%))</f>
        <v>0</v>
      </c>
      <c r="CY74" s="395">
        <f ca="1">IF(SUM($G74:CX74)=$B74,0,IF(DA75&gt;0%,$B74,0%))</f>
        <v>0</v>
      </c>
      <c r="CZ74" s="395">
        <f ca="1">IF(SUM($G74:CY74)=$B74,0,IF(DB75&gt;0%,$B74,0%))</f>
        <v>0</v>
      </c>
      <c r="DA74" s="395">
        <f ca="1">IF(SUM($G74:CZ74)=$B74,0,IF(DC75&gt;0%,$B74,0%))</f>
        <v>0</v>
      </c>
      <c r="DB74" s="395">
        <f ca="1">IF(SUM($G74:DA74)=$B74,0,IF(DD75&gt;0%,$B74,0%))</f>
        <v>0</v>
      </c>
      <c r="DC74" s="395">
        <f ca="1">IF(SUM($G74:DB74)=$B74,0,IF(DE75&gt;0%,$B74,0%))</f>
        <v>0</v>
      </c>
      <c r="DD74" s="395">
        <f ca="1">IF(SUM($G74:DC74)=$B74,0,IF(DF75&gt;0%,$B74,0%))</f>
        <v>0</v>
      </c>
      <c r="DE74" s="395">
        <f ca="1">IF(SUM($G74:DD74)=$B74,0,IF(DG75&gt;0%,$B74,0%))</f>
        <v>0</v>
      </c>
      <c r="DF74" s="395">
        <f ca="1">IF(SUM($G74:DE74)=$B74,0,IF(DH75&gt;0%,$B74,0%))</f>
        <v>0</v>
      </c>
      <c r="DG74" s="395">
        <f ca="1">IF(SUM($G74:DF74)=$B74,0,IF(DI75&gt;0%,$B74,0%))</f>
        <v>0</v>
      </c>
      <c r="DH74" s="395">
        <f ca="1">IF(SUM($G74:DG74)=$B74,0,IF(DJ75&gt;0%,$B74,0%))</f>
        <v>0</v>
      </c>
      <c r="DI74" s="395">
        <f ca="1">IF(SUM($G74:DH74)=$B74,0,IF(DK75&gt;0%,$B74,0%))</f>
        <v>0</v>
      </c>
      <c r="DJ74" s="395">
        <f ca="1">IF(SUM($G74:DI74)=$B74,0,IF(DL75&gt;0%,$B74,0%))</f>
        <v>0</v>
      </c>
      <c r="DK74" s="395">
        <f ca="1">IF(SUM($G74:DJ74)=$B74,0,IF(DM75&gt;0%,$B74,0%))</f>
        <v>0</v>
      </c>
      <c r="DL74" s="395">
        <f ca="1">IF(SUM($G74:DK74)=$B74,0,IF(DN75&gt;0%,$B74,0%))</f>
        <v>0</v>
      </c>
      <c r="DM74" s="395">
        <f ca="1">IF(SUM($G74:DL74)=$B74,0,IF(DO75&gt;0%,$B74,0%))</f>
        <v>0</v>
      </c>
      <c r="DN74" s="395">
        <f ca="1">IF(SUM($G74:DM74)=$B74,0,IF(DP75&gt;0%,$B74,0%))</f>
        <v>0</v>
      </c>
      <c r="DO74" s="395">
        <f ca="1">IF(SUM($G74:DN74)=$B74,0,IF(DQ75&gt;0%,$B74,0%))</f>
        <v>0</v>
      </c>
      <c r="DP74" s="395">
        <f ca="1">IF(SUM($G74:DO74)=$B74,0,IF(DR75&gt;0%,$B74,0%))</f>
        <v>0</v>
      </c>
      <c r="DQ74" s="395">
        <f ca="1">IF(SUM($G74:DP74)=$B74,0,IF(DS75&gt;0%,$B74,0%))</f>
        <v>0</v>
      </c>
      <c r="DR74" s="395">
        <f ca="1">IF(SUM($G74:DQ74)=$B74,0,IF(DT75&gt;0%,$B74,0%))</f>
        <v>0</v>
      </c>
      <c r="DS74" s="395">
        <f ca="1">IF(SUM($G74:DR74)=$B74,0,IF(DU75&gt;0%,$B74,0%))</f>
        <v>0</v>
      </c>
      <c r="DT74" s="395">
        <f ca="1">IF(SUM($G74:DS74)=$B74,0,IF(DV75&gt;0%,$B74,0%))</f>
        <v>0</v>
      </c>
      <c r="DU74" s="395">
        <f ca="1">IF(SUM($G74:DT74)=$B74,0,IF(DW75&gt;0%,$B74,0%))</f>
        <v>0</v>
      </c>
      <c r="DV74" s="395">
        <f ca="1">IF(SUM($G74:DU74)=$B74,0,IF(DX75&gt;0%,$B74,0%))</f>
        <v>0</v>
      </c>
      <c r="DW74" s="395">
        <f ca="1">IF(SUM($G74:DV74)=$B74,0,IF(DY75&gt;0%,$B74,0%))</f>
        <v>0</v>
      </c>
      <c r="DX74" s="395">
        <f ca="1">IF(SUM($G74:DW74)=$B74,0,IF(DZ75&gt;0%,$B74,0%))</f>
        <v>0</v>
      </c>
      <c r="DY74" s="395">
        <f ca="1">IF(SUM($G74:DX74)=$B74,0,IF(EA75&gt;0%,$B74,0%))</f>
        <v>0</v>
      </c>
      <c r="DZ74" s="395">
        <f ca="1">IF(SUM($G74:DY74)=$B74,0,IF(EB75&gt;0%,$B74,0%))</f>
        <v>0</v>
      </c>
      <c r="EA74" s="395">
        <f ca="1">IF(SUM($G74:DZ74)=$B74,0,IF(EC75&gt;0%,$B74,0%))</f>
        <v>0</v>
      </c>
      <c r="EB74" s="395">
        <f ca="1">IF(SUM($G74:EA74)=$B74,0,IF(ED75&gt;0%,$B74,0%))</f>
        <v>0</v>
      </c>
      <c r="EC74" s="395">
        <f ca="1">IF(SUM($G74:EB74)=$B74,0,IF(EE75&gt;0%,$B74,0%))</f>
        <v>0</v>
      </c>
      <c r="ED74" s="395">
        <f ca="1">IF(SUM($G74:EC74)=$B74,0,IF(EF75&gt;0%,$B74,0%))</f>
        <v>0</v>
      </c>
      <c r="EE74" s="395">
        <f ca="1">IF(SUM($G74:ED74)=$B74,0,IF(EG75&gt;0%,$B74,0%))</f>
        <v>0</v>
      </c>
      <c r="EF74" s="395">
        <f ca="1">IF(SUM($G74:EE74)=$B74,0,IF(EH75&gt;0%,$B74,0%))</f>
        <v>0</v>
      </c>
      <c r="EG74" s="395">
        <f ca="1">IF(SUM($G74:EF74)=$B74,0,IF(EI75&gt;0%,$B74,0%))</f>
        <v>0</v>
      </c>
      <c r="EH74" s="395">
        <f ca="1">IF(SUM($G74:EG74)=$B74,0,IF(EJ75&gt;0%,$B74,0%))</f>
        <v>0</v>
      </c>
      <c r="EI74" s="395">
        <f ca="1">IF(SUM($G74:EH74)=$B74,0,IF(EK75&gt;0%,$B74,0%))</f>
        <v>0</v>
      </c>
      <c r="EJ74" s="398"/>
      <c r="EK74" s="313"/>
    </row>
    <row r="75" spans="1:143" hidden="1" outlineLevel="2">
      <c r="A75" s="332"/>
      <c r="B75" s="549">
        <f>длительность!C176</f>
        <v>0.78041968236973502</v>
      </c>
      <c r="C75" s="317"/>
      <c r="D75" s="317" t="s">
        <v>663</v>
      </c>
      <c r="E75" s="318">
        <f ca="1">IF(F75=0,0,B75-F75)</f>
        <v>-1.1102230246251565E-16</v>
      </c>
      <c r="F75" s="397">
        <f t="shared" ref="F75" ca="1" si="290">SUM(G75:EJ75)</f>
        <v>0.78041968236973513</v>
      </c>
      <c r="G75" s="395"/>
      <c r="H75" s="395"/>
      <c r="I75" s="395">
        <f ca="1">IF($E$233=0,0,IF(SUM($G75:H75)=$B75,0,IF(SUM($G233:H233)&gt;=$E233,($B75/$E233)*($E233-SUM($G233:G233)),($B75/$E233)*H233)))</f>
        <v>2.6013989412324502E-2</v>
      </c>
      <c r="J75" s="395">
        <f ca="1">IF($E$233=0,0,IF(SUM($G75:I75)=$B75,0,IF(SUM($G233:I233)&gt;=$E233,($B75/$E233)*($E233-SUM($G233:H233)),($B75/$E233)*I233)))</f>
        <v>0.11520481025457993</v>
      </c>
      <c r="K75" s="395">
        <f ca="1">IF($E$233=0,0,IF(SUM($G75:J75)=$B75,0,IF(SUM($G233:J233)&gt;=$E233,($B75/$E233)*($E233-SUM($G233:I233)),($B75/$E233)*J233)))</f>
        <v>0.1114885260528193</v>
      </c>
      <c r="L75" s="395">
        <f ca="1">IF($E$233=0,0,IF(SUM($G75:K75)=$B75,0,IF(SUM($G233:K233)&gt;=$E233,($B75/$E233)*($E233-SUM($G233:J233)),($B75/$E233)*K233)))</f>
        <v>0.11520481025457993</v>
      </c>
      <c r="M75" s="395">
        <f ca="1">IF($E$233=0,0,IF(SUM($G75:L75)=$B75,0,IF(SUM($G233:L233)&gt;=$E233,($B75/$E233)*($E233-SUM($G233:K233)),($B75/$E233)*L233)))</f>
        <v>0.11520481025457993</v>
      </c>
      <c r="N75" s="395">
        <f ca="1">IF($E$233=0,0,IF(SUM($G75:M75)=$B75,0,IF(SUM($G233:M233)&gt;=$E233,($B75/$E233)*($E233-SUM($G233:L233)),($B75/$E233)*M233)))</f>
        <v>0.1114885260528193</v>
      </c>
      <c r="O75" s="395">
        <f ca="1">IF($E$233=0,0,IF(SUM($G75:N75)=$B75,0,IF(SUM($G233:N233)&gt;=$E233,($B75/$E233)*($E233-SUM($G233:M233)),($B75/$E233)*N233)))</f>
        <v>0.11520481025457993</v>
      </c>
      <c r="P75" s="395">
        <f ca="1">IF($E$233=0,0,IF(SUM($G75:O75)=$B75,0,IF(SUM($G233:O233)&gt;=$E233,($B75/$E233)*($E233-SUM($G233:N233)),($B75/$E233)*O233)))</f>
        <v>7.0609399833452213E-2</v>
      </c>
      <c r="Q75" s="395">
        <f ca="1">IF($E$233=0,0,IF(SUM($G75:P75)=$B75,0,IF(SUM($G233:P233)&gt;=$E233,($B75/$E233)*($E233-SUM($G233:O233)),($B75/$E233)*P233)))</f>
        <v>0</v>
      </c>
      <c r="R75" s="395">
        <f ca="1">IF($E$233=0,0,IF(SUM($G75:Q75)=$B75,0,IF(SUM($G233:Q233)&gt;=$E233,($B75/$E233)*($E233-SUM($G233:P233)),($B75/$E233)*Q233)))</f>
        <v>0</v>
      </c>
      <c r="S75" s="395">
        <f ca="1">IF($E$233=0,0,IF(SUM($G75:R75)=$B75,0,IF(SUM($G233:R233)&gt;=$E233,($B75/$E233)*($E233-SUM($G233:Q233)),($B75/$E233)*R233)))</f>
        <v>0</v>
      </c>
      <c r="T75" s="395">
        <f ca="1">IF($E$233=0,0,IF(SUM($G75:S75)=$B75,0,IF(SUM($G233:S233)&gt;=$E233,($B75/$E233)*($E233-SUM($G233:R233)),($B75/$E233)*S233)))</f>
        <v>0</v>
      </c>
      <c r="U75" s="395">
        <f ca="1">IF($E$233=0,0,IF(SUM($G75:T75)=$B75,0,IF(SUM($G233:T233)&gt;=$E233,($B75/$E233)*($E233-SUM($G233:S233)),($B75/$E233)*T233)))</f>
        <v>0</v>
      </c>
      <c r="V75" s="395">
        <f ca="1">IF($E$233=0,0,IF(SUM($G75:U75)=$B75,0,IF(SUM($G233:U233)&gt;=$E233,($B75/$E233)*($E233-SUM($G233:T233)),($B75/$E233)*U233)))</f>
        <v>0</v>
      </c>
      <c r="W75" s="395">
        <f ca="1">IF($E$233=0,0,IF(SUM($G75:V75)=$B75,0,IF(SUM($G233:V233)&gt;=$E233,($B75/$E233)*($E233-SUM($G233:U233)),($B75/$E233)*V233)))</f>
        <v>0</v>
      </c>
      <c r="X75" s="395">
        <f ca="1">IF($E$233=0,0,IF(SUM($G75:W75)=$B75,0,IF(SUM($G233:W233)&gt;=$E233,($B75/$E233)*($E233-SUM($G233:V233)),($B75/$E233)*W233)))</f>
        <v>0</v>
      </c>
      <c r="Y75" s="395">
        <f ca="1">IF($E$233=0,0,IF(SUM($G75:X75)=$B75,0,IF(SUM($G233:X233)&gt;=$E233,($B75/$E233)*($E233-SUM($G233:W233)),($B75/$E233)*X233)))</f>
        <v>0</v>
      </c>
      <c r="Z75" s="395">
        <f ca="1">IF($E$233=0,0,IF(SUM($G75:Y75)=$B75,0,IF(SUM($G233:Y233)&gt;=$E233,($B75/$E233)*($E233-SUM($G233:X233)),($B75/$E233)*Y233)))</f>
        <v>0</v>
      </c>
      <c r="AA75" s="395">
        <f ca="1">IF($E$233=0,0,IF(SUM($G75:Z75)=$B75,0,IF(SUM($G233:Z233)&gt;=$E233,($B75/$E233)*($E233-SUM($G233:Y233)),($B75/$E233)*Z233)))</f>
        <v>0</v>
      </c>
      <c r="AB75" s="395">
        <f ca="1">IF($E$233=0,0,IF(SUM($G75:AA75)=$B75,0,IF(SUM($G233:AA233)&gt;=$E233,($B75/$E233)*($E233-SUM($G233:Z233)),($B75/$E233)*AA233)))</f>
        <v>0</v>
      </c>
      <c r="AC75" s="395">
        <f ca="1">IF($E$233=0,0,IF(SUM($G75:AB75)=$B75,0,IF(SUM($G233:AB233)&gt;=$E233,($B75/$E233)*($E233-SUM($G233:AA233)),($B75/$E233)*AB233)))</f>
        <v>0</v>
      </c>
      <c r="AD75" s="395">
        <f ca="1">IF($E$233=0,0,IF(SUM($G75:AC75)=$B75,0,IF(SUM($G233:AC233)&gt;=$E233,($B75/$E233)*($E233-SUM($G233:AB233)),($B75/$E233)*AC233)))</f>
        <v>0</v>
      </c>
      <c r="AE75" s="395">
        <f ca="1">IF($E$233=0,0,IF(SUM($G75:AD75)=$B75,0,IF(SUM($G233:AD233)&gt;=$E233,($B75/$E233)*($E233-SUM($G233:AC233)),($B75/$E233)*AD233)))</f>
        <v>0</v>
      </c>
      <c r="AF75" s="395">
        <f ca="1">IF($E$233=0,0,IF(SUM($G75:AE75)=$B75,0,IF(SUM($G233:AE233)&gt;=$E233,($B75/$E233)*($E233-SUM($G233:AD233)),($B75/$E233)*AE233)))</f>
        <v>0</v>
      </c>
      <c r="AG75" s="395">
        <f ca="1">IF($E$233=0,0,IF(SUM($G75:AF75)=$B75,0,IF(SUM($G233:AF233)&gt;=$E233,($B75/$E233)*($E233-SUM($G233:AE233)),($B75/$E233)*AF233)))</f>
        <v>0</v>
      </c>
      <c r="AH75" s="395">
        <f ca="1">IF($E$233=0,0,IF(SUM($G75:AG75)=$B75,0,IF(SUM($G233:AG233)&gt;=$E233,($B75/$E233)*($E233-SUM($G233:AF233)),($B75/$E233)*AG233)))</f>
        <v>0</v>
      </c>
      <c r="AI75" s="395">
        <f ca="1">IF($E$233=0,0,IF(SUM($G75:AH75)=$B75,0,IF(SUM($G233:AH233)&gt;=$E233,($B75/$E233)*($E233-SUM($G233:AG233)),($B75/$E233)*AH233)))</f>
        <v>0</v>
      </c>
      <c r="AJ75" s="395">
        <f ca="1">IF($E$233=0,0,IF(SUM($G75:AI75)=$B75,0,IF(SUM($G233:AI233)&gt;=$E233,($B75/$E233)*($E233-SUM($G233:AH233)),($B75/$E233)*AI233)))</f>
        <v>0</v>
      </c>
      <c r="AK75" s="395">
        <f ca="1">IF($E$233=0,0,IF(SUM($G75:AJ75)=$B75,0,IF(SUM($G233:AJ233)&gt;=$E233,($B75/$E233)*($E233-SUM($G233:AI233)),($B75/$E233)*AJ233)))</f>
        <v>0</v>
      </c>
      <c r="AL75" s="395">
        <f ca="1">IF($E$233=0,0,IF(SUM($G75:AK75)=$B75,0,IF(SUM($G233:AK233)&gt;=$E233,($B75/$E233)*($E233-SUM($G233:AJ233)),($B75/$E233)*AK233)))</f>
        <v>0</v>
      </c>
      <c r="AM75" s="395">
        <f ca="1">IF($E$233=0,0,IF(SUM($G75:AL75)=$B75,0,IF(SUM($G233:AL233)&gt;=$E233,($B75/$E233)*($E233-SUM($G233:AK233)),($B75/$E233)*AL233)))</f>
        <v>0</v>
      </c>
      <c r="AN75" s="395">
        <f ca="1">IF($E$233=0,0,IF(SUM($G75:AM75)=$B75,0,IF(SUM($G233:AM233)&gt;=$E233,($B75/$E233)*($E233-SUM($G233:AL233)),($B75/$E233)*AM233)))</f>
        <v>0</v>
      </c>
      <c r="AO75" s="395">
        <f ca="1">IF($E$233=0,0,IF(SUM($G75:AN75)=$B75,0,IF(SUM($G233:AN233)&gt;=$E233,($B75/$E233)*($E233-SUM($G233:AM233)),($B75/$E233)*AN233)))</f>
        <v>0</v>
      </c>
      <c r="AP75" s="395">
        <f ca="1">IF($E$233=0,0,IF(SUM($G75:AO75)=$B75,0,IF(SUM($G233:AO233)&gt;=$E233,($B75/$E233)*($E233-SUM($G233:AN233)),($B75/$E233)*AO233)))</f>
        <v>0</v>
      </c>
      <c r="AQ75" s="395">
        <f ca="1">IF($E$233=0,0,IF(SUM($G75:AP75)=$B75,0,IF(SUM($G233:AP233)&gt;=$E233,($B75/$E233)*($E233-SUM($G233:AO233)),($B75/$E233)*AP233)))</f>
        <v>0</v>
      </c>
      <c r="AR75" s="395">
        <f ca="1">IF($E$233=0,0,IF(SUM($G75:AQ75)=$B75,0,IF(SUM($G233:AQ233)&gt;=$E233,($B75/$E233)*($E233-SUM($G233:AP233)),($B75/$E233)*AQ233)))</f>
        <v>0</v>
      </c>
      <c r="AS75" s="395">
        <f ca="1">IF($E$233=0,0,IF(SUM($G75:AR75)=$B75,0,IF(SUM($G233:AR233)&gt;=$E233,($B75/$E233)*($E233-SUM($G233:AQ233)),($B75/$E233)*AR233)))</f>
        <v>0</v>
      </c>
      <c r="AT75" s="395">
        <f ca="1">IF($E$233=0,0,IF(SUM($G75:AS75)=$B75,0,IF(SUM($G233:AS233)&gt;=$E233,($B75/$E233)*($E233-SUM($G233:AR233)),($B75/$E233)*AS233)))</f>
        <v>0</v>
      </c>
      <c r="AU75" s="395">
        <f ca="1">IF($E$233=0,0,IF(SUM($G75:AT75)=$B75,0,IF(SUM($G233:AT233)&gt;=$E233,($B75/$E233)*($E233-SUM($G233:AS233)),($B75/$E233)*AT233)))</f>
        <v>0</v>
      </c>
      <c r="AV75" s="395">
        <f ca="1">IF($E$233=0,0,IF(SUM($G75:AU75)=$B75,0,IF(SUM($G233:AU233)&gt;=$E233,($B75/$E233)*($E233-SUM($G233:AT233)),($B75/$E233)*AU233)))</f>
        <v>0</v>
      </c>
      <c r="AW75" s="395">
        <f ca="1">IF($E$233=0,0,IF(SUM($G75:AV75)=$B75,0,IF(SUM($G233:AV233)&gt;=$E233,($B75/$E233)*($E233-SUM($G233:AU233)),($B75/$E233)*AV233)))</f>
        <v>0</v>
      </c>
      <c r="AX75" s="395">
        <f ca="1">IF($E$233=0,0,IF(SUM($G75:AW75)=$B75,0,IF(SUM($G233:AW233)&gt;=$E233,($B75/$E233)*($E233-SUM($G233:AV233)),($B75/$E233)*AW233)))</f>
        <v>0</v>
      </c>
      <c r="AY75" s="395">
        <f ca="1">IF($E$233=0,0,IF(SUM($G75:AX75)=$B75,0,IF(SUM($G233:AX233)&gt;=$E233,($B75/$E233)*($E233-SUM($G233:AW233)),($B75/$E233)*AX233)))</f>
        <v>0</v>
      </c>
      <c r="AZ75" s="395">
        <f ca="1">IF($E$233=0,0,IF(SUM($G75:AY75)=$B75,0,IF(SUM($G233:AY233)&gt;=$E233,($B75/$E233)*($E233-SUM($G233:AX233)),($B75/$E233)*AY233)))</f>
        <v>0</v>
      </c>
      <c r="BA75" s="395">
        <f ca="1">IF($E$233=0,0,IF(SUM($G75:AZ75)=$B75,0,IF(SUM($G233:AZ233)&gt;=$E233,($B75/$E233)*($E233-SUM($G233:AY233)),($B75/$E233)*AZ233)))</f>
        <v>0</v>
      </c>
      <c r="BB75" s="395">
        <f ca="1">IF($E$233=0,0,IF(SUM($G75:BA75)=$B75,0,IF(SUM($G233:BA233)&gt;=$E233,($B75/$E233)*($E233-SUM($G233:AZ233)),($B75/$E233)*BA233)))</f>
        <v>0</v>
      </c>
      <c r="BC75" s="395">
        <f ca="1">IF($E$233=0,0,IF(SUM($G75:BB75)=$B75,0,IF(SUM($G233:BB233)&gt;=$E233,($B75/$E233)*($E233-SUM($G233:BA233)),($B75/$E233)*BB233)))</f>
        <v>0</v>
      </c>
      <c r="BD75" s="395">
        <f ca="1">IF($E$233=0,0,IF(SUM($G75:BC75)=$B75,0,IF(SUM($G233:BC233)&gt;=$E233,($B75/$E233)*($E233-SUM($G233:BB233)),($B75/$E233)*BC233)))</f>
        <v>0</v>
      </c>
      <c r="BE75" s="395">
        <f ca="1">IF($E$233=0,0,IF(SUM($G75:BD75)=$B75,0,IF(SUM($G233:BD233)&gt;=$E233,($B75/$E233)*($E233-SUM($G233:BC233)),($B75/$E233)*BD233)))</f>
        <v>0</v>
      </c>
      <c r="BF75" s="395">
        <f ca="1">IF($E$233=0,0,IF(SUM($G75:BE75)=$B75,0,IF(SUM($G233:BE233)&gt;=$E233,($B75/$E233)*($E233-SUM($G233:BD233)),($B75/$E233)*BE233)))</f>
        <v>0</v>
      </c>
      <c r="BG75" s="395">
        <f ca="1">IF($E$233=0,0,IF(SUM($G75:BF75)=$B75,0,IF(SUM($G233:BF233)&gt;=$E233,($B75/$E233)*($E233-SUM($G233:BE233)),($B75/$E233)*BF233)))</f>
        <v>0</v>
      </c>
      <c r="BH75" s="395">
        <f ca="1">IF($E$233=0,0,IF(SUM($G75:BG75)=$B75,0,IF(SUM($G233:BG233)&gt;=$E233,($B75/$E233)*($E233-SUM($G233:BF233)),($B75/$E233)*BG233)))</f>
        <v>0</v>
      </c>
      <c r="BI75" s="395">
        <f ca="1">IF($E$233=0,0,IF(SUM($G75:BH75)=$B75,0,IF(SUM($G233:BH233)&gt;=$E233,($B75/$E233)*($E233-SUM($G233:BG233)),($B75/$E233)*BH233)))</f>
        <v>0</v>
      </c>
      <c r="BJ75" s="395">
        <f ca="1">IF($E$233=0,0,IF(SUM($G75:BI75)=$B75,0,IF(SUM($G233:BI233)&gt;=$E233,($B75/$E233)*($E233-SUM($G233:BH233)),($B75/$E233)*BI233)))</f>
        <v>0</v>
      </c>
      <c r="BK75" s="395">
        <f ca="1">IF($E$233=0,0,IF(SUM($G75:BJ75)=$B75,0,IF(SUM($G233:BJ233)&gt;=$E233,($B75/$E233)*($E233-SUM($G233:BI233)),($B75/$E233)*BJ233)))</f>
        <v>0</v>
      </c>
      <c r="BL75" s="395">
        <f ca="1">IF($E$233=0,0,IF(SUM($G75:BK75)=$B75,0,IF(SUM($G233:BK233)&gt;=$E233,($B75/$E233)*($E233-SUM($G233:BJ233)),($B75/$E233)*BK233)))</f>
        <v>0</v>
      </c>
      <c r="BM75" s="395">
        <f ca="1">IF($E$233=0,0,IF(SUM($G75:BL75)=$B75,0,IF(SUM($G233:BL233)&gt;=$E233,($B75/$E233)*($E233-SUM($G233:BK233)),($B75/$E233)*BL233)))</f>
        <v>0</v>
      </c>
      <c r="BN75" s="395">
        <f ca="1">IF($E$233=0,0,IF(SUM($G75:BM75)=$B75,0,IF(SUM($G233:BM233)&gt;=$E233,($B75/$E233)*($E233-SUM($G233:BL233)),($B75/$E233)*BM233)))</f>
        <v>0</v>
      </c>
      <c r="BO75" s="395">
        <f ca="1">IF($E$233=0,0,IF(SUM($G75:BN75)=$B75,0,IF(SUM($G233:BN233)&gt;=$E233,($B75/$E233)*($E233-SUM($G233:BM233)),($B75/$E233)*BN233)))</f>
        <v>0</v>
      </c>
      <c r="BP75" s="395">
        <f ca="1">IF($E$233=0,0,IF(SUM($G75:BO75)=$B75,0,IF(SUM($G233:BO233)&gt;=$E233,($B75/$E233)*($E233-SUM($G233:BN233)),($B75/$E233)*BO233)))</f>
        <v>0</v>
      </c>
      <c r="BQ75" s="395">
        <f ca="1">IF($E$233=0,0,IF(SUM($G75:BP75)=$B75,0,IF(SUM($G233:BP233)&gt;=$E233,($B75/$E233)*($E233-SUM($G233:BO233)),($B75/$E233)*BP233)))</f>
        <v>0</v>
      </c>
      <c r="BR75" s="395">
        <f ca="1">IF($E$233=0,0,IF(SUM($G75:BQ75)=$B75,0,IF(SUM($G233:BQ233)&gt;=$E233,($B75/$E233)*($E233-SUM($G233:BP233)),($B75/$E233)*BQ233)))</f>
        <v>0</v>
      </c>
      <c r="BS75" s="395">
        <f ca="1">IF($E$233=0,0,IF(SUM($G75:BR75)=$B75,0,IF(SUM($G233:BR233)&gt;=$E233,($B75/$E233)*($E233-SUM($G233:BQ233)),($B75/$E233)*BR233)))</f>
        <v>0</v>
      </c>
      <c r="BT75" s="395">
        <f ca="1">IF($E$233=0,0,IF(SUM($G75:BS75)=$B75,0,IF(SUM($G233:BS233)&gt;=$E233,($B75/$E233)*($E233-SUM($G233:BR233)),($B75/$E233)*BS233)))</f>
        <v>0</v>
      </c>
      <c r="BU75" s="395">
        <f ca="1">IF($E$233=0,0,IF(SUM($G75:BT75)=$B75,0,IF(SUM($G233:BT233)&gt;=$E233,($B75/$E233)*($E233-SUM($G233:BS233)),($B75/$E233)*BT233)))</f>
        <v>0</v>
      </c>
      <c r="BV75" s="395">
        <f ca="1">IF($E$233=0,0,IF(SUM($G75:BU75)=$B75,0,IF(SUM($G233:BU233)&gt;=$E233,($B75/$E233)*($E233-SUM($G233:BT233)),($B75/$E233)*BU233)))</f>
        <v>0</v>
      </c>
      <c r="BW75" s="395">
        <f ca="1">IF($E$233=0,0,IF(SUM($G75:BV75)=$B75,0,IF(SUM($G233:BV233)&gt;=$E233,($B75/$E233)*($E233-SUM($G233:BU233)),($B75/$E233)*BV233)))</f>
        <v>0</v>
      </c>
      <c r="BX75" s="395">
        <f ca="1">IF($E$233=0,0,IF(SUM($G75:BW75)=$B75,0,IF(SUM($G233:BW233)&gt;=$E233,($B75/$E233)*($E233-SUM($G233:BV233)),($B75/$E233)*BW233)))</f>
        <v>0</v>
      </c>
      <c r="BY75" s="395">
        <f ca="1">IF($E$233=0,0,IF(SUM($G75:BX75)=$B75,0,IF(SUM($G233:BX233)&gt;=$E233,($B75/$E233)*($E233-SUM($G233:BW233)),($B75/$E233)*BX233)))</f>
        <v>0</v>
      </c>
      <c r="BZ75" s="395">
        <f ca="1">IF($E$233=0,0,IF(SUM($G75:BY75)=$B75,0,IF(SUM($G233:BY233)&gt;=$E233,($B75/$E233)*($E233-SUM($G233:BX233)),($B75/$E233)*BY233)))</f>
        <v>0</v>
      </c>
      <c r="CA75" s="395">
        <f ca="1">IF($E$233=0,0,IF(SUM($G75:BZ75)=$B75,0,IF(SUM($G233:BZ233)&gt;=$E233,($B75/$E233)*($E233-SUM($G233:BY233)),($B75/$E233)*BZ233)))</f>
        <v>0</v>
      </c>
      <c r="CB75" s="395">
        <f ca="1">IF($E$233=0,0,IF(SUM($G75:CA75)=$B75,0,IF(SUM($G233:CA233)&gt;=$E233,($B75/$E233)*($E233-SUM($G233:BZ233)),($B75/$E233)*CA233)))</f>
        <v>0</v>
      </c>
      <c r="CC75" s="395">
        <f ca="1">IF($E$233=0,0,IF(SUM($G75:CB75)=$B75,0,IF(SUM($G233:CB233)&gt;=$E233,($B75/$E233)*($E233-SUM($G233:CA233)),($B75/$E233)*CB233)))</f>
        <v>0</v>
      </c>
      <c r="CD75" s="395">
        <f ca="1">IF($E$233=0,0,IF(SUM($G75:CC75)=$B75,0,IF(SUM($G233:CC233)&gt;=$E233,($B75/$E233)*($E233-SUM($G233:CB233)),($B75/$E233)*CC233)))</f>
        <v>0</v>
      </c>
      <c r="CE75" s="395">
        <f ca="1">IF($E$233=0,0,IF(SUM($G75:CD75)=$B75,0,IF(SUM($G233:CD233)&gt;=$E233,($B75/$E233)*($E233-SUM($G233:CC233)),($B75/$E233)*CD233)))</f>
        <v>0</v>
      </c>
      <c r="CF75" s="395">
        <f ca="1">IF($E$233=0,0,IF(SUM($G75:CE75)=$B75,0,IF(SUM($G233:CE233)&gt;=$E233,($B75/$E233)*($E233-SUM($G233:CD233)),($B75/$E233)*CE233)))</f>
        <v>0</v>
      </c>
      <c r="CG75" s="395">
        <f ca="1">IF($E$233=0,0,IF(SUM($G75:CF75)=$B75,0,IF(SUM($G233:CF233)&gt;=$E233,($B75/$E233)*($E233-SUM($G233:CE233)),($B75/$E233)*CF233)))</f>
        <v>0</v>
      </c>
      <c r="CH75" s="395">
        <f ca="1">IF($E$233=0,0,IF(SUM($G75:CG75)=$B75,0,IF(SUM($G233:CG233)&gt;=$E233,($B75/$E233)*($E233-SUM($G233:CF233)),($B75/$E233)*CG233)))</f>
        <v>0</v>
      </c>
      <c r="CI75" s="395">
        <f ca="1">IF($E$233=0,0,IF(SUM($G75:CH75)=$B75,0,IF(SUM($G233:CH233)&gt;=$E233,($B75/$E233)*($E233-SUM($G233:CG233)),($B75/$E233)*CH233)))</f>
        <v>0</v>
      </c>
      <c r="CJ75" s="395">
        <f ca="1">IF($E$233=0,0,IF(SUM($G75:CI75)=$B75,0,IF(SUM($G233:CI233)&gt;=$E233,($B75/$E233)*($E233-SUM($G233:CH233)),($B75/$E233)*CI233)))</f>
        <v>0</v>
      </c>
      <c r="CK75" s="395">
        <f ca="1">IF($E$233=0,0,IF(SUM($G75:CJ75)=$B75,0,IF(SUM($G233:CJ233)&gt;=$E233,($B75/$E233)*($E233-SUM($G233:CI233)),($B75/$E233)*CJ233)))</f>
        <v>0</v>
      </c>
      <c r="CL75" s="395">
        <f ca="1">IF($E$233=0,0,IF(SUM($G75:CK75)=$B75,0,IF(SUM($G233:CK233)&gt;=$E233,($B75/$E233)*($E233-SUM($G233:CJ233)),($B75/$E233)*CK233)))</f>
        <v>0</v>
      </c>
      <c r="CM75" s="395">
        <f ca="1">IF($E$233=0,0,IF(SUM($G75:CL75)=$B75,0,IF(SUM($G233:CL233)&gt;=$E233,($B75/$E233)*($E233-SUM($G233:CK233)),($B75/$E233)*CL233)))</f>
        <v>0</v>
      </c>
      <c r="CN75" s="395">
        <f ca="1">IF($E$233=0,0,IF(SUM($G75:CM75)=$B75,0,IF(SUM($G233:CM233)&gt;=$E233,($B75/$E233)*($E233-SUM($G233:CL233)),($B75/$E233)*CM233)))</f>
        <v>0</v>
      </c>
      <c r="CO75" s="395">
        <f ca="1">IF($E$233=0,0,IF(SUM($G75:CN75)=$B75,0,IF(SUM($G233:CN233)&gt;=$E233,($B75/$E233)*($E233-SUM($G233:CM233)),($B75/$E233)*CN233)))</f>
        <v>0</v>
      </c>
      <c r="CP75" s="395">
        <f ca="1">IF($E$233=0,0,IF(SUM($G75:CO75)=$B75,0,IF(SUM($G233:CO233)&gt;=$E233,($B75/$E233)*($E233-SUM($G233:CN233)),($B75/$E233)*CO233)))</f>
        <v>0</v>
      </c>
      <c r="CQ75" s="395">
        <f ca="1">IF($E$233=0,0,IF(SUM($G75:CP75)=$B75,0,IF(SUM($G233:CP233)&gt;=$E233,($B75/$E233)*($E233-SUM($G233:CO233)),($B75/$E233)*CP233)))</f>
        <v>0</v>
      </c>
      <c r="CR75" s="395">
        <f ca="1">IF($E$233=0,0,IF(SUM($G75:CQ75)=$B75,0,IF(SUM($G233:CQ233)&gt;=$E233,($B75/$E233)*($E233-SUM($G233:CP233)),($B75/$E233)*CQ233)))</f>
        <v>0</v>
      </c>
      <c r="CS75" s="395">
        <f ca="1">IF($E$233=0,0,IF(SUM($G75:CR75)=$B75,0,IF(SUM($G233:CR233)&gt;=$E233,($B75/$E233)*($E233-SUM($G233:CQ233)),($B75/$E233)*CR233)))</f>
        <v>0</v>
      </c>
      <c r="CT75" s="395">
        <f ca="1">IF($E$233=0,0,IF(SUM($G75:CS75)=$B75,0,IF(SUM($G233:CS233)&gt;=$E233,($B75/$E233)*($E233-SUM($G233:CR233)),($B75/$E233)*CS233)))</f>
        <v>0</v>
      </c>
      <c r="CU75" s="395">
        <f ca="1">IF($E$233=0,0,IF(SUM($G75:CT75)=$B75,0,IF(SUM($G233:CT233)&gt;=$E233,($B75/$E233)*($E233-SUM($G233:CS233)),($B75/$E233)*CT233)))</f>
        <v>0</v>
      </c>
      <c r="CV75" s="395">
        <f ca="1">IF($E$233=0,0,IF(SUM($G75:CU75)=$B75,0,IF(SUM($G233:CU233)&gt;=$E233,($B75/$E233)*($E233-SUM($G233:CT233)),($B75/$E233)*CU233)))</f>
        <v>0</v>
      </c>
      <c r="CW75" s="395">
        <f ca="1">IF($E$233=0,0,IF(SUM($G75:CV75)=$B75,0,IF(SUM($G233:CV233)&gt;=$E233,($B75/$E233)*($E233-SUM($G233:CU233)),($B75/$E233)*CV233)))</f>
        <v>0</v>
      </c>
      <c r="CX75" s="395">
        <f ca="1">IF($E$233=0,0,IF(SUM($G75:CW75)=$B75,0,IF(SUM($G233:CW233)&gt;=$E233,($B75/$E233)*($E233-SUM($G233:CV233)),($B75/$E233)*CW233)))</f>
        <v>0</v>
      </c>
      <c r="CY75" s="395">
        <f ca="1">IF($E$233=0,0,IF(SUM($G75:CX75)=$B75,0,IF(SUM($G233:CX233)&gt;=$E233,($B75/$E233)*($E233-SUM($G233:CW233)),($B75/$E233)*CX233)))</f>
        <v>0</v>
      </c>
      <c r="CZ75" s="395">
        <f ca="1">IF($E$233=0,0,IF(SUM($G75:CY75)=$B75,0,IF(SUM($G233:CY233)&gt;=$E233,($B75/$E233)*($E233-SUM($G233:CX233)),($B75/$E233)*CY233)))</f>
        <v>0</v>
      </c>
      <c r="DA75" s="395">
        <f ca="1">IF($E$233=0,0,IF(SUM($G75:CZ75)=$B75,0,IF(SUM($G233:CZ233)&gt;=$E233,($B75/$E233)*($E233-SUM($G233:CY233)),($B75/$E233)*CZ233)))</f>
        <v>0</v>
      </c>
      <c r="DB75" s="395">
        <f ca="1">IF($E$233=0,0,IF(SUM($G75:DA75)=$B75,0,IF(SUM($G233:DA233)&gt;=$E233,($B75/$E233)*($E233-SUM($G233:CZ233)),($B75/$E233)*DA233)))</f>
        <v>0</v>
      </c>
      <c r="DC75" s="395">
        <f ca="1">IF($E$233=0,0,IF(SUM($G75:DB75)=$B75,0,IF(SUM($G233:DB233)&gt;=$E233,($B75/$E233)*($E233-SUM($G233:DA233)),($B75/$E233)*DB233)))</f>
        <v>0</v>
      </c>
      <c r="DD75" s="395">
        <f ca="1">IF($E$233=0,0,IF(SUM($G75:DC75)=$B75,0,IF(SUM($G233:DC233)&gt;=$E233,($B75/$E233)*($E233-SUM($G233:DB233)),($B75/$E233)*DC233)))</f>
        <v>0</v>
      </c>
      <c r="DE75" s="395">
        <f ca="1">IF($E$233=0,0,IF(SUM($G75:DD75)=$B75,0,IF(SUM($G233:DD233)&gt;=$E233,($B75/$E233)*($E233-SUM($G233:DC233)),($B75/$E233)*DD233)))</f>
        <v>0</v>
      </c>
      <c r="DF75" s="395">
        <f ca="1">IF($E$233=0,0,IF(SUM($G75:DE75)=$B75,0,IF(SUM($G233:DE233)&gt;=$E233,($B75/$E233)*($E233-SUM($G233:DD233)),($B75/$E233)*DE233)))</f>
        <v>0</v>
      </c>
      <c r="DG75" s="395">
        <f ca="1">IF($E$233=0,0,IF(SUM($G75:DF75)=$B75,0,IF(SUM($G233:DF233)&gt;=$E233,($B75/$E233)*($E233-SUM($G233:DE233)),($B75/$E233)*DF233)))</f>
        <v>0</v>
      </c>
      <c r="DH75" s="395">
        <f ca="1">IF($E$233=0,0,IF(SUM($G75:DG75)=$B75,0,IF(SUM($G233:DG233)&gt;=$E233,($B75/$E233)*($E233-SUM($G233:DF233)),($B75/$E233)*DG233)))</f>
        <v>0</v>
      </c>
      <c r="DI75" s="395">
        <f ca="1">IF($E$233=0,0,IF(SUM($G75:DH75)=$B75,0,IF(SUM($G233:DH233)&gt;=$E233,($B75/$E233)*($E233-SUM($G233:DG233)),($B75/$E233)*DH233)))</f>
        <v>0</v>
      </c>
      <c r="DJ75" s="395">
        <f ca="1">IF($E$233=0,0,IF(SUM($G75:DI75)=$B75,0,IF(SUM($G233:DI233)&gt;=$E233,($B75/$E233)*($E233-SUM($G233:DH233)),($B75/$E233)*DI233)))</f>
        <v>0</v>
      </c>
      <c r="DK75" s="395">
        <f ca="1">IF($E$233=0,0,IF(SUM($G75:DJ75)=$B75,0,IF(SUM($G233:DJ233)&gt;=$E233,($B75/$E233)*($E233-SUM($G233:DI233)),($B75/$E233)*DJ233)))</f>
        <v>0</v>
      </c>
      <c r="DL75" s="395">
        <f ca="1">IF($E$233=0,0,IF(SUM($G75:DK75)=$B75,0,IF(SUM($G233:DK233)&gt;=$E233,($B75/$E233)*($E233-SUM($G233:DJ233)),($B75/$E233)*DK233)))</f>
        <v>0</v>
      </c>
      <c r="DM75" s="395">
        <f ca="1">IF($E$233=0,0,IF(SUM($G75:DL75)=$B75,0,IF(SUM($G233:DL233)&gt;=$E233,($B75/$E233)*($E233-SUM($G233:DK233)),($B75/$E233)*DL233)))</f>
        <v>0</v>
      </c>
      <c r="DN75" s="395">
        <f ca="1">IF($E$233=0,0,IF(SUM($G75:DM75)=$B75,0,IF(SUM($G233:DM233)&gt;=$E233,($B75/$E233)*($E233-SUM($G233:DL233)),($B75/$E233)*DM233)))</f>
        <v>0</v>
      </c>
      <c r="DO75" s="395">
        <f ca="1">IF($E$233=0,0,IF(SUM($G75:DN75)=$B75,0,IF(SUM($G233:DN233)&gt;=$E233,($B75/$E233)*($E233-SUM($G233:DM233)),($B75/$E233)*DN233)))</f>
        <v>0</v>
      </c>
      <c r="DP75" s="395">
        <f ca="1">IF($E$233=0,0,IF(SUM($G75:DO75)=$B75,0,IF(SUM($G233:DO233)&gt;=$E233,($B75/$E233)*($E233-SUM($G233:DN233)),($B75/$E233)*DO233)))</f>
        <v>0</v>
      </c>
      <c r="DQ75" s="395">
        <f ca="1">IF($E$233=0,0,IF(SUM($G75:DP75)=$B75,0,IF(SUM($G233:DP233)&gt;=$E233,($B75/$E233)*($E233-SUM($G233:DO233)),($B75/$E233)*DP233)))</f>
        <v>0</v>
      </c>
      <c r="DR75" s="395">
        <f ca="1">IF($E$233=0,0,IF(SUM($G75:DQ75)=$B75,0,IF(SUM($G233:DQ233)&gt;=$E233,($B75/$E233)*($E233-SUM($G233:DP233)),($B75/$E233)*DQ233)))</f>
        <v>0</v>
      </c>
      <c r="DS75" s="395">
        <f ca="1">IF($E$233=0,0,IF(SUM($G75:DR75)=$B75,0,IF(SUM($G233:DR233)&gt;=$E233,($B75/$E233)*($E233-SUM($G233:DQ233)),($B75/$E233)*DR233)))</f>
        <v>0</v>
      </c>
      <c r="DT75" s="395">
        <f ca="1">IF($E$233=0,0,IF(SUM($G75:DS75)=$B75,0,IF(SUM($G233:DS233)&gt;=$E233,($B75/$E233)*($E233-SUM($G233:DR233)),($B75/$E233)*DS233)))</f>
        <v>0</v>
      </c>
      <c r="DU75" s="395">
        <f ca="1">IF($E$233=0,0,IF(SUM($G75:DT75)=$B75,0,IF(SUM($G233:DT233)&gt;=$E233,($B75/$E233)*($E233-SUM($G233:DS233)),($B75/$E233)*DT233)))</f>
        <v>0</v>
      </c>
      <c r="DV75" s="395">
        <f ca="1">IF($E$233=0,0,IF(SUM($G75:DU75)=$B75,0,IF(SUM($G233:DU233)&gt;=$E233,($B75/$E233)*($E233-SUM($G233:DT233)),($B75/$E233)*DU233)))</f>
        <v>0</v>
      </c>
      <c r="DW75" s="395">
        <f ca="1">IF($E$233=0,0,IF(SUM($G75:DV75)=$B75,0,IF(SUM($G233:DV233)&gt;=$E233,($B75/$E233)*($E233-SUM($G233:DU233)),($B75/$E233)*DV233)))</f>
        <v>0</v>
      </c>
      <c r="DX75" s="395">
        <f ca="1">IF($E$233=0,0,IF(SUM($G75:DW75)=$B75,0,IF(SUM($G233:DW233)&gt;=$E233,($B75/$E233)*($E233-SUM($G233:DV233)),($B75/$E233)*DW233)))</f>
        <v>0</v>
      </c>
      <c r="DY75" s="395">
        <f ca="1">IF($E$233=0,0,IF(SUM($G75:DX75)=$B75,0,IF(SUM($G233:DX233)&gt;=$E233,($B75/$E233)*($E233-SUM($G233:DW233)),($B75/$E233)*DX233)))</f>
        <v>0</v>
      </c>
      <c r="DZ75" s="395">
        <f ca="1">IF($E$233=0,0,IF(SUM($G75:DY75)=$B75,0,IF(SUM($G233:DY233)&gt;=$E233,($B75/$E233)*($E233-SUM($G233:DX233)),($B75/$E233)*DY233)))</f>
        <v>0</v>
      </c>
      <c r="EA75" s="395">
        <f ca="1">IF($E$233=0,0,IF(SUM($G75:DZ75)=$B75,0,IF(SUM($G233:DZ233)&gt;=$E233,($B75/$E233)*($E233-SUM($G233:DY233)),($B75/$E233)*DZ233)))</f>
        <v>0</v>
      </c>
      <c r="EB75" s="395">
        <f ca="1">IF($E$233=0,0,IF(SUM($G75:EA75)=$B75,0,IF(SUM($G233:EA233)&gt;=$E233,($B75/$E233)*($E233-SUM($G233:DZ233)),($B75/$E233)*EA233)))</f>
        <v>0</v>
      </c>
      <c r="EC75" s="395">
        <f ca="1">IF($E$233=0,0,IF(SUM($G75:EB75)=$B75,0,IF(SUM($G233:EB233)&gt;=$E233,($B75/$E233)*($E233-SUM($G233:EA233)),($B75/$E233)*EB233)))</f>
        <v>0</v>
      </c>
      <c r="ED75" s="395">
        <f ca="1">IF($E$233=0,0,IF(SUM($G75:EC75)=$B75,0,IF(SUM($G233:EC233)&gt;=$E233,($B75/$E233)*($E233-SUM($G233:EB233)),($B75/$E233)*EC233)))</f>
        <v>0</v>
      </c>
      <c r="EE75" s="395">
        <f ca="1">IF($E$233=0,0,IF(SUM($G75:ED75)=$B75,0,IF(SUM($G233:ED233)&gt;=$E233,($B75/$E233)*($E233-SUM($G233:EC233)),($B75/$E233)*ED233)))</f>
        <v>0</v>
      </c>
      <c r="EF75" s="395">
        <f ca="1">IF($E$233=0,0,IF(SUM($G75:EE75)=$B75,0,IF(SUM($G233:EE233)&gt;=$E233,($B75/$E233)*($E233-SUM($G233:ED233)),($B75/$E233)*EE233)))</f>
        <v>0</v>
      </c>
      <c r="EG75" s="395">
        <f ca="1">IF($E$233=0,0,IF(SUM($G75:EF75)=$B75,0,IF(SUM($G233:EF233)&gt;=$E233,($B75/$E233)*($E233-SUM($G233:EE233)),($B75/$E233)*EF233)))</f>
        <v>0</v>
      </c>
      <c r="EH75" s="395">
        <f ca="1">IF($E$233=0,0,IF(SUM($G75:EG75)=$B75,0,IF(SUM($G233:EG233)&gt;=$E233,($B75/$E233)*($E233-SUM($G233:EF233)),($B75/$E233)*EG233)))</f>
        <v>0</v>
      </c>
      <c r="EI75" s="395">
        <f ca="1">IF($E$233=0,0,IF(SUM($G75:EH75)=$B75,0,IF(SUM($G233:EH233)&gt;=$E233,($B75/$E233)*($E233-SUM($G233:EG233)),($B75/$E233)*EH233)))</f>
        <v>0</v>
      </c>
      <c r="EJ75" s="398"/>
      <c r="EK75" s="313"/>
    </row>
    <row r="76" spans="1:143" hidden="1" outlineLevel="1" collapsed="1">
      <c r="A76" s="332"/>
      <c r="B76" s="313"/>
      <c r="C76" s="392" t="s">
        <v>50</v>
      </c>
      <c r="D76" s="392" t="s">
        <v>560</v>
      </c>
      <c r="E76" s="393">
        <f ca="1">ROUND(IF(F76=0,0,100%-F76),0)</f>
        <v>0</v>
      </c>
      <c r="F76" s="394">
        <f ca="1">SUM(G76:EJ76)</f>
        <v>0.99999999999999989</v>
      </c>
      <c r="G76" s="395">
        <f>SUM(G77:G78)</f>
        <v>0</v>
      </c>
      <c r="H76" s="395">
        <f t="shared" ref="H76:BS76" ca="1" si="291">SUM(H77:H78)</f>
        <v>0</v>
      </c>
      <c r="I76" s="395">
        <f t="shared" ca="1" si="291"/>
        <v>0</v>
      </c>
      <c r="J76" s="395">
        <f t="shared" ca="1" si="291"/>
        <v>0</v>
      </c>
      <c r="K76" s="395">
        <f t="shared" ca="1" si="291"/>
        <v>0</v>
      </c>
      <c r="L76" s="395">
        <f t="shared" ca="1" si="291"/>
        <v>0</v>
      </c>
      <c r="M76" s="395">
        <f t="shared" ca="1" si="291"/>
        <v>0</v>
      </c>
      <c r="N76" s="395">
        <f t="shared" ca="1" si="291"/>
        <v>0.29944780137415283</v>
      </c>
      <c r="O76" s="395">
        <f t="shared" ca="1" si="291"/>
        <v>0</v>
      </c>
      <c r="P76" s="395">
        <f t="shared" ca="1" si="291"/>
        <v>4.4543781415516293E-2</v>
      </c>
      <c r="Q76" s="395">
        <f t="shared" ca="1" si="291"/>
        <v>0.12553247489827318</v>
      </c>
      <c r="R76" s="395">
        <f t="shared" ca="1" si="291"/>
        <v>0.12553247489827318</v>
      </c>
      <c r="S76" s="395">
        <f t="shared" ca="1" si="291"/>
        <v>0.1174336055499975</v>
      </c>
      <c r="T76" s="395">
        <f t="shared" ca="1" si="291"/>
        <v>0.12553247489827318</v>
      </c>
      <c r="U76" s="395">
        <f t="shared" ca="1" si="291"/>
        <v>0.12148304022413534</v>
      </c>
      <c r="V76" s="395">
        <f t="shared" ca="1" si="291"/>
        <v>4.0494346741378445E-2</v>
      </c>
      <c r="W76" s="395">
        <f t="shared" ca="1" si="291"/>
        <v>0</v>
      </c>
      <c r="X76" s="395">
        <f t="shared" ca="1" si="291"/>
        <v>0</v>
      </c>
      <c r="Y76" s="395">
        <f t="shared" ca="1" si="291"/>
        <v>0</v>
      </c>
      <c r="Z76" s="395">
        <f t="shared" ca="1" si="291"/>
        <v>0</v>
      </c>
      <c r="AA76" s="395">
        <f t="shared" ca="1" si="291"/>
        <v>0</v>
      </c>
      <c r="AB76" s="395">
        <f t="shared" ca="1" si="291"/>
        <v>0</v>
      </c>
      <c r="AC76" s="395">
        <f t="shared" ca="1" si="291"/>
        <v>0</v>
      </c>
      <c r="AD76" s="395">
        <f t="shared" ca="1" si="291"/>
        <v>0</v>
      </c>
      <c r="AE76" s="395">
        <f t="shared" ca="1" si="291"/>
        <v>0</v>
      </c>
      <c r="AF76" s="395">
        <f t="shared" ca="1" si="291"/>
        <v>0</v>
      </c>
      <c r="AG76" s="395">
        <f t="shared" ca="1" si="291"/>
        <v>0</v>
      </c>
      <c r="AH76" s="395">
        <f t="shared" ca="1" si="291"/>
        <v>0</v>
      </c>
      <c r="AI76" s="395">
        <f t="shared" ca="1" si="291"/>
        <v>0</v>
      </c>
      <c r="AJ76" s="395">
        <f t="shared" ca="1" si="291"/>
        <v>0</v>
      </c>
      <c r="AK76" s="395">
        <f t="shared" ca="1" si="291"/>
        <v>0</v>
      </c>
      <c r="AL76" s="395">
        <f t="shared" ca="1" si="291"/>
        <v>0</v>
      </c>
      <c r="AM76" s="395">
        <f t="shared" ca="1" si="291"/>
        <v>0</v>
      </c>
      <c r="AN76" s="395">
        <f t="shared" ca="1" si="291"/>
        <v>0</v>
      </c>
      <c r="AO76" s="395">
        <f t="shared" ca="1" si="291"/>
        <v>0</v>
      </c>
      <c r="AP76" s="395">
        <f t="shared" ca="1" si="291"/>
        <v>0</v>
      </c>
      <c r="AQ76" s="395">
        <f t="shared" ca="1" si="291"/>
        <v>0</v>
      </c>
      <c r="AR76" s="395">
        <f t="shared" ca="1" si="291"/>
        <v>0</v>
      </c>
      <c r="AS76" s="395">
        <f t="shared" ca="1" si="291"/>
        <v>0</v>
      </c>
      <c r="AT76" s="395">
        <f t="shared" ca="1" si="291"/>
        <v>0</v>
      </c>
      <c r="AU76" s="395">
        <f t="shared" ca="1" si="291"/>
        <v>0</v>
      </c>
      <c r="AV76" s="395">
        <f t="shared" ca="1" si="291"/>
        <v>0</v>
      </c>
      <c r="AW76" s="395">
        <f t="shared" ca="1" si="291"/>
        <v>0</v>
      </c>
      <c r="AX76" s="395">
        <f t="shared" ca="1" si="291"/>
        <v>0</v>
      </c>
      <c r="AY76" s="395">
        <f t="shared" ca="1" si="291"/>
        <v>0</v>
      </c>
      <c r="AZ76" s="395">
        <f t="shared" ca="1" si="291"/>
        <v>0</v>
      </c>
      <c r="BA76" s="395">
        <f t="shared" ca="1" si="291"/>
        <v>0</v>
      </c>
      <c r="BB76" s="395">
        <f t="shared" ca="1" si="291"/>
        <v>0</v>
      </c>
      <c r="BC76" s="395">
        <f t="shared" ca="1" si="291"/>
        <v>0</v>
      </c>
      <c r="BD76" s="395">
        <f t="shared" ca="1" si="291"/>
        <v>0</v>
      </c>
      <c r="BE76" s="395">
        <f t="shared" ca="1" si="291"/>
        <v>0</v>
      </c>
      <c r="BF76" s="395">
        <f t="shared" ca="1" si="291"/>
        <v>0</v>
      </c>
      <c r="BG76" s="395">
        <f t="shared" ca="1" si="291"/>
        <v>0</v>
      </c>
      <c r="BH76" s="395">
        <f t="shared" ca="1" si="291"/>
        <v>0</v>
      </c>
      <c r="BI76" s="395">
        <f t="shared" ca="1" si="291"/>
        <v>0</v>
      </c>
      <c r="BJ76" s="395">
        <f t="shared" ca="1" si="291"/>
        <v>0</v>
      </c>
      <c r="BK76" s="395">
        <f t="shared" ca="1" si="291"/>
        <v>0</v>
      </c>
      <c r="BL76" s="395">
        <f t="shared" ca="1" si="291"/>
        <v>0</v>
      </c>
      <c r="BM76" s="395">
        <f t="shared" ca="1" si="291"/>
        <v>0</v>
      </c>
      <c r="BN76" s="395">
        <f t="shared" ca="1" si="291"/>
        <v>0</v>
      </c>
      <c r="BO76" s="395">
        <f t="shared" ca="1" si="291"/>
        <v>0</v>
      </c>
      <c r="BP76" s="395">
        <f t="shared" ca="1" si="291"/>
        <v>0</v>
      </c>
      <c r="BQ76" s="395">
        <f t="shared" ca="1" si="291"/>
        <v>0</v>
      </c>
      <c r="BR76" s="395">
        <f t="shared" ca="1" si="291"/>
        <v>0</v>
      </c>
      <c r="BS76" s="395">
        <f t="shared" ca="1" si="291"/>
        <v>0</v>
      </c>
      <c r="BT76" s="395">
        <f t="shared" ref="BT76:EE76" ca="1" si="292">SUM(BT77:BT78)</f>
        <v>0</v>
      </c>
      <c r="BU76" s="395">
        <f t="shared" ca="1" si="292"/>
        <v>0</v>
      </c>
      <c r="BV76" s="395">
        <f t="shared" ca="1" si="292"/>
        <v>0</v>
      </c>
      <c r="BW76" s="395">
        <f t="shared" ca="1" si="292"/>
        <v>0</v>
      </c>
      <c r="BX76" s="395">
        <f t="shared" ca="1" si="292"/>
        <v>0</v>
      </c>
      <c r="BY76" s="395">
        <f t="shared" ca="1" si="292"/>
        <v>0</v>
      </c>
      <c r="BZ76" s="395">
        <f t="shared" ca="1" si="292"/>
        <v>0</v>
      </c>
      <c r="CA76" s="395">
        <f t="shared" ca="1" si="292"/>
        <v>0</v>
      </c>
      <c r="CB76" s="395">
        <f t="shared" ca="1" si="292"/>
        <v>0</v>
      </c>
      <c r="CC76" s="395">
        <f t="shared" ca="1" si="292"/>
        <v>0</v>
      </c>
      <c r="CD76" s="395">
        <f t="shared" ca="1" si="292"/>
        <v>0</v>
      </c>
      <c r="CE76" s="395">
        <f t="shared" ca="1" si="292"/>
        <v>0</v>
      </c>
      <c r="CF76" s="395">
        <f t="shared" ca="1" si="292"/>
        <v>0</v>
      </c>
      <c r="CG76" s="395">
        <f t="shared" ca="1" si="292"/>
        <v>0</v>
      </c>
      <c r="CH76" s="395">
        <f t="shared" ca="1" si="292"/>
        <v>0</v>
      </c>
      <c r="CI76" s="395">
        <f t="shared" ca="1" si="292"/>
        <v>0</v>
      </c>
      <c r="CJ76" s="395">
        <f t="shared" ca="1" si="292"/>
        <v>0</v>
      </c>
      <c r="CK76" s="395">
        <f t="shared" ca="1" si="292"/>
        <v>0</v>
      </c>
      <c r="CL76" s="395">
        <f t="shared" ca="1" si="292"/>
        <v>0</v>
      </c>
      <c r="CM76" s="395">
        <f t="shared" ca="1" si="292"/>
        <v>0</v>
      </c>
      <c r="CN76" s="395">
        <f t="shared" ca="1" si="292"/>
        <v>0</v>
      </c>
      <c r="CO76" s="395">
        <f t="shared" ca="1" si="292"/>
        <v>0</v>
      </c>
      <c r="CP76" s="395">
        <f t="shared" ca="1" si="292"/>
        <v>0</v>
      </c>
      <c r="CQ76" s="395">
        <f t="shared" ca="1" si="292"/>
        <v>0</v>
      </c>
      <c r="CR76" s="395">
        <f t="shared" ca="1" si="292"/>
        <v>0</v>
      </c>
      <c r="CS76" s="395">
        <f t="shared" ca="1" si="292"/>
        <v>0</v>
      </c>
      <c r="CT76" s="395">
        <f t="shared" ca="1" si="292"/>
        <v>0</v>
      </c>
      <c r="CU76" s="395">
        <f t="shared" ca="1" si="292"/>
        <v>0</v>
      </c>
      <c r="CV76" s="395">
        <f t="shared" ca="1" si="292"/>
        <v>0</v>
      </c>
      <c r="CW76" s="395">
        <f t="shared" ca="1" si="292"/>
        <v>0</v>
      </c>
      <c r="CX76" s="395">
        <f t="shared" ca="1" si="292"/>
        <v>0</v>
      </c>
      <c r="CY76" s="395">
        <f t="shared" ca="1" si="292"/>
        <v>0</v>
      </c>
      <c r="CZ76" s="395">
        <f t="shared" ca="1" si="292"/>
        <v>0</v>
      </c>
      <c r="DA76" s="395">
        <f t="shared" ca="1" si="292"/>
        <v>0</v>
      </c>
      <c r="DB76" s="395">
        <f t="shared" ca="1" si="292"/>
        <v>0</v>
      </c>
      <c r="DC76" s="395">
        <f t="shared" ca="1" si="292"/>
        <v>0</v>
      </c>
      <c r="DD76" s="395">
        <f t="shared" ca="1" si="292"/>
        <v>0</v>
      </c>
      <c r="DE76" s="395">
        <f t="shared" ca="1" si="292"/>
        <v>0</v>
      </c>
      <c r="DF76" s="395">
        <f t="shared" ca="1" si="292"/>
        <v>0</v>
      </c>
      <c r="DG76" s="395">
        <f t="shared" ca="1" si="292"/>
        <v>0</v>
      </c>
      <c r="DH76" s="395">
        <f t="shared" ca="1" si="292"/>
        <v>0</v>
      </c>
      <c r="DI76" s="395">
        <f t="shared" ca="1" si="292"/>
        <v>0</v>
      </c>
      <c r="DJ76" s="395">
        <f t="shared" ca="1" si="292"/>
        <v>0</v>
      </c>
      <c r="DK76" s="395">
        <f t="shared" ca="1" si="292"/>
        <v>0</v>
      </c>
      <c r="DL76" s="395">
        <f t="shared" ca="1" si="292"/>
        <v>0</v>
      </c>
      <c r="DM76" s="395">
        <f t="shared" ca="1" si="292"/>
        <v>0</v>
      </c>
      <c r="DN76" s="395">
        <f t="shared" ca="1" si="292"/>
        <v>0</v>
      </c>
      <c r="DO76" s="395">
        <f t="shared" ca="1" si="292"/>
        <v>0</v>
      </c>
      <c r="DP76" s="395">
        <f t="shared" ca="1" si="292"/>
        <v>0</v>
      </c>
      <c r="DQ76" s="395">
        <f t="shared" ca="1" si="292"/>
        <v>0</v>
      </c>
      <c r="DR76" s="395">
        <f t="shared" ca="1" si="292"/>
        <v>0</v>
      </c>
      <c r="DS76" s="395">
        <f t="shared" ca="1" si="292"/>
        <v>0</v>
      </c>
      <c r="DT76" s="395">
        <f t="shared" ca="1" si="292"/>
        <v>0</v>
      </c>
      <c r="DU76" s="395">
        <f t="shared" ca="1" si="292"/>
        <v>0</v>
      </c>
      <c r="DV76" s="395">
        <f t="shared" ca="1" si="292"/>
        <v>0</v>
      </c>
      <c r="DW76" s="395">
        <f t="shared" ca="1" si="292"/>
        <v>0</v>
      </c>
      <c r="DX76" s="395">
        <f t="shared" ca="1" si="292"/>
        <v>0</v>
      </c>
      <c r="DY76" s="395">
        <f t="shared" ca="1" si="292"/>
        <v>0</v>
      </c>
      <c r="DZ76" s="395">
        <f t="shared" ca="1" si="292"/>
        <v>0</v>
      </c>
      <c r="EA76" s="395">
        <f t="shared" ca="1" si="292"/>
        <v>0</v>
      </c>
      <c r="EB76" s="395">
        <f t="shared" ca="1" si="292"/>
        <v>0</v>
      </c>
      <c r="EC76" s="395">
        <f t="shared" ca="1" si="292"/>
        <v>0</v>
      </c>
      <c r="ED76" s="395">
        <f t="shared" ca="1" si="292"/>
        <v>0</v>
      </c>
      <c r="EE76" s="395">
        <f t="shared" ca="1" si="292"/>
        <v>0</v>
      </c>
      <c r="EF76" s="395">
        <f t="shared" ref="EF76:EI76" ca="1" si="293">SUM(EF77:EF78)</f>
        <v>0</v>
      </c>
      <c r="EG76" s="395">
        <f t="shared" ca="1" si="293"/>
        <v>0</v>
      </c>
      <c r="EH76" s="395">
        <f t="shared" ca="1" si="293"/>
        <v>0</v>
      </c>
      <c r="EI76" s="395">
        <f t="shared" ca="1" si="293"/>
        <v>0</v>
      </c>
      <c r="EJ76" s="398"/>
      <c r="EK76" s="313"/>
    </row>
    <row r="77" spans="1:143" hidden="1" outlineLevel="2">
      <c r="A77" s="332"/>
      <c r="B77" s="549">
        <f>длительность!B177</f>
        <v>0.29944780137415283</v>
      </c>
      <c r="C77" s="317"/>
      <c r="D77" s="317" t="s">
        <v>664</v>
      </c>
      <c r="E77" s="318">
        <f t="shared" ref="E77:E78" ca="1" si="294">IF(F77=0,0,B77-F77)</f>
        <v>0</v>
      </c>
      <c r="F77" s="397">
        <f t="shared" ref="F77:F81" ca="1" si="295">SUM(G77:EJ77)</f>
        <v>0.29944780137415283</v>
      </c>
      <c r="G77" s="395"/>
      <c r="H77" s="395">
        <f ca="1">IF(SUM($G77:G77)=$B77,0,IF(J78&gt;0%,$B77,0%))</f>
        <v>0</v>
      </c>
      <c r="I77" s="395">
        <f ca="1">IF(SUM($G77:H77)=$B77,0,IF(K78&gt;0%,$B77,0%))</f>
        <v>0</v>
      </c>
      <c r="J77" s="395">
        <f ca="1">IF(SUM($G77:I77)=$B77,0,IF(L78&gt;0%,$B77,0%))</f>
        <v>0</v>
      </c>
      <c r="K77" s="395">
        <f ca="1">IF(SUM($G77:J77)=$B77,0,IF(M78&gt;0%,$B77,0%))</f>
        <v>0</v>
      </c>
      <c r="L77" s="395">
        <f ca="1">IF(SUM($G77:K77)=$B77,0,IF(N78&gt;0%,$B77,0%))</f>
        <v>0</v>
      </c>
      <c r="M77" s="395">
        <f ca="1">IF(SUM($G77:L77)=$B77,0,IF(O78&gt;0%,$B77,0%))</f>
        <v>0</v>
      </c>
      <c r="N77" s="395">
        <f ca="1">IF(SUM($G77:M77)=$B77,0,IF(P78&gt;0%,$B77,0%))</f>
        <v>0.29944780137415283</v>
      </c>
      <c r="O77" s="395">
        <f ca="1">IF(SUM($G77:N77)=$B77,0,IF(Q78&gt;0%,$B77,0%))</f>
        <v>0</v>
      </c>
      <c r="P77" s="395">
        <f ca="1">IF(SUM($G77:O77)=$B77,0,IF(R78&gt;0%,$B77,0%))</f>
        <v>0</v>
      </c>
      <c r="Q77" s="395">
        <f ca="1">IF(SUM($G77:P77)=$B77,0,IF(S78&gt;0%,$B77,0%))</f>
        <v>0</v>
      </c>
      <c r="R77" s="395">
        <f ca="1">IF(SUM($G77:Q77)=$B77,0,IF(T78&gt;0%,$B77,0%))</f>
        <v>0</v>
      </c>
      <c r="S77" s="395">
        <f ca="1">IF(SUM($G77:R77)=$B77,0,IF(U78&gt;0%,$B77,0%))</f>
        <v>0</v>
      </c>
      <c r="T77" s="395">
        <f ca="1">IF(SUM($G77:S77)=$B77,0,IF(V78&gt;0%,$B77,0%))</f>
        <v>0</v>
      </c>
      <c r="U77" s="395">
        <f ca="1">IF(SUM($G77:T77)=$B77,0,IF(W78&gt;0%,$B77,0%))</f>
        <v>0</v>
      </c>
      <c r="V77" s="395">
        <f ca="1">IF(SUM($G77:U77)=$B77,0,IF(X78&gt;0%,$B77,0%))</f>
        <v>0</v>
      </c>
      <c r="W77" s="395">
        <f ca="1">IF(SUM($G77:V77)=$B77,0,IF(Y78&gt;0%,$B77,0%))</f>
        <v>0</v>
      </c>
      <c r="X77" s="395">
        <f ca="1">IF(SUM($G77:W77)=$B77,0,IF(Z78&gt;0%,$B77,0%))</f>
        <v>0</v>
      </c>
      <c r="Y77" s="395">
        <f ca="1">IF(SUM($G77:X77)=$B77,0,IF(AA78&gt;0%,$B77,0%))</f>
        <v>0</v>
      </c>
      <c r="Z77" s="395">
        <f ca="1">IF(SUM($G77:Y77)=$B77,0,IF(AB78&gt;0%,$B77,0%))</f>
        <v>0</v>
      </c>
      <c r="AA77" s="395">
        <f ca="1">IF(SUM($G77:Z77)=$B77,0,IF(AC78&gt;0%,$B77,0%))</f>
        <v>0</v>
      </c>
      <c r="AB77" s="395">
        <f ca="1">IF(SUM($G77:AA77)=$B77,0,IF(AD78&gt;0%,$B77,0%))</f>
        <v>0</v>
      </c>
      <c r="AC77" s="395">
        <f ca="1">IF(SUM($G77:AB77)=$B77,0,IF(AE78&gt;0%,$B77,0%))</f>
        <v>0</v>
      </c>
      <c r="AD77" s="395">
        <f ca="1">IF(SUM($G77:AC77)=$B77,0,IF(AF78&gt;0%,$B77,0%))</f>
        <v>0</v>
      </c>
      <c r="AE77" s="395">
        <f ca="1">IF(SUM($G77:AD77)=$B77,0,IF(AG78&gt;0%,$B77,0%))</f>
        <v>0</v>
      </c>
      <c r="AF77" s="395">
        <f ca="1">IF(SUM($G77:AE77)=$B77,0,IF(AH78&gt;0%,$B77,0%))</f>
        <v>0</v>
      </c>
      <c r="AG77" s="395">
        <f ca="1">IF(SUM($G77:AF77)=$B77,0,IF(AI78&gt;0%,$B77,0%))</f>
        <v>0</v>
      </c>
      <c r="AH77" s="395">
        <f ca="1">IF(SUM($G77:AG77)=$B77,0,IF(AJ78&gt;0%,$B77,0%))</f>
        <v>0</v>
      </c>
      <c r="AI77" s="395">
        <f ca="1">IF(SUM($G77:AH77)=$B77,0,IF(AK78&gt;0%,$B77,0%))</f>
        <v>0</v>
      </c>
      <c r="AJ77" s="395">
        <f ca="1">IF(SUM($G77:AI77)=$B77,0,IF(AL78&gt;0%,$B77,0%))</f>
        <v>0</v>
      </c>
      <c r="AK77" s="395">
        <f ca="1">IF(SUM($G77:AJ77)=$B77,0,IF(AM78&gt;0%,$B77,0%))</f>
        <v>0</v>
      </c>
      <c r="AL77" s="395">
        <f ca="1">IF(SUM($G77:AK77)=$B77,0,IF(AN78&gt;0%,$B77,0%))</f>
        <v>0</v>
      </c>
      <c r="AM77" s="395">
        <f ca="1">IF(SUM($G77:AL77)=$B77,0,IF(AO78&gt;0%,$B77,0%))</f>
        <v>0</v>
      </c>
      <c r="AN77" s="395">
        <f ca="1">IF(SUM($G77:AM77)=$B77,0,IF(AP78&gt;0%,$B77,0%))</f>
        <v>0</v>
      </c>
      <c r="AO77" s="395">
        <f ca="1">IF(SUM($G77:AN77)=$B77,0,IF(AQ78&gt;0%,$B77,0%))</f>
        <v>0</v>
      </c>
      <c r="AP77" s="395">
        <f ca="1">IF(SUM($G77:AO77)=$B77,0,IF(AR78&gt;0%,$B77,0%))</f>
        <v>0</v>
      </c>
      <c r="AQ77" s="395">
        <f ca="1">IF(SUM($G77:AP77)=$B77,0,IF(AS78&gt;0%,$B77,0%))</f>
        <v>0</v>
      </c>
      <c r="AR77" s="395">
        <f ca="1">IF(SUM($G77:AQ77)=$B77,0,IF(AT78&gt;0%,$B77,0%))</f>
        <v>0</v>
      </c>
      <c r="AS77" s="395">
        <f ca="1">IF(SUM($G77:AR77)=$B77,0,IF(AU78&gt;0%,$B77,0%))</f>
        <v>0</v>
      </c>
      <c r="AT77" s="395">
        <f ca="1">IF(SUM($G77:AS77)=$B77,0,IF(AV78&gt;0%,$B77,0%))</f>
        <v>0</v>
      </c>
      <c r="AU77" s="395">
        <f ca="1">IF(SUM($G77:AT77)=$B77,0,IF(AW78&gt;0%,$B77,0%))</f>
        <v>0</v>
      </c>
      <c r="AV77" s="395">
        <f ca="1">IF(SUM($G77:AU77)=$B77,0,IF(AX78&gt;0%,$B77,0%))</f>
        <v>0</v>
      </c>
      <c r="AW77" s="395">
        <f ca="1">IF(SUM($G77:AV77)=$B77,0,IF(AY78&gt;0%,$B77,0%))</f>
        <v>0</v>
      </c>
      <c r="AX77" s="395">
        <f ca="1">IF(SUM($G77:AW77)=$B77,0,IF(AZ78&gt;0%,$B77,0%))</f>
        <v>0</v>
      </c>
      <c r="AY77" s="395">
        <f ca="1">IF(SUM($G77:AX77)=$B77,0,IF(BA78&gt;0%,$B77,0%))</f>
        <v>0</v>
      </c>
      <c r="AZ77" s="395">
        <f ca="1">IF(SUM($G77:AY77)=$B77,0,IF(BB78&gt;0%,$B77,0%))</f>
        <v>0</v>
      </c>
      <c r="BA77" s="395">
        <f ca="1">IF(SUM($G77:AZ77)=$B77,0,IF(BC78&gt;0%,$B77,0%))</f>
        <v>0</v>
      </c>
      <c r="BB77" s="395">
        <f ca="1">IF(SUM($G77:BA77)=$B77,0,IF(BD78&gt;0%,$B77,0%))</f>
        <v>0</v>
      </c>
      <c r="BC77" s="395">
        <f ca="1">IF(SUM($G77:BB77)=$B77,0,IF(BE78&gt;0%,$B77,0%))</f>
        <v>0</v>
      </c>
      <c r="BD77" s="395">
        <f ca="1">IF(SUM($G77:BC77)=$B77,0,IF(BF78&gt;0%,$B77,0%))</f>
        <v>0</v>
      </c>
      <c r="BE77" s="395">
        <f ca="1">IF(SUM($G77:BD77)=$B77,0,IF(BG78&gt;0%,$B77,0%))</f>
        <v>0</v>
      </c>
      <c r="BF77" s="395">
        <f ca="1">IF(SUM($G77:BE77)=$B77,0,IF(BH78&gt;0%,$B77,0%))</f>
        <v>0</v>
      </c>
      <c r="BG77" s="395">
        <f ca="1">IF(SUM($G77:BF77)=$B77,0,IF(BI78&gt;0%,$B77,0%))</f>
        <v>0</v>
      </c>
      <c r="BH77" s="395">
        <f ca="1">IF(SUM($G77:BG77)=$B77,0,IF(BJ78&gt;0%,$B77,0%))</f>
        <v>0</v>
      </c>
      <c r="BI77" s="395">
        <f ca="1">IF(SUM($G77:BH77)=$B77,0,IF(BK78&gt;0%,$B77,0%))</f>
        <v>0</v>
      </c>
      <c r="BJ77" s="395">
        <f ca="1">IF(SUM($G77:BI77)=$B77,0,IF(BL78&gt;0%,$B77,0%))</f>
        <v>0</v>
      </c>
      <c r="BK77" s="395">
        <f ca="1">IF(SUM($G77:BJ77)=$B77,0,IF(BM78&gt;0%,$B77,0%))</f>
        <v>0</v>
      </c>
      <c r="BL77" s="395">
        <f ca="1">IF(SUM($G77:BK77)=$B77,0,IF(BN78&gt;0%,$B77,0%))</f>
        <v>0</v>
      </c>
      <c r="BM77" s="395">
        <f ca="1">IF(SUM($G77:BL77)=$B77,0,IF(BO78&gt;0%,$B77,0%))</f>
        <v>0</v>
      </c>
      <c r="BN77" s="395">
        <f ca="1">IF(SUM($G77:BM77)=$B77,0,IF(BP78&gt;0%,$B77,0%))</f>
        <v>0</v>
      </c>
      <c r="BO77" s="395">
        <f ca="1">IF(SUM($G77:BN77)=$B77,0,IF(BQ78&gt;0%,$B77,0%))</f>
        <v>0</v>
      </c>
      <c r="BP77" s="395">
        <f ca="1">IF(SUM($G77:BO77)=$B77,0,IF(BR78&gt;0%,$B77,0%))</f>
        <v>0</v>
      </c>
      <c r="BQ77" s="395">
        <f ca="1">IF(SUM($G77:BP77)=$B77,0,IF(BS78&gt;0%,$B77,0%))</f>
        <v>0</v>
      </c>
      <c r="BR77" s="395">
        <f ca="1">IF(SUM($G77:BQ77)=$B77,0,IF(BT78&gt;0%,$B77,0%))</f>
        <v>0</v>
      </c>
      <c r="BS77" s="395">
        <f ca="1">IF(SUM($G77:BR77)=$B77,0,IF(BU78&gt;0%,$B77,0%))</f>
        <v>0</v>
      </c>
      <c r="BT77" s="395">
        <f ca="1">IF(SUM($G77:BS77)=$B77,0,IF(BV78&gt;0%,$B77,0%))</f>
        <v>0</v>
      </c>
      <c r="BU77" s="395">
        <f ca="1">IF(SUM($G77:BT77)=$B77,0,IF(BW78&gt;0%,$B77,0%))</f>
        <v>0</v>
      </c>
      <c r="BV77" s="395">
        <f ca="1">IF(SUM($G77:BU77)=$B77,0,IF(BX78&gt;0%,$B77,0%))</f>
        <v>0</v>
      </c>
      <c r="BW77" s="395">
        <f ca="1">IF(SUM($G77:BV77)=$B77,0,IF(BY78&gt;0%,$B77,0%))</f>
        <v>0</v>
      </c>
      <c r="BX77" s="395">
        <f ca="1">IF(SUM($G77:BW77)=$B77,0,IF(BZ78&gt;0%,$B77,0%))</f>
        <v>0</v>
      </c>
      <c r="BY77" s="395">
        <f ca="1">IF(SUM($G77:BX77)=$B77,0,IF(CA78&gt;0%,$B77,0%))</f>
        <v>0</v>
      </c>
      <c r="BZ77" s="395">
        <f ca="1">IF(SUM($G77:BY77)=$B77,0,IF(CB78&gt;0%,$B77,0%))</f>
        <v>0</v>
      </c>
      <c r="CA77" s="395">
        <f ca="1">IF(SUM($G77:BZ77)=$B77,0,IF(CC78&gt;0%,$B77,0%))</f>
        <v>0</v>
      </c>
      <c r="CB77" s="395">
        <f ca="1">IF(SUM($G77:CA77)=$B77,0,IF(CD78&gt;0%,$B77,0%))</f>
        <v>0</v>
      </c>
      <c r="CC77" s="395">
        <f ca="1">IF(SUM($G77:CB77)=$B77,0,IF(CE78&gt;0%,$B77,0%))</f>
        <v>0</v>
      </c>
      <c r="CD77" s="395">
        <f ca="1">IF(SUM($G77:CC77)=$B77,0,IF(CF78&gt;0%,$B77,0%))</f>
        <v>0</v>
      </c>
      <c r="CE77" s="395">
        <f ca="1">IF(SUM($G77:CD77)=$B77,0,IF(CG78&gt;0%,$B77,0%))</f>
        <v>0</v>
      </c>
      <c r="CF77" s="395">
        <f ca="1">IF(SUM($G77:CE77)=$B77,0,IF(CH78&gt;0%,$B77,0%))</f>
        <v>0</v>
      </c>
      <c r="CG77" s="395">
        <f ca="1">IF(SUM($G77:CF77)=$B77,0,IF(CI78&gt;0%,$B77,0%))</f>
        <v>0</v>
      </c>
      <c r="CH77" s="395">
        <f ca="1">IF(SUM($G77:CG77)=$B77,0,IF(CJ78&gt;0%,$B77,0%))</f>
        <v>0</v>
      </c>
      <c r="CI77" s="395">
        <f ca="1">IF(SUM($G77:CH77)=$B77,0,IF(CK78&gt;0%,$B77,0%))</f>
        <v>0</v>
      </c>
      <c r="CJ77" s="395">
        <f ca="1">IF(SUM($G77:CI77)=$B77,0,IF(CL78&gt;0%,$B77,0%))</f>
        <v>0</v>
      </c>
      <c r="CK77" s="395">
        <f ca="1">IF(SUM($G77:CJ77)=$B77,0,IF(CM78&gt;0%,$B77,0%))</f>
        <v>0</v>
      </c>
      <c r="CL77" s="395">
        <f ca="1">IF(SUM($G77:CK77)=$B77,0,IF(CN78&gt;0%,$B77,0%))</f>
        <v>0</v>
      </c>
      <c r="CM77" s="395">
        <f ca="1">IF(SUM($G77:CL77)=$B77,0,IF(CO78&gt;0%,$B77,0%))</f>
        <v>0</v>
      </c>
      <c r="CN77" s="395">
        <f ca="1">IF(SUM($G77:CM77)=$B77,0,IF(CP78&gt;0%,$B77,0%))</f>
        <v>0</v>
      </c>
      <c r="CO77" s="395">
        <f ca="1">IF(SUM($G77:CN77)=$B77,0,IF(CQ78&gt;0%,$B77,0%))</f>
        <v>0</v>
      </c>
      <c r="CP77" s="395">
        <f ca="1">IF(SUM($G77:CO77)=$B77,0,IF(CR78&gt;0%,$B77,0%))</f>
        <v>0</v>
      </c>
      <c r="CQ77" s="395">
        <f ca="1">IF(SUM($G77:CP77)=$B77,0,IF(CS78&gt;0%,$B77,0%))</f>
        <v>0</v>
      </c>
      <c r="CR77" s="395">
        <f ca="1">IF(SUM($G77:CQ77)=$B77,0,IF(CT78&gt;0%,$B77,0%))</f>
        <v>0</v>
      </c>
      <c r="CS77" s="395">
        <f ca="1">IF(SUM($G77:CR77)=$B77,0,IF(CU78&gt;0%,$B77,0%))</f>
        <v>0</v>
      </c>
      <c r="CT77" s="395">
        <f ca="1">IF(SUM($G77:CS77)=$B77,0,IF(CV78&gt;0%,$B77,0%))</f>
        <v>0</v>
      </c>
      <c r="CU77" s="395">
        <f ca="1">IF(SUM($G77:CT77)=$B77,0,IF(CW78&gt;0%,$B77,0%))</f>
        <v>0</v>
      </c>
      <c r="CV77" s="395">
        <f ca="1">IF(SUM($G77:CU77)=$B77,0,IF(CX78&gt;0%,$B77,0%))</f>
        <v>0</v>
      </c>
      <c r="CW77" s="395">
        <f ca="1">IF(SUM($G77:CV77)=$B77,0,IF(CY78&gt;0%,$B77,0%))</f>
        <v>0</v>
      </c>
      <c r="CX77" s="395">
        <f ca="1">IF(SUM($G77:CW77)=$B77,0,IF(CZ78&gt;0%,$B77,0%))</f>
        <v>0</v>
      </c>
      <c r="CY77" s="395">
        <f ca="1">IF(SUM($G77:CX77)=$B77,0,IF(DA78&gt;0%,$B77,0%))</f>
        <v>0</v>
      </c>
      <c r="CZ77" s="395">
        <f ca="1">IF(SUM($G77:CY77)=$B77,0,IF(DB78&gt;0%,$B77,0%))</f>
        <v>0</v>
      </c>
      <c r="DA77" s="395">
        <f ca="1">IF(SUM($G77:CZ77)=$B77,0,IF(DC78&gt;0%,$B77,0%))</f>
        <v>0</v>
      </c>
      <c r="DB77" s="395">
        <f ca="1">IF(SUM($G77:DA77)=$B77,0,IF(DD78&gt;0%,$B77,0%))</f>
        <v>0</v>
      </c>
      <c r="DC77" s="395">
        <f ca="1">IF(SUM($G77:DB77)=$B77,0,IF(DE78&gt;0%,$B77,0%))</f>
        <v>0</v>
      </c>
      <c r="DD77" s="395">
        <f ca="1">IF(SUM($G77:DC77)=$B77,0,IF(DF78&gt;0%,$B77,0%))</f>
        <v>0</v>
      </c>
      <c r="DE77" s="395">
        <f ca="1">IF(SUM($G77:DD77)=$B77,0,IF(DG78&gt;0%,$B77,0%))</f>
        <v>0</v>
      </c>
      <c r="DF77" s="395">
        <f ca="1">IF(SUM($G77:DE77)=$B77,0,IF(DH78&gt;0%,$B77,0%))</f>
        <v>0</v>
      </c>
      <c r="DG77" s="395">
        <f ca="1">IF(SUM($G77:DF77)=$B77,0,IF(DI78&gt;0%,$B77,0%))</f>
        <v>0</v>
      </c>
      <c r="DH77" s="395">
        <f ca="1">IF(SUM($G77:DG77)=$B77,0,IF(DJ78&gt;0%,$B77,0%))</f>
        <v>0</v>
      </c>
      <c r="DI77" s="395">
        <f ca="1">IF(SUM($G77:DH77)=$B77,0,IF(DK78&gt;0%,$B77,0%))</f>
        <v>0</v>
      </c>
      <c r="DJ77" s="395">
        <f ca="1">IF(SUM($G77:DI77)=$B77,0,IF(DL78&gt;0%,$B77,0%))</f>
        <v>0</v>
      </c>
      <c r="DK77" s="395">
        <f ca="1">IF(SUM($G77:DJ77)=$B77,0,IF(DM78&gt;0%,$B77,0%))</f>
        <v>0</v>
      </c>
      <c r="DL77" s="395">
        <f ca="1">IF(SUM($G77:DK77)=$B77,0,IF(DN78&gt;0%,$B77,0%))</f>
        <v>0</v>
      </c>
      <c r="DM77" s="395">
        <f ca="1">IF(SUM($G77:DL77)=$B77,0,IF(DO78&gt;0%,$B77,0%))</f>
        <v>0</v>
      </c>
      <c r="DN77" s="395">
        <f ca="1">IF(SUM($G77:DM77)=$B77,0,IF(DP78&gt;0%,$B77,0%))</f>
        <v>0</v>
      </c>
      <c r="DO77" s="395">
        <f ca="1">IF(SUM($G77:DN77)=$B77,0,IF(DQ78&gt;0%,$B77,0%))</f>
        <v>0</v>
      </c>
      <c r="DP77" s="395">
        <f ca="1">IF(SUM($G77:DO77)=$B77,0,IF(DR78&gt;0%,$B77,0%))</f>
        <v>0</v>
      </c>
      <c r="DQ77" s="395">
        <f ca="1">IF(SUM($G77:DP77)=$B77,0,IF(DS78&gt;0%,$B77,0%))</f>
        <v>0</v>
      </c>
      <c r="DR77" s="395">
        <f ca="1">IF(SUM($G77:DQ77)=$B77,0,IF(DT78&gt;0%,$B77,0%))</f>
        <v>0</v>
      </c>
      <c r="DS77" s="395">
        <f ca="1">IF(SUM($G77:DR77)=$B77,0,IF(DU78&gt;0%,$B77,0%))</f>
        <v>0</v>
      </c>
      <c r="DT77" s="395">
        <f ca="1">IF(SUM($G77:DS77)=$B77,0,IF(DV78&gt;0%,$B77,0%))</f>
        <v>0</v>
      </c>
      <c r="DU77" s="395">
        <f ca="1">IF(SUM($G77:DT77)=$B77,0,IF(DW78&gt;0%,$B77,0%))</f>
        <v>0</v>
      </c>
      <c r="DV77" s="395">
        <f ca="1">IF(SUM($G77:DU77)=$B77,0,IF(DX78&gt;0%,$B77,0%))</f>
        <v>0</v>
      </c>
      <c r="DW77" s="395">
        <f ca="1">IF(SUM($G77:DV77)=$B77,0,IF(DY78&gt;0%,$B77,0%))</f>
        <v>0</v>
      </c>
      <c r="DX77" s="395">
        <f ca="1">IF(SUM($G77:DW77)=$B77,0,IF(DZ78&gt;0%,$B77,0%))</f>
        <v>0</v>
      </c>
      <c r="DY77" s="395">
        <f ca="1">IF(SUM($G77:DX77)=$B77,0,IF(EA78&gt;0%,$B77,0%))</f>
        <v>0</v>
      </c>
      <c r="DZ77" s="395">
        <f ca="1">IF(SUM($G77:DY77)=$B77,0,IF(EB78&gt;0%,$B77,0%))</f>
        <v>0</v>
      </c>
      <c r="EA77" s="395">
        <f ca="1">IF(SUM($G77:DZ77)=$B77,0,IF(EC78&gt;0%,$B77,0%))</f>
        <v>0</v>
      </c>
      <c r="EB77" s="395">
        <f ca="1">IF(SUM($G77:EA77)=$B77,0,IF(ED78&gt;0%,$B77,0%))</f>
        <v>0</v>
      </c>
      <c r="EC77" s="395">
        <f ca="1">IF(SUM($G77:EB77)=$B77,0,IF(EE78&gt;0%,$B77,0%))</f>
        <v>0</v>
      </c>
      <c r="ED77" s="395">
        <f ca="1">IF(SUM($G77:EC77)=$B77,0,IF(EF78&gt;0%,$B77,0%))</f>
        <v>0</v>
      </c>
      <c r="EE77" s="395">
        <f ca="1">IF(SUM($G77:ED77)=$B77,0,IF(EG78&gt;0%,$B77,0%))</f>
        <v>0</v>
      </c>
      <c r="EF77" s="395">
        <f ca="1">IF(SUM($G77:EE77)=$B77,0,IF(EH78&gt;0%,$B77,0%))</f>
        <v>0</v>
      </c>
      <c r="EG77" s="395">
        <f ca="1">IF(SUM($G77:EF77)=$B77,0,IF(EI78&gt;0%,$B77,0%))</f>
        <v>0</v>
      </c>
      <c r="EH77" s="395">
        <f ca="1">IF(SUM($G77:EG77)=$B77,0,IF(EJ78&gt;0%,$B77,0%))</f>
        <v>0</v>
      </c>
      <c r="EI77" s="395">
        <f ca="1">IF(SUM($G77:EH77)=$B77,0,IF(EK78&gt;0%,$B77,0%))</f>
        <v>0</v>
      </c>
      <c r="EJ77" s="398"/>
      <c r="EK77" s="313"/>
    </row>
    <row r="78" spans="1:143" hidden="1" outlineLevel="2">
      <c r="A78" s="332"/>
      <c r="B78" s="549">
        <f>длительность!C177</f>
        <v>0.70055219862584717</v>
      </c>
      <c r="C78" s="317"/>
      <c r="D78" s="317" t="s">
        <v>663</v>
      </c>
      <c r="E78" s="318">
        <f t="shared" ca="1" si="294"/>
        <v>1.1102230246251565E-16</v>
      </c>
      <c r="F78" s="397">
        <f t="shared" ca="1" si="295"/>
        <v>0.70055219862584706</v>
      </c>
      <c r="G78" s="395"/>
      <c r="H78" s="395"/>
      <c r="I78" s="395">
        <f ca="1">IF($E$238=0,0,IF(SUM($G78:H78)=$B78,0,IF(SUM($G238:H238)&gt;=$E238,($B78/$E238)*($E238-SUM($G238:G238)),($B78/$E238)*H238)))</f>
        <v>0</v>
      </c>
      <c r="J78" s="395">
        <f ca="1">IF($E$238=0,0,IF(SUM($G78:I78)=$B78,0,IF(SUM($G238:I238)&gt;=$E238,($B78/$E238)*($E238-SUM($G238:H238)),($B78/$E238)*I238)))</f>
        <v>0</v>
      </c>
      <c r="K78" s="395">
        <f ca="1">IF($E$238=0,0,IF(SUM($G78:J78)=$B78,0,IF(SUM($G238:J238)&gt;=$E238,($B78/$E238)*($E238-SUM($G238:I238)),($B78/$E238)*J238)))</f>
        <v>0</v>
      </c>
      <c r="L78" s="395">
        <f ca="1">IF($E$238=0,0,IF(SUM($G78:K78)=$B78,0,IF(SUM($G238:K238)&gt;=$E238,($B78/$E238)*($E238-SUM($G238:J238)),($B78/$E238)*K238)))</f>
        <v>0</v>
      </c>
      <c r="M78" s="395">
        <f ca="1">IF($E$238=0,0,IF(SUM($G78:L78)=$B78,0,IF(SUM($G238:L238)&gt;=$E238,($B78/$E238)*($E238-SUM($G238:K238)),($B78/$E238)*L238)))</f>
        <v>0</v>
      </c>
      <c r="N78" s="395">
        <f ca="1">IF($E$238=0,0,IF(SUM($G78:M78)=$B78,0,IF(SUM($G238:M238)&gt;=$E238,($B78/$E238)*($E238-SUM($G238:L238)),($B78/$E238)*M238)))</f>
        <v>0</v>
      </c>
      <c r="O78" s="395">
        <f ca="1">IF($E$238=0,0,IF(SUM($G78:N78)=$B78,0,IF(SUM($G238:N238)&gt;=$E238,($B78/$E238)*($E238-SUM($G238:M238)),($B78/$E238)*N238)))</f>
        <v>0</v>
      </c>
      <c r="P78" s="395">
        <f ca="1">IF($E$238=0,0,IF(SUM($G78:O78)=$B78,0,IF(SUM($G238:O238)&gt;=$E238,($B78/$E238)*($E238-SUM($G238:N238)),($B78/$E238)*O238)))</f>
        <v>4.4543781415516293E-2</v>
      </c>
      <c r="Q78" s="395">
        <f ca="1">IF($E$238=0,0,IF(SUM($G78:P78)=$B78,0,IF(SUM($G238:P238)&gt;=$E238,($B78/$E238)*($E238-SUM($G238:O238)),($B78/$E238)*P238)))</f>
        <v>0.12553247489827318</v>
      </c>
      <c r="R78" s="395">
        <f ca="1">IF($E$238=0,0,IF(SUM($G78:Q78)=$B78,0,IF(SUM($G238:Q238)&gt;=$E238,($B78/$E238)*($E238-SUM($G238:P238)),($B78/$E238)*Q238)))</f>
        <v>0.12553247489827318</v>
      </c>
      <c r="S78" s="395">
        <f ca="1">IF($E$238=0,0,IF(SUM($G78:R78)=$B78,0,IF(SUM($G238:R238)&gt;=$E238,($B78/$E238)*($E238-SUM($G238:Q238)),($B78/$E238)*R238)))</f>
        <v>0.1174336055499975</v>
      </c>
      <c r="T78" s="395">
        <f ca="1">IF($E$238=0,0,IF(SUM($G78:S78)=$B78,0,IF(SUM($G238:S238)&gt;=$E238,($B78/$E238)*($E238-SUM($G238:R238)),($B78/$E238)*S238)))</f>
        <v>0.12553247489827318</v>
      </c>
      <c r="U78" s="395">
        <f ca="1">IF($E$238=0,0,IF(SUM($G78:T78)=$B78,0,IF(SUM($G238:T238)&gt;=$E238,($B78/$E238)*($E238-SUM($G238:S238)),($B78/$E238)*T238)))</f>
        <v>0.12148304022413534</v>
      </c>
      <c r="V78" s="395">
        <f ca="1">IF($E$238=0,0,IF(SUM($G78:U78)=$B78,0,IF(SUM($G238:U238)&gt;=$E238,($B78/$E238)*($E238-SUM($G238:T238)),($B78/$E238)*U238)))</f>
        <v>4.0494346741378445E-2</v>
      </c>
      <c r="W78" s="395">
        <f ca="1">IF($E$238=0,0,IF(SUM($G78:V78)=$B78,0,IF(SUM($G238:V238)&gt;=$E238,($B78/$E238)*($E238-SUM($G238:U238)),($B78/$E238)*V238)))</f>
        <v>0</v>
      </c>
      <c r="X78" s="395">
        <f ca="1">IF($E$238=0,0,IF(SUM($G78:W78)=$B78,0,IF(SUM($G238:W238)&gt;=$E238,($B78/$E238)*($E238-SUM($G238:V238)),($B78/$E238)*W238)))</f>
        <v>0</v>
      </c>
      <c r="Y78" s="395">
        <f ca="1">IF($E$238=0,0,IF(SUM($G78:X78)=$B78,0,IF(SUM($G238:X238)&gt;=$E238,($B78/$E238)*($E238-SUM($G238:W238)),($B78/$E238)*X238)))</f>
        <v>0</v>
      </c>
      <c r="Z78" s="395">
        <f ca="1">IF($E$238=0,0,IF(SUM($G78:Y78)=$B78,0,IF(SUM($G238:Y238)&gt;=$E238,($B78/$E238)*($E238-SUM($G238:X238)),($B78/$E238)*Y238)))</f>
        <v>0</v>
      </c>
      <c r="AA78" s="395">
        <f ca="1">IF($E$238=0,0,IF(SUM($G78:Z78)=$B78,0,IF(SUM($G238:Z238)&gt;=$E238,($B78/$E238)*($E238-SUM($G238:Y238)),($B78/$E238)*Z238)))</f>
        <v>0</v>
      </c>
      <c r="AB78" s="395">
        <f ca="1">IF($E$238=0,0,IF(SUM($G78:AA78)=$B78,0,IF(SUM($G238:AA238)&gt;=$E238,($B78/$E238)*($E238-SUM($G238:Z238)),($B78/$E238)*AA238)))</f>
        <v>0</v>
      </c>
      <c r="AC78" s="395">
        <f ca="1">IF($E$238=0,0,IF(SUM($G78:AB78)=$B78,0,IF(SUM($G238:AB238)&gt;=$E238,($B78/$E238)*($E238-SUM($G238:AA238)),($B78/$E238)*AB238)))</f>
        <v>0</v>
      </c>
      <c r="AD78" s="395">
        <f ca="1">IF($E$238=0,0,IF(SUM($G78:AC78)=$B78,0,IF(SUM($G238:AC238)&gt;=$E238,($B78/$E238)*($E238-SUM($G238:AB238)),($B78/$E238)*AC238)))</f>
        <v>0</v>
      </c>
      <c r="AE78" s="395">
        <f ca="1">IF($E$238=0,0,IF(SUM($G78:AD78)=$B78,0,IF(SUM($G238:AD238)&gt;=$E238,($B78/$E238)*($E238-SUM($G238:AC238)),($B78/$E238)*AD238)))</f>
        <v>0</v>
      </c>
      <c r="AF78" s="395">
        <f ca="1">IF($E$238=0,0,IF(SUM($G78:AE78)=$B78,0,IF(SUM($G238:AE238)&gt;=$E238,($B78/$E238)*($E238-SUM($G238:AD238)),($B78/$E238)*AE238)))</f>
        <v>0</v>
      </c>
      <c r="AG78" s="395">
        <f ca="1">IF($E$238=0,0,IF(SUM($G78:AF78)=$B78,0,IF(SUM($G238:AF238)&gt;=$E238,($B78/$E238)*($E238-SUM($G238:AE238)),($B78/$E238)*AF238)))</f>
        <v>0</v>
      </c>
      <c r="AH78" s="395">
        <f ca="1">IF($E$238=0,0,IF(SUM($G78:AG78)=$B78,0,IF(SUM($G238:AG238)&gt;=$E238,($B78/$E238)*($E238-SUM($G238:AF238)),($B78/$E238)*AG238)))</f>
        <v>0</v>
      </c>
      <c r="AI78" s="395">
        <f ca="1">IF($E$238=0,0,IF(SUM($G78:AH78)=$B78,0,IF(SUM($G238:AH238)&gt;=$E238,($B78/$E238)*($E238-SUM($G238:AG238)),($B78/$E238)*AH238)))</f>
        <v>0</v>
      </c>
      <c r="AJ78" s="395">
        <f ca="1">IF($E$238=0,0,IF(SUM($G78:AI78)=$B78,0,IF(SUM($G238:AI238)&gt;=$E238,($B78/$E238)*($E238-SUM($G238:AH238)),($B78/$E238)*AI238)))</f>
        <v>0</v>
      </c>
      <c r="AK78" s="395">
        <f ca="1">IF($E$238=0,0,IF(SUM($G78:AJ78)=$B78,0,IF(SUM($G238:AJ238)&gt;=$E238,($B78/$E238)*($E238-SUM($G238:AI238)),($B78/$E238)*AJ238)))</f>
        <v>0</v>
      </c>
      <c r="AL78" s="395">
        <f ca="1">IF($E$238=0,0,IF(SUM($G78:AK78)=$B78,0,IF(SUM($G238:AK238)&gt;=$E238,($B78/$E238)*($E238-SUM($G238:AJ238)),($B78/$E238)*AK238)))</f>
        <v>0</v>
      </c>
      <c r="AM78" s="395">
        <f ca="1">IF($E$238=0,0,IF(SUM($G78:AL78)=$B78,0,IF(SUM($G238:AL238)&gt;=$E238,($B78/$E238)*($E238-SUM($G238:AK238)),($B78/$E238)*AL238)))</f>
        <v>0</v>
      </c>
      <c r="AN78" s="395">
        <f ca="1">IF($E$238=0,0,IF(SUM($G78:AM78)=$B78,0,IF(SUM($G238:AM238)&gt;=$E238,($B78/$E238)*($E238-SUM($G238:AL238)),($B78/$E238)*AM238)))</f>
        <v>0</v>
      </c>
      <c r="AO78" s="395">
        <f ca="1">IF($E$238=0,0,IF(SUM($G78:AN78)=$B78,0,IF(SUM($G238:AN238)&gt;=$E238,($B78/$E238)*($E238-SUM($G238:AM238)),($B78/$E238)*AN238)))</f>
        <v>0</v>
      </c>
      <c r="AP78" s="395">
        <f ca="1">IF($E$238=0,0,IF(SUM($G78:AO78)=$B78,0,IF(SUM($G238:AO238)&gt;=$E238,($B78/$E238)*($E238-SUM($G238:AN238)),($B78/$E238)*AO238)))</f>
        <v>0</v>
      </c>
      <c r="AQ78" s="395">
        <f ca="1">IF($E$238=0,0,IF(SUM($G78:AP78)=$B78,0,IF(SUM($G238:AP238)&gt;=$E238,($B78/$E238)*($E238-SUM($G238:AO238)),($B78/$E238)*AP238)))</f>
        <v>0</v>
      </c>
      <c r="AR78" s="395">
        <f ca="1">IF($E$238=0,0,IF(SUM($G78:AQ78)=$B78,0,IF(SUM($G238:AQ238)&gt;=$E238,($B78/$E238)*($E238-SUM($G238:AP238)),($B78/$E238)*AQ238)))</f>
        <v>0</v>
      </c>
      <c r="AS78" s="395">
        <f ca="1">IF($E$238=0,0,IF(SUM($G78:AR78)=$B78,0,IF(SUM($G238:AR238)&gt;=$E238,($B78/$E238)*($E238-SUM($G238:AQ238)),($B78/$E238)*AR238)))</f>
        <v>0</v>
      </c>
      <c r="AT78" s="395">
        <f ca="1">IF($E$238=0,0,IF(SUM($G78:AS78)=$B78,0,IF(SUM($G238:AS238)&gt;=$E238,($B78/$E238)*($E238-SUM($G238:AR238)),($B78/$E238)*AS238)))</f>
        <v>0</v>
      </c>
      <c r="AU78" s="395">
        <f ca="1">IF($E$238=0,0,IF(SUM($G78:AT78)=$B78,0,IF(SUM($G238:AT238)&gt;=$E238,($B78/$E238)*($E238-SUM($G238:AS238)),($B78/$E238)*AT238)))</f>
        <v>0</v>
      </c>
      <c r="AV78" s="395">
        <f ca="1">IF($E$238=0,0,IF(SUM($G78:AU78)=$B78,0,IF(SUM($G238:AU238)&gt;=$E238,($B78/$E238)*($E238-SUM($G238:AT238)),($B78/$E238)*AU238)))</f>
        <v>0</v>
      </c>
      <c r="AW78" s="395">
        <f ca="1">IF($E$238=0,0,IF(SUM($G78:AV78)=$B78,0,IF(SUM($G238:AV238)&gt;=$E238,($B78/$E238)*($E238-SUM($G238:AU238)),($B78/$E238)*AV238)))</f>
        <v>0</v>
      </c>
      <c r="AX78" s="395">
        <f ca="1">IF($E$238=0,0,IF(SUM($G78:AW78)=$B78,0,IF(SUM($G238:AW238)&gt;=$E238,($B78/$E238)*($E238-SUM($G238:AV238)),($B78/$E238)*AW238)))</f>
        <v>0</v>
      </c>
      <c r="AY78" s="395">
        <f ca="1">IF($E$238=0,0,IF(SUM($G78:AX78)=$B78,0,IF(SUM($G238:AX238)&gt;=$E238,($B78/$E238)*($E238-SUM($G238:AW238)),($B78/$E238)*AX238)))</f>
        <v>0</v>
      </c>
      <c r="AZ78" s="395">
        <f ca="1">IF($E$238=0,0,IF(SUM($G78:AY78)=$B78,0,IF(SUM($G238:AY238)&gt;=$E238,($B78/$E238)*($E238-SUM($G238:AX238)),($B78/$E238)*AY238)))</f>
        <v>0</v>
      </c>
      <c r="BA78" s="395">
        <f ca="1">IF($E$238=0,0,IF(SUM($G78:AZ78)=$B78,0,IF(SUM($G238:AZ238)&gt;=$E238,($B78/$E238)*($E238-SUM($G238:AY238)),($B78/$E238)*AZ238)))</f>
        <v>0</v>
      </c>
      <c r="BB78" s="395">
        <f ca="1">IF($E$238=0,0,IF(SUM($G78:BA78)=$B78,0,IF(SUM($G238:BA238)&gt;=$E238,($B78/$E238)*($E238-SUM($G238:AZ238)),($B78/$E238)*BA238)))</f>
        <v>0</v>
      </c>
      <c r="BC78" s="395">
        <f ca="1">IF($E$238=0,0,IF(SUM($G78:BB78)=$B78,0,IF(SUM($G238:BB238)&gt;=$E238,($B78/$E238)*($E238-SUM($G238:BA238)),($B78/$E238)*BB238)))</f>
        <v>0</v>
      </c>
      <c r="BD78" s="395">
        <f ca="1">IF($E$238=0,0,IF(SUM($G78:BC78)=$B78,0,IF(SUM($G238:BC238)&gt;=$E238,($B78/$E238)*($E238-SUM($G238:BB238)),($B78/$E238)*BC238)))</f>
        <v>0</v>
      </c>
      <c r="BE78" s="395">
        <f ca="1">IF($E$238=0,0,IF(SUM($G78:BD78)=$B78,0,IF(SUM($G238:BD238)&gt;=$E238,($B78/$E238)*($E238-SUM($G238:BC238)),($B78/$E238)*BD238)))</f>
        <v>0</v>
      </c>
      <c r="BF78" s="395">
        <f ca="1">IF($E$238=0,0,IF(SUM($G78:BE78)=$B78,0,IF(SUM($G238:BE238)&gt;=$E238,($B78/$E238)*($E238-SUM($G238:BD238)),($B78/$E238)*BE238)))</f>
        <v>0</v>
      </c>
      <c r="BG78" s="395">
        <f ca="1">IF($E$238=0,0,IF(SUM($G78:BF78)=$B78,0,IF(SUM($G238:BF238)&gt;=$E238,($B78/$E238)*($E238-SUM($G238:BE238)),($B78/$E238)*BF238)))</f>
        <v>0</v>
      </c>
      <c r="BH78" s="395">
        <f ca="1">IF($E$238=0,0,IF(SUM($G78:BG78)=$B78,0,IF(SUM($G238:BG238)&gt;=$E238,($B78/$E238)*($E238-SUM($G238:BF238)),($B78/$E238)*BG238)))</f>
        <v>0</v>
      </c>
      <c r="BI78" s="395">
        <f ca="1">IF($E$238=0,0,IF(SUM($G78:BH78)=$B78,0,IF(SUM($G238:BH238)&gt;=$E238,($B78/$E238)*($E238-SUM($G238:BG238)),($B78/$E238)*BH238)))</f>
        <v>0</v>
      </c>
      <c r="BJ78" s="395">
        <f ca="1">IF($E$238=0,0,IF(SUM($G78:BI78)=$B78,0,IF(SUM($G238:BI238)&gt;=$E238,($B78/$E238)*($E238-SUM($G238:BH238)),($B78/$E238)*BI238)))</f>
        <v>0</v>
      </c>
      <c r="BK78" s="395">
        <f ca="1">IF($E$238=0,0,IF(SUM($G78:BJ78)=$B78,0,IF(SUM($G238:BJ238)&gt;=$E238,($B78/$E238)*($E238-SUM($G238:BI238)),($B78/$E238)*BJ238)))</f>
        <v>0</v>
      </c>
      <c r="BL78" s="395">
        <f ca="1">IF($E$238=0,0,IF(SUM($G78:BK78)=$B78,0,IF(SUM($G238:BK238)&gt;=$E238,($B78/$E238)*($E238-SUM($G238:BJ238)),($B78/$E238)*BK238)))</f>
        <v>0</v>
      </c>
      <c r="BM78" s="395">
        <f ca="1">IF($E$238=0,0,IF(SUM($G78:BL78)=$B78,0,IF(SUM($G238:BL238)&gt;=$E238,($B78/$E238)*($E238-SUM($G238:BK238)),($B78/$E238)*BL238)))</f>
        <v>0</v>
      </c>
      <c r="BN78" s="395">
        <f ca="1">IF($E$238=0,0,IF(SUM($G78:BM78)=$B78,0,IF(SUM($G238:BM238)&gt;=$E238,($B78/$E238)*($E238-SUM($G238:BL238)),($B78/$E238)*BM238)))</f>
        <v>0</v>
      </c>
      <c r="BO78" s="395">
        <f ca="1">IF($E$238=0,0,IF(SUM($G78:BN78)=$B78,0,IF(SUM($G238:BN238)&gt;=$E238,($B78/$E238)*($E238-SUM($G238:BM238)),($B78/$E238)*BN238)))</f>
        <v>0</v>
      </c>
      <c r="BP78" s="395">
        <f ca="1">IF($E$238=0,0,IF(SUM($G78:BO78)=$B78,0,IF(SUM($G238:BO238)&gt;=$E238,($B78/$E238)*($E238-SUM($G238:BN238)),($B78/$E238)*BO238)))</f>
        <v>0</v>
      </c>
      <c r="BQ78" s="395">
        <f ca="1">IF($E$238=0,0,IF(SUM($G78:BP78)=$B78,0,IF(SUM($G238:BP238)&gt;=$E238,($B78/$E238)*($E238-SUM($G238:BO238)),($B78/$E238)*BP238)))</f>
        <v>0</v>
      </c>
      <c r="BR78" s="395">
        <f ca="1">IF($E$238=0,0,IF(SUM($G78:BQ78)=$B78,0,IF(SUM($G238:BQ238)&gt;=$E238,($B78/$E238)*($E238-SUM($G238:BP238)),($B78/$E238)*BQ238)))</f>
        <v>0</v>
      </c>
      <c r="BS78" s="395">
        <f ca="1">IF($E$238=0,0,IF(SUM($G78:BR78)=$B78,0,IF(SUM($G238:BR238)&gt;=$E238,($B78/$E238)*($E238-SUM($G238:BQ238)),($B78/$E238)*BR238)))</f>
        <v>0</v>
      </c>
      <c r="BT78" s="395">
        <f ca="1">IF($E$238=0,0,IF(SUM($G78:BS78)=$B78,0,IF(SUM($G238:BS238)&gt;=$E238,($B78/$E238)*($E238-SUM($G238:BR238)),($B78/$E238)*BS238)))</f>
        <v>0</v>
      </c>
      <c r="BU78" s="395">
        <f ca="1">IF($E$238=0,0,IF(SUM($G78:BT78)=$B78,0,IF(SUM($G238:BT238)&gt;=$E238,($B78/$E238)*($E238-SUM($G238:BS238)),($B78/$E238)*BT238)))</f>
        <v>0</v>
      </c>
      <c r="BV78" s="395">
        <f ca="1">IF($E$238=0,0,IF(SUM($G78:BU78)=$B78,0,IF(SUM($G238:BU238)&gt;=$E238,($B78/$E238)*($E238-SUM($G238:BT238)),($B78/$E238)*BU238)))</f>
        <v>0</v>
      </c>
      <c r="BW78" s="395">
        <f ca="1">IF($E$238=0,0,IF(SUM($G78:BV78)=$B78,0,IF(SUM($G238:BV238)&gt;=$E238,($B78/$E238)*($E238-SUM($G238:BU238)),($B78/$E238)*BV238)))</f>
        <v>0</v>
      </c>
      <c r="BX78" s="395">
        <f ca="1">IF($E$238=0,0,IF(SUM($G78:BW78)=$B78,0,IF(SUM($G238:BW238)&gt;=$E238,($B78/$E238)*($E238-SUM($G238:BV238)),($B78/$E238)*BW238)))</f>
        <v>0</v>
      </c>
      <c r="BY78" s="395">
        <f ca="1">IF($E$238=0,0,IF(SUM($G78:BX78)=$B78,0,IF(SUM($G238:BX238)&gt;=$E238,($B78/$E238)*($E238-SUM($G238:BW238)),($B78/$E238)*BX238)))</f>
        <v>0</v>
      </c>
      <c r="BZ78" s="395">
        <f ca="1">IF($E$238=0,0,IF(SUM($G78:BY78)=$B78,0,IF(SUM($G238:BY238)&gt;=$E238,($B78/$E238)*($E238-SUM($G238:BX238)),($B78/$E238)*BY238)))</f>
        <v>0</v>
      </c>
      <c r="CA78" s="395">
        <f ca="1">IF($E$238=0,0,IF(SUM($G78:BZ78)=$B78,0,IF(SUM($G238:BZ238)&gt;=$E238,($B78/$E238)*($E238-SUM($G238:BY238)),($B78/$E238)*BZ238)))</f>
        <v>0</v>
      </c>
      <c r="CB78" s="395">
        <f ca="1">IF($E$238=0,0,IF(SUM($G78:CA78)=$B78,0,IF(SUM($G238:CA238)&gt;=$E238,($B78/$E238)*($E238-SUM($G238:BZ238)),($B78/$E238)*CA238)))</f>
        <v>0</v>
      </c>
      <c r="CC78" s="395">
        <f ca="1">IF($E$238=0,0,IF(SUM($G78:CB78)=$B78,0,IF(SUM($G238:CB238)&gt;=$E238,($B78/$E238)*($E238-SUM($G238:CA238)),($B78/$E238)*CB238)))</f>
        <v>0</v>
      </c>
      <c r="CD78" s="395">
        <f ca="1">IF($E$238=0,0,IF(SUM($G78:CC78)=$B78,0,IF(SUM($G238:CC238)&gt;=$E238,($B78/$E238)*($E238-SUM($G238:CB238)),($B78/$E238)*CC238)))</f>
        <v>0</v>
      </c>
      <c r="CE78" s="395">
        <f ca="1">IF($E$238=0,0,IF(SUM($G78:CD78)=$B78,0,IF(SUM($G238:CD238)&gt;=$E238,($B78/$E238)*($E238-SUM($G238:CC238)),($B78/$E238)*CD238)))</f>
        <v>0</v>
      </c>
      <c r="CF78" s="395">
        <f ca="1">IF($E$238=0,0,IF(SUM($G78:CE78)=$B78,0,IF(SUM($G238:CE238)&gt;=$E238,($B78/$E238)*($E238-SUM($G238:CD238)),($B78/$E238)*CE238)))</f>
        <v>0</v>
      </c>
      <c r="CG78" s="395">
        <f ca="1">IF($E$238=0,0,IF(SUM($G78:CF78)=$B78,0,IF(SUM($G238:CF238)&gt;=$E238,($B78/$E238)*($E238-SUM($G238:CE238)),($B78/$E238)*CF238)))</f>
        <v>0</v>
      </c>
      <c r="CH78" s="395">
        <f ca="1">IF($E$238=0,0,IF(SUM($G78:CG78)=$B78,0,IF(SUM($G238:CG238)&gt;=$E238,($B78/$E238)*($E238-SUM($G238:CF238)),($B78/$E238)*CG238)))</f>
        <v>0</v>
      </c>
      <c r="CI78" s="395">
        <f ca="1">IF($E$238=0,0,IF(SUM($G78:CH78)=$B78,0,IF(SUM($G238:CH238)&gt;=$E238,($B78/$E238)*($E238-SUM($G238:CG238)),($B78/$E238)*CH238)))</f>
        <v>0</v>
      </c>
      <c r="CJ78" s="395">
        <f ca="1">IF($E$238=0,0,IF(SUM($G78:CI78)=$B78,0,IF(SUM($G238:CI238)&gt;=$E238,($B78/$E238)*($E238-SUM($G238:CH238)),($B78/$E238)*CI238)))</f>
        <v>0</v>
      </c>
      <c r="CK78" s="395">
        <f ca="1">IF($E$238=0,0,IF(SUM($G78:CJ78)=$B78,0,IF(SUM($G238:CJ238)&gt;=$E238,($B78/$E238)*($E238-SUM($G238:CI238)),($B78/$E238)*CJ238)))</f>
        <v>0</v>
      </c>
      <c r="CL78" s="395">
        <f ca="1">IF($E$238=0,0,IF(SUM($G78:CK78)=$B78,0,IF(SUM($G238:CK238)&gt;=$E238,($B78/$E238)*($E238-SUM($G238:CJ238)),($B78/$E238)*CK238)))</f>
        <v>0</v>
      </c>
      <c r="CM78" s="395">
        <f ca="1">IF($E$238=0,0,IF(SUM($G78:CL78)=$B78,0,IF(SUM($G238:CL238)&gt;=$E238,($B78/$E238)*($E238-SUM($G238:CK238)),($B78/$E238)*CL238)))</f>
        <v>0</v>
      </c>
      <c r="CN78" s="395">
        <f ca="1">IF($E$238=0,0,IF(SUM($G78:CM78)=$B78,0,IF(SUM($G238:CM238)&gt;=$E238,($B78/$E238)*($E238-SUM($G238:CL238)),($B78/$E238)*CM238)))</f>
        <v>0</v>
      </c>
      <c r="CO78" s="395">
        <f ca="1">IF($E$238=0,0,IF(SUM($G78:CN78)=$B78,0,IF(SUM($G238:CN238)&gt;=$E238,($B78/$E238)*($E238-SUM($G238:CM238)),($B78/$E238)*CN238)))</f>
        <v>0</v>
      </c>
      <c r="CP78" s="395">
        <f ca="1">IF($E$238=0,0,IF(SUM($G78:CO78)=$B78,0,IF(SUM($G238:CO238)&gt;=$E238,($B78/$E238)*($E238-SUM($G238:CN238)),($B78/$E238)*CO238)))</f>
        <v>0</v>
      </c>
      <c r="CQ78" s="395">
        <f ca="1">IF($E$238=0,0,IF(SUM($G78:CP78)=$B78,0,IF(SUM($G238:CP238)&gt;=$E238,($B78/$E238)*($E238-SUM($G238:CO238)),($B78/$E238)*CP238)))</f>
        <v>0</v>
      </c>
      <c r="CR78" s="395">
        <f ca="1">IF($E$238=0,0,IF(SUM($G78:CQ78)=$B78,0,IF(SUM($G238:CQ238)&gt;=$E238,($B78/$E238)*($E238-SUM($G238:CP238)),($B78/$E238)*CQ238)))</f>
        <v>0</v>
      </c>
      <c r="CS78" s="395">
        <f ca="1">IF($E$238=0,0,IF(SUM($G78:CR78)=$B78,0,IF(SUM($G238:CR238)&gt;=$E238,($B78/$E238)*($E238-SUM($G238:CQ238)),($B78/$E238)*CR238)))</f>
        <v>0</v>
      </c>
      <c r="CT78" s="395">
        <f ca="1">IF($E$238=0,0,IF(SUM($G78:CS78)=$B78,0,IF(SUM($G238:CS238)&gt;=$E238,($B78/$E238)*($E238-SUM($G238:CR238)),($B78/$E238)*CS238)))</f>
        <v>0</v>
      </c>
      <c r="CU78" s="395">
        <f ca="1">IF($E$238=0,0,IF(SUM($G78:CT78)=$B78,0,IF(SUM($G238:CT238)&gt;=$E238,($B78/$E238)*($E238-SUM($G238:CS238)),($B78/$E238)*CT238)))</f>
        <v>0</v>
      </c>
      <c r="CV78" s="395">
        <f ca="1">IF($E$238=0,0,IF(SUM($G78:CU78)=$B78,0,IF(SUM($G238:CU238)&gt;=$E238,($B78/$E238)*($E238-SUM($G238:CT238)),($B78/$E238)*CU238)))</f>
        <v>0</v>
      </c>
      <c r="CW78" s="395">
        <f ca="1">IF($E$238=0,0,IF(SUM($G78:CV78)=$B78,0,IF(SUM($G238:CV238)&gt;=$E238,($B78/$E238)*($E238-SUM($G238:CU238)),($B78/$E238)*CV238)))</f>
        <v>0</v>
      </c>
      <c r="CX78" s="395">
        <f ca="1">IF($E$238=0,0,IF(SUM($G78:CW78)=$B78,0,IF(SUM($G238:CW238)&gt;=$E238,($B78/$E238)*($E238-SUM($G238:CV238)),($B78/$E238)*CW238)))</f>
        <v>0</v>
      </c>
      <c r="CY78" s="395">
        <f ca="1">IF($E$238=0,0,IF(SUM($G78:CX78)=$B78,0,IF(SUM($G238:CX238)&gt;=$E238,($B78/$E238)*($E238-SUM($G238:CW238)),($B78/$E238)*CX238)))</f>
        <v>0</v>
      </c>
      <c r="CZ78" s="395">
        <f ca="1">IF($E$238=0,0,IF(SUM($G78:CY78)=$B78,0,IF(SUM($G238:CY238)&gt;=$E238,($B78/$E238)*($E238-SUM($G238:CX238)),($B78/$E238)*CY238)))</f>
        <v>0</v>
      </c>
      <c r="DA78" s="395">
        <f ca="1">IF($E$238=0,0,IF(SUM($G78:CZ78)=$B78,0,IF(SUM($G238:CZ238)&gt;=$E238,($B78/$E238)*($E238-SUM($G238:CY238)),($B78/$E238)*CZ238)))</f>
        <v>0</v>
      </c>
      <c r="DB78" s="395">
        <f ca="1">IF($E$238=0,0,IF(SUM($G78:DA78)=$B78,0,IF(SUM($G238:DA238)&gt;=$E238,($B78/$E238)*($E238-SUM($G238:CZ238)),($B78/$E238)*DA238)))</f>
        <v>0</v>
      </c>
      <c r="DC78" s="395">
        <f ca="1">IF($E$238=0,0,IF(SUM($G78:DB78)=$B78,0,IF(SUM($G238:DB238)&gt;=$E238,($B78/$E238)*($E238-SUM($G238:DA238)),($B78/$E238)*DB238)))</f>
        <v>0</v>
      </c>
      <c r="DD78" s="395">
        <f ca="1">IF($E$238=0,0,IF(SUM($G78:DC78)=$B78,0,IF(SUM($G238:DC238)&gt;=$E238,($B78/$E238)*($E238-SUM($G238:DB238)),($B78/$E238)*DC238)))</f>
        <v>0</v>
      </c>
      <c r="DE78" s="395">
        <f ca="1">IF($E$238=0,0,IF(SUM($G78:DD78)=$B78,0,IF(SUM($G238:DD238)&gt;=$E238,($B78/$E238)*($E238-SUM($G238:DC238)),($B78/$E238)*DD238)))</f>
        <v>0</v>
      </c>
      <c r="DF78" s="395">
        <f ca="1">IF($E$238=0,0,IF(SUM($G78:DE78)=$B78,0,IF(SUM($G238:DE238)&gt;=$E238,($B78/$E238)*($E238-SUM($G238:DD238)),($B78/$E238)*DE238)))</f>
        <v>0</v>
      </c>
      <c r="DG78" s="395">
        <f ca="1">IF($E$238=0,0,IF(SUM($G78:DF78)=$B78,0,IF(SUM($G238:DF238)&gt;=$E238,($B78/$E238)*($E238-SUM($G238:DE238)),($B78/$E238)*DF238)))</f>
        <v>0</v>
      </c>
      <c r="DH78" s="395">
        <f ca="1">IF($E$238=0,0,IF(SUM($G78:DG78)=$B78,0,IF(SUM($G238:DG238)&gt;=$E238,($B78/$E238)*($E238-SUM($G238:DF238)),($B78/$E238)*DG238)))</f>
        <v>0</v>
      </c>
      <c r="DI78" s="395">
        <f ca="1">IF($E$238=0,0,IF(SUM($G78:DH78)=$B78,0,IF(SUM($G238:DH238)&gt;=$E238,($B78/$E238)*($E238-SUM($G238:DG238)),($B78/$E238)*DH238)))</f>
        <v>0</v>
      </c>
      <c r="DJ78" s="395">
        <f ca="1">IF($E$238=0,0,IF(SUM($G78:DI78)=$B78,0,IF(SUM($G238:DI238)&gt;=$E238,($B78/$E238)*($E238-SUM($G238:DH238)),($B78/$E238)*DI238)))</f>
        <v>0</v>
      </c>
      <c r="DK78" s="395">
        <f ca="1">IF($E$238=0,0,IF(SUM($G78:DJ78)=$B78,0,IF(SUM($G238:DJ238)&gt;=$E238,($B78/$E238)*($E238-SUM($G238:DI238)),($B78/$E238)*DJ238)))</f>
        <v>0</v>
      </c>
      <c r="DL78" s="395">
        <f ca="1">IF($E$238=0,0,IF(SUM($G78:DK78)=$B78,0,IF(SUM($G238:DK238)&gt;=$E238,($B78/$E238)*($E238-SUM($G238:DJ238)),($B78/$E238)*DK238)))</f>
        <v>0</v>
      </c>
      <c r="DM78" s="395">
        <f ca="1">IF($E$238=0,0,IF(SUM($G78:DL78)=$B78,0,IF(SUM($G238:DL238)&gt;=$E238,($B78/$E238)*($E238-SUM($G238:DK238)),($B78/$E238)*DL238)))</f>
        <v>0</v>
      </c>
      <c r="DN78" s="395">
        <f ca="1">IF($E$238=0,0,IF(SUM($G78:DM78)=$B78,0,IF(SUM($G238:DM238)&gt;=$E238,($B78/$E238)*($E238-SUM($G238:DL238)),($B78/$E238)*DM238)))</f>
        <v>0</v>
      </c>
      <c r="DO78" s="395">
        <f ca="1">IF($E$238=0,0,IF(SUM($G78:DN78)=$B78,0,IF(SUM($G238:DN238)&gt;=$E238,($B78/$E238)*($E238-SUM($G238:DM238)),($B78/$E238)*DN238)))</f>
        <v>0</v>
      </c>
      <c r="DP78" s="395">
        <f ca="1">IF($E$238=0,0,IF(SUM($G78:DO78)=$B78,0,IF(SUM($G238:DO238)&gt;=$E238,($B78/$E238)*($E238-SUM($G238:DN238)),($B78/$E238)*DO238)))</f>
        <v>0</v>
      </c>
      <c r="DQ78" s="395">
        <f ca="1">IF($E$238=0,0,IF(SUM($G78:DP78)=$B78,0,IF(SUM($G238:DP238)&gt;=$E238,($B78/$E238)*($E238-SUM($G238:DO238)),($B78/$E238)*DP238)))</f>
        <v>0</v>
      </c>
      <c r="DR78" s="395">
        <f ca="1">IF($E$238=0,0,IF(SUM($G78:DQ78)=$B78,0,IF(SUM($G238:DQ238)&gt;=$E238,($B78/$E238)*($E238-SUM($G238:DP238)),($B78/$E238)*DQ238)))</f>
        <v>0</v>
      </c>
      <c r="DS78" s="395">
        <f ca="1">IF($E$238=0,0,IF(SUM($G78:DR78)=$B78,0,IF(SUM($G238:DR238)&gt;=$E238,($B78/$E238)*($E238-SUM($G238:DQ238)),($B78/$E238)*DR238)))</f>
        <v>0</v>
      </c>
      <c r="DT78" s="395">
        <f ca="1">IF($E$238=0,0,IF(SUM($G78:DS78)=$B78,0,IF(SUM($G238:DS238)&gt;=$E238,($B78/$E238)*($E238-SUM($G238:DR238)),($B78/$E238)*DS238)))</f>
        <v>0</v>
      </c>
      <c r="DU78" s="395">
        <f ca="1">IF($E$238=0,0,IF(SUM($G78:DT78)=$B78,0,IF(SUM($G238:DT238)&gt;=$E238,($B78/$E238)*($E238-SUM($G238:DS238)),($B78/$E238)*DT238)))</f>
        <v>0</v>
      </c>
      <c r="DV78" s="395">
        <f ca="1">IF($E$238=0,0,IF(SUM($G78:DU78)=$B78,0,IF(SUM($G238:DU238)&gt;=$E238,($B78/$E238)*($E238-SUM($G238:DT238)),($B78/$E238)*DU238)))</f>
        <v>0</v>
      </c>
      <c r="DW78" s="395">
        <f ca="1">IF($E$238=0,0,IF(SUM($G78:DV78)=$B78,0,IF(SUM($G238:DV238)&gt;=$E238,($B78/$E238)*($E238-SUM($G238:DU238)),($B78/$E238)*DV238)))</f>
        <v>0</v>
      </c>
      <c r="DX78" s="395">
        <f ca="1">IF($E$238=0,0,IF(SUM($G78:DW78)=$B78,0,IF(SUM($G238:DW238)&gt;=$E238,($B78/$E238)*($E238-SUM($G238:DV238)),($B78/$E238)*DW238)))</f>
        <v>0</v>
      </c>
      <c r="DY78" s="395">
        <f ca="1">IF($E$238=0,0,IF(SUM($G78:DX78)=$B78,0,IF(SUM($G238:DX238)&gt;=$E238,($B78/$E238)*($E238-SUM($G238:DW238)),($B78/$E238)*DX238)))</f>
        <v>0</v>
      </c>
      <c r="DZ78" s="395">
        <f ca="1">IF($E$238=0,0,IF(SUM($G78:DY78)=$B78,0,IF(SUM($G238:DY238)&gt;=$E238,($B78/$E238)*($E238-SUM($G238:DX238)),($B78/$E238)*DY238)))</f>
        <v>0</v>
      </c>
      <c r="EA78" s="395">
        <f ca="1">IF($E$238=0,0,IF(SUM($G78:DZ78)=$B78,0,IF(SUM($G238:DZ238)&gt;=$E238,($B78/$E238)*($E238-SUM($G238:DY238)),($B78/$E238)*DZ238)))</f>
        <v>0</v>
      </c>
      <c r="EB78" s="395">
        <f ca="1">IF($E$238=0,0,IF(SUM($G78:EA78)=$B78,0,IF(SUM($G238:EA238)&gt;=$E238,($B78/$E238)*($E238-SUM($G238:DZ238)),($B78/$E238)*EA238)))</f>
        <v>0</v>
      </c>
      <c r="EC78" s="395">
        <f ca="1">IF($E$238=0,0,IF(SUM($G78:EB78)=$B78,0,IF(SUM($G238:EB238)&gt;=$E238,($B78/$E238)*($E238-SUM($G238:EA238)),($B78/$E238)*EB238)))</f>
        <v>0</v>
      </c>
      <c r="ED78" s="395">
        <f ca="1">IF($E$238=0,0,IF(SUM($G78:EC78)=$B78,0,IF(SUM($G238:EC238)&gt;=$E238,($B78/$E238)*($E238-SUM($G238:EB238)),($B78/$E238)*EC238)))</f>
        <v>0</v>
      </c>
      <c r="EE78" s="395">
        <f ca="1">IF($E$238=0,0,IF(SUM($G78:ED78)=$B78,0,IF(SUM($G238:ED238)&gt;=$E238,($B78/$E238)*($E238-SUM($G238:EC238)),($B78/$E238)*ED238)))</f>
        <v>0</v>
      </c>
      <c r="EF78" s="395">
        <f ca="1">IF($E$238=0,0,IF(SUM($G78:EE78)=$B78,0,IF(SUM($G238:EE238)&gt;=$E238,($B78/$E238)*($E238-SUM($G238:ED238)),($B78/$E238)*EE238)))</f>
        <v>0</v>
      </c>
      <c r="EG78" s="395">
        <f ca="1">IF($E$238=0,0,IF(SUM($G78:EF78)=$B78,0,IF(SUM($G238:EF238)&gt;=$E238,($B78/$E238)*($E238-SUM($G238:EE238)),($B78/$E238)*EF238)))</f>
        <v>0</v>
      </c>
      <c r="EH78" s="395">
        <f ca="1">IF($E$238=0,0,IF(SUM($G78:EG78)=$B78,0,IF(SUM($G238:EG238)&gt;=$E238,($B78/$E238)*($E238-SUM($G238:EF238)),($B78/$E238)*EG238)))</f>
        <v>0</v>
      </c>
      <c r="EI78" s="395">
        <f ca="1">IF($E$238=0,0,IF(SUM($G78:EH78)=$B78,0,IF(SUM($G238:EH238)&gt;=$E238,($B78/$E238)*($E238-SUM($G238:EG238)),($B78/$E238)*EH238)))</f>
        <v>0</v>
      </c>
      <c r="EJ78" s="398"/>
      <c r="EK78" s="313"/>
    </row>
    <row r="79" spans="1:143" hidden="1" outlineLevel="1" collapsed="1">
      <c r="A79" s="332"/>
      <c r="B79" s="313"/>
      <c r="C79" s="392" t="s">
        <v>51</v>
      </c>
      <c r="D79" s="392" t="s">
        <v>561</v>
      </c>
      <c r="E79" s="393">
        <f ca="1">ROUND(IF(F79=0,0,100%-F79),0)</f>
        <v>0</v>
      </c>
      <c r="F79" s="394">
        <f t="shared" ca="1" si="295"/>
        <v>1</v>
      </c>
      <c r="G79" s="395">
        <f>SUM(G80:G81)</f>
        <v>0</v>
      </c>
      <c r="H79" s="395">
        <f t="shared" ref="H79:BS79" ca="1" si="296">SUM(H80:H81)</f>
        <v>0</v>
      </c>
      <c r="I79" s="395">
        <f t="shared" ca="1" si="296"/>
        <v>0</v>
      </c>
      <c r="J79" s="395">
        <f t="shared" ca="1" si="296"/>
        <v>0</v>
      </c>
      <c r="K79" s="395">
        <f t="shared" ca="1" si="296"/>
        <v>0</v>
      </c>
      <c r="L79" s="395">
        <f t="shared" ca="1" si="296"/>
        <v>0</v>
      </c>
      <c r="M79" s="395">
        <f t="shared" ca="1" si="296"/>
        <v>0</v>
      </c>
      <c r="N79" s="395">
        <f t="shared" ca="1" si="296"/>
        <v>0</v>
      </c>
      <c r="O79" s="395">
        <f t="shared" ca="1" si="296"/>
        <v>0</v>
      </c>
      <c r="P79" s="395">
        <f t="shared" ca="1" si="296"/>
        <v>0</v>
      </c>
      <c r="Q79" s="395">
        <f t="shared" ca="1" si="296"/>
        <v>0</v>
      </c>
      <c r="R79" s="395">
        <f t="shared" ca="1" si="296"/>
        <v>0.21465234543376616</v>
      </c>
      <c r="S79" s="395">
        <f t="shared" ca="1" si="296"/>
        <v>0</v>
      </c>
      <c r="T79" s="395">
        <f t="shared" ca="1" si="296"/>
        <v>8.308750548309432E-2</v>
      </c>
      <c r="U79" s="395">
        <f t="shared" ca="1" si="296"/>
        <v>8.5363875496329761E-2</v>
      </c>
      <c r="V79" s="395">
        <f t="shared" ca="1" si="296"/>
        <v>8.8209338012874089E-2</v>
      </c>
      <c r="W79" s="395">
        <f t="shared" ca="1" si="296"/>
        <v>8.5363875496329761E-2</v>
      </c>
      <c r="X79" s="395">
        <f t="shared" ca="1" si="296"/>
        <v>8.8209338012874089E-2</v>
      </c>
      <c r="Y79" s="395">
        <f t="shared" ca="1" si="296"/>
        <v>8.8209338012874089E-2</v>
      </c>
      <c r="Z79" s="395">
        <f t="shared" ca="1" si="296"/>
        <v>8.5363875496329761E-2</v>
      </c>
      <c r="AA79" s="395">
        <f t="shared" ca="1" si="296"/>
        <v>8.8209338012874089E-2</v>
      </c>
      <c r="AB79" s="395">
        <f t="shared" ca="1" si="296"/>
        <v>8.5363875496329761E-2</v>
      </c>
      <c r="AC79" s="395">
        <f t="shared" ca="1" si="296"/>
        <v>7.9672950463241434E-3</v>
      </c>
      <c r="AD79" s="395">
        <f t="shared" ca="1" si="296"/>
        <v>0</v>
      </c>
      <c r="AE79" s="395">
        <f t="shared" ca="1" si="296"/>
        <v>0</v>
      </c>
      <c r="AF79" s="395">
        <f t="shared" ca="1" si="296"/>
        <v>0</v>
      </c>
      <c r="AG79" s="395">
        <f t="shared" ca="1" si="296"/>
        <v>0</v>
      </c>
      <c r="AH79" s="395">
        <f t="shared" ca="1" si="296"/>
        <v>0</v>
      </c>
      <c r="AI79" s="395">
        <f t="shared" ca="1" si="296"/>
        <v>0</v>
      </c>
      <c r="AJ79" s="395">
        <f t="shared" ca="1" si="296"/>
        <v>0</v>
      </c>
      <c r="AK79" s="395">
        <f t="shared" ca="1" si="296"/>
        <v>0</v>
      </c>
      <c r="AL79" s="395">
        <f t="shared" ca="1" si="296"/>
        <v>0</v>
      </c>
      <c r="AM79" s="395">
        <f t="shared" ca="1" si="296"/>
        <v>0</v>
      </c>
      <c r="AN79" s="395">
        <f t="shared" ca="1" si="296"/>
        <v>0</v>
      </c>
      <c r="AO79" s="395">
        <f t="shared" ca="1" si="296"/>
        <v>0</v>
      </c>
      <c r="AP79" s="395">
        <f t="shared" ca="1" si="296"/>
        <v>0</v>
      </c>
      <c r="AQ79" s="395">
        <f t="shared" ca="1" si="296"/>
        <v>0</v>
      </c>
      <c r="AR79" s="395">
        <f t="shared" ca="1" si="296"/>
        <v>0</v>
      </c>
      <c r="AS79" s="395">
        <f t="shared" ca="1" si="296"/>
        <v>0</v>
      </c>
      <c r="AT79" s="395">
        <f t="shared" ca="1" si="296"/>
        <v>0</v>
      </c>
      <c r="AU79" s="395">
        <f t="shared" ca="1" si="296"/>
        <v>0</v>
      </c>
      <c r="AV79" s="395">
        <f t="shared" ca="1" si="296"/>
        <v>0</v>
      </c>
      <c r="AW79" s="395">
        <f t="shared" ca="1" si="296"/>
        <v>0</v>
      </c>
      <c r="AX79" s="395">
        <f t="shared" ca="1" si="296"/>
        <v>0</v>
      </c>
      <c r="AY79" s="395">
        <f t="shared" ca="1" si="296"/>
        <v>0</v>
      </c>
      <c r="AZ79" s="395">
        <f t="shared" ca="1" si="296"/>
        <v>0</v>
      </c>
      <c r="BA79" s="395">
        <f t="shared" ca="1" si="296"/>
        <v>0</v>
      </c>
      <c r="BB79" s="395">
        <f t="shared" ca="1" si="296"/>
        <v>0</v>
      </c>
      <c r="BC79" s="395">
        <f t="shared" ca="1" si="296"/>
        <v>0</v>
      </c>
      <c r="BD79" s="395">
        <f t="shared" ca="1" si="296"/>
        <v>0</v>
      </c>
      <c r="BE79" s="395">
        <f t="shared" ca="1" si="296"/>
        <v>0</v>
      </c>
      <c r="BF79" s="395">
        <f t="shared" ca="1" si="296"/>
        <v>0</v>
      </c>
      <c r="BG79" s="395">
        <f t="shared" ca="1" si="296"/>
        <v>0</v>
      </c>
      <c r="BH79" s="395">
        <f t="shared" ca="1" si="296"/>
        <v>0</v>
      </c>
      <c r="BI79" s="395">
        <f t="shared" ca="1" si="296"/>
        <v>0</v>
      </c>
      <c r="BJ79" s="395">
        <f t="shared" ca="1" si="296"/>
        <v>0</v>
      </c>
      <c r="BK79" s="395">
        <f t="shared" ca="1" si="296"/>
        <v>0</v>
      </c>
      <c r="BL79" s="395">
        <f t="shared" ca="1" si="296"/>
        <v>0</v>
      </c>
      <c r="BM79" s="395">
        <f t="shared" ca="1" si="296"/>
        <v>0</v>
      </c>
      <c r="BN79" s="395">
        <f t="shared" ca="1" si="296"/>
        <v>0</v>
      </c>
      <c r="BO79" s="395">
        <f t="shared" ca="1" si="296"/>
        <v>0</v>
      </c>
      <c r="BP79" s="395">
        <f t="shared" ca="1" si="296"/>
        <v>0</v>
      </c>
      <c r="BQ79" s="395">
        <f t="shared" ca="1" si="296"/>
        <v>0</v>
      </c>
      <c r="BR79" s="395">
        <f t="shared" ca="1" si="296"/>
        <v>0</v>
      </c>
      <c r="BS79" s="395">
        <f t="shared" ca="1" si="296"/>
        <v>0</v>
      </c>
      <c r="BT79" s="395">
        <f t="shared" ref="BT79:EE79" ca="1" si="297">SUM(BT80:BT81)</f>
        <v>0</v>
      </c>
      <c r="BU79" s="395">
        <f t="shared" ca="1" si="297"/>
        <v>0</v>
      </c>
      <c r="BV79" s="395">
        <f t="shared" ca="1" si="297"/>
        <v>0</v>
      </c>
      <c r="BW79" s="395">
        <f t="shared" ca="1" si="297"/>
        <v>0</v>
      </c>
      <c r="BX79" s="395">
        <f t="shared" ca="1" si="297"/>
        <v>0</v>
      </c>
      <c r="BY79" s="395">
        <f t="shared" ca="1" si="297"/>
        <v>0</v>
      </c>
      <c r="BZ79" s="395">
        <f t="shared" ca="1" si="297"/>
        <v>0</v>
      </c>
      <c r="CA79" s="395">
        <f t="shared" ca="1" si="297"/>
        <v>0</v>
      </c>
      <c r="CB79" s="395">
        <f t="shared" ca="1" si="297"/>
        <v>0</v>
      </c>
      <c r="CC79" s="395">
        <f t="shared" ca="1" si="297"/>
        <v>0</v>
      </c>
      <c r="CD79" s="395">
        <f t="shared" ca="1" si="297"/>
        <v>0</v>
      </c>
      <c r="CE79" s="395">
        <f t="shared" ca="1" si="297"/>
        <v>0</v>
      </c>
      <c r="CF79" s="395">
        <f t="shared" ca="1" si="297"/>
        <v>0</v>
      </c>
      <c r="CG79" s="395">
        <f t="shared" ca="1" si="297"/>
        <v>0</v>
      </c>
      <c r="CH79" s="395">
        <f t="shared" ca="1" si="297"/>
        <v>0</v>
      </c>
      <c r="CI79" s="395">
        <f t="shared" ca="1" si="297"/>
        <v>0</v>
      </c>
      <c r="CJ79" s="395">
        <f t="shared" ca="1" si="297"/>
        <v>0</v>
      </c>
      <c r="CK79" s="395">
        <f t="shared" ca="1" si="297"/>
        <v>0</v>
      </c>
      <c r="CL79" s="395">
        <f t="shared" ca="1" si="297"/>
        <v>0</v>
      </c>
      <c r="CM79" s="395">
        <f t="shared" ca="1" si="297"/>
        <v>0</v>
      </c>
      <c r="CN79" s="395">
        <f t="shared" ca="1" si="297"/>
        <v>0</v>
      </c>
      <c r="CO79" s="395">
        <f t="shared" ca="1" si="297"/>
        <v>0</v>
      </c>
      <c r="CP79" s="395">
        <f t="shared" ca="1" si="297"/>
        <v>0</v>
      </c>
      <c r="CQ79" s="395">
        <f t="shared" ca="1" si="297"/>
        <v>0</v>
      </c>
      <c r="CR79" s="395">
        <f t="shared" ca="1" si="297"/>
        <v>0</v>
      </c>
      <c r="CS79" s="395">
        <f t="shared" ca="1" si="297"/>
        <v>0</v>
      </c>
      <c r="CT79" s="395">
        <f t="shared" ca="1" si="297"/>
        <v>0</v>
      </c>
      <c r="CU79" s="395">
        <f t="shared" ca="1" si="297"/>
        <v>0</v>
      </c>
      <c r="CV79" s="395">
        <f t="shared" ca="1" si="297"/>
        <v>0</v>
      </c>
      <c r="CW79" s="395">
        <f t="shared" ca="1" si="297"/>
        <v>0</v>
      </c>
      <c r="CX79" s="395">
        <f t="shared" ca="1" si="297"/>
        <v>0</v>
      </c>
      <c r="CY79" s="395">
        <f t="shared" ca="1" si="297"/>
        <v>0</v>
      </c>
      <c r="CZ79" s="395">
        <f t="shared" ca="1" si="297"/>
        <v>0</v>
      </c>
      <c r="DA79" s="395">
        <f t="shared" ca="1" si="297"/>
        <v>0</v>
      </c>
      <c r="DB79" s="395">
        <f t="shared" ca="1" si="297"/>
        <v>0</v>
      </c>
      <c r="DC79" s="395">
        <f t="shared" ca="1" si="297"/>
        <v>0</v>
      </c>
      <c r="DD79" s="395">
        <f t="shared" ca="1" si="297"/>
        <v>0</v>
      </c>
      <c r="DE79" s="395">
        <f t="shared" ca="1" si="297"/>
        <v>0</v>
      </c>
      <c r="DF79" s="395">
        <f t="shared" ca="1" si="297"/>
        <v>0</v>
      </c>
      <c r="DG79" s="395">
        <f t="shared" ca="1" si="297"/>
        <v>0</v>
      </c>
      <c r="DH79" s="395">
        <f t="shared" ca="1" si="297"/>
        <v>0</v>
      </c>
      <c r="DI79" s="395">
        <f t="shared" ca="1" si="297"/>
        <v>0</v>
      </c>
      <c r="DJ79" s="395">
        <f t="shared" ca="1" si="297"/>
        <v>0</v>
      </c>
      <c r="DK79" s="395">
        <f t="shared" ca="1" si="297"/>
        <v>0</v>
      </c>
      <c r="DL79" s="395">
        <f t="shared" ca="1" si="297"/>
        <v>0</v>
      </c>
      <c r="DM79" s="395">
        <f t="shared" ca="1" si="297"/>
        <v>0</v>
      </c>
      <c r="DN79" s="395">
        <f t="shared" ca="1" si="297"/>
        <v>0</v>
      </c>
      <c r="DO79" s="395">
        <f t="shared" ca="1" si="297"/>
        <v>0</v>
      </c>
      <c r="DP79" s="395">
        <f t="shared" ca="1" si="297"/>
        <v>0</v>
      </c>
      <c r="DQ79" s="395">
        <f t="shared" ca="1" si="297"/>
        <v>0</v>
      </c>
      <c r="DR79" s="395">
        <f t="shared" ca="1" si="297"/>
        <v>0</v>
      </c>
      <c r="DS79" s="395">
        <f t="shared" ca="1" si="297"/>
        <v>0</v>
      </c>
      <c r="DT79" s="395">
        <f t="shared" ca="1" si="297"/>
        <v>0</v>
      </c>
      <c r="DU79" s="395">
        <f t="shared" ca="1" si="297"/>
        <v>0</v>
      </c>
      <c r="DV79" s="395">
        <f t="shared" ca="1" si="297"/>
        <v>0</v>
      </c>
      <c r="DW79" s="395">
        <f t="shared" ca="1" si="297"/>
        <v>0</v>
      </c>
      <c r="DX79" s="395">
        <f t="shared" ca="1" si="297"/>
        <v>0</v>
      </c>
      <c r="DY79" s="395">
        <f t="shared" ca="1" si="297"/>
        <v>0</v>
      </c>
      <c r="DZ79" s="395">
        <f t="shared" ca="1" si="297"/>
        <v>0</v>
      </c>
      <c r="EA79" s="395">
        <f t="shared" ca="1" si="297"/>
        <v>0</v>
      </c>
      <c r="EB79" s="395">
        <f t="shared" ca="1" si="297"/>
        <v>0</v>
      </c>
      <c r="EC79" s="395">
        <f t="shared" ca="1" si="297"/>
        <v>0</v>
      </c>
      <c r="ED79" s="395">
        <f t="shared" ca="1" si="297"/>
        <v>0</v>
      </c>
      <c r="EE79" s="395">
        <f t="shared" ca="1" si="297"/>
        <v>0</v>
      </c>
      <c r="EF79" s="395">
        <f t="shared" ref="EF79:EI79" ca="1" si="298">SUM(EF80:EF81)</f>
        <v>0</v>
      </c>
      <c r="EG79" s="395">
        <f t="shared" ca="1" si="298"/>
        <v>0</v>
      </c>
      <c r="EH79" s="395">
        <f t="shared" ca="1" si="298"/>
        <v>0</v>
      </c>
      <c r="EI79" s="395">
        <f t="shared" ca="1" si="298"/>
        <v>0</v>
      </c>
      <c r="EJ79" s="398"/>
      <c r="EK79" s="313"/>
    </row>
    <row r="80" spans="1:143" hidden="1" outlineLevel="2">
      <c r="A80" s="332"/>
      <c r="B80" s="549">
        <f>длительность!B178</f>
        <v>0.21465234543376616</v>
      </c>
      <c r="C80" s="317"/>
      <c r="D80" s="317" t="s">
        <v>664</v>
      </c>
      <c r="E80" s="318">
        <f t="shared" ref="E80:E81" ca="1" si="299">IF(F80=0,0,B80-F80)</f>
        <v>0</v>
      </c>
      <c r="F80" s="397">
        <f t="shared" ca="1" si="295"/>
        <v>0.21465234543376616</v>
      </c>
      <c r="G80" s="395"/>
      <c r="H80" s="395">
        <f ca="1">IF(SUM($G80:G80)=$B80,0,IF(J81&gt;0%,$B80,0%))</f>
        <v>0</v>
      </c>
      <c r="I80" s="395">
        <f ca="1">IF(SUM($G80:H80)=$B80,0,IF(K81&gt;0%,$B80,0%))</f>
        <v>0</v>
      </c>
      <c r="J80" s="395">
        <f ca="1">IF(SUM($G80:I80)=$B80,0,IF(L81&gt;0%,$B80,0%))</f>
        <v>0</v>
      </c>
      <c r="K80" s="395">
        <f ca="1">IF(SUM($G80:J80)=$B80,0,IF(M81&gt;0%,$B80,0%))</f>
        <v>0</v>
      </c>
      <c r="L80" s="395">
        <f ca="1">IF(SUM($G80:K80)=$B80,0,IF(N81&gt;0%,$B80,0%))</f>
        <v>0</v>
      </c>
      <c r="M80" s="395">
        <f ca="1">IF(SUM($G80:L80)=$B80,0,IF(O81&gt;0%,$B80,0%))</f>
        <v>0</v>
      </c>
      <c r="N80" s="395">
        <f ca="1">IF(SUM($G80:M80)=$B80,0,IF(P81&gt;0%,$B80,0%))</f>
        <v>0</v>
      </c>
      <c r="O80" s="395">
        <f ca="1">IF(SUM($G80:N80)=$B80,0,IF(Q81&gt;0%,$B80,0%))</f>
        <v>0</v>
      </c>
      <c r="P80" s="395">
        <f ca="1">IF(SUM($G80:O80)=$B80,0,IF(R81&gt;0%,$B80,0%))</f>
        <v>0</v>
      </c>
      <c r="Q80" s="395">
        <f ca="1">IF(SUM($G80:P80)=$B80,0,IF(S81&gt;0%,$B80,0%))</f>
        <v>0</v>
      </c>
      <c r="R80" s="395">
        <f ca="1">IF(SUM($G80:Q80)=$B80,0,IF(T81&gt;0%,$B80,0%))</f>
        <v>0.21465234543376616</v>
      </c>
      <c r="S80" s="395">
        <f ca="1">IF(SUM($G80:R80)=$B80,0,IF(U81&gt;0%,$B80,0%))</f>
        <v>0</v>
      </c>
      <c r="T80" s="395">
        <f ca="1">IF(SUM($G80:S80)=$B80,0,IF(V81&gt;0%,$B80,0%))</f>
        <v>0</v>
      </c>
      <c r="U80" s="395">
        <f ca="1">IF(SUM($G80:T80)=$B80,0,IF(W81&gt;0%,$B80,0%))</f>
        <v>0</v>
      </c>
      <c r="V80" s="395">
        <f ca="1">IF(SUM($G80:U80)=$B80,0,IF(X81&gt;0%,$B80,0%))</f>
        <v>0</v>
      </c>
      <c r="W80" s="395">
        <f ca="1">IF(SUM($G80:V80)=$B80,0,IF(Y81&gt;0%,$B80,0%))</f>
        <v>0</v>
      </c>
      <c r="X80" s="395">
        <f ca="1">IF(SUM($G80:W80)=$B80,0,IF(Z81&gt;0%,$B80,0%))</f>
        <v>0</v>
      </c>
      <c r="Y80" s="395">
        <f ca="1">IF(SUM($G80:X80)=$B80,0,IF(AA81&gt;0%,$B80,0%))</f>
        <v>0</v>
      </c>
      <c r="Z80" s="395">
        <f ca="1">IF(SUM($G80:Y80)=$B80,0,IF(AB81&gt;0%,$B80,0%))</f>
        <v>0</v>
      </c>
      <c r="AA80" s="395">
        <f ca="1">IF(SUM($G80:Z80)=$B80,0,IF(AC81&gt;0%,$B80,0%))</f>
        <v>0</v>
      </c>
      <c r="AB80" s="395">
        <f ca="1">IF(SUM($G80:AA80)=$B80,0,IF(AD81&gt;0%,$B80,0%))</f>
        <v>0</v>
      </c>
      <c r="AC80" s="395">
        <f ca="1">IF(SUM($G80:AB80)=$B80,0,IF(AE81&gt;0%,$B80,0%))</f>
        <v>0</v>
      </c>
      <c r="AD80" s="395">
        <f ca="1">IF(SUM($G80:AC80)=$B80,0,IF(AF81&gt;0%,$B80,0%))</f>
        <v>0</v>
      </c>
      <c r="AE80" s="395">
        <f ca="1">IF(SUM($G80:AD80)=$B80,0,IF(AG81&gt;0%,$B80,0%))</f>
        <v>0</v>
      </c>
      <c r="AF80" s="395">
        <f ca="1">IF(SUM($G80:AE80)=$B80,0,IF(AH81&gt;0%,$B80,0%))</f>
        <v>0</v>
      </c>
      <c r="AG80" s="395">
        <f ca="1">IF(SUM($G80:AF80)=$B80,0,IF(AI81&gt;0%,$B80,0%))</f>
        <v>0</v>
      </c>
      <c r="AH80" s="395">
        <f ca="1">IF(SUM($G80:AG80)=$B80,0,IF(AJ81&gt;0%,$B80,0%))</f>
        <v>0</v>
      </c>
      <c r="AI80" s="395">
        <f ca="1">IF(SUM($G80:AH80)=$B80,0,IF(AK81&gt;0%,$B80,0%))</f>
        <v>0</v>
      </c>
      <c r="AJ80" s="395">
        <f ca="1">IF(SUM($G80:AI80)=$B80,0,IF(AL81&gt;0%,$B80,0%))</f>
        <v>0</v>
      </c>
      <c r="AK80" s="395">
        <f ca="1">IF(SUM($G80:AJ80)=$B80,0,IF(AM81&gt;0%,$B80,0%))</f>
        <v>0</v>
      </c>
      <c r="AL80" s="395">
        <f ca="1">IF(SUM($G80:AK80)=$B80,0,IF(AN81&gt;0%,$B80,0%))</f>
        <v>0</v>
      </c>
      <c r="AM80" s="395">
        <f ca="1">IF(SUM($G80:AL80)=$B80,0,IF(AO81&gt;0%,$B80,0%))</f>
        <v>0</v>
      </c>
      <c r="AN80" s="395">
        <f ca="1">IF(SUM($G80:AM80)=$B80,0,IF(AP81&gt;0%,$B80,0%))</f>
        <v>0</v>
      </c>
      <c r="AO80" s="395">
        <f ca="1">IF(SUM($G80:AN80)=$B80,0,IF(AQ81&gt;0%,$B80,0%))</f>
        <v>0</v>
      </c>
      <c r="AP80" s="395">
        <f ca="1">IF(SUM($G80:AO80)=$B80,0,IF(AR81&gt;0%,$B80,0%))</f>
        <v>0</v>
      </c>
      <c r="AQ80" s="395">
        <f ca="1">IF(SUM($G80:AP80)=$B80,0,IF(AS81&gt;0%,$B80,0%))</f>
        <v>0</v>
      </c>
      <c r="AR80" s="395">
        <f ca="1">IF(SUM($G80:AQ80)=$B80,0,IF(AT81&gt;0%,$B80,0%))</f>
        <v>0</v>
      </c>
      <c r="AS80" s="395">
        <f ca="1">IF(SUM($G80:AR80)=$B80,0,IF(AU81&gt;0%,$B80,0%))</f>
        <v>0</v>
      </c>
      <c r="AT80" s="395">
        <f ca="1">IF(SUM($G80:AS80)=$B80,0,IF(AV81&gt;0%,$B80,0%))</f>
        <v>0</v>
      </c>
      <c r="AU80" s="395">
        <f ca="1">IF(SUM($G80:AT80)=$B80,0,IF(AW81&gt;0%,$B80,0%))</f>
        <v>0</v>
      </c>
      <c r="AV80" s="395">
        <f ca="1">IF(SUM($G80:AU80)=$B80,0,IF(AX81&gt;0%,$B80,0%))</f>
        <v>0</v>
      </c>
      <c r="AW80" s="395">
        <f ca="1">IF(SUM($G80:AV80)=$B80,0,IF(AY81&gt;0%,$B80,0%))</f>
        <v>0</v>
      </c>
      <c r="AX80" s="395">
        <f ca="1">IF(SUM($G80:AW80)=$B80,0,IF(AZ81&gt;0%,$B80,0%))</f>
        <v>0</v>
      </c>
      <c r="AY80" s="395">
        <f ca="1">IF(SUM($G80:AX80)=$B80,0,IF(BA81&gt;0%,$B80,0%))</f>
        <v>0</v>
      </c>
      <c r="AZ80" s="395">
        <f ca="1">IF(SUM($G80:AY80)=$B80,0,IF(BB81&gt;0%,$B80,0%))</f>
        <v>0</v>
      </c>
      <c r="BA80" s="395">
        <f ca="1">IF(SUM($G80:AZ80)=$B80,0,IF(BC81&gt;0%,$B80,0%))</f>
        <v>0</v>
      </c>
      <c r="BB80" s="395">
        <f ca="1">IF(SUM($G80:BA80)=$B80,0,IF(BD81&gt;0%,$B80,0%))</f>
        <v>0</v>
      </c>
      <c r="BC80" s="395">
        <f ca="1">IF(SUM($G80:BB80)=$B80,0,IF(BE81&gt;0%,$B80,0%))</f>
        <v>0</v>
      </c>
      <c r="BD80" s="395">
        <f ca="1">IF(SUM($G80:BC80)=$B80,0,IF(BF81&gt;0%,$B80,0%))</f>
        <v>0</v>
      </c>
      <c r="BE80" s="395">
        <f ca="1">IF(SUM($G80:BD80)=$B80,0,IF(BG81&gt;0%,$B80,0%))</f>
        <v>0</v>
      </c>
      <c r="BF80" s="395">
        <f ca="1">IF(SUM($G80:BE80)=$B80,0,IF(BH81&gt;0%,$B80,0%))</f>
        <v>0</v>
      </c>
      <c r="BG80" s="395">
        <f ca="1">IF(SUM($G80:BF80)=$B80,0,IF(BI81&gt;0%,$B80,0%))</f>
        <v>0</v>
      </c>
      <c r="BH80" s="395">
        <f ca="1">IF(SUM($G80:BG80)=$B80,0,IF(BJ81&gt;0%,$B80,0%))</f>
        <v>0</v>
      </c>
      <c r="BI80" s="395">
        <f ca="1">IF(SUM($G80:BH80)=$B80,0,IF(BK81&gt;0%,$B80,0%))</f>
        <v>0</v>
      </c>
      <c r="BJ80" s="395">
        <f ca="1">IF(SUM($G80:BI80)=$B80,0,IF(BL81&gt;0%,$B80,0%))</f>
        <v>0</v>
      </c>
      <c r="BK80" s="395">
        <f ca="1">IF(SUM($G80:BJ80)=$B80,0,IF(BM81&gt;0%,$B80,0%))</f>
        <v>0</v>
      </c>
      <c r="BL80" s="395">
        <f ca="1">IF(SUM($G80:BK80)=$B80,0,IF(BN81&gt;0%,$B80,0%))</f>
        <v>0</v>
      </c>
      <c r="BM80" s="395">
        <f ca="1">IF(SUM($G80:BL80)=$B80,0,IF(BO81&gt;0%,$B80,0%))</f>
        <v>0</v>
      </c>
      <c r="BN80" s="395">
        <f ca="1">IF(SUM($G80:BM80)=$B80,0,IF(BP81&gt;0%,$B80,0%))</f>
        <v>0</v>
      </c>
      <c r="BO80" s="395">
        <f ca="1">IF(SUM($G80:BN80)=$B80,0,IF(BQ81&gt;0%,$B80,0%))</f>
        <v>0</v>
      </c>
      <c r="BP80" s="395">
        <f ca="1">IF(SUM($G80:BO80)=$B80,0,IF(BR81&gt;0%,$B80,0%))</f>
        <v>0</v>
      </c>
      <c r="BQ80" s="395">
        <f ca="1">IF(SUM($G80:BP80)=$B80,0,IF(BS81&gt;0%,$B80,0%))</f>
        <v>0</v>
      </c>
      <c r="BR80" s="395">
        <f ca="1">IF(SUM($G80:BQ80)=$B80,0,IF(BT81&gt;0%,$B80,0%))</f>
        <v>0</v>
      </c>
      <c r="BS80" s="395">
        <f ca="1">IF(SUM($G80:BR80)=$B80,0,IF(BU81&gt;0%,$B80,0%))</f>
        <v>0</v>
      </c>
      <c r="BT80" s="395">
        <f ca="1">IF(SUM($G80:BS80)=$B80,0,IF(BV81&gt;0%,$B80,0%))</f>
        <v>0</v>
      </c>
      <c r="BU80" s="395">
        <f ca="1">IF(SUM($G80:BT80)=$B80,0,IF(BW81&gt;0%,$B80,0%))</f>
        <v>0</v>
      </c>
      <c r="BV80" s="395">
        <f ca="1">IF(SUM($G80:BU80)=$B80,0,IF(BX81&gt;0%,$B80,0%))</f>
        <v>0</v>
      </c>
      <c r="BW80" s="395">
        <f ca="1">IF(SUM($G80:BV80)=$B80,0,IF(BY81&gt;0%,$B80,0%))</f>
        <v>0</v>
      </c>
      <c r="BX80" s="395">
        <f ca="1">IF(SUM($G80:BW80)=$B80,0,IF(BZ81&gt;0%,$B80,0%))</f>
        <v>0</v>
      </c>
      <c r="BY80" s="395">
        <f ca="1">IF(SUM($G80:BX80)=$B80,0,IF(CA81&gt;0%,$B80,0%))</f>
        <v>0</v>
      </c>
      <c r="BZ80" s="395">
        <f ca="1">IF(SUM($G80:BY80)=$B80,0,IF(CB81&gt;0%,$B80,0%))</f>
        <v>0</v>
      </c>
      <c r="CA80" s="395">
        <f ca="1">IF(SUM($G80:BZ80)=$B80,0,IF(CC81&gt;0%,$B80,0%))</f>
        <v>0</v>
      </c>
      <c r="CB80" s="395">
        <f ca="1">IF(SUM($G80:CA80)=$B80,0,IF(CD81&gt;0%,$B80,0%))</f>
        <v>0</v>
      </c>
      <c r="CC80" s="395">
        <f ca="1">IF(SUM($G80:CB80)=$B80,0,IF(CE81&gt;0%,$B80,0%))</f>
        <v>0</v>
      </c>
      <c r="CD80" s="395">
        <f ca="1">IF(SUM($G80:CC80)=$B80,0,IF(CF81&gt;0%,$B80,0%))</f>
        <v>0</v>
      </c>
      <c r="CE80" s="395">
        <f ca="1">IF(SUM($G80:CD80)=$B80,0,IF(CG81&gt;0%,$B80,0%))</f>
        <v>0</v>
      </c>
      <c r="CF80" s="395">
        <f ca="1">IF(SUM($G80:CE80)=$B80,0,IF(CH81&gt;0%,$B80,0%))</f>
        <v>0</v>
      </c>
      <c r="CG80" s="395">
        <f ca="1">IF(SUM($G80:CF80)=$B80,0,IF(CI81&gt;0%,$B80,0%))</f>
        <v>0</v>
      </c>
      <c r="CH80" s="395">
        <f ca="1">IF(SUM($G80:CG80)=$B80,0,IF(CJ81&gt;0%,$B80,0%))</f>
        <v>0</v>
      </c>
      <c r="CI80" s="395">
        <f ca="1">IF(SUM($G80:CH80)=$B80,0,IF(CK81&gt;0%,$B80,0%))</f>
        <v>0</v>
      </c>
      <c r="CJ80" s="395">
        <f ca="1">IF(SUM($G80:CI80)=$B80,0,IF(CL81&gt;0%,$B80,0%))</f>
        <v>0</v>
      </c>
      <c r="CK80" s="395">
        <f ca="1">IF(SUM($G80:CJ80)=$B80,0,IF(CM81&gt;0%,$B80,0%))</f>
        <v>0</v>
      </c>
      <c r="CL80" s="395">
        <f ca="1">IF(SUM($G80:CK80)=$B80,0,IF(CN81&gt;0%,$B80,0%))</f>
        <v>0</v>
      </c>
      <c r="CM80" s="395">
        <f ca="1">IF(SUM($G80:CL80)=$B80,0,IF(CO81&gt;0%,$B80,0%))</f>
        <v>0</v>
      </c>
      <c r="CN80" s="395">
        <f ca="1">IF(SUM($G80:CM80)=$B80,0,IF(CP81&gt;0%,$B80,0%))</f>
        <v>0</v>
      </c>
      <c r="CO80" s="395">
        <f ca="1">IF(SUM($G80:CN80)=$B80,0,IF(CQ81&gt;0%,$B80,0%))</f>
        <v>0</v>
      </c>
      <c r="CP80" s="395">
        <f ca="1">IF(SUM($G80:CO80)=$B80,0,IF(CR81&gt;0%,$B80,0%))</f>
        <v>0</v>
      </c>
      <c r="CQ80" s="395">
        <f ca="1">IF(SUM($G80:CP80)=$B80,0,IF(CS81&gt;0%,$B80,0%))</f>
        <v>0</v>
      </c>
      <c r="CR80" s="395">
        <f ca="1">IF(SUM($G80:CQ80)=$B80,0,IF(CT81&gt;0%,$B80,0%))</f>
        <v>0</v>
      </c>
      <c r="CS80" s="395">
        <f ca="1">IF(SUM($G80:CR80)=$B80,0,IF(CU81&gt;0%,$B80,0%))</f>
        <v>0</v>
      </c>
      <c r="CT80" s="395">
        <f ca="1">IF(SUM($G80:CS80)=$B80,0,IF(CV81&gt;0%,$B80,0%))</f>
        <v>0</v>
      </c>
      <c r="CU80" s="395">
        <f ca="1">IF(SUM($G80:CT80)=$B80,0,IF(CW81&gt;0%,$B80,0%))</f>
        <v>0</v>
      </c>
      <c r="CV80" s="395">
        <f ca="1">IF(SUM($G80:CU80)=$B80,0,IF(CX81&gt;0%,$B80,0%))</f>
        <v>0</v>
      </c>
      <c r="CW80" s="395">
        <f ca="1">IF(SUM($G80:CV80)=$B80,0,IF(CY81&gt;0%,$B80,0%))</f>
        <v>0</v>
      </c>
      <c r="CX80" s="395">
        <f ca="1">IF(SUM($G80:CW80)=$B80,0,IF(CZ81&gt;0%,$B80,0%))</f>
        <v>0</v>
      </c>
      <c r="CY80" s="395">
        <f ca="1">IF(SUM($G80:CX80)=$B80,0,IF(DA81&gt;0%,$B80,0%))</f>
        <v>0</v>
      </c>
      <c r="CZ80" s="395">
        <f ca="1">IF(SUM($G80:CY80)=$B80,0,IF(DB81&gt;0%,$B80,0%))</f>
        <v>0</v>
      </c>
      <c r="DA80" s="395">
        <f ca="1">IF(SUM($G80:CZ80)=$B80,0,IF(DC81&gt;0%,$B80,0%))</f>
        <v>0</v>
      </c>
      <c r="DB80" s="395">
        <f ca="1">IF(SUM($G80:DA80)=$B80,0,IF(DD81&gt;0%,$B80,0%))</f>
        <v>0</v>
      </c>
      <c r="DC80" s="395">
        <f ca="1">IF(SUM($G80:DB80)=$B80,0,IF(DE81&gt;0%,$B80,0%))</f>
        <v>0</v>
      </c>
      <c r="DD80" s="395">
        <f ca="1">IF(SUM($G80:DC80)=$B80,0,IF(DF81&gt;0%,$B80,0%))</f>
        <v>0</v>
      </c>
      <c r="DE80" s="395">
        <f ca="1">IF(SUM($G80:DD80)=$B80,0,IF(DG81&gt;0%,$B80,0%))</f>
        <v>0</v>
      </c>
      <c r="DF80" s="395">
        <f ca="1">IF(SUM($G80:DE80)=$B80,0,IF(DH81&gt;0%,$B80,0%))</f>
        <v>0</v>
      </c>
      <c r="DG80" s="395">
        <f ca="1">IF(SUM($G80:DF80)=$B80,0,IF(DI81&gt;0%,$B80,0%))</f>
        <v>0</v>
      </c>
      <c r="DH80" s="395">
        <f ca="1">IF(SUM($G80:DG80)=$B80,0,IF(DJ81&gt;0%,$B80,0%))</f>
        <v>0</v>
      </c>
      <c r="DI80" s="395">
        <f ca="1">IF(SUM($G80:DH80)=$B80,0,IF(DK81&gt;0%,$B80,0%))</f>
        <v>0</v>
      </c>
      <c r="DJ80" s="395">
        <f ca="1">IF(SUM($G80:DI80)=$B80,0,IF(DL81&gt;0%,$B80,0%))</f>
        <v>0</v>
      </c>
      <c r="DK80" s="395">
        <f ca="1">IF(SUM($G80:DJ80)=$B80,0,IF(DM81&gt;0%,$B80,0%))</f>
        <v>0</v>
      </c>
      <c r="DL80" s="395">
        <f ca="1">IF(SUM($G80:DK80)=$B80,0,IF(DN81&gt;0%,$B80,0%))</f>
        <v>0</v>
      </c>
      <c r="DM80" s="395">
        <f ca="1">IF(SUM($G80:DL80)=$B80,0,IF(DO81&gt;0%,$B80,0%))</f>
        <v>0</v>
      </c>
      <c r="DN80" s="395">
        <f ca="1">IF(SUM($G80:DM80)=$B80,0,IF(DP81&gt;0%,$B80,0%))</f>
        <v>0</v>
      </c>
      <c r="DO80" s="395">
        <f ca="1">IF(SUM($G80:DN80)=$B80,0,IF(DQ81&gt;0%,$B80,0%))</f>
        <v>0</v>
      </c>
      <c r="DP80" s="395">
        <f ca="1">IF(SUM($G80:DO80)=$B80,0,IF(DR81&gt;0%,$B80,0%))</f>
        <v>0</v>
      </c>
      <c r="DQ80" s="395">
        <f ca="1">IF(SUM($G80:DP80)=$B80,0,IF(DS81&gt;0%,$B80,0%))</f>
        <v>0</v>
      </c>
      <c r="DR80" s="395">
        <f ca="1">IF(SUM($G80:DQ80)=$B80,0,IF(DT81&gt;0%,$B80,0%))</f>
        <v>0</v>
      </c>
      <c r="DS80" s="395">
        <f ca="1">IF(SUM($G80:DR80)=$B80,0,IF(DU81&gt;0%,$B80,0%))</f>
        <v>0</v>
      </c>
      <c r="DT80" s="395">
        <f ca="1">IF(SUM($G80:DS80)=$B80,0,IF(DV81&gt;0%,$B80,0%))</f>
        <v>0</v>
      </c>
      <c r="DU80" s="395">
        <f ca="1">IF(SUM($G80:DT80)=$B80,0,IF(DW81&gt;0%,$B80,0%))</f>
        <v>0</v>
      </c>
      <c r="DV80" s="395">
        <f ca="1">IF(SUM($G80:DU80)=$B80,0,IF(DX81&gt;0%,$B80,0%))</f>
        <v>0</v>
      </c>
      <c r="DW80" s="395">
        <f ca="1">IF(SUM($G80:DV80)=$B80,0,IF(DY81&gt;0%,$B80,0%))</f>
        <v>0</v>
      </c>
      <c r="DX80" s="395">
        <f ca="1">IF(SUM($G80:DW80)=$B80,0,IF(DZ81&gt;0%,$B80,0%))</f>
        <v>0</v>
      </c>
      <c r="DY80" s="395">
        <f ca="1">IF(SUM($G80:DX80)=$B80,0,IF(EA81&gt;0%,$B80,0%))</f>
        <v>0</v>
      </c>
      <c r="DZ80" s="395">
        <f ca="1">IF(SUM($G80:DY80)=$B80,0,IF(EB81&gt;0%,$B80,0%))</f>
        <v>0</v>
      </c>
      <c r="EA80" s="395">
        <f ca="1">IF(SUM($G80:DZ80)=$B80,0,IF(EC81&gt;0%,$B80,0%))</f>
        <v>0</v>
      </c>
      <c r="EB80" s="395">
        <f ca="1">IF(SUM($G80:EA80)=$B80,0,IF(ED81&gt;0%,$B80,0%))</f>
        <v>0</v>
      </c>
      <c r="EC80" s="395">
        <f ca="1">IF(SUM($G80:EB80)=$B80,0,IF(EE81&gt;0%,$B80,0%))</f>
        <v>0</v>
      </c>
      <c r="ED80" s="395">
        <f ca="1">IF(SUM($G80:EC80)=$B80,0,IF(EF81&gt;0%,$B80,0%))</f>
        <v>0</v>
      </c>
      <c r="EE80" s="395">
        <f ca="1">IF(SUM($G80:ED80)=$B80,0,IF(EG81&gt;0%,$B80,0%))</f>
        <v>0</v>
      </c>
      <c r="EF80" s="395">
        <f ca="1">IF(SUM($G80:EE80)=$B80,0,IF(EH81&gt;0%,$B80,0%))</f>
        <v>0</v>
      </c>
      <c r="EG80" s="395">
        <f ca="1">IF(SUM($G80:EF80)=$B80,0,IF(EI81&gt;0%,$B80,0%))</f>
        <v>0</v>
      </c>
      <c r="EH80" s="395">
        <f ca="1">IF(SUM($G80:EG80)=$B80,0,IF(EJ81&gt;0%,$B80,0%))</f>
        <v>0</v>
      </c>
      <c r="EI80" s="395">
        <f ca="1">IF(SUM($G80:EH80)=$B80,0,IF(EK81&gt;0%,$B80,0%))</f>
        <v>0</v>
      </c>
      <c r="EJ80" s="398"/>
      <c r="EK80" s="313"/>
    </row>
    <row r="81" spans="1:141" hidden="1" outlineLevel="2">
      <c r="A81" s="332"/>
      <c r="B81" s="549">
        <f>длительность!C178</f>
        <v>0.7853476545662339</v>
      </c>
      <c r="C81" s="317"/>
      <c r="D81" s="317" t="s">
        <v>663</v>
      </c>
      <c r="E81" s="318">
        <f t="shared" ca="1" si="299"/>
        <v>1.1102230246251565E-16</v>
      </c>
      <c r="F81" s="397">
        <f t="shared" ca="1" si="295"/>
        <v>0.78534765456623379</v>
      </c>
      <c r="G81" s="395"/>
      <c r="H81" s="395"/>
      <c r="I81" s="395">
        <f ca="1">IF($E$243=0,0,IF(SUM($G81:H81)=$B81,0,IF(SUM($G243:H243)&gt;=$E243,($B81/$E243)*($E243-SUM($G243:G243)),($B81/$E243)*H243)))</f>
        <v>0</v>
      </c>
      <c r="J81" s="395">
        <f ca="1">IF($E$243=0,0,IF(SUM($G81:I81)=$B81,0,IF(SUM($G243:I243)&gt;=$E243,($B81/$E243)*($E243-SUM($G243:H243)),($B81/$E243)*I243)))</f>
        <v>0</v>
      </c>
      <c r="K81" s="395">
        <f ca="1">IF($E$243=0,0,IF(SUM($G81:J81)=$B81,0,IF(SUM($G243:J243)&gt;=$E243,($B81/$E243)*($E243-SUM($G243:I243)),($B81/$E243)*J243)))</f>
        <v>0</v>
      </c>
      <c r="L81" s="395">
        <f ca="1">IF($E$243=0,0,IF(SUM($G81:K81)=$B81,0,IF(SUM($G243:K243)&gt;=$E243,($B81/$E243)*($E243-SUM($G243:J243)),($B81/$E243)*K243)))</f>
        <v>0</v>
      </c>
      <c r="M81" s="395">
        <f ca="1">IF($E$243=0,0,IF(SUM($G81:L81)=$B81,0,IF(SUM($G243:L243)&gt;=$E243,($B81/$E243)*($E243-SUM($G243:K243)),($B81/$E243)*L243)))</f>
        <v>0</v>
      </c>
      <c r="N81" s="395">
        <f ca="1">IF($E$243=0,0,IF(SUM($G81:M81)=$B81,0,IF(SUM($G243:M243)&gt;=$E243,($B81/$E243)*($E243-SUM($G243:L243)),($B81/$E243)*M243)))</f>
        <v>0</v>
      </c>
      <c r="O81" s="395">
        <f ca="1">IF($E$243=0,0,IF(SUM($G81:N81)=$B81,0,IF(SUM($G243:N243)&gt;=$E243,($B81/$E243)*($E243-SUM($G243:M243)),($B81/$E243)*N243)))</f>
        <v>0</v>
      </c>
      <c r="P81" s="395">
        <f ca="1">IF($E$243=0,0,IF(SUM($G81:O81)=$B81,0,IF(SUM($G243:O243)&gt;=$E243,($B81/$E243)*($E243-SUM($G243:N243)),($B81/$E243)*O243)))</f>
        <v>0</v>
      </c>
      <c r="Q81" s="395">
        <f ca="1">IF($E$243=0,0,IF(SUM($G81:P81)=$B81,0,IF(SUM($G243:P243)&gt;=$E243,($B81/$E243)*($E243-SUM($G243:O243)),($B81/$E243)*P243)))</f>
        <v>0</v>
      </c>
      <c r="R81" s="395">
        <f ca="1">IF($E$243=0,0,IF(SUM($G81:Q81)=$B81,0,IF(SUM($G243:Q243)&gt;=$E243,($B81/$E243)*($E243-SUM($G243:P243)),($B81/$E243)*Q243)))</f>
        <v>0</v>
      </c>
      <c r="S81" s="395">
        <f ca="1">IF($E$243=0,0,IF(SUM($G81:R81)=$B81,0,IF(SUM($G243:R243)&gt;=$E243,($B81/$E243)*($E243-SUM($G243:Q243)),($B81/$E243)*R243)))</f>
        <v>0</v>
      </c>
      <c r="T81" s="395">
        <f ca="1">IF($E$243=0,0,IF(SUM($G81:S81)=$B81,0,IF(SUM($G243:S243)&gt;=$E243,($B81/$E243)*($E243-SUM($G243:R243)),($B81/$E243)*S243)))</f>
        <v>8.308750548309432E-2</v>
      </c>
      <c r="U81" s="395">
        <f ca="1">IF($E$243=0,0,IF(SUM($G81:T81)=$B81,0,IF(SUM($G243:T243)&gt;=$E243,($B81/$E243)*($E243-SUM($G243:S243)),($B81/$E243)*T243)))</f>
        <v>8.5363875496329761E-2</v>
      </c>
      <c r="V81" s="395">
        <f ca="1">IF($E$243=0,0,IF(SUM($G81:U81)=$B81,0,IF(SUM($G243:U243)&gt;=$E243,($B81/$E243)*($E243-SUM($G243:T243)),($B81/$E243)*U243)))</f>
        <v>8.8209338012874089E-2</v>
      </c>
      <c r="W81" s="395">
        <f ca="1">IF($E$243=0,0,IF(SUM($G81:V81)=$B81,0,IF(SUM($G243:V243)&gt;=$E243,($B81/$E243)*($E243-SUM($G243:U243)),($B81/$E243)*V243)))</f>
        <v>8.5363875496329761E-2</v>
      </c>
      <c r="X81" s="395">
        <f ca="1">IF($E$243=0,0,IF(SUM($G81:W81)=$B81,0,IF(SUM($G243:W243)&gt;=$E243,($B81/$E243)*($E243-SUM($G243:V243)),($B81/$E243)*W243)))</f>
        <v>8.8209338012874089E-2</v>
      </c>
      <c r="Y81" s="395">
        <f ca="1">IF($E$243=0,0,IF(SUM($G81:X81)=$B81,0,IF(SUM($G243:X243)&gt;=$E243,($B81/$E243)*($E243-SUM($G243:W243)),($B81/$E243)*X243)))</f>
        <v>8.8209338012874089E-2</v>
      </c>
      <c r="Z81" s="395">
        <f ca="1">IF($E$243=0,0,IF(SUM($G81:Y81)=$B81,0,IF(SUM($G243:Y243)&gt;=$E243,($B81/$E243)*($E243-SUM($G243:X243)),($B81/$E243)*Y243)))</f>
        <v>8.5363875496329761E-2</v>
      </c>
      <c r="AA81" s="395">
        <f ca="1">IF($E$243=0,0,IF(SUM($G81:Z81)=$B81,0,IF(SUM($G243:Z243)&gt;=$E243,($B81/$E243)*($E243-SUM($G243:Y243)),($B81/$E243)*Z243)))</f>
        <v>8.8209338012874089E-2</v>
      </c>
      <c r="AB81" s="395">
        <f ca="1">IF($E$243=0,0,IF(SUM($G81:AA81)=$B81,0,IF(SUM($G243:AA243)&gt;=$E243,($B81/$E243)*($E243-SUM($G243:Z243)),($B81/$E243)*AA243)))</f>
        <v>8.5363875496329761E-2</v>
      </c>
      <c r="AC81" s="395">
        <f ca="1">IF($E$243=0,0,IF(SUM($G81:AB81)=$B81,0,IF(SUM($G243:AB243)&gt;=$E243,($B81/$E243)*($E243-SUM($G243:AA243)),($B81/$E243)*AB243)))</f>
        <v>7.9672950463241434E-3</v>
      </c>
      <c r="AD81" s="395">
        <f ca="1">IF($E$243=0,0,IF(SUM($G81:AC81)=$B81,0,IF(SUM($G243:AC243)&gt;=$E243,($B81/$E243)*($E243-SUM($G243:AB243)),($B81/$E243)*AC243)))</f>
        <v>0</v>
      </c>
      <c r="AE81" s="395">
        <f ca="1">IF($E$243=0,0,IF(SUM($G81:AD81)=$B81,0,IF(SUM($G243:AD243)&gt;=$E243,($B81/$E243)*($E243-SUM($G243:AC243)),($B81/$E243)*AD243)))</f>
        <v>0</v>
      </c>
      <c r="AF81" s="395">
        <f ca="1">IF($E$243=0,0,IF(SUM($G81:AE81)=$B81,0,IF(SUM($G243:AE243)&gt;=$E243,($B81/$E243)*($E243-SUM($G243:AD243)),($B81/$E243)*AE243)))</f>
        <v>0</v>
      </c>
      <c r="AG81" s="395">
        <f ca="1">IF($E$243=0,0,IF(SUM($G81:AF81)=$B81,0,IF(SUM($G243:AF243)&gt;=$E243,($B81/$E243)*($E243-SUM($G243:AE243)),($B81/$E243)*AF243)))</f>
        <v>0</v>
      </c>
      <c r="AH81" s="395">
        <f ca="1">IF($E$243=0,0,IF(SUM($G81:AG81)=$B81,0,IF(SUM($G243:AG243)&gt;=$E243,($B81/$E243)*($E243-SUM($G243:AF243)),($B81/$E243)*AG243)))</f>
        <v>0</v>
      </c>
      <c r="AI81" s="395">
        <f ca="1">IF($E$243=0,0,IF(SUM($G81:AH81)=$B81,0,IF(SUM($G243:AH243)&gt;=$E243,($B81/$E243)*($E243-SUM($G243:AG243)),($B81/$E243)*AH243)))</f>
        <v>0</v>
      </c>
      <c r="AJ81" s="395">
        <f ca="1">IF($E$243=0,0,IF(SUM($G81:AI81)=$B81,0,IF(SUM($G243:AI243)&gt;=$E243,($B81/$E243)*($E243-SUM($G243:AH243)),($B81/$E243)*AI243)))</f>
        <v>0</v>
      </c>
      <c r="AK81" s="395">
        <f ca="1">IF($E$243=0,0,IF(SUM($G81:AJ81)=$B81,0,IF(SUM($G243:AJ243)&gt;=$E243,($B81/$E243)*($E243-SUM($G243:AI243)),($B81/$E243)*AJ243)))</f>
        <v>0</v>
      </c>
      <c r="AL81" s="395">
        <f ca="1">IF($E$243=0,0,IF(SUM($G81:AK81)=$B81,0,IF(SUM($G243:AK243)&gt;=$E243,($B81/$E243)*($E243-SUM($G243:AJ243)),($B81/$E243)*AK243)))</f>
        <v>0</v>
      </c>
      <c r="AM81" s="395">
        <f ca="1">IF($E$243=0,0,IF(SUM($G81:AL81)=$B81,0,IF(SUM($G243:AL243)&gt;=$E243,($B81/$E243)*($E243-SUM($G243:AK243)),($B81/$E243)*AL243)))</f>
        <v>0</v>
      </c>
      <c r="AN81" s="395">
        <f ca="1">IF($E$243=0,0,IF(SUM($G81:AM81)=$B81,0,IF(SUM($G243:AM243)&gt;=$E243,($B81/$E243)*($E243-SUM($G243:AL243)),($B81/$E243)*AM243)))</f>
        <v>0</v>
      </c>
      <c r="AO81" s="395">
        <f ca="1">IF($E$243=0,0,IF(SUM($G81:AN81)=$B81,0,IF(SUM($G243:AN243)&gt;=$E243,($B81/$E243)*($E243-SUM($G243:AM243)),($B81/$E243)*AN243)))</f>
        <v>0</v>
      </c>
      <c r="AP81" s="395">
        <f ca="1">IF($E$243=0,0,IF(SUM($G81:AO81)=$B81,0,IF(SUM($G243:AO243)&gt;=$E243,($B81/$E243)*($E243-SUM($G243:AN243)),($B81/$E243)*AO243)))</f>
        <v>0</v>
      </c>
      <c r="AQ81" s="395">
        <f ca="1">IF($E$243=0,0,IF(SUM($G81:AP81)=$B81,0,IF(SUM($G243:AP243)&gt;=$E243,($B81/$E243)*($E243-SUM($G243:AO243)),($B81/$E243)*AP243)))</f>
        <v>0</v>
      </c>
      <c r="AR81" s="395">
        <f ca="1">IF($E$243=0,0,IF(SUM($G81:AQ81)=$B81,0,IF(SUM($G243:AQ243)&gt;=$E243,($B81/$E243)*($E243-SUM($G243:AP243)),($B81/$E243)*AQ243)))</f>
        <v>0</v>
      </c>
      <c r="AS81" s="395">
        <f ca="1">IF($E$243=0,0,IF(SUM($G81:AR81)=$B81,0,IF(SUM($G243:AR243)&gt;=$E243,($B81/$E243)*($E243-SUM($G243:AQ243)),($B81/$E243)*AR243)))</f>
        <v>0</v>
      </c>
      <c r="AT81" s="395">
        <f ca="1">IF($E$243=0,0,IF(SUM($G81:AS81)=$B81,0,IF(SUM($G243:AS243)&gt;=$E243,($B81/$E243)*($E243-SUM($G243:AR243)),($B81/$E243)*AS243)))</f>
        <v>0</v>
      </c>
      <c r="AU81" s="395">
        <f ca="1">IF($E$243=0,0,IF(SUM($G81:AT81)=$B81,0,IF(SUM($G243:AT243)&gt;=$E243,($B81/$E243)*($E243-SUM($G243:AS243)),($B81/$E243)*AT243)))</f>
        <v>0</v>
      </c>
      <c r="AV81" s="395">
        <f ca="1">IF($E$243=0,0,IF(SUM($G81:AU81)=$B81,0,IF(SUM($G243:AU243)&gt;=$E243,($B81/$E243)*($E243-SUM($G243:AT243)),($B81/$E243)*AU243)))</f>
        <v>0</v>
      </c>
      <c r="AW81" s="395">
        <f ca="1">IF($E$243=0,0,IF(SUM($G81:AV81)=$B81,0,IF(SUM($G243:AV243)&gt;=$E243,($B81/$E243)*($E243-SUM($G243:AU243)),($B81/$E243)*AV243)))</f>
        <v>0</v>
      </c>
      <c r="AX81" s="395">
        <f ca="1">IF($E$243=0,0,IF(SUM($G81:AW81)=$B81,0,IF(SUM($G243:AW243)&gt;=$E243,($B81/$E243)*($E243-SUM($G243:AV243)),($B81/$E243)*AW243)))</f>
        <v>0</v>
      </c>
      <c r="AY81" s="395">
        <f ca="1">IF($E$243=0,0,IF(SUM($G81:AX81)=$B81,0,IF(SUM($G243:AX243)&gt;=$E243,($B81/$E243)*($E243-SUM($G243:AW243)),($B81/$E243)*AX243)))</f>
        <v>0</v>
      </c>
      <c r="AZ81" s="395">
        <f ca="1">IF($E$243=0,0,IF(SUM($G81:AY81)=$B81,0,IF(SUM($G243:AY243)&gt;=$E243,($B81/$E243)*($E243-SUM($G243:AX243)),($B81/$E243)*AY243)))</f>
        <v>0</v>
      </c>
      <c r="BA81" s="395">
        <f ca="1">IF($E$243=0,0,IF(SUM($G81:AZ81)=$B81,0,IF(SUM($G243:AZ243)&gt;=$E243,($B81/$E243)*($E243-SUM($G243:AY243)),($B81/$E243)*AZ243)))</f>
        <v>0</v>
      </c>
      <c r="BB81" s="395">
        <f ca="1">IF($E$243=0,0,IF(SUM($G81:BA81)=$B81,0,IF(SUM($G243:BA243)&gt;=$E243,($B81/$E243)*($E243-SUM($G243:AZ243)),($B81/$E243)*BA243)))</f>
        <v>0</v>
      </c>
      <c r="BC81" s="395">
        <f ca="1">IF($E$243=0,0,IF(SUM($G81:BB81)=$B81,0,IF(SUM($G243:BB243)&gt;=$E243,($B81/$E243)*($E243-SUM($G243:BA243)),($B81/$E243)*BB243)))</f>
        <v>0</v>
      </c>
      <c r="BD81" s="395">
        <f ca="1">IF($E$243=0,0,IF(SUM($G81:BC81)=$B81,0,IF(SUM($G243:BC243)&gt;=$E243,($B81/$E243)*($E243-SUM($G243:BB243)),($B81/$E243)*BC243)))</f>
        <v>0</v>
      </c>
      <c r="BE81" s="395">
        <f ca="1">IF($E$243=0,0,IF(SUM($G81:BD81)=$B81,0,IF(SUM($G243:BD243)&gt;=$E243,($B81/$E243)*($E243-SUM($G243:BC243)),($B81/$E243)*BD243)))</f>
        <v>0</v>
      </c>
      <c r="BF81" s="395">
        <f ca="1">IF($E$243=0,0,IF(SUM($G81:BE81)=$B81,0,IF(SUM($G243:BE243)&gt;=$E243,($B81/$E243)*($E243-SUM($G243:BD243)),($B81/$E243)*BE243)))</f>
        <v>0</v>
      </c>
      <c r="BG81" s="395">
        <f ca="1">IF($E$243=0,0,IF(SUM($G81:BF81)=$B81,0,IF(SUM($G243:BF243)&gt;=$E243,($B81/$E243)*($E243-SUM($G243:BE243)),($B81/$E243)*BF243)))</f>
        <v>0</v>
      </c>
      <c r="BH81" s="395">
        <f ca="1">IF($E$243=0,0,IF(SUM($G81:BG81)=$B81,0,IF(SUM($G243:BG243)&gt;=$E243,($B81/$E243)*($E243-SUM($G243:BF243)),($B81/$E243)*BG243)))</f>
        <v>0</v>
      </c>
      <c r="BI81" s="395">
        <f ca="1">IF($E$243=0,0,IF(SUM($G81:BH81)=$B81,0,IF(SUM($G243:BH243)&gt;=$E243,($B81/$E243)*($E243-SUM($G243:BG243)),($B81/$E243)*BH243)))</f>
        <v>0</v>
      </c>
      <c r="BJ81" s="395">
        <f ca="1">IF($E$243=0,0,IF(SUM($G81:BI81)=$B81,0,IF(SUM($G243:BI243)&gt;=$E243,($B81/$E243)*($E243-SUM($G243:BH243)),($B81/$E243)*BI243)))</f>
        <v>0</v>
      </c>
      <c r="BK81" s="395">
        <f ca="1">IF($E$243=0,0,IF(SUM($G81:BJ81)=$B81,0,IF(SUM($G243:BJ243)&gt;=$E243,($B81/$E243)*($E243-SUM($G243:BI243)),($B81/$E243)*BJ243)))</f>
        <v>0</v>
      </c>
      <c r="BL81" s="395">
        <f ca="1">IF($E$243=0,0,IF(SUM($G81:BK81)=$B81,0,IF(SUM($G243:BK243)&gt;=$E243,($B81/$E243)*($E243-SUM($G243:BJ243)),($B81/$E243)*BK243)))</f>
        <v>0</v>
      </c>
      <c r="BM81" s="395">
        <f ca="1">IF($E$243=0,0,IF(SUM($G81:BL81)=$B81,0,IF(SUM($G243:BL243)&gt;=$E243,($B81/$E243)*($E243-SUM($G243:BK243)),($B81/$E243)*BL243)))</f>
        <v>0</v>
      </c>
      <c r="BN81" s="395">
        <f ca="1">IF($E$243=0,0,IF(SUM($G81:BM81)=$B81,0,IF(SUM($G243:BM243)&gt;=$E243,($B81/$E243)*($E243-SUM($G243:BL243)),($B81/$E243)*BM243)))</f>
        <v>0</v>
      </c>
      <c r="BO81" s="395">
        <f ca="1">IF($E$243=0,0,IF(SUM($G81:BN81)=$B81,0,IF(SUM($G243:BN243)&gt;=$E243,($B81/$E243)*($E243-SUM($G243:BM243)),($B81/$E243)*BN243)))</f>
        <v>0</v>
      </c>
      <c r="BP81" s="395">
        <f ca="1">IF($E$243=0,0,IF(SUM($G81:BO81)=$B81,0,IF(SUM($G243:BO243)&gt;=$E243,($B81/$E243)*($E243-SUM($G243:BN243)),($B81/$E243)*BO243)))</f>
        <v>0</v>
      </c>
      <c r="BQ81" s="395">
        <f ca="1">IF($E$243=0,0,IF(SUM($G81:BP81)=$B81,0,IF(SUM($G243:BP243)&gt;=$E243,($B81/$E243)*($E243-SUM($G243:BO243)),($B81/$E243)*BP243)))</f>
        <v>0</v>
      </c>
      <c r="BR81" s="395">
        <f ca="1">IF($E$243=0,0,IF(SUM($G81:BQ81)=$B81,0,IF(SUM($G243:BQ243)&gt;=$E243,($B81/$E243)*($E243-SUM($G243:BP243)),($B81/$E243)*BQ243)))</f>
        <v>0</v>
      </c>
      <c r="BS81" s="395">
        <f ca="1">IF($E$243=0,0,IF(SUM($G81:BR81)=$B81,0,IF(SUM($G243:BR243)&gt;=$E243,($B81/$E243)*($E243-SUM($G243:BQ243)),($B81/$E243)*BR243)))</f>
        <v>0</v>
      </c>
      <c r="BT81" s="395">
        <f ca="1">IF($E$243=0,0,IF(SUM($G81:BS81)=$B81,0,IF(SUM($G243:BS243)&gt;=$E243,($B81/$E243)*($E243-SUM($G243:BR243)),($B81/$E243)*BS243)))</f>
        <v>0</v>
      </c>
      <c r="BU81" s="395">
        <f ca="1">IF($E$243=0,0,IF(SUM($G81:BT81)=$B81,0,IF(SUM($G243:BT243)&gt;=$E243,($B81/$E243)*($E243-SUM($G243:BS243)),($B81/$E243)*BT243)))</f>
        <v>0</v>
      </c>
      <c r="BV81" s="395">
        <f ca="1">IF($E$243=0,0,IF(SUM($G81:BU81)=$B81,0,IF(SUM($G243:BU243)&gt;=$E243,($B81/$E243)*($E243-SUM($G243:BT243)),($B81/$E243)*BU243)))</f>
        <v>0</v>
      </c>
      <c r="BW81" s="395">
        <f ca="1">IF($E$243=0,0,IF(SUM($G81:BV81)=$B81,0,IF(SUM($G243:BV243)&gt;=$E243,($B81/$E243)*($E243-SUM($G243:BU243)),($B81/$E243)*BV243)))</f>
        <v>0</v>
      </c>
      <c r="BX81" s="395">
        <f ca="1">IF($E$243=0,0,IF(SUM($G81:BW81)=$B81,0,IF(SUM($G243:BW243)&gt;=$E243,($B81/$E243)*($E243-SUM($G243:BV243)),($B81/$E243)*BW243)))</f>
        <v>0</v>
      </c>
      <c r="BY81" s="395">
        <f ca="1">IF($E$243=0,0,IF(SUM($G81:BX81)=$B81,0,IF(SUM($G243:BX243)&gt;=$E243,($B81/$E243)*($E243-SUM($G243:BW243)),($B81/$E243)*BX243)))</f>
        <v>0</v>
      </c>
      <c r="BZ81" s="395">
        <f ca="1">IF($E$243=0,0,IF(SUM($G81:BY81)=$B81,0,IF(SUM($G243:BY243)&gt;=$E243,($B81/$E243)*($E243-SUM($G243:BX243)),($B81/$E243)*BY243)))</f>
        <v>0</v>
      </c>
      <c r="CA81" s="395">
        <f ca="1">IF($E$243=0,0,IF(SUM($G81:BZ81)=$B81,0,IF(SUM($G243:BZ243)&gt;=$E243,($B81/$E243)*($E243-SUM($G243:BY243)),($B81/$E243)*BZ243)))</f>
        <v>0</v>
      </c>
      <c r="CB81" s="395">
        <f ca="1">IF($E$243=0,0,IF(SUM($G81:CA81)=$B81,0,IF(SUM($G243:CA243)&gt;=$E243,($B81/$E243)*($E243-SUM($G243:BZ243)),($B81/$E243)*CA243)))</f>
        <v>0</v>
      </c>
      <c r="CC81" s="395">
        <f ca="1">IF($E$243=0,0,IF(SUM($G81:CB81)=$B81,0,IF(SUM($G243:CB243)&gt;=$E243,($B81/$E243)*($E243-SUM($G243:CA243)),($B81/$E243)*CB243)))</f>
        <v>0</v>
      </c>
      <c r="CD81" s="395">
        <f ca="1">IF($E$243=0,0,IF(SUM($G81:CC81)=$B81,0,IF(SUM($G243:CC243)&gt;=$E243,($B81/$E243)*($E243-SUM($G243:CB243)),($B81/$E243)*CC243)))</f>
        <v>0</v>
      </c>
      <c r="CE81" s="395">
        <f ca="1">IF($E$243=0,0,IF(SUM($G81:CD81)=$B81,0,IF(SUM($G243:CD243)&gt;=$E243,($B81/$E243)*($E243-SUM($G243:CC243)),($B81/$E243)*CD243)))</f>
        <v>0</v>
      </c>
      <c r="CF81" s="395">
        <f ca="1">IF($E$243=0,0,IF(SUM($G81:CE81)=$B81,0,IF(SUM($G243:CE243)&gt;=$E243,($B81/$E243)*($E243-SUM($G243:CD243)),($B81/$E243)*CE243)))</f>
        <v>0</v>
      </c>
      <c r="CG81" s="395">
        <f ca="1">IF($E$243=0,0,IF(SUM($G81:CF81)=$B81,0,IF(SUM($G243:CF243)&gt;=$E243,($B81/$E243)*($E243-SUM($G243:CE243)),($B81/$E243)*CF243)))</f>
        <v>0</v>
      </c>
      <c r="CH81" s="395">
        <f ca="1">IF($E$243=0,0,IF(SUM($G81:CG81)=$B81,0,IF(SUM($G243:CG243)&gt;=$E243,($B81/$E243)*($E243-SUM($G243:CF243)),($B81/$E243)*CG243)))</f>
        <v>0</v>
      </c>
      <c r="CI81" s="395">
        <f ca="1">IF($E$243=0,0,IF(SUM($G81:CH81)=$B81,0,IF(SUM($G243:CH243)&gt;=$E243,($B81/$E243)*($E243-SUM($G243:CG243)),($B81/$E243)*CH243)))</f>
        <v>0</v>
      </c>
      <c r="CJ81" s="395">
        <f ca="1">IF($E$243=0,0,IF(SUM($G81:CI81)=$B81,0,IF(SUM($G243:CI243)&gt;=$E243,($B81/$E243)*($E243-SUM($G243:CH243)),($B81/$E243)*CI243)))</f>
        <v>0</v>
      </c>
      <c r="CK81" s="395">
        <f ca="1">IF($E$243=0,0,IF(SUM($G81:CJ81)=$B81,0,IF(SUM($G243:CJ243)&gt;=$E243,($B81/$E243)*($E243-SUM($G243:CI243)),($B81/$E243)*CJ243)))</f>
        <v>0</v>
      </c>
      <c r="CL81" s="395">
        <f ca="1">IF($E$243=0,0,IF(SUM($G81:CK81)=$B81,0,IF(SUM($G243:CK243)&gt;=$E243,($B81/$E243)*($E243-SUM($G243:CJ243)),($B81/$E243)*CK243)))</f>
        <v>0</v>
      </c>
      <c r="CM81" s="395">
        <f ca="1">IF($E$243=0,0,IF(SUM($G81:CL81)=$B81,0,IF(SUM($G243:CL243)&gt;=$E243,($B81/$E243)*($E243-SUM($G243:CK243)),($B81/$E243)*CL243)))</f>
        <v>0</v>
      </c>
      <c r="CN81" s="395">
        <f ca="1">IF($E$243=0,0,IF(SUM($G81:CM81)=$B81,0,IF(SUM($G243:CM243)&gt;=$E243,($B81/$E243)*($E243-SUM($G243:CL243)),($B81/$E243)*CM243)))</f>
        <v>0</v>
      </c>
      <c r="CO81" s="395">
        <f ca="1">IF($E$243=0,0,IF(SUM($G81:CN81)=$B81,0,IF(SUM($G243:CN243)&gt;=$E243,($B81/$E243)*($E243-SUM($G243:CM243)),($B81/$E243)*CN243)))</f>
        <v>0</v>
      </c>
      <c r="CP81" s="395">
        <f ca="1">IF($E$243=0,0,IF(SUM($G81:CO81)=$B81,0,IF(SUM($G243:CO243)&gt;=$E243,($B81/$E243)*($E243-SUM($G243:CN243)),($B81/$E243)*CO243)))</f>
        <v>0</v>
      </c>
      <c r="CQ81" s="395">
        <f ca="1">IF($E$243=0,0,IF(SUM($G81:CP81)=$B81,0,IF(SUM($G243:CP243)&gt;=$E243,($B81/$E243)*($E243-SUM($G243:CO243)),($B81/$E243)*CP243)))</f>
        <v>0</v>
      </c>
      <c r="CR81" s="395">
        <f ca="1">IF($E$243=0,0,IF(SUM($G81:CQ81)=$B81,0,IF(SUM($G243:CQ243)&gt;=$E243,($B81/$E243)*($E243-SUM($G243:CP243)),($B81/$E243)*CQ243)))</f>
        <v>0</v>
      </c>
      <c r="CS81" s="395">
        <f ca="1">IF($E$243=0,0,IF(SUM($G81:CR81)=$B81,0,IF(SUM($G243:CR243)&gt;=$E243,($B81/$E243)*($E243-SUM($G243:CQ243)),($B81/$E243)*CR243)))</f>
        <v>0</v>
      </c>
      <c r="CT81" s="395">
        <f ca="1">IF($E$243=0,0,IF(SUM($G81:CS81)=$B81,0,IF(SUM($G243:CS243)&gt;=$E243,($B81/$E243)*($E243-SUM($G243:CR243)),($B81/$E243)*CS243)))</f>
        <v>0</v>
      </c>
      <c r="CU81" s="395">
        <f ca="1">IF($E$243=0,0,IF(SUM($G81:CT81)=$B81,0,IF(SUM($G243:CT243)&gt;=$E243,($B81/$E243)*($E243-SUM($G243:CS243)),($B81/$E243)*CT243)))</f>
        <v>0</v>
      </c>
      <c r="CV81" s="395">
        <f ca="1">IF($E$243=0,0,IF(SUM($G81:CU81)=$B81,0,IF(SUM($G243:CU243)&gt;=$E243,($B81/$E243)*($E243-SUM($G243:CT243)),($B81/$E243)*CU243)))</f>
        <v>0</v>
      </c>
      <c r="CW81" s="395">
        <f ca="1">IF($E$243=0,0,IF(SUM($G81:CV81)=$B81,0,IF(SUM($G243:CV243)&gt;=$E243,($B81/$E243)*($E243-SUM($G243:CU243)),($B81/$E243)*CV243)))</f>
        <v>0</v>
      </c>
      <c r="CX81" s="395">
        <f ca="1">IF($E$243=0,0,IF(SUM($G81:CW81)=$B81,0,IF(SUM($G243:CW243)&gt;=$E243,($B81/$E243)*($E243-SUM($G243:CV243)),($B81/$E243)*CW243)))</f>
        <v>0</v>
      </c>
      <c r="CY81" s="395">
        <f ca="1">IF($E$243=0,0,IF(SUM($G81:CX81)=$B81,0,IF(SUM($G243:CX243)&gt;=$E243,($B81/$E243)*($E243-SUM($G243:CW243)),($B81/$E243)*CX243)))</f>
        <v>0</v>
      </c>
      <c r="CZ81" s="395">
        <f ca="1">IF($E$243=0,0,IF(SUM($G81:CY81)=$B81,0,IF(SUM($G243:CY243)&gt;=$E243,($B81/$E243)*($E243-SUM($G243:CX243)),($B81/$E243)*CY243)))</f>
        <v>0</v>
      </c>
      <c r="DA81" s="395">
        <f ca="1">IF($E$243=0,0,IF(SUM($G81:CZ81)=$B81,0,IF(SUM($G243:CZ243)&gt;=$E243,($B81/$E243)*($E243-SUM($G243:CY243)),($B81/$E243)*CZ243)))</f>
        <v>0</v>
      </c>
      <c r="DB81" s="395">
        <f ca="1">IF($E$243=0,0,IF(SUM($G81:DA81)=$B81,0,IF(SUM($G243:DA243)&gt;=$E243,($B81/$E243)*($E243-SUM($G243:CZ243)),($B81/$E243)*DA243)))</f>
        <v>0</v>
      </c>
      <c r="DC81" s="395">
        <f ca="1">IF($E$243=0,0,IF(SUM($G81:DB81)=$B81,0,IF(SUM($G243:DB243)&gt;=$E243,($B81/$E243)*($E243-SUM($G243:DA243)),($B81/$E243)*DB243)))</f>
        <v>0</v>
      </c>
      <c r="DD81" s="395">
        <f ca="1">IF($E$243=0,0,IF(SUM($G81:DC81)=$B81,0,IF(SUM($G243:DC243)&gt;=$E243,($B81/$E243)*($E243-SUM($G243:DB243)),($B81/$E243)*DC243)))</f>
        <v>0</v>
      </c>
      <c r="DE81" s="395">
        <f ca="1">IF($E$243=0,0,IF(SUM($G81:DD81)=$B81,0,IF(SUM($G243:DD243)&gt;=$E243,($B81/$E243)*($E243-SUM($G243:DC243)),($B81/$E243)*DD243)))</f>
        <v>0</v>
      </c>
      <c r="DF81" s="395">
        <f ca="1">IF($E$243=0,0,IF(SUM($G81:DE81)=$B81,0,IF(SUM($G243:DE243)&gt;=$E243,($B81/$E243)*($E243-SUM($G243:DD243)),($B81/$E243)*DE243)))</f>
        <v>0</v>
      </c>
      <c r="DG81" s="395">
        <f ca="1">IF($E$243=0,0,IF(SUM($G81:DF81)=$B81,0,IF(SUM($G243:DF243)&gt;=$E243,($B81/$E243)*($E243-SUM($G243:DE243)),($B81/$E243)*DF243)))</f>
        <v>0</v>
      </c>
      <c r="DH81" s="395">
        <f ca="1">IF($E$243=0,0,IF(SUM($G81:DG81)=$B81,0,IF(SUM($G243:DG243)&gt;=$E243,($B81/$E243)*($E243-SUM($G243:DF243)),($B81/$E243)*DG243)))</f>
        <v>0</v>
      </c>
      <c r="DI81" s="395">
        <f ca="1">IF($E$243=0,0,IF(SUM($G81:DH81)=$B81,0,IF(SUM($G243:DH243)&gt;=$E243,($B81/$E243)*($E243-SUM($G243:DG243)),($B81/$E243)*DH243)))</f>
        <v>0</v>
      </c>
      <c r="DJ81" s="395">
        <f ca="1">IF($E$243=0,0,IF(SUM($G81:DI81)=$B81,0,IF(SUM($G243:DI243)&gt;=$E243,($B81/$E243)*($E243-SUM($G243:DH243)),($B81/$E243)*DI243)))</f>
        <v>0</v>
      </c>
      <c r="DK81" s="395">
        <f ca="1">IF($E$243=0,0,IF(SUM($G81:DJ81)=$B81,0,IF(SUM($G243:DJ243)&gt;=$E243,($B81/$E243)*($E243-SUM($G243:DI243)),($B81/$E243)*DJ243)))</f>
        <v>0</v>
      </c>
      <c r="DL81" s="395">
        <f ca="1">IF($E$243=0,0,IF(SUM($G81:DK81)=$B81,0,IF(SUM($G243:DK243)&gt;=$E243,($B81/$E243)*($E243-SUM($G243:DJ243)),($B81/$E243)*DK243)))</f>
        <v>0</v>
      </c>
      <c r="DM81" s="395">
        <f ca="1">IF($E$243=0,0,IF(SUM($G81:DL81)=$B81,0,IF(SUM($G243:DL243)&gt;=$E243,($B81/$E243)*($E243-SUM($G243:DK243)),($B81/$E243)*DL243)))</f>
        <v>0</v>
      </c>
      <c r="DN81" s="395">
        <f ca="1">IF($E$243=0,0,IF(SUM($G81:DM81)=$B81,0,IF(SUM($G243:DM243)&gt;=$E243,($B81/$E243)*($E243-SUM($G243:DL243)),($B81/$E243)*DM243)))</f>
        <v>0</v>
      </c>
      <c r="DO81" s="395">
        <f ca="1">IF($E$243=0,0,IF(SUM($G81:DN81)=$B81,0,IF(SUM($G243:DN243)&gt;=$E243,($B81/$E243)*($E243-SUM($G243:DM243)),($B81/$E243)*DN243)))</f>
        <v>0</v>
      </c>
      <c r="DP81" s="395">
        <f ca="1">IF($E$243=0,0,IF(SUM($G81:DO81)=$B81,0,IF(SUM($G243:DO243)&gt;=$E243,($B81/$E243)*($E243-SUM($G243:DN243)),($B81/$E243)*DO243)))</f>
        <v>0</v>
      </c>
      <c r="DQ81" s="395">
        <f ca="1">IF($E$243=0,0,IF(SUM($G81:DP81)=$B81,0,IF(SUM($G243:DP243)&gt;=$E243,($B81/$E243)*($E243-SUM($G243:DO243)),($B81/$E243)*DP243)))</f>
        <v>0</v>
      </c>
      <c r="DR81" s="395">
        <f ca="1">IF($E$243=0,0,IF(SUM($G81:DQ81)=$B81,0,IF(SUM($G243:DQ243)&gt;=$E243,($B81/$E243)*($E243-SUM($G243:DP243)),($B81/$E243)*DQ243)))</f>
        <v>0</v>
      </c>
      <c r="DS81" s="395">
        <f ca="1">IF($E$243=0,0,IF(SUM($G81:DR81)=$B81,0,IF(SUM($G243:DR243)&gt;=$E243,($B81/$E243)*($E243-SUM($G243:DQ243)),($B81/$E243)*DR243)))</f>
        <v>0</v>
      </c>
      <c r="DT81" s="395">
        <f ca="1">IF($E$243=0,0,IF(SUM($G81:DS81)=$B81,0,IF(SUM($G243:DS243)&gt;=$E243,($B81/$E243)*($E243-SUM($G243:DR243)),($B81/$E243)*DS243)))</f>
        <v>0</v>
      </c>
      <c r="DU81" s="395">
        <f ca="1">IF($E$243=0,0,IF(SUM($G81:DT81)=$B81,0,IF(SUM($G243:DT243)&gt;=$E243,($B81/$E243)*($E243-SUM($G243:DS243)),($B81/$E243)*DT243)))</f>
        <v>0</v>
      </c>
      <c r="DV81" s="395">
        <f ca="1">IF($E$243=0,0,IF(SUM($G81:DU81)=$B81,0,IF(SUM($G243:DU243)&gt;=$E243,($B81/$E243)*($E243-SUM($G243:DT243)),($B81/$E243)*DU243)))</f>
        <v>0</v>
      </c>
      <c r="DW81" s="395">
        <f ca="1">IF($E$243=0,0,IF(SUM($G81:DV81)=$B81,0,IF(SUM($G243:DV243)&gt;=$E243,($B81/$E243)*($E243-SUM($G243:DU243)),($B81/$E243)*DV243)))</f>
        <v>0</v>
      </c>
      <c r="DX81" s="395">
        <f ca="1">IF($E$243=0,0,IF(SUM($G81:DW81)=$B81,0,IF(SUM($G243:DW243)&gt;=$E243,($B81/$E243)*($E243-SUM($G243:DV243)),($B81/$E243)*DW243)))</f>
        <v>0</v>
      </c>
      <c r="DY81" s="395">
        <f ca="1">IF($E$243=0,0,IF(SUM($G81:DX81)=$B81,0,IF(SUM($G243:DX243)&gt;=$E243,($B81/$E243)*($E243-SUM($G243:DW243)),($B81/$E243)*DX243)))</f>
        <v>0</v>
      </c>
      <c r="DZ81" s="395">
        <f ca="1">IF($E$243=0,0,IF(SUM($G81:DY81)=$B81,0,IF(SUM($G243:DY243)&gt;=$E243,($B81/$E243)*($E243-SUM($G243:DX243)),($B81/$E243)*DY243)))</f>
        <v>0</v>
      </c>
      <c r="EA81" s="395">
        <f ca="1">IF($E$243=0,0,IF(SUM($G81:DZ81)=$B81,0,IF(SUM($G243:DZ243)&gt;=$E243,($B81/$E243)*($E243-SUM($G243:DY243)),($B81/$E243)*DZ243)))</f>
        <v>0</v>
      </c>
      <c r="EB81" s="395">
        <f ca="1">IF($E$243=0,0,IF(SUM($G81:EA81)=$B81,0,IF(SUM($G243:EA243)&gt;=$E243,($B81/$E243)*($E243-SUM($G243:DZ243)),($B81/$E243)*EA243)))</f>
        <v>0</v>
      </c>
      <c r="EC81" s="395">
        <f ca="1">IF($E$243=0,0,IF(SUM($G81:EB81)=$B81,0,IF(SUM($G243:EB243)&gt;=$E243,($B81/$E243)*($E243-SUM($G243:EA243)),($B81/$E243)*EB243)))</f>
        <v>0</v>
      </c>
      <c r="ED81" s="395">
        <f ca="1">IF($E$243=0,0,IF(SUM($G81:EC81)=$B81,0,IF(SUM($G243:EC243)&gt;=$E243,($B81/$E243)*($E243-SUM($G243:EB243)),($B81/$E243)*EC243)))</f>
        <v>0</v>
      </c>
      <c r="EE81" s="395">
        <f ca="1">IF($E$243=0,0,IF(SUM($G81:ED81)=$B81,0,IF(SUM($G243:ED243)&gt;=$E243,($B81/$E243)*($E243-SUM($G243:EC243)),($B81/$E243)*ED243)))</f>
        <v>0</v>
      </c>
      <c r="EF81" s="395">
        <f ca="1">IF($E$243=0,0,IF(SUM($G81:EE81)=$B81,0,IF(SUM($G243:EE243)&gt;=$E243,($B81/$E243)*($E243-SUM($G243:ED243)),($B81/$E243)*EE243)))</f>
        <v>0</v>
      </c>
      <c r="EG81" s="395">
        <f ca="1">IF($E$243=0,0,IF(SUM($G81:EF81)=$B81,0,IF(SUM($G243:EF243)&gt;=$E243,($B81/$E243)*($E243-SUM($G243:EE243)),($B81/$E243)*EF243)))</f>
        <v>0</v>
      </c>
      <c r="EH81" s="395">
        <f ca="1">IF($E$243=0,0,IF(SUM($G81:EG81)=$B81,0,IF(SUM($G243:EG243)&gt;=$E243,($B81/$E243)*($E243-SUM($G243:EF243)),($B81/$E243)*EG243)))</f>
        <v>0</v>
      </c>
      <c r="EI81" s="395">
        <f ca="1">IF($E$243=0,0,IF(SUM($G81:EH81)=$B81,0,IF(SUM($G243:EH243)&gt;=$E243,($B81/$E243)*($E243-SUM($G243:EG243)),($B81/$E243)*EH243)))</f>
        <v>0</v>
      </c>
      <c r="EJ81" s="398"/>
      <c r="EK81" s="313"/>
    </row>
    <row r="82" spans="1:141" hidden="1" outlineLevel="1" collapsed="1">
      <c r="A82" s="332"/>
      <c r="B82" s="313"/>
      <c r="C82" s="392" t="s">
        <v>52</v>
      </c>
      <c r="D82" s="392" t="s">
        <v>53</v>
      </c>
      <c r="E82" s="393">
        <f ca="1">ROUND(IF(F82=0,0,100%-F82),0)</f>
        <v>0</v>
      </c>
      <c r="F82" s="394">
        <f t="shared" ca="1" si="283"/>
        <v>1</v>
      </c>
      <c r="G82" s="395">
        <f>SUM(G83:G84)</f>
        <v>0</v>
      </c>
      <c r="H82" s="395">
        <f t="shared" ref="H82:BS82" si="300">SUM(H83:H84)</f>
        <v>0</v>
      </c>
      <c r="I82" s="395">
        <f t="shared" ca="1" si="300"/>
        <v>0</v>
      </c>
      <c r="J82" s="395">
        <f t="shared" ca="1" si="300"/>
        <v>0</v>
      </c>
      <c r="K82" s="395">
        <f t="shared" ca="1" si="300"/>
        <v>0</v>
      </c>
      <c r="L82" s="395">
        <f t="shared" ca="1" si="300"/>
        <v>0</v>
      </c>
      <c r="M82" s="395">
        <f t="shared" ca="1" si="300"/>
        <v>0</v>
      </c>
      <c r="N82" s="395">
        <f t="shared" ca="1" si="300"/>
        <v>0</v>
      </c>
      <c r="O82" s="395">
        <f t="shared" ca="1" si="300"/>
        <v>0</v>
      </c>
      <c r="P82" s="395">
        <f t="shared" ca="1" si="300"/>
        <v>0</v>
      </c>
      <c r="Q82" s="395">
        <f t="shared" ca="1" si="300"/>
        <v>0</v>
      </c>
      <c r="R82" s="395">
        <f t="shared" ca="1" si="300"/>
        <v>0</v>
      </c>
      <c r="S82" s="395">
        <f t="shared" ca="1" si="300"/>
        <v>0</v>
      </c>
      <c r="T82" s="395">
        <f t="shared" ca="1" si="300"/>
        <v>0.70000000000000029</v>
      </c>
      <c r="U82" s="395">
        <f t="shared" ca="1" si="300"/>
        <v>0.29999999999999966</v>
      </c>
      <c r="V82" s="395">
        <f t="shared" ca="1" si="300"/>
        <v>0</v>
      </c>
      <c r="W82" s="395">
        <f t="shared" ca="1" si="300"/>
        <v>0</v>
      </c>
      <c r="X82" s="395">
        <f t="shared" ca="1" si="300"/>
        <v>0</v>
      </c>
      <c r="Y82" s="395">
        <f t="shared" ca="1" si="300"/>
        <v>0</v>
      </c>
      <c r="Z82" s="395">
        <f t="shared" ca="1" si="300"/>
        <v>0</v>
      </c>
      <c r="AA82" s="395">
        <f t="shared" ca="1" si="300"/>
        <v>0</v>
      </c>
      <c r="AB82" s="395">
        <f t="shared" ca="1" si="300"/>
        <v>0</v>
      </c>
      <c r="AC82" s="395">
        <f t="shared" ca="1" si="300"/>
        <v>0</v>
      </c>
      <c r="AD82" s="395">
        <f t="shared" ca="1" si="300"/>
        <v>0</v>
      </c>
      <c r="AE82" s="395">
        <f t="shared" ca="1" si="300"/>
        <v>0</v>
      </c>
      <c r="AF82" s="395">
        <f t="shared" ca="1" si="300"/>
        <v>0</v>
      </c>
      <c r="AG82" s="395">
        <f t="shared" ca="1" si="300"/>
        <v>0</v>
      </c>
      <c r="AH82" s="395">
        <f t="shared" ca="1" si="300"/>
        <v>0</v>
      </c>
      <c r="AI82" s="395">
        <f t="shared" ca="1" si="300"/>
        <v>0</v>
      </c>
      <c r="AJ82" s="395">
        <f t="shared" ca="1" si="300"/>
        <v>0</v>
      </c>
      <c r="AK82" s="395">
        <f t="shared" ca="1" si="300"/>
        <v>0</v>
      </c>
      <c r="AL82" s="395">
        <f t="shared" ca="1" si="300"/>
        <v>0</v>
      </c>
      <c r="AM82" s="395">
        <f t="shared" ca="1" si="300"/>
        <v>0</v>
      </c>
      <c r="AN82" s="395">
        <f t="shared" ca="1" si="300"/>
        <v>0</v>
      </c>
      <c r="AO82" s="395">
        <f t="shared" ca="1" si="300"/>
        <v>0</v>
      </c>
      <c r="AP82" s="395">
        <f t="shared" ca="1" si="300"/>
        <v>0</v>
      </c>
      <c r="AQ82" s="395">
        <f t="shared" ca="1" si="300"/>
        <v>0</v>
      </c>
      <c r="AR82" s="395">
        <f t="shared" ca="1" si="300"/>
        <v>0</v>
      </c>
      <c r="AS82" s="395">
        <f t="shared" ca="1" si="300"/>
        <v>0</v>
      </c>
      <c r="AT82" s="395">
        <f t="shared" ca="1" si="300"/>
        <v>0</v>
      </c>
      <c r="AU82" s="395">
        <f t="shared" ca="1" si="300"/>
        <v>0</v>
      </c>
      <c r="AV82" s="395">
        <f t="shared" ca="1" si="300"/>
        <v>0</v>
      </c>
      <c r="AW82" s="395">
        <f t="shared" ca="1" si="300"/>
        <v>0</v>
      </c>
      <c r="AX82" s="395">
        <f t="shared" ca="1" si="300"/>
        <v>0</v>
      </c>
      <c r="AY82" s="395">
        <f t="shared" ca="1" si="300"/>
        <v>0</v>
      </c>
      <c r="AZ82" s="395">
        <f t="shared" ca="1" si="300"/>
        <v>0</v>
      </c>
      <c r="BA82" s="395">
        <f t="shared" ca="1" si="300"/>
        <v>0</v>
      </c>
      <c r="BB82" s="395">
        <f t="shared" ca="1" si="300"/>
        <v>0</v>
      </c>
      <c r="BC82" s="395">
        <f t="shared" ca="1" si="300"/>
        <v>0</v>
      </c>
      <c r="BD82" s="395">
        <f t="shared" ca="1" si="300"/>
        <v>0</v>
      </c>
      <c r="BE82" s="395">
        <f t="shared" ca="1" si="300"/>
        <v>0</v>
      </c>
      <c r="BF82" s="395">
        <f t="shared" ca="1" si="300"/>
        <v>0</v>
      </c>
      <c r="BG82" s="395">
        <f t="shared" ca="1" si="300"/>
        <v>0</v>
      </c>
      <c r="BH82" s="395">
        <f t="shared" ca="1" si="300"/>
        <v>0</v>
      </c>
      <c r="BI82" s="395">
        <f t="shared" ca="1" si="300"/>
        <v>0</v>
      </c>
      <c r="BJ82" s="395">
        <f t="shared" ca="1" si="300"/>
        <v>0</v>
      </c>
      <c r="BK82" s="395">
        <f t="shared" ca="1" si="300"/>
        <v>0</v>
      </c>
      <c r="BL82" s="395">
        <f t="shared" ca="1" si="300"/>
        <v>0</v>
      </c>
      <c r="BM82" s="395">
        <f t="shared" ca="1" si="300"/>
        <v>0</v>
      </c>
      <c r="BN82" s="395">
        <f t="shared" ca="1" si="300"/>
        <v>0</v>
      </c>
      <c r="BO82" s="395">
        <f t="shared" ca="1" si="300"/>
        <v>0</v>
      </c>
      <c r="BP82" s="395">
        <f t="shared" ca="1" si="300"/>
        <v>0</v>
      </c>
      <c r="BQ82" s="395">
        <f t="shared" ca="1" si="300"/>
        <v>0</v>
      </c>
      <c r="BR82" s="395">
        <f t="shared" ca="1" si="300"/>
        <v>0</v>
      </c>
      <c r="BS82" s="395">
        <f t="shared" ca="1" si="300"/>
        <v>0</v>
      </c>
      <c r="BT82" s="395">
        <f t="shared" ref="BT82:EE82" ca="1" si="301">SUM(BT83:BT84)</f>
        <v>0</v>
      </c>
      <c r="BU82" s="395">
        <f t="shared" ca="1" si="301"/>
        <v>0</v>
      </c>
      <c r="BV82" s="395">
        <f t="shared" ca="1" si="301"/>
        <v>0</v>
      </c>
      <c r="BW82" s="395">
        <f t="shared" ca="1" si="301"/>
        <v>0</v>
      </c>
      <c r="BX82" s="395">
        <f t="shared" ca="1" si="301"/>
        <v>0</v>
      </c>
      <c r="BY82" s="395">
        <f t="shared" ca="1" si="301"/>
        <v>0</v>
      </c>
      <c r="BZ82" s="395">
        <f t="shared" ca="1" si="301"/>
        <v>0</v>
      </c>
      <c r="CA82" s="395">
        <f t="shared" ca="1" si="301"/>
        <v>0</v>
      </c>
      <c r="CB82" s="395">
        <f t="shared" ca="1" si="301"/>
        <v>0</v>
      </c>
      <c r="CC82" s="395">
        <f t="shared" ca="1" si="301"/>
        <v>0</v>
      </c>
      <c r="CD82" s="395">
        <f t="shared" ca="1" si="301"/>
        <v>0</v>
      </c>
      <c r="CE82" s="395">
        <f t="shared" ca="1" si="301"/>
        <v>0</v>
      </c>
      <c r="CF82" s="395">
        <f t="shared" ca="1" si="301"/>
        <v>0</v>
      </c>
      <c r="CG82" s="395">
        <f t="shared" ca="1" si="301"/>
        <v>0</v>
      </c>
      <c r="CH82" s="395">
        <f t="shared" ca="1" si="301"/>
        <v>0</v>
      </c>
      <c r="CI82" s="395">
        <f t="shared" ca="1" si="301"/>
        <v>0</v>
      </c>
      <c r="CJ82" s="395">
        <f t="shared" ca="1" si="301"/>
        <v>0</v>
      </c>
      <c r="CK82" s="395">
        <f t="shared" ca="1" si="301"/>
        <v>0</v>
      </c>
      <c r="CL82" s="395">
        <f t="shared" ca="1" si="301"/>
        <v>0</v>
      </c>
      <c r="CM82" s="395">
        <f t="shared" ca="1" si="301"/>
        <v>0</v>
      </c>
      <c r="CN82" s="395">
        <f t="shared" ca="1" si="301"/>
        <v>0</v>
      </c>
      <c r="CO82" s="395">
        <f t="shared" ca="1" si="301"/>
        <v>0</v>
      </c>
      <c r="CP82" s="395">
        <f t="shared" ca="1" si="301"/>
        <v>0</v>
      </c>
      <c r="CQ82" s="395">
        <f t="shared" ca="1" si="301"/>
        <v>0</v>
      </c>
      <c r="CR82" s="395">
        <f t="shared" ca="1" si="301"/>
        <v>0</v>
      </c>
      <c r="CS82" s="395">
        <f t="shared" ca="1" si="301"/>
        <v>0</v>
      </c>
      <c r="CT82" s="395">
        <f t="shared" ca="1" si="301"/>
        <v>0</v>
      </c>
      <c r="CU82" s="395">
        <f t="shared" ca="1" si="301"/>
        <v>0</v>
      </c>
      <c r="CV82" s="395">
        <f t="shared" ca="1" si="301"/>
        <v>0</v>
      </c>
      <c r="CW82" s="395">
        <f t="shared" ca="1" si="301"/>
        <v>0</v>
      </c>
      <c r="CX82" s="395">
        <f t="shared" ca="1" si="301"/>
        <v>0</v>
      </c>
      <c r="CY82" s="395">
        <f t="shared" ca="1" si="301"/>
        <v>0</v>
      </c>
      <c r="CZ82" s="395">
        <f t="shared" ca="1" si="301"/>
        <v>0</v>
      </c>
      <c r="DA82" s="395">
        <f t="shared" ca="1" si="301"/>
        <v>0</v>
      </c>
      <c r="DB82" s="395">
        <f t="shared" ca="1" si="301"/>
        <v>0</v>
      </c>
      <c r="DC82" s="395">
        <f t="shared" ca="1" si="301"/>
        <v>0</v>
      </c>
      <c r="DD82" s="395">
        <f t="shared" ca="1" si="301"/>
        <v>0</v>
      </c>
      <c r="DE82" s="395">
        <f t="shared" ca="1" si="301"/>
        <v>0</v>
      </c>
      <c r="DF82" s="395">
        <f t="shared" ca="1" si="301"/>
        <v>0</v>
      </c>
      <c r="DG82" s="395">
        <f t="shared" ca="1" si="301"/>
        <v>0</v>
      </c>
      <c r="DH82" s="395">
        <f t="shared" ca="1" si="301"/>
        <v>0</v>
      </c>
      <c r="DI82" s="395">
        <f t="shared" ca="1" si="301"/>
        <v>0</v>
      </c>
      <c r="DJ82" s="395">
        <f t="shared" ca="1" si="301"/>
        <v>0</v>
      </c>
      <c r="DK82" s="395">
        <f t="shared" ca="1" si="301"/>
        <v>0</v>
      </c>
      <c r="DL82" s="395">
        <f t="shared" ca="1" si="301"/>
        <v>0</v>
      </c>
      <c r="DM82" s="395">
        <f t="shared" ca="1" si="301"/>
        <v>0</v>
      </c>
      <c r="DN82" s="395">
        <f t="shared" ca="1" si="301"/>
        <v>0</v>
      </c>
      <c r="DO82" s="395">
        <f t="shared" ca="1" si="301"/>
        <v>0</v>
      </c>
      <c r="DP82" s="395">
        <f t="shared" ca="1" si="301"/>
        <v>0</v>
      </c>
      <c r="DQ82" s="395">
        <f t="shared" ca="1" si="301"/>
        <v>0</v>
      </c>
      <c r="DR82" s="395">
        <f t="shared" ca="1" si="301"/>
        <v>0</v>
      </c>
      <c r="DS82" s="395">
        <f t="shared" ca="1" si="301"/>
        <v>0</v>
      </c>
      <c r="DT82" s="395">
        <f t="shared" ca="1" si="301"/>
        <v>0</v>
      </c>
      <c r="DU82" s="395">
        <f t="shared" ca="1" si="301"/>
        <v>0</v>
      </c>
      <c r="DV82" s="395">
        <f t="shared" ca="1" si="301"/>
        <v>0</v>
      </c>
      <c r="DW82" s="395">
        <f t="shared" ca="1" si="301"/>
        <v>0</v>
      </c>
      <c r="DX82" s="395">
        <f t="shared" ca="1" si="301"/>
        <v>0</v>
      </c>
      <c r="DY82" s="395">
        <f t="shared" ca="1" si="301"/>
        <v>0</v>
      </c>
      <c r="DZ82" s="395">
        <f t="shared" ca="1" si="301"/>
        <v>0</v>
      </c>
      <c r="EA82" s="395">
        <f t="shared" ca="1" si="301"/>
        <v>0</v>
      </c>
      <c r="EB82" s="395">
        <f t="shared" ca="1" si="301"/>
        <v>0</v>
      </c>
      <c r="EC82" s="395">
        <f t="shared" ca="1" si="301"/>
        <v>0</v>
      </c>
      <c r="ED82" s="395">
        <f t="shared" ca="1" si="301"/>
        <v>0</v>
      </c>
      <c r="EE82" s="395">
        <f t="shared" ca="1" si="301"/>
        <v>0</v>
      </c>
      <c r="EF82" s="395">
        <f t="shared" ref="EF82:EI82" ca="1" si="302">SUM(EF83:EF84)</f>
        <v>0</v>
      </c>
      <c r="EG82" s="395">
        <f t="shared" ca="1" si="302"/>
        <v>0</v>
      </c>
      <c r="EH82" s="395">
        <f t="shared" ca="1" si="302"/>
        <v>0</v>
      </c>
      <c r="EI82" s="395">
        <f t="shared" ca="1" si="302"/>
        <v>0</v>
      </c>
      <c r="EJ82" s="398"/>
      <c r="EK82" s="313"/>
    </row>
    <row r="83" spans="1:141" hidden="1" outlineLevel="2">
      <c r="A83" s="332"/>
      <c r="B83" s="549">
        <f>длительность!B180</f>
        <v>0</v>
      </c>
      <c r="C83" s="317"/>
      <c r="D83" s="317" t="s">
        <v>664</v>
      </c>
      <c r="E83" s="318">
        <f t="shared" ref="E83:E84" si="303">IF(F83=0,0,B83-F83)</f>
        <v>0</v>
      </c>
      <c r="F83" s="397">
        <f t="shared" si="283"/>
        <v>0</v>
      </c>
      <c r="G83" s="395"/>
      <c r="H83" s="395">
        <f>IF(SUM($G83:G83)=$B83,0,IF(J84&gt;0%,$B83,0%))</f>
        <v>0</v>
      </c>
      <c r="I83" s="395">
        <f>IF(SUM($G83:H83)=$B83,0,IF(K84&gt;0%,$B83,0%))</f>
        <v>0</v>
      </c>
      <c r="J83" s="395">
        <f>IF(SUM($G83:I83)=$B83,0,IF(L84&gt;0%,$B83,0%))</f>
        <v>0</v>
      </c>
      <c r="K83" s="395">
        <f>IF(SUM($G83:J83)=$B83,0,IF(M84&gt;0%,$B83,0%))</f>
        <v>0</v>
      </c>
      <c r="L83" s="395">
        <f>IF(SUM($G83:K83)=$B83,0,IF(N84&gt;0%,$B83,0%))</f>
        <v>0</v>
      </c>
      <c r="M83" s="395">
        <f>IF(SUM($G83:L83)=$B83,0,IF(O84&gt;0%,$B83,0%))</f>
        <v>0</v>
      </c>
      <c r="N83" s="395">
        <f>IF(SUM($G83:M83)=$B83,0,IF(P84&gt;0%,$B83,0%))</f>
        <v>0</v>
      </c>
      <c r="O83" s="395">
        <f>IF(SUM($G83:N83)=$B83,0,IF(Q84&gt;0%,$B83,0%))</f>
        <v>0</v>
      </c>
      <c r="P83" s="395">
        <f>IF(SUM($G83:O83)=$B83,0,IF(R84&gt;0%,$B83,0%))</f>
        <v>0</v>
      </c>
      <c r="Q83" s="395">
        <f>IF(SUM($G83:P83)=$B83,0,IF(S84&gt;0%,$B83,0%))</f>
        <v>0</v>
      </c>
      <c r="R83" s="395">
        <f>IF(SUM($G83:Q83)=$B83,0,IF(T84&gt;0%,$B83,0%))</f>
        <v>0</v>
      </c>
      <c r="S83" s="395">
        <f>IF(SUM($G83:R83)=$B83,0,IF(U84&gt;0%,$B83,0%))</f>
        <v>0</v>
      </c>
      <c r="T83" s="395">
        <f>IF(SUM($G83:S83)=$B83,0,IF(V84&gt;0%,$B83,0%))</f>
        <v>0</v>
      </c>
      <c r="U83" s="395">
        <f>IF(SUM($G83:T83)=$B83,0,IF(W84&gt;0%,$B83,0%))</f>
        <v>0</v>
      </c>
      <c r="V83" s="395">
        <f>IF(SUM($G83:U83)=$B83,0,IF(X84&gt;0%,$B83,0%))</f>
        <v>0</v>
      </c>
      <c r="W83" s="395">
        <f>IF(SUM($G83:V83)=$B83,0,IF(Y84&gt;0%,$B83,0%))</f>
        <v>0</v>
      </c>
      <c r="X83" s="395">
        <f>IF(SUM($G83:W83)=$B83,0,IF(Z84&gt;0%,$B83,0%))</f>
        <v>0</v>
      </c>
      <c r="Y83" s="395">
        <f>IF(SUM($G83:X83)=$B83,0,IF(AA84&gt;0%,$B83,0%))</f>
        <v>0</v>
      </c>
      <c r="Z83" s="395">
        <f>IF(SUM($G83:Y83)=$B83,0,IF(AB84&gt;0%,$B83,0%))</f>
        <v>0</v>
      </c>
      <c r="AA83" s="395">
        <f>IF(SUM($G83:Z83)=$B83,0,IF(AC84&gt;0%,$B83,0%))</f>
        <v>0</v>
      </c>
      <c r="AB83" s="395">
        <f>IF(SUM($G83:AA83)=$B83,0,IF(AD84&gt;0%,$B83,0%))</f>
        <v>0</v>
      </c>
      <c r="AC83" s="395">
        <f>IF(SUM($G83:AB83)=$B83,0,IF(AE84&gt;0%,$B83,0%))</f>
        <v>0</v>
      </c>
      <c r="AD83" s="395">
        <f>IF(SUM($G83:AC83)=$B83,0,IF(AF84&gt;0%,$B83,0%))</f>
        <v>0</v>
      </c>
      <c r="AE83" s="395">
        <f>IF(SUM($G83:AD83)=$B83,0,IF(AG84&gt;0%,$B83,0%))</f>
        <v>0</v>
      </c>
      <c r="AF83" s="395">
        <f>IF(SUM($G83:AE83)=$B83,0,IF(AH84&gt;0%,$B83,0%))</f>
        <v>0</v>
      </c>
      <c r="AG83" s="395">
        <f>IF(SUM($G83:AF83)=$B83,0,IF(AI84&gt;0%,$B83,0%))</f>
        <v>0</v>
      </c>
      <c r="AH83" s="395">
        <f>IF(SUM($G83:AG83)=$B83,0,IF(AJ84&gt;0%,$B83,0%))</f>
        <v>0</v>
      </c>
      <c r="AI83" s="395">
        <f>IF(SUM($G83:AH83)=$B83,0,IF(AK84&gt;0%,$B83,0%))</f>
        <v>0</v>
      </c>
      <c r="AJ83" s="395">
        <f>IF(SUM($G83:AI83)=$B83,0,IF(AL84&gt;0%,$B83,0%))</f>
        <v>0</v>
      </c>
      <c r="AK83" s="395">
        <f>IF(SUM($G83:AJ83)=$B83,0,IF(AM84&gt;0%,$B83,0%))</f>
        <v>0</v>
      </c>
      <c r="AL83" s="395">
        <f>IF(SUM($G83:AK83)=$B83,0,IF(AN84&gt;0%,$B83,0%))</f>
        <v>0</v>
      </c>
      <c r="AM83" s="395">
        <f>IF(SUM($G83:AL83)=$B83,0,IF(AO84&gt;0%,$B83,0%))</f>
        <v>0</v>
      </c>
      <c r="AN83" s="395">
        <f>IF(SUM($G83:AM83)=$B83,0,IF(AP84&gt;0%,$B83,0%))</f>
        <v>0</v>
      </c>
      <c r="AO83" s="395">
        <f>IF(SUM($G83:AN83)=$B83,0,IF(AQ84&gt;0%,$B83,0%))</f>
        <v>0</v>
      </c>
      <c r="AP83" s="395">
        <f>IF(SUM($G83:AO83)=$B83,0,IF(AR84&gt;0%,$B83,0%))</f>
        <v>0</v>
      </c>
      <c r="AQ83" s="395">
        <f>IF(SUM($G83:AP83)=$B83,0,IF(AS84&gt;0%,$B83,0%))</f>
        <v>0</v>
      </c>
      <c r="AR83" s="395">
        <f>IF(SUM($G83:AQ83)=$B83,0,IF(AT84&gt;0%,$B83,0%))</f>
        <v>0</v>
      </c>
      <c r="AS83" s="395">
        <f>IF(SUM($G83:AR83)=$B83,0,IF(AU84&gt;0%,$B83,0%))</f>
        <v>0</v>
      </c>
      <c r="AT83" s="395">
        <f>IF(SUM($G83:AS83)=$B83,0,IF(AV84&gt;0%,$B83,0%))</f>
        <v>0</v>
      </c>
      <c r="AU83" s="395">
        <f>IF(SUM($G83:AT83)=$B83,0,IF(AW84&gt;0%,$B83,0%))</f>
        <v>0</v>
      </c>
      <c r="AV83" s="395">
        <f>IF(SUM($G83:AU83)=$B83,0,IF(AX84&gt;0%,$B83,0%))</f>
        <v>0</v>
      </c>
      <c r="AW83" s="395">
        <f>IF(SUM($G83:AV83)=$B83,0,IF(AY84&gt;0%,$B83,0%))</f>
        <v>0</v>
      </c>
      <c r="AX83" s="395">
        <f>IF(SUM($G83:AW83)=$B83,0,IF(AZ84&gt;0%,$B83,0%))</f>
        <v>0</v>
      </c>
      <c r="AY83" s="395">
        <f>IF(SUM($G83:AX83)=$B83,0,IF(BA84&gt;0%,$B83,0%))</f>
        <v>0</v>
      </c>
      <c r="AZ83" s="395">
        <f>IF(SUM($G83:AY83)=$B83,0,IF(BB84&gt;0%,$B83,0%))</f>
        <v>0</v>
      </c>
      <c r="BA83" s="395">
        <f>IF(SUM($G83:AZ83)=$B83,0,IF(BC84&gt;0%,$B83,0%))</f>
        <v>0</v>
      </c>
      <c r="BB83" s="395">
        <f>IF(SUM($G83:BA83)=$B83,0,IF(BD84&gt;0%,$B83,0%))</f>
        <v>0</v>
      </c>
      <c r="BC83" s="395">
        <f>IF(SUM($G83:BB83)=$B83,0,IF(BE84&gt;0%,$B83,0%))</f>
        <v>0</v>
      </c>
      <c r="BD83" s="395">
        <f>IF(SUM($G83:BC83)=$B83,0,IF(BF84&gt;0%,$B83,0%))</f>
        <v>0</v>
      </c>
      <c r="BE83" s="395">
        <f>IF(SUM($G83:BD83)=$B83,0,IF(BG84&gt;0%,$B83,0%))</f>
        <v>0</v>
      </c>
      <c r="BF83" s="395">
        <f>IF(SUM($G83:BE83)=$B83,0,IF(BH84&gt;0%,$B83,0%))</f>
        <v>0</v>
      </c>
      <c r="BG83" s="395">
        <f>IF(SUM($G83:BF83)=$B83,0,IF(BI84&gt;0%,$B83,0%))</f>
        <v>0</v>
      </c>
      <c r="BH83" s="395">
        <f>IF(SUM($G83:BG83)=$B83,0,IF(BJ84&gt;0%,$B83,0%))</f>
        <v>0</v>
      </c>
      <c r="BI83" s="395">
        <f>IF(SUM($G83:BH83)=$B83,0,IF(BK84&gt;0%,$B83,0%))</f>
        <v>0</v>
      </c>
      <c r="BJ83" s="395">
        <f>IF(SUM($G83:BI83)=$B83,0,IF(BL84&gt;0%,$B83,0%))</f>
        <v>0</v>
      </c>
      <c r="BK83" s="395">
        <f>IF(SUM($G83:BJ83)=$B83,0,IF(BM84&gt;0%,$B83,0%))</f>
        <v>0</v>
      </c>
      <c r="BL83" s="395">
        <f>IF(SUM($G83:BK83)=$B83,0,IF(BN84&gt;0%,$B83,0%))</f>
        <v>0</v>
      </c>
      <c r="BM83" s="395">
        <f>IF(SUM($G83:BL83)=$B83,0,IF(BO84&gt;0%,$B83,0%))</f>
        <v>0</v>
      </c>
      <c r="BN83" s="395">
        <f>IF(SUM($G83:BM83)=$B83,0,IF(BP84&gt;0%,$B83,0%))</f>
        <v>0</v>
      </c>
      <c r="BO83" s="395">
        <f>IF(SUM($G83:BN83)=$B83,0,IF(BQ84&gt;0%,$B83,0%))</f>
        <v>0</v>
      </c>
      <c r="BP83" s="395">
        <f>IF(SUM($G83:BO83)=$B83,0,IF(BR84&gt;0%,$B83,0%))</f>
        <v>0</v>
      </c>
      <c r="BQ83" s="395">
        <f>IF(SUM($G83:BP83)=$B83,0,IF(BS84&gt;0%,$B83,0%))</f>
        <v>0</v>
      </c>
      <c r="BR83" s="395">
        <f>IF(SUM($G83:BQ83)=$B83,0,IF(BT84&gt;0%,$B83,0%))</f>
        <v>0</v>
      </c>
      <c r="BS83" s="395">
        <f>IF(SUM($G83:BR83)=$B83,0,IF(BU84&gt;0%,$B83,0%))</f>
        <v>0</v>
      </c>
      <c r="BT83" s="395">
        <f>IF(SUM($G83:BS83)=$B83,0,IF(BV84&gt;0%,$B83,0%))</f>
        <v>0</v>
      </c>
      <c r="BU83" s="395">
        <f>IF(SUM($G83:BT83)=$B83,0,IF(BW84&gt;0%,$B83,0%))</f>
        <v>0</v>
      </c>
      <c r="BV83" s="395">
        <f>IF(SUM($G83:BU83)=$B83,0,IF(BX84&gt;0%,$B83,0%))</f>
        <v>0</v>
      </c>
      <c r="BW83" s="395">
        <f>IF(SUM($G83:BV83)=$B83,0,IF(BY84&gt;0%,$B83,0%))</f>
        <v>0</v>
      </c>
      <c r="BX83" s="395">
        <f>IF(SUM($G83:BW83)=$B83,0,IF(BZ84&gt;0%,$B83,0%))</f>
        <v>0</v>
      </c>
      <c r="BY83" s="395">
        <f>IF(SUM($G83:BX83)=$B83,0,IF(CA84&gt;0%,$B83,0%))</f>
        <v>0</v>
      </c>
      <c r="BZ83" s="395">
        <f>IF(SUM($G83:BY83)=$B83,0,IF(CB84&gt;0%,$B83,0%))</f>
        <v>0</v>
      </c>
      <c r="CA83" s="395">
        <f>IF(SUM($G83:BZ83)=$B83,0,IF(CC84&gt;0%,$B83,0%))</f>
        <v>0</v>
      </c>
      <c r="CB83" s="395">
        <f>IF(SUM($G83:CA83)=$B83,0,IF(CD84&gt;0%,$B83,0%))</f>
        <v>0</v>
      </c>
      <c r="CC83" s="395">
        <f>IF(SUM($G83:CB83)=$B83,0,IF(CE84&gt;0%,$B83,0%))</f>
        <v>0</v>
      </c>
      <c r="CD83" s="395">
        <f>IF(SUM($G83:CC83)=$B83,0,IF(CF84&gt;0%,$B83,0%))</f>
        <v>0</v>
      </c>
      <c r="CE83" s="395">
        <f>IF(SUM($G83:CD83)=$B83,0,IF(CG84&gt;0%,$B83,0%))</f>
        <v>0</v>
      </c>
      <c r="CF83" s="395">
        <f>IF(SUM($G83:CE83)=$B83,0,IF(CH84&gt;0%,$B83,0%))</f>
        <v>0</v>
      </c>
      <c r="CG83" s="395">
        <f>IF(SUM($G83:CF83)=$B83,0,IF(CI84&gt;0%,$B83,0%))</f>
        <v>0</v>
      </c>
      <c r="CH83" s="395">
        <f>IF(SUM($G83:CG83)=$B83,0,IF(CJ84&gt;0%,$B83,0%))</f>
        <v>0</v>
      </c>
      <c r="CI83" s="395">
        <f>IF(SUM($G83:CH83)=$B83,0,IF(CK84&gt;0%,$B83,0%))</f>
        <v>0</v>
      </c>
      <c r="CJ83" s="395">
        <f>IF(SUM($G83:CI83)=$B83,0,IF(CL84&gt;0%,$B83,0%))</f>
        <v>0</v>
      </c>
      <c r="CK83" s="395">
        <f>IF(SUM($G83:CJ83)=$B83,0,IF(CM84&gt;0%,$B83,0%))</f>
        <v>0</v>
      </c>
      <c r="CL83" s="395">
        <f>IF(SUM($G83:CK83)=$B83,0,IF(CN84&gt;0%,$B83,0%))</f>
        <v>0</v>
      </c>
      <c r="CM83" s="395">
        <f>IF(SUM($G83:CL83)=$B83,0,IF(CO84&gt;0%,$B83,0%))</f>
        <v>0</v>
      </c>
      <c r="CN83" s="395">
        <f>IF(SUM($G83:CM83)=$B83,0,IF(CP84&gt;0%,$B83,0%))</f>
        <v>0</v>
      </c>
      <c r="CO83" s="395">
        <f>IF(SUM($G83:CN83)=$B83,0,IF(CQ84&gt;0%,$B83,0%))</f>
        <v>0</v>
      </c>
      <c r="CP83" s="395">
        <f>IF(SUM($G83:CO83)=$B83,0,IF(CR84&gt;0%,$B83,0%))</f>
        <v>0</v>
      </c>
      <c r="CQ83" s="395">
        <f>IF(SUM($G83:CP83)=$B83,0,IF(CS84&gt;0%,$B83,0%))</f>
        <v>0</v>
      </c>
      <c r="CR83" s="395">
        <f>IF(SUM($G83:CQ83)=$B83,0,IF(CT84&gt;0%,$B83,0%))</f>
        <v>0</v>
      </c>
      <c r="CS83" s="395">
        <f>IF(SUM($G83:CR83)=$B83,0,IF(CU84&gt;0%,$B83,0%))</f>
        <v>0</v>
      </c>
      <c r="CT83" s="395">
        <f>IF(SUM($G83:CS83)=$B83,0,IF(CV84&gt;0%,$B83,0%))</f>
        <v>0</v>
      </c>
      <c r="CU83" s="395">
        <f>IF(SUM($G83:CT83)=$B83,0,IF(CW84&gt;0%,$B83,0%))</f>
        <v>0</v>
      </c>
      <c r="CV83" s="395">
        <f>IF(SUM($G83:CU83)=$B83,0,IF(CX84&gt;0%,$B83,0%))</f>
        <v>0</v>
      </c>
      <c r="CW83" s="395">
        <f>IF(SUM($G83:CV83)=$B83,0,IF(CY84&gt;0%,$B83,0%))</f>
        <v>0</v>
      </c>
      <c r="CX83" s="395">
        <f>IF(SUM($G83:CW83)=$B83,0,IF(CZ84&gt;0%,$B83,0%))</f>
        <v>0</v>
      </c>
      <c r="CY83" s="395">
        <f>IF(SUM($G83:CX83)=$B83,0,IF(DA84&gt;0%,$B83,0%))</f>
        <v>0</v>
      </c>
      <c r="CZ83" s="395">
        <f>IF(SUM($G83:CY83)=$B83,0,IF(DB84&gt;0%,$B83,0%))</f>
        <v>0</v>
      </c>
      <c r="DA83" s="395">
        <f>IF(SUM($G83:CZ83)=$B83,0,IF(DC84&gt;0%,$B83,0%))</f>
        <v>0</v>
      </c>
      <c r="DB83" s="395">
        <f>IF(SUM($G83:DA83)=$B83,0,IF(DD84&gt;0%,$B83,0%))</f>
        <v>0</v>
      </c>
      <c r="DC83" s="395">
        <f>IF(SUM($G83:DB83)=$B83,0,IF(DE84&gt;0%,$B83,0%))</f>
        <v>0</v>
      </c>
      <c r="DD83" s="395">
        <f>IF(SUM($G83:DC83)=$B83,0,IF(DF84&gt;0%,$B83,0%))</f>
        <v>0</v>
      </c>
      <c r="DE83" s="395">
        <f>IF(SUM($G83:DD83)=$B83,0,IF(DG84&gt;0%,$B83,0%))</f>
        <v>0</v>
      </c>
      <c r="DF83" s="395">
        <f>IF(SUM($G83:DE83)=$B83,0,IF(DH84&gt;0%,$B83,0%))</f>
        <v>0</v>
      </c>
      <c r="DG83" s="395">
        <f>IF(SUM($G83:DF83)=$B83,0,IF(DI84&gt;0%,$B83,0%))</f>
        <v>0</v>
      </c>
      <c r="DH83" s="395">
        <f>IF(SUM($G83:DG83)=$B83,0,IF(DJ84&gt;0%,$B83,0%))</f>
        <v>0</v>
      </c>
      <c r="DI83" s="395">
        <f>IF(SUM($G83:DH83)=$B83,0,IF(DK84&gt;0%,$B83,0%))</f>
        <v>0</v>
      </c>
      <c r="DJ83" s="395">
        <f>IF(SUM($G83:DI83)=$B83,0,IF(DL84&gt;0%,$B83,0%))</f>
        <v>0</v>
      </c>
      <c r="DK83" s="395">
        <f>IF(SUM($G83:DJ83)=$B83,0,IF(DM84&gt;0%,$B83,0%))</f>
        <v>0</v>
      </c>
      <c r="DL83" s="395">
        <f>IF(SUM($G83:DK83)=$B83,0,IF(DN84&gt;0%,$B83,0%))</f>
        <v>0</v>
      </c>
      <c r="DM83" s="395">
        <f>IF(SUM($G83:DL83)=$B83,0,IF(DO84&gt;0%,$B83,0%))</f>
        <v>0</v>
      </c>
      <c r="DN83" s="395">
        <f>IF(SUM($G83:DM83)=$B83,0,IF(DP84&gt;0%,$B83,0%))</f>
        <v>0</v>
      </c>
      <c r="DO83" s="395">
        <f>IF(SUM($G83:DN83)=$B83,0,IF(DQ84&gt;0%,$B83,0%))</f>
        <v>0</v>
      </c>
      <c r="DP83" s="395">
        <f>IF(SUM($G83:DO83)=$B83,0,IF(DR84&gt;0%,$B83,0%))</f>
        <v>0</v>
      </c>
      <c r="DQ83" s="395">
        <f>IF(SUM($G83:DP83)=$B83,0,IF(DS84&gt;0%,$B83,0%))</f>
        <v>0</v>
      </c>
      <c r="DR83" s="395">
        <f>IF(SUM($G83:DQ83)=$B83,0,IF(DT84&gt;0%,$B83,0%))</f>
        <v>0</v>
      </c>
      <c r="DS83" s="395">
        <f>IF(SUM($G83:DR83)=$B83,0,IF(DU84&gt;0%,$B83,0%))</f>
        <v>0</v>
      </c>
      <c r="DT83" s="395">
        <f>IF(SUM($G83:DS83)=$B83,0,IF(DV84&gt;0%,$B83,0%))</f>
        <v>0</v>
      </c>
      <c r="DU83" s="395">
        <f>IF(SUM($G83:DT83)=$B83,0,IF(DW84&gt;0%,$B83,0%))</f>
        <v>0</v>
      </c>
      <c r="DV83" s="395">
        <f>IF(SUM($G83:DU83)=$B83,0,IF(DX84&gt;0%,$B83,0%))</f>
        <v>0</v>
      </c>
      <c r="DW83" s="395">
        <f>IF(SUM($G83:DV83)=$B83,0,IF(DY84&gt;0%,$B83,0%))</f>
        <v>0</v>
      </c>
      <c r="DX83" s="395">
        <f>IF(SUM($G83:DW83)=$B83,0,IF(DZ84&gt;0%,$B83,0%))</f>
        <v>0</v>
      </c>
      <c r="DY83" s="395">
        <f>IF(SUM($G83:DX83)=$B83,0,IF(EA84&gt;0%,$B83,0%))</f>
        <v>0</v>
      </c>
      <c r="DZ83" s="395">
        <f>IF(SUM($G83:DY83)=$B83,0,IF(EB84&gt;0%,$B83,0%))</f>
        <v>0</v>
      </c>
      <c r="EA83" s="395">
        <f>IF(SUM($G83:DZ83)=$B83,0,IF(EC84&gt;0%,$B83,0%))</f>
        <v>0</v>
      </c>
      <c r="EB83" s="395">
        <f>IF(SUM($G83:EA83)=$B83,0,IF(ED84&gt;0%,$B83,0%))</f>
        <v>0</v>
      </c>
      <c r="EC83" s="395">
        <f>IF(SUM($G83:EB83)=$B83,0,IF(EE84&gt;0%,$B83,0%))</f>
        <v>0</v>
      </c>
      <c r="ED83" s="395">
        <f>IF(SUM($G83:EC83)=$B83,0,IF(EF84&gt;0%,$B83,0%))</f>
        <v>0</v>
      </c>
      <c r="EE83" s="395">
        <f>IF(SUM($G83:ED83)=$B83,0,IF(EG84&gt;0%,$B83,0%))</f>
        <v>0</v>
      </c>
      <c r="EF83" s="395">
        <f>IF(SUM($G83:EE83)=$B83,0,IF(EH84&gt;0%,$B83,0%))</f>
        <v>0</v>
      </c>
      <c r="EG83" s="395">
        <f>IF(SUM($G83:EF83)=$B83,0,IF(EI84&gt;0%,$B83,0%))</f>
        <v>0</v>
      </c>
      <c r="EH83" s="395">
        <f>IF(SUM($G83:EG83)=$B83,0,IF(EJ84&gt;0%,$B83,0%))</f>
        <v>0</v>
      </c>
      <c r="EI83" s="395">
        <f>IF(SUM($G83:EH83)=$B83,0,IF(EK84&gt;0%,$B83,0%))</f>
        <v>0</v>
      </c>
      <c r="EJ83" s="398"/>
      <c r="EK83" s="313"/>
    </row>
    <row r="84" spans="1:141" hidden="1" outlineLevel="2">
      <c r="A84" s="332"/>
      <c r="B84" s="549">
        <f>длительность!C180</f>
        <v>1</v>
      </c>
      <c r="C84" s="317"/>
      <c r="D84" s="317" t="s">
        <v>663</v>
      </c>
      <c r="E84" s="318">
        <f t="shared" ca="1" si="303"/>
        <v>0</v>
      </c>
      <c r="F84" s="397">
        <f t="shared" ca="1" si="283"/>
        <v>1</v>
      </c>
      <c r="G84" s="395"/>
      <c r="H84" s="395"/>
      <c r="I84" s="395">
        <f ca="1">IF($E$248=0,0,IF(SUM($G84:H84)=$B84,0,IF(SUM($G248:H248)&gt;=$E248,($B84/$E248)*($E248-SUM($G248:G248)),($B84/$E248)*H248)))</f>
        <v>0</v>
      </c>
      <c r="J84" s="395">
        <f ca="1">IF($E$248=0,0,IF(SUM($G84:I84)=$B84,0,IF(SUM($G248:I248)&gt;=$E248,($B84/$E248)*($E248-SUM($G248:H248)),($B84/$E248)*I248)))</f>
        <v>0</v>
      </c>
      <c r="K84" s="395">
        <f ca="1">IF($E$248=0,0,IF(SUM($G84:J84)=$B84,0,IF(SUM($G248:J248)&gt;=$E248,($B84/$E248)*($E248-SUM($G248:I248)),($B84/$E248)*J248)))</f>
        <v>0</v>
      </c>
      <c r="L84" s="395">
        <f ca="1">IF($E$248=0,0,IF(SUM($G84:K84)=$B84,0,IF(SUM($G248:K248)&gt;=$E248,($B84/$E248)*($E248-SUM($G248:J248)),($B84/$E248)*K248)))</f>
        <v>0</v>
      </c>
      <c r="M84" s="395">
        <f ca="1">IF($E$248=0,0,IF(SUM($G84:L84)=$B84,0,IF(SUM($G248:L248)&gt;=$E248,($B84/$E248)*($E248-SUM($G248:K248)),($B84/$E248)*L248)))</f>
        <v>0</v>
      </c>
      <c r="N84" s="395">
        <f ca="1">IF($E$248=0,0,IF(SUM($G84:M84)=$B84,0,IF(SUM($G248:M248)&gt;=$E248,($B84/$E248)*($E248-SUM($G248:L248)),($B84/$E248)*M248)))</f>
        <v>0</v>
      </c>
      <c r="O84" s="395">
        <f ca="1">IF($E$248=0,0,IF(SUM($G84:N84)=$B84,0,IF(SUM($G248:N248)&gt;=$E248,($B84/$E248)*($E248-SUM($G248:M248)),($B84/$E248)*N248)))</f>
        <v>0</v>
      </c>
      <c r="P84" s="395">
        <f ca="1">IF($E$248=0,0,IF(SUM($G84:O84)=$B84,0,IF(SUM($G248:O248)&gt;=$E248,($B84/$E248)*($E248-SUM($G248:N248)),($B84/$E248)*O248)))</f>
        <v>0</v>
      </c>
      <c r="Q84" s="395">
        <f ca="1">IF($E$248=0,0,IF(SUM($G84:P84)=$B84,0,IF(SUM($G248:P248)&gt;=$E248,($B84/$E248)*($E248-SUM($G248:O248)),($B84/$E248)*P248)))</f>
        <v>0</v>
      </c>
      <c r="R84" s="395">
        <f ca="1">IF($E$248=0,0,IF(SUM($G84:Q84)=$B84,0,IF(SUM($G248:Q248)&gt;=$E248,($B84/$E248)*($E248-SUM($G248:P248)),($B84/$E248)*Q248)))</f>
        <v>0</v>
      </c>
      <c r="S84" s="395">
        <f ca="1">IF($E$248=0,0,IF(SUM($G84:R84)=$B84,0,IF(SUM($G248:R248)&gt;=$E248,($B84/$E248)*($E248-SUM($G248:Q248)),($B84/$E248)*R248)))</f>
        <v>0</v>
      </c>
      <c r="T84" s="395">
        <f ca="1">IF($E$248=0,0,IF(SUM($G84:S84)=$B84,0,IF(SUM($G248:S248)&gt;=$E248,($B84/$E248)*($E248-SUM($G248:R248)),($B84/$E248)*S248)))</f>
        <v>0.70000000000000029</v>
      </c>
      <c r="U84" s="395">
        <f ca="1">IF($E$248=0,0,IF(SUM($G84:T84)=$B84,0,IF(SUM($G248:T248)&gt;=$E248,($B84/$E248)*($E248-SUM($G248:S248)),($B84/$E248)*T248)))</f>
        <v>0.29999999999999966</v>
      </c>
      <c r="V84" s="395">
        <f ca="1">IF($E$248=0,0,IF(SUM($G84:U84)=$B84,0,IF(SUM($G248:U248)&gt;=$E248,($B84/$E248)*($E248-SUM($G248:T248)),($B84/$E248)*U248)))</f>
        <v>0</v>
      </c>
      <c r="W84" s="395">
        <f ca="1">IF($E$248=0,0,IF(SUM($G84:V84)=$B84,0,IF(SUM($G248:V248)&gt;=$E248,($B84/$E248)*($E248-SUM($G248:U248)),($B84/$E248)*V248)))</f>
        <v>0</v>
      </c>
      <c r="X84" s="395">
        <f ca="1">IF($E$248=0,0,IF(SUM($G84:W84)=$B84,0,IF(SUM($G248:W248)&gt;=$E248,($B84/$E248)*($E248-SUM($G248:V248)),($B84/$E248)*W248)))</f>
        <v>0</v>
      </c>
      <c r="Y84" s="395">
        <f ca="1">IF($E$248=0,0,IF(SUM($G84:X84)=$B84,0,IF(SUM($G248:X248)&gt;=$E248,($B84/$E248)*($E248-SUM($G248:W248)),($B84/$E248)*X248)))</f>
        <v>0</v>
      </c>
      <c r="Z84" s="395">
        <f ca="1">IF($E$248=0,0,IF(SUM($G84:Y84)=$B84,0,IF(SUM($G248:Y248)&gt;=$E248,($B84/$E248)*($E248-SUM($G248:X248)),($B84/$E248)*Y248)))</f>
        <v>0</v>
      </c>
      <c r="AA84" s="395">
        <f ca="1">IF($E$248=0,0,IF(SUM($G84:Z84)=$B84,0,IF(SUM($G248:Z248)&gt;=$E248,($B84/$E248)*($E248-SUM($G248:Y248)),($B84/$E248)*Z248)))</f>
        <v>0</v>
      </c>
      <c r="AB84" s="395">
        <f ca="1">IF($E$248=0,0,IF(SUM($G84:AA84)=$B84,0,IF(SUM($G248:AA248)&gt;=$E248,($B84/$E248)*($E248-SUM($G248:Z248)),($B84/$E248)*AA248)))</f>
        <v>0</v>
      </c>
      <c r="AC84" s="395">
        <f ca="1">IF($E$248=0,0,IF(SUM($G84:AB84)=$B84,0,IF(SUM($G248:AB248)&gt;=$E248,($B84/$E248)*($E248-SUM($G248:AA248)),($B84/$E248)*AB248)))</f>
        <v>0</v>
      </c>
      <c r="AD84" s="395">
        <f ca="1">IF($E$248=0,0,IF(SUM($G84:AC84)=$B84,0,IF(SUM($G248:AC248)&gt;=$E248,($B84/$E248)*($E248-SUM($G248:AB248)),($B84/$E248)*AC248)))</f>
        <v>0</v>
      </c>
      <c r="AE84" s="395">
        <f ca="1">IF($E$248=0,0,IF(SUM($G84:AD84)=$B84,0,IF(SUM($G248:AD248)&gt;=$E248,($B84/$E248)*($E248-SUM($G248:AC248)),($B84/$E248)*AD248)))</f>
        <v>0</v>
      </c>
      <c r="AF84" s="395">
        <f ca="1">IF($E$248=0,0,IF(SUM($G84:AE84)=$B84,0,IF(SUM($G248:AE248)&gt;=$E248,($B84/$E248)*($E248-SUM($G248:AD248)),($B84/$E248)*AE248)))</f>
        <v>0</v>
      </c>
      <c r="AG84" s="395">
        <f ca="1">IF($E$248=0,0,IF(SUM($G84:AF84)=$B84,0,IF(SUM($G248:AF248)&gt;=$E248,($B84/$E248)*($E248-SUM($G248:AE248)),($B84/$E248)*AF248)))</f>
        <v>0</v>
      </c>
      <c r="AH84" s="395">
        <f ca="1">IF($E$248=0,0,IF(SUM($G84:AG84)=$B84,0,IF(SUM($G248:AG248)&gt;=$E248,($B84/$E248)*($E248-SUM($G248:AF248)),($B84/$E248)*AG248)))</f>
        <v>0</v>
      </c>
      <c r="AI84" s="395">
        <f ca="1">IF($E$248=0,0,IF(SUM($G84:AH84)=$B84,0,IF(SUM($G248:AH248)&gt;=$E248,($B84/$E248)*($E248-SUM($G248:AG248)),($B84/$E248)*AH248)))</f>
        <v>0</v>
      </c>
      <c r="AJ84" s="395">
        <f ca="1">IF($E$248=0,0,IF(SUM($G84:AI84)=$B84,0,IF(SUM($G248:AI248)&gt;=$E248,($B84/$E248)*($E248-SUM($G248:AH248)),($B84/$E248)*AI248)))</f>
        <v>0</v>
      </c>
      <c r="AK84" s="395">
        <f ca="1">IF($E$248=0,0,IF(SUM($G84:AJ84)=$B84,0,IF(SUM($G248:AJ248)&gt;=$E248,($B84/$E248)*($E248-SUM($G248:AI248)),($B84/$E248)*AJ248)))</f>
        <v>0</v>
      </c>
      <c r="AL84" s="395">
        <f ca="1">IF($E$248=0,0,IF(SUM($G84:AK84)=$B84,0,IF(SUM($G248:AK248)&gt;=$E248,($B84/$E248)*($E248-SUM($G248:AJ248)),($B84/$E248)*AK248)))</f>
        <v>0</v>
      </c>
      <c r="AM84" s="395">
        <f ca="1">IF($E$248=0,0,IF(SUM($G84:AL84)=$B84,0,IF(SUM($G248:AL248)&gt;=$E248,($B84/$E248)*($E248-SUM($G248:AK248)),($B84/$E248)*AL248)))</f>
        <v>0</v>
      </c>
      <c r="AN84" s="395">
        <f ca="1">IF($E$248=0,0,IF(SUM($G84:AM84)=$B84,0,IF(SUM($G248:AM248)&gt;=$E248,($B84/$E248)*($E248-SUM($G248:AL248)),($B84/$E248)*AM248)))</f>
        <v>0</v>
      </c>
      <c r="AO84" s="395">
        <f ca="1">IF($E$248=0,0,IF(SUM($G84:AN84)=$B84,0,IF(SUM($G248:AN248)&gt;=$E248,($B84/$E248)*($E248-SUM($G248:AM248)),($B84/$E248)*AN248)))</f>
        <v>0</v>
      </c>
      <c r="AP84" s="395">
        <f ca="1">IF($E$248=0,0,IF(SUM($G84:AO84)=$B84,0,IF(SUM($G248:AO248)&gt;=$E248,($B84/$E248)*($E248-SUM($G248:AN248)),($B84/$E248)*AO248)))</f>
        <v>0</v>
      </c>
      <c r="AQ84" s="395">
        <f ca="1">IF($E$248=0,0,IF(SUM($G84:AP84)=$B84,0,IF(SUM($G248:AP248)&gt;=$E248,($B84/$E248)*($E248-SUM($G248:AO248)),($B84/$E248)*AP248)))</f>
        <v>0</v>
      </c>
      <c r="AR84" s="395">
        <f ca="1">IF($E$248=0,0,IF(SUM($G84:AQ84)=$B84,0,IF(SUM($G248:AQ248)&gt;=$E248,($B84/$E248)*($E248-SUM($G248:AP248)),($B84/$E248)*AQ248)))</f>
        <v>0</v>
      </c>
      <c r="AS84" s="395">
        <f ca="1">IF($E$248=0,0,IF(SUM($G84:AR84)=$B84,0,IF(SUM($G248:AR248)&gt;=$E248,($B84/$E248)*($E248-SUM($G248:AQ248)),($B84/$E248)*AR248)))</f>
        <v>0</v>
      </c>
      <c r="AT84" s="395">
        <f ca="1">IF($E$248=0,0,IF(SUM($G84:AS84)=$B84,0,IF(SUM($G248:AS248)&gt;=$E248,($B84/$E248)*($E248-SUM($G248:AR248)),($B84/$E248)*AS248)))</f>
        <v>0</v>
      </c>
      <c r="AU84" s="395">
        <f ca="1">IF($E$248=0,0,IF(SUM($G84:AT84)=$B84,0,IF(SUM($G248:AT248)&gt;=$E248,($B84/$E248)*($E248-SUM($G248:AS248)),($B84/$E248)*AT248)))</f>
        <v>0</v>
      </c>
      <c r="AV84" s="395">
        <f ca="1">IF($E$248=0,0,IF(SUM($G84:AU84)=$B84,0,IF(SUM($G248:AU248)&gt;=$E248,($B84/$E248)*($E248-SUM($G248:AT248)),($B84/$E248)*AU248)))</f>
        <v>0</v>
      </c>
      <c r="AW84" s="395">
        <f ca="1">IF($E$248=0,0,IF(SUM($G84:AV84)=$B84,0,IF(SUM($G248:AV248)&gt;=$E248,($B84/$E248)*($E248-SUM($G248:AU248)),($B84/$E248)*AV248)))</f>
        <v>0</v>
      </c>
      <c r="AX84" s="395">
        <f ca="1">IF($E$248=0,0,IF(SUM($G84:AW84)=$B84,0,IF(SUM($G248:AW248)&gt;=$E248,($B84/$E248)*($E248-SUM($G248:AV248)),($B84/$E248)*AW248)))</f>
        <v>0</v>
      </c>
      <c r="AY84" s="395">
        <f ca="1">IF($E$248=0,0,IF(SUM($G84:AX84)=$B84,0,IF(SUM($G248:AX248)&gt;=$E248,($B84/$E248)*($E248-SUM($G248:AW248)),($B84/$E248)*AX248)))</f>
        <v>0</v>
      </c>
      <c r="AZ84" s="395">
        <f ca="1">IF($E$248=0,0,IF(SUM($G84:AY84)=$B84,0,IF(SUM($G248:AY248)&gt;=$E248,($B84/$E248)*($E248-SUM($G248:AX248)),($B84/$E248)*AY248)))</f>
        <v>0</v>
      </c>
      <c r="BA84" s="395">
        <f ca="1">IF($E$248=0,0,IF(SUM($G84:AZ84)=$B84,0,IF(SUM($G248:AZ248)&gt;=$E248,($B84/$E248)*($E248-SUM($G248:AY248)),($B84/$E248)*AZ248)))</f>
        <v>0</v>
      </c>
      <c r="BB84" s="395">
        <f ca="1">IF($E$248=0,0,IF(SUM($G84:BA84)=$B84,0,IF(SUM($G248:BA248)&gt;=$E248,($B84/$E248)*($E248-SUM($G248:AZ248)),($B84/$E248)*BA248)))</f>
        <v>0</v>
      </c>
      <c r="BC84" s="395">
        <f ca="1">IF($E$248=0,0,IF(SUM($G84:BB84)=$B84,0,IF(SUM($G248:BB248)&gt;=$E248,($B84/$E248)*($E248-SUM($G248:BA248)),($B84/$E248)*BB248)))</f>
        <v>0</v>
      </c>
      <c r="BD84" s="395">
        <f ca="1">IF($E$248=0,0,IF(SUM($G84:BC84)=$B84,0,IF(SUM($G248:BC248)&gt;=$E248,($B84/$E248)*($E248-SUM($G248:BB248)),($B84/$E248)*BC248)))</f>
        <v>0</v>
      </c>
      <c r="BE84" s="395">
        <f ca="1">IF($E$248=0,0,IF(SUM($G84:BD84)=$B84,0,IF(SUM($G248:BD248)&gt;=$E248,($B84/$E248)*($E248-SUM($G248:BC248)),($B84/$E248)*BD248)))</f>
        <v>0</v>
      </c>
      <c r="BF84" s="395">
        <f ca="1">IF($E$248=0,0,IF(SUM($G84:BE84)=$B84,0,IF(SUM($G248:BE248)&gt;=$E248,($B84/$E248)*($E248-SUM($G248:BD248)),($B84/$E248)*BE248)))</f>
        <v>0</v>
      </c>
      <c r="BG84" s="395">
        <f ca="1">IF($E$248=0,0,IF(SUM($G84:BF84)=$B84,0,IF(SUM($G248:BF248)&gt;=$E248,($B84/$E248)*($E248-SUM($G248:BE248)),($B84/$E248)*BF248)))</f>
        <v>0</v>
      </c>
      <c r="BH84" s="395">
        <f ca="1">IF($E$248=0,0,IF(SUM($G84:BG84)=$B84,0,IF(SUM($G248:BG248)&gt;=$E248,($B84/$E248)*($E248-SUM($G248:BF248)),($B84/$E248)*BG248)))</f>
        <v>0</v>
      </c>
      <c r="BI84" s="395">
        <f ca="1">IF($E$248=0,0,IF(SUM($G84:BH84)=$B84,0,IF(SUM($G248:BH248)&gt;=$E248,($B84/$E248)*($E248-SUM($G248:BG248)),($B84/$E248)*BH248)))</f>
        <v>0</v>
      </c>
      <c r="BJ84" s="395">
        <f ca="1">IF($E$248=0,0,IF(SUM($G84:BI84)=$B84,0,IF(SUM($G248:BI248)&gt;=$E248,($B84/$E248)*($E248-SUM($G248:BH248)),($B84/$E248)*BI248)))</f>
        <v>0</v>
      </c>
      <c r="BK84" s="395">
        <f ca="1">IF($E$248=0,0,IF(SUM($G84:BJ84)=$B84,0,IF(SUM($G248:BJ248)&gt;=$E248,($B84/$E248)*($E248-SUM($G248:BI248)),($B84/$E248)*BJ248)))</f>
        <v>0</v>
      </c>
      <c r="BL84" s="395">
        <f ca="1">IF($E$248=0,0,IF(SUM($G84:BK84)=$B84,0,IF(SUM($G248:BK248)&gt;=$E248,($B84/$E248)*($E248-SUM($G248:BJ248)),($B84/$E248)*BK248)))</f>
        <v>0</v>
      </c>
      <c r="BM84" s="395">
        <f ca="1">IF($E$248=0,0,IF(SUM($G84:BL84)=$B84,0,IF(SUM($G248:BL248)&gt;=$E248,($B84/$E248)*($E248-SUM($G248:BK248)),($B84/$E248)*BL248)))</f>
        <v>0</v>
      </c>
      <c r="BN84" s="395">
        <f ca="1">IF($E$248=0,0,IF(SUM($G84:BM84)=$B84,0,IF(SUM($G248:BM248)&gt;=$E248,($B84/$E248)*($E248-SUM($G248:BL248)),($B84/$E248)*BM248)))</f>
        <v>0</v>
      </c>
      <c r="BO84" s="395">
        <f ca="1">IF($E$248=0,0,IF(SUM($G84:BN84)=$B84,0,IF(SUM($G248:BN248)&gt;=$E248,($B84/$E248)*($E248-SUM($G248:BM248)),($B84/$E248)*BN248)))</f>
        <v>0</v>
      </c>
      <c r="BP84" s="395">
        <f ca="1">IF($E$248=0,0,IF(SUM($G84:BO84)=$B84,0,IF(SUM($G248:BO248)&gt;=$E248,($B84/$E248)*($E248-SUM($G248:BN248)),($B84/$E248)*BO248)))</f>
        <v>0</v>
      </c>
      <c r="BQ84" s="395">
        <f ca="1">IF($E$248=0,0,IF(SUM($G84:BP84)=$B84,0,IF(SUM($G248:BP248)&gt;=$E248,($B84/$E248)*($E248-SUM($G248:BO248)),($B84/$E248)*BP248)))</f>
        <v>0</v>
      </c>
      <c r="BR84" s="395">
        <f ca="1">IF($E$248=0,0,IF(SUM($G84:BQ84)=$B84,0,IF(SUM($G248:BQ248)&gt;=$E248,($B84/$E248)*($E248-SUM($G248:BP248)),($B84/$E248)*BQ248)))</f>
        <v>0</v>
      </c>
      <c r="BS84" s="395">
        <f ca="1">IF($E$248=0,0,IF(SUM($G84:BR84)=$B84,0,IF(SUM($G248:BR248)&gt;=$E248,($B84/$E248)*($E248-SUM($G248:BQ248)),($B84/$E248)*BR248)))</f>
        <v>0</v>
      </c>
      <c r="BT84" s="395">
        <f ca="1">IF($E$248=0,0,IF(SUM($G84:BS84)=$B84,0,IF(SUM($G248:BS248)&gt;=$E248,($B84/$E248)*($E248-SUM($G248:BR248)),($B84/$E248)*BS248)))</f>
        <v>0</v>
      </c>
      <c r="BU84" s="395">
        <f ca="1">IF($E$248=0,0,IF(SUM($G84:BT84)=$B84,0,IF(SUM($G248:BT248)&gt;=$E248,($B84/$E248)*($E248-SUM($G248:BS248)),($B84/$E248)*BT248)))</f>
        <v>0</v>
      </c>
      <c r="BV84" s="395">
        <f ca="1">IF($E$248=0,0,IF(SUM($G84:BU84)=$B84,0,IF(SUM($G248:BU248)&gt;=$E248,($B84/$E248)*($E248-SUM($G248:BT248)),($B84/$E248)*BU248)))</f>
        <v>0</v>
      </c>
      <c r="BW84" s="395">
        <f ca="1">IF($E$248=0,0,IF(SUM($G84:BV84)=$B84,0,IF(SUM($G248:BV248)&gt;=$E248,($B84/$E248)*($E248-SUM($G248:BU248)),($B84/$E248)*BV248)))</f>
        <v>0</v>
      </c>
      <c r="BX84" s="395">
        <f ca="1">IF($E$248=0,0,IF(SUM($G84:BW84)=$B84,0,IF(SUM($G248:BW248)&gt;=$E248,($B84/$E248)*($E248-SUM($G248:BV248)),($B84/$E248)*BW248)))</f>
        <v>0</v>
      </c>
      <c r="BY84" s="395">
        <f ca="1">IF($E$248=0,0,IF(SUM($G84:BX84)=$B84,0,IF(SUM($G248:BX248)&gt;=$E248,($B84/$E248)*($E248-SUM($G248:BW248)),($B84/$E248)*BX248)))</f>
        <v>0</v>
      </c>
      <c r="BZ84" s="395">
        <f ca="1">IF($E$248=0,0,IF(SUM($G84:BY84)=$B84,0,IF(SUM($G248:BY248)&gt;=$E248,($B84/$E248)*($E248-SUM($G248:BX248)),($B84/$E248)*BY248)))</f>
        <v>0</v>
      </c>
      <c r="CA84" s="395">
        <f ca="1">IF($E$248=0,0,IF(SUM($G84:BZ84)=$B84,0,IF(SUM($G248:BZ248)&gt;=$E248,($B84/$E248)*($E248-SUM($G248:BY248)),($B84/$E248)*BZ248)))</f>
        <v>0</v>
      </c>
      <c r="CB84" s="395">
        <f ca="1">IF($E$248=0,0,IF(SUM($G84:CA84)=$B84,0,IF(SUM($G248:CA248)&gt;=$E248,($B84/$E248)*($E248-SUM($G248:BZ248)),($B84/$E248)*CA248)))</f>
        <v>0</v>
      </c>
      <c r="CC84" s="395">
        <f ca="1">IF($E$248=0,0,IF(SUM($G84:CB84)=$B84,0,IF(SUM($G248:CB248)&gt;=$E248,($B84/$E248)*($E248-SUM($G248:CA248)),($B84/$E248)*CB248)))</f>
        <v>0</v>
      </c>
      <c r="CD84" s="395">
        <f ca="1">IF($E$248=0,0,IF(SUM($G84:CC84)=$B84,0,IF(SUM($G248:CC248)&gt;=$E248,($B84/$E248)*($E248-SUM($G248:CB248)),($B84/$E248)*CC248)))</f>
        <v>0</v>
      </c>
      <c r="CE84" s="395">
        <f ca="1">IF($E$248=0,0,IF(SUM($G84:CD84)=$B84,0,IF(SUM($G248:CD248)&gt;=$E248,($B84/$E248)*($E248-SUM($G248:CC248)),($B84/$E248)*CD248)))</f>
        <v>0</v>
      </c>
      <c r="CF84" s="395">
        <f ca="1">IF($E$248=0,0,IF(SUM($G84:CE84)=$B84,0,IF(SUM($G248:CE248)&gt;=$E248,($B84/$E248)*($E248-SUM($G248:CD248)),($B84/$E248)*CE248)))</f>
        <v>0</v>
      </c>
      <c r="CG84" s="395">
        <f ca="1">IF($E$248=0,0,IF(SUM($G84:CF84)=$B84,0,IF(SUM($G248:CF248)&gt;=$E248,($B84/$E248)*($E248-SUM($G248:CE248)),($B84/$E248)*CF248)))</f>
        <v>0</v>
      </c>
      <c r="CH84" s="395">
        <f ca="1">IF($E$248=0,0,IF(SUM($G84:CG84)=$B84,0,IF(SUM($G248:CG248)&gt;=$E248,($B84/$E248)*($E248-SUM($G248:CF248)),($B84/$E248)*CG248)))</f>
        <v>0</v>
      </c>
      <c r="CI84" s="395">
        <f ca="1">IF($E$248=0,0,IF(SUM($G84:CH84)=$B84,0,IF(SUM($G248:CH248)&gt;=$E248,($B84/$E248)*($E248-SUM($G248:CG248)),($B84/$E248)*CH248)))</f>
        <v>0</v>
      </c>
      <c r="CJ84" s="395">
        <f ca="1">IF($E$248=0,0,IF(SUM($G84:CI84)=$B84,0,IF(SUM($G248:CI248)&gt;=$E248,($B84/$E248)*($E248-SUM($G248:CH248)),($B84/$E248)*CI248)))</f>
        <v>0</v>
      </c>
      <c r="CK84" s="395">
        <f ca="1">IF($E$248=0,0,IF(SUM($G84:CJ84)=$B84,0,IF(SUM($G248:CJ248)&gt;=$E248,($B84/$E248)*($E248-SUM($G248:CI248)),($B84/$E248)*CJ248)))</f>
        <v>0</v>
      </c>
      <c r="CL84" s="395">
        <f ca="1">IF($E$248=0,0,IF(SUM($G84:CK84)=$B84,0,IF(SUM($G248:CK248)&gt;=$E248,($B84/$E248)*($E248-SUM($G248:CJ248)),($B84/$E248)*CK248)))</f>
        <v>0</v>
      </c>
      <c r="CM84" s="395">
        <f ca="1">IF($E$248=0,0,IF(SUM($G84:CL84)=$B84,0,IF(SUM($G248:CL248)&gt;=$E248,($B84/$E248)*($E248-SUM($G248:CK248)),($B84/$E248)*CL248)))</f>
        <v>0</v>
      </c>
      <c r="CN84" s="395">
        <f ca="1">IF($E$248=0,0,IF(SUM($G84:CM84)=$B84,0,IF(SUM($G248:CM248)&gt;=$E248,($B84/$E248)*($E248-SUM($G248:CL248)),($B84/$E248)*CM248)))</f>
        <v>0</v>
      </c>
      <c r="CO84" s="395">
        <f ca="1">IF($E$248=0,0,IF(SUM($G84:CN84)=$B84,0,IF(SUM($G248:CN248)&gt;=$E248,($B84/$E248)*($E248-SUM($G248:CM248)),($B84/$E248)*CN248)))</f>
        <v>0</v>
      </c>
      <c r="CP84" s="395">
        <f ca="1">IF($E$248=0,0,IF(SUM($G84:CO84)=$B84,0,IF(SUM($G248:CO248)&gt;=$E248,($B84/$E248)*($E248-SUM($G248:CN248)),($B84/$E248)*CO248)))</f>
        <v>0</v>
      </c>
      <c r="CQ84" s="395">
        <f ca="1">IF($E$248=0,0,IF(SUM($G84:CP84)=$B84,0,IF(SUM($G248:CP248)&gt;=$E248,($B84/$E248)*($E248-SUM($G248:CO248)),($B84/$E248)*CP248)))</f>
        <v>0</v>
      </c>
      <c r="CR84" s="395">
        <f ca="1">IF($E$248=0,0,IF(SUM($G84:CQ84)=$B84,0,IF(SUM($G248:CQ248)&gt;=$E248,($B84/$E248)*($E248-SUM($G248:CP248)),($B84/$E248)*CQ248)))</f>
        <v>0</v>
      </c>
      <c r="CS84" s="395">
        <f ca="1">IF($E$248=0,0,IF(SUM($G84:CR84)=$B84,0,IF(SUM($G248:CR248)&gt;=$E248,($B84/$E248)*($E248-SUM($G248:CQ248)),($B84/$E248)*CR248)))</f>
        <v>0</v>
      </c>
      <c r="CT84" s="395">
        <f ca="1">IF($E$248=0,0,IF(SUM($G84:CS84)=$B84,0,IF(SUM($G248:CS248)&gt;=$E248,($B84/$E248)*($E248-SUM($G248:CR248)),($B84/$E248)*CS248)))</f>
        <v>0</v>
      </c>
      <c r="CU84" s="395">
        <f ca="1">IF($E$248=0,0,IF(SUM($G84:CT84)=$B84,0,IF(SUM($G248:CT248)&gt;=$E248,($B84/$E248)*($E248-SUM($G248:CS248)),($B84/$E248)*CT248)))</f>
        <v>0</v>
      </c>
      <c r="CV84" s="395">
        <f ca="1">IF($E$248=0,0,IF(SUM($G84:CU84)=$B84,0,IF(SUM($G248:CU248)&gt;=$E248,($B84/$E248)*($E248-SUM($G248:CT248)),($B84/$E248)*CU248)))</f>
        <v>0</v>
      </c>
      <c r="CW84" s="395">
        <f ca="1">IF($E$248=0,0,IF(SUM($G84:CV84)=$B84,0,IF(SUM($G248:CV248)&gt;=$E248,($B84/$E248)*($E248-SUM($G248:CU248)),($B84/$E248)*CV248)))</f>
        <v>0</v>
      </c>
      <c r="CX84" s="395">
        <f ca="1">IF($E$248=0,0,IF(SUM($G84:CW84)=$B84,0,IF(SUM($G248:CW248)&gt;=$E248,($B84/$E248)*($E248-SUM($G248:CV248)),($B84/$E248)*CW248)))</f>
        <v>0</v>
      </c>
      <c r="CY84" s="395">
        <f ca="1">IF($E$248=0,0,IF(SUM($G84:CX84)=$B84,0,IF(SUM($G248:CX248)&gt;=$E248,($B84/$E248)*($E248-SUM($G248:CW248)),($B84/$E248)*CX248)))</f>
        <v>0</v>
      </c>
      <c r="CZ84" s="395">
        <f ca="1">IF($E$248=0,0,IF(SUM($G84:CY84)=$B84,0,IF(SUM($G248:CY248)&gt;=$E248,($B84/$E248)*($E248-SUM($G248:CX248)),($B84/$E248)*CY248)))</f>
        <v>0</v>
      </c>
      <c r="DA84" s="395">
        <f ca="1">IF($E$248=0,0,IF(SUM($G84:CZ84)=$B84,0,IF(SUM($G248:CZ248)&gt;=$E248,($B84/$E248)*($E248-SUM($G248:CY248)),($B84/$E248)*CZ248)))</f>
        <v>0</v>
      </c>
      <c r="DB84" s="395">
        <f ca="1">IF($E$248=0,0,IF(SUM($G84:DA84)=$B84,0,IF(SUM($G248:DA248)&gt;=$E248,($B84/$E248)*($E248-SUM($G248:CZ248)),($B84/$E248)*DA248)))</f>
        <v>0</v>
      </c>
      <c r="DC84" s="395">
        <f ca="1">IF($E$248=0,0,IF(SUM($G84:DB84)=$B84,0,IF(SUM($G248:DB248)&gt;=$E248,($B84/$E248)*($E248-SUM($G248:DA248)),($B84/$E248)*DB248)))</f>
        <v>0</v>
      </c>
      <c r="DD84" s="395">
        <f ca="1">IF($E$248=0,0,IF(SUM($G84:DC84)=$B84,0,IF(SUM($G248:DC248)&gt;=$E248,($B84/$E248)*($E248-SUM($G248:DB248)),($B84/$E248)*DC248)))</f>
        <v>0</v>
      </c>
      <c r="DE84" s="395">
        <f ca="1">IF($E$248=0,0,IF(SUM($G84:DD84)=$B84,0,IF(SUM($G248:DD248)&gt;=$E248,($B84/$E248)*($E248-SUM($G248:DC248)),($B84/$E248)*DD248)))</f>
        <v>0</v>
      </c>
      <c r="DF84" s="395">
        <f ca="1">IF($E$248=0,0,IF(SUM($G84:DE84)=$B84,0,IF(SUM($G248:DE248)&gt;=$E248,($B84/$E248)*($E248-SUM($G248:DD248)),($B84/$E248)*DE248)))</f>
        <v>0</v>
      </c>
      <c r="DG84" s="395">
        <f ca="1">IF($E$248=0,0,IF(SUM($G84:DF84)=$B84,0,IF(SUM($G248:DF248)&gt;=$E248,($B84/$E248)*($E248-SUM($G248:DE248)),($B84/$E248)*DF248)))</f>
        <v>0</v>
      </c>
      <c r="DH84" s="395">
        <f ca="1">IF($E$248=0,0,IF(SUM($G84:DG84)=$B84,0,IF(SUM($G248:DG248)&gt;=$E248,($B84/$E248)*($E248-SUM($G248:DF248)),($B84/$E248)*DG248)))</f>
        <v>0</v>
      </c>
      <c r="DI84" s="395">
        <f ca="1">IF($E$248=0,0,IF(SUM($G84:DH84)=$B84,0,IF(SUM($G248:DH248)&gt;=$E248,($B84/$E248)*($E248-SUM($G248:DG248)),($B84/$E248)*DH248)))</f>
        <v>0</v>
      </c>
      <c r="DJ84" s="395">
        <f ca="1">IF($E$248=0,0,IF(SUM($G84:DI84)=$B84,0,IF(SUM($G248:DI248)&gt;=$E248,($B84/$E248)*($E248-SUM($G248:DH248)),($B84/$E248)*DI248)))</f>
        <v>0</v>
      </c>
      <c r="DK84" s="395">
        <f ca="1">IF($E$248=0,0,IF(SUM($G84:DJ84)=$B84,0,IF(SUM($G248:DJ248)&gt;=$E248,($B84/$E248)*($E248-SUM($G248:DI248)),($B84/$E248)*DJ248)))</f>
        <v>0</v>
      </c>
      <c r="DL84" s="395">
        <f ca="1">IF($E$248=0,0,IF(SUM($G84:DK84)=$B84,0,IF(SUM($G248:DK248)&gt;=$E248,($B84/$E248)*($E248-SUM($G248:DJ248)),($B84/$E248)*DK248)))</f>
        <v>0</v>
      </c>
      <c r="DM84" s="395">
        <f ca="1">IF($E$248=0,0,IF(SUM($G84:DL84)=$B84,0,IF(SUM($G248:DL248)&gt;=$E248,($B84/$E248)*($E248-SUM($G248:DK248)),($B84/$E248)*DL248)))</f>
        <v>0</v>
      </c>
      <c r="DN84" s="395">
        <f ca="1">IF($E$248=0,0,IF(SUM($G84:DM84)=$B84,0,IF(SUM($G248:DM248)&gt;=$E248,($B84/$E248)*($E248-SUM($G248:DL248)),($B84/$E248)*DM248)))</f>
        <v>0</v>
      </c>
      <c r="DO84" s="395">
        <f ca="1">IF($E$248=0,0,IF(SUM($G84:DN84)=$B84,0,IF(SUM($G248:DN248)&gt;=$E248,($B84/$E248)*($E248-SUM($G248:DM248)),($B84/$E248)*DN248)))</f>
        <v>0</v>
      </c>
      <c r="DP84" s="395">
        <f ca="1">IF($E$248=0,0,IF(SUM($G84:DO84)=$B84,0,IF(SUM($G248:DO248)&gt;=$E248,($B84/$E248)*($E248-SUM($G248:DN248)),($B84/$E248)*DO248)))</f>
        <v>0</v>
      </c>
      <c r="DQ84" s="395">
        <f ca="1">IF($E$248=0,0,IF(SUM($G84:DP84)=$B84,0,IF(SUM($G248:DP248)&gt;=$E248,($B84/$E248)*($E248-SUM($G248:DO248)),($B84/$E248)*DP248)))</f>
        <v>0</v>
      </c>
      <c r="DR84" s="395">
        <f ca="1">IF($E$248=0,0,IF(SUM($G84:DQ84)=$B84,0,IF(SUM($G248:DQ248)&gt;=$E248,($B84/$E248)*($E248-SUM($G248:DP248)),($B84/$E248)*DQ248)))</f>
        <v>0</v>
      </c>
      <c r="DS84" s="395">
        <f ca="1">IF($E$248=0,0,IF(SUM($G84:DR84)=$B84,0,IF(SUM($G248:DR248)&gt;=$E248,($B84/$E248)*($E248-SUM($G248:DQ248)),($B84/$E248)*DR248)))</f>
        <v>0</v>
      </c>
      <c r="DT84" s="395">
        <f ca="1">IF($E$248=0,0,IF(SUM($G84:DS84)=$B84,0,IF(SUM($G248:DS248)&gt;=$E248,($B84/$E248)*($E248-SUM($G248:DR248)),($B84/$E248)*DS248)))</f>
        <v>0</v>
      </c>
      <c r="DU84" s="395">
        <f ca="1">IF($E$248=0,0,IF(SUM($G84:DT84)=$B84,0,IF(SUM($G248:DT248)&gt;=$E248,($B84/$E248)*($E248-SUM($G248:DS248)),($B84/$E248)*DT248)))</f>
        <v>0</v>
      </c>
      <c r="DV84" s="395">
        <f ca="1">IF($E$248=0,0,IF(SUM($G84:DU84)=$B84,0,IF(SUM($G248:DU248)&gt;=$E248,($B84/$E248)*($E248-SUM($G248:DT248)),($B84/$E248)*DU248)))</f>
        <v>0</v>
      </c>
      <c r="DW84" s="395">
        <f ca="1">IF($E$248=0,0,IF(SUM($G84:DV84)=$B84,0,IF(SUM($G248:DV248)&gt;=$E248,($B84/$E248)*($E248-SUM($G248:DU248)),($B84/$E248)*DV248)))</f>
        <v>0</v>
      </c>
      <c r="DX84" s="395">
        <f ca="1">IF($E$248=0,0,IF(SUM($G84:DW84)=$B84,0,IF(SUM($G248:DW248)&gt;=$E248,($B84/$E248)*($E248-SUM($G248:DV248)),($B84/$E248)*DW248)))</f>
        <v>0</v>
      </c>
      <c r="DY84" s="395">
        <f ca="1">IF($E$248=0,0,IF(SUM($G84:DX84)=$B84,0,IF(SUM($G248:DX248)&gt;=$E248,($B84/$E248)*($E248-SUM($G248:DW248)),($B84/$E248)*DX248)))</f>
        <v>0</v>
      </c>
      <c r="DZ84" s="395">
        <f ca="1">IF($E$248=0,0,IF(SUM($G84:DY84)=$B84,0,IF(SUM($G248:DY248)&gt;=$E248,($B84/$E248)*($E248-SUM($G248:DX248)),($B84/$E248)*DY248)))</f>
        <v>0</v>
      </c>
      <c r="EA84" s="395">
        <f ca="1">IF($E$248=0,0,IF(SUM($G84:DZ84)=$B84,0,IF(SUM($G248:DZ248)&gt;=$E248,($B84/$E248)*($E248-SUM($G248:DY248)),($B84/$E248)*DZ248)))</f>
        <v>0</v>
      </c>
      <c r="EB84" s="395">
        <f ca="1">IF($E$248=0,0,IF(SUM($G84:EA84)=$B84,0,IF(SUM($G248:EA248)&gt;=$E248,($B84/$E248)*($E248-SUM($G248:DZ248)),($B84/$E248)*EA248)))</f>
        <v>0</v>
      </c>
      <c r="EC84" s="395">
        <f ca="1">IF($E$248=0,0,IF(SUM($G84:EB84)=$B84,0,IF(SUM($G248:EB248)&gt;=$E248,($B84/$E248)*($E248-SUM($G248:EA248)),($B84/$E248)*EB248)))</f>
        <v>0</v>
      </c>
      <c r="ED84" s="395">
        <f ca="1">IF($E$248=0,0,IF(SUM($G84:EC84)=$B84,0,IF(SUM($G248:EC248)&gt;=$E248,($B84/$E248)*($E248-SUM($G248:EB248)),($B84/$E248)*EC248)))</f>
        <v>0</v>
      </c>
      <c r="EE84" s="395">
        <f ca="1">IF($E$248=0,0,IF(SUM($G84:ED84)=$B84,0,IF(SUM($G248:ED248)&gt;=$E248,($B84/$E248)*($E248-SUM($G248:EC248)),($B84/$E248)*ED248)))</f>
        <v>0</v>
      </c>
      <c r="EF84" s="395">
        <f ca="1">IF($E$248=0,0,IF(SUM($G84:EE84)=$B84,0,IF(SUM($G248:EE248)&gt;=$E248,($B84/$E248)*($E248-SUM($G248:ED248)),($B84/$E248)*EE248)))</f>
        <v>0</v>
      </c>
      <c r="EG84" s="395">
        <f ca="1">IF($E$248=0,0,IF(SUM($G84:EF84)=$B84,0,IF(SUM($G248:EF248)&gt;=$E248,($B84/$E248)*($E248-SUM($G248:EE248)),($B84/$E248)*EF248)))</f>
        <v>0</v>
      </c>
      <c r="EH84" s="395">
        <f ca="1">IF($E$248=0,0,IF(SUM($G84:EG84)=$B84,0,IF(SUM($G248:EG248)&gt;=$E248,($B84/$E248)*($E248-SUM($G248:EF248)),($B84/$E248)*EG248)))</f>
        <v>0</v>
      </c>
      <c r="EI84" s="395">
        <f ca="1">IF($E$248=0,0,IF(SUM($G84:EH84)=$B84,0,IF(SUM($G248:EH248)&gt;=$E248,($B84/$E248)*($E248-SUM($G248:EG248)),($B84/$E248)*EH248)))</f>
        <v>0</v>
      </c>
      <c r="EJ84" s="398"/>
      <c r="EK84" s="313"/>
    </row>
    <row r="85" spans="1:141" hidden="1" outlineLevel="1" collapsed="1">
      <c r="A85" s="332"/>
      <c r="B85" s="313"/>
      <c r="C85" s="392" t="s">
        <v>54</v>
      </c>
      <c r="D85" s="392" t="s">
        <v>27</v>
      </c>
      <c r="E85" s="393">
        <f ca="1">ROUND(IF(F85=0,0,100%-F85),0)</f>
        <v>0</v>
      </c>
      <c r="F85" s="394">
        <f t="shared" ca="1" si="283"/>
        <v>1</v>
      </c>
      <c r="G85" s="395">
        <f>SUM(G86:G87)</f>
        <v>0</v>
      </c>
      <c r="H85" s="395">
        <f t="shared" ref="H85:BS85" si="304">SUM(H86:H87)</f>
        <v>0</v>
      </c>
      <c r="I85" s="395">
        <f t="shared" ca="1" si="304"/>
        <v>0</v>
      </c>
      <c r="J85" s="395">
        <f t="shared" ca="1" si="304"/>
        <v>0</v>
      </c>
      <c r="K85" s="395">
        <f t="shared" ca="1" si="304"/>
        <v>0</v>
      </c>
      <c r="L85" s="395">
        <f t="shared" ca="1" si="304"/>
        <v>0</v>
      </c>
      <c r="M85" s="395">
        <f t="shared" ca="1" si="304"/>
        <v>0</v>
      </c>
      <c r="N85" s="395">
        <f t="shared" ca="1" si="304"/>
        <v>0</v>
      </c>
      <c r="O85" s="395">
        <f t="shared" ca="1" si="304"/>
        <v>0</v>
      </c>
      <c r="P85" s="395">
        <f t="shared" ca="1" si="304"/>
        <v>0</v>
      </c>
      <c r="Q85" s="395">
        <f t="shared" ca="1" si="304"/>
        <v>0</v>
      </c>
      <c r="R85" s="395">
        <f t="shared" ca="1" si="304"/>
        <v>0</v>
      </c>
      <c r="S85" s="395">
        <f t="shared" ca="1" si="304"/>
        <v>0</v>
      </c>
      <c r="T85" s="395">
        <f t="shared" ca="1" si="304"/>
        <v>0</v>
      </c>
      <c r="U85" s="395">
        <f t="shared" ca="1" si="304"/>
        <v>0</v>
      </c>
      <c r="V85" s="395">
        <f t="shared" ca="1" si="304"/>
        <v>0.12727272727272726</v>
      </c>
      <c r="W85" s="395">
        <f t="shared" ca="1" si="304"/>
        <v>0.27272727272727271</v>
      </c>
      <c r="X85" s="395">
        <f t="shared" ca="1" si="304"/>
        <v>0.2818181818181818</v>
      </c>
      <c r="Y85" s="395">
        <f t="shared" ca="1" si="304"/>
        <v>0.2818181818181818</v>
      </c>
      <c r="Z85" s="395">
        <f t="shared" ca="1" si="304"/>
        <v>3.6363636363636362E-2</v>
      </c>
      <c r="AA85" s="395">
        <f t="shared" ca="1" si="304"/>
        <v>0</v>
      </c>
      <c r="AB85" s="395">
        <f t="shared" ca="1" si="304"/>
        <v>0</v>
      </c>
      <c r="AC85" s="395">
        <f t="shared" ca="1" si="304"/>
        <v>0</v>
      </c>
      <c r="AD85" s="395">
        <f t="shared" ca="1" si="304"/>
        <v>0</v>
      </c>
      <c r="AE85" s="395">
        <f t="shared" ca="1" si="304"/>
        <v>0</v>
      </c>
      <c r="AF85" s="395">
        <f t="shared" ca="1" si="304"/>
        <v>0</v>
      </c>
      <c r="AG85" s="395">
        <f t="shared" ca="1" si="304"/>
        <v>0</v>
      </c>
      <c r="AH85" s="395">
        <f t="shared" ca="1" si="304"/>
        <v>0</v>
      </c>
      <c r="AI85" s="395">
        <f t="shared" ca="1" si="304"/>
        <v>0</v>
      </c>
      <c r="AJ85" s="395">
        <f t="shared" ca="1" si="304"/>
        <v>0</v>
      </c>
      <c r="AK85" s="395">
        <f t="shared" ca="1" si="304"/>
        <v>0</v>
      </c>
      <c r="AL85" s="395">
        <f t="shared" ca="1" si="304"/>
        <v>0</v>
      </c>
      <c r="AM85" s="395">
        <f t="shared" ca="1" si="304"/>
        <v>0</v>
      </c>
      <c r="AN85" s="395">
        <f t="shared" ca="1" si="304"/>
        <v>0</v>
      </c>
      <c r="AO85" s="395">
        <f t="shared" ca="1" si="304"/>
        <v>0</v>
      </c>
      <c r="AP85" s="395">
        <f t="shared" ca="1" si="304"/>
        <v>0</v>
      </c>
      <c r="AQ85" s="395">
        <f t="shared" ca="1" si="304"/>
        <v>0</v>
      </c>
      <c r="AR85" s="395">
        <f t="shared" ca="1" si="304"/>
        <v>0</v>
      </c>
      <c r="AS85" s="395">
        <f t="shared" ca="1" si="304"/>
        <v>0</v>
      </c>
      <c r="AT85" s="395">
        <f t="shared" ca="1" si="304"/>
        <v>0</v>
      </c>
      <c r="AU85" s="395">
        <f t="shared" ca="1" si="304"/>
        <v>0</v>
      </c>
      <c r="AV85" s="395">
        <f t="shared" ca="1" si="304"/>
        <v>0</v>
      </c>
      <c r="AW85" s="395">
        <f t="shared" ca="1" si="304"/>
        <v>0</v>
      </c>
      <c r="AX85" s="395">
        <f t="shared" ca="1" si="304"/>
        <v>0</v>
      </c>
      <c r="AY85" s="395">
        <f t="shared" ca="1" si="304"/>
        <v>0</v>
      </c>
      <c r="AZ85" s="395">
        <f t="shared" ca="1" si="304"/>
        <v>0</v>
      </c>
      <c r="BA85" s="395">
        <f t="shared" ca="1" si="304"/>
        <v>0</v>
      </c>
      <c r="BB85" s="395">
        <f t="shared" ca="1" si="304"/>
        <v>0</v>
      </c>
      <c r="BC85" s="395">
        <f t="shared" ca="1" si="304"/>
        <v>0</v>
      </c>
      <c r="BD85" s="395">
        <f t="shared" ca="1" si="304"/>
        <v>0</v>
      </c>
      <c r="BE85" s="395">
        <f t="shared" ca="1" si="304"/>
        <v>0</v>
      </c>
      <c r="BF85" s="395">
        <f t="shared" ca="1" si="304"/>
        <v>0</v>
      </c>
      <c r="BG85" s="395">
        <f t="shared" ca="1" si="304"/>
        <v>0</v>
      </c>
      <c r="BH85" s="395">
        <f t="shared" ca="1" si="304"/>
        <v>0</v>
      </c>
      <c r="BI85" s="395">
        <f t="shared" ca="1" si="304"/>
        <v>0</v>
      </c>
      <c r="BJ85" s="395">
        <f t="shared" ca="1" si="304"/>
        <v>0</v>
      </c>
      <c r="BK85" s="395">
        <f t="shared" ca="1" si="304"/>
        <v>0</v>
      </c>
      <c r="BL85" s="395">
        <f t="shared" ca="1" si="304"/>
        <v>0</v>
      </c>
      <c r="BM85" s="395">
        <f t="shared" ca="1" si="304"/>
        <v>0</v>
      </c>
      <c r="BN85" s="395">
        <f t="shared" ca="1" si="304"/>
        <v>0</v>
      </c>
      <c r="BO85" s="395">
        <f t="shared" ca="1" si="304"/>
        <v>0</v>
      </c>
      <c r="BP85" s="395">
        <f t="shared" ca="1" si="304"/>
        <v>0</v>
      </c>
      <c r="BQ85" s="395">
        <f t="shared" ca="1" si="304"/>
        <v>0</v>
      </c>
      <c r="BR85" s="395">
        <f t="shared" ca="1" si="304"/>
        <v>0</v>
      </c>
      <c r="BS85" s="395">
        <f t="shared" ca="1" si="304"/>
        <v>0</v>
      </c>
      <c r="BT85" s="395">
        <f t="shared" ref="BT85:EE85" ca="1" si="305">SUM(BT86:BT87)</f>
        <v>0</v>
      </c>
      <c r="BU85" s="395">
        <f t="shared" ca="1" si="305"/>
        <v>0</v>
      </c>
      <c r="BV85" s="395">
        <f t="shared" ca="1" si="305"/>
        <v>0</v>
      </c>
      <c r="BW85" s="395">
        <f t="shared" ca="1" si="305"/>
        <v>0</v>
      </c>
      <c r="BX85" s="395">
        <f t="shared" ca="1" si="305"/>
        <v>0</v>
      </c>
      <c r="BY85" s="395">
        <f t="shared" ca="1" si="305"/>
        <v>0</v>
      </c>
      <c r="BZ85" s="395">
        <f t="shared" ca="1" si="305"/>
        <v>0</v>
      </c>
      <c r="CA85" s="395">
        <f t="shared" ca="1" si="305"/>
        <v>0</v>
      </c>
      <c r="CB85" s="395">
        <f t="shared" ca="1" si="305"/>
        <v>0</v>
      </c>
      <c r="CC85" s="395">
        <f t="shared" ca="1" si="305"/>
        <v>0</v>
      </c>
      <c r="CD85" s="395">
        <f t="shared" ca="1" si="305"/>
        <v>0</v>
      </c>
      <c r="CE85" s="395">
        <f t="shared" ca="1" si="305"/>
        <v>0</v>
      </c>
      <c r="CF85" s="395">
        <f t="shared" ca="1" si="305"/>
        <v>0</v>
      </c>
      <c r="CG85" s="395">
        <f t="shared" ca="1" si="305"/>
        <v>0</v>
      </c>
      <c r="CH85" s="395">
        <f t="shared" ca="1" si="305"/>
        <v>0</v>
      </c>
      <c r="CI85" s="395">
        <f t="shared" ca="1" si="305"/>
        <v>0</v>
      </c>
      <c r="CJ85" s="395">
        <f t="shared" ca="1" si="305"/>
        <v>0</v>
      </c>
      <c r="CK85" s="395">
        <f t="shared" ca="1" si="305"/>
        <v>0</v>
      </c>
      <c r="CL85" s="395">
        <f t="shared" ca="1" si="305"/>
        <v>0</v>
      </c>
      <c r="CM85" s="395">
        <f t="shared" ca="1" si="305"/>
        <v>0</v>
      </c>
      <c r="CN85" s="395">
        <f t="shared" ca="1" si="305"/>
        <v>0</v>
      </c>
      <c r="CO85" s="395">
        <f t="shared" ca="1" si="305"/>
        <v>0</v>
      </c>
      <c r="CP85" s="395">
        <f t="shared" ca="1" si="305"/>
        <v>0</v>
      </c>
      <c r="CQ85" s="395">
        <f t="shared" ca="1" si="305"/>
        <v>0</v>
      </c>
      <c r="CR85" s="395">
        <f t="shared" ca="1" si="305"/>
        <v>0</v>
      </c>
      <c r="CS85" s="395">
        <f t="shared" ca="1" si="305"/>
        <v>0</v>
      </c>
      <c r="CT85" s="395">
        <f t="shared" ca="1" si="305"/>
        <v>0</v>
      </c>
      <c r="CU85" s="395">
        <f t="shared" ca="1" si="305"/>
        <v>0</v>
      </c>
      <c r="CV85" s="395">
        <f t="shared" ca="1" si="305"/>
        <v>0</v>
      </c>
      <c r="CW85" s="395">
        <f t="shared" ca="1" si="305"/>
        <v>0</v>
      </c>
      <c r="CX85" s="395">
        <f t="shared" ca="1" si="305"/>
        <v>0</v>
      </c>
      <c r="CY85" s="395">
        <f t="shared" ca="1" si="305"/>
        <v>0</v>
      </c>
      <c r="CZ85" s="395">
        <f t="shared" ca="1" si="305"/>
        <v>0</v>
      </c>
      <c r="DA85" s="395">
        <f t="shared" ca="1" si="305"/>
        <v>0</v>
      </c>
      <c r="DB85" s="395">
        <f t="shared" ca="1" si="305"/>
        <v>0</v>
      </c>
      <c r="DC85" s="395">
        <f t="shared" ca="1" si="305"/>
        <v>0</v>
      </c>
      <c r="DD85" s="395">
        <f t="shared" ca="1" si="305"/>
        <v>0</v>
      </c>
      <c r="DE85" s="395">
        <f t="shared" ca="1" si="305"/>
        <v>0</v>
      </c>
      <c r="DF85" s="395">
        <f t="shared" ca="1" si="305"/>
        <v>0</v>
      </c>
      <c r="DG85" s="395">
        <f t="shared" ca="1" si="305"/>
        <v>0</v>
      </c>
      <c r="DH85" s="395">
        <f t="shared" ca="1" si="305"/>
        <v>0</v>
      </c>
      <c r="DI85" s="395">
        <f t="shared" ca="1" si="305"/>
        <v>0</v>
      </c>
      <c r="DJ85" s="395">
        <f t="shared" ca="1" si="305"/>
        <v>0</v>
      </c>
      <c r="DK85" s="395">
        <f t="shared" ca="1" si="305"/>
        <v>0</v>
      </c>
      <c r="DL85" s="395">
        <f t="shared" ca="1" si="305"/>
        <v>0</v>
      </c>
      <c r="DM85" s="395">
        <f t="shared" ca="1" si="305"/>
        <v>0</v>
      </c>
      <c r="DN85" s="395">
        <f t="shared" ca="1" si="305"/>
        <v>0</v>
      </c>
      <c r="DO85" s="395">
        <f t="shared" ca="1" si="305"/>
        <v>0</v>
      </c>
      <c r="DP85" s="395">
        <f t="shared" ca="1" si="305"/>
        <v>0</v>
      </c>
      <c r="DQ85" s="395">
        <f t="shared" ca="1" si="305"/>
        <v>0</v>
      </c>
      <c r="DR85" s="395">
        <f t="shared" ca="1" si="305"/>
        <v>0</v>
      </c>
      <c r="DS85" s="395">
        <f t="shared" ca="1" si="305"/>
        <v>0</v>
      </c>
      <c r="DT85" s="395">
        <f t="shared" ca="1" si="305"/>
        <v>0</v>
      </c>
      <c r="DU85" s="395">
        <f t="shared" ca="1" si="305"/>
        <v>0</v>
      </c>
      <c r="DV85" s="395">
        <f t="shared" ca="1" si="305"/>
        <v>0</v>
      </c>
      <c r="DW85" s="395">
        <f t="shared" ca="1" si="305"/>
        <v>0</v>
      </c>
      <c r="DX85" s="395">
        <f t="shared" ca="1" si="305"/>
        <v>0</v>
      </c>
      <c r="DY85" s="395">
        <f t="shared" ca="1" si="305"/>
        <v>0</v>
      </c>
      <c r="DZ85" s="395">
        <f t="shared" ca="1" si="305"/>
        <v>0</v>
      </c>
      <c r="EA85" s="395">
        <f t="shared" ca="1" si="305"/>
        <v>0</v>
      </c>
      <c r="EB85" s="395">
        <f t="shared" ca="1" si="305"/>
        <v>0</v>
      </c>
      <c r="EC85" s="395">
        <f t="shared" ca="1" si="305"/>
        <v>0</v>
      </c>
      <c r="ED85" s="395">
        <f t="shared" ca="1" si="305"/>
        <v>0</v>
      </c>
      <c r="EE85" s="395">
        <f t="shared" ca="1" si="305"/>
        <v>0</v>
      </c>
      <c r="EF85" s="395">
        <f t="shared" ref="EF85:EI85" ca="1" si="306">SUM(EF86:EF87)</f>
        <v>0</v>
      </c>
      <c r="EG85" s="395">
        <f t="shared" ca="1" si="306"/>
        <v>0</v>
      </c>
      <c r="EH85" s="395">
        <f t="shared" ca="1" si="306"/>
        <v>0</v>
      </c>
      <c r="EI85" s="395">
        <f t="shared" ca="1" si="306"/>
        <v>0</v>
      </c>
      <c r="EJ85" s="398"/>
      <c r="EK85" s="313"/>
    </row>
    <row r="86" spans="1:141" hidden="1" outlineLevel="2">
      <c r="A86" s="332"/>
      <c r="B86" s="549">
        <f>длительность!B181</f>
        <v>0</v>
      </c>
      <c r="C86" s="317"/>
      <c r="D86" s="317" t="s">
        <v>664</v>
      </c>
      <c r="E86" s="318">
        <f t="shared" ref="E86" si="307">IF(F86=0,0,B86-F86)</f>
        <v>0</v>
      </c>
      <c r="F86" s="397">
        <f t="shared" si="283"/>
        <v>0</v>
      </c>
      <c r="G86" s="395"/>
      <c r="H86" s="395">
        <f>IF(SUM($G86:G86)=$B86,0,IF(J87&gt;0%,$B86,0%))</f>
        <v>0</v>
      </c>
      <c r="I86" s="395">
        <f>IF(SUM($G86:H86)=$B86,0,IF(K87&gt;0%,$B86,0%))</f>
        <v>0</v>
      </c>
      <c r="J86" s="395">
        <f>IF(SUM($G86:I86)=$B86,0,IF(L87&gt;0%,$B86,0%))</f>
        <v>0</v>
      </c>
      <c r="K86" s="395">
        <f>IF(SUM($G86:J86)=$B86,0,IF(M87&gt;0%,$B86,0%))</f>
        <v>0</v>
      </c>
      <c r="L86" s="395">
        <f>IF(SUM($G86:K86)=$B86,0,IF(N87&gt;0%,$B86,0%))</f>
        <v>0</v>
      </c>
      <c r="M86" s="395">
        <f>IF(SUM($G86:L86)=$B86,0,IF(O87&gt;0%,$B86,0%))</f>
        <v>0</v>
      </c>
      <c r="N86" s="395">
        <f>IF(SUM($G86:M86)=$B86,0,IF(P87&gt;0%,$B86,0%))</f>
        <v>0</v>
      </c>
      <c r="O86" s="395">
        <f>IF(SUM($G86:N86)=$B86,0,IF(Q87&gt;0%,$B86,0%))</f>
        <v>0</v>
      </c>
      <c r="P86" s="395">
        <f>IF(SUM($G86:O86)=$B86,0,IF(R87&gt;0%,$B86,0%))</f>
        <v>0</v>
      </c>
      <c r="Q86" s="395">
        <f>IF(SUM($G86:P86)=$B86,0,IF(S87&gt;0%,$B86,0%))</f>
        <v>0</v>
      </c>
      <c r="R86" s="395">
        <f>IF(SUM($G86:Q86)=$B86,0,IF(T87&gt;0%,$B86,0%))</f>
        <v>0</v>
      </c>
      <c r="S86" s="395">
        <f>IF(SUM($G86:R86)=$B86,0,IF(U87&gt;0%,$B86,0%))</f>
        <v>0</v>
      </c>
      <c r="T86" s="395">
        <f>IF(SUM($G86:S86)=$B86,0,IF(V87&gt;0%,$B86,0%))</f>
        <v>0</v>
      </c>
      <c r="U86" s="395">
        <f>IF(SUM($G86:T86)=$B86,0,IF(W87&gt;0%,$B86,0%))</f>
        <v>0</v>
      </c>
      <c r="V86" s="395">
        <f>IF(SUM($G86:U86)=$B86,0,IF(X87&gt;0%,$B86,0%))</f>
        <v>0</v>
      </c>
      <c r="W86" s="395">
        <f>IF(SUM($G86:V86)=$B86,0,IF(Y87&gt;0%,$B86,0%))</f>
        <v>0</v>
      </c>
      <c r="X86" s="395">
        <f>IF(SUM($G86:W86)=$B86,0,IF(Z87&gt;0%,$B86,0%))</f>
        <v>0</v>
      </c>
      <c r="Y86" s="395">
        <f>IF(SUM($G86:X86)=$B86,0,IF(AA87&gt;0%,$B86,0%))</f>
        <v>0</v>
      </c>
      <c r="Z86" s="395">
        <f>IF(SUM($G86:Y86)=$B86,0,IF(AB87&gt;0%,$B86,0%))</f>
        <v>0</v>
      </c>
      <c r="AA86" s="395">
        <f>IF(SUM($G86:Z86)=$B86,0,IF(AC87&gt;0%,$B86,0%))</f>
        <v>0</v>
      </c>
      <c r="AB86" s="395">
        <f>IF(SUM($G86:AA86)=$B86,0,IF(AD87&gt;0%,$B86,0%))</f>
        <v>0</v>
      </c>
      <c r="AC86" s="395">
        <f>IF(SUM($G86:AB86)=$B86,0,IF(AE87&gt;0%,$B86,0%))</f>
        <v>0</v>
      </c>
      <c r="AD86" s="395">
        <f>IF(SUM($G86:AC86)=$B86,0,IF(AF87&gt;0%,$B86,0%))</f>
        <v>0</v>
      </c>
      <c r="AE86" s="395">
        <f>IF(SUM($G86:AD86)=$B86,0,IF(AG87&gt;0%,$B86,0%))</f>
        <v>0</v>
      </c>
      <c r="AF86" s="395">
        <f>IF(SUM($G86:AE86)=$B86,0,IF(AH87&gt;0%,$B86,0%))</f>
        <v>0</v>
      </c>
      <c r="AG86" s="395">
        <f>IF(SUM($G86:AF86)=$B86,0,IF(AI87&gt;0%,$B86,0%))</f>
        <v>0</v>
      </c>
      <c r="AH86" s="395">
        <f>IF(SUM($G86:AG86)=$B86,0,IF(AJ87&gt;0%,$B86,0%))</f>
        <v>0</v>
      </c>
      <c r="AI86" s="395">
        <f>IF(SUM($G86:AH86)=$B86,0,IF(AK87&gt;0%,$B86,0%))</f>
        <v>0</v>
      </c>
      <c r="AJ86" s="395">
        <f>IF(SUM($G86:AI86)=$B86,0,IF(AL87&gt;0%,$B86,0%))</f>
        <v>0</v>
      </c>
      <c r="AK86" s="395">
        <f>IF(SUM($G86:AJ86)=$B86,0,IF(AM87&gt;0%,$B86,0%))</f>
        <v>0</v>
      </c>
      <c r="AL86" s="395">
        <f>IF(SUM($G86:AK86)=$B86,0,IF(AN87&gt;0%,$B86,0%))</f>
        <v>0</v>
      </c>
      <c r="AM86" s="395">
        <f>IF(SUM($G86:AL86)=$B86,0,IF(AO87&gt;0%,$B86,0%))</f>
        <v>0</v>
      </c>
      <c r="AN86" s="395">
        <f>IF(SUM($G86:AM86)=$B86,0,IF(AP87&gt;0%,$B86,0%))</f>
        <v>0</v>
      </c>
      <c r="AO86" s="395">
        <f>IF(SUM($G86:AN86)=$B86,0,IF(AQ87&gt;0%,$B86,0%))</f>
        <v>0</v>
      </c>
      <c r="AP86" s="395">
        <f>IF(SUM($G86:AO86)=$B86,0,IF(AR87&gt;0%,$B86,0%))</f>
        <v>0</v>
      </c>
      <c r="AQ86" s="395">
        <f>IF(SUM($G86:AP86)=$B86,0,IF(AS87&gt;0%,$B86,0%))</f>
        <v>0</v>
      </c>
      <c r="AR86" s="395">
        <f>IF(SUM($G86:AQ86)=$B86,0,IF(AT87&gt;0%,$B86,0%))</f>
        <v>0</v>
      </c>
      <c r="AS86" s="395">
        <f>IF(SUM($G86:AR86)=$B86,0,IF(AU87&gt;0%,$B86,0%))</f>
        <v>0</v>
      </c>
      <c r="AT86" s="395">
        <f>IF(SUM($G86:AS86)=$B86,0,IF(AV87&gt;0%,$B86,0%))</f>
        <v>0</v>
      </c>
      <c r="AU86" s="395">
        <f>IF(SUM($G86:AT86)=$B86,0,IF(AW87&gt;0%,$B86,0%))</f>
        <v>0</v>
      </c>
      <c r="AV86" s="395">
        <f>IF(SUM($G86:AU86)=$B86,0,IF(AX87&gt;0%,$B86,0%))</f>
        <v>0</v>
      </c>
      <c r="AW86" s="395">
        <f>IF(SUM($G86:AV86)=$B86,0,IF(AY87&gt;0%,$B86,0%))</f>
        <v>0</v>
      </c>
      <c r="AX86" s="395">
        <f>IF(SUM($G86:AW86)=$B86,0,IF(AZ87&gt;0%,$B86,0%))</f>
        <v>0</v>
      </c>
      <c r="AY86" s="395">
        <f>IF(SUM($G86:AX86)=$B86,0,IF(BA87&gt;0%,$B86,0%))</f>
        <v>0</v>
      </c>
      <c r="AZ86" s="395">
        <f>IF(SUM($G86:AY86)=$B86,0,IF(BB87&gt;0%,$B86,0%))</f>
        <v>0</v>
      </c>
      <c r="BA86" s="395">
        <f>IF(SUM($G86:AZ86)=$B86,0,IF(BC87&gt;0%,$B86,0%))</f>
        <v>0</v>
      </c>
      <c r="BB86" s="395">
        <f>IF(SUM($G86:BA86)=$B86,0,IF(BD87&gt;0%,$B86,0%))</f>
        <v>0</v>
      </c>
      <c r="BC86" s="395">
        <f>IF(SUM($G86:BB86)=$B86,0,IF(BE87&gt;0%,$B86,0%))</f>
        <v>0</v>
      </c>
      <c r="BD86" s="395">
        <f>IF(SUM($G86:BC86)=$B86,0,IF(BF87&gt;0%,$B86,0%))</f>
        <v>0</v>
      </c>
      <c r="BE86" s="395">
        <f>IF(SUM($G86:BD86)=$B86,0,IF(BG87&gt;0%,$B86,0%))</f>
        <v>0</v>
      </c>
      <c r="BF86" s="395">
        <f>IF(SUM($G86:BE86)=$B86,0,IF(BH87&gt;0%,$B86,0%))</f>
        <v>0</v>
      </c>
      <c r="BG86" s="395">
        <f>IF(SUM($G86:BF86)=$B86,0,IF(BI87&gt;0%,$B86,0%))</f>
        <v>0</v>
      </c>
      <c r="BH86" s="395">
        <f>IF(SUM($G86:BG86)=$B86,0,IF(BJ87&gt;0%,$B86,0%))</f>
        <v>0</v>
      </c>
      <c r="BI86" s="395">
        <f>IF(SUM($G86:BH86)=$B86,0,IF(BK87&gt;0%,$B86,0%))</f>
        <v>0</v>
      </c>
      <c r="BJ86" s="395">
        <f>IF(SUM($G86:BI86)=$B86,0,IF(BL87&gt;0%,$B86,0%))</f>
        <v>0</v>
      </c>
      <c r="BK86" s="395">
        <f>IF(SUM($G86:BJ86)=$B86,0,IF(BM87&gt;0%,$B86,0%))</f>
        <v>0</v>
      </c>
      <c r="BL86" s="395">
        <f>IF(SUM($G86:BK86)=$B86,0,IF(BN87&gt;0%,$B86,0%))</f>
        <v>0</v>
      </c>
      <c r="BM86" s="395">
        <f>IF(SUM($G86:BL86)=$B86,0,IF(BO87&gt;0%,$B86,0%))</f>
        <v>0</v>
      </c>
      <c r="BN86" s="395">
        <f>IF(SUM($G86:BM86)=$B86,0,IF(BP87&gt;0%,$B86,0%))</f>
        <v>0</v>
      </c>
      <c r="BO86" s="395">
        <f>IF(SUM($G86:BN86)=$B86,0,IF(BQ87&gt;0%,$B86,0%))</f>
        <v>0</v>
      </c>
      <c r="BP86" s="395">
        <f>IF(SUM($G86:BO86)=$B86,0,IF(BR87&gt;0%,$B86,0%))</f>
        <v>0</v>
      </c>
      <c r="BQ86" s="395">
        <f>IF(SUM($G86:BP86)=$B86,0,IF(BS87&gt;0%,$B86,0%))</f>
        <v>0</v>
      </c>
      <c r="BR86" s="395">
        <f>IF(SUM($G86:BQ86)=$B86,0,IF(BT87&gt;0%,$B86,0%))</f>
        <v>0</v>
      </c>
      <c r="BS86" s="395">
        <f>IF(SUM($G86:BR86)=$B86,0,IF(BU87&gt;0%,$B86,0%))</f>
        <v>0</v>
      </c>
      <c r="BT86" s="395">
        <f>IF(SUM($G86:BS86)=$B86,0,IF(BV87&gt;0%,$B86,0%))</f>
        <v>0</v>
      </c>
      <c r="BU86" s="395">
        <f>IF(SUM($G86:BT86)=$B86,0,IF(BW87&gt;0%,$B86,0%))</f>
        <v>0</v>
      </c>
      <c r="BV86" s="395">
        <f>IF(SUM($G86:BU86)=$B86,0,IF(BX87&gt;0%,$B86,0%))</f>
        <v>0</v>
      </c>
      <c r="BW86" s="395">
        <f>IF(SUM($G86:BV86)=$B86,0,IF(BY87&gt;0%,$B86,0%))</f>
        <v>0</v>
      </c>
      <c r="BX86" s="395">
        <f>IF(SUM($G86:BW86)=$B86,0,IF(BZ87&gt;0%,$B86,0%))</f>
        <v>0</v>
      </c>
      <c r="BY86" s="395">
        <f>IF(SUM($G86:BX86)=$B86,0,IF(CA87&gt;0%,$B86,0%))</f>
        <v>0</v>
      </c>
      <c r="BZ86" s="395">
        <f>IF(SUM($G86:BY86)=$B86,0,IF(CB87&gt;0%,$B86,0%))</f>
        <v>0</v>
      </c>
      <c r="CA86" s="395">
        <f>IF(SUM($G86:BZ86)=$B86,0,IF(CC87&gt;0%,$B86,0%))</f>
        <v>0</v>
      </c>
      <c r="CB86" s="395">
        <f>IF(SUM($G86:CA86)=$B86,0,IF(CD87&gt;0%,$B86,0%))</f>
        <v>0</v>
      </c>
      <c r="CC86" s="395">
        <f>IF(SUM($G86:CB86)=$B86,0,IF(CE87&gt;0%,$B86,0%))</f>
        <v>0</v>
      </c>
      <c r="CD86" s="395">
        <f>IF(SUM($G86:CC86)=$B86,0,IF(CF87&gt;0%,$B86,0%))</f>
        <v>0</v>
      </c>
      <c r="CE86" s="395">
        <f>IF(SUM($G86:CD86)=$B86,0,IF(CG87&gt;0%,$B86,0%))</f>
        <v>0</v>
      </c>
      <c r="CF86" s="395">
        <f>IF(SUM($G86:CE86)=$B86,0,IF(CH87&gt;0%,$B86,0%))</f>
        <v>0</v>
      </c>
      <c r="CG86" s="395">
        <f>IF(SUM($G86:CF86)=$B86,0,IF(CI87&gt;0%,$B86,0%))</f>
        <v>0</v>
      </c>
      <c r="CH86" s="395">
        <f>IF(SUM($G86:CG86)=$B86,0,IF(CJ87&gt;0%,$B86,0%))</f>
        <v>0</v>
      </c>
      <c r="CI86" s="395">
        <f>IF(SUM($G86:CH86)=$B86,0,IF(CK87&gt;0%,$B86,0%))</f>
        <v>0</v>
      </c>
      <c r="CJ86" s="395">
        <f>IF(SUM($G86:CI86)=$B86,0,IF(CL87&gt;0%,$B86,0%))</f>
        <v>0</v>
      </c>
      <c r="CK86" s="395">
        <f>IF(SUM($G86:CJ86)=$B86,0,IF(CM87&gt;0%,$B86,0%))</f>
        <v>0</v>
      </c>
      <c r="CL86" s="395">
        <f>IF(SUM($G86:CK86)=$B86,0,IF(CN87&gt;0%,$B86,0%))</f>
        <v>0</v>
      </c>
      <c r="CM86" s="395">
        <f>IF(SUM($G86:CL86)=$B86,0,IF(CO87&gt;0%,$B86,0%))</f>
        <v>0</v>
      </c>
      <c r="CN86" s="395">
        <f>IF(SUM($G86:CM86)=$B86,0,IF(CP87&gt;0%,$B86,0%))</f>
        <v>0</v>
      </c>
      <c r="CO86" s="395">
        <f>IF(SUM($G86:CN86)=$B86,0,IF(CQ87&gt;0%,$B86,0%))</f>
        <v>0</v>
      </c>
      <c r="CP86" s="395">
        <f>IF(SUM($G86:CO86)=$B86,0,IF(CR87&gt;0%,$B86,0%))</f>
        <v>0</v>
      </c>
      <c r="CQ86" s="395">
        <f>IF(SUM($G86:CP86)=$B86,0,IF(CS87&gt;0%,$B86,0%))</f>
        <v>0</v>
      </c>
      <c r="CR86" s="395">
        <f>IF(SUM($G86:CQ86)=$B86,0,IF(CT87&gt;0%,$B86,0%))</f>
        <v>0</v>
      </c>
      <c r="CS86" s="395">
        <f>IF(SUM($G86:CR86)=$B86,0,IF(CU87&gt;0%,$B86,0%))</f>
        <v>0</v>
      </c>
      <c r="CT86" s="395">
        <f>IF(SUM($G86:CS86)=$B86,0,IF(CV87&gt;0%,$B86,0%))</f>
        <v>0</v>
      </c>
      <c r="CU86" s="395">
        <f>IF(SUM($G86:CT86)=$B86,0,IF(CW87&gt;0%,$B86,0%))</f>
        <v>0</v>
      </c>
      <c r="CV86" s="395">
        <f>IF(SUM($G86:CU86)=$B86,0,IF(CX87&gt;0%,$B86,0%))</f>
        <v>0</v>
      </c>
      <c r="CW86" s="395">
        <f>IF(SUM($G86:CV86)=$B86,0,IF(CY87&gt;0%,$B86,0%))</f>
        <v>0</v>
      </c>
      <c r="CX86" s="395">
        <f>IF(SUM($G86:CW86)=$B86,0,IF(CZ87&gt;0%,$B86,0%))</f>
        <v>0</v>
      </c>
      <c r="CY86" s="395">
        <f>IF(SUM($G86:CX86)=$B86,0,IF(DA87&gt;0%,$B86,0%))</f>
        <v>0</v>
      </c>
      <c r="CZ86" s="395">
        <f>IF(SUM($G86:CY86)=$B86,0,IF(DB87&gt;0%,$B86,0%))</f>
        <v>0</v>
      </c>
      <c r="DA86" s="395">
        <f>IF(SUM($G86:CZ86)=$B86,0,IF(DC87&gt;0%,$B86,0%))</f>
        <v>0</v>
      </c>
      <c r="DB86" s="395">
        <f>IF(SUM($G86:DA86)=$B86,0,IF(DD87&gt;0%,$B86,0%))</f>
        <v>0</v>
      </c>
      <c r="DC86" s="395">
        <f>IF(SUM($G86:DB86)=$B86,0,IF(DE87&gt;0%,$B86,0%))</f>
        <v>0</v>
      </c>
      <c r="DD86" s="395">
        <f>IF(SUM($G86:DC86)=$B86,0,IF(DF87&gt;0%,$B86,0%))</f>
        <v>0</v>
      </c>
      <c r="DE86" s="395">
        <f>IF(SUM($G86:DD86)=$B86,0,IF(DG87&gt;0%,$B86,0%))</f>
        <v>0</v>
      </c>
      <c r="DF86" s="395">
        <f>IF(SUM($G86:DE86)=$B86,0,IF(DH87&gt;0%,$B86,0%))</f>
        <v>0</v>
      </c>
      <c r="DG86" s="395">
        <f>IF(SUM($G86:DF86)=$B86,0,IF(DI87&gt;0%,$B86,0%))</f>
        <v>0</v>
      </c>
      <c r="DH86" s="395">
        <f>IF(SUM($G86:DG86)=$B86,0,IF(DJ87&gt;0%,$B86,0%))</f>
        <v>0</v>
      </c>
      <c r="DI86" s="395">
        <f>IF(SUM($G86:DH86)=$B86,0,IF(DK87&gt;0%,$B86,0%))</f>
        <v>0</v>
      </c>
      <c r="DJ86" s="395">
        <f>IF(SUM($G86:DI86)=$B86,0,IF(DL87&gt;0%,$B86,0%))</f>
        <v>0</v>
      </c>
      <c r="DK86" s="395">
        <f>IF(SUM($G86:DJ86)=$B86,0,IF(DM87&gt;0%,$B86,0%))</f>
        <v>0</v>
      </c>
      <c r="DL86" s="395">
        <f>IF(SUM($G86:DK86)=$B86,0,IF(DN87&gt;0%,$B86,0%))</f>
        <v>0</v>
      </c>
      <c r="DM86" s="395">
        <f>IF(SUM($G86:DL86)=$B86,0,IF(DO87&gt;0%,$B86,0%))</f>
        <v>0</v>
      </c>
      <c r="DN86" s="395">
        <f>IF(SUM($G86:DM86)=$B86,0,IF(DP87&gt;0%,$B86,0%))</f>
        <v>0</v>
      </c>
      <c r="DO86" s="395">
        <f>IF(SUM($G86:DN86)=$B86,0,IF(DQ87&gt;0%,$B86,0%))</f>
        <v>0</v>
      </c>
      <c r="DP86" s="395">
        <f>IF(SUM($G86:DO86)=$B86,0,IF(DR87&gt;0%,$B86,0%))</f>
        <v>0</v>
      </c>
      <c r="DQ86" s="395">
        <f>IF(SUM($G86:DP86)=$B86,0,IF(DS87&gt;0%,$B86,0%))</f>
        <v>0</v>
      </c>
      <c r="DR86" s="395">
        <f>IF(SUM($G86:DQ86)=$B86,0,IF(DT87&gt;0%,$B86,0%))</f>
        <v>0</v>
      </c>
      <c r="DS86" s="395">
        <f>IF(SUM($G86:DR86)=$B86,0,IF(DU87&gt;0%,$B86,0%))</f>
        <v>0</v>
      </c>
      <c r="DT86" s="395">
        <f>IF(SUM($G86:DS86)=$B86,0,IF(DV87&gt;0%,$B86,0%))</f>
        <v>0</v>
      </c>
      <c r="DU86" s="395">
        <f>IF(SUM($G86:DT86)=$B86,0,IF(DW87&gt;0%,$B86,0%))</f>
        <v>0</v>
      </c>
      <c r="DV86" s="395">
        <f>IF(SUM($G86:DU86)=$B86,0,IF(DX87&gt;0%,$B86,0%))</f>
        <v>0</v>
      </c>
      <c r="DW86" s="395">
        <f>IF(SUM($G86:DV86)=$B86,0,IF(DY87&gt;0%,$B86,0%))</f>
        <v>0</v>
      </c>
      <c r="DX86" s="395">
        <f>IF(SUM($G86:DW86)=$B86,0,IF(DZ87&gt;0%,$B86,0%))</f>
        <v>0</v>
      </c>
      <c r="DY86" s="395">
        <f>IF(SUM($G86:DX86)=$B86,0,IF(EA87&gt;0%,$B86,0%))</f>
        <v>0</v>
      </c>
      <c r="DZ86" s="395">
        <f>IF(SUM($G86:DY86)=$B86,0,IF(EB87&gt;0%,$B86,0%))</f>
        <v>0</v>
      </c>
      <c r="EA86" s="395">
        <f>IF(SUM($G86:DZ86)=$B86,0,IF(EC87&gt;0%,$B86,0%))</f>
        <v>0</v>
      </c>
      <c r="EB86" s="395">
        <f>IF(SUM($G86:EA86)=$B86,0,IF(ED87&gt;0%,$B86,0%))</f>
        <v>0</v>
      </c>
      <c r="EC86" s="395">
        <f>IF(SUM($G86:EB86)=$B86,0,IF(EE87&gt;0%,$B86,0%))</f>
        <v>0</v>
      </c>
      <c r="ED86" s="395">
        <f>IF(SUM($G86:EC86)=$B86,0,IF(EF87&gt;0%,$B86,0%))</f>
        <v>0</v>
      </c>
      <c r="EE86" s="395">
        <f>IF(SUM($G86:ED86)=$B86,0,IF(EG87&gt;0%,$B86,0%))</f>
        <v>0</v>
      </c>
      <c r="EF86" s="395">
        <f>IF(SUM($G86:EE86)=$B86,0,IF(EH87&gt;0%,$B86,0%))</f>
        <v>0</v>
      </c>
      <c r="EG86" s="395">
        <f>IF(SUM($G86:EF86)=$B86,0,IF(EI87&gt;0%,$B86,0%))</f>
        <v>0</v>
      </c>
      <c r="EH86" s="395">
        <f>IF(SUM($G86:EG86)=$B86,0,IF(EJ87&gt;0%,$B86,0%))</f>
        <v>0</v>
      </c>
      <c r="EI86" s="395">
        <f>IF(SUM($G86:EH86)=$B86,0,IF(EK87&gt;0%,$B86,0%))</f>
        <v>0</v>
      </c>
      <c r="EJ86" s="398"/>
      <c r="EK86" s="313"/>
    </row>
    <row r="87" spans="1:141" hidden="1" outlineLevel="2">
      <c r="A87" s="332"/>
      <c r="B87" s="549">
        <f>длительность!C181</f>
        <v>1</v>
      </c>
      <c r="C87" s="317"/>
      <c r="D87" s="317" t="s">
        <v>663</v>
      </c>
      <c r="E87" s="318">
        <f ca="1">ROUND(IF(F87=0,0,B87-F87),3)</f>
        <v>0</v>
      </c>
      <c r="F87" s="397">
        <f t="shared" ca="1" si="283"/>
        <v>1</v>
      </c>
      <c r="G87" s="395"/>
      <c r="H87" s="395"/>
      <c r="I87" s="395">
        <f ca="1">IF($E$254=0,0,IF(SUM($G87:H87)=$B87,0,IF(SUM($G254:H254)&gt;=$E254,($B87/$E254)*($E254-SUM($G254:G254)),($B87/$E254)*H254)))</f>
        <v>0</v>
      </c>
      <c r="J87" s="395">
        <f ca="1">IF($E$254=0,0,IF(SUM($G87:I87)=$B87,0,IF(SUM($G254:I254)&gt;=$E254,($B87/$E254)*($E254-SUM($G254:H254)),($B87/$E254)*I254)))</f>
        <v>0</v>
      </c>
      <c r="K87" s="395">
        <f ca="1">IF($E$254=0,0,IF(SUM($G87:J87)=$B87,0,IF(SUM($G254:J254)&gt;=$E254,($B87/$E254)*($E254-SUM($G254:I254)),($B87/$E254)*J254)))</f>
        <v>0</v>
      </c>
      <c r="L87" s="395">
        <f ca="1">IF($E$254=0,0,IF(SUM($G87:K87)=$B87,0,IF(SUM($G254:K254)&gt;=$E254,($B87/$E254)*($E254-SUM($G254:J254)),($B87/$E254)*K254)))</f>
        <v>0</v>
      </c>
      <c r="M87" s="395">
        <f ca="1">IF($E$254=0,0,IF(SUM($G87:L87)=$B87,0,IF(SUM($G254:L254)&gt;=$E254,($B87/$E254)*($E254-SUM($G254:K254)),($B87/$E254)*L254)))</f>
        <v>0</v>
      </c>
      <c r="N87" s="395">
        <f ca="1">IF($E$254=0,0,IF(SUM($G87:M87)=$B87,0,IF(SUM($G254:M254)&gt;=$E254,($B87/$E254)*($E254-SUM($G254:L254)),($B87/$E254)*M254)))</f>
        <v>0</v>
      </c>
      <c r="O87" s="395">
        <f ca="1">IF($E$254=0,0,IF(SUM($G87:N87)=$B87,0,IF(SUM($G254:N254)&gt;=$E254,($B87/$E254)*($E254-SUM($G254:M254)),($B87/$E254)*N254)))</f>
        <v>0</v>
      </c>
      <c r="P87" s="395">
        <f ca="1">IF($E$254=0,0,IF(SUM($G87:O87)=$B87,0,IF(SUM($G254:O254)&gt;=$E254,($B87/$E254)*($E254-SUM($G254:N254)),($B87/$E254)*O254)))</f>
        <v>0</v>
      </c>
      <c r="Q87" s="395">
        <f ca="1">IF($E$254=0,0,IF(SUM($G87:P87)=$B87,0,IF(SUM($G254:P254)&gt;=$E254,($B87/$E254)*($E254-SUM($G254:O254)),($B87/$E254)*P254)))</f>
        <v>0</v>
      </c>
      <c r="R87" s="395">
        <f ca="1">IF($E$254=0,0,IF(SUM($G87:Q87)=$B87,0,IF(SUM($G254:Q254)&gt;=$E254,($B87/$E254)*($E254-SUM($G254:P254)),($B87/$E254)*Q254)))</f>
        <v>0</v>
      </c>
      <c r="S87" s="395">
        <f ca="1">IF($E$254=0,0,IF(SUM($G87:R87)=$B87,0,IF(SUM($G254:R254)&gt;=$E254,($B87/$E254)*($E254-SUM($G254:Q254)),($B87/$E254)*R254)))</f>
        <v>0</v>
      </c>
      <c r="T87" s="395">
        <f ca="1">IF($E$254=0,0,IF(SUM($G87:S87)=$B87,0,IF(SUM($G254:S254)&gt;=$E254,($B87/$E254)*($E254-SUM($G254:R254)),($B87/$E254)*S254)))</f>
        <v>0</v>
      </c>
      <c r="U87" s="395">
        <f ca="1">IF($E$254=0,0,IF(SUM($G87:T87)=$B87,0,IF(SUM($G254:T254)&gt;=$E254,($B87/$E254)*($E254-SUM($G254:S254)),($B87/$E254)*T254)))</f>
        <v>0</v>
      </c>
      <c r="V87" s="395">
        <f ca="1">IF($E$254=0,0,IF(SUM($G87:U87)=$B87,0,IF(SUM($G254:U254)&gt;=$E254,($B87/$E254)*($E254-SUM($G254:T254)),($B87/$E254)*U254)))</f>
        <v>0.12727272727272726</v>
      </c>
      <c r="W87" s="395">
        <f ca="1">IF($E$254=0,0,IF(SUM($G87:V87)=$B87,0,IF(SUM($G254:V254)&gt;=$E254,($B87/$E254)*($E254-SUM($G254:U254)),($B87/$E254)*V254)))</f>
        <v>0.27272727272727271</v>
      </c>
      <c r="X87" s="395">
        <f ca="1">IF($E$254=0,0,IF(SUM($G87:W87)=$B87,0,IF(SUM($G254:W254)&gt;=$E254,($B87/$E254)*($E254-SUM($G254:V254)),($B87/$E254)*W254)))</f>
        <v>0.2818181818181818</v>
      </c>
      <c r="Y87" s="395">
        <f ca="1">IF($E$254=0,0,IF(SUM($G87:X87)=$B87,0,IF(SUM($G254:X254)&gt;=$E254,($B87/$E254)*($E254-SUM($G254:W254)),($B87/$E254)*X254)))</f>
        <v>0.2818181818181818</v>
      </c>
      <c r="Z87" s="395">
        <f ca="1">IF($E$254=0,0,IF(SUM($G87:Y87)=$B87,0,IF(SUM($G254:Y254)&gt;=$E254,($B87/$E254)*($E254-SUM($G254:X254)),($B87/$E254)*Y254)))</f>
        <v>3.6363636363636362E-2</v>
      </c>
      <c r="AA87" s="395">
        <f ca="1">IF($E$254=0,0,IF(SUM($G87:Z87)=$B87,0,IF(SUM($G254:Z254)&gt;=$E254,($B87/$E254)*($E254-SUM($G254:Y254)),($B87/$E254)*Z254)))</f>
        <v>0</v>
      </c>
      <c r="AB87" s="395">
        <f ca="1">IF($E$254=0,0,IF(SUM($G87:AA87)=$B87,0,IF(SUM($G254:AA254)&gt;=$E254,($B87/$E254)*($E254-SUM($G254:Z254)),($B87/$E254)*AA254)))</f>
        <v>0</v>
      </c>
      <c r="AC87" s="395">
        <f ca="1">IF($E$254=0,0,IF(SUM($G87:AB87)=$B87,0,IF(SUM($G254:AB254)&gt;=$E254,($B87/$E254)*($E254-SUM($G254:AA254)),($B87/$E254)*AB254)))</f>
        <v>0</v>
      </c>
      <c r="AD87" s="395">
        <f ca="1">IF($E$254=0,0,IF(SUM($G87:AC87)=$B87,0,IF(SUM($G254:AC254)&gt;=$E254,($B87/$E254)*($E254-SUM($G254:AB254)),($B87/$E254)*AC254)))</f>
        <v>0</v>
      </c>
      <c r="AE87" s="395">
        <f ca="1">IF($E$254=0,0,IF(SUM($G87:AD87)=$B87,0,IF(SUM($G254:AD254)&gt;=$E254,($B87/$E254)*($E254-SUM($G254:AC254)),($B87/$E254)*AD254)))</f>
        <v>0</v>
      </c>
      <c r="AF87" s="395">
        <f ca="1">IF($E$254=0,0,IF(SUM($G87:AE87)=$B87,0,IF(SUM($G254:AE254)&gt;=$E254,($B87/$E254)*($E254-SUM($G254:AD254)),($B87/$E254)*AE254)))</f>
        <v>0</v>
      </c>
      <c r="AG87" s="395">
        <f ca="1">IF($E$254=0,0,IF(SUM($G87:AF87)=$B87,0,IF(SUM($G254:AF254)&gt;=$E254,($B87/$E254)*($E254-SUM($G254:AE254)),($B87/$E254)*AF254)))</f>
        <v>0</v>
      </c>
      <c r="AH87" s="395">
        <f ca="1">IF($E$254=0,0,IF(SUM($G87:AG87)=$B87,0,IF(SUM($G254:AG254)&gt;=$E254,($B87/$E254)*($E254-SUM($G254:AF254)),($B87/$E254)*AG254)))</f>
        <v>0</v>
      </c>
      <c r="AI87" s="395">
        <f ca="1">IF($E$254=0,0,IF(SUM($G87:AH87)=$B87,0,IF(SUM($G254:AH254)&gt;=$E254,($B87/$E254)*($E254-SUM($G254:AG254)),($B87/$E254)*AH254)))</f>
        <v>0</v>
      </c>
      <c r="AJ87" s="395">
        <f ca="1">IF($E$254=0,0,IF(SUM($G87:AI87)=$B87,0,IF(SUM($G254:AI254)&gt;=$E254,($B87/$E254)*($E254-SUM($G254:AH254)),($B87/$E254)*AI254)))</f>
        <v>0</v>
      </c>
      <c r="AK87" s="395">
        <f ca="1">IF($E$254=0,0,IF(SUM($G87:AJ87)=$B87,0,IF(SUM($G254:AJ254)&gt;=$E254,($B87/$E254)*($E254-SUM($G254:AI254)),($B87/$E254)*AJ254)))</f>
        <v>0</v>
      </c>
      <c r="AL87" s="395">
        <f ca="1">IF($E$254=0,0,IF(SUM($G87:AK87)=$B87,0,IF(SUM($G254:AK254)&gt;=$E254,($B87/$E254)*($E254-SUM($G254:AJ254)),($B87/$E254)*AK254)))</f>
        <v>0</v>
      </c>
      <c r="AM87" s="395">
        <f ca="1">IF($E$254=0,0,IF(SUM($G87:AL87)=$B87,0,IF(SUM($G254:AL254)&gt;=$E254,($B87/$E254)*($E254-SUM($G254:AK254)),($B87/$E254)*AL254)))</f>
        <v>0</v>
      </c>
      <c r="AN87" s="395">
        <f ca="1">IF($E$254=0,0,IF(SUM($G87:AM87)=$B87,0,IF(SUM($G254:AM254)&gt;=$E254,($B87/$E254)*($E254-SUM($G254:AL254)),($B87/$E254)*AM254)))</f>
        <v>0</v>
      </c>
      <c r="AO87" s="395">
        <f ca="1">IF($E$254=0,0,IF(SUM($G87:AN87)=$B87,0,IF(SUM($G254:AN254)&gt;=$E254,($B87/$E254)*($E254-SUM($G254:AM254)),($B87/$E254)*AN254)))</f>
        <v>0</v>
      </c>
      <c r="AP87" s="395">
        <f ca="1">IF($E$254=0,0,IF(SUM($G87:AO87)=$B87,0,IF(SUM($G254:AO254)&gt;=$E254,($B87/$E254)*($E254-SUM($G254:AN254)),($B87/$E254)*AO254)))</f>
        <v>0</v>
      </c>
      <c r="AQ87" s="395">
        <f ca="1">IF($E$254=0,0,IF(SUM($G87:AP87)=$B87,0,IF(SUM($G254:AP254)&gt;=$E254,($B87/$E254)*($E254-SUM($G254:AO254)),($B87/$E254)*AP254)))</f>
        <v>0</v>
      </c>
      <c r="AR87" s="395">
        <f ca="1">IF($E$254=0,0,IF(SUM($G87:AQ87)=$B87,0,IF(SUM($G254:AQ254)&gt;=$E254,($B87/$E254)*($E254-SUM($G254:AP254)),($B87/$E254)*AQ254)))</f>
        <v>0</v>
      </c>
      <c r="AS87" s="395">
        <f ca="1">IF($E$254=0,0,IF(SUM($G87:AR87)=$B87,0,IF(SUM($G254:AR254)&gt;=$E254,($B87/$E254)*($E254-SUM($G254:AQ254)),($B87/$E254)*AR254)))</f>
        <v>0</v>
      </c>
      <c r="AT87" s="395">
        <f ca="1">IF($E$254=0,0,IF(SUM($G87:AS87)=$B87,0,IF(SUM($G254:AS254)&gt;=$E254,($B87/$E254)*($E254-SUM($G254:AR254)),($B87/$E254)*AS254)))</f>
        <v>0</v>
      </c>
      <c r="AU87" s="395">
        <f ca="1">IF($E$254=0,0,IF(SUM($G87:AT87)=$B87,0,IF(SUM($G254:AT254)&gt;=$E254,($B87/$E254)*($E254-SUM($G254:AS254)),($B87/$E254)*AT254)))</f>
        <v>0</v>
      </c>
      <c r="AV87" s="395">
        <f ca="1">IF($E$254=0,0,IF(SUM($G87:AU87)=$B87,0,IF(SUM($G254:AU254)&gt;=$E254,($B87/$E254)*($E254-SUM($G254:AT254)),($B87/$E254)*AU254)))</f>
        <v>0</v>
      </c>
      <c r="AW87" s="395">
        <f ca="1">IF($E$254=0,0,IF(SUM($G87:AV87)=$B87,0,IF(SUM($G254:AV254)&gt;=$E254,($B87/$E254)*($E254-SUM($G254:AU254)),($B87/$E254)*AV254)))</f>
        <v>0</v>
      </c>
      <c r="AX87" s="395">
        <f ca="1">IF($E$254=0,0,IF(SUM($G87:AW87)=$B87,0,IF(SUM($G254:AW254)&gt;=$E254,($B87/$E254)*($E254-SUM($G254:AV254)),($B87/$E254)*AW254)))</f>
        <v>0</v>
      </c>
      <c r="AY87" s="395">
        <f ca="1">IF($E$254=0,0,IF(SUM($G87:AX87)=$B87,0,IF(SUM($G254:AX254)&gt;=$E254,($B87/$E254)*($E254-SUM($G254:AW254)),($B87/$E254)*AX254)))</f>
        <v>0</v>
      </c>
      <c r="AZ87" s="395">
        <f ca="1">IF($E$254=0,0,IF(SUM($G87:AY87)=$B87,0,IF(SUM($G254:AY254)&gt;=$E254,($B87/$E254)*($E254-SUM($G254:AX254)),($B87/$E254)*AY254)))</f>
        <v>0</v>
      </c>
      <c r="BA87" s="395">
        <f ca="1">IF($E$254=0,0,IF(SUM($G87:AZ87)=$B87,0,IF(SUM($G254:AZ254)&gt;=$E254,($B87/$E254)*($E254-SUM($G254:AY254)),($B87/$E254)*AZ254)))</f>
        <v>0</v>
      </c>
      <c r="BB87" s="395">
        <f ca="1">IF($E$254=0,0,IF(SUM($G87:BA87)=$B87,0,IF(SUM($G254:BA254)&gt;=$E254,($B87/$E254)*($E254-SUM($G254:AZ254)),($B87/$E254)*BA254)))</f>
        <v>0</v>
      </c>
      <c r="BC87" s="395">
        <f ca="1">IF($E$254=0,0,IF(SUM($G87:BB87)=$B87,0,IF(SUM($G254:BB254)&gt;=$E254,($B87/$E254)*($E254-SUM($G254:BA254)),($B87/$E254)*BB254)))</f>
        <v>0</v>
      </c>
      <c r="BD87" s="395">
        <f ca="1">IF($E$254=0,0,IF(SUM($G87:BC87)=$B87,0,IF(SUM($G254:BC254)&gt;=$E254,($B87/$E254)*($E254-SUM($G254:BB254)),($B87/$E254)*BC254)))</f>
        <v>0</v>
      </c>
      <c r="BE87" s="395">
        <f ca="1">IF($E$254=0,0,IF(SUM($G87:BD87)=$B87,0,IF(SUM($G254:BD254)&gt;=$E254,($B87/$E254)*($E254-SUM($G254:BC254)),($B87/$E254)*BD254)))</f>
        <v>0</v>
      </c>
      <c r="BF87" s="395">
        <f ca="1">IF($E$254=0,0,IF(SUM($G87:BE87)=$B87,0,IF(SUM($G254:BE254)&gt;=$E254,($B87/$E254)*($E254-SUM($G254:BD254)),($B87/$E254)*BE254)))</f>
        <v>0</v>
      </c>
      <c r="BG87" s="395">
        <f ca="1">IF($E$254=0,0,IF(SUM($G87:BF87)=$B87,0,IF(SUM($G254:BF254)&gt;=$E254,($B87/$E254)*($E254-SUM($G254:BE254)),($B87/$E254)*BF254)))</f>
        <v>0</v>
      </c>
      <c r="BH87" s="395">
        <f ca="1">IF($E$254=0,0,IF(SUM($G87:BG87)=$B87,0,IF(SUM($G254:BG254)&gt;=$E254,($B87/$E254)*($E254-SUM($G254:BF254)),($B87/$E254)*BG254)))</f>
        <v>0</v>
      </c>
      <c r="BI87" s="395">
        <f ca="1">IF($E$254=0,0,IF(SUM($G87:BH87)=$B87,0,IF(SUM($G254:BH254)&gt;=$E254,($B87/$E254)*($E254-SUM($G254:BG254)),($B87/$E254)*BH254)))</f>
        <v>0</v>
      </c>
      <c r="BJ87" s="395">
        <f ca="1">IF($E$254=0,0,IF(SUM($G87:BI87)=$B87,0,IF(SUM($G254:BI254)&gt;=$E254,($B87/$E254)*($E254-SUM($G254:BH254)),($B87/$E254)*BI254)))</f>
        <v>0</v>
      </c>
      <c r="BK87" s="395">
        <f ca="1">IF($E$254=0,0,IF(SUM($G87:BJ87)=$B87,0,IF(SUM($G254:BJ254)&gt;=$E254,($B87/$E254)*($E254-SUM($G254:BI254)),($B87/$E254)*BJ254)))</f>
        <v>0</v>
      </c>
      <c r="BL87" s="395">
        <f ca="1">IF($E$254=0,0,IF(SUM($G87:BK87)=$B87,0,IF(SUM($G254:BK254)&gt;=$E254,($B87/$E254)*($E254-SUM($G254:BJ254)),($B87/$E254)*BK254)))</f>
        <v>0</v>
      </c>
      <c r="BM87" s="395">
        <f ca="1">IF($E$254=0,0,IF(SUM($G87:BL87)=$B87,0,IF(SUM($G254:BL254)&gt;=$E254,($B87/$E254)*($E254-SUM($G254:BK254)),($B87/$E254)*BL254)))</f>
        <v>0</v>
      </c>
      <c r="BN87" s="395">
        <f ca="1">IF($E$254=0,0,IF(SUM($G87:BM87)=$B87,0,IF(SUM($G254:BM254)&gt;=$E254,($B87/$E254)*($E254-SUM($G254:BL254)),($B87/$E254)*BM254)))</f>
        <v>0</v>
      </c>
      <c r="BO87" s="395">
        <f ca="1">IF($E$254=0,0,IF(SUM($G87:BN87)=$B87,0,IF(SUM($G254:BN254)&gt;=$E254,($B87/$E254)*($E254-SUM($G254:BM254)),($B87/$E254)*BN254)))</f>
        <v>0</v>
      </c>
      <c r="BP87" s="395">
        <f ca="1">IF($E$254=0,0,IF(SUM($G87:BO87)=$B87,0,IF(SUM($G254:BO254)&gt;=$E254,($B87/$E254)*($E254-SUM($G254:BN254)),($B87/$E254)*BO254)))</f>
        <v>0</v>
      </c>
      <c r="BQ87" s="395">
        <f ca="1">IF($E$254=0,0,IF(SUM($G87:BP87)=$B87,0,IF(SUM($G254:BP254)&gt;=$E254,($B87/$E254)*($E254-SUM($G254:BO254)),($B87/$E254)*BP254)))</f>
        <v>0</v>
      </c>
      <c r="BR87" s="395">
        <f ca="1">IF($E$254=0,0,IF(SUM($G87:BQ87)=$B87,0,IF(SUM($G254:BQ254)&gt;=$E254,($B87/$E254)*($E254-SUM($G254:BP254)),($B87/$E254)*BQ254)))</f>
        <v>0</v>
      </c>
      <c r="BS87" s="395">
        <f ca="1">IF($E$254=0,0,IF(SUM($G87:BR87)=$B87,0,IF(SUM($G254:BR254)&gt;=$E254,($B87/$E254)*($E254-SUM($G254:BQ254)),($B87/$E254)*BR254)))</f>
        <v>0</v>
      </c>
      <c r="BT87" s="395">
        <f ca="1">IF($E$254=0,0,IF(SUM($G87:BS87)=$B87,0,IF(SUM($G254:BS254)&gt;=$E254,($B87/$E254)*($E254-SUM($G254:BR254)),($B87/$E254)*BS254)))</f>
        <v>0</v>
      </c>
      <c r="BU87" s="395">
        <f ca="1">IF($E$254=0,0,IF(SUM($G87:BT87)=$B87,0,IF(SUM($G254:BT254)&gt;=$E254,($B87/$E254)*($E254-SUM($G254:BS254)),($B87/$E254)*BT254)))</f>
        <v>0</v>
      </c>
      <c r="BV87" s="395">
        <f ca="1">IF($E$254=0,0,IF(SUM($G87:BU87)=$B87,0,IF(SUM($G254:BU254)&gt;=$E254,($B87/$E254)*($E254-SUM($G254:BT254)),($B87/$E254)*BU254)))</f>
        <v>0</v>
      </c>
      <c r="BW87" s="395">
        <f ca="1">IF($E$254=0,0,IF(SUM($G87:BV87)=$B87,0,IF(SUM($G254:BV254)&gt;=$E254,($B87/$E254)*($E254-SUM($G254:BU254)),($B87/$E254)*BV254)))</f>
        <v>0</v>
      </c>
      <c r="BX87" s="395">
        <f ca="1">IF($E$254=0,0,IF(SUM($G87:BW87)=$B87,0,IF(SUM($G254:BW254)&gt;=$E254,($B87/$E254)*($E254-SUM($G254:BV254)),($B87/$E254)*BW254)))</f>
        <v>0</v>
      </c>
      <c r="BY87" s="395">
        <f ca="1">IF($E$254=0,0,IF(SUM($G87:BX87)=$B87,0,IF(SUM($G254:BX254)&gt;=$E254,($B87/$E254)*($E254-SUM($G254:BW254)),($B87/$E254)*BX254)))</f>
        <v>0</v>
      </c>
      <c r="BZ87" s="395">
        <f ca="1">IF($E$254=0,0,IF(SUM($G87:BY87)=$B87,0,IF(SUM($G254:BY254)&gt;=$E254,($B87/$E254)*($E254-SUM($G254:BX254)),($B87/$E254)*BY254)))</f>
        <v>0</v>
      </c>
      <c r="CA87" s="395">
        <f ca="1">IF($E$254=0,0,IF(SUM($G87:BZ87)=$B87,0,IF(SUM($G254:BZ254)&gt;=$E254,($B87/$E254)*($E254-SUM($G254:BY254)),($B87/$E254)*BZ254)))</f>
        <v>0</v>
      </c>
      <c r="CB87" s="395">
        <f ca="1">IF($E$254=0,0,IF(SUM($G87:CA87)=$B87,0,IF(SUM($G254:CA254)&gt;=$E254,($B87/$E254)*($E254-SUM($G254:BZ254)),($B87/$E254)*CA254)))</f>
        <v>0</v>
      </c>
      <c r="CC87" s="395">
        <f ca="1">IF($E$254=0,0,IF(SUM($G87:CB87)=$B87,0,IF(SUM($G254:CB254)&gt;=$E254,($B87/$E254)*($E254-SUM($G254:CA254)),($B87/$E254)*CB254)))</f>
        <v>0</v>
      </c>
      <c r="CD87" s="395">
        <f ca="1">IF($E$254=0,0,IF(SUM($G87:CC87)=$B87,0,IF(SUM($G254:CC254)&gt;=$E254,($B87/$E254)*($E254-SUM($G254:CB254)),($B87/$E254)*CC254)))</f>
        <v>0</v>
      </c>
      <c r="CE87" s="395">
        <f ca="1">IF($E$254=0,0,IF(SUM($G87:CD87)=$B87,0,IF(SUM($G254:CD254)&gt;=$E254,($B87/$E254)*($E254-SUM($G254:CC254)),($B87/$E254)*CD254)))</f>
        <v>0</v>
      </c>
      <c r="CF87" s="395">
        <f ca="1">IF($E$254=0,0,IF(SUM($G87:CE87)=$B87,0,IF(SUM($G254:CE254)&gt;=$E254,($B87/$E254)*($E254-SUM($G254:CD254)),($B87/$E254)*CE254)))</f>
        <v>0</v>
      </c>
      <c r="CG87" s="395">
        <f ca="1">IF($E$254=0,0,IF(SUM($G87:CF87)=$B87,0,IF(SUM($G254:CF254)&gt;=$E254,($B87/$E254)*($E254-SUM($G254:CE254)),($B87/$E254)*CF254)))</f>
        <v>0</v>
      </c>
      <c r="CH87" s="395">
        <f ca="1">IF($E$254=0,0,IF(SUM($G87:CG87)=$B87,0,IF(SUM($G254:CG254)&gt;=$E254,($B87/$E254)*($E254-SUM($G254:CF254)),($B87/$E254)*CG254)))</f>
        <v>0</v>
      </c>
      <c r="CI87" s="395">
        <f ca="1">IF($E$254=0,0,IF(SUM($G87:CH87)=$B87,0,IF(SUM($G254:CH254)&gt;=$E254,($B87/$E254)*($E254-SUM($G254:CG254)),($B87/$E254)*CH254)))</f>
        <v>0</v>
      </c>
      <c r="CJ87" s="395">
        <f ca="1">IF($E$254=0,0,IF(SUM($G87:CI87)=$B87,0,IF(SUM($G254:CI254)&gt;=$E254,($B87/$E254)*($E254-SUM($G254:CH254)),($B87/$E254)*CI254)))</f>
        <v>0</v>
      </c>
      <c r="CK87" s="395">
        <f ca="1">IF($E$254=0,0,IF(SUM($G87:CJ87)=$B87,0,IF(SUM($G254:CJ254)&gt;=$E254,($B87/$E254)*($E254-SUM($G254:CI254)),($B87/$E254)*CJ254)))</f>
        <v>0</v>
      </c>
      <c r="CL87" s="395">
        <f ca="1">IF($E$254=0,0,IF(SUM($G87:CK87)=$B87,0,IF(SUM($G254:CK254)&gt;=$E254,($B87/$E254)*($E254-SUM($G254:CJ254)),($B87/$E254)*CK254)))</f>
        <v>0</v>
      </c>
      <c r="CM87" s="395">
        <f ca="1">IF($E$254=0,0,IF(SUM($G87:CL87)=$B87,0,IF(SUM($G254:CL254)&gt;=$E254,($B87/$E254)*($E254-SUM($G254:CK254)),($B87/$E254)*CL254)))</f>
        <v>0</v>
      </c>
      <c r="CN87" s="395">
        <f ca="1">IF($E$254=0,0,IF(SUM($G87:CM87)=$B87,0,IF(SUM($G254:CM254)&gt;=$E254,($B87/$E254)*($E254-SUM($G254:CL254)),($B87/$E254)*CM254)))</f>
        <v>0</v>
      </c>
      <c r="CO87" s="395">
        <f ca="1">IF($E$254=0,0,IF(SUM($G87:CN87)=$B87,0,IF(SUM($G254:CN254)&gt;=$E254,($B87/$E254)*($E254-SUM($G254:CM254)),($B87/$E254)*CN254)))</f>
        <v>0</v>
      </c>
      <c r="CP87" s="395">
        <f ca="1">IF($E$254=0,0,IF(SUM($G87:CO87)=$B87,0,IF(SUM($G254:CO254)&gt;=$E254,($B87/$E254)*($E254-SUM($G254:CN254)),($B87/$E254)*CO254)))</f>
        <v>0</v>
      </c>
      <c r="CQ87" s="395">
        <f ca="1">IF($E$254=0,0,IF(SUM($G87:CP87)=$B87,0,IF(SUM($G254:CP254)&gt;=$E254,($B87/$E254)*($E254-SUM($G254:CO254)),($B87/$E254)*CP254)))</f>
        <v>0</v>
      </c>
      <c r="CR87" s="395">
        <f ca="1">IF($E$254=0,0,IF(SUM($G87:CQ87)=$B87,0,IF(SUM($G254:CQ254)&gt;=$E254,($B87/$E254)*($E254-SUM($G254:CP254)),($B87/$E254)*CQ254)))</f>
        <v>0</v>
      </c>
      <c r="CS87" s="395">
        <f ca="1">IF($E$254=0,0,IF(SUM($G87:CR87)=$B87,0,IF(SUM($G254:CR254)&gt;=$E254,($B87/$E254)*($E254-SUM($G254:CQ254)),($B87/$E254)*CR254)))</f>
        <v>0</v>
      </c>
      <c r="CT87" s="395">
        <f ca="1">IF($E$254=0,0,IF(SUM($G87:CS87)=$B87,0,IF(SUM($G254:CS254)&gt;=$E254,($B87/$E254)*($E254-SUM($G254:CR254)),($B87/$E254)*CS254)))</f>
        <v>0</v>
      </c>
      <c r="CU87" s="395">
        <f ca="1">IF($E$254=0,0,IF(SUM($G87:CT87)=$B87,0,IF(SUM($G254:CT254)&gt;=$E254,($B87/$E254)*($E254-SUM($G254:CS254)),($B87/$E254)*CT254)))</f>
        <v>0</v>
      </c>
      <c r="CV87" s="395">
        <f ca="1">IF($E$254=0,0,IF(SUM($G87:CU87)=$B87,0,IF(SUM($G254:CU254)&gt;=$E254,($B87/$E254)*($E254-SUM($G254:CT254)),($B87/$E254)*CU254)))</f>
        <v>0</v>
      </c>
      <c r="CW87" s="395">
        <f ca="1">IF($E$254=0,0,IF(SUM($G87:CV87)=$B87,0,IF(SUM($G254:CV254)&gt;=$E254,($B87/$E254)*($E254-SUM($G254:CU254)),($B87/$E254)*CV254)))</f>
        <v>0</v>
      </c>
      <c r="CX87" s="395">
        <f ca="1">IF($E$254=0,0,IF(SUM($G87:CW87)=$B87,0,IF(SUM($G254:CW254)&gt;=$E254,($B87/$E254)*($E254-SUM($G254:CV254)),($B87/$E254)*CW254)))</f>
        <v>0</v>
      </c>
      <c r="CY87" s="395">
        <f ca="1">IF($E$254=0,0,IF(SUM($G87:CX87)=$B87,0,IF(SUM($G254:CX254)&gt;=$E254,($B87/$E254)*($E254-SUM($G254:CW254)),($B87/$E254)*CX254)))</f>
        <v>0</v>
      </c>
      <c r="CZ87" s="395">
        <f ca="1">IF($E$254=0,0,IF(SUM($G87:CY87)=$B87,0,IF(SUM($G254:CY254)&gt;=$E254,($B87/$E254)*($E254-SUM($G254:CX254)),($B87/$E254)*CY254)))</f>
        <v>0</v>
      </c>
      <c r="DA87" s="395">
        <f ca="1">IF($E$254=0,0,IF(SUM($G87:CZ87)=$B87,0,IF(SUM($G254:CZ254)&gt;=$E254,($B87/$E254)*($E254-SUM($G254:CY254)),($B87/$E254)*CZ254)))</f>
        <v>0</v>
      </c>
      <c r="DB87" s="395">
        <f ca="1">IF($E$254=0,0,IF(SUM($G87:DA87)=$B87,0,IF(SUM($G254:DA254)&gt;=$E254,($B87/$E254)*($E254-SUM($G254:CZ254)),($B87/$E254)*DA254)))</f>
        <v>0</v>
      </c>
      <c r="DC87" s="395">
        <f ca="1">IF($E$254=0,0,IF(SUM($G87:DB87)=$B87,0,IF(SUM($G254:DB254)&gt;=$E254,($B87/$E254)*($E254-SUM($G254:DA254)),($B87/$E254)*DB254)))</f>
        <v>0</v>
      </c>
      <c r="DD87" s="395">
        <f ca="1">IF($E$254=0,0,IF(SUM($G87:DC87)=$B87,0,IF(SUM($G254:DC254)&gt;=$E254,($B87/$E254)*($E254-SUM($G254:DB254)),($B87/$E254)*DC254)))</f>
        <v>0</v>
      </c>
      <c r="DE87" s="395">
        <f ca="1">IF($E$254=0,0,IF(SUM($G87:DD87)=$B87,0,IF(SUM($G254:DD254)&gt;=$E254,($B87/$E254)*($E254-SUM($G254:DC254)),($B87/$E254)*DD254)))</f>
        <v>0</v>
      </c>
      <c r="DF87" s="395">
        <f ca="1">IF($E$254=0,0,IF(SUM($G87:DE87)=$B87,0,IF(SUM($G254:DE254)&gt;=$E254,($B87/$E254)*($E254-SUM($G254:DD254)),($B87/$E254)*DE254)))</f>
        <v>0</v>
      </c>
      <c r="DG87" s="395">
        <f ca="1">IF($E$254=0,0,IF(SUM($G87:DF87)=$B87,0,IF(SUM($G254:DF254)&gt;=$E254,($B87/$E254)*($E254-SUM($G254:DE254)),($B87/$E254)*DF254)))</f>
        <v>0</v>
      </c>
      <c r="DH87" s="395">
        <f ca="1">IF($E$254=0,0,IF(SUM($G87:DG87)=$B87,0,IF(SUM($G254:DG254)&gt;=$E254,($B87/$E254)*($E254-SUM($G254:DF254)),($B87/$E254)*DG254)))</f>
        <v>0</v>
      </c>
      <c r="DI87" s="395">
        <f ca="1">IF($E$254=0,0,IF(SUM($G87:DH87)=$B87,0,IF(SUM($G254:DH254)&gt;=$E254,($B87/$E254)*($E254-SUM($G254:DG254)),($B87/$E254)*DH254)))</f>
        <v>0</v>
      </c>
      <c r="DJ87" s="395">
        <f ca="1">IF($E$254=0,0,IF(SUM($G87:DI87)=$B87,0,IF(SUM($G254:DI254)&gt;=$E254,($B87/$E254)*($E254-SUM($G254:DH254)),($B87/$E254)*DI254)))</f>
        <v>0</v>
      </c>
      <c r="DK87" s="395">
        <f ca="1">IF($E$254=0,0,IF(SUM($G87:DJ87)=$B87,0,IF(SUM($G254:DJ254)&gt;=$E254,($B87/$E254)*($E254-SUM($G254:DI254)),($B87/$E254)*DJ254)))</f>
        <v>0</v>
      </c>
      <c r="DL87" s="395">
        <f ca="1">IF($E$254=0,0,IF(SUM($G87:DK87)=$B87,0,IF(SUM($G254:DK254)&gt;=$E254,($B87/$E254)*($E254-SUM($G254:DJ254)),($B87/$E254)*DK254)))</f>
        <v>0</v>
      </c>
      <c r="DM87" s="395">
        <f ca="1">IF($E$254=0,0,IF(SUM($G87:DL87)=$B87,0,IF(SUM($G254:DL254)&gt;=$E254,($B87/$E254)*($E254-SUM($G254:DK254)),($B87/$E254)*DL254)))</f>
        <v>0</v>
      </c>
      <c r="DN87" s="395">
        <f ca="1">IF($E$254=0,0,IF(SUM($G87:DM87)=$B87,0,IF(SUM($G254:DM254)&gt;=$E254,($B87/$E254)*($E254-SUM($G254:DL254)),($B87/$E254)*DM254)))</f>
        <v>0</v>
      </c>
      <c r="DO87" s="395">
        <f ca="1">IF($E$254=0,0,IF(SUM($G87:DN87)=$B87,0,IF(SUM($G254:DN254)&gt;=$E254,($B87/$E254)*($E254-SUM($G254:DM254)),($B87/$E254)*DN254)))</f>
        <v>0</v>
      </c>
      <c r="DP87" s="395">
        <f ca="1">IF($E$254=0,0,IF(SUM($G87:DO87)=$B87,0,IF(SUM($G254:DO254)&gt;=$E254,($B87/$E254)*($E254-SUM($G254:DN254)),($B87/$E254)*DO254)))</f>
        <v>0</v>
      </c>
      <c r="DQ87" s="395">
        <f ca="1">IF($E$254=0,0,IF(SUM($G87:DP87)=$B87,0,IF(SUM($G254:DP254)&gt;=$E254,($B87/$E254)*($E254-SUM($G254:DO254)),($B87/$E254)*DP254)))</f>
        <v>0</v>
      </c>
      <c r="DR87" s="395">
        <f ca="1">IF($E$254=0,0,IF(SUM($G87:DQ87)=$B87,0,IF(SUM($G254:DQ254)&gt;=$E254,($B87/$E254)*($E254-SUM($G254:DP254)),($B87/$E254)*DQ254)))</f>
        <v>0</v>
      </c>
      <c r="DS87" s="395">
        <f ca="1">IF($E$254=0,0,IF(SUM($G87:DR87)=$B87,0,IF(SUM($G254:DR254)&gt;=$E254,($B87/$E254)*($E254-SUM($G254:DQ254)),($B87/$E254)*DR254)))</f>
        <v>0</v>
      </c>
      <c r="DT87" s="395">
        <f ca="1">IF($E$254=0,0,IF(SUM($G87:DS87)=$B87,0,IF(SUM($G254:DS254)&gt;=$E254,($B87/$E254)*($E254-SUM($G254:DR254)),($B87/$E254)*DS254)))</f>
        <v>0</v>
      </c>
      <c r="DU87" s="395">
        <f ca="1">IF($E$254=0,0,IF(SUM($G87:DT87)=$B87,0,IF(SUM($G254:DT254)&gt;=$E254,($B87/$E254)*($E254-SUM($G254:DS254)),($B87/$E254)*DT254)))</f>
        <v>0</v>
      </c>
      <c r="DV87" s="395">
        <f ca="1">IF($E$254=0,0,IF(SUM($G87:DU87)=$B87,0,IF(SUM($G254:DU254)&gt;=$E254,($B87/$E254)*($E254-SUM($G254:DT254)),($B87/$E254)*DU254)))</f>
        <v>0</v>
      </c>
      <c r="DW87" s="395">
        <f ca="1">IF($E$254=0,0,IF(SUM($G87:DV87)=$B87,0,IF(SUM($G254:DV254)&gt;=$E254,($B87/$E254)*($E254-SUM($G254:DU254)),($B87/$E254)*DV254)))</f>
        <v>0</v>
      </c>
      <c r="DX87" s="395">
        <f ca="1">IF($E$254=0,0,IF(SUM($G87:DW87)=$B87,0,IF(SUM($G254:DW254)&gt;=$E254,($B87/$E254)*($E254-SUM($G254:DV254)),($B87/$E254)*DW254)))</f>
        <v>0</v>
      </c>
      <c r="DY87" s="395">
        <f ca="1">IF($E$254=0,0,IF(SUM($G87:DX87)=$B87,0,IF(SUM($G254:DX254)&gt;=$E254,($B87/$E254)*($E254-SUM($G254:DW254)),($B87/$E254)*DX254)))</f>
        <v>0</v>
      </c>
      <c r="DZ87" s="395">
        <f ca="1">IF($E$254=0,0,IF(SUM($G87:DY87)=$B87,0,IF(SUM($G254:DY254)&gt;=$E254,($B87/$E254)*($E254-SUM($G254:DX254)),($B87/$E254)*DY254)))</f>
        <v>0</v>
      </c>
      <c r="EA87" s="395">
        <f ca="1">IF($E$254=0,0,IF(SUM($G87:DZ87)=$B87,0,IF(SUM($G254:DZ254)&gt;=$E254,($B87/$E254)*($E254-SUM($G254:DY254)),($B87/$E254)*DZ254)))</f>
        <v>0</v>
      </c>
      <c r="EB87" s="395">
        <f ca="1">IF($E$254=0,0,IF(SUM($G87:EA87)=$B87,0,IF(SUM($G254:EA254)&gt;=$E254,($B87/$E254)*($E254-SUM($G254:DZ254)),($B87/$E254)*EA254)))</f>
        <v>0</v>
      </c>
      <c r="EC87" s="395">
        <f ca="1">IF($E$254=0,0,IF(SUM($G87:EB87)=$B87,0,IF(SUM($G254:EB254)&gt;=$E254,($B87/$E254)*($E254-SUM($G254:EA254)),($B87/$E254)*EB254)))</f>
        <v>0</v>
      </c>
      <c r="ED87" s="395">
        <f ca="1">IF($E$254=0,0,IF(SUM($G87:EC87)=$B87,0,IF(SUM($G254:EC254)&gt;=$E254,($B87/$E254)*($E254-SUM($G254:EB254)),($B87/$E254)*EC254)))</f>
        <v>0</v>
      </c>
      <c r="EE87" s="395">
        <f ca="1">IF($E$254=0,0,IF(SUM($G87:ED87)=$B87,0,IF(SUM($G254:ED254)&gt;=$E254,($B87/$E254)*($E254-SUM($G254:EC254)),($B87/$E254)*ED254)))</f>
        <v>0</v>
      </c>
      <c r="EF87" s="395">
        <f ca="1">IF($E$254=0,0,IF(SUM($G87:EE87)=$B87,0,IF(SUM($G254:EE254)&gt;=$E254,($B87/$E254)*($E254-SUM($G254:ED254)),($B87/$E254)*EE254)))</f>
        <v>0</v>
      </c>
      <c r="EG87" s="395">
        <f ca="1">IF($E$254=0,0,IF(SUM($G87:EF87)=$B87,0,IF(SUM($G254:EF254)&gt;=$E254,($B87/$E254)*($E254-SUM($G254:EE254)),($B87/$E254)*EF254)))</f>
        <v>0</v>
      </c>
      <c r="EH87" s="395">
        <f ca="1">IF($E$254=0,0,IF(SUM($G87:EG87)=$B87,0,IF(SUM($G254:EG254)&gt;=$E254,($B87/$E254)*($E254-SUM($G254:EF254)),($B87/$E254)*EG254)))</f>
        <v>0</v>
      </c>
      <c r="EI87" s="395">
        <f ca="1">IF($E$254=0,0,IF(SUM($G87:EH87)=$B87,0,IF(SUM($G254:EH254)&gt;=$E254,($B87/$E254)*($E254-SUM($G254:EG254)),($B87/$E254)*EH254)))</f>
        <v>0</v>
      </c>
      <c r="EJ87" s="398"/>
      <c r="EK87" s="313"/>
    </row>
    <row r="88" spans="1:141" hidden="1" outlineLevel="1" collapsed="1">
      <c r="A88" s="332"/>
      <c r="B88" s="313"/>
      <c r="C88" s="392" t="s">
        <v>56</v>
      </c>
      <c r="D88" s="392" t="s">
        <v>11</v>
      </c>
      <c r="E88" s="393">
        <f ca="1">ROUND(IF(F88=0,0,100%-F88),0)</f>
        <v>0</v>
      </c>
      <c r="F88" s="394">
        <f t="shared" ca="1" si="283"/>
        <v>1.0000000000000002</v>
      </c>
      <c r="G88" s="395">
        <f>SUM(G89:G90)</f>
        <v>0</v>
      </c>
      <c r="H88" s="395">
        <f t="shared" ref="H88:BS88" ca="1" si="308">SUM(H89:H90)</f>
        <v>0</v>
      </c>
      <c r="I88" s="395">
        <f t="shared" ca="1" si="308"/>
        <v>0</v>
      </c>
      <c r="J88" s="395">
        <f t="shared" ca="1" si="308"/>
        <v>0</v>
      </c>
      <c r="K88" s="395">
        <f t="shared" ca="1" si="308"/>
        <v>0</v>
      </c>
      <c r="L88" s="395">
        <f t="shared" ca="1" si="308"/>
        <v>0</v>
      </c>
      <c r="M88" s="395">
        <f t="shared" ca="1" si="308"/>
        <v>0</v>
      </c>
      <c r="N88" s="395">
        <f t="shared" ca="1" si="308"/>
        <v>0</v>
      </c>
      <c r="O88" s="395">
        <f t="shared" ca="1" si="308"/>
        <v>0</v>
      </c>
      <c r="P88" s="395">
        <f t="shared" ca="1" si="308"/>
        <v>0</v>
      </c>
      <c r="Q88" s="395">
        <f t="shared" ca="1" si="308"/>
        <v>0</v>
      </c>
      <c r="R88" s="395">
        <f t="shared" ca="1" si="308"/>
        <v>0</v>
      </c>
      <c r="S88" s="395">
        <f t="shared" ca="1" si="308"/>
        <v>0</v>
      </c>
      <c r="T88" s="395">
        <f t="shared" ca="1" si="308"/>
        <v>0</v>
      </c>
      <c r="U88" s="395">
        <f t="shared" ca="1" si="308"/>
        <v>0</v>
      </c>
      <c r="V88" s="395">
        <f t="shared" ca="1" si="308"/>
        <v>0</v>
      </c>
      <c r="W88" s="395">
        <f t="shared" ca="1" si="308"/>
        <v>0</v>
      </c>
      <c r="X88" s="395">
        <f t="shared" ca="1" si="308"/>
        <v>0.11249999999999999</v>
      </c>
      <c r="Y88" s="395">
        <f t="shared" ca="1" si="308"/>
        <v>0</v>
      </c>
      <c r="Z88" s="395">
        <f t="shared" ca="1" si="308"/>
        <v>4.6616161616161611E-2</v>
      </c>
      <c r="AA88" s="395">
        <f t="shared" ca="1" si="308"/>
        <v>5.5580808080808078E-2</v>
      </c>
      <c r="AB88" s="395">
        <f t="shared" ca="1" si="308"/>
        <v>5.378787878787878E-2</v>
      </c>
      <c r="AC88" s="395">
        <f t="shared" ca="1" si="308"/>
        <v>5.5580808080808078E-2</v>
      </c>
      <c r="AD88" s="395">
        <f t="shared" ca="1" si="308"/>
        <v>5.5580808080808078E-2</v>
      </c>
      <c r="AE88" s="395">
        <f t="shared" ca="1" si="308"/>
        <v>5.0202020202020199E-2</v>
      </c>
      <c r="AF88" s="395">
        <f t="shared" ca="1" si="308"/>
        <v>5.5580808080808078E-2</v>
      </c>
      <c r="AG88" s="395">
        <f t="shared" ca="1" si="308"/>
        <v>5.378787878787878E-2</v>
      </c>
      <c r="AH88" s="395">
        <f t="shared" ca="1" si="308"/>
        <v>5.5580808080808078E-2</v>
      </c>
      <c r="AI88" s="395">
        <f t="shared" ca="1" si="308"/>
        <v>5.378787878787878E-2</v>
      </c>
      <c r="AJ88" s="395">
        <f t="shared" ca="1" si="308"/>
        <v>5.5580808080808078E-2</v>
      </c>
      <c r="AK88" s="395">
        <f t="shared" ca="1" si="308"/>
        <v>5.5580808080808078E-2</v>
      </c>
      <c r="AL88" s="395">
        <f t="shared" ca="1" si="308"/>
        <v>5.378787878787878E-2</v>
      </c>
      <c r="AM88" s="395">
        <f t="shared" ca="1" si="308"/>
        <v>5.5580808080808078E-2</v>
      </c>
      <c r="AN88" s="395">
        <f t="shared" ca="1" si="308"/>
        <v>5.378787878787878E-2</v>
      </c>
      <c r="AO88" s="395">
        <f t="shared" ca="1" si="308"/>
        <v>5.5580808080808078E-2</v>
      </c>
      <c r="AP88" s="395">
        <f t="shared" ca="1" si="308"/>
        <v>2.1515151515151515E-2</v>
      </c>
      <c r="AQ88" s="395">
        <f t="shared" ca="1" si="308"/>
        <v>0</v>
      </c>
      <c r="AR88" s="395">
        <f t="shared" ca="1" si="308"/>
        <v>0</v>
      </c>
      <c r="AS88" s="395">
        <f t="shared" ca="1" si="308"/>
        <v>0</v>
      </c>
      <c r="AT88" s="395">
        <f t="shared" ca="1" si="308"/>
        <v>0</v>
      </c>
      <c r="AU88" s="395">
        <f t="shared" ca="1" si="308"/>
        <v>0</v>
      </c>
      <c r="AV88" s="395">
        <f t="shared" ca="1" si="308"/>
        <v>0</v>
      </c>
      <c r="AW88" s="395">
        <f t="shared" ca="1" si="308"/>
        <v>0</v>
      </c>
      <c r="AX88" s="395">
        <f t="shared" ca="1" si="308"/>
        <v>0</v>
      </c>
      <c r="AY88" s="395">
        <f t="shared" ca="1" si="308"/>
        <v>0</v>
      </c>
      <c r="AZ88" s="395">
        <f t="shared" ca="1" si="308"/>
        <v>0</v>
      </c>
      <c r="BA88" s="395">
        <f t="shared" ca="1" si="308"/>
        <v>0</v>
      </c>
      <c r="BB88" s="395">
        <f t="shared" ca="1" si="308"/>
        <v>0</v>
      </c>
      <c r="BC88" s="395">
        <f t="shared" ca="1" si="308"/>
        <v>0</v>
      </c>
      <c r="BD88" s="395">
        <f t="shared" ca="1" si="308"/>
        <v>0</v>
      </c>
      <c r="BE88" s="395">
        <f t="shared" ca="1" si="308"/>
        <v>0</v>
      </c>
      <c r="BF88" s="395">
        <f t="shared" ca="1" si="308"/>
        <v>0</v>
      </c>
      <c r="BG88" s="395">
        <f t="shared" ca="1" si="308"/>
        <v>0</v>
      </c>
      <c r="BH88" s="395">
        <f t="shared" ca="1" si="308"/>
        <v>0</v>
      </c>
      <c r="BI88" s="395">
        <f t="shared" ca="1" si="308"/>
        <v>0</v>
      </c>
      <c r="BJ88" s="395">
        <f t="shared" ca="1" si="308"/>
        <v>0</v>
      </c>
      <c r="BK88" s="395">
        <f t="shared" ca="1" si="308"/>
        <v>0</v>
      </c>
      <c r="BL88" s="395">
        <f t="shared" ca="1" si="308"/>
        <v>0</v>
      </c>
      <c r="BM88" s="395">
        <f t="shared" ca="1" si="308"/>
        <v>0</v>
      </c>
      <c r="BN88" s="395">
        <f t="shared" ca="1" si="308"/>
        <v>0</v>
      </c>
      <c r="BO88" s="395">
        <f t="shared" ca="1" si="308"/>
        <v>0</v>
      </c>
      <c r="BP88" s="395">
        <f t="shared" ca="1" si="308"/>
        <v>0</v>
      </c>
      <c r="BQ88" s="395">
        <f t="shared" ca="1" si="308"/>
        <v>0</v>
      </c>
      <c r="BR88" s="395">
        <f t="shared" ca="1" si="308"/>
        <v>0</v>
      </c>
      <c r="BS88" s="395">
        <f t="shared" ca="1" si="308"/>
        <v>0</v>
      </c>
      <c r="BT88" s="395">
        <f t="shared" ref="BT88:EE88" ca="1" si="309">SUM(BT89:BT90)</f>
        <v>0</v>
      </c>
      <c r="BU88" s="395">
        <f t="shared" ca="1" si="309"/>
        <v>0</v>
      </c>
      <c r="BV88" s="395">
        <f t="shared" ca="1" si="309"/>
        <v>0</v>
      </c>
      <c r="BW88" s="395">
        <f t="shared" ca="1" si="309"/>
        <v>0</v>
      </c>
      <c r="BX88" s="395">
        <f t="shared" ca="1" si="309"/>
        <v>0</v>
      </c>
      <c r="BY88" s="395">
        <f t="shared" ca="1" si="309"/>
        <v>0</v>
      </c>
      <c r="BZ88" s="395">
        <f t="shared" ca="1" si="309"/>
        <v>0</v>
      </c>
      <c r="CA88" s="395">
        <f t="shared" ca="1" si="309"/>
        <v>0</v>
      </c>
      <c r="CB88" s="395">
        <f t="shared" ca="1" si="309"/>
        <v>0</v>
      </c>
      <c r="CC88" s="395">
        <f t="shared" ca="1" si="309"/>
        <v>0</v>
      </c>
      <c r="CD88" s="395">
        <f t="shared" ca="1" si="309"/>
        <v>0</v>
      </c>
      <c r="CE88" s="395">
        <f t="shared" ca="1" si="309"/>
        <v>0</v>
      </c>
      <c r="CF88" s="395">
        <f t="shared" ca="1" si="309"/>
        <v>0</v>
      </c>
      <c r="CG88" s="395">
        <f t="shared" ca="1" si="309"/>
        <v>0</v>
      </c>
      <c r="CH88" s="395">
        <f t="shared" ca="1" si="309"/>
        <v>0</v>
      </c>
      <c r="CI88" s="395">
        <f t="shared" ca="1" si="309"/>
        <v>0</v>
      </c>
      <c r="CJ88" s="395">
        <f t="shared" ca="1" si="309"/>
        <v>0</v>
      </c>
      <c r="CK88" s="395">
        <f t="shared" ca="1" si="309"/>
        <v>0</v>
      </c>
      <c r="CL88" s="395">
        <f t="shared" ca="1" si="309"/>
        <v>0</v>
      </c>
      <c r="CM88" s="395">
        <f t="shared" ca="1" si="309"/>
        <v>0</v>
      </c>
      <c r="CN88" s="395">
        <f t="shared" ca="1" si="309"/>
        <v>0</v>
      </c>
      <c r="CO88" s="395">
        <f t="shared" ca="1" si="309"/>
        <v>0</v>
      </c>
      <c r="CP88" s="395">
        <f t="shared" ca="1" si="309"/>
        <v>0</v>
      </c>
      <c r="CQ88" s="395">
        <f t="shared" ca="1" si="309"/>
        <v>0</v>
      </c>
      <c r="CR88" s="395">
        <f t="shared" ca="1" si="309"/>
        <v>0</v>
      </c>
      <c r="CS88" s="395">
        <f t="shared" ca="1" si="309"/>
        <v>0</v>
      </c>
      <c r="CT88" s="395">
        <f t="shared" ca="1" si="309"/>
        <v>0</v>
      </c>
      <c r="CU88" s="395">
        <f t="shared" ca="1" si="309"/>
        <v>0</v>
      </c>
      <c r="CV88" s="395">
        <f t="shared" ca="1" si="309"/>
        <v>0</v>
      </c>
      <c r="CW88" s="395">
        <f t="shared" ca="1" si="309"/>
        <v>0</v>
      </c>
      <c r="CX88" s="395">
        <f t="shared" ca="1" si="309"/>
        <v>0</v>
      </c>
      <c r="CY88" s="395">
        <f t="shared" ca="1" si="309"/>
        <v>0</v>
      </c>
      <c r="CZ88" s="395">
        <f t="shared" ca="1" si="309"/>
        <v>0</v>
      </c>
      <c r="DA88" s="395">
        <f t="shared" ca="1" si="309"/>
        <v>0</v>
      </c>
      <c r="DB88" s="395">
        <f t="shared" ca="1" si="309"/>
        <v>0</v>
      </c>
      <c r="DC88" s="395">
        <f t="shared" ca="1" si="309"/>
        <v>0</v>
      </c>
      <c r="DD88" s="395">
        <f t="shared" ca="1" si="309"/>
        <v>0</v>
      </c>
      <c r="DE88" s="395">
        <f t="shared" ca="1" si="309"/>
        <v>0</v>
      </c>
      <c r="DF88" s="395">
        <f t="shared" ca="1" si="309"/>
        <v>0</v>
      </c>
      <c r="DG88" s="395">
        <f t="shared" ca="1" si="309"/>
        <v>0</v>
      </c>
      <c r="DH88" s="395">
        <f t="shared" ca="1" si="309"/>
        <v>0</v>
      </c>
      <c r="DI88" s="395">
        <f t="shared" ca="1" si="309"/>
        <v>0</v>
      </c>
      <c r="DJ88" s="395">
        <f t="shared" ca="1" si="309"/>
        <v>0</v>
      </c>
      <c r="DK88" s="395">
        <f t="shared" ca="1" si="309"/>
        <v>0</v>
      </c>
      <c r="DL88" s="395">
        <f t="shared" ca="1" si="309"/>
        <v>0</v>
      </c>
      <c r="DM88" s="395">
        <f t="shared" ca="1" si="309"/>
        <v>0</v>
      </c>
      <c r="DN88" s="395">
        <f t="shared" ca="1" si="309"/>
        <v>0</v>
      </c>
      <c r="DO88" s="395">
        <f t="shared" ca="1" si="309"/>
        <v>0</v>
      </c>
      <c r="DP88" s="395">
        <f t="shared" ca="1" si="309"/>
        <v>0</v>
      </c>
      <c r="DQ88" s="395">
        <f t="shared" ca="1" si="309"/>
        <v>0</v>
      </c>
      <c r="DR88" s="395">
        <f t="shared" ca="1" si="309"/>
        <v>0</v>
      </c>
      <c r="DS88" s="395">
        <f t="shared" ca="1" si="309"/>
        <v>0</v>
      </c>
      <c r="DT88" s="395">
        <f t="shared" ca="1" si="309"/>
        <v>0</v>
      </c>
      <c r="DU88" s="395">
        <f t="shared" ca="1" si="309"/>
        <v>0</v>
      </c>
      <c r="DV88" s="395">
        <f t="shared" ca="1" si="309"/>
        <v>0</v>
      </c>
      <c r="DW88" s="395">
        <f t="shared" ca="1" si="309"/>
        <v>0</v>
      </c>
      <c r="DX88" s="395">
        <f t="shared" ca="1" si="309"/>
        <v>0</v>
      </c>
      <c r="DY88" s="395">
        <f t="shared" ca="1" si="309"/>
        <v>0</v>
      </c>
      <c r="DZ88" s="395">
        <f t="shared" ca="1" si="309"/>
        <v>0</v>
      </c>
      <c r="EA88" s="395">
        <f t="shared" ca="1" si="309"/>
        <v>0</v>
      </c>
      <c r="EB88" s="395">
        <f t="shared" ca="1" si="309"/>
        <v>0</v>
      </c>
      <c r="EC88" s="395">
        <f t="shared" ca="1" si="309"/>
        <v>0</v>
      </c>
      <c r="ED88" s="395">
        <f t="shared" ca="1" si="309"/>
        <v>0</v>
      </c>
      <c r="EE88" s="395">
        <f t="shared" ca="1" si="309"/>
        <v>0</v>
      </c>
      <c r="EF88" s="395">
        <f t="shared" ref="EF88:EI88" ca="1" si="310">SUM(EF89:EF90)</f>
        <v>0</v>
      </c>
      <c r="EG88" s="395">
        <f t="shared" ca="1" si="310"/>
        <v>0</v>
      </c>
      <c r="EH88" s="395">
        <f t="shared" ca="1" si="310"/>
        <v>0</v>
      </c>
      <c r="EI88" s="395">
        <f t="shared" ca="1" si="310"/>
        <v>0</v>
      </c>
      <c r="EJ88" s="398"/>
      <c r="EK88" s="313"/>
    </row>
    <row r="89" spans="1:141" hidden="1" outlineLevel="2">
      <c r="A89" s="332"/>
      <c r="B89" s="549">
        <f>длительность!B182</f>
        <v>0.11249999999999999</v>
      </c>
      <c r="C89" s="317"/>
      <c r="D89" s="317" t="s">
        <v>664</v>
      </c>
      <c r="E89" s="318">
        <f t="shared" ref="E89" ca="1" si="311">IF(F89=0,0,B89-F89)</f>
        <v>0</v>
      </c>
      <c r="F89" s="397">
        <f t="shared" ca="1" si="283"/>
        <v>0.11249999999999999</v>
      </c>
      <c r="G89" s="395"/>
      <c r="H89" s="395">
        <f ca="1">IF(SUM($G89:G89)=$B89,0,IF(J90&gt;0%,$B89,0%))</f>
        <v>0</v>
      </c>
      <c r="I89" s="395">
        <f ca="1">IF(SUM($G89:H89)=$B89,0,IF(K90&gt;0%,$B89,0%))</f>
        <v>0</v>
      </c>
      <c r="J89" s="395">
        <f ca="1">IF(SUM($G89:I89)=$B89,0,IF(L90&gt;0%,$B89,0%))</f>
        <v>0</v>
      </c>
      <c r="K89" s="395">
        <f ca="1">IF(SUM($G89:J89)=$B89,0,IF(M90&gt;0%,$B89,0%))</f>
        <v>0</v>
      </c>
      <c r="L89" s="395">
        <f ca="1">IF(SUM($G89:K89)=$B89,0,IF(N90&gt;0%,$B89,0%))</f>
        <v>0</v>
      </c>
      <c r="M89" s="395">
        <f ca="1">IF(SUM($G89:L89)=$B89,0,IF(O90&gt;0%,$B89,0%))</f>
        <v>0</v>
      </c>
      <c r="N89" s="395">
        <f ca="1">IF(SUM($G89:M89)=$B89,0,IF(P90&gt;0%,$B89,0%))</f>
        <v>0</v>
      </c>
      <c r="O89" s="395">
        <f ca="1">IF(SUM($G89:N89)=$B89,0,IF(Q90&gt;0%,$B89,0%))</f>
        <v>0</v>
      </c>
      <c r="P89" s="395">
        <f ca="1">IF(SUM($G89:O89)=$B89,0,IF(R90&gt;0%,$B89,0%))</f>
        <v>0</v>
      </c>
      <c r="Q89" s="395">
        <f ca="1">IF(SUM($G89:P89)=$B89,0,IF(S90&gt;0%,$B89,0%))</f>
        <v>0</v>
      </c>
      <c r="R89" s="395">
        <f ca="1">IF(SUM($G89:Q89)=$B89,0,IF(T90&gt;0%,$B89,0%))</f>
        <v>0</v>
      </c>
      <c r="S89" s="395">
        <f ca="1">IF(SUM($G89:R89)=$B89,0,IF(U90&gt;0%,$B89,0%))</f>
        <v>0</v>
      </c>
      <c r="T89" s="395">
        <f ca="1">IF(SUM($G89:S89)=$B89,0,IF(V90&gt;0%,$B89,0%))</f>
        <v>0</v>
      </c>
      <c r="U89" s="395">
        <f ca="1">IF(SUM($G89:T89)=$B89,0,IF(W90&gt;0%,$B89,0%))</f>
        <v>0</v>
      </c>
      <c r="V89" s="395">
        <f ca="1">IF(SUM($G89:U89)=$B89,0,IF(X90&gt;0%,$B89,0%))</f>
        <v>0</v>
      </c>
      <c r="W89" s="395">
        <f ca="1">IF(SUM($G89:V89)=$B89,0,IF(Y90&gt;0%,$B89,0%))</f>
        <v>0</v>
      </c>
      <c r="X89" s="395">
        <f ca="1">IF(SUM($G89:W89)=$B89,0,IF(Z90&gt;0%,$B89,0%))</f>
        <v>0.11249999999999999</v>
      </c>
      <c r="Y89" s="395">
        <f ca="1">IF(SUM($G89:X89)=$B89,0,IF(AA90&gt;0%,$B89,0%))</f>
        <v>0</v>
      </c>
      <c r="Z89" s="395">
        <f ca="1">IF(SUM($G89:Y89)=$B89,0,IF(AB90&gt;0%,$B89,0%))</f>
        <v>0</v>
      </c>
      <c r="AA89" s="395">
        <f ca="1">IF(SUM($G89:Z89)=$B89,0,IF(AC90&gt;0%,$B89,0%))</f>
        <v>0</v>
      </c>
      <c r="AB89" s="395">
        <f ca="1">IF(SUM($G89:AA89)=$B89,0,IF(AD90&gt;0%,$B89,0%))</f>
        <v>0</v>
      </c>
      <c r="AC89" s="395">
        <f ca="1">IF(SUM($G89:AB89)=$B89,0,IF(AE90&gt;0%,$B89,0%))</f>
        <v>0</v>
      </c>
      <c r="AD89" s="395">
        <f ca="1">IF(SUM($G89:AC89)=$B89,0,IF(AF90&gt;0%,$B89,0%))</f>
        <v>0</v>
      </c>
      <c r="AE89" s="395">
        <f ca="1">IF(SUM($G89:AD89)=$B89,0,IF(AG90&gt;0%,$B89,0%))</f>
        <v>0</v>
      </c>
      <c r="AF89" s="395">
        <f ca="1">IF(SUM($G89:AE89)=$B89,0,IF(AH90&gt;0%,$B89,0%))</f>
        <v>0</v>
      </c>
      <c r="AG89" s="395">
        <f ca="1">IF(SUM($G89:AF89)=$B89,0,IF(AI90&gt;0%,$B89,0%))</f>
        <v>0</v>
      </c>
      <c r="AH89" s="395">
        <f ca="1">IF(SUM($G89:AG89)=$B89,0,IF(AJ90&gt;0%,$B89,0%))</f>
        <v>0</v>
      </c>
      <c r="AI89" s="395">
        <f ca="1">IF(SUM($G89:AH89)=$B89,0,IF(AK90&gt;0%,$B89,0%))</f>
        <v>0</v>
      </c>
      <c r="AJ89" s="395">
        <f ca="1">IF(SUM($G89:AI89)=$B89,0,IF(AL90&gt;0%,$B89,0%))</f>
        <v>0</v>
      </c>
      <c r="AK89" s="395">
        <f ca="1">IF(SUM($G89:AJ89)=$B89,0,IF(AM90&gt;0%,$B89,0%))</f>
        <v>0</v>
      </c>
      <c r="AL89" s="395">
        <f ca="1">IF(SUM($G89:AK89)=$B89,0,IF(AN90&gt;0%,$B89,0%))</f>
        <v>0</v>
      </c>
      <c r="AM89" s="395">
        <f ca="1">IF(SUM($G89:AL89)=$B89,0,IF(AO90&gt;0%,$B89,0%))</f>
        <v>0</v>
      </c>
      <c r="AN89" s="395">
        <f ca="1">IF(SUM($G89:AM89)=$B89,0,IF(AP90&gt;0%,$B89,0%))</f>
        <v>0</v>
      </c>
      <c r="AO89" s="395">
        <f ca="1">IF(SUM($G89:AN89)=$B89,0,IF(AQ90&gt;0%,$B89,0%))</f>
        <v>0</v>
      </c>
      <c r="AP89" s="395">
        <f ca="1">IF(SUM($G89:AO89)=$B89,0,IF(AR90&gt;0%,$B89,0%))</f>
        <v>0</v>
      </c>
      <c r="AQ89" s="395">
        <f ca="1">IF(SUM($G89:AP89)=$B89,0,IF(AS90&gt;0%,$B89,0%))</f>
        <v>0</v>
      </c>
      <c r="AR89" s="395">
        <f ca="1">IF(SUM($G89:AQ89)=$B89,0,IF(AT90&gt;0%,$B89,0%))</f>
        <v>0</v>
      </c>
      <c r="AS89" s="395">
        <f ca="1">IF(SUM($G89:AR89)=$B89,0,IF(AU90&gt;0%,$B89,0%))</f>
        <v>0</v>
      </c>
      <c r="AT89" s="395">
        <f ca="1">IF(SUM($G89:AS89)=$B89,0,IF(AV90&gt;0%,$B89,0%))</f>
        <v>0</v>
      </c>
      <c r="AU89" s="395">
        <f ca="1">IF(SUM($G89:AT89)=$B89,0,IF(AW90&gt;0%,$B89,0%))</f>
        <v>0</v>
      </c>
      <c r="AV89" s="395">
        <f ca="1">IF(SUM($G89:AU89)=$B89,0,IF(AX90&gt;0%,$B89,0%))</f>
        <v>0</v>
      </c>
      <c r="AW89" s="395">
        <f ca="1">IF(SUM($G89:AV89)=$B89,0,IF(AY90&gt;0%,$B89,0%))</f>
        <v>0</v>
      </c>
      <c r="AX89" s="395">
        <f ca="1">IF(SUM($G89:AW89)=$B89,0,IF(AZ90&gt;0%,$B89,0%))</f>
        <v>0</v>
      </c>
      <c r="AY89" s="395">
        <f ca="1">IF(SUM($G89:AX89)=$B89,0,IF(BA90&gt;0%,$B89,0%))</f>
        <v>0</v>
      </c>
      <c r="AZ89" s="395">
        <f ca="1">IF(SUM($G89:AY89)=$B89,0,IF(BB90&gt;0%,$B89,0%))</f>
        <v>0</v>
      </c>
      <c r="BA89" s="395">
        <f ca="1">IF(SUM($G89:AZ89)=$B89,0,IF(BC90&gt;0%,$B89,0%))</f>
        <v>0</v>
      </c>
      <c r="BB89" s="395">
        <f ca="1">IF(SUM($G89:BA89)=$B89,0,IF(BD90&gt;0%,$B89,0%))</f>
        <v>0</v>
      </c>
      <c r="BC89" s="395">
        <f ca="1">IF(SUM($G89:BB89)=$B89,0,IF(BE90&gt;0%,$B89,0%))</f>
        <v>0</v>
      </c>
      <c r="BD89" s="395">
        <f ca="1">IF(SUM($G89:BC89)=$B89,0,IF(BF90&gt;0%,$B89,0%))</f>
        <v>0</v>
      </c>
      <c r="BE89" s="395">
        <f ca="1">IF(SUM($G89:BD89)=$B89,0,IF(BG90&gt;0%,$B89,0%))</f>
        <v>0</v>
      </c>
      <c r="BF89" s="395">
        <f ca="1">IF(SUM($G89:BE89)=$B89,0,IF(BH90&gt;0%,$B89,0%))</f>
        <v>0</v>
      </c>
      <c r="BG89" s="395">
        <f ca="1">IF(SUM($G89:BF89)=$B89,0,IF(BI90&gt;0%,$B89,0%))</f>
        <v>0</v>
      </c>
      <c r="BH89" s="395">
        <f ca="1">IF(SUM($G89:BG89)=$B89,0,IF(BJ90&gt;0%,$B89,0%))</f>
        <v>0</v>
      </c>
      <c r="BI89" s="395">
        <f ca="1">IF(SUM($G89:BH89)=$B89,0,IF(BK90&gt;0%,$B89,0%))</f>
        <v>0</v>
      </c>
      <c r="BJ89" s="395">
        <f ca="1">IF(SUM($G89:BI89)=$B89,0,IF(BL90&gt;0%,$B89,0%))</f>
        <v>0</v>
      </c>
      <c r="BK89" s="395">
        <f ca="1">IF(SUM($G89:BJ89)=$B89,0,IF(BM90&gt;0%,$B89,0%))</f>
        <v>0</v>
      </c>
      <c r="BL89" s="395">
        <f ca="1">IF(SUM($G89:BK89)=$B89,0,IF(BN90&gt;0%,$B89,0%))</f>
        <v>0</v>
      </c>
      <c r="BM89" s="395">
        <f ca="1">IF(SUM($G89:BL89)=$B89,0,IF(BO90&gt;0%,$B89,0%))</f>
        <v>0</v>
      </c>
      <c r="BN89" s="395">
        <f ca="1">IF(SUM($G89:BM89)=$B89,0,IF(BP90&gt;0%,$B89,0%))</f>
        <v>0</v>
      </c>
      <c r="BO89" s="395">
        <f ca="1">IF(SUM($G89:BN89)=$B89,0,IF(BQ90&gt;0%,$B89,0%))</f>
        <v>0</v>
      </c>
      <c r="BP89" s="395">
        <f ca="1">IF(SUM($G89:BO89)=$B89,0,IF(BR90&gt;0%,$B89,0%))</f>
        <v>0</v>
      </c>
      <c r="BQ89" s="395">
        <f ca="1">IF(SUM($G89:BP89)=$B89,0,IF(BS90&gt;0%,$B89,0%))</f>
        <v>0</v>
      </c>
      <c r="BR89" s="395">
        <f ca="1">IF(SUM($G89:BQ89)=$B89,0,IF(BT90&gt;0%,$B89,0%))</f>
        <v>0</v>
      </c>
      <c r="BS89" s="395">
        <f ca="1">IF(SUM($G89:BR89)=$B89,0,IF(BU90&gt;0%,$B89,0%))</f>
        <v>0</v>
      </c>
      <c r="BT89" s="395">
        <f ca="1">IF(SUM($G89:BS89)=$B89,0,IF(BV90&gt;0%,$B89,0%))</f>
        <v>0</v>
      </c>
      <c r="BU89" s="395">
        <f ca="1">IF(SUM($G89:BT89)=$B89,0,IF(BW90&gt;0%,$B89,0%))</f>
        <v>0</v>
      </c>
      <c r="BV89" s="395">
        <f ca="1">IF(SUM($G89:BU89)=$B89,0,IF(BX90&gt;0%,$B89,0%))</f>
        <v>0</v>
      </c>
      <c r="BW89" s="395">
        <f ca="1">IF(SUM($G89:BV89)=$B89,0,IF(BY90&gt;0%,$B89,0%))</f>
        <v>0</v>
      </c>
      <c r="BX89" s="395">
        <f ca="1">IF(SUM($G89:BW89)=$B89,0,IF(BZ90&gt;0%,$B89,0%))</f>
        <v>0</v>
      </c>
      <c r="BY89" s="395">
        <f ca="1">IF(SUM($G89:BX89)=$B89,0,IF(CA90&gt;0%,$B89,0%))</f>
        <v>0</v>
      </c>
      <c r="BZ89" s="395">
        <f ca="1">IF(SUM($G89:BY89)=$B89,0,IF(CB90&gt;0%,$B89,0%))</f>
        <v>0</v>
      </c>
      <c r="CA89" s="395">
        <f ca="1">IF(SUM($G89:BZ89)=$B89,0,IF(CC90&gt;0%,$B89,0%))</f>
        <v>0</v>
      </c>
      <c r="CB89" s="395">
        <f ca="1">IF(SUM($G89:CA89)=$B89,0,IF(CD90&gt;0%,$B89,0%))</f>
        <v>0</v>
      </c>
      <c r="CC89" s="395">
        <f ca="1">IF(SUM($G89:CB89)=$B89,0,IF(CE90&gt;0%,$B89,0%))</f>
        <v>0</v>
      </c>
      <c r="CD89" s="395">
        <f ca="1">IF(SUM($G89:CC89)=$B89,0,IF(CF90&gt;0%,$B89,0%))</f>
        <v>0</v>
      </c>
      <c r="CE89" s="395">
        <f ca="1">IF(SUM($G89:CD89)=$B89,0,IF(CG90&gt;0%,$B89,0%))</f>
        <v>0</v>
      </c>
      <c r="CF89" s="395">
        <f ca="1">IF(SUM($G89:CE89)=$B89,0,IF(CH90&gt;0%,$B89,0%))</f>
        <v>0</v>
      </c>
      <c r="CG89" s="395">
        <f ca="1">IF(SUM($G89:CF89)=$B89,0,IF(CI90&gt;0%,$B89,0%))</f>
        <v>0</v>
      </c>
      <c r="CH89" s="395">
        <f ca="1">IF(SUM($G89:CG89)=$B89,0,IF(CJ90&gt;0%,$B89,0%))</f>
        <v>0</v>
      </c>
      <c r="CI89" s="395">
        <f ca="1">IF(SUM($G89:CH89)=$B89,0,IF(CK90&gt;0%,$B89,0%))</f>
        <v>0</v>
      </c>
      <c r="CJ89" s="395">
        <f ca="1">IF(SUM($G89:CI89)=$B89,0,IF(CL90&gt;0%,$B89,0%))</f>
        <v>0</v>
      </c>
      <c r="CK89" s="395">
        <f ca="1">IF(SUM($G89:CJ89)=$B89,0,IF(CM90&gt;0%,$B89,0%))</f>
        <v>0</v>
      </c>
      <c r="CL89" s="395">
        <f ca="1">IF(SUM($G89:CK89)=$B89,0,IF(CN90&gt;0%,$B89,0%))</f>
        <v>0</v>
      </c>
      <c r="CM89" s="395">
        <f ca="1">IF(SUM($G89:CL89)=$B89,0,IF(CO90&gt;0%,$B89,0%))</f>
        <v>0</v>
      </c>
      <c r="CN89" s="395">
        <f ca="1">IF(SUM($G89:CM89)=$B89,0,IF(CP90&gt;0%,$B89,0%))</f>
        <v>0</v>
      </c>
      <c r="CO89" s="395">
        <f ca="1">IF(SUM($G89:CN89)=$B89,0,IF(CQ90&gt;0%,$B89,0%))</f>
        <v>0</v>
      </c>
      <c r="CP89" s="395">
        <f ca="1">IF(SUM($G89:CO89)=$B89,0,IF(CR90&gt;0%,$B89,0%))</f>
        <v>0</v>
      </c>
      <c r="CQ89" s="395">
        <f ca="1">IF(SUM($G89:CP89)=$B89,0,IF(CS90&gt;0%,$B89,0%))</f>
        <v>0</v>
      </c>
      <c r="CR89" s="395">
        <f ca="1">IF(SUM($G89:CQ89)=$B89,0,IF(CT90&gt;0%,$B89,0%))</f>
        <v>0</v>
      </c>
      <c r="CS89" s="395">
        <f ca="1">IF(SUM($G89:CR89)=$B89,0,IF(CU90&gt;0%,$B89,0%))</f>
        <v>0</v>
      </c>
      <c r="CT89" s="395">
        <f ca="1">IF(SUM($G89:CS89)=$B89,0,IF(CV90&gt;0%,$B89,0%))</f>
        <v>0</v>
      </c>
      <c r="CU89" s="395">
        <f ca="1">IF(SUM($G89:CT89)=$B89,0,IF(CW90&gt;0%,$B89,0%))</f>
        <v>0</v>
      </c>
      <c r="CV89" s="395">
        <f ca="1">IF(SUM($G89:CU89)=$B89,0,IF(CX90&gt;0%,$B89,0%))</f>
        <v>0</v>
      </c>
      <c r="CW89" s="395">
        <f ca="1">IF(SUM($G89:CV89)=$B89,0,IF(CY90&gt;0%,$B89,0%))</f>
        <v>0</v>
      </c>
      <c r="CX89" s="395">
        <f ca="1">IF(SUM($G89:CW89)=$B89,0,IF(CZ90&gt;0%,$B89,0%))</f>
        <v>0</v>
      </c>
      <c r="CY89" s="395">
        <f ca="1">IF(SUM($G89:CX89)=$B89,0,IF(DA90&gt;0%,$B89,0%))</f>
        <v>0</v>
      </c>
      <c r="CZ89" s="395">
        <f ca="1">IF(SUM($G89:CY89)=$B89,0,IF(DB90&gt;0%,$B89,0%))</f>
        <v>0</v>
      </c>
      <c r="DA89" s="395">
        <f ca="1">IF(SUM($G89:CZ89)=$B89,0,IF(DC90&gt;0%,$B89,0%))</f>
        <v>0</v>
      </c>
      <c r="DB89" s="395">
        <f ca="1">IF(SUM($G89:DA89)=$B89,0,IF(DD90&gt;0%,$B89,0%))</f>
        <v>0</v>
      </c>
      <c r="DC89" s="395">
        <f ca="1">IF(SUM($G89:DB89)=$B89,0,IF(DE90&gt;0%,$B89,0%))</f>
        <v>0</v>
      </c>
      <c r="DD89" s="395">
        <f ca="1">IF(SUM($G89:DC89)=$B89,0,IF(DF90&gt;0%,$B89,0%))</f>
        <v>0</v>
      </c>
      <c r="DE89" s="395">
        <f ca="1">IF(SUM($G89:DD89)=$B89,0,IF(DG90&gt;0%,$B89,0%))</f>
        <v>0</v>
      </c>
      <c r="DF89" s="395">
        <f ca="1">IF(SUM($G89:DE89)=$B89,0,IF(DH90&gt;0%,$B89,0%))</f>
        <v>0</v>
      </c>
      <c r="DG89" s="395">
        <f ca="1">IF(SUM($G89:DF89)=$B89,0,IF(DI90&gt;0%,$B89,0%))</f>
        <v>0</v>
      </c>
      <c r="DH89" s="395">
        <f ca="1">IF(SUM($G89:DG89)=$B89,0,IF(DJ90&gt;0%,$B89,0%))</f>
        <v>0</v>
      </c>
      <c r="DI89" s="395">
        <f ca="1">IF(SUM($G89:DH89)=$B89,0,IF(DK90&gt;0%,$B89,0%))</f>
        <v>0</v>
      </c>
      <c r="DJ89" s="395">
        <f ca="1">IF(SUM($G89:DI89)=$B89,0,IF(DL90&gt;0%,$B89,0%))</f>
        <v>0</v>
      </c>
      <c r="DK89" s="395">
        <f ca="1">IF(SUM($G89:DJ89)=$B89,0,IF(DM90&gt;0%,$B89,0%))</f>
        <v>0</v>
      </c>
      <c r="DL89" s="395">
        <f ca="1">IF(SUM($G89:DK89)=$B89,0,IF(DN90&gt;0%,$B89,0%))</f>
        <v>0</v>
      </c>
      <c r="DM89" s="395">
        <f ca="1">IF(SUM($G89:DL89)=$B89,0,IF(DO90&gt;0%,$B89,0%))</f>
        <v>0</v>
      </c>
      <c r="DN89" s="395">
        <f ca="1">IF(SUM($G89:DM89)=$B89,0,IF(DP90&gt;0%,$B89,0%))</f>
        <v>0</v>
      </c>
      <c r="DO89" s="395">
        <f ca="1">IF(SUM($G89:DN89)=$B89,0,IF(DQ90&gt;0%,$B89,0%))</f>
        <v>0</v>
      </c>
      <c r="DP89" s="395">
        <f ca="1">IF(SUM($G89:DO89)=$B89,0,IF(DR90&gt;0%,$B89,0%))</f>
        <v>0</v>
      </c>
      <c r="DQ89" s="395">
        <f ca="1">IF(SUM($G89:DP89)=$B89,0,IF(DS90&gt;0%,$B89,0%))</f>
        <v>0</v>
      </c>
      <c r="DR89" s="395">
        <f ca="1">IF(SUM($G89:DQ89)=$B89,0,IF(DT90&gt;0%,$B89,0%))</f>
        <v>0</v>
      </c>
      <c r="DS89" s="395">
        <f ca="1">IF(SUM($G89:DR89)=$B89,0,IF(DU90&gt;0%,$B89,0%))</f>
        <v>0</v>
      </c>
      <c r="DT89" s="395">
        <f ca="1">IF(SUM($G89:DS89)=$B89,0,IF(DV90&gt;0%,$B89,0%))</f>
        <v>0</v>
      </c>
      <c r="DU89" s="395">
        <f ca="1">IF(SUM($G89:DT89)=$B89,0,IF(DW90&gt;0%,$B89,0%))</f>
        <v>0</v>
      </c>
      <c r="DV89" s="395">
        <f ca="1">IF(SUM($G89:DU89)=$B89,0,IF(DX90&gt;0%,$B89,0%))</f>
        <v>0</v>
      </c>
      <c r="DW89" s="395">
        <f ca="1">IF(SUM($G89:DV89)=$B89,0,IF(DY90&gt;0%,$B89,0%))</f>
        <v>0</v>
      </c>
      <c r="DX89" s="395">
        <f ca="1">IF(SUM($G89:DW89)=$B89,0,IF(DZ90&gt;0%,$B89,0%))</f>
        <v>0</v>
      </c>
      <c r="DY89" s="395">
        <f ca="1">IF(SUM($G89:DX89)=$B89,0,IF(EA90&gt;0%,$B89,0%))</f>
        <v>0</v>
      </c>
      <c r="DZ89" s="395">
        <f ca="1">IF(SUM($G89:DY89)=$B89,0,IF(EB90&gt;0%,$B89,0%))</f>
        <v>0</v>
      </c>
      <c r="EA89" s="395">
        <f ca="1">IF(SUM($G89:DZ89)=$B89,0,IF(EC90&gt;0%,$B89,0%))</f>
        <v>0</v>
      </c>
      <c r="EB89" s="395">
        <f ca="1">IF(SUM($G89:EA89)=$B89,0,IF(ED90&gt;0%,$B89,0%))</f>
        <v>0</v>
      </c>
      <c r="EC89" s="395">
        <f ca="1">IF(SUM($G89:EB89)=$B89,0,IF(EE90&gt;0%,$B89,0%))</f>
        <v>0</v>
      </c>
      <c r="ED89" s="395">
        <f ca="1">IF(SUM($G89:EC89)=$B89,0,IF(EF90&gt;0%,$B89,0%))</f>
        <v>0</v>
      </c>
      <c r="EE89" s="395">
        <f ca="1">IF(SUM($G89:ED89)=$B89,0,IF(EG90&gt;0%,$B89,0%))</f>
        <v>0</v>
      </c>
      <c r="EF89" s="395">
        <f ca="1">IF(SUM($G89:EE89)=$B89,0,IF(EH90&gt;0%,$B89,0%))</f>
        <v>0</v>
      </c>
      <c r="EG89" s="395">
        <f ca="1">IF(SUM($G89:EF89)=$B89,0,IF(EI90&gt;0%,$B89,0%))</f>
        <v>0</v>
      </c>
      <c r="EH89" s="395">
        <f ca="1">IF(SUM($G89:EG89)=$B89,0,IF(EJ90&gt;0%,$B89,0%))</f>
        <v>0</v>
      </c>
      <c r="EI89" s="395">
        <f ca="1">IF(SUM($G89:EH89)=$B89,0,IF(EK90&gt;0%,$B89,0%))</f>
        <v>0</v>
      </c>
      <c r="EJ89" s="398"/>
      <c r="EK89" s="313"/>
    </row>
    <row r="90" spans="1:141" hidden="1" outlineLevel="2">
      <c r="A90" s="332"/>
      <c r="B90" s="549">
        <f>длительность!C182</f>
        <v>0.88749999999999996</v>
      </c>
      <c r="C90" s="317"/>
      <c r="D90" s="317" t="s">
        <v>663</v>
      </c>
      <c r="E90" s="550">
        <f ca="1">ROUND(IF(F90=0,0,B90-F90),4)</f>
        <v>0</v>
      </c>
      <c r="F90" s="397">
        <f t="shared" ca="1" si="283"/>
        <v>0.88750000000000018</v>
      </c>
      <c r="G90" s="395"/>
      <c r="H90" s="395"/>
      <c r="I90" s="395">
        <f ca="1">IF($E$259=0,0,IF(SUM($G90:H90)=$B90,0,IF(SUM($G259:H259)&gt;=$E259,($B90/$E259)*($E259-SUM($G259:G259)),($B90/$E259)*H259)))</f>
        <v>0</v>
      </c>
      <c r="J90" s="395">
        <f ca="1">IF($E$259=0,0,IF(SUM($G90:I90)=$B90,0,IF(SUM($G259:I259)&gt;=$E259,($B90/$E259)*($E259-SUM($G259:H259)),($B90/$E259)*I259)))</f>
        <v>0</v>
      </c>
      <c r="K90" s="395">
        <f ca="1">IF($E$259=0,0,IF(SUM($G90:J90)=$B90,0,IF(SUM($G259:J259)&gt;=$E259,($B90/$E259)*($E259-SUM($G259:I259)),($B90/$E259)*J259)))</f>
        <v>0</v>
      </c>
      <c r="L90" s="395">
        <f ca="1">IF($E$259=0,0,IF(SUM($G90:K90)=$B90,0,IF(SUM($G259:K259)&gt;=$E259,($B90/$E259)*($E259-SUM($G259:J259)),($B90/$E259)*K259)))</f>
        <v>0</v>
      </c>
      <c r="M90" s="395">
        <f ca="1">IF($E$259=0,0,IF(SUM($G90:L90)=$B90,0,IF(SUM($G259:L259)&gt;=$E259,($B90/$E259)*($E259-SUM($G259:K259)),($B90/$E259)*L259)))</f>
        <v>0</v>
      </c>
      <c r="N90" s="395">
        <f ca="1">IF($E$259=0,0,IF(SUM($G90:M90)=$B90,0,IF(SUM($G259:M259)&gt;=$E259,($B90/$E259)*($E259-SUM($G259:L259)),($B90/$E259)*M259)))</f>
        <v>0</v>
      </c>
      <c r="O90" s="395">
        <f ca="1">IF($E$259=0,0,IF(SUM($G90:N90)=$B90,0,IF(SUM($G259:N259)&gt;=$E259,($B90/$E259)*($E259-SUM($G259:M259)),($B90/$E259)*N259)))</f>
        <v>0</v>
      </c>
      <c r="P90" s="395">
        <f ca="1">IF($E$259=0,0,IF(SUM($G90:O90)=$B90,0,IF(SUM($G259:O259)&gt;=$E259,($B90/$E259)*($E259-SUM($G259:N259)),($B90/$E259)*O259)))</f>
        <v>0</v>
      </c>
      <c r="Q90" s="395">
        <f ca="1">IF($E$259=0,0,IF(SUM($G90:P90)=$B90,0,IF(SUM($G259:P259)&gt;=$E259,($B90/$E259)*($E259-SUM($G259:O259)),($B90/$E259)*P259)))</f>
        <v>0</v>
      </c>
      <c r="R90" s="395">
        <f ca="1">IF($E$259=0,0,IF(SUM($G90:Q90)=$B90,0,IF(SUM($G259:Q259)&gt;=$E259,($B90/$E259)*($E259-SUM($G259:P259)),($B90/$E259)*Q259)))</f>
        <v>0</v>
      </c>
      <c r="S90" s="395">
        <f ca="1">IF($E$259=0,0,IF(SUM($G90:R90)=$B90,0,IF(SUM($G259:R259)&gt;=$E259,($B90/$E259)*($E259-SUM($G259:Q259)),($B90/$E259)*R259)))</f>
        <v>0</v>
      </c>
      <c r="T90" s="395">
        <f ca="1">IF($E$259=0,0,IF(SUM($G90:S90)=$B90,0,IF(SUM($G259:S259)&gt;=$E259,($B90/$E259)*($E259-SUM($G259:R259)),($B90/$E259)*S259)))</f>
        <v>0</v>
      </c>
      <c r="U90" s="395">
        <f ca="1">IF($E$259=0,0,IF(SUM($G90:T90)=$B90,0,IF(SUM($G259:T259)&gt;=$E259,($B90/$E259)*($E259-SUM($G259:S259)),($B90/$E259)*T259)))</f>
        <v>0</v>
      </c>
      <c r="V90" s="395">
        <f ca="1">IF($E$259=0,0,IF(SUM($G90:U90)=$B90,0,IF(SUM($G259:U259)&gt;=$E259,($B90/$E259)*($E259-SUM($G259:T259)),($B90/$E259)*U259)))</f>
        <v>0</v>
      </c>
      <c r="W90" s="395">
        <f ca="1">IF($E$259=0,0,IF(SUM($G90:V90)=$B90,0,IF(SUM($G259:V259)&gt;=$E259,($B90/$E259)*($E259-SUM($G259:U259)),($B90/$E259)*V259)))</f>
        <v>0</v>
      </c>
      <c r="X90" s="395">
        <f ca="1">IF($E$259=0,0,IF(SUM($G90:W90)=$B90,0,IF(SUM($G259:W259)&gt;=$E259,($B90/$E259)*($E259-SUM($G259:V259)),($B90/$E259)*W259)))</f>
        <v>0</v>
      </c>
      <c r="Y90" s="395">
        <f ca="1">IF($E$259=0,0,IF(SUM($G90:X90)=$B90,0,IF(SUM($G259:X259)&gt;=$E259,($B90/$E259)*($E259-SUM($G259:W259)),($B90/$E259)*X259)))</f>
        <v>0</v>
      </c>
      <c r="Z90" s="395">
        <f ca="1">IF($E$259=0,0,IF(SUM($G90:Y90)=$B90,0,IF(SUM($G259:Y259)&gt;=$E259,($B90/$E259)*($E259-SUM($G259:X259)),($B90/$E259)*Y259)))</f>
        <v>4.6616161616161611E-2</v>
      </c>
      <c r="AA90" s="395">
        <f ca="1">IF($E$259=0,0,IF(SUM($G90:Z90)=$B90,0,IF(SUM($G259:Z259)&gt;=$E259,($B90/$E259)*($E259-SUM($G259:Y259)),($B90/$E259)*Z259)))</f>
        <v>5.5580808080808078E-2</v>
      </c>
      <c r="AB90" s="395">
        <f ca="1">IF($E$259=0,0,IF(SUM($G90:AA90)=$B90,0,IF(SUM($G259:AA259)&gt;=$E259,($B90/$E259)*($E259-SUM($G259:Z259)),($B90/$E259)*AA259)))</f>
        <v>5.378787878787878E-2</v>
      </c>
      <c r="AC90" s="395">
        <f ca="1">IF($E$259=0,0,IF(SUM($G90:AB90)=$B90,0,IF(SUM($G259:AB259)&gt;=$E259,($B90/$E259)*($E259-SUM($G259:AA259)),($B90/$E259)*AB259)))</f>
        <v>5.5580808080808078E-2</v>
      </c>
      <c r="AD90" s="395">
        <f ca="1">IF($E$259=0,0,IF(SUM($G90:AC90)=$B90,0,IF(SUM($G259:AC259)&gt;=$E259,($B90/$E259)*($E259-SUM($G259:AB259)),($B90/$E259)*AC259)))</f>
        <v>5.5580808080808078E-2</v>
      </c>
      <c r="AE90" s="395">
        <f ca="1">IF($E$259=0,0,IF(SUM($G90:AD90)=$B90,0,IF(SUM($G259:AD259)&gt;=$E259,($B90/$E259)*($E259-SUM($G259:AC259)),($B90/$E259)*AD259)))</f>
        <v>5.0202020202020199E-2</v>
      </c>
      <c r="AF90" s="395">
        <f ca="1">IF($E$259=0,0,IF(SUM($G90:AE90)=$B90,0,IF(SUM($G259:AE259)&gt;=$E259,($B90/$E259)*($E259-SUM($G259:AD259)),($B90/$E259)*AE259)))</f>
        <v>5.5580808080808078E-2</v>
      </c>
      <c r="AG90" s="395">
        <f ca="1">IF($E$259=0,0,IF(SUM($G90:AF90)=$B90,0,IF(SUM($G259:AF259)&gt;=$E259,($B90/$E259)*($E259-SUM($G259:AE259)),($B90/$E259)*AF259)))</f>
        <v>5.378787878787878E-2</v>
      </c>
      <c r="AH90" s="395">
        <f ca="1">IF($E$259=0,0,IF(SUM($G90:AG90)=$B90,0,IF(SUM($G259:AG259)&gt;=$E259,($B90/$E259)*($E259-SUM($G259:AF259)),($B90/$E259)*AG259)))</f>
        <v>5.5580808080808078E-2</v>
      </c>
      <c r="AI90" s="395">
        <f ca="1">IF($E$259=0,0,IF(SUM($G90:AH90)=$B90,0,IF(SUM($G259:AH259)&gt;=$E259,($B90/$E259)*($E259-SUM($G259:AG259)),($B90/$E259)*AH259)))</f>
        <v>5.378787878787878E-2</v>
      </c>
      <c r="AJ90" s="395">
        <f ca="1">IF($E$259=0,0,IF(SUM($G90:AI90)=$B90,0,IF(SUM($G259:AI259)&gt;=$E259,($B90/$E259)*($E259-SUM($G259:AH259)),($B90/$E259)*AI259)))</f>
        <v>5.5580808080808078E-2</v>
      </c>
      <c r="AK90" s="395">
        <f ca="1">IF($E$259=0,0,IF(SUM($G90:AJ90)=$B90,0,IF(SUM($G259:AJ259)&gt;=$E259,($B90/$E259)*($E259-SUM($G259:AI259)),($B90/$E259)*AJ259)))</f>
        <v>5.5580808080808078E-2</v>
      </c>
      <c r="AL90" s="395">
        <f ca="1">IF($E$259=0,0,IF(SUM($G90:AK90)=$B90,0,IF(SUM($G259:AK259)&gt;=$E259,($B90/$E259)*($E259-SUM($G259:AJ259)),($B90/$E259)*AK259)))</f>
        <v>5.378787878787878E-2</v>
      </c>
      <c r="AM90" s="395">
        <f ca="1">IF($E$259=0,0,IF(SUM($G90:AL90)=$B90,0,IF(SUM($G259:AL259)&gt;=$E259,($B90/$E259)*($E259-SUM($G259:AK259)),($B90/$E259)*AL259)))</f>
        <v>5.5580808080808078E-2</v>
      </c>
      <c r="AN90" s="395">
        <f ca="1">IF($E$259=0,0,IF(SUM($G90:AM90)=$B90,0,IF(SUM($G259:AM259)&gt;=$E259,($B90/$E259)*($E259-SUM($G259:AL259)),($B90/$E259)*AM259)))</f>
        <v>5.378787878787878E-2</v>
      </c>
      <c r="AO90" s="395">
        <f ca="1">IF($E$259=0,0,IF(SUM($G90:AN90)=$B90,0,IF(SUM($G259:AN259)&gt;=$E259,($B90/$E259)*($E259-SUM($G259:AM259)),($B90/$E259)*AN259)))</f>
        <v>5.5580808080808078E-2</v>
      </c>
      <c r="AP90" s="395">
        <f ca="1">IF($E$259=0,0,IF(SUM($G90:AO90)=$B90,0,IF(SUM($G259:AO259)&gt;=$E259,($B90/$E259)*($E259-SUM($G259:AN259)),($B90/$E259)*AO259)))</f>
        <v>2.1515151515151515E-2</v>
      </c>
      <c r="AQ90" s="395">
        <f ca="1">IF($E$259=0,0,IF(SUM($G90:AP90)=$B90,0,IF(SUM($G259:AP259)&gt;=$E259,($B90/$E259)*($E259-SUM($G259:AO259)),($B90/$E259)*AP259)))</f>
        <v>0</v>
      </c>
      <c r="AR90" s="395">
        <f ca="1">IF($E$259=0,0,IF(SUM($G90:AQ90)=$B90,0,IF(SUM($G259:AQ259)&gt;=$E259,($B90/$E259)*($E259-SUM($G259:AP259)),($B90/$E259)*AQ259)))</f>
        <v>0</v>
      </c>
      <c r="AS90" s="395">
        <f ca="1">IF($E$259=0,0,IF(SUM($G90:AR90)=$B90,0,IF(SUM($G259:AR259)&gt;=$E259,($B90/$E259)*($E259-SUM($G259:AQ259)),($B90/$E259)*AR259)))</f>
        <v>0</v>
      </c>
      <c r="AT90" s="395">
        <f ca="1">IF($E$259=0,0,IF(SUM($G90:AS90)=$B90,0,IF(SUM($G259:AS259)&gt;=$E259,($B90/$E259)*($E259-SUM($G259:AR259)),($B90/$E259)*AS259)))</f>
        <v>0</v>
      </c>
      <c r="AU90" s="395">
        <f ca="1">IF($E$259=0,0,IF(SUM($G90:AT90)=$B90,0,IF(SUM($G259:AT259)&gt;=$E259,($B90/$E259)*($E259-SUM($G259:AS259)),($B90/$E259)*AT259)))</f>
        <v>0</v>
      </c>
      <c r="AV90" s="395">
        <f ca="1">IF($E$259=0,0,IF(SUM($G90:AU90)=$B90,0,IF(SUM($G259:AU259)&gt;=$E259,($B90/$E259)*($E259-SUM($G259:AT259)),($B90/$E259)*AU259)))</f>
        <v>0</v>
      </c>
      <c r="AW90" s="395">
        <f ca="1">IF($E$259=0,0,IF(SUM($G90:AV90)=$B90,0,IF(SUM($G259:AV259)&gt;=$E259,($B90/$E259)*($E259-SUM($G259:AU259)),($B90/$E259)*AV259)))</f>
        <v>0</v>
      </c>
      <c r="AX90" s="395">
        <f ca="1">IF($E$259=0,0,IF(SUM($G90:AW90)=$B90,0,IF(SUM($G259:AW259)&gt;=$E259,($B90/$E259)*($E259-SUM($G259:AV259)),($B90/$E259)*AW259)))</f>
        <v>0</v>
      </c>
      <c r="AY90" s="395">
        <f ca="1">IF($E$259=0,0,IF(SUM($G90:AX90)=$B90,0,IF(SUM($G259:AX259)&gt;=$E259,($B90/$E259)*($E259-SUM($G259:AW259)),($B90/$E259)*AX259)))</f>
        <v>0</v>
      </c>
      <c r="AZ90" s="395">
        <f ca="1">IF($E$259=0,0,IF(SUM($G90:AY90)=$B90,0,IF(SUM($G259:AY259)&gt;=$E259,($B90/$E259)*($E259-SUM($G259:AX259)),($B90/$E259)*AY259)))</f>
        <v>0</v>
      </c>
      <c r="BA90" s="395">
        <f ca="1">IF($E$259=0,0,IF(SUM($G90:AZ90)=$B90,0,IF(SUM($G259:AZ259)&gt;=$E259,($B90/$E259)*($E259-SUM($G259:AY259)),($B90/$E259)*AZ259)))</f>
        <v>0</v>
      </c>
      <c r="BB90" s="395">
        <f ca="1">IF($E$259=0,0,IF(SUM($G90:BA90)=$B90,0,IF(SUM($G259:BA259)&gt;=$E259,($B90/$E259)*($E259-SUM($G259:AZ259)),($B90/$E259)*BA259)))</f>
        <v>0</v>
      </c>
      <c r="BC90" s="395">
        <f ca="1">IF($E$259=0,0,IF(SUM($G90:BB90)=$B90,0,IF(SUM($G259:BB259)&gt;=$E259,($B90/$E259)*($E259-SUM($G259:BA259)),($B90/$E259)*BB259)))</f>
        <v>0</v>
      </c>
      <c r="BD90" s="395">
        <f ca="1">IF($E$259=0,0,IF(SUM($G90:BC90)=$B90,0,IF(SUM($G259:BC259)&gt;=$E259,($B90/$E259)*($E259-SUM($G259:BB259)),($B90/$E259)*BC259)))</f>
        <v>0</v>
      </c>
      <c r="BE90" s="395">
        <f ca="1">IF($E$259=0,0,IF(SUM($G90:BD90)=$B90,0,IF(SUM($G259:BD259)&gt;=$E259,($B90/$E259)*($E259-SUM($G259:BC259)),($B90/$E259)*BD259)))</f>
        <v>0</v>
      </c>
      <c r="BF90" s="395">
        <f ca="1">IF($E$259=0,0,IF(SUM($G90:BE90)=$B90,0,IF(SUM($G259:BE259)&gt;=$E259,($B90/$E259)*($E259-SUM($G259:BD259)),($B90/$E259)*BE259)))</f>
        <v>0</v>
      </c>
      <c r="BG90" s="395">
        <f ca="1">IF($E$259=0,0,IF(SUM($G90:BF90)=$B90,0,IF(SUM($G259:BF259)&gt;=$E259,($B90/$E259)*($E259-SUM($G259:BE259)),($B90/$E259)*BF259)))</f>
        <v>0</v>
      </c>
      <c r="BH90" s="395">
        <f ca="1">IF($E$259=0,0,IF(SUM($G90:BG90)=$B90,0,IF(SUM($G259:BG259)&gt;=$E259,($B90/$E259)*($E259-SUM($G259:BF259)),($B90/$E259)*BG259)))</f>
        <v>0</v>
      </c>
      <c r="BI90" s="395">
        <f ca="1">IF($E$259=0,0,IF(SUM($G90:BH90)=$B90,0,IF(SUM($G259:BH259)&gt;=$E259,($B90/$E259)*($E259-SUM($G259:BG259)),($B90/$E259)*BH259)))</f>
        <v>0</v>
      </c>
      <c r="BJ90" s="395">
        <f ca="1">IF($E$259=0,0,IF(SUM($G90:BI90)=$B90,0,IF(SUM($G259:BI259)&gt;=$E259,($B90/$E259)*($E259-SUM($G259:BH259)),($B90/$E259)*BI259)))</f>
        <v>0</v>
      </c>
      <c r="BK90" s="395">
        <f ca="1">IF($E$259=0,0,IF(SUM($G90:BJ90)=$B90,0,IF(SUM($G259:BJ259)&gt;=$E259,($B90/$E259)*($E259-SUM($G259:BI259)),($B90/$E259)*BJ259)))</f>
        <v>0</v>
      </c>
      <c r="BL90" s="395">
        <f ca="1">IF($E$259=0,0,IF(SUM($G90:BK90)=$B90,0,IF(SUM($G259:BK259)&gt;=$E259,($B90/$E259)*($E259-SUM($G259:BJ259)),($B90/$E259)*BK259)))</f>
        <v>0</v>
      </c>
      <c r="BM90" s="395">
        <f ca="1">IF($E$259=0,0,IF(SUM($G90:BL90)=$B90,0,IF(SUM($G259:BL259)&gt;=$E259,($B90/$E259)*($E259-SUM($G259:BK259)),($B90/$E259)*BL259)))</f>
        <v>0</v>
      </c>
      <c r="BN90" s="395">
        <f ca="1">IF($E$259=0,0,IF(SUM($G90:BM90)=$B90,0,IF(SUM($G259:BM259)&gt;=$E259,($B90/$E259)*($E259-SUM($G259:BL259)),($B90/$E259)*BM259)))</f>
        <v>0</v>
      </c>
      <c r="BO90" s="395">
        <f ca="1">IF($E$259=0,0,IF(SUM($G90:BN90)=$B90,0,IF(SUM($G259:BN259)&gt;=$E259,($B90/$E259)*($E259-SUM($G259:BM259)),($B90/$E259)*BN259)))</f>
        <v>0</v>
      </c>
      <c r="BP90" s="395">
        <f ca="1">IF($E$259=0,0,IF(SUM($G90:BO90)=$B90,0,IF(SUM($G259:BO259)&gt;=$E259,($B90/$E259)*($E259-SUM($G259:BN259)),($B90/$E259)*BO259)))</f>
        <v>0</v>
      </c>
      <c r="BQ90" s="395">
        <f ca="1">IF($E$259=0,0,IF(SUM($G90:BP90)=$B90,0,IF(SUM($G259:BP259)&gt;=$E259,($B90/$E259)*($E259-SUM($G259:BO259)),($B90/$E259)*BP259)))</f>
        <v>0</v>
      </c>
      <c r="BR90" s="395">
        <f ca="1">IF($E$259=0,0,IF(SUM($G90:BQ90)=$B90,0,IF(SUM($G259:BQ259)&gt;=$E259,($B90/$E259)*($E259-SUM($G259:BP259)),($B90/$E259)*BQ259)))</f>
        <v>0</v>
      </c>
      <c r="BS90" s="395">
        <f ca="1">IF($E$259=0,0,IF(SUM($G90:BR90)=$B90,0,IF(SUM($G259:BR259)&gt;=$E259,($B90/$E259)*($E259-SUM($G259:BQ259)),($B90/$E259)*BR259)))</f>
        <v>0</v>
      </c>
      <c r="BT90" s="395">
        <f ca="1">IF($E$259=0,0,IF(SUM($G90:BS90)=$B90,0,IF(SUM($G259:BS259)&gt;=$E259,($B90/$E259)*($E259-SUM($G259:BR259)),($B90/$E259)*BS259)))</f>
        <v>0</v>
      </c>
      <c r="BU90" s="395">
        <f ca="1">IF($E$259=0,0,IF(SUM($G90:BT90)=$B90,0,IF(SUM($G259:BT259)&gt;=$E259,($B90/$E259)*($E259-SUM($G259:BS259)),($B90/$E259)*BT259)))</f>
        <v>0</v>
      </c>
      <c r="BV90" s="395">
        <f ca="1">IF($E$259=0,0,IF(SUM($G90:BU90)=$B90,0,IF(SUM($G259:BU259)&gt;=$E259,($B90/$E259)*($E259-SUM($G259:BT259)),($B90/$E259)*BU259)))</f>
        <v>0</v>
      </c>
      <c r="BW90" s="395">
        <f ca="1">IF($E$259=0,0,IF(SUM($G90:BV90)=$B90,0,IF(SUM($G259:BV259)&gt;=$E259,($B90/$E259)*($E259-SUM($G259:BU259)),($B90/$E259)*BV259)))</f>
        <v>0</v>
      </c>
      <c r="BX90" s="395">
        <f ca="1">IF($E$259=0,0,IF(SUM($G90:BW90)=$B90,0,IF(SUM($G259:BW259)&gt;=$E259,($B90/$E259)*($E259-SUM($G259:BV259)),($B90/$E259)*BW259)))</f>
        <v>0</v>
      </c>
      <c r="BY90" s="395">
        <f ca="1">IF($E$259=0,0,IF(SUM($G90:BX90)=$B90,0,IF(SUM($G259:BX259)&gt;=$E259,($B90/$E259)*($E259-SUM($G259:BW259)),($B90/$E259)*BX259)))</f>
        <v>0</v>
      </c>
      <c r="BZ90" s="395">
        <f ca="1">IF($E$259=0,0,IF(SUM($G90:BY90)=$B90,0,IF(SUM($G259:BY259)&gt;=$E259,($B90/$E259)*($E259-SUM($G259:BX259)),($B90/$E259)*BY259)))</f>
        <v>0</v>
      </c>
      <c r="CA90" s="395">
        <f ca="1">IF($E$259=0,0,IF(SUM($G90:BZ90)=$B90,0,IF(SUM($G259:BZ259)&gt;=$E259,($B90/$E259)*($E259-SUM($G259:BY259)),($B90/$E259)*BZ259)))</f>
        <v>0</v>
      </c>
      <c r="CB90" s="395">
        <f ca="1">IF($E$259=0,0,IF(SUM($G90:CA90)=$B90,0,IF(SUM($G259:CA259)&gt;=$E259,($B90/$E259)*($E259-SUM($G259:BZ259)),($B90/$E259)*CA259)))</f>
        <v>0</v>
      </c>
      <c r="CC90" s="395">
        <f ca="1">IF($E$259=0,0,IF(SUM($G90:CB90)=$B90,0,IF(SUM($G259:CB259)&gt;=$E259,($B90/$E259)*($E259-SUM($G259:CA259)),($B90/$E259)*CB259)))</f>
        <v>0</v>
      </c>
      <c r="CD90" s="395">
        <f ca="1">IF($E$259=0,0,IF(SUM($G90:CC90)=$B90,0,IF(SUM($G259:CC259)&gt;=$E259,($B90/$E259)*($E259-SUM($G259:CB259)),($B90/$E259)*CC259)))</f>
        <v>0</v>
      </c>
      <c r="CE90" s="395">
        <f ca="1">IF($E$259=0,0,IF(SUM($G90:CD90)=$B90,0,IF(SUM($G259:CD259)&gt;=$E259,($B90/$E259)*($E259-SUM($G259:CC259)),($B90/$E259)*CD259)))</f>
        <v>0</v>
      </c>
      <c r="CF90" s="395">
        <f ca="1">IF($E$259=0,0,IF(SUM($G90:CE90)=$B90,0,IF(SUM($G259:CE259)&gt;=$E259,($B90/$E259)*($E259-SUM($G259:CD259)),($B90/$E259)*CE259)))</f>
        <v>0</v>
      </c>
      <c r="CG90" s="395">
        <f ca="1">IF($E$259=0,0,IF(SUM($G90:CF90)=$B90,0,IF(SUM($G259:CF259)&gt;=$E259,($B90/$E259)*($E259-SUM($G259:CE259)),($B90/$E259)*CF259)))</f>
        <v>0</v>
      </c>
      <c r="CH90" s="395">
        <f ca="1">IF($E$259=0,0,IF(SUM($G90:CG90)=$B90,0,IF(SUM($G259:CG259)&gt;=$E259,($B90/$E259)*($E259-SUM($G259:CF259)),($B90/$E259)*CG259)))</f>
        <v>0</v>
      </c>
      <c r="CI90" s="395">
        <f ca="1">IF($E$259=0,0,IF(SUM($G90:CH90)=$B90,0,IF(SUM($G259:CH259)&gt;=$E259,($B90/$E259)*($E259-SUM($G259:CG259)),($B90/$E259)*CH259)))</f>
        <v>0</v>
      </c>
      <c r="CJ90" s="395">
        <f ca="1">IF($E$259=0,0,IF(SUM($G90:CI90)=$B90,0,IF(SUM($G259:CI259)&gt;=$E259,($B90/$E259)*($E259-SUM($G259:CH259)),($B90/$E259)*CI259)))</f>
        <v>0</v>
      </c>
      <c r="CK90" s="395">
        <f ca="1">IF($E$259=0,0,IF(SUM($G90:CJ90)=$B90,0,IF(SUM($G259:CJ259)&gt;=$E259,($B90/$E259)*($E259-SUM($G259:CI259)),($B90/$E259)*CJ259)))</f>
        <v>0</v>
      </c>
      <c r="CL90" s="395">
        <f ca="1">IF($E$259=0,0,IF(SUM($G90:CK90)=$B90,0,IF(SUM($G259:CK259)&gt;=$E259,($B90/$E259)*($E259-SUM($G259:CJ259)),($B90/$E259)*CK259)))</f>
        <v>0</v>
      </c>
      <c r="CM90" s="395">
        <f ca="1">IF($E$259=0,0,IF(SUM($G90:CL90)=$B90,0,IF(SUM($G259:CL259)&gt;=$E259,($B90/$E259)*($E259-SUM($G259:CK259)),($B90/$E259)*CL259)))</f>
        <v>0</v>
      </c>
      <c r="CN90" s="395">
        <f ca="1">IF($E$259=0,0,IF(SUM($G90:CM90)=$B90,0,IF(SUM($G259:CM259)&gt;=$E259,($B90/$E259)*($E259-SUM($G259:CL259)),($B90/$E259)*CM259)))</f>
        <v>0</v>
      </c>
      <c r="CO90" s="395">
        <f ca="1">IF($E$259=0,0,IF(SUM($G90:CN90)=$B90,0,IF(SUM($G259:CN259)&gt;=$E259,($B90/$E259)*($E259-SUM($G259:CM259)),($B90/$E259)*CN259)))</f>
        <v>0</v>
      </c>
      <c r="CP90" s="395">
        <f ca="1">IF($E$259=0,0,IF(SUM($G90:CO90)=$B90,0,IF(SUM($G259:CO259)&gt;=$E259,($B90/$E259)*($E259-SUM($G259:CN259)),($B90/$E259)*CO259)))</f>
        <v>0</v>
      </c>
      <c r="CQ90" s="395">
        <f ca="1">IF($E$259=0,0,IF(SUM($G90:CP90)=$B90,0,IF(SUM($G259:CP259)&gt;=$E259,($B90/$E259)*($E259-SUM($G259:CO259)),($B90/$E259)*CP259)))</f>
        <v>0</v>
      </c>
      <c r="CR90" s="395">
        <f ca="1">IF($E$259=0,0,IF(SUM($G90:CQ90)=$B90,0,IF(SUM($G259:CQ259)&gt;=$E259,($B90/$E259)*($E259-SUM($G259:CP259)),($B90/$E259)*CQ259)))</f>
        <v>0</v>
      </c>
      <c r="CS90" s="395">
        <f ca="1">IF($E$259=0,0,IF(SUM($G90:CR90)=$B90,0,IF(SUM($G259:CR259)&gt;=$E259,($B90/$E259)*($E259-SUM($G259:CQ259)),($B90/$E259)*CR259)))</f>
        <v>0</v>
      </c>
      <c r="CT90" s="395">
        <f ca="1">IF($E$259=0,0,IF(SUM($G90:CS90)=$B90,0,IF(SUM($G259:CS259)&gt;=$E259,($B90/$E259)*($E259-SUM($G259:CR259)),($B90/$E259)*CS259)))</f>
        <v>0</v>
      </c>
      <c r="CU90" s="395">
        <f ca="1">IF($E$259=0,0,IF(SUM($G90:CT90)=$B90,0,IF(SUM($G259:CT259)&gt;=$E259,($B90/$E259)*($E259-SUM($G259:CS259)),($B90/$E259)*CT259)))</f>
        <v>0</v>
      </c>
      <c r="CV90" s="395">
        <f ca="1">IF($E$259=0,0,IF(SUM($G90:CU90)=$B90,0,IF(SUM($G259:CU259)&gt;=$E259,($B90/$E259)*($E259-SUM($G259:CT259)),($B90/$E259)*CU259)))</f>
        <v>0</v>
      </c>
      <c r="CW90" s="395">
        <f ca="1">IF($E$259=0,0,IF(SUM($G90:CV90)=$B90,0,IF(SUM($G259:CV259)&gt;=$E259,($B90/$E259)*($E259-SUM($G259:CU259)),($B90/$E259)*CV259)))</f>
        <v>0</v>
      </c>
      <c r="CX90" s="395">
        <f ca="1">IF($E$259=0,0,IF(SUM($G90:CW90)=$B90,0,IF(SUM($G259:CW259)&gt;=$E259,($B90/$E259)*($E259-SUM($G259:CV259)),($B90/$E259)*CW259)))</f>
        <v>0</v>
      </c>
      <c r="CY90" s="395">
        <f ca="1">IF($E$259=0,0,IF(SUM($G90:CX90)=$B90,0,IF(SUM($G259:CX259)&gt;=$E259,($B90/$E259)*($E259-SUM($G259:CW259)),($B90/$E259)*CX259)))</f>
        <v>0</v>
      </c>
      <c r="CZ90" s="395">
        <f ca="1">IF($E$259=0,0,IF(SUM($G90:CY90)=$B90,0,IF(SUM($G259:CY259)&gt;=$E259,($B90/$E259)*($E259-SUM($G259:CX259)),($B90/$E259)*CY259)))</f>
        <v>0</v>
      </c>
      <c r="DA90" s="395">
        <f ca="1">IF($E$259=0,0,IF(SUM($G90:CZ90)=$B90,0,IF(SUM($G259:CZ259)&gt;=$E259,($B90/$E259)*($E259-SUM($G259:CY259)),($B90/$E259)*CZ259)))</f>
        <v>0</v>
      </c>
      <c r="DB90" s="395">
        <f ca="1">IF($E$259=0,0,IF(SUM($G90:DA90)=$B90,0,IF(SUM($G259:DA259)&gt;=$E259,($B90/$E259)*($E259-SUM($G259:CZ259)),($B90/$E259)*DA259)))</f>
        <v>0</v>
      </c>
      <c r="DC90" s="395">
        <f ca="1">IF($E$259=0,0,IF(SUM($G90:DB90)=$B90,0,IF(SUM($G259:DB259)&gt;=$E259,($B90/$E259)*($E259-SUM($G259:DA259)),($B90/$E259)*DB259)))</f>
        <v>0</v>
      </c>
      <c r="DD90" s="395">
        <f ca="1">IF($E$259=0,0,IF(SUM($G90:DC90)=$B90,0,IF(SUM($G259:DC259)&gt;=$E259,($B90/$E259)*($E259-SUM($G259:DB259)),($B90/$E259)*DC259)))</f>
        <v>0</v>
      </c>
      <c r="DE90" s="395">
        <f ca="1">IF($E$259=0,0,IF(SUM($G90:DD90)=$B90,0,IF(SUM($G259:DD259)&gt;=$E259,($B90/$E259)*($E259-SUM($G259:DC259)),($B90/$E259)*DD259)))</f>
        <v>0</v>
      </c>
      <c r="DF90" s="395">
        <f ca="1">IF($E$259=0,0,IF(SUM($G90:DE90)=$B90,0,IF(SUM($G259:DE259)&gt;=$E259,($B90/$E259)*($E259-SUM($G259:DD259)),($B90/$E259)*DE259)))</f>
        <v>0</v>
      </c>
      <c r="DG90" s="395">
        <f ca="1">IF($E$259=0,0,IF(SUM($G90:DF90)=$B90,0,IF(SUM($G259:DF259)&gt;=$E259,($B90/$E259)*($E259-SUM($G259:DE259)),($B90/$E259)*DF259)))</f>
        <v>0</v>
      </c>
      <c r="DH90" s="395">
        <f ca="1">IF($E$259=0,0,IF(SUM($G90:DG90)=$B90,0,IF(SUM($G259:DG259)&gt;=$E259,($B90/$E259)*($E259-SUM($G259:DF259)),($B90/$E259)*DG259)))</f>
        <v>0</v>
      </c>
      <c r="DI90" s="395">
        <f ca="1">IF($E$259=0,0,IF(SUM($G90:DH90)=$B90,0,IF(SUM($G259:DH259)&gt;=$E259,($B90/$E259)*($E259-SUM($G259:DG259)),($B90/$E259)*DH259)))</f>
        <v>0</v>
      </c>
      <c r="DJ90" s="395">
        <f ca="1">IF($E$259=0,0,IF(SUM($G90:DI90)=$B90,0,IF(SUM($G259:DI259)&gt;=$E259,($B90/$E259)*($E259-SUM($G259:DH259)),($B90/$E259)*DI259)))</f>
        <v>0</v>
      </c>
      <c r="DK90" s="395">
        <f ca="1">IF($E$259=0,0,IF(SUM($G90:DJ90)=$B90,0,IF(SUM($G259:DJ259)&gt;=$E259,($B90/$E259)*($E259-SUM($G259:DI259)),($B90/$E259)*DJ259)))</f>
        <v>0</v>
      </c>
      <c r="DL90" s="395">
        <f ca="1">IF($E$259=0,0,IF(SUM($G90:DK90)=$B90,0,IF(SUM($G259:DK259)&gt;=$E259,($B90/$E259)*($E259-SUM($G259:DJ259)),($B90/$E259)*DK259)))</f>
        <v>0</v>
      </c>
      <c r="DM90" s="395">
        <f ca="1">IF($E$259=0,0,IF(SUM($G90:DL90)=$B90,0,IF(SUM($G259:DL259)&gt;=$E259,($B90/$E259)*($E259-SUM($G259:DK259)),($B90/$E259)*DL259)))</f>
        <v>0</v>
      </c>
      <c r="DN90" s="395">
        <f ca="1">IF($E$259=0,0,IF(SUM($G90:DM90)=$B90,0,IF(SUM($G259:DM259)&gt;=$E259,($B90/$E259)*($E259-SUM($G259:DL259)),($B90/$E259)*DM259)))</f>
        <v>0</v>
      </c>
      <c r="DO90" s="395">
        <f ca="1">IF($E$259=0,0,IF(SUM($G90:DN90)=$B90,0,IF(SUM($G259:DN259)&gt;=$E259,($B90/$E259)*($E259-SUM($G259:DM259)),($B90/$E259)*DN259)))</f>
        <v>0</v>
      </c>
      <c r="DP90" s="395">
        <f ca="1">IF($E$259=0,0,IF(SUM($G90:DO90)=$B90,0,IF(SUM($G259:DO259)&gt;=$E259,($B90/$E259)*($E259-SUM($G259:DN259)),($B90/$E259)*DO259)))</f>
        <v>0</v>
      </c>
      <c r="DQ90" s="395">
        <f ca="1">IF($E$259=0,0,IF(SUM($G90:DP90)=$B90,0,IF(SUM($G259:DP259)&gt;=$E259,($B90/$E259)*($E259-SUM($G259:DO259)),($B90/$E259)*DP259)))</f>
        <v>0</v>
      </c>
      <c r="DR90" s="395">
        <f ca="1">IF($E$259=0,0,IF(SUM($G90:DQ90)=$B90,0,IF(SUM($G259:DQ259)&gt;=$E259,($B90/$E259)*($E259-SUM($G259:DP259)),($B90/$E259)*DQ259)))</f>
        <v>0</v>
      </c>
      <c r="DS90" s="395">
        <f ca="1">IF($E$259=0,0,IF(SUM($G90:DR90)=$B90,0,IF(SUM($G259:DR259)&gt;=$E259,($B90/$E259)*($E259-SUM($G259:DQ259)),($B90/$E259)*DR259)))</f>
        <v>0</v>
      </c>
      <c r="DT90" s="395">
        <f ca="1">IF($E$259=0,0,IF(SUM($G90:DS90)=$B90,0,IF(SUM($G259:DS259)&gt;=$E259,($B90/$E259)*($E259-SUM($G259:DR259)),($B90/$E259)*DS259)))</f>
        <v>0</v>
      </c>
      <c r="DU90" s="395">
        <f ca="1">IF($E$259=0,0,IF(SUM($G90:DT90)=$B90,0,IF(SUM($G259:DT259)&gt;=$E259,($B90/$E259)*($E259-SUM($G259:DS259)),($B90/$E259)*DT259)))</f>
        <v>0</v>
      </c>
      <c r="DV90" s="395">
        <f ca="1">IF($E$259=0,0,IF(SUM($G90:DU90)=$B90,0,IF(SUM($G259:DU259)&gt;=$E259,($B90/$E259)*($E259-SUM($G259:DT259)),($B90/$E259)*DU259)))</f>
        <v>0</v>
      </c>
      <c r="DW90" s="395">
        <f ca="1">IF($E$259=0,0,IF(SUM($G90:DV90)=$B90,0,IF(SUM($G259:DV259)&gt;=$E259,($B90/$E259)*($E259-SUM($G259:DU259)),($B90/$E259)*DV259)))</f>
        <v>0</v>
      </c>
      <c r="DX90" s="395">
        <f ca="1">IF($E$259=0,0,IF(SUM($G90:DW90)=$B90,0,IF(SUM($G259:DW259)&gt;=$E259,($B90/$E259)*($E259-SUM($G259:DV259)),($B90/$E259)*DW259)))</f>
        <v>0</v>
      </c>
      <c r="DY90" s="395">
        <f ca="1">IF($E$259=0,0,IF(SUM($G90:DX90)=$B90,0,IF(SUM($G259:DX259)&gt;=$E259,($B90/$E259)*($E259-SUM($G259:DW259)),($B90/$E259)*DX259)))</f>
        <v>0</v>
      </c>
      <c r="DZ90" s="395">
        <f ca="1">IF($E$259=0,0,IF(SUM($G90:DY90)=$B90,0,IF(SUM($G259:DY259)&gt;=$E259,($B90/$E259)*($E259-SUM($G259:DX259)),($B90/$E259)*DY259)))</f>
        <v>0</v>
      </c>
      <c r="EA90" s="395">
        <f ca="1">IF($E$259=0,0,IF(SUM($G90:DZ90)=$B90,0,IF(SUM($G259:DZ259)&gt;=$E259,($B90/$E259)*($E259-SUM($G259:DY259)),($B90/$E259)*DZ259)))</f>
        <v>0</v>
      </c>
      <c r="EB90" s="395">
        <f ca="1">IF($E$259=0,0,IF(SUM($G90:EA90)=$B90,0,IF(SUM($G259:EA259)&gt;=$E259,($B90/$E259)*($E259-SUM($G259:DZ259)),($B90/$E259)*EA259)))</f>
        <v>0</v>
      </c>
      <c r="EC90" s="395">
        <f ca="1">IF($E$259=0,0,IF(SUM($G90:EB90)=$B90,0,IF(SUM($G259:EB259)&gt;=$E259,($B90/$E259)*($E259-SUM($G259:EA259)),($B90/$E259)*EB259)))</f>
        <v>0</v>
      </c>
      <c r="ED90" s="395">
        <f ca="1">IF($E$259=0,0,IF(SUM($G90:EC90)=$B90,0,IF(SUM($G259:EC259)&gt;=$E259,($B90/$E259)*($E259-SUM($G259:EB259)),($B90/$E259)*EC259)))</f>
        <v>0</v>
      </c>
      <c r="EE90" s="395">
        <f ca="1">IF($E$259=0,0,IF(SUM($G90:ED90)=$B90,0,IF(SUM($G259:ED259)&gt;=$E259,($B90/$E259)*($E259-SUM($G259:EC259)),($B90/$E259)*ED259)))</f>
        <v>0</v>
      </c>
      <c r="EF90" s="395">
        <f ca="1">IF($E$259=0,0,IF(SUM($G90:EE90)=$B90,0,IF(SUM($G259:EE259)&gt;=$E259,($B90/$E259)*($E259-SUM($G259:ED259)),($B90/$E259)*EE259)))</f>
        <v>0</v>
      </c>
      <c r="EG90" s="395">
        <f ca="1">IF($E$259=0,0,IF(SUM($G90:EF90)=$B90,0,IF(SUM($G259:EF259)&gt;=$E259,($B90/$E259)*($E259-SUM($G259:EE259)),($B90/$E259)*EF259)))</f>
        <v>0</v>
      </c>
      <c r="EH90" s="395">
        <f ca="1">IF($E$259=0,0,IF(SUM($G90:EG90)=$B90,0,IF(SUM($G259:EG259)&gt;=$E259,($B90/$E259)*($E259-SUM($G259:EF259)),($B90/$E259)*EG259)))</f>
        <v>0</v>
      </c>
      <c r="EI90" s="395">
        <f ca="1">IF($E$259=0,0,IF(SUM($G90:EH90)=$B90,0,IF(SUM($G259:EH259)&gt;=$E259,($B90/$E259)*($E259-SUM($G259:EG259)),($B90/$E259)*EH259)))</f>
        <v>0</v>
      </c>
      <c r="EJ90" s="398"/>
      <c r="EK90" s="313"/>
    </row>
    <row r="91" spans="1:141" hidden="1" outlineLevel="1" collapsed="1">
      <c r="A91" s="332"/>
      <c r="B91" s="313"/>
      <c r="C91" s="392" t="s">
        <v>57</v>
      </c>
      <c r="D91" s="392" t="s">
        <v>58</v>
      </c>
      <c r="E91" s="393">
        <f ca="1">ROUND(IF(F91=0,0,100%-F91),0)</f>
        <v>0</v>
      </c>
      <c r="F91" s="394">
        <f t="shared" ca="1" si="283"/>
        <v>0.99999999999999989</v>
      </c>
      <c r="G91" s="395">
        <f>SUM(G92:G95)</f>
        <v>0</v>
      </c>
      <c r="H91" s="395">
        <f t="shared" ref="H91:BS91" ca="1" si="312">SUM(H92:H95)</f>
        <v>0</v>
      </c>
      <c r="I91" s="395">
        <f t="shared" ca="1" si="312"/>
        <v>0</v>
      </c>
      <c r="J91" s="395">
        <f t="shared" ca="1" si="312"/>
        <v>0</v>
      </c>
      <c r="K91" s="395">
        <f t="shared" ca="1" si="312"/>
        <v>0</v>
      </c>
      <c r="L91" s="395">
        <f t="shared" ca="1" si="312"/>
        <v>0</v>
      </c>
      <c r="M91" s="395">
        <f t="shared" ca="1" si="312"/>
        <v>0</v>
      </c>
      <c r="N91" s="395">
        <f t="shared" ca="1" si="312"/>
        <v>0</v>
      </c>
      <c r="O91" s="395">
        <f t="shared" ca="1" si="312"/>
        <v>0</v>
      </c>
      <c r="P91" s="395">
        <f t="shared" ca="1" si="312"/>
        <v>0</v>
      </c>
      <c r="Q91" s="395">
        <f t="shared" ca="1" si="312"/>
        <v>0</v>
      </c>
      <c r="R91" s="395">
        <f t="shared" ca="1" si="312"/>
        <v>0</v>
      </c>
      <c r="S91" s="395">
        <f t="shared" ca="1" si="312"/>
        <v>0</v>
      </c>
      <c r="T91" s="395">
        <f t="shared" ca="1" si="312"/>
        <v>0</v>
      </c>
      <c r="U91" s="395">
        <f t="shared" ca="1" si="312"/>
        <v>0</v>
      </c>
      <c r="V91" s="395">
        <f t="shared" ca="1" si="312"/>
        <v>0</v>
      </c>
      <c r="W91" s="395">
        <f t="shared" ca="1" si="312"/>
        <v>0</v>
      </c>
      <c r="X91" s="395">
        <f t="shared" ca="1" si="312"/>
        <v>0</v>
      </c>
      <c r="Y91" s="395">
        <f t="shared" ca="1" si="312"/>
        <v>0</v>
      </c>
      <c r="Z91" s="395">
        <f t="shared" ca="1" si="312"/>
        <v>0</v>
      </c>
      <c r="AA91" s="395">
        <f t="shared" ca="1" si="312"/>
        <v>0.15</v>
      </c>
      <c r="AB91" s="395">
        <f t="shared" ca="1" si="312"/>
        <v>0</v>
      </c>
      <c r="AC91" s="395">
        <f t="shared" ca="1" si="312"/>
        <v>3.8383838383838381E-2</v>
      </c>
      <c r="AD91" s="395">
        <f t="shared" ca="1" si="312"/>
        <v>6.2626262626262627E-2</v>
      </c>
      <c r="AE91" s="395">
        <f t="shared" ca="1" si="312"/>
        <v>5.6565656565656569E-2</v>
      </c>
      <c r="AF91" s="395">
        <f t="shared" ca="1" si="312"/>
        <v>6.2626262626262627E-2</v>
      </c>
      <c r="AG91" s="395">
        <f t="shared" ca="1" si="312"/>
        <v>6.0606060606060608E-2</v>
      </c>
      <c r="AH91" s="395">
        <f t="shared" ca="1" si="312"/>
        <v>6.2626262626262627E-2</v>
      </c>
      <c r="AI91" s="395">
        <f t="shared" ca="1" si="312"/>
        <v>6.0606060606060608E-2</v>
      </c>
      <c r="AJ91" s="395">
        <f t="shared" ca="1" si="312"/>
        <v>6.2626262626262627E-2</v>
      </c>
      <c r="AK91" s="395">
        <f t="shared" ca="1" si="312"/>
        <v>6.2626262626262627E-2</v>
      </c>
      <c r="AL91" s="395">
        <f t="shared" ca="1" si="312"/>
        <v>6.0606060606060608E-2</v>
      </c>
      <c r="AM91" s="395">
        <f t="shared" ca="1" si="312"/>
        <v>6.2626262626262627E-2</v>
      </c>
      <c r="AN91" s="395">
        <f t="shared" ca="1" si="312"/>
        <v>6.0606060606060608E-2</v>
      </c>
      <c r="AO91" s="395">
        <f t="shared" ca="1" si="312"/>
        <v>6.2626262626262627E-2</v>
      </c>
      <c r="AP91" s="395">
        <f t="shared" ca="1" si="312"/>
        <v>2.4242424242424242E-2</v>
      </c>
      <c r="AQ91" s="395">
        <f t="shared" ca="1" si="312"/>
        <v>2.5000000000000001E-2</v>
      </c>
      <c r="AR91" s="395">
        <f t="shared" ca="1" si="312"/>
        <v>0</v>
      </c>
      <c r="AS91" s="395">
        <f t="shared" ca="1" si="312"/>
        <v>0</v>
      </c>
      <c r="AT91" s="395">
        <f t="shared" ca="1" si="312"/>
        <v>0</v>
      </c>
      <c r="AU91" s="395">
        <f t="shared" ca="1" si="312"/>
        <v>0</v>
      </c>
      <c r="AV91" s="395">
        <f t="shared" ca="1" si="312"/>
        <v>0</v>
      </c>
      <c r="AW91" s="395">
        <f t="shared" ca="1" si="312"/>
        <v>0</v>
      </c>
      <c r="AX91" s="395">
        <f t="shared" ca="1" si="312"/>
        <v>0</v>
      </c>
      <c r="AY91" s="395">
        <f t="shared" ca="1" si="312"/>
        <v>0</v>
      </c>
      <c r="AZ91" s="395">
        <f t="shared" ca="1" si="312"/>
        <v>0</v>
      </c>
      <c r="BA91" s="395">
        <f t="shared" ca="1" si="312"/>
        <v>0</v>
      </c>
      <c r="BB91" s="395">
        <f t="shared" ca="1" si="312"/>
        <v>0</v>
      </c>
      <c r="BC91" s="395">
        <f t="shared" ca="1" si="312"/>
        <v>0</v>
      </c>
      <c r="BD91" s="395">
        <f t="shared" ca="1" si="312"/>
        <v>0</v>
      </c>
      <c r="BE91" s="395">
        <f t="shared" ca="1" si="312"/>
        <v>0</v>
      </c>
      <c r="BF91" s="395">
        <f t="shared" ca="1" si="312"/>
        <v>0</v>
      </c>
      <c r="BG91" s="395">
        <f t="shared" ca="1" si="312"/>
        <v>0</v>
      </c>
      <c r="BH91" s="395">
        <f t="shared" ca="1" si="312"/>
        <v>0</v>
      </c>
      <c r="BI91" s="395">
        <f t="shared" ca="1" si="312"/>
        <v>0</v>
      </c>
      <c r="BJ91" s="395">
        <f t="shared" ca="1" si="312"/>
        <v>0</v>
      </c>
      <c r="BK91" s="395">
        <f t="shared" ca="1" si="312"/>
        <v>0</v>
      </c>
      <c r="BL91" s="395">
        <f t="shared" ca="1" si="312"/>
        <v>0</v>
      </c>
      <c r="BM91" s="395">
        <f t="shared" ca="1" si="312"/>
        <v>0</v>
      </c>
      <c r="BN91" s="395">
        <f t="shared" ca="1" si="312"/>
        <v>2.5000000000000001E-2</v>
      </c>
      <c r="BO91" s="395">
        <f t="shared" ca="1" si="312"/>
        <v>0</v>
      </c>
      <c r="BP91" s="395">
        <f t="shared" ca="1" si="312"/>
        <v>0</v>
      </c>
      <c r="BQ91" s="395">
        <f t="shared" ca="1" si="312"/>
        <v>0</v>
      </c>
      <c r="BR91" s="395">
        <f t="shared" ca="1" si="312"/>
        <v>0</v>
      </c>
      <c r="BS91" s="395">
        <f t="shared" ca="1" si="312"/>
        <v>0</v>
      </c>
      <c r="BT91" s="395">
        <f t="shared" ref="BT91:EE91" ca="1" si="313">SUM(BT92:BT95)</f>
        <v>0</v>
      </c>
      <c r="BU91" s="395">
        <f t="shared" ca="1" si="313"/>
        <v>0</v>
      </c>
      <c r="BV91" s="395">
        <f t="shared" ca="1" si="313"/>
        <v>0</v>
      </c>
      <c r="BW91" s="395">
        <f t="shared" ca="1" si="313"/>
        <v>0</v>
      </c>
      <c r="BX91" s="395">
        <f t="shared" ca="1" si="313"/>
        <v>0</v>
      </c>
      <c r="BY91" s="395">
        <f t="shared" ca="1" si="313"/>
        <v>0</v>
      </c>
      <c r="BZ91" s="395">
        <f t="shared" ca="1" si="313"/>
        <v>0</v>
      </c>
      <c r="CA91" s="395">
        <f t="shared" ca="1" si="313"/>
        <v>0</v>
      </c>
      <c r="CB91" s="395">
        <f t="shared" ca="1" si="313"/>
        <v>0</v>
      </c>
      <c r="CC91" s="395">
        <f t="shared" ca="1" si="313"/>
        <v>0</v>
      </c>
      <c r="CD91" s="395">
        <f t="shared" ca="1" si="313"/>
        <v>0</v>
      </c>
      <c r="CE91" s="395">
        <f t="shared" ca="1" si="313"/>
        <v>0</v>
      </c>
      <c r="CF91" s="395">
        <f t="shared" ca="1" si="313"/>
        <v>0</v>
      </c>
      <c r="CG91" s="395">
        <f t="shared" ca="1" si="313"/>
        <v>0</v>
      </c>
      <c r="CH91" s="395">
        <f t="shared" ca="1" si="313"/>
        <v>0</v>
      </c>
      <c r="CI91" s="395">
        <f t="shared" ca="1" si="313"/>
        <v>0</v>
      </c>
      <c r="CJ91" s="395">
        <f t="shared" ca="1" si="313"/>
        <v>0</v>
      </c>
      <c r="CK91" s="395">
        <f t="shared" ca="1" si="313"/>
        <v>0</v>
      </c>
      <c r="CL91" s="395">
        <f t="shared" ca="1" si="313"/>
        <v>0</v>
      </c>
      <c r="CM91" s="395">
        <f t="shared" ca="1" si="313"/>
        <v>0</v>
      </c>
      <c r="CN91" s="395">
        <f t="shared" ca="1" si="313"/>
        <v>0</v>
      </c>
      <c r="CO91" s="395">
        <f t="shared" ca="1" si="313"/>
        <v>0</v>
      </c>
      <c r="CP91" s="395">
        <f t="shared" ca="1" si="313"/>
        <v>0</v>
      </c>
      <c r="CQ91" s="395">
        <f t="shared" ca="1" si="313"/>
        <v>0</v>
      </c>
      <c r="CR91" s="395">
        <f t="shared" ca="1" si="313"/>
        <v>0</v>
      </c>
      <c r="CS91" s="395">
        <f t="shared" ca="1" si="313"/>
        <v>0</v>
      </c>
      <c r="CT91" s="395">
        <f t="shared" ca="1" si="313"/>
        <v>0</v>
      </c>
      <c r="CU91" s="395">
        <f t="shared" ca="1" si="313"/>
        <v>0</v>
      </c>
      <c r="CV91" s="395">
        <f t="shared" ca="1" si="313"/>
        <v>0</v>
      </c>
      <c r="CW91" s="395">
        <f t="shared" ca="1" si="313"/>
        <v>0</v>
      </c>
      <c r="CX91" s="395">
        <f t="shared" ca="1" si="313"/>
        <v>0</v>
      </c>
      <c r="CY91" s="395">
        <f t="shared" ca="1" si="313"/>
        <v>0</v>
      </c>
      <c r="CZ91" s="395">
        <f t="shared" ca="1" si="313"/>
        <v>0</v>
      </c>
      <c r="DA91" s="395">
        <f t="shared" ca="1" si="313"/>
        <v>0</v>
      </c>
      <c r="DB91" s="395">
        <f t="shared" ca="1" si="313"/>
        <v>0</v>
      </c>
      <c r="DC91" s="395">
        <f t="shared" ca="1" si="313"/>
        <v>0</v>
      </c>
      <c r="DD91" s="395">
        <f t="shared" ca="1" si="313"/>
        <v>0</v>
      </c>
      <c r="DE91" s="395">
        <f t="shared" ca="1" si="313"/>
        <v>0</v>
      </c>
      <c r="DF91" s="395">
        <f t="shared" ca="1" si="313"/>
        <v>0</v>
      </c>
      <c r="DG91" s="395">
        <f t="shared" ca="1" si="313"/>
        <v>0</v>
      </c>
      <c r="DH91" s="395">
        <f t="shared" ca="1" si="313"/>
        <v>0</v>
      </c>
      <c r="DI91" s="395">
        <f t="shared" ca="1" si="313"/>
        <v>0</v>
      </c>
      <c r="DJ91" s="395">
        <f t="shared" ca="1" si="313"/>
        <v>0</v>
      </c>
      <c r="DK91" s="395">
        <f t="shared" ca="1" si="313"/>
        <v>0</v>
      </c>
      <c r="DL91" s="395">
        <f t="shared" ca="1" si="313"/>
        <v>0</v>
      </c>
      <c r="DM91" s="395">
        <f t="shared" ca="1" si="313"/>
        <v>0</v>
      </c>
      <c r="DN91" s="395">
        <f t="shared" ca="1" si="313"/>
        <v>0</v>
      </c>
      <c r="DO91" s="395">
        <f t="shared" ca="1" si="313"/>
        <v>0</v>
      </c>
      <c r="DP91" s="395">
        <f t="shared" ca="1" si="313"/>
        <v>0</v>
      </c>
      <c r="DQ91" s="395">
        <f t="shared" ca="1" si="313"/>
        <v>0</v>
      </c>
      <c r="DR91" s="395">
        <f t="shared" ca="1" si="313"/>
        <v>0</v>
      </c>
      <c r="DS91" s="395">
        <f t="shared" ca="1" si="313"/>
        <v>0</v>
      </c>
      <c r="DT91" s="395">
        <f t="shared" ca="1" si="313"/>
        <v>0</v>
      </c>
      <c r="DU91" s="395">
        <f t="shared" ca="1" si="313"/>
        <v>0</v>
      </c>
      <c r="DV91" s="395">
        <f t="shared" ca="1" si="313"/>
        <v>0</v>
      </c>
      <c r="DW91" s="395">
        <f t="shared" ca="1" si="313"/>
        <v>0</v>
      </c>
      <c r="DX91" s="395">
        <f t="shared" ca="1" si="313"/>
        <v>0</v>
      </c>
      <c r="DY91" s="395">
        <f t="shared" ca="1" si="313"/>
        <v>0</v>
      </c>
      <c r="DZ91" s="395">
        <f t="shared" ca="1" si="313"/>
        <v>0</v>
      </c>
      <c r="EA91" s="395">
        <f t="shared" ca="1" si="313"/>
        <v>0</v>
      </c>
      <c r="EB91" s="395">
        <f t="shared" ca="1" si="313"/>
        <v>0</v>
      </c>
      <c r="EC91" s="395">
        <f t="shared" ca="1" si="313"/>
        <v>0</v>
      </c>
      <c r="ED91" s="395">
        <f t="shared" ca="1" si="313"/>
        <v>0</v>
      </c>
      <c r="EE91" s="395">
        <f t="shared" ca="1" si="313"/>
        <v>0</v>
      </c>
      <c r="EF91" s="395">
        <f t="shared" ref="EF91:EI91" ca="1" si="314">SUM(EF92:EF95)</f>
        <v>0</v>
      </c>
      <c r="EG91" s="395">
        <f t="shared" ca="1" si="314"/>
        <v>0</v>
      </c>
      <c r="EH91" s="395">
        <f t="shared" ca="1" si="314"/>
        <v>0</v>
      </c>
      <c r="EI91" s="395">
        <f t="shared" ca="1" si="314"/>
        <v>0</v>
      </c>
      <c r="EJ91" s="398"/>
      <c r="EK91" s="313"/>
    </row>
    <row r="92" spans="1:141" hidden="1" outlineLevel="2">
      <c r="A92" s="332"/>
      <c r="B92" s="549">
        <f>длительность!B183</f>
        <v>0.15</v>
      </c>
      <c r="C92" s="317"/>
      <c r="D92" s="317" t="s">
        <v>664</v>
      </c>
      <c r="E92" s="318">
        <f t="shared" ref="E92:E95" ca="1" si="315">IF(F92=0,0,B92-F92)</f>
        <v>0</v>
      </c>
      <c r="F92" s="397">
        <f t="shared" ca="1" si="283"/>
        <v>0.15</v>
      </c>
      <c r="G92" s="395"/>
      <c r="H92" s="395">
        <f ca="1">IF(SUM($G92:G92)=$B92,0,IF(J93&gt;0%,$B92,0%))</f>
        <v>0</v>
      </c>
      <c r="I92" s="395">
        <f ca="1">IF(SUM($G92:H92)=$B92,0,IF(K93&gt;0%,$B92,0%))</f>
        <v>0</v>
      </c>
      <c r="J92" s="395">
        <f ca="1">IF(SUM($G92:I92)=$B92,0,IF(L93&gt;0%,$B92,0%))</f>
        <v>0</v>
      </c>
      <c r="K92" s="395">
        <f ca="1">IF(SUM($G92:J92)=$B92,0,IF(M93&gt;0%,$B92,0%))</f>
        <v>0</v>
      </c>
      <c r="L92" s="395">
        <f ca="1">IF(SUM($G92:K92)=$B92,0,IF(N93&gt;0%,$B92,0%))</f>
        <v>0</v>
      </c>
      <c r="M92" s="395">
        <f ca="1">IF(SUM($G92:L92)=$B92,0,IF(O93&gt;0%,$B92,0%))</f>
        <v>0</v>
      </c>
      <c r="N92" s="395">
        <f ca="1">IF(SUM($G92:M92)=$B92,0,IF(P93&gt;0%,$B92,0%))</f>
        <v>0</v>
      </c>
      <c r="O92" s="395">
        <f ca="1">IF(SUM($G92:N92)=$B92,0,IF(Q93&gt;0%,$B92,0%))</f>
        <v>0</v>
      </c>
      <c r="P92" s="395">
        <f ca="1">IF(SUM($G92:O92)=$B92,0,IF(R93&gt;0%,$B92,0%))</f>
        <v>0</v>
      </c>
      <c r="Q92" s="395">
        <f ca="1">IF(SUM($G92:P92)=$B92,0,IF(S93&gt;0%,$B92,0%))</f>
        <v>0</v>
      </c>
      <c r="R92" s="395">
        <f ca="1">IF(SUM($G92:Q92)=$B92,0,IF(T93&gt;0%,$B92,0%))</f>
        <v>0</v>
      </c>
      <c r="S92" s="395">
        <f ca="1">IF(SUM($G92:R92)=$B92,0,IF(U93&gt;0%,$B92,0%))</f>
        <v>0</v>
      </c>
      <c r="T92" s="395">
        <f ca="1">IF(SUM($G92:S92)=$B92,0,IF(V93&gt;0%,$B92,0%))</f>
        <v>0</v>
      </c>
      <c r="U92" s="395">
        <f ca="1">IF(SUM($G92:T92)=$B92,0,IF(W93&gt;0%,$B92,0%))</f>
        <v>0</v>
      </c>
      <c r="V92" s="395">
        <f ca="1">IF(SUM($G92:U92)=$B92,0,IF(X93&gt;0%,$B92,0%))</f>
        <v>0</v>
      </c>
      <c r="W92" s="395">
        <f ca="1">IF(SUM($G92:V92)=$B92,0,IF(Y93&gt;0%,$B92,0%))</f>
        <v>0</v>
      </c>
      <c r="X92" s="395">
        <f ca="1">IF(SUM($G92:W92)=$B92,0,IF(Z93&gt;0%,$B92,0%))</f>
        <v>0</v>
      </c>
      <c r="Y92" s="395">
        <f ca="1">IF(SUM($G92:X92)=$B92,0,IF(AA93&gt;0%,$B92,0%))</f>
        <v>0</v>
      </c>
      <c r="Z92" s="395">
        <f ca="1">IF(SUM($G92:Y92)=$B92,0,IF(AB93&gt;0%,$B92,0%))</f>
        <v>0</v>
      </c>
      <c r="AA92" s="395">
        <f ca="1">IF(SUM($G92:Z92)=$B92,0,IF(AC93&gt;0%,$B92,0%))</f>
        <v>0.15</v>
      </c>
      <c r="AB92" s="395">
        <f ca="1">IF(SUM($G92:AA92)=$B92,0,IF(AD93&gt;0%,$B92,0%))</f>
        <v>0</v>
      </c>
      <c r="AC92" s="395">
        <f ca="1">IF(SUM($G92:AB92)=$B92,0,IF(AE93&gt;0%,$B92,0%))</f>
        <v>0</v>
      </c>
      <c r="AD92" s="395">
        <f ca="1">IF(SUM($G92:AC92)=$B92,0,IF(AF93&gt;0%,$B92,0%))</f>
        <v>0</v>
      </c>
      <c r="AE92" s="395">
        <f ca="1">IF(SUM($G92:AD92)=$B92,0,IF(AG93&gt;0%,$B92,0%))</f>
        <v>0</v>
      </c>
      <c r="AF92" s="395">
        <f ca="1">IF(SUM($G92:AE92)=$B92,0,IF(AH93&gt;0%,$B92,0%))</f>
        <v>0</v>
      </c>
      <c r="AG92" s="395">
        <f ca="1">IF(SUM($G92:AF92)=$B92,0,IF(AI93&gt;0%,$B92,0%))</f>
        <v>0</v>
      </c>
      <c r="AH92" s="395">
        <f ca="1">IF(SUM($G92:AG92)=$B92,0,IF(AJ93&gt;0%,$B92,0%))</f>
        <v>0</v>
      </c>
      <c r="AI92" s="395">
        <f ca="1">IF(SUM($G92:AH92)=$B92,0,IF(AK93&gt;0%,$B92,0%))</f>
        <v>0</v>
      </c>
      <c r="AJ92" s="395">
        <f ca="1">IF(SUM($G92:AI92)=$B92,0,IF(AL93&gt;0%,$B92,0%))</f>
        <v>0</v>
      </c>
      <c r="AK92" s="395">
        <f ca="1">IF(SUM($G92:AJ92)=$B92,0,IF(AM93&gt;0%,$B92,0%))</f>
        <v>0</v>
      </c>
      <c r="AL92" s="395">
        <f ca="1">IF(SUM($G92:AK92)=$B92,0,IF(AN93&gt;0%,$B92,0%))</f>
        <v>0</v>
      </c>
      <c r="AM92" s="395">
        <f ca="1">IF(SUM($G92:AL92)=$B92,0,IF(AO93&gt;0%,$B92,0%))</f>
        <v>0</v>
      </c>
      <c r="AN92" s="395">
        <f ca="1">IF(SUM($G92:AM92)=$B92,0,IF(AP93&gt;0%,$B92,0%))</f>
        <v>0</v>
      </c>
      <c r="AO92" s="395">
        <f ca="1">IF(SUM($G92:AN92)=$B92,0,IF(AQ93&gt;0%,$B92,0%))</f>
        <v>0</v>
      </c>
      <c r="AP92" s="395">
        <f ca="1">IF(SUM($G92:AO92)=$B92,0,IF(AR93&gt;0%,$B92,0%))</f>
        <v>0</v>
      </c>
      <c r="AQ92" s="395">
        <f ca="1">IF(SUM($G92:AP92)=$B92,0,IF(AS93&gt;0%,$B92,0%))</f>
        <v>0</v>
      </c>
      <c r="AR92" s="395">
        <f ca="1">IF(SUM($G92:AQ92)=$B92,0,IF(AT93&gt;0%,$B92,0%))</f>
        <v>0</v>
      </c>
      <c r="AS92" s="395">
        <f ca="1">IF(SUM($G92:AR92)=$B92,0,IF(AU93&gt;0%,$B92,0%))</f>
        <v>0</v>
      </c>
      <c r="AT92" s="395">
        <f ca="1">IF(SUM($G92:AS92)=$B92,0,IF(AV93&gt;0%,$B92,0%))</f>
        <v>0</v>
      </c>
      <c r="AU92" s="395">
        <f ca="1">IF(SUM($G92:AT92)=$B92,0,IF(AW93&gt;0%,$B92,0%))</f>
        <v>0</v>
      </c>
      <c r="AV92" s="395">
        <f ca="1">IF(SUM($G92:AU92)=$B92,0,IF(AX93&gt;0%,$B92,0%))</f>
        <v>0</v>
      </c>
      <c r="AW92" s="395">
        <f ca="1">IF(SUM($G92:AV92)=$B92,0,IF(AY93&gt;0%,$B92,0%))</f>
        <v>0</v>
      </c>
      <c r="AX92" s="395">
        <f ca="1">IF(SUM($G92:AW92)=$B92,0,IF(AZ93&gt;0%,$B92,0%))</f>
        <v>0</v>
      </c>
      <c r="AY92" s="395">
        <f ca="1">IF(SUM($G92:AX92)=$B92,0,IF(BA93&gt;0%,$B92,0%))</f>
        <v>0</v>
      </c>
      <c r="AZ92" s="395">
        <f ca="1">IF(SUM($G92:AY92)=$B92,0,IF(BB93&gt;0%,$B92,0%))</f>
        <v>0</v>
      </c>
      <c r="BA92" s="395">
        <f ca="1">IF(SUM($G92:AZ92)=$B92,0,IF(BC93&gt;0%,$B92,0%))</f>
        <v>0</v>
      </c>
      <c r="BB92" s="395">
        <f ca="1">IF(SUM($G92:BA92)=$B92,0,IF(BD93&gt;0%,$B92,0%))</f>
        <v>0</v>
      </c>
      <c r="BC92" s="395">
        <f ca="1">IF(SUM($G92:BB92)=$B92,0,IF(BE93&gt;0%,$B92,0%))</f>
        <v>0</v>
      </c>
      <c r="BD92" s="395">
        <f ca="1">IF(SUM($G92:BC92)=$B92,0,IF(BF93&gt;0%,$B92,0%))</f>
        <v>0</v>
      </c>
      <c r="BE92" s="395">
        <f ca="1">IF(SUM($G92:BD92)=$B92,0,IF(BG93&gt;0%,$B92,0%))</f>
        <v>0</v>
      </c>
      <c r="BF92" s="395">
        <f ca="1">IF(SUM($G92:BE92)=$B92,0,IF(BH93&gt;0%,$B92,0%))</f>
        <v>0</v>
      </c>
      <c r="BG92" s="395">
        <f ca="1">IF(SUM($G92:BF92)=$B92,0,IF(BI93&gt;0%,$B92,0%))</f>
        <v>0</v>
      </c>
      <c r="BH92" s="395">
        <f ca="1">IF(SUM($G92:BG92)=$B92,0,IF(BJ93&gt;0%,$B92,0%))</f>
        <v>0</v>
      </c>
      <c r="BI92" s="395">
        <f ca="1">IF(SUM($G92:BH92)=$B92,0,IF(BK93&gt;0%,$B92,0%))</f>
        <v>0</v>
      </c>
      <c r="BJ92" s="395">
        <f ca="1">IF(SUM($G92:BI92)=$B92,0,IF(BL93&gt;0%,$B92,0%))</f>
        <v>0</v>
      </c>
      <c r="BK92" s="395">
        <f ca="1">IF(SUM($G92:BJ92)=$B92,0,IF(BM93&gt;0%,$B92,0%))</f>
        <v>0</v>
      </c>
      <c r="BL92" s="395">
        <f ca="1">IF(SUM($G92:BK92)=$B92,0,IF(BN93&gt;0%,$B92,0%))</f>
        <v>0</v>
      </c>
      <c r="BM92" s="395">
        <f ca="1">IF(SUM($G92:BL92)=$B92,0,IF(BO93&gt;0%,$B92,0%))</f>
        <v>0</v>
      </c>
      <c r="BN92" s="395">
        <f ca="1">IF(SUM($G92:BM92)=$B92,0,IF(BP93&gt;0%,$B92,0%))</f>
        <v>0</v>
      </c>
      <c r="BO92" s="395">
        <f ca="1">IF(SUM($G92:BN92)=$B92,0,IF(BQ93&gt;0%,$B92,0%))</f>
        <v>0</v>
      </c>
      <c r="BP92" s="395">
        <f ca="1">IF(SUM($G92:BO92)=$B92,0,IF(BR93&gt;0%,$B92,0%))</f>
        <v>0</v>
      </c>
      <c r="BQ92" s="395">
        <f ca="1">IF(SUM($G92:BP92)=$B92,0,IF(BS93&gt;0%,$B92,0%))</f>
        <v>0</v>
      </c>
      <c r="BR92" s="395">
        <f ca="1">IF(SUM($G92:BQ92)=$B92,0,IF(BT93&gt;0%,$B92,0%))</f>
        <v>0</v>
      </c>
      <c r="BS92" s="395">
        <f ca="1">IF(SUM($G92:BR92)=$B92,0,IF(BU93&gt;0%,$B92,0%))</f>
        <v>0</v>
      </c>
      <c r="BT92" s="395">
        <f ca="1">IF(SUM($G92:BS92)=$B92,0,IF(BV93&gt;0%,$B92,0%))</f>
        <v>0</v>
      </c>
      <c r="BU92" s="395">
        <f ca="1">IF(SUM($G92:BT92)=$B92,0,IF(BW93&gt;0%,$B92,0%))</f>
        <v>0</v>
      </c>
      <c r="BV92" s="395">
        <f ca="1">IF(SUM($G92:BU92)=$B92,0,IF(BX93&gt;0%,$B92,0%))</f>
        <v>0</v>
      </c>
      <c r="BW92" s="395">
        <f ca="1">IF(SUM($G92:BV92)=$B92,0,IF(BY93&gt;0%,$B92,0%))</f>
        <v>0</v>
      </c>
      <c r="BX92" s="395">
        <f ca="1">IF(SUM($G92:BW92)=$B92,0,IF(BZ93&gt;0%,$B92,0%))</f>
        <v>0</v>
      </c>
      <c r="BY92" s="395">
        <f ca="1">IF(SUM($G92:BX92)=$B92,0,IF(CA93&gt;0%,$B92,0%))</f>
        <v>0</v>
      </c>
      <c r="BZ92" s="395">
        <f ca="1">IF(SUM($G92:BY92)=$B92,0,IF(CB93&gt;0%,$B92,0%))</f>
        <v>0</v>
      </c>
      <c r="CA92" s="395">
        <f ca="1">IF(SUM($G92:BZ92)=$B92,0,IF(CC93&gt;0%,$B92,0%))</f>
        <v>0</v>
      </c>
      <c r="CB92" s="395">
        <f ca="1">IF(SUM($G92:CA92)=$B92,0,IF(CD93&gt;0%,$B92,0%))</f>
        <v>0</v>
      </c>
      <c r="CC92" s="395">
        <f ca="1">IF(SUM($G92:CB92)=$B92,0,IF(CE93&gt;0%,$B92,0%))</f>
        <v>0</v>
      </c>
      <c r="CD92" s="395">
        <f ca="1">IF(SUM($G92:CC92)=$B92,0,IF(CF93&gt;0%,$B92,0%))</f>
        <v>0</v>
      </c>
      <c r="CE92" s="395">
        <f ca="1">IF(SUM($G92:CD92)=$B92,0,IF(CG93&gt;0%,$B92,0%))</f>
        <v>0</v>
      </c>
      <c r="CF92" s="395">
        <f ca="1">IF(SUM($G92:CE92)=$B92,0,IF(CH93&gt;0%,$B92,0%))</f>
        <v>0</v>
      </c>
      <c r="CG92" s="395">
        <f ca="1">IF(SUM($G92:CF92)=$B92,0,IF(CI93&gt;0%,$B92,0%))</f>
        <v>0</v>
      </c>
      <c r="CH92" s="395">
        <f ca="1">IF(SUM($G92:CG92)=$B92,0,IF(CJ93&gt;0%,$B92,0%))</f>
        <v>0</v>
      </c>
      <c r="CI92" s="395">
        <f ca="1">IF(SUM($G92:CH92)=$B92,0,IF(CK93&gt;0%,$B92,0%))</f>
        <v>0</v>
      </c>
      <c r="CJ92" s="395">
        <f ca="1">IF(SUM($G92:CI92)=$B92,0,IF(CL93&gt;0%,$B92,0%))</f>
        <v>0</v>
      </c>
      <c r="CK92" s="395">
        <f ca="1">IF(SUM($G92:CJ92)=$B92,0,IF(CM93&gt;0%,$B92,0%))</f>
        <v>0</v>
      </c>
      <c r="CL92" s="395">
        <f ca="1">IF(SUM($G92:CK92)=$B92,0,IF(CN93&gt;0%,$B92,0%))</f>
        <v>0</v>
      </c>
      <c r="CM92" s="395">
        <f ca="1">IF(SUM($G92:CL92)=$B92,0,IF(CO93&gt;0%,$B92,0%))</f>
        <v>0</v>
      </c>
      <c r="CN92" s="395">
        <f ca="1">IF(SUM($G92:CM92)=$B92,0,IF(CP93&gt;0%,$B92,0%))</f>
        <v>0</v>
      </c>
      <c r="CO92" s="395">
        <f ca="1">IF(SUM($G92:CN92)=$B92,0,IF(CQ93&gt;0%,$B92,0%))</f>
        <v>0</v>
      </c>
      <c r="CP92" s="395">
        <f ca="1">IF(SUM($G92:CO92)=$B92,0,IF(CR93&gt;0%,$B92,0%))</f>
        <v>0</v>
      </c>
      <c r="CQ92" s="395">
        <f ca="1">IF(SUM($G92:CP92)=$B92,0,IF(CS93&gt;0%,$B92,0%))</f>
        <v>0</v>
      </c>
      <c r="CR92" s="395">
        <f ca="1">IF(SUM($G92:CQ92)=$B92,0,IF(CT93&gt;0%,$B92,0%))</f>
        <v>0</v>
      </c>
      <c r="CS92" s="395">
        <f ca="1">IF(SUM($G92:CR92)=$B92,0,IF(CU93&gt;0%,$B92,0%))</f>
        <v>0</v>
      </c>
      <c r="CT92" s="395">
        <f ca="1">IF(SUM($G92:CS92)=$B92,0,IF(CV93&gt;0%,$B92,0%))</f>
        <v>0</v>
      </c>
      <c r="CU92" s="395">
        <f ca="1">IF(SUM($G92:CT92)=$B92,0,IF(CW93&gt;0%,$B92,0%))</f>
        <v>0</v>
      </c>
      <c r="CV92" s="395">
        <f ca="1">IF(SUM($G92:CU92)=$B92,0,IF(CX93&gt;0%,$B92,0%))</f>
        <v>0</v>
      </c>
      <c r="CW92" s="395">
        <f ca="1">IF(SUM($G92:CV92)=$B92,0,IF(CY93&gt;0%,$B92,0%))</f>
        <v>0</v>
      </c>
      <c r="CX92" s="395">
        <f ca="1">IF(SUM($G92:CW92)=$B92,0,IF(CZ93&gt;0%,$B92,0%))</f>
        <v>0</v>
      </c>
      <c r="CY92" s="395">
        <f ca="1">IF(SUM($G92:CX92)=$B92,0,IF(DA93&gt;0%,$B92,0%))</f>
        <v>0</v>
      </c>
      <c r="CZ92" s="395">
        <f ca="1">IF(SUM($G92:CY92)=$B92,0,IF(DB93&gt;0%,$B92,0%))</f>
        <v>0</v>
      </c>
      <c r="DA92" s="395">
        <f ca="1">IF(SUM($G92:CZ92)=$B92,0,IF(DC93&gt;0%,$B92,0%))</f>
        <v>0</v>
      </c>
      <c r="DB92" s="395">
        <f ca="1">IF(SUM($G92:DA92)=$B92,0,IF(DD93&gt;0%,$B92,0%))</f>
        <v>0</v>
      </c>
      <c r="DC92" s="395">
        <f ca="1">IF(SUM($G92:DB92)=$B92,0,IF(DE93&gt;0%,$B92,0%))</f>
        <v>0</v>
      </c>
      <c r="DD92" s="395">
        <f ca="1">IF(SUM($G92:DC92)=$B92,0,IF(DF93&gt;0%,$B92,0%))</f>
        <v>0</v>
      </c>
      <c r="DE92" s="395">
        <f ca="1">IF(SUM($G92:DD92)=$B92,0,IF(DG93&gt;0%,$B92,0%))</f>
        <v>0</v>
      </c>
      <c r="DF92" s="395">
        <f ca="1">IF(SUM($G92:DE92)=$B92,0,IF(DH93&gt;0%,$B92,0%))</f>
        <v>0</v>
      </c>
      <c r="DG92" s="395">
        <f ca="1">IF(SUM($G92:DF92)=$B92,0,IF(DI93&gt;0%,$B92,0%))</f>
        <v>0</v>
      </c>
      <c r="DH92" s="395">
        <f ca="1">IF(SUM($G92:DG92)=$B92,0,IF(DJ93&gt;0%,$B92,0%))</f>
        <v>0</v>
      </c>
      <c r="DI92" s="395">
        <f ca="1">IF(SUM($G92:DH92)=$B92,0,IF(DK93&gt;0%,$B92,0%))</f>
        <v>0</v>
      </c>
      <c r="DJ92" s="395">
        <f ca="1">IF(SUM($G92:DI92)=$B92,0,IF(DL93&gt;0%,$B92,0%))</f>
        <v>0</v>
      </c>
      <c r="DK92" s="395">
        <f ca="1">IF(SUM($G92:DJ92)=$B92,0,IF(DM93&gt;0%,$B92,0%))</f>
        <v>0</v>
      </c>
      <c r="DL92" s="395">
        <f ca="1">IF(SUM($G92:DK92)=$B92,0,IF(DN93&gt;0%,$B92,0%))</f>
        <v>0</v>
      </c>
      <c r="DM92" s="395">
        <f ca="1">IF(SUM($G92:DL92)=$B92,0,IF(DO93&gt;0%,$B92,0%))</f>
        <v>0</v>
      </c>
      <c r="DN92" s="395">
        <f ca="1">IF(SUM($G92:DM92)=$B92,0,IF(DP93&gt;0%,$B92,0%))</f>
        <v>0</v>
      </c>
      <c r="DO92" s="395">
        <f ca="1">IF(SUM($G92:DN92)=$B92,0,IF(DQ93&gt;0%,$B92,0%))</f>
        <v>0</v>
      </c>
      <c r="DP92" s="395">
        <f ca="1">IF(SUM($G92:DO92)=$B92,0,IF(DR93&gt;0%,$B92,0%))</f>
        <v>0</v>
      </c>
      <c r="DQ92" s="395">
        <f ca="1">IF(SUM($G92:DP92)=$B92,0,IF(DS93&gt;0%,$B92,0%))</f>
        <v>0</v>
      </c>
      <c r="DR92" s="395">
        <f ca="1">IF(SUM($G92:DQ92)=$B92,0,IF(DT93&gt;0%,$B92,0%))</f>
        <v>0</v>
      </c>
      <c r="DS92" s="395">
        <f ca="1">IF(SUM($G92:DR92)=$B92,0,IF(DU93&gt;0%,$B92,0%))</f>
        <v>0</v>
      </c>
      <c r="DT92" s="395">
        <f ca="1">IF(SUM($G92:DS92)=$B92,0,IF(DV93&gt;0%,$B92,0%))</f>
        <v>0</v>
      </c>
      <c r="DU92" s="395">
        <f ca="1">IF(SUM($G92:DT92)=$B92,0,IF(DW93&gt;0%,$B92,0%))</f>
        <v>0</v>
      </c>
      <c r="DV92" s="395">
        <f ca="1">IF(SUM($G92:DU92)=$B92,0,IF(DX93&gt;0%,$B92,0%))</f>
        <v>0</v>
      </c>
      <c r="DW92" s="395">
        <f ca="1">IF(SUM($G92:DV92)=$B92,0,IF(DY93&gt;0%,$B92,0%))</f>
        <v>0</v>
      </c>
      <c r="DX92" s="395">
        <f ca="1">IF(SUM($G92:DW92)=$B92,0,IF(DZ93&gt;0%,$B92,0%))</f>
        <v>0</v>
      </c>
      <c r="DY92" s="395">
        <f ca="1">IF(SUM($G92:DX92)=$B92,0,IF(EA93&gt;0%,$B92,0%))</f>
        <v>0</v>
      </c>
      <c r="DZ92" s="395">
        <f ca="1">IF(SUM($G92:DY92)=$B92,0,IF(EB93&gt;0%,$B92,0%))</f>
        <v>0</v>
      </c>
      <c r="EA92" s="395">
        <f ca="1">IF(SUM($G92:DZ92)=$B92,0,IF(EC93&gt;0%,$B92,0%))</f>
        <v>0</v>
      </c>
      <c r="EB92" s="395">
        <f ca="1">IF(SUM($G92:EA92)=$B92,0,IF(ED93&gt;0%,$B92,0%))</f>
        <v>0</v>
      </c>
      <c r="EC92" s="395">
        <f ca="1">IF(SUM($G92:EB92)=$B92,0,IF(EE93&gt;0%,$B92,0%))</f>
        <v>0</v>
      </c>
      <c r="ED92" s="395">
        <f ca="1">IF(SUM($G92:EC92)=$B92,0,IF(EF93&gt;0%,$B92,0%))</f>
        <v>0</v>
      </c>
      <c r="EE92" s="395">
        <f ca="1">IF(SUM($G92:ED92)=$B92,0,IF(EG93&gt;0%,$B92,0%))</f>
        <v>0</v>
      </c>
      <c r="EF92" s="395">
        <f ca="1">IF(SUM($G92:EE92)=$B92,0,IF(EH93&gt;0%,$B92,0%))</f>
        <v>0</v>
      </c>
      <c r="EG92" s="395">
        <f ca="1">IF(SUM($G92:EF92)=$B92,0,IF(EI93&gt;0%,$B92,0%))</f>
        <v>0</v>
      </c>
      <c r="EH92" s="395">
        <f ca="1">IF(SUM($G92:EG92)=$B92,0,IF(EJ93&gt;0%,$B92,0%))</f>
        <v>0</v>
      </c>
      <c r="EI92" s="395">
        <f ca="1">IF(SUM($G92:EH92)=$B92,0,IF(EK93&gt;0%,$B92,0%))</f>
        <v>0</v>
      </c>
      <c r="EJ92" s="398"/>
      <c r="EK92" s="313"/>
    </row>
    <row r="93" spans="1:141" hidden="1" outlineLevel="2">
      <c r="A93" s="332"/>
      <c r="B93" s="549">
        <f>длительность!C183</f>
        <v>0.79999999999999993</v>
      </c>
      <c r="C93" s="317"/>
      <c r="D93" s="317" t="s">
        <v>663</v>
      </c>
      <c r="E93" s="606">
        <f ca="1">ROUND(IF(F93=0,0,B93-F93),5)</f>
        <v>0</v>
      </c>
      <c r="F93" s="397">
        <f t="shared" ca="1" si="283"/>
        <v>0.79999999999999993</v>
      </c>
      <c r="G93" s="395"/>
      <c r="H93" s="395"/>
      <c r="I93" s="395">
        <f ca="1">IF($E$264=0,0,IF(SUM($G93:H93)=$B93,0,IF(SUM($G264:H264)&gt;=$E264,($B93/$E264)*($E264-SUM($G264:G264)),($B93/$E264)*H264)))</f>
        <v>0</v>
      </c>
      <c r="J93" s="395">
        <f ca="1">IF($E$264=0,0,IF(SUM($G93:I93)=$B93,0,IF(SUM($G264:I264)&gt;=$E264,($B93/$E264)*($E264-SUM($G264:H264)),($B93/$E264)*I264)))</f>
        <v>0</v>
      </c>
      <c r="K93" s="395">
        <f ca="1">IF($E$264=0,0,IF(SUM($G93:J93)=$B93,0,IF(SUM($G264:J264)&gt;=$E264,($B93/$E264)*($E264-SUM($G264:I264)),($B93/$E264)*J264)))</f>
        <v>0</v>
      </c>
      <c r="L93" s="395">
        <f ca="1">IF($E$264=0,0,IF(SUM($G93:K93)=$B93,0,IF(SUM($G264:K264)&gt;=$E264,($B93/$E264)*($E264-SUM($G264:J264)),($B93/$E264)*K264)))</f>
        <v>0</v>
      </c>
      <c r="M93" s="395">
        <f ca="1">IF($E$264=0,0,IF(SUM($G93:L93)=$B93,0,IF(SUM($G264:L264)&gt;=$E264,($B93/$E264)*($E264-SUM($G264:K264)),($B93/$E264)*L264)))</f>
        <v>0</v>
      </c>
      <c r="N93" s="395">
        <f ca="1">IF($E$264=0,0,IF(SUM($G93:M93)=$B93,0,IF(SUM($G264:M264)&gt;=$E264,($B93/$E264)*($E264-SUM($G264:L264)),($B93/$E264)*M264)))</f>
        <v>0</v>
      </c>
      <c r="O93" s="395">
        <f ca="1">IF($E$264=0,0,IF(SUM($G93:N93)=$B93,0,IF(SUM($G264:N264)&gt;=$E264,($B93/$E264)*($E264-SUM($G264:M264)),($B93/$E264)*N264)))</f>
        <v>0</v>
      </c>
      <c r="P93" s="395">
        <f ca="1">IF($E$264=0,0,IF(SUM($G93:O93)=$B93,0,IF(SUM($G264:O264)&gt;=$E264,($B93/$E264)*($E264-SUM($G264:N264)),($B93/$E264)*O264)))</f>
        <v>0</v>
      </c>
      <c r="Q93" s="395">
        <f ca="1">IF($E$264=0,0,IF(SUM($G93:P93)=$B93,0,IF(SUM($G264:P264)&gt;=$E264,($B93/$E264)*($E264-SUM($G264:O264)),($B93/$E264)*P264)))</f>
        <v>0</v>
      </c>
      <c r="R93" s="395">
        <f ca="1">IF($E$264=0,0,IF(SUM($G93:Q93)=$B93,0,IF(SUM($G264:Q264)&gt;=$E264,($B93/$E264)*($E264-SUM($G264:P264)),($B93/$E264)*Q264)))</f>
        <v>0</v>
      </c>
      <c r="S93" s="395">
        <f ca="1">IF($E$264=0,0,IF(SUM($G93:R93)=$B93,0,IF(SUM($G264:R264)&gt;=$E264,($B93/$E264)*($E264-SUM($G264:Q264)),($B93/$E264)*R264)))</f>
        <v>0</v>
      </c>
      <c r="T93" s="395">
        <f ca="1">IF($E$264=0,0,IF(SUM($G93:S93)=$B93,0,IF(SUM($G264:S264)&gt;=$E264,($B93/$E264)*($E264-SUM($G264:R264)),($B93/$E264)*S264)))</f>
        <v>0</v>
      </c>
      <c r="U93" s="395">
        <f ca="1">IF($E$264=0,0,IF(SUM($G93:T93)=$B93,0,IF(SUM($G264:T264)&gt;=$E264,($B93/$E264)*($E264-SUM($G264:S264)),($B93/$E264)*T264)))</f>
        <v>0</v>
      </c>
      <c r="V93" s="395">
        <f ca="1">IF($E$264=0,0,IF(SUM($G93:U93)=$B93,0,IF(SUM($G264:U264)&gt;=$E264,($B93/$E264)*($E264-SUM($G264:T264)),($B93/$E264)*U264)))</f>
        <v>0</v>
      </c>
      <c r="W93" s="395">
        <f ca="1">IF($E$264=0,0,IF(SUM($G93:V93)=$B93,0,IF(SUM($G264:V264)&gt;=$E264,($B93/$E264)*($E264-SUM($G264:U264)),($B93/$E264)*V264)))</f>
        <v>0</v>
      </c>
      <c r="X93" s="395">
        <f ca="1">IF($E$264=0,0,IF(SUM($G93:W93)=$B93,0,IF(SUM($G264:W264)&gt;=$E264,($B93/$E264)*($E264-SUM($G264:V264)),($B93/$E264)*W264)))</f>
        <v>0</v>
      </c>
      <c r="Y93" s="395">
        <f ca="1">IF($E$264=0,0,IF(SUM($G93:X93)=$B93,0,IF(SUM($G264:X264)&gt;=$E264,($B93/$E264)*($E264-SUM($G264:W264)),($B93/$E264)*X264)))</f>
        <v>0</v>
      </c>
      <c r="Z93" s="395">
        <f ca="1">IF($E$264=0,0,IF(SUM($G93:Y93)=$B93,0,IF(SUM($G264:Y264)&gt;=$E264,($B93/$E264)*($E264-SUM($G264:X264)),($B93/$E264)*Y264)))</f>
        <v>0</v>
      </c>
      <c r="AA93" s="395">
        <f ca="1">IF($E$264=0,0,IF(SUM($G93:Z93)=$B93,0,IF(SUM($G264:Z264)&gt;=$E264,($B93/$E264)*($E264-SUM($G264:Y264)),($B93/$E264)*Z264)))</f>
        <v>0</v>
      </c>
      <c r="AB93" s="395">
        <f ca="1">IF($E$264=0,0,IF(SUM($G93:AA93)=$B93,0,IF(SUM($G264:AA264)&gt;=$E264,($B93/$E264)*($E264-SUM($G264:Z264)),($B93/$E264)*AA264)))</f>
        <v>0</v>
      </c>
      <c r="AC93" s="395">
        <f ca="1">IF($E$264=0,0,IF(SUM($G93:AB93)=$B93,0,IF(SUM($G264:AB264)&gt;=$E264,($B93/$E264)*($E264-SUM($G264:AA264)),($B93/$E264)*AB264)))</f>
        <v>3.8383838383838381E-2</v>
      </c>
      <c r="AD93" s="395">
        <f ca="1">IF($E$264=0,0,IF(SUM($G93:AC93)=$B93,0,IF(SUM($G264:AC264)&gt;=$E264,($B93/$E264)*($E264-SUM($G264:AB264)),($B93/$E264)*AC264)))</f>
        <v>6.2626262626262627E-2</v>
      </c>
      <c r="AE93" s="395">
        <f ca="1">IF($E$264=0,0,IF(SUM($G93:AD93)=$B93,0,IF(SUM($G264:AD264)&gt;=$E264,($B93/$E264)*($E264-SUM($G264:AC264)),($B93/$E264)*AD264)))</f>
        <v>5.6565656565656569E-2</v>
      </c>
      <c r="AF93" s="395">
        <f ca="1">IF($E$264=0,0,IF(SUM($G93:AE93)=$B93,0,IF(SUM($G264:AE264)&gt;=$E264,($B93/$E264)*($E264-SUM($G264:AD264)),($B93/$E264)*AE264)))</f>
        <v>6.2626262626262627E-2</v>
      </c>
      <c r="AG93" s="395">
        <f ca="1">IF($E$264=0,0,IF(SUM($G93:AF93)=$B93,0,IF(SUM($G264:AF264)&gt;=$E264,($B93/$E264)*($E264-SUM($G264:AE264)),($B93/$E264)*AF264)))</f>
        <v>6.0606060606060608E-2</v>
      </c>
      <c r="AH93" s="395">
        <f ca="1">IF($E$264=0,0,IF(SUM($G93:AG93)=$B93,0,IF(SUM($G264:AG264)&gt;=$E264,($B93/$E264)*($E264-SUM($G264:AF264)),($B93/$E264)*AG264)))</f>
        <v>6.2626262626262627E-2</v>
      </c>
      <c r="AI93" s="395">
        <f ca="1">IF($E$264=0,0,IF(SUM($G93:AH93)=$B93,0,IF(SUM($G264:AH264)&gt;=$E264,($B93/$E264)*($E264-SUM($G264:AG264)),($B93/$E264)*AH264)))</f>
        <v>6.0606060606060608E-2</v>
      </c>
      <c r="AJ93" s="395">
        <f ca="1">IF($E$264=0,0,IF(SUM($G93:AI93)=$B93,0,IF(SUM($G264:AI264)&gt;=$E264,($B93/$E264)*($E264-SUM($G264:AH264)),($B93/$E264)*AI264)))</f>
        <v>6.2626262626262627E-2</v>
      </c>
      <c r="AK93" s="395">
        <f ca="1">IF($E$264=0,0,IF(SUM($G93:AJ93)=$B93,0,IF(SUM($G264:AJ264)&gt;=$E264,($B93/$E264)*($E264-SUM($G264:AI264)),($B93/$E264)*AJ264)))</f>
        <v>6.2626262626262627E-2</v>
      </c>
      <c r="AL93" s="395">
        <f ca="1">IF($E$264=0,0,IF(SUM($G93:AK93)=$B93,0,IF(SUM($G264:AK264)&gt;=$E264,($B93/$E264)*($E264-SUM($G264:AJ264)),($B93/$E264)*AK264)))</f>
        <v>6.0606060606060608E-2</v>
      </c>
      <c r="AM93" s="395">
        <f ca="1">IF($E$264=0,0,IF(SUM($G93:AL93)=$B93,0,IF(SUM($G264:AL264)&gt;=$E264,($B93/$E264)*($E264-SUM($G264:AK264)),($B93/$E264)*AL264)))</f>
        <v>6.2626262626262627E-2</v>
      </c>
      <c r="AN93" s="395">
        <f ca="1">IF($E$264=0,0,IF(SUM($G93:AM93)=$B93,0,IF(SUM($G264:AM264)&gt;=$E264,($B93/$E264)*($E264-SUM($G264:AL264)),($B93/$E264)*AM264)))</f>
        <v>6.0606060606060608E-2</v>
      </c>
      <c r="AO93" s="395">
        <f ca="1">IF($E$264=0,0,IF(SUM($G93:AN93)=$B93,0,IF(SUM($G264:AN264)&gt;=$E264,($B93/$E264)*($E264-SUM($G264:AM264)),($B93/$E264)*AN264)))</f>
        <v>6.2626262626262627E-2</v>
      </c>
      <c r="AP93" s="395">
        <f ca="1">IF($E$264=0,0,IF(SUM($G93:AO93)=$B93,0,IF(SUM($G264:AO264)&gt;=$E264,($B93/$E264)*($E264-SUM($G264:AN264)),($B93/$E264)*AO264)))</f>
        <v>2.4242424242424242E-2</v>
      </c>
      <c r="AQ93" s="395">
        <f ca="1">IF($E$264=0,0,IF(SUM($G93:AP93)=$B93,0,IF(SUM($G264:AP264)&gt;=$E264,($B93/$E264)*($E264-SUM($G264:AO264)),($B93/$E264)*AP264)))</f>
        <v>0</v>
      </c>
      <c r="AR93" s="395">
        <f ca="1">IF($E$264=0,0,IF(SUM($G93:AQ93)=$B93,0,IF(SUM($G264:AQ264)&gt;=$E264,($B93/$E264)*($E264-SUM($G264:AP264)),($B93/$E264)*AQ264)))</f>
        <v>0</v>
      </c>
      <c r="AS93" s="395">
        <f ca="1">IF($E$264=0,0,IF(SUM($G93:AR93)=$B93,0,IF(SUM($G264:AR264)&gt;=$E264,($B93/$E264)*($E264-SUM($G264:AQ264)),($B93/$E264)*AR264)))</f>
        <v>0</v>
      </c>
      <c r="AT93" s="395">
        <f ca="1">IF($E$264=0,0,IF(SUM($G93:AS93)=$B93,0,IF(SUM($G264:AS264)&gt;=$E264,($B93/$E264)*($E264-SUM($G264:AR264)),($B93/$E264)*AS264)))</f>
        <v>0</v>
      </c>
      <c r="AU93" s="395">
        <f ca="1">IF($E$264=0,0,IF(SUM($G93:AT93)=$B93,0,IF(SUM($G264:AT264)&gt;=$E264,($B93/$E264)*($E264-SUM($G264:AS264)),($B93/$E264)*AT264)))</f>
        <v>0</v>
      </c>
      <c r="AV93" s="395">
        <f ca="1">IF($E$264=0,0,IF(SUM($G93:AU93)=$B93,0,IF(SUM($G264:AU264)&gt;=$E264,($B93/$E264)*($E264-SUM($G264:AT264)),($B93/$E264)*AU264)))</f>
        <v>0</v>
      </c>
      <c r="AW93" s="395">
        <f ca="1">IF($E$264=0,0,IF(SUM($G93:AV93)=$B93,0,IF(SUM($G264:AV264)&gt;=$E264,($B93/$E264)*($E264-SUM($G264:AU264)),($B93/$E264)*AV264)))</f>
        <v>0</v>
      </c>
      <c r="AX93" s="395">
        <f ca="1">IF($E$264=0,0,IF(SUM($G93:AW93)=$B93,0,IF(SUM($G264:AW264)&gt;=$E264,($B93/$E264)*($E264-SUM($G264:AV264)),($B93/$E264)*AW264)))</f>
        <v>0</v>
      </c>
      <c r="AY93" s="395">
        <f ca="1">IF($E$264=0,0,IF(SUM($G93:AX93)=$B93,0,IF(SUM($G264:AX264)&gt;=$E264,($B93/$E264)*($E264-SUM($G264:AW264)),($B93/$E264)*AX264)))</f>
        <v>0</v>
      </c>
      <c r="AZ93" s="395">
        <f ca="1">IF($E$264=0,0,IF(SUM($G93:AY93)=$B93,0,IF(SUM($G264:AY264)&gt;=$E264,($B93/$E264)*($E264-SUM($G264:AX264)),($B93/$E264)*AY264)))</f>
        <v>0</v>
      </c>
      <c r="BA93" s="395">
        <f ca="1">IF($E$264=0,0,IF(SUM($G93:AZ93)=$B93,0,IF(SUM($G264:AZ264)&gt;=$E264,($B93/$E264)*($E264-SUM($G264:AY264)),($B93/$E264)*AZ264)))</f>
        <v>0</v>
      </c>
      <c r="BB93" s="395">
        <f ca="1">IF($E$264=0,0,IF(SUM($G93:BA93)=$B93,0,IF(SUM($G264:BA264)&gt;=$E264,($B93/$E264)*($E264-SUM($G264:AZ264)),($B93/$E264)*BA264)))</f>
        <v>0</v>
      </c>
      <c r="BC93" s="395">
        <f ca="1">IF($E$264=0,0,IF(SUM($G93:BB93)=$B93,0,IF(SUM($G264:BB264)&gt;=$E264,($B93/$E264)*($E264-SUM($G264:BA264)),($B93/$E264)*BB264)))</f>
        <v>0</v>
      </c>
      <c r="BD93" s="395">
        <f ca="1">IF($E$264=0,0,IF(SUM($G93:BC93)=$B93,0,IF(SUM($G264:BC264)&gt;=$E264,($B93/$E264)*($E264-SUM($G264:BB264)),($B93/$E264)*BC264)))</f>
        <v>0</v>
      </c>
      <c r="BE93" s="395">
        <f ca="1">IF($E$264=0,0,IF(SUM($G93:BD93)=$B93,0,IF(SUM($G264:BD264)&gt;=$E264,($B93/$E264)*($E264-SUM($G264:BC264)),($B93/$E264)*BD264)))</f>
        <v>0</v>
      </c>
      <c r="BF93" s="395">
        <f ca="1">IF($E$264=0,0,IF(SUM($G93:BE93)=$B93,0,IF(SUM($G264:BE264)&gt;=$E264,($B93/$E264)*($E264-SUM($G264:BD264)),($B93/$E264)*BE264)))</f>
        <v>0</v>
      </c>
      <c r="BG93" s="395">
        <f ca="1">IF($E$264=0,0,IF(SUM($G93:BF93)=$B93,0,IF(SUM($G264:BF264)&gt;=$E264,($B93/$E264)*($E264-SUM($G264:BE264)),($B93/$E264)*BF264)))</f>
        <v>0</v>
      </c>
      <c r="BH93" s="395">
        <f ca="1">IF($E$264=0,0,IF(SUM($G93:BG93)=$B93,0,IF(SUM($G264:BG264)&gt;=$E264,($B93/$E264)*($E264-SUM($G264:BF264)),($B93/$E264)*BG264)))</f>
        <v>0</v>
      </c>
      <c r="BI93" s="395">
        <f ca="1">IF($E$264=0,0,IF(SUM($G93:BH93)=$B93,0,IF(SUM($G264:BH264)&gt;=$E264,($B93/$E264)*($E264-SUM($G264:BG264)),($B93/$E264)*BH264)))</f>
        <v>0</v>
      </c>
      <c r="BJ93" s="395">
        <f ca="1">IF($E$264=0,0,IF(SUM($G93:BI93)=$B93,0,IF(SUM($G264:BI264)&gt;=$E264,($B93/$E264)*($E264-SUM($G264:BH264)),($B93/$E264)*BI264)))</f>
        <v>0</v>
      </c>
      <c r="BK93" s="395">
        <f ca="1">IF($E$264=0,0,IF(SUM($G93:BJ93)=$B93,0,IF(SUM($G264:BJ264)&gt;=$E264,($B93/$E264)*($E264-SUM($G264:BI264)),($B93/$E264)*BJ264)))</f>
        <v>0</v>
      </c>
      <c r="BL93" s="395">
        <f ca="1">IF($E$264=0,0,IF(SUM($G93:BK93)=$B93,0,IF(SUM($G264:BK264)&gt;=$E264,($B93/$E264)*($E264-SUM($G264:BJ264)),($B93/$E264)*BK264)))</f>
        <v>0</v>
      </c>
      <c r="BM93" s="395">
        <f ca="1">IF($E$264=0,0,IF(SUM($G93:BL93)=$B93,0,IF(SUM($G264:BL264)&gt;=$E264,($B93/$E264)*($E264-SUM($G264:BK264)),($B93/$E264)*BL264)))</f>
        <v>0</v>
      </c>
      <c r="BN93" s="395">
        <f ca="1">IF($E$264=0,0,IF(SUM($G93:BM93)=$B93,0,IF(SUM($G264:BM264)&gt;=$E264,($B93/$E264)*($E264-SUM($G264:BL264)),($B93/$E264)*BM264)))</f>
        <v>0</v>
      </c>
      <c r="BO93" s="395">
        <f ca="1">IF($E$264=0,0,IF(SUM($G93:BN93)=$B93,0,IF(SUM($G264:BN264)&gt;=$E264,($B93/$E264)*($E264-SUM($G264:BM264)),($B93/$E264)*BN264)))</f>
        <v>0</v>
      </c>
      <c r="BP93" s="395">
        <f ca="1">IF($E$264=0,0,IF(SUM($G93:BO93)=$B93,0,IF(SUM($G264:BO264)&gt;=$E264,($B93/$E264)*($E264-SUM($G264:BN264)),($B93/$E264)*BO264)))</f>
        <v>0</v>
      </c>
      <c r="BQ93" s="395">
        <f ca="1">IF($E$264=0,0,IF(SUM($G93:BP93)=$B93,0,IF(SUM($G264:BP264)&gt;=$E264,($B93/$E264)*($E264-SUM($G264:BO264)),($B93/$E264)*BP264)))</f>
        <v>0</v>
      </c>
      <c r="BR93" s="395">
        <f ca="1">IF($E$264=0,0,IF(SUM($G93:BQ93)=$B93,0,IF(SUM($G264:BQ264)&gt;=$E264,($B93/$E264)*($E264-SUM($G264:BP264)),($B93/$E264)*BQ264)))</f>
        <v>0</v>
      </c>
      <c r="BS93" s="395">
        <f ca="1">IF($E$264=0,0,IF(SUM($G93:BR93)=$B93,0,IF(SUM($G264:BR264)&gt;=$E264,($B93/$E264)*($E264-SUM($G264:BQ264)),($B93/$E264)*BR264)))</f>
        <v>0</v>
      </c>
      <c r="BT93" s="395">
        <f ca="1">IF($E$264=0,0,IF(SUM($G93:BS93)=$B93,0,IF(SUM($G264:BS264)&gt;=$E264,($B93/$E264)*($E264-SUM($G264:BR264)),($B93/$E264)*BS264)))</f>
        <v>0</v>
      </c>
      <c r="BU93" s="395">
        <f ca="1">IF($E$264=0,0,IF(SUM($G93:BT93)=$B93,0,IF(SUM($G264:BT264)&gt;=$E264,($B93/$E264)*($E264-SUM($G264:BS264)),($B93/$E264)*BT264)))</f>
        <v>0</v>
      </c>
      <c r="BV93" s="395">
        <f ca="1">IF($E$264=0,0,IF(SUM($G93:BU93)=$B93,0,IF(SUM($G264:BU264)&gt;=$E264,($B93/$E264)*($E264-SUM($G264:BT264)),($B93/$E264)*BU264)))</f>
        <v>0</v>
      </c>
      <c r="BW93" s="395">
        <f ca="1">IF($E$264=0,0,IF(SUM($G93:BV93)=$B93,0,IF(SUM($G264:BV264)&gt;=$E264,($B93/$E264)*($E264-SUM($G264:BU264)),($B93/$E264)*BV264)))</f>
        <v>0</v>
      </c>
      <c r="BX93" s="395">
        <f ca="1">IF($E$264=0,0,IF(SUM($G93:BW93)=$B93,0,IF(SUM($G264:BW264)&gt;=$E264,($B93/$E264)*($E264-SUM($G264:BV264)),($B93/$E264)*BW264)))</f>
        <v>0</v>
      </c>
      <c r="BY93" s="395">
        <f ca="1">IF($E$264=0,0,IF(SUM($G93:BX93)=$B93,0,IF(SUM($G264:BX264)&gt;=$E264,($B93/$E264)*($E264-SUM($G264:BW264)),($B93/$E264)*BX264)))</f>
        <v>0</v>
      </c>
      <c r="BZ93" s="395">
        <f ca="1">IF($E$264=0,0,IF(SUM($G93:BY93)=$B93,0,IF(SUM($G264:BY264)&gt;=$E264,($B93/$E264)*($E264-SUM($G264:BX264)),($B93/$E264)*BY264)))</f>
        <v>0</v>
      </c>
      <c r="CA93" s="395">
        <f ca="1">IF($E$264=0,0,IF(SUM($G93:BZ93)=$B93,0,IF(SUM($G264:BZ264)&gt;=$E264,($B93/$E264)*($E264-SUM($G264:BY264)),($B93/$E264)*BZ264)))</f>
        <v>0</v>
      </c>
      <c r="CB93" s="395">
        <f ca="1">IF($E$264=0,0,IF(SUM($G93:CA93)=$B93,0,IF(SUM($G264:CA264)&gt;=$E264,($B93/$E264)*($E264-SUM($G264:BZ264)),($B93/$E264)*CA264)))</f>
        <v>0</v>
      </c>
      <c r="CC93" s="395">
        <f ca="1">IF($E$264=0,0,IF(SUM($G93:CB93)=$B93,0,IF(SUM($G264:CB264)&gt;=$E264,($B93/$E264)*($E264-SUM($G264:CA264)),($B93/$E264)*CB264)))</f>
        <v>0</v>
      </c>
      <c r="CD93" s="395">
        <f ca="1">IF($E$264=0,0,IF(SUM($G93:CC93)=$B93,0,IF(SUM($G264:CC264)&gt;=$E264,($B93/$E264)*($E264-SUM($G264:CB264)),($B93/$E264)*CC264)))</f>
        <v>0</v>
      </c>
      <c r="CE93" s="395">
        <f ca="1">IF($E$264=0,0,IF(SUM($G93:CD93)=$B93,0,IF(SUM($G264:CD264)&gt;=$E264,($B93/$E264)*($E264-SUM($G264:CC264)),($B93/$E264)*CD264)))</f>
        <v>0</v>
      </c>
      <c r="CF93" s="395">
        <f ca="1">IF($E$264=0,0,IF(SUM($G93:CE93)=$B93,0,IF(SUM($G264:CE264)&gt;=$E264,($B93/$E264)*($E264-SUM($G264:CD264)),($B93/$E264)*CE264)))</f>
        <v>0</v>
      </c>
      <c r="CG93" s="395">
        <f ca="1">IF($E$264=0,0,IF(SUM($G93:CF93)=$B93,0,IF(SUM($G264:CF264)&gt;=$E264,($B93/$E264)*($E264-SUM($G264:CE264)),($B93/$E264)*CF264)))</f>
        <v>0</v>
      </c>
      <c r="CH93" s="395">
        <f ca="1">IF($E$264=0,0,IF(SUM($G93:CG93)=$B93,0,IF(SUM($G264:CG264)&gt;=$E264,($B93/$E264)*($E264-SUM($G264:CF264)),($B93/$E264)*CG264)))</f>
        <v>0</v>
      </c>
      <c r="CI93" s="395">
        <f ca="1">IF($E$264=0,0,IF(SUM($G93:CH93)=$B93,0,IF(SUM($G264:CH264)&gt;=$E264,($B93/$E264)*($E264-SUM($G264:CG264)),($B93/$E264)*CH264)))</f>
        <v>0</v>
      </c>
      <c r="CJ93" s="395">
        <f ca="1">IF($E$264=0,0,IF(SUM($G93:CI93)=$B93,0,IF(SUM($G264:CI264)&gt;=$E264,($B93/$E264)*($E264-SUM($G264:CH264)),($B93/$E264)*CI264)))</f>
        <v>0</v>
      </c>
      <c r="CK93" s="395">
        <f ca="1">IF($E$264=0,0,IF(SUM($G93:CJ93)=$B93,0,IF(SUM($G264:CJ264)&gt;=$E264,($B93/$E264)*($E264-SUM($G264:CI264)),($B93/$E264)*CJ264)))</f>
        <v>0</v>
      </c>
      <c r="CL93" s="395">
        <f ca="1">IF($E$264=0,0,IF(SUM($G93:CK93)=$B93,0,IF(SUM($G264:CK264)&gt;=$E264,($B93/$E264)*($E264-SUM($G264:CJ264)),($B93/$E264)*CK264)))</f>
        <v>0</v>
      </c>
      <c r="CM93" s="395">
        <f ca="1">IF($E$264=0,0,IF(SUM($G93:CL93)=$B93,0,IF(SUM($G264:CL264)&gt;=$E264,($B93/$E264)*($E264-SUM($G264:CK264)),($B93/$E264)*CL264)))</f>
        <v>0</v>
      </c>
      <c r="CN93" s="395">
        <f ca="1">IF($E$264=0,0,IF(SUM($G93:CM93)=$B93,0,IF(SUM($G264:CM264)&gt;=$E264,($B93/$E264)*($E264-SUM($G264:CL264)),($B93/$E264)*CM264)))</f>
        <v>0</v>
      </c>
      <c r="CO93" s="395">
        <f ca="1">IF($E$264=0,0,IF(SUM($G93:CN93)=$B93,0,IF(SUM($G264:CN264)&gt;=$E264,($B93/$E264)*($E264-SUM($G264:CM264)),($B93/$E264)*CN264)))</f>
        <v>0</v>
      </c>
      <c r="CP93" s="395">
        <f ca="1">IF($E$264=0,0,IF(SUM($G93:CO93)=$B93,0,IF(SUM($G264:CO264)&gt;=$E264,($B93/$E264)*($E264-SUM($G264:CN264)),($B93/$E264)*CO264)))</f>
        <v>0</v>
      </c>
      <c r="CQ93" s="395">
        <f ca="1">IF($E$264=0,0,IF(SUM($G93:CP93)=$B93,0,IF(SUM($G264:CP264)&gt;=$E264,($B93/$E264)*($E264-SUM($G264:CO264)),($B93/$E264)*CP264)))</f>
        <v>0</v>
      </c>
      <c r="CR93" s="395">
        <f ca="1">IF($E$264=0,0,IF(SUM($G93:CQ93)=$B93,0,IF(SUM($G264:CQ264)&gt;=$E264,($B93/$E264)*($E264-SUM($G264:CP264)),($B93/$E264)*CQ264)))</f>
        <v>0</v>
      </c>
      <c r="CS93" s="395">
        <f ca="1">IF($E$264=0,0,IF(SUM($G93:CR93)=$B93,0,IF(SUM($G264:CR264)&gt;=$E264,($B93/$E264)*($E264-SUM($G264:CQ264)),($B93/$E264)*CR264)))</f>
        <v>0</v>
      </c>
      <c r="CT93" s="395">
        <f ca="1">IF($E$264=0,0,IF(SUM($G93:CS93)=$B93,0,IF(SUM($G264:CS264)&gt;=$E264,($B93/$E264)*($E264-SUM($G264:CR264)),($B93/$E264)*CS264)))</f>
        <v>0</v>
      </c>
      <c r="CU93" s="395">
        <f ca="1">IF($E$264=0,0,IF(SUM($G93:CT93)=$B93,0,IF(SUM($G264:CT264)&gt;=$E264,($B93/$E264)*($E264-SUM($G264:CS264)),($B93/$E264)*CT264)))</f>
        <v>0</v>
      </c>
      <c r="CV93" s="395">
        <f ca="1">IF($E$264=0,0,IF(SUM($G93:CU93)=$B93,0,IF(SUM($G264:CU264)&gt;=$E264,($B93/$E264)*($E264-SUM($G264:CT264)),($B93/$E264)*CU264)))</f>
        <v>0</v>
      </c>
      <c r="CW93" s="395">
        <f ca="1">IF($E$264=0,0,IF(SUM($G93:CV93)=$B93,0,IF(SUM($G264:CV264)&gt;=$E264,($B93/$E264)*($E264-SUM($G264:CU264)),($B93/$E264)*CV264)))</f>
        <v>0</v>
      </c>
      <c r="CX93" s="395">
        <f ca="1">IF($E$264=0,0,IF(SUM($G93:CW93)=$B93,0,IF(SUM($G264:CW264)&gt;=$E264,($B93/$E264)*($E264-SUM($G264:CV264)),($B93/$E264)*CW264)))</f>
        <v>0</v>
      </c>
      <c r="CY93" s="395">
        <f ca="1">IF($E$264=0,0,IF(SUM($G93:CX93)=$B93,0,IF(SUM($G264:CX264)&gt;=$E264,($B93/$E264)*($E264-SUM($G264:CW264)),($B93/$E264)*CX264)))</f>
        <v>0</v>
      </c>
      <c r="CZ93" s="395">
        <f ca="1">IF($E$264=0,0,IF(SUM($G93:CY93)=$B93,0,IF(SUM($G264:CY264)&gt;=$E264,($B93/$E264)*($E264-SUM($G264:CX264)),($B93/$E264)*CY264)))</f>
        <v>0</v>
      </c>
      <c r="DA93" s="395">
        <f ca="1">IF($E$264=0,0,IF(SUM($G93:CZ93)=$B93,0,IF(SUM($G264:CZ264)&gt;=$E264,($B93/$E264)*($E264-SUM($G264:CY264)),($B93/$E264)*CZ264)))</f>
        <v>0</v>
      </c>
      <c r="DB93" s="395">
        <f ca="1">IF($E$264=0,0,IF(SUM($G93:DA93)=$B93,0,IF(SUM($G264:DA264)&gt;=$E264,($B93/$E264)*($E264-SUM($G264:CZ264)),($B93/$E264)*DA264)))</f>
        <v>0</v>
      </c>
      <c r="DC93" s="395">
        <f ca="1">IF($E$264=0,0,IF(SUM($G93:DB93)=$B93,0,IF(SUM($G264:DB264)&gt;=$E264,($B93/$E264)*($E264-SUM($G264:DA264)),($B93/$E264)*DB264)))</f>
        <v>0</v>
      </c>
      <c r="DD93" s="395">
        <f ca="1">IF($E$264=0,0,IF(SUM($G93:DC93)=$B93,0,IF(SUM($G264:DC264)&gt;=$E264,($B93/$E264)*($E264-SUM($G264:DB264)),($B93/$E264)*DC264)))</f>
        <v>0</v>
      </c>
      <c r="DE93" s="395">
        <f ca="1">IF($E$264=0,0,IF(SUM($G93:DD93)=$B93,0,IF(SUM($G264:DD264)&gt;=$E264,($B93/$E264)*($E264-SUM($G264:DC264)),($B93/$E264)*DD264)))</f>
        <v>0</v>
      </c>
      <c r="DF93" s="395">
        <f ca="1">IF($E$264=0,0,IF(SUM($G93:DE93)=$B93,0,IF(SUM($G264:DE264)&gt;=$E264,($B93/$E264)*($E264-SUM($G264:DD264)),($B93/$E264)*DE264)))</f>
        <v>0</v>
      </c>
      <c r="DG93" s="395">
        <f ca="1">IF($E$264=0,0,IF(SUM($G93:DF93)=$B93,0,IF(SUM($G264:DF264)&gt;=$E264,($B93/$E264)*($E264-SUM($G264:DE264)),($B93/$E264)*DF264)))</f>
        <v>0</v>
      </c>
      <c r="DH93" s="395">
        <f ca="1">IF($E$264=0,0,IF(SUM($G93:DG93)=$B93,0,IF(SUM($G264:DG264)&gt;=$E264,($B93/$E264)*($E264-SUM($G264:DF264)),($B93/$E264)*DG264)))</f>
        <v>0</v>
      </c>
      <c r="DI93" s="395">
        <f ca="1">IF($E$264=0,0,IF(SUM($G93:DH93)=$B93,0,IF(SUM($G264:DH264)&gt;=$E264,($B93/$E264)*($E264-SUM($G264:DG264)),($B93/$E264)*DH264)))</f>
        <v>0</v>
      </c>
      <c r="DJ93" s="395">
        <f ca="1">IF($E$264=0,0,IF(SUM($G93:DI93)=$B93,0,IF(SUM($G264:DI264)&gt;=$E264,($B93/$E264)*($E264-SUM($G264:DH264)),($B93/$E264)*DI264)))</f>
        <v>0</v>
      </c>
      <c r="DK93" s="395">
        <f ca="1">IF($E$264=0,0,IF(SUM($G93:DJ93)=$B93,0,IF(SUM($G264:DJ264)&gt;=$E264,($B93/$E264)*($E264-SUM($G264:DI264)),($B93/$E264)*DJ264)))</f>
        <v>0</v>
      </c>
      <c r="DL93" s="395">
        <f ca="1">IF($E$264=0,0,IF(SUM($G93:DK93)=$B93,0,IF(SUM($G264:DK264)&gt;=$E264,($B93/$E264)*($E264-SUM($G264:DJ264)),($B93/$E264)*DK264)))</f>
        <v>0</v>
      </c>
      <c r="DM93" s="395">
        <f ca="1">IF($E$264=0,0,IF(SUM($G93:DL93)=$B93,0,IF(SUM($G264:DL264)&gt;=$E264,($B93/$E264)*($E264-SUM($G264:DK264)),($B93/$E264)*DL264)))</f>
        <v>0</v>
      </c>
      <c r="DN93" s="395">
        <f ca="1">IF($E$264=0,0,IF(SUM($G93:DM93)=$B93,0,IF(SUM($G264:DM264)&gt;=$E264,($B93/$E264)*($E264-SUM($G264:DL264)),($B93/$E264)*DM264)))</f>
        <v>0</v>
      </c>
      <c r="DO93" s="395">
        <f ca="1">IF($E$264=0,0,IF(SUM($G93:DN93)=$B93,0,IF(SUM($G264:DN264)&gt;=$E264,($B93/$E264)*($E264-SUM($G264:DM264)),($B93/$E264)*DN264)))</f>
        <v>0</v>
      </c>
      <c r="DP93" s="395">
        <f ca="1">IF($E$264=0,0,IF(SUM($G93:DO93)=$B93,0,IF(SUM($G264:DO264)&gt;=$E264,($B93/$E264)*($E264-SUM($G264:DN264)),($B93/$E264)*DO264)))</f>
        <v>0</v>
      </c>
      <c r="DQ93" s="395">
        <f ca="1">IF($E$264=0,0,IF(SUM($G93:DP93)=$B93,0,IF(SUM($G264:DP264)&gt;=$E264,($B93/$E264)*($E264-SUM($G264:DO264)),($B93/$E264)*DP264)))</f>
        <v>0</v>
      </c>
      <c r="DR93" s="395">
        <f ca="1">IF($E$264=0,0,IF(SUM($G93:DQ93)=$B93,0,IF(SUM($G264:DQ264)&gt;=$E264,($B93/$E264)*($E264-SUM($G264:DP264)),($B93/$E264)*DQ264)))</f>
        <v>0</v>
      </c>
      <c r="DS93" s="395">
        <f ca="1">IF($E$264=0,0,IF(SUM($G93:DR93)=$B93,0,IF(SUM($G264:DR264)&gt;=$E264,($B93/$E264)*($E264-SUM($G264:DQ264)),($B93/$E264)*DR264)))</f>
        <v>0</v>
      </c>
      <c r="DT93" s="395">
        <f ca="1">IF($E$264=0,0,IF(SUM($G93:DS93)=$B93,0,IF(SUM($G264:DS264)&gt;=$E264,($B93/$E264)*($E264-SUM($G264:DR264)),($B93/$E264)*DS264)))</f>
        <v>0</v>
      </c>
      <c r="DU93" s="395">
        <f ca="1">IF($E$264=0,0,IF(SUM($G93:DT93)=$B93,0,IF(SUM($G264:DT264)&gt;=$E264,($B93/$E264)*($E264-SUM($G264:DS264)),($B93/$E264)*DT264)))</f>
        <v>0</v>
      </c>
      <c r="DV93" s="395">
        <f ca="1">IF($E$264=0,0,IF(SUM($G93:DU93)=$B93,0,IF(SUM($G264:DU264)&gt;=$E264,($B93/$E264)*($E264-SUM($G264:DT264)),($B93/$E264)*DU264)))</f>
        <v>0</v>
      </c>
      <c r="DW93" s="395">
        <f ca="1">IF($E$264=0,0,IF(SUM($G93:DV93)=$B93,0,IF(SUM($G264:DV264)&gt;=$E264,($B93/$E264)*($E264-SUM($G264:DU264)),($B93/$E264)*DV264)))</f>
        <v>0</v>
      </c>
      <c r="DX93" s="395">
        <f ca="1">IF($E$264=0,0,IF(SUM($G93:DW93)=$B93,0,IF(SUM($G264:DW264)&gt;=$E264,($B93/$E264)*($E264-SUM($G264:DV264)),($B93/$E264)*DW264)))</f>
        <v>0</v>
      </c>
      <c r="DY93" s="395">
        <f ca="1">IF($E$264=0,0,IF(SUM($G93:DX93)=$B93,0,IF(SUM($G264:DX264)&gt;=$E264,($B93/$E264)*($E264-SUM($G264:DW264)),($B93/$E264)*DX264)))</f>
        <v>0</v>
      </c>
      <c r="DZ93" s="395">
        <f ca="1">IF($E$264=0,0,IF(SUM($G93:DY93)=$B93,0,IF(SUM($G264:DY264)&gt;=$E264,($B93/$E264)*($E264-SUM($G264:DX264)),($B93/$E264)*DY264)))</f>
        <v>0</v>
      </c>
      <c r="EA93" s="395">
        <f ca="1">IF($E$264=0,0,IF(SUM($G93:DZ93)=$B93,0,IF(SUM($G264:DZ264)&gt;=$E264,($B93/$E264)*($E264-SUM($G264:DY264)),($B93/$E264)*DZ264)))</f>
        <v>0</v>
      </c>
      <c r="EB93" s="395">
        <f ca="1">IF($E$264=0,0,IF(SUM($G93:EA93)=$B93,0,IF(SUM($G264:EA264)&gt;=$E264,($B93/$E264)*($E264-SUM($G264:DZ264)),($B93/$E264)*EA264)))</f>
        <v>0</v>
      </c>
      <c r="EC93" s="395">
        <f ca="1">IF($E$264=0,0,IF(SUM($G93:EB93)=$B93,0,IF(SUM($G264:EB264)&gt;=$E264,($B93/$E264)*($E264-SUM($G264:EA264)),($B93/$E264)*EB264)))</f>
        <v>0</v>
      </c>
      <c r="ED93" s="395">
        <f ca="1">IF($E$264=0,0,IF(SUM($G93:EC93)=$B93,0,IF(SUM($G264:EC264)&gt;=$E264,($B93/$E264)*($E264-SUM($G264:EB264)),($B93/$E264)*EC264)))</f>
        <v>0</v>
      </c>
      <c r="EE93" s="395">
        <f ca="1">IF($E$264=0,0,IF(SUM($G93:ED93)=$B93,0,IF(SUM($G264:ED264)&gt;=$E264,($B93/$E264)*($E264-SUM($G264:EC264)),($B93/$E264)*ED264)))</f>
        <v>0</v>
      </c>
      <c r="EF93" s="395">
        <f ca="1">IF($E$264=0,0,IF(SUM($G93:EE93)=$B93,0,IF(SUM($G264:EE264)&gt;=$E264,($B93/$E264)*($E264-SUM($G264:ED264)),($B93/$E264)*EE264)))</f>
        <v>0</v>
      </c>
      <c r="EG93" s="395">
        <f ca="1">IF($E$264=0,0,IF(SUM($G93:EF93)=$B93,0,IF(SUM($G264:EF264)&gt;=$E264,($B93/$E264)*($E264-SUM($G264:EE264)),($B93/$E264)*EF264)))</f>
        <v>0</v>
      </c>
      <c r="EH93" s="395">
        <f ca="1">IF($E$264=0,0,IF(SUM($G93:EG93)=$B93,0,IF(SUM($G264:EG264)&gt;=$E264,($B93/$E264)*($E264-SUM($G264:EF264)),($B93/$E264)*EG264)))</f>
        <v>0</v>
      </c>
      <c r="EI93" s="395">
        <f ca="1">IF($E$264=0,0,IF(SUM($G93:EH93)=$B93,0,IF(SUM($G264:EH264)&gt;=$E264,($B93/$E264)*($E264-SUM($G264:EG264)),($B93/$E264)*EH264)))</f>
        <v>0</v>
      </c>
      <c r="EJ93" s="398"/>
      <c r="EK93" s="313"/>
    </row>
    <row r="94" spans="1:141" hidden="1" outlineLevel="2">
      <c r="A94" s="332"/>
      <c r="B94" s="549">
        <f>длительность!D183</f>
        <v>2.5000000000000001E-2</v>
      </c>
      <c r="C94" s="317"/>
      <c r="D94" s="317" t="s">
        <v>638</v>
      </c>
      <c r="E94" s="318">
        <f t="shared" ca="1" si="315"/>
        <v>0</v>
      </c>
      <c r="F94" s="397">
        <f ca="1">SUM(G94:EJ94)</f>
        <v>2.5000000000000001E-2</v>
      </c>
      <c r="G94" s="395"/>
      <c r="H94" s="395">
        <f ca="1">IF($E$264=0,0,IF(SUM($G94:G94)=$B94,0,IF(SUM(H93:$EJ93)=0%,$B94,0%)))</f>
        <v>0</v>
      </c>
      <c r="I94" s="395">
        <f ca="1">IF($E$264=0,0,IF(SUM($G94:H94)=$B94,0,IF(SUM(I93:$EJ93)=0%,$B94,0%)))</f>
        <v>0</v>
      </c>
      <c r="J94" s="395">
        <f ca="1">IF($E$264=0,0,IF(SUM($G94:I94)=$B94,0,IF(SUM(J93:$EJ93)=0%,$B94,0%)))</f>
        <v>0</v>
      </c>
      <c r="K94" s="395">
        <f ca="1">IF($E$264=0,0,IF(SUM($G94:J94)=$B94,0,IF(SUM(K93:$EJ93)=0%,$B94,0%)))</f>
        <v>0</v>
      </c>
      <c r="L94" s="395">
        <f ca="1">IF($E$264=0,0,IF(SUM($G94:K94)=$B94,0,IF(SUM(L93:$EJ93)=0%,$B94,0%)))</f>
        <v>0</v>
      </c>
      <c r="M94" s="395">
        <f ca="1">IF($E$264=0,0,IF(SUM($G94:L94)=$B94,0,IF(SUM(M93:$EJ93)=0%,$B94,0%)))</f>
        <v>0</v>
      </c>
      <c r="N94" s="395">
        <f ca="1">IF($E$264=0,0,IF(SUM($G94:M94)=$B94,0,IF(SUM(N93:$EJ93)=0%,$B94,0%)))</f>
        <v>0</v>
      </c>
      <c r="O94" s="395">
        <f ca="1">IF($E$264=0,0,IF(SUM($G94:N94)=$B94,0,IF(SUM(O93:$EJ93)=0%,$B94,0%)))</f>
        <v>0</v>
      </c>
      <c r="P94" s="395">
        <f ca="1">IF($E$264=0,0,IF(SUM($G94:O94)=$B94,0,IF(SUM(P93:$EJ93)=0%,$B94,0%)))</f>
        <v>0</v>
      </c>
      <c r="Q94" s="395">
        <f ca="1">IF($E$264=0,0,IF(SUM($G94:P94)=$B94,0,IF(SUM(Q93:$EJ93)=0%,$B94,0%)))</f>
        <v>0</v>
      </c>
      <c r="R94" s="395">
        <f ca="1">IF($E$264=0,0,IF(SUM($G94:Q94)=$B94,0,IF(SUM(R93:$EJ93)=0%,$B94,0%)))</f>
        <v>0</v>
      </c>
      <c r="S94" s="395">
        <f ca="1">IF($E$264=0,0,IF(SUM($G94:R94)=$B94,0,IF(SUM(S93:$EJ93)=0%,$B94,0%)))</f>
        <v>0</v>
      </c>
      <c r="T94" s="395">
        <f ca="1">IF($E$264=0,0,IF(SUM($G94:S94)=$B94,0,IF(SUM(T93:$EJ93)=0%,$B94,0%)))</f>
        <v>0</v>
      </c>
      <c r="U94" s="395">
        <f ca="1">IF($E$264=0,0,IF(SUM($G94:T94)=$B94,0,IF(SUM(U93:$EJ93)=0%,$B94,0%)))</f>
        <v>0</v>
      </c>
      <c r="V94" s="395">
        <f ca="1">IF($E$264=0,0,IF(SUM($G94:U94)=$B94,0,IF(SUM(V93:$EJ93)=0%,$B94,0%)))</f>
        <v>0</v>
      </c>
      <c r="W94" s="395">
        <f ca="1">IF($E$264=0,0,IF(SUM($G94:V94)=$B94,0,IF(SUM(W93:$EJ93)=0%,$B94,0%)))</f>
        <v>0</v>
      </c>
      <c r="X94" s="395">
        <f ca="1">IF($E$264=0,0,IF(SUM($G94:W94)=$B94,0,IF(SUM(X93:$EJ93)=0%,$B94,0%)))</f>
        <v>0</v>
      </c>
      <c r="Y94" s="395">
        <f ca="1">IF($E$264=0,0,IF(SUM($G94:X94)=$B94,0,IF(SUM(Y93:$EJ93)=0%,$B94,0%)))</f>
        <v>0</v>
      </c>
      <c r="Z94" s="395">
        <f ca="1">IF($E$264=0,0,IF(SUM($G94:Y94)=$B94,0,IF(SUM(Z93:$EJ93)=0%,$B94,0%)))</f>
        <v>0</v>
      </c>
      <c r="AA94" s="395">
        <f ca="1">IF($E$264=0,0,IF(SUM($G94:Z94)=$B94,0,IF(SUM(AA93:$EJ93)=0%,$B94,0%)))</f>
        <v>0</v>
      </c>
      <c r="AB94" s="395">
        <f ca="1">IF($E$264=0,0,IF(SUM($G94:AA94)=$B94,0,IF(SUM(AB93:$EJ93)=0%,$B94,0%)))</f>
        <v>0</v>
      </c>
      <c r="AC94" s="395">
        <f ca="1">IF($E$264=0,0,IF(SUM($G94:AB94)=$B94,0,IF(SUM(AC93:$EJ93)=0%,$B94,0%)))</f>
        <v>0</v>
      </c>
      <c r="AD94" s="395">
        <f ca="1">IF($E$264=0,0,IF(SUM($G94:AC94)=$B94,0,IF(SUM(AD93:$EJ93)=0%,$B94,0%)))</f>
        <v>0</v>
      </c>
      <c r="AE94" s="395">
        <f ca="1">IF($E$264=0,0,IF(SUM($G94:AD94)=$B94,0,IF(SUM(AE93:$EJ93)=0%,$B94,0%)))</f>
        <v>0</v>
      </c>
      <c r="AF94" s="395">
        <f ca="1">IF($E$264=0,0,IF(SUM($G94:AE94)=$B94,0,IF(SUM(AF93:$EJ93)=0%,$B94,0%)))</f>
        <v>0</v>
      </c>
      <c r="AG94" s="395">
        <f ca="1">IF($E$264=0,0,IF(SUM($G94:AF94)=$B94,0,IF(SUM(AG93:$EJ93)=0%,$B94,0%)))</f>
        <v>0</v>
      </c>
      <c r="AH94" s="395">
        <f ca="1">IF($E$264=0,0,IF(SUM($G94:AG94)=$B94,0,IF(SUM(AH93:$EJ93)=0%,$B94,0%)))</f>
        <v>0</v>
      </c>
      <c r="AI94" s="395">
        <f ca="1">IF($E$264=0,0,IF(SUM($G94:AH94)=$B94,0,IF(SUM(AI93:$EJ93)=0%,$B94,0%)))</f>
        <v>0</v>
      </c>
      <c r="AJ94" s="395">
        <f ca="1">IF($E$264=0,0,IF(SUM($G94:AI94)=$B94,0,IF(SUM(AJ93:$EJ93)=0%,$B94,0%)))</f>
        <v>0</v>
      </c>
      <c r="AK94" s="395">
        <f ca="1">IF($E$264=0,0,IF(SUM($G94:AJ94)=$B94,0,IF(SUM(AK93:$EJ93)=0%,$B94,0%)))</f>
        <v>0</v>
      </c>
      <c r="AL94" s="395">
        <f ca="1">IF($E$264=0,0,IF(SUM($G94:AK94)=$B94,0,IF(SUM(AL93:$EJ93)=0%,$B94,0%)))</f>
        <v>0</v>
      </c>
      <c r="AM94" s="395">
        <f ca="1">IF($E$264=0,0,IF(SUM($G94:AL94)=$B94,0,IF(SUM(AM93:$EJ93)=0%,$B94,0%)))</f>
        <v>0</v>
      </c>
      <c r="AN94" s="395">
        <f ca="1">IF($E$264=0,0,IF(SUM($G94:AM94)=$B94,0,IF(SUM(AN93:$EJ93)=0%,$B94,0%)))</f>
        <v>0</v>
      </c>
      <c r="AO94" s="395">
        <f ca="1">IF($E$264=0,0,IF(SUM($G94:AN94)=$B94,0,IF(SUM(AO93:$EJ93)=0%,$B94,0%)))</f>
        <v>0</v>
      </c>
      <c r="AP94" s="395">
        <f ca="1">IF($E$264=0,0,IF(SUM($G94:AO94)=$B94,0,IF(SUM(AP93:$EJ93)=0%,$B94,0%)))</f>
        <v>0</v>
      </c>
      <c r="AQ94" s="395">
        <f ca="1">IF($E$264=0,0,IF(SUM($G94:AP94)=$B94,0,IF(SUM(AQ93:$EJ93)=0%,$B94,0%)))</f>
        <v>2.5000000000000001E-2</v>
      </c>
      <c r="AR94" s="395">
        <f ca="1">IF($E$264=0,0,IF(SUM($G94:AQ94)=$B94,0,IF(SUM(AR93:$EJ93)=0%,$B94,0%)))</f>
        <v>0</v>
      </c>
      <c r="AS94" s="395">
        <f ca="1">IF($E$264=0,0,IF(SUM($G94:AR94)=$B94,0,IF(SUM(AS93:$EJ93)=0%,$B94,0%)))</f>
        <v>0</v>
      </c>
      <c r="AT94" s="395">
        <f ca="1">IF($E$264=0,0,IF(SUM($G94:AS94)=$B94,0,IF(SUM(AT93:$EJ93)=0%,$B94,0%)))</f>
        <v>0</v>
      </c>
      <c r="AU94" s="395">
        <f ca="1">IF($E$264=0,0,IF(SUM($G94:AT94)=$B94,0,IF(SUM(AU93:$EJ93)=0%,$B94,0%)))</f>
        <v>0</v>
      </c>
      <c r="AV94" s="395">
        <f ca="1">IF($E$264=0,0,IF(SUM($G94:AU94)=$B94,0,IF(SUM(AV93:$EJ93)=0%,$B94,0%)))</f>
        <v>0</v>
      </c>
      <c r="AW94" s="395">
        <f ca="1">IF($E$264=0,0,IF(SUM($G94:AV94)=$B94,0,IF(SUM(AW93:$EJ93)=0%,$B94,0%)))</f>
        <v>0</v>
      </c>
      <c r="AX94" s="395">
        <f ca="1">IF($E$264=0,0,IF(SUM($G94:AW94)=$B94,0,IF(SUM(AX93:$EJ93)=0%,$B94,0%)))</f>
        <v>0</v>
      </c>
      <c r="AY94" s="395">
        <f ca="1">IF($E$264=0,0,IF(SUM($G94:AX94)=$B94,0,IF(SUM(AY93:$EJ93)=0%,$B94,0%)))</f>
        <v>0</v>
      </c>
      <c r="AZ94" s="395">
        <f ca="1">IF($E$264=0,0,IF(SUM($G94:AY94)=$B94,0,IF(SUM(AZ93:$EJ93)=0%,$B94,0%)))</f>
        <v>0</v>
      </c>
      <c r="BA94" s="395">
        <f ca="1">IF($E$264=0,0,IF(SUM($G94:AZ94)=$B94,0,IF(SUM(BA93:$EJ93)=0%,$B94,0%)))</f>
        <v>0</v>
      </c>
      <c r="BB94" s="395">
        <f ca="1">IF($E$264=0,0,IF(SUM($G94:BA94)=$B94,0,IF(SUM(BB93:$EJ93)=0%,$B94,0%)))</f>
        <v>0</v>
      </c>
      <c r="BC94" s="395">
        <f ca="1">IF($E$264=0,0,IF(SUM($G94:BB94)=$B94,0,IF(SUM(BC93:$EJ93)=0%,$B94,0%)))</f>
        <v>0</v>
      </c>
      <c r="BD94" s="395">
        <f ca="1">IF($E$264=0,0,IF(SUM($G94:BC94)=$B94,0,IF(SUM(BD93:$EJ93)=0%,$B94,0%)))</f>
        <v>0</v>
      </c>
      <c r="BE94" s="395">
        <f ca="1">IF($E$264=0,0,IF(SUM($G94:BD94)=$B94,0,IF(SUM(BE93:$EJ93)=0%,$B94,0%)))</f>
        <v>0</v>
      </c>
      <c r="BF94" s="395">
        <f ca="1">IF($E$264=0,0,IF(SUM($G94:BE94)=$B94,0,IF(SUM(BF93:$EJ93)=0%,$B94,0%)))</f>
        <v>0</v>
      </c>
      <c r="BG94" s="395">
        <f ca="1">IF($E$264=0,0,IF(SUM($G94:BF94)=$B94,0,IF(SUM(BG93:$EJ93)=0%,$B94,0%)))</f>
        <v>0</v>
      </c>
      <c r="BH94" s="395">
        <f ca="1">IF($E$264=0,0,IF(SUM($G94:BG94)=$B94,0,IF(SUM(BH93:$EJ93)=0%,$B94,0%)))</f>
        <v>0</v>
      </c>
      <c r="BI94" s="395">
        <f ca="1">IF($E$264=0,0,IF(SUM($G94:BH94)=$B94,0,IF(SUM(BI93:$EJ93)=0%,$B94,0%)))</f>
        <v>0</v>
      </c>
      <c r="BJ94" s="395">
        <f ca="1">IF($E$264=0,0,IF(SUM($G94:BI94)=$B94,0,IF(SUM(BJ93:$EJ93)=0%,$B94,0%)))</f>
        <v>0</v>
      </c>
      <c r="BK94" s="395">
        <f ca="1">IF($E$264=0,0,IF(SUM($G94:BJ94)=$B94,0,IF(SUM(BK93:$EJ93)=0%,$B94,0%)))</f>
        <v>0</v>
      </c>
      <c r="BL94" s="395">
        <f ca="1">IF($E$264=0,0,IF(SUM($G94:BK94)=$B94,0,IF(SUM(BL93:$EJ93)=0%,$B94,0%)))</f>
        <v>0</v>
      </c>
      <c r="BM94" s="395">
        <f ca="1">IF($E$264=0,0,IF(SUM($G94:BL94)=$B94,0,IF(SUM(BM93:$EJ93)=0%,$B94,0%)))</f>
        <v>0</v>
      </c>
      <c r="BN94" s="395">
        <f ca="1">IF($E$264=0,0,IF(SUM($G94:BM94)=$B94,0,IF(SUM(BN93:$EJ93)=0%,$B94,0%)))</f>
        <v>0</v>
      </c>
      <c r="BO94" s="395">
        <f ca="1">IF($E$264=0,0,IF(SUM($G94:BN94)=$B94,0,IF(SUM(BO93:$EJ93)=0%,$B94,0%)))</f>
        <v>0</v>
      </c>
      <c r="BP94" s="395">
        <f ca="1">IF($E$264=0,0,IF(SUM($G94:BO94)=$B94,0,IF(SUM(BP93:$EJ93)=0%,$B94,0%)))</f>
        <v>0</v>
      </c>
      <c r="BQ94" s="395">
        <f ca="1">IF($E$264=0,0,IF(SUM($G94:BP94)=$B94,0,IF(SUM(BQ93:$EJ93)=0%,$B94,0%)))</f>
        <v>0</v>
      </c>
      <c r="BR94" s="395">
        <f ca="1">IF($E$264=0,0,IF(SUM($G94:BQ94)=$B94,0,IF(SUM(BR93:$EJ93)=0%,$B94,0%)))</f>
        <v>0</v>
      </c>
      <c r="BS94" s="395">
        <f ca="1">IF($E$264=0,0,IF(SUM($G94:BR94)=$B94,0,IF(SUM(BS93:$EJ93)=0%,$B94,0%)))</f>
        <v>0</v>
      </c>
      <c r="BT94" s="395">
        <f ca="1">IF($E$264=0,0,IF(SUM($G94:BS94)=$B94,0,IF(SUM(BT93:$EJ93)=0%,$B94,0%)))</f>
        <v>0</v>
      </c>
      <c r="BU94" s="395">
        <f ca="1">IF($E$264=0,0,IF(SUM($G94:BT94)=$B94,0,IF(SUM(BU93:$EJ93)=0%,$B94,0%)))</f>
        <v>0</v>
      </c>
      <c r="BV94" s="395">
        <f ca="1">IF($E$264=0,0,IF(SUM($G94:BU94)=$B94,0,IF(SUM(BV93:$EJ93)=0%,$B94,0%)))</f>
        <v>0</v>
      </c>
      <c r="BW94" s="395">
        <f ca="1">IF($E$264=0,0,IF(SUM($G94:BV94)=$B94,0,IF(SUM(BW93:$EJ93)=0%,$B94,0%)))</f>
        <v>0</v>
      </c>
      <c r="BX94" s="395">
        <f ca="1">IF($E$264=0,0,IF(SUM($G94:BW94)=$B94,0,IF(SUM(BX93:$EJ93)=0%,$B94,0%)))</f>
        <v>0</v>
      </c>
      <c r="BY94" s="395">
        <f ca="1">IF($E$264=0,0,IF(SUM($G94:BX94)=$B94,0,IF(SUM(BY93:$EJ93)=0%,$B94,0%)))</f>
        <v>0</v>
      </c>
      <c r="BZ94" s="395">
        <f ca="1">IF($E$264=0,0,IF(SUM($G94:BY94)=$B94,0,IF(SUM(BZ93:$EJ93)=0%,$B94,0%)))</f>
        <v>0</v>
      </c>
      <c r="CA94" s="395">
        <f ca="1">IF($E$264=0,0,IF(SUM($G94:BZ94)=$B94,0,IF(SUM(CA93:$EJ93)=0%,$B94,0%)))</f>
        <v>0</v>
      </c>
      <c r="CB94" s="395">
        <f ca="1">IF($E$264=0,0,IF(SUM($G94:CA94)=$B94,0,IF(SUM(CB93:$EJ93)=0%,$B94,0%)))</f>
        <v>0</v>
      </c>
      <c r="CC94" s="395">
        <f ca="1">IF($E$264=0,0,IF(SUM($G94:CB94)=$B94,0,IF(SUM(CC93:$EJ93)=0%,$B94,0%)))</f>
        <v>0</v>
      </c>
      <c r="CD94" s="395">
        <f ca="1">IF($E$264=0,0,IF(SUM($G94:CC94)=$B94,0,IF(SUM(CD93:$EJ93)=0%,$B94,0%)))</f>
        <v>0</v>
      </c>
      <c r="CE94" s="395">
        <f ca="1">IF($E$264=0,0,IF(SUM($G94:CD94)=$B94,0,IF(SUM(CE93:$EJ93)=0%,$B94,0%)))</f>
        <v>0</v>
      </c>
      <c r="CF94" s="395">
        <f ca="1">IF($E$264=0,0,IF(SUM($G94:CE94)=$B94,0,IF(SUM(CF93:$EJ93)=0%,$B94,0%)))</f>
        <v>0</v>
      </c>
      <c r="CG94" s="395">
        <f ca="1">IF($E$264=0,0,IF(SUM($G94:CF94)=$B94,0,IF(SUM(CG93:$EJ93)=0%,$B94,0%)))</f>
        <v>0</v>
      </c>
      <c r="CH94" s="395">
        <f ca="1">IF($E$264=0,0,IF(SUM($G94:CG94)=$B94,0,IF(SUM(CH93:$EJ93)=0%,$B94,0%)))</f>
        <v>0</v>
      </c>
      <c r="CI94" s="395">
        <f ca="1">IF($E$264=0,0,IF(SUM($G94:CH94)=$B94,0,IF(SUM(CI93:$EJ93)=0%,$B94,0%)))</f>
        <v>0</v>
      </c>
      <c r="CJ94" s="395">
        <f ca="1">IF($E$264=0,0,IF(SUM($G94:CI94)=$B94,0,IF(SUM(CJ93:$EJ93)=0%,$B94,0%)))</f>
        <v>0</v>
      </c>
      <c r="CK94" s="395">
        <f ca="1">IF($E$264=0,0,IF(SUM($G94:CJ94)=$B94,0,IF(SUM(CK93:$EJ93)=0%,$B94,0%)))</f>
        <v>0</v>
      </c>
      <c r="CL94" s="395">
        <f ca="1">IF($E$264=0,0,IF(SUM($G94:CK94)=$B94,0,IF(SUM(CL93:$EJ93)=0%,$B94,0%)))</f>
        <v>0</v>
      </c>
      <c r="CM94" s="395">
        <f ca="1">IF($E$264=0,0,IF(SUM($G94:CL94)=$B94,0,IF(SUM(CM93:$EJ93)=0%,$B94,0%)))</f>
        <v>0</v>
      </c>
      <c r="CN94" s="395">
        <f ca="1">IF($E$264=0,0,IF(SUM($G94:CM94)=$B94,0,IF(SUM(CN93:$EJ93)=0%,$B94,0%)))</f>
        <v>0</v>
      </c>
      <c r="CO94" s="395">
        <f ca="1">IF($E$264=0,0,IF(SUM($G94:CN94)=$B94,0,IF(SUM(CO93:$EJ93)=0%,$B94,0%)))</f>
        <v>0</v>
      </c>
      <c r="CP94" s="395">
        <f ca="1">IF($E$264=0,0,IF(SUM($G94:CO94)=$B94,0,IF(SUM(CP93:$EJ93)=0%,$B94,0%)))</f>
        <v>0</v>
      </c>
      <c r="CQ94" s="395">
        <f ca="1">IF($E$264=0,0,IF(SUM($G94:CP94)=$B94,0,IF(SUM(CQ93:$EJ93)=0%,$B94,0%)))</f>
        <v>0</v>
      </c>
      <c r="CR94" s="395">
        <f ca="1">IF($E$264=0,0,IF(SUM($G94:CQ94)=$B94,0,IF(SUM(CR93:$EJ93)=0%,$B94,0%)))</f>
        <v>0</v>
      </c>
      <c r="CS94" s="395">
        <f ca="1">IF($E$264=0,0,IF(SUM($G94:CR94)=$B94,0,IF(SUM(CS93:$EJ93)=0%,$B94,0%)))</f>
        <v>0</v>
      </c>
      <c r="CT94" s="395">
        <f ca="1">IF($E$264=0,0,IF(SUM($G94:CS94)=$B94,0,IF(SUM(CT93:$EJ93)=0%,$B94,0%)))</f>
        <v>0</v>
      </c>
      <c r="CU94" s="395">
        <f ca="1">IF($E$264=0,0,IF(SUM($G94:CT94)=$B94,0,IF(SUM(CU93:$EJ93)=0%,$B94,0%)))</f>
        <v>0</v>
      </c>
      <c r="CV94" s="395">
        <f ca="1">IF($E$264=0,0,IF(SUM($G94:CU94)=$B94,0,IF(SUM(CV93:$EJ93)=0%,$B94,0%)))</f>
        <v>0</v>
      </c>
      <c r="CW94" s="395">
        <f ca="1">IF($E$264=0,0,IF(SUM($G94:CV94)=$B94,0,IF(SUM(CW93:$EJ93)=0%,$B94,0%)))</f>
        <v>0</v>
      </c>
      <c r="CX94" s="395">
        <f ca="1">IF($E$264=0,0,IF(SUM($G94:CW94)=$B94,0,IF(SUM(CX93:$EJ93)=0%,$B94,0%)))</f>
        <v>0</v>
      </c>
      <c r="CY94" s="395">
        <f ca="1">IF($E$264=0,0,IF(SUM($G94:CX94)=$B94,0,IF(SUM(CY93:$EJ93)=0%,$B94,0%)))</f>
        <v>0</v>
      </c>
      <c r="CZ94" s="395">
        <f ca="1">IF($E$264=0,0,IF(SUM($G94:CY94)=$B94,0,IF(SUM(CZ93:$EJ93)=0%,$B94,0%)))</f>
        <v>0</v>
      </c>
      <c r="DA94" s="395">
        <f ca="1">IF($E$264=0,0,IF(SUM($G94:CZ94)=$B94,0,IF(SUM(DA93:$EJ93)=0%,$B94,0%)))</f>
        <v>0</v>
      </c>
      <c r="DB94" s="395">
        <f ca="1">IF($E$264=0,0,IF(SUM($G94:DA94)=$B94,0,IF(SUM(DB93:$EJ93)=0%,$B94,0%)))</f>
        <v>0</v>
      </c>
      <c r="DC94" s="395">
        <f ca="1">IF($E$264=0,0,IF(SUM($G94:DB94)=$B94,0,IF(SUM(DC93:$EJ93)=0%,$B94,0%)))</f>
        <v>0</v>
      </c>
      <c r="DD94" s="395">
        <f ca="1">IF($E$264=0,0,IF(SUM($G94:DC94)=$B94,0,IF(SUM(DD93:$EJ93)=0%,$B94,0%)))</f>
        <v>0</v>
      </c>
      <c r="DE94" s="395">
        <f ca="1">IF($E$264=0,0,IF(SUM($G94:DD94)=$B94,0,IF(SUM(DE93:$EJ93)=0%,$B94,0%)))</f>
        <v>0</v>
      </c>
      <c r="DF94" s="395">
        <f ca="1">IF($E$264=0,0,IF(SUM($G94:DE94)=$B94,0,IF(SUM(DF93:$EJ93)=0%,$B94,0%)))</f>
        <v>0</v>
      </c>
      <c r="DG94" s="395">
        <f ca="1">IF($E$264=0,0,IF(SUM($G94:DF94)=$B94,0,IF(SUM(DG93:$EJ93)=0%,$B94,0%)))</f>
        <v>0</v>
      </c>
      <c r="DH94" s="395">
        <f ca="1">IF($E$264=0,0,IF(SUM($G94:DG94)=$B94,0,IF(SUM(DH93:$EJ93)=0%,$B94,0%)))</f>
        <v>0</v>
      </c>
      <c r="DI94" s="395">
        <f ca="1">IF($E$264=0,0,IF(SUM($G94:DH94)=$B94,0,IF(SUM(DI93:$EJ93)=0%,$B94,0%)))</f>
        <v>0</v>
      </c>
      <c r="DJ94" s="395">
        <f ca="1">IF($E$264=0,0,IF(SUM($G94:DI94)=$B94,0,IF(SUM(DJ93:$EJ93)=0%,$B94,0%)))</f>
        <v>0</v>
      </c>
      <c r="DK94" s="395">
        <f ca="1">IF($E$264=0,0,IF(SUM($G94:DJ94)=$B94,0,IF(SUM(DK93:$EJ93)=0%,$B94,0%)))</f>
        <v>0</v>
      </c>
      <c r="DL94" s="395">
        <f ca="1">IF($E$264=0,0,IF(SUM($G94:DK94)=$B94,0,IF(SUM(DL93:$EJ93)=0%,$B94,0%)))</f>
        <v>0</v>
      </c>
      <c r="DM94" s="395">
        <f ca="1">IF($E$264=0,0,IF(SUM($G94:DL94)=$B94,0,IF(SUM(DM93:$EJ93)=0%,$B94,0%)))</f>
        <v>0</v>
      </c>
      <c r="DN94" s="395">
        <f ca="1">IF($E$264=0,0,IF(SUM($G94:DM94)=$B94,0,IF(SUM(DN93:$EJ93)=0%,$B94,0%)))</f>
        <v>0</v>
      </c>
      <c r="DO94" s="395">
        <f ca="1">IF($E$264=0,0,IF(SUM($G94:DN94)=$B94,0,IF(SUM(DO93:$EJ93)=0%,$B94,0%)))</f>
        <v>0</v>
      </c>
      <c r="DP94" s="395">
        <f ca="1">IF($E$264=0,0,IF(SUM($G94:DO94)=$B94,0,IF(SUM(DP93:$EJ93)=0%,$B94,0%)))</f>
        <v>0</v>
      </c>
      <c r="DQ94" s="395">
        <f ca="1">IF($E$264=0,0,IF(SUM($G94:DP94)=$B94,0,IF(SUM(DQ93:$EJ93)=0%,$B94,0%)))</f>
        <v>0</v>
      </c>
      <c r="DR94" s="395">
        <f ca="1">IF($E$264=0,0,IF(SUM($G94:DQ94)=$B94,0,IF(SUM(DR93:$EJ93)=0%,$B94,0%)))</f>
        <v>0</v>
      </c>
      <c r="DS94" s="395">
        <f ca="1">IF($E$264=0,0,IF(SUM($G94:DR94)=$B94,0,IF(SUM(DS93:$EJ93)=0%,$B94,0%)))</f>
        <v>0</v>
      </c>
      <c r="DT94" s="395">
        <f ca="1">IF($E$264=0,0,IF(SUM($G94:DS94)=$B94,0,IF(SUM(DT93:$EJ93)=0%,$B94,0%)))</f>
        <v>0</v>
      </c>
      <c r="DU94" s="395">
        <f ca="1">IF($E$264=0,0,IF(SUM($G94:DT94)=$B94,0,IF(SUM(DU93:$EJ93)=0%,$B94,0%)))</f>
        <v>0</v>
      </c>
      <c r="DV94" s="395">
        <f ca="1">IF($E$264=0,0,IF(SUM($G94:DU94)=$B94,0,IF(SUM(DV93:$EJ93)=0%,$B94,0%)))</f>
        <v>0</v>
      </c>
      <c r="DW94" s="395">
        <f ca="1">IF($E$264=0,0,IF(SUM($G94:DV94)=$B94,0,IF(SUM(DW93:$EJ93)=0%,$B94,0%)))</f>
        <v>0</v>
      </c>
      <c r="DX94" s="395">
        <f ca="1">IF($E$264=0,0,IF(SUM($G94:DW94)=$B94,0,IF(SUM(DX93:$EJ93)=0%,$B94,0%)))</f>
        <v>0</v>
      </c>
      <c r="DY94" s="395">
        <f ca="1">IF($E$264=0,0,IF(SUM($G94:DX94)=$B94,0,IF(SUM(DY93:$EJ93)=0%,$B94,0%)))</f>
        <v>0</v>
      </c>
      <c r="DZ94" s="395">
        <f ca="1">IF($E$264=0,0,IF(SUM($G94:DY94)=$B94,0,IF(SUM(DZ93:$EJ93)=0%,$B94,0%)))</f>
        <v>0</v>
      </c>
      <c r="EA94" s="395">
        <f ca="1">IF($E$264=0,0,IF(SUM($G94:DZ94)=$B94,0,IF(SUM(EA93:$EJ93)=0%,$B94,0%)))</f>
        <v>0</v>
      </c>
      <c r="EB94" s="395">
        <f ca="1">IF($E$264=0,0,IF(SUM($G94:EA94)=$B94,0,IF(SUM(EB93:$EJ93)=0%,$B94,0%)))</f>
        <v>0</v>
      </c>
      <c r="EC94" s="395">
        <f ca="1">IF($E$264=0,0,IF(SUM($G94:EB94)=$B94,0,IF(SUM(EC93:$EJ93)=0%,$B94,0%)))</f>
        <v>0</v>
      </c>
      <c r="ED94" s="395">
        <f ca="1">IF($E$264=0,0,IF(SUM($G94:EC94)=$B94,0,IF(SUM(ED93:$EJ93)=0%,$B94,0%)))</f>
        <v>0</v>
      </c>
      <c r="EE94" s="395">
        <f ca="1">IF($E$264=0,0,IF(SUM($G94:ED94)=$B94,0,IF(SUM(EE93:$EJ93)=0%,$B94,0%)))</f>
        <v>0</v>
      </c>
      <c r="EF94" s="395">
        <f ca="1">IF($E$264=0,0,IF(SUM($G94:EE94)=$B94,0,IF(SUM(EF93:$EJ93)=0%,$B94,0%)))</f>
        <v>0</v>
      </c>
      <c r="EG94" s="395">
        <f ca="1">IF($E$264=0,0,IF(SUM($G94:EF94)=$B94,0,IF(SUM(EG93:$EJ93)=0%,$B94,0%)))</f>
        <v>0</v>
      </c>
      <c r="EH94" s="395">
        <f ca="1">IF($E$264=0,0,IF(SUM($G94:EG94)=$B94,0,IF(SUM(EH93:$EJ93)=0%,$B94,0%)))</f>
        <v>0</v>
      </c>
      <c r="EI94" s="395">
        <f ca="1">IF($E$264=0,0,IF(SUM($G94:EH94)=$B94,0,IF(SUM(EI93:$EJ93)=0%,$B94,0%)))</f>
        <v>0</v>
      </c>
      <c r="EJ94" s="398"/>
      <c r="EK94" s="313"/>
    </row>
    <row r="95" spans="1:141" hidden="1" outlineLevel="2">
      <c r="A95" s="332"/>
      <c r="B95" s="549">
        <f>длительность!F183</f>
        <v>2.5000000000000001E-2</v>
      </c>
      <c r="C95" s="317"/>
      <c r="D95" s="317" t="s">
        <v>640</v>
      </c>
      <c r="E95" s="318">
        <f t="shared" ca="1" si="315"/>
        <v>0</v>
      </c>
      <c r="F95" s="397">
        <f ca="1">SUM(G95:EJ95)</f>
        <v>2.5000000000000001E-2</v>
      </c>
      <c r="G95" s="395"/>
      <c r="H95" s="395"/>
      <c r="I95" s="395"/>
      <c r="J95" s="395"/>
      <c r="K95" s="395"/>
      <c r="L95" s="395"/>
      <c r="M95" s="395"/>
      <c r="N95" s="395"/>
      <c r="O95" s="395"/>
      <c r="P95" s="395"/>
      <c r="Q95" s="395"/>
      <c r="R95" s="395"/>
      <c r="S95" s="395"/>
      <c r="T95" s="395"/>
      <c r="U95" s="395"/>
      <c r="V95" s="395"/>
      <c r="W95" s="395"/>
      <c r="X95" s="395"/>
      <c r="Y95" s="395"/>
      <c r="Z95" s="395"/>
      <c r="AA95" s="395"/>
      <c r="AB95" s="395"/>
      <c r="AC95" s="395"/>
      <c r="AD95" s="395">
        <f ca="1">IF($E$264=0,0,IF(SUM($G95:AC95)=$B95,0,IF(SUM($G94:G94)=$B94,$B95,0%)))</f>
        <v>0</v>
      </c>
      <c r="AE95" s="395">
        <f ca="1">IF($E$264=0,0,IF(SUM($G95:AD95)=$B95,0,IF(SUM($G94:H94)=$B94,$B95,0%)))</f>
        <v>0</v>
      </c>
      <c r="AF95" s="395">
        <f ca="1">IF($E$264=0,0,IF(SUM($G95:AE95)=$B95,0,IF(SUM($G94:I94)=$B94,$B95,0%)))</f>
        <v>0</v>
      </c>
      <c r="AG95" s="395">
        <f ca="1">IF($E$264=0,0,IF(SUM($G95:AF95)=$B95,0,IF(SUM($G94:J94)=$B94,$B95,0%)))</f>
        <v>0</v>
      </c>
      <c r="AH95" s="395">
        <f ca="1">IF($E$264=0,0,IF(SUM($G95:AG95)=$B95,0,IF(SUM($G94:K94)=$B94,$B95,0%)))</f>
        <v>0</v>
      </c>
      <c r="AI95" s="395">
        <f ca="1">IF($E$264=0,0,IF(SUM($G95:AH95)=$B95,0,IF(SUM($G94:L94)=$B94,$B95,0%)))</f>
        <v>0</v>
      </c>
      <c r="AJ95" s="395">
        <f ca="1">IF($E$264=0,0,IF(SUM($G95:AI95)=$B95,0,IF(SUM($G94:M94)=$B94,$B95,0%)))</f>
        <v>0</v>
      </c>
      <c r="AK95" s="395">
        <f ca="1">IF($E$264=0,0,IF(SUM($G95:AJ95)=$B95,0,IF(SUM($G94:N94)=$B94,$B95,0%)))</f>
        <v>0</v>
      </c>
      <c r="AL95" s="395">
        <f ca="1">IF($E$264=0,0,IF(SUM($G95:AK95)=$B95,0,IF(SUM($G94:O94)=$B94,$B95,0%)))</f>
        <v>0</v>
      </c>
      <c r="AM95" s="395">
        <f ca="1">IF($E$264=0,0,IF(SUM($G95:AL95)=$B95,0,IF(SUM($G94:P94)=$B94,$B95,0%)))</f>
        <v>0</v>
      </c>
      <c r="AN95" s="395">
        <f ca="1">IF($E$264=0,0,IF(SUM($G95:AM95)=$B95,0,IF(SUM($G94:Q94)=$B94,$B95,0%)))</f>
        <v>0</v>
      </c>
      <c r="AO95" s="395">
        <f ca="1">IF($E$264=0,0,IF(SUM($G95:AN95)=$B95,0,IF(SUM($G94:R94)=$B94,$B95,0%)))</f>
        <v>0</v>
      </c>
      <c r="AP95" s="395">
        <f ca="1">IF($E$264=0,0,IF(SUM($G95:AO95)=$B95,0,IF(SUM($G94:S94)=$B94,$B95,0%)))</f>
        <v>0</v>
      </c>
      <c r="AQ95" s="395">
        <f ca="1">IF($E$264=0,0,IF(SUM($G95:AP95)=$B95,0,IF(SUM($G94:T94)=$B94,$B95,0%)))</f>
        <v>0</v>
      </c>
      <c r="AR95" s="395">
        <f ca="1">IF($E$264=0,0,IF(SUM($G95:AQ95)=$B95,0,IF(SUM($G94:U94)=$B94,$B95,0%)))</f>
        <v>0</v>
      </c>
      <c r="AS95" s="395">
        <f ca="1">IF($E$264=0,0,IF(SUM($G95:AR95)=$B95,0,IF(SUM($G94:V94)=$B94,$B95,0%)))</f>
        <v>0</v>
      </c>
      <c r="AT95" s="395">
        <f ca="1">IF($E$264=0,0,IF(SUM($G95:AS95)=$B95,0,IF(SUM($G94:W94)=$B94,$B95,0%)))</f>
        <v>0</v>
      </c>
      <c r="AU95" s="395">
        <f ca="1">IF($E$264=0,0,IF(SUM($G95:AT95)=$B95,0,IF(SUM($G94:X94)=$B94,$B95,0%)))</f>
        <v>0</v>
      </c>
      <c r="AV95" s="395">
        <f ca="1">IF($E$264=0,0,IF(SUM($G95:AU95)=$B95,0,IF(SUM($G94:Y94)=$B94,$B95,0%)))</f>
        <v>0</v>
      </c>
      <c r="AW95" s="395">
        <f ca="1">IF($E$264=0,0,IF(SUM($G95:AV95)=$B95,0,IF(SUM($G94:Z94)=$B94,$B95,0%)))</f>
        <v>0</v>
      </c>
      <c r="AX95" s="395">
        <f ca="1">IF($E$264=0,0,IF(SUM($G95:AW95)=$B95,0,IF(SUM($G94:AA94)=$B94,$B95,0%)))</f>
        <v>0</v>
      </c>
      <c r="AY95" s="395">
        <f ca="1">IF($E$264=0,0,IF(SUM($G95:AX95)=$B95,0,IF(SUM($G94:AB94)=$B94,$B95,0%)))</f>
        <v>0</v>
      </c>
      <c r="AZ95" s="395">
        <f ca="1">IF($E$264=0,0,IF(SUM($G95:AY95)=$B95,0,IF(SUM($G94:AC94)=$B94,$B95,0%)))</f>
        <v>0</v>
      </c>
      <c r="BA95" s="395">
        <f ca="1">IF($E$264=0,0,IF(SUM($G95:AZ95)=$B95,0,IF(SUM($G94:AD94)=$B94,$B95,0%)))</f>
        <v>0</v>
      </c>
      <c r="BB95" s="395">
        <f ca="1">IF($E$264=0,0,IF(SUM($G95:BA95)=$B95,0,IF(SUM($G94:AE94)=$B94,$B95,0%)))</f>
        <v>0</v>
      </c>
      <c r="BC95" s="395">
        <f ca="1">IF($E$264=0,0,IF(SUM($G95:BB95)=$B95,0,IF(SUM($G94:AF94)=$B94,$B95,0%)))</f>
        <v>0</v>
      </c>
      <c r="BD95" s="395">
        <f ca="1">IF($E$264=0,0,IF(SUM($G95:BC95)=$B95,0,IF(SUM($G94:AG94)=$B94,$B95,0%)))</f>
        <v>0</v>
      </c>
      <c r="BE95" s="395">
        <f ca="1">IF($E$264=0,0,IF(SUM($G95:BD95)=$B95,0,IF(SUM($G94:AH94)=$B94,$B95,0%)))</f>
        <v>0</v>
      </c>
      <c r="BF95" s="395">
        <f ca="1">IF($E$264=0,0,IF(SUM($G95:BE95)=$B95,0,IF(SUM($G94:AI94)=$B94,$B95,0%)))</f>
        <v>0</v>
      </c>
      <c r="BG95" s="395">
        <f ca="1">IF($E$264=0,0,IF(SUM($G95:BF95)=$B95,0,IF(SUM($G94:AJ94)=$B94,$B95,0%)))</f>
        <v>0</v>
      </c>
      <c r="BH95" s="395">
        <f ca="1">IF($E$264=0,0,IF(SUM($G95:BG95)=$B95,0,IF(SUM($G94:AK94)=$B94,$B95,0%)))</f>
        <v>0</v>
      </c>
      <c r="BI95" s="395">
        <f ca="1">IF($E$264=0,0,IF(SUM($G95:BH95)=$B95,0,IF(SUM($G94:AL94)=$B94,$B95,0%)))</f>
        <v>0</v>
      </c>
      <c r="BJ95" s="395">
        <f ca="1">IF($E$264=0,0,IF(SUM($G95:BI95)=$B95,0,IF(SUM($G94:AM94)=$B94,$B95,0%)))</f>
        <v>0</v>
      </c>
      <c r="BK95" s="395">
        <f ca="1">IF($E$264=0,0,IF(SUM($G95:BJ95)=$B95,0,IF(SUM($G94:AN94)=$B94,$B95,0%)))</f>
        <v>0</v>
      </c>
      <c r="BL95" s="395">
        <f ca="1">IF($E$264=0,0,IF(SUM($G95:BK95)=$B95,0,IF(SUM($G94:AO94)=$B94,$B95,0%)))</f>
        <v>0</v>
      </c>
      <c r="BM95" s="395">
        <f ca="1">IF($E$264=0,0,IF(SUM($G95:BL95)=$B95,0,IF(SUM($G94:AP94)=$B94,$B95,0%)))</f>
        <v>0</v>
      </c>
      <c r="BN95" s="395">
        <f ca="1">IF($E$264=0,0,IF(SUM($G95:BM95)=$B95,0,IF(SUM($G94:AQ94)=$B94,$B95,0%)))</f>
        <v>2.5000000000000001E-2</v>
      </c>
      <c r="BO95" s="395">
        <f ca="1">IF($E$264=0,0,IF(SUM($G95:BN95)=$B95,0,IF(SUM($G94:AR94)=$B94,$B95,0%)))</f>
        <v>0</v>
      </c>
      <c r="BP95" s="395">
        <f ca="1">IF($E$264=0,0,IF(SUM($G95:BO95)=$B95,0,IF(SUM($G94:AS94)=$B94,$B95,0%)))</f>
        <v>0</v>
      </c>
      <c r="BQ95" s="395">
        <f ca="1">IF($E$264=0,0,IF(SUM($G95:BP95)=$B95,0,IF(SUM($G94:AT94)=$B94,$B95,0%)))</f>
        <v>0</v>
      </c>
      <c r="BR95" s="395">
        <f ca="1">IF($E$264=0,0,IF(SUM($G95:BQ95)=$B95,0,IF(SUM($G94:AU94)=$B94,$B95,0%)))</f>
        <v>0</v>
      </c>
      <c r="BS95" s="395">
        <f ca="1">IF($E$264=0,0,IF(SUM($G95:BR95)=$B95,0,IF(SUM($G94:AV94)=$B94,$B95,0%)))</f>
        <v>0</v>
      </c>
      <c r="BT95" s="395">
        <f ca="1">IF($E$264=0,0,IF(SUM($G95:BS95)=$B95,0,IF(SUM($G94:AW94)=$B94,$B95,0%)))</f>
        <v>0</v>
      </c>
      <c r="BU95" s="395">
        <f ca="1">IF($E$264=0,0,IF(SUM($G95:BT95)=$B95,0,IF(SUM($G94:AX94)=$B94,$B95,0%)))</f>
        <v>0</v>
      </c>
      <c r="BV95" s="395">
        <f ca="1">IF($E$264=0,0,IF(SUM($G95:BU95)=$B95,0,IF(SUM($G94:AY94)=$B94,$B95,0%)))</f>
        <v>0</v>
      </c>
      <c r="BW95" s="395">
        <f ca="1">IF($E$264=0,0,IF(SUM($G95:BV95)=$B95,0,IF(SUM($G94:AZ94)=$B94,$B95,0%)))</f>
        <v>0</v>
      </c>
      <c r="BX95" s="395">
        <f ca="1">IF($E$264=0,0,IF(SUM($G95:BW95)=$B95,0,IF(SUM($G94:BA94)=$B94,$B95,0%)))</f>
        <v>0</v>
      </c>
      <c r="BY95" s="395">
        <f ca="1">IF($E$264=0,0,IF(SUM($G95:BX95)=$B95,0,IF(SUM($G94:BB94)=$B94,$B95,0%)))</f>
        <v>0</v>
      </c>
      <c r="BZ95" s="395">
        <f ca="1">IF($E$264=0,0,IF(SUM($G95:BY95)=$B95,0,IF(SUM($G94:BC94)=$B94,$B95,0%)))</f>
        <v>0</v>
      </c>
      <c r="CA95" s="395">
        <f ca="1">IF($E$264=0,0,IF(SUM($G95:BZ95)=$B95,0,IF(SUM($G94:BD94)=$B94,$B95,0%)))</f>
        <v>0</v>
      </c>
      <c r="CB95" s="395">
        <f ca="1">IF($E$264=0,0,IF(SUM($G95:CA95)=$B95,0,IF(SUM($G94:BE94)=$B94,$B95,0%)))</f>
        <v>0</v>
      </c>
      <c r="CC95" s="395">
        <f ca="1">IF($E$264=0,0,IF(SUM($G95:CB95)=$B95,0,IF(SUM($G94:BF94)=$B94,$B95,0%)))</f>
        <v>0</v>
      </c>
      <c r="CD95" s="395">
        <f ca="1">IF($E$264=0,0,IF(SUM($G95:CC95)=$B95,0,IF(SUM($G94:BG94)=$B94,$B95,0%)))</f>
        <v>0</v>
      </c>
      <c r="CE95" s="395">
        <f ca="1">IF($E$264=0,0,IF(SUM($G95:CD95)=$B95,0,IF(SUM($G94:BH94)=$B94,$B95,0%)))</f>
        <v>0</v>
      </c>
      <c r="CF95" s="395">
        <f ca="1">IF($E$264=0,0,IF(SUM($G95:CE95)=$B95,0,IF(SUM($G94:BI94)=$B94,$B95,0%)))</f>
        <v>0</v>
      </c>
      <c r="CG95" s="395">
        <f ca="1">IF($E$264=0,0,IF(SUM($G95:CF95)=$B95,0,IF(SUM($G94:BJ94)=$B94,$B95,0%)))</f>
        <v>0</v>
      </c>
      <c r="CH95" s="395">
        <f ca="1">IF($E$264=0,0,IF(SUM($G95:CG95)=$B95,0,IF(SUM($G94:BK94)=$B94,$B95,0%)))</f>
        <v>0</v>
      </c>
      <c r="CI95" s="395">
        <f ca="1">IF($E$264=0,0,IF(SUM($G95:CH95)=$B95,0,IF(SUM($G94:BL94)=$B94,$B95,0%)))</f>
        <v>0</v>
      </c>
      <c r="CJ95" s="395">
        <f ca="1">IF($E$264=0,0,IF(SUM($G95:CI95)=$B95,0,IF(SUM($G94:BM94)=$B94,$B95,0%)))</f>
        <v>0</v>
      </c>
      <c r="CK95" s="395">
        <f ca="1">IF($E$264=0,0,IF(SUM($G95:CJ95)=$B95,0,IF(SUM($G94:BN94)=$B94,$B95,0%)))</f>
        <v>0</v>
      </c>
      <c r="CL95" s="395">
        <f ca="1">IF($E$264=0,0,IF(SUM($G95:CK95)=$B95,0,IF(SUM($G94:BO94)=$B94,$B95,0%)))</f>
        <v>0</v>
      </c>
      <c r="CM95" s="395">
        <f ca="1">IF($E$264=0,0,IF(SUM($G95:CL95)=$B95,0,IF(SUM($G94:BP94)=$B94,$B95,0%)))</f>
        <v>0</v>
      </c>
      <c r="CN95" s="395">
        <f ca="1">IF($E$264=0,0,IF(SUM($G95:CM95)=$B95,0,IF(SUM($G94:BQ94)=$B94,$B95,0%)))</f>
        <v>0</v>
      </c>
      <c r="CO95" s="395">
        <f ca="1">IF($E$264=0,0,IF(SUM($G95:CN95)=$B95,0,IF(SUM($G94:BR94)=$B94,$B95,0%)))</f>
        <v>0</v>
      </c>
      <c r="CP95" s="395">
        <f ca="1">IF($E$264=0,0,IF(SUM($G95:CO95)=$B95,0,IF(SUM($G94:BS94)=$B94,$B95,0%)))</f>
        <v>0</v>
      </c>
      <c r="CQ95" s="395">
        <f ca="1">IF($E$264=0,0,IF(SUM($G95:CP95)=$B95,0,IF(SUM($G94:BT94)=$B94,$B95,0%)))</f>
        <v>0</v>
      </c>
      <c r="CR95" s="395">
        <f ca="1">IF($E$264=0,0,IF(SUM($G95:CQ95)=$B95,0,IF(SUM($G94:BU94)=$B94,$B95,0%)))</f>
        <v>0</v>
      </c>
      <c r="CS95" s="395">
        <f ca="1">IF($E$264=0,0,IF(SUM($G95:CR95)=$B95,0,IF(SUM($G94:BV94)=$B94,$B95,0%)))</f>
        <v>0</v>
      </c>
      <c r="CT95" s="395">
        <f ca="1">IF($E$264=0,0,IF(SUM($G95:CS95)=$B95,0,IF(SUM($G94:BW94)=$B94,$B95,0%)))</f>
        <v>0</v>
      </c>
      <c r="CU95" s="395">
        <f ca="1">IF($E$264=0,0,IF(SUM($G95:CT95)=$B95,0,IF(SUM($G94:BX94)=$B94,$B95,0%)))</f>
        <v>0</v>
      </c>
      <c r="CV95" s="395">
        <f ca="1">IF($E$264=0,0,IF(SUM($G95:CU95)=$B95,0,IF(SUM($G94:BY94)=$B94,$B95,0%)))</f>
        <v>0</v>
      </c>
      <c r="CW95" s="395">
        <f ca="1">IF($E$264=0,0,IF(SUM($G95:CV95)=$B95,0,IF(SUM($G94:BZ94)=$B94,$B95,0%)))</f>
        <v>0</v>
      </c>
      <c r="CX95" s="395">
        <f ca="1">IF($E$264=0,0,IF(SUM($G95:CW95)=$B95,0,IF(SUM($G94:CA94)=$B94,$B95,0%)))</f>
        <v>0</v>
      </c>
      <c r="CY95" s="395">
        <f ca="1">IF($E$264=0,0,IF(SUM($G95:CX95)=$B95,0,IF(SUM($G94:CB94)=$B94,$B95,0%)))</f>
        <v>0</v>
      </c>
      <c r="CZ95" s="395">
        <f ca="1">IF($E$264=0,0,IF(SUM($G95:CY95)=$B95,0,IF(SUM($G94:CC94)=$B94,$B95,0%)))</f>
        <v>0</v>
      </c>
      <c r="DA95" s="395">
        <f ca="1">IF($E$264=0,0,IF(SUM($G95:CZ95)=$B95,0,IF(SUM($G94:CD94)=$B94,$B95,0%)))</f>
        <v>0</v>
      </c>
      <c r="DB95" s="395">
        <f ca="1">IF($E$264=0,0,IF(SUM($G95:DA95)=$B95,0,IF(SUM($G94:CE94)=$B94,$B95,0%)))</f>
        <v>0</v>
      </c>
      <c r="DC95" s="395">
        <f ca="1">IF($E$264=0,0,IF(SUM($G95:DB95)=$B95,0,IF(SUM($G94:CF94)=$B94,$B95,0%)))</f>
        <v>0</v>
      </c>
      <c r="DD95" s="395">
        <f ca="1">IF($E$264=0,0,IF(SUM($G95:DC95)=$B95,0,IF(SUM($G94:CG94)=$B94,$B95,0%)))</f>
        <v>0</v>
      </c>
      <c r="DE95" s="395">
        <f ca="1">IF($E$264=0,0,IF(SUM($G95:DD95)=$B95,0,IF(SUM($G94:CH94)=$B94,$B95,0%)))</f>
        <v>0</v>
      </c>
      <c r="DF95" s="395">
        <f ca="1">IF($E$264=0,0,IF(SUM($G95:DE95)=$B95,0,IF(SUM($G94:CI94)=$B94,$B95,0%)))</f>
        <v>0</v>
      </c>
      <c r="DG95" s="395">
        <f ca="1">IF($E$264=0,0,IF(SUM($G95:DF95)=$B95,0,IF(SUM($G94:CJ94)=$B94,$B95,0%)))</f>
        <v>0</v>
      </c>
      <c r="DH95" s="395">
        <f ca="1">IF($E$264=0,0,IF(SUM($G95:DG95)=$B95,0,IF(SUM($G94:CK94)=$B94,$B95,0%)))</f>
        <v>0</v>
      </c>
      <c r="DI95" s="395">
        <f ca="1">IF($E$264=0,0,IF(SUM($G95:DH95)=$B95,0,IF(SUM($G94:CL94)=$B94,$B95,0%)))</f>
        <v>0</v>
      </c>
      <c r="DJ95" s="395">
        <f ca="1">IF($E$264=0,0,IF(SUM($G95:DI95)=$B95,0,IF(SUM($G94:CM94)=$B94,$B95,0%)))</f>
        <v>0</v>
      </c>
      <c r="DK95" s="395">
        <f ca="1">IF($E$264=0,0,IF(SUM($G95:DJ95)=$B95,0,IF(SUM($G94:CN94)=$B94,$B95,0%)))</f>
        <v>0</v>
      </c>
      <c r="DL95" s="395">
        <f ca="1">IF($E$264=0,0,IF(SUM($G95:DK95)=$B95,0,IF(SUM($G94:CO94)=$B94,$B95,0%)))</f>
        <v>0</v>
      </c>
      <c r="DM95" s="395">
        <f ca="1">IF($E$264=0,0,IF(SUM($G95:DL95)=$B95,0,IF(SUM($G94:CP94)=$B94,$B95,0%)))</f>
        <v>0</v>
      </c>
      <c r="DN95" s="395">
        <f ca="1">IF($E$264=0,0,IF(SUM($G95:DM95)=$B95,0,IF(SUM($G94:CQ94)=$B94,$B95,0%)))</f>
        <v>0</v>
      </c>
      <c r="DO95" s="395">
        <f ca="1">IF($E$264=0,0,IF(SUM($G95:DN95)=$B95,0,IF(SUM($G94:CR94)=$B94,$B95,0%)))</f>
        <v>0</v>
      </c>
      <c r="DP95" s="395">
        <f ca="1">IF($E$264=0,0,IF(SUM($G95:DO95)=$B95,0,IF(SUM($G94:CS94)=$B94,$B95,0%)))</f>
        <v>0</v>
      </c>
      <c r="DQ95" s="395">
        <f ca="1">IF($E$264=0,0,IF(SUM($G95:DP95)=$B95,0,IF(SUM($G94:CT94)=$B94,$B95,0%)))</f>
        <v>0</v>
      </c>
      <c r="DR95" s="395">
        <f ca="1">IF($E$264=0,0,IF(SUM($G95:DQ95)=$B95,0,IF(SUM($G94:CU94)=$B94,$B95,0%)))</f>
        <v>0</v>
      </c>
      <c r="DS95" s="395">
        <f ca="1">IF($E$264=0,0,IF(SUM($G95:DR95)=$B95,0,IF(SUM($G94:CV94)=$B94,$B95,0%)))</f>
        <v>0</v>
      </c>
      <c r="DT95" s="395">
        <f ca="1">IF($E$264=0,0,IF(SUM($G95:DS95)=$B95,0,IF(SUM($G94:CW94)=$B94,$B95,0%)))</f>
        <v>0</v>
      </c>
      <c r="DU95" s="395">
        <f ca="1">IF($E$264=0,0,IF(SUM($G95:DT95)=$B95,0,IF(SUM($G94:CX94)=$B94,$B95,0%)))</f>
        <v>0</v>
      </c>
      <c r="DV95" s="395">
        <f ca="1">IF($E$264=0,0,IF(SUM($G95:DU95)=$B95,0,IF(SUM($G94:CY94)=$B94,$B95,0%)))</f>
        <v>0</v>
      </c>
      <c r="DW95" s="395">
        <f ca="1">IF($E$264=0,0,IF(SUM($G95:DV95)=$B95,0,IF(SUM($G94:CZ94)=$B94,$B95,0%)))</f>
        <v>0</v>
      </c>
      <c r="DX95" s="395">
        <f ca="1">IF($E$264=0,0,IF(SUM($G95:DW95)=$B95,0,IF(SUM($G94:DA94)=$B94,$B95,0%)))</f>
        <v>0</v>
      </c>
      <c r="DY95" s="395">
        <f ca="1">IF($E$264=0,0,IF(SUM($G95:DX95)=$B95,0,IF(SUM($G94:DB94)=$B94,$B95,0%)))</f>
        <v>0</v>
      </c>
      <c r="DZ95" s="395">
        <f ca="1">IF($E$264=0,0,IF(SUM($G95:DY95)=$B95,0,IF(SUM($G94:DC94)=$B94,$B95,0%)))</f>
        <v>0</v>
      </c>
      <c r="EA95" s="395">
        <f ca="1">IF($E$264=0,0,IF(SUM($G95:DZ95)=$B95,0,IF(SUM($G94:DD94)=$B94,$B95,0%)))</f>
        <v>0</v>
      </c>
      <c r="EB95" s="395">
        <f ca="1">IF($E$264=0,0,IF(SUM($G95:EA95)=$B95,0,IF(SUM($G94:DE94)=$B94,$B95,0%)))</f>
        <v>0</v>
      </c>
      <c r="EC95" s="395">
        <f ca="1">IF($E$264=0,0,IF(SUM($G95:EB95)=$B95,0,IF(SUM($G94:DF94)=$B94,$B95,0%)))</f>
        <v>0</v>
      </c>
      <c r="ED95" s="395">
        <f ca="1">IF($E$264=0,0,IF(SUM($G95:EC95)=$B95,0,IF(SUM($G94:DG94)=$B94,$B95,0%)))</f>
        <v>0</v>
      </c>
      <c r="EE95" s="395">
        <f ca="1">IF($E$264=0,0,IF(SUM($G95:ED95)=$B95,0,IF(SUM($G94:DH94)=$B94,$B95,0%)))</f>
        <v>0</v>
      </c>
      <c r="EF95" s="395">
        <f ca="1">IF($E$264=0,0,IF(SUM($G95:EE95)=$B95,0,IF(SUM($G94:DI94)=$B94,$B95,0%)))</f>
        <v>0</v>
      </c>
      <c r="EG95" s="395">
        <f ca="1">IF($E$264=0,0,IF(SUM($G95:EF95)=$B95,0,IF(SUM($G94:DJ94)=$B94,$B95,0%)))</f>
        <v>0</v>
      </c>
      <c r="EH95" s="395">
        <f ca="1">IF($E$264=0,0,IF(SUM($G95:EG95)=$B95,0,IF(SUM($G94:DK94)=$B94,$B95,0%)))</f>
        <v>0</v>
      </c>
      <c r="EI95" s="395">
        <f ca="1">IF($E$264=0,0,IF(SUM($G95:EH95)=$B95,0,IF(SUM($G94:DL94)=$B94,$B95,0%)))</f>
        <v>0</v>
      </c>
      <c r="EJ95" s="398"/>
      <c r="EK95" s="313"/>
    </row>
    <row r="96" spans="1:141" hidden="1" outlineLevel="1" collapsed="1">
      <c r="A96" s="332"/>
      <c r="B96" s="313"/>
      <c r="C96" s="392" t="s">
        <v>64</v>
      </c>
      <c r="D96" s="392" t="s">
        <v>65</v>
      </c>
      <c r="E96" s="393">
        <f ca="1">ROUND(IF(F96=0,0,100%-F96),0)</f>
        <v>0</v>
      </c>
      <c r="F96" s="394">
        <f t="shared" ca="1" si="283"/>
        <v>1</v>
      </c>
      <c r="G96" s="395">
        <f>SUM(G97:G100)</f>
        <v>0</v>
      </c>
      <c r="H96" s="395">
        <f t="shared" ref="H96:BS96" ca="1" si="316">SUM(H97:H100)</f>
        <v>0</v>
      </c>
      <c r="I96" s="395">
        <f t="shared" ca="1" si="316"/>
        <v>0</v>
      </c>
      <c r="J96" s="395">
        <f t="shared" ca="1" si="316"/>
        <v>0</v>
      </c>
      <c r="K96" s="395">
        <f t="shared" ca="1" si="316"/>
        <v>0</v>
      </c>
      <c r="L96" s="395">
        <f t="shared" ca="1" si="316"/>
        <v>0</v>
      </c>
      <c r="M96" s="395">
        <f t="shared" ca="1" si="316"/>
        <v>0</v>
      </c>
      <c r="N96" s="395">
        <f t="shared" ca="1" si="316"/>
        <v>0</v>
      </c>
      <c r="O96" s="395">
        <f t="shared" ca="1" si="316"/>
        <v>0</v>
      </c>
      <c r="P96" s="395">
        <f t="shared" ca="1" si="316"/>
        <v>0</v>
      </c>
      <c r="Q96" s="395">
        <f t="shared" ca="1" si="316"/>
        <v>0</v>
      </c>
      <c r="R96" s="395">
        <f t="shared" ca="1" si="316"/>
        <v>0</v>
      </c>
      <c r="S96" s="395">
        <f t="shared" ca="1" si="316"/>
        <v>0</v>
      </c>
      <c r="T96" s="395">
        <f t="shared" ca="1" si="316"/>
        <v>0</v>
      </c>
      <c r="U96" s="395">
        <f t="shared" ca="1" si="316"/>
        <v>0</v>
      </c>
      <c r="V96" s="395">
        <f t="shared" ca="1" si="316"/>
        <v>0</v>
      </c>
      <c r="W96" s="395">
        <f t="shared" ca="1" si="316"/>
        <v>0</v>
      </c>
      <c r="X96" s="395">
        <f t="shared" ca="1" si="316"/>
        <v>0</v>
      </c>
      <c r="Y96" s="395">
        <f t="shared" ca="1" si="316"/>
        <v>0</v>
      </c>
      <c r="Z96" s="395">
        <f t="shared" ca="1" si="316"/>
        <v>0</v>
      </c>
      <c r="AA96" s="395">
        <f t="shared" ca="1" si="316"/>
        <v>0</v>
      </c>
      <c r="AB96" s="395">
        <f t="shared" ca="1" si="316"/>
        <v>0</v>
      </c>
      <c r="AC96" s="395">
        <f t="shared" ca="1" si="316"/>
        <v>0</v>
      </c>
      <c r="AD96" s="395">
        <f t="shared" ca="1" si="316"/>
        <v>0</v>
      </c>
      <c r="AE96" s="395">
        <f t="shared" ca="1" si="316"/>
        <v>0</v>
      </c>
      <c r="AF96" s="395">
        <f t="shared" ca="1" si="316"/>
        <v>0</v>
      </c>
      <c r="AG96" s="395">
        <f t="shared" ca="1" si="316"/>
        <v>0</v>
      </c>
      <c r="AH96" s="395">
        <f t="shared" ca="1" si="316"/>
        <v>0</v>
      </c>
      <c r="AI96" s="395">
        <f t="shared" ca="1" si="316"/>
        <v>0</v>
      </c>
      <c r="AJ96" s="395">
        <f t="shared" ca="1" si="316"/>
        <v>0</v>
      </c>
      <c r="AK96" s="395">
        <f t="shared" ca="1" si="316"/>
        <v>0</v>
      </c>
      <c r="AL96" s="395">
        <f t="shared" ca="1" si="316"/>
        <v>0</v>
      </c>
      <c r="AM96" s="395">
        <f t="shared" ca="1" si="316"/>
        <v>0</v>
      </c>
      <c r="AN96" s="395">
        <f t="shared" ca="1" si="316"/>
        <v>0.15</v>
      </c>
      <c r="AO96" s="395">
        <f t="shared" ca="1" si="316"/>
        <v>0</v>
      </c>
      <c r="AP96" s="395">
        <f t="shared" ca="1" si="316"/>
        <v>4.0105540897097627E-2</v>
      </c>
      <c r="AQ96" s="395">
        <f t="shared" ca="1" si="316"/>
        <v>5.9102902374670183E-2</v>
      </c>
      <c r="AR96" s="395">
        <f t="shared" ca="1" si="316"/>
        <v>6.5435356200527706E-2</v>
      </c>
      <c r="AS96" s="395">
        <f t="shared" ca="1" si="316"/>
        <v>6.3324538258575203E-2</v>
      </c>
      <c r="AT96" s="395">
        <f t="shared" ca="1" si="316"/>
        <v>6.5435356200527706E-2</v>
      </c>
      <c r="AU96" s="395">
        <f t="shared" ca="1" si="316"/>
        <v>6.3324538258575203E-2</v>
      </c>
      <c r="AV96" s="395">
        <f t="shared" ca="1" si="316"/>
        <v>6.5435356200527706E-2</v>
      </c>
      <c r="AW96" s="395">
        <f t="shared" ca="1" si="316"/>
        <v>6.5435356200527706E-2</v>
      </c>
      <c r="AX96" s="395">
        <f t="shared" ca="1" si="316"/>
        <v>6.3324538258575203E-2</v>
      </c>
      <c r="AY96" s="395">
        <f t="shared" ca="1" si="316"/>
        <v>6.5435356200527706E-2</v>
      </c>
      <c r="AZ96" s="395">
        <f t="shared" ca="1" si="316"/>
        <v>6.3324538258575203E-2</v>
      </c>
      <c r="BA96" s="395">
        <f t="shared" ca="1" si="316"/>
        <v>6.5435356200527706E-2</v>
      </c>
      <c r="BB96" s="395">
        <f t="shared" ca="1" si="316"/>
        <v>5.488126649076517E-2</v>
      </c>
      <c r="BC96" s="395">
        <f t="shared" ca="1" si="316"/>
        <v>2.5000000000000001E-2</v>
      </c>
      <c r="BD96" s="395">
        <f t="shared" ca="1" si="316"/>
        <v>0</v>
      </c>
      <c r="BE96" s="395">
        <f t="shared" ca="1" si="316"/>
        <v>0</v>
      </c>
      <c r="BF96" s="395">
        <f t="shared" ca="1" si="316"/>
        <v>0</v>
      </c>
      <c r="BG96" s="395">
        <f t="shared" ca="1" si="316"/>
        <v>0</v>
      </c>
      <c r="BH96" s="395">
        <f t="shared" ca="1" si="316"/>
        <v>0</v>
      </c>
      <c r="BI96" s="395">
        <f t="shared" ca="1" si="316"/>
        <v>0</v>
      </c>
      <c r="BJ96" s="395">
        <f t="shared" ca="1" si="316"/>
        <v>0</v>
      </c>
      <c r="BK96" s="395">
        <f t="shared" ca="1" si="316"/>
        <v>0</v>
      </c>
      <c r="BL96" s="395">
        <f t="shared" ca="1" si="316"/>
        <v>0</v>
      </c>
      <c r="BM96" s="395">
        <f t="shared" ca="1" si="316"/>
        <v>0</v>
      </c>
      <c r="BN96" s="395">
        <f t="shared" ca="1" si="316"/>
        <v>0</v>
      </c>
      <c r="BO96" s="395">
        <f t="shared" ca="1" si="316"/>
        <v>0</v>
      </c>
      <c r="BP96" s="395">
        <f t="shared" ca="1" si="316"/>
        <v>0</v>
      </c>
      <c r="BQ96" s="395">
        <f t="shared" ca="1" si="316"/>
        <v>0</v>
      </c>
      <c r="BR96" s="395">
        <f t="shared" ca="1" si="316"/>
        <v>0</v>
      </c>
      <c r="BS96" s="395">
        <f t="shared" ca="1" si="316"/>
        <v>0</v>
      </c>
      <c r="BT96" s="395">
        <f t="shared" ref="BT96:EE96" ca="1" si="317">SUM(BT97:BT100)</f>
        <v>0</v>
      </c>
      <c r="BU96" s="395">
        <f t="shared" ca="1" si="317"/>
        <v>0</v>
      </c>
      <c r="BV96" s="395">
        <f t="shared" ca="1" si="317"/>
        <v>0</v>
      </c>
      <c r="BW96" s="395">
        <f t="shared" ca="1" si="317"/>
        <v>0</v>
      </c>
      <c r="BX96" s="395">
        <f t="shared" ca="1" si="317"/>
        <v>0</v>
      </c>
      <c r="BY96" s="395">
        <f t="shared" ca="1" si="317"/>
        <v>0</v>
      </c>
      <c r="BZ96" s="395">
        <f t="shared" ca="1" si="317"/>
        <v>2.5000000000000001E-2</v>
      </c>
      <c r="CA96" s="395">
        <f t="shared" ca="1" si="317"/>
        <v>0</v>
      </c>
      <c r="CB96" s="395">
        <f t="shared" ca="1" si="317"/>
        <v>0</v>
      </c>
      <c r="CC96" s="395">
        <f t="shared" ca="1" si="317"/>
        <v>0</v>
      </c>
      <c r="CD96" s="395">
        <f t="shared" ca="1" si="317"/>
        <v>0</v>
      </c>
      <c r="CE96" s="395">
        <f t="shared" ca="1" si="317"/>
        <v>0</v>
      </c>
      <c r="CF96" s="395">
        <f t="shared" ca="1" si="317"/>
        <v>0</v>
      </c>
      <c r="CG96" s="395">
        <f t="shared" ca="1" si="317"/>
        <v>0</v>
      </c>
      <c r="CH96" s="395">
        <f t="shared" ca="1" si="317"/>
        <v>0</v>
      </c>
      <c r="CI96" s="395">
        <f t="shared" ca="1" si="317"/>
        <v>0</v>
      </c>
      <c r="CJ96" s="395">
        <f t="shared" ca="1" si="317"/>
        <v>0</v>
      </c>
      <c r="CK96" s="395">
        <f t="shared" ca="1" si="317"/>
        <v>0</v>
      </c>
      <c r="CL96" s="395">
        <f t="shared" ca="1" si="317"/>
        <v>0</v>
      </c>
      <c r="CM96" s="395">
        <f t="shared" ca="1" si="317"/>
        <v>0</v>
      </c>
      <c r="CN96" s="395">
        <f t="shared" ca="1" si="317"/>
        <v>0</v>
      </c>
      <c r="CO96" s="395">
        <f t="shared" ca="1" si="317"/>
        <v>0</v>
      </c>
      <c r="CP96" s="395">
        <f t="shared" ca="1" si="317"/>
        <v>0</v>
      </c>
      <c r="CQ96" s="395">
        <f t="shared" ca="1" si="317"/>
        <v>0</v>
      </c>
      <c r="CR96" s="395">
        <f t="shared" ca="1" si="317"/>
        <v>0</v>
      </c>
      <c r="CS96" s="395">
        <f t="shared" ca="1" si="317"/>
        <v>0</v>
      </c>
      <c r="CT96" s="395">
        <f t="shared" ca="1" si="317"/>
        <v>0</v>
      </c>
      <c r="CU96" s="395">
        <f t="shared" ca="1" si="317"/>
        <v>0</v>
      </c>
      <c r="CV96" s="395">
        <f t="shared" ca="1" si="317"/>
        <v>0</v>
      </c>
      <c r="CW96" s="395">
        <f t="shared" ca="1" si="317"/>
        <v>0</v>
      </c>
      <c r="CX96" s="395">
        <f t="shared" ca="1" si="317"/>
        <v>0</v>
      </c>
      <c r="CY96" s="395">
        <f t="shared" ca="1" si="317"/>
        <v>0</v>
      </c>
      <c r="CZ96" s="395">
        <f t="shared" ca="1" si="317"/>
        <v>0</v>
      </c>
      <c r="DA96" s="395">
        <f t="shared" ca="1" si="317"/>
        <v>0</v>
      </c>
      <c r="DB96" s="395">
        <f t="shared" ca="1" si="317"/>
        <v>0</v>
      </c>
      <c r="DC96" s="395">
        <f t="shared" ca="1" si="317"/>
        <v>0</v>
      </c>
      <c r="DD96" s="395">
        <f t="shared" ca="1" si="317"/>
        <v>0</v>
      </c>
      <c r="DE96" s="395">
        <f t="shared" ca="1" si="317"/>
        <v>0</v>
      </c>
      <c r="DF96" s="395">
        <f t="shared" ca="1" si="317"/>
        <v>0</v>
      </c>
      <c r="DG96" s="395">
        <f t="shared" ca="1" si="317"/>
        <v>0</v>
      </c>
      <c r="DH96" s="395">
        <f t="shared" ca="1" si="317"/>
        <v>0</v>
      </c>
      <c r="DI96" s="395">
        <f t="shared" ca="1" si="317"/>
        <v>0</v>
      </c>
      <c r="DJ96" s="395">
        <f t="shared" ca="1" si="317"/>
        <v>0</v>
      </c>
      <c r="DK96" s="395">
        <f t="shared" ca="1" si="317"/>
        <v>0</v>
      </c>
      <c r="DL96" s="395">
        <f t="shared" ca="1" si="317"/>
        <v>0</v>
      </c>
      <c r="DM96" s="395">
        <f t="shared" ca="1" si="317"/>
        <v>0</v>
      </c>
      <c r="DN96" s="395">
        <f t="shared" ca="1" si="317"/>
        <v>0</v>
      </c>
      <c r="DO96" s="395">
        <f t="shared" ca="1" si="317"/>
        <v>0</v>
      </c>
      <c r="DP96" s="395">
        <f t="shared" ca="1" si="317"/>
        <v>0</v>
      </c>
      <c r="DQ96" s="395">
        <f t="shared" ca="1" si="317"/>
        <v>0</v>
      </c>
      <c r="DR96" s="395">
        <f t="shared" ca="1" si="317"/>
        <v>0</v>
      </c>
      <c r="DS96" s="395">
        <f t="shared" ca="1" si="317"/>
        <v>0</v>
      </c>
      <c r="DT96" s="395">
        <f t="shared" ca="1" si="317"/>
        <v>0</v>
      </c>
      <c r="DU96" s="395">
        <f t="shared" ca="1" si="317"/>
        <v>0</v>
      </c>
      <c r="DV96" s="395">
        <f t="shared" ca="1" si="317"/>
        <v>0</v>
      </c>
      <c r="DW96" s="395">
        <f t="shared" ca="1" si="317"/>
        <v>0</v>
      </c>
      <c r="DX96" s="395">
        <f t="shared" ca="1" si="317"/>
        <v>0</v>
      </c>
      <c r="DY96" s="395">
        <f t="shared" ca="1" si="317"/>
        <v>0</v>
      </c>
      <c r="DZ96" s="395">
        <f t="shared" ca="1" si="317"/>
        <v>0</v>
      </c>
      <c r="EA96" s="395">
        <f t="shared" ca="1" si="317"/>
        <v>0</v>
      </c>
      <c r="EB96" s="395">
        <f t="shared" ca="1" si="317"/>
        <v>0</v>
      </c>
      <c r="EC96" s="395">
        <f t="shared" ca="1" si="317"/>
        <v>0</v>
      </c>
      <c r="ED96" s="395">
        <f t="shared" ca="1" si="317"/>
        <v>0</v>
      </c>
      <c r="EE96" s="395">
        <f t="shared" ca="1" si="317"/>
        <v>0</v>
      </c>
      <c r="EF96" s="395">
        <f t="shared" ref="EF96:EI96" ca="1" si="318">SUM(EF97:EF100)</f>
        <v>0</v>
      </c>
      <c r="EG96" s="395">
        <f t="shared" ca="1" si="318"/>
        <v>0</v>
      </c>
      <c r="EH96" s="395">
        <f t="shared" ca="1" si="318"/>
        <v>0</v>
      </c>
      <c r="EI96" s="395">
        <f t="shared" ca="1" si="318"/>
        <v>0</v>
      </c>
      <c r="EJ96" s="398"/>
      <c r="EK96" s="313"/>
    </row>
    <row r="97" spans="1:141" hidden="1" outlineLevel="2">
      <c r="A97" s="332"/>
      <c r="B97" s="549">
        <f>длительность!B184</f>
        <v>0.15</v>
      </c>
      <c r="C97" s="317"/>
      <c r="D97" s="317" t="s">
        <v>664</v>
      </c>
      <c r="E97" s="318">
        <f t="shared" ref="E97:E100" ca="1" si="319">IF(F97=0,0,B97-F97)</f>
        <v>0</v>
      </c>
      <c r="F97" s="397">
        <f t="shared" ca="1" si="283"/>
        <v>0.15</v>
      </c>
      <c r="G97" s="395"/>
      <c r="H97" s="395">
        <f ca="1">IF(SUM($G97:G97)=$B97,0,IF(J98&gt;0%,$B97,0%))</f>
        <v>0</v>
      </c>
      <c r="I97" s="395">
        <f ca="1">IF(SUM($G97:H97)=$B97,0,IF(K98&gt;0%,$B97,0%))</f>
        <v>0</v>
      </c>
      <c r="J97" s="395">
        <f ca="1">IF(SUM($G97:I97)=$B97,0,IF(L98&gt;0%,$B97,0%))</f>
        <v>0</v>
      </c>
      <c r="K97" s="395">
        <f ca="1">IF(SUM($G97:J97)=$B97,0,IF(M98&gt;0%,$B97,0%))</f>
        <v>0</v>
      </c>
      <c r="L97" s="395">
        <f ca="1">IF(SUM($G97:K97)=$B97,0,IF(N98&gt;0%,$B97,0%))</f>
        <v>0</v>
      </c>
      <c r="M97" s="395">
        <f ca="1">IF(SUM($G97:L97)=$B97,0,IF(O98&gt;0%,$B97,0%))</f>
        <v>0</v>
      </c>
      <c r="N97" s="395">
        <f ca="1">IF(SUM($G97:M97)=$B97,0,IF(P98&gt;0%,$B97,0%))</f>
        <v>0</v>
      </c>
      <c r="O97" s="395">
        <f ca="1">IF(SUM($G97:N97)=$B97,0,IF(Q98&gt;0%,$B97,0%))</f>
        <v>0</v>
      </c>
      <c r="P97" s="395">
        <f ca="1">IF(SUM($G97:O97)=$B97,0,IF(R98&gt;0%,$B97,0%))</f>
        <v>0</v>
      </c>
      <c r="Q97" s="395">
        <f ca="1">IF(SUM($G97:P97)=$B97,0,IF(S98&gt;0%,$B97,0%))</f>
        <v>0</v>
      </c>
      <c r="R97" s="395">
        <f ca="1">IF(SUM($G97:Q97)=$B97,0,IF(T98&gt;0%,$B97,0%))</f>
        <v>0</v>
      </c>
      <c r="S97" s="395">
        <f ca="1">IF(SUM($G97:R97)=$B97,0,IF(U98&gt;0%,$B97,0%))</f>
        <v>0</v>
      </c>
      <c r="T97" s="395">
        <f ca="1">IF(SUM($G97:S97)=$B97,0,IF(V98&gt;0%,$B97,0%))</f>
        <v>0</v>
      </c>
      <c r="U97" s="395">
        <f ca="1">IF(SUM($G97:T97)=$B97,0,IF(W98&gt;0%,$B97,0%))</f>
        <v>0</v>
      </c>
      <c r="V97" s="395">
        <f ca="1">IF(SUM($G97:U97)=$B97,0,IF(X98&gt;0%,$B97,0%))</f>
        <v>0</v>
      </c>
      <c r="W97" s="395">
        <f ca="1">IF(SUM($G97:V97)=$B97,0,IF(Y98&gt;0%,$B97,0%))</f>
        <v>0</v>
      </c>
      <c r="X97" s="395">
        <f ca="1">IF(SUM($G97:W97)=$B97,0,IF(Z98&gt;0%,$B97,0%))</f>
        <v>0</v>
      </c>
      <c r="Y97" s="395">
        <f ca="1">IF(SUM($G97:X97)=$B97,0,IF(AA98&gt;0%,$B97,0%))</f>
        <v>0</v>
      </c>
      <c r="Z97" s="395">
        <f ca="1">IF(SUM($G97:Y97)=$B97,0,IF(AB98&gt;0%,$B97,0%))</f>
        <v>0</v>
      </c>
      <c r="AA97" s="395">
        <f ca="1">IF(SUM($G97:Z97)=$B97,0,IF(AC98&gt;0%,$B97,0%))</f>
        <v>0</v>
      </c>
      <c r="AB97" s="395">
        <f ca="1">IF(SUM($G97:AA97)=$B97,0,IF(AD98&gt;0%,$B97,0%))</f>
        <v>0</v>
      </c>
      <c r="AC97" s="395">
        <f ca="1">IF(SUM($G97:AB97)=$B97,0,IF(AE98&gt;0%,$B97,0%))</f>
        <v>0</v>
      </c>
      <c r="AD97" s="395">
        <f ca="1">IF(SUM($G97:AC97)=$B97,0,IF(AF98&gt;0%,$B97,0%))</f>
        <v>0</v>
      </c>
      <c r="AE97" s="395">
        <f ca="1">IF(SUM($G97:AD97)=$B97,0,IF(AG98&gt;0%,$B97,0%))</f>
        <v>0</v>
      </c>
      <c r="AF97" s="395">
        <f ca="1">IF(SUM($G97:AE97)=$B97,0,IF(AH98&gt;0%,$B97,0%))</f>
        <v>0</v>
      </c>
      <c r="AG97" s="395">
        <f ca="1">IF(SUM($G97:AF97)=$B97,0,IF(AI98&gt;0%,$B97,0%))</f>
        <v>0</v>
      </c>
      <c r="AH97" s="395">
        <f ca="1">IF(SUM($G97:AG97)=$B97,0,IF(AJ98&gt;0%,$B97,0%))</f>
        <v>0</v>
      </c>
      <c r="AI97" s="395">
        <f ca="1">IF(SUM($G97:AH97)=$B97,0,IF(AK98&gt;0%,$B97,0%))</f>
        <v>0</v>
      </c>
      <c r="AJ97" s="395">
        <f ca="1">IF(SUM($G97:AI97)=$B97,0,IF(AL98&gt;0%,$B97,0%))</f>
        <v>0</v>
      </c>
      <c r="AK97" s="395">
        <f ca="1">IF(SUM($G97:AJ97)=$B97,0,IF(AM98&gt;0%,$B97,0%))</f>
        <v>0</v>
      </c>
      <c r="AL97" s="395">
        <f ca="1">IF(SUM($G97:AK97)=$B97,0,IF(AN98&gt;0%,$B97,0%))</f>
        <v>0</v>
      </c>
      <c r="AM97" s="395">
        <f ca="1">IF(SUM($G97:AL97)=$B97,0,IF(AO98&gt;0%,$B97,0%))</f>
        <v>0</v>
      </c>
      <c r="AN97" s="395">
        <f ca="1">IF(SUM($G97:AM97)=$B97,0,IF(AP98&gt;0%,$B97,0%))</f>
        <v>0.15</v>
      </c>
      <c r="AO97" s="395">
        <f ca="1">IF(SUM($G97:AN97)=$B97,0,IF(AQ98&gt;0%,$B97,0%))</f>
        <v>0</v>
      </c>
      <c r="AP97" s="395">
        <f ca="1">IF(SUM($G97:AO97)=$B97,0,IF(AR98&gt;0%,$B97,0%))</f>
        <v>0</v>
      </c>
      <c r="AQ97" s="395">
        <f ca="1">IF(SUM($G97:AP97)=$B97,0,IF(AS98&gt;0%,$B97,0%))</f>
        <v>0</v>
      </c>
      <c r="AR97" s="395">
        <f ca="1">IF(SUM($G97:AQ97)=$B97,0,IF(AT98&gt;0%,$B97,0%))</f>
        <v>0</v>
      </c>
      <c r="AS97" s="395">
        <f ca="1">IF(SUM($G97:AR97)=$B97,0,IF(AU98&gt;0%,$B97,0%))</f>
        <v>0</v>
      </c>
      <c r="AT97" s="395">
        <f ca="1">IF(SUM($G97:AS97)=$B97,0,IF(AV98&gt;0%,$B97,0%))</f>
        <v>0</v>
      </c>
      <c r="AU97" s="395">
        <f ca="1">IF(SUM($G97:AT97)=$B97,0,IF(AW98&gt;0%,$B97,0%))</f>
        <v>0</v>
      </c>
      <c r="AV97" s="395">
        <f ca="1">IF(SUM($G97:AU97)=$B97,0,IF(AX98&gt;0%,$B97,0%))</f>
        <v>0</v>
      </c>
      <c r="AW97" s="395">
        <f ca="1">IF(SUM($G97:AV97)=$B97,0,IF(AY98&gt;0%,$B97,0%))</f>
        <v>0</v>
      </c>
      <c r="AX97" s="395">
        <f ca="1">IF(SUM($G97:AW97)=$B97,0,IF(AZ98&gt;0%,$B97,0%))</f>
        <v>0</v>
      </c>
      <c r="AY97" s="395">
        <f ca="1">IF(SUM($G97:AX97)=$B97,0,IF(BA98&gt;0%,$B97,0%))</f>
        <v>0</v>
      </c>
      <c r="AZ97" s="395">
        <f ca="1">IF(SUM($G97:AY97)=$B97,0,IF(BB98&gt;0%,$B97,0%))</f>
        <v>0</v>
      </c>
      <c r="BA97" s="395">
        <f ca="1">IF(SUM($G97:AZ97)=$B97,0,IF(BC98&gt;0%,$B97,0%))</f>
        <v>0</v>
      </c>
      <c r="BB97" s="395">
        <f ca="1">IF(SUM($G97:BA97)=$B97,0,IF(BD98&gt;0%,$B97,0%))</f>
        <v>0</v>
      </c>
      <c r="BC97" s="395">
        <f ca="1">IF(SUM($G97:BB97)=$B97,0,IF(BE98&gt;0%,$B97,0%))</f>
        <v>0</v>
      </c>
      <c r="BD97" s="395">
        <f ca="1">IF(SUM($G97:BC97)=$B97,0,IF(BF98&gt;0%,$B97,0%))</f>
        <v>0</v>
      </c>
      <c r="BE97" s="395">
        <f ca="1">IF(SUM($G97:BD97)=$B97,0,IF(BG98&gt;0%,$B97,0%))</f>
        <v>0</v>
      </c>
      <c r="BF97" s="395">
        <f ca="1">IF(SUM($G97:BE97)=$B97,0,IF(BH98&gt;0%,$B97,0%))</f>
        <v>0</v>
      </c>
      <c r="BG97" s="395">
        <f ca="1">IF(SUM($G97:BF97)=$B97,0,IF(BI98&gt;0%,$B97,0%))</f>
        <v>0</v>
      </c>
      <c r="BH97" s="395">
        <f ca="1">IF(SUM($G97:BG97)=$B97,0,IF(BJ98&gt;0%,$B97,0%))</f>
        <v>0</v>
      </c>
      <c r="BI97" s="395">
        <f ca="1">IF(SUM($G97:BH97)=$B97,0,IF(BK98&gt;0%,$B97,0%))</f>
        <v>0</v>
      </c>
      <c r="BJ97" s="395">
        <f ca="1">IF(SUM($G97:BI97)=$B97,0,IF(BL98&gt;0%,$B97,0%))</f>
        <v>0</v>
      </c>
      <c r="BK97" s="395">
        <f ca="1">IF(SUM($G97:BJ97)=$B97,0,IF(BM98&gt;0%,$B97,0%))</f>
        <v>0</v>
      </c>
      <c r="BL97" s="395">
        <f ca="1">IF(SUM($G97:BK97)=$B97,0,IF(BN98&gt;0%,$B97,0%))</f>
        <v>0</v>
      </c>
      <c r="BM97" s="395">
        <f ca="1">IF(SUM($G97:BL97)=$B97,0,IF(BO98&gt;0%,$B97,0%))</f>
        <v>0</v>
      </c>
      <c r="BN97" s="395">
        <f ca="1">IF(SUM($G97:BM97)=$B97,0,IF(BP98&gt;0%,$B97,0%))</f>
        <v>0</v>
      </c>
      <c r="BO97" s="395">
        <f ca="1">IF(SUM($G97:BN97)=$B97,0,IF(BQ98&gt;0%,$B97,0%))</f>
        <v>0</v>
      </c>
      <c r="BP97" s="395">
        <f ca="1">IF(SUM($G97:BO97)=$B97,0,IF(BR98&gt;0%,$B97,0%))</f>
        <v>0</v>
      </c>
      <c r="BQ97" s="395">
        <f ca="1">IF(SUM($G97:BP97)=$B97,0,IF(BS98&gt;0%,$B97,0%))</f>
        <v>0</v>
      </c>
      <c r="BR97" s="395">
        <f ca="1">IF(SUM($G97:BQ97)=$B97,0,IF(BT98&gt;0%,$B97,0%))</f>
        <v>0</v>
      </c>
      <c r="BS97" s="395">
        <f ca="1">IF(SUM($G97:BR97)=$B97,0,IF(BU98&gt;0%,$B97,0%))</f>
        <v>0</v>
      </c>
      <c r="BT97" s="395">
        <f ca="1">IF(SUM($G97:BS97)=$B97,0,IF(BV98&gt;0%,$B97,0%))</f>
        <v>0</v>
      </c>
      <c r="BU97" s="395">
        <f ca="1">IF(SUM($G97:BT97)=$B97,0,IF(BW98&gt;0%,$B97,0%))</f>
        <v>0</v>
      </c>
      <c r="BV97" s="395">
        <f ca="1">IF(SUM($G97:BU97)=$B97,0,IF(BX98&gt;0%,$B97,0%))</f>
        <v>0</v>
      </c>
      <c r="BW97" s="395">
        <f ca="1">IF(SUM($G97:BV97)=$B97,0,IF(BY98&gt;0%,$B97,0%))</f>
        <v>0</v>
      </c>
      <c r="BX97" s="395">
        <f ca="1">IF(SUM($G97:BW97)=$B97,0,IF(BZ98&gt;0%,$B97,0%))</f>
        <v>0</v>
      </c>
      <c r="BY97" s="395">
        <f ca="1">IF(SUM($G97:BX97)=$B97,0,IF(CA98&gt;0%,$B97,0%))</f>
        <v>0</v>
      </c>
      <c r="BZ97" s="395">
        <f ca="1">IF(SUM($G97:BY97)=$B97,0,IF(CB98&gt;0%,$B97,0%))</f>
        <v>0</v>
      </c>
      <c r="CA97" s="395">
        <f ca="1">IF(SUM($G97:BZ97)=$B97,0,IF(CC98&gt;0%,$B97,0%))</f>
        <v>0</v>
      </c>
      <c r="CB97" s="395">
        <f ca="1">IF(SUM($G97:CA97)=$B97,0,IF(CD98&gt;0%,$B97,0%))</f>
        <v>0</v>
      </c>
      <c r="CC97" s="395">
        <f ca="1">IF(SUM($G97:CB97)=$B97,0,IF(CE98&gt;0%,$B97,0%))</f>
        <v>0</v>
      </c>
      <c r="CD97" s="395">
        <f ca="1">IF(SUM($G97:CC97)=$B97,0,IF(CF98&gt;0%,$B97,0%))</f>
        <v>0</v>
      </c>
      <c r="CE97" s="395">
        <f ca="1">IF(SUM($G97:CD97)=$B97,0,IF(CG98&gt;0%,$B97,0%))</f>
        <v>0</v>
      </c>
      <c r="CF97" s="395">
        <f ca="1">IF(SUM($G97:CE97)=$B97,0,IF(CH98&gt;0%,$B97,0%))</f>
        <v>0</v>
      </c>
      <c r="CG97" s="395">
        <f ca="1">IF(SUM($G97:CF97)=$B97,0,IF(CI98&gt;0%,$B97,0%))</f>
        <v>0</v>
      </c>
      <c r="CH97" s="395">
        <f ca="1">IF(SUM($G97:CG97)=$B97,0,IF(CJ98&gt;0%,$B97,0%))</f>
        <v>0</v>
      </c>
      <c r="CI97" s="395">
        <f ca="1">IF(SUM($G97:CH97)=$B97,0,IF(CK98&gt;0%,$B97,0%))</f>
        <v>0</v>
      </c>
      <c r="CJ97" s="395">
        <f ca="1">IF(SUM($G97:CI97)=$B97,0,IF(CL98&gt;0%,$B97,0%))</f>
        <v>0</v>
      </c>
      <c r="CK97" s="395">
        <f ca="1">IF(SUM($G97:CJ97)=$B97,0,IF(CM98&gt;0%,$B97,0%))</f>
        <v>0</v>
      </c>
      <c r="CL97" s="395">
        <f ca="1">IF(SUM($G97:CK97)=$B97,0,IF(CN98&gt;0%,$B97,0%))</f>
        <v>0</v>
      </c>
      <c r="CM97" s="395">
        <f ca="1">IF(SUM($G97:CL97)=$B97,0,IF(CO98&gt;0%,$B97,0%))</f>
        <v>0</v>
      </c>
      <c r="CN97" s="395">
        <f ca="1">IF(SUM($G97:CM97)=$B97,0,IF(CP98&gt;0%,$B97,0%))</f>
        <v>0</v>
      </c>
      <c r="CO97" s="395">
        <f ca="1">IF(SUM($G97:CN97)=$B97,0,IF(CQ98&gt;0%,$B97,0%))</f>
        <v>0</v>
      </c>
      <c r="CP97" s="395">
        <f ca="1">IF(SUM($G97:CO97)=$B97,0,IF(CR98&gt;0%,$B97,0%))</f>
        <v>0</v>
      </c>
      <c r="CQ97" s="395">
        <f ca="1">IF(SUM($G97:CP97)=$B97,0,IF(CS98&gt;0%,$B97,0%))</f>
        <v>0</v>
      </c>
      <c r="CR97" s="395">
        <f ca="1">IF(SUM($G97:CQ97)=$B97,0,IF(CT98&gt;0%,$B97,0%))</f>
        <v>0</v>
      </c>
      <c r="CS97" s="395">
        <f ca="1">IF(SUM($G97:CR97)=$B97,0,IF(CU98&gt;0%,$B97,0%))</f>
        <v>0</v>
      </c>
      <c r="CT97" s="395">
        <f ca="1">IF(SUM($G97:CS97)=$B97,0,IF(CV98&gt;0%,$B97,0%))</f>
        <v>0</v>
      </c>
      <c r="CU97" s="395">
        <f ca="1">IF(SUM($G97:CT97)=$B97,0,IF(CW98&gt;0%,$B97,0%))</f>
        <v>0</v>
      </c>
      <c r="CV97" s="395">
        <f ca="1">IF(SUM($G97:CU97)=$B97,0,IF(CX98&gt;0%,$B97,0%))</f>
        <v>0</v>
      </c>
      <c r="CW97" s="395">
        <f ca="1">IF(SUM($G97:CV97)=$B97,0,IF(CY98&gt;0%,$B97,0%))</f>
        <v>0</v>
      </c>
      <c r="CX97" s="395">
        <f ca="1">IF(SUM($G97:CW97)=$B97,0,IF(CZ98&gt;0%,$B97,0%))</f>
        <v>0</v>
      </c>
      <c r="CY97" s="395">
        <f ca="1">IF(SUM($G97:CX97)=$B97,0,IF(DA98&gt;0%,$B97,0%))</f>
        <v>0</v>
      </c>
      <c r="CZ97" s="395">
        <f ca="1">IF(SUM($G97:CY97)=$B97,0,IF(DB98&gt;0%,$B97,0%))</f>
        <v>0</v>
      </c>
      <c r="DA97" s="395">
        <f ca="1">IF(SUM($G97:CZ97)=$B97,0,IF(DC98&gt;0%,$B97,0%))</f>
        <v>0</v>
      </c>
      <c r="DB97" s="395">
        <f ca="1">IF(SUM($G97:DA97)=$B97,0,IF(DD98&gt;0%,$B97,0%))</f>
        <v>0</v>
      </c>
      <c r="DC97" s="395">
        <f ca="1">IF(SUM($G97:DB97)=$B97,0,IF(DE98&gt;0%,$B97,0%))</f>
        <v>0</v>
      </c>
      <c r="DD97" s="395">
        <f ca="1">IF(SUM($G97:DC97)=$B97,0,IF(DF98&gt;0%,$B97,0%))</f>
        <v>0</v>
      </c>
      <c r="DE97" s="395">
        <f ca="1">IF(SUM($G97:DD97)=$B97,0,IF(DG98&gt;0%,$B97,0%))</f>
        <v>0</v>
      </c>
      <c r="DF97" s="395">
        <f ca="1">IF(SUM($G97:DE97)=$B97,0,IF(DH98&gt;0%,$B97,0%))</f>
        <v>0</v>
      </c>
      <c r="DG97" s="395">
        <f ca="1">IF(SUM($G97:DF97)=$B97,0,IF(DI98&gt;0%,$B97,0%))</f>
        <v>0</v>
      </c>
      <c r="DH97" s="395">
        <f ca="1">IF(SUM($G97:DG97)=$B97,0,IF(DJ98&gt;0%,$B97,0%))</f>
        <v>0</v>
      </c>
      <c r="DI97" s="395">
        <f ca="1">IF(SUM($G97:DH97)=$B97,0,IF(DK98&gt;0%,$B97,0%))</f>
        <v>0</v>
      </c>
      <c r="DJ97" s="395">
        <f ca="1">IF(SUM($G97:DI97)=$B97,0,IF(DL98&gt;0%,$B97,0%))</f>
        <v>0</v>
      </c>
      <c r="DK97" s="395">
        <f ca="1">IF(SUM($G97:DJ97)=$B97,0,IF(DM98&gt;0%,$B97,0%))</f>
        <v>0</v>
      </c>
      <c r="DL97" s="395">
        <f ca="1">IF(SUM($G97:DK97)=$B97,0,IF(DN98&gt;0%,$B97,0%))</f>
        <v>0</v>
      </c>
      <c r="DM97" s="395">
        <f ca="1">IF(SUM($G97:DL97)=$B97,0,IF(DO98&gt;0%,$B97,0%))</f>
        <v>0</v>
      </c>
      <c r="DN97" s="395">
        <f ca="1">IF(SUM($G97:DM97)=$B97,0,IF(DP98&gt;0%,$B97,0%))</f>
        <v>0</v>
      </c>
      <c r="DO97" s="395">
        <f ca="1">IF(SUM($G97:DN97)=$B97,0,IF(DQ98&gt;0%,$B97,0%))</f>
        <v>0</v>
      </c>
      <c r="DP97" s="395">
        <f ca="1">IF(SUM($G97:DO97)=$B97,0,IF(DR98&gt;0%,$B97,0%))</f>
        <v>0</v>
      </c>
      <c r="DQ97" s="395">
        <f ca="1">IF(SUM($G97:DP97)=$B97,0,IF(DS98&gt;0%,$B97,0%))</f>
        <v>0</v>
      </c>
      <c r="DR97" s="395">
        <f ca="1">IF(SUM($G97:DQ97)=$B97,0,IF(DT98&gt;0%,$B97,0%))</f>
        <v>0</v>
      </c>
      <c r="DS97" s="395">
        <f ca="1">IF(SUM($G97:DR97)=$B97,0,IF(DU98&gt;0%,$B97,0%))</f>
        <v>0</v>
      </c>
      <c r="DT97" s="395">
        <f ca="1">IF(SUM($G97:DS97)=$B97,0,IF(DV98&gt;0%,$B97,0%))</f>
        <v>0</v>
      </c>
      <c r="DU97" s="395">
        <f ca="1">IF(SUM($G97:DT97)=$B97,0,IF(DW98&gt;0%,$B97,0%))</f>
        <v>0</v>
      </c>
      <c r="DV97" s="395">
        <f ca="1">IF(SUM($G97:DU97)=$B97,0,IF(DX98&gt;0%,$B97,0%))</f>
        <v>0</v>
      </c>
      <c r="DW97" s="395">
        <f ca="1">IF(SUM($G97:DV97)=$B97,0,IF(DY98&gt;0%,$B97,0%))</f>
        <v>0</v>
      </c>
      <c r="DX97" s="395">
        <f ca="1">IF(SUM($G97:DW97)=$B97,0,IF(DZ98&gt;0%,$B97,0%))</f>
        <v>0</v>
      </c>
      <c r="DY97" s="395">
        <f ca="1">IF(SUM($G97:DX97)=$B97,0,IF(EA98&gt;0%,$B97,0%))</f>
        <v>0</v>
      </c>
      <c r="DZ97" s="395">
        <f ca="1">IF(SUM($G97:DY97)=$B97,0,IF(EB98&gt;0%,$B97,0%))</f>
        <v>0</v>
      </c>
      <c r="EA97" s="395">
        <f ca="1">IF(SUM($G97:DZ97)=$B97,0,IF(EC98&gt;0%,$B97,0%))</f>
        <v>0</v>
      </c>
      <c r="EB97" s="395">
        <f ca="1">IF(SUM($G97:EA97)=$B97,0,IF(ED98&gt;0%,$B97,0%))</f>
        <v>0</v>
      </c>
      <c r="EC97" s="395">
        <f ca="1">IF(SUM($G97:EB97)=$B97,0,IF(EE98&gt;0%,$B97,0%))</f>
        <v>0</v>
      </c>
      <c r="ED97" s="395">
        <f ca="1">IF(SUM($G97:EC97)=$B97,0,IF(EF98&gt;0%,$B97,0%))</f>
        <v>0</v>
      </c>
      <c r="EE97" s="395">
        <f ca="1">IF(SUM($G97:ED97)=$B97,0,IF(EG98&gt;0%,$B97,0%))</f>
        <v>0</v>
      </c>
      <c r="EF97" s="395">
        <f ca="1">IF(SUM($G97:EE97)=$B97,0,IF(EH98&gt;0%,$B97,0%))</f>
        <v>0</v>
      </c>
      <c r="EG97" s="395">
        <f ca="1">IF(SUM($G97:EF97)=$B97,0,IF(EI98&gt;0%,$B97,0%))</f>
        <v>0</v>
      </c>
      <c r="EH97" s="395">
        <f ca="1">IF(SUM($G97:EG97)=$B97,0,IF(EJ98&gt;0%,$B97,0%))</f>
        <v>0</v>
      </c>
      <c r="EI97" s="395">
        <f ca="1">IF(SUM($G97:EH97)=$B97,0,IF(EK98&gt;0%,$B97,0%))</f>
        <v>0</v>
      </c>
      <c r="EJ97" s="398"/>
      <c r="EK97" s="313"/>
    </row>
    <row r="98" spans="1:141" hidden="1" outlineLevel="2">
      <c r="A98" s="332"/>
      <c r="B98" s="549">
        <f>длительность!C184</f>
        <v>0.79999999999999993</v>
      </c>
      <c r="C98" s="317"/>
      <c r="D98" s="317" t="s">
        <v>663</v>
      </c>
      <c r="E98" s="550">
        <f ca="1">ROUND(IF(F98=0,0,B98-F98),4)</f>
        <v>0</v>
      </c>
      <c r="F98" s="397">
        <f t="shared" ca="1" si="283"/>
        <v>0.8</v>
      </c>
      <c r="G98" s="395"/>
      <c r="H98" s="395"/>
      <c r="I98" s="395">
        <f ca="1">IF($E$269=0,0,IF(SUM($G98:H98)=$B98,0,IF(SUM($G269:H269)&gt;=$E269,($B98/$E269)*($E269-SUM($G269:G269)),($B98/$E269)*H269)))</f>
        <v>0</v>
      </c>
      <c r="J98" s="395">
        <f ca="1">IF($E$269=0,0,IF(SUM($G98:I98)=$B98,0,IF(SUM($G269:I269)&gt;=$E269,($B98/$E269)*($E269-SUM($G269:H269)),($B98/$E269)*I269)))</f>
        <v>0</v>
      </c>
      <c r="K98" s="395">
        <f ca="1">IF($E$269=0,0,IF(SUM($G98:J98)=$B98,0,IF(SUM($G269:J269)&gt;=$E269,($B98/$E269)*($E269-SUM($G269:I269)),($B98/$E269)*J269)))</f>
        <v>0</v>
      </c>
      <c r="L98" s="395">
        <f ca="1">IF($E$269=0,0,IF(SUM($G98:K98)=$B98,0,IF(SUM($G269:K269)&gt;=$E269,($B98/$E269)*($E269-SUM($G269:J269)),($B98/$E269)*K269)))</f>
        <v>0</v>
      </c>
      <c r="M98" s="395">
        <f ca="1">IF($E$269=0,0,IF(SUM($G98:L98)=$B98,0,IF(SUM($G269:L269)&gt;=$E269,($B98/$E269)*($E269-SUM($G269:K269)),($B98/$E269)*L269)))</f>
        <v>0</v>
      </c>
      <c r="N98" s="395">
        <f ca="1">IF($E$269=0,0,IF(SUM($G98:M98)=$B98,0,IF(SUM($G269:M269)&gt;=$E269,($B98/$E269)*($E269-SUM($G269:L269)),($B98/$E269)*M269)))</f>
        <v>0</v>
      </c>
      <c r="O98" s="395">
        <f ca="1">IF($E$269=0,0,IF(SUM($G98:N98)=$B98,0,IF(SUM($G269:N269)&gt;=$E269,($B98/$E269)*($E269-SUM($G269:M269)),($B98/$E269)*N269)))</f>
        <v>0</v>
      </c>
      <c r="P98" s="395">
        <f ca="1">IF($E$269=0,0,IF(SUM($G98:O98)=$B98,0,IF(SUM($G269:O269)&gt;=$E269,($B98/$E269)*($E269-SUM($G269:N269)),($B98/$E269)*O269)))</f>
        <v>0</v>
      </c>
      <c r="Q98" s="395">
        <f ca="1">IF($E$269=0,0,IF(SUM($G98:P98)=$B98,0,IF(SUM($G269:P269)&gt;=$E269,($B98/$E269)*($E269-SUM($G269:O269)),($B98/$E269)*P269)))</f>
        <v>0</v>
      </c>
      <c r="R98" s="395">
        <f ca="1">IF($E$269=0,0,IF(SUM($G98:Q98)=$B98,0,IF(SUM($G269:Q269)&gt;=$E269,($B98/$E269)*($E269-SUM($G269:P269)),($B98/$E269)*Q269)))</f>
        <v>0</v>
      </c>
      <c r="S98" s="395">
        <f ca="1">IF($E$269=0,0,IF(SUM($G98:R98)=$B98,0,IF(SUM($G269:R269)&gt;=$E269,($B98/$E269)*($E269-SUM($G269:Q269)),($B98/$E269)*R269)))</f>
        <v>0</v>
      </c>
      <c r="T98" s="395">
        <f ca="1">IF($E$269=0,0,IF(SUM($G98:S98)=$B98,0,IF(SUM($G269:S269)&gt;=$E269,($B98/$E269)*($E269-SUM($G269:R269)),($B98/$E269)*S269)))</f>
        <v>0</v>
      </c>
      <c r="U98" s="395">
        <f ca="1">IF($E$269=0,0,IF(SUM($G98:T98)=$B98,0,IF(SUM($G269:T269)&gt;=$E269,($B98/$E269)*($E269-SUM($G269:S269)),($B98/$E269)*T269)))</f>
        <v>0</v>
      </c>
      <c r="V98" s="395">
        <f ca="1">IF($E$269=0,0,IF(SUM($G98:U98)=$B98,0,IF(SUM($G269:U269)&gt;=$E269,($B98/$E269)*($E269-SUM($G269:T269)),($B98/$E269)*U269)))</f>
        <v>0</v>
      </c>
      <c r="W98" s="395">
        <f ca="1">IF($E$269=0,0,IF(SUM($G98:V98)=$B98,0,IF(SUM($G269:V269)&gt;=$E269,($B98/$E269)*($E269-SUM($G269:U269)),($B98/$E269)*V269)))</f>
        <v>0</v>
      </c>
      <c r="X98" s="395">
        <f ca="1">IF($E$269=0,0,IF(SUM($G98:W98)=$B98,0,IF(SUM($G269:W269)&gt;=$E269,($B98/$E269)*($E269-SUM($G269:V269)),($B98/$E269)*W269)))</f>
        <v>0</v>
      </c>
      <c r="Y98" s="395">
        <f ca="1">IF($E$269=0,0,IF(SUM($G98:X98)=$B98,0,IF(SUM($G269:X269)&gt;=$E269,($B98/$E269)*($E269-SUM($G269:W269)),($B98/$E269)*X269)))</f>
        <v>0</v>
      </c>
      <c r="Z98" s="395">
        <f ca="1">IF($E$269=0,0,IF(SUM($G98:Y98)=$B98,0,IF(SUM($G269:Y269)&gt;=$E269,($B98/$E269)*($E269-SUM($G269:X269)),($B98/$E269)*Y269)))</f>
        <v>0</v>
      </c>
      <c r="AA98" s="395">
        <f ca="1">IF($E$269=0,0,IF(SUM($G98:Z98)=$B98,0,IF(SUM($G269:Z269)&gt;=$E269,($B98/$E269)*($E269-SUM($G269:Y269)),($B98/$E269)*Z269)))</f>
        <v>0</v>
      </c>
      <c r="AB98" s="395">
        <f ca="1">IF($E$269=0,0,IF(SUM($G98:AA98)=$B98,0,IF(SUM($G269:AA269)&gt;=$E269,($B98/$E269)*($E269-SUM($G269:Z269)),($B98/$E269)*AA269)))</f>
        <v>0</v>
      </c>
      <c r="AC98" s="395">
        <f ca="1">IF($E$269=0,0,IF(SUM($G98:AB98)=$B98,0,IF(SUM($G269:AB269)&gt;=$E269,($B98/$E269)*($E269-SUM($G269:AA269)),($B98/$E269)*AB269)))</f>
        <v>0</v>
      </c>
      <c r="AD98" s="395">
        <f ca="1">IF($E$269=0,0,IF(SUM($G98:AC98)=$B98,0,IF(SUM($G269:AC269)&gt;=$E269,($B98/$E269)*($E269-SUM($G269:AB269)),($B98/$E269)*AC269)))</f>
        <v>0</v>
      </c>
      <c r="AE98" s="395">
        <f ca="1">IF($E$269=0,0,IF(SUM($G98:AD98)=$B98,0,IF(SUM($G269:AD269)&gt;=$E269,($B98/$E269)*($E269-SUM($G269:AC269)),($B98/$E269)*AD269)))</f>
        <v>0</v>
      </c>
      <c r="AF98" s="395">
        <f ca="1">IF($E$269=0,0,IF(SUM($G98:AE98)=$B98,0,IF(SUM($G269:AE269)&gt;=$E269,($B98/$E269)*($E269-SUM($G269:AD269)),($B98/$E269)*AE269)))</f>
        <v>0</v>
      </c>
      <c r="AG98" s="395">
        <f ca="1">IF($E$269=0,0,IF(SUM($G98:AF98)=$B98,0,IF(SUM($G269:AF269)&gt;=$E269,($B98/$E269)*($E269-SUM($G269:AE269)),($B98/$E269)*AF269)))</f>
        <v>0</v>
      </c>
      <c r="AH98" s="395">
        <f ca="1">IF($E$269=0,0,IF(SUM($G98:AG98)=$B98,0,IF(SUM($G269:AG269)&gt;=$E269,($B98/$E269)*($E269-SUM($G269:AF269)),($B98/$E269)*AG269)))</f>
        <v>0</v>
      </c>
      <c r="AI98" s="395">
        <f ca="1">IF($E$269=0,0,IF(SUM($G98:AH98)=$B98,0,IF(SUM($G269:AH269)&gt;=$E269,($B98/$E269)*($E269-SUM($G269:AG269)),($B98/$E269)*AH269)))</f>
        <v>0</v>
      </c>
      <c r="AJ98" s="395">
        <f ca="1">IF($E$269=0,0,IF(SUM($G98:AI98)=$B98,0,IF(SUM($G269:AI269)&gt;=$E269,($B98/$E269)*($E269-SUM($G269:AH269)),($B98/$E269)*AI269)))</f>
        <v>0</v>
      </c>
      <c r="AK98" s="395">
        <f ca="1">IF($E$269=0,0,IF(SUM($G98:AJ98)=$B98,0,IF(SUM($G269:AJ269)&gt;=$E269,($B98/$E269)*($E269-SUM($G269:AI269)),($B98/$E269)*AJ269)))</f>
        <v>0</v>
      </c>
      <c r="AL98" s="395">
        <f ca="1">IF($E$269=0,0,IF(SUM($G98:AK98)=$B98,0,IF(SUM($G269:AK269)&gt;=$E269,($B98/$E269)*($E269-SUM($G269:AJ269)),($B98/$E269)*AK269)))</f>
        <v>0</v>
      </c>
      <c r="AM98" s="395">
        <f ca="1">IF($E$269=0,0,IF(SUM($G98:AL98)=$B98,0,IF(SUM($G269:AL269)&gt;=$E269,($B98/$E269)*($E269-SUM($G269:AK269)),($B98/$E269)*AL269)))</f>
        <v>0</v>
      </c>
      <c r="AN98" s="395">
        <f ca="1">IF($E$269=0,0,IF(SUM($G98:AM98)=$B98,0,IF(SUM($G269:AM269)&gt;=$E269,($B98/$E269)*($E269-SUM($G269:AL269)),($B98/$E269)*AM269)))</f>
        <v>0</v>
      </c>
      <c r="AO98" s="395">
        <f ca="1">IF($E$269=0,0,IF(SUM($G98:AN98)=$B98,0,IF(SUM($G269:AN269)&gt;=$E269,($B98/$E269)*($E269-SUM($G269:AM269)),($B98/$E269)*AN269)))</f>
        <v>0</v>
      </c>
      <c r="AP98" s="395">
        <f ca="1">IF($E$269=0,0,IF(SUM($G98:AO98)=$B98,0,IF(SUM($G269:AO269)&gt;=$E269,($B98/$E269)*($E269-SUM($G269:AN269)),($B98/$E269)*AO269)))</f>
        <v>4.0105540897097627E-2</v>
      </c>
      <c r="AQ98" s="395">
        <f ca="1">IF($E$269=0,0,IF(SUM($G98:AP98)=$B98,0,IF(SUM($G269:AP269)&gt;=$E269,($B98/$E269)*($E269-SUM($G269:AO269)),($B98/$E269)*AP269)))</f>
        <v>5.9102902374670183E-2</v>
      </c>
      <c r="AR98" s="395">
        <f ca="1">IF($E$269=0,0,IF(SUM($G98:AQ98)=$B98,0,IF(SUM($G269:AQ269)&gt;=$E269,($B98/$E269)*($E269-SUM($G269:AP269)),($B98/$E269)*AQ269)))</f>
        <v>6.5435356200527706E-2</v>
      </c>
      <c r="AS98" s="395">
        <f ca="1">IF($E$269=0,0,IF(SUM($G98:AR98)=$B98,0,IF(SUM($G269:AR269)&gt;=$E269,($B98/$E269)*($E269-SUM($G269:AQ269)),($B98/$E269)*AR269)))</f>
        <v>6.3324538258575203E-2</v>
      </c>
      <c r="AT98" s="395">
        <f ca="1">IF($E$269=0,0,IF(SUM($G98:AS98)=$B98,0,IF(SUM($G269:AS269)&gt;=$E269,($B98/$E269)*($E269-SUM($G269:AR269)),($B98/$E269)*AS269)))</f>
        <v>6.5435356200527706E-2</v>
      </c>
      <c r="AU98" s="395">
        <f ca="1">IF($E$269=0,0,IF(SUM($G98:AT98)=$B98,0,IF(SUM($G269:AT269)&gt;=$E269,($B98/$E269)*($E269-SUM($G269:AS269)),($B98/$E269)*AT269)))</f>
        <v>6.3324538258575203E-2</v>
      </c>
      <c r="AV98" s="395">
        <f ca="1">IF($E$269=0,0,IF(SUM($G98:AU98)=$B98,0,IF(SUM($G269:AU269)&gt;=$E269,($B98/$E269)*($E269-SUM($G269:AT269)),($B98/$E269)*AU269)))</f>
        <v>6.5435356200527706E-2</v>
      </c>
      <c r="AW98" s="395">
        <f ca="1">IF($E$269=0,0,IF(SUM($G98:AV98)=$B98,0,IF(SUM($G269:AV269)&gt;=$E269,($B98/$E269)*($E269-SUM($G269:AU269)),($B98/$E269)*AV269)))</f>
        <v>6.5435356200527706E-2</v>
      </c>
      <c r="AX98" s="395">
        <f ca="1">IF($E$269=0,0,IF(SUM($G98:AW98)=$B98,0,IF(SUM($G269:AW269)&gt;=$E269,($B98/$E269)*($E269-SUM($G269:AV269)),($B98/$E269)*AW269)))</f>
        <v>6.3324538258575203E-2</v>
      </c>
      <c r="AY98" s="395">
        <f ca="1">IF($E$269=0,0,IF(SUM($G98:AX98)=$B98,0,IF(SUM($G269:AX269)&gt;=$E269,($B98/$E269)*($E269-SUM($G269:AW269)),($B98/$E269)*AX269)))</f>
        <v>6.5435356200527706E-2</v>
      </c>
      <c r="AZ98" s="395">
        <f ca="1">IF($E$269=0,0,IF(SUM($G98:AY98)=$B98,0,IF(SUM($G269:AY269)&gt;=$E269,($B98/$E269)*($E269-SUM($G269:AX269)),($B98/$E269)*AY269)))</f>
        <v>6.3324538258575203E-2</v>
      </c>
      <c r="BA98" s="395">
        <f ca="1">IF($E$269=0,0,IF(SUM($G98:AZ98)=$B98,0,IF(SUM($G269:AZ269)&gt;=$E269,($B98/$E269)*($E269-SUM($G269:AY269)),($B98/$E269)*AZ269)))</f>
        <v>6.5435356200527706E-2</v>
      </c>
      <c r="BB98" s="395">
        <f ca="1">IF($E$269=0,0,IF(SUM($G98:BA98)=$B98,0,IF(SUM($G269:BA269)&gt;=$E269,($B98/$E269)*($E269-SUM($G269:AZ269)),($B98/$E269)*BA269)))</f>
        <v>5.488126649076517E-2</v>
      </c>
      <c r="BC98" s="395">
        <f ca="1">IF($E$269=0,0,IF(SUM($G98:BB98)=$B98,0,IF(SUM($G269:BB269)&gt;=$E269,($B98/$E269)*($E269-SUM($G269:BA269)),($B98/$E269)*BB269)))</f>
        <v>0</v>
      </c>
      <c r="BD98" s="395">
        <f ca="1">IF($E$269=0,0,IF(SUM($G98:BC98)=$B98,0,IF(SUM($G269:BC269)&gt;=$E269,($B98/$E269)*($E269-SUM($G269:BB269)),($B98/$E269)*BC269)))</f>
        <v>0</v>
      </c>
      <c r="BE98" s="395">
        <f ca="1">IF($E$269=0,0,IF(SUM($G98:BD98)=$B98,0,IF(SUM($G269:BD269)&gt;=$E269,($B98/$E269)*($E269-SUM($G269:BC269)),($B98/$E269)*BD269)))</f>
        <v>0</v>
      </c>
      <c r="BF98" s="395">
        <f ca="1">IF($E$269=0,0,IF(SUM($G98:BE98)=$B98,0,IF(SUM($G269:BE269)&gt;=$E269,($B98/$E269)*($E269-SUM($G269:BD269)),($B98/$E269)*BE269)))</f>
        <v>0</v>
      </c>
      <c r="BG98" s="395">
        <f ca="1">IF($E$269=0,0,IF(SUM($G98:BF98)=$B98,0,IF(SUM($G269:BF269)&gt;=$E269,($B98/$E269)*($E269-SUM($G269:BE269)),($B98/$E269)*BF269)))</f>
        <v>0</v>
      </c>
      <c r="BH98" s="395">
        <f ca="1">IF($E$269=0,0,IF(SUM($G98:BG98)=$B98,0,IF(SUM($G269:BG269)&gt;=$E269,($B98/$E269)*($E269-SUM($G269:BF269)),($B98/$E269)*BG269)))</f>
        <v>0</v>
      </c>
      <c r="BI98" s="395">
        <f ca="1">IF($E$269=0,0,IF(SUM($G98:BH98)=$B98,0,IF(SUM($G269:BH269)&gt;=$E269,($B98/$E269)*($E269-SUM($G269:BG269)),($B98/$E269)*BH269)))</f>
        <v>0</v>
      </c>
      <c r="BJ98" s="395">
        <f ca="1">IF($E$269=0,0,IF(SUM($G98:BI98)=$B98,0,IF(SUM($G269:BI269)&gt;=$E269,($B98/$E269)*($E269-SUM($G269:BH269)),($B98/$E269)*BI269)))</f>
        <v>0</v>
      </c>
      <c r="BK98" s="395">
        <f ca="1">IF($E$269=0,0,IF(SUM($G98:BJ98)=$B98,0,IF(SUM($G269:BJ269)&gt;=$E269,($B98/$E269)*($E269-SUM($G269:BI269)),($B98/$E269)*BJ269)))</f>
        <v>0</v>
      </c>
      <c r="BL98" s="395">
        <f ca="1">IF($E$269=0,0,IF(SUM($G98:BK98)=$B98,0,IF(SUM($G269:BK269)&gt;=$E269,($B98/$E269)*($E269-SUM($G269:BJ269)),($B98/$E269)*BK269)))</f>
        <v>0</v>
      </c>
      <c r="BM98" s="395">
        <f ca="1">IF($E$269=0,0,IF(SUM($G98:BL98)=$B98,0,IF(SUM($G269:BL269)&gt;=$E269,($B98/$E269)*($E269-SUM($G269:BK269)),($B98/$E269)*BL269)))</f>
        <v>0</v>
      </c>
      <c r="BN98" s="395">
        <f ca="1">IF($E$269=0,0,IF(SUM($G98:BM98)=$B98,0,IF(SUM($G269:BM269)&gt;=$E269,($B98/$E269)*($E269-SUM($G269:BL269)),($B98/$E269)*BM269)))</f>
        <v>0</v>
      </c>
      <c r="BO98" s="395">
        <f ca="1">IF($E$269=0,0,IF(SUM($G98:BN98)=$B98,0,IF(SUM($G269:BN269)&gt;=$E269,($B98/$E269)*($E269-SUM($G269:BM269)),($B98/$E269)*BN269)))</f>
        <v>0</v>
      </c>
      <c r="BP98" s="395">
        <f ca="1">IF($E$269=0,0,IF(SUM($G98:BO98)=$B98,0,IF(SUM($G269:BO269)&gt;=$E269,($B98/$E269)*($E269-SUM($G269:BN269)),($B98/$E269)*BO269)))</f>
        <v>0</v>
      </c>
      <c r="BQ98" s="395">
        <f ca="1">IF($E$269=0,0,IF(SUM($G98:BP98)=$B98,0,IF(SUM($G269:BP269)&gt;=$E269,($B98/$E269)*($E269-SUM($G269:BO269)),($B98/$E269)*BP269)))</f>
        <v>0</v>
      </c>
      <c r="BR98" s="395">
        <f ca="1">IF($E$269=0,0,IF(SUM($G98:BQ98)=$B98,0,IF(SUM($G269:BQ269)&gt;=$E269,($B98/$E269)*($E269-SUM($G269:BP269)),($B98/$E269)*BQ269)))</f>
        <v>0</v>
      </c>
      <c r="BS98" s="395">
        <f ca="1">IF($E$269=0,0,IF(SUM($G98:BR98)=$B98,0,IF(SUM($G269:BR269)&gt;=$E269,($B98/$E269)*($E269-SUM($G269:BQ269)),($B98/$E269)*BR269)))</f>
        <v>0</v>
      </c>
      <c r="BT98" s="395">
        <f ca="1">IF($E$269=0,0,IF(SUM($G98:BS98)=$B98,0,IF(SUM($G269:BS269)&gt;=$E269,($B98/$E269)*($E269-SUM($G269:BR269)),($B98/$E269)*BS269)))</f>
        <v>0</v>
      </c>
      <c r="BU98" s="395">
        <f ca="1">IF($E$269=0,0,IF(SUM($G98:BT98)=$B98,0,IF(SUM($G269:BT269)&gt;=$E269,($B98/$E269)*($E269-SUM($G269:BS269)),($B98/$E269)*BT269)))</f>
        <v>0</v>
      </c>
      <c r="BV98" s="395">
        <f ca="1">IF($E$269=0,0,IF(SUM($G98:BU98)=$B98,0,IF(SUM($G269:BU269)&gt;=$E269,($B98/$E269)*($E269-SUM($G269:BT269)),($B98/$E269)*BU269)))</f>
        <v>0</v>
      </c>
      <c r="BW98" s="395">
        <f ca="1">IF($E$269=0,0,IF(SUM($G98:BV98)=$B98,0,IF(SUM($G269:BV269)&gt;=$E269,($B98/$E269)*($E269-SUM($G269:BU269)),($B98/$E269)*BV269)))</f>
        <v>0</v>
      </c>
      <c r="BX98" s="395">
        <f ca="1">IF($E$269=0,0,IF(SUM($G98:BW98)=$B98,0,IF(SUM($G269:BW269)&gt;=$E269,($B98/$E269)*($E269-SUM($G269:BV269)),($B98/$E269)*BW269)))</f>
        <v>0</v>
      </c>
      <c r="BY98" s="395">
        <f ca="1">IF($E$269=0,0,IF(SUM($G98:BX98)=$B98,0,IF(SUM($G269:BX269)&gt;=$E269,($B98/$E269)*($E269-SUM($G269:BW269)),($B98/$E269)*BX269)))</f>
        <v>0</v>
      </c>
      <c r="BZ98" s="395">
        <f ca="1">IF($E$269=0,0,IF(SUM($G98:BY98)=$B98,0,IF(SUM($G269:BY269)&gt;=$E269,($B98/$E269)*($E269-SUM($G269:BX269)),($B98/$E269)*BY269)))</f>
        <v>0</v>
      </c>
      <c r="CA98" s="395">
        <f ca="1">IF($E$269=0,0,IF(SUM($G98:BZ98)=$B98,0,IF(SUM($G269:BZ269)&gt;=$E269,($B98/$E269)*($E269-SUM($G269:BY269)),($B98/$E269)*BZ269)))</f>
        <v>0</v>
      </c>
      <c r="CB98" s="395">
        <f ca="1">IF($E$269=0,0,IF(SUM($G98:CA98)=$B98,0,IF(SUM($G269:CA269)&gt;=$E269,($B98/$E269)*($E269-SUM($G269:BZ269)),($B98/$E269)*CA269)))</f>
        <v>0</v>
      </c>
      <c r="CC98" s="395">
        <f ca="1">IF($E$269=0,0,IF(SUM($G98:CB98)=$B98,0,IF(SUM($G269:CB269)&gt;=$E269,($B98/$E269)*($E269-SUM($G269:CA269)),($B98/$E269)*CB269)))</f>
        <v>0</v>
      </c>
      <c r="CD98" s="395">
        <f ca="1">IF($E$269=0,0,IF(SUM($G98:CC98)=$B98,0,IF(SUM($G269:CC269)&gt;=$E269,($B98/$E269)*($E269-SUM($G269:CB269)),($B98/$E269)*CC269)))</f>
        <v>0</v>
      </c>
      <c r="CE98" s="395">
        <f ca="1">IF($E$269=0,0,IF(SUM($G98:CD98)=$B98,0,IF(SUM($G269:CD269)&gt;=$E269,($B98/$E269)*($E269-SUM($G269:CC269)),($B98/$E269)*CD269)))</f>
        <v>0</v>
      </c>
      <c r="CF98" s="395">
        <f ca="1">IF($E$269=0,0,IF(SUM($G98:CE98)=$B98,0,IF(SUM($G269:CE269)&gt;=$E269,($B98/$E269)*($E269-SUM($G269:CD269)),($B98/$E269)*CE269)))</f>
        <v>0</v>
      </c>
      <c r="CG98" s="395">
        <f ca="1">IF($E$269=0,0,IF(SUM($G98:CF98)=$B98,0,IF(SUM($G269:CF269)&gt;=$E269,($B98/$E269)*($E269-SUM($G269:CE269)),($B98/$E269)*CF269)))</f>
        <v>0</v>
      </c>
      <c r="CH98" s="395">
        <f ca="1">IF($E$269=0,0,IF(SUM($G98:CG98)=$B98,0,IF(SUM($G269:CG269)&gt;=$E269,($B98/$E269)*($E269-SUM($G269:CF269)),($B98/$E269)*CG269)))</f>
        <v>0</v>
      </c>
      <c r="CI98" s="395">
        <f ca="1">IF($E$269=0,0,IF(SUM($G98:CH98)=$B98,0,IF(SUM($G269:CH269)&gt;=$E269,($B98/$E269)*($E269-SUM($G269:CG269)),($B98/$E269)*CH269)))</f>
        <v>0</v>
      </c>
      <c r="CJ98" s="395">
        <f ca="1">IF($E$269=0,0,IF(SUM($G98:CI98)=$B98,0,IF(SUM($G269:CI269)&gt;=$E269,($B98/$E269)*($E269-SUM($G269:CH269)),($B98/$E269)*CI269)))</f>
        <v>0</v>
      </c>
      <c r="CK98" s="395">
        <f ca="1">IF($E$269=0,0,IF(SUM($G98:CJ98)=$B98,0,IF(SUM($G269:CJ269)&gt;=$E269,($B98/$E269)*($E269-SUM($G269:CI269)),($B98/$E269)*CJ269)))</f>
        <v>0</v>
      </c>
      <c r="CL98" s="395">
        <f ca="1">IF($E$269=0,0,IF(SUM($G98:CK98)=$B98,0,IF(SUM($G269:CK269)&gt;=$E269,($B98/$E269)*($E269-SUM($G269:CJ269)),($B98/$E269)*CK269)))</f>
        <v>0</v>
      </c>
      <c r="CM98" s="395">
        <f ca="1">IF($E$269=0,0,IF(SUM($G98:CL98)=$B98,0,IF(SUM($G269:CL269)&gt;=$E269,($B98/$E269)*($E269-SUM($G269:CK269)),($B98/$E269)*CL269)))</f>
        <v>0</v>
      </c>
      <c r="CN98" s="395">
        <f ca="1">IF($E$269=0,0,IF(SUM($G98:CM98)=$B98,0,IF(SUM($G269:CM269)&gt;=$E269,($B98/$E269)*($E269-SUM($G269:CL269)),($B98/$E269)*CM269)))</f>
        <v>0</v>
      </c>
      <c r="CO98" s="395">
        <f ca="1">IF($E$269=0,0,IF(SUM($G98:CN98)=$B98,0,IF(SUM($G269:CN269)&gt;=$E269,($B98/$E269)*($E269-SUM($G269:CM269)),($B98/$E269)*CN269)))</f>
        <v>0</v>
      </c>
      <c r="CP98" s="395">
        <f ca="1">IF($E$269=0,0,IF(SUM($G98:CO98)=$B98,0,IF(SUM($G269:CO269)&gt;=$E269,($B98/$E269)*($E269-SUM($G269:CN269)),($B98/$E269)*CO269)))</f>
        <v>0</v>
      </c>
      <c r="CQ98" s="395">
        <f ca="1">IF($E$269=0,0,IF(SUM($G98:CP98)=$B98,0,IF(SUM($G269:CP269)&gt;=$E269,($B98/$E269)*($E269-SUM($G269:CO269)),($B98/$E269)*CP269)))</f>
        <v>0</v>
      </c>
      <c r="CR98" s="395">
        <f ca="1">IF($E$269=0,0,IF(SUM($G98:CQ98)=$B98,0,IF(SUM($G269:CQ269)&gt;=$E269,($B98/$E269)*($E269-SUM($G269:CP269)),($B98/$E269)*CQ269)))</f>
        <v>0</v>
      </c>
      <c r="CS98" s="395">
        <f ca="1">IF($E$269=0,0,IF(SUM($G98:CR98)=$B98,0,IF(SUM($G269:CR269)&gt;=$E269,($B98/$E269)*($E269-SUM($G269:CQ269)),($B98/$E269)*CR269)))</f>
        <v>0</v>
      </c>
      <c r="CT98" s="395">
        <f ca="1">IF($E$269=0,0,IF(SUM($G98:CS98)=$B98,0,IF(SUM($G269:CS269)&gt;=$E269,($B98/$E269)*($E269-SUM($G269:CR269)),($B98/$E269)*CS269)))</f>
        <v>0</v>
      </c>
      <c r="CU98" s="395">
        <f ca="1">IF($E$269=0,0,IF(SUM($G98:CT98)=$B98,0,IF(SUM($G269:CT269)&gt;=$E269,($B98/$E269)*($E269-SUM($G269:CS269)),($B98/$E269)*CT269)))</f>
        <v>0</v>
      </c>
      <c r="CV98" s="395">
        <f ca="1">IF($E$269=0,0,IF(SUM($G98:CU98)=$B98,0,IF(SUM($G269:CU269)&gt;=$E269,($B98/$E269)*($E269-SUM($G269:CT269)),($B98/$E269)*CU269)))</f>
        <v>0</v>
      </c>
      <c r="CW98" s="395">
        <f ca="1">IF($E$269=0,0,IF(SUM($G98:CV98)=$B98,0,IF(SUM($G269:CV269)&gt;=$E269,($B98/$E269)*($E269-SUM($G269:CU269)),($B98/$E269)*CV269)))</f>
        <v>0</v>
      </c>
      <c r="CX98" s="395">
        <f ca="1">IF($E$269=0,0,IF(SUM($G98:CW98)=$B98,0,IF(SUM($G269:CW269)&gt;=$E269,($B98/$E269)*($E269-SUM($G269:CV269)),($B98/$E269)*CW269)))</f>
        <v>0</v>
      </c>
      <c r="CY98" s="395">
        <f ca="1">IF($E$269=0,0,IF(SUM($G98:CX98)=$B98,0,IF(SUM($G269:CX269)&gt;=$E269,($B98/$E269)*($E269-SUM($G269:CW269)),($B98/$E269)*CX269)))</f>
        <v>0</v>
      </c>
      <c r="CZ98" s="395">
        <f ca="1">IF($E$269=0,0,IF(SUM($G98:CY98)=$B98,0,IF(SUM($G269:CY269)&gt;=$E269,($B98/$E269)*($E269-SUM($G269:CX269)),($B98/$E269)*CY269)))</f>
        <v>0</v>
      </c>
      <c r="DA98" s="395">
        <f ca="1">IF($E$269=0,0,IF(SUM($G98:CZ98)=$B98,0,IF(SUM($G269:CZ269)&gt;=$E269,($B98/$E269)*($E269-SUM($G269:CY269)),($B98/$E269)*CZ269)))</f>
        <v>0</v>
      </c>
      <c r="DB98" s="395">
        <f ca="1">IF($E$269=0,0,IF(SUM($G98:DA98)=$B98,0,IF(SUM($G269:DA269)&gt;=$E269,($B98/$E269)*($E269-SUM($G269:CZ269)),($B98/$E269)*DA269)))</f>
        <v>0</v>
      </c>
      <c r="DC98" s="395">
        <f ca="1">IF($E$269=0,0,IF(SUM($G98:DB98)=$B98,0,IF(SUM($G269:DB269)&gt;=$E269,($B98/$E269)*($E269-SUM($G269:DA269)),($B98/$E269)*DB269)))</f>
        <v>0</v>
      </c>
      <c r="DD98" s="395">
        <f ca="1">IF($E$269=0,0,IF(SUM($G98:DC98)=$B98,0,IF(SUM($G269:DC269)&gt;=$E269,($B98/$E269)*($E269-SUM($G269:DB269)),($B98/$E269)*DC269)))</f>
        <v>0</v>
      </c>
      <c r="DE98" s="395">
        <f ca="1">IF($E$269=0,0,IF(SUM($G98:DD98)=$B98,0,IF(SUM($G269:DD269)&gt;=$E269,($B98/$E269)*($E269-SUM($G269:DC269)),($B98/$E269)*DD269)))</f>
        <v>0</v>
      </c>
      <c r="DF98" s="395">
        <f ca="1">IF($E$269=0,0,IF(SUM($G98:DE98)=$B98,0,IF(SUM($G269:DE269)&gt;=$E269,($B98/$E269)*($E269-SUM($G269:DD269)),($B98/$E269)*DE269)))</f>
        <v>0</v>
      </c>
      <c r="DG98" s="395">
        <f ca="1">IF($E$269=0,0,IF(SUM($G98:DF98)=$B98,0,IF(SUM($G269:DF269)&gt;=$E269,($B98/$E269)*($E269-SUM($G269:DE269)),($B98/$E269)*DF269)))</f>
        <v>0</v>
      </c>
      <c r="DH98" s="395">
        <f ca="1">IF($E$269=0,0,IF(SUM($G98:DG98)=$B98,0,IF(SUM($G269:DG269)&gt;=$E269,($B98/$E269)*($E269-SUM($G269:DF269)),($B98/$E269)*DG269)))</f>
        <v>0</v>
      </c>
      <c r="DI98" s="395">
        <f ca="1">IF($E$269=0,0,IF(SUM($G98:DH98)=$B98,0,IF(SUM($G269:DH269)&gt;=$E269,($B98/$E269)*($E269-SUM($G269:DG269)),($B98/$E269)*DH269)))</f>
        <v>0</v>
      </c>
      <c r="DJ98" s="395">
        <f ca="1">IF($E$269=0,0,IF(SUM($G98:DI98)=$B98,0,IF(SUM($G269:DI269)&gt;=$E269,($B98/$E269)*($E269-SUM($G269:DH269)),($B98/$E269)*DI269)))</f>
        <v>0</v>
      </c>
      <c r="DK98" s="395">
        <f ca="1">IF($E$269=0,0,IF(SUM($G98:DJ98)=$B98,0,IF(SUM($G269:DJ269)&gt;=$E269,($B98/$E269)*($E269-SUM($G269:DI269)),($B98/$E269)*DJ269)))</f>
        <v>0</v>
      </c>
      <c r="DL98" s="395">
        <f ca="1">IF($E$269=0,0,IF(SUM($G98:DK98)=$B98,0,IF(SUM($G269:DK269)&gt;=$E269,($B98/$E269)*($E269-SUM($G269:DJ269)),($B98/$E269)*DK269)))</f>
        <v>0</v>
      </c>
      <c r="DM98" s="395">
        <f ca="1">IF($E$269=0,0,IF(SUM($G98:DL98)=$B98,0,IF(SUM($G269:DL269)&gt;=$E269,($B98/$E269)*($E269-SUM($G269:DK269)),($B98/$E269)*DL269)))</f>
        <v>0</v>
      </c>
      <c r="DN98" s="395">
        <f ca="1">IF($E$269=0,0,IF(SUM($G98:DM98)=$B98,0,IF(SUM($G269:DM269)&gt;=$E269,($B98/$E269)*($E269-SUM($G269:DL269)),($B98/$E269)*DM269)))</f>
        <v>0</v>
      </c>
      <c r="DO98" s="395">
        <f ca="1">IF($E$269=0,0,IF(SUM($G98:DN98)=$B98,0,IF(SUM($G269:DN269)&gt;=$E269,($B98/$E269)*($E269-SUM($G269:DM269)),($B98/$E269)*DN269)))</f>
        <v>0</v>
      </c>
      <c r="DP98" s="395">
        <f ca="1">IF($E$269=0,0,IF(SUM($G98:DO98)=$B98,0,IF(SUM($G269:DO269)&gt;=$E269,($B98/$E269)*($E269-SUM($G269:DN269)),($B98/$E269)*DO269)))</f>
        <v>0</v>
      </c>
      <c r="DQ98" s="395">
        <f ca="1">IF($E$269=0,0,IF(SUM($G98:DP98)=$B98,0,IF(SUM($G269:DP269)&gt;=$E269,($B98/$E269)*($E269-SUM($G269:DO269)),($B98/$E269)*DP269)))</f>
        <v>0</v>
      </c>
      <c r="DR98" s="395">
        <f ca="1">IF($E$269=0,0,IF(SUM($G98:DQ98)=$B98,0,IF(SUM($G269:DQ269)&gt;=$E269,($B98/$E269)*($E269-SUM($G269:DP269)),($B98/$E269)*DQ269)))</f>
        <v>0</v>
      </c>
      <c r="DS98" s="395">
        <f ca="1">IF($E$269=0,0,IF(SUM($G98:DR98)=$B98,0,IF(SUM($G269:DR269)&gt;=$E269,($B98/$E269)*($E269-SUM($G269:DQ269)),($B98/$E269)*DR269)))</f>
        <v>0</v>
      </c>
      <c r="DT98" s="395">
        <f ca="1">IF($E$269=0,0,IF(SUM($G98:DS98)=$B98,0,IF(SUM($G269:DS269)&gt;=$E269,($B98/$E269)*($E269-SUM($G269:DR269)),($B98/$E269)*DS269)))</f>
        <v>0</v>
      </c>
      <c r="DU98" s="395">
        <f ca="1">IF($E$269=0,0,IF(SUM($G98:DT98)=$B98,0,IF(SUM($G269:DT269)&gt;=$E269,($B98/$E269)*($E269-SUM($G269:DS269)),($B98/$E269)*DT269)))</f>
        <v>0</v>
      </c>
      <c r="DV98" s="395">
        <f ca="1">IF($E$269=0,0,IF(SUM($G98:DU98)=$B98,0,IF(SUM($G269:DU269)&gt;=$E269,($B98/$E269)*($E269-SUM($G269:DT269)),($B98/$E269)*DU269)))</f>
        <v>0</v>
      </c>
      <c r="DW98" s="395">
        <f ca="1">IF($E$269=0,0,IF(SUM($G98:DV98)=$B98,0,IF(SUM($G269:DV269)&gt;=$E269,($B98/$E269)*($E269-SUM($G269:DU269)),($B98/$E269)*DV269)))</f>
        <v>0</v>
      </c>
      <c r="DX98" s="395">
        <f ca="1">IF($E$269=0,0,IF(SUM($G98:DW98)=$B98,0,IF(SUM($G269:DW269)&gt;=$E269,($B98/$E269)*($E269-SUM($G269:DV269)),($B98/$E269)*DW269)))</f>
        <v>0</v>
      </c>
      <c r="DY98" s="395">
        <f ca="1">IF($E$269=0,0,IF(SUM($G98:DX98)=$B98,0,IF(SUM($G269:DX269)&gt;=$E269,($B98/$E269)*($E269-SUM($G269:DW269)),($B98/$E269)*DX269)))</f>
        <v>0</v>
      </c>
      <c r="DZ98" s="395">
        <f ca="1">IF($E$269=0,0,IF(SUM($G98:DY98)=$B98,0,IF(SUM($G269:DY269)&gt;=$E269,($B98/$E269)*($E269-SUM($G269:DX269)),($B98/$E269)*DY269)))</f>
        <v>0</v>
      </c>
      <c r="EA98" s="395">
        <f ca="1">IF($E$269=0,0,IF(SUM($G98:DZ98)=$B98,0,IF(SUM($G269:DZ269)&gt;=$E269,($B98/$E269)*($E269-SUM($G269:DY269)),($B98/$E269)*DZ269)))</f>
        <v>0</v>
      </c>
      <c r="EB98" s="395">
        <f ca="1">IF($E$269=0,0,IF(SUM($G98:EA98)=$B98,0,IF(SUM($G269:EA269)&gt;=$E269,($B98/$E269)*($E269-SUM($G269:DZ269)),($B98/$E269)*EA269)))</f>
        <v>0</v>
      </c>
      <c r="EC98" s="395">
        <f ca="1">IF($E$269=0,0,IF(SUM($G98:EB98)=$B98,0,IF(SUM($G269:EB269)&gt;=$E269,($B98/$E269)*($E269-SUM($G269:EA269)),($B98/$E269)*EB269)))</f>
        <v>0</v>
      </c>
      <c r="ED98" s="395">
        <f ca="1">IF($E$269=0,0,IF(SUM($G98:EC98)=$B98,0,IF(SUM($G269:EC269)&gt;=$E269,($B98/$E269)*($E269-SUM($G269:EB269)),($B98/$E269)*EC269)))</f>
        <v>0</v>
      </c>
      <c r="EE98" s="395">
        <f ca="1">IF($E$269=0,0,IF(SUM($G98:ED98)=$B98,0,IF(SUM($G269:ED269)&gt;=$E269,($B98/$E269)*($E269-SUM($G269:EC269)),($B98/$E269)*ED269)))</f>
        <v>0</v>
      </c>
      <c r="EF98" s="395">
        <f ca="1">IF($E$269=0,0,IF(SUM($G98:EE98)=$B98,0,IF(SUM($G269:EE269)&gt;=$E269,($B98/$E269)*($E269-SUM($G269:ED269)),($B98/$E269)*EE269)))</f>
        <v>0</v>
      </c>
      <c r="EG98" s="395">
        <f ca="1">IF($E$269=0,0,IF(SUM($G98:EF98)=$B98,0,IF(SUM($G269:EF269)&gt;=$E269,($B98/$E269)*($E269-SUM($G269:EE269)),($B98/$E269)*EF269)))</f>
        <v>0</v>
      </c>
      <c r="EH98" s="395">
        <f ca="1">IF($E$269=0,0,IF(SUM($G98:EG98)=$B98,0,IF(SUM($G269:EG269)&gt;=$E269,($B98/$E269)*($E269-SUM($G269:EF269)),($B98/$E269)*EG269)))</f>
        <v>0</v>
      </c>
      <c r="EI98" s="395">
        <f ca="1">IF($E$269=0,0,IF(SUM($G98:EH98)=$B98,0,IF(SUM($G269:EH269)&gt;=$E269,($B98/$E269)*($E269-SUM($G269:EG269)),($B98/$E269)*EH269)))</f>
        <v>0</v>
      </c>
      <c r="EJ98" s="398"/>
      <c r="EK98" s="313"/>
    </row>
    <row r="99" spans="1:141" hidden="1" outlineLevel="2">
      <c r="A99" s="332"/>
      <c r="B99" s="549">
        <f>длительность!D184</f>
        <v>2.5000000000000001E-2</v>
      </c>
      <c r="C99" s="317"/>
      <c r="D99" s="317" t="s">
        <v>638</v>
      </c>
      <c r="E99" s="318">
        <f t="shared" ca="1" si="319"/>
        <v>0</v>
      </c>
      <c r="F99" s="397">
        <f ca="1">SUM(G99:EJ99)</f>
        <v>2.5000000000000001E-2</v>
      </c>
      <c r="G99" s="395"/>
      <c r="H99" s="395">
        <f ca="1">IF($E$269=0,0,IF(SUM($G99:G99)=$B99,0,IF(SUM(H98:$EJ98)=0%,$B99,0%)))</f>
        <v>0</v>
      </c>
      <c r="I99" s="395">
        <f ca="1">IF($E$269=0,0,IF(SUM($G99:H99)=$B99,0,IF(SUM(I98:$EJ98)=0%,$B99,0%)))</f>
        <v>0</v>
      </c>
      <c r="J99" s="395">
        <f ca="1">IF($E$269=0,0,IF(SUM($G99:I99)=$B99,0,IF(SUM(J98:$EJ98)=0%,$B99,0%)))</f>
        <v>0</v>
      </c>
      <c r="K99" s="395">
        <f ca="1">IF($E$269=0,0,IF(SUM($G99:J99)=$B99,0,IF(SUM(K98:$EJ98)=0%,$B99,0%)))</f>
        <v>0</v>
      </c>
      <c r="L99" s="395">
        <f ca="1">IF($E$269=0,0,IF(SUM($G99:K99)=$B99,0,IF(SUM(L98:$EJ98)=0%,$B99,0%)))</f>
        <v>0</v>
      </c>
      <c r="M99" s="395">
        <f ca="1">IF($E$269=0,0,IF(SUM($G99:L99)=$B99,0,IF(SUM(M98:$EJ98)=0%,$B99,0%)))</f>
        <v>0</v>
      </c>
      <c r="N99" s="395">
        <f ca="1">IF($E$269=0,0,IF(SUM($G99:M99)=$B99,0,IF(SUM(N98:$EJ98)=0%,$B99,0%)))</f>
        <v>0</v>
      </c>
      <c r="O99" s="395">
        <f ca="1">IF($E$269=0,0,IF(SUM($G99:N99)=$B99,0,IF(SUM(O98:$EJ98)=0%,$B99,0%)))</f>
        <v>0</v>
      </c>
      <c r="P99" s="395">
        <f ca="1">IF($E$269=0,0,IF(SUM($G99:O99)=$B99,0,IF(SUM(P98:$EJ98)=0%,$B99,0%)))</f>
        <v>0</v>
      </c>
      <c r="Q99" s="395">
        <f ca="1">IF($E$269=0,0,IF(SUM($G99:P99)=$B99,0,IF(SUM(Q98:$EJ98)=0%,$B99,0%)))</f>
        <v>0</v>
      </c>
      <c r="R99" s="395">
        <f ca="1">IF($E$269=0,0,IF(SUM($G99:Q99)=$B99,0,IF(SUM(R98:$EJ98)=0%,$B99,0%)))</f>
        <v>0</v>
      </c>
      <c r="S99" s="395">
        <f ca="1">IF($E$269=0,0,IF(SUM($G99:R99)=$B99,0,IF(SUM(S98:$EJ98)=0%,$B99,0%)))</f>
        <v>0</v>
      </c>
      <c r="T99" s="395">
        <f ca="1">IF($E$269=0,0,IF(SUM($G99:S99)=$B99,0,IF(SUM(T98:$EJ98)=0%,$B99,0%)))</f>
        <v>0</v>
      </c>
      <c r="U99" s="395">
        <f ca="1">IF($E$269=0,0,IF(SUM($G99:T99)=$B99,0,IF(SUM(U98:$EJ98)=0%,$B99,0%)))</f>
        <v>0</v>
      </c>
      <c r="V99" s="395">
        <f ca="1">IF($E$269=0,0,IF(SUM($G99:U99)=$B99,0,IF(SUM(V98:$EJ98)=0%,$B99,0%)))</f>
        <v>0</v>
      </c>
      <c r="W99" s="395">
        <f ca="1">IF($E$269=0,0,IF(SUM($G99:V99)=$B99,0,IF(SUM(W98:$EJ98)=0%,$B99,0%)))</f>
        <v>0</v>
      </c>
      <c r="X99" s="395">
        <f ca="1">IF($E$269=0,0,IF(SUM($G99:W99)=$B99,0,IF(SUM(X98:$EJ98)=0%,$B99,0%)))</f>
        <v>0</v>
      </c>
      <c r="Y99" s="395">
        <f ca="1">IF($E$269=0,0,IF(SUM($G99:X99)=$B99,0,IF(SUM(Y98:$EJ98)=0%,$B99,0%)))</f>
        <v>0</v>
      </c>
      <c r="Z99" s="395">
        <f ca="1">IF($E$269=0,0,IF(SUM($G99:Y99)=$B99,0,IF(SUM(Z98:$EJ98)=0%,$B99,0%)))</f>
        <v>0</v>
      </c>
      <c r="AA99" s="395">
        <f ca="1">IF($E$269=0,0,IF(SUM($G99:Z99)=$B99,0,IF(SUM(AA98:$EJ98)=0%,$B99,0%)))</f>
        <v>0</v>
      </c>
      <c r="AB99" s="395">
        <f ca="1">IF($E$269=0,0,IF(SUM($G99:AA99)=$B99,0,IF(SUM(AB98:$EJ98)=0%,$B99,0%)))</f>
        <v>0</v>
      </c>
      <c r="AC99" s="395">
        <f ca="1">IF($E$269=0,0,IF(SUM($G99:AB99)=$B99,0,IF(SUM(AC98:$EJ98)=0%,$B99,0%)))</f>
        <v>0</v>
      </c>
      <c r="AD99" s="395">
        <f ca="1">IF($E$269=0,0,IF(SUM($G99:AC99)=$B99,0,IF(SUM(AD98:$EJ98)=0%,$B99,0%)))</f>
        <v>0</v>
      </c>
      <c r="AE99" s="395">
        <f ca="1">IF($E$269=0,0,IF(SUM($G99:AD99)=$B99,0,IF(SUM(AE98:$EJ98)=0%,$B99,0%)))</f>
        <v>0</v>
      </c>
      <c r="AF99" s="395">
        <f ca="1">IF($E$269=0,0,IF(SUM($G99:AE99)=$B99,0,IF(SUM(AF98:$EJ98)=0%,$B99,0%)))</f>
        <v>0</v>
      </c>
      <c r="AG99" s="395">
        <f ca="1">IF($E$269=0,0,IF(SUM($G99:AF99)=$B99,0,IF(SUM(AG98:$EJ98)=0%,$B99,0%)))</f>
        <v>0</v>
      </c>
      <c r="AH99" s="395">
        <f ca="1">IF($E$269=0,0,IF(SUM($G99:AG99)=$B99,0,IF(SUM(AH98:$EJ98)=0%,$B99,0%)))</f>
        <v>0</v>
      </c>
      <c r="AI99" s="395">
        <f ca="1">IF($E$269=0,0,IF(SUM($G99:AH99)=$B99,0,IF(SUM(AI98:$EJ98)=0%,$B99,0%)))</f>
        <v>0</v>
      </c>
      <c r="AJ99" s="395">
        <f ca="1">IF($E$269=0,0,IF(SUM($G99:AI99)=$B99,0,IF(SUM(AJ98:$EJ98)=0%,$B99,0%)))</f>
        <v>0</v>
      </c>
      <c r="AK99" s="395">
        <f ca="1">IF($E$269=0,0,IF(SUM($G99:AJ99)=$B99,0,IF(SUM(AK98:$EJ98)=0%,$B99,0%)))</f>
        <v>0</v>
      </c>
      <c r="AL99" s="395">
        <f ca="1">IF($E$269=0,0,IF(SUM($G99:AK99)=$B99,0,IF(SUM(AL98:$EJ98)=0%,$B99,0%)))</f>
        <v>0</v>
      </c>
      <c r="AM99" s="395">
        <f ca="1">IF($E$269=0,0,IF(SUM($G99:AL99)=$B99,0,IF(SUM(AM98:$EJ98)=0%,$B99,0%)))</f>
        <v>0</v>
      </c>
      <c r="AN99" s="395">
        <f ca="1">IF($E$269=0,0,IF(SUM($G99:AM99)=$B99,0,IF(SUM(AN98:$EJ98)=0%,$B99,0%)))</f>
        <v>0</v>
      </c>
      <c r="AO99" s="395">
        <f ca="1">IF($E$269=0,0,IF(SUM($G99:AN99)=$B99,0,IF(SUM(AO98:$EJ98)=0%,$B99,0%)))</f>
        <v>0</v>
      </c>
      <c r="AP99" s="395">
        <f ca="1">IF($E$269=0,0,IF(SUM($G99:AO99)=$B99,0,IF(SUM(AP98:$EJ98)=0%,$B99,0%)))</f>
        <v>0</v>
      </c>
      <c r="AQ99" s="395">
        <f ca="1">IF($E$269=0,0,IF(SUM($G99:AP99)=$B99,0,IF(SUM(AQ98:$EJ98)=0%,$B99,0%)))</f>
        <v>0</v>
      </c>
      <c r="AR99" s="395">
        <f ca="1">IF($E$269=0,0,IF(SUM($G99:AQ99)=$B99,0,IF(SUM(AR98:$EJ98)=0%,$B99,0%)))</f>
        <v>0</v>
      </c>
      <c r="AS99" s="395">
        <f ca="1">IF($E$269=0,0,IF(SUM($G99:AR99)=$B99,0,IF(SUM(AS98:$EJ98)=0%,$B99,0%)))</f>
        <v>0</v>
      </c>
      <c r="AT99" s="395">
        <f ca="1">IF($E$269=0,0,IF(SUM($G99:AS99)=$B99,0,IF(SUM(AT98:$EJ98)=0%,$B99,0%)))</f>
        <v>0</v>
      </c>
      <c r="AU99" s="395">
        <f ca="1">IF($E$269=0,0,IF(SUM($G99:AT99)=$B99,0,IF(SUM(AU98:$EJ98)=0%,$B99,0%)))</f>
        <v>0</v>
      </c>
      <c r="AV99" s="395">
        <f ca="1">IF($E$269=0,0,IF(SUM($G99:AU99)=$B99,0,IF(SUM(AV98:$EJ98)=0%,$B99,0%)))</f>
        <v>0</v>
      </c>
      <c r="AW99" s="395">
        <f ca="1">IF($E$269=0,0,IF(SUM($G99:AV99)=$B99,0,IF(SUM(AW98:$EJ98)=0%,$B99,0%)))</f>
        <v>0</v>
      </c>
      <c r="AX99" s="395">
        <f ca="1">IF($E$269=0,0,IF(SUM($G99:AW99)=$B99,0,IF(SUM(AX98:$EJ98)=0%,$B99,0%)))</f>
        <v>0</v>
      </c>
      <c r="AY99" s="395">
        <f ca="1">IF($E$269=0,0,IF(SUM($G99:AX99)=$B99,0,IF(SUM(AY98:$EJ98)=0%,$B99,0%)))</f>
        <v>0</v>
      </c>
      <c r="AZ99" s="395">
        <f ca="1">IF($E$269=0,0,IF(SUM($G99:AY99)=$B99,0,IF(SUM(AZ98:$EJ98)=0%,$B99,0%)))</f>
        <v>0</v>
      </c>
      <c r="BA99" s="395">
        <f ca="1">IF($E$269=0,0,IF(SUM($G99:AZ99)=$B99,0,IF(SUM(BA98:$EJ98)=0%,$B99,0%)))</f>
        <v>0</v>
      </c>
      <c r="BB99" s="395">
        <f ca="1">IF($E$269=0,0,IF(SUM($G99:BA99)=$B99,0,IF(SUM(BB98:$EJ98)=0%,$B99,0%)))</f>
        <v>0</v>
      </c>
      <c r="BC99" s="395">
        <f ca="1">IF($E$269=0,0,IF(SUM($G99:BB99)=$B99,0,IF(SUM(BC98:$EJ98)=0%,$B99,0%)))</f>
        <v>2.5000000000000001E-2</v>
      </c>
      <c r="BD99" s="395">
        <f ca="1">IF($E$269=0,0,IF(SUM($G99:BC99)=$B99,0,IF(SUM(BD98:$EJ98)=0%,$B99,0%)))</f>
        <v>0</v>
      </c>
      <c r="BE99" s="395">
        <f ca="1">IF($E$269=0,0,IF(SUM($G99:BD99)=$B99,0,IF(SUM(BE98:$EJ98)=0%,$B99,0%)))</f>
        <v>0</v>
      </c>
      <c r="BF99" s="395">
        <f ca="1">IF($E$269=0,0,IF(SUM($G99:BE99)=$B99,0,IF(SUM(BF98:$EJ98)=0%,$B99,0%)))</f>
        <v>0</v>
      </c>
      <c r="BG99" s="395">
        <f ca="1">IF($E$269=0,0,IF(SUM($G99:BF99)=$B99,0,IF(SUM(BG98:$EJ98)=0%,$B99,0%)))</f>
        <v>0</v>
      </c>
      <c r="BH99" s="395">
        <f ca="1">IF($E$269=0,0,IF(SUM($G99:BG99)=$B99,0,IF(SUM(BH98:$EJ98)=0%,$B99,0%)))</f>
        <v>0</v>
      </c>
      <c r="BI99" s="395">
        <f ca="1">IF($E$269=0,0,IF(SUM($G99:BH99)=$B99,0,IF(SUM(BI98:$EJ98)=0%,$B99,0%)))</f>
        <v>0</v>
      </c>
      <c r="BJ99" s="395">
        <f ca="1">IF($E$269=0,0,IF(SUM($G99:BI99)=$B99,0,IF(SUM(BJ98:$EJ98)=0%,$B99,0%)))</f>
        <v>0</v>
      </c>
      <c r="BK99" s="395">
        <f ca="1">IF($E$269=0,0,IF(SUM($G99:BJ99)=$B99,0,IF(SUM(BK98:$EJ98)=0%,$B99,0%)))</f>
        <v>0</v>
      </c>
      <c r="BL99" s="395">
        <f ca="1">IF($E$269=0,0,IF(SUM($G99:BK99)=$B99,0,IF(SUM(BL98:$EJ98)=0%,$B99,0%)))</f>
        <v>0</v>
      </c>
      <c r="BM99" s="395">
        <f ca="1">IF($E$269=0,0,IF(SUM($G99:BL99)=$B99,0,IF(SUM(BM98:$EJ98)=0%,$B99,0%)))</f>
        <v>0</v>
      </c>
      <c r="BN99" s="395">
        <f ca="1">IF($E$269=0,0,IF(SUM($G99:BM99)=$B99,0,IF(SUM(BN98:$EJ98)=0%,$B99,0%)))</f>
        <v>0</v>
      </c>
      <c r="BO99" s="395">
        <f ca="1">IF($E$269=0,0,IF(SUM($G99:BN99)=$B99,0,IF(SUM(BO98:$EJ98)=0%,$B99,0%)))</f>
        <v>0</v>
      </c>
      <c r="BP99" s="395">
        <f ca="1">IF($E$269=0,0,IF(SUM($G99:BO99)=$B99,0,IF(SUM(BP98:$EJ98)=0%,$B99,0%)))</f>
        <v>0</v>
      </c>
      <c r="BQ99" s="395">
        <f ca="1">IF($E$269=0,0,IF(SUM($G99:BP99)=$B99,0,IF(SUM(BQ98:$EJ98)=0%,$B99,0%)))</f>
        <v>0</v>
      </c>
      <c r="BR99" s="395">
        <f ca="1">IF($E$269=0,0,IF(SUM($G99:BQ99)=$B99,0,IF(SUM(BR98:$EJ98)=0%,$B99,0%)))</f>
        <v>0</v>
      </c>
      <c r="BS99" s="395">
        <f ca="1">IF($E$269=0,0,IF(SUM($G99:BR99)=$B99,0,IF(SUM(BS98:$EJ98)=0%,$B99,0%)))</f>
        <v>0</v>
      </c>
      <c r="BT99" s="395">
        <f ca="1">IF($E$269=0,0,IF(SUM($G99:BS99)=$B99,0,IF(SUM(BT98:$EJ98)=0%,$B99,0%)))</f>
        <v>0</v>
      </c>
      <c r="BU99" s="395">
        <f ca="1">IF($E$269=0,0,IF(SUM($G99:BT99)=$B99,0,IF(SUM(BU98:$EJ98)=0%,$B99,0%)))</f>
        <v>0</v>
      </c>
      <c r="BV99" s="395">
        <f ca="1">IF($E$269=0,0,IF(SUM($G99:BU99)=$B99,0,IF(SUM(BV98:$EJ98)=0%,$B99,0%)))</f>
        <v>0</v>
      </c>
      <c r="BW99" s="395">
        <f ca="1">IF($E$269=0,0,IF(SUM($G99:BV99)=$B99,0,IF(SUM(BW98:$EJ98)=0%,$B99,0%)))</f>
        <v>0</v>
      </c>
      <c r="BX99" s="395">
        <f ca="1">IF($E$269=0,0,IF(SUM($G99:BW99)=$B99,0,IF(SUM(BX98:$EJ98)=0%,$B99,0%)))</f>
        <v>0</v>
      </c>
      <c r="BY99" s="395">
        <f ca="1">IF($E$269=0,0,IF(SUM($G99:BX99)=$B99,0,IF(SUM(BY98:$EJ98)=0%,$B99,0%)))</f>
        <v>0</v>
      </c>
      <c r="BZ99" s="395">
        <f ca="1">IF($E$269=0,0,IF(SUM($G99:BY99)=$B99,0,IF(SUM(BZ98:$EJ98)=0%,$B99,0%)))</f>
        <v>0</v>
      </c>
      <c r="CA99" s="395">
        <f ca="1">IF($E$269=0,0,IF(SUM($G99:BZ99)=$B99,0,IF(SUM(CA98:$EJ98)=0%,$B99,0%)))</f>
        <v>0</v>
      </c>
      <c r="CB99" s="395">
        <f ca="1">IF($E$269=0,0,IF(SUM($G99:CA99)=$B99,0,IF(SUM(CB98:$EJ98)=0%,$B99,0%)))</f>
        <v>0</v>
      </c>
      <c r="CC99" s="395">
        <f ca="1">IF($E$269=0,0,IF(SUM($G99:CB99)=$B99,0,IF(SUM(CC98:$EJ98)=0%,$B99,0%)))</f>
        <v>0</v>
      </c>
      <c r="CD99" s="395">
        <f ca="1">IF($E$269=0,0,IF(SUM($G99:CC99)=$B99,0,IF(SUM(CD98:$EJ98)=0%,$B99,0%)))</f>
        <v>0</v>
      </c>
      <c r="CE99" s="395">
        <f ca="1">IF($E$269=0,0,IF(SUM($G99:CD99)=$B99,0,IF(SUM(CE98:$EJ98)=0%,$B99,0%)))</f>
        <v>0</v>
      </c>
      <c r="CF99" s="395">
        <f ca="1">IF($E$269=0,0,IF(SUM($G99:CE99)=$B99,0,IF(SUM(CF98:$EJ98)=0%,$B99,0%)))</f>
        <v>0</v>
      </c>
      <c r="CG99" s="395">
        <f ca="1">IF($E$269=0,0,IF(SUM($G99:CF99)=$B99,0,IF(SUM(CG98:$EJ98)=0%,$B99,0%)))</f>
        <v>0</v>
      </c>
      <c r="CH99" s="395">
        <f ca="1">IF($E$269=0,0,IF(SUM($G99:CG99)=$B99,0,IF(SUM(CH98:$EJ98)=0%,$B99,0%)))</f>
        <v>0</v>
      </c>
      <c r="CI99" s="395">
        <f ca="1">IF($E$269=0,0,IF(SUM($G99:CH99)=$B99,0,IF(SUM(CI98:$EJ98)=0%,$B99,0%)))</f>
        <v>0</v>
      </c>
      <c r="CJ99" s="395">
        <f ca="1">IF($E$269=0,0,IF(SUM($G99:CI99)=$B99,0,IF(SUM(CJ98:$EJ98)=0%,$B99,0%)))</f>
        <v>0</v>
      </c>
      <c r="CK99" s="395">
        <f ca="1">IF($E$269=0,0,IF(SUM($G99:CJ99)=$B99,0,IF(SUM(CK98:$EJ98)=0%,$B99,0%)))</f>
        <v>0</v>
      </c>
      <c r="CL99" s="395">
        <f ca="1">IF($E$269=0,0,IF(SUM($G99:CK99)=$B99,0,IF(SUM(CL98:$EJ98)=0%,$B99,0%)))</f>
        <v>0</v>
      </c>
      <c r="CM99" s="395">
        <f ca="1">IF($E$269=0,0,IF(SUM($G99:CL99)=$B99,0,IF(SUM(CM98:$EJ98)=0%,$B99,0%)))</f>
        <v>0</v>
      </c>
      <c r="CN99" s="395">
        <f ca="1">IF($E$269=0,0,IF(SUM($G99:CM99)=$B99,0,IF(SUM(CN98:$EJ98)=0%,$B99,0%)))</f>
        <v>0</v>
      </c>
      <c r="CO99" s="395">
        <f ca="1">IF($E$269=0,0,IF(SUM($G99:CN99)=$B99,0,IF(SUM(CO98:$EJ98)=0%,$B99,0%)))</f>
        <v>0</v>
      </c>
      <c r="CP99" s="395">
        <f ca="1">IF($E$269=0,0,IF(SUM($G99:CO99)=$B99,0,IF(SUM(CP98:$EJ98)=0%,$B99,0%)))</f>
        <v>0</v>
      </c>
      <c r="CQ99" s="395">
        <f ca="1">IF($E$269=0,0,IF(SUM($G99:CP99)=$B99,0,IF(SUM(CQ98:$EJ98)=0%,$B99,0%)))</f>
        <v>0</v>
      </c>
      <c r="CR99" s="395">
        <f ca="1">IF($E$269=0,0,IF(SUM($G99:CQ99)=$B99,0,IF(SUM(CR98:$EJ98)=0%,$B99,0%)))</f>
        <v>0</v>
      </c>
      <c r="CS99" s="395">
        <f ca="1">IF($E$269=0,0,IF(SUM($G99:CR99)=$B99,0,IF(SUM(CS98:$EJ98)=0%,$B99,0%)))</f>
        <v>0</v>
      </c>
      <c r="CT99" s="395">
        <f ca="1">IF($E$269=0,0,IF(SUM($G99:CS99)=$B99,0,IF(SUM(CT98:$EJ98)=0%,$B99,0%)))</f>
        <v>0</v>
      </c>
      <c r="CU99" s="395">
        <f ca="1">IF($E$269=0,0,IF(SUM($G99:CT99)=$B99,0,IF(SUM(CU98:$EJ98)=0%,$B99,0%)))</f>
        <v>0</v>
      </c>
      <c r="CV99" s="395">
        <f ca="1">IF($E$269=0,0,IF(SUM($G99:CU99)=$B99,0,IF(SUM(CV98:$EJ98)=0%,$B99,0%)))</f>
        <v>0</v>
      </c>
      <c r="CW99" s="395">
        <f ca="1">IF($E$269=0,0,IF(SUM($G99:CV99)=$B99,0,IF(SUM(CW98:$EJ98)=0%,$B99,0%)))</f>
        <v>0</v>
      </c>
      <c r="CX99" s="395">
        <f ca="1">IF($E$269=0,0,IF(SUM($G99:CW99)=$B99,0,IF(SUM(CX98:$EJ98)=0%,$B99,0%)))</f>
        <v>0</v>
      </c>
      <c r="CY99" s="395">
        <f ca="1">IF($E$269=0,0,IF(SUM($G99:CX99)=$B99,0,IF(SUM(CY98:$EJ98)=0%,$B99,0%)))</f>
        <v>0</v>
      </c>
      <c r="CZ99" s="395">
        <f ca="1">IF($E$269=0,0,IF(SUM($G99:CY99)=$B99,0,IF(SUM(CZ98:$EJ98)=0%,$B99,0%)))</f>
        <v>0</v>
      </c>
      <c r="DA99" s="395">
        <f ca="1">IF($E$269=0,0,IF(SUM($G99:CZ99)=$B99,0,IF(SUM(DA98:$EJ98)=0%,$B99,0%)))</f>
        <v>0</v>
      </c>
      <c r="DB99" s="395">
        <f ca="1">IF($E$269=0,0,IF(SUM($G99:DA99)=$B99,0,IF(SUM(DB98:$EJ98)=0%,$B99,0%)))</f>
        <v>0</v>
      </c>
      <c r="DC99" s="395">
        <f ca="1">IF($E$269=0,0,IF(SUM($G99:DB99)=$B99,0,IF(SUM(DC98:$EJ98)=0%,$B99,0%)))</f>
        <v>0</v>
      </c>
      <c r="DD99" s="395">
        <f ca="1">IF($E$269=0,0,IF(SUM($G99:DC99)=$B99,0,IF(SUM(DD98:$EJ98)=0%,$B99,0%)))</f>
        <v>0</v>
      </c>
      <c r="DE99" s="395">
        <f ca="1">IF($E$269=0,0,IF(SUM($G99:DD99)=$B99,0,IF(SUM(DE98:$EJ98)=0%,$B99,0%)))</f>
        <v>0</v>
      </c>
      <c r="DF99" s="395">
        <f ca="1">IF($E$269=0,0,IF(SUM($G99:DE99)=$B99,0,IF(SUM(DF98:$EJ98)=0%,$B99,0%)))</f>
        <v>0</v>
      </c>
      <c r="DG99" s="395">
        <f ca="1">IF($E$269=0,0,IF(SUM($G99:DF99)=$B99,0,IF(SUM(DG98:$EJ98)=0%,$B99,0%)))</f>
        <v>0</v>
      </c>
      <c r="DH99" s="395">
        <f ca="1">IF($E$269=0,0,IF(SUM($G99:DG99)=$B99,0,IF(SUM(DH98:$EJ98)=0%,$B99,0%)))</f>
        <v>0</v>
      </c>
      <c r="DI99" s="395">
        <f ca="1">IF($E$269=0,0,IF(SUM($G99:DH99)=$B99,0,IF(SUM(DI98:$EJ98)=0%,$B99,0%)))</f>
        <v>0</v>
      </c>
      <c r="DJ99" s="395">
        <f ca="1">IF($E$269=0,0,IF(SUM($G99:DI99)=$B99,0,IF(SUM(DJ98:$EJ98)=0%,$B99,0%)))</f>
        <v>0</v>
      </c>
      <c r="DK99" s="395">
        <f ca="1">IF($E$269=0,0,IF(SUM($G99:DJ99)=$B99,0,IF(SUM(DK98:$EJ98)=0%,$B99,0%)))</f>
        <v>0</v>
      </c>
      <c r="DL99" s="395">
        <f ca="1">IF($E$269=0,0,IF(SUM($G99:DK99)=$B99,0,IF(SUM(DL98:$EJ98)=0%,$B99,0%)))</f>
        <v>0</v>
      </c>
      <c r="DM99" s="395">
        <f ca="1">IF($E$269=0,0,IF(SUM($G99:DL99)=$B99,0,IF(SUM(DM98:$EJ98)=0%,$B99,0%)))</f>
        <v>0</v>
      </c>
      <c r="DN99" s="395">
        <f ca="1">IF($E$269=0,0,IF(SUM($G99:DM99)=$B99,0,IF(SUM(DN98:$EJ98)=0%,$B99,0%)))</f>
        <v>0</v>
      </c>
      <c r="DO99" s="395">
        <f ca="1">IF($E$269=0,0,IF(SUM($G99:DN99)=$B99,0,IF(SUM(DO98:$EJ98)=0%,$B99,0%)))</f>
        <v>0</v>
      </c>
      <c r="DP99" s="395">
        <f ca="1">IF($E$269=0,0,IF(SUM($G99:DO99)=$B99,0,IF(SUM(DP98:$EJ98)=0%,$B99,0%)))</f>
        <v>0</v>
      </c>
      <c r="DQ99" s="395">
        <f ca="1">IF($E$269=0,0,IF(SUM($G99:DP99)=$B99,0,IF(SUM(DQ98:$EJ98)=0%,$B99,0%)))</f>
        <v>0</v>
      </c>
      <c r="DR99" s="395">
        <f ca="1">IF($E$269=0,0,IF(SUM($G99:DQ99)=$B99,0,IF(SUM(DR98:$EJ98)=0%,$B99,0%)))</f>
        <v>0</v>
      </c>
      <c r="DS99" s="395">
        <f ca="1">IF($E$269=0,0,IF(SUM($G99:DR99)=$B99,0,IF(SUM(DS98:$EJ98)=0%,$B99,0%)))</f>
        <v>0</v>
      </c>
      <c r="DT99" s="395">
        <f ca="1">IF($E$269=0,0,IF(SUM($G99:DS99)=$B99,0,IF(SUM(DT98:$EJ98)=0%,$B99,0%)))</f>
        <v>0</v>
      </c>
      <c r="DU99" s="395">
        <f ca="1">IF($E$269=0,0,IF(SUM($G99:DT99)=$B99,0,IF(SUM(DU98:$EJ98)=0%,$B99,0%)))</f>
        <v>0</v>
      </c>
      <c r="DV99" s="395">
        <f ca="1">IF($E$269=0,0,IF(SUM($G99:DU99)=$B99,0,IF(SUM(DV98:$EJ98)=0%,$B99,0%)))</f>
        <v>0</v>
      </c>
      <c r="DW99" s="395">
        <f ca="1">IF($E$269=0,0,IF(SUM($G99:DV99)=$B99,0,IF(SUM(DW98:$EJ98)=0%,$B99,0%)))</f>
        <v>0</v>
      </c>
      <c r="DX99" s="395">
        <f ca="1">IF($E$269=0,0,IF(SUM($G99:DW99)=$B99,0,IF(SUM(DX98:$EJ98)=0%,$B99,0%)))</f>
        <v>0</v>
      </c>
      <c r="DY99" s="395">
        <f ca="1">IF($E$269=0,0,IF(SUM($G99:DX99)=$B99,0,IF(SUM(DY98:$EJ98)=0%,$B99,0%)))</f>
        <v>0</v>
      </c>
      <c r="DZ99" s="395">
        <f ca="1">IF($E$269=0,0,IF(SUM($G99:DY99)=$B99,0,IF(SUM(DZ98:$EJ98)=0%,$B99,0%)))</f>
        <v>0</v>
      </c>
      <c r="EA99" s="395">
        <f ca="1">IF($E$269=0,0,IF(SUM($G99:DZ99)=$B99,0,IF(SUM(EA98:$EJ98)=0%,$B99,0%)))</f>
        <v>0</v>
      </c>
      <c r="EB99" s="395">
        <f ca="1">IF($E$269=0,0,IF(SUM($G99:EA99)=$B99,0,IF(SUM(EB98:$EJ98)=0%,$B99,0%)))</f>
        <v>0</v>
      </c>
      <c r="EC99" s="395">
        <f ca="1">IF($E$269=0,0,IF(SUM($G99:EB99)=$B99,0,IF(SUM(EC98:$EJ98)=0%,$B99,0%)))</f>
        <v>0</v>
      </c>
      <c r="ED99" s="395">
        <f ca="1">IF($E$269=0,0,IF(SUM($G99:EC99)=$B99,0,IF(SUM(ED98:$EJ98)=0%,$B99,0%)))</f>
        <v>0</v>
      </c>
      <c r="EE99" s="395">
        <f ca="1">IF($E$269=0,0,IF(SUM($G99:ED99)=$B99,0,IF(SUM(EE98:$EJ98)=0%,$B99,0%)))</f>
        <v>0</v>
      </c>
      <c r="EF99" s="395">
        <f ca="1">IF($E$269=0,0,IF(SUM($G99:EE99)=$B99,0,IF(SUM(EF98:$EJ98)=0%,$B99,0%)))</f>
        <v>0</v>
      </c>
      <c r="EG99" s="395">
        <f ca="1">IF($E$269=0,0,IF(SUM($G99:EF99)=$B99,0,IF(SUM(EG98:$EJ98)=0%,$B99,0%)))</f>
        <v>0</v>
      </c>
      <c r="EH99" s="395">
        <f ca="1">IF($E$269=0,0,IF(SUM($G99:EG99)=$B99,0,IF(SUM(EH98:$EJ98)=0%,$B99,0%)))</f>
        <v>0</v>
      </c>
      <c r="EI99" s="395">
        <f ca="1">IF($E$269=0,0,IF(SUM($G99:EH99)=$B99,0,IF(SUM(EI98:$EJ98)=0%,$B99,0%)))</f>
        <v>0</v>
      </c>
      <c r="EJ99" s="398"/>
      <c r="EK99" s="313"/>
    </row>
    <row r="100" spans="1:141" hidden="1" outlineLevel="2">
      <c r="A100" s="332"/>
      <c r="B100" s="549">
        <f>длительность!F184</f>
        <v>2.5000000000000001E-2</v>
      </c>
      <c r="C100" s="317"/>
      <c r="D100" s="317" t="s">
        <v>640</v>
      </c>
      <c r="E100" s="318">
        <f t="shared" ca="1" si="319"/>
        <v>0</v>
      </c>
      <c r="F100" s="397">
        <f ca="1">SUM(G100:EJ100)</f>
        <v>2.5000000000000001E-2</v>
      </c>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f ca="1">IF($E$269=0,0,IF(SUM($G100:AC100)=$B100,0,IF(SUM($G99:G99)=$B99,$B100,0%)))</f>
        <v>0</v>
      </c>
      <c r="AE100" s="395">
        <f ca="1">IF($E$269=0,0,IF(SUM($G100:AD100)=$B100,0,IF(SUM($G99:H99)=$B99,$B100,0%)))</f>
        <v>0</v>
      </c>
      <c r="AF100" s="395">
        <f ca="1">IF($E$269=0,0,IF(SUM($G100:AE100)=$B100,0,IF(SUM($G99:I99)=$B99,$B100,0%)))</f>
        <v>0</v>
      </c>
      <c r="AG100" s="395">
        <f ca="1">IF($E$269=0,0,IF(SUM($G100:AF100)=$B100,0,IF(SUM($G99:J99)=$B99,$B100,0%)))</f>
        <v>0</v>
      </c>
      <c r="AH100" s="395">
        <f ca="1">IF($E$269=0,0,IF(SUM($G100:AG100)=$B100,0,IF(SUM($G99:K99)=$B99,$B100,0%)))</f>
        <v>0</v>
      </c>
      <c r="AI100" s="395">
        <f ca="1">IF($E$269=0,0,IF(SUM($G100:AH100)=$B100,0,IF(SUM($G99:L99)=$B99,$B100,0%)))</f>
        <v>0</v>
      </c>
      <c r="AJ100" s="395">
        <f ca="1">IF($E$269=0,0,IF(SUM($G100:AI100)=$B100,0,IF(SUM($G99:M99)=$B99,$B100,0%)))</f>
        <v>0</v>
      </c>
      <c r="AK100" s="395">
        <f ca="1">IF($E$269=0,0,IF(SUM($G100:AJ100)=$B100,0,IF(SUM($G99:N99)=$B99,$B100,0%)))</f>
        <v>0</v>
      </c>
      <c r="AL100" s="395">
        <f ca="1">IF($E$269=0,0,IF(SUM($G100:AK100)=$B100,0,IF(SUM($G99:O99)=$B99,$B100,0%)))</f>
        <v>0</v>
      </c>
      <c r="AM100" s="395">
        <f ca="1">IF($E$269=0,0,IF(SUM($G100:AL100)=$B100,0,IF(SUM($G99:P99)=$B99,$B100,0%)))</f>
        <v>0</v>
      </c>
      <c r="AN100" s="395">
        <f ca="1">IF($E$269=0,0,IF(SUM($G100:AM100)=$B100,0,IF(SUM($G99:Q99)=$B99,$B100,0%)))</f>
        <v>0</v>
      </c>
      <c r="AO100" s="395">
        <f ca="1">IF($E$269=0,0,IF(SUM($G100:AN100)=$B100,0,IF(SUM($G99:R99)=$B99,$B100,0%)))</f>
        <v>0</v>
      </c>
      <c r="AP100" s="395">
        <f ca="1">IF($E$269=0,0,IF(SUM($G100:AO100)=$B100,0,IF(SUM($G99:S99)=$B99,$B100,0%)))</f>
        <v>0</v>
      </c>
      <c r="AQ100" s="395">
        <f ca="1">IF($E$269=0,0,IF(SUM($G100:AP100)=$B100,0,IF(SUM($G99:T99)=$B99,$B100,0%)))</f>
        <v>0</v>
      </c>
      <c r="AR100" s="395">
        <f ca="1">IF($E$269=0,0,IF(SUM($G100:AQ100)=$B100,0,IF(SUM($G99:U99)=$B99,$B100,0%)))</f>
        <v>0</v>
      </c>
      <c r="AS100" s="395">
        <f ca="1">IF($E$269=0,0,IF(SUM($G100:AR100)=$B100,0,IF(SUM($G99:V99)=$B99,$B100,0%)))</f>
        <v>0</v>
      </c>
      <c r="AT100" s="395">
        <f ca="1">IF($E$269=0,0,IF(SUM($G100:AS100)=$B100,0,IF(SUM($G99:W99)=$B99,$B100,0%)))</f>
        <v>0</v>
      </c>
      <c r="AU100" s="395">
        <f ca="1">IF($E$269=0,0,IF(SUM($G100:AT100)=$B100,0,IF(SUM($G99:X99)=$B99,$B100,0%)))</f>
        <v>0</v>
      </c>
      <c r="AV100" s="395">
        <f ca="1">IF($E$269=0,0,IF(SUM($G100:AU100)=$B100,0,IF(SUM($G99:Y99)=$B99,$B100,0%)))</f>
        <v>0</v>
      </c>
      <c r="AW100" s="395">
        <f ca="1">IF($E$269=0,0,IF(SUM($G100:AV100)=$B100,0,IF(SUM($G99:Z99)=$B99,$B100,0%)))</f>
        <v>0</v>
      </c>
      <c r="AX100" s="395">
        <f ca="1">IF($E$269=0,0,IF(SUM($G100:AW100)=$B100,0,IF(SUM($G99:AA99)=$B99,$B100,0%)))</f>
        <v>0</v>
      </c>
      <c r="AY100" s="395">
        <f ca="1">IF($E$269=0,0,IF(SUM($G100:AX100)=$B100,0,IF(SUM($G99:AB99)=$B99,$B100,0%)))</f>
        <v>0</v>
      </c>
      <c r="AZ100" s="395">
        <f ca="1">IF($E$269=0,0,IF(SUM($G100:AY100)=$B100,0,IF(SUM($G99:AC99)=$B99,$B100,0%)))</f>
        <v>0</v>
      </c>
      <c r="BA100" s="395">
        <f ca="1">IF($E$269=0,0,IF(SUM($G100:AZ100)=$B100,0,IF(SUM($G99:AD99)=$B99,$B100,0%)))</f>
        <v>0</v>
      </c>
      <c r="BB100" s="395">
        <f ca="1">IF($E$269=0,0,IF(SUM($G100:BA100)=$B100,0,IF(SUM($G99:AE99)=$B99,$B100,0%)))</f>
        <v>0</v>
      </c>
      <c r="BC100" s="395">
        <f ca="1">IF($E$269=0,0,IF(SUM($G100:BB100)=$B100,0,IF(SUM($G99:AF99)=$B99,$B100,0%)))</f>
        <v>0</v>
      </c>
      <c r="BD100" s="395">
        <f ca="1">IF($E$269=0,0,IF(SUM($G100:BC100)=$B100,0,IF(SUM($G99:AG99)=$B99,$B100,0%)))</f>
        <v>0</v>
      </c>
      <c r="BE100" s="395">
        <f ca="1">IF($E$269=0,0,IF(SUM($G100:BD100)=$B100,0,IF(SUM($G99:AH99)=$B99,$B100,0%)))</f>
        <v>0</v>
      </c>
      <c r="BF100" s="395">
        <f ca="1">IF($E$269=0,0,IF(SUM($G100:BE100)=$B100,0,IF(SUM($G99:AI99)=$B99,$B100,0%)))</f>
        <v>0</v>
      </c>
      <c r="BG100" s="395">
        <f ca="1">IF($E$269=0,0,IF(SUM($G100:BF100)=$B100,0,IF(SUM($G99:AJ99)=$B99,$B100,0%)))</f>
        <v>0</v>
      </c>
      <c r="BH100" s="395">
        <f ca="1">IF($E$269=0,0,IF(SUM($G100:BG100)=$B100,0,IF(SUM($G99:AK99)=$B99,$B100,0%)))</f>
        <v>0</v>
      </c>
      <c r="BI100" s="395">
        <f ca="1">IF($E$269=0,0,IF(SUM($G100:BH100)=$B100,0,IF(SUM($G99:AL99)=$B99,$B100,0%)))</f>
        <v>0</v>
      </c>
      <c r="BJ100" s="395">
        <f ca="1">IF($E$269=0,0,IF(SUM($G100:BI100)=$B100,0,IF(SUM($G99:AM99)=$B99,$B100,0%)))</f>
        <v>0</v>
      </c>
      <c r="BK100" s="395">
        <f ca="1">IF($E$269=0,0,IF(SUM($G100:BJ100)=$B100,0,IF(SUM($G99:AN99)=$B99,$B100,0%)))</f>
        <v>0</v>
      </c>
      <c r="BL100" s="395">
        <f ca="1">IF($E$269=0,0,IF(SUM($G100:BK100)=$B100,0,IF(SUM($G99:AO99)=$B99,$B100,0%)))</f>
        <v>0</v>
      </c>
      <c r="BM100" s="395">
        <f ca="1">IF($E$269=0,0,IF(SUM($G100:BL100)=$B100,0,IF(SUM($G99:AP99)=$B99,$B100,0%)))</f>
        <v>0</v>
      </c>
      <c r="BN100" s="395">
        <f ca="1">IF($E$269=0,0,IF(SUM($G100:BM100)=$B100,0,IF(SUM($G99:AQ99)=$B99,$B100,0%)))</f>
        <v>0</v>
      </c>
      <c r="BO100" s="395">
        <f ca="1">IF($E$269=0,0,IF(SUM($G100:BN100)=$B100,0,IF(SUM($G99:AR99)=$B99,$B100,0%)))</f>
        <v>0</v>
      </c>
      <c r="BP100" s="395">
        <f ca="1">IF($E$269=0,0,IF(SUM($G100:BO100)=$B100,0,IF(SUM($G99:AS99)=$B99,$B100,0%)))</f>
        <v>0</v>
      </c>
      <c r="BQ100" s="395">
        <f ca="1">IF($E$269=0,0,IF(SUM($G100:BP100)=$B100,0,IF(SUM($G99:AT99)=$B99,$B100,0%)))</f>
        <v>0</v>
      </c>
      <c r="BR100" s="395">
        <f ca="1">IF($E$269=0,0,IF(SUM($G100:BQ100)=$B100,0,IF(SUM($G99:AU99)=$B99,$B100,0%)))</f>
        <v>0</v>
      </c>
      <c r="BS100" s="395">
        <f ca="1">IF($E$269=0,0,IF(SUM($G100:BR100)=$B100,0,IF(SUM($G99:AV99)=$B99,$B100,0%)))</f>
        <v>0</v>
      </c>
      <c r="BT100" s="395">
        <f ca="1">IF($E$269=0,0,IF(SUM($G100:BS100)=$B100,0,IF(SUM($G99:AW99)=$B99,$B100,0%)))</f>
        <v>0</v>
      </c>
      <c r="BU100" s="395">
        <f ca="1">IF($E$269=0,0,IF(SUM($G100:BT100)=$B100,0,IF(SUM($G99:AX99)=$B99,$B100,0%)))</f>
        <v>0</v>
      </c>
      <c r="BV100" s="395">
        <f ca="1">IF($E$269=0,0,IF(SUM($G100:BU100)=$B100,0,IF(SUM($G99:AY99)=$B99,$B100,0%)))</f>
        <v>0</v>
      </c>
      <c r="BW100" s="395">
        <f ca="1">IF($E$269=0,0,IF(SUM($G100:BV100)=$B100,0,IF(SUM($G99:AZ99)=$B99,$B100,0%)))</f>
        <v>0</v>
      </c>
      <c r="BX100" s="395">
        <f ca="1">IF($E$269=0,0,IF(SUM($G100:BW100)=$B100,0,IF(SUM($G99:BA99)=$B99,$B100,0%)))</f>
        <v>0</v>
      </c>
      <c r="BY100" s="395">
        <f ca="1">IF($E$269=0,0,IF(SUM($G100:BX100)=$B100,0,IF(SUM($G99:BB99)=$B99,$B100,0%)))</f>
        <v>0</v>
      </c>
      <c r="BZ100" s="395">
        <f ca="1">IF($E$269=0,0,IF(SUM($G100:BY100)=$B100,0,IF(SUM($G99:BC99)=$B99,$B100,0%)))</f>
        <v>2.5000000000000001E-2</v>
      </c>
      <c r="CA100" s="395">
        <f ca="1">IF($E$269=0,0,IF(SUM($G100:BZ100)=$B100,0,IF(SUM($G99:BD99)=$B99,$B100,0%)))</f>
        <v>0</v>
      </c>
      <c r="CB100" s="395">
        <f ca="1">IF($E$269=0,0,IF(SUM($G100:CA100)=$B100,0,IF(SUM($G99:BE99)=$B99,$B100,0%)))</f>
        <v>0</v>
      </c>
      <c r="CC100" s="395">
        <f ca="1">IF($E$269=0,0,IF(SUM($G100:CB100)=$B100,0,IF(SUM($G99:BF99)=$B99,$B100,0%)))</f>
        <v>0</v>
      </c>
      <c r="CD100" s="395">
        <f ca="1">IF($E$269=0,0,IF(SUM($G100:CC100)=$B100,0,IF(SUM($G99:BG99)=$B99,$B100,0%)))</f>
        <v>0</v>
      </c>
      <c r="CE100" s="395">
        <f ca="1">IF($E$269=0,0,IF(SUM($G100:CD100)=$B100,0,IF(SUM($G99:BH99)=$B99,$B100,0%)))</f>
        <v>0</v>
      </c>
      <c r="CF100" s="395">
        <f ca="1">IF($E$269=0,0,IF(SUM($G100:CE100)=$B100,0,IF(SUM($G99:BI99)=$B99,$B100,0%)))</f>
        <v>0</v>
      </c>
      <c r="CG100" s="395">
        <f ca="1">IF($E$269=0,0,IF(SUM($G100:CF100)=$B100,0,IF(SUM($G99:BJ99)=$B99,$B100,0%)))</f>
        <v>0</v>
      </c>
      <c r="CH100" s="395">
        <f ca="1">IF($E$269=0,0,IF(SUM($G100:CG100)=$B100,0,IF(SUM($G99:BK99)=$B99,$B100,0%)))</f>
        <v>0</v>
      </c>
      <c r="CI100" s="395">
        <f ca="1">IF($E$269=0,0,IF(SUM($G100:CH100)=$B100,0,IF(SUM($G99:BL99)=$B99,$B100,0%)))</f>
        <v>0</v>
      </c>
      <c r="CJ100" s="395">
        <f ca="1">IF($E$269=0,0,IF(SUM($G100:CI100)=$B100,0,IF(SUM($G99:BM99)=$B99,$B100,0%)))</f>
        <v>0</v>
      </c>
      <c r="CK100" s="395">
        <f ca="1">IF($E$269=0,0,IF(SUM($G100:CJ100)=$B100,0,IF(SUM($G99:BN99)=$B99,$B100,0%)))</f>
        <v>0</v>
      </c>
      <c r="CL100" s="395">
        <f ca="1">IF($E$269=0,0,IF(SUM($G100:CK100)=$B100,0,IF(SUM($G99:BO99)=$B99,$B100,0%)))</f>
        <v>0</v>
      </c>
      <c r="CM100" s="395">
        <f ca="1">IF($E$269=0,0,IF(SUM($G100:CL100)=$B100,0,IF(SUM($G99:BP99)=$B99,$B100,0%)))</f>
        <v>0</v>
      </c>
      <c r="CN100" s="395">
        <f ca="1">IF($E$269=0,0,IF(SUM($G100:CM100)=$B100,0,IF(SUM($G99:BQ99)=$B99,$B100,0%)))</f>
        <v>0</v>
      </c>
      <c r="CO100" s="395">
        <f ca="1">IF($E$269=0,0,IF(SUM($G100:CN100)=$B100,0,IF(SUM($G99:BR99)=$B99,$B100,0%)))</f>
        <v>0</v>
      </c>
      <c r="CP100" s="395">
        <f ca="1">IF($E$269=0,0,IF(SUM($G100:CO100)=$B100,0,IF(SUM($G99:BS99)=$B99,$B100,0%)))</f>
        <v>0</v>
      </c>
      <c r="CQ100" s="395">
        <f ca="1">IF($E$269=0,0,IF(SUM($G100:CP100)=$B100,0,IF(SUM($G99:BT99)=$B99,$B100,0%)))</f>
        <v>0</v>
      </c>
      <c r="CR100" s="395">
        <f ca="1">IF($E$269=0,0,IF(SUM($G100:CQ100)=$B100,0,IF(SUM($G99:BU99)=$B99,$B100,0%)))</f>
        <v>0</v>
      </c>
      <c r="CS100" s="395">
        <f ca="1">IF($E$269=0,0,IF(SUM($G100:CR100)=$B100,0,IF(SUM($G99:BV99)=$B99,$B100,0%)))</f>
        <v>0</v>
      </c>
      <c r="CT100" s="395">
        <f ca="1">IF($E$269=0,0,IF(SUM($G100:CS100)=$B100,0,IF(SUM($G99:BW99)=$B99,$B100,0%)))</f>
        <v>0</v>
      </c>
      <c r="CU100" s="395">
        <f ca="1">IF($E$269=0,0,IF(SUM($G100:CT100)=$B100,0,IF(SUM($G99:BX99)=$B99,$B100,0%)))</f>
        <v>0</v>
      </c>
      <c r="CV100" s="395">
        <f ca="1">IF($E$269=0,0,IF(SUM($G100:CU100)=$B100,0,IF(SUM($G99:BY99)=$B99,$B100,0%)))</f>
        <v>0</v>
      </c>
      <c r="CW100" s="395">
        <f ca="1">IF($E$269=0,0,IF(SUM($G100:CV100)=$B100,0,IF(SUM($G99:BZ99)=$B99,$B100,0%)))</f>
        <v>0</v>
      </c>
      <c r="CX100" s="395">
        <f ca="1">IF($E$269=0,0,IF(SUM($G100:CW100)=$B100,0,IF(SUM($G99:CA99)=$B99,$B100,0%)))</f>
        <v>0</v>
      </c>
      <c r="CY100" s="395">
        <f ca="1">IF($E$269=0,0,IF(SUM($G100:CX100)=$B100,0,IF(SUM($G99:CB99)=$B99,$B100,0%)))</f>
        <v>0</v>
      </c>
      <c r="CZ100" s="395">
        <f ca="1">IF($E$269=0,0,IF(SUM($G100:CY100)=$B100,0,IF(SUM($G99:CC99)=$B99,$B100,0%)))</f>
        <v>0</v>
      </c>
      <c r="DA100" s="395">
        <f ca="1">IF($E$269=0,0,IF(SUM($G100:CZ100)=$B100,0,IF(SUM($G99:CD99)=$B99,$B100,0%)))</f>
        <v>0</v>
      </c>
      <c r="DB100" s="395">
        <f ca="1">IF($E$269=0,0,IF(SUM($G100:DA100)=$B100,0,IF(SUM($G99:CE99)=$B99,$B100,0%)))</f>
        <v>0</v>
      </c>
      <c r="DC100" s="395">
        <f ca="1">IF($E$269=0,0,IF(SUM($G100:DB100)=$B100,0,IF(SUM($G99:CF99)=$B99,$B100,0%)))</f>
        <v>0</v>
      </c>
      <c r="DD100" s="395">
        <f ca="1">IF($E$269=0,0,IF(SUM($G100:DC100)=$B100,0,IF(SUM($G99:CG99)=$B99,$B100,0%)))</f>
        <v>0</v>
      </c>
      <c r="DE100" s="395">
        <f ca="1">IF($E$269=0,0,IF(SUM($G100:DD100)=$B100,0,IF(SUM($G99:CH99)=$B99,$B100,0%)))</f>
        <v>0</v>
      </c>
      <c r="DF100" s="395">
        <f ca="1">IF($E$269=0,0,IF(SUM($G100:DE100)=$B100,0,IF(SUM($G99:CI99)=$B99,$B100,0%)))</f>
        <v>0</v>
      </c>
      <c r="DG100" s="395">
        <f ca="1">IF($E$269=0,0,IF(SUM($G100:DF100)=$B100,0,IF(SUM($G99:CJ99)=$B99,$B100,0%)))</f>
        <v>0</v>
      </c>
      <c r="DH100" s="395">
        <f ca="1">IF($E$269=0,0,IF(SUM($G100:DG100)=$B100,0,IF(SUM($G99:CK99)=$B99,$B100,0%)))</f>
        <v>0</v>
      </c>
      <c r="DI100" s="395">
        <f ca="1">IF($E$269=0,0,IF(SUM($G100:DH100)=$B100,0,IF(SUM($G99:CL99)=$B99,$B100,0%)))</f>
        <v>0</v>
      </c>
      <c r="DJ100" s="395">
        <f ca="1">IF($E$269=0,0,IF(SUM($G100:DI100)=$B100,0,IF(SUM($G99:CM99)=$B99,$B100,0%)))</f>
        <v>0</v>
      </c>
      <c r="DK100" s="395">
        <f ca="1">IF($E$269=0,0,IF(SUM($G100:DJ100)=$B100,0,IF(SUM($G99:CN99)=$B99,$B100,0%)))</f>
        <v>0</v>
      </c>
      <c r="DL100" s="395">
        <f ca="1">IF($E$269=0,0,IF(SUM($G100:DK100)=$B100,0,IF(SUM($G99:CO99)=$B99,$B100,0%)))</f>
        <v>0</v>
      </c>
      <c r="DM100" s="395">
        <f ca="1">IF($E$269=0,0,IF(SUM($G100:DL100)=$B100,0,IF(SUM($G99:CP99)=$B99,$B100,0%)))</f>
        <v>0</v>
      </c>
      <c r="DN100" s="395">
        <f ca="1">IF($E$269=0,0,IF(SUM($G100:DM100)=$B100,0,IF(SUM($G99:CQ99)=$B99,$B100,0%)))</f>
        <v>0</v>
      </c>
      <c r="DO100" s="395">
        <f ca="1">IF($E$269=0,0,IF(SUM($G100:DN100)=$B100,0,IF(SUM($G99:CR99)=$B99,$B100,0%)))</f>
        <v>0</v>
      </c>
      <c r="DP100" s="395">
        <f ca="1">IF($E$269=0,0,IF(SUM($G100:DO100)=$B100,0,IF(SUM($G99:CS99)=$B99,$B100,0%)))</f>
        <v>0</v>
      </c>
      <c r="DQ100" s="395">
        <f ca="1">IF($E$269=0,0,IF(SUM($G100:DP100)=$B100,0,IF(SUM($G99:CT99)=$B99,$B100,0%)))</f>
        <v>0</v>
      </c>
      <c r="DR100" s="395">
        <f ca="1">IF($E$269=0,0,IF(SUM($G100:DQ100)=$B100,0,IF(SUM($G99:CU99)=$B99,$B100,0%)))</f>
        <v>0</v>
      </c>
      <c r="DS100" s="395">
        <f ca="1">IF($E$269=0,0,IF(SUM($G100:DR100)=$B100,0,IF(SUM($G99:CV99)=$B99,$B100,0%)))</f>
        <v>0</v>
      </c>
      <c r="DT100" s="395">
        <f ca="1">IF($E$269=0,0,IF(SUM($G100:DS100)=$B100,0,IF(SUM($G99:CW99)=$B99,$B100,0%)))</f>
        <v>0</v>
      </c>
      <c r="DU100" s="395">
        <f ca="1">IF($E$269=0,0,IF(SUM($G100:DT100)=$B100,0,IF(SUM($G99:CX99)=$B99,$B100,0%)))</f>
        <v>0</v>
      </c>
      <c r="DV100" s="395">
        <f ca="1">IF($E$269=0,0,IF(SUM($G100:DU100)=$B100,0,IF(SUM($G99:CY99)=$B99,$B100,0%)))</f>
        <v>0</v>
      </c>
      <c r="DW100" s="395">
        <f ca="1">IF($E$269=0,0,IF(SUM($G100:DV100)=$B100,0,IF(SUM($G99:CZ99)=$B99,$B100,0%)))</f>
        <v>0</v>
      </c>
      <c r="DX100" s="395">
        <f ca="1">IF($E$269=0,0,IF(SUM($G100:DW100)=$B100,0,IF(SUM($G99:DA99)=$B99,$B100,0%)))</f>
        <v>0</v>
      </c>
      <c r="DY100" s="395">
        <f ca="1">IF($E$269=0,0,IF(SUM($G100:DX100)=$B100,0,IF(SUM($G99:DB99)=$B99,$B100,0%)))</f>
        <v>0</v>
      </c>
      <c r="DZ100" s="395">
        <f ca="1">IF($E$269=0,0,IF(SUM($G100:DY100)=$B100,0,IF(SUM($G99:DC99)=$B99,$B100,0%)))</f>
        <v>0</v>
      </c>
      <c r="EA100" s="395">
        <f ca="1">IF($E$269=0,0,IF(SUM($G100:DZ100)=$B100,0,IF(SUM($G99:DD99)=$B99,$B100,0%)))</f>
        <v>0</v>
      </c>
      <c r="EB100" s="395">
        <f ca="1">IF($E$269=0,0,IF(SUM($G100:EA100)=$B100,0,IF(SUM($G99:DE99)=$B99,$B100,0%)))</f>
        <v>0</v>
      </c>
      <c r="EC100" s="395">
        <f ca="1">IF($E$269=0,0,IF(SUM($G100:EB100)=$B100,0,IF(SUM($G99:DF99)=$B99,$B100,0%)))</f>
        <v>0</v>
      </c>
      <c r="ED100" s="395">
        <f ca="1">IF($E$269=0,0,IF(SUM($G100:EC100)=$B100,0,IF(SUM($G99:DG99)=$B99,$B100,0%)))</f>
        <v>0</v>
      </c>
      <c r="EE100" s="395">
        <f ca="1">IF($E$269=0,0,IF(SUM($G100:ED100)=$B100,0,IF(SUM($G99:DH99)=$B99,$B100,0%)))</f>
        <v>0</v>
      </c>
      <c r="EF100" s="395">
        <f ca="1">IF($E$269=0,0,IF(SUM($G100:EE100)=$B100,0,IF(SUM($G99:DI99)=$B99,$B100,0%)))</f>
        <v>0</v>
      </c>
      <c r="EG100" s="395">
        <f ca="1">IF($E$269=0,0,IF(SUM($G100:EF100)=$B100,0,IF(SUM($G99:DJ99)=$B99,$B100,0%)))</f>
        <v>0</v>
      </c>
      <c r="EH100" s="395">
        <f ca="1">IF($E$269=0,0,IF(SUM($G100:EG100)=$B100,0,IF(SUM($G99:DK99)=$B99,$B100,0%)))</f>
        <v>0</v>
      </c>
      <c r="EI100" s="395">
        <f ca="1">IF($E$269=0,0,IF(SUM($G100:EH100)=$B100,0,IF(SUM($G99:DL99)=$B99,$B100,0%)))</f>
        <v>0</v>
      </c>
      <c r="EJ100" s="398"/>
      <c r="EK100" s="313"/>
    </row>
    <row r="101" spans="1:141" hidden="1" outlineLevel="1" collapsed="1">
      <c r="A101" s="332"/>
      <c r="B101" s="313"/>
      <c r="C101" s="392" t="s">
        <v>74</v>
      </c>
      <c r="D101" s="392" t="str">
        <f>D274</f>
        <v>Кровля - плоская</v>
      </c>
      <c r="E101" s="393">
        <f ca="1">ROUND(IF(F101=0,0,100%-F101),0)</f>
        <v>0</v>
      </c>
      <c r="F101" s="394">
        <f t="shared" ca="1" si="283"/>
        <v>1</v>
      </c>
      <c r="G101" s="395">
        <f>SUM(G102:G105)</f>
        <v>0</v>
      </c>
      <c r="H101" s="395">
        <f t="shared" ref="H101:BS101" ca="1" si="320">SUM(H102:H105)</f>
        <v>0</v>
      </c>
      <c r="I101" s="395">
        <f t="shared" ca="1" si="320"/>
        <v>0</v>
      </c>
      <c r="J101" s="395">
        <f t="shared" ca="1" si="320"/>
        <v>0</v>
      </c>
      <c r="K101" s="395">
        <f t="shared" ca="1" si="320"/>
        <v>0</v>
      </c>
      <c r="L101" s="395">
        <f t="shared" ca="1" si="320"/>
        <v>0</v>
      </c>
      <c r="M101" s="395">
        <f t="shared" ca="1" si="320"/>
        <v>0</v>
      </c>
      <c r="N101" s="395">
        <f t="shared" ca="1" si="320"/>
        <v>0</v>
      </c>
      <c r="O101" s="395">
        <f t="shared" ca="1" si="320"/>
        <v>0</v>
      </c>
      <c r="P101" s="395">
        <f t="shared" ca="1" si="320"/>
        <v>0</v>
      </c>
      <c r="Q101" s="395">
        <f t="shared" ca="1" si="320"/>
        <v>0</v>
      </c>
      <c r="R101" s="395">
        <f t="shared" ca="1" si="320"/>
        <v>0</v>
      </c>
      <c r="S101" s="395">
        <f t="shared" ca="1" si="320"/>
        <v>0</v>
      </c>
      <c r="T101" s="395">
        <f t="shared" ca="1" si="320"/>
        <v>0</v>
      </c>
      <c r="U101" s="395">
        <f t="shared" ca="1" si="320"/>
        <v>0</v>
      </c>
      <c r="V101" s="395">
        <f t="shared" ca="1" si="320"/>
        <v>0</v>
      </c>
      <c r="W101" s="395">
        <f t="shared" ca="1" si="320"/>
        <v>0</v>
      </c>
      <c r="X101" s="395">
        <f t="shared" ca="1" si="320"/>
        <v>0</v>
      </c>
      <c r="Y101" s="395">
        <f t="shared" ca="1" si="320"/>
        <v>0</v>
      </c>
      <c r="Z101" s="395">
        <f t="shared" ca="1" si="320"/>
        <v>0</v>
      </c>
      <c r="AA101" s="395">
        <f t="shared" ca="1" si="320"/>
        <v>0</v>
      </c>
      <c r="AB101" s="395">
        <f t="shared" ca="1" si="320"/>
        <v>0</v>
      </c>
      <c r="AC101" s="395">
        <f t="shared" ca="1" si="320"/>
        <v>0</v>
      </c>
      <c r="AD101" s="395">
        <f t="shared" ca="1" si="320"/>
        <v>0</v>
      </c>
      <c r="AE101" s="395">
        <f t="shared" ca="1" si="320"/>
        <v>0</v>
      </c>
      <c r="AF101" s="395">
        <f t="shared" ca="1" si="320"/>
        <v>0</v>
      </c>
      <c r="AG101" s="395">
        <f t="shared" ca="1" si="320"/>
        <v>0</v>
      </c>
      <c r="AH101" s="395">
        <f t="shared" ca="1" si="320"/>
        <v>0</v>
      </c>
      <c r="AI101" s="395">
        <f t="shared" ca="1" si="320"/>
        <v>0</v>
      </c>
      <c r="AJ101" s="395">
        <f t="shared" ca="1" si="320"/>
        <v>0</v>
      </c>
      <c r="AK101" s="395">
        <f t="shared" ca="1" si="320"/>
        <v>0</v>
      </c>
      <c r="AL101" s="395">
        <f t="shared" ca="1" si="320"/>
        <v>0</v>
      </c>
      <c r="AM101" s="395">
        <f t="shared" ca="1" si="320"/>
        <v>0</v>
      </c>
      <c r="AN101" s="395">
        <f t="shared" ca="1" si="320"/>
        <v>0</v>
      </c>
      <c r="AO101" s="395">
        <f t="shared" ca="1" si="320"/>
        <v>0</v>
      </c>
      <c r="AP101" s="395">
        <f t="shared" ca="1" si="320"/>
        <v>0</v>
      </c>
      <c r="AQ101" s="395">
        <f t="shared" ca="1" si="320"/>
        <v>0</v>
      </c>
      <c r="AR101" s="395">
        <f t="shared" ca="1" si="320"/>
        <v>0</v>
      </c>
      <c r="AS101" s="395">
        <f t="shared" ca="1" si="320"/>
        <v>0</v>
      </c>
      <c r="AT101" s="395">
        <f t="shared" ca="1" si="320"/>
        <v>0</v>
      </c>
      <c r="AU101" s="395">
        <f t="shared" ca="1" si="320"/>
        <v>0</v>
      </c>
      <c r="AV101" s="395">
        <f t="shared" ca="1" si="320"/>
        <v>0</v>
      </c>
      <c r="AW101" s="395">
        <f t="shared" ca="1" si="320"/>
        <v>0</v>
      </c>
      <c r="AX101" s="395">
        <f t="shared" ca="1" si="320"/>
        <v>0</v>
      </c>
      <c r="AY101" s="395">
        <f t="shared" ca="1" si="320"/>
        <v>0</v>
      </c>
      <c r="AZ101" s="395">
        <f t="shared" ca="1" si="320"/>
        <v>0.1</v>
      </c>
      <c r="BA101" s="395">
        <f t="shared" ca="1" si="320"/>
        <v>0</v>
      </c>
      <c r="BB101" s="395">
        <f t="shared" ca="1" si="320"/>
        <v>6.0714285714285714E-2</v>
      </c>
      <c r="BC101" s="395">
        <f t="shared" ca="1" si="320"/>
        <v>0.33999999999999997</v>
      </c>
      <c r="BD101" s="395">
        <f t="shared" ca="1" si="320"/>
        <v>0.37642857142857145</v>
      </c>
      <c r="BE101" s="395">
        <f t="shared" ca="1" si="320"/>
        <v>7.2857142857142856E-2</v>
      </c>
      <c r="BF101" s="395">
        <f t="shared" ca="1" si="320"/>
        <v>2.5000000000000001E-2</v>
      </c>
      <c r="BG101" s="395">
        <f t="shared" ca="1" si="320"/>
        <v>0</v>
      </c>
      <c r="BH101" s="395">
        <f t="shared" ca="1" si="320"/>
        <v>0</v>
      </c>
      <c r="BI101" s="395">
        <f t="shared" ca="1" si="320"/>
        <v>0</v>
      </c>
      <c r="BJ101" s="395">
        <f t="shared" ca="1" si="320"/>
        <v>0</v>
      </c>
      <c r="BK101" s="395">
        <f t="shared" ca="1" si="320"/>
        <v>0</v>
      </c>
      <c r="BL101" s="395">
        <f t="shared" ca="1" si="320"/>
        <v>0</v>
      </c>
      <c r="BM101" s="395">
        <f t="shared" ca="1" si="320"/>
        <v>0</v>
      </c>
      <c r="BN101" s="395">
        <f t="shared" ca="1" si="320"/>
        <v>0</v>
      </c>
      <c r="BO101" s="395">
        <f t="shared" ca="1" si="320"/>
        <v>0</v>
      </c>
      <c r="BP101" s="395">
        <f t="shared" ca="1" si="320"/>
        <v>0</v>
      </c>
      <c r="BQ101" s="395">
        <f t="shared" ca="1" si="320"/>
        <v>0</v>
      </c>
      <c r="BR101" s="395">
        <f t="shared" ca="1" si="320"/>
        <v>0</v>
      </c>
      <c r="BS101" s="395">
        <f t="shared" ca="1" si="320"/>
        <v>0</v>
      </c>
      <c r="BT101" s="395">
        <f t="shared" ref="BT101:EE101" ca="1" si="321">SUM(BT102:BT105)</f>
        <v>0</v>
      </c>
      <c r="BU101" s="395">
        <f t="shared" ca="1" si="321"/>
        <v>0</v>
      </c>
      <c r="BV101" s="395">
        <f t="shared" ca="1" si="321"/>
        <v>0</v>
      </c>
      <c r="BW101" s="395">
        <f t="shared" ca="1" si="321"/>
        <v>0</v>
      </c>
      <c r="BX101" s="395">
        <f t="shared" ca="1" si="321"/>
        <v>0</v>
      </c>
      <c r="BY101" s="395">
        <f t="shared" ca="1" si="321"/>
        <v>0</v>
      </c>
      <c r="BZ101" s="395">
        <f t="shared" ca="1" si="321"/>
        <v>0</v>
      </c>
      <c r="CA101" s="395">
        <f t="shared" ca="1" si="321"/>
        <v>0</v>
      </c>
      <c r="CB101" s="395">
        <f t="shared" ca="1" si="321"/>
        <v>0</v>
      </c>
      <c r="CC101" s="395">
        <f t="shared" ca="1" si="321"/>
        <v>2.5000000000000001E-2</v>
      </c>
      <c r="CD101" s="395">
        <f t="shared" ca="1" si="321"/>
        <v>0</v>
      </c>
      <c r="CE101" s="395">
        <f t="shared" ca="1" si="321"/>
        <v>0</v>
      </c>
      <c r="CF101" s="395">
        <f t="shared" ca="1" si="321"/>
        <v>0</v>
      </c>
      <c r="CG101" s="395">
        <f t="shared" ca="1" si="321"/>
        <v>0</v>
      </c>
      <c r="CH101" s="395">
        <f t="shared" ca="1" si="321"/>
        <v>0</v>
      </c>
      <c r="CI101" s="395">
        <f t="shared" ca="1" si="321"/>
        <v>0</v>
      </c>
      <c r="CJ101" s="395">
        <f t="shared" ca="1" si="321"/>
        <v>0</v>
      </c>
      <c r="CK101" s="395">
        <f t="shared" ca="1" si="321"/>
        <v>0</v>
      </c>
      <c r="CL101" s="395">
        <f t="shared" ca="1" si="321"/>
        <v>0</v>
      </c>
      <c r="CM101" s="395">
        <f t="shared" ca="1" si="321"/>
        <v>0</v>
      </c>
      <c r="CN101" s="395">
        <f t="shared" ca="1" si="321"/>
        <v>0</v>
      </c>
      <c r="CO101" s="395">
        <f t="shared" ca="1" si="321"/>
        <v>0</v>
      </c>
      <c r="CP101" s="395">
        <f t="shared" ca="1" si="321"/>
        <v>0</v>
      </c>
      <c r="CQ101" s="395">
        <f t="shared" ca="1" si="321"/>
        <v>0</v>
      </c>
      <c r="CR101" s="395">
        <f t="shared" ca="1" si="321"/>
        <v>0</v>
      </c>
      <c r="CS101" s="395">
        <f t="shared" ca="1" si="321"/>
        <v>0</v>
      </c>
      <c r="CT101" s="395">
        <f t="shared" ca="1" si="321"/>
        <v>0</v>
      </c>
      <c r="CU101" s="395">
        <f t="shared" ca="1" si="321"/>
        <v>0</v>
      </c>
      <c r="CV101" s="395">
        <f t="shared" ca="1" si="321"/>
        <v>0</v>
      </c>
      <c r="CW101" s="395">
        <f t="shared" ca="1" si="321"/>
        <v>0</v>
      </c>
      <c r="CX101" s="395">
        <f t="shared" ca="1" si="321"/>
        <v>0</v>
      </c>
      <c r="CY101" s="395">
        <f t="shared" ca="1" si="321"/>
        <v>0</v>
      </c>
      <c r="CZ101" s="395">
        <f t="shared" ca="1" si="321"/>
        <v>0</v>
      </c>
      <c r="DA101" s="395">
        <f t="shared" ca="1" si="321"/>
        <v>0</v>
      </c>
      <c r="DB101" s="395">
        <f t="shared" ca="1" si="321"/>
        <v>0</v>
      </c>
      <c r="DC101" s="395">
        <f t="shared" ca="1" si="321"/>
        <v>0</v>
      </c>
      <c r="DD101" s="395">
        <f t="shared" ca="1" si="321"/>
        <v>0</v>
      </c>
      <c r="DE101" s="395">
        <f t="shared" ca="1" si="321"/>
        <v>0</v>
      </c>
      <c r="DF101" s="395">
        <f t="shared" ca="1" si="321"/>
        <v>0</v>
      </c>
      <c r="DG101" s="395">
        <f t="shared" ca="1" si="321"/>
        <v>0</v>
      </c>
      <c r="DH101" s="395">
        <f t="shared" ca="1" si="321"/>
        <v>0</v>
      </c>
      <c r="DI101" s="395">
        <f t="shared" ca="1" si="321"/>
        <v>0</v>
      </c>
      <c r="DJ101" s="395">
        <f t="shared" ca="1" si="321"/>
        <v>0</v>
      </c>
      <c r="DK101" s="395">
        <f t="shared" ca="1" si="321"/>
        <v>0</v>
      </c>
      <c r="DL101" s="395">
        <f t="shared" ca="1" si="321"/>
        <v>0</v>
      </c>
      <c r="DM101" s="395">
        <f t="shared" ca="1" si="321"/>
        <v>0</v>
      </c>
      <c r="DN101" s="395">
        <f t="shared" ca="1" si="321"/>
        <v>0</v>
      </c>
      <c r="DO101" s="395">
        <f t="shared" ca="1" si="321"/>
        <v>0</v>
      </c>
      <c r="DP101" s="395">
        <f t="shared" ca="1" si="321"/>
        <v>0</v>
      </c>
      <c r="DQ101" s="395">
        <f t="shared" ca="1" si="321"/>
        <v>0</v>
      </c>
      <c r="DR101" s="395">
        <f t="shared" ca="1" si="321"/>
        <v>0</v>
      </c>
      <c r="DS101" s="395">
        <f t="shared" ca="1" si="321"/>
        <v>0</v>
      </c>
      <c r="DT101" s="395">
        <f t="shared" ca="1" si="321"/>
        <v>0</v>
      </c>
      <c r="DU101" s="395">
        <f t="shared" ca="1" si="321"/>
        <v>0</v>
      </c>
      <c r="DV101" s="395">
        <f t="shared" ca="1" si="321"/>
        <v>0</v>
      </c>
      <c r="DW101" s="395">
        <f t="shared" ca="1" si="321"/>
        <v>0</v>
      </c>
      <c r="DX101" s="395">
        <f t="shared" ca="1" si="321"/>
        <v>0</v>
      </c>
      <c r="DY101" s="395">
        <f t="shared" ca="1" si="321"/>
        <v>0</v>
      </c>
      <c r="DZ101" s="395">
        <f t="shared" ca="1" si="321"/>
        <v>0</v>
      </c>
      <c r="EA101" s="395">
        <f t="shared" ca="1" si="321"/>
        <v>0</v>
      </c>
      <c r="EB101" s="395">
        <f t="shared" ca="1" si="321"/>
        <v>0</v>
      </c>
      <c r="EC101" s="395">
        <f t="shared" ca="1" si="321"/>
        <v>0</v>
      </c>
      <c r="ED101" s="395">
        <f t="shared" ca="1" si="321"/>
        <v>0</v>
      </c>
      <c r="EE101" s="395">
        <f t="shared" ca="1" si="321"/>
        <v>0</v>
      </c>
      <c r="EF101" s="395">
        <f t="shared" ref="EF101:EI101" ca="1" si="322">SUM(EF102:EF105)</f>
        <v>0</v>
      </c>
      <c r="EG101" s="395">
        <f t="shared" ca="1" si="322"/>
        <v>0</v>
      </c>
      <c r="EH101" s="395">
        <f t="shared" ca="1" si="322"/>
        <v>0</v>
      </c>
      <c r="EI101" s="395">
        <f t="shared" ca="1" si="322"/>
        <v>0</v>
      </c>
      <c r="EJ101" s="398"/>
      <c r="EK101" s="313"/>
    </row>
    <row r="102" spans="1:141" hidden="1" outlineLevel="2">
      <c r="A102" s="332"/>
      <c r="B102" s="549">
        <f>длительность!B185</f>
        <v>0.1</v>
      </c>
      <c r="C102" s="317"/>
      <c r="D102" s="317" t="s">
        <v>664</v>
      </c>
      <c r="E102" s="318">
        <f t="shared" ref="E102:E105" ca="1" si="323">IF(F102=0,0,B102-F102)</f>
        <v>0</v>
      </c>
      <c r="F102" s="397">
        <f t="shared" ca="1" si="283"/>
        <v>0.1</v>
      </c>
      <c r="G102" s="395"/>
      <c r="H102" s="395">
        <f ca="1">IF(SUM($G102:G102)=$B102,0,IF(J103&gt;0%,$B102,0%))</f>
        <v>0</v>
      </c>
      <c r="I102" s="395">
        <f ca="1">IF(SUM($G102:H102)=$B102,0,IF(K103&gt;0%,$B102,0%))</f>
        <v>0</v>
      </c>
      <c r="J102" s="395">
        <f ca="1">IF(SUM($G102:I102)=$B102,0,IF(L103&gt;0%,$B102,0%))</f>
        <v>0</v>
      </c>
      <c r="K102" s="395">
        <f ca="1">IF(SUM($G102:J102)=$B102,0,IF(M103&gt;0%,$B102,0%))</f>
        <v>0</v>
      </c>
      <c r="L102" s="395">
        <f ca="1">IF(SUM($G102:K102)=$B102,0,IF(N103&gt;0%,$B102,0%))</f>
        <v>0</v>
      </c>
      <c r="M102" s="395">
        <f ca="1">IF(SUM($G102:L102)=$B102,0,IF(O103&gt;0%,$B102,0%))</f>
        <v>0</v>
      </c>
      <c r="N102" s="395">
        <f ca="1">IF(SUM($G102:M102)=$B102,0,IF(P103&gt;0%,$B102,0%))</f>
        <v>0</v>
      </c>
      <c r="O102" s="395">
        <f ca="1">IF(SUM($G102:N102)=$B102,0,IF(Q103&gt;0%,$B102,0%))</f>
        <v>0</v>
      </c>
      <c r="P102" s="395">
        <f ca="1">IF(SUM($G102:O102)=$B102,0,IF(R103&gt;0%,$B102,0%))</f>
        <v>0</v>
      </c>
      <c r="Q102" s="395">
        <f ca="1">IF(SUM($G102:P102)=$B102,0,IF(S103&gt;0%,$B102,0%))</f>
        <v>0</v>
      </c>
      <c r="R102" s="395">
        <f ca="1">IF(SUM($G102:Q102)=$B102,0,IF(T103&gt;0%,$B102,0%))</f>
        <v>0</v>
      </c>
      <c r="S102" s="395">
        <f ca="1">IF(SUM($G102:R102)=$B102,0,IF(U103&gt;0%,$B102,0%))</f>
        <v>0</v>
      </c>
      <c r="T102" s="395">
        <f ca="1">IF(SUM($G102:S102)=$B102,0,IF(V103&gt;0%,$B102,0%))</f>
        <v>0</v>
      </c>
      <c r="U102" s="395">
        <f ca="1">IF(SUM($G102:T102)=$B102,0,IF(W103&gt;0%,$B102,0%))</f>
        <v>0</v>
      </c>
      <c r="V102" s="395">
        <f ca="1">IF(SUM($G102:U102)=$B102,0,IF(X103&gt;0%,$B102,0%))</f>
        <v>0</v>
      </c>
      <c r="W102" s="395">
        <f ca="1">IF(SUM($G102:V102)=$B102,0,IF(Y103&gt;0%,$B102,0%))</f>
        <v>0</v>
      </c>
      <c r="X102" s="395">
        <f ca="1">IF(SUM($G102:W102)=$B102,0,IF(Z103&gt;0%,$B102,0%))</f>
        <v>0</v>
      </c>
      <c r="Y102" s="395">
        <f ca="1">IF(SUM($G102:X102)=$B102,0,IF(AA103&gt;0%,$B102,0%))</f>
        <v>0</v>
      </c>
      <c r="Z102" s="395">
        <f ca="1">IF(SUM($G102:Y102)=$B102,0,IF(AB103&gt;0%,$B102,0%))</f>
        <v>0</v>
      </c>
      <c r="AA102" s="395">
        <f ca="1">IF(SUM($G102:Z102)=$B102,0,IF(AC103&gt;0%,$B102,0%))</f>
        <v>0</v>
      </c>
      <c r="AB102" s="395">
        <f ca="1">IF(SUM($G102:AA102)=$B102,0,IF(AD103&gt;0%,$B102,0%))</f>
        <v>0</v>
      </c>
      <c r="AC102" s="395">
        <f ca="1">IF(SUM($G102:AB102)=$B102,0,IF(AE103&gt;0%,$B102,0%))</f>
        <v>0</v>
      </c>
      <c r="AD102" s="395">
        <f ca="1">IF(SUM($G102:AC102)=$B102,0,IF(AF103&gt;0%,$B102,0%))</f>
        <v>0</v>
      </c>
      <c r="AE102" s="395">
        <f ca="1">IF(SUM($G102:AD102)=$B102,0,IF(AG103&gt;0%,$B102,0%))</f>
        <v>0</v>
      </c>
      <c r="AF102" s="395">
        <f ca="1">IF(SUM($G102:AE102)=$B102,0,IF(AH103&gt;0%,$B102,0%))</f>
        <v>0</v>
      </c>
      <c r="AG102" s="395">
        <f ca="1">IF(SUM($G102:AF102)=$B102,0,IF(AI103&gt;0%,$B102,0%))</f>
        <v>0</v>
      </c>
      <c r="AH102" s="395">
        <f ca="1">IF(SUM($G102:AG102)=$B102,0,IF(AJ103&gt;0%,$B102,0%))</f>
        <v>0</v>
      </c>
      <c r="AI102" s="395">
        <f ca="1">IF(SUM($G102:AH102)=$B102,0,IF(AK103&gt;0%,$B102,0%))</f>
        <v>0</v>
      </c>
      <c r="AJ102" s="395">
        <f ca="1">IF(SUM($G102:AI102)=$B102,0,IF(AL103&gt;0%,$B102,0%))</f>
        <v>0</v>
      </c>
      <c r="AK102" s="395">
        <f ca="1">IF(SUM($G102:AJ102)=$B102,0,IF(AM103&gt;0%,$B102,0%))</f>
        <v>0</v>
      </c>
      <c r="AL102" s="395">
        <f ca="1">IF(SUM($G102:AK102)=$B102,0,IF(AN103&gt;0%,$B102,0%))</f>
        <v>0</v>
      </c>
      <c r="AM102" s="395">
        <f ca="1">IF(SUM($G102:AL102)=$B102,0,IF(AO103&gt;0%,$B102,0%))</f>
        <v>0</v>
      </c>
      <c r="AN102" s="395">
        <f ca="1">IF(SUM($G102:AM102)=$B102,0,IF(AP103&gt;0%,$B102,0%))</f>
        <v>0</v>
      </c>
      <c r="AO102" s="395">
        <f ca="1">IF(SUM($G102:AN102)=$B102,0,IF(AQ103&gt;0%,$B102,0%))</f>
        <v>0</v>
      </c>
      <c r="AP102" s="395">
        <f ca="1">IF(SUM($G102:AO102)=$B102,0,IF(AR103&gt;0%,$B102,0%))</f>
        <v>0</v>
      </c>
      <c r="AQ102" s="395">
        <f ca="1">IF(SUM($G102:AP102)=$B102,0,IF(AS103&gt;0%,$B102,0%))</f>
        <v>0</v>
      </c>
      <c r="AR102" s="395">
        <f ca="1">IF(SUM($G102:AQ102)=$B102,0,IF(AT103&gt;0%,$B102,0%))</f>
        <v>0</v>
      </c>
      <c r="AS102" s="395">
        <f ca="1">IF(SUM($G102:AR102)=$B102,0,IF(AU103&gt;0%,$B102,0%))</f>
        <v>0</v>
      </c>
      <c r="AT102" s="395">
        <f ca="1">IF(SUM($G102:AS102)=$B102,0,IF(AV103&gt;0%,$B102,0%))</f>
        <v>0</v>
      </c>
      <c r="AU102" s="395">
        <f ca="1">IF(SUM($G102:AT102)=$B102,0,IF(AW103&gt;0%,$B102,0%))</f>
        <v>0</v>
      </c>
      <c r="AV102" s="395">
        <f ca="1">IF(SUM($G102:AU102)=$B102,0,IF(AX103&gt;0%,$B102,0%))</f>
        <v>0</v>
      </c>
      <c r="AW102" s="395">
        <f ca="1">IF(SUM($G102:AV102)=$B102,0,IF(AY103&gt;0%,$B102,0%))</f>
        <v>0</v>
      </c>
      <c r="AX102" s="395">
        <f ca="1">IF(SUM($G102:AW102)=$B102,0,IF(AZ103&gt;0%,$B102,0%))</f>
        <v>0</v>
      </c>
      <c r="AY102" s="395">
        <f ca="1">IF(SUM($G102:AX102)=$B102,0,IF(BA103&gt;0%,$B102,0%))</f>
        <v>0</v>
      </c>
      <c r="AZ102" s="395">
        <f ca="1">IF(SUM($G102:AY102)=$B102,0,IF(BB103&gt;0%,$B102,0%))</f>
        <v>0.1</v>
      </c>
      <c r="BA102" s="395">
        <f ca="1">IF(SUM($G102:AZ102)=$B102,0,IF(BC103&gt;0%,$B102,0%))</f>
        <v>0</v>
      </c>
      <c r="BB102" s="395">
        <f ca="1">IF(SUM($G102:BA102)=$B102,0,IF(BD103&gt;0%,$B102,0%))</f>
        <v>0</v>
      </c>
      <c r="BC102" s="395">
        <f ca="1">IF(SUM($G102:BB102)=$B102,0,IF(BE103&gt;0%,$B102,0%))</f>
        <v>0</v>
      </c>
      <c r="BD102" s="395">
        <f ca="1">IF(SUM($G102:BC102)=$B102,0,IF(BF103&gt;0%,$B102,0%))</f>
        <v>0</v>
      </c>
      <c r="BE102" s="395">
        <f ca="1">IF(SUM($G102:BD102)=$B102,0,IF(BG103&gt;0%,$B102,0%))</f>
        <v>0</v>
      </c>
      <c r="BF102" s="395">
        <f ca="1">IF(SUM($G102:BE102)=$B102,0,IF(BH103&gt;0%,$B102,0%))</f>
        <v>0</v>
      </c>
      <c r="BG102" s="395">
        <f ca="1">IF(SUM($G102:BF102)=$B102,0,IF(BI103&gt;0%,$B102,0%))</f>
        <v>0</v>
      </c>
      <c r="BH102" s="395">
        <f ca="1">IF(SUM($G102:BG102)=$B102,0,IF(BJ103&gt;0%,$B102,0%))</f>
        <v>0</v>
      </c>
      <c r="BI102" s="395">
        <f ca="1">IF(SUM($G102:BH102)=$B102,0,IF(BK103&gt;0%,$B102,0%))</f>
        <v>0</v>
      </c>
      <c r="BJ102" s="395">
        <f ca="1">IF(SUM($G102:BI102)=$B102,0,IF(BL103&gt;0%,$B102,0%))</f>
        <v>0</v>
      </c>
      <c r="BK102" s="395">
        <f ca="1">IF(SUM($G102:BJ102)=$B102,0,IF(BM103&gt;0%,$B102,0%))</f>
        <v>0</v>
      </c>
      <c r="BL102" s="395">
        <f ca="1">IF(SUM($G102:BK102)=$B102,0,IF(BN103&gt;0%,$B102,0%))</f>
        <v>0</v>
      </c>
      <c r="BM102" s="395">
        <f ca="1">IF(SUM($G102:BL102)=$B102,0,IF(BO103&gt;0%,$B102,0%))</f>
        <v>0</v>
      </c>
      <c r="BN102" s="395">
        <f ca="1">IF(SUM($G102:BM102)=$B102,0,IF(BP103&gt;0%,$B102,0%))</f>
        <v>0</v>
      </c>
      <c r="BO102" s="395">
        <f ca="1">IF(SUM($G102:BN102)=$B102,0,IF(BQ103&gt;0%,$B102,0%))</f>
        <v>0</v>
      </c>
      <c r="BP102" s="395">
        <f ca="1">IF(SUM($G102:BO102)=$B102,0,IF(BR103&gt;0%,$B102,0%))</f>
        <v>0</v>
      </c>
      <c r="BQ102" s="395">
        <f ca="1">IF(SUM($G102:BP102)=$B102,0,IF(BS103&gt;0%,$B102,0%))</f>
        <v>0</v>
      </c>
      <c r="BR102" s="395">
        <f ca="1">IF(SUM($G102:BQ102)=$B102,0,IF(BT103&gt;0%,$B102,0%))</f>
        <v>0</v>
      </c>
      <c r="BS102" s="395">
        <f ca="1">IF(SUM($G102:BR102)=$B102,0,IF(BU103&gt;0%,$B102,0%))</f>
        <v>0</v>
      </c>
      <c r="BT102" s="395">
        <f ca="1">IF(SUM($G102:BS102)=$B102,0,IF(BV103&gt;0%,$B102,0%))</f>
        <v>0</v>
      </c>
      <c r="BU102" s="395">
        <f ca="1">IF(SUM($G102:BT102)=$B102,0,IF(BW103&gt;0%,$B102,0%))</f>
        <v>0</v>
      </c>
      <c r="BV102" s="395">
        <f ca="1">IF(SUM($G102:BU102)=$B102,0,IF(BX103&gt;0%,$B102,0%))</f>
        <v>0</v>
      </c>
      <c r="BW102" s="395">
        <f ca="1">IF(SUM($G102:BV102)=$B102,0,IF(BY103&gt;0%,$B102,0%))</f>
        <v>0</v>
      </c>
      <c r="BX102" s="395">
        <f ca="1">IF(SUM($G102:BW102)=$B102,0,IF(BZ103&gt;0%,$B102,0%))</f>
        <v>0</v>
      </c>
      <c r="BY102" s="395">
        <f ca="1">IF(SUM($G102:BX102)=$B102,0,IF(CA103&gt;0%,$B102,0%))</f>
        <v>0</v>
      </c>
      <c r="BZ102" s="395">
        <f ca="1">IF(SUM($G102:BY102)=$B102,0,IF(CB103&gt;0%,$B102,0%))</f>
        <v>0</v>
      </c>
      <c r="CA102" s="395">
        <f ca="1">IF(SUM($G102:BZ102)=$B102,0,IF(CC103&gt;0%,$B102,0%))</f>
        <v>0</v>
      </c>
      <c r="CB102" s="395">
        <f ca="1">IF(SUM($G102:CA102)=$B102,0,IF(CD103&gt;0%,$B102,0%))</f>
        <v>0</v>
      </c>
      <c r="CC102" s="395">
        <f ca="1">IF(SUM($G102:CB102)=$B102,0,IF(CE103&gt;0%,$B102,0%))</f>
        <v>0</v>
      </c>
      <c r="CD102" s="395">
        <f ca="1">IF(SUM($G102:CC102)=$B102,0,IF(CF103&gt;0%,$B102,0%))</f>
        <v>0</v>
      </c>
      <c r="CE102" s="395">
        <f ca="1">IF(SUM($G102:CD102)=$B102,0,IF(CG103&gt;0%,$B102,0%))</f>
        <v>0</v>
      </c>
      <c r="CF102" s="395">
        <f ca="1">IF(SUM($G102:CE102)=$B102,0,IF(CH103&gt;0%,$B102,0%))</f>
        <v>0</v>
      </c>
      <c r="CG102" s="395">
        <f ca="1">IF(SUM($G102:CF102)=$B102,0,IF(CI103&gt;0%,$B102,0%))</f>
        <v>0</v>
      </c>
      <c r="CH102" s="395">
        <f ca="1">IF(SUM($G102:CG102)=$B102,0,IF(CJ103&gt;0%,$B102,0%))</f>
        <v>0</v>
      </c>
      <c r="CI102" s="395">
        <f ca="1">IF(SUM($G102:CH102)=$B102,0,IF(CK103&gt;0%,$B102,0%))</f>
        <v>0</v>
      </c>
      <c r="CJ102" s="395">
        <f ca="1">IF(SUM($G102:CI102)=$B102,0,IF(CL103&gt;0%,$B102,0%))</f>
        <v>0</v>
      </c>
      <c r="CK102" s="395">
        <f ca="1">IF(SUM($G102:CJ102)=$B102,0,IF(CM103&gt;0%,$B102,0%))</f>
        <v>0</v>
      </c>
      <c r="CL102" s="395">
        <f ca="1">IF(SUM($G102:CK102)=$B102,0,IF(CN103&gt;0%,$B102,0%))</f>
        <v>0</v>
      </c>
      <c r="CM102" s="395">
        <f ca="1">IF(SUM($G102:CL102)=$B102,0,IF(CO103&gt;0%,$B102,0%))</f>
        <v>0</v>
      </c>
      <c r="CN102" s="395">
        <f ca="1">IF(SUM($G102:CM102)=$B102,0,IF(CP103&gt;0%,$B102,0%))</f>
        <v>0</v>
      </c>
      <c r="CO102" s="395">
        <f ca="1">IF(SUM($G102:CN102)=$B102,0,IF(CQ103&gt;0%,$B102,0%))</f>
        <v>0</v>
      </c>
      <c r="CP102" s="395">
        <f ca="1">IF(SUM($G102:CO102)=$B102,0,IF(CR103&gt;0%,$B102,0%))</f>
        <v>0</v>
      </c>
      <c r="CQ102" s="395">
        <f ca="1">IF(SUM($G102:CP102)=$B102,0,IF(CS103&gt;0%,$B102,0%))</f>
        <v>0</v>
      </c>
      <c r="CR102" s="395">
        <f ca="1">IF(SUM($G102:CQ102)=$B102,0,IF(CT103&gt;0%,$B102,0%))</f>
        <v>0</v>
      </c>
      <c r="CS102" s="395">
        <f ca="1">IF(SUM($G102:CR102)=$B102,0,IF(CU103&gt;0%,$B102,0%))</f>
        <v>0</v>
      </c>
      <c r="CT102" s="395">
        <f ca="1">IF(SUM($G102:CS102)=$B102,0,IF(CV103&gt;0%,$B102,0%))</f>
        <v>0</v>
      </c>
      <c r="CU102" s="395">
        <f ca="1">IF(SUM($G102:CT102)=$B102,0,IF(CW103&gt;0%,$B102,0%))</f>
        <v>0</v>
      </c>
      <c r="CV102" s="395">
        <f ca="1">IF(SUM($G102:CU102)=$B102,0,IF(CX103&gt;0%,$B102,0%))</f>
        <v>0</v>
      </c>
      <c r="CW102" s="395">
        <f ca="1">IF(SUM($G102:CV102)=$B102,0,IF(CY103&gt;0%,$B102,0%))</f>
        <v>0</v>
      </c>
      <c r="CX102" s="395">
        <f ca="1">IF(SUM($G102:CW102)=$B102,0,IF(CZ103&gt;0%,$B102,0%))</f>
        <v>0</v>
      </c>
      <c r="CY102" s="395">
        <f ca="1">IF(SUM($G102:CX102)=$B102,0,IF(DA103&gt;0%,$B102,0%))</f>
        <v>0</v>
      </c>
      <c r="CZ102" s="395">
        <f ca="1">IF(SUM($G102:CY102)=$B102,0,IF(DB103&gt;0%,$B102,0%))</f>
        <v>0</v>
      </c>
      <c r="DA102" s="395">
        <f ca="1">IF(SUM($G102:CZ102)=$B102,0,IF(DC103&gt;0%,$B102,0%))</f>
        <v>0</v>
      </c>
      <c r="DB102" s="395">
        <f ca="1">IF(SUM($G102:DA102)=$B102,0,IF(DD103&gt;0%,$B102,0%))</f>
        <v>0</v>
      </c>
      <c r="DC102" s="395">
        <f ca="1">IF(SUM($G102:DB102)=$B102,0,IF(DE103&gt;0%,$B102,0%))</f>
        <v>0</v>
      </c>
      <c r="DD102" s="395">
        <f ca="1">IF(SUM($G102:DC102)=$B102,0,IF(DF103&gt;0%,$B102,0%))</f>
        <v>0</v>
      </c>
      <c r="DE102" s="395">
        <f ca="1">IF(SUM($G102:DD102)=$B102,0,IF(DG103&gt;0%,$B102,0%))</f>
        <v>0</v>
      </c>
      <c r="DF102" s="395">
        <f ca="1">IF(SUM($G102:DE102)=$B102,0,IF(DH103&gt;0%,$B102,0%))</f>
        <v>0</v>
      </c>
      <c r="DG102" s="395">
        <f ca="1">IF(SUM($G102:DF102)=$B102,0,IF(DI103&gt;0%,$B102,0%))</f>
        <v>0</v>
      </c>
      <c r="DH102" s="395">
        <f ca="1">IF(SUM($G102:DG102)=$B102,0,IF(DJ103&gt;0%,$B102,0%))</f>
        <v>0</v>
      </c>
      <c r="DI102" s="395">
        <f ca="1">IF(SUM($G102:DH102)=$B102,0,IF(DK103&gt;0%,$B102,0%))</f>
        <v>0</v>
      </c>
      <c r="DJ102" s="395">
        <f ca="1">IF(SUM($G102:DI102)=$B102,0,IF(DL103&gt;0%,$B102,0%))</f>
        <v>0</v>
      </c>
      <c r="DK102" s="395">
        <f ca="1">IF(SUM($G102:DJ102)=$B102,0,IF(DM103&gt;0%,$B102,0%))</f>
        <v>0</v>
      </c>
      <c r="DL102" s="395">
        <f ca="1">IF(SUM($G102:DK102)=$B102,0,IF(DN103&gt;0%,$B102,0%))</f>
        <v>0</v>
      </c>
      <c r="DM102" s="395">
        <f ca="1">IF(SUM($G102:DL102)=$B102,0,IF(DO103&gt;0%,$B102,0%))</f>
        <v>0</v>
      </c>
      <c r="DN102" s="395">
        <f ca="1">IF(SUM($G102:DM102)=$B102,0,IF(DP103&gt;0%,$B102,0%))</f>
        <v>0</v>
      </c>
      <c r="DO102" s="395">
        <f ca="1">IF(SUM($G102:DN102)=$B102,0,IF(DQ103&gt;0%,$B102,0%))</f>
        <v>0</v>
      </c>
      <c r="DP102" s="395">
        <f ca="1">IF(SUM($G102:DO102)=$B102,0,IF(DR103&gt;0%,$B102,0%))</f>
        <v>0</v>
      </c>
      <c r="DQ102" s="395">
        <f ca="1">IF(SUM($G102:DP102)=$B102,0,IF(DS103&gt;0%,$B102,0%))</f>
        <v>0</v>
      </c>
      <c r="DR102" s="395">
        <f ca="1">IF(SUM($G102:DQ102)=$B102,0,IF(DT103&gt;0%,$B102,0%))</f>
        <v>0</v>
      </c>
      <c r="DS102" s="395">
        <f ca="1">IF(SUM($G102:DR102)=$B102,0,IF(DU103&gt;0%,$B102,0%))</f>
        <v>0</v>
      </c>
      <c r="DT102" s="395">
        <f ca="1">IF(SUM($G102:DS102)=$B102,0,IF(DV103&gt;0%,$B102,0%))</f>
        <v>0</v>
      </c>
      <c r="DU102" s="395">
        <f ca="1">IF(SUM($G102:DT102)=$B102,0,IF(DW103&gt;0%,$B102,0%))</f>
        <v>0</v>
      </c>
      <c r="DV102" s="395">
        <f ca="1">IF(SUM($G102:DU102)=$B102,0,IF(DX103&gt;0%,$B102,0%))</f>
        <v>0</v>
      </c>
      <c r="DW102" s="395">
        <f ca="1">IF(SUM($G102:DV102)=$B102,0,IF(DY103&gt;0%,$B102,0%))</f>
        <v>0</v>
      </c>
      <c r="DX102" s="395">
        <f ca="1">IF(SUM($G102:DW102)=$B102,0,IF(DZ103&gt;0%,$B102,0%))</f>
        <v>0</v>
      </c>
      <c r="DY102" s="395">
        <f ca="1">IF(SUM($G102:DX102)=$B102,0,IF(EA103&gt;0%,$B102,0%))</f>
        <v>0</v>
      </c>
      <c r="DZ102" s="395">
        <f ca="1">IF(SUM($G102:DY102)=$B102,0,IF(EB103&gt;0%,$B102,0%))</f>
        <v>0</v>
      </c>
      <c r="EA102" s="395">
        <f ca="1">IF(SUM($G102:DZ102)=$B102,0,IF(EC103&gt;0%,$B102,0%))</f>
        <v>0</v>
      </c>
      <c r="EB102" s="395">
        <f ca="1">IF(SUM($G102:EA102)=$B102,0,IF(ED103&gt;0%,$B102,0%))</f>
        <v>0</v>
      </c>
      <c r="EC102" s="395">
        <f ca="1">IF(SUM($G102:EB102)=$B102,0,IF(EE103&gt;0%,$B102,0%))</f>
        <v>0</v>
      </c>
      <c r="ED102" s="395">
        <f ca="1">IF(SUM($G102:EC102)=$B102,0,IF(EF103&gt;0%,$B102,0%))</f>
        <v>0</v>
      </c>
      <c r="EE102" s="395">
        <f ca="1">IF(SUM($G102:ED102)=$B102,0,IF(EG103&gt;0%,$B102,0%))</f>
        <v>0</v>
      </c>
      <c r="EF102" s="395">
        <f ca="1">IF(SUM($G102:EE102)=$B102,0,IF(EH103&gt;0%,$B102,0%))</f>
        <v>0</v>
      </c>
      <c r="EG102" s="395">
        <f ca="1">IF(SUM($G102:EF102)=$B102,0,IF(EI103&gt;0%,$B102,0%))</f>
        <v>0</v>
      </c>
      <c r="EH102" s="395">
        <f ca="1">IF(SUM($G102:EG102)=$B102,0,IF(EJ103&gt;0%,$B102,0%))</f>
        <v>0</v>
      </c>
      <c r="EI102" s="395">
        <f ca="1">IF(SUM($G102:EH102)=$B102,0,IF(EK103&gt;0%,$B102,0%))</f>
        <v>0</v>
      </c>
      <c r="EJ102" s="398"/>
      <c r="EK102" s="313"/>
    </row>
    <row r="103" spans="1:141" hidden="1" outlineLevel="2">
      <c r="A103" s="332"/>
      <c r="B103" s="549">
        <f>длительность!C185</f>
        <v>0.85</v>
      </c>
      <c r="C103" s="317"/>
      <c r="D103" s="317" t="s">
        <v>663</v>
      </c>
      <c r="E103" s="318">
        <f t="shared" ca="1" si="323"/>
        <v>0</v>
      </c>
      <c r="F103" s="397">
        <f t="shared" ca="1" si="283"/>
        <v>0.85</v>
      </c>
      <c r="G103" s="395"/>
      <c r="H103" s="395"/>
      <c r="I103" s="395">
        <f ca="1">IF($E$274=0,0,IF(SUM($G103:H103)=$B103,0,IF(SUM($G274:H274)&gt;=$E274,($B103/$E274)*($E274-SUM($G274:G274)),($B103/$E274)*H274)))</f>
        <v>0</v>
      </c>
      <c r="J103" s="395">
        <f ca="1">IF($E$274=0,0,IF(SUM($G103:I103)=$B103,0,IF(SUM($G274:I274)&gt;=$E274,($B103/$E274)*($E274-SUM($G274:H274)),($B103/$E274)*I274)))</f>
        <v>0</v>
      </c>
      <c r="K103" s="395">
        <f ca="1">IF($E$274=0,0,IF(SUM($G103:J103)=$B103,0,IF(SUM($G274:J274)&gt;=$E274,($B103/$E274)*($E274-SUM($G274:I274)),($B103/$E274)*J274)))</f>
        <v>0</v>
      </c>
      <c r="L103" s="395">
        <f ca="1">IF($E$274=0,0,IF(SUM($G103:K103)=$B103,0,IF(SUM($G274:K274)&gt;=$E274,($B103/$E274)*($E274-SUM($G274:J274)),($B103/$E274)*K274)))</f>
        <v>0</v>
      </c>
      <c r="M103" s="395">
        <f ca="1">IF($E$274=0,0,IF(SUM($G103:L103)=$B103,0,IF(SUM($G274:L274)&gt;=$E274,($B103/$E274)*($E274-SUM($G274:K274)),($B103/$E274)*L274)))</f>
        <v>0</v>
      </c>
      <c r="N103" s="395">
        <f ca="1">IF($E$274=0,0,IF(SUM($G103:M103)=$B103,0,IF(SUM($G274:M274)&gt;=$E274,($B103/$E274)*($E274-SUM($G274:L274)),($B103/$E274)*M274)))</f>
        <v>0</v>
      </c>
      <c r="O103" s="395">
        <f ca="1">IF($E$274=0,0,IF(SUM($G103:N103)=$B103,0,IF(SUM($G274:N274)&gt;=$E274,($B103/$E274)*($E274-SUM($G274:M274)),($B103/$E274)*N274)))</f>
        <v>0</v>
      </c>
      <c r="P103" s="395">
        <f ca="1">IF($E$274=0,0,IF(SUM($G103:O103)=$B103,0,IF(SUM($G274:O274)&gt;=$E274,($B103/$E274)*($E274-SUM($G274:N274)),($B103/$E274)*O274)))</f>
        <v>0</v>
      </c>
      <c r="Q103" s="395">
        <f ca="1">IF($E$274=0,0,IF(SUM($G103:P103)=$B103,0,IF(SUM($G274:P274)&gt;=$E274,($B103/$E274)*($E274-SUM($G274:O274)),($B103/$E274)*P274)))</f>
        <v>0</v>
      </c>
      <c r="R103" s="395">
        <f ca="1">IF($E$274=0,0,IF(SUM($G103:Q103)=$B103,0,IF(SUM($G274:Q274)&gt;=$E274,($B103/$E274)*($E274-SUM($G274:P274)),($B103/$E274)*Q274)))</f>
        <v>0</v>
      </c>
      <c r="S103" s="395">
        <f ca="1">IF($E$274=0,0,IF(SUM($G103:R103)=$B103,0,IF(SUM($G274:R274)&gt;=$E274,($B103/$E274)*($E274-SUM($G274:Q274)),($B103/$E274)*R274)))</f>
        <v>0</v>
      </c>
      <c r="T103" s="395">
        <f ca="1">IF($E$274=0,0,IF(SUM($G103:S103)=$B103,0,IF(SUM($G274:S274)&gt;=$E274,($B103/$E274)*($E274-SUM($G274:R274)),($B103/$E274)*S274)))</f>
        <v>0</v>
      </c>
      <c r="U103" s="395">
        <f ca="1">IF($E$274=0,0,IF(SUM($G103:T103)=$B103,0,IF(SUM($G274:T274)&gt;=$E274,($B103/$E274)*($E274-SUM($G274:S274)),($B103/$E274)*T274)))</f>
        <v>0</v>
      </c>
      <c r="V103" s="395">
        <f ca="1">IF($E$274=0,0,IF(SUM($G103:U103)=$B103,0,IF(SUM($G274:U274)&gt;=$E274,($B103/$E274)*($E274-SUM($G274:T274)),($B103/$E274)*U274)))</f>
        <v>0</v>
      </c>
      <c r="W103" s="395">
        <f ca="1">IF($E$274=0,0,IF(SUM($G103:V103)=$B103,0,IF(SUM($G274:V274)&gt;=$E274,($B103/$E274)*($E274-SUM($G274:U274)),($B103/$E274)*V274)))</f>
        <v>0</v>
      </c>
      <c r="X103" s="395">
        <f ca="1">IF($E$274=0,0,IF(SUM($G103:W103)=$B103,0,IF(SUM($G274:W274)&gt;=$E274,($B103/$E274)*($E274-SUM($G274:V274)),($B103/$E274)*W274)))</f>
        <v>0</v>
      </c>
      <c r="Y103" s="395">
        <f ca="1">IF($E$274=0,0,IF(SUM($G103:X103)=$B103,0,IF(SUM($G274:X274)&gt;=$E274,($B103/$E274)*($E274-SUM($G274:W274)),($B103/$E274)*X274)))</f>
        <v>0</v>
      </c>
      <c r="Z103" s="395">
        <f ca="1">IF($E$274=0,0,IF(SUM($G103:Y103)=$B103,0,IF(SUM($G274:Y274)&gt;=$E274,($B103/$E274)*($E274-SUM($G274:X274)),($B103/$E274)*Y274)))</f>
        <v>0</v>
      </c>
      <c r="AA103" s="395">
        <f ca="1">IF($E$274=0,0,IF(SUM($G103:Z103)=$B103,0,IF(SUM($G274:Z274)&gt;=$E274,($B103/$E274)*($E274-SUM($G274:Y274)),($B103/$E274)*Z274)))</f>
        <v>0</v>
      </c>
      <c r="AB103" s="395">
        <f ca="1">IF($E$274=0,0,IF(SUM($G103:AA103)=$B103,0,IF(SUM($G274:AA274)&gt;=$E274,($B103/$E274)*($E274-SUM($G274:Z274)),($B103/$E274)*AA274)))</f>
        <v>0</v>
      </c>
      <c r="AC103" s="395">
        <f ca="1">IF($E$274=0,0,IF(SUM($G103:AB103)=$B103,0,IF(SUM($G274:AB274)&gt;=$E274,($B103/$E274)*($E274-SUM($G274:AA274)),($B103/$E274)*AB274)))</f>
        <v>0</v>
      </c>
      <c r="AD103" s="395">
        <f ca="1">IF($E$274=0,0,IF(SUM($G103:AC103)=$B103,0,IF(SUM($G274:AC274)&gt;=$E274,($B103/$E274)*($E274-SUM($G274:AB274)),($B103/$E274)*AC274)))</f>
        <v>0</v>
      </c>
      <c r="AE103" s="395">
        <f ca="1">IF($E$274=0,0,IF(SUM($G103:AD103)=$B103,0,IF(SUM($G274:AD274)&gt;=$E274,($B103/$E274)*($E274-SUM($G274:AC274)),($B103/$E274)*AD274)))</f>
        <v>0</v>
      </c>
      <c r="AF103" s="395">
        <f ca="1">IF($E$274=0,0,IF(SUM($G103:AE103)=$B103,0,IF(SUM($G274:AE274)&gt;=$E274,($B103/$E274)*($E274-SUM($G274:AD274)),($B103/$E274)*AE274)))</f>
        <v>0</v>
      </c>
      <c r="AG103" s="395">
        <f ca="1">IF($E$274=0,0,IF(SUM($G103:AF103)=$B103,0,IF(SUM($G274:AF274)&gt;=$E274,($B103/$E274)*($E274-SUM($G274:AE274)),($B103/$E274)*AF274)))</f>
        <v>0</v>
      </c>
      <c r="AH103" s="395">
        <f ca="1">IF($E$274=0,0,IF(SUM($G103:AG103)=$B103,0,IF(SUM($G274:AG274)&gt;=$E274,($B103/$E274)*($E274-SUM($G274:AF274)),($B103/$E274)*AG274)))</f>
        <v>0</v>
      </c>
      <c r="AI103" s="395">
        <f ca="1">IF($E$274=0,0,IF(SUM($G103:AH103)=$B103,0,IF(SUM($G274:AH274)&gt;=$E274,($B103/$E274)*($E274-SUM($G274:AG274)),($B103/$E274)*AH274)))</f>
        <v>0</v>
      </c>
      <c r="AJ103" s="395">
        <f ca="1">IF($E$274=0,0,IF(SUM($G103:AI103)=$B103,0,IF(SUM($G274:AI274)&gt;=$E274,($B103/$E274)*($E274-SUM($G274:AH274)),($B103/$E274)*AI274)))</f>
        <v>0</v>
      </c>
      <c r="AK103" s="395">
        <f ca="1">IF($E$274=0,0,IF(SUM($G103:AJ103)=$B103,0,IF(SUM($G274:AJ274)&gt;=$E274,($B103/$E274)*($E274-SUM($G274:AI274)),($B103/$E274)*AJ274)))</f>
        <v>0</v>
      </c>
      <c r="AL103" s="395">
        <f ca="1">IF($E$274=0,0,IF(SUM($G103:AK103)=$B103,0,IF(SUM($G274:AK274)&gt;=$E274,($B103/$E274)*($E274-SUM($G274:AJ274)),($B103/$E274)*AK274)))</f>
        <v>0</v>
      </c>
      <c r="AM103" s="395">
        <f ca="1">IF($E$274=0,0,IF(SUM($G103:AL103)=$B103,0,IF(SUM($G274:AL274)&gt;=$E274,($B103/$E274)*($E274-SUM($G274:AK274)),($B103/$E274)*AL274)))</f>
        <v>0</v>
      </c>
      <c r="AN103" s="395">
        <f ca="1">IF($E$274=0,0,IF(SUM($G103:AM103)=$B103,0,IF(SUM($G274:AM274)&gt;=$E274,($B103/$E274)*($E274-SUM($G274:AL274)),($B103/$E274)*AM274)))</f>
        <v>0</v>
      </c>
      <c r="AO103" s="395">
        <f ca="1">IF($E$274=0,0,IF(SUM($G103:AN103)=$B103,0,IF(SUM($G274:AN274)&gt;=$E274,($B103/$E274)*($E274-SUM($G274:AM274)),($B103/$E274)*AN274)))</f>
        <v>0</v>
      </c>
      <c r="AP103" s="395">
        <f ca="1">IF($E$274=0,0,IF(SUM($G103:AO103)=$B103,0,IF(SUM($G274:AO274)&gt;=$E274,($B103/$E274)*($E274-SUM($G274:AN274)),($B103/$E274)*AO274)))</f>
        <v>0</v>
      </c>
      <c r="AQ103" s="395">
        <f ca="1">IF($E$274=0,0,IF(SUM($G103:AP103)=$B103,0,IF(SUM($G274:AP274)&gt;=$E274,($B103/$E274)*($E274-SUM($G274:AO274)),($B103/$E274)*AP274)))</f>
        <v>0</v>
      </c>
      <c r="AR103" s="395">
        <f ca="1">IF($E$274=0,0,IF(SUM($G103:AQ103)=$B103,0,IF(SUM($G274:AQ274)&gt;=$E274,($B103/$E274)*($E274-SUM($G274:AP274)),($B103/$E274)*AQ274)))</f>
        <v>0</v>
      </c>
      <c r="AS103" s="395">
        <f ca="1">IF($E$274=0,0,IF(SUM($G103:AR103)=$B103,0,IF(SUM($G274:AR274)&gt;=$E274,($B103/$E274)*($E274-SUM($G274:AQ274)),($B103/$E274)*AR274)))</f>
        <v>0</v>
      </c>
      <c r="AT103" s="395">
        <f ca="1">IF($E$274=0,0,IF(SUM($G103:AS103)=$B103,0,IF(SUM($G274:AS274)&gt;=$E274,($B103/$E274)*($E274-SUM($G274:AR274)),($B103/$E274)*AS274)))</f>
        <v>0</v>
      </c>
      <c r="AU103" s="395">
        <f ca="1">IF($E$274=0,0,IF(SUM($G103:AT103)=$B103,0,IF(SUM($G274:AT274)&gt;=$E274,($B103/$E274)*($E274-SUM($G274:AS274)),($B103/$E274)*AT274)))</f>
        <v>0</v>
      </c>
      <c r="AV103" s="395">
        <f ca="1">IF($E$274=0,0,IF(SUM($G103:AU103)=$B103,0,IF(SUM($G274:AU274)&gt;=$E274,($B103/$E274)*($E274-SUM($G274:AT274)),($B103/$E274)*AU274)))</f>
        <v>0</v>
      </c>
      <c r="AW103" s="395">
        <f ca="1">IF($E$274=0,0,IF(SUM($G103:AV103)=$B103,0,IF(SUM($G274:AV274)&gt;=$E274,($B103/$E274)*($E274-SUM($G274:AU274)),($B103/$E274)*AV274)))</f>
        <v>0</v>
      </c>
      <c r="AX103" s="395">
        <f ca="1">IF($E$274=0,0,IF(SUM($G103:AW103)=$B103,0,IF(SUM($G274:AW274)&gt;=$E274,($B103/$E274)*($E274-SUM($G274:AV274)),($B103/$E274)*AW274)))</f>
        <v>0</v>
      </c>
      <c r="AY103" s="395">
        <f ca="1">IF($E$274=0,0,IF(SUM($G103:AX103)=$B103,0,IF(SUM($G274:AX274)&gt;=$E274,($B103/$E274)*($E274-SUM($G274:AW274)),($B103/$E274)*AX274)))</f>
        <v>0</v>
      </c>
      <c r="AZ103" s="395">
        <f ca="1">IF($E$274=0,0,IF(SUM($G103:AY103)=$B103,0,IF(SUM($G274:AY274)&gt;=$E274,($B103/$E274)*($E274-SUM($G274:AX274)),($B103/$E274)*AY274)))</f>
        <v>0</v>
      </c>
      <c r="BA103" s="395">
        <f ca="1">IF($E$274=0,0,IF(SUM($G103:AZ103)=$B103,0,IF(SUM($G274:AZ274)&gt;=$E274,($B103/$E274)*($E274-SUM($G274:AY274)),($B103/$E274)*AZ274)))</f>
        <v>0</v>
      </c>
      <c r="BB103" s="395">
        <f ca="1">IF($E$274=0,0,IF(SUM($G103:BA103)=$B103,0,IF(SUM($G274:BA274)&gt;=$E274,($B103/$E274)*($E274-SUM($G274:AZ274)),($B103/$E274)*BA274)))</f>
        <v>6.0714285714285714E-2</v>
      </c>
      <c r="BC103" s="395">
        <f ca="1">IF($E$274=0,0,IF(SUM($G103:BB103)=$B103,0,IF(SUM($G274:BB274)&gt;=$E274,($B103/$E274)*($E274-SUM($G274:BA274)),($B103/$E274)*BB274)))</f>
        <v>0.33999999999999997</v>
      </c>
      <c r="BD103" s="395">
        <f ca="1">IF($E$274=0,0,IF(SUM($G103:BC103)=$B103,0,IF(SUM($G274:BC274)&gt;=$E274,($B103/$E274)*($E274-SUM($G274:BB274)),($B103/$E274)*BC274)))</f>
        <v>0.37642857142857145</v>
      </c>
      <c r="BE103" s="395">
        <f ca="1">IF($E$274=0,0,IF(SUM($G103:BD103)=$B103,0,IF(SUM($G274:BD274)&gt;=$E274,($B103/$E274)*($E274-SUM($G274:BC274)),($B103/$E274)*BD274)))</f>
        <v>7.2857142857142856E-2</v>
      </c>
      <c r="BF103" s="395">
        <f ca="1">IF($E$274=0,0,IF(SUM($G103:BE103)=$B103,0,IF(SUM($G274:BE274)&gt;=$E274,($B103/$E274)*($E274-SUM($G274:BD274)),($B103/$E274)*BE274)))</f>
        <v>0</v>
      </c>
      <c r="BG103" s="395">
        <f ca="1">IF($E$274=0,0,IF(SUM($G103:BF103)=$B103,0,IF(SUM($G274:BF274)&gt;=$E274,($B103/$E274)*($E274-SUM($G274:BE274)),($B103/$E274)*BF274)))</f>
        <v>0</v>
      </c>
      <c r="BH103" s="395">
        <f ca="1">IF($E$274=0,0,IF(SUM($G103:BG103)=$B103,0,IF(SUM($G274:BG274)&gt;=$E274,($B103/$E274)*($E274-SUM($G274:BF274)),($B103/$E274)*BG274)))</f>
        <v>0</v>
      </c>
      <c r="BI103" s="395">
        <f ca="1">IF($E$274=0,0,IF(SUM($G103:BH103)=$B103,0,IF(SUM($G274:BH274)&gt;=$E274,($B103/$E274)*($E274-SUM($G274:BG274)),($B103/$E274)*BH274)))</f>
        <v>0</v>
      </c>
      <c r="BJ103" s="395">
        <f ca="1">IF($E$274=0,0,IF(SUM($G103:BI103)=$B103,0,IF(SUM($G274:BI274)&gt;=$E274,($B103/$E274)*($E274-SUM($G274:BH274)),($B103/$E274)*BI274)))</f>
        <v>0</v>
      </c>
      <c r="BK103" s="395">
        <f ca="1">IF($E$274=0,0,IF(SUM($G103:BJ103)=$B103,0,IF(SUM($G274:BJ274)&gt;=$E274,($B103/$E274)*($E274-SUM($G274:BI274)),($B103/$E274)*BJ274)))</f>
        <v>0</v>
      </c>
      <c r="BL103" s="395">
        <f ca="1">IF($E$274=0,0,IF(SUM($G103:BK103)=$B103,0,IF(SUM($G274:BK274)&gt;=$E274,($B103/$E274)*($E274-SUM($G274:BJ274)),($B103/$E274)*BK274)))</f>
        <v>0</v>
      </c>
      <c r="BM103" s="395">
        <f ca="1">IF($E$274=0,0,IF(SUM($G103:BL103)=$B103,0,IF(SUM($G274:BL274)&gt;=$E274,($B103/$E274)*($E274-SUM($G274:BK274)),($B103/$E274)*BL274)))</f>
        <v>0</v>
      </c>
      <c r="BN103" s="395">
        <f ca="1">IF($E$274=0,0,IF(SUM($G103:BM103)=$B103,0,IF(SUM($G274:BM274)&gt;=$E274,($B103/$E274)*($E274-SUM($G274:BL274)),($B103/$E274)*BM274)))</f>
        <v>0</v>
      </c>
      <c r="BO103" s="395">
        <f ca="1">IF($E$274=0,0,IF(SUM($G103:BN103)=$B103,0,IF(SUM($G274:BN274)&gt;=$E274,($B103/$E274)*($E274-SUM($G274:BM274)),($B103/$E274)*BN274)))</f>
        <v>0</v>
      </c>
      <c r="BP103" s="395">
        <f ca="1">IF($E$274=0,0,IF(SUM($G103:BO103)=$B103,0,IF(SUM($G274:BO274)&gt;=$E274,($B103/$E274)*($E274-SUM($G274:BN274)),($B103/$E274)*BO274)))</f>
        <v>0</v>
      </c>
      <c r="BQ103" s="395">
        <f ca="1">IF($E$274=0,0,IF(SUM($G103:BP103)=$B103,0,IF(SUM($G274:BP274)&gt;=$E274,($B103/$E274)*($E274-SUM($G274:BO274)),($B103/$E274)*BP274)))</f>
        <v>0</v>
      </c>
      <c r="BR103" s="395">
        <f ca="1">IF($E$274=0,0,IF(SUM($G103:BQ103)=$B103,0,IF(SUM($G274:BQ274)&gt;=$E274,($B103/$E274)*($E274-SUM($G274:BP274)),($B103/$E274)*BQ274)))</f>
        <v>0</v>
      </c>
      <c r="BS103" s="395">
        <f ca="1">IF($E$274=0,0,IF(SUM($G103:BR103)=$B103,0,IF(SUM($G274:BR274)&gt;=$E274,($B103/$E274)*($E274-SUM($G274:BQ274)),($B103/$E274)*BR274)))</f>
        <v>0</v>
      </c>
      <c r="BT103" s="395">
        <f ca="1">IF($E$274=0,0,IF(SUM($G103:BS103)=$B103,0,IF(SUM($G274:BS274)&gt;=$E274,($B103/$E274)*($E274-SUM($G274:BR274)),($B103/$E274)*BS274)))</f>
        <v>0</v>
      </c>
      <c r="BU103" s="395">
        <f ca="1">IF($E$274=0,0,IF(SUM($G103:BT103)=$B103,0,IF(SUM($G274:BT274)&gt;=$E274,($B103/$E274)*($E274-SUM($G274:BS274)),($B103/$E274)*BT274)))</f>
        <v>0</v>
      </c>
      <c r="BV103" s="395">
        <f ca="1">IF($E$274=0,0,IF(SUM($G103:BU103)=$B103,0,IF(SUM($G274:BU274)&gt;=$E274,($B103/$E274)*($E274-SUM($G274:BT274)),($B103/$E274)*BU274)))</f>
        <v>0</v>
      </c>
      <c r="BW103" s="395">
        <f ca="1">IF($E$274=0,0,IF(SUM($G103:BV103)=$B103,0,IF(SUM($G274:BV274)&gt;=$E274,($B103/$E274)*($E274-SUM($G274:BU274)),($B103/$E274)*BV274)))</f>
        <v>0</v>
      </c>
      <c r="BX103" s="395">
        <f ca="1">IF($E$274=0,0,IF(SUM($G103:BW103)=$B103,0,IF(SUM($G274:BW274)&gt;=$E274,($B103/$E274)*($E274-SUM($G274:BV274)),($B103/$E274)*BW274)))</f>
        <v>0</v>
      </c>
      <c r="BY103" s="395">
        <f ca="1">IF($E$274=0,0,IF(SUM($G103:BX103)=$B103,0,IF(SUM($G274:BX274)&gt;=$E274,($B103/$E274)*($E274-SUM($G274:BW274)),($B103/$E274)*BX274)))</f>
        <v>0</v>
      </c>
      <c r="BZ103" s="395">
        <f ca="1">IF($E$274=0,0,IF(SUM($G103:BY103)=$B103,0,IF(SUM($G274:BY274)&gt;=$E274,($B103/$E274)*($E274-SUM($G274:BX274)),($B103/$E274)*BY274)))</f>
        <v>0</v>
      </c>
      <c r="CA103" s="395">
        <f ca="1">IF($E$274=0,0,IF(SUM($G103:BZ103)=$B103,0,IF(SUM($G274:BZ274)&gt;=$E274,($B103/$E274)*($E274-SUM($G274:BY274)),($B103/$E274)*BZ274)))</f>
        <v>0</v>
      </c>
      <c r="CB103" s="395">
        <f ca="1">IF($E$274=0,0,IF(SUM($G103:CA103)=$B103,0,IF(SUM($G274:CA274)&gt;=$E274,($B103/$E274)*($E274-SUM($G274:BZ274)),($B103/$E274)*CA274)))</f>
        <v>0</v>
      </c>
      <c r="CC103" s="395">
        <f ca="1">IF($E$274=0,0,IF(SUM($G103:CB103)=$B103,0,IF(SUM($G274:CB274)&gt;=$E274,($B103/$E274)*($E274-SUM($G274:CA274)),($B103/$E274)*CB274)))</f>
        <v>0</v>
      </c>
      <c r="CD103" s="395">
        <f ca="1">IF($E$274=0,0,IF(SUM($G103:CC103)=$B103,0,IF(SUM($G274:CC274)&gt;=$E274,($B103/$E274)*($E274-SUM($G274:CB274)),($B103/$E274)*CC274)))</f>
        <v>0</v>
      </c>
      <c r="CE103" s="395">
        <f ca="1">IF($E$274=0,0,IF(SUM($G103:CD103)=$B103,0,IF(SUM($G274:CD274)&gt;=$E274,($B103/$E274)*($E274-SUM($G274:CC274)),($B103/$E274)*CD274)))</f>
        <v>0</v>
      </c>
      <c r="CF103" s="395">
        <f ca="1">IF($E$274=0,0,IF(SUM($G103:CE103)=$B103,0,IF(SUM($G274:CE274)&gt;=$E274,($B103/$E274)*($E274-SUM($G274:CD274)),($B103/$E274)*CE274)))</f>
        <v>0</v>
      </c>
      <c r="CG103" s="395">
        <f ca="1">IF($E$274=0,0,IF(SUM($G103:CF103)=$B103,0,IF(SUM($G274:CF274)&gt;=$E274,($B103/$E274)*($E274-SUM($G274:CE274)),($B103/$E274)*CF274)))</f>
        <v>0</v>
      </c>
      <c r="CH103" s="395">
        <f ca="1">IF($E$274=0,0,IF(SUM($G103:CG103)=$B103,0,IF(SUM($G274:CG274)&gt;=$E274,($B103/$E274)*($E274-SUM($G274:CF274)),($B103/$E274)*CG274)))</f>
        <v>0</v>
      </c>
      <c r="CI103" s="395">
        <f ca="1">IF($E$274=0,0,IF(SUM($G103:CH103)=$B103,0,IF(SUM($G274:CH274)&gt;=$E274,($B103/$E274)*($E274-SUM($G274:CG274)),($B103/$E274)*CH274)))</f>
        <v>0</v>
      </c>
      <c r="CJ103" s="395">
        <f ca="1">IF($E$274=0,0,IF(SUM($G103:CI103)=$B103,0,IF(SUM($G274:CI274)&gt;=$E274,($B103/$E274)*($E274-SUM($G274:CH274)),($B103/$E274)*CI274)))</f>
        <v>0</v>
      </c>
      <c r="CK103" s="395">
        <f ca="1">IF($E$274=0,0,IF(SUM($G103:CJ103)=$B103,0,IF(SUM($G274:CJ274)&gt;=$E274,($B103/$E274)*($E274-SUM($G274:CI274)),($B103/$E274)*CJ274)))</f>
        <v>0</v>
      </c>
      <c r="CL103" s="395">
        <f ca="1">IF($E$274=0,0,IF(SUM($G103:CK103)=$B103,0,IF(SUM($G274:CK274)&gt;=$E274,($B103/$E274)*($E274-SUM($G274:CJ274)),($B103/$E274)*CK274)))</f>
        <v>0</v>
      </c>
      <c r="CM103" s="395">
        <f ca="1">IF($E$274=0,0,IF(SUM($G103:CL103)=$B103,0,IF(SUM($G274:CL274)&gt;=$E274,($B103/$E274)*($E274-SUM($G274:CK274)),($B103/$E274)*CL274)))</f>
        <v>0</v>
      </c>
      <c r="CN103" s="395">
        <f ca="1">IF($E$274=0,0,IF(SUM($G103:CM103)=$B103,0,IF(SUM($G274:CM274)&gt;=$E274,($B103/$E274)*($E274-SUM($G274:CL274)),($B103/$E274)*CM274)))</f>
        <v>0</v>
      </c>
      <c r="CO103" s="395">
        <f ca="1">IF($E$274=0,0,IF(SUM($G103:CN103)=$B103,0,IF(SUM($G274:CN274)&gt;=$E274,($B103/$E274)*($E274-SUM($G274:CM274)),($B103/$E274)*CN274)))</f>
        <v>0</v>
      </c>
      <c r="CP103" s="395">
        <f ca="1">IF($E$274=0,0,IF(SUM($G103:CO103)=$B103,0,IF(SUM($G274:CO274)&gt;=$E274,($B103/$E274)*($E274-SUM($G274:CN274)),($B103/$E274)*CO274)))</f>
        <v>0</v>
      </c>
      <c r="CQ103" s="395">
        <f ca="1">IF($E$274=0,0,IF(SUM($G103:CP103)=$B103,0,IF(SUM($G274:CP274)&gt;=$E274,($B103/$E274)*($E274-SUM($G274:CO274)),($B103/$E274)*CP274)))</f>
        <v>0</v>
      </c>
      <c r="CR103" s="395">
        <f ca="1">IF($E$274=0,0,IF(SUM($G103:CQ103)=$B103,0,IF(SUM($G274:CQ274)&gt;=$E274,($B103/$E274)*($E274-SUM($G274:CP274)),($B103/$E274)*CQ274)))</f>
        <v>0</v>
      </c>
      <c r="CS103" s="395">
        <f ca="1">IF($E$274=0,0,IF(SUM($G103:CR103)=$B103,0,IF(SUM($G274:CR274)&gt;=$E274,($B103/$E274)*($E274-SUM($G274:CQ274)),($B103/$E274)*CR274)))</f>
        <v>0</v>
      </c>
      <c r="CT103" s="395">
        <f ca="1">IF($E$274=0,0,IF(SUM($G103:CS103)=$B103,0,IF(SUM($G274:CS274)&gt;=$E274,($B103/$E274)*($E274-SUM($G274:CR274)),($B103/$E274)*CS274)))</f>
        <v>0</v>
      </c>
      <c r="CU103" s="395">
        <f ca="1">IF($E$274=0,0,IF(SUM($G103:CT103)=$B103,0,IF(SUM($G274:CT274)&gt;=$E274,($B103/$E274)*($E274-SUM($G274:CS274)),($B103/$E274)*CT274)))</f>
        <v>0</v>
      </c>
      <c r="CV103" s="395">
        <f ca="1">IF($E$274=0,0,IF(SUM($G103:CU103)=$B103,0,IF(SUM($G274:CU274)&gt;=$E274,($B103/$E274)*($E274-SUM($G274:CT274)),($B103/$E274)*CU274)))</f>
        <v>0</v>
      </c>
      <c r="CW103" s="395">
        <f ca="1">IF($E$274=0,0,IF(SUM($G103:CV103)=$B103,0,IF(SUM($G274:CV274)&gt;=$E274,($B103/$E274)*($E274-SUM($G274:CU274)),($B103/$E274)*CV274)))</f>
        <v>0</v>
      </c>
      <c r="CX103" s="395">
        <f ca="1">IF($E$274=0,0,IF(SUM($G103:CW103)=$B103,0,IF(SUM($G274:CW274)&gt;=$E274,($B103/$E274)*($E274-SUM($G274:CV274)),($B103/$E274)*CW274)))</f>
        <v>0</v>
      </c>
      <c r="CY103" s="395">
        <f ca="1">IF($E$274=0,0,IF(SUM($G103:CX103)=$B103,0,IF(SUM($G274:CX274)&gt;=$E274,($B103/$E274)*($E274-SUM($G274:CW274)),($B103/$E274)*CX274)))</f>
        <v>0</v>
      </c>
      <c r="CZ103" s="395">
        <f ca="1">IF($E$274=0,0,IF(SUM($G103:CY103)=$B103,0,IF(SUM($G274:CY274)&gt;=$E274,($B103/$E274)*($E274-SUM($G274:CX274)),($B103/$E274)*CY274)))</f>
        <v>0</v>
      </c>
      <c r="DA103" s="395">
        <f ca="1">IF($E$274=0,0,IF(SUM($G103:CZ103)=$B103,0,IF(SUM($G274:CZ274)&gt;=$E274,($B103/$E274)*($E274-SUM($G274:CY274)),($B103/$E274)*CZ274)))</f>
        <v>0</v>
      </c>
      <c r="DB103" s="395">
        <f ca="1">IF($E$274=0,0,IF(SUM($G103:DA103)=$B103,0,IF(SUM($G274:DA274)&gt;=$E274,($B103/$E274)*($E274-SUM($G274:CZ274)),($B103/$E274)*DA274)))</f>
        <v>0</v>
      </c>
      <c r="DC103" s="395">
        <f ca="1">IF($E$274=0,0,IF(SUM($G103:DB103)=$B103,0,IF(SUM($G274:DB274)&gt;=$E274,($B103/$E274)*($E274-SUM($G274:DA274)),($B103/$E274)*DB274)))</f>
        <v>0</v>
      </c>
      <c r="DD103" s="395">
        <f ca="1">IF($E$274=0,0,IF(SUM($G103:DC103)=$B103,0,IF(SUM($G274:DC274)&gt;=$E274,($B103/$E274)*($E274-SUM($G274:DB274)),($B103/$E274)*DC274)))</f>
        <v>0</v>
      </c>
      <c r="DE103" s="395">
        <f ca="1">IF($E$274=0,0,IF(SUM($G103:DD103)=$B103,0,IF(SUM($G274:DD274)&gt;=$E274,($B103/$E274)*($E274-SUM($G274:DC274)),($B103/$E274)*DD274)))</f>
        <v>0</v>
      </c>
      <c r="DF103" s="395">
        <f ca="1">IF($E$274=0,0,IF(SUM($G103:DE103)=$B103,0,IF(SUM($G274:DE274)&gt;=$E274,($B103/$E274)*($E274-SUM($G274:DD274)),($B103/$E274)*DE274)))</f>
        <v>0</v>
      </c>
      <c r="DG103" s="395">
        <f ca="1">IF($E$274=0,0,IF(SUM($G103:DF103)=$B103,0,IF(SUM($G274:DF274)&gt;=$E274,($B103/$E274)*($E274-SUM($G274:DE274)),($B103/$E274)*DF274)))</f>
        <v>0</v>
      </c>
      <c r="DH103" s="395">
        <f ca="1">IF($E$274=0,0,IF(SUM($G103:DG103)=$B103,0,IF(SUM($G274:DG274)&gt;=$E274,($B103/$E274)*($E274-SUM($G274:DF274)),($B103/$E274)*DG274)))</f>
        <v>0</v>
      </c>
      <c r="DI103" s="395">
        <f ca="1">IF($E$274=0,0,IF(SUM($G103:DH103)=$B103,0,IF(SUM($G274:DH274)&gt;=$E274,($B103/$E274)*($E274-SUM($G274:DG274)),($B103/$E274)*DH274)))</f>
        <v>0</v>
      </c>
      <c r="DJ103" s="395">
        <f ca="1">IF($E$274=0,0,IF(SUM($G103:DI103)=$B103,0,IF(SUM($G274:DI274)&gt;=$E274,($B103/$E274)*($E274-SUM($G274:DH274)),($B103/$E274)*DI274)))</f>
        <v>0</v>
      </c>
      <c r="DK103" s="395">
        <f ca="1">IF($E$274=0,0,IF(SUM($G103:DJ103)=$B103,0,IF(SUM($G274:DJ274)&gt;=$E274,($B103/$E274)*($E274-SUM($G274:DI274)),($B103/$E274)*DJ274)))</f>
        <v>0</v>
      </c>
      <c r="DL103" s="395">
        <f ca="1">IF($E$274=0,0,IF(SUM($G103:DK103)=$B103,0,IF(SUM($G274:DK274)&gt;=$E274,($B103/$E274)*($E274-SUM($G274:DJ274)),($B103/$E274)*DK274)))</f>
        <v>0</v>
      </c>
      <c r="DM103" s="395">
        <f ca="1">IF($E$274=0,0,IF(SUM($G103:DL103)=$B103,0,IF(SUM($G274:DL274)&gt;=$E274,($B103/$E274)*($E274-SUM($G274:DK274)),($B103/$E274)*DL274)))</f>
        <v>0</v>
      </c>
      <c r="DN103" s="395">
        <f ca="1">IF($E$274=0,0,IF(SUM($G103:DM103)=$B103,0,IF(SUM($G274:DM274)&gt;=$E274,($B103/$E274)*($E274-SUM($G274:DL274)),($B103/$E274)*DM274)))</f>
        <v>0</v>
      </c>
      <c r="DO103" s="395">
        <f ca="1">IF($E$274=0,0,IF(SUM($G103:DN103)=$B103,0,IF(SUM($G274:DN274)&gt;=$E274,($B103/$E274)*($E274-SUM($G274:DM274)),($B103/$E274)*DN274)))</f>
        <v>0</v>
      </c>
      <c r="DP103" s="395">
        <f ca="1">IF($E$274=0,0,IF(SUM($G103:DO103)=$B103,0,IF(SUM($G274:DO274)&gt;=$E274,($B103/$E274)*($E274-SUM($G274:DN274)),($B103/$E274)*DO274)))</f>
        <v>0</v>
      </c>
      <c r="DQ103" s="395">
        <f ca="1">IF($E$274=0,0,IF(SUM($G103:DP103)=$B103,0,IF(SUM($G274:DP274)&gt;=$E274,($B103/$E274)*($E274-SUM($G274:DO274)),($B103/$E274)*DP274)))</f>
        <v>0</v>
      </c>
      <c r="DR103" s="395">
        <f ca="1">IF($E$274=0,0,IF(SUM($G103:DQ103)=$B103,0,IF(SUM($G274:DQ274)&gt;=$E274,($B103/$E274)*($E274-SUM($G274:DP274)),($B103/$E274)*DQ274)))</f>
        <v>0</v>
      </c>
      <c r="DS103" s="395">
        <f ca="1">IF($E$274=0,0,IF(SUM($G103:DR103)=$B103,0,IF(SUM($G274:DR274)&gt;=$E274,($B103/$E274)*($E274-SUM($G274:DQ274)),($B103/$E274)*DR274)))</f>
        <v>0</v>
      </c>
      <c r="DT103" s="395">
        <f ca="1">IF($E$274=0,0,IF(SUM($G103:DS103)=$B103,0,IF(SUM($G274:DS274)&gt;=$E274,($B103/$E274)*($E274-SUM($G274:DR274)),($B103/$E274)*DS274)))</f>
        <v>0</v>
      </c>
      <c r="DU103" s="395">
        <f ca="1">IF($E$274=0,0,IF(SUM($G103:DT103)=$B103,0,IF(SUM($G274:DT274)&gt;=$E274,($B103/$E274)*($E274-SUM($G274:DS274)),($B103/$E274)*DT274)))</f>
        <v>0</v>
      </c>
      <c r="DV103" s="395">
        <f ca="1">IF($E$274=0,0,IF(SUM($G103:DU103)=$B103,0,IF(SUM($G274:DU274)&gt;=$E274,($B103/$E274)*($E274-SUM($G274:DT274)),($B103/$E274)*DU274)))</f>
        <v>0</v>
      </c>
      <c r="DW103" s="395">
        <f ca="1">IF($E$274=0,0,IF(SUM($G103:DV103)=$B103,0,IF(SUM($G274:DV274)&gt;=$E274,($B103/$E274)*($E274-SUM($G274:DU274)),($B103/$E274)*DV274)))</f>
        <v>0</v>
      </c>
      <c r="DX103" s="395">
        <f ca="1">IF($E$274=0,0,IF(SUM($G103:DW103)=$B103,0,IF(SUM($G274:DW274)&gt;=$E274,($B103/$E274)*($E274-SUM($G274:DV274)),($B103/$E274)*DW274)))</f>
        <v>0</v>
      </c>
      <c r="DY103" s="395">
        <f ca="1">IF($E$274=0,0,IF(SUM($G103:DX103)=$B103,0,IF(SUM($G274:DX274)&gt;=$E274,($B103/$E274)*($E274-SUM($G274:DW274)),($B103/$E274)*DX274)))</f>
        <v>0</v>
      </c>
      <c r="DZ103" s="395">
        <f ca="1">IF($E$274=0,0,IF(SUM($G103:DY103)=$B103,0,IF(SUM($G274:DY274)&gt;=$E274,($B103/$E274)*($E274-SUM($G274:DX274)),($B103/$E274)*DY274)))</f>
        <v>0</v>
      </c>
      <c r="EA103" s="395">
        <f ca="1">IF($E$274=0,0,IF(SUM($G103:DZ103)=$B103,0,IF(SUM($G274:DZ274)&gt;=$E274,($B103/$E274)*($E274-SUM($G274:DY274)),($B103/$E274)*DZ274)))</f>
        <v>0</v>
      </c>
      <c r="EB103" s="395">
        <f ca="1">IF($E$274=0,0,IF(SUM($G103:EA103)=$B103,0,IF(SUM($G274:EA274)&gt;=$E274,($B103/$E274)*($E274-SUM($G274:DZ274)),($B103/$E274)*EA274)))</f>
        <v>0</v>
      </c>
      <c r="EC103" s="395">
        <f ca="1">IF($E$274=0,0,IF(SUM($G103:EB103)=$B103,0,IF(SUM($G274:EB274)&gt;=$E274,($B103/$E274)*($E274-SUM($G274:EA274)),($B103/$E274)*EB274)))</f>
        <v>0</v>
      </c>
      <c r="ED103" s="395">
        <f ca="1">IF($E$274=0,0,IF(SUM($G103:EC103)=$B103,0,IF(SUM($G274:EC274)&gt;=$E274,($B103/$E274)*($E274-SUM($G274:EB274)),($B103/$E274)*EC274)))</f>
        <v>0</v>
      </c>
      <c r="EE103" s="395">
        <f ca="1">IF($E$274=0,0,IF(SUM($G103:ED103)=$B103,0,IF(SUM($G274:ED274)&gt;=$E274,($B103/$E274)*($E274-SUM($G274:EC274)),($B103/$E274)*ED274)))</f>
        <v>0</v>
      </c>
      <c r="EF103" s="395">
        <f ca="1">IF($E$274=0,0,IF(SUM($G103:EE103)=$B103,0,IF(SUM($G274:EE274)&gt;=$E274,($B103/$E274)*($E274-SUM($G274:ED274)),($B103/$E274)*EE274)))</f>
        <v>0</v>
      </c>
      <c r="EG103" s="395">
        <f ca="1">IF($E$274=0,0,IF(SUM($G103:EF103)=$B103,0,IF(SUM($G274:EF274)&gt;=$E274,($B103/$E274)*($E274-SUM($G274:EE274)),($B103/$E274)*EF274)))</f>
        <v>0</v>
      </c>
      <c r="EH103" s="395">
        <f ca="1">IF($E$274=0,0,IF(SUM($G103:EG103)=$B103,0,IF(SUM($G274:EG274)&gt;=$E274,($B103/$E274)*($E274-SUM($G274:EF274)),($B103/$E274)*EG274)))</f>
        <v>0</v>
      </c>
      <c r="EI103" s="395">
        <f ca="1">IF($E$274=0,0,IF(SUM($G103:EH103)=$B103,0,IF(SUM($G274:EH274)&gt;=$E274,($B103/$E274)*($E274-SUM($G274:EG274)),($B103/$E274)*EH274)))</f>
        <v>0</v>
      </c>
      <c r="EJ103" s="398"/>
      <c r="EK103" s="313"/>
    </row>
    <row r="104" spans="1:141" hidden="1" outlineLevel="2">
      <c r="A104" s="332"/>
      <c r="B104" s="549">
        <f>длительность!D185</f>
        <v>2.5000000000000001E-2</v>
      </c>
      <c r="C104" s="317"/>
      <c r="D104" s="317" t="s">
        <v>638</v>
      </c>
      <c r="E104" s="318">
        <f t="shared" ca="1" si="323"/>
        <v>0</v>
      </c>
      <c r="F104" s="397">
        <f ca="1">SUM(G104:EJ104)</f>
        <v>2.5000000000000001E-2</v>
      </c>
      <c r="G104" s="395"/>
      <c r="H104" s="395">
        <f ca="1">IF($E$274=0,0,IF(SUM($G104:G104)=$B104,0,IF(SUM(H103:$EJ103)=0%,$B104,0%)))</f>
        <v>0</v>
      </c>
      <c r="I104" s="395">
        <f ca="1">IF($E$274=0,0,IF(SUM($G104:H104)=$B104,0,IF(SUM(I103:$EJ103)=0%,$B104,0%)))</f>
        <v>0</v>
      </c>
      <c r="J104" s="395">
        <f ca="1">IF($E$274=0,0,IF(SUM($G104:I104)=$B104,0,IF(SUM(J103:$EJ103)=0%,$B104,0%)))</f>
        <v>0</v>
      </c>
      <c r="K104" s="395">
        <f ca="1">IF($E$274=0,0,IF(SUM($G104:J104)=$B104,0,IF(SUM(K103:$EJ103)=0%,$B104,0%)))</f>
        <v>0</v>
      </c>
      <c r="L104" s="395">
        <f ca="1">IF($E$274=0,0,IF(SUM($G104:K104)=$B104,0,IF(SUM(L103:$EJ103)=0%,$B104,0%)))</f>
        <v>0</v>
      </c>
      <c r="M104" s="395">
        <f ca="1">IF($E$274=0,0,IF(SUM($G104:L104)=$B104,0,IF(SUM(M103:$EJ103)=0%,$B104,0%)))</f>
        <v>0</v>
      </c>
      <c r="N104" s="395">
        <f ca="1">IF($E$274=0,0,IF(SUM($G104:M104)=$B104,0,IF(SUM(N103:$EJ103)=0%,$B104,0%)))</f>
        <v>0</v>
      </c>
      <c r="O104" s="395">
        <f ca="1">IF($E$274=0,0,IF(SUM($G104:N104)=$B104,0,IF(SUM(O103:$EJ103)=0%,$B104,0%)))</f>
        <v>0</v>
      </c>
      <c r="P104" s="395">
        <f ca="1">IF($E$274=0,0,IF(SUM($G104:O104)=$B104,0,IF(SUM(P103:$EJ103)=0%,$B104,0%)))</f>
        <v>0</v>
      </c>
      <c r="Q104" s="395">
        <f ca="1">IF($E$274=0,0,IF(SUM($G104:P104)=$B104,0,IF(SUM(Q103:$EJ103)=0%,$B104,0%)))</f>
        <v>0</v>
      </c>
      <c r="R104" s="395">
        <f ca="1">IF($E$274=0,0,IF(SUM($G104:Q104)=$B104,0,IF(SUM(R103:$EJ103)=0%,$B104,0%)))</f>
        <v>0</v>
      </c>
      <c r="S104" s="395">
        <f ca="1">IF($E$274=0,0,IF(SUM($G104:R104)=$B104,0,IF(SUM(S103:$EJ103)=0%,$B104,0%)))</f>
        <v>0</v>
      </c>
      <c r="T104" s="395">
        <f ca="1">IF($E$274=0,0,IF(SUM($G104:S104)=$B104,0,IF(SUM(T103:$EJ103)=0%,$B104,0%)))</f>
        <v>0</v>
      </c>
      <c r="U104" s="395">
        <f ca="1">IF($E$274=0,0,IF(SUM($G104:T104)=$B104,0,IF(SUM(U103:$EJ103)=0%,$B104,0%)))</f>
        <v>0</v>
      </c>
      <c r="V104" s="395">
        <f ca="1">IF($E$274=0,0,IF(SUM($G104:U104)=$B104,0,IF(SUM(V103:$EJ103)=0%,$B104,0%)))</f>
        <v>0</v>
      </c>
      <c r="W104" s="395">
        <f ca="1">IF($E$274=0,0,IF(SUM($G104:V104)=$B104,0,IF(SUM(W103:$EJ103)=0%,$B104,0%)))</f>
        <v>0</v>
      </c>
      <c r="X104" s="395">
        <f ca="1">IF($E$274=0,0,IF(SUM($G104:W104)=$B104,0,IF(SUM(X103:$EJ103)=0%,$B104,0%)))</f>
        <v>0</v>
      </c>
      <c r="Y104" s="395">
        <f ca="1">IF($E$274=0,0,IF(SUM($G104:X104)=$B104,0,IF(SUM(Y103:$EJ103)=0%,$B104,0%)))</f>
        <v>0</v>
      </c>
      <c r="Z104" s="395">
        <f ca="1">IF($E$274=0,0,IF(SUM($G104:Y104)=$B104,0,IF(SUM(Z103:$EJ103)=0%,$B104,0%)))</f>
        <v>0</v>
      </c>
      <c r="AA104" s="395">
        <f ca="1">IF($E$274=0,0,IF(SUM($G104:Z104)=$B104,0,IF(SUM(AA103:$EJ103)=0%,$B104,0%)))</f>
        <v>0</v>
      </c>
      <c r="AB104" s="395">
        <f ca="1">IF($E$274=0,0,IF(SUM($G104:AA104)=$B104,0,IF(SUM(AB103:$EJ103)=0%,$B104,0%)))</f>
        <v>0</v>
      </c>
      <c r="AC104" s="395">
        <f ca="1">IF($E$274=0,0,IF(SUM($G104:AB104)=$B104,0,IF(SUM(AC103:$EJ103)=0%,$B104,0%)))</f>
        <v>0</v>
      </c>
      <c r="AD104" s="395">
        <f ca="1">IF($E$274=0,0,IF(SUM($G104:AC104)=$B104,0,IF(SUM(AD103:$EJ103)=0%,$B104,0%)))</f>
        <v>0</v>
      </c>
      <c r="AE104" s="395">
        <f ca="1">IF($E$274=0,0,IF(SUM($G104:AD104)=$B104,0,IF(SUM(AE103:$EJ103)=0%,$B104,0%)))</f>
        <v>0</v>
      </c>
      <c r="AF104" s="395">
        <f ca="1">IF($E$274=0,0,IF(SUM($G104:AE104)=$B104,0,IF(SUM(AF103:$EJ103)=0%,$B104,0%)))</f>
        <v>0</v>
      </c>
      <c r="AG104" s="395">
        <f ca="1">IF($E$274=0,0,IF(SUM($G104:AF104)=$B104,0,IF(SUM(AG103:$EJ103)=0%,$B104,0%)))</f>
        <v>0</v>
      </c>
      <c r="AH104" s="395">
        <f ca="1">IF($E$274=0,0,IF(SUM($G104:AG104)=$B104,0,IF(SUM(AH103:$EJ103)=0%,$B104,0%)))</f>
        <v>0</v>
      </c>
      <c r="AI104" s="395">
        <f ca="1">IF($E$274=0,0,IF(SUM($G104:AH104)=$B104,0,IF(SUM(AI103:$EJ103)=0%,$B104,0%)))</f>
        <v>0</v>
      </c>
      <c r="AJ104" s="395">
        <f ca="1">IF($E$274=0,0,IF(SUM($G104:AI104)=$B104,0,IF(SUM(AJ103:$EJ103)=0%,$B104,0%)))</f>
        <v>0</v>
      </c>
      <c r="AK104" s="395">
        <f ca="1">IF($E$274=0,0,IF(SUM($G104:AJ104)=$B104,0,IF(SUM(AK103:$EJ103)=0%,$B104,0%)))</f>
        <v>0</v>
      </c>
      <c r="AL104" s="395">
        <f ca="1">IF($E$274=0,0,IF(SUM($G104:AK104)=$B104,0,IF(SUM(AL103:$EJ103)=0%,$B104,0%)))</f>
        <v>0</v>
      </c>
      <c r="AM104" s="395">
        <f ca="1">IF($E$274=0,0,IF(SUM($G104:AL104)=$B104,0,IF(SUM(AM103:$EJ103)=0%,$B104,0%)))</f>
        <v>0</v>
      </c>
      <c r="AN104" s="395">
        <f ca="1">IF($E$274=0,0,IF(SUM($G104:AM104)=$B104,0,IF(SUM(AN103:$EJ103)=0%,$B104,0%)))</f>
        <v>0</v>
      </c>
      <c r="AO104" s="395">
        <f ca="1">IF($E$274=0,0,IF(SUM($G104:AN104)=$B104,0,IF(SUM(AO103:$EJ103)=0%,$B104,0%)))</f>
        <v>0</v>
      </c>
      <c r="AP104" s="395">
        <f ca="1">IF($E$274=0,0,IF(SUM($G104:AO104)=$B104,0,IF(SUM(AP103:$EJ103)=0%,$B104,0%)))</f>
        <v>0</v>
      </c>
      <c r="AQ104" s="395">
        <f ca="1">IF($E$274=0,0,IF(SUM($G104:AP104)=$B104,0,IF(SUM(AQ103:$EJ103)=0%,$B104,0%)))</f>
        <v>0</v>
      </c>
      <c r="AR104" s="395">
        <f ca="1">IF($E$274=0,0,IF(SUM($G104:AQ104)=$B104,0,IF(SUM(AR103:$EJ103)=0%,$B104,0%)))</f>
        <v>0</v>
      </c>
      <c r="AS104" s="395">
        <f ca="1">IF($E$274=0,0,IF(SUM($G104:AR104)=$B104,0,IF(SUM(AS103:$EJ103)=0%,$B104,0%)))</f>
        <v>0</v>
      </c>
      <c r="AT104" s="395">
        <f ca="1">IF($E$274=0,0,IF(SUM($G104:AS104)=$B104,0,IF(SUM(AT103:$EJ103)=0%,$B104,0%)))</f>
        <v>0</v>
      </c>
      <c r="AU104" s="395">
        <f ca="1">IF($E$274=0,0,IF(SUM($G104:AT104)=$B104,0,IF(SUM(AU103:$EJ103)=0%,$B104,0%)))</f>
        <v>0</v>
      </c>
      <c r="AV104" s="395">
        <f ca="1">IF($E$274=0,0,IF(SUM($G104:AU104)=$B104,0,IF(SUM(AV103:$EJ103)=0%,$B104,0%)))</f>
        <v>0</v>
      </c>
      <c r="AW104" s="395">
        <f ca="1">IF($E$274=0,0,IF(SUM($G104:AV104)=$B104,0,IF(SUM(AW103:$EJ103)=0%,$B104,0%)))</f>
        <v>0</v>
      </c>
      <c r="AX104" s="395">
        <f ca="1">IF($E$274=0,0,IF(SUM($G104:AW104)=$B104,0,IF(SUM(AX103:$EJ103)=0%,$B104,0%)))</f>
        <v>0</v>
      </c>
      <c r="AY104" s="395">
        <f ca="1">IF($E$274=0,0,IF(SUM($G104:AX104)=$B104,0,IF(SUM(AY103:$EJ103)=0%,$B104,0%)))</f>
        <v>0</v>
      </c>
      <c r="AZ104" s="395">
        <f ca="1">IF($E$274=0,0,IF(SUM($G104:AY104)=$B104,0,IF(SUM(AZ103:$EJ103)=0%,$B104,0%)))</f>
        <v>0</v>
      </c>
      <c r="BA104" s="395">
        <f ca="1">IF($E$274=0,0,IF(SUM($G104:AZ104)=$B104,0,IF(SUM(BA103:$EJ103)=0%,$B104,0%)))</f>
        <v>0</v>
      </c>
      <c r="BB104" s="395">
        <f ca="1">IF($E$274=0,0,IF(SUM($G104:BA104)=$B104,0,IF(SUM(BB103:$EJ103)=0%,$B104,0%)))</f>
        <v>0</v>
      </c>
      <c r="BC104" s="395">
        <f ca="1">IF($E$274=0,0,IF(SUM($G104:BB104)=$B104,0,IF(SUM(BC103:$EJ103)=0%,$B104,0%)))</f>
        <v>0</v>
      </c>
      <c r="BD104" s="395">
        <f ca="1">IF($E$274=0,0,IF(SUM($G104:BC104)=$B104,0,IF(SUM(BD103:$EJ103)=0%,$B104,0%)))</f>
        <v>0</v>
      </c>
      <c r="BE104" s="395">
        <f ca="1">IF($E$274=0,0,IF(SUM($G104:BD104)=$B104,0,IF(SUM(BE103:$EJ103)=0%,$B104,0%)))</f>
        <v>0</v>
      </c>
      <c r="BF104" s="395">
        <f ca="1">IF($E$274=0,0,IF(SUM($G104:BE104)=$B104,0,IF(SUM(BF103:$EJ103)=0%,$B104,0%)))</f>
        <v>2.5000000000000001E-2</v>
      </c>
      <c r="BG104" s="395">
        <f ca="1">IF($E$274=0,0,IF(SUM($G104:BF104)=$B104,0,IF(SUM(BG103:$EJ103)=0%,$B104,0%)))</f>
        <v>0</v>
      </c>
      <c r="BH104" s="395">
        <f ca="1">IF($E$274=0,0,IF(SUM($G104:BG104)=$B104,0,IF(SUM(BH103:$EJ103)=0%,$B104,0%)))</f>
        <v>0</v>
      </c>
      <c r="BI104" s="395">
        <f ca="1">IF($E$274=0,0,IF(SUM($G104:BH104)=$B104,0,IF(SUM(BI103:$EJ103)=0%,$B104,0%)))</f>
        <v>0</v>
      </c>
      <c r="BJ104" s="395">
        <f ca="1">IF($E$274=0,0,IF(SUM($G104:BI104)=$B104,0,IF(SUM(BJ103:$EJ103)=0%,$B104,0%)))</f>
        <v>0</v>
      </c>
      <c r="BK104" s="395">
        <f ca="1">IF($E$274=0,0,IF(SUM($G104:BJ104)=$B104,0,IF(SUM(BK103:$EJ103)=0%,$B104,0%)))</f>
        <v>0</v>
      </c>
      <c r="BL104" s="395">
        <f ca="1">IF($E$274=0,0,IF(SUM($G104:BK104)=$B104,0,IF(SUM(BL103:$EJ103)=0%,$B104,0%)))</f>
        <v>0</v>
      </c>
      <c r="BM104" s="395">
        <f ca="1">IF($E$274=0,0,IF(SUM($G104:BL104)=$B104,0,IF(SUM(BM103:$EJ103)=0%,$B104,0%)))</f>
        <v>0</v>
      </c>
      <c r="BN104" s="395">
        <f ca="1">IF($E$274=0,0,IF(SUM($G104:BM104)=$B104,0,IF(SUM(BN103:$EJ103)=0%,$B104,0%)))</f>
        <v>0</v>
      </c>
      <c r="BO104" s="395">
        <f ca="1">IF($E$274=0,0,IF(SUM($G104:BN104)=$B104,0,IF(SUM(BO103:$EJ103)=0%,$B104,0%)))</f>
        <v>0</v>
      </c>
      <c r="BP104" s="395">
        <f ca="1">IF($E$274=0,0,IF(SUM($G104:BO104)=$B104,0,IF(SUM(BP103:$EJ103)=0%,$B104,0%)))</f>
        <v>0</v>
      </c>
      <c r="BQ104" s="395">
        <f ca="1">IF($E$274=0,0,IF(SUM($G104:BP104)=$B104,0,IF(SUM(BQ103:$EJ103)=0%,$B104,0%)))</f>
        <v>0</v>
      </c>
      <c r="BR104" s="395">
        <f ca="1">IF($E$274=0,0,IF(SUM($G104:BQ104)=$B104,0,IF(SUM(BR103:$EJ103)=0%,$B104,0%)))</f>
        <v>0</v>
      </c>
      <c r="BS104" s="395">
        <f ca="1">IF($E$274=0,0,IF(SUM($G104:BR104)=$B104,0,IF(SUM(BS103:$EJ103)=0%,$B104,0%)))</f>
        <v>0</v>
      </c>
      <c r="BT104" s="395">
        <f ca="1">IF($E$274=0,0,IF(SUM($G104:BS104)=$B104,0,IF(SUM(BT103:$EJ103)=0%,$B104,0%)))</f>
        <v>0</v>
      </c>
      <c r="BU104" s="395">
        <f ca="1">IF($E$274=0,0,IF(SUM($G104:BT104)=$B104,0,IF(SUM(BU103:$EJ103)=0%,$B104,0%)))</f>
        <v>0</v>
      </c>
      <c r="BV104" s="395">
        <f ca="1">IF($E$274=0,0,IF(SUM($G104:BU104)=$B104,0,IF(SUM(BV103:$EJ103)=0%,$B104,0%)))</f>
        <v>0</v>
      </c>
      <c r="BW104" s="395">
        <f ca="1">IF($E$274=0,0,IF(SUM($G104:BV104)=$B104,0,IF(SUM(BW103:$EJ103)=0%,$B104,0%)))</f>
        <v>0</v>
      </c>
      <c r="BX104" s="395">
        <f ca="1">IF($E$274=0,0,IF(SUM($G104:BW104)=$B104,0,IF(SUM(BX103:$EJ103)=0%,$B104,0%)))</f>
        <v>0</v>
      </c>
      <c r="BY104" s="395">
        <f ca="1">IF($E$274=0,0,IF(SUM($G104:BX104)=$B104,0,IF(SUM(BY103:$EJ103)=0%,$B104,0%)))</f>
        <v>0</v>
      </c>
      <c r="BZ104" s="395">
        <f ca="1">IF($E$274=0,0,IF(SUM($G104:BY104)=$B104,0,IF(SUM(BZ103:$EJ103)=0%,$B104,0%)))</f>
        <v>0</v>
      </c>
      <c r="CA104" s="395">
        <f ca="1">IF($E$274=0,0,IF(SUM($G104:BZ104)=$B104,0,IF(SUM(CA103:$EJ103)=0%,$B104,0%)))</f>
        <v>0</v>
      </c>
      <c r="CB104" s="395">
        <f ca="1">IF($E$274=0,0,IF(SUM($G104:CA104)=$B104,0,IF(SUM(CB103:$EJ103)=0%,$B104,0%)))</f>
        <v>0</v>
      </c>
      <c r="CC104" s="395">
        <f ca="1">IF($E$274=0,0,IF(SUM($G104:CB104)=$B104,0,IF(SUM(CC103:$EJ103)=0%,$B104,0%)))</f>
        <v>0</v>
      </c>
      <c r="CD104" s="395">
        <f ca="1">IF($E$274=0,0,IF(SUM($G104:CC104)=$B104,0,IF(SUM(CD103:$EJ103)=0%,$B104,0%)))</f>
        <v>0</v>
      </c>
      <c r="CE104" s="395">
        <f ca="1">IF($E$274=0,0,IF(SUM($G104:CD104)=$B104,0,IF(SUM(CE103:$EJ103)=0%,$B104,0%)))</f>
        <v>0</v>
      </c>
      <c r="CF104" s="395">
        <f ca="1">IF($E$274=0,0,IF(SUM($G104:CE104)=$B104,0,IF(SUM(CF103:$EJ103)=0%,$B104,0%)))</f>
        <v>0</v>
      </c>
      <c r="CG104" s="395">
        <f ca="1">IF($E$274=0,0,IF(SUM($G104:CF104)=$B104,0,IF(SUM(CG103:$EJ103)=0%,$B104,0%)))</f>
        <v>0</v>
      </c>
      <c r="CH104" s="395">
        <f ca="1">IF($E$274=0,0,IF(SUM($G104:CG104)=$B104,0,IF(SUM(CH103:$EJ103)=0%,$B104,0%)))</f>
        <v>0</v>
      </c>
      <c r="CI104" s="395">
        <f ca="1">IF($E$274=0,0,IF(SUM($G104:CH104)=$B104,0,IF(SUM(CI103:$EJ103)=0%,$B104,0%)))</f>
        <v>0</v>
      </c>
      <c r="CJ104" s="395">
        <f ca="1">IF($E$274=0,0,IF(SUM($G104:CI104)=$B104,0,IF(SUM(CJ103:$EJ103)=0%,$B104,0%)))</f>
        <v>0</v>
      </c>
      <c r="CK104" s="395">
        <f ca="1">IF($E$274=0,0,IF(SUM($G104:CJ104)=$B104,0,IF(SUM(CK103:$EJ103)=0%,$B104,0%)))</f>
        <v>0</v>
      </c>
      <c r="CL104" s="395">
        <f ca="1">IF($E$274=0,0,IF(SUM($G104:CK104)=$B104,0,IF(SUM(CL103:$EJ103)=0%,$B104,0%)))</f>
        <v>0</v>
      </c>
      <c r="CM104" s="395">
        <f ca="1">IF($E$274=0,0,IF(SUM($G104:CL104)=$B104,0,IF(SUM(CM103:$EJ103)=0%,$B104,0%)))</f>
        <v>0</v>
      </c>
      <c r="CN104" s="395">
        <f ca="1">IF($E$274=0,0,IF(SUM($G104:CM104)=$B104,0,IF(SUM(CN103:$EJ103)=0%,$B104,0%)))</f>
        <v>0</v>
      </c>
      <c r="CO104" s="395">
        <f ca="1">IF($E$274=0,0,IF(SUM($G104:CN104)=$B104,0,IF(SUM(CO103:$EJ103)=0%,$B104,0%)))</f>
        <v>0</v>
      </c>
      <c r="CP104" s="395">
        <f ca="1">IF($E$274=0,0,IF(SUM($G104:CO104)=$B104,0,IF(SUM(CP103:$EJ103)=0%,$B104,0%)))</f>
        <v>0</v>
      </c>
      <c r="CQ104" s="395">
        <f ca="1">IF($E$274=0,0,IF(SUM($G104:CP104)=$B104,0,IF(SUM(CQ103:$EJ103)=0%,$B104,0%)))</f>
        <v>0</v>
      </c>
      <c r="CR104" s="395">
        <f ca="1">IF($E$274=0,0,IF(SUM($G104:CQ104)=$B104,0,IF(SUM(CR103:$EJ103)=0%,$B104,0%)))</f>
        <v>0</v>
      </c>
      <c r="CS104" s="395">
        <f ca="1">IF($E$274=0,0,IF(SUM($G104:CR104)=$B104,0,IF(SUM(CS103:$EJ103)=0%,$B104,0%)))</f>
        <v>0</v>
      </c>
      <c r="CT104" s="395">
        <f ca="1">IF($E$274=0,0,IF(SUM($G104:CS104)=$B104,0,IF(SUM(CT103:$EJ103)=0%,$B104,0%)))</f>
        <v>0</v>
      </c>
      <c r="CU104" s="395">
        <f ca="1">IF($E$274=0,0,IF(SUM($G104:CT104)=$B104,0,IF(SUM(CU103:$EJ103)=0%,$B104,0%)))</f>
        <v>0</v>
      </c>
      <c r="CV104" s="395">
        <f ca="1">IF($E$274=0,0,IF(SUM($G104:CU104)=$B104,0,IF(SUM(CV103:$EJ103)=0%,$B104,0%)))</f>
        <v>0</v>
      </c>
      <c r="CW104" s="395">
        <f ca="1">IF($E$274=0,0,IF(SUM($G104:CV104)=$B104,0,IF(SUM(CW103:$EJ103)=0%,$B104,0%)))</f>
        <v>0</v>
      </c>
      <c r="CX104" s="395">
        <f ca="1">IF($E$274=0,0,IF(SUM($G104:CW104)=$B104,0,IF(SUM(CX103:$EJ103)=0%,$B104,0%)))</f>
        <v>0</v>
      </c>
      <c r="CY104" s="395">
        <f ca="1">IF($E$274=0,0,IF(SUM($G104:CX104)=$B104,0,IF(SUM(CY103:$EJ103)=0%,$B104,0%)))</f>
        <v>0</v>
      </c>
      <c r="CZ104" s="395">
        <f ca="1">IF($E$274=0,0,IF(SUM($G104:CY104)=$B104,0,IF(SUM(CZ103:$EJ103)=0%,$B104,0%)))</f>
        <v>0</v>
      </c>
      <c r="DA104" s="395">
        <f ca="1">IF($E$274=0,0,IF(SUM($G104:CZ104)=$B104,0,IF(SUM(DA103:$EJ103)=0%,$B104,0%)))</f>
        <v>0</v>
      </c>
      <c r="DB104" s="395">
        <f ca="1">IF($E$274=0,0,IF(SUM($G104:DA104)=$B104,0,IF(SUM(DB103:$EJ103)=0%,$B104,0%)))</f>
        <v>0</v>
      </c>
      <c r="DC104" s="395">
        <f ca="1">IF($E$274=0,0,IF(SUM($G104:DB104)=$B104,0,IF(SUM(DC103:$EJ103)=0%,$B104,0%)))</f>
        <v>0</v>
      </c>
      <c r="DD104" s="395">
        <f ca="1">IF($E$274=0,0,IF(SUM($G104:DC104)=$B104,0,IF(SUM(DD103:$EJ103)=0%,$B104,0%)))</f>
        <v>0</v>
      </c>
      <c r="DE104" s="395">
        <f ca="1">IF($E$274=0,0,IF(SUM($G104:DD104)=$B104,0,IF(SUM(DE103:$EJ103)=0%,$B104,0%)))</f>
        <v>0</v>
      </c>
      <c r="DF104" s="395">
        <f ca="1">IF($E$274=0,0,IF(SUM($G104:DE104)=$B104,0,IF(SUM(DF103:$EJ103)=0%,$B104,0%)))</f>
        <v>0</v>
      </c>
      <c r="DG104" s="395">
        <f ca="1">IF($E$274=0,0,IF(SUM($G104:DF104)=$B104,0,IF(SUM(DG103:$EJ103)=0%,$B104,0%)))</f>
        <v>0</v>
      </c>
      <c r="DH104" s="395">
        <f ca="1">IF($E$274=0,0,IF(SUM($G104:DG104)=$B104,0,IF(SUM(DH103:$EJ103)=0%,$B104,0%)))</f>
        <v>0</v>
      </c>
      <c r="DI104" s="395">
        <f ca="1">IF($E$274=0,0,IF(SUM($G104:DH104)=$B104,0,IF(SUM(DI103:$EJ103)=0%,$B104,0%)))</f>
        <v>0</v>
      </c>
      <c r="DJ104" s="395">
        <f ca="1">IF($E$274=0,0,IF(SUM($G104:DI104)=$B104,0,IF(SUM(DJ103:$EJ103)=0%,$B104,0%)))</f>
        <v>0</v>
      </c>
      <c r="DK104" s="395">
        <f ca="1">IF($E$274=0,0,IF(SUM($G104:DJ104)=$B104,0,IF(SUM(DK103:$EJ103)=0%,$B104,0%)))</f>
        <v>0</v>
      </c>
      <c r="DL104" s="395">
        <f ca="1">IF($E$274=0,0,IF(SUM($G104:DK104)=$B104,0,IF(SUM(DL103:$EJ103)=0%,$B104,0%)))</f>
        <v>0</v>
      </c>
      <c r="DM104" s="395">
        <f ca="1">IF($E$274=0,0,IF(SUM($G104:DL104)=$B104,0,IF(SUM(DM103:$EJ103)=0%,$B104,0%)))</f>
        <v>0</v>
      </c>
      <c r="DN104" s="395">
        <f ca="1">IF($E$274=0,0,IF(SUM($G104:DM104)=$B104,0,IF(SUM(DN103:$EJ103)=0%,$B104,0%)))</f>
        <v>0</v>
      </c>
      <c r="DO104" s="395">
        <f ca="1">IF($E$274=0,0,IF(SUM($G104:DN104)=$B104,0,IF(SUM(DO103:$EJ103)=0%,$B104,0%)))</f>
        <v>0</v>
      </c>
      <c r="DP104" s="395">
        <f ca="1">IF($E$274=0,0,IF(SUM($G104:DO104)=$B104,0,IF(SUM(DP103:$EJ103)=0%,$B104,0%)))</f>
        <v>0</v>
      </c>
      <c r="DQ104" s="395">
        <f ca="1">IF($E$274=0,0,IF(SUM($G104:DP104)=$B104,0,IF(SUM(DQ103:$EJ103)=0%,$B104,0%)))</f>
        <v>0</v>
      </c>
      <c r="DR104" s="395">
        <f ca="1">IF($E$274=0,0,IF(SUM($G104:DQ104)=$B104,0,IF(SUM(DR103:$EJ103)=0%,$B104,0%)))</f>
        <v>0</v>
      </c>
      <c r="DS104" s="395">
        <f ca="1">IF($E$274=0,0,IF(SUM($G104:DR104)=$B104,0,IF(SUM(DS103:$EJ103)=0%,$B104,0%)))</f>
        <v>0</v>
      </c>
      <c r="DT104" s="395">
        <f ca="1">IF($E$274=0,0,IF(SUM($G104:DS104)=$B104,0,IF(SUM(DT103:$EJ103)=0%,$B104,0%)))</f>
        <v>0</v>
      </c>
      <c r="DU104" s="395">
        <f ca="1">IF($E$274=0,0,IF(SUM($G104:DT104)=$B104,0,IF(SUM(DU103:$EJ103)=0%,$B104,0%)))</f>
        <v>0</v>
      </c>
      <c r="DV104" s="395">
        <f ca="1">IF($E$274=0,0,IF(SUM($G104:DU104)=$B104,0,IF(SUM(DV103:$EJ103)=0%,$B104,0%)))</f>
        <v>0</v>
      </c>
      <c r="DW104" s="395">
        <f ca="1">IF($E$274=0,0,IF(SUM($G104:DV104)=$B104,0,IF(SUM(DW103:$EJ103)=0%,$B104,0%)))</f>
        <v>0</v>
      </c>
      <c r="DX104" s="395">
        <f ca="1">IF($E$274=0,0,IF(SUM($G104:DW104)=$B104,0,IF(SUM(DX103:$EJ103)=0%,$B104,0%)))</f>
        <v>0</v>
      </c>
      <c r="DY104" s="395">
        <f ca="1">IF($E$274=0,0,IF(SUM($G104:DX104)=$B104,0,IF(SUM(DY103:$EJ103)=0%,$B104,0%)))</f>
        <v>0</v>
      </c>
      <c r="DZ104" s="395">
        <f ca="1">IF($E$274=0,0,IF(SUM($G104:DY104)=$B104,0,IF(SUM(DZ103:$EJ103)=0%,$B104,0%)))</f>
        <v>0</v>
      </c>
      <c r="EA104" s="395">
        <f ca="1">IF($E$274=0,0,IF(SUM($G104:DZ104)=$B104,0,IF(SUM(EA103:$EJ103)=0%,$B104,0%)))</f>
        <v>0</v>
      </c>
      <c r="EB104" s="395">
        <f ca="1">IF($E$274=0,0,IF(SUM($G104:EA104)=$B104,0,IF(SUM(EB103:$EJ103)=0%,$B104,0%)))</f>
        <v>0</v>
      </c>
      <c r="EC104" s="395">
        <f ca="1">IF($E$274=0,0,IF(SUM($G104:EB104)=$B104,0,IF(SUM(EC103:$EJ103)=0%,$B104,0%)))</f>
        <v>0</v>
      </c>
      <c r="ED104" s="395">
        <f ca="1">IF($E$274=0,0,IF(SUM($G104:EC104)=$B104,0,IF(SUM(ED103:$EJ103)=0%,$B104,0%)))</f>
        <v>0</v>
      </c>
      <c r="EE104" s="395">
        <f ca="1">IF($E$274=0,0,IF(SUM($G104:ED104)=$B104,0,IF(SUM(EE103:$EJ103)=0%,$B104,0%)))</f>
        <v>0</v>
      </c>
      <c r="EF104" s="395">
        <f ca="1">IF($E$274=0,0,IF(SUM($G104:EE104)=$B104,0,IF(SUM(EF103:$EJ103)=0%,$B104,0%)))</f>
        <v>0</v>
      </c>
      <c r="EG104" s="395">
        <f ca="1">IF($E$274=0,0,IF(SUM($G104:EF104)=$B104,0,IF(SUM(EG103:$EJ103)=0%,$B104,0%)))</f>
        <v>0</v>
      </c>
      <c r="EH104" s="395">
        <f ca="1">IF($E$274=0,0,IF(SUM($G104:EG104)=$B104,0,IF(SUM(EH103:$EJ103)=0%,$B104,0%)))</f>
        <v>0</v>
      </c>
      <c r="EI104" s="395">
        <f ca="1">IF($E$274=0,0,IF(SUM($G104:EH104)=$B104,0,IF(SUM(EI103:$EJ103)=0%,$B104,0%)))</f>
        <v>0</v>
      </c>
      <c r="EJ104" s="398"/>
      <c r="EK104" s="313"/>
    </row>
    <row r="105" spans="1:141" hidden="1" outlineLevel="2">
      <c r="A105" s="332"/>
      <c r="B105" s="549">
        <f>длительность!F185</f>
        <v>2.5000000000000001E-2</v>
      </c>
      <c r="C105" s="317"/>
      <c r="D105" s="317" t="s">
        <v>640</v>
      </c>
      <c r="E105" s="318">
        <f t="shared" ca="1" si="323"/>
        <v>0</v>
      </c>
      <c r="F105" s="397">
        <f ca="1">SUM(G105:EJ105)</f>
        <v>2.5000000000000001E-2</v>
      </c>
      <c r="G105" s="395"/>
      <c r="H105" s="395"/>
      <c r="I105" s="395"/>
      <c r="J105" s="395"/>
      <c r="K105" s="395"/>
      <c r="L105" s="395"/>
      <c r="M105" s="395"/>
      <c r="N105" s="395"/>
      <c r="O105" s="395"/>
      <c r="P105" s="395"/>
      <c r="Q105" s="395"/>
      <c r="R105" s="395"/>
      <c r="S105" s="395"/>
      <c r="T105" s="395"/>
      <c r="U105" s="395"/>
      <c r="V105" s="395"/>
      <c r="W105" s="395"/>
      <c r="X105" s="395"/>
      <c r="Y105" s="395"/>
      <c r="Z105" s="395"/>
      <c r="AA105" s="395"/>
      <c r="AB105" s="395"/>
      <c r="AC105" s="395"/>
      <c r="AD105" s="395">
        <f ca="1">IF($E$274=0,0,IF(SUM($G105:AC105)=$B105,0,IF(SUM($G104:G104)=$B104,$B105,0%)))</f>
        <v>0</v>
      </c>
      <c r="AE105" s="395">
        <f ca="1">IF($E$274=0,0,IF(SUM($G105:AD105)=$B105,0,IF(SUM($G104:H104)=$B104,$B105,0%)))</f>
        <v>0</v>
      </c>
      <c r="AF105" s="395">
        <f ca="1">IF($E$274=0,0,IF(SUM($G105:AE105)=$B105,0,IF(SUM($G104:I104)=$B104,$B105,0%)))</f>
        <v>0</v>
      </c>
      <c r="AG105" s="395">
        <f ca="1">IF($E$274=0,0,IF(SUM($G105:AF105)=$B105,0,IF(SUM($G104:J104)=$B104,$B105,0%)))</f>
        <v>0</v>
      </c>
      <c r="AH105" s="395">
        <f ca="1">IF($E$274=0,0,IF(SUM($G105:AG105)=$B105,0,IF(SUM($G104:K104)=$B104,$B105,0%)))</f>
        <v>0</v>
      </c>
      <c r="AI105" s="395">
        <f ca="1">IF($E$274=0,0,IF(SUM($G105:AH105)=$B105,0,IF(SUM($G104:L104)=$B104,$B105,0%)))</f>
        <v>0</v>
      </c>
      <c r="AJ105" s="395">
        <f ca="1">IF($E$274=0,0,IF(SUM($G105:AI105)=$B105,0,IF(SUM($G104:M104)=$B104,$B105,0%)))</f>
        <v>0</v>
      </c>
      <c r="AK105" s="395">
        <f ca="1">IF($E$274=0,0,IF(SUM($G105:AJ105)=$B105,0,IF(SUM($G104:N104)=$B104,$B105,0%)))</f>
        <v>0</v>
      </c>
      <c r="AL105" s="395">
        <f ca="1">IF($E$274=0,0,IF(SUM($G105:AK105)=$B105,0,IF(SUM($G104:O104)=$B104,$B105,0%)))</f>
        <v>0</v>
      </c>
      <c r="AM105" s="395">
        <f ca="1">IF($E$274=0,0,IF(SUM($G105:AL105)=$B105,0,IF(SUM($G104:P104)=$B104,$B105,0%)))</f>
        <v>0</v>
      </c>
      <c r="AN105" s="395">
        <f ca="1">IF($E$274=0,0,IF(SUM($G105:AM105)=$B105,0,IF(SUM($G104:Q104)=$B104,$B105,0%)))</f>
        <v>0</v>
      </c>
      <c r="AO105" s="395">
        <f ca="1">IF($E$274=0,0,IF(SUM($G105:AN105)=$B105,0,IF(SUM($G104:R104)=$B104,$B105,0%)))</f>
        <v>0</v>
      </c>
      <c r="AP105" s="395">
        <f ca="1">IF($E$274=0,0,IF(SUM($G105:AO105)=$B105,0,IF(SUM($G104:S104)=$B104,$B105,0%)))</f>
        <v>0</v>
      </c>
      <c r="AQ105" s="395">
        <f ca="1">IF($E$274=0,0,IF(SUM($G105:AP105)=$B105,0,IF(SUM($G104:T104)=$B104,$B105,0%)))</f>
        <v>0</v>
      </c>
      <c r="AR105" s="395">
        <f ca="1">IF($E$274=0,0,IF(SUM($G105:AQ105)=$B105,0,IF(SUM($G104:U104)=$B104,$B105,0%)))</f>
        <v>0</v>
      </c>
      <c r="AS105" s="395">
        <f ca="1">IF($E$274=0,0,IF(SUM($G105:AR105)=$B105,0,IF(SUM($G104:V104)=$B104,$B105,0%)))</f>
        <v>0</v>
      </c>
      <c r="AT105" s="395">
        <f ca="1">IF($E$274=0,0,IF(SUM($G105:AS105)=$B105,0,IF(SUM($G104:W104)=$B104,$B105,0%)))</f>
        <v>0</v>
      </c>
      <c r="AU105" s="395">
        <f ca="1">IF($E$274=0,0,IF(SUM($G105:AT105)=$B105,0,IF(SUM($G104:X104)=$B104,$B105,0%)))</f>
        <v>0</v>
      </c>
      <c r="AV105" s="395">
        <f ca="1">IF($E$274=0,0,IF(SUM($G105:AU105)=$B105,0,IF(SUM($G104:Y104)=$B104,$B105,0%)))</f>
        <v>0</v>
      </c>
      <c r="AW105" s="395">
        <f ca="1">IF($E$274=0,0,IF(SUM($G105:AV105)=$B105,0,IF(SUM($G104:Z104)=$B104,$B105,0%)))</f>
        <v>0</v>
      </c>
      <c r="AX105" s="395">
        <f ca="1">IF($E$274=0,0,IF(SUM($G105:AW105)=$B105,0,IF(SUM($G104:AA104)=$B104,$B105,0%)))</f>
        <v>0</v>
      </c>
      <c r="AY105" s="395">
        <f ca="1">IF($E$274=0,0,IF(SUM($G105:AX105)=$B105,0,IF(SUM($G104:AB104)=$B104,$B105,0%)))</f>
        <v>0</v>
      </c>
      <c r="AZ105" s="395">
        <f ca="1">IF($E$274=0,0,IF(SUM($G105:AY105)=$B105,0,IF(SUM($G104:AC104)=$B104,$B105,0%)))</f>
        <v>0</v>
      </c>
      <c r="BA105" s="395">
        <f ca="1">IF($E$274=0,0,IF(SUM($G105:AZ105)=$B105,0,IF(SUM($G104:AD104)=$B104,$B105,0%)))</f>
        <v>0</v>
      </c>
      <c r="BB105" s="395">
        <f ca="1">IF($E$274=0,0,IF(SUM($G105:BA105)=$B105,0,IF(SUM($G104:AE104)=$B104,$B105,0%)))</f>
        <v>0</v>
      </c>
      <c r="BC105" s="395">
        <f ca="1">IF($E$274=0,0,IF(SUM($G105:BB105)=$B105,0,IF(SUM($G104:AF104)=$B104,$B105,0%)))</f>
        <v>0</v>
      </c>
      <c r="BD105" s="395">
        <f ca="1">IF($E$274=0,0,IF(SUM($G105:BC105)=$B105,0,IF(SUM($G104:AG104)=$B104,$B105,0%)))</f>
        <v>0</v>
      </c>
      <c r="BE105" s="395">
        <f ca="1">IF($E$274=0,0,IF(SUM($G105:BD105)=$B105,0,IF(SUM($G104:AH104)=$B104,$B105,0%)))</f>
        <v>0</v>
      </c>
      <c r="BF105" s="395">
        <f ca="1">IF($E$274=0,0,IF(SUM($G105:BE105)=$B105,0,IF(SUM($G104:AI104)=$B104,$B105,0%)))</f>
        <v>0</v>
      </c>
      <c r="BG105" s="395">
        <f ca="1">IF($E$274=0,0,IF(SUM($G105:BF105)=$B105,0,IF(SUM($G104:AJ104)=$B104,$B105,0%)))</f>
        <v>0</v>
      </c>
      <c r="BH105" s="395">
        <f ca="1">IF($E$274=0,0,IF(SUM($G105:BG105)=$B105,0,IF(SUM($G104:AK104)=$B104,$B105,0%)))</f>
        <v>0</v>
      </c>
      <c r="BI105" s="395">
        <f ca="1">IF($E$274=0,0,IF(SUM($G105:BH105)=$B105,0,IF(SUM($G104:AL104)=$B104,$B105,0%)))</f>
        <v>0</v>
      </c>
      <c r="BJ105" s="395">
        <f ca="1">IF($E$274=0,0,IF(SUM($G105:BI105)=$B105,0,IF(SUM($G104:AM104)=$B104,$B105,0%)))</f>
        <v>0</v>
      </c>
      <c r="BK105" s="395">
        <f ca="1">IF($E$274=0,0,IF(SUM($G105:BJ105)=$B105,0,IF(SUM($G104:AN104)=$B104,$B105,0%)))</f>
        <v>0</v>
      </c>
      <c r="BL105" s="395">
        <f ca="1">IF($E$274=0,0,IF(SUM($G105:BK105)=$B105,0,IF(SUM($G104:AO104)=$B104,$B105,0%)))</f>
        <v>0</v>
      </c>
      <c r="BM105" s="395">
        <f ca="1">IF($E$274=0,0,IF(SUM($G105:BL105)=$B105,0,IF(SUM($G104:AP104)=$B104,$B105,0%)))</f>
        <v>0</v>
      </c>
      <c r="BN105" s="395">
        <f ca="1">IF($E$274=0,0,IF(SUM($G105:BM105)=$B105,0,IF(SUM($G104:AQ104)=$B104,$B105,0%)))</f>
        <v>0</v>
      </c>
      <c r="BO105" s="395">
        <f ca="1">IF($E$274=0,0,IF(SUM($G105:BN105)=$B105,0,IF(SUM($G104:AR104)=$B104,$B105,0%)))</f>
        <v>0</v>
      </c>
      <c r="BP105" s="395">
        <f ca="1">IF($E$274=0,0,IF(SUM($G105:BO105)=$B105,0,IF(SUM($G104:AS104)=$B104,$B105,0%)))</f>
        <v>0</v>
      </c>
      <c r="BQ105" s="395">
        <f ca="1">IF($E$274=0,0,IF(SUM($G105:BP105)=$B105,0,IF(SUM($G104:AT104)=$B104,$B105,0%)))</f>
        <v>0</v>
      </c>
      <c r="BR105" s="395">
        <f ca="1">IF($E$274=0,0,IF(SUM($G105:BQ105)=$B105,0,IF(SUM($G104:AU104)=$B104,$B105,0%)))</f>
        <v>0</v>
      </c>
      <c r="BS105" s="395">
        <f ca="1">IF($E$274=0,0,IF(SUM($G105:BR105)=$B105,0,IF(SUM($G104:AV104)=$B104,$B105,0%)))</f>
        <v>0</v>
      </c>
      <c r="BT105" s="395">
        <f ca="1">IF($E$274=0,0,IF(SUM($G105:BS105)=$B105,0,IF(SUM($G104:AW104)=$B104,$B105,0%)))</f>
        <v>0</v>
      </c>
      <c r="BU105" s="395">
        <f ca="1">IF($E$274=0,0,IF(SUM($G105:BT105)=$B105,0,IF(SUM($G104:AX104)=$B104,$B105,0%)))</f>
        <v>0</v>
      </c>
      <c r="BV105" s="395">
        <f ca="1">IF($E$274=0,0,IF(SUM($G105:BU105)=$B105,0,IF(SUM($G104:AY104)=$B104,$B105,0%)))</f>
        <v>0</v>
      </c>
      <c r="BW105" s="395">
        <f ca="1">IF($E$274=0,0,IF(SUM($G105:BV105)=$B105,0,IF(SUM($G104:AZ104)=$B104,$B105,0%)))</f>
        <v>0</v>
      </c>
      <c r="BX105" s="395">
        <f ca="1">IF($E$274=0,0,IF(SUM($G105:BW105)=$B105,0,IF(SUM($G104:BA104)=$B104,$B105,0%)))</f>
        <v>0</v>
      </c>
      <c r="BY105" s="395">
        <f ca="1">IF($E$274=0,0,IF(SUM($G105:BX105)=$B105,0,IF(SUM($G104:BB104)=$B104,$B105,0%)))</f>
        <v>0</v>
      </c>
      <c r="BZ105" s="395">
        <f ca="1">IF($E$274=0,0,IF(SUM($G105:BY105)=$B105,0,IF(SUM($G104:BC104)=$B104,$B105,0%)))</f>
        <v>0</v>
      </c>
      <c r="CA105" s="395">
        <f ca="1">IF($E$274=0,0,IF(SUM($G105:BZ105)=$B105,0,IF(SUM($G104:BD104)=$B104,$B105,0%)))</f>
        <v>0</v>
      </c>
      <c r="CB105" s="395">
        <f ca="1">IF($E$274=0,0,IF(SUM($G105:CA105)=$B105,0,IF(SUM($G104:BE104)=$B104,$B105,0%)))</f>
        <v>0</v>
      </c>
      <c r="CC105" s="395">
        <f ca="1">IF($E$274=0,0,IF(SUM($G105:CB105)=$B105,0,IF(SUM($G104:BF104)=$B104,$B105,0%)))</f>
        <v>2.5000000000000001E-2</v>
      </c>
      <c r="CD105" s="395">
        <f ca="1">IF($E$274=0,0,IF(SUM($G105:CC105)=$B105,0,IF(SUM($G104:BG104)=$B104,$B105,0%)))</f>
        <v>0</v>
      </c>
      <c r="CE105" s="395">
        <f ca="1">IF($E$274=0,0,IF(SUM($G105:CD105)=$B105,0,IF(SUM($G104:BH104)=$B104,$B105,0%)))</f>
        <v>0</v>
      </c>
      <c r="CF105" s="395">
        <f ca="1">IF($E$274=0,0,IF(SUM($G105:CE105)=$B105,0,IF(SUM($G104:BI104)=$B104,$B105,0%)))</f>
        <v>0</v>
      </c>
      <c r="CG105" s="395">
        <f ca="1">IF($E$274=0,0,IF(SUM($G105:CF105)=$B105,0,IF(SUM($G104:BJ104)=$B104,$B105,0%)))</f>
        <v>0</v>
      </c>
      <c r="CH105" s="395">
        <f ca="1">IF($E$274=0,0,IF(SUM($G105:CG105)=$B105,0,IF(SUM($G104:BK104)=$B104,$B105,0%)))</f>
        <v>0</v>
      </c>
      <c r="CI105" s="395">
        <f ca="1">IF($E$274=0,0,IF(SUM($G105:CH105)=$B105,0,IF(SUM($G104:BL104)=$B104,$B105,0%)))</f>
        <v>0</v>
      </c>
      <c r="CJ105" s="395">
        <f ca="1">IF($E$274=0,0,IF(SUM($G105:CI105)=$B105,0,IF(SUM($G104:BM104)=$B104,$B105,0%)))</f>
        <v>0</v>
      </c>
      <c r="CK105" s="395">
        <f ca="1">IF($E$274=0,0,IF(SUM($G105:CJ105)=$B105,0,IF(SUM($G104:BN104)=$B104,$B105,0%)))</f>
        <v>0</v>
      </c>
      <c r="CL105" s="395">
        <f ca="1">IF($E$274=0,0,IF(SUM($G105:CK105)=$B105,0,IF(SUM($G104:BO104)=$B104,$B105,0%)))</f>
        <v>0</v>
      </c>
      <c r="CM105" s="395">
        <f ca="1">IF($E$274=0,0,IF(SUM($G105:CL105)=$B105,0,IF(SUM($G104:BP104)=$B104,$B105,0%)))</f>
        <v>0</v>
      </c>
      <c r="CN105" s="395">
        <f ca="1">IF($E$274=0,0,IF(SUM($G105:CM105)=$B105,0,IF(SUM($G104:BQ104)=$B104,$B105,0%)))</f>
        <v>0</v>
      </c>
      <c r="CO105" s="395">
        <f ca="1">IF($E$274=0,0,IF(SUM($G105:CN105)=$B105,0,IF(SUM($G104:BR104)=$B104,$B105,0%)))</f>
        <v>0</v>
      </c>
      <c r="CP105" s="395">
        <f ca="1">IF($E$274=0,0,IF(SUM($G105:CO105)=$B105,0,IF(SUM($G104:BS104)=$B104,$B105,0%)))</f>
        <v>0</v>
      </c>
      <c r="CQ105" s="395">
        <f ca="1">IF($E$274=0,0,IF(SUM($G105:CP105)=$B105,0,IF(SUM($G104:BT104)=$B104,$B105,0%)))</f>
        <v>0</v>
      </c>
      <c r="CR105" s="395">
        <f ca="1">IF($E$274=0,0,IF(SUM($G105:CQ105)=$B105,0,IF(SUM($G104:BU104)=$B104,$B105,0%)))</f>
        <v>0</v>
      </c>
      <c r="CS105" s="395">
        <f ca="1">IF($E$274=0,0,IF(SUM($G105:CR105)=$B105,0,IF(SUM($G104:BV104)=$B104,$B105,0%)))</f>
        <v>0</v>
      </c>
      <c r="CT105" s="395">
        <f ca="1">IF($E$274=0,0,IF(SUM($G105:CS105)=$B105,0,IF(SUM($G104:BW104)=$B104,$B105,0%)))</f>
        <v>0</v>
      </c>
      <c r="CU105" s="395">
        <f ca="1">IF($E$274=0,0,IF(SUM($G105:CT105)=$B105,0,IF(SUM($G104:BX104)=$B104,$B105,0%)))</f>
        <v>0</v>
      </c>
      <c r="CV105" s="395">
        <f ca="1">IF($E$274=0,0,IF(SUM($G105:CU105)=$B105,0,IF(SUM($G104:BY104)=$B104,$B105,0%)))</f>
        <v>0</v>
      </c>
      <c r="CW105" s="395">
        <f ca="1">IF($E$274=0,0,IF(SUM($G105:CV105)=$B105,0,IF(SUM($G104:BZ104)=$B104,$B105,0%)))</f>
        <v>0</v>
      </c>
      <c r="CX105" s="395">
        <f ca="1">IF($E$274=0,0,IF(SUM($G105:CW105)=$B105,0,IF(SUM($G104:CA104)=$B104,$B105,0%)))</f>
        <v>0</v>
      </c>
      <c r="CY105" s="395">
        <f ca="1">IF($E$274=0,0,IF(SUM($G105:CX105)=$B105,0,IF(SUM($G104:CB104)=$B104,$B105,0%)))</f>
        <v>0</v>
      </c>
      <c r="CZ105" s="395">
        <f ca="1">IF($E$274=0,0,IF(SUM($G105:CY105)=$B105,0,IF(SUM($G104:CC104)=$B104,$B105,0%)))</f>
        <v>0</v>
      </c>
      <c r="DA105" s="395">
        <f ca="1">IF($E$274=0,0,IF(SUM($G105:CZ105)=$B105,0,IF(SUM($G104:CD104)=$B104,$B105,0%)))</f>
        <v>0</v>
      </c>
      <c r="DB105" s="395">
        <f ca="1">IF($E$274=0,0,IF(SUM($G105:DA105)=$B105,0,IF(SUM($G104:CE104)=$B104,$B105,0%)))</f>
        <v>0</v>
      </c>
      <c r="DC105" s="395">
        <f ca="1">IF($E$274=0,0,IF(SUM($G105:DB105)=$B105,0,IF(SUM($G104:CF104)=$B104,$B105,0%)))</f>
        <v>0</v>
      </c>
      <c r="DD105" s="395">
        <f ca="1">IF($E$274=0,0,IF(SUM($G105:DC105)=$B105,0,IF(SUM($G104:CG104)=$B104,$B105,0%)))</f>
        <v>0</v>
      </c>
      <c r="DE105" s="395">
        <f ca="1">IF($E$274=0,0,IF(SUM($G105:DD105)=$B105,0,IF(SUM($G104:CH104)=$B104,$B105,0%)))</f>
        <v>0</v>
      </c>
      <c r="DF105" s="395">
        <f ca="1">IF($E$274=0,0,IF(SUM($G105:DE105)=$B105,0,IF(SUM($G104:CI104)=$B104,$B105,0%)))</f>
        <v>0</v>
      </c>
      <c r="DG105" s="395">
        <f ca="1">IF($E$274=0,0,IF(SUM($G105:DF105)=$B105,0,IF(SUM($G104:CJ104)=$B104,$B105,0%)))</f>
        <v>0</v>
      </c>
      <c r="DH105" s="395">
        <f ca="1">IF($E$274=0,0,IF(SUM($G105:DG105)=$B105,0,IF(SUM($G104:CK104)=$B104,$B105,0%)))</f>
        <v>0</v>
      </c>
      <c r="DI105" s="395">
        <f ca="1">IF($E$274=0,0,IF(SUM($G105:DH105)=$B105,0,IF(SUM($G104:CL104)=$B104,$B105,0%)))</f>
        <v>0</v>
      </c>
      <c r="DJ105" s="395">
        <f ca="1">IF($E$274=0,0,IF(SUM($G105:DI105)=$B105,0,IF(SUM($G104:CM104)=$B104,$B105,0%)))</f>
        <v>0</v>
      </c>
      <c r="DK105" s="395">
        <f ca="1">IF($E$274=0,0,IF(SUM($G105:DJ105)=$B105,0,IF(SUM($G104:CN104)=$B104,$B105,0%)))</f>
        <v>0</v>
      </c>
      <c r="DL105" s="395">
        <f ca="1">IF($E$274=0,0,IF(SUM($G105:DK105)=$B105,0,IF(SUM($G104:CO104)=$B104,$B105,0%)))</f>
        <v>0</v>
      </c>
      <c r="DM105" s="395">
        <f ca="1">IF($E$274=0,0,IF(SUM($G105:DL105)=$B105,0,IF(SUM($G104:CP104)=$B104,$B105,0%)))</f>
        <v>0</v>
      </c>
      <c r="DN105" s="395">
        <f ca="1">IF($E$274=0,0,IF(SUM($G105:DM105)=$B105,0,IF(SUM($G104:CQ104)=$B104,$B105,0%)))</f>
        <v>0</v>
      </c>
      <c r="DO105" s="395">
        <f ca="1">IF($E$274=0,0,IF(SUM($G105:DN105)=$B105,0,IF(SUM($G104:CR104)=$B104,$B105,0%)))</f>
        <v>0</v>
      </c>
      <c r="DP105" s="395">
        <f ca="1">IF($E$274=0,0,IF(SUM($G105:DO105)=$B105,0,IF(SUM($G104:CS104)=$B104,$B105,0%)))</f>
        <v>0</v>
      </c>
      <c r="DQ105" s="395">
        <f ca="1">IF($E$274=0,0,IF(SUM($G105:DP105)=$B105,0,IF(SUM($G104:CT104)=$B104,$B105,0%)))</f>
        <v>0</v>
      </c>
      <c r="DR105" s="395">
        <f ca="1">IF($E$274=0,0,IF(SUM($G105:DQ105)=$B105,0,IF(SUM($G104:CU104)=$B104,$B105,0%)))</f>
        <v>0</v>
      </c>
      <c r="DS105" s="395">
        <f ca="1">IF($E$274=0,0,IF(SUM($G105:DR105)=$B105,0,IF(SUM($G104:CV104)=$B104,$B105,0%)))</f>
        <v>0</v>
      </c>
      <c r="DT105" s="395">
        <f ca="1">IF($E$274=0,0,IF(SUM($G105:DS105)=$B105,0,IF(SUM($G104:CW104)=$B104,$B105,0%)))</f>
        <v>0</v>
      </c>
      <c r="DU105" s="395">
        <f ca="1">IF($E$274=0,0,IF(SUM($G105:DT105)=$B105,0,IF(SUM($G104:CX104)=$B104,$B105,0%)))</f>
        <v>0</v>
      </c>
      <c r="DV105" s="395">
        <f ca="1">IF($E$274=0,0,IF(SUM($G105:DU105)=$B105,0,IF(SUM($G104:CY104)=$B104,$B105,0%)))</f>
        <v>0</v>
      </c>
      <c r="DW105" s="395">
        <f ca="1">IF($E$274=0,0,IF(SUM($G105:DV105)=$B105,0,IF(SUM($G104:CZ104)=$B104,$B105,0%)))</f>
        <v>0</v>
      </c>
      <c r="DX105" s="395">
        <f ca="1">IF($E$274=0,0,IF(SUM($G105:DW105)=$B105,0,IF(SUM($G104:DA104)=$B104,$B105,0%)))</f>
        <v>0</v>
      </c>
      <c r="DY105" s="395">
        <f ca="1">IF($E$274=0,0,IF(SUM($G105:DX105)=$B105,0,IF(SUM($G104:DB104)=$B104,$B105,0%)))</f>
        <v>0</v>
      </c>
      <c r="DZ105" s="395">
        <f ca="1">IF($E$274=0,0,IF(SUM($G105:DY105)=$B105,0,IF(SUM($G104:DC104)=$B104,$B105,0%)))</f>
        <v>0</v>
      </c>
      <c r="EA105" s="395">
        <f ca="1">IF($E$274=0,0,IF(SUM($G105:DZ105)=$B105,0,IF(SUM($G104:DD104)=$B104,$B105,0%)))</f>
        <v>0</v>
      </c>
      <c r="EB105" s="395">
        <f ca="1">IF($E$274=0,0,IF(SUM($G105:EA105)=$B105,0,IF(SUM($G104:DE104)=$B104,$B105,0%)))</f>
        <v>0</v>
      </c>
      <c r="EC105" s="395">
        <f ca="1">IF($E$274=0,0,IF(SUM($G105:EB105)=$B105,0,IF(SUM($G104:DF104)=$B104,$B105,0%)))</f>
        <v>0</v>
      </c>
      <c r="ED105" s="395">
        <f ca="1">IF($E$274=0,0,IF(SUM($G105:EC105)=$B105,0,IF(SUM($G104:DG104)=$B104,$B105,0%)))</f>
        <v>0</v>
      </c>
      <c r="EE105" s="395">
        <f ca="1">IF($E$274=0,0,IF(SUM($G105:ED105)=$B105,0,IF(SUM($G104:DH104)=$B104,$B105,0%)))</f>
        <v>0</v>
      </c>
      <c r="EF105" s="395">
        <f ca="1">IF($E$274=0,0,IF(SUM($G105:EE105)=$B105,0,IF(SUM($G104:DI104)=$B104,$B105,0%)))</f>
        <v>0</v>
      </c>
      <c r="EG105" s="395">
        <f ca="1">IF($E$274=0,0,IF(SUM($G105:EF105)=$B105,0,IF(SUM($G104:DJ104)=$B104,$B105,0%)))</f>
        <v>0</v>
      </c>
      <c r="EH105" s="395">
        <f ca="1">IF($E$274=0,0,IF(SUM($G105:EG105)=$B105,0,IF(SUM($G104:DK104)=$B104,$B105,0%)))</f>
        <v>0</v>
      </c>
      <c r="EI105" s="395">
        <f ca="1">IF($E$274=0,0,IF(SUM($G105:EH105)=$B105,0,IF(SUM($G104:DL104)=$B104,$B105,0%)))</f>
        <v>0</v>
      </c>
      <c r="EJ105" s="398"/>
      <c r="EK105" s="313"/>
    </row>
    <row r="106" spans="1:141" ht="30" hidden="1" outlineLevel="1" collapsed="1">
      <c r="A106" s="332"/>
      <c r="B106" s="313"/>
      <c r="C106" s="392" t="s">
        <v>74</v>
      </c>
      <c r="D106" s="392" t="str">
        <f>D279</f>
        <v>Кровля - Плоская кровля + благоустройство/мансарда</v>
      </c>
      <c r="E106" s="393">
        <f ca="1">ROUND(IF(F106=0,0,100%-F106),0)</f>
        <v>0</v>
      </c>
      <c r="F106" s="394">
        <f t="shared" ref="F106:F108" ca="1" si="324">SUM(G106:EJ106)</f>
        <v>1</v>
      </c>
      <c r="G106" s="395">
        <f>SUM(G107:G110)</f>
        <v>0</v>
      </c>
      <c r="H106" s="395">
        <f t="shared" ref="H106:BS106" ca="1" si="325">SUM(H107:H110)</f>
        <v>0</v>
      </c>
      <c r="I106" s="395">
        <f t="shared" ca="1" si="325"/>
        <v>0</v>
      </c>
      <c r="J106" s="395">
        <f t="shared" ca="1" si="325"/>
        <v>0</v>
      </c>
      <c r="K106" s="395">
        <f t="shared" ca="1" si="325"/>
        <v>0</v>
      </c>
      <c r="L106" s="395">
        <f t="shared" ca="1" si="325"/>
        <v>0</v>
      </c>
      <c r="M106" s="395">
        <f t="shared" ca="1" si="325"/>
        <v>0</v>
      </c>
      <c r="N106" s="395">
        <f t="shared" ca="1" si="325"/>
        <v>0</v>
      </c>
      <c r="O106" s="395">
        <f t="shared" ca="1" si="325"/>
        <v>0</v>
      </c>
      <c r="P106" s="395">
        <f t="shared" ca="1" si="325"/>
        <v>0</v>
      </c>
      <c r="Q106" s="395">
        <f t="shared" ca="1" si="325"/>
        <v>0</v>
      </c>
      <c r="R106" s="395">
        <f t="shared" ca="1" si="325"/>
        <v>0</v>
      </c>
      <c r="S106" s="395">
        <f t="shared" ca="1" si="325"/>
        <v>0</v>
      </c>
      <c r="T106" s="395">
        <f t="shared" ca="1" si="325"/>
        <v>0</v>
      </c>
      <c r="U106" s="395">
        <f t="shared" ca="1" si="325"/>
        <v>0</v>
      </c>
      <c r="V106" s="395">
        <f t="shared" ca="1" si="325"/>
        <v>0</v>
      </c>
      <c r="W106" s="395">
        <f t="shared" ca="1" si="325"/>
        <v>0</v>
      </c>
      <c r="X106" s="395">
        <f t="shared" ca="1" si="325"/>
        <v>0</v>
      </c>
      <c r="Y106" s="395">
        <f t="shared" ca="1" si="325"/>
        <v>0</v>
      </c>
      <c r="Z106" s="395">
        <f t="shared" ca="1" si="325"/>
        <v>0</v>
      </c>
      <c r="AA106" s="395">
        <f t="shared" ca="1" si="325"/>
        <v>0</v>
      </c>
      <c r="AB106" s="395">
        <f t="shared" ca="1" si="325"/>
        <v>0</v>
      </c>
      <c r="AC106" s="395">
        <f t="shared" ca="1" si="325"/>
        <v>0</v>
      </c>
      <c r="AD106" s="395">
        <f t="shared" ca="1" si="325"/>
        <v>0</v>
      </c>
      <c r="AE106" s="395">
        <f t="shared" ca="1" si="325"/>
        <v>0</v>
      </c>
      <c r="AF106" s="395">
        <f t="shared" ca="1" si="325"/>
        <v>0</v>
      </c>
      <c r="AG106" s="395">
        <f t="shared" ca="1" si="325"/>
        <v>0</v>
      </c>
      <c r="AH106" s="395">
        <f t="shared" ca="1" si="325"/>
        <v>0</v>
      </c>
      <c r="AI106" s="395">
        <f t="shared" ca="1" si="325"/>
        <v>0</v>
      </c>
      <c r="AJ106" s="395">
        <f t="shared" ca="1" si="325"/>
        <v>0</v>
      </c>
      <c r="AK106" s="395">
        <f t="shared" ca="1" si="325"/>
        <v>0</v>
      </c>
      <c r="AL106" s="395">
        <f t="shared" ca="1" si="325"/>
        <v>0</v>
      </c>
      <c r="AM106" s="395">
        <f t="shared" ca="1" si="325"/>
        <v>0</v>
      </c>
      <c r="AN106" s="395">
        <f t="shared" ca="1" si="325"/>
        <v>0</v>
      </c>
      <c r="AO106" s="395">
        <f t="shared" ca="1" si="325"/>
        <v>0</v>
      </c>
      <c r="AP106" s="395">
        <f t="shared" ca="1" si="325"/>
        <v>0</v>
      </c>
      <c r="AQ106" s="395">
        <f t="shared" ca="1" si="325"/>
        <v>0</v>
      </c>
      <c r="AR106" s="395">
        <f t="shared" ca="1" si="325"/>
        <v>0</v>
      </c>
      <c r="AS106" s="395">
        <f t="shared" ca="1" si="325"/>
        <v>0</v>
      </c>
      <c r="AT106" s="395">
        <f t="shared" ca="1" si="325"/>
        <v>0</v>
      </c>
      <c r="AU106" s="395">
        <f t="shared" ca="1" si="325"/>
        <v>0</v>
      </c>
      <c r="AV106" s="395">
        <f t="shared" ca="1" si="325"/>
        <v>0</v>
      </c>
      <c r="AW106" s="395">
        <f t="shared" ca="1" si="325"/>
        <v>0</v>
      </c>
      <c r="AX106" s="395">
        <f t="shared" ca="1" si="325"/>
        <v>0</v>
      </c>
      <c r="AY106" s="395">
        <f t="shared" ca="1" si="325"/>
        <v>0</v>
      </c>
      <c r="AZ106" s="395">
        <f t="shared" ca="1" si="325"/>
        <v>0.1</v>
      </c>
      <c r="BA106" s="395">
        <f t="shared" ca="1" si="325"/>
        <v>0</v>
      </c>
      <c r="BB106" s="395">
        <f t="shared" ca="1" si="325"/>
        <v>3.6956521739130437E-2</v>
      </c>
      <c r="BC106" s="395">
        <f t="shared" ca="1" si="325"/>
        <v>0.20695652173913043</v>
      </c>
      <c r="BD106" s="395">
        <f t="shared" ca="1" si="325"/>
        <v>0.22913043478260869</v>
      </c>
      <c r="BE106" s="395">
        <f t="shared" ca="1" si="325"/>
        <v>0.22173913043478261</v>
      </c>
      <c r="BF106" s="395">
        <f t="shared" ca="1" si="325"/>
        <v>0.15521739130434783</v>
      </c>
      <c r="BG106" s="395">
        <f t="shared" ca="1" si="325"/>
        <v>2.5000000000000001E-2</v>
      </c>
      <c r="BH106" s="395">
        <f t="shared" ca="1" si="325"/>
        <v>0</v>
      </c>
      <c r="BI106" s="395">
        <f t="shared" ca="1" si="325"/>
        <v>0</v>
      </c>
      <c r="BJ106" s="395">
        <f t="shared" ca="1" si="325"/>
        <v>0</v>
      </c>
      <c r="BK106" s="395">
        <f t="shared" ca="1" si="325"/>
        <v>0</v>
      </c>
      <c r="BL106" s="395">
        <f t="shared" ca="1" si="325"/>
        <v>0</v>
      </c>
      <c r="BM106" s="395">
        <f t="shared" ca="1" si="325"/>
        <v>0</v>
      </c>
      <c r="BN106" s="395">
        <f t="shared" ca="1" si="325"/>
        <v>0</v>
      </c>
      <c r="BO106" s="395">
        <f t="shared" ca="1" si="325"/>
        <v>0</v>
      </c>
      <c r="BP106" s="395">
        <f t="shared" ca="1" si="325"/>
        <v>0</v>
      </c>
      <c r="BQ106" s="395">
        <f t="shared" ca="1" si="325"/>
        <v>0</v>
      </c>
      <c r="BR106" s="395">
        <f t="shared" ca="1" si="325"/>
        <v>0</v>
      </c>
      <c r="BS106" s="395">
        <f t="shared" ca="1" si="325"/>
        <v>0</v>
      </c>
      <c r="BT106" s="395">
        <f t="shared" ref="BT106:EE106" ca="1" si="326">SUM(BT107:BT110)</f>
        <v>0</v>
      </c>
      <c r="BU106" s="395">
        <f t="shared" ca="1" si="326"/>
        <v>0</v>
      </c>
      <c r="BV106" s="395">
        <f t="shared" ca="1" si="326"/>
        <v>0</v>
      </c>
      <c r="BW106" s="395">
        <f t="shared" ca="1" si="326"/>
        <v>0</v>
      </c>
      <c r="BX106" s="395">
        <f t="shared" ca="1" si="326"/>
        <v>0</v>
      </c>
      <c r="BY106" s="395">
        <f t="shared" ca="1" si="326"/>
        <v>0</v>
      </c>
      <c r="BZ106" s="395">
        <f t="shared" ca="1" si="326"/>
        <v>0</v>
      </c>
      <c r="CA106" s="395">
        <f t="shared" ca="1" si="326"/>
        <v>0</v>
      </c>
      <c r="CB106" s="395">
        <f t="shared" ca="1" si="326"/>
        <v>0</v>
      </c>
      <c r="CC106" s="395">
        <f t="shared" ca="1" si="326"/>
        <v>0</v>
      </c>
      <c r="CD106" s="395">
        <f t="shared" ca="1" si="326"/>
        <v>2.5000000000000001E-2</v>
      </c>
      <c r="CE106" s="395">
        <f t="shared" ca="1" si="326"/>
        <v>0</v>
      </c>
      <c r="CF106" s="395">
        <f t="shared" ca="1" si="326"/>
        <v>0</v>
      </c>
      <c r="CG106" s="395">
        <f t="shared" ca="1" si="326"/>
        <v>0</v>
      </c>
      <c r="CH106" s="395">
        <f t="shared" ca="1" si="326"/>
        <v>0</v>
      </c>
      <c r="CI106" s="395">
        <f t="shared" ca="1" si="326"/>
        <v>0</v>
      </c>
      <c r="CJ106" s="395">
        <f t="shared" ca="1" si="326"/>
        <v>0</v>
      </c>
      <c r="CK106" s="395">
        <f t="shared" ca="1" si="326"/>
        <v>0</v>
      </c>
      <c r="CL106" s="395">
        <f t="shared" ca="1" si="326"/>
        <v>0</v>
      </c>
      <c r="CM106" s="395">
        <f t="shared" ca="1" si="326"/>
        <v>0</v>
      </c>
      <c r="CN106" s="395">
        <f t="shared" ca="1" si="326"/>
        <v>0</v>
      </c>
      <c r="CO106" s="395">
        <f t="shared" ca="1" si="326"/>
        <v>0</v>
      </c>
      <c r="CP106" s="395">
        <f t="shared" ca="1" si="326"/>
        <v>0</v>
      </c>
      <c r="CQ106" s="395">
        <f t="shared" ca="1" si="326"/>
        <v>0</v>
      </c>
      <c r="CR106" s="395">
        <f t="shared" ca="1" si="326"/>
        <v>0</v>
      </c>
      <c r="CS106" s="395">
        <f t="shared" ca="1" si="326"/>
        <v>0</v>
      </c>
      <c r="CT106" s="395">
        <f t="shared" ca="1" si="326"/>
        <v>0</v>
      </c>
      <c r="CU106" s="395">
        <f t="shared" ca="1" si="326"/>
        <v>0</v>
      </c>
      <c r="CV106" s="395">
        <f t="shared" ca="1" si="326"/>
        <v>0</v>
      </c>
      <c r="CW106" s="395">
        <f t="shared" ca="1" si="326"/>
        <v>0</v>
      </c>
      <c r="CX106" s="395">
        <f t="shared" ca="1" si="326"/>
        <v>0</v>
      </c>
      <c r="CY106" s="395">
        <f t="shared" ca="1" si="326"/>
        <v>0</v>
      </c>
      <c r="CZ106" s="395">
        <f t="shared" ca="1" si="326"/>
        <v>0</v>
      </c>
      <c r="DA106" s="395">
        <f t="shared" ca="1" si="326"/>
        <v>0</v>
      </c>
      <c r="DB106" s="395">
        <f t="shared" ca="1" si="326"/>
        <v>0</v>
      </c>
      <c r="DC106" s="395">
        <f t="shared" ca="1" si="326"/>
        <v>0</v>
      </c>
      <c r="DD106" s="395">
        <f t="shared" ca="1" si="326"/>
        <v>0</v>
      </c>
      <c r="DE106" s="395">
        <f t="shared" ca="1" si="326"/>
        <v>0</v>
      </c>
      <c r="DF106" s="395">
        <f t="shared" ca="1" si="326"/>
        <v>0</v>
      </c>
      <c r="DG106" s="395">
        <f t="shared" ca="1" si="326"/>
        <v>0</v>
      </c>
      <c r="DH106" s="395">
        <f t="shared" ca="1" si="326"/>
        <v>0</v>
      </c>
      <c r="DI106" s="395">
        <f t="shared" ca="1" si="326"/>
        <v>0</v>
      </c>
      <c r="DJ106" s="395">
        <f t="shared" ca="1" si="326"/>
        <v>0</v>
      </c>
      <c r="DK106" s="395">
        <f t="shared" ca="1" si="326"/>
        <v>0</v>
      </c>
      <c r="DL106" s="395">
        <f t="shared" ca="1" si="326"/>
        <v>0</v>
      </c>
      <c r="DM106" s="395">
        <f t="shared" ca="1" si="326"/>
        <v>0</v>
      </c>
      <c r="DN106" s="395">
        <f t="shared" ca="1" si="326"/>
        <v>0</v>
      </c>
      <c r="DO106" s="395">
        <f t="shared" ca="1" si="326"/>
        <v>0</v>
      </c>
      <c r="DP106" s="395">
        <f t="shared" ca="1" si="326"/>
        <v>0</v>
      </c>
      <c r="DQ106" s="395">
        <f t="shared" ca="1" si="326"/>
        <v>0</v>
      </c>
      <c r="DR106" s="395">
        <f t="shared" ca="1" si="326"/>
        <v>0</v>
      </c>
      <c r="DS106" s="395">
        <f t="shared" ca="1" si="326"/>
        <v>0</v>
      </c>
      <c r="DT106" s="395">
        <f t="shared" ca="1" si="326"/>
        <v>0</v>
      </c>
      <c r="DU106" s="395">
        <f t="shared" ca="1" si="326"/>
        <v>0</v>
      </c>
      <c r="DV106" s="395">
        <f t="shared" ca="1" si="326"/>
        <v>0</v>
      </c>
      <c r="DW106" s="395">
        <f t="shared" ca="1" si="326"/>
        <v>0</v>
      </c>
      <c r="DX106" s="395">
        <f t="shared" ca="1" si="326"/>
        <v>0</v>
      </c>
      <c r="DY106" s="395">
        <f t="shared" ca="1" si="326"/>
        <v>0</v>
      </c>
      <c r="DZ106" s="395">
        <f t="shared" ca="1" si="326"/>
        <v>0</v>
      </c>
      <c r="EA106" s="395">
        <f t="shared" ca="1" si="326"/>
        <v>0</v>
      </c>
      <c r="EB106" s="395">
        <f t="shared" ca="1" si="326"/>
        <v>0</v>
      </c>
      <c r="EC106" s="395">
        <f t="shared" ca="1" si="326"/>
        <v>0</v>
      </c>
      <c r="ED106" s="395">
        <f t="shared" ca="1" si="326"/>
        <v>0</v>
      </c>
      <c r="EE106" s="395">
        <f t="shared" ca="1" si="326"/>
        <v>0</v>
      </c>
      <c r="EF106" s="395">
        <f t="shared" ref="EF106:EI106" ca="1" si="327">SUM(EF107:EF110)</f>
        <v>0</v>
      </c>
      <c r="EG106" s="395">
        <f t="shared" ca="1" si="327"/>
        <v>0</v>
      </c>
      <c r="EH106" s="395">
        <f t="shared" ca="1" si="327"/>
        <v>0</v>
      </c>
      <c r="EI106" s="395">
        <f t="shared" ca="1" si="327"/>
        <v>0</v>
      </c>
      <c r="EJ106" s="398"/>
      <c r="EK106" s="313"/>
    </row>
    <row r="107" spans="1:141" hidden="1" outlineLevel="2">
      <c r="A107" s="332"/>
      <c r="B107" s="548">
        <f>B102</f>
        <v>0.1</v>
      </c>
      <c r="C107" s="317"/>
      <c r="D107" s="317" t="s">
        <v>664</v>
      </c>
      <c r="E107" s="318">
        <f t="shared" ref="E107:E110" ca="1" si="328">IF(F107=0,0,B107-F107)</f>
        <v>0</v>
      </c>
      <c r="F107" s="397">
        <f t="shared" ca="1" si="324"/>
        <v>0.1</v>
      </c>
      <c r="G107" s="395"/>
      <c r="H107" s="395">
        <f ca="1">IF(SUM($G107:G107)=$B107,0,IF(J108&gt;0%,$B107,0%))</f>
        <v>0</v>
      </c>
      <c r="I107" s="395">
        <f ca="1">IF(SUM($G107:H107)=$B107,0,IF(K108&gt;0%,$B107,0%))</f>
        <v>0</v>
      </c>
      <c r="J107" s="395">
        <f ca="1">IF(SUM($G107:I107)=$B107,0,IF(L108&gt;0%,$B107,0%))</f>
        <v>0</v>
      </c>
      <c r="K107" s="395">
        <f ca="1">IF(SUM($G107:J107)=$B107,0,IF(M108&gt;0%,$B107,0%))</f>
        <v>0</v>
      </c>
      <c r="L107" s="395">
        <f ca="1">IF(SUM($G107:K107)=$B107,0,IF(N108&gt;0%,$B107,0%))</f>
        <v>0</v>
      </c>
      <c r="M107" s="395">
        <f ca="1">IF(SUM($G107:L107)=$B107,0,IF(O108&gt;0%,$B107,0%))</f>
        <v>0</v>
      </c>
      <c r="N107" s="395">
        <f ca="1">IF(SUM($G107:M107)=$B107,0,IF(P108&gt;0%,$B107,0%))</f>
        <v>0</v>
      </c>
      <c r="O107" s="395">
        <f ca="1">IF(SUM($G107:N107)=$B107,0,IF(Q108&gt;0%,$B107,0%))</f>
        <v>0</v>
      </c>
      <c r="P107" s="395">
        <f ca="1">IF(SUM($G107:O107)=$B107,0,IF(R108&gt;0%,$B107,0%))</f>
        <v>0</v>
      </c>
      <c r="Q107" s="395">
        <f ca="1">IF(SUM($G107:P107)=$B107,0,IF(S108&gt;0%,$B107,0%))</f>
        <v>0</v>
      </c>
      <c r="R107" s="395">
        <f ca="1">IF(SUM($G107:Q107)=$B107,0,IF(T108&gt;0%,$B107,0%))</f>
        <v>0</v>
      </c>
      <c r="S107" s="395">
        <f ca="1">IF(SUM($G107:R107)=$B107,0,IF(U108&gt;0%,$B107,0%))</f>
        <v>0</v>
      </c>
      <c r="T107" s="395">
        <f ca="1">IF(SUM($G107:S107)=$B107,0,IF(V108&gt;0%,$B107,0%))</f>
        <v>0</v>
      </c>
      <c r="U107" s="395">
        <f ca="1">IF(SUM($G107:T107)=$B107,0,IF(W108&gt;0%,$B107,0%))</f>
        <v>0</v>
      </c>
      <c r="V107" s="395">
        <f ca="1">IF(SUM($G107:U107)=$B107,0,IF(X108&gt;0%,$B107,0%))</f>
        <v>0</v>
      </c>
      <c r="W107" s="395">
        <f ca="1">IF(SUM($G107:V107)=$B107,0,IF(Y108&gt;0%,$B107,0%))</f>
        <v>0</v>
      </c>
      <c r="X107" s="395">
        <f ca="1">IF(SUM($G107:W107)=$B107,0,IF(Z108&gt;0%,$B107,0%))</f>
        <v>0</v>
      </c>
      <c r="Y107" s="395">
        <f ca="1">IF(SUM($G107:X107)=$B107,0,IF(AA108&gt;0%,$B107,0%))</f>
        <v>0</v>
      </c>
      <c r="Z107" s="395">
        <f ca="1">IF(SUM($G107:Y107)=$B107,0,IF(AB108&gt;0%,$B107,0%))</f>
        <v>0</v>
      </c>
      <c r="AA107" s="395">
        <f ca="1">IF(SUM($G107:Z107)=$B107,0,IF(AC108&gt;0%,$B107,0%))</f>
        <v>0</v>
      </c>
      <c r="AB107" s="395">
        <f ca="1">IF(SUM($G107:AA107)=$B107,0,IF(AD108&gt;0%,$B107,0%))</f>
        <v>0</v>
      </c>
      <c r="AC107" s="395">
        <f ca="1">IF(SUM($G107:AB107)=$B107,0,IF(AE108&gt;0%,$B107,0%))</f>
        <v>0</v>
      </c>
      <c r="AD107" s="395">
        <f ca="1">IF(SUM($G107:AC107)=$B107,0,IF(AF108&gt;0%,$B107,0%))</f>
        <v>0</v>
      </c>
      <c r="AE107" s="395">
        <f ca="1">IF(SUM($G107:AD107)=$B107,0,IF(AG108&gt;0%,$B107,0%))</f>
        <v>0</v>
      </c>
      <c r="AF107" s="395">
        <f ca="1">IF(SUM($G107:AE107)=$B107,0,IF(AH108&gt;0%,$B107,0%))</f>
        <v>0</v>
      </c>
      <c r="AG107" s="395">
        <f ca="1">IF(SUM($G107:AF107)=$B107,0,IF(AI108&gt;0%,$B107,0%))</f>
        <v>0</v>
      </c>
      <c r="AH107" s="395">
        <f ca="1">IF(SUM($G107:AG107)=$B107,0,IF(AJ108&gt;0%,$B107,0%))</f>
        <v>0</v>
      </c>
      <c r="AI107" s="395">
        <f ca="1">IF(SUM($G107:AH107)=$B107,0,IF(AK108&gt;0%,$B107,0%))</f>
        <v>0</v>
      </c>
      <c r="AJ107" s="395">
        <f ca="1">IF(SUM($G107:AI107)=$B107,0,IF(AL108&gt;0%,$B107,0%))</f>
        <v>0</v>
      </c>
      <c r="AK107" s="395">
        <f ca="1">IF(SUM($G107:AJ107)=$B107,0,IF(AM108&gt;0%,$B107,0%))</f>
        <v>0</v>
      </c>
      <c r="AL107" s="395">
        <f ca="1">IF(SUM($G107:AK107)=$B107,0,IF(AN108&gt;0%,$B107,0%))</f>
        <v>0</v>
      </c>
      <c r="AM107" s="395">
        <f ca="1">IF(SUM($G107:AL107)=$B107,0,IF(AO108&gt;0%,$B107,0%))</f>
        <v>0</v>
      </c>
      <c r="AN107" s="395">
        <f ca="1">IF(SUM($G107:AM107)=$B107,0,IF(AP108&gt;0%,$B107,0%))</f>
        <v>0</v>
      </c>
      <c r="AO107" s="395">
        <f ca="1">IF(SUM($G107:AN107)=$B107,0,IF(AQ108&gt;0%,$B107,0%))</f>
        <v>0</v>
      </c>
      <c r="AP107" s="395">
        <f ca="1">IF(SUM($G107:AO107)=$B107,0,IF(AR108&gt;0%,$B107,0%))</f>
        <v>0</v>
      </c>
      <c r="AQ107" s="395">
        <f ca="1">IF(SUM($G107:AP107)=$B107,0,IF(AS108&gt;0%,$B107,0%))</f>
        <v>0</v>
      </c>
      <c r="AR107" s="395">
        <f ca="1">IF(SUM($G107:AQ107)=$B107,0,IF(AT108&gt;0%,$B107,0%))</f>
        <v>0</v>
      </c>
      <c r="AS107" s="395">
        <f ca="1">IF(SUM($G107:AR107)=$B107,0,IF(AU108&gt;0%,$B107,0%))</f>
        <v>0</v>
      </c>
      <c r="AT107" s="395">
        <f ca="1">IF(SUM($G107:AS107)=$B107,0,IF(AV108&gt;0%,$B107,0%))</f>
        <v>0</v>
      </c>
      <c r="AU107" s="395">
        <f ca="1">IF(SUM($G107:AT107)=$B107,0,IF(AW108&gt;0%,$B107,0%))</f>
        <v>0</v>
      </c>
      <c r="AV107" s="395">
        <f ca="1">IF(SUM($G107:AU107)=$B107,0,IF(AX108&gt;0%,$B107,0%))</f>
        <v>0</v>
      </c>
      <c r="AW107" s="395">
        <f ca="1">IF(SUM($G107:AV107)=$B107,0,IF(AY108&gt;0%,$B107,0%))</f>
        <v>0</v>
      </c>
      <c r="AX107" s="395">
        <f ca="1">IF(SUM($G107:AW107)=$B107,0,IF(AZ108&gt;0%,$B107,0%))</f>
        <v>0</v>
      </c>
      <c r="AY107" s="395">
        <f ca="1">IF(SUM($G107:AX107)=$B107,0,IF(BA108&gt;0%,$B107,0%))</f>
        <v>0</v>
      </c>
      <c r="AZ107" s="395">
        <f ca="1">IF(SUM($G107:AY107)=$B107,0,IF(BB108&gt;0%,$B107,0%))</f>
        <v>0.1</v>
      </c>
      <c r="BA107" s="395">
        <f ca="1">IF(SUM($G107:AZ107)=$B107,0,IF(BC108&gt;0%,$B107,0%))</f>
        <v>0</v>
      </c>
      <c r="BB107" s="395">
        <f ca="1">IF(SUM($G107:BA107)=$B107,0,IF(BD108&gt;0%,$B107,0%))</f>
        <v>0</v>
      </c>
      <c r="BC107" s="395">
        <f ca="1">IF(SUM($G107:BB107)=$B107,0,IF(BE108&gt;0%,$B107,0%))</f>
        <v>0</v>
      </c>
      <c r="BD107" s="395">
        <f ca="1">IF(SUM($G107:BC107)=$B107,0,IF(BF108&gt;0%,$B107,0%))</f>
        <v>0</v>
      </c>
      <c r="BE107" s="395">
        <f ca="1">IF(SUM($G107:BD107)=$B107,0,IF(BG108&gt;0%,$B107,0%))</f>
        <v>0</v>
      </c>
      <c r="BF107" s="395">
        <f ca="1">IF(SUM($G107:BE107)=$B107,0,IF(BH108&gt;0%,$B107,0%))</f>
        <v>0</v>
      </c>
      <c r="BG107" s="395">
        <f ca="1">IF(SUM($G107:BF107)=$B107,0,IF(BI108&gt;0%,$B107,0%))</f>
        <v>0</v>
      </c>
      <c r="BH107" s="395">
        <f ca="1">IF(SUM($G107:BG107)=$B107,0,IF(BJ108&gt;0%,$B107,0%))</f>
        <v>0</v>
      </c>
      <c r="BI107" s="395">
        <f ca="1">IF(SUM($G107:BH107)=$B107,0,IF(BK108&gt;0%,$B107,0%))</f>
        <v>0</v>
      </c>
      <c r="BJ107" s="395">
        <f ca="1">IF(SUM($G107:BI107)=$B107,0,IF(BL108&gt;0%,$B107,0%))</f>
        <v>0</v>
      </c>
      <c r="BK107" s="395">
        <f ca="1">IF(SUM($G107:BJ107)=$B107,0,IF(BM108&gt;0%,$B107,0%))</f>
        <v>0</v>
      </c>
      <c r="BL107" s="395">
        <f ca="1">IF(SUM($G107:BK107)=$B107,0,IF(BN108&gt;0%,$B107,0%))</f>
        <v>0</v>
      </c>
      <c r="BM107" s="395">
        <f ca="1">IF(SUM($G107:BL107)=$B107,0,IF(BO108&gt;0%,$B107,0%))</f>
        <v>0</v>
      </c>
      <c r="BN107" s="395">
        <f ca="1">IF(SUM($G107:BM107)=$B107,0,IF(BP108&gt;0%,$B107,0%))</f>
        <v>0</v>
      </c>
      <c r="BO107" s="395">
        <f ca="1">IF(SUM($G107:BN107)=$B107,0,IF(BQ108&gt;0%,$B107,0%))</f>
        <v>0</v>
      </c>
      <c r="BP107" s="395">
        <f ca="1">IF(SUM($G107:BO107)=$B107,0,IF(BR108&gt;0%,$B107,0%))</f>
        <v>0</v>
      </c>
      <c r="BQ107" s="395">
        <f ca="1">IF(SUM($G107:BP107)=$B107,0,IF(BS108&gt;0%,$B107,0%))</f>
        <v>0</v>
      </c>
      <c r="BR107" s="395">
        <f ca="1">IF(SUM($G107:BQ107)=$B107,0,IF(BT108&gt;0%,$B107,0%))</f>
        <v>0</v>
      </c>
      <c r="BS107" s="395">
        <f ca="1">IF(SUM($G107:BR107)=$B107,0,IF(BU108&gt;0%,$B107,0%))</f>
        <v>0</v>
      </c>
      <c r="BT107" s="395">
        <f ca="1">IF(SUM($G107:BS107)=$B107,0,IF(BV108&gt;0%,$B107,0%))</f>
        <v>0</v>
      </c>
      <c r="BU107" s="395">
        <f ca="1">IF(SUM($G107:BT107)=$B107,0,IF(BW108&gt;0%,$B107,0%))</f>
        <v>0</v>
      </c>
      <c r="BV107" s="395">
        <f ca="1">IF(SUM($G107:BU107)=$B107,0,IF(BX108&gt;0%,$B107,0%))</f>
        <v>0</v>
      </c>
      <c r="BW107" s="395">
        <f ca="1">IF(SUM($G107:BV107)=$B107,0,IF(BY108&gt;0%,$B107,0%))</f>
        <v>0</v>
      </c>
      <c r="BX107" s="395">
        <f ca="1">IF(SUM($G107:BW107)=$B107,0,IF(BZ108&gt;0%,$B107,0%))</f>
        <v>0</v>
      </c>
      <c r="BY107" s="395">
        <f ca="1">IF(SUM($G107:BX107)=$B107,0,IF(CA108&gt;0%,$B107,0%))</f>
        <v>0</v>
      </c>
      <c r="BZ107" s="395">
        <f ca="1">IF(SUM($G107:BY107)=$B107,0,IF(CB108&gt;0%,$B107,0%))</f>
        <v>0</v>
      </c>
      <c r="CA107" s="395">
        <f ca="1">IF(SUM($G107:BZ107)=$B107,0,IF(CC108&gt;0%,$B107,0%))</f>
        <v>0</v>
      </c>
      <c r="CB107" s="395">
        <f ca="1">IF(SUM($G107:CA107)=$B107,0,IF(CD108&gt;0%,$B107,0%))</f>
        <v>0</v>
      </c>
      <c r="CC107" s="395">
        <f ca="1">IF(SUM($G107:CB107)=$B107,0,IF(CE108&gt;0%,$B107,0%))</f>
        <v>0</v>
      </c>
      <c r="CD107" s="395">
        <f ca="1">IF(SUM($G107:CC107)=$B107,0,IF(CF108&gt;0%,$B107,0%))</f>
        <v>0</v>
      </c>
      <c r="CE107" s="395">
        <f ca="1">IF(SUM($G107:CD107)=$B107,0,IF(CG108&gt;0%,$B107,0%))</f>
        <v>0</v>
      </c>
      <c r="CF107" s="395">
        <f ca="1">IF(SUM($G107:CE107)=$B107,0,IF(CH108&gt;0%,$B107,0%))</f>
        <v>0</v>
      </c>
      <c r="CG107" s="395">
        <f ca="1">IF(SUM($G107:CF107)=$B107,0,IF(CI108&gt;0%,$B107,0%))</f>
        <v>0</v>
      </c>
      <c r="CH107" s="395">
        <f ca="1">IF(SUM($G107:CG107)=$B107,0,IF(CJ108&gt;0%,$B107,0%))</f>
        <v>0</v>
      </c>
      <c r="CI107" s="395">
        <f ca="1">IF(SUM($G107:CH107)=$B107,0,IF(CK108&gt;0%,$B107,0%))</f>
        <v>0</v>
      </c>
      <c r="CJ107" s="395">
        <f ca="1">IF(SUM($G107:CI107)=$B107,0,IF(CL108&gt;0%,$B107,0%))</f>
        <v>0</v>
      </c>
      <c r="CK107" s="395">
        <f ca="1">IF(SUM($G107:CJ107)=$B107,0,IF(CM108&gt;0%,$B107,0%))</f>
        <v>0</v>
      </c>
      <c r="CL107" s="395">
        <f ca="1">IF(SUM($G107:CK107)=$B107,0,IF(CN108&gt;0%,$B107,0%))</f>
        <v>0</v>
      </c>
      <c r="CM107" s="395">
        <f ca="1">IF(SUM($G107:CL107)=$B107,0,IF(CO108&gt;0%,$B107,0%))</f>
        <v>0</v>
      </c>
      <c r="CN107" s="395">
        <f ca="1">IF(SUM($G107:CM107)=$B107,0,IF(CP108&gt;0%,$B107,0%))</f>
        <v>0</v>
      </c>
      <c r="CO107" s="395">
        <f ca="1">IF(SUM($G107:CN107)=$B107,0,IF(CQ108&gt;0%,$B107,0%))</f>
        <v>0</v>
      </c>
      <c r="CP107" s="395">
        <f ca="1">IF(SUM($G107:CO107)=$B107,0,IF(CR108&gt;0%,$B107,0%))</f>
        <v>0</v>
      </c>
      <c r="CQ107" s="395">
        <f ca="1">IF(SUM($G107:CP107)=$B107,0,IF(CS108&gt;0%,$B107,0%))</f>
        <v>0</v>
      </c>
      <c r="CR107" s="395">
        <f ca="1">IF(SUM($G107:CQ107)=$B107,0,IF(CT108&gt;0%,$B107,0%))</f>
        <v>0</v>
      </c>
      <c r="CS107" s="395">
        <f ca="1">IF(SUM($G107:CR107)=$B107,0,IF(CU108&gt;0%,$B107,0%))</f>
        <v>0</v>
      </c>
      <c r="CT107" s="395">
        <f ca="1">IF(SUM($G107:CS107)=$B107,0,IF(CV108&gt;0%,$B107,0%))</f>
        <v>0</v>
      </c>
      <c r="CU107" s="395">
        <f ca="1">IF(SUM($G107:CT107)=$B107,0,IF(CW108&gt;0%,$B107,0%))</f>
        <v>0</v>
      </c>
      <c r="CV107" s="395">
        <f ca="1">IF(SUM($G107:CU107)=$B107,0,IF(CX108&gt;0%,$B107,0%))</f>
        <v>0</v>
      </c>
      <c r="CW107" s="395">
        <f ca="1">IF(SUM($G107:CV107)=$B107,0,IF(CY108&gt;0%,$B107,0%))</f>
        <v>0</v>
      </c>
      <c r="CX107" s="395">
        <f ca="1">IF(SUM($G107:CW107)=$B107,0,IF(CZ108&gt;0%,$B107,0%))</f>
        <v>0</v>
      </c>
      <c r="CY107" s="395">
        <f ca="1">IF(SUM($G107:CX107)=$B107,0,IF(DA108&gt;0%,$B107,0%))</f>
        <v>0</v>
      </c>
      <c r="CZ107" s="395">
        <f ca="1">IF(SUM($G107:CY107)=$B107,0,IF(DB108&gt;0%,$B107,0%))</f>
        <v>0</v>
      </c>
      <c r="DA107" s="395">
        <f ca="1">IF(SUM($G107:CZ107)=$B107,0,IF(DC108&gt;0%,$B107,0%))</f>
        <v>0</v>
      </c>
      <c r="DB107" s="395">
        <f ca="1">IF(SUM($G107:DA107)=$B107,0,IF(DD108&gt;0%,$B107,0%))</f>
        <v>0</v>
      </c>
      <c r="DC107" s="395">
        <f ca="1">IF(SUM($G107:DB107)=$B107,0,IF(DE108&gt;0%,$B107,0%))</f>
        <v>0</v>
      </c>
      <c r="DD107" s="395">
        <f ca="1">IF(SUM($G107:DC107)=$B107,0,IF(DF108&gt;0%,$B107,0%))</f>
        <v>0</v>
      </c>
      <c r="DE107" s="395">
        <f ca="1">IF(SUM($G107:DD107)=$B107,0,IF(DG108&gt;0%,$B107,0%))</f>
        <v>0</v>
      </c>
      <c r="DF107" s="395">
        <f ca="1">IF(SUM($G107:DE107)=$B107,0,IF(DH108&gt;0%,$B107,0%))</f>
        <v>0</v>
      </c>
      <c r="DG107" s="395">
        <f ca="1">IF(SUM($G107:DF107)=$B107,0,IF(DI108&gt;0%,$B107,0%))</f>
        <v>0</v>
      </c>
      <c r="DH107" s="395">
        <f ca="1">IF(SUM($G107:DG107)=$B107,0,IF(DJ108&gt;0%,$B107,0%))</f>
        <v>0</v>
      </c>
      <c r="DI107" s="395">
        <f ca="1">IF(SUM($G107:DH107)=$B107,0,IF(DK108&gt;0%,$B107,0%))</f>
        <v>0</v>
      </c>
      <c r="DJ107" s="395">
        <f ca="1">IF(SUM($G107:DI107)=$B107,0,IF(DL108&gt;0%,$B107,0%))</f>
        <v>0</v>
      </c>
      <c r="DK107" s="395">
        <f ca="1">IF(SUM($G107:DJ107)=$B107,0,IF(DM108&gt;0%,$B107,0%))</f>
        <v>0</v>
      </c>
      <c r="DL107" s="395">
        <f ca="1">IF(SUM($G107:DK107)=$B107,0,IF(DN108&gt;0%,$B107,0%))</f>
        <v>0</v>
      </c>
      <c r="DM107" s="395">
        <f ca="1">IF(SUM($G107:DL107)=$B107,0,IF(DO108&gt;0%,$B107,0%))</f>
        <v>0</v>
      </c>
      <c r="DN107" s="395">
        <f ca="1">IF(SUM($G107:DM107)=$B107,0,IF(DP108&gt;0%,$B107,0%))</f>
        <v>0</v>
      </c>
      <c r="DO107" s="395">
        <f ca="1">IF(SUM($G107:DN107)=$B107,0,IF(DQ108&gt;0%,$B107,0%))</f>
        <v>0</v>
      </c>
      <c r="DP107" s="395">
        <f ca="1">IF(SUM($G107:DO107)=$B107,0,IF(DR108&gt;0%,$B107,0%))</f>
        <v>0</v>
      </c>
      <c r="DQ107" s="395">
        <f ca="1">IF(SUM($G107:DP107)=$B107,0,IF(DS108&gt;0%,$B107,0%))</f>
        <v>0</v>
      </c>
      <c r="DR107" s="395">
        <f ca="1">IF(SUM($G107:DQ107)=$B107,0,IF(DT108&gt;0%,$B107,0%))</f>
        <v>0</v>
      </c>
      <c r="DS107" s="395">
        <f ca="1">IF(SUM($G107:DR107)=$B107,0,IF(DU108&gt;0%,$B107,0%))</f>
        <v>0</v>
      </c>
      <c r="DT107" s="395">
        <f ca="1">IF(SUM($G107:DS107)=$B107,0,IF(DV108&gt;0%,$B107,0%))</f>
        <v>0</v>
      </c>
      <c r="DU107" s="395">
        <f ca="1">IF(SUM($G107:DT107)=$B107,0,IF(DW108&gt;0%,$B107,0%))</f>
        <v>0</v>
      </c>
      <c r="DV107" s="395">
        <f ca="1">IF(SUM($G107:DU107)=$B107,0,IF(DX108&gt;0%,$B107,0%))</f>
        <v>0</v>
      </c>
      <c r="DW107" s="395">
        <f ca="1">IF(SUM($G107:DV107)=$B107,0,IF(DY108&gt;0%,$B107,0%))</f>
        <v>0</v>
      </c>
      <c r="DX107" s="395">
        <f ca="1">IF(SUM($G107:DW107)=$B107,0,IF(DZ108&gt;0%,$B107,0%))</f>
        <v>0</v>
      </c>
      <c r="DY107" s="395">
        <f ca="1">IF(SUM($G107:DX107)=$B107,0,IF(EA108&gt;0%,$B107,0%))</f>
        <v>0</v>
      </c>
      <c r="DZ107" s="395">
        <f ca="1">IF(SUM($G107:DY107)=$B107,0,IF(EB108&gt;0%,$B107,0%))</f>
        <v>0</v>
      </c>
      <c r="EA107" s="395">
        <f ca="1">IF(SUM($G107:DZ107)=$B107,0,IF(EC108&gt;0%,$B107,0%))</f>
        <v>0</v>
      </c>
      <c r="EB107" s="395">
        <f ca="1">IF(SUM($G107:EA107)=$B107,0,IF(ED108&gt;0%,$B107,0%))</f>
        <v>0</v>
      </c>
      <c r="EC107" s="395">
        <f ca="1">IF(SUM($G107:EB107)=$B107,0,IF(EE108&gt;0%,$B107,0%))</f>
        <v>0</v>
      </c>
      <c r="ED107" s="395">
        <f ca="1">IF(SUM($G107:EC107)=$B107,0,IF(EF108&gt;0%,$B107,0%))</f>
        <v>0</v>
      </c>
      <c r="EE107" s="395">
        <f ca="1">IF(SUM($G107:ED107)=$B107,0,IF(EG108&gt;0%,$B107,0%))</f>
        <v>0</v>
      </c>
      <c r="EF107" s="395">
        <f ca="1">IF(SUM($G107:EE107)=$B107,0,IF(EH108&gt;0%,$B107,0%))</f>
        <v>0</v>
      </c>
      <c r="EG107" s="395">
        <f ca="1">IF(SUM($G107:EF107)=$B107,0,IF(EI108&gt;0%,$B107,0%))</f>
        <v>0</v>
      </c>
      <c r="EH107" s="395">
        <f ca="1">IF(SUM($G107:EG107)=$B107,0,IF(EJ108&gt;0%,$B107,0%))</f>
        <v>0</v>
      </c>
      <c r="EI107" s="395">
        <f ca="1">IF(SUM($G107:EH107)=$B107,0,IF(EK108&gt;0%,$B107,0%))</f>
        <v>0</v>
      </c>
      <c r="EJ107" s="398"/>
      <c r="EK107" s="313"/>
    </row>
    <row r="108" spans="1:141" hidden="1" outlineLevel="2">
      <c r="A108" s="332"/>
      <c r="B108" s="548">
        <f t="shared" ref="B108:B110" si="329">B103</f>
        <v>0.85</v>
      </c>
      <c r="C108" s="317"/>
      <c r="D108" s="317" t="s">
        <v>663</v>
      </c>
      <c r="E108" s="318">
        <f ca="1">ROUND(IF(F108=0,0,B108-F108),3)</f>
        <v>0</v>
      </c>
      <c r="F108" s="397">
        <f t="shared" ca="1" si="324"/>
        <v>0.85</v>
      </c>
      <c r="G108" s="395"/>
      <c r="H108" s="395"/>
      <c r="I108" s="395">
        <f ca="1">IF($E$279=0,0,IF(SUM($G108:H108)=$B108,0,IF(SUM($G279:H279)&gt;=$E279,($B108/$E279)*($E279-SUM($G279:G279)),($B108/$E279)*H279)))</f>
        <v>0</v>
      </c>
      <c r="J108" s="395">
        <f ca="1">IF($E$279=0,0,IF(SUM($G108:I108)=$B108,0,IF(SUM($G279:I279)&gt;=$E279,($B108/$E279)*($E279-SUM($G279:H279)),($B108/$E279)*I279)))</f>
        <v>0</v>
      </c>
      <c r="K108" s="395">
        <f ca="1">IF($E$279=0,0,IF(SUM($G108:J108)=$B108,0,IF(SUM($G279:J279)&gt;=$E279,($B108/$E279)*($E279-SUM($G279:I279)),($B108/$E279)*J279)))</f>
        <v>0</v>
      </c>
      <c r="L108" s="395">
        <f ca="1">IF($E$279=0,0,IF(SUM($G108:K108)=$B108,0,IF(SUM($G279:K279)&gt;=$E279,($B108/$E279)*($E279-SUM($G279:J279)),($B108/$E279)*K279)))</f>
        <v>0</v>
      </c>
      <c r="M108" s="395">
        <f ca="1">IF($E$279=0,0,IF(SUM($G108:L108)=$B108,0,IF(SUM($G279:L279)&gt;=$E279,($B108/$E279)*($E279-SUM($G279:K279)),($B108/$E279)*L279)))</f>
        <v>0</v>
      </c>
      <c r="N108" s="395">
        <f ca="1">IF($E$279=0,0,IF(SUM($G108:M108)=$B108,0,IF(SUM($G279:M279)&gt;=$E279,($B108/$E279)*($E279-SUM($G279:L279)),($B108/$E279)*M279)))</f>
        <v>0</v>
      </c>
      <c r="O108" s="395">
        <f ca="1">IF($E$279=0,0,IF(SUM($G108:N108)=$B108,0,IF(SUM($G279:N279)&gt;=$E279,($B108/$E279)*($E279-SUM($G279:M279)),($B108/$E279)*N279)))</f>
        <v>0</v>
      </c>
      <c r="P108" s="395">
        <f ca="1">IF($E$279=0,0,IF(SUM($G108:O108)=$B108,0,IF(SUM($G279:O279)&gt;=$E279,($B108/$E279)*($E279-SUM($G279:N279)),($B108/$E279)*O279)))</f>
        <v>0</v>
      </c>
      <c r="Q108" s="395">
        <f ca="1">IF($E$279=0,0,IF(SUM($G108:P108)=$B108,0,IF(SUM($G279:P279)&gt;=$E279,($B108/$E279)*($E279-SUM($G279:O279)),($B108/$E279)*P279)))</f>
        <v>0</v>
      </c>
      <c r="R108" s="395">
        <f ca="1">IF($E$279=0,0,IF(SUM($G108:Q108)=$B108,0,IF(SUM($G279:Q279)&gt;=$E279,($B108/$E279)*($E279-SUM($G279:P279)),($B108/$E279)*Q279)))</f>
        <v>0</v>
      </c>
      <c r="S108" s="395">
        <f ca="1">IF($E$279=0,0,IF(SUM($G108:R108)=$B108,0,IF(SUM($G279:R279)&gt;=$E279,($B108/$E279)*($E279-SUM($G279:Q279)),($B108/$E279)*R279)))</f>
        <v>0</v>
      </c>
      <c r="T108" s="395">
        <f ca="1">IF($E$279=0,0,IF(SUM($G108:S108)=$B108,0,IF(SUM($G279:S279)&gt;=$E279,($B108/$E279)*($E279-SUM($G279:R279)),($B108/$E279)*S279)))</f>
        <v>0</v>
      </c>
      <c r="U108" s="395">
        <f ca="1">IF($E$279=0,0,IF(SUM($G108:T108)=$B108,0,IF(SUM($G279:T279)&gt;=$E279,($B108/$E279)*($E279-SUM($G279:S279)),($B108/$E279)*T279)))</f>
        <v>0</v>
      </c>
      <c r="V108" s="395">
        <f ca="1">IF($E$279=0,0,IF(SUM($G108:U108)=$B108,0,IF(SUM($G279:U279)&gt;=$E279,($B108/$E279)*($E279-SUM($G279:T279)),($B108/$E279)*U279)))</f>
        <v>0</v>
      </c>
      <c r="W108" s="395">
        <f ca="1">IF($E$279=0,0,IF(SUM($G108:V108)=$B108,0,IF(SUM($G279:V279)&gt;=$E279,($B108/$E279)*($E279-SUM($G279:U279)),($B108/$E279)*V279)))</f>
        <v>0</v>
      </c>
      <c r="X108" s="395">
        <f ca="1">IF($E$279=0,0,IF(SUM($G108:W108)=$B108,0,IF(SUM($G279:W279)&gt;=$E279,($B108/$E279)*($E279-SUM($G279:V279)),($B108/$E279)*W279)))</f>
        <v>0</v>
      </c>
      <c r="Y108" s="395">
        <f ca="1">IF($E$279=0,0,IF(SUM($G108:X108)=$B108,0,IF(SUM($G279:X279)&gt;=$E279,($B108/$E279)*($E279-SUM($G279:W279)),($B108/$E279)*X279)))</f>
        <v>0</v>
      </c>
      <c r="Z108" s="395">
        <f ca="1">IF($E$279=0,0,IF(SUM($G108:Y108)=$B108,0,IF(SUM($G279:Y279)&gt;=$E279,($B108/$E279)*($E279-SUM($G279:X279)),($B108/$E279)*Y279)))</f>
        <v>0</v>
      </c>
      <c r="AA108" s="395">
        <f ca="1">IF($E$279=0,0,IF(SUM($G108:Z108)=$B108,0,IF(SUM($G279:Z279)&gt;=$E279,($B108/$E279)*($E279-SUM($G279:Y279)),($B108/$E279)*Z279)))</f>
        <v>0</v>
      </c>
      <c r="AB108" s="395">
        <f ca="1">IF($E$279=0,0,IF(SUM($G108:AA108)=$B108,0,IF(SUM($G279:AA279)&gt;=$E279,($B108/$E279)*($E279-SUM($G279:Z279)),($B108/$E279)*AA279)))</f>
        <v>0</v>
      </c>
      <c r="AC108" s="395">
        <f ca="1">IF($E$279=0,0,IF(SUM($G108:AB108)=$B108,0,IF(SUM($G279:AB279)&gt;=$E279,($B108/$E279)*($E279-SUM($G279:AA279)),($B108/$E279)*AB279)))</f>
        <v>0</v>
      </c>
      <c r="AD108" s="395">
        <f ca="1">IF($E$279=0,0,IF(SUM($G108:AC108)=$B108,0,IF(SUM($G279:AC279)&gt;=$E279,($B108/$E279)*($E279-SUM($G279:AB279)),($B108/$E279)*AC279)))</f>
        <v>0</v>
      </c>
      <c r="AE108" s="395">
        <f ca="1">IF($E$279=0,0,IF(SUM($G108:AD108)=$B108,0,IF(SUM($G279:AD279)&gt;=$E279,($B108/$E279)*($E279-SUM($G279:AC279)),($B108/$E279)*AD279)))</f>
        <v>0</v>
      </c>
      <c r="AF108" s="395">
        <f ca="1">IF($E$279=0,0,IF(SUM($G108:AE108)=$B108,0,IF(SUM($G279:AE279)&gt;=$E279,($B108/$E279)*($E279-SUM($G279:AD279)),($B108/$E279)*AE279)))</f>
        <v>0</v>
      </c>
      <c r="AG108" s="395">
        <f ca="1">IF($E$279=0,0,IF(SUM($G108:AF108)=$B108,0,IF(SUM($G279:AF279)&gt;=$E279,($B108/$E279)*($E279-SUM($G279:AE279)),($B108/$E279)*AF279)))</f>
        <v>0</v>
      </c>
      <c r="AH108" s="395">
        <f ca="1">IF($E$279=0,0,IF(SUM($G108:AG108)=$B108,0,IF(SUM($G279:AG279)&gt;=$E279,($B108/$E279)*($E279-SUM($G279:AF279)),($B108/$E279)*AG279)))</f>
        <v>0</v>
      </c>
      <c r="AI108" s="395">
        <f ca="1">IF($E$279=0,0,IF(SUM($G108:AH108)=$B108,0,IF(SUM($G279:AH279)&gt;=$E279,($B108/$E279)*($E279-SUM($G279:AG279)),($B108/$E279)*AH279)))</f>
        <v>0</v>
      </c>
      <c r="AJ108" s="395">
        <f ca="1">IF($E$279=0,0,IF(SUM($G108:AI108)=$B108,0,IF(SUM($G279:AI279)&gt;=$E279,($B108/$E279)*($E279-SUM($G279:AH279)),($B108/$E279)*AI279)))</f>
        <v>0</v>
      </c>
      <c r="AK108" s="395">
        <f ca="1">IF($E$279=0,0,IF(SUM($G108:AJ108)=$B108,0,IF(SUM($G279:AJ279)&gt;=$E279,($B108/$E279)*($E279-SUM($G279:AI279)),($B108/$E279)*AJ279)))</f>
        <v>0</v>
      </c>
      <c r="AL108" s="395">
        <f ca="1">IF($E$279=0,0,IF(SUM($G108:AK108)=$B108,0,IF(SUM($G279:AK279)&gt;=$E279,($B108/$E279)*($E279-SUM($G279:AJ279)),($B108/$E279)*AK279)))</f>
        <v>0</v>
      </c>
      <c r="AM108" s="395">
        <f ca="1">IF($E$279=0,0,IF(SUM($G108:AL108)=$B108,0,IF(SUM($G279:AL279)&gt;=$E279,($B108/$E279)*($E279-SUM($G279:AK279)),($B108/$E279)*AL279)))</f>
        <v>0</v>
      </c>
      <c r="AN108" s="395">
        <f ca="1">IF($E$279=0,0,IF(SUM($G108:AM108)=$B108,0,IF(SUM($G279:AM279)&gt;=$E279,($B108/$E279)*($E279-SUM($G279:AL279)),($B108/$E279)*AM279)))</f>
        <v>0</v>
      </c>
      <c r="AO108" s="395">
        <f ca="1">IF($E$279=0,0,IF(SUM($G108:AN108)=$B108,0,IF(SUM($G279:AN279)&gt;=$E279,($B108/$E279)*($E279-SUM($G279:AM279)),($B108/$E279)*AN279)))</f>
        <v>0</v>
      </c>
      <c r="AP108" s="395">
        <f ca="1">IF($E$279=0,0,IF(SUM($G108:AO108)=$B108,0,IF(SUM($G279:AO279)&gt;=$E279,($B108/$E279)*($E279-SUM($G279:AN279)),($B108/$E279)*AO279)))</f>
        <v>0</v>
      </c>
      <c r="AQ108" s="395">
        <f ca="1">IF($E$279=0,0,IF(SUM($G108:AP108)=$B108,0,IF(SUM($G279:AP279)&gt;=$E279,($B108/$E279)*($E279-SUM($G279:AO279)),($B108/$E279)*AP279)))</f>
        <v>0</v>
      </c>
      <c r="AR108" s="395">
        <f ca="1">IF($E$279=0,0,IF(SUM($G108:AQ108)=$B108,0,IF(SUM($G279:AQ279)&gt;=$E279,($B108/$E279)*($E279-SUM($G279:AP279)),($B108/$E279)*AQ279)))</f>
        <v>0</v>
      </c>
      <c r="AS108" s="395">
        <f ca="1">IF($E$279=0,0,IF(SUM($G108:AR108)=$B108,0,IF(SUM($G279:AR279)&gt;=$E279,($B108/$E279)*($E279-SUM($G279:AQ279)),($B108/$E279)*AR279)))</f>
        <v>0</v>
      </c>
      <c r="AT108" s="395">
        <f ca="1">IF($E$279=0,0,IF(SUM($G108:AS108)=$B108,0,IF(SUM($G279:AS279)&gt;=$E279,($B108/$E279)*($E279-SUM($G279:AR279)),($B108/$E279)*AS279)))</f>
        <v>0</v>
      </c>
      <c r="AU108" s="395">
        <f ca="1">IF($E$279=0,0,IF(SUM($G108:AT108)=$B108,0,IF(SUM($G279:AT279)&gt;=$E279,($B108/$E279)*($E279-SUM($G279:AS279)),($B108/$E279)*AT279)))</f>
        <v>0</v>
      </c>
      <c r="AV108" s="395">
        <f ca="1">IF($E$279=0,0,IF(SUM($G108:AU108)=$B108,0,IF(SUM($G279:AU279)&gt;=$E279,($B108/$E279)*($E279-SUM($G279:AT279)),($B108/$E279)*AU279)))</f>
        <v>0</v>
      </c>
      <c r="AW108" s="395">
        <f ca="1">IF($E$279=0,0,IF(SUM($G108:AV108)=$B108,0,IF(SUM($G279:AV279)&gt;=$E279,($B108/$E279)*($E279-SUM($G279:AU279)),($B108/$E279)*AV279)))</f>
        <v>0</v>
      </c>
      <c r="AX108" s="395">
        <f ca="1">IF($E$279=0,0,IF(SUM($G108:AW108)=$B108,0,IF(SUM($G279:AW279)&gt;=$E279,($B108/$E279)*($E279-SUM($G279:AV279)),($B108/$E279)*AW279)))</f>
        <v>0</v>
      </c>
      <c r="AY108" s="395">
        <f ca="1">IF($E$279=0,0,IF(SUM($G108:AX108)=$B108,0,IF(SUM($G279:AX279)&gt;=$E279,($B108/$E279)*($E279-SUM($G279:AW279)),($B108/$E279)*AX279)))</f>
        <v>0</v>
      </c>
      <c r="AZ108" s="395">
        <f ca="1">IF($E$279=0,0,IF(SUM($G108:AY108)=$B108,0,IF(SUM($G279:AY279)&gt;=$E279,($B108/$E279)*($E279-SUM($G279:AX279)),($B108/$E279)*AY279)))</f>
        <v>0</v>
      </c>
      <c r="BA108" s="395">
        <f ca="1">IF($E$279=0,0,IF(SUM($G108:AZ108)=$B108,0,IF(SUM($G279:AZ279)&gt;=$E279,($B108/$E279)*($E279-SUM($G279:AY279)),($B108/$E279)*AZ279)))</f>
        <v>0</v>
      </c>
      <c r="BB108" s="395">
        <f ca="1">IF($E$279=0,0,IF(SUM($G108:BA108)=$B108,0,IF(SUM($G279:BA279)&gt;=$E279,($B108/$E279)*($E279-SUM($G279:AZ279)),($B108/$E279)*BA279)))</f>
        <v>3.6956521739130437E-2</v>
      </c>
      <c r="BC108" s="395">
        <f ca="1">IF($E$279=0,0,IF(SUM($G108:BB108)=$B108,0,IF(SUM($G279:BB279)&gt;=$E279,($B108/$E279)*($E279-SUM($G279:BA279)),($B108/$E279)*BB279)))</f>
        <v>0.20695652173913043</v>
      </c>
      <c r="BD108" s="395">
        <f ca="1">IF($E$279=0,0,IF(SUM($G108:BC108)=$B108,0,IF(SUM($G279:BC279)&gt;=$E279,($B108/$E279)*($E279-SUM($G279:BB279)),($B108/$E279)*BC279)))</f>
        <v>0.22913043478260869</v>
      </c>
      <c r="BE108" s="395">
        <f ca="1">IF($E$279=0,0,IF(SUM($G108:BD108)=$B108,0,IF(SUM($G279:BD279)&gt;=$E279,($B108/$E279)*($E279-SUM($G279:BC279)),($B108/$E279)*BD279)))</f>
        <v>0.22173913043478261</v>
      </c>
      <c r="BF108" s="395">
        <f ca="1">IF($E$279=0,0,IF(SUM($G108:BE108)=$B108,0,IF(SUM($G279:BE279)&gt;=$E279,($B108/$E279)*($E279-SUM($G279:BD279)),($B108/$E279)*BE279)))</f>
        <v>0.15521739130434783</v>
      </c>
      <c r="BG108" s="395">
        <f ca="1">IF($E$279=0,0,IF(SUM($G108:BF108)=$B108,0,IF(SUM($G279:BF279)&gt;=$E279,($B108/$E279)*($E279-SUM($G279:BE279)),($B108/$E279)*BF279)))</f>
        <v>0</v>
      </c>
      <c r="BH108" s="395">
        <f ca="1">IF($E$279=0,0,IF(SUM($G108:BG108)=$B108,0,IF(SUM($G279:BG279)&gt;=$E279,($B108/$E279)*($E279-SUM($G279:BF279)),($B108/$E279)*BG279)))</f>
        <v>0</v>
      </c>
      <c r="BI108" s="395">
        <f ca="1">IF($E$279=0,0,IF(SUM($G108:BH108)=$B108,0,IF(SUM($G279:BH279)&gt;=$E279,($B108/$E279)*($E279-SUM($G279:BG279)),($B108/$E279)*BH279)))</f>
        <v>0</v>
      </c>
      <c r="BJ108" s="395">
        <f ca="1">IF($E$279=0,0,IF(SUM($G108:BI108)=$B108,0,IF(SUM($G279:BI279)&gt;=$E279,($B108/$E279)*($E279-SUM($G279:BH279)),($B108/$E279)*BI279)))</f>
        <v>0</v>
      </c>
      <c r="BK108" s="395">
        <f ca="1">IF($E$279=0,0,IF(SUM($G108:BJ108)=$B108,0,IF(SUM($G279:BJ279)&gt;=$E279,($B108/$E279)*($E279-SUM($G279:BI279)),($B108/$E279)*BJ279)))</f>
        <v>0</v>
      </c>
      <c r="BL108" s="395">
        <f ca="1">IF($E$279=0,0,IF(SUM($G108:BK108)=$B108,0,IF(SUM($G279:BK279)&gt;=$E279,($B108/$E279)*($E279-SUM($G279:BJ279)),($B108/$E279)*BK279)))</f>
        <v>0</v>
      </c>
      <c r="BM108" s="395">
        <f ca="1">IF($E$279=0,0,IF(SUM($G108:BL108)=$B108,0,IF(SUM($G279:BL279)&gt;=$E279,($B108/$E279)*($E279-SUM($G279:BK279)),($B108/$E279)*BL279)))</f>
        <v>0</v>
      </c>
      <c r="BN108" s="395">
        <f ca="1">IF($E$279=0,0,IF(SUM($G108:BM108)=$B108,0,IF(SUM($G279:BM279)&gt;=$E279,($B108/$E279)*($E279-SUM($G279:BL279)),($B108/$E279)*BM279)))</f>
        <v>0</v>
      </c>
      <c r="BO108" s="395">
        <f ca="1">IF($E$279=0,0,IF(SUM($G108:BN108)=$B108,0,IF(SUM($G279:BN279)&gt;=$E279,($B108/$E279)*($E279-SUM($G279:BM279)),($B108/$E279)*BN279)))</f>
        <v>0</v>
      </c>
      <c r="BP108" s="395">
        <f ca="1">IF($E$279=0,0,IF(SUM($G108:BO108)=$B108,0,IF(SUM($G279:BO279)&gt;=$E279,($B108/$E279)*($E279-SUM($G279:BN279)),($B108/$E279)*BO279)))</f>
        <v>0</v>
      </c>
      <c r="BQ108" s="395">
        <f ca="1">IF($E$279=0,0,IF(SUM($G108:BP108)=$B108,0,IF(SUM($G279:BP279)&gt;=$E279,($B108/$E279)*($E279-SUM($G279:BO279)),($B108/$E279)*BP279)))</f>
        <v>0</v>
      </c>
      <c r="BR108" s="395">
        <f ca="1">IF($E$279=0,0,IF(SUM($G108:BQ108)=$B108,0,IF(SUM($G279:BQ279)&gt;=$E279,($B108/$E279)*($E279-SUM($G279:BP279)),($B108/$E279)*BQ279)))</f>
        <v>0</v>
      </c>
      <c r="BS108" s="395">
        <f ca="1">IF($E$279=0,0,IF(SUM($G108:BR108)=$B108,0,IF(SUM($G279:BR279)&gt;=$E279,($B108/$E279)*($E279-SUM($G279:BQ279)),($B108/$E279)*BR279)))</f>
        <v>0</v>
      </c>
      <c r="BT108" s="395">
        <f ca="1">IF($E$279=0,0,IF(SUM($G108:BS108)=$B108,0,IF(SUM($G279:BS279)&gt;=$E279,($B108/$E279)*($E279-SUM($G279:BR279)),($B108/$E279)*BS279)))</f>
        <v>0</v>
      </c>
      <c r="BU108" s="395">
        <f ca="1">IF($E$279=0,0,IF(SUM($G108:BT108)=$B108,0,IF(SUM($G279:BT279)&gt;=$E279,($B108/$E279)*($E279-SUM($G279:BS279)),($B108/$E279)*BT279)))</f>
        <v>0</v>
      </c>
      <c r="BV108" s="395">
        <f ca="1">IF($E$279=0,0,IF(SUM($G108:BU108)=$B108,0,IF(SUM($G279:BU279)&gt;=$E279,($B108/$E279)*($E279-SUM($G279:BT279)),($B108/$E279)*BU279)))</f>
        <v>0</v>
      </c>
      <c r="BW108" s="395">
        <f ca="1">IF($E$279=0,0,IF(SUM($G108:BV108)=$B108,0,IF(SUM($G279:BV279)&gt;=$E279,($B108/$E279)*($E279-SUM($G279:BU279)),($B108/$E279)*BV279)))</f>
        <v>0</v>
      </c>
      <c r="BX108" s="395">
        <f ca="1">IF($E$279=0,0,IF(SUM($G108:BW108)=$B108,0,IF(SUM($G279:BW279)&gt;=$E279,($B108/$E279)*($E279-SUM($G279:BV279)),($B108/$E279)*BW279)))</f>
        <v>0</v>
      </c>
      <c r="BY108" s="395">
        <f ca="1">IF($E$279=0,0,IF(SUM($G108:BX108)=$B108,0,IF(SUM($G279:BX279)&gt;=$E279,($B108/$E279)*($E279-SUM($G279:BW279)),($B108/$E279)*BX279)))</f>
        <v>0</v>
      </c>
      <c r="BZ108" s="395">
        <f ca="1">IF($E$279=0,0,IF(SUM($G108:BY108)=$B108,0,IF(SUM($G279:BY279)&gt;=$E279,($B108/$E279)*($E279-SUM($G279:BX279)),($B108/$E279)*BY279)))</f>
        <v>0</v>
      </c>
      <c r="CA108" s="395">
        <f ca="1">IF($E$279=0,0,IF(SUM($G108:BZ108)=$B108,0,IF(SUM($G279:BZ279)&gt;=$E279,($B108/$E279)*($E279-SUM($G279:BY279)),($B108/$E279)*BZ279)))</f>
        <v>0</v>
      </c>
      <c r="CB108" s="395">
        <f ca="1">IF($E$279=0,0,IF(SUM($G108:CA108)=$B108,0,IF(SUM($G279:CA279)&gt;=$E279,($B108/$E279)*($E279-SUM($G279:BZ279)),($B108/$E279)*CA279)))</f>
        <v>0</v>
      </c>
      <c r="CC108" s="395">
        <f ca="1">IF($E$279=0,0,IF(SUM($G108:CB108)=$B108,0,IF(SUM($G279:CB279)&gt;=$E279,($B108/$E279)*($E279-SUM($G279:CA279)),($B108/$E279)*CB279)))</f>
        <v>0</v>
      </c>
      <c r="CD108" s="395">
        <f ca="1">IF($E$279=0,0,IF(SUM($G108:CC108)=$B108,0,IF(SUM($G279:CC279)&gt;=$E279,($B108/$E279)*($E279-SUM($G279:CB279)),($B108/$E279)*CC279)))</f>
        <v>0</v>
      </c>
      <c r="CE108" s="395">
        <f ca="1">IF($E$279=0,0,IF(SUM($G108:CD108)=$B108,0,IF(SUM($G279:CD279)&gt;=$E279,($B108/$E279)*($E279-SUM($G279:CC279)),($B108/$E279)*CD279)))</f>
        <v>0</v>
      </c>
      <c r="CF108" s="395">
        <f ca="1">IF($E$279=0,0,IF(SUM($G108:CE108)=$B108,0,IF(SUM($G279:CE279)&gt;=$E279,($B108/$E279)*($E279-SUM($G279:CD279)),($B108/$E279)*CE279)))</f>
        <v>0</v>
      </c>
      <c r="CG108" s="395">
        <f ca="1">IF($E$279=0,0,IF(SUM($G108:CF108)=$B108,0,IF(SUM($G279:CF279)&gt;=$E279,($B108/$E279)*($E279-SUM($G279:CE279)),($B108/$E279)*CF279)))</f>
        <v>0</v>
      </c>
      <c r="CH108" s="395">
        <f ca="1">IF($E$279=0,0,IF(SUM($G108:CG108)=$B108,0,IF(SUM($G279:CG279)&gt;=$E279,($B108/$E279)*($E279-SUM($G279:CF279)),($B108/$E279)*CG279)))</f>
        <v>0</v>
      </c>
      <c r="CI108" s="395">
        <f ca="1">IF($E$279=0,0,IF(SUM($G108:CH108)=$B108,0,IF(SUM($G279:CH279)&gt;=$E279,($B108/$E279)*($E279-SUM($G279:CG279)),($B108/$E279)*CH279)))</f>
        <v>0</v>
      </c>
      <c r="CJ108" s="395">
        <f ca="1">IF($E$279=0,0,IF(SUM($G108:CI108)=$B108,0,IF(SUM($G279:CI279)&gt;=$E279,($B108/$E279)*($E279-SUM($G279:CH279)),($B108/$E279)*CI279)))</f>
        <v>0</v>
      </c>
      <c r="CK108" s="395">
        <f ca="1">IF($E$279=0,0,IF(SUM($G108:CJ108)=$B108,0,IF(SUM($G279:CJ279)&gt;=$E279,($B108/$E279)*($E279-SUM($G279:CI279)),($B108/$E279)*CJ279)))</f>
        <v>0</v>
      </c>
      <c r="CL108" s="395">
        <f ca="1">IF($E$279=0,0,IF(SUM($G108:CK108)=$B108,0,IF(SUM($G279:CK279)&gt;=$E279,($B108/$E279)*($E279-SUM($G279:CJ279)),($B108/$E279)*CK279)))</f>
        <v>0</v>
      </c>
      <c r="CM108" s="395">
        <f ca="1">IF($E$279=0,0,IF(SUM($G108:CL108)=$B108,0,IF(SUM($G279:CL279)&gt;=$E279,($B108/$E279)*($E279-SUM($G279:CK279)),($B108/$E279)*CL279)))</f>
        <v>0</v>
      </c>
      <c r="CN108" s="395">
        <f ca="1">IF($E$279=0,0,IF(SUM($G108:CM108)=$B108,0,IF(SUM($G279:CM279)&gt;=$E279,($B108/$E279)*($E279-SUM($G279:CL279)),($B108/$E279)*CM279)))</f>
        <v>0</v>
      </c>
      <c r="CO108" s="395">
        <f ca="1">IF($E$279=0,0,IF(SUM($G108:CN108)=$B108,0,IF(SUM($G279:CN279)&gt;=$E279,($B108/$E279)*($E279-SUM($G279:CM279)),($B108/$E279)*CN279)))</f>
        <v>0</v>
      </c>
      <c r="CP108" s="395">
        <f ca="1">IF($E$279=0,0,IF(SUM($G108:CO108)=$B108,0,IF(SUM($G279:CO279)&gt;=$E279,($B108/$E279)*($E279-SUM($G279:CN279)),($B108/$E279)*CO279)))</f>
        <v>0</v>
      </c>
      <c r="CQ108" s="395">
        <f ca="1">IF($E$279=0,0,IF(SUM($G108:CP108)=$B108,0,IF(SUM($G279:CP279)&gt;=$E279,($B108/$E279)*($E279-SUM($G279:CO279)),($B108/$E279)*CP279)))</f>
        <v>0</v>
      </c>
      <c r="CR108" s="395">
        <f ca="1">IF($E$279=0,0,IF(SUM($G108:CQ108)=$B108,0,IF(SUM($G279:CQ279)&gt;=$E279,($B108/$E279)*($E279-SUM($G279:CP279)),($B108/$E279)*CQ279)))</f>
        <v>0</v>
      </c>
      <c r="CS108" s="395">
        <f ca="1">IF($E$279=0,0,IF(SUM($G108:CR108)=$B108,0,IF(SUM($G279:CR279)&gt;=$E279,($B108/$E279)*($E279-SUM($G279:CQ279)),($B108/$E279)*CR279)))</f>
        <v>0</v>
      </c>
      <c r="CT108" s="395">
        <f ca="1">IF($E$279=0,0,IF(SUM($G108:CS108)=$B108,0,IF(SUM($G279:CS279)&gt;=$E279,($B108/$E279)*($E279-SUM($G279:CR279)),($B108/$E279)*CS279)))</f>
        <v>0</v>
      </c>
      <c r="CU108" s="395">
        <f ca="1">IF($E$279=0,0,IF(SUM($G108:CT108)=$B108,0,IF(SUM($G279:CT279)&gt;=$E279,($B108/$E279)*($E279-SUM($G279:CS279)),($B108/$E279)*CT279)))</f>
        <v>0</v>
      </c>
      <c r="CV108" s="395">
        <f ca="1">IF($E$279=0,0,IF(SUM($G108:CU108)=$B108,0,IF(SUM($G279:CU279)&gt;=$E279,($B108/$E279)*($E279-SUM($G279:CT279)),($B108/$E279)*CU279)))</f>
        <v>0</v>
      </c>
      <c r="CW108" s="395">
        <f ca="1">IF($E$279=0,0,IF(SUM($G108:CV108)=$B108,0,IF(SUM($G279:CV279)&gt;=$E279,($B108/$E279)*($E279-SUM($G279:CU279)),($B108/$E279)*CV279)))</f>
        <v>0</v>
      </c>
      <c r="CX108" s="395">
        <f ca="1">IF($E$279=0,0,IF(SUM($G108:CW108)=$B108,0,IF(SUM($G279:CW279)&gt;=$E279,($B108/$E279)*($E279-SUM($G279:CV279)),($B108/$E279)*CW279)))</f>
        <v>0</v>
      </c>
      <c r="CY108" s="395">
        <f ca="1">IF($E$279=0,0,IF(SUM($G108:CX108)=$B108,0,IF(SUM($G279:CX279)&gt;=$E279,($B108/$E279)*($E279-SUM($G279:CW279)),($B108/$E279)*CX279)))</f>
        <v>0</v>
      </c>
      <c r="CZ108" s="395">
        <f ca="1">IF($E$279=0,0,IF(SUM($G108:CY108)=$B108,0,IF(SUM($G279:CY279)&gt;=$E279,($B108/$E279)*($E279-SUM($G279:CX279)),($B108/$E279)*CY279)))</f>
        <v>0</v>
      </c>
      <c r="DA108" s="395">
        <f ca="1">IF($E$279=0,0,IF(SUM($G108:CZ108)=$B108,0,IF(SUM($G279:CZ279)&gt;=$E279,($B108/$E279)*($E279-SUM($G279:CY279)),($B108/$E279)*CZ279)))</f>
        <v>0</v>
      </c>
      <c r="DB108" s="395">
        <f ca="1">IF($E$279=0,0,IF(SUM($G108:DA108)=$B108,0,IF(SUM($G279:DA279)&gt;=$E279,($B108/$E279)*($E279-SUM($G279:CZ279)),($B108/$E279)*DA279)))</f>
        <v>0</v>
      </c>
      <c r="DC108" s="395">
        <f ca="1">IF($E$279=0,0,IF(SUM($G108:DB108)=$B108,0,IF(SUM($G279:DB279)&gt;=$E279,($B108/$E279)*($E279-SUM($G279:DA279)),($B108/$E279)*DB279)))</f>
        <v>0</v>
      </c>
      <c r="DD108" s="395">
        <f ca="1">IF($E$279=0,0,IF(SUM($G108:DC108)=$B108,0,IF(SUM($G279:DC279)&gt;=$E279,($B108/$E279)*($E279-SUM($G279:DB279)),($B108/$E279)*DC279)))</f>
        <v>0</v>
      </c>
      <c r="DE108" s="395">
        <f ca="1">IF($E$279=0,0,IF(SUM($G108:DD108)=$B108,0,IF(SUM($G279:DD279)&gt;=$E279,($B108/$E279)*($E279-SUM($G279:DC279)),($B108/$E279)*DD279)))</f>
        <v>0</v>
      </c>
      <c r="DF108" s="395">
        <f ca="1">IF($E$279=0,0,IF(SUM($G108:DE108)=$B108,0,IF(SUM($G279:DE279)&gt;=$E279,($B108/$E279)*($E279-SUM($G279:DD279)),($B108/$E279)*DE279)))</f>
        <v>0</v>
      </c>
      <c r="DG108" s="395">
        <f ca="1">IF($E$279=0,0,IF(SUM($G108:DF108)=$B108,0,IF(SUM($G279:DF279)&gt;=$E279,($B108/$E279)*($E279-SUM($G279:DE279)),($B108/$E279)*DF279)))</f>
        <v>0</v>
      </c>
      <c r="DH108" s="395">
        <f ca="1">IF($E$279=0,0,IF(SUM($G108:DG108)=$B108,0,IF(SUM($G279:DG279)&gt;=$E279,($B108/$E279)*($E279-SUM($G279:DF279)),($B108/$E279)*DG279)))</f>
        <v>0</v>
      </c>
      <c r="DI108" s="395">
        <f ca="1">IF($E$279=0,0,IF(SUM($G108:DH108)=$B108,0,IF(SUM($G279:DH279)&gt;=$E279,($B108/$E279)*($E279-SUM($G279:DG279)),($B108/$E279)*DH279)))</f>
        <v>0</v>
      </c>
      <c r="DJ108" s="395">
        <f ca="1">IF($E$279=0,0,IF(SUM($G108:DI108)=$B108,0,IF(SUM($G279:DI279)&gt;=$E279,($B108/$E279)*($E279-SUM($G279:DH279)),($B108/$E279)*DI279)))</f>
        <v>0</v>
      </c>
      <c r="DK108" s="395">
        <f ca="1">IF($E$279=0,0,IF(SUM($G108:DJ108)=$B108,0,IF(SUM($G279:DJ279)&gt;=$E279,($B108/$E279)*($E279-SUM($G279:DI279)),($B108/$E279)*DJ279)))</f>
        <v>0</v>
      </c>
      <c r="DL108" s="395">
        <f ca="1">IF($E$279=0,0,IF(SUM($G108:DK108)=$B108,0,IF(SUM($G279:DK279)&gt;=$E279,($B108/$E279)*($E279-SUM($G279:DJ279)),($B108/$E279)*DK279)))</f>
        <v>0</v>
      </c>
      <c r="DM108" s="395">
        <f ca="1">IF($E$279=0,0,IF(SUM($G108:DL108)=$B108,0,IF(SUM($G279:DL279)&gt;=$E279,($B108/$E279)*($E279-SUM($G279:DK279)),($B108/$E279)*DL279)))</f>
        <v>0</v>
      </c>
      <c r="DN108" s="395">
        <f ca="1">IF($E$279=0,0,IF(SUM($G108:DM108)=$B108,0,IF(SUM($G279:DM279)&gt;=$E279,($B108/$E279)*($E279-SUM($G279:DL279)),($B108/$E279)*DM279)))</f>
        <v>0</v>
      </c>
      <c r="DO108" s="395">
        <f ca="1">IF($E$279=0,0,IF(SUM($G108:DN108)=$B108,0,IF(SUM($G279:DN279)&gt;=$E279,($B108/$E279)*($E279-SUM($G279:DM279)),($B108/$E279)*DN279)))</f>
        <v>0</v>
      </c>
      <c r="DP108" s="395">
        <f ca="1">IF($E$279=0,0,IF(SUM($G108:DO108)=$B108,0,IF(SUM($G279:DO279)&gt;=$E279,($B108/$E279)*($E279-SUM($G279:DN279)),($B108/$E279)*DO279)))</f>
        <v>0</v>
      </c>
      <c r="DQ108" s="395">
        <f ca="1">IF($E$279=0,0,IF(SUM($G108:DP108)=$B108,0,IF(SUM($G279:DP279)&gt;=$E279,($B108/$E279)*($E279-SUM($G279:DO279)),($B108/$E279)*DP279)))</f>
        <v>0</v>
      </c>
      <c r="DR108" s="395">
        <f ca="1">IF($E$279=0,0,IF(SUM($G108:DQ108)=$B108,0,IF(SUM($G279:DQ279)&gt;=$E279,($B108/$E279)*($E279-SUM($G279:DP279)),($B108/$E279)*DQ279)))</f>
        <v>0</v>
      </c>
      <c r="DS108" s="395">
        <f ca="1">IF($E$279=0,0,IF(SUM($G108:DR108)=$B108,0,IF(SUM($G279:DR279)&gt;=$E279,($B108/$E279)*($E279-SUM($G279:DQ279)),($B108/$E279)*DR279)))</f>
        <v>0</v>
      </c>
      <c r="DT108" s="395">
        <f ca="1">IF($E$279=0,0,IF(SUM($G108:DS108)=$B108,0,IF(SUM($G279:DS279)&gt;=$E279,($B108/$E279)*($E279-SUM($G279:DR279)),($B108/$E279)*DS279)))</f>
        <v>0</v>
      </c>
      <c r="DU108" s="395">
        <f ca="1">IF($E$279=0,0,IF(SUM($G108:DT108)=$B108,0,IF(SUM($G279:DT279)&gt;=$E279,($B108/$E279)*($E279-SUM($G279:DS279)),($B108/$E279)*DT279)))</f>
        <v>0</v>
      </c>
      <c r="DV108" s="395">
        <f ca="1">IF($E$279=0,0,IF(SUM($G108:DU108)=$B108,0,IF(SUM($G279:DU279)&gt;=$E279,($B108/$E279)*($E279-SUM($G279:DT279)),($B108/$E279)*DU279)))</f>
        <v>0</v>
      </c>
      <c r="DW108" s="395">
        <f ca="1">IF($E$279=0,0,IF(SUM($G108:DV108)=$B108,0,IF(SUM($G279:DV279)&gt;=$E279,($B108/$E279)*($E279-SUM($G279:DU279)),($B108/$E279)*DV279)))</f>
        <v>0</v>
      </c>
      <c r="DX108" s="395">
        <f ca="1">IF($E$279=0,0,IF(SUM($G108:DW108)=$B108,0,IF(SUM($G279:DW279)&gt;=$E279,($B108/$E279)*($E279-SUM($G279:DV279)),($B108/$E279)*DW279)))</f>
        <v>0</v>
      </c>
      <c r="DY108" s="395">
        <f ca="1">IF($E$279=0,0,IF(SUM($G108:DX108)=$B108,0,IF(SUM($G279:DX279)&gt;=$E279,($B108/$E279)*($E279-SUM($G279:DW279)),($B108/$E279)*DX279)))</f>
        <v>0</v>
      </c>
      <c r="DZ108" s="395">
        <f ca="1">IF($E$279=0,0,IF(SUM($G108:DY108)=$B108,0,IF(SUM($G279:DY279)&gt;=$E279,($B108/$E279)*($E279-SUM($G279:DX279)),($B108/$E279)*DY279)))</f>
        <v>0</v>
      </c>
      <c r="EA108" s="395">
        <f ca="1">IF($E$279=0,0,IF(SUM($G108:DZ108)=$B108,0,IF(SUM($G279:DZ279)&gt;=$E279,($B108/$E279)*($E279-SUM($G279:DY279)),($B108/$E279)*DZ279)))</f>
        <v>0</v>
      </c>
      <c r="EB108" s="395">
        <f ca="1">IF($E$279=0,0,IF(SUM($G108:EA108)=$B108,0,IF(SUM($G279:EA279)&gt;=$E279,($B108/$E279)*($E279-SUM($G279:DZ279)),($B108/$E279)*EA279)))</f>
        <v>0</v>
      </c>
      <c r="EC108" s="395">
        <f ca="1">IF($E$279=0,0,IF(SUM($G108:EB108)=$B108,0,IF(SUM($G279:EB279)&gt;=$E279,($B108/$E279)*($E279-SUM($G279:EA279)),($B108/$E279)*EB279)))</f>
        <v>0</v>
      </c>
      <c r="ED108" s="395">
        <f ca="1">IF($E$279=0,0,IF(SUM($G108:EC108)=$B108,0,IF(SUM($G279:EC279)&gt;=$E279,($B108/$E279)*($E279-SUM($G279:EB279)),($B108/$E279)*EC279)))</f>
        <v>0</v>
      </c>
      <c r="EE108" s="395">
        <f ca="1">IF($E$279=0,0,IF(SUM($G108:ED108)=$B108,0,IF(SUM($G279:ED279)&gt;=$E279,($B108/$E279)*($E279-SUM($G279:EC279)),($B108/$E279)*ED279)))</f>
        <v>0</v>
      </c>
      <c r="EF108" s="395">
        <f ca="1">IF($E$279=0,0,IF(SUM($G108:EE108)=$B108,0,IF(SUM($G279:EE279)&gt;=$E279,($B108/$E279)*($E279-SUM($G279:ED279)),($B108/$E279)*EE279)))</f>
        <v>0</v>
      </c>
      <c r="EG108" s="395">
        <f ca="1">IF($E$279=0,0,IF(SUM($G108:EF108)=$B108,0,IF(SUM($G279:EF279)&gt;=$E279,($B108/$E279)*($E279-SUM($G279:EE279)),($B108/$E279)*EF279)))</f>
        <v>0</v>
      </c>
      <c r="EH108" s="395">
        <f ca="1">IF($E$279=0,0,IF(SUM($G108:EG108)=$B108,0,IF(SUM($G279:EG279)&gt;=$E279,($B108/$E279)*($E279-SUM($G279:EF279)),($B108/$E279)*EG279)))</f>
        <v>0</v>
      </c>
      <c r="EI108" s="395">
        <f ca="1">IF($E$279=0,0,IF(SUM($G108:EH108)=$B108,0,IF(SUM($G279:EH279)&gt;=$E279,($B108/$E279)*($E279-SUM($G279:EG279)),($B108/$E279)*EH279)))</f>
        <v>0</v>
      </c>
      <c r="EJ108" s="398"/>
      <c r="EK108" s="313"/>
    </row>
    <row r="109" spans="1:141" hidden="1" outlineLevel="2">
      <c r="A109" s="332"/>
      <c r="B109" s="548">
        <f t="shared" si="329"/>
        <v>2.5000000000000001E-2</v>
      </c>
      <c r="C109" s="317"/>
      <c r="D109" s="317" t="s">
        <v>638</v>
      </c>
      <c r="E109" s="318">
        <f t="shared" ca="1" si="328"/>
        <v>0</v>
      </c>
      <c r="F109" s="397">
        <f ca="1">SUM(G109:EJ109)</f>
        <v>2.5000000000000001E-2</v>
      </c>
      <c r="G109" s="395"/>
      <c r="H109" s="395">
        <f ca="1">IF($E$279=0,0,IF(SUM($G109:G109)=$B109,0,IF(SUM(H108:$EJ108)=0%,$B109,0%)))</f>
        <v>0</v>
      </c>
      <c r="I109" s="395">
        <f ca="1">IF($E$279=0,0,IF(SUM($G109:H109)=$B109,0,IF(SUM(I108:$EJ108)=0%,$B109,0%)))</f>
        <v>0</v>
      </c>
      <c r="J109" s="395">
        <f ca="1">IF($E$279=0,0,IF(SUM($G109:I109)=$B109,0,IF(SUM(J108:$EJ108)=0%,$B109,0%)))</f>
        <v>0</v>
      </c>
      <c r="K109" s="395">
        <f ca="1">IF($E$279=0,0,IF(SUM($G109:J109)=$B109,0,IF(SUM(K108:$EJ108)=0%,$B109,0%)))</f>
        <v>0</v>
      </c>
      <c r="L109" s="395">
        <f ca="1">IF($E$279=0,0,IF(SUM($G109:K109)=$B109,0,IF(SUM(L108:$EJ108)=0%,$B109,0%)))</f>
        <v>0</v>
      </c>
      <c r="M109" s="395">
        <f ca="1">IF($E$279=0,0,IF(SUM($G109:L109)=$B109,0,IF(SUM(M108:$EJ108)=0%,$B109,0%)))</f>
        <v>0</v>
      </c>
      <c r="N109" s="395">
        <f ca="1">IF($E$279=0,0,IF(SUM($G109:M109)=$B109,0,IF(SUM(N108:$EJ108)=0%,$B109,0%)))</f>
        <v>0</v>
      </c>
      <c r="O109" s="395">
        <f ca="1">IF($E$279=0,0,IF(SUM($G109:N109)=$B109,0,IF(SUM(O108:$EJ108)=0%,$B109,0%)))</f>
        <v>0</v>
      </c>
      <c r="P109" s="395">
        <f ca="1">IF($E$279=0,0,IF(SUM($G109:O109)=$B109,0,IF(SUM(P108:$EJ108)=0%,$B109,0%)))</f>
        <v>0</v>
      </c>
      <c r="Q109" s="395">
        <f ca="1">IF($E$279=0,0,IF(SUM($G109:P109)=$B109,0,IF(SUM(Q108:$EJ108)=0%,$B109,0%)))</f>
        <v>0</v>
      </c>
      <c r="R109" s="395">
        <f ca="1">IF($E$279=0,0,IF(SUM($G109:Q109)=$B109,0,IF(SUM(R108:$EJ108)=0%,$B109,0%)))</f>
        <v>0</v>
      </c>
      <c r="S109" s="395">
        <f ca="1">IF($E$279=0,0,IF(SUM($G109:R109)=$B109,0,IF(SUM(S108:$EJ108)=0%,$B109,0%)))</f>
        <v>0</v>
      </c>
      <c r="T109" s="395">
        <f ca="1">IF($E$279=0,0,IF(SUM($G109:S109)=$B109,0,IF(SUM(T108:$EJ108)=0%,$B109,0%)))</f>
        <v>0</v>
      </c>
      <c r="U109" s="395">
        <f ca="1">IF($E$279=0,0,IF(SUM($G109:T109)=$B109,0,IF(SUM(U108:$EJ108)=0%,$B109,0%)))</f>
        <v>0</v>
      </c>
      <c r="V109" s="395">
        <f ca="1">IF($E$279=0,0,IF(SUM($G109:U109)=$B109,0,IF(SUM(V108:$EJ108)=0%,$B109,0%)))</f>
        <v>0</v>
      </c>
      <c r="W109" s="395">
        <f ca="1">IF($E$279=0,0,IF(SUM($G109:V109)=$B109,0,IF(SUM(W108:$EJ108)=0%,$B109,0%)))</f>
        <v>0</v>
      </c>
      <c r="X109" s="395">
        <f ca="1">IF($E$279=0,0,IF(SUM($G109:W109)=$B109,0,IF(SUM(X108:$EJ108)=0%,$B109,0%)))</f>
        <v>0</v>
      </c>
      <c r="Y109" s="395">
        <f ca="1">IF($E$279=0,0,IF(SUM($G109:X109)=$B109,0,IF(SUM(Y108:$EJ108)=0%,$B109,0%)))</f>
        <v>0</v>
      </c>
      <c r="Z109" s="395">
        <f ca="1">IF($E$279=0,0,IF(SUM($G109:Y109)=$B109,0,IF(SUM(Z108:$EJ108)=0%,$B109,0%)))</f>
        <v>0</v>
      </c>
      <c r="AA109" s="395">
        <f ca="1">IF($E$279=0,0,IF(SUM($G109:Z109)=$B109,0,IF(SUM(AA108:$EJ108)=0%,$B109,0%)))</f>
        <v>0</v>
      </c>
      <c r="AB109" s="395">
        <f ca="1">IF($E$279=0,0,IF(SUM($G109:AA109)=$B109,0,IF(SUM(AB108:$EJ108)=0%,$B109,0%)))</f>
        <v>0</v>
      </c>
      <c r="AC109" s="395">
        <f ca="1">IF($E$279=0,0,IF(SUM($G109:AB109)=$B109,0,IF(SUM(AC108:$EJ108)=0%,$B109,0%)))</f>
        <v>0</v>
      </c>
      <c r="AD109" s="395">
        <f ca="1">IF($E$279=0,0,IF(SUM($G109:AC109)=$B109,0,IF(SUM(AD108:$EJ108)=0%,$B109,0%)))</f>
        <v>0</v>
      </c>
      <c r="AE109" s="395">
        <f ca="1">IF($E$279=0,0,IF(SUM($G109:AD109)=$B109,0,IF(SUM(AE108:$EJ108)=0%,$B109,0%)))</f>
        <v>0</v>
      </c>
      <c r="AF109" s="395">
        <f ca="1">IF($E$279=0,0,IF(SUM($G109:AE109)=$B109,0,IF(SUM(AF108:$EJ108)=0%,$B109,0%)))</f>
        <v>0</v>
      </c>
      <c r="AG109" s="395">
        <f ca="1">IF($E$279=0,0,IF(SUM($G109:AF109)=$B109,0,IF(SUM(AG108:$EJ108)=0%,$B109,0%)))</f>
        <v>0</v>
      </c>
      <c r="AH109" s="395">
        <f ca="1">IF($E$279=0,0,IF(SUM($G109:AG109)=$B109,0,IF(SUM(AH108:$EJ108)=0%,$B109,0%)))</f>
        <v>0</v>
      </c>
      <c r="AI109" s="395">
        <f ca="1">IF($E$279=0,0,IF(SUM($G109:AH109)=$B109,0,IF(SUM(AI108:$EJ108)=0%,$B109,0%)))</f>
        <v>0</v>
      </c>
      <c r="AJ109" s="395">
        <f ca="1">IF($E$279=0,0,IF(SUM($G109:AI109)=$B109,0,IF(SUM(AJ108:$EJ108)=0%,$B109,0%)))</f>
        <v>0</v>
      </c>
      <c r="AK109" s="395">
        <f ca="1">IF($E$279=0,0,IF(SUM($G109:AJ109)=$B109,0,IF(SUM(AK108:$EJ108)=0%,$B109,0%)))</f>
        <v>0</v>
      </c>
      <c r="AL109" s="395">
        <f ca="1">IF($E$279=0,0,IF(SUM($G109:AK109)=$B109,0,IF(SUM(AL108:$EJ108)=0%,$B109,0%)))</f>
        <v>0</v>
      </c>
      <c r="AM109" s="395">
        <f ca="1">IF($E$279=0,0,IF(SUM($G109:AL109)=$B109,0,IF(SUM(AM108:$EJ108)=0%,$B109,0%)))</f>
        <v>0</v>
      </c>
      <c r="AN109" s="395">
        <f ca="1">IF($E$279=0,0,IF(SUM($G109:AM109)=$B109,0,IF(SUM(AN108:$EJ108)=0%,$B109,0%)))</f>
        <v>0</v>
      </c>
      <c r="AO109" s="395">
        <f ca="1">IF($E$279=0,0,IF(SUM($G109:AN109)=$B109,0,IF(SUM(AO108:$EJ108)=0%,$B109,0%)))</f>
        <v>0</v>
      </c>
      <c r="AP109" s="395">
        <f ca="1">IF($E$279=0,0,IF(SUM($G109:AO109)=$B109,0,IF(SUM(AP108:$EJ108)=0%,$B109,0%)))</f>
        <v>0</v>
      </c>
      <c r="AQ109" s="395">
        <f ca="1">IF($E$279=0,0,IF(SUM($G109:AP109)=$B109,0,IF(SUM(AQ108:$EJ108)=0%,$B109,0%)))</f>
        <v>0</v>
      </c>
      <c r="AR109" s="395">
        <f ca="1">IF($E$279=0,0,IF(SUM($G109:AQ109)=$B109,0,IF(SUM(AR108:$EJ108)=0%,$B109,0%)))</f>
        <v>0</v>
      </c>
      <c r="AS109" s="395">
        <f ca="1">IF($E$279=0,0,IF(SUM($G109:AR109)=$B109,0,IF(SUM(AS108:$EJ108)=0%,$B109,0%)))</f>
        <v>0</v>
      </c>
      <c r="AT109" s="395">
        <f ca="1">IF($E$279=0,0,IF(SUM($G109:AS109)=$B109,0,IF(SUM(AT108:$EJ108)=0%,$B109,0%)))</f>
        <v>0</v>
      </c>
      <c r="AU109" s="395">
        <f ca="1">IF($E$279=0,0,IF(SUM($G109:AT109)=$B109,0,IF(SUM(AU108:$EJ108)=0%,$B109,0%)))</f>
        <v>0</v>
      </c>
      <c r="AV109" s="395">
        <f ca="1">IF($E$279=0,0,IF(SUM($G109:AU109)=$B109,0,IF(SUM(AV108:$EJ108)=0%,$B109,0%)))</f>
        <v>0</v>
      </c>
      <c r="AW109" s="395">
        <f ca="1">IF($E$279=0,0,IF(SUM($G109:AV109)=$B109,0,IF(SUM(AW108:$EJ108)=0%,$B109,0%)))</f>
        <v>0</v>
      </c>
      <c r="AX109" s="395">
        <f ca="1">IF($E$279=0,0,IF(SUM($G109:AW109)=$B109,0,IF(SUM(AX108:$EJ108)=0%,$B109,0%)))</f>
        <v>0</v>
      </c>
      <c r="AY109" s="395">
        <f ca="1">IF($E$279=0,0,IF(SUM($G109:AX109)=$B109,0,IF(SUM(AY108:$EJ108)=0%,$B109,0%)))</f>
        <v>0</v>
      </c>
      <c r="AZ109" s="395">
        <f ca="1">IF($E$279=0,0,IF(SUM($G109:AY109)=$B109,0,IF(SUM(AZ108:$EJ108)=0%,$B109,0%)))</f>
        <v>0</v>
      </c>
      <c r="BA109" s="395">
        <f ca="1">IF($E$279=0,0,IF(SUM($G109:AZ109)=$B109,0,IF(SUM(BA108:$EJ108)=0%,$B109,0%)))</f>
        <v>0</v>
      </c>
      <c r="BB109" s="395">
        <f ca="1">IF($E$279=0,0,IF(SUM($G109:BA109)=$B109,0,IF(SUM(BB108:$EJ108)=0%,$B109,0%)))</f>
        <v>0</v>
      </c>
      <c r="BC109" s="395">
        <f ca="1">IF($E$279=0,0,IF(SUM($G109:BB109)=$B109,0,IF(SUM(BC108:$EJ108)=0%,$B109,0%)))</f>
        <v>0</v>
      </c>
      <c r="BD109" s="395">
        <f ca="1">IF($E$279=0,0,IF(SUM($G109:BC109)=$B109,0,IF(SUM(BD108:$EJ108)=0%,$B109,0%)))</f>
        <v>0</v>
      </c>
      <c r="BE109" s="395">
        <f ca="1">IF($E$279=0,0,IF(SUM($G109:BD109)=$B109,0,IF(SUM(BE108:$EJ108)=0%,$B109,0%)))</f>
        <v>0</v>
      </c>
      <c r="BF109" s="395">
        <f ca="1">IF($E$279=0,0,IF(SUM($G109:BE109)=$B109,0,IF(SUM(BF108:$EJ108)=0%,$B109,0%)))</f>
        <v>0</v>
      </c>
      <c r="BG109" s="395">
        <f ca="1">IF($E$279=0,0,IF(SUM($G109:BF109)=$B109,0,IF(SUM(BG108:$EJ108)=0%,$B109,0%)))</f>
        <v>2.5000000000000001E-2</v>
      </c>
      <c r="BH109" s="395">
        <f ca="1">IF($E$279=0,0,IF(SUM($G109:BG109)=$B109,0,IF(SUM(BH108:$EJ108)=0%,$B109,0%)))</f>
        <v>0</v>
      </c>
      <c r="BI109" s="395">
        <f ca="1">IF($E$279=0,0,IF(SUM($G109:BH109)=$B109,0,IF(SUM(BI108:$EJ108)=0%,$B109,0%)))</f>
        <v>0</v>
      </c>
      <c r="BJ109" s="395">
        <f ca="1">IF($E$279=0,0,IF(SUM($G109:BI109)=$B109,0,IF(SUM(BJ108:$EJ108)=0%,$B109,0%)))</f>
        <v>0</v>
      </c>
      <c r="BK109" s="395">
        <f ca="1">IF($E$279=0,0,IF(SUM($G109:BJ109)=$B109,0,IF(SUM(BK108:$EJ108)=0%,$B109,0%)))</f>
        <v>0</v>
      </c>
      <c r="BL109" s="395">
        <f ca="1">IF($E$279=0,0,IF(SUM($G109:BK109)=$B109,0,IF(SUM(BL108:$EJ108)=0%,$B109,0%)))</f>
        <v>0</v>
      </c>
      <c r="BM109" s="395">
        <f ca="1">IF($E$279=0,0,IF(SUM($G109:BL109)=$B109,0,IF(SUM(BM108:$EJ108)=0%,$B109,0%)))</f>
        <v>0</v>
      </c>
      <c r="BN109" s="395">
        <f ca="1">IF($E$279=0,0,IF(SUM($G109:BM109)=$B109,0,IF(SUM(BN108:$EJ108)=0%,$B109,0%)))</f>
        <v>0</v>
      </c>
      <c r="BO109" s="395">
        <f ca="1">IF($E$279=0,0,IF(SUM($G109:BN109)=$B109,0,IF(SUM(BO108:$EJ108)=0%,$B109,0%)))</f>
        <v>0</v>
      </c>
      <c r="BP109" s="395">
        <f ca="1">IF($E$279=0,0,IF(SUM($G109:BO109)=$B109,0,IF(SUM(BP108:$EJ108)=0%,$B109,0%)))</f>
        <v>0</v>
      </c>
      <c r="BQ109" s="395">
        <f ca="1">IF($E$279=0,0,IF(SUM($G109:BP109)=$B109,0,IF(SUM(BQ108:$EJ108)=0%,$B109,0%)))</f>
        <v>0</v>
      </c>
      <c r="BR109" s="395">
        <f ca="1">IF($E$279=0,0,IF(SUM($G109:BQ109)=$B109,0,IF(SUM(BR108:$EJ108)=0%,$B109,0%)))</f>
        <v>0</v>
      </c>
      <c r="BS109" s="395">
        <f ca="1">IF($E$279=0,0,IF(SUM($G109:BR109)=$B109,0,IF(SUM(BS108:$EJ108)=0%,$B109,0%)))</f>
        <v>0</v>
      </c>
      <c r="BT109" s="395">
        <f ca="1">IF($E$279=0,0,IF(SUM($G109:BS109)=$B109,0,IF(SUM(BT108:$EJ108)=0%,$B109,0%)))</f>
        <v>0</v>
      </c>
      <c r="BU109" s="395">
        <f ca="1">IF($E$279=0,0,IF(SUM($G109:BT109)=$B109,0,IF(SUM(BU108:$EJ108)=0%,$B109,0%)))</f>
        <v>0</v>
      </c>
      <c r="BV109" s="395">
        <f ca="1">IF($E$279=0,0,IF(SUM($G109:BU109)=$B109,0,IF(SUM(BV108:$EJ108)=0%,$B109,0%)))</f>
        <v>0</v>
      </c>
      <c r="BW109" s="395">
        <f ca="1">IF($E$279=0,0,IF(SUM($G109:BV109)=$B109,0,IF(SUM(BW108:$EJ108)=0%,$B109,0%)))</f>
        <v>0</v>
      </c>
      <c r="BX109" s="395">
        <f ca="1">IF($E$279=0,0,IF(SUM($G109:BW109)=$B109,0,IF(SUM(BX108:$EJ108)=0%,$B109,0%)))</f>
        <v>0</v>
      </c>
      <c r="BY109" s="395">
        <f ca="1">IF($E$279=0,0,IF(SUM($G109:BX109)=$B109,0,IF(SUM(BY108:$EJ108)=0%,$B109,0%)))</f>
        <v>0</v>
      </c>
      <c r="BZ109" s="395">
        <f ca="1">IF($E$279=0,0,IF(SUM($G109:BY109)=$B109,0,IF(SUM(BZ108:$EJ108)=0%,$B109,0%)))</f>
        <v>0</v>
      </c>
      <c r="CA109" s="395">
        <f ca="1">IF($E$279=0,0,IF(SUM($G109:BZ109)=$B109,0,IF(SUM(CA108:$EJ108)=0%,$B109,0%)))</f>
        <v>0</v>
      </c>
      <c r="CB109" s="395">
        <f ca="1">IF($E$279=0,0,IF(SUM($G109:CA109)=$B109,0,IF(SUM(CB108:$EJ108)=0%,$B109,0%)))</f>
        <v>0</v>
      </c>
      <c r="CC109" s="395">
        <f ca="1">IF($E$279=0,0,IF(SUM($G109:CB109)=$B109,0,IF(SUM(CC108:$EJ108)=0%,$B109,0%)))</f>
        <v>0</v>
      </c>
      <c r="CD109" s="395">
        <f ca="1">IF($E$279=0,0,IF(SUM($G109:CC109)=$B109,0,IF(SUM(CD108:$EJ108)=0%,$B109,0%)))</f>
        <v>0</v>
      </c>
      <c r="CE109" s="395">
        <f ca="1">IF($E$279=0,0,IF(SUM($G109:CD109)=$B109,0,IF(SUM(CE108:$EJ108)=0%,$B109,0%)))</f>
        <v>0</v>
      </c>
      <c r="CF109" s="395">
        <f ca="1">IF($E$279=0,0,IF(SUM($G109:CE109)=$B109,0,IF(SUM(CF108:$EJ108)=0%,$B109,0%)))</f>
        <v>0</v>
      </c>
      <c r="CG109" s="395">
        <f ca="1">IF($E$279=0,0,IF(SUM($G109:CF109)=$B109,0,IF(SUM(CG108:$EJ108)=0%,$B109,0%)))</f>
        <v>0</v>
      </c>
      <c r="CH109" s="395">
        <f ca="1">IF($E$279=0,0,IF(SUM($G109:CG109)=$B109,0,IF(SUM(CH108:$EJ108)=0%,$B109,0%)))</f>
        <v>0</v>
      </c>
      <c r="CI109" s="395">
        <f ca="1">IF($E$279=0,0,IF(SUM($G109:CH109)=$B109,0,IF(SUM(CI108:$EJ108)=0%,$B109,0%)))</f>
        <v>0</v>
      </c>
      <c r="CJ109" s="395">
        <f ca="1">IF($E$279=0,0,IF(SUM($G109:CI109)=$B109,0,IF(SUM(CJ108:$EJ108)=0%,$B109,0%)))</f>
        <v>0</v>
      </c>
      <c r="CK109" s="395">
        <f ca="1">IF($E$279=0,0,IF(SUM($G109:CJ109)=$B109,0,IF(SUM(CK108:$EJ108)=0%,$B109,0%)))</f>
        <v>0</v>
      </c>
      <c r="CL109" s="395">
        <f ca="1">IF($E$279=0,0,IF(SUM($G109:CK109)=$B109,0,IF(SUM(CL108:$EJ108)=0%,$B109,0%)))</f>
        <v>0</v>
      </c>
      <c r="CM109" s="395">
        <f ca="1">IF($E$279=0,0,IF(SUM($G109:CL109)=$B109,0,IF(SUM(CM108:$EJ108)=0%,$B109,0%)))</f>
        <v>0</v>
      </c>
      <c r="CN109" s="395">
        <f ca="1">IF($E$279=0,0,IF(SUM($G109:CM109)=$B109,0,IF(SUM(CN108:$EJ108)=0%,$B109,0%)))</f>
        <v>0</v>
      </c>
      <c r="CO109" s="395">
        <f ca="1">IF($E$279=0,0,IF(SUM($G109:CN109)=$B109,0,IF(SUM(CO108:$EJ108)=0%,$B109,0%)))</f>
        <v>0</v>
      </c>
      <c r="CP109" s="395">
        <f ca="1">IF($E$279=0,0,IF(SUM($G109:CO109)=$B109,0,IF(SUM(CP108:$EJ108)=0%,$B109,0%)))</f>
        <v>0</v>
      </c>
      <c r="CQ109" s="395">
        <f ca="1">IF($E$279=0,0,IF(SUM($G109:CP109)=$B109,0,IF(SUM(CQ108:$EJ108)=0%,$B109,0%)))</f>
        <v>0</v>
      </c>
      <c r="CR109" s="395">
        <f ca="1">IF($E$279=0,0,IF(SUM($G109:CQ109)=$B109,0,IF(SUM(CR108:$EJ108)=0%,$B109,0%)))</f>
        <v>0</v>
      </c>
      <c r="CS109" s="395">
        <f ca="1">IF($E$279=0,0,IF(SUM($G109:CR109)=$B109,0,IF(SUM(CS108:$EJ108)=0%,$B109,0%)))</f>
        <v>0</v>
      </c>
      <c r="CT109" s="395">
        <f ca="1">IF($E$279=0,0,IF(SUM($G109:CS109)=$B109,0,IF(SUM(CT108:$EJ108)=0%,$B109,0%)))</f>
        <v>0</v>
      </c>
      <c r="CU109" s="395">
        <f ca="1">IF($E$279=0,0,IF(SUM($G109:CT109)=$B109,0,IF(SUM(CU108:$EJ108)=0%,$B109,0%)))</f>
        <v>0</v>
      </c>
      <c r="CV109" s="395">
        <f ca="1">IF($E$279=0,0,IF(SUM($G109:CU109)=$B109,0,IF(SUM(CV108:$EJ108)=0%,$B109,0%)))</f>
        <v>0</v>
      </c>
      <c r="CW109" s="395">
        <f ca="1">IF($E$279=0,0,IF(SUM($G109:CV109)=$B109,0,IF(SUM(CW108:$EJ108)=0%,$B109,0%)))</f>
        <v>0</v>
      </c>
      <c r="CX109" s="395">
        <f ca="1">IF($E$279=0,0,IF(SUM($G109:CW109)=$B109,0,IF(SUM(CX108:$EJ108)=0%,$B109,0%)))</f>
        <v>0</v>
      </c>
      <c r="CY109" s="395">
        <f ca="1">IF($E$279=0,0,IF(SUM($G109:CX109)=$B109,0,IF(SUM(CY108:$EJ108)=0%,$B109,0%)))</f>
        <v>0</v>
      </c>
      <c r="CZ109" s="395">
        <f ca="1">IF($E$279=0,0,IF(SUM($G109:CY109)=$B109,0,IF(SUM(CZ108:$EJ108)=0%,$B109,0%)))</f>
        <v>0</v>
      </c>
      <c r="DA109" s="395">
        <f ca="1">IF($E$279=0,0,IF(SUM($G109:CZ109)=$B109,0,IF(SUM(DA108:$EJ108)=0%,$B109,0%)))</f>
        <v>0</v>
      </c>
      <c r="DB109" s="395">
        <f ca="1">IF($E$279=0,0,IF(SUM($G109:DA109)=$B109,0,IF(SUM(DB108:$EJ108)=0%,$B109,0%)))</f>
        <v>0</v>
      </c>
      <c r="DC109" s="395">
        <f ca="1">IF($E$279=0,0,IF(SUM($G109:DB109)=$B109,0,IF(SUM(DC108:$EJ108)=0%,$B109,0%)))</f>
        <v>0</v>
      </c>
      <c r="DD109" s="395">
        <f ca="1">IF($E$279=0,0,IF(SUM($G109:DC109)=$B109,0,IF(SUM(DD108:$EJ108)=0%,$B109,0%)))</f>
        <v>0</v>
      </c>
      <c r="DE109" s="395">
        <f ca="1">IF($E$279=0,0,IF(SUM($G109:DD109)=$B109,0,IF(SUM(DE108:$EJ108)=0%,$B109,0%)))</f>
        <v>0</v>
      </c>
      <c r="DF109" s="395">
        <f ca="1">IF($E$279=0,0,IF(SUM($G109:DE109)=$B109,0,IF(SUM(DF108:$EJ108)=0%,$B109,0%)))</f>
        <v>0</v>
      </c>
      <c r="DG109" s="395">
        <f ca="1">IF($E$279=0,0,IF(SUM($G109:DF109)=$B109,0,IF(SUM(DG108:$EJ108)=0%,$B109,0%)))</f>
        <v>0</v>
      </c>
      <c r="DH109" s="395">
        <f ca="1">IF($E$279=0,0,IF(SUM($G109:DG109)=$B109,0,IF(SUM(DH108:$EJ108)=0%,$B109,0%)))</f>
        <v>0</v>
      </c>
      <c r="DI109" s="395">
        <f ca="1">IF($E$279=0,0,IF(SUM($G109:DH109)=$B109,0,IF(SUM(DI108:$EJ108)=0%,$B109,0%)))</f>
        <v>0</v>
      </c>
      <c r="DJ109" s="395">
        <f ca="1">IF($E$279=0,0,IF(SUM($G109:DI109)=$B109,0,IF(SUM(DJ108:$EJ108)=0%,$B109,0%)))</f>
        <v>0</v>
      </c>
      <c r="DK109" s="395">
        <f ca="1">IF($E$279=0,0,IF(SUM($G109:DJ109)=$B109,0,IF(SUM(DK108:$EJ108)=0%,$B109,0%)))</f>
        <v>0</v>
      </c>
      <c r="DL109" s="395">
        <f ca="1">IF($E$279=0,0,IF(SUM($G109:DK109)=$B109,0,IF(SUM(DL108:$EJ108)=0%,$B109,0%)))</f>
        <v>0</v>
      </c>
      <c r="DM109" s="395">
        <f ca="1">IF($E$279=0,0,IF(SUM($G109:DL109)=$B109,0,IF(SUM(DM108:$EJ108)=0%,$B109,0%)))</f>
        <v>0</v>
      </c>
      <c r="DN109" s="395">
        <f ca="1">IF($E$279=0,0,IF(SUM($G109:DM109)=$B109,0,IF(SUM(DN108:$EJ108)=0%,$B109,0%)))</f>
        <v>0</v>
      </c>
      <c r="DO109" s="395">
        <f ca="1">IF($E$279=0,0,IF(SUM($G109:DN109)=$B109,0,IF(SUM(DO108:$EJ108)=0%,$B109,0%)))</f>
        <v>0</v>
      </c>
      <c r="DP109" s="395">
        <f ca="1">IF($E$279=0,0,IF(SUM($G109:DO109)=$B109,0,IF(SUM(DP108:$EJ108)=0%,$B109,0%)))</f>
        <v>0</v>
      </c>
      <c r="DQ109" s="395">
        <f ca="1">IF($E$279=0,0,IF(SUM($G109:DP109)=$B109,0,IF(SUM(DQ108:$EJ108)=0%,$B109,0%)))</f>
        <v>0</v>
      </c>
      <c r="DR109" s="395">
        <f ca="1">IF($E$279=0,0,IF(SUM($G109:DQ109)=$B109,0,IF(SUM(DR108:$EJ108)=0%,$B109,0%)))</f>
        <v>0</v>
      </c>
      <c r="DS109" s="395">
        <f ca="1">IF($E$279=0,0,IF(SUM($G109:DR109)=$B109,0,IF(SUM(DS108:$EJ108)=0%,$B109,0%)))</f>
        <v>0</v>
      </c>
      <c r="DT109" s="395">
        <f ca="1">IF($E$279=0,0,IF(SUM($G109:DS109)=$B109,0,IF(SUM(DT108:$EJ108)=0%,$B109,0%)))</f>
        <v>0</v>
      </c>
      <c r="DU109" s="395">
        <f ca="1">IF($E$279=0,0,IF(SUM($G109:DT109)=$B109,0,IF(SUM(DU108:$EJ108)=0%,$B109,0%)))</f>
        <v>0</v>
      </c>
      <c r="DV109" s="395">
        <f ca="1">IF($E$279=0,0,IF(SUM($G109:DU109)=$B109,0,IF(SUM(DV108:$EJ108)=0%,$B109,0%)))</f>
        <v>0</v>
      </c>
      <c r="DW109" s="395">
        <f ca="1">IF($E$279=0,0,IF(SUM($G109:DV109)=$B109,0,IF(SUM(DW108:$EJ108)=0%,$B109,0%)))</f>
        <v>0</v>
      </c>
      <c r="DX109" s="395">
        <f ca="1">IF($E$279=0,0,IF(SUM($G109:DW109)=$B109,0,IF(SUM(DX108:$EJ108)=0%,$B109,0%)))</f>
        <v>0</v>
      </c>
      <c r="DY109" s="395">
        <f ca="1">IF($E$279=0,0,IF(SUM($G109:DX109)=$B109,0,IF(SUM(DY108:$EJ108)=0%,$B109,0%)))</f>
        <v>0</v>
      </c>
      <c r="DZ109" s="395">
        <f ca="1">IF($E$279=0,0,IF(SUM($G109:DY109)=$B109,0,IF(SUM(DZ108:$EJ108)=0%,$B109,0%)))</f>
        <v>0</v>
      </c>
      <c r="EA109" s="395">
        <f ca="1">IF($E$279=0,0,IF(SUM($G109:DZ109)=$B109,0,IF(SUM(EA108:$EJ108)=0%,$B109,0%)))</f>
        <v>0</v>
      </c>
      <c r="EB109" s="395">
        <f ca="1">IF($E$279=0,0,IF(SUM($G109:EA109)=$B109,0,IF(SUM(EB108:$EJ108)=0%,$B109,0%)))</f>
        <v>0</v>
      </c>
      <c r="EC109" s="395">
        <f ca="1">IF($E$279=0,0,IF(SUM($G109:EB109)=$B109,0,IF(SUM(EC108:$EJ108)=0%,$B109,0%)))</f>
        <v>0</v>
      </c>
      <c r="ED109" s="395">
        <f ca="1">IF($E$279=0,0,IF(SUM($G109:EC109)=$B109,0,IF(SUM(ED108:$EJ108)=0%,$B109,0%)))</f>
        <v>0</v>
      </c>
      <c r="EE109" s="395">
        <f ca="1">IF($E$279=0,0,IF(SUM($G109:ED109)=$B109,0,IF(SUM(EE108:$EJ108)=0%,$B109,0%)))</f>
        <v>0</v>
      </c>
      <c r="EF109" s="395">
        <f ca="1">IF($E$279=0,0,IF(SUM($G109:EE109)=$B109,0,IF(SUM(EF108:$EJ108)=0%,$B109,0%)))</f>
        <v>0</v>
      </c>
      <c r="EG109" s="395">
        <f ca="1">IF($E$279=0,0,IF(SUM($G109:EF109)=$B109,0,IF(SUM(EG108:$EJ108)=0%,$B109,0%)))</f>
        <v>0</v>
      </c>
      <c r="EH109" s="395">
        <f ca="1">IF($E$279=0,0,IF(SUM($G109:EG109)=$B109,0,IF(SUM(EH108:$EJ108)=0%,$B109,0%)))</f>
        <v>0</v>
      </c>
      <c r="EI109" s="395">
        <f ca="1">IF($E$279=0,0,IF(SUM($G109:EH109)=$B109,0,IF(SUM(EI108:$EJ108)=0%,$B109,0%)))</f>
        <v>0</v>
      </c>
      <c r="EJ109" s="398"/>
      <c r="EK109" s="313"/>
    </row>
    <row r="110" spans="1:141" hidden="1" outlineLevel="2">
      <c r="A110" s="332"/>
      <c r="B110" s="548">
        <f t="shared" si="329"/>
        <v>2.5000000000000001E-2</v>
      </c>
      <c r="C110" s="317"/>
      <c r="D110" s="317" t="s">
        <v>640</v>
      </c>
      <c r="E110" s="318">
        <f t="shared" ca="1" si="328"/>
        <v>0</v>
      </c>
      <c r="F110" s="397">
        <f ca="1">SUM(G110:EJ110)</f>
        <v>2.5000000000000001E-2</v>
      </c>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f ca="1">IF($E$279=0,0,IF(SUM($G110:AC110)=$B110,0,IF(SUM($G109:G109)=$B109,$B110,0%)))</f>
        <v>0</v>
      </c>
      <c r="AE110" s="395">
        <f ca="1">IF($E$279=0,0,IF(SUM($G110:AD110)=$B110,0,IF(SUM($G109:H109)=$B109,$B110,0%)))</f>
        <v>0</v>
      </c>
      <c r="AF110" s="395">
        <f ca="1">IF($E$279=0,0,IF(SUM($G110:AE110)=$B110,0,IF(SUM($G109:I109)=$B109,$B110,0%)))</f>
        <v>0</v>
      </c>
      <c r="AG110" s="395">
        <f ca="1">IF($E$279=0,0,IF(SUM($G110:AF110)=$B110,0,IF(SUM($G109:J109)=$B109,$B110,0%)))</f>
        <v>0</v>
      </c>
      <c r="AH110" s="395">
        <f ca="1">IF($E$279=0,0,IF(SUM($G110:AG110)=$B110,0,IF(SUM($G109:K109)=$B109,$B110,0%)))</f>
        <v>0</v>
      </c>
      <c r="AI110" s="395">
        <f ca="1">IF($E$279=0,0,IF(SUM($G110:AH110)=$B110,0,IF(SUM($G109:L109)=$B109,$B110,0%)))</f>
        <v>0</v>
      </c>
      <c r="AJ110" s="395">
        <f ca="1">IF($E$279=0,0,IF(SUM($G110:AI110)=$B110,0,IF(SUM($G109:M109)=$B109,$B110,0%)))</f>
        <v>0</v>
      </c>
      <c r="AK110" s="395">
        <f ca="1">IF($E$279=0,0,IF(SUM($G110:AJ110)=$B110,0,IF(SUM($G109:N109)=$B109,$B110,0%)))</f>
        <v>0</v>
      </c>
      <c r="AL110" s="395">
        <f ca="1">IF($E$279=0,0,IF(SUM($G110:AK110)=$B110,0,IF(SUM($G109:O109)=$B109,$B110,0%)))</f>
        <v>0</v>
      </c>
      <c r="AM110" s="395">
        <f ca="1">IF($E$279=0,0,IF(SUM($G110:AL110)=$B110,0,IF(SUM($G109:P109)=$B109,$B110,0%)))</f>
        <v>0</v>
      </c>
      <c r="AN110" s="395">
        <f ca="1">IF($E$279=0,0,IF(SUM($G110:AM110)=$B110,0,IF(SUM($G109:Q109)=$B109,$B110,0%)))</f>
        <v>0</v>
      </c>
      <c r="AO110" s="395">
        <f ca="1">IF($E$279=0,0,IF(SUM($G110:AN110)=$B110,0,IF(SUM($G109:R109)=$B109,$B110,0%)))</f>
        <v>0</v>
      </c>
      <c r="AP110" s="395">
        <f ca="1">IF($E$279=0,0,IF(SUM($G110:AO110)=$B110,0,IF(SUM($G109:S109)=$B109,$B110,0%)))</f>
        <v>0</v>
      </c>
      <c r="AQ110" s="395">
        <f ca="1">IF($E$279=0,0,IF(SUM($G110:AP110)=$B110,0,IF(SUM($G109:T109)=$B109,$B110,0%)))</f>
        <v>0</v>
      </c>
      <c r="AR110" s="395">
        <f ca="1">IF($E$279=0,0,IF(SUM($G110:AQ110)=$B110,0,IF(SUM($G109:U109)=$B109,$B110,0%)))</f>
        <v>0</v>
      </c>
      <c r="AS110" s="395">
        <f ca="1">IF($E$279=0,0,IF(SUM($G110:AR110)=$B110,0,IF(SUM($G109:V109)=$B109,$B110,0%)))</f>
        <v>0</v>
      </c>
      <c r="AT110" s="395">
        <f ca="1">IF($E$279=0,0,IF(SUM($G110:AS110)=$B110,0,IF(SUM($G109:W109)=$B109,$B110,0%)))</f>
        <v>0</v>
      </c>
      <c r="AU110" s="395">
        <f ca="1">IF($E$279=0,0,IF(SUM($G110:AT110)=$B110,0,IF(SUM($G109:X109)=$B109,$B110,0%)))</f>
        <v>0</v>
      </c>
      <c r="AV110" s="395">
        <f ca="1">IF($E$279=0,0,IF(SUM($G110:AU110)=$B110,0,IF(SUM($G109:Y109)=$B109,$B110,0%)))</f>
        <v>0</v>
      </c>
      <c r="AW110" s="395">
        <f ca="1">IF($E$279=0,0,IF(SUM($G110:AV110)=$B110,0,IF(SUM($G109:Z109)=$B109,$B110,0%)))</f>
        <v>0</v>
      </c>
      <c r="AX110" s="395">
        <f ca="1">IF($E$279=0,0,IF(SUM($G110:AW110)=$B110,0,IF(SUM($G109:AA109)=$B109,$B110,0%)))</f>
        <v>0</v>
      </c>
      <c r="AY110" s="395">
        <f ca="1">IF($E$279=0,0,IF(SUM($G110:AX110)=$B110,0,IF(SUM($G109:AB109)=$B109,$B110,0%)))</f>
        <v>0</v>
      </c>
      <c r="AZ110" s="395">
        <f ca="1">IF($E$279=0,0,IF(SUM($G110:AY110)=$B110,0,IF(SUM($G109:AC109)=$B109,$B110,0%)))</f>
        <v>0</v>
      </c>
      <c r="BA110" s="395">
        <f ca="1">IF($E$279=0,0,IF(SUM($G110:AZ110)=$B110,0,IF(SUM($G109:AD109)=$B109,$B110,0%)))</f>
        <v>0</v>
      </c>
      <c r="BB110" s="395">
        <f ca="1">IF($E$279=0,0,IF(SUM($G110:BA110)=$B110,0,IF(SUM($G109:AE109)=$B109,$B110,0%)))</f>
        <v>0</v>
      </c>
      <c r="BC110" s="395">
        <f ca="1">IF($E$279=0,0,IF(SUM($G110:BB110)=$B110,0,IF(SUM($G109:AF109)=$B109,$B110,0%)))</f>
        <v>0</v>
      </c>
      <c r="BD110" s="395">
        <f ca="1">IF($E$279=0,0,IF(SUM($G110:BC110)=$B110,0,IF(SUM($G109:AG109)=$B109,$B110,0%)))</f>
        <v>0</v>
      </c>
      <c r="BE110" s="395">
        <f ca="1">IF($E$279=0,0,IF(SUM($G110:BD110)=$B110,0,IF(SUM($G109:AH109)=$B109,$B110,0%)))</f>
        <v>0</v>
      </c>
      <c r="BF110" s="395">
        <f ca="1">IF($E$279=0,0,IF(SUM($G110:BE110)=$B110,0,IF(SUM($G109:AI109)=$B109,$B110,0%)))</f>
        <v>0</v>
      </c>
      <c r="BG110" s="395">
        <f ca="1">IF($E$279=0,0,IF(SUM($G110:BF110)=$B110,0,IF(SUM($G109:AJ109)=$B109,$B110,0%)))</f>
        <v>0</v>
      </c>
      <c r="BH110" s="395">
        <f ca="1">IF($E$279=0,0,IF(SUM($G110:BG110)=$B110,0,IF(SUM($G109:AK109)=$B109,$B110,0%)))</f>
        <v>0</v>
      </c>
      <c r="BI110" s="395">
        <f ca="1">IF($E$279=0,0,IF(SUM($G110:BH110)=$B110,0,IF(SUM($G109:AL109)=$B109,$B110,0%)))</f>
        <v>0</v>
      </c>
      <c r="BJ110" s="395">
        <f ca="1">IF($E$279=0,0,IF(SUM($G110:BI110)=$B110,0,IF(SUM($G109:AM109)=$B109,$B110,0%)))</f>
        <v>0</v>
      </c>
      <c r="BK110" s="395">
        <f ca="1">IF($E$279=0,0,IF(SUM($G110:BJ110)=$B110,0,IF(SUM($G109:AN109)=$B109,$B110,0%)))</f>
        <v>0</v>
      </c>
      <c r="BL110" s="395">
        <f ca="1">IF($E$279=0,0,IF(SUM($G110:BK110)=$B110,0,IF(SUM($G109:AO109)=$B109,$B110,0%)))</f>
        <v>0</v>
      </c>
      <c r="BM110" s="395">
        <f ca="1">IF($E$279=0,0,IF(SUM($G110:BL110)=$B110,0,IF(SUM($G109:AP109)=$B109,$B110,0%)))</f>
        <v>0</v>
      </c>
      <c r="BN110" s="395">
        <f ca="1">IF($E$279=0,0,IF(SUM($G110:BM110)=$B110,0,IF(SUM($G109:AQ109)=$B109,$B110,0%)))</f>
        <v>0</v>
      </c>
      <c r="BO110" s="395">
        <f ca="1">IF($E$279=0,0,IF(SUM($G110:BN110)=$B110,0,IF(SUM($G109:AR109)=$B109,$B110,0%)))</f>
        <v>0</v>
      </c>
      <c r="BP110" s="395">
        <f ca="1">IF($E$279=0,0,IF(SUM($G110:BO110)=$B110,0,IF(SUM($G109:AS109)=$B109,$B110,0%)))</f>
        <v>0</v>
      </c>
      <c r="BQ110" s="395">
        <f ca="1">IF($E$279=0,0,IF(SUM($G110:BP110)=$B110,0,IF(SUM($G109:AT109)=$B109,$B110,0%)))</f>
        <v>0</v>
      </c>
      <c r="BR110" s="395">
        <f ca="1">IF($E$279=0,0,IF(SUM($G110:BQ110)=$B110,0,IF(SUM($G109:AU109)=$B109,$B110,0%)))</f>
        <v>0</v>
      </c>
      <c r="BS110" s="395">
        <f ca="1">IF($E$279=0,0,IF(SUM($G110:BR110)=$B110,0,IF(SUM($G109:AV109)=$B109,$B110,0%)))</f>
        <v>0</v>
      </c>
      <c r="BT110" s="395">
        <f ca="1">IF($E$279=0,0,IF(SUM($G110:BS110)=$B110,0,IF(SUM($G109:AW109)=$B109,$B110,0%)))</f>
        <v>0</v>
      </c>
      <c r="BU110" s="395">
        <f ca="1">IF($E$279=0,0,IF(SUM($G110:BT110)=$B110,0,IF(SUM($G109:AX109)=$B109,$B110,0%)))</f>
        <v>0</v>
      </c>
      <c r="BV110" s="395">
        <f ca="1">IF($E$279=0,0,IF(SUM($G110:BU110)=$B110,0,IF(SUM($G109:AY109)=$B109,$B110,0%)))</f>
        <v>0</v>
      </c>
      <c r="BW110" s="395">
        <f ca="1">IF($E$279=0,0,IF(SUM($G110:BV110)=$B110,0,IF(SUM($G109:AZ109)=$B109,$B110,0%)))</f>
        <v>0</v>
      </c>
      <c r="BX110" s="395">
        <f ca="1">IF($E$279=0,0,IF(SUM($G110:BW110)=$B110,0,IF(SUM($G109:BA109)=$B109,$B110,0%)))</f>
        <v>0</v>
      </c>
      <c r="BY110" s="395">
        <f ca="1">IF($E$279=0,0,IF(SUM($G110:BX110)=$B110,0,IF(SUM($G109:BB109)=$B109,$B110,0%)))</f>
        <v>0</v>
      </c>
      <c r="BZ110" s="395">
        <f ca="1">IF($E$279=0,0,IF(SUM($G110:BY110)=$B110,0,IF(SUM($G109:BC109)=$B109,$B110,0%)))</f>
        <v>0</v>
      </c>
      <c r="CA110" s="395">
        <f ca="1">IF($E$279=0,0,IF(SUM($G110:BZ110)=$B110,0,IF(SUM($G109:BD109)=$B109,$B110,0%)))</f>
        <v>0</v>
      </c>
      <c r="CB110" s="395">
        <f ca="1">IF($E$279=0,0,IF(SUM($G110:CA110)=$B110,0,IF(SUM($G109:BE109)=$B109,$B110,0%)))</f>
        <v>0</v>
      </c>
      <c r="CC110" s="395">
        <f ca="1">IF($E$279=0,0,IF(SUM($G110:CB110)=$B110,0,IF(SUM($G109:BF109)=$B109,$B110,0%)))</f>
        <v>0</v>
      </c>
      <c r="CD110" s="395">
        <f ca="1">IF($E$279=0,0,IF(SUM($G110:CC110)=$B110,0,IF(SUM($G109:BG109)=$B109,$B110,0%)))</f>
        <v>2.5000000000000001E-2</v>
      </c>
      <c r="CE110" s="395">
        <f ca="1">IF($E$279=0,0,IF(SUM($G110:CD110)=$B110,0,IF(SUM($G109:BH109)=$B109,$B110,0%)))</f>
        <v>0</v>
      </c>
      <c r="CF110" s="395">
        <f ca="1">IF($E$279=0,0,IF(SUM($G110:CE110)=$B110,0,IF(SUM($G109:BI109)=$B109,$B110,0%)))</f>
        <v>0</v>
      </c>
      <c r="CG110" s="395">
        <f ca="1">IF($E$279=0,0,IF(SUM($G110:CF110)=$B110,0,IF(SUM($G109:BJ109)=$B109,$B110,0%)))</f>
        <v>0</v>
      </c>
      <c r="CH110" s="395">
        <f ca="1">IF($E$279=0,0,IF(SUM($G110:CG110)=$B110,0,IF(SUM($G109:BK109)=$B109,$B110,0%)))</f>
        <v>0</v>
      </c>
      <c r="CI110" s="395">
        <f ca="1">IF($E$279=0,0,IF(SUM($G110:CH110)=$B110,0,IF(SUM($G109:BL109)=$B109,$B110,0%)))</f>
        <v>0</v>
      </c>
      <c r="CJ110" s="395">
        <f ca="1">IF($E$279=0,0,IF(SUM($G110:CI110)=$B110,0,IF(SUM($G109:BM109)=$B109,$B110,0%)))</f>
        <v>0</v>
      </c>
      <c r="CK110" s="395">
        <f ca="1">IF($E$279=0,0,IF(SUM($G110:CJ110)=$B110,0,IF(SUM($G109:BN109)=$B109,$B110,0%)))</f>
        <v>0</v>
      </c>
      <c r="CL110" s="395">
        <f ca="1">IF($E$279=0,0,IF(SUM($G110:CK110)=$B110,0,IF(SUM($G109:BO109)=$B109,$B110,0%)))</f>
        <v>0</v>
      </c>
      <c r="CM110" s="395">
        <f ca="1">IF($E$279=0,0,IF(SUM($G110:CL110)=$B110,0,IF(SUM($G109:BP109)=$B109,$B110,0%)))</f>
        <v>0</v>
      </c>
      <c r="CN110" s="395">
        <f ca="1">IF($E$279=0,0,IF(SUM($G110:CM110)=$B110,0,IF(SUM($G109:BQ109)=$B109,$B110,0%)))</f>
        <v>0</v>
      </c>
      <c r="CO110" s="395">
        <f ca="1">IF($E$279=0,0,IF(SUM($G110:CN110)=$B110,0,IF(SUM($G109:BR109)=$B109,$B110,0%)))</f>
        <v>0</v>
      </c>
      <c r="CP110" s="395">
        <f ca="1">IF($E$279=0,0,IF(SUM($G110:CO110)=$B110,0,IF(SUM($G109:BS109)=$B109,$B110,0%)))</f>
        <v>0</v>
      </c>
      <c r="CQ110" s="395">
        <f ca="1">IF($E$279=0,0,IF(SUM($G110:CP110)=$B110,0,IF(SUM($G109:BT109)=$B109,$B110,0%)))</f>
        <v>0</v>
      </c>
      <c r="CR110" s="395">
        <f ca="1">IF($E$279=0,0,IF(SUM($G110:CQ110)=$B110,0,IF(SUM($G109:BU109)=$B109,$B110,0%)))</f>
        <v>0</v>
      </c>
      <c r="CS110" s="395">
        <f ca="1">IF($E$279=0,0,IF(SUM($G110:CR110)=$B110,0,IF(SUM($G109:BV109)=$B109,$B110,0%)))</f>
        <v>0</v>
      </c>
      <c r="CT110" s="395">
        <f ca="1">IF($E$279=0,0,IF(SUM($G110:CS110)=$B110,0,IF(SUM($G109:BW109)=$B109,$B110,0%)))</f>
        <v>0</v>
      </c>
      <c r="CU110" s="395">
        <f ca="1">IF($E$279=0,0,IF(SUM($G110:CT110)=$B110,0,IF(SUM($G109:BX109)=$B109,$B110,0%)))</f>
        <v>0</v>
      </c>
      <c r="CV110" s="395">
        <f ca="1">IF($E$279=0,0,IF(SUM($G110:CU110)=$B110,0,IF(SUM($G109:BY109)=$B109,$B110,0%)))</f>
        <v>0</v>
      </c>
      <c r="CW110" s="395">
        <f ca="1">IF($E$279=0,0,IF(SUM($G110:CV110)=$B110,0,IF(SUM($G109:BZ109)=$B109,$B110,0%)))</f>
        <v>0</v>
      </c>
      <c r="CX110" s="395">
        <f ca="1">IF($E$279=0,0,IF(SUM($G110:CW110)=$B110,0,IF(SUM($G109:CA109)=$B109,$B110,0%)))</f>
        <v>0</v>
      </c>
      <c r="CY110" s="395">
        <f ca="1">IF($E$279=0,0,IF(SUM($G110:CX110)=$B110,0,IF(SUM($G109:CB109)=$B109,$B110,0%)))</f>
        <v>0</v>
      </c>
      <c r="CZ110" s="395">
        <f ca="1">IF($E$279=0,0,IF(SUM($G110:CY110)=$B110,0,IF(SUM($G109:CC109)=$B109,$B110,0%)))</f>
        <v>0</v>
      </c>
      <c r="DA110" s="395">
        <f ca="1">IF($E$279=0,0,IF(SUM($G110:CZ110)=$B110,0,IF(SUM($G109:CD109)=$B109,$B110,0%)))</f>
        <v>0</v>
      </c>
      <c r="DB110" s="395">
        <f ca="1">IF($E$279=0,0,IF(SUM($G110:DA110)=$B110,0,IF(SUM($G109:CE109)=$B109,$B110,0%)))</f>
        <v>0</v>
      </c>
      <c r="DC110" s="395">
        <f ca="1">IF($E$279=0,0,IF(SUM($G110:DB110)=$B110,0,IF(SUM($G109:CF109)=$B109,$B110,0%)))</f>
        <v>0</v>
      </c>
      <c r="DD110" s="395">
        <f ca="1">IF($E$279=0,0,IF(SUM($G110:DC110)=$B110,0,IF(SUM($G109:CG109)=$B109,$B110,0%)))</f>
        <v>0</v>
      </c>
      <c r="DE110" s="395">
        <f ca="1">IF($E$279=0,0,IF(SUM($G110:DD110)=$B110,0,IF(SUM($G109:CH109)=$B109,$B110,0%)))</f>
        <v>0</v>
      </c>
      <c r="DF110" s="395">
        <f ca="1">IF($E$279=0,0,IF(SUM($G110:DE110)=$B110,0,IF(SUM($G109:CI109)=$B109,$B110,0%)))</f>
        <v>0</v>
      </c>
      <c r="DG110" s="395">
        <f ca="1">IF($E$279=0,0,IF(SUM($G110:DF110)=$B110,0,IF(SUM($G109:CJ109)=$B109,$B110,0%)))</f>
        <v>0</v>
      </c>
      <c r="DH110" s="395">
        <f ca="1">IF($E$279=0,0,IF(SUM($G110:DG110)=$B110,0,IF(SUM($G109:CK109)=$B109,$B110,0%)))</f>
        <v>0</v>
      </c>
      <c r="DI110" s="395">
        <f ca="1">IF($E$279=0,0,IF(SUM($G110:DH110)=$B110,0,IF(SUM($G109:CL109)=$B109,$B110,0%)))</f>
        <v>0</v>
      </c>
      <c r="DJ110" s="395">
        <f ca="1">IF($E$279=0,0,IF(SUM($G110:DI110)=$B110,0,IF(SUM($G109:CM109)=$B109,$B110,0%)))</f>
        <v>0</v>
      </c>
      <c r="DK110" s="395">
        <f ca="1">IF($E$279=0,0,IF(SUM($G110:DJ110)=$B110,0,IF(SUM($G109:CN109)=$B109,$B110,0%)))</f>
        <v>0</v>
      </c>
      <c r="DL110" s="395">
        <f ca="1">IF($E$279=0,0,IF(SUM($G110:DK110)=$B110,0,IF(SUM($G109:CO109)=$B109,$B110,0%)))</f>
        <v>0</v>
      </c>
      <c r="DM110" s="395">
        <f ca="1">IF($E$279=0,0,IF(SUM($G110:DL110)=$B110,0,IF(SUM($G109:CP109)=$B109,$B110,0%)))</f>
        <v>0</v>
      </c>
      <c r="DN110" s="395">
        <f ca="1">IF($E$279=0,0,IF(SUM($G110:DM110)=$B110,0,IF(SUM($G109:CQ109)=$B109,$B110,0%)))</f>
        <v>0</v>
      </c>
      <c r="DO110" s="395">
        <f ca="1">IF($E$279=0,0,IF(SUM($G110:DN110)=$B110,0,IF(SUM($G109:CR109)=$B109,$B110,0%)))</f>
        <v>0</v>
      </c>
      <c r="DP110" s="395">
        <f ca="1">IF($E$279=0,0,IF(SUM($G110:DO110)=$B110,0,IF(SUM($G109:CS109)=$B109,$B110,0%)))</f>
        <v>0</v>
      </c>
      <c r="DQ110" s="395">
        <f ca="1">IF($E$279=0,0,IF(SUM($G110:DP110)=$B110,0,IF(SUM($G109:CT109)=$B109,$B110,0%)))</f>
        <v>0</v>
      </c>
      <c r="DR110" s="395">
        <f ca="1">IF($E$279=0,0,IF(SUM($G110:DQ110)=$B110,0,IF(SUM($G109:CU109)=$B109,$B110,0%)))</f>
        <v>0</v>
      </c>
      <c r="DS110" s="395">
        <f ca="1">IF($E$279=0,0,IF(SUM($G110:DR110)=$B110,0,IF(SUM($G109:CV109)=$B109,$B110,0%)))</f>
        <v>0</v>
      </c>
      <c r="DT110" s="395">
        <f ca="1">IF($E$279=0,0,IF(SUM($G110:DS110)=$B110,0,IF(SUM($G109:CW109)=$B109,$B110,0%)))</f>
        <v>0</v>
      </c>
      <c r="DU110" s="395">
        <f ca="1">IF($E$279=0,0,IF(SUM($G110:DT110)=$B110,0,IF(SUM($G109:CX109)=$B109,$B110,0%)))</f>
        <v>0</v>
      </c>
      <c r="DV110" s="395">
        <f ca="1">IF($E$279=0,0,IF(SUM($G110:DU110)=$B110,0,IF(SUM($G109:CY109)=$B109,$B110,0%)))</f>
        <v>0</v>
      </c>
      <c r="DW110" s="395">
        <f ca="1">IF($E$279=0,0,IF(SUM($G110:DV110)=$B110,0,IF(SUM($G109:CZ109)=$B109,$B110,0%)))</f>
        <v>0</v>
      </c>
      <c r="DX110" s="395">
        <f ca="1">IF($E$279=0,0,IF(SUM($G110:DW110)=$B110,0,IF(SUM($G109:DA109)=$B109,$B110,0%)))</f>
        <v>0</v>
      </c>
      <c r="DY110" s="395">
        <f ca="1">IF($E$279=0,0,IF(SUM($G110:DX110)=$B110,0,IF(SUM($G109:DB109)=$B109,$B110,0%)))</f>
        <v>0</v>
      </c>
      <c r="DZ110" s="395">
        <f ca="1">IF($E$279=0,0,IF(SUM($G110:DY110)=$B110,0,IF(SUM($G109:DC109)=$B109,$B110,0%)))</f>
        <v>0</v>
      </c>
      <c r="EA110" s="395">
        <f ca="1">IF($E$279=0,0,IF(SUM($G110:DZ110)=$B110,0,IF(SUM($G109:DD109)=$B109,$B110,0%)))</f>
        <v>0</v>
      </c>
      <c r="EB110" s="395">
        <f ca="1">IF($E$279=0,0,IF(SUM($G110:EA110)=$B110,0,IF(SUM($G109:DE109)=$B109,$B110,0%)))</f>
        <v>0</v>
      </c>
      <c r="EC110" s="395">
        <f ca="1">IF($E$279=0,0,IF(SUM($G110:EB110)=$B110,0,IF(SUM($G109:DF109)=$B109,$B110,0%)))</f>
        <v>0</v>
      </c>
      <c r="ED110" s="395">
        <f ca="1">IF($E$279=0,0,IF(SUM($G110:EC110)=$B110,0,IF(SUM($G109:DG109)=$B109,$B110,0%)))</f>
        <v>0</v>
      </c>
      <c r="EE110" s="395">
        <f ca="1">IF($E$279=0,0,IF(SUM($G110:ED110)=$B110,0,IF(SUM($G109:DH109)=$B109,$B110,0%)))</f>
        <v>0</v>
      </c>
      <c r="EF110" s="395">
        <f ca="1">IF($E$279=0,0,IF(SUM($G110:EE110)=$B110,0,IF(SUM($G109:DI109)=$B109,$B110,0%)))</f>
        <v>0</v>
      </c>
      <c r="EG110" s="395">
        <f ca="1">IF($E$279=0,0,IF(SUM($G110:EF110)=$B110,0,IF(SUM($G109:DJ109)=$B109,$B110,0%)))</f>
        <v>0</v>
      </c>
      <c r="EH110" s="395">
        <f ca="1">IF($E$279=0,0,IF(SUM($G110:EG110)=$B110,0,IF(SUM($G109:DK109)=$B109,$B110,0%)))</f>
        <v>0</v>
      </c>
      <c r="EI110" s="395">
        <f ca="1">IF($E$279=0,0,IF(SUM($G110:EH110)=$B110,0,IF(SUM($G109:DL109)=$B109,$B110,0%)))</f>
        <v>0</v>
      </c>
      <c r="EJ110" s="398"/>
      <c r="EK110" s="313"/>
    </row>
    <row r="111" spans="1:141" hidden="1" outlineLevel="1" collapsed="1">
      <c r="A111" s="332"/>
      <c r="B111" s="313"/>
      <c r="C111" s="392" t="s">
        <v>74</v>
      </c>
      <c r="D111" s="392" t="str">
        <f>D284</f>
        <v>Кровля - скатная</v>
      </c>
      <c r="E111" s="393">
        <f ca="1">ROUND(IF(F111=0,0,100%-F111),0)</f>
        <v>0</v>
      </c>
      <c r="F111" s="394">
        <f t="shared" ref="F111:F113" ca="1" si="330">SUM(G111:EJ111)</f>
        <v>0</v>
      </c>
      <c r="G111" s="395">
        <f>SUM(G112:G115)</f>
        <v>0</v>
      </c>
      <c r="H111" s="395">
        <f t="shared" ref="H111:BS111" ca="1" si="331">SUM(H112:H115)</f>
        <v>0</v>
      </c>
      <c r="I111" s="395">
        <f t="shared" ca="1" si="331"/>
        <v>0</v>
      </c>
      <c r="J111" s="395">
        <f t="shared" ca="1" si="331"/>
        <v>0</v>
      </c>
      <c r="K111" s="395">
        <f t="shared" ca="1" si="331"/>
        <v>0</v>
      </c>
      <c r="L111" s="395">
        <f t="shared" ca="1" si="331"/>
        <v>0</v>
      </c>
      <c r="M111" s="395">
        <f t="shared" ca="1" si="331"/>
        <v>0</v>
      </c>
      <c r="N111" s="395">
        <f t="shared" ca="1" si="331"/>
        <v>0</v>
      </c>
      <c r="O111" s="395">
        <f t="shared" ca="1" si="331"/>
        <v>0</v>
      </c>
      <c r="P111" s="395">
        <f t="shared" ca="1" si="331"/>
        <v>0</v>
      </c>
      <c r="Q111" s="395">
        <f t="shared" ca="1" si="331"/>
        <v>0</v>
      </c>
      <c r="R111" s="395">
        <f t="shared" ca="1" si="331"/>
        <v>0</v>
      </c>
      <c r="S111" s="395">
        <f t="shared" ca="1" si="331"/>
        <v>0</v>
      </c>
      <c r="T111" s="395">
        <f t="shared" ca="1" si="331"/>
        <v>0</v>
      </c>
      <c r="U111" s="395">
        <f t="shared" ca="1" si="331"/>
        <v>0</v>
      </c>
      <c r="V111" s="395">
        <f t="shared" ca="1" si="331"/>
        <v>0</v>
      </c>
      <c r="W111" s="395">
        <f t="shared" ca="1" si="331"/>
        <v>0</v>
      </c>
      <c r="X111" s="395">
        <f t="shared" ca="1" si="331"/>
        <v>0</v>
      </c>
      <c r="Y111" s="395">
        <f t="shared" ca="1" si="331"/>
        <v>0</v>
      </c>
      <c r="Z111" s="395">
        <f t="shared" ca="1" si="331"/>
        <v>0</v>
      </c>
      <c r="AA111" s="395">
        <f t="shared" ca="1" si="331"/>
        <v>0</v>
      </c>
      <c r="AB111" s="395">
        <f t="shared" ca="1" si="331"/>
        <v>0</v>
      </c>
      <c r="AC111" s="395">
        <f t="shared" ca="1" si="331"/>
        <v>0</v>
      </c>
      <c r="AD111" s="395">
        <f t="shared" ca="1" si="331"/>
        <v>0</v>
      </c>
      <c r="AE111" s="395">
        <f t="shared" ca="1" si="331"/>
        <v>0</v>
      </c>
      <c r="AF111" s="395">
        <f t="shared" ca="1" si="331"/>
        <v>0</v>
      </c>
      <c r="AG111" s="395">
        <f t="shared" ca="1" si="331"/>
        <v>0</v>
      </c>
      <c r="AH111" s="395">
        <f t="shared" ca="1" si="331"/>
        <v>0</v>
      </c>
      <c r="AI111" s="395">
        <f t="shared" ca="1" si="331"/>
        <v>0</v>
      </c>
      <c r="AJ111" s="395">
        <f t="shared" ca="1" si="331"/>
        <v>0</v>
      </c>
      <c r="AK111" s="395">
        <f t="shared" ca="1" si="331"/>
        <v>0</v>
      </c>
      <c r="AL111" s="395">
        <f t="shared" ca="1" si="331"/>
        <v>0</v>
      </c>
      <c r="AM111" s="395">
        <f t="shared" ca="1" si="331"/>
        <v>0</v>
      </c>
      <c r="AN111" s="395">
        <f t="shared" ca="1" si="331"/>
        <v>0</v>
      </c>
      <c r="AO111" s="395">
        <f t="shared" ca="1" si="331"/>
        <v>0</v>
      </c>
      <c r="AP111" s="395">
        <f t="shared" ca="1" si="331"/>
        <v>0</v>
      </c>
      <c r="AQ111" s="395">
        <f t="shared" ca="1" si="331"/>
        <v>0</v>
      </c>
      <c r="AR111" s="395">
        <f t="shared" ca="1" si="331"/>
        <v>0</v>
      </c>
      <c r="AS111" s="395">
        <f t="shared" ca="1" si="331"/>
        <v>0</v>
      </c>
      <c r="AT111" s="395">
        <f t="shared" ca="1" si="331"/>
        <v>0</v>
      </c>
      <c r="AU111" s="395">
        <f t="shared" ca="1" si="331"/>
        <v>0</v>
      </c>
      <c r="AV111" s="395">
        <f t="shared" ca="1" si="331"/>
        <v>0</v>
      </c>
      <c r="AW111" s="395">
        <f t="shared" ca="1" si="331"/>
        <v>0</v>
      </c>
      <c r="AX111" s="395">
        <f t="shared" ca="1" si="331"/>
        <v>0</v>
      </c>
      <c r="AY111" s="395">
        <f t="shared" ca="1" si="331"/>
        <v>0</v>
      </c>
      <c r="AZ111" s="395">
        <f t="shared" ca="1" si="331"/>
        <v>0</v>
      </c>
      <c r="BA111" s="395">
        <f t="shared" ca="1" si="331"/>
        <v>0</v>
      </c>
      <c r="BB111" s="395">
        <f t="shared" ca="1" si="331"/>
        <v>0</v>
      </c>
      <c r="BC111" s="395">
        <f t="shared" ca="1" si="331"/>
        <v>0</v>
      </c>
      <c r="BD111" s="395">
        <f t="shared" ca="1" si="331"/>
        <v>0</v>
      </c>
      <c r="BE111" s="395">
        <f t="shared" ca="1" si="331"/>
        <v>0</v>
      </c>
      <c r="BF111" s="395">
        <f t="shared" ca="1" si="331"/>
        <v>0</v>
      </c>
      <c r="BG111" s="395">
        <f t="shared" ca="1" si="331"/>
        <v>0</v>
      </c>
      <c r="BH111" s="395">
        <f t="shared" ca="1" si="331"/>
        <v>0</v>
      </c>
      <c r="BI111" s="395">
        <f t="shared" ca="1" si="331"/>
        <v>0</v>
      </c>
      <c r="BJ111" s="395">
        <f t="shared" ca="1" si="331"/>
        <v>0</v>
      </c>
      <c r="BK111" s="395">
        <f t="shared" ca="1" si="331"/>
        <v>0</v>
      </c>
      <c r="BL111" s="395">
        <f t="shared" ca="1" si="331"/>
        <v>0</v>
      </c>
      <c r="BM111" s="395">
        <f t="shared" ca="1" si="331"/>
        <v>0</v>
      </c>
      <c r="BN111" s="395">
        <f t="shared" ca="1" si="331"/>
        <v>0</v>
      </c>
      <c r="BO111" s="395">
        <f t="shared" ca="1" si="331"/>
        <v>0</v>
      </c>
      <c r="BP111" s="395">
        <f t="shared" ca="1" si="331"/>
        <v>0</v>
      </c>
      <c r="BQ111" s="395">
        <f t="shared" ca="1" si="331"/>
        <v>0</v>
      </c>
      <c r="BR111" s="395">
        <f t="shared" ca="1" si="331"/>
        <v>0</v>
      </c>
      <c r="BS111" s="395">
        <f t="shared" ca="1" si="331"/>
        <v>0</v>
      </c>
      <c r="BT111" s="395">
        <f t="shared" ref="BT111:EE111" ca="1" si="332">SUM(BT112:BT115)</f>
        <v>0</v>
      </c>
      <c r="BU111" s="395">
        <f t="shared" ca="1" si="332"/>
        <v>0</v>
      </c>
      <c r="BV111" s="395">
        <f t="shared" ca="1" si="332"/>
        <v>0</v>
      </c>
      <c r="BW111" s="395">
        <f t="shared" ca="1" si="332"/>
        <v>0</v>
      </c>
      <c r="BX111" s="395">
        <f t="shared" ca="1" si="332"/>
        <v>0</v>
      </c>
      <c r="BY111" s="395">
        <f t="shared" ca="1" si="332"/>
        <v>0</v>
      </c>
      <c r="BZ111" s="395">
        <f t="shared" ca="1" si="332"/>
        <v>0</v>
      </c>
      <c r="CA111" s="395">
        <f t="shared" ca="1" si="332"/>
        <v>0</v>
      </c>
      <c r="CB111" s="395">
        <f t="shared" ca="1" si="332"/>
        <v>0</v>
      </c>
      <c r="CC111" s="395">
        <f t="shared" ca="1" si="332"/>
        <v>0</v>
      </c>
      <c r="CD111" s="395">
        <f t="shared" ca="1" si="332"/>
        <v>0</v>
      </c>
      <c r="CE111" s="395">
        <f t="shared" ca="1" si="332"/>
        <v>0</v>
      </c>
      <c r="CF111" s="395">
        <f t="shared" ca="1" si="332"/>
        <v>0</v>
      </c>
      <c r="CG111" s="395">
        <f t="shared" ca="1" si="332"/>
        <v>0</v>
      </c>
      <c r="CH111" s="395">
        <f t="shared" ca="1" si="332"/>
        <v>0</v>
      </c>
      <c r="CI111" s="395">
        <f t="shared" ca="1" si="332"/>
        <v>0</v>
      </c>
      <c r="CJ111" s="395">
        <f t="shared" ca="1" si="332"/>
        <v>0</v>
      </c>
      <c r="CK111" s="395">
        <f t="shared" ca="1" si="332"/>
        <v>0</v>
      </c>
      <c r="CL111" s="395">
        <f t="shared" ca="1" si="332"/>
        <v>0</v>
      </c>
      <c r="CM111" s="395">
        <f t="shared" ca="1" si="332"/>
        <v>0</v>
      </c>
      <c r="CN111" s="395">
        <f t="shared" ca="1" si="332"/>
        <v>0</v>
      </c>
      <c r="CO111" s="395">
        <f t="shared" ca="1" si="332"/>
        <v>0</v>
      </c>
      <c r="CP111" s="395">
        <f t="shared" ca="1" si="332"/>
        <v>0</v>
      </c>
      <c r="CQ111" s="395">
        <f t="shared" ca="1" si="332"/>
        <v>0</v>
      </c>
      <c r="CR111" s="395">
        <f t="shared" ca="1" si="332"/>
        <v>0</v>
      </c>
      <c r="CS111" s="395">
        <f t="shared" ca="1" si="332"/>
        <v>0</v>
      </c>
      <c r="CT111" s="395">
        <f t="shared" ca="1" si="332"/>
        <v>0</v>
      </c>
      <c r="CU111" s="395">
        <f t="shared" ca="1" si="332"/>
        <v>0</v>
      </c>
      <c r="CV111" s="395">
        <f t="shared" ca="1" si="332"/>
        <v>0</v>
      </c>
      <c r="CW111" s="395">
        <f t="shared" ca="1" si="332"/>
        <v>0</v>
      </c>
      <c r="CX111" s="395">
        <f t="shared" ca="1" si="332"/>
        <v>0</v>
      </c>
      <c r="CY111" s="395">
        <f t="shared" ca="1" si="332"/>
        <v>0</v>
      </c>
      <c r="CZ111" s="395">
        <f t="shared" ca="1" si="332"/>
        <v>0</v>
      </c>
      <c r="DA111" s="395">
        <f t="shared" ca="1" si="332"/>
        <v>0</v>
      </c>
      <c r="DB111" s="395">
        <f t="shared" ca="1" si="332"/>
        <v>0</v>
      </c>
      <c r="DC111" s="395">
        <f t="shared" ca="1" si="332"/>
        <v>0</v>
      </c>
      <c r="DD111" s="395">
        <f t="shared" ca="1" si="332"/>
        <v>0</v>
      </c>
      <c r="DE111" s="395">
        <f t="shared" ca="1" si="332"/>
        <v>0</v>
      </c>
      <c r="DF111" s="395">
        <f t="shared" ca="1" si="332"/>
        <v>0</v>
      </c>
      <c r="DG111" s="395">
        <f t="shared" ca="1" si="332"/>
        <v>0</v>
      </c>
      <c r="DH111" s="395">
        <f t="shared" ca="1" si="332"/>
        <v>0</v>
      </c>
      <c r="DI111" s="395">
        <f t="shared" ca="1" si="332"/>
        <v>0</v>
      </c>
      <c r="DJ111" s="395">
        <f t="shared" ca="1" si="332"/>
        <v>0</v>
      </c>
      <c r="DK111" s="395">
        <f t="shared" ca="1" si="332"/>
        <v>0</v>
      </c>
      <c r="DL111" s="395">
        <f t="shared" ca="1" si="332"/>
        <v>0</v>
      </c>
      <c r="DM111" s="395">
        <f t="shared" ca="1" si="332"/>
        <v>0</v>
      </c>
      <c r="DN111" s="395">
        <f t="shared" ca="1" si="332"/>
        <v>0</v>
      </c>
      <c r="DO111" s="395">
        <f t="shared" ca="1" si="332"/>
        <v>0</v>
      </c>
      <c r="DP111" s="395">
        <f t="shared" ca="1" si="332"/>
        <v>0</v>
      </c>
      <c r="DQ111" s="395">
        <f t="shared" ca="1" si="332"/>
        <v>0</v>
      </c>
      <c r="DR111" s="395">
        <f t="shared" ca="1" si="332"/>
        <v>0</v>
      </c>
      <c r="DS111" s="395">
        <f t="shared" ca="1" si="332"/>
        <v>0</v>
      </c>
      <c r="DT111" s="395">
        <f t="shared" ca="1" si="332"/>
        <v>0</v>
      </c>
      <c r="DU111" s="395">
        <f t="shared" ca="1" si="332"/>
        <v>0</v>
      </c>
      <c r="DV111" s="395">
        <f t="shared" ca="1" si="332"/>
        <v>0</v>
      </c>
      <c r="DW111" s="395">
        <f t="shared" ca="1" si="332"/>
        <v>0</v>
      </c>
      <c r="DX111" s="395">
        <f t="shared" ca="1" si="332"/>
        <v>0</v>
      </c>
      <c r="DY111" s="395">
        <f t="shared" ca="1" si="332"/>
        <v>0</v>
      </c>
      <c r="DZ111" s="395">
        <f t="shared" ca="1" si="332"/>
        <v>0</v>
      </c>
      <c r="EA111" s="395">
        <f t="shared" ca="1" si="332"/>
        <v>0</v>
      </c>
      <c r="EB111" s="395">
        <f t="shared" ca="1" si="332"/>
        <v>0</v>
      </c>
      <c r="EC111" s="395">
        <f t="shared" ca="1" si="332"/>
        <v>0</v>
      </c>
      <c r="ED111" s="395">
        <f t="shared" ca="1" si="332"/>
        <v>0</v>
      </c>
      <c r="EE111" s="395">
        <f t="shared" ca="1" si="332"/>
        <v>0</v>
      </c>
      <c r="EF111" s="395">
        <f t="shared" ref="EF111:EI111" ca="1" si="333">SUM(EF112:EF115)</f>
        <v>0</v>
      </c>
      <c r="EG111" s="395">
        <f t="shared" ca="1" si="333"/>
        <v>0</v>
      </c>
      <c r="EH111" s="395">
        <f t="shared" ca="1" si="333"/>
        <v>0</v>
      </c>
      <c r="EI111" s="395">
        <f t="shared" ca="1" si="333"/>
        <v>0</v>
      </c>
      <c r="EJ111" s="398"/>
      <c r="EK111" s="313"/>
    </row>
    <row r="112" spans="1:141" hidden="1" outlineLevel="2">
      <c r="A112" s="332"/>
      <c r="B112" s="548">
        <f>B102</f>
        <v>0.1</v>
      </c>
      <c r="C112" s="317"/>
      <c r="D112" s="317" t="s">
        <v>664</v>
      </c>
      <c r="E112" s="318">
        <f t="shared" ref="E112:E115" ca="1" si="334">IF(F112=0,0,B112-F112)</f>
        <v>0</v>
      </c>
      <c r="F112" s="397">
        <f t="shared" ca="1" si="330"/>
        <v>0</v>
      </c>
      <c r="G112" s="395"/>
      <c r="H112" s="395">
        <f ca="1">IF(SUM($G112:G112)=$B112,0,IF(J113&gt;0%,$B112,0%))</f>
        <v>0</v>
      </c>
      <c r="I112" s="395">
        <f ca="1">IF(SUM($G112:H112)=$B112,0,IF(K113&gt;0%,$B112,0%))</f>
        <v>0</v>
      </c>
      <c r="J112" s="395">
        <f ca="1">IF(SUM($G112:I112)=$B112,0,IF(L113&gt;0%,$B112,0%))</f>
        <v>0</v>
      </c>
      <c r="K112" s="395">
        <f ca="1">IF(SUM($G112:J112)=$B112,0,IF(M113&gt;0%,$B112,0%))</f>
        <v>0</v>
      </c>
      <c r="L112" s="395">
        <f ca="1">IF(SUM($G112:K112)=$B112,0,IF(N113&gt;0%,$B112,0%))</f>
        <v>0</v>
      </c>
      <c r="M112" s="395">
        <f ca="1">IF(SUM($G112:L112)=$B112,0,IF(O113&gt;0%,$B112,0%))</f>
        <v>0</v>
      </c>
      <c r="N112" s="395">
        <f ca="1">IF(SUM($G112:M112)=$B112,0,IF(P113&gt;0%,$B112,0%))</f>
        <v>0</v>
      </c>
      <c r="O112" s="395">
        <f ca="1">IF(SUM($G112:N112)=$B112,0,IF(Q113&gt;0%,$B112,0%))</f>
        <v>0</v>
      </c>
      <c r="P112" s="395">
        <f ca="1">IF(SUM($G112:O112)=$B112,0,IF(R113&gt;0%,$B112,0%))</f>
        <v>0</v>
      </c>
      <c r="Q112" s="395">
        <f ca="1">IF(SUM($G112:P112)=$B112,0,IF(S113&gt;0%,$B112,0%))</f>
        <v>0</v>
      </c>
      <c r="R112" s="395">
        <f ca="1">IF(SUM($G112:Q112)=$B112,0,IF(T113&gt;0%,$B112,0%))</f>
        <v>0</v>
      </c>
      <c r="S112" s="395">
        <f ca="1">IF(SUM($G112:R112)=$B112,0,IF(U113&gt;0%,$B112,0%))</f>
        <v>0</v>
      </c>
      <c r="T112" s="395">
        <f ca="1">IF(SUM($G112:S112)=$B112,0,IF(V113&gt;0%,$B112,0%))</f>
        <v>0</v>
      </c>
      <c r="U112" s="395">
        <f ca="1">IF(SUM($G112:T112)=$B112,0,IF(W113&gt;0%,$B112,0%))</f>
        <v>0</v>
      </c>
      <c r="V112" s="395">
        <f ca="1">IF(SUM($G112:U112)=$B112,0,IF(X113&gt;0%,$B112,0%))</f>
        <v>0</v>
      </c>
      <c r="W112" s="395">
        <f ca="1">IF(SUM($G112:V112)=$B112,0,IF(Y113&gt;0%,$B112,0%))</f>
        <v>0</v>
      </c>
      <c r="X112" s="395">
        <f ca="1">IF(SUM($G112:W112)=$B112,0,IF(Z113&gt;0%,$B112,0%))</f>
        <v>0</v>
      </c>
      <c r="Y112" s="395">
        <f ca="1">IF(SUM($G112:X112)=$B112,0,IF(AA113&gt;0%,$B112,0%))</f>
        <v>0</v>
      </c>
      <c r="Z112" s="395">
        <f ca="1">IF(SUM($G112:Y112)=$B112,0,IF(AB113&gt;0%,$B112,0%))</f>
        <v>0</v>
      </c>
      <c r="AA112" s="395">
        <f ca="1">IF(SUM($G112:Z112)=$B112,0,IF(AC113&gt;0%,$B112,0%))</f>
        <v>0</v>
      </c>
      <c r="AB112" s="395">
        <f ca="1">IF(SUM($G112:AA112)=$B112,0,IF(AD113&gt;0%,$B112,0%))</f>
        <v>0</v>
      </c>
      <c r="AC112" s="395">
        <f ca="1">IF(SUM($G112:AB112)=$B112,0,IF(AE113&gt;0%,$B112,0%))</f>
        <v>0</v>
      </c>
      <c r="AD112" s="395">
        <f ca="1">IF(SUM($G112:AC112)=$B112,0,IF(AF113&gt;0%,$B112,0%))</f>
        <v>0</v>
      </c>
      <c r="AE112" s="395">
        <f ca="1">IF(SUM($G112:AD112)=$B112,0,IF(AG113&gt;0%,$B112,0%))</f>
        <v>0</v>
      </c>
      <c r="AF112" s="395">
        <f ca="1">IF(SUM($G112:AE112)=$B112,0,IF(AH113&gt;0%,$B112,0%))</f>
        <v>0</v>
      </c>
      <c r="AG112" s="395">
        <f ca="1">IF(SUM($G112:AF112)=$B112,0,IF(AI113&gt;0%,$B112,0%))</f>
        <v>0</v>
      </c>
      <c r="AH112" s="395">
        <f ca="1">IF(SUM($G112:AG112)=$B112,0,IF(AJ113&gt;0%,$B112,0%))</f>
        <v>0</v>
      </c>
      <c r="AI112" s="395">
        <f ca="1">IF(SUM($G112:AH112)=$B112,0,IF(AK113&gt;0%,$B112,0%))</f>
        <v>0</v>
      </c>
      <c r="AJ112" s="395">
        <f ca="1">IF(SUM($G112:AI112)=$B112,0,IF(AL113&gt;0%,$B112,0%))</f>
        <v>0</v>
      </c>
      <c r="AK112" s="395">
        <f ca="1">IF(SUM($G112:AJ112)=$B112,0,IF(AM113&gt;0%,$B112,0%))</f>
        <v>0</v>
      </c>
      <c r="AL112" s="395">
        <f ca="1">IF(SUM($G112:AK112)=$B112,0,IF(AN113&gt;0%,$B112,0%))</f>
        <v>0</v>
      </c>
      <c r="AM112" s="395">
        <f ca="1">IF(SUM($G112:AL112)=$B112,0,IF(AO113&gt;0%,$B112,0%))</f>
        <v>0</v>
      </c>
      <c r="AN112" s="395">
        <f ca="1">IF(SUM($G112:AM112)=$B112,0,IF(AP113&gt;0%,$B112,0%))</f>
        <v>0</v>
      </c>
      <c r="AO112" s="395">
        <f ca="1">IF(SUM($G112:AN112)=$B112,0,IF(AQ113&gt;0%,$B112,0%))</f>
        <v>0</v>
      </c>
      <c r="AP112" s="395">
        <f ca="1">IF(SUM($G112:AO112)=$B112,0,IF(AR113&gt;0%,$B112,0%))</f>
        <v>0</v>
      </c>
      <c r="AQ112" s="395">
        <f ca="1">IF(SUM($G112:AP112)=$B112,0,IF(AS113&gt;0%,$B112,0%))</f>
        <v>0</v>
      </c>
      <c r="AR112" s="395">
        <f ca="1">IF(SUM($G112:AQ112)=$B112,0,IF(AT113&gt;0%,$B112,0%))</f>
        <v>0</v>
      </c>
      <c r="AS112" s="395">
        <f ca="1">IF(SUM($G112:AR112)=$B112,0,IF(AU113&gt;0%,$B112,0%))</f>
        <v>0</v>
      </c>
      <c r="AT112" s="395">
        <f ca="1">IF(SUM($G112:AS112)=$B112,0,IF(AV113&gt;0%,$B112,0%))</f>
        <v>0</v>
      </c>
      <c r="AU112" s="395">
        <f ca="1">IF(SUM($G112:AT112)=$B112,0,IF(AW113&gt;0%,$B112,0%))</f>
        <v>0</v>
      </c>
      <c r="AV112" s="395">
        <f ca="1">IF(SUM($G112:AU112)=$B112,0,IF(AX113&gt;0%,$B112,0%))</f>
        <v>0</v>
      </c>
      <c r="AW112" s="395">
        <f ca="1">IF(SUM($G112:AV112)=$B112,0,IF(AY113&gt;0%,$B112,0%))</f>
        <v>0</v>
      </c>
      <c r="AX112" s="395">
        <f ca="1">IF(SUM($G112:AW112)=$B112,0,IF(AZ113&gt;0%,$B112,0%))</f>
        <v>0</v>
      </c>
      <c r="AY112" s="395">
        <f ca="1">IF(SUM($G112:AX112)=$B112,0,IF(BA113&gt;0%,$B112,0%))</f>
        <v>0</v>
      </c>
      <c r="AZ112" s="395">
        <f ca="1">IF(SUM($G112:AY112)=$B112,0,IF(BB113&gt;0%,$B112,0%))</f>
        <v>0</v>
      </c>
      <c r="BA112" s="395">
        <f ca="1">IF(SUM($G112:AZ112)=$B112,0,IF(BC113&gt;0%,$B112,0%))</f>
        <v>0</v>
      </c>
      <c r="BB112" s="395">
        <f ca="1">IF(SUM($G112:BA112)=$B112,0,IF(BD113&gt;0%,$B112,0%))</f>
        <v>0</v>
      </c>
      <c r="BC112" s="395">
        <f ca="1">IF(SUM($G112:BB112)=$B112,0,IF(BE113&gt;0%,$B112,0%))</f>
        <v>0</v>
      </c>
      <c r="BD112" s="395">
        <f ca="1">IF(SUM($G112:BC112)=$B112,0,IF(BF113&gt;0%,$B112,0%))</f>
        <v>0</v>
      </c>
      <c r="BE112" s="395">
        <f ca="1">IF(SUM($G112:BD112)=$B112,0,IF(BG113&gt;0%,$B112,0%))</f>
        <v>0</v>
      </c>
      <c r="BF112" s="395">
        <f ca="1">IF(SUM($G112:BE112)=$B112,0,IF(BH113&gt;0%,$B112,0%))</f>
        <v>0</v>
      </c>
      <c r="BG112" s="395">
        <f ca="1">IF(SUM($G112:BF112)=$B112,0,IF(BI113&gt;0%,$B112,0%))</f>
        <v>0</v>
      </c>
      <c r="BH112" s="395">
        <f ca="1">IF(SUM($G112:BG112)=$B112,0,IF(BJ113&gt;0%,$B112,0%))</f>
        <v>0</v>
      </c>
      <c r="BI112" s="395">
        <f ca="1">IF(SUM($G112:BH112)=$B112,0,IF(BK113&gt;0%,$B112,0%))</f>
        <v>0</v>
      </c>
      <c r="BJ112" s="395">
        <f ca="1">IF(SUM($G112:BI112)=$B112,0,IF(BL113&gt;0%,$B112,0%))</f>
        <v>0</v>
      </c>
      <c r="BK112" s="395">
        <f ca="1">IF(SUM($G112:BJ112)=$B112,0,IF(BM113&gt;0%,$B112,0%))</f>
        <v>0</v>
      </c>
      <c r="BL112" s="395">
        <f ca="1">IF(SUM($G112:BK112)=$B112,0,IF(BN113&gt;0%,$B112,0%))</f>
        <v>0</v>
      </c>
      <c r="BM112" s="395">
        <f ca="1">IF(SUM($G112:BL112)=$B112,0,IF(BO113&gt;0%,$B112,0%))</f>
        <v>0</v>
      </c>
      <c r="BN112" s="395">
        <f ca="1">IF(SUM($G112:BM112)=$B112,0,IF(BP113&gt;0%,$B112,0%))</f>
        <v>0</v>
      </c>
      <c r="BO112" s="395">
        <f ca="1">IF(SUM($G112:BN112)=$B112,0,IF(BQ113&gt;0%,$B112,0%))</f>
        <v>0</v>
      </c>
      <c r="BP112" s="395">
        <f ca="1">IF(SUM($G112:BO112)=$B112,0,IF(BR113&gt;0%,$B112,0%))</f>
        <v>0</v>
      </c>
      <c r="BQ112" s="395">
        <f ca="1">IF(SUM($G112:BP112)=$B112,0,IF(BS113&gt;0%,$B112,0%))</f>
        <v>0</v>
      </c>
      <c r="BR112" s="395">
        <f ca="1">IF(SUM($G112:BQ112)=$B112,0,IF(BT113&gt;0%,$B112,0%))</f>
        <v>0</v>
      </c>
      <c r="BS112" s="395">
        <f ca="1">IF(SUM($G112:BR112)=$B112,0,IF(BU113&gt;0%,$B112,0%))</f>
        <v>0</v>
      </c>
      <c r="BT112" s="395">
        <f ca="1">IF(SUM($G112:BS112)=$B112,0,IF(BV113&gt;0%,$B112,0%))</f>
        <v>0</v>
      </c>
      <c r="BU112" s="395">
        <f ca="1">IF(SUM($G112:BT112)=$B112,0,IF(BW113&gt;0%,$B112,0%))</f>
        <v>0</v>
      </c>
      <c r="BV112" s="395">
        <f ca="1">IF(SUM($G112:BU112)=$B112,0,IF(BX113&gt;0%,$B112,0%))</f>
        <v>0</v>
      </c>
      <c r="BW112" s="395">
        <f ca="1">IF(SUM($G112:BV112)=$B112,0,IF(BY113&gt;0%,$B112,0%))</f>
        <v>0</v>
      </c>
      <c r="BX112" s="395">
        <f ca="1">IF(SUM($G112:BW112)=$B112,0,IF(BZ113&gt;0%,$B112,0%))</f>
        <v>0</v>
      </c>
      <c r="BY112" s="395">
        <f ca="1">IF(SUM($G112:BX112)=$B112,0,IF(CA113&gt;0%,$B112,0%))</f>
        <v>0</v>
      </c>
      <c r="BZ112" s="395">
        <f ca="1">IF(SUM($G112:BY112)=$B112,0,IF(CB113&gt;0%,$B112,0%))</f>
        <v>0</v>
      </c>
      <c r="CA112" s="395">
        <f ca="1">IF(SUM($G112:BZ112)=$B112,0,IF(CC113&gt;0%,$B112,0%))</f>
        <v>0</v>
      </c>
      <c r="CB112" s="395">
        <f ca="1">IF(SUM($G112:CA112)=$B112,0,IF(CD113&gt;0%,$B112,0%))</f>
        <v>0</v>
      </c>
      <c r="CC112" s="395">
        <f ca="1">IF(SUM($G112:CB112)=$B112,0,IF(CE113&gt;0%,$B112,0%))</f>
        <v>0</v>
      </c>
      <c r="CD112" s="395">
        <f ca="1">IF(SUM($G112:CC112)=$B112,0,IF(CF113&gt;0%,$B112,0%))</f>
        <v>0</v>
      </c>
      <c r="CE112" s="395">
        <f ca="1">IF(SUM($G112:CD112)=$B112,0,IF(CG113&gt;0%,$B112,0%))</f>
        <v>0</v>
      </c>
      <c r="CF112" s="395">
        <f ca="1">IF(SUM($G112:CE112)=$B112,0,IF(CH113&gt;0%,$B112,0%))</f>
        <v>0</v>
      </c>
      <c r="CG112" s="395">
        <f ca="1">IF(SUM($G112:CF112)=$B112,0,IF(CI113&gt;0%,$B112,0%))</f>
        <v>0</v>
      </c>
      <c r="CH112" s="395">
        <f ca="1">IF(SUM($G112:CG112)=$B112,0,IF(CJ113&gt;0%,$B112,0%))</f>
        <v>0</v>
      </c>
      <c r="CI112" s="395">
        <f ca="1">IF(SUM($G112:CH112)=$B112,0,IF(CK113&gt;0%,$B112,0%))</f>
        <v>0</v>
      </c>
      <c r="CJ112" s="395">
        <f ca="1">IF(SUM($G112:CI112)=$B112,0,IF(CL113&gt;0%,$B112,0%))</f>
        <v>0</v>
      </c>
      <c r="CK112" s="395">
        <f ca="1">IF(SUM($G112:CJ112)=$B112,0,IF(CM113&gt;0%,$B112,0%))</f>
        <v>0</v>
      </c>
      <c r="CL112" s="395">
        <f ca="1">IF(SUM($G112:CK112)=$B112,0,IF(CN113&gt;0%,$B112,0%))</f>
        <v>0</v>
      </c>
      <c r="CM112" s="395">
        <f ca="1">IF(SUM($G112:CL112)=$B112,0,IF(CO113&gt;0%,$B112,0%))</f>
        <v>0</v>
      </c>
      <c r="CN112" s="395">
        <f ca="1">IF(SUM($G112:CM112)=$B112,0,IF(CP113&gt;0%,$B112,0%))</f>
        <v>0</v>
      </c>
      <c r="CO112" s="395">
        <f ca="1">IF(SUM($G112:CN112)=$B112,0,IF(CQ113&gt;0%,$B112,0%))</f>
        <v>0</v>
      </c>
      <c r="CP112" s="395">
        <f ca="1">IF(SUM($G112:CO112)=$B112,0,IF(CR113&gt;0%,$B112,0%))</f>
        <v>0</v>
      </c>
      <c r="CQ112" s="395">
        <f ca="1">IF(SUM($G112:CP112)=$B112,0,IF(CS113&gt;0%,$B112,0%))</f>
        <v>0</v>
      </c>
      <c r="CR112" s="395">
        <f ca="1">IF(SUM($G112:CQ112)=$B112,0,IF(CT113&gt;0%,$B112,0%))</f>
        <v>0</v>
      </c>
      <c r="CS112" s="395">
        <f ca="1">IF(SUM($G112:CR112)=$B112,0,IF(CU113&gt;0%,$B112,0%))</f>
        <v>0</v>
      </c>
      <c r="CT112" s="395">
        <f ca="1">IF(SUM($G112:CS112)=$B112,0,IF(CV113&gt;0%,$B112,0%))</f>
        <v>0</v>
      </c>
      <c r="CU112" s="395">
        <f ca="1">IF(SUM($G112:CT112)=$B112,0,IF(CW113&gt;0%,$B112,0%))</f>
        <v>0</v>
      </c>
      <c r="CV112" s="395">
        <f ca="1">IF(SUM($G112:CU112)=$B112,0,IF(CX113&gt;0%,$B112,0%))</f>
        <v>0</v>
      </c>
      <c r="CW112" s="395">
        <f ca="1">IF(SUM($G112:CV112)=$B112,0,IF(CY113&gt;0%,$B112,0%))</f>
        <v>0</v>
      </c>
      <c r="CX112" s="395">
        <f ca="1">IF(SUM($G112:CW112)=$B112,0,IF(CZ113&gt;0%,$B112,0%))</f>
        <v>0</v>
      </c>
      <c r="CY112" s="395">
        <f ca="1">IF(SUM($G112:CX112)=$B112,0,IF(DA113&gt;0%,$B112,0%))</f>
        <v>0</v>
      </c>
      <c r="CZ112" s="395">
        <f ca="1">IF(SUM($G112:CY112)=$B112,0,IF(DB113&gt;0%,$B112,0%))</f>
        <v>0</v>
      </c>
      <c r="DA112" s="395">
        <f ca="1">IF(SUM($G112:CZ112)=$B112,0,IF(DC113&gt;0%,$B112,0%))</f>
        <v>0</v>
      </c>
      <c r="DB112" s="395">
        <f ca="1">IF(SUM($G112:DA112)=$B112,0,IF(DD113&gt;0%,$B112,0%))</f>
        <v>0</v>
      </c>
      <c r="DC112" s="395">
        <f ca="1">IF(SUM($G112:DB112)=$B112,0,IF(DE113&gt;0%,$B112,0%))</f>
        <v>0</v>
      </c>
      <c r="DD112" s="395">
        <f ca="1">IF(SUM($G112:DC112)=$B112,0,IF(DF113&gt;0%,$B112,0%))</f>
        <v>0</v>
      </c>
      <c r="DE112" s="395">
        <f ca="1">IF(SUM($G112:DD112)=$B112,0,IF(DG113&gt;0%,$B112,0%))</f>
        <v>0</v>
      </c>
      <c r="DF112" s="395">
        <f ca="1">IF(SUM($G112:DE112)=$B112,0,IF(DH113&gt;0%,$B112,0%))</f>
        <v>0</v>
      </c>
      <c r="DG112" s="395">
        <f ca="1">IF(SUM($G112:DF112)=$B112,0,IF(DI113&gt;0%,$B112,0%))</f>
        <v>0</v>
      </c>
      <c r="DH112" s="395">
        <f ca="1">IF(SUM($G112:DG112)=$B112,0,IF(DJ113&gt;0%,$B112,0%))</f>
        <v>0</v>
      </c>
      <c r="DI112" s="395">
        <f ca="1">IF(SUM($G112:DH112)=$B112,0,IF(DK113&gt;0%,$B112,0%))</f>
        <v>0</v>
      </c>
      <c r="DJ112" s="395">
        <f ca="1">IF(SUM($G112:DI112)=$B112,0,IF(DL113&gt;0%,$B112,0%))</f>
        <v>0</v>
      </c>
      <c r="DK112" s="395">
        <f ca="1">IF(SUM($G112:DJ112)=$B112,0,IF(DM113&gt;0%,$B112,0%))</f>
        <v>0</v>
      </c>
      <c r="DL112" s="395">
        <f ca="1">IF(SUM($G112:DK112)=$B112,0,IF(DN113&gt;0%,$B112,0%))</f>
        <v>0</v>
      </c>
      <c r="DM112" s="395">
        <f ca="1">IF(SUM($G112:DL112)=$B112,0,IF(DO113&gt;0%,$B112,0%))</f>
        <v>0</v>
      </c>
      <c r="DN112" s="395">
        <f ca="1">IF(SUM($G112:DM112)=$B112,0,IF(DP113&gt;0%,$B112,0%))</f>
        <v>0</v>
      </c>
      <c r="DO112" s="395">
        <f ca="1">IF(SUM($G112:DN112)=$B112,0,IF(DQ113&gt;0%,$B112,0%))</f>
        <v>0</v>
      </c>
      <c r="DP112" s="395">
        <f ca="1">IF(SUM($G112:DO112)=$B112,0,IF(DR113&gt;0%,$B112,0%))</f>
        <v>0</v>
      </c>
      <c r="DQ112" s="395">
        <f ca="1">IF(SUM($G112:DP112)=$B112,0,IF(DS113&gt;0%,$B112,0%))</f>
        <v>0</v>
      </c>
      <c r="DR112" s="395">
        <f ca="1">IF(SUM($G112:DQ112)=$B112,0,IF(DT113&gt;0%,$B112,0%))</f>
        <v>0</v>
      </c>
      <c r="DS112" s="395">
        <f ca="1">IF(SUM($G112:DR112)=$B112,0,IF(DU113&gt;0%,$B112,0%))</f>
        <v>0</v>
      </c>
      <c r="DT112" s="395">
        <f ca="1">IF(SUM($G112:DS112)=$B112,0,IF(DV113&gt;0%,$B112,0%))</f>
        <v>0</v>
      </c>
      <c r="DU112" s="395">
        <f ca="1">IF(SUM($G112:DT112)=$B112,0,IF(DW113&gt;0%,$B112,0%))</f>
        <v>0</v>
      </c>
      <c r="DV112" s="395">
        <f ca="1">IF(SUM($G112:DU112)=$B112,0,IF(DX113&gt;0%,$B112,0%))</f>
        <v>0</v>
      </c>
      <c r="DW112" s="395">
        <f ca="1">IF(SUM($G112:DV112)=$B112,0,IF(DY113&gt;0%,$B112,0%))</f>
        <v>0</v>
      </c>
      <c r="DX112" s="395">
        <f ca="1">IF(SUM($G112:DW112)=$B112,0,IF(DZ113&gt;0%,$B112,0%))</f>
        <v>0</v>
      </c>
      <c r="DY112" s="395">
        <f ca="1">IF(SUM($G112:DX112)=$B112,0,IF(EA113&gt;0%,$B112,0%))</f>
        <v>0</v>
      </c>
      <c r="DZ112" s="395">
        <f ca="1">IF(SUM($G112:DY112)=$B112,0,IF(EB113&gt;0%,$B112,0%))</f>
        <v>0</v>
      </c>
      <c r="EA112" s="395">
        <f ca="1">IF(SUM($G112:DZ112)=$B112,0,IF(EC113&gt;0%,$B112,0%))</f>
        <v>0</v>
      </c>
      <c r="EB112" s="395">
        <f ca="1">IF(SUM($G112:EA112)=$B112,0,IF(ED113&gt;0%,$B112,0%))</f>
        <v>0</v>
      </c>
      <c r="EC112" s="395">
        <f ca="1">IF(SUM($G112:EB112)=$B112,0,IF(EE113&gt;0%,$B112,0%))</f>
        <v>0</v>
      </c>
      <c r="ED112" s="395">
        <f ca="1">IF(SUM($G112:EC112)=$B112,0,IF(EF113&gt;0%,$B112,0%))</f>
        <v>0</v>
      </c>
      <c r="EE112" s="395">
        <f ca="1">IF(SUM($G112:ED112)=$B112,0,IF(EG113&gt;0%,$B112,0%))</f>
        <v>0</v>
      </c>
      <c r="EF112" s="395">
        <f ca="1">IF(SUM($G112:EE112)=$B112,0,IF(EH113&gt;0%,$B112,0%))</f>
        <v>0</v>
      </c>
      <c r="EG112" s="395">
        <f ca="1">IF(SUM($G112:EF112)=$B112,0,IF(EI113&gt;0%,$B112,0%))</f>
        <v>0</v>
      </c>
      <c r="EH112" s="395">
        <f ca="1">IF(SUM($G112:EG112)=$B112,0,IF(EJ113&gt;0%,$B112,0%))</f>
        <v>0</v>
      </c>
      <c r="EI112" s="395">
        <f ca="1">IF(SUM($G112:EH112)=$B112,0,IF(EK113&gt;0%,$B112,0%))</f>
        <v>0</v>
      </c>
      <c r="EJ112" s="398"/>
      <c r="EK112" s="313"/>
    </row>
    <row r="113" spans="1:141" hidden="1" outlineLevel="2">
      <c r="A113" s="332"/>
      <c r="B113" s="548">
        <f t="shared" ref="B113:B115" si="335">B103</f>
        <v>0.85</v>
      </c>
      <c r="C113" s="317"/>
      <c r="D113" s="317" t="s">
        <v>663</v>
      </c>
      <c r="E113" s="318">
        <f ca="1">ROUND(IF(F113=0,0,B113-F113),3)</f>
        <v>0</v>
      </c>
      <c r="F113" s="397">
        <f t="shared" ca="1" si="330"/>
        <v>0</v>
      </c>
      <c r="G113" s="395"/>
      <c r="H113" s="395"/>
      <c r="I113" s="395">
        <f ca="1">IF($E$284=0,0,IF(SUM($G113:H113)=$B113,0,IF(SUM($G284:H284)&gt;=$E284,($B113/$E284)*($E284-SUM($G284:G284)),($B113/$E284)*H284)))</f>
        <v>0</v>
      </c>
      <c r="J113" s="395">
        <f ca="1">IF($E$284=0,0,IF(SUM($G113:I113)=$B113,0,IF(SUM($G284:I284)&gt;=$E284,($B113/$E284)*($E284-SUM($G284:H284)),($B113/$E284)*I284)))</f>
        <v>0</v>
      </c>
      <c r="K113" s="395">
        <f ca="1">IF($E$284=0,0,IF(SUM($G113:J113)=$B113,0,IF(SUM($G284:J284)&gt;=$E284,($B113/$E284)*($E284-SUM($G284:I284)),($B113/$E284)*J284)))</f>
        <v>0</v>
      </c>
      <c r="L113" s="395">
        <f ca="1">IF($E$284=0,0,IF(SUM($G113:K113)=$B113,0,IF(SUM($G284:K284)&gt;=$E284,($B113/$E284)*($E284-SUM($G284:J284)),($B113/$E284)*K284)))</f>
        <v>0</v>
      </c>
      <c r="M113" s="395">
        <f ca="1">IF($E$284=0,0,IF(SUM($G113:L113)=$B113,0,IF(SUM($G284:L284)&gt;=$E284,($B113/$E284)*($E284-SUM($G284:K284)),($B113/$E284)*L284)))</f>
        <v>0</v>
      </c>
      <c r="N113" s="395">
        <f ca="1">IF($E$284=0,0,IF(SUM($G113:M113)=$B113,0,IF(SUM($G284:M284)&gt;=$E284,($B113/$E284)*($E284-SUM($G284:L284)),($B113/$E284)*M284)))</f>
        <v>0</v>
      </c>
      <c r="O113" s="395">
        <f ca="1">IF($E$284=0,0,IF(SUM($G113:N113)=$B113,0,IF(SUM($G284:N284)&gt;=$E284,($B113/$E284)*($E284-SUM($G284:M284)),($B113/$E284)*N284)))</f>
        <v>0</v>
      </c>
      <c r="P113" s="395">
        <f ca="1">IF($E$284=0,0,IF(SUM($G113:O113)=$B113,0,IF(SUM($G284:O284)&gt;=$E284,($B113/$E284)*($E284-SUM($G284:N284)),($B113/$E284)*O284)))</f>
        <v>0</v>
      </c>
      <c r="Q113" s="395">
        <f ca="1">IF($E$284=0,0,IF(SUM($G113:P113)=$B113,0,IF(SUM($G284:P284)&gt;=$E284,($B113/$E284)*($E284-SUM($G284:O284)),($B113/$E284)*P284)))</f>
        <v>0</v>
      </c>
      <c r="R113" s="395">
        <f ca="1">IF($E$284=0,0,IF(SUM($G113:Q113)=$B113,0,IF(SUM($G284:Q284)&gt;=$E284,($B113/$E284)*($E284-SUM($G284:P284)),($B113/$E284)*Q284)))</f>
        <v>0</v>
      </c>
      <c r="S113" s="395">
        <f ca="1">IF($E$284=0,0,IF(SUM($G113:R113)=$B113,0,IF(SUM($G284:R284)&gt;=$E284,($B113/$E284)*($E284-SUM($G284:Q284)),($B113/$E284)*R284)))</f>
        <v>0</v>
      </c>
      <c r="T113" s="395">
        <f ca="1">IF($E$284=0,0,IF(SUM($G113:S113)=$B113,0,IF(SUM($G284:S284)&gt;=$E284,($B113/$E284)*($E284-SUM($G284:R284)),($B113/$E284)*S284)))</f>
        <v>0</v>
      </c>
      <c r="U113" s="395">
        <f ca="1">IF($E$284=0,0,IF(SUM($G113:T113)=$B113,0,IF(SUM($G284:T284)&gt;=$E284,($B113/$E284)*($E284-SUM($G284:S284)),($B113/$E284)*T284)))</f>
        <v>0</v>
      </c>
      <c r="V113" s="395">
        <f ca="1">IF($E$284=0,0,IF(SUM($G113:U113)=$B113,0,IF(SUM($G284:U284)&gt;=$E284,($B113/$E284)*($E284-SUM($G284:T284)),($B113/$E284)*U284)))</f>
        <v>0</v>
      </c>
      <c r="W113" s="395">
        <f ca="1">IF($E$284=0,0,IF(SUM($G113:V113)=$B113,0,IF(SUM($G284:V284)&gt;=$E284,($B113/$E284)*($E284-SUM($G284:U284)),($B113/$E284)*V284)))</f>
        <v>0</v>
      </c>
      <c r="X113" s="395">
        <f ca="1">IF($E$284=0,0,IF(SUM($G113:W113)=$B113,0,IF(SUM($G284:W284)&gt;=$E284,($B113/$E284)*($E284-SUM($G284:V284)),($B113/$E284)*W284)))</f>
        <v>0</v>
      </c>
      <c r="Y113" s="395">
        <f ca="1">IF($E$284=0,0,IF(SUM($G113:X113)=$B113,0,IF(SUM($G284:X284)&gt;=$E284,($B113/$E284)*($E284-SUM($G284:W284)),($B113/$E284)*X284)))</f>
        <v>0</v>
      </c>
      <c r="Z113" s="395">
        <f ca="1">IF($E$284=0,0,IF(SUM($G113:Y113)=$B113,0,IF(SUM($G284:Y284)&gt;=$E284,($B113/$E284)*($E284-SUM($G284:X284)),($B113/$E284)*Y284)))</f>
        <v>0</v>
      </c>
      <c r="AA113" s="395">
        <f ca="1">IF($E$284=0,0,IF(SUM($G113:Z113)=$B113,0,IF(SUM($G284:Z284)&gt;=$E284,($B113/$E284)*($E284-SUM($G284:Y284)),($B113/$E284)*Z284)))</f>
        <v>0</v>
      </c>
      <c r="AB113" s="395">
        <f ca="1">IF($E$284=0,0,IF(SUM($G113:AA113)=$B113,0,IF(SUM($G284:AA284)&gt;=$E284,($B113/$E284)*($E284-SUM($G284:Z284)),($B113/$E284)*AA284)))</f>
        <v>0</v>
      </c>
      <c r="AC113" s="395">
        <f ca="1">IF($E$284=0,0,IF(SUM($G113:AB113)=$B113,0,IF(SUM($G284:AB284)&gt;=$E284,($B113/$E284)*($E284-SUM($G284:AA284)),($B113/$E284)*AB284)))</f>
        <v>0</v>
      </c>
      <c r="AD113" s="395">
        <f ca="1">IF($E$284=0,0,IF(SUM($G113:AC113)=$B113,0,IF(SUM($G284:AC284)&gt;=$E284,($B113/$E284)*($E284-SUM($G284:AB284)),($B113/$E284)*AC284)))</f>
        <v>0</v>
      </c>
      <c r="AE113" s="395">
        <f ca="1">IF($E$284=0,0,IF(SUM($G113:AD113)=$B113,0,IF(SUM($G284:AD284)&gt;=$E284,($B113/$E284)*($E284-SUM($G284:AC284)),($B113/$E284)*AD284)))</f>
        <v>0</v>
      </c>
      <c r="AF113" s="395">
        <f ca="1">IF($E$284=0,0,IF(SUM($G113:AE113)=$B113,0,IF(SUM($G284:AE284)&gt;=$E284,($B113/$E284)*($E284-SUM($G284:AD284)),($B113/$E284)*AE284)))</f>
        <v>0</v>
      </c>
      <c r="AG113" s="395">
        <f ca="1">IF($E$284=0,0,IF(SUM($G113:AF113)=$B113,0,IF(SUM($G284:AF284)&gt;=$E284,($B113/$E284)*($E284-SUM($G284:AE284)),($B113/$E284)*AF284)))</f>
        <v>0</v>
      </c>
      <c r="AH113" s="395">
        <f ca="1">IF($E$284=0,0,IF(SUM($G113:AG113)=$B113,0,IF(SUM($G284:AG284)&gt;=$E284,($B113/$E284)*($E284-SUM($G284:AF284)),($B113/$E284)*AG284)))</f>
        <v>0</v>
      </c>
      <c r="AI113" s="395">
        <f ca="1">IF($E$284=0,0,IF(SUM($G113:AH113)=$B113,0,IF(SUM($G284:AH284)&gt;=$E284,($B113/$E284)*($E284-SUM($G284:AG284)),($B113/$E284)*AH284)))</f>
        <v>0</v>
      </c>
      <c r="AJ113" s="395">
        <f ca="1">IF($E$284=0,0,IF(SUM($G113:AI113)=$B113,0,IF(SUM($G284:AI284)&gt;=$E284,($B113/$E284)*($E284-SUM($G284:AH284)),($B113/$E284)*AI284)))</f>
        <v>0</v>
      </c>
      <c r="AK113" s="395">
        <f ca="1">IF($E$284=0,0,IF(SUM($G113:AJ113)=$B113,0,IF(SUM($G284:AJ284)&gt;=$E284,($B113/$E284)*($E284-SUM($G284:AI284)),($B113/$E284)*AJ284)))</f>
        <v>0</v>
      </c>
      <c r="AL113" s="395">
        <f ca="1">IF($E$284=0,0,IF(SUM($G113:AK113)=$B113,0,IF(SUM($G284:AK284)&gt;=$E284,($B113/$E284)*($E284-SUM($G284:AJ284)),($B113/$E284)*AK284)))</f>
        <v>0</v>
      </c>
      <c r="AM113" s="395">
        <f ca="1">IF($E$284=0,0,IF(SUM($G113:AL113)=$B113,0,IF(SUM($G284:AL284)&gt;=$E284,($B113/$E284)*($E284-SUM($G284:AK284)),($B113/$E284)*AL284)))</f>
        <v>0</v>
      </c>
      <c r="AN113" s="395">
        <f ca="1">IF($E$284=0,0,IF(SUM($G113:AM113)=$B113,0,IF(SUM($G284:AM284)&gt;=$E284,($B113/$E284)*($E284-SUM($G284:AL284)),($B113/$E284)*AM284)))</f>
        <v>0</v>
      </c>
      <c r="AO113" s="395">
        <f ca="1">IF($E$284=0,0,IF(SUM($G113:AN113)=$B113,0,IF(SUM($G284:AN284)&gt;=$E284,($B113/$E284)*($E284-SUM($G284:AM284)),($B113/$E284)*AN284)))</f>
        <v>0</v>
      </c>
      <c r="AP113" s="395">
        <f ca="1">IF($E$284=0,0,IF(SUM($G113:AO113)=$B113,0,IF(SUM($G284:AO284)&gt;=$E284,($B113/$E284)*($E284-SUM($G284:AN284)),($B113/$E284)*AO284)))</f>
        <v>0</v>
      </c>
      <c r="AQ113" s="395">
        <f ca="1">IF($E$284=0,0,IF(SUM($G113:AP113)=$B113,0,IF(SUM($G284:AP284)&gt;=$E284,($B113/$E284)*($E284-SUM($G284:AO284)),($B113/$E284)*AP284)))</f>
        <v>0</v>
      </c>
      <c r="AR113" s="395">
        <f ca="1">IF($E$284=0,0,IF(SUM($G113:AQ113)=$B113,0,IF(SUM($G284:AQ284)&gt;=$E284,($B113/$E284)*($E284-SUM($G284:AP284)),($B113/$E284)*AQ284)))</f>
        <v>0</v>
      </c>
      <c r="AS113" s="395">
        <f ca="1">IF($E$284=0,0,IF(SUM($G113:AR113)=$B113,0,IF(SUM($G284:AR284)&gt;=$E284,($B113/$E284)*($E284-SUM($G284:AQ284)),($B113/$E284)*AR284)))</f>
        <v>0</v>
      </c>
      <c r="AT113" s="395">
        <f ca="1">IF($E$284=0,0,IF(SUM($G113:AS113)=$B113,0,IF(SUM($G284:AS284)&gt;=$E284,($B113/$E284)*($E284-SUM($G284:AR284)),($B113/$E284)*AS284)))</f>
        <v>0</v>
      </c>
      <c r="AU113" s="395">
        <f ca="1">IF($E$284=0,0,IF(SUM($G113:AT113)=$B113,0,IF(SUM($G284:AT284)&gt;=$E284,($B113/$E284)*($E284-SUM($G284:AS284)),($B113/$E284)*AT284)))</f>
        <v>0</v>
      </c>
      <c r="AV113" s="395">
        <f ca="1">IF($E$284=0,0,IF(SUM($G113:AU113)=$B113,0,IF(SUM($G284:AU284)&gt;=$E284,($B113/$E284)*($E284-SUM($G284:AT284)),($B113/$E284)*AU284)))</f>
        <v>0</v>
      </c>
      <c r="AW113" s="395">
        <f ca="1">IF($E$284=0,0,IF(SUM($G113:AV113)=$B113,0,IF(SUM($G284:AV284)&gt;=$E284,($B113/$E284)*($E284-SUM($G284:AU284)),($B113/$E284)*AV284)))</f>
        <v>0</v>
      </c>
      <c r="AX113" s="395">
        <f ca="1">IF($E$284=0,0,IF(SUM($G113:AW113)=$B113,0,IF(SUM($G284:AW284)&gt;=$E284,($B113/$E284)*($E284-SUM($G284:AV284)),($B113/$E284)*AW284)))</f>
        <v>0</v>
      </c>
      <c r="AY113" s="395">
        <f ca="1">IF($E$284=0,0,IF(SUM($G113:AX113)=$B113,0,IF(SUM($G284:AX284)&gt;=$E284,($B113/$E284)*($E284-SUM($G284:AW284)),($B113/$E284)*AX284)))</f>
        <v>0</v>
      </c>
      <c r="AZ113" s="395">
        <f ca="1">IF($E$284=0,0,IF(SUM($G113:AY113)=$B113,0,IF(SUM($G284:AY284)&gt;=$E284,($B113/$E284)*($E284-SUM($G284:AX284)),($B113/$E284)*AY284)))</f>
        <v>0</v>
      </c>
      <c r="BA113" s="395">
        <f ca="1">IF($E$284=0,0,IF(SUM($G113:AZ113)=$B113,0,IF(SUM($G284:AZ284)&gt;=$E284,($B113/$E284)*($E284-SUM($G284:AY284)),($B113/$E284)*AZ284)))</f>
        <v>0</v>
      </c>
      <c r="BB113" s="395">
        <f ca="1">IF($E$284=0,0,IF(SUM($G113:BA113)=$B113,0,IF(SUM($G284:BA284)&gt;=$E284,($B113/$E284)*($E284-SUM($G284:AZ284)),($B113/$E284)*BA284)))</f>
        <v>0</v>
      </c>
      <c r="BC113" s="395">
        <f ca="1">IF($E$284=0,0,IF(SUM($G113:BB113)=$B113,0,IF(SUM($G284:BB284)&gt;=$E284,($B113/$E284)*($E284-SUM($G284:BA284)),($B113/$E284)*BB284)))</f>
        <v>0</v>
      </c>
      <c r="BD113" s="395">
        <f ca="1">IF($E$284=0,0,IF(SUM($G113:BC113)=$B113,0,IF(SUM($G284:BC284)&gt;=$E284,($B113/$E284)*($E284-SUM($G284:BB284)),($B113/$E284)*BC284)))</f>
        <v>0</v>
      </c>
      <c r="BE113" s="395">
        <f ca="1">IF($E$284=0,0,IF(SUM($G113:BD113)=$B113,0,IF(SUM($G284:BD284)&gt;=$E284,($B113/$E284)*($E284-SUM($G284:BC284)),($B113/$E284)*BD284)))</f>
        <v>0</v>
      </c>
      <c r="BF113" s="395">
        <f ca="1">IF($E$284=0,0,IF(SUM($G113:BE113)=$B113,0,IF(SUM($G284:BE284)&gt;=$E284,($B113/$E284)*($E284-SUM($G284:BD284)),($B113/$E284)*BE284)))</f>
        <v>0</v>
      </c>
      <c r="BG113" s="395">
        <f ca="1">IF($E$284=0,0,IF(SUM($G113:BF113)=$B113,0,IF(SUM($G284:BF284)&gt;=$E284,($B113/$E284)*($E284-SUM($G284:BE284)),($B113/$E284)*BF284)))</f>
        <v>0</v>
      </c>
      <c r="BH113" s="395">
        <f ca="1">IF($E$284=0,0,IF(SUM($G113:BG113)=$B113,0,IF(SUM($G284:BG284)&gt;=$E284,($B113/$E284)*($E284-SUM($G284:BF284)),($B113/$E284)*BG284)))</f>
        <v>0</v>
      </c>
      <c r="BI113" s="395">
        <f ca="1">IF($E$284=0,0,IF(SUM($G113:BH113)=$B113,0,IF(SUM($G284:BH284)&gt;=$E284,($B113/$E284)*($E284-SUM($G284:BG284)),($B113/$E284)*BH284)))</f>
        <v>0</v>
      </c>
      <c r="BJ113" s="395">
        <f ca="1">IF($E$284=0,0,IF(SUM($G113:BI113)=$B113,0,IF(SUM($G284:BI284)&gt;=$E284,($B113/$E284)*($E284-SUM($G284:BH284)),($B113/$E284)*BI284)))</f>
        <v>0</v>
      </c>
      <c r="BK113" s="395">
        <f ca="1">IF($E$284=0,0,IF(SUM($G113:BJ113)=$B113,0,IF(SUM($G284:BJ284)&gt;=$E284,($B113/$E284)*($E284-SUM($G284:BI284)),($B113/$E284)*BJ284)))</f>
        <v>0</v>
      </c>
      <c r="BL113" s="395">
        <f ca="1">IF($E$284=0,0,IF(SUM($G113:BK113)=$B113,0,IF(SUM($G284:BK284)&gt;=$E284,($B113/$E284)*($E284-SUM($G284:BJ284)),($B113/$E284)*BK284)))</f>
        <v>0</v>
      </c>
      <c r="BM113" s="395">
        <f ca="1">IF($E$284=0,0,IF(SUM($G113:BL113)=$B113,0,IF(SUM($G284:BL284)&gt;=$E284,($B113/$E284)*($E284-SUM($G284:BK284)),($B113/$E284)*BL284)))</f>
        <v>0</v>
      </c>
      <c r="BN113" s="395">
        <f ca="1">IF($E$284=0,0,IF(SUM($G113:BM113)=$B113,0,IF(SUM($G284:BM284)&gt;=$E284,($B113/$E284)*($E284-SUM($G284:BL284)),($B113/$E284)*BM284)))</f>
        <v>0</v>
      </c>
      <c r="BO113" s="395">
        <f ca="1">IF($E$284=0,0,IF(SUM($G113:BN113)=$B113,0,IF(SUM($G284:BN284)&gt;=$E284,($B113/$E284)*($E284-SUM($G284:BM284)),($B113/$E284)*BN284)))</f>
        <v>0</v>
      </c>
      <c r="BP113" s="395">
        <f ca="1">IF($E$284=0,0,IF(SUM($G113:BO113)=$B113,0,IF(SUM($G284:BO284)&gt;=$E284,($B113/$E284)*($E284-SUM($G284:BN284)),($B113/$E284)*BO284)))</f>
        <v>0</v>
      </c>
      <c r="BQ113" s="395">
        <f ca="1">IF($E$284=0,0,IF(SUM($G113:BP113)=$B113,0,IF(SUM($G284:BP284)&gt;=$E284,($B113/$E284)*($E284-SUM($G284:BO284)),($B113/$E284)*BP284)))</f>
        <v>0</v>
      </c>
      <c r="BR113" s="395">
        <f ca="1">IF($E$284=0,0,IF(SUM($G113:BQ113)=$B113,0,IF(SUM($G284:BQ284)&gt;=$E284,($B113/$E284)*($E284-SUM($G284:BP284)),($B113/$E284)*BQ284)))</f>
        <v>0</v>
      </c>
      <c r="BS113" s="395">
        <f ca="1">IF($E$284=0,0,IF(SUM($G113:BR113)=$B113,0,IF(SUM($G284:BR284)&gt;=$E284,($B113/$E284)*($E284-SUM($G284:BQ284)),($B113/$E284)*BR284)))</f>
        <v>0</v>
      </c>
      <c r="BT113" s="395">
        <f ca="1">IF($E$284=0,0,IF(SUM($G113:BS113)=$B113,0,IF(SUM($G284:BS284)&gt;=$E284,($B113/$E284)*($E284-SUM($G284:BR284)),($B113/$E284)*BS284)))</f>
        <v>0</v>
      </c>
      <c r="BU113" s="395">
        <f ca="1">IF($E$284=0,0,IF(SUM($G113:BT113)=$B113,0,IF(SUM($G284:BT284)&gt;=$E284,($B113/$E284)*($E284-SUM($G284:BS284)),($B113/$E284)*BT284)))</f>
        <v>0</v>
      </c>
      <c r="BV113" s="395">
        <f ca="1">IF($E$284=0,0,IF(SUM($G113:BU113)=$B113,0,IF(SUM($G284:BU284)&gt;=$E284,($B113/$E284)*($E284-SUM($G284:BT284)),($B113/$E284)*BU284)))</f>
        <v>0</v>
      </c>
      <c r="BW113" s="395">
        <f ca="1">IF($E$284=0,0,IF(SUM($G113:BV113)=$B113,0,IF(SUM($G284:BV284)&gt;=$E284,($B113/$E284)*($E284-SUM($G284:BU284)),($B113/$E284)*BV284)))</f>
        <v>0</v>
      </c>
      <c r="BX113" s="395">
        <f ca="1">IF($E$284=0,0,IF(SUM($G113:BW113)=$B113,0,IF(SUM($G284:BW284)&gt;=$E284,($B113/$E284)*($E284-SUM($G284:BV284)),($B113/$E284)*BW284)))</f>
        <v>0</v>
      </c>
      <c r="BY113" s="395">
        <f ca="1">IF($E$284=0,0,IF(SUM($G113:BX113)=$B113,0,IF(SUM($G284:BX284)&gt;=$E284,($B113/$E284)*($E284-SUM($G284:BW284)),($B113/$E284)*BX284)))</f>
        <v>0</v>
      </c>
      <c r="BZ113" s="395">
        <f ca="1">IF($E$284=0,0,IF(SUM($G113:BY113)=$B113,0,IF(SUM($G284:BY284)&gt;=$E284,($B113/$E284)*($E284-SUM($G284:BX284)),($B113/$E284)*BY284)))</f>
        <v>0</v>
      </c>
      <c r="CA113" s="395">
        <f ca="1">IF($E$284=0,0,IF(SUM($G113:BZ113)=$B113,0,IF(SUM($G284:BZ284)&gt;=$E284,($B113/$E284)*($E284-SUM($G284:BY284)),($B113/$E284)*BZ284)))</f>
        <v>0</v>
      </c>
      <c r="CB113" s="395">
        <f ca="1">IF($E$284=0,0,IF(SUM($G113:CA113)=$B113,0,IF(SUM($G284:CA284)&gt;=$E284,($B113/$E284)*($E284-SUM($G284:BZ284)),($B113/$E284)*CA284)))</f>
        <v>0</v>
      </c>
      <c r="CC113" s="395">
        <f ca="1">IF($E$284=0,0,IF(SUM($G113:CB113)=$B113,0,IF(SUM($G284:CB284)&gt;=$E284,($B113/$E284)*($E284-SUM($G284:CA284)),($B113/$E284)*CB284)))</f>
        <v>0</v>
      </c>
      <c r="CD113" s="395">
        <f ca="1">IF($E$284=0,0,IF(SUM($G113:CC113)=$B113,0,IF(SUM($G284:CC284)&gt;=$E284,($B113/$E284)*($E284-SUM($G284:CB284)),($B113/$E284)*CC284)))</f>
        <v>0</v>
      </c>
      <c r="CE113" s="395">
        <f ca="1">IF($E$284=0,0,IF(SUM($G113:CD113)=$B113,0,IF(SUM($G284:CD284)&gt;=$E284,($B113/$E284)*($E284-SUM($G284:CC284)),($B113/$E284)*CD284)))</f>
        <v>0</v>
      </c>
      <c r="CF113" s="395">
        <f ca="1">IF($E$284=0,0,IF(SUM($G113:CE113)=$B113,0,IF(SUM($G284:CE284)&gt;=$E284,($B113/$E284)*($E284-SUM($G284:CD284)),($B113/$E284)*CE284)))</f>
        <v>0</v>
      </c>
      <c r="CG113" s="395">
        <f ca="1">IF($E$284=0,0,IF(SUM($G113:CF113)=$B113,0,IF(SUM($G284:CF284)&gt;=$E284,($B113/$E284)*($E284-SUM($G284:CE284)),($B113/$E284)*CF284)))</f>
        <v>0</v>
      </c>
      <c r="CH113" s="395">
        <f ca="1">IF($E$284=0,0,IF(SUM($G113:CG113)=$B113,0,IF(SUM($G284:CG284)&gt;=$E284,($B113/$E284)*($E284-SUM($G284:CF284)),($B113/$E284)*CG284)))</f>
        <v>0</v>
      </c>
      <c r="CI113" s="395">
        <f ca="1">IF($E$284=0,0,IF(SUM($G113:CH113)=$B113,0,IF(SUM($G284:CH284)&gt;=$E284,($B113/$E284)*($E284-SUM($G284:CG284)),($B113/$E284)*CH284)))</f>
        <v>0</v>
      </c>
      <c r="CJ113" s="395">
        <f ca="1">IF($E$284=0,0,IF(SUM($G113:CI113)=$B113,0,IF(SUM($G284:CI284)&gt;=$E284,($B113/$E284)*($E284-SUM($G284:CH284)),($B113/$E284)*CI284)))</f>
        <v>0</v>
      </c>
      <c r="CK113" s="395">
        <f ca="1">IF($E$284=0,0,IF(SUM($G113:CJ113)=$B113,0,IF(SUM($G284:CJ284)&gt;=$E284,($B113/$E284)*($E284-SUM($G284:CI284)),($B113/$E284)*CJ284)))</f>
        <v>0</v>
      </c>
      <c r="CL113" s="395">
        <f ca="1">IF($E$284=0,0,IF(SUM($G113:CK113)=$B113,0,IF(SUM($G284:CK284)&gt;=$E284,($B113/$E284)*($E284-SUM($G284:CJ284)),($B113/$E284)*CK284)))</f>
        <v>0</v>
      </c>
      <c r="CM113" s="395">
        <f ca="1">IF($E$284=0,0,IF(SUM($G113:CL113)=$B113,0,IF(SUM($G284:CL284)&gt;=$E284,($B113/$E284)*($E284-SUM($G284:CK284)),($B113/$E284)*CL284)))</f>
        <v>0</v>
      </c>
      <c r="CN113" s="395">
        <f ca="1">IF($E$284=0,0,IF(SUM($G113:CM113)=$B113,0,IF(SUM($G284:CM284)&gt;=$E284,($B113/$E284)*($E284-SUM($G284:CL284)),($B113/$E284)*CM284)))</f>
        <v>0</v>
      </c>
      <c r="CO113" s="395">
        <f ca="1">IF($E$284=0,0,IF(SUM($G113:CN113)=$B113,0,IF(SUM($G284:CN284)&gt;=$E284,($B113/$E284)*($E284-SUM($G284:CM284)),($B113/$E284)*CN284)))</f>
        <v>0</v>
      </c>
      <c r="CP113" s="395">
        <f ca="1">IF($E$284=0,0,IF(SUM($G113:CO113)=$B113,0,IF(SUM($G284:CO284)&gt;=$E284,($B113/$E284)*($E284-SUM($G284:CN284)),($B113/$E284)*CO284)))</f>
        <v>0</v>
      </c>
      <c r="CQ113" s="395">
        <f ca="1">IF($E$284=0,0,IF(SUM($G113:CP113)=$B113,0,IF(SUM($G284:CP284)&gt;=$E284,($B113/$E284)*($E284-SUM($G284:CO284)),($B113/$E284)*CP284)))</f>
        <v>0</v>
      </c>
      <c r="CR113" s="395">
        <f ca="1">IF($E$284=0,0,IF(SUM($G113:CQ113)=$B113,0,IF(SUM($G284:CQ284)&gt;=$E284,($B113/$E284)*($E284-SUM($G284:CP284)),($B113/$E284)*CQ284)))</f>
        <v>0</v>
      </c>
      <c r="CS113" s="395">
        <f ca="1">IF($E$284=0,0,IF(SUM($G113:CR113)=$B113,0,IF(SUM($G284:CR284)&gt;=$E284,($B113/$E284)*($E284-SUM($G284:CQ284)),($B113/$E284)*CR284)))</f>
        <v>0</v>
      </c>
      <c r="CT113" s="395">
        <f ca="1">IF($E$284=0,0,IF(SUM($G113:CS113)=$B113,0,IF(SUM($G284:CS284)&gt;=$E284,($B113/$E284)*($E284-SUM($G284:CR284)),($B113/$E284)*CS284)))</f>
        <v>0</v>
      </c>
      <c r="CU113" s="395">
        <f ca="1">IF($E$284=0,0,IF(SUM($G113:CT113)=$B113,0,IF(SUM($G284:CT284)&gt;=$E284,($B113/$E284)*($E284-SUM($G284:CS284)),($B113/$E284)*CT284)))</f>
        <v>0</v>
      </c>
      <c r="CV113" s="395">
        <f ca="1">IF($E$284=0,0,IF(SUM($G113:CU113)=$B113,0,IF(SUM($G284:CU284)&gt;=$E284,($B113/$E284)*($E284-SUM($G284:CT284)),($B113/$E284)*CU284)))</f>
        <v>0</v>
      </c>
      <c r="CW113" s="395">
        <f ca="1">IF($E$284=0,0,IF(SUM($G113:CV113)=$B113,0,IF(SUM($G284:CV284)&gt;=$E284,($B113/$E284)*($E284-SUM($G284:CU284)),($B113/$E284)*CV284)))</f>
        <v>0</v>
      </c>
      <c r="CX113" s="395">
        <f ca="1">IF($E$284=0,0,IF(SUM($G113:CW113)=$B113,0,IF(SUM($G284:CW284)&gt;=$E284,($B113/$E284)*($E284-SUM($G284:CV284)),($B113/$E284)*CW284)))</f>
        <v>0</v>
      </c>
      <c r="CY113" s="395">
        <f ca="1">IF($E$284=0,0,IF(SUM($G113:CX113)=$B113,0,IF(SUM($G284:CX284)&gt;=$E284,($B113/$E284)*($E284-SUM($G284:CW284)),($B113/$E284)*CX284)))</f>
        <v>0</v>
      </c>
      <c r="CZ113" s="395">
        <f ca="1">IF($E$284=0,0,IF(SUM($G113:CY113)=$B113,0,IF(SUM($G284:CY284)&gt;=$E284,($B113/$E284)*($E284-SUM($G284:CX284)),($B113/$E284)*CY284)))</f>
        <v>0</v>
      </c>
      <c r="DA113" s="395">
        <f ca="1">IF($E$284=0,0,IF(SUM($G113:CZ113)=$B113,0,IF(SUM($G284:CZ284)&gt;=$E284,($B113/$E284)*($E284-SUM($G284:CY284)),($B113/$E284)*CZ284)))</f>
        <v>0</v>
      </c>
      <c r="DB113" s="395">
        <f ca="1">IF($E$284=0,0,IF(SUM($G113:DA113)=$B113,0,IF(SUM($G284:DA284)&gt;=$E284,($B113/$E284)*($E284-SUM($G284:CZ284)),($B113/$E284)*DA284)))</f>
        <v>0</v>
      </c>
      <c r="DC113" s="395">
        <f ca="1">IF($E$284=0,0,IF(SUM($G113:DB113)=$B113,0,IF(SUM($G284:DB284)&gt;=$E284,($B113/$E284)*($E284-SUM($G284:DA284)),($B113/$E284)*DB284)))</f>
        <v>0</v>
      </c>
      <c r="DD113" s="395">
        <f ca="1">IF($E$284=0,0,IF(SUM($G113:DC113)=$B113,0,IF(SUM($G284:DC284)&gt;=$E284,($B113/$E284)*($E284-SUM($G284:DB284)),($B113/$E284)*DC284)))</f>
        <v>0</v>
      </c>
      <c r="DE113" s="395">
        <f ca="1">IF($E$284=0,0,IF(SUM($G113:DD113)=$B113,0,IF(SUM($G284:DD284)&gt;=$E284,($B113/$E284)*($E284-SUM($G284:DC284)),($B113/$E284)*DD284)))</f>
        <v>0</v>
      </c>
      <c r="DF113" s="395">
        <f ca="1">IF($E$284=0,0,IF(SUM($G113:DE113)=$B113,0,IF(SUM($G284:DE284)&gt;=$E284,($B113/$E284)*($E284-SUM($G284:DD284)),($B113/$E284)*DE284)))</f>
        <v>0</v>
      </c>
      <c r="DG113" s="395">
        <f ca="1">IF($E$284=0,0,IF(SUM($G113:DF113)=$B113,0,IF(SUM($G284:DF284)&gt;=$E284,($B113/$E284)*($E284-SUM($G284:DE284)),($B113/$E284)*DF284)))</f>
        <v>0</v>
      </c>
      <c r="DH113" s="395">
        <f ca="1">IF($E$284=0,0,IF(SUM($G113:DG113)=$B113,0,IF(SUM($G284:DG284)&gt;=$E284,($B113/$E284)*($E284-SUM($G284:DF284)),($B113/$E284)*DG284)))</f>
        <v>0</v>
      </c>
      <c r="DI113" s="395">
        <f ca="1">IF($E$284=0,0,IF(SUM($G113:DH113)=$B113,0,IF(SUM($G284:DH284)&gt;=$E284,($B113/$E284)*($E284-SUM($G284:DG284)),($B113/$E284)*DH284)))</f>
        <v>0</v>
      </c>
      <c r="DJ113" s="395">
        <f ca="1">IF($E$284=0,0,IF(SUM($G113:DI113)=$B113,0,IF(SUM($G284:DI284)&gt;=$E284,($B113/$E284)*($E284-SUM($G284:DH284)),($B113/$E284)*DI284)))</f>
        <v>0</v>
      </c>
      <c r="DK113" s="395">
        <f ca="1">IF($E$284=0,0,IF(SUM($G113:DJ113)=$B113,0,IF(SUM($G284:DJ284)&gt;=$E284,($B113/$E284)*($E284-SUM($G284:DI284)),($B113/$E284)*DJ284)))</f>
        <v>0</v>
      </c>
      <c r="DL113" s="395">
        <f ca="1">IF($E$284=0,0,IF(SUM($G113:DK113)=$B113,0,IF(SUM($G284:DK284)&gt;=$E284,($B113/$E284)*($E284-SUM($G284:DJ284)),($B113/$E284)*DK284)))</f>
        <v>0</v>
      </c>
      <c r="DM113" s="395">
        <f ca="1">IF($E$284=0,0,IF(SUM($G113:DL113)=$B113,0,IF(SUM($G284:DL284)&gt;=$E284,($B113/$E284)*($E284-SUM($G284:DK284)),($B113/$E284)*DL284)))</f>
        <v>0</v>
      </c>
      <c r="DN113" s="395">
        <f ca="1">IF($E$284=0,0,IF(SUM($G113:DM113)=$B113,0,IF(SUM($G284:DM284)&gt;=$E284,($B113/$E284)*($E284-SUM($G284:DL284)),($B113/$E284)*DM284)))</f>
        <v>0</v>
      </c>
      <c r="DO113" s="395">
        <f ca="1">IF($E$284=0,0,IF(SUM($G113:DN113)=$B113,0,IF(SUM($G284:DN284)&gt;=$E284,($B113/$E284)*($E284-SUM($G284:DM284)),($B113/$E284)*DN284)))</f>
        <v>0</v>
      </c>
      <c r="DP113" s="395">
        <f ca="1">IF($E$284=0,0,IF(SUM($G113:DO113)=$B113,0,IF(SUM($G284:DO284)&gt;=$E284,($B113/$E284)*($E284-SUM($G284:DN284)),($B113/$E284)*DO284)))</f>
        <v>0</v>
      </c>
      <c r="DQ113" s="395">
        <f ca="1">IF($E$284=0,0,IF(SUM($G113:DP113)=$B113,0,IF(SUM($G284:DP284)&gt;=$E284,($B113/$E284)*($E284-SUM($G284:DO284)),($B113/$E284)*DP284)))</f>
        <v>0</v>
      </c>
      <c r="DR113" s="395">
        <f ca="1">IF($E$284=0,0,IF(SUM($G113:DQ113)=$B113,0,IF(SUM($G284:DQ284)&gt;=$E284,($B113/$E284)*($E284-SUM($G284:DP284)),($B113/$E284)*DQ284)))</f>
        <v>0</v>
      </c>
      <c r="DS113" s="395">
        <f ca="1">IF($E$284=0,0,IF(SUM($G113:DR113)=$B113,0,IF(SUM($G284:DR284)&gt;=$E284,($B113/$E284)*($E284-SUM($G284:DQ284)),($B113/$E284)*DR284)))</f>
        <v>0</v>
      </c>
      <c r="DT113" s="395">
        <f ca="1">IF($E$284=0,0,IF(SUM($G113:DS113)=$B113,0,IF(SUM($G284:DS284)&gt;=$E284,($B113/$E284)*($E284-SUM($G284:DR284)),($B113/$E284)*DS284)))</f>
        <v>0</v>
      </c>
      <c r="DU113" s="395">
        <f ca="1">IF($E$284=0,0,IF(SUM($G113:DT113)=$B113,0,IF(SUM($G284:DT284)&gt;=$E284,($B113/$E284)*($E284-SUM($G284:DS284)),($B113/$E284)*DT284)))</f>
        <v>0</v>
      </c>
      <c r="DV113" s="395">
        <f ca="1">IF($E$284=0,0,IF(SUM($G113:DU113)=$B113,0,IF(SUM($G284:DU284)&gt;=$E284,($B113/$E284)*($E284-SUM($G284:DT284)),($B113/$E284)*DU284)))</f>
        <v>0</v>
      </c>
      <c r="DW113" s="395">
        <f ca="1">IF($E$284=0,0,IF(SUM($G113:DV113)=$B113,0,IF(SUM($G284:DV284)&gt;=$E284,($B113/$E284)*($E284-SUM($G284:DU284)),($B113/$E284)*DV284)))</f>
        <v>0</v>
      </c>
      <c r="DX113" s="395">
        <f ca="1">IF($E$284=0,0,IF(SUM($G113:DW113)=$B113,0,IF(SUM($G284:DW284)&gt;=$E284,($B113/$E284)*($E284-SUM($G284:DV284)),($B113/$E284)*DW284)))</f>
        <v>0</v>
      </c>
      <c r="DY113" s="395">
        <f ca="1">IF($E$284=0,0,IF(SUM($G113:DX113)=$B113,0,IF(SUM($G284:DX284)&gt;=$E284,($B113/$E284)*($E284-SUM($G284:DW284)),($B113/$E284)*DX284)))</f>
        <v>0</v>
      </c>
      <c r="DZ113" s="395">
        <f ca="1">IF($E$284=0,0,IF(SUM($G113:DY113)=$B113,0,IF(SUM($G284:DY284)&gt;=$E284,($B113/$E284)*($E284-SUM($G284:DX284)),($B113/$E284)*DY284)))</f>
        <v>0</v>
      </c>
      <c r="EA113" s="395">
        <f ca="1">IF($E$284=0,0,IF(SUM($G113:DZ113)=$B113,0,IF(SUM($G284:DZ284)&gt;=$E284,($B113/$E284)*($E284-SUM($G284:DY284)),($B113/$E284)*DZ284)))</f>
        <v>0</v>
      </c>
      <c r="EB113" s="395">
        <f ca="1">IF($E$284=0,0,IF(SUM($G113:EA113)=$B113,0,IF(SUM($G284:EA284)&gt;=$E284,($B113/$E284)*($E284-SUM($G284:DZ284)),($B113/$E284)*EA284)))</f>
        <v>0</v>
      </c>
      <c r="EC113" s="395">
        <f ca="1">IF($E$284=0,0,IF(SUM($G113:EB113)=$B113,0,IF(SUM($G284:EB284)&gt;=$E284,($B113/$E284)*($E284-SUM($G284:EA284)),($B113/$E284)*EB284)))</f>
        <v>0</v>
      </c>
      <c r="ED113" s="395">
        <f ca="1">IF($E$284=0,0,IF(SUM($G113:EC113)=$B113,0,IF(SUM($G284:EC284)&gt;=$E284,($B113/$E284)*($E284-SUM($G284:EB284)),($B113/$E284)*EC284)))</f>
        <v>0</v>
      </c>
      <c r="EE113" s="395">
        <f ca="1">IF($E$284=0,0,IF(SUM($G113:ED113)=$B113,0,IF(SUM($G284:ED284)&gt;=$E284,($B113/$E284)*($E284-SUM($G284:EC284)),($B113/$E284)*ED284)))</f>
        <v>0</v>
      </c>
      <c r="EF113" s="395">
        <f ca="1">IF($E$284=0,0,IF(SUM($G113:EE113)=$B113,0,IF(SUM($G284:EE284)&gt;=$E284,($B113/$E284)*($E284-SUM($G284:ED284)),($B113/$E284)*EE284)))</f>
        <v>0</v>
      </c>
      <c r="EG113" s="395">
        <f ca="1">IF($E$284=0,0,IF(SUM($G113:EF113)=$B113,0,IF(SUM($G284:EF284)&gt;=$E284,($B113/$E284)*($E284-SUM($G284:EE284)),($B113/$E284)*EF284)))</f>
        <v>0</v>
      </c>
      <c r="EH113" s="395">
        <f ca="1">IF($E$284=0,0,IF(SUM($G113:EG113)=$B113,0,IF(SUM($G284:EG284)&gt;=$E284,($B113/$E284)*($E284-SUM($G284:EF284)),($B113/$E284)*EG284)))</f>
        <v>0</v>
      </c>
      <c r="EI113" s="395">
        <f ca="1">IF($E$284=0,0,IF(SUM($G113:EH113)=$B113,0,IF(SUM($G284:EH284)&gt;=$E284,($B113/$E284)*($E284-SUM($G284:EG284)),($B113/$E284)*EH284)))</f>
        <v>0</v>
      </c>
      <c r="EJ113" s="398"/>
      <c r="EK113" s="313"/>
    </row>
    <row r="114" spans="1:141" hidden="1" outlineLevel="2">
      <c r="A114" s="332"/>
      <c r="B114" s="548">
        <f t="shared" si="335"/>
        <v>2.5000000000000001E-2</v>
      </c>
      <c r="C114" s="317"/>
      <c r="D114" s="317" t="s">
        <v>638</v>
      </c>
      <c r="E114" s="318">
        <f t="shared" ca="1" si="334"/>
        <v>0</v>
      </c>
      <c r="F114" s="397">
        <f ca="1">SUM(G114:EJ114)</f>
        <v>0</v>
      </c>
      <c r="G114" s="395"/>
      <c r="H114" s="395">
        <f ca="1">IF($E$284=0,0,IF(SUM($G114:G114)=$B114,0,IF(SUM(H113:$EJ113)=0%,$B114,0%)))</f>
        <v>0</v>
      </c>
      <c r="I114" s="395">
        <f ca="1">IF($E$284=0,0,IF(SUM($G114:H114)=$B114,0,IF(SUM(I113:$EJ113)=0%,$B114,0%)))</f>
        <v>0</v>
      </c>
      <c r="J114" s="395">
        <f ca="1">IF($E$284=0,0,IF(SUM($G114:I114)=$B114,0,IF(SUM(J113:$EJ113)=0%,$B114,0%)))</f>
        <v>0</v>
      </c>
      <c r="K114" s="395">
        <f ca="1">IF($E$284=0,0,IF(SUM($G114:J114)=$B114,0,IF(SUM(K113:$EJ113)=0%,$B114,0%)))</f>
        <v>0</v>
      </c>
      <c r="L114" s="395">
        <f ca="1">IF($E$284=0,0,IF(SUM($G114:K114)=$B114,0,IF(SUM(L113:$EJ113)=0%,$B114,0%)))</f>
        <v>0</v>
      </c>
      <c r="M114" s="395">
        <f ca="1">IF($E$284=0,0,IF(SUM($G114:L114)=$B114,0,IF(SUM(M113:$EJ113)=0%,$B114,0%)))</f>
        <v>0</v>
      </c>
      <c r="N114" s="395">
        <f ca="1">IF($E$284=0,0,IF(SUM($G114:M114)=$B114,0,IF(SUM(N113:$EJ113)=0%,$B114,0%)))</f>
        <v>0</v>
      </c>
      <c r="O114" s="395">
        <f ca="1">IF($E$284=0,0,IF(SUM($G114:N114)=$B114,0,IF(SUM(O113:$EJ113)=0%,$B114,0%)))</f>
        <v>0</v>
      </c>
      <c r="P114" s="395">
        <f ca="1">IF($E$284=0,0,IF(SUM($G114:O114)=$B114,0,IF(SUM(P113:$EJ113)=0%,$B114,0%)))</f>
        <v>0</v>
      </c>
      <c r="Q114" s="395">
        <f ca="1">IF($E$284=0,0,IF(SUM($G114:P114)=$B114,0,IF(SUM(Q113:$EJ113)=0%,$B114,0%)))</f>
        <v>0</v>
      </c>
      <c r="R114" s="395">
        <f ca="1">IF($E$284=0,0,IF(SUM($G114:Q114)=$B114,0,IF(SUM(R113:$EJ113)=0%,$B114,0%)))</f>
        <v>0</v>
      </c>
      <c r="S114" s="395">
        <f ca="1">IF($E$284=0,0,IF(SUM($G114:R114)=$B114,0,IF(SUM(S113:$EJ113)=0%,$B114,0%)))</f>
        <v>0</v>
      </c>
      <c r="T114" s="395">
        <f ca="1">IF($E$284=0,0,IF(SUM($G114:S114)=$B114,0,IF(SUM(T113:$EJ113)=0%,$B114,0%)))</f>
        <v>0</v>
      </c>
      <c r="U114" s="395">
        <f ca="1">IF($E$284=0,0,IF(SUM($G114:T114)=$B114,0,IF(SUM(U113:$EJ113)=0%,$B114,0%)))</f>
        <v>0</v>
      </c>
      <c r="V114" s="395">
        <f ca="1">IF($E$284=0,0,IF(SUM($G114:U114)=$B114,0,IF(SUM(V113:$EJ113)=0%,$B114,0%)))</f>
        <v>0</v>
      </c>
      <c r="W114" s="395">
        <f ca="1">IF($E$284=0,0,IF(SUM($G114:V114)=$B114,0,IF(SUM(W113:$EJ113)=0%,$B114,0%)))</f>
        <v>0</v>
      </c>
      <c r="X114" s="395">
        <f ca="1">IF($E$284=0,0,IF(SUM($G114:W114)=$B114,0,IF(SUM(X113:$EJ113)=0%,$B114,0%)))</f>
        <v>0</v>
      </c>
      <c r="Y114" s="395">
        <f ca="1">IF($E$284=0,0,IF(SUM($G114:X114)=$B114,0,IF(SUM(Y113:$EJ113)=0%,$B114,0%)))</f>
        <v>0</v>
      </c>
      <c r="Z114" s="395">
        <f ca="1">IF($E$284=0,0,IF(SUM($G114:Y114)=$B114,0,IF(SUM(Z113:$EJ113)=0%,$B114,0%)))</f>
        <v>0</v>
      </c>
      <c r="AA114" s="395">
        <f ca="1">IF($E$284=0,0,IF(SUM($G114:Z114)=$B114,0,IF(SUM(AA113:$EJ113)=0%,$B114,0%)))</f>
        <v>0</v>
      </c>
      <c r="AB114" s="395">
        <f ca="1">IF($E$284=0,0,IF(SUM($G114:AA114)=$B114,0,IF(SUM(AB113:$EJ113)=0%,$B114,0%)))</f>
        <v>0</v>
      </c>
      <c r="AC114" s="395">
        <f ca="1">IF($E$284=0,0,IF(SUM($G114:AB114)=$B114,0,IF(SUM(AC113:$EJ113)=0%,$B114,0%)))</f>
        <v>0</v>
      </c>
      <c r="AD114" s="395">
        <f ca="1">IF($E$284=0,0,IF(SUM($G114:AC114)=$B114,0,IF(SUM(AD113:$EJ113)=0%,$B114,0%)))</f>
        <v>0</v>
      </c>
      <c r="AE114" s="395">
        <f ca="1">IF($E$284=0,0,IF(SUM($G114:AD114)=$B114,0,IF(SUM(AE113:$EJ113)=0%,$B114,0%)))</f>
        <v>0</v>
      </c>
      <c r="AF114" s="395">
        <f ca="1">IF($E$284=0,0,IF(SUM($G114:AE114)=$B114,0,IF(SUM(AF113:$EJ113)=0%,$B114,0%)))</f>
        <v>0</v>
      </c>
      <c r="AG114" s="395">
        <f ca="1">IF($E$284=0,0,IF(SUM($G114:AF114)=$B114,0,IF(SUM(AG113:$EJ113)=0%,$B114,0%)))</f>
        <v>0</v>
      </c>
      <c r="AH114" s="395">
        <f ca="1">IF($E$284=0,0,IF(SUM($G114:AG114)=$B114,0,IF(SUM(AH113:$EJ113)=0%,$B114,0%)))</f>
        <v>0</v>
      </c>
      <c r="AI114" s="395">
        <f ca="1">IF($E$284=0,0,IF(SUM($G114:AH114)=$B114,0,IF(SUM(AI113:$EJ113)=0%,$B114,0%)))</f>
        <v>0</v>
      </c>
      <c r="AJ114" s="395">
        <f ca="1">IF($E$284=0,0,IF(SUM($G114:AI114)=$B114,0,IF(SUM(AJ113:$EJ113)=0%,$B114,0%)))</f>
        <v>0</v>
      </c>
      <c r="AK114" s="395">
        <f ca="1">IF($E$284=0,0,IF(SUM($G114:AJ114)=$B114,0,IF(SUM(AK113:$EJ113)=0%,$B114,0%)))</f>
        <v>0</v>
      </c>
      <c r="AL114" s="395">
        <f ca="1">IF($E$284=0,0,IF(SUM($G114:AK114)=$B114,0,IF(SUM(AL113:$EJ113)=0%,$B114,0%)))</f>
        <v>0</v>
      </c>
      <c r="AM114" s="395">
        <f ca="1">IF($E$284=0,0,IF(SUM($G114:AL114)=$B114,0,IF(SUM(AM113:$EJ113)=0%,$B114,0%)))</f>
        <v>0</v>
      </c>
      <c r="AN114" s="395">
        <f ca="1">IF($E$284=0,0,IF(SUM($G114:AM114)=$B114,0,IF(SUM(AN113:$EJ113)=0%,$B114,0%)))</f>
        <v>0</v>
      </c>
      <c r="AO114" s="395">
        <f ca="1">IF($E$284=0,0,IF(SUM($G114:AN114)=$B114,0,IF(SUM(AO113:$EJ113)=0%,$B114,0%)))</f>
        <v>0</v>
      </c>
      <c r="AP114" s="395">
        <f ca="1">IF($E$284=0,0,IF(SUM($G114:AO114)=$B114,0,IF(SUM(AP113:$EJ113)=0%,$B114,0%)))</f>
        <v>0</v>
      </c>
      <c r="AQ114" s="395">
        <f ca="1">IF($E$284=0,0,IF(SUM($G114:AP114)=$B114,0,IF(SUM(AQ113:$EJ113)=0%,$B114,0%)))</f>
        <v>0</v>
      </c>
      <c r="AR114" s="395">
        <f ca="1">IF($E$284=0,0,IF(SUM($G114:AQ114)=$B114,0,IF(SUM(AR113:$EJ113)=0%,$B114,0%)))</f>
        <v>0</v>
      </c>
      <c r="AS114" s="395">
        <f ca="1">IF($E$284=0,0,IF(SUM($G114:AR114)=$B114,0,IF(SUM(AS113:$EJ113)=0%,$B114,0%)))</f>
        <v>0</v>
      </c>
      <c r="AT114" s="395">
        <f ca="1">IF($E$284=0,0,IF(SUM($G114:AS114)=$B114,0,IF(SUM(AT113:$EJ113)=0%,$B114,0%)))</f>
        <v>0</v>
      </c>
      <c r="AU114" s="395">
        <f ca="1">IF($E$284=0,0,IF(SUM($G114:AT114)=$B114,0,IF(SUM(AU113:$EJ113)=0%,$B114,0%)))</f>
        <v>0</v>
      </c>
      <c r="AV114" s="395">
        <f ca="1">IF($E$284=0,0,IF(SUM($G114:AU114)=$B114,0,IF(SUM(AV113:$EJ113)=0%,$B114,0%)))</f>
        <v>0</v>
      </c>
      <c r="AW114" s="395">
        <f ca="1">IF($E$284=0,0,IF(SUM($G114:AV114)=$B114,0,IF(SUM(AW113:$EJ113)=0%,$B114,0%)))</f>
        <v>0</v>
      </c>
      <c r="AX114" s="395">
        <f ca="1">IF($E$284=0,0,IF(SUM($G114:AW114)=$B114,0,IF(SUM(AX113:$EJ113)=0%,$B114,0%)))</f>
        <v>0</v>
      </c>
      <c r="AY114" s="395">
        <f ca="1">IF($E$284=0,0,IF(SUM($G114:AX114)=$B114,0,IF(SUM(AY113:$EJ113)=0%,$B114,0%)))</f>
        <v>0</v>
      </c>
      <c r="AZ114" s="395">
        <f ca="1">IF($E$284=0,0,IF(SUM($G114:AY114)=$B114,0,IF(SUM(AZ113:$EJ113)=0%,$B114,0%)))</f>
        <v>0</v>
      </c>
      <c r="BA114" s="395">
        <f ca="1">IF($E$284=0,0,IF(SUM($G114:AZ114)=$B114,0,IF(SUM(BA113:$EJ113)=0%,$B114,0%)))</f>
        <v>0</v>
      </c>
      <c r="BB114" s="395">
        <f ca="1">IF($E$284=0,0,IF(SUM($G114:BA114)=$B114,0,IF(SUM(BB113:$EJ113)=0%,$B114,0%)))</f>
        <v>0</v>
      </c>
      <c r="BC114" s="395">
        <f ca="1">IF($E$284=0,0,IF(SUM($G114:BB114)=$B114,0,IF(SUM(BC113:$EJ113)=0%,$B114,0%)))</f>
        <v>0</v>
      </c>
      <c r="BD114" s="395">
        <f ca="1">IF($E$284=0,0,IF(SUM($G114:BC114)=$B114,0,IF(SUM(BD113:$EJ113)=0%,$B114,0%)))</f>
        <v>0</v>
      </c>
      <c r="BE114" s="395">
        <f ca="1">IF($E$284=0,0,IF(SUM($G114:BD114)=$B114,0,IF(SUM(BE113:$EJ113)=0%,$B114,0%)))</f>
        <v>0</v>
      </c>
      <c r="BF114" s="395">
        <f ca="1">IF($E$284=0,0,IF(SUM($G114:BE114)=$B114,0,IF(SUM(BF113:$EJ113)=0%,$B114,0%)))</f>
        <v>0</v>
      </c>
      <c r="BG114" s="395">
        <f ca="1">IF($E$284=0,0,IF(SUM($G114:BF114)=$B114,0,IF(SUM(BG113:$EJ113)=0%,$B114,0%)))</f>
        <v>0</v>
      </c>
      <c r="BH114" s="395">
        <f ca="1">IF($E$284=0,0,IF(SUM($G114:BG114)=$B114,0,IF(SUM(BH113:$EJ113)=0%,$B114,0%)))</f>
        <v>0</v>
      </c>
      <c r="BI114" s="395">
        <f ca="1">IF($E$284=0,0,IF(SUM($G114:BH114)=$B114,0,IF(SUM(BI113:$EJ113)=0%,$B114,0%)))</f>
        <v>0</v>
      </c>
      <c r="BJ114" s="395">
        <f ca="1">IF($E$284=0,0,IF(SUM($G114:BI114)=$B114,0,IF(SUM(BJ113:$EJ113)=0%,$B114,0%)))</f>
        <v>0</v>
      </c>
      <c r="BK114" s="395">
        <f ca="1">IF($E$284=0,0,IF(SUM($G114:BJ114)=$B114,0,IF(SUM(BK113:$EJ113)=0%,$B114,0%)))</f>
        <v>0</v>
      </c>
      <c r="BL114" s="395">
        <f ca="1">IF($E$284=0,0,IF(SUM($G114:BK114)=$B114,0,IF(SUM(BL113:$EJ113)=0%,$B114,0%)))</f>
        <v>0</v>
      </c>
      <c r="BM114" s="395">
        <f ca="1">IF($E$284=0,0,IF(SUM($G114:BL114)=$B114,0,IF(SUM(BM113:$EJ113)=0%,$B114,0%)))</f>
        <v>0</v>
      </c>
      <c r="BN114" s="395">
        <f ca="1">IF($E$284=0,0,IF(SUM($G114:BM114)=$B114,0,IF(SUM(BN113:$EJ113)=0%,$B114,0%)))</f>
        <v>0</v>
      </c>
      <c r="BO114" s="395">
        <f ca="1">IF($E$284=0,0,IF(SUM($G114:BN114)=$B114,0,IF(SUM(BO113:$EJ113)=0%,$B114,0%)))</f>
        <v>0</v>
      </c>
      <c r="BP114" s="395">
        <f ca="1">IF($E$284=0,0,IF(SUM($G114:BO114)=$B114,0,IF(SUM(BP113:$EJ113)=0%,$B114,0%)))</f>
        <v>0</v>
      </c>
      <c r="BQ114" s="395">
        <f ca="1">IF($E$284=0,0,IF(SUM($G114:BP114)=$B114,0,IF(SUM(BQ113:$EJ113)=0%,$B114,0%)))</f>
        <v>0</v>
      </c>
      <c r="BR114" s="395">
        <f ca="1">IF($E$284=0,0,IF(SUM($G114:BQ114)=$B114,0,IF(SUM(BR113:$EJ113)=0%,$B114,0%)))</f>
        <v>0</v>
      </c>
      <c r="BS114" s="395">
        <f ca="1">IF($E$284=0,0,IF(SUM($G114:BR114)=$B114,0,IF(SUM(BS113:$EJ113)=0%,$B114,0%)))</f>
        <v>0</v>
      </c>
      <c r="BT114" s="395">
        <f ca="1">IF($E$284=0,0,IF(SUM($G114:BS114)=$B114,0,IF(SUM(BT113:$EJ113)=0%,$B114,0%)))</f>
        <v>0</v>
      </c>
      <c r="BU114" s="395">
        <f ca="1">IF($E$284=0,0,IF(SUM($G114:BT114)=$B114,0,IF(SUM(BU113:$EJ113)=0%,$B114,0%)))</f>
        <v>0</v>
      </c>
      <c r="BV114" s="395">
        <f ca="1">IF($E$284=0,0,IF(SUM($G114:BU114)=$B114,0,IF(SUM(BV113:$EJ113)=0%,$B114,0%)))</f>
        <v>0</v>
      </c>
      <c r="BW114" s="395">
        <f ca="1">IF($E$284=0,0,IF(SUM($G114:BV114)=$B114,0,IF(SUM(BW113:$EJ113)=0%,$B114,0%)))</f>
        <v>0</v>
      </c>
      <c r="BX114" s="395">
        <f ca="1">IF($E$284=0,0,IF(SUM($G114:BW114)=$B114,0,IF(SUM(BX113:$EJ113)=0%,$B114,0%)))</f>
        <v>0</v>
      </c>
      <c r="BY114" s="395">
        <f ca="1">IF($E$284=0,0,IF(SUM($G114:BX114)=$B114,0,IF(SUM(BY113:$EJ113)=0%,$B114,0%)))</f>
        <v>0</v>
      </c>
      <c r="BZ114" s="395">
        <f ca="1">IF($E$284=0,0,IF(SUM($G114:BY114)=$B114,0,IF(SUM(BZ113:$EJ113)=0%,$B114,0%)))</f>
        <v>0</v>
      </c>
      <c r="CA114" s="395">
        <f ca="1">IF($E$284=0,0,IF(SUM($G114:BZ114)=$B114,0,IF(SUM(CA113:$EJ113)=0%,$B114,0%)))</f>
        <v>0</v>
      </c>
      <c r="CB114" s="395">
        <f ca="1">IF($E$284=0,0,IF(SUM($G114:CA114)=$B114,0,IF(SUM(CB113:$EJ113)=0%,$B114,0%)))</f>
        <v>0</v>
      </c>
      <c r="CC114" s="395">
        <f ca="1">IF($E$284=0,0,IF(SUM($G114:CB114)=$B114,0,IF(SUM(CC113:$EJ113)=0%,$B114,0%)))</f>
        <v>0</v>
      </c>
      <c r="CD114" s="395">
        <f ca="1">IF($E$284=0,0,IF(SUM($G114:CC114)=$B114,0,IF(SUM(CD113:$EJ113)=0%,$B114,0%)))</f>
        <v>0</v>
      </c>
      <c r="CE114" s="395">
        <f ca="1">IF($E$284=0,0,IF(SUM($G114:CD114)=$B114,0,IF(SUM(CE113:$EJ113)=0%,$B114,0%)))</f>
        <v>0</v>
      </c>
      <c r="CF114" s="395">
        <f ca="1">IF($E$284=0,0,IF(SUM($G114:CE114)=$B114,0,IF(SUM(CF113:$EJ113)=0%,$B114,0%)))</f>
        <v>0</v>
      </c>
      <c r="CG114" s="395">
        <f ca="1">IF($E$284=0,0,IF(SUM($G114:CF114)=$B114,0,IF(SUM(CG113:$EJ113)=0%,$B114,0%)))</f>
        <v>0</v>
      </c>
      <c r="CH114" s="395">
        <f ca="1">IF($E$284=0,0,IF(SUM($G114:CG114)=$B114,0,IF(SUM(CH113:$EJ113)=0%,$B114,0%)))</f>
        <v>0</v>
      </c>
      <c r="CI114" s="395">
        <f ca="1">IF($E$284=0,0,IF(SUM($G114:CH114)=$B114,0,IF(SUM(CI113:$EJ113)=0%,$B114,0%)))</f>
        <v>0</v>
      </c>
      <c r="CJ114" s="395">
        <f ca="1">IF($E$284=0,0,IF(SUM($G114:CI114)=$B114,0,IF(SUM(CJ113:$EJ113)=0%,$B114,0%)))</f>
        <v>0</v>
      </c>
      <c r="CK114" s="395">
        <f ca="1">IF($E$284=0,0,IF(SUM($G114:CJ114)=$B114,0,IF(SUM(CK113:$EJ113)=0%,$B114,0%)))</f>
        <v>0</v>
      </c>
      <c r="CL114" s="395">
        <f ca="1">IF($E$284=0,0,IF(SUM($G114:CK114)=$B114,0,IF(SUM(CL113:$EJ113)=0%,$B114,0%)))</f>
        <v>0</v>
      </c>
      <c r="CM114" s="395">
        <f ca="1">IF($E$284=0,0,IF(SUM($G114:CL114)=$B114,0,IF(SUM(CM113:$EJ113)=0%,$B114,0%)))</f>
        <v>0</v>
      </c>
      <c r="CN114" s="395">
        <f ca="1">IF($E$284=0,0,IF(SUM($G114:CM114)=$B114,0,IF(SUM(CN113:$EJ113)=0%,$B114,0%)))</f>
        <v>0</v>
      </c>
      <c r="CO114" s="395">
        <f ca="1">IF($E$284=0,0,IF(SUM($G114:CN114)=$B114,0,IF(SUM(CO113:$EJ113)=0%,$B114,0%)))</f>
        <v>0</v>
      </c>
      <c r="CP114" s="395">
        <f ca="1">IF($E$284=0,0,IF(SUM($G114:CO114)=$B114,0,IF(SUM(CP113:$EJ113)=0%,$B114,0%)))</f>
        <v>0</v>
      </c>
      <c r="CQ114" s="395">
        <f ca="1">IF($E$284=0,0,IF(SUM($G114:CP114)=$B114,0,IF(SUM(CQ113:$EJ113)=0%,$B114,0%)))</f>
        <v>0</v>
      </c>
      <c r="CR114" s="395">
        <f ca="1">IF($E$284=0,0,IF(SUM($G114:CQ114)=$B114,0,IF(SUM(CR113:$EJ113)=0%,$B114,0%)))</f>
        <v>0</v>
      </c>
      <c r="CS114" s="395">
        <f ca="1">IF($E$284=0,0,IF(SUM($G114:CR114)=$B114,0,IF(SUM(CS113:$EJ113)=0%,$B114,0%)))</f>
        <v>0</v>
      </c>
      <c r="CT114" s="395">
        <f ca="1">IF($E$284=0,0,IF(SUM($G114:CS114)=$B114,0,IF(SUM(CT113:$EJ113)=0%,$B114,0%)))</f>
        <v>0</v>
      </c>
      <c r="CU114" s="395">
        <f ca="1">IF($E$284=0,0,IF(SUM($G114:CT114)=$B114,0,IF(SUM(CU113:$EJ113)=0%,$B114,0%)))</f>
        <v>0</v>
      </c>
      <c r="CV114" s="395">
        <f ca="1">IF($E$284=0,0,IF(SUM($G114:CU114)=$B114,0,IF(SUM(CV113:$EJ113)=0%,$B114,0%)))</f>
        <v>0</v>
      </c>
      <c r="CW114" s="395">
        <f ca="1">IF($E$284=0,0,IF(SUM($G114:CV114)=$B114,0,IF(SUM(CW113:$EJ113)=0%,$B114,0%)))</f>
        <v>0</v>
      </c>
      <c r="CX114" s="395">
        <f ca="1">IF($E$284=0,0,IF(SUM($G114:CW114)=$B114,0,IF(SUM(CX113:$EJ113)=0%,$B114,0%)))</f>
        <v>0</v>
      </c>
      <c r="CY114" s="395">
        <f ca="1">IF($E$284=0,0,IF(SUM($G114:CX114)=$B114,0,IF(SUM(CY113:$EJ113)=0%,$B114,0%)))</f>
        <v>0</v>
      </c>
      <c r="CZ114" s="395">
        <f ca="1">IF($E$284=0,0,IF(SUM($G114:CY114)=$B114,0,IF(SUM(CZ113:$EJ113)=0%,$B114,0%)))</f>
        <v>0</v>
      </c>
      <c r="DA114" s="395">
        <f ca="1">IF($E$284=0,0,IF(SUM($G114:CZ114)=$B114,0,IF(SUM(DA113:$EJ113)=0%,$B114,0%)))</f>
        <v>0</v>
      </c>
      <c r="DB114" s="395">
        <f ca="1">IF($E$284=0,0,IF(SUM($G114:DA114)=$B114,0,IF(SUM(DB113:$EJ113)=0%,$B114,0%)))</f>
        <v>0</v>
      </c>
      <c r="DC114" s="395">
        <f ca="1">IF($E$284=0,0,IF(SUM($G114:DB114)=$B114,0,IF(SUM(DC113:$EJ113)=0%,$B114,0%)))</f>
        <v>0</v>
      </c>
      <c r="DD114" s="395">
        <f ca="1">IF($E$284=0,0,IF(SUM($G114:DC114)=$B114,0,IF(SUM(DD113:$EJ113)=0%,$B114,0%)))</f>
        <v>0</v>
      </c>
      <c r="DE114" s="395">
        <f ca="1">IF($E$284=0,0,IF(SUM($G114:DD114)=$B114,0,IF(SUM(DE113:$EJ113)=0%,$B114,0%)))</f>
        <v>0</v>
      </c>
      <c r="DF114" s="395">
        <f ca="1">IF($E$284=0,0,IF(SUM($G114:DE114)=$B114,0,IF(SUM(DF113:$EJ113)=0%,$B114,0%)))</f>
        <v>0</v>
      </c>
      <c r="DG114" s="395">
        <f ca="1">IF($E$284=0,0,IF(SUM($G114:DF114)=$B114,0,IF(SUM(DG113:$EJ113)=0%,$B114,0%)))</f>
        <v>0</v>
      </c>
      <c r="DH114" s="395">
        <f ca="1">IF($E$284=0,0,IF(SUM($G114:DG114)=$B114,0,IF(SUM(DH113:$EJ113)=0%,$B114,0%)))</f>
        <v>0</v>
      </c>
      <c r="DI114" s="395">
        <f ca="1">IF($E$284=0,0,IF(SUM($G114:DH114)=$B114,0,IF(SUM(DI113:$EJ113)=0%,$B114,0%)))</f>
        <v>0</v>
      </c>
      <c r="DJ114" s="395">
        <f ca="1">IF($E$284=0,0,IF(SUM($G114:DI114)=$B114,0,IF(SUM(DJ113:$EJ113)=0%,$B114,0%)))</f>
        <v>0</v>
      </c>
      <c r="DK114" s="395">
        <f ca="1">IF($E$284=0,0,IF(SUM($G114:DJ114)=$B114,0,IF(SUM(DK113:$EJ113)=0%,$B114,0%)))</f>
        <v>0</v>
      </c>
      <c r="DL114" s="395">
        <f ca="1">IF($E$284=0,0,IF(SUM($G114:DK114)=$B114,0,IF(SUM(DL113:$EJ113)=0%,$B114,0%)))</f>
        <v>0</v>
      </c>
      <c r="DM114" s="395">
        <f ca="1">IF($E$284=0,0,IF(SUM($G114:DL114)=$B114,0,IF(SUM(DM113:$EJ113)=0%,$B114,0%)))</f>
        <v>0</v>
      </c>
      <c r="DN114" s="395">
        <f ca="1">IF($E$284=0,0,IF(SUM($G114:DM114)=$B114,0,IF(SUM(DN113:$EJ113)=0%,$B114,0%)))</f>
        <v>0</v>
      </c>
      <c r="DO114" s="395">
        <f ca="1">IF($E$284=0,0,IF(SUM($G114:DN114)=$B114,0,IF(SUM(DO113:$EJ113)=0%,$B114,0%)))</f>
        <v>0</v>
      </c>
      <c r="DP114" s="395">
        <f ca="1">IF($E$284=0,0,IF(SUM($G114:DO114)=$B114,0,IF(SUM(DP113:$EJ113)=0%,$B114,0%)))</f>
        <v>0</v>
      </c>
      <c r="DQ114" s="395">
        <f ca="1">IF($E$284=0,0,IF(SUM($G114:DP114)=$B114,0,IF(SUM(DQ113:$EJ113)=0%,$B114,0%)))</f>
        <v>0</v>
      </c>
      <c r="DR114" s="395">
        <f ca="1">IF($E$284=0,0,IF(SUM($G114:DQ114)=$B114,0,IF(SUM(DR113:$EJ113)=0%,$B114,0%)))</f>
        <v>0</v>
      </c>
      <c r="DS114" s="395">
        <f ca="1">IF($E$284=0,0,IF(SUM($G114:DR114)=$B114,0,IF(SUM(DS113:$EJ113)=0%,$B114,0%)))</f>
        <v>0</v>
      </c>
      <c r="DT114" s="395">
        <f ca="1">IF($E$284=0,0,IF(SUM($G114:DS114)=$B114,0,IF(SUM(DT113:$EJ113)=0%,$B114,0%)))</f>
        <v>0</v>
      </c>
      <c r="DU114" s="395">
        <f ca="1">IF($E$284=0,0,IF(SUM($G114:DT114)=$B114,0,IF(SUM(DU113:$EJ113)=0%,$B114,0%)))</f>
        <v>0</v>
      </c>
      <c r="DV114" s="395">
        <f ca="1">IF($E$284=0,0,IF(SUM($G114:DU114)=$B114,0,IF(SUM(DV113:$EJ113)=0%,$B114,0%)))</f>
        <v>0</v>
      </c>
      <c r="DW114" s="395">
        <f ca="1">IF($E$284=0,0,IF(SUM($G114:DV114)=$B114,0,IF(SUM(DW113:$EJ113)=0%,$B114,0%)))</f>
        <v>0</v>
      </c>
      <c r="DX114" s="395">
        <f ca="1">IF($E$284=0,0,IF(SUM($G114:DW114)=$B114,0,IF(SUM(DX113:$EJ113)=0%,$B114,0%)))</f>
        <v>0</v>
      </c>
      <c r="DY114" s="395">
        <f ca="1">IF($E$284=0,0,IF(SUM($G114:DX114)=$B114,0,IF(SUM(DY113:$EJ113)=0%,$B114,0%)))</f>
        <v>0</v>
      </c>
      <c r="DZ114" s="395">
        <f ca="1">IF($E$284=0,0,IF(SUM($G114:DY114)=$B114,0,IF(SUM(DZ113:$EJ113)=0%,$B114,0%)))</f>
        <v>0</v>
      </c>
      <c r="EA114" s="395">
        <f ca="1">IF($E$284=0,0,IF(SUM($G114:DZ114)=$B114,0,IF(SUM(EA113:$EJ113)=0%,$B114,0%)))</f>
        <v>0</v>
      </c>
      <c r="EB114" s="395">
        <f ca="1">IF($E$284=0,0,IF(SUM($G114:EA114)=$B114,0,IF(SUM(EB113:$EJ113)=0%,$B114,0%)))</f>
        <v>0</v>
      </c>
      <c r="EC114" s="395">
        <f ca="1">IF($E$284=0,0,IF(SUM($G114:EB114)=$B114,0,IF(SUM(EC113:$EJ113)=0%,$B114,0%)))</f>
        <v>0</v>
      </c>
      <c r="ED114" s="395">
        <f ca="1">IF($E$284=0,0,IF(SUM($G114:EC114)=$B114,0,IF(SUM(ED113:$EJ113)=0%,$B114,0%)))</f>
        <v>0</v>
      </c>
      <c r="EE114" s="395">
        <f ca="1">IF($E$284=0,0,IF(SUM($G114:ED114)=$B114,0,IF(SUM(EE113:$EJ113)=0%,$B114,0%)))</f>
        <v>0</v>
      </c>
      <c r="EF114" s="395">
        <f ca="1">IF($E$284=0,0,IF(SUM($G114:EE114)=$B114,0,IF(SUM(EF113:$EJ113)=0%,$B114,0%)))</f>
        <v>0</v>
      </c>
      <c r="EG114" s="395">
        <f ca="1">IF($E$284=0,0,IF(SUM($G114:EF114)=$B114,0,IF(SUM(EG113:$EJ113)=0%,$B114,0%)))</f>
        <v>0</v>
      </c>
      <c r="EH114" s="395">
        <f ca="1">IF($E$284=0,0,IF(SUM($G114:EG114)=$B114,0,IF(SUM(EH113:$EJ113)=0%,$B114,0%)))</f>
        <v>0</v>
      </c>
      <c r="EI114" s="395">
        <f ca="1">IF($E$284=0,0,IF(SUM($G114:EH114)=$B114,0,IF(SUM(EI113:$EJ113)=0%,$B114,0%)))</f>
        <v>0</v>
      </c>
      <c r="EJ114" s="398"/>
      <c r="EK114" s="313"/>
    </row>
    <row r="115" spans="1:141" hidden="1" outlineLevel="2">
      <c r="A115" s="332"/>
      <c r="B115" s="548">
        <f t="shared" si="335"/>
        <v>2.5000000000000001E-2</v>
      </c>
      <c r="C115" s="317"/>
      <c r="D115" s="317" t="s">
        <v>640</v>
      </c>
      <c r="E115" s="318">
        <f t="shared" ca="1" si="334"/>
        <v>0</v>
      </c>
      <c r="F115" s="397">
        <f ca="1">SUM(G115:EJ115)</f>
        <v>0</v>
      </c>
      <c r="G115" s="395"/>
      <c r="H115" s="395"/>
      <c r="I115" s="395"/>
      <c r="J115" s="395"/>
      <c r="K115" s="608"/>
      <c r="L115" s="608"/>
      <c r="M115" s="608"/>
      <c r="N115" s="608"/>
      <c r="O115" s="608"/>
      <c r="P115" s="608"/>
      <c r="Q115" s="608"/>
      <c r="R115" s="608"/>
      <c r="S115" s="608"/>
      <c r="T115" s="608"/>
      <c r="U115" s="608"/>
      <c r="V115" s="608"/>
      <c r="W115" s="608"/>
      <c r="X115" s="608"/>
      <c r="Y115" s="608"/>
      <c r="Z115" s="608"/>
      <c r="AA115" s="608"/>
      <c r="AB115" s="608"/>
      <c r="AC115" s="608"/>
      <c r="AD115" s="395">
        <f ca="1">IF($E$283=0,0,IF(SUM($G115:AC115)=$B115,0,IF(SUM($G114:G114)=$B114,$B115,0%)))</f>
        <v>0</v>
      </c>
      <c r="AE115" s="608">
        <f ca="1">IF($E$283=0,0,IF(SUM($G115:AD115)=$B115,0,IF(SUM($G114:H114)=$B114,$B115,0%)))</f>
        <v>0</v>
      </c>
      <c r="AF115" s="608">
        <f ca="1">IF($E$283=0,0,IF(SUM($G115:AE115)=$B115,0,IF(SUM($G114:I114)=$B114,$B115,0%)))</f>
        <v>0</v>
      </c>
      <c r="AG115" s="608">
        <f ca="1">IF($E$283=0,0,IF(SUM($G115:AF115)=$B115,0,IF(SUM($G114:J114)=$B114,$B115,0%)))</f>
        <v>0</v>
      </c>
      <c r="AH115" s="608">
        <f ca="1">IF($E$283=0,0,IF(SUM($G115:AG115)=$B115,0,IF(SUM($G114:K114)=$B114,$B115,0%)))</f>
        <v>0</v>
      </c>
      <c r="AI115" s="608">
        <f ca="1">IF($E$283=0,0,IF(SUM($G115:AH115)=$B115,0,IF(SUM($G114:L114)=$B114,$B115,0%)))</f>
        <v>0</v>
      </c>
      <c r="AJ115" s="608">
        <f ca="1">IF($E$283=0,0,IF(SUM($G115:AI115)=$B115,0,IF(SUM($G114:M114)=$B114,$B115,0%)))</f>
        <v>0</v>
      </c>
      <c r="AK115" s="608">
        <f ca="1">IF($E$283=0,0,IF(SUM($G115:AJ115)=$B115,0,IF(SUM($G114:N114)=$B114,$B115,0%)))</f>
        <v>0</v>
      </c>
      <c r="AL115" s="608">
        <f ca="1">IF($E$283=0,0,IF(SUM($G115:AK115)=$B115,0,IF(SUM($G114:O114)=$B114,$B115,0%)))</f>
        <v>0</v>
      </c>
      <c r="AM115" s="608">
        <f ca="1">IF($E$283=0,0,IF(SUM($G115:AL115)=$B115,0,IF(SUM($G114:P114)=$B114,$B115,0%)))</f>
        <v>0</v>
      </c>
      <c r="AN115" s="608">
        <f ca="1">IF($E$283=0,0,IF(SUM($G115:AM115)=$B115,0,IF(SUM($G114:Q114)=$B114,$B115,0%)))</f>
        <v>0</v>
      </c>
      <c r="AO115" s="608">
        <f ca="1">IF($E$283=0,0,IF(SUM($G115:AN115)=$B115,0,IF(SUM($G114:R114)=$B114,$B115,0%)))</f>
        <v>0</v>
      </c>
      <c r="AP115" s="608">
        <f ca="1">IF($E$283=0,0,IF(SUM($G115:AO115)=$B115,0,IF(SUM($G114:S114)=$B114,$B115,0%)))</f>
        <v>0</v>
      </c>
      <c r="AQ115" s="608">
        <f ca="1">IF($E$283=0,0,IF(SUM($G115:AP115)=$B115,0,IF(SUM($G114:T114)=$B114,$B115,0%)))</f>
        <v>0</v>
      </c>
      <c r="AR115" s="608">
        <f ca="1">IF($E$283=0,0,IF(SUM($G115:AQ115)=$B115,0,IF(SUM($G114:U114)=$B114,$B115,0%)))</f>
        <v>0</v>
      </c>
      <c r="AS115" s="608">
        <f ca="1">IF($E$283=0,0,IF(SUM($G115:AR115)=$B115,0,IF(SUM($G114:V114)=$B114,$B115,0%)))</f>
        <v>0</v>
      </c>
      <c r="AT115" s="608">
        <f ca="1">IF($E$283=0,0,IF(SUM($G115:AS115)=$B115,0,IF(SUM($G114:W114)=$B114,$B115,0%)))</f>
        <v>0</v>
      </c>
      <c r="AU115" s="608">
        <f ca="1">IF($E$283=0,0,IF(SUM($G115:AT115)=$B115,0,IF(SUM($G114:X114)=$B114,$B115,0%)))</f>
        <v>0</v>
      </c>
      <c r="AV115" s="608">
        <f ca="1">IF($E$283=0,0,IF(SUM($G115:AU115)=$B115,0,IF(SUM($G114:Y114)=$B114,$B115,0%)))</f>
        <v>0</v>
      </c>
      <c r="AW115" s="608">
        <f ca="1">IF($E$283=0,0,IF(SUM($G115:AV115)=$B115,0,IF(SUM($G114:Z114)=$B114,$B115,0%)))</f>
        <v>0</v>
      </c>
      <c r="AX115" s="608">
        <f ca="1">IF($E$283=0,0,IF(SUM($G115:AW115)=$B115,0,IF(SUM($G114:AA114)=$B114,$B115,0%)))</f>
        <v>0</v>
      </c>
      <c r="AY115" s="608">
        <f ca="1">IF($E$283=0,0,IF(SUM($G115:AX115)=$B115,0,IF(SUM($G114:AB114)=$B114,$B115,0%)))</f>
        <v>0</v>
      </c>
      <c r="AZ115" s="608">
        <f ca="1">IF($E$283=0,0,IF(SUM($G115:AY115)=$B115,0,IF(SUM($G114:AC114)=$B114,$B115,0%)))</f>
        <v>0</v>
      </c>
      <c r="BA115" s="608">
        <f ca="1">IF($E$283=0,0,IF(SUM($G115:AZ115)=$B115,0,IF(SUM($G114:AD114)=$B114,$B115,0%)))</f>
        <v>0</v>
      </c>
      <c r="BB115" s="608">
        <f ca="1">IF($E$283=0,0,IF(SUM($G115:BA115)=$B115,0,IF(SUM($G114:AE114)=$B114,$B115,0%)))</f>
        <v>0</v>
      </c>
      <c r="BC115" s="608">
        <f ca="1">IF($E$283=0,0,IF(SUM($G115:BB115)=$B115,0,IF(SUM($G114:AF114)=$B114,$B115,0%)))</f>
        <v>0</v>
      </c>
      <c r="BD115" s="608">
        <f ca="1">IF($E$283=0,0,IF(SUM($G115:BC115)=$B115,0,IF(SUM($G114:AG114)=$B114,$B115,0%)))</f>
        <v>0</v>
      </c>
      <c r="BE115" s="608">
        <f ca="1">IF($E$283=0,0,IF(SUM($G115:BD115)=$B115,0,IF(SUM($G114:AH114)=$B114,$B115,0%)))</f>
        <v>0</v>
      </c>
      <c r="BF115" s="608">
        <f ca="1">IF($E$283=0,0,IF(SUM($G115:BE115)=$B115,0,IF(SUM($G114:AI114)=$B114,$B115,0%)))</f>
        <v>0</v>
      </c>
      <c r="BG115" s="608">
        <f ca="1">IF($E$283=0,0,IF(SUM($G115:BF115)=$B115,0,IF(SUM($G114:AJ114)=$B114,$B115,0%)))</f>
        <v>0</v>
      </c>
      <c r="BH115" s="608">
        <f ca="1">IF($E$283=0,0,IF(SUM($G115:BG115)=$B115,0,IF(SUM($G114:AK114)=$B114,$B115,0%)))</f>
        <v>0</v>
      </c>
      <c r="BI115" s="608">
        <f ca="1">IF($E$283=0,0,IF(SUM($G115:BH115)=$B115,0,IF(SUM($G114:AL114)=$B114,$B115,0%)))</f>
        <v>0</v>
      </c>
      <c r="BJ115" s="608">
        <f ca="1">IF($E$283=0,0,IF(SUM($G115:BI115)=$B115,0,IF(SUM($G114:AM114)=$B114,$B115,0%)))</f>
        <v>0</v>
      </c>
      <c r="BK115" s="608">
        <f ca="1">IF($E$283=0,0,IF(SUM($G115:BJ115)=$B115,0,IF(SUM($G114:AN114)=$B114,$B115,0%)))</f>
        <v>0</v>
      </c>
      <c r="BL115" s="608">
        <f ca="1">IF($E$283=0,0,IF(SUM($G115:BK115)=$B115,0,IF(SUM($G114:AO114)=$B114,$B115,0%)))</f>
        <v>0</v>
      </c>
      <c r="BM115" s="608">
        <f ca="1">IF($E$283=0,0,IF(SUM($G115:BL115)=$B115,0,IF(SUM($G114:AP114)=$B114,$B115,0%)))</f>
        <v>0</v>
      </c>
      <c r="BN115" s="608">
        <f ca="1">IF($E$283=0,0,IF(SUM($G115:BM115)=$B115,0,IF(SUM($G114:AQ114)=$B114,$B115,0%)))</f>
        <v>0</v>
      </c>
      <c r="BO115" s="608">
        <f ca="1">IF($E$283=0,0,IF(SUM($G115:BN115)=$B115,0,IF(SUM($G114:AR114)=$B114,$B115,0%)))</f>
        <v>0</v>
      </c>
      <c r="BP115" s="608">
        <f ca="1">IF($E$283=0,0,IF(SUM($G115:BO115)=$B115,0,IF(SUM($G114:AS114)=$B114,$B115,0%)))</f>
        <v>0</v>
      </c>
      <c r="BQ115" s="608">
        <f ca="1">IF($E$283=0,0,IF(SUM($G115:BP115)=$B115,0,IF(SUM($G114:AT114)=$B114,$B115,0%)))</f>
        <v>0</v>
      </c>
      <c r="BR115" s="608">
        <f ca="1">IF($E$283=0,0,IF(SUM($G115:BQ115)=$B115,0,IF(SUM($G114:AU114)=$B114,$B115,0%)))</f>
        <v>0</v>
      </c>
      <c r="BS115" s="608">
        <f ca="1">IF($E$283=0,0,IF(SUM($G115:BR115)=$B115,0,IF(SUM($G114:AV114)=$B114,$B115,0%)))</f>
        <v>0</v>
      </c>
      <c r="BT115" s="608">
        <f ca="1">IF($E$283=0,0,IF(SUM($G115:BS115)=$B115,0,IF(SUM($G114:AW114)=$B114,$B115,0%)))</f>
        <v>0</v>
      </c>
      <c r="BU115" s="608">
        <f ca="1">IF($E$283=0,0,IF(SUM($G115:BT115)=$B115,0,IF(SUM($G114:AX114)=$B114,$B115,0%)))</f>
        <v>0</v>
      </c>
      <c r="BV115" s="608">
        <f ca="1">IF($E$283=0,0,IF(SUM($G115:BU115)=$B115,0,IF(SUM($G114:AY114)=$B114,$B115,0%)))</f>
        <v>0</v>
      </c>
      <c r="BW115" s="608">
        <f ca="1">IF($E$283=0,0,IF(SUM($G115:BV115)=$B115,0,IF(SUM($G114:AZ114)=$B114,$B115,0%)))</f>
        <v>0</v>
      </c>
      <c r="BX115" s="608">
        <f ca="1">IF($E$283=0,0,IF(SUM($G115:BW115)=$B115,0,IF(SUM($G114:BA114)=$B114,$B115,0%)))</f>
        <v>0</v>
      </c>
      <c r="BY115" s="608">
        <f ca="1">IF($E$283=0,0,IF(SUM($G115:BX115)=$B115,0,IF(SUM($G114:BB114)=$B114,$B115,0%)))</f>
        <v>0</v>
      </c>
      <c r="BZ115" s="608">
        <f ca="1">IF($E$283=0,0,IF(SUM($G115:BY115)=$B115,0,IF(SUM($G114:BC114)=$B114,$B115,0%)))</f>
        <v>0</v>
      </c>
      <c r="CA115" s="608">
        <f ca="1">IF($E$283=0,0,IF(SUM($G115:BZ115)=$B115,0,IF(SUM($G114:BD114)=$B114,$B115,0%)))</f>
        <v>0</v>
      </c>
      <c r="CB115" s="608">
        <f ca="1">IF($E$283=0,0,IF(SUM($G115:CA115)=$B115,0,IF(SUM($G114:BE114)=$B114,$B115,0%)))</f>
        <v>0</v>
      </c>
      <c r="CC115" s="608">
        <f ca="1">IF($E$283=0,0,IF(SUM($G115:CB115)=$B115,0,IF(SUM($G114:BF114)=$B114,$B115,0%)))</f>
        <v>0</v>
      </c>
      <c r="CD115" s="608">
        <f ca="1">IF($E$283=0,0,IF(SUM($G115:CC115)=$B115,0,IF(SUM($G114:BG114)=$B114,$B115,0%)))</f>
        <v>0</v>
      </c>
      <c r="CE115" s="608">
        <f ca="1">IF($E$283=0,0,IF(SUM($G115:CD115)=$B115,0,IF(SUM($G114:BH114)=$B114,$B115,0%)))</f>
        <v>0</v>
      </c>
      <c r="CF115" s="608">
        <f ca="1">IF($E$283=0,0,IF(SUM($G115:CE115)=$B115,0,IF(SUM($G114:BI114)=$B114,$B115,0%)))</f>
        <v>0</v>
      </c>
      <c r="CG115" s="608">
        <f ca="1">IF($E$283=0,0,IF(SUM($G115:CF115)=$B115,0,IF(SUM($G114:BJ114)=$B114,$B115,0%)))</f>
        <v>0</v>
      </c>
      <c r="CH115" s="608">
        <f ca="1">IF($E$283=0,0,IF(SUM($G115:CG115)=$B115,0,IF(SUM($G114:BK114)=$B114,$B115,0%)))</f>
        <v>0</v>
      </c>
      <c r="CI115" s="608">
        <f ca="1">IF($E$283=0,0,IF(SUM($G115:CH115)=$B115,0,IF(SUM($G114:BL114)=$B114,$B115,0%)))</f>
        <v>0</v>
      </c>
      <c r="CJ115" s="608">
        <f ca="1">IF($E$283=0,0,IF(SUM($G115:CI115)=$B115,0,IF(SUM($G114:BM114)=$B114,$B115,0%)))</f>
        <v>0</v>
      </c>
      <c r="CK115" s="608">
        <f ca="1">IF($E$283=0,0,IF(SUM($G115:CJ115)=$B115,0,IF(SUM($G114:BN114)=$B114,$B115,0%)))</f>
        <v>0</v>
      </c>
      <c r="CL115" s="608">
        <f ca="1">IF($E$283=0,0,IF(SUM($G115:CK115)=$B115,0,IF(SUM($G114:BO114)=$B114,$B115,0%)))</f>
        <v>0</v>
      </c>
      <c r="CM115" s="608">
        <f ca="1">IF($E$283=0,0,IF(SUM($G115:CL115)=$B115,0,IF(SUM($G114:BP114)=$B114,$B115,0%)))</f>
        <v>0</v>
      </c>
      <c r="CN115" s="608">
        <f ca="1">IF($E$283=0,0,IF(SUM($G115:CM115)=$B115,0,IF(SUM($G114:BQ114)=$B114,$B115,0%)))</f>
        <v>0</v>
      </c>
      <c r="CO115" s="608">
        <f ca="1">IF($E$283=0,0,IF(SUM($G115:CN115)=$B115,0,IF(SUM($G114:BR114)=$B114,$B115,0%)))</f>
        <v>0</v>
      </c>
      <c r="CP115" s="608">
        <f ca="1">IF($E$283=0,0,IF(SUM($G115:CO115)=$B115,0,IF(SUM($G114:BS114)=$B114,$B115,0%)))</f>
        <v>0</v>
      </c>
      <c r="CQ115" s="608">
        <f ca="1">IF($E$283=0,0,IF(SUM($G115:CP115)=$B115,0,IF(SUM($G114:BT114)=$B114,$B115,0%)))</f>
        <v>0</v>
      </c>
      <c r="CR115" s="608">
        <f ca="1">IF($E$283=0,0,IF(SUM($G115:CQ115)=$B115,0,IF(SUM($G114:BU114)=$B114,$B115,0%)))</f>
        <v>0</v>
      </c>
      <c r="CS115" s="608">
        <f ca="1">IF($E$283=0,0,IF(SUM($G115:CR115)=$B115,0,IF(SUM($G114:BV114)=$B114,$B115,0%)))</f>
        <v>0</v>
      </c>
      <c r="CT115" s="608">
        <f ca="1">IF($E$283=0,0,IF(SUM($G115:CS115)=$B115,0,IF(SUM($G114:BW114)=$B114,$B115,0%)))</f>
        <v>0</v>
      </c>
      <c r="CU115" s="608">
        <f ca="1">IF($E$283=0,0,IF(SUM($G115:CT115)=$B115,0,IF(SUM($G114:BX114)=$B114,$B115,0%)))</f>
        <v>0</v>
      </c>
      <c r="CV115" s="608">
        <f ca="1">IF($E$283=0,0,IF(SUM($G115:CU115)=$B115,0,IF(SUM($G114:BY114)=$B114,$B115,0%)))</f>
        <v>0</v>
      </c>
      <c r="CW115" s="608">
        <f ca="1">IF($E$283=0,0,IF(SUM($G115:CV115)=$B115,0,IF(SUM($G114:BZ114)=$B114,$B115,0%)))</f>
        <v>0</v>
      </c>
      <c r="CX115" s="608">
        <f ca="1">IF($E$283=0,0,IF(SUM($G115:CW115)=$B115,0,IF(SUM($G114:CA114)=$B114,$B115,0%)))</f>
        <v>0</v>
      </c>
      <c r="CY115" s="608">
        <f ca="1">IF($E$283=0,0,IF(SUM($G115:CX115)=$B115,0,IF(SUM($G114:CB114)=$B114,$B115,0%)))</f>
        <v>0</v>
      </c>
      <c r="CZ115" s="608">
        <f ca="1">IF($E$283=0,0,IF(SUM($G115:CY115)=$B115,0,IF(SUM($G114:CC114)=$B114,$B115,0%)))</f>
        <v>0</v>
      </c>
      <c r="DA115" s="608">
        <f ca="1">IF($E$283=0,0,IF(SUM($G115:CZ115)=$B115,0,IF(SUM($G114:CD114)=$B114,$B115,0%)))</f>
        <v>0</v>
      </c>
      <c r="DB115" s="608">
        <f ca="1">IF($E$283=0,0,IF(SUM($G115:DA115)=$B115,0,IF(SUM($G114:CE114)=$B114,$B115,0%)))</f>
        <v>0</v>
      </c>
      <c r="DC115" s="608">
        <f ca="1">IF($E$283=0,0,IF(SUM($G115:DB115)=$B115,0,IF(SUM($G114:CF114)=$B114,$B115,0%)))</f>
        <v>0</v>
      </c>
      <c r="DD115" s="608">
        <f ca="1">IF($E$283=0,0,IF(SUM($G115:DC115)=$B115,0,IF(SUM($G114:CG114)=$B114,$B115,0%)))</f>
        <v>0</v>
      </c>
      <c r="DE115" s="608">
        <f ca="1">IF($E$283=0,0,IF(SUM($G115:DD115)=$B115,0,IF(SUM($G114:CH114)=$B114,$B115,0%)))</f>
        <v>0</v>
      </c>
      <c r="DF115" s="608">
        <f ca="1">IF($E$283=0,0,IF(SUM($G115:DE115)=$B115,0,IF(SUM($G114:CI114)=$B114,$B115,0%)))</f>
        <v>0</v>
      </c>
      <c r="DG115" s="608">
        <f ca="1">IF($E$283=0,0,IF(SUM($G115:DF115)=$B115,0,IF(SUM($G114:CJ114)=$B114,$B115,0%)))</f>
        <v>0</v>
      </c>
      <c r="DH115" s="608">
        <f ca="1">IF($E$283=0,0,IF(SUM($G115:DG115)=$B115,0,IF(SUM($G114:CK114)=$B114,$B115,0%)))</f>
        <v>0</v>
      </c>
      <c r="DI115" s="608">
        <f ca="1">IF($E$283=0,0,IF(SUM($G115:DH115)=$B115,0,IF(SUM($G114:CL114)=$B114,$B115,0%)))</f>
        <v>0</v>
      </c>
      <c r="DJ115" s="608">
        <f ca="1">IF($E$283=0,0,IF(SUM($G115:DI115)=$B115,0,IF(SUM($G114:CM114)=$B114,$B115,0%)))</f>
        <v>0</v>
      </c>
      <c r="DK115" s="608">
        <f ca="1">IF($E$283=0,0,IF(SUM($G115:DJ115)=$B115,0,IF(SUM($G114:CN114)=$B114,$B115,0%)))</f>
        <v>0</v>
      </c>
      <c r="DL115" s="608">
        <f ca="1">IF($E$283=0,0,IF(SUM($G115:DK115)=$B115,0,IF(SUM($G114:CO114)=$B114,$B115,0%)))</f>
        <v>0</v>
      </c>
      <c r="DM115" s="608">
        <f ca="1">IF($E$283=0,0,IF(SUM($G115:DL115)=$B115,0,IF(SUM($G114:CP114)=$B114,$B115,0%)))</f>
        <v>0</v>
      </c>
      <c r="DN115" s="608">
        <f ca="1">IF($E$283=0,0,IF(SUM($G115:DM115)=$B115,0,IF(SUM($G114:CQ114)=$B114,$B115,0%)))</f>
        <v>0</v>
      </c>
      <c r="DO115" s="608">
        <f ca="1">IF($E$283=0,0,IF(SUM($G115:DN115)=$B115,0,IF(SUM($G114:CR114)=$B114,$B115,0%)))</f>
        <v>0</v>
      </c>
      <c r="DP115" s="608">
        <f ca="1">IF($E$283=0,0,IF(SUM($G115:DO115)=$B115,0,IF(SUM($G114:CS114)=$B114,$B115,0%)))</f>
        <v>0</v>
      </c>
      <c r="DQ115" s="608">
        <f ca="1">IF($E$283=0,0,IF(SUM($G115:DP115)=$B115,0,IF(SUM($G114:CT114)=$B114,$B115,0%)))</f>
        <v>0</v>
      </c>
      <c r="DR115" s="608">
        <f ca="1">IF($E$283=0,0,IF(SUM($G115:DQ115)=$B115,0,IF(SUM($G114:CU114)=$B114,$B115,0%)))</f>
        <v>0</v>
      </c>
      <c r="DS115" s="608">
        <f ca="1">IF($E$283=0,0,IF(SUM($G115:DR115)=$B115,0,IF(SUM($G114:CV114)=$B114,$B115,0%)))</f>
        <v>0</v>
      </c>
      <c r="DT115" s="608">
        <f ca="1">IF($E$283=0,0,IF(SUM($G115:DS115)=$B115,0,IF(SUM($G114:CW114)=$B114,$B115,0%)))</f>
        <v>0</v>
      </c>
      <c r="DU115" s="608">
        <f ca="1">IF($E$283=0,0,IF(SUM($G115:DT115)=$B115,0,IF(SUM($G114:CX114)=$B114,$B115,0%)))</f>
        <v>0</v>
      </c>
      <c r="DV115" s="608">
        <f ca="1">IF($E$283=0,0,IF(SUM($G115:DU115)=$B115,0,IF(SUM($G114:CY114)=$B114,$B115,0%)))</f>
        <v>0</v>
      </c>
      <c r="DW115" s="608">
        <f ca="1">IF($E$283=0,0,IF(SUM($G115:DV115)=$B115,0,IF(SUM($G114:CZ114)=$B114,$B115,0%)))</f>
        <v>0</v>
      </c>
      <c r="DX115" s="608">
        <f ca="1">IF($E$283=0,0,IF(SUM($G115:DW115)=$B115,0,IF(SUM($G114:DA114)=$B114,$B115,0%)))</f>
        <v>0</v>
      </c>
      <c r="DY115" s="608">
        <f ca="1">IF($E$283=0,0,IF(SUM($G115:DX115)=$B115,0,IF(SUM($G114:DB114)=$B114,$B115,0%)))</f>
        <v>0</v>
      </c>
      <c r="DZ115" s="608">
        <f ca="1">IF($E$283=0,0,IF(SUM($G115:DY115)=$B115,0,IF(SUM($G114:DC114)=$B114,$B115,0%)))</f>
        <v>0</v>
      </c>
      <c r="EA115" s="608">
        <f ca="1">IF($E$283=0,0,IF(SUM($G115:DZ115)=$B115,0,IF(SUM($G114:DD114)=$B114,$B115,0%)))</f>
        <v>0</v>
      </c>
      <c r="EB115" s="608">
        <f ca="1">IF($E$283=0,0,IF(SUM($G115:EA115)=$B115,0,IF(SUM($G114:DE114)=$B114,$B115,0%)))</f>
        <v>0</v>
      </c>
      <c r="EC115" s="608">
        <f ca="1">IF($E$283=0,0,IF(SUM($G115:EB115)=$B115,0,IF(SUM($G114:DF114)=$B114,$B115,0%)))</f>
        <v>0</v>
      </c>
      <c r="ED115" s="608">
        <f ca="1">IF($E$283=0,0,IF(SUM($G115:EC115)=$B115,0,IF(SUM($G114:DG114)=$B114,$B115,0%)))</f>
        <v>0</v>
      </c>
      <c r="EE115" s="608">
        <f ca="1">IF($E$283=0,0,IF(SUM($G115:ED115)=$B115,0,IF(SUM($G114:DH114)=$B114,$B115,0%)))</f>
        <v>0</v>
      </c>
      <c r="EF115" s="608">
        <f ca="1">IF($E$283=0,0,IF(SUM($G115:EE115)=$B115,0,IF(SUM($G114:DI114)=$B114,$B115,0%)))</f>
        <v>0</v>
      </c>
      <c r="EG115" s="608">
        <f ca="1">IF($E$283=0,0,IF(SUM($G115:EF115)=$B115,0,IF(SUM($G114:DJ114)=$B114,$B115,0%)))</f>
        <v>0</v>
      </c>
      <c r="EH115" s="608">
        <f ca="1">IF($E$283=0,0,IF(SUM($G115:EG115)=$B115,0,IF(SUM($G114:DK114)=$B114,$B115,0%)))</f>
        <v>0</v>
      </c>
      <c r="EI115" s="608">
        <f ca="1">IF($E$283=0,0,IF(SUM($G115:EH115)=$B115,0,IF(SUM($G114:DL114)=$B114,$B115,0%)))</f>
        <v>0</v>
      </c>
      <c r="EJ115" s="398"/>
      <c r="EK115" s="313"/>
    </row>
    <row r="116" spans="1:141" hidden="1" outlineLevel="1" collapsed="1">
      <c r="A116" s="332"/>
      <c r="B116" s="313"/>
      <c r="C116" s="392" t="s">
        <v>74</v>
      </c>
      <c r="D116" s="392" t="str">
        <f>D289</f>
        <v>Кровля - изоляция</v>
      </c>
      <c r="E116" s="393">
        <f ca="1">ROUND(IF(F116=0,0,100%-F116),0)</f>
        <v>0</v>
      </c>
      <c r="F116" s="394">
        <f t="shared" ref="F116:F118" ca="1" si="336">SUM(G116:EJ116)</f>
        <v>0.99999999999999989</v>
      </c>
      <c r="G116" s="395">
        <f>SUM(G117:G120)</f>
        <v>0</v>
      </c>
      <c r="H116" s="395">
        <f t="shared" ref="H116:BS116" ca="1" si="337">SUM(H117:H120)</f>
        <v>0</v>
      </c>
      <c r="I116" s="395">
        <f t="shared" ca="1" si="337"/>
        <v>0</v>
      </c>
      <c r="J116" s="395">
        <f t="shared" ca="1" si="337"/>
        <v>0</v>
      </c>
      <c r="K116" s="395">
        <f t="shared" ca="1" si="337"/>
        <v>0</v>
      </c>
      <c r="L116" s="395">
        <f t="shared" ca="1" si="337"/>
        <v>0</v>
      </c>
      <c r="M116" s="395">
        <f t="shared" ca="1" si="337"/>
        <v>0</v>
      </c>
      <c r="N116" s="395">
        <f t="shared" ca="1" si="337"/>
        <v>0</v>
      </c>
      <c r="O116" s="395">
        <f t="shared" ca="1" si="337"/>
        <v>0</v>
      </c>
      <c r="P116" s="395">
        <f t="shared" ca="1" si="337"/>
        <v>0</v>
      </c>
      <c r="Q116" s="395">
        <f t="shared" ca="1" si="337"/>
        <v>0</v>
      </c>
      <c r="R116" s="395">
        <f t="shared" ca="1" si="337"/>
        <v>0</v>
      </c>
      <c r="S116" s="395">
        <f t="shared" ca="1" si="337"/>
        <v>0</v>
      </c>
      <c r="T116" s="395">
        <f t="shared" ca="1" si="337"/>
        <v>0</v>
      </c>
      <c r="U116" s="395">
        <f t="shared" ca="1" si="337"/>
        <v>0</v>
      </c>
      <c r="V116" s="395">
        <f t="shared" ca="1" si="337"/>
        <v>0</v>
      </c>
      <c r="W116" s="395">
        <f t="shared" ca="1" si="337"/>
        <v>0</v>
      </c>
      <c r="X116" s="395">
        <f t="shared" ca="1" si="337"/>
        <v>0</v>
      </c>
      <c r="Y116" s="395">
        <f t="shared" ca="1" si="337"/>
        <v>0</v>
      </c>
      <c r="Z116" s="395">
        <f t="shared" ca="1" si="337"/>
        <v>0</v>
      </c>
      <c r="AA116" s="395">
        <f t="shared" ca="1" si="337"/>
        <v>0</v>
      </c>
      <c r="AB116" s="395">
        <f t="shared" ca="1" si="337"/>
        <v>0</v>
      </c>
      <c r="AC116" s="395">
        <f t="shared" ca="1" si="337"/>
        <v>0</v>
      </c>
      <c r="AD116" s="395">
        <f t="shared" ca="1" si="337"/>
        <v>0</v>
      </c>
      <c r="AE116" s="395">
        <f t="shared" ca="1" si="337"/>
        <v>0</v>
      </c>
      <c r="AF116" s="395">
        <f t="shared" ca="1" si="337"/>
        <v>0</v>
      </c>
      <c r="AG116" s="395">
        <f t="shared" ca="1" si="337"/>
        <v>0</v>
      </c>
      <c r="AH116" s="395">
        <f t="shared" ca="1" si="337"/>
        <v>0</v>
      </c>
      <c r="AI116" s="395">
        <f t="shared" ca="1" si="337"/>
        <v>0</v>
      </c>
      <c r="AJ116" s="395">
        <f t="shared" ca="1" si="337"/>
        <v>0</v>
      </c>
      <c r="AK116" s="395">
        <f t="shared" ca="1" si="337"/>
        <v>0</v>
      </c>
      <c r="AL116" s="395">
        <f t="shared" ca="1" si="337"/>
        <v>0</v>
      </c>
      <c r="AM116" s="395">
        <f t="shared" ca="1" si="337"/>
        <v>0</v>
      </c>
      <c r="AN116" s="395">
        <f t="shared" ca="1" si="337"/>
        <v>0.15</v>
      </c>
      <c r="AO116" s="395">
        <f t="shared" ca="1" si="337"/>
        <v>0</v>
      </c>
      <c r="AP116" s="395">
        <f t="shared" ca="1" si="337"/>
        <v>0.20821917808219176</v>
      </c>
      <c r="AQ116" s="395">
        <f t="shared" ca="1" si="337"/>
        <v>0.30684931506849311</v>
      </c>
      <c r="AR116" s="395">
        <f t="shared" ca="1" si="337"/>
        <v>0.28493150684931501</v>
      </c>
      <c r="AS116" s="395">
        <f t="shared" ca="1" si="337"/>
        <v>2.5000000000000001E-2</v>
      </c>
      <c r="AT116" s="395">
        <f t="shared" ca="1" si="337"/>
        <v>0</v>
      </c>
      <c r="AU116" s="395">
        <f t="shared" ca="1" si="337"/>
        <v>0</v>
      </c>
      <c r="AV116" s="395">
        <f t="shared" ca="1" si="337"/>
        <v>0</v>
      </c>
      <c r="AW116" s="395">
        <f t="shared" ca="1" si="337"/>
        <v>0</v>
      </c>
      <c r="AX116" s="395">
        <f t="shared" ca="1" si="337"/>
        <v>0</v>
      </c>
      <c r="AY116" s="395">
        <f t="shared" ca="1" si="337"/>
        <v>0</v>
      </c>
      <c r="AZ116" s="395">
        <f t="shared" ca="1" si="337"/>
        <v>0</v>
      </c>
      <c r="BA116" s="395">
        <f t="shared" ca="1" si="337"/>
        <v>0</v>
      </c>
      <c r="BB116" s="395">
        <f t="shared" ca="1" si="337"/>
        <v>0</v>
      </c>
      <c r="BC116" s="395">
        <f t="shared" ca="1" si="337"/>
        <v>0</v>
      </c>
      <c r="BD116" s="395">
        <f t="shared" ca="1" si="337"/>
        <v>0</v>
      </c>
      <c r="BE116" s="395">
        <f t="shared" ca="1" si="337"/>
        <v>0</v>
      </c>
      <c r="BF116" s="395">
        <f t="shared" ca="1" si="337"/>
        <v>0</v>
      </c>
      <c r="BG116" s="395">
        <f t="shared" ca="1" si="337"/>
        <v>0</v>
      </c>
      <c r="BH116" s="395">
        <f t="shared" ca="1" si="337"/>
        <v>0</v>
      </c>
      <c r="BI116" s="395">
        <f t="shared" ca="1" si="337"/>
        <v>0</v>
      </c>
      <c r="BJ116" s="395">
        <f t="shared" ca="1" si="337"/>
        <v>0</v>
      </c>
      <c r="BK116" s="395">
        <f t="shared" ca="1" si="337"/>
        <v>0</v>
      </c>
      <c r="BL116" s="395">
        <f t="shared" ca="1" si="337"/>
        <v>0</v>
      </c>
      <c r="BM116" s="395">
        <f t="shared" ca="1" si="337"/>
        <v>0</v>
      </c>
      <c r="BN116" s="395">
        <f t="shared" ca="1" si="337"/>
        <v>0</v>
      </c>
      <c r="BO116" s="395">
        <f t="shared" ca="1" si="337"/>
        <v>0</v>
      </c>
      <c r="BP116" s="395">
        <f t="shared" ca="1" si="337"/>
        <v>2.5000000000000001E-2</v>
      </c>
      <c r="BQ116" s="395">
        <f t="shared" ca="1" si="337"/>
        <v>0</v>
      </c>
      <c r="BR116" s="395">
        <f t="shared" ca="1" si="337"/>
        <v>0</v>
      </c>
      <c r="BS116" s="395">
        <f t="shared" ca="1" si="337"/>
        <v>0</v>
      </c>
      <c r="BT116" s="395">
        <f t="shared" ref="BT116:EE116" ca="1" si="338">SUM(BT117:BT120)</f>
        <v>0</v>
      </c>
      <c r="BU116" s="395">
        <f t="shared" ca="1" si="338"/>
        <v>0</v>
      </c>
      <c r="BV116" s="395">
        <f t="shared" ca="1" si="338"/>
        <v>0</v>
      </c>
      <c r="BW116" s="395">
        <f t="shared" ca="1" si="338"/>
        <v>0</v>
      </c>
      <c r="BX116" s="395">
        <f t="shared" ca="1" si="338"/>
        <v>0</v>
      </c>
      <c r="BY116" s="395">
        <f t="shared" ca="1" si="338"/>
        <v>0</v>
      </c>
      <c r="BZ116" s="395">
        <f t="shared" ca="1" si="338"/>
        <v>0</v>
      </c>
      <c r="CA116" s="395">
        <f t="shared" ca="1" si="338"/>
        <v>0</v>
      </c>
      <c r="CB116" s="395">
        <f t="shared" ca="1" si="338"/>
        <v>0</v>
      </c>
      <c r="CC116" s="395">
        <f t="shared" ca="1" si="338"/>
        <v>0</v>
      </c>
      <c r="CD116" s="395">
        <f t="shared" ca="1" si="338"/>
        <v>0</v>
      </c>
      <c r="CE116" s="395">
        <f t="shared" ca="1" si="338"/>
        <v>0</v>
      </c>
      <c r="CF116" s="395">
        <f t="shared" ca="1" si="338"/>
        <v>0</v>
      </c>
      <c r="CG116" s="395">
        <f t="shared" ca="1" si="338"/>
        <v>0</v>
      </c>
      <c r="CH116" s="395">
        <f t="shared" ca="1" si="338"/>
        <v>0</v>
      </c>
      <c r="CI116" s="395">
        <f t="shared" ca="1" si="338"/>
        <v>0</v>
      </c>
      <c r="CJ116" s="395">
        <f t="shared" ca="1" si="338"/>
        <v>0</v>
      </c>
      <c r="CK116" s="395">
        <f t="shared" ca="1" si="338"/>
        <v>0</v>
      </c>
      <c r="CL116" s="395">
        <f t="shared" ca="1" si="338"/>
        <v>0</v>
      </c>
      <c r="CM116" s="395">
        <f t="shared" ca="1" si="338"/>
        <v>0</v>
      </c>
      <c r="CN116" s="395">
        <f t="shared" ca="1" si="338"/>
        <v>0</v>
      </c>
      <c r="CO116" s="395">
        <f t="shared" ca="1" si="338"/>
        <v>0</v>
      </c>
      <c r="CP116" s="395">
        <f t="shared" ca="1" si="338"/>
        <v>0</v>
      </c>
      <c r="CQ116" s="395">
        <f t="shared" ca="1" si="338"/>
        <v>0</v>
      </c>
      <c r="CR116" s="395">
        <f t="shared" ca="1" si="338"/>
        <v>0</v>
      </c>
      <c r="CS116" s="395">
        <f t="shared" ca="1" si="338"/>
        <v>0</v>
      </c>
      <c r="CT116" s="395">
        <f t="shared" ca="1" si="338"/>
        <v>0</v>
      </c>
      <c r="CU116" s="395">
        <f t="shared" ca="1" si="338"/>
        <v>0</v>
      </c>
      <c r="CV116" s="395">
        <f t="shared" ca="1" si="338"/>
        <v>0</v>
      </c>
      <c r="CW116" s="395">
        <f t="shared" ca="1" si="338"/>
        <v>0</v>
      </c>
      <c r="CX116" s="395">
        <f t="shared" ca="1" si="338"/>
        <v>0</v>
      </c>
      <c r="CY116" s="395">
        <f t="shared" ca="1" si="338"/>
        <v>0</v>
      </c>
      <c r="CZ116" s="395">
        <f t="shared" ca="1" si="338"/>
        <v>0</v>
      </c>
      <c r="DA116" s="395">
        <f t="shared" ca="1" si="338"/>
        <v>0</v>
      </c>
      <c r="DB116" s="395">
        <f t="shared" ca="1" si="338"/>
        <v>0</v>
      </c>
      <c r="DC116" s="395">
        <f t="shared" ca="1" si="338"/>
        <v>0</v>
      </c>
      <c r="DD116" s="395">
        <f t="shared" ca="1" si="338"/>
        <v>0</v>
      </c>
      <c r="DE116" s="395">
        <f t="shared" ca="1" si="338"/>
        <v>0</v>
      </c>
      <c r="DF116" s="395">
        <f t="shared" ca="1" si="338"/>
        <v>0</v>
      </c>
      <c r="DG116" s="395">
        <f t="shared" ca="1" si="338"/>
        <v>0</v>
      </c>
      <c r="DH116" s="395">
        <f t="shared" ca="1" si="338"/>
        <v>0</v>
      </c>
      <c r="DI116" s="395">
        <f t="shared" ca="1" si="338"/>
        <v>0</v>
      </c>
      <c r="DJ116" s="395">
        <f t="shared" ca="1" si="338"/>
        <v>0</v>
      </c>
      <c r="DK116" s="395">
        <f t="shared" ca="1" si="338"/>
        <v>0</v>
      </c>
      <c r="DL116" s="395">
        <f t="shared" ca="1" si="338"/>
        <v>0</v>
      </c>
      <c r="DM116" s="395">
        <f t="shared" ca="1" si="338"/>
        <v>0</v>
      </c>
      <c r="DN116" s="395">
        <f t="shared" ca="1" si="338"/>
        <v>0</v>
      </c>
      <c r="DO116" s="395">
        <f t="shared" ca="1" si="338"/>
        <v>0</v>
      </c>
      <c r="DP116" s="395">
        <f t="shared" ca="1" si="338"/>
        <v>0</v>
      </c>
      <c r="DQ116" s="395">
        <f t="shared" ca="1" si="338"/>
        <v>0</v>
      </c>
      <c r="DR116" s="395">
        <f t="shared" ca="1" si="338"/>
        <v>0</v>
      </c>
      <c r="DS116" s="395">
        <f t="shared" ca="1" si="338"/>
        <v>0</v>
      </c>
      <c r="DT116" s="395">
        <f t="shared" ca="1" si="338"/>
        <v>0</v>
      </c>
      <c r="DU116" s="395">
        <f t="shared" ca="1" si="338"/>
        <v>0</v>
      </c>
      <c r="DV116" s="395">
        <f t="shared" ca="1" si="338"/>
        <v>0</v>
      </c>
      <c r="DW116" s="395">
        <f t="shared" ca="1" si="338"/>
        <v>0</v>
      </c>
      <c r="DX116" s="395">
        <f t="shared" ca="1" si="338"/>
        <v>0</v>
      </c>
      <c r="DY116" s="395">
        <f t="shared" ca="1" si="338"/>
        <v>0</v>
      </c>
      <c r="DZ116" s="395">
        <f t="shared" ca="1" si="338"/>
        <v>0</v>
      </c>
      <c r="EA116" s="395">
        <f t="shared" ca="1" si="338"/>
        <v>0</v>
      </c>
      <c r="EB116" s="395">
        <f t="shared" ca="1" si="338"/>
        <v>0</v>
      </c>
      <c r="EC116" s="395">
        <f t="shared" ca="1" si="338"/>
        <v>0</v>
      </c>
      <c r="ED116" s="395">
        <f t="shared" ca="1" si="338"/>
        <v>0</v>
      </c>
      <c r="EE116" s="395">
        <f t="shared" ca="1" si="338"/>
        <v>0</v>
      </c>
      <c r="EF116" s="395">
        <f t="shared" ref="EF116:EI116" ca="1" si="339">SUM(EF117:EF120)</f>
        <v>0</v>
      </c>
      <c r="EG116" s="395">
        <f t="shared" ca="1" si="339"/>
        <v>0</v>
      </c>
      <c r="EH116" s="395">
        <f t="shared" ca="1" si="339"/>
        <v>0</v>
      </c>
      <c r="EI116" s="395">
        <f t="shared" ca="1" si="339"/>
        <v>0</v>
      </c>
      <c r="EJ116" s="398"/>
      <c r="EK116" s="313"/>
    </row>
    <row r="117" spans="1:141" hidden="1" outlineLevel="2">
      <c r="A117" s="332"/>
      <c r="B117" s="549">
        <f>длительность!B186</f>
        <v>0.15</v>
      </c>
      <c r="C117" s="317"/>
      <c r="D117" s="317" t="s">
        <v>664</v>
      </c>
      <c r="E117" s="318">
        <f t="shared" ref="E117:E120" ca="1" si="340">IF(F117=0,0,B117-F117)</f>
        <v>0</v>
      </c>
      <c r="F117" s="397">
        <f t="shared" ca="1" si="336"/>
        <v>0.15</v>
      </c>
      <c r="G117" s="395"/>
      <c r="H117" s="395">
        <f ca="1">IF(SUM($G117:G117)=$B117,0,IF(J118&gt;0%,$B117,0%))</f>
        <v>0</v>
      </c>
      <c r="I117" s="395">
        <f ca="1">IF(SUM($G117:H117)=$B117,0,IF(K118&gt;0%,$B117,0%))</f>
        <v>0</v>
      </c>
      <c r="J117" s="395">
        <f ca="1">IF(SUM($G117:I117)=$B117,0,IF(L118&gt;0%,$B117,0%))</f>
        <v>0</v>
      </c>
      <c r="K117" s="395">
        <f ca="1">IF(SUM($G117:J117)=$B117,0,IF(M118&gt;0%,$B117,0%))</f>
        <v>0</v>
      </c>
      <c r="L117" s="395">
        <f ca="1">IF(SUM($G117:K117)=$B117,0,IF(N118&gt;0%,$B117,0%))</f>
        <v>0</v>
      </c>
      <c r="M117" s="395">
        <f ca="1">IF(SUM($G117:L117)=$B117,0,IF(O118&gt;0%,$B117,0%))</f>
        <v>0</v>
      </c>
      <c r="N117" s="395">
        <f ca="1">IF(SUM($G117:M117)=$B117,0,IF(P118&gt;0%,$B117,0%))</f>
        <v>0</v>
      </c>
      <c r="O117" s="395">
        <f ca="1">IF(SUM($G117:N117)=$B117,0,IF(Q118&gt;0%,$B117,0%))</f>
        <v>0</v>
      </c>
      <c r="P117" s="395">
        <f ca="1">IF(SUM($G117:O117)=$B117,0,IF(R118&gt;0%,$B117,0%))</f>
        <v>0</v>
      </c>
      <c r="Q117" s="395">
        <f ca="1">IF(SUM($G117:P117)=$B117,0,IF(S118&gt;0%,$B117,0%))</f>
        <v>0</v>
      </c>
      <c r="R117" s="395">
        <f ca="1">IF(SUM($G117:Q117)=$B117,0,IF(T118&gt;0%,$B117,0%))</f>
        <v>0</v>
      </c>
      <c r="S117" s="395">
        <f ca="1">IF(SUM($G117:R117)=$B117,0,IF(U118&gt;0%,$B117,0%))</f>
        <v>0</v>
      </c>
      <c r="T117" s="395">
        <f ca="1">IF(SUM($G117:S117)=$B117,0,IF(V118&gt;0%,$B117,0%))</f>
        <v>0</v>
      </c>
      <c r="U117" s="395">
        <f ca="1">IF(SUM($G117:T117)=$B117,0,IF(W118&gt;0%,$B117,0%))</f>
        <v>0</v>
      </c>
      <c r="V117" s="395">
        <f ca="1">IF(SUM($G117:U117)=$B117,0,IF(X118&gt;0%,$B117,0%))</f>
        <v>0</v>
      </c>
      <c r="W117" s="395">
        <f ca="1">IF(SUM($G117:V117)=$B117,0,IF(Y118&gt;0%,$B117,0%))</f>
        <v>0</v>
      </c>
      <c r="X117" s="395">
        <f ca="1">IF(SUM($G117:W117)=$B117,0,IF(Z118&gt;0%,$B117,0%))</f>
        <v>0</v>
      </c>
      <c r="Y117" s="395">
        <f ca="1">IF(SUM($G117:X117)=$B117,0,IF(AA118&gt;0%,$B117,0%))</f>
        <v>0</v>
      </c>
      <c r="Z117" s="395">
        <f ca="1">IF(SUM($G117:Y117)=$B117,0,IF(AB118&gt;0%,$B117,0%))</f>
        <v>0</v>
      </c>
      <c r="AA117" s="395">
        <f ca="1">IF(SUM($G117:Z117)=$B117,0,IF(AC118&gt;0%,$B117,0%))</f>
        <v>0</v>
      </c>
      <c r="AB117" s="395">
        <f ca="1">IF(SUM($G117:AA117)=$B117,0,IF(AD118&gt;0%,$B117,0%))</f>
        <v>0</v>
      </c>
      <c r="AC117" s="395">
        <f ca="1">IF(SUM($G117:AB117)=$B117,0,IF(AE118&gt;0%,$B117,0%))</f>
        <v>0</v>
      </c>
      <c r="AD117" s="395">
        <f ca="1">IF(SUM($G117:AC117)=$B117,0,IF(AF118&gt;0%,$B117,0%))</f>
        <v>0</v>
      </c>
      <c r="AE117" s="395">
        <f ca="1">IF(SUM($G117:AD117)=$B117,0,IF(AG118&gt;0%,$B117,0%))</f>
        <v>0</v>
      </c>
      <c r="AF117" s="395">
        <f ca="1">IF(SUM($G117:AE117)=$B117,0,IF(AH118&gt;0%,$B117,0%))</f>
        <v>0</v>
      </c>
      <c r="AG117" s="395">
        <f ca="1">IF(SUM($G117:AF117)=$B117,0,IF(AI118&gt;0%,$B117,0%))</f>
        <v>0</v>
      </c>
      <c r="AH117" s="395">
        <f ca="1">IF(SUM($G117:AG117)=$B117,0,IF(AJ118&gt;0%,$B117,0%))</f>
        <v>0</v>
      </c>
      <c r="AI117" s="395">
        <f ca="1">IF(SUM($G117:AH117)=$B117,0,IF(AK118&gt;0%,$B117,0%))</f>
        <v>0</v>
      </c>
      <c r="AJ117" s="395">
        <f ca="1">IF(SUM($G117:AI117)=$B117,0,IF(AL118&gt;0%,$B117,0%))</f>
        <v>0</v>
      </c>
      <c r="AK117" s="395">
        <f ca="1">IF(SUM($G117:AJ117)=$B117,0,IF(AM118&gt;0%,$B117,0%))</f>
        <v>0</v>
      </c>
      <c r="AL117" s="395">
        <f ca="1">IF(SUM($G117:AK117)=$B117,0,IF(AN118&gt;0%,$B117,0%))</f>
        <v>0</v>
      </c>
      <c r="AM117" s="395">
        <f ca="1">IF(SUM($G117:AL117)=$B117,0,IF(AO118&gt;0%,$B117,0%))</f>
        <v>0</v>
      </c>
      <c r="AN117" s="395">
        <f ca="1">IF(SUM($G117:AM117)=$B117,0,IF(AP118&gt;0%,$B117,0%))</f>
        <v>0.15</v>
      </c>
      <c r="AO117" s="395">
        <f ca="1">IF(SUM($G117:AN117)=$B117,0,IF(AQ118&gt;0%,$B117,0%))</f>
        <v>0</v>
      </c>
      <c r="AP117" s="395">
        <f ca="1">IF(SUM($G117:AO117)=$B117,0,IF(AR118&gt;0%,$B117,0%))</f>
        <v>0</v>
      </c>
      <c r="AQ117" s="395">
        <f ca="1">IF(SUM($G117:AP117)=$B117,0,IF(AS118&gt;0%,$B117,0%))</f>
        <v>0</v>
      </c>
      <c r="AR117" s="395">
        <f ca="1">IF(SUM($G117:AQ117)=$B117,0,IF(AT118&gt;0%,$B117,0%))</f>
        <v>0</v>
      </c>
      <c r="AS117" s="395">
        <f ca="1">IF(SUM($G117:AR117)=$B117,0,IF(AU118&gt;0%,$B117,0%))</f>
        <v>0</v>
      </c>
      <c r="AT117" s="395">
        <f ca="1">IF(SUM($G117:AS117)=$B117,0,IF(AV118&gt;0%,$B117,0%))</f>
        <v>0</v>
      </c>
      <c r="AU117" s="395">
        <f ca="1">IF(SUM($G117:AT117)=$B117,0,IF(AW118&gt;0%,$B117,0%))</f>
        <v>0</v>
      </c>
      <c r="AV117" s="395">
        <f ca="1">IF(SUM($G117:AU117)=$B117,0,IF(AX118&gt;0%,$B117,0%))</f>
        <v>0</v>
      </c>
      <c r="AW117" s="395">
        <f ca="1">IF(SUM($G117:AV117)=$B117,0,IF(AY118&gt;0%,$B117,0%))</f>
        <v>0</v>
      </c>
      <c r="AX117" s="395">
        <f ca="1">IF(SUM($G117:AW117)=$B117,0,IF(AZ118&gt;0%,$B117,0%))</f>
        <v>0</v>
      </c>
      <c r="AY117" s="395">
        <f ca="1">IF(SUM($G117:AX117)=$B117,0,IF(BA118&gt;0%,$B117,0%))</f>
        <v>0</v>
      </c>
      <c r="AZ117" s="395">
        <f ca="1">IF(SUM($G117:AY117)=$B117,0,IF(BB118&gt;0%,$B117,0%))</f>
        <v>0</v>
      </c>
      <c r="BA117" s="395">
        <f ca="1">IF(SUM($G117:AZ117)=$B117,0,IF(BC118&gt;0%,$B117,0%))</f>
        <v>0</v>
      </c>
      <c r="BB117" s="395">
        <f ca="1">IF(SUM($G117:BA117)=$B117,0,IF(BD118&gt;0%,$B117,0%))</f>
        <v>0</v>
      </c>
      <c r="BC117" s="395">
        <f ca="1">IF(SUM($G117:BB117)=$B117,0,IF(BE118&gt;0%,$B117,0%))</f>
        <v>0</v>
      </c>
      <c r="BD117" s="395">
        <f ca="1">IF(SUM($G117:BC117)=$B117,0,IF(BF118&gt;0%,$B117,0%))</f>
        <v>0</v>
      </c>
      <c r="BE117" s="395">
        <f ca="1">IF(SUM($G117:BD117)=$B117,0,IF(BG118&gt;0%,$B117,0%))</f>
        <v>0</v>
      </c>
      <c r="BF117" s="395">
        <f ca="1">IF(SUM($G117:BE117)=$B117,0,IF(BH118&gt;0%,$B117,0%))</f>
        <v>0</v>
      </c>
      <c r="BG117" s="395">
        <f ca="1">IF(SUM($G117:BF117)=$B117,0,IF(BI118&gt;0%,$B117,0%))</f>
        <v>0</v>
      </c>
      <c r="BH117" s="395">
        <f ca="1">IF(SUM($G117:BG117)=$B117,0,IF(BJ118&gt;0%,$B117,0%))</f>
        <v>0</v>
      </c>
      <c r="BI117" s="395">
        <f ca="1">IF(SUM($G117:BH117)=$B117,0,IF(BK118&gt;0%,$B117,0%))</f>
        <v>0</v>
      </c>
      <c r="BJ117" s="395">
        <f ca="1">IF(SUM($G117:BI117)=$B117,0,IF(BL118&gt;0%,$B117,0%))</f>
        <v>0</v>
      </c>
      <c r="BK117" s="395">
        <f ca="1">IF(SUM($G117:BJ117)=$B117,0,IF(BM118&gt;0%,$B117,0%))</f>
        <v>0</v>
      </c>
      <c r="BL117" s="395">
        <f ca="1">IF(SUM($G117:BK117)=$B117,0,IF(BN118&gt;0%,$B117,0%))</f>
        <v>0</v>
      </c>
      <c r="BM117" s="395">
        <f ca="1">IF(SUM($G117:BL117)=$B117,0,IF(BO118&gt;0%,$B117,0%))</f>
        <v>0</v>
      </c>
      <c r="BN117" s="395">
        <f ca="1">IF(SUM($G117:BM117)=$B117,0,IF(BP118&gt;0%,$B117,0%))</f>
        <v>0</v>
      </c>
      <c r="BO117" s="395">
        <f ca="1">IF(SUM($G117:BN117)=$B117,0,IF(BQ118&gt;0%,$B117,0%))</f>
        <v>0</v>
      </c>
      <c r="BP117" s="395">
        <f ca="1">IF(SUM($G117:BO117)=$B117,0,IF(BR118&gt;0%,$B117,0%))</f>
        <v>0</v>
      </c>
      <c r="BQ117" s="395">
        <f ca="1">IF(SUM($G117:BP117)=$B117,0,IF(BS118&gt;0%,$B117,0%))</f>
        <v>0</v>
      </c>
      <c r="BR117" s="395">
        <f ca="1">IF(SUM($G117:BQ117)=$B117,0,IF(BT118&gt;0%,$B117,0%))</f>
        <v>0</v>
      </c>
      <c r="BS117" s="395">
        <f ca="1">IF(SUM($G117:BR117)=$B117,0,IF(BU118&gt;0%,$B117,0%))</f>
        <v>0</v>
      </c>
      <c r="BT117" s="395">
        <f ca="1">IF(SUM($G117:BS117)=$B117,0,IF(BV118&gt;0%,$B117,0%))</f>
        <v>0</v>
      </c>
      <c r="BU117" s="395">
        <f ca="1">IF(SUM($G117:BT117)=$B117,0,IF(BW118&gt;0%,$B117,0%))</f>
        <v>0</v>
      </c>
      <c r="BV117" s="395">
        <f ca="1">IF(SUM($G117:BU117)=$B117,0,IF(BX118&gt;0%,$B117,0%))</f>
        <v>0</v>
      </c>
      <c r="BW117" s="395">
        <f ca="1">IF(SUM($G117:BV117)=$B117,0,IF(BY118&gt;0%,$B117,0%))</f>
        <v>0</v>
      </c>
      <c r="BX117" s="395">
        <f ca="1">IF(SUM($G117:BW117)=$B117,0,IF(BZ118&gt;0%,$B117,0%))</f>
        <v>0</v>
      </c>
      <c r="BY117" s="395">
        <f ca="1">IF(SUM($G117:BX117)=$B117,0,IF(CA118&gt;0%,$B117,0%))</f>
        <v>0</v>
      </c>
      <c r="BZ117" s="395">
        <f ca="1">IF(SUM($G117:BY117)=$B117,0,IF(CB118&gt;0%,$B117,0%))</f>
        <v>0</v>
      </c>
      <c r="CA117" s="395">
        <f ca="1">IF(SUM($G117:BZ117)=$B117,0,IF(CC118&gt;0%,$B117,0%))</f>
        <v>0</v>
      </c>
      <c r="CB117" s="395">
        <f ca="1">IF(SUM($G117:CA117)=$B117,0,IF(CD118&gt;0%,$B117,0%))</f>
        <v>0</v>
      </c>
      <c r="CC117" s="395">
        <f ca="1">IF(SUM($G117:CB117)=$B117,0,IF(CE118&gt;0%,$B117,0%))</f>
        <v>0</v>
      </c>
      <c r="CD117" s="395">
        <f ca="1">IF(SUM($G117:CC117)=$B117,0,IF(CF118&gt;0%,$B117,0%))</f>
        <v>0</v>
      </c>
      <c r="CE117" s="395">
        <f ca="1">IF(SUM($G117:CD117)=$B117,0,IF(CG118&gt;0%,$B117,0%))</f>
        <v>0</v>
      </c>
      <c r="CF117" s="395">
        <f ca="1">IF(SUM($G117:CE117)=$B117,0,IF(CH118&gt;0%,$B117,0%))</f>
        <v>0</v>
      </c>
      <c r="CG117" s="395">
        <f ca="1">IF(SUM($G117:CF117)=$B117,0,IF(CI118&gt;0%,$B117,0%))</f>
        <v>0</v>
      </c>
      <c r="CH117" s="395">
        <f ca="1">IF(SUM($G117:CG117)=$B117,0,IF(CJ118&gt;0%,$B117,0%))</f>
        <v>0</v>
      </c>
      <c r="CI117" s="395">
        <f ca="1">IF(SUM($G117:CH117)=$B117,0,IF(CK118&gt;0%,$B117,0%))</f>
        <v>0</v>
      </c>
      <c r="CJ117" s="395">
        <f ca="1">IF(SUM($G117:CI117)=$B117,0,IF(CL118&gt;0%,$B117,0%))</f>
        <v>0</v>
      </c>
      <c r="CK117" s="395">
        <f ca="1">IF(SUM($G117:CJ117)=$B117,0,IF(CM118&gt;0%,$B117,0%))</f>
        <v>0</v>
      </c>
      <c r="CL117" s="395">
        <f ca="1">IF(SUM($G117:CK117)=$B117,0,IF(CN118&gt;0%,$B117,0%))</f>
        <v>0</v>
      </c>
      <c r="CM117" s="395">
        <f ca="1">IF(SUM($G117:CL117)=$B117,0,IF(CO118&gt;0%,$B117,0%))</f>
        <v>0</v>
      </c>
      <c r="CN117" s="395">
        <f ca="1">IF(SUM($G117:CM117)=$B117,0,IF(CP118&gt;0%,$B117,0%))</f>
        <v>0</v>
      </c>
      <c r="CO117" s="395">
        <f ca="1">IF(SUM($G117:CN117)=$B117,0,IF(CQ118&gt;0%,$B117,0%))</f>
        <v>0</v>
      </c>
      <c r="CP117" s="395">
        <f ca="1">IF(SUM($G117:CO117)=$B117,0,IF(CR118&gt;0%,$B117,0%))</f>
        <v>0</v>
      </c>
      <c r="CQ117" s="395">
        <f ca="1">IF(SUM($G117:CP117)=$B117,0,IF(CS118&gt;0%,$B117,0%))</f>
        <v>0</v>
      </c>
      <c r="CR117" s="395">
        <f ca="1">IF(SUM($G117:CQ117)=$B117,0,IF(CT118&gt;0%,$B117,0%))</f>
        <v>0</v>
      </c>
      <c r="CS117" s="395">
        <f ca="1">IF(SUM($G117:CR117)=$B117,0,IF(CU118&gt;0%,$B117,0%))</f>
        <v>0</v>
      </c>
      <c r="CT117" s="395">
        <f ca="1">IF(SUM($G117:CS117)=$B117,0,IF(CV118&gt;0%,$B117,0%))</f>
        <v>0</v>
      </c>
      <c r="CU117" s="395">
        <f ca="1">IF(SUM($G117:CT117)=$B117,0,IF(CW118&gt;0%,$B117,0%))</f>
        <v>0</v>
      </c>
      <c r="CV117" s="395">
        <f ca="1">IF(SUM($G117:CU117)=$B117,0,IF(CX118&gt;0%,$B117,0%))</f>
        <v>0</v>
      </c>
      <c r="CW117" s="395">
        <f ca="1">IF(SUM($G117:CV117)=$B117,0,IF(CY118&gt;0%,$B117,0%))</f>
        <v>0</v>
      </c>
      <c r="CX117" s="395">
        <f ca="1">IF(SUM($G117:CW117)=$B117,0,IF(CZ118&gt;0%,$B117,0%))</f>
        <v>0</v>
      </c>
      <c r="CY117" s="395">
        <f ca="1">IF(SUM($G117:CX117)=$B117,0,IF(DA118&gt;0%,$B117,0%))</f>
        <v>0</v>
      </c>
      <c r="CZ117" s="395">
        <f ca="1">IF(SUM($G117:CY117)=$B117,0,IF(DB118&gt;0%,$B117,0%))</f>
        <v>0</v>
      </c>
      <c r="DA117" s="395">
        <f ca="1">IF(SUM($G117:CZ117)=$B117,0,IF(DC118&gt;0%,$B117,0%))</f>
        <v>0</v>
      </c>
      <c r="DB117" s="395">
        <f ca="1">IF(SUM($G117:DA117)=$B117,0,IF(DD118&gt;0%,$B117,0%))</f>
        <v>0</v>
      </c>
      <c r="DC117" s="395">
        <f ca="1">IF(SUM($G117:DB117)=$B117,0,IF(DE118&gt;0%,$B117,0%))</f>
        <v>0</v>
      </c>
      <c r="DD117" s="395">
        <f ca="1">IF(SUM($G117:DC117)=$B117,0,IF(DF118&gt;0%,$B117,0%))</f>
        <v>0</v>
      </c>
      <c r="DE117" s="395">
        <f ca="1">IF(SUM($G117:DD117)=$B117,0,IF(DG118&gt;0%,$B117,0%))</f>
        <v>0</v>
      </c>
      <c r="DF117" s="395">
        <f ca="1">IF(SUM($G117:DE117)=$B117,0,IF(DH118&gt;0%,$B117,0%))</f>
        <v>0</v>
      </c>
      <c r="DG117" s="395">
        <f ca="1">IF(SUM($G117:DF117)=$B117,0,IF(DI118&gt;0%,$B117,0%))</f>
        <v>0</v>
      </c>
      <c r="DH117" s="395">
        <f ca="1">IF(SUM($G117:DG117)=$B117,0,IF(DJ118&gt;0%,$B117,0%))</f>
        <v>0</v>
      </c>
      <c r="DI117" s="395">
        <f ca="1">IF(SUM($G117:DH117)=$B117,0,IF(DK118&gt;0%,$B117,0%))</f>
        <v>0</v>
      </c>
      <c r="DJ117" s="395">
        <f ca="1">IF(SUM($G117:DI117)=$B117,0,IF(DL118&gt;0%,$B117,0%))</f>
        <v>0</v>
      </c>
      <c r="DK117" s="395">
        <f ca="1">IF(SUM($G117:DJ117)=$B117,0,IF(DM118&gt;0%,$B117,0%))</f>
        <v>0</v>
      </c>
      <c r="DL117" s="395">
        <f ca="1">IF(SUM($G117:DK117)=$B117,0,IF(DN118&gt;0%,$B117,0%))</f>
        <v>0</v>
      </c>
      <c r="DM117" s="395">
        <f ca="1">IF(SUM($G117:DL117)=$B117,0,IF(DO118&gt;0%,$B117,0%))</f>
        <v>0</v>
      </c>
      <c r="DN117" s="395">
        <f ca="1">IF(SUM($G117:DM117)=$B117,0,IF(DP118&gt;0%,$B117,0%))</f>
        <v>0</v>
      </c>
      <c r="DO117" s="395">
        <f ca="1">IF(SUM($G117:DN117)=$B117,0,IF(DQ118&gt;0%,$B117,0%))</f>
        <v>0</v>
      </c>
      <c r="DP117" s="395">
        <f ca="1">IF(SUM($G117:DO117)=$B117,0,IF(DR118&gt;0%,$B117,0%))</f>
        <v>0</v>
      </c>
      <c r="DQ117" s="395">
        <f ca="1">IF(SUM($G117:DP117)=$B117,0,IF(DS118&gt;0%,$B117,0%))</f>
        <v>0</v>
      </c>
      <c r="DR117" s="395">
        <f ca="1">IF(SUM($G117:DQ117)=$B117,0,IF(DT118&gt;0%,$B117,0%))</f>
        <v>0</v>
      </c>
      <c r="DS117" s="395">
        <f ca="1">IF(SUM($G117:DR117)=$B117,0,IF(DU118&gt;0%,$B117,0%))</f>
        <v>0</v>
      </c>
      <c r="DT117" s="395">
        <f ca="1">IF(SUM($G117:DS117)=$B117,0,IF(DV118&gt;0%,$B117,0%))</f>
        <v>0</v>
      </c>
      <c r="DU117" s="395">
        <f ca="1">IF(SUM($G117:DT117)=$B117,0,IF(DW118&gt;0%,$B117,0%))</f>
        <v>0</v>
      </c>
      <c r="DV117" s="395">
        <f ca="1">IF(SUM($G117:DU117)=$B117,0,IF(DX118&gt;0%,$B117,0%))</f>
        <v>0</v>
      </c>
      <c r="DW117" s="395">
        <f ca="1">IF(SUM($G117:DV117)=$B117,0,IF(DY118&gt;0%,$B117,0%))</f>
        <v>0</v>
      </c>
      <c r="DX117" s="395">
        <f ca="1">IF(SUM($G117:DW117)=$B117,0,IF(DZ118&gt;0%,$B117,0%))</f>
        <v>0</v>
      </c>
      <c r="DY117" s="395">
        <f ca="1">IF(SUM($G117:DX117)=$B117,0,IF(EA118&gt;0%,$B117,0%))</f>
        <v>0</v>
      </c>
      <c r="DZ117" s="395">
        <f ca="1">IF(SUM($G117:DY117)=$B117,0,IF(EB118&gt;0%,$B117,0%))</f>
        <v>0</v>
      </c>
      <c r="EA117" s="395">
        <f ca="1">IF(SUM($G117:DZ117)=$B117,0,IF(EC118&gt;0%,$B117,0%))</f>
        <v>0</v>
      </c>
      <c r="EB117" s="395">
        <f ca="1">IF(SUM($G117:EA117)=$B117,0,IF(ED118&gt;0%,$B117,0%))</f>
        <v>0</v>
      </c>
      <c r="EC117" s="395">
        <f ca="1">IF(SUM($G117:EB117)=$B117,0,IF(EE118&gt;0%,$B117,0%))</f>
        <v>0</v>
      </c>
      <c r="ED117" s="395">
        <f ca="1">IF(SUM($G117:EC117)=$B117,0,IF(EF118&gt;0%,$B117,0%))</f>
        <v>0</v>
      </c>
      <c r="EE117" s="395">
        <f ca="1">IF(SUM($G117:ED117)=$B117,0,IF(EG118&gt;0%,$B117,0%))</f>
        <v>0</v>
      </c>
      <c r="EF117" s="395">
        <f ca="1">IF(SUM($G117:EE117)=$B117,0,IF(EH118&gt;0%,$B117,0%))</f>
        <v>0</v>
      </c>
      <c r="EG117" s="395">
        <f ca="1">IF(SUM($G117:EF117)=$B117,0,IF(EI118&gt;0%,$B117,0%))</f>
        <v>0</v>
      </c>
      <c r="EH117" s="395">
        <f ca="1">IF(SUM($G117:EG117)=$B117,0,IF(EJ118&gt;0%,$B117,0%))</f>
        <v>0</v>
      </c>
      <c r="EI117" s="395">
        <f ca="1">IF(SUM($G117:EH117)=$B117,0,IF(EK118&gt;0%,$B117,0%))</f>
        <v>0</v>
      </c>
      <c r="EJ117" s="398"/>
      <c r="EK117" s="313"/>
    </row>
    <row r="118" spans="1:141" hidden="1" outlineLevel="2">
      <c r="A118" s="332"/>
      <c r="B118" s="549">
        <f>длительность!C186</f>
        <v>0.79999999999999993</v>
      </c>
      <c r="C118" s="317"/>
      <c r="D118" s="317" t="s">
        <v>663</v>
      </c>
      <c r="E118" s="550">
        <f ca="1">ROUND(IF(F118=0,0,B118-F118),4)</f>
        <v>0</v>
      </c>
      <c r="F118" s="397">
        <f t="shared" ca="1" si="336"/>
        <v>0.79999999999999982</v>
      </c>
      <c r="G118" s="395"/>
      <c r="H118" s="395"/>
      <c r="I118" s="395">
        <f ca="1">IF($E$289=0,0,IF(SUM($G118:H118)=$B118,0,IF(SUM($G289:H289)&gt;=$E289,($B118/$E289)*($E289-SUM($G289:G289)),($B118/$E289)*H289)))</f>
        <v>0</v>
      </c>
      <c r="J118" s="395">
        <f ca="1">IF($E$289=0,0,IF(SUM($G118:I118)=$B118,0,IF(SUM($G289:I289)&gt;=$E289,($B118/$E289)*($E289-SUM($G289:H289)),($B118/$E289)*I289)))</f>
        <v>0</v>
      </c>
      <c r="K118" s="395">
        <f ca="1">IF($E$289=0,0,IF(SUM($G118:J118)=$B118,0,IF(SUM($G289:J289)&gt;=$E289,($B118/$E289)*($E289-SUM($G289:I289)),($B118/$E289)*J289)))</f>
        <v>0</v>
      </c>
      <c r="L118" s="395">
        <f ca="1">IF($E$289=0,0,IF(SUM($G118:K118)=$B118,0,IF(SUM($G289:K289)&gt;=$E289,($B118/$E289)*($E289-SUM($G289:J289)),($B118/$E289)*K289)))</f>
        <v>0</v>
      </c>
      <c r="M118" s="395">
        <f ca="1">IF($E$289=0,0,IF(SUM($G118:L118)=$B118,0,IF(SUM($G289:L289)&gt;=$E289,($B118/$E289)*($E289-SUM($G289:K289)),($B118/$E289)*L289)))</f>
        <v>0</v>
      </c>
      <c r="N118" s="395">
        <f ca="1">IF($E$289=0,0,IF(SUM($G118:M118)=$B118,0,IF(SUM($G289:M289)&gt;=$E289,($B118/$E289)*($E289-SUM($G289:L289)),($B118/$E289)*M289)))</f>
        <v>0</v>
      </c>
      <c r="O118" s="395">
        <f ca="1">IF($E$289=0,0,IF(SUM($G118:N118)=$B118,0,IF(SUM($G289:N289)&gt;=$E289,($B118/$E289)*($E289-SUM($G289:M289)),($B118/$E289)*N289)))</f>
        <v>0</v>
      </c>
      <c r="P118" s="395">
        <f ca="1">IF($E$289=0,0,IF(SUM($G118:O118)=$B118,0,IF(SUM($G289:O289)&gt;=$E289,($B118/$E289)*($E289-SUM($G289:N289)),($B118/$E289)*O289)))</f>
        <v>0</v>
      </c>
      <c r="Q118" s="395">
        <f ca="1">IF($E$289=0,0,IF(SUM($G118:P118)=$B118,0,IF(SUM($G289:P289)&gt;=$E289,($B118/$E289)*($E289-SUM($G289:O289)),($B118/$E289)*P289)))</f>
        <v>0</v>
      </c>
      <c r="R118" s="395">
        <f ca="1">IF($E$289=0,0,IF(SUM($G118:Q118)=$B118,0,IF(SUM($G289:Q289)&gt;=$E289,($B118/$E289)*($E289-SUM($G289:P289)),($B118/$E289)*Q289)))</f>
        <v>0</v>
      </c>
      <c r="S118" s="395">
        <f ca="1">IF($E$289=0,0,IF(SUM($G118:R118)=$B118,0,IF(SUM($G289:R289)&gt;=$E289,($B118/$E289)*($E289-SUM($G289:Q289)),($B118/$E289)*R289)))</f>
        <v>0</v>
      </c>
      <c r="T118" s="395">
        <f ca="1">IF($E$289=0,0,IF(SUM($G118:S118)=$B118,0,IF(SUM($G289:S289)&gt;=$E289,($B118/$E289)*($E289-SUM($G289:R289)),($B118/$E289)*S289)))</f>
        <v>0</v>
      </c>
      <c r="U118" s="395">
        <f ca="1">IF($E$289=0,0,IF(SUM($G118:T118)=$B118,0,IF(SUM($G289:T289)&gt;=$E289,($B118/$E289)*($E289-SUM($G289:S289)),($B118/$E289)*T289)))</f>
        <v>0</v>
      </c>
      <c r="V118" s="395">
        <f ca="1">IF($E$289=0,0,IF(SUM($G118:U118)=$B118,0,IF(SUM($G289:U289)&gt;=$E289,($B118/$E289)*($E289-SUM($G289:T289)),($B118/$E289)*U289)))</f>
        <v>0</v>
      </c>
      <c r="W118" s="395">
        <f ca="1">IF($E$289=0,0,IF(SUM($G118:V118)=$B118,0,IF(SUM($G289:V289)&gt;=$E289,($B118/$E289)*($E289-SUM($G289:U289)),($B118/$E289)*V289)))</f>
        <v>0</v>
      </c>
      <c r="X118" s="395">
        <f ca="1">IF($E$289=0,0,IF(SUM($G118:W118)=$B118,0,IF(SUM($G289:W289)&gt;=$E289,($B118/$E289)*($E289-SUM($G289:V289)),($B118/$E289)*W289)))</f>
        <v>0</v>
      </c>
      <c r="Y118" s="395">
        <f ca="1">IF($E$289=0,0,IF(SUM($G118:X118)=$B118,0,IF(SUM($G289:X289)&gt;=$E289,($B118/$E289)*($E289-SUM($G289:W289)),($B118/$E289)*X289)))</f>
        <v>0</v>
      </c>
      <c r="Z118" s="395">
        <f ca="1">IF($E$289=0,0,IF(SUM($G118:Y118)=$B118,0,IF(SUM($G289:Y289)&gt;=$E289,($B118/$E289)*($E289-SUM($G289:X289)),($B118/$E289)*Y289)))</f>
        <v>0</v>
      </c>
      <c r="AA118" s="395">
        <f ca="1">IF($E$289=0,0,IF(SUM($G118:Z118)=$B118,0,IF(SUM($G289:Z289)&gt;=$E289,($B118/$E289)*($E289-SUM($G289:Y289)),($B118/$E289)*Z289)))</f>
        <v>0</v>
      </c>
      <c r="AB118" s="395">
        <f ca="1">IF($E$289=0,0,IF(SUM($G118:AA118)=$B118,0,IF(SUM($G289:AA289)&gt;=$E289,($B118/$E289)*($E289-SUM($G289:Z289)),($B118/$E289)*AA289)))</f>
        <v>0</v>
      </c>
      <c r="AC118" s="395">
        <f ca="1">IF($E$289=0,0,IF(SUM($G118:AB118)=$B118,0,IF(SUM($G289:AB289)&gt;=$E289,($B118/$E289)*($E289-SUM($G289:AA289)),($B118/$E289)*AB289)))</f>
        <v>0</v>
      </c>
      <c r="AD118" s="395">
        <f ca="1">IF($E$289=0,0,IF(SUM($G118:AC118)=$B118,0,IF(SUM($G289:AC289)&gt;=$E289,($B118/$E289)*($E289-SUM($G289:AB289)),($B118/$E289)*AC289)))</f>
        <v>0</v>
      </c>
      <c r="AE118" s="395">
        <f ca="1">IF($E$289=0,0,IF(SUM($G118:AD118)=$B118,0,IF(SUM($G289:AD289)&gt;=$E289,($B118/$E289)*($E289-SUM($G289:AC289)),($B118/$E289)*AD289)))</f>
        <v>0</v>
      </c>
      <c r="AF118" s="395">
        <f ca="1">IF($E$289=0,0,IF(SUM($G118:AE118)=$B118,0,IF(SUM($G289:AE289)&gt;=$E289,($B118/$E289)*($E289-SUM($G289:AD289)),($B118/$E289)*AE289)))</f>
        <v>0</v>
      </c>
      <c r="AG118" s="395">
        <f ca="1">IF($E$289=0,0,IF(SUM($G118:AF118)=$B118,0,IF(SUM($G289:AF289)&gt;=$E289,($B118/$E289)*($E289-SUM($G289:AE289)),($B118/$E289)*AF289)))</f>
        <v>0</v>
      </c>
      <c r="AH118" s="395">
        <f ca="1">IF($E$289=0,0,IF(SUM($G118:AG118)=$B118,0,IF(SUM($G289:AG289)&gt;=$E289,($B118/$E289)*($E289-SUM($G289:AF289)),($B118/$E289)*AG289)))</f>
        <v>0</v>
      </c>
      <c r="AI118" s="395">
        <f ca="1">IF($E$289=0,0,IF(SUM($G118:AH118)=$B118,0,IF(SUM($G289:AH289)&gt;=$E289,($B118/$E289)*($E289-SUM($G289:AG289)),($B118/$E289)*AH289)))</f>
        <v>0</v>
      </c>
      <c r="AJ118" s="395">
        <f ca="1">IF($E$289=0,0,IF(SUM($G118:AI118)=$B118,0,IF(SUM($G289:AI289)&gt;=$E289,($B118/$E289)*($E289-SUM($G289:AH289)),($B118/$E289)*AI289)))</f>
        <v>0</v>
      </c>
      <c r="AK118" s="395">
        <f ca="1">IF($E$289=0,0,IF(SUM($G118:AJ118)=$B118,0,IF(SUM($G289:AJ289)&gt;=$E289,($B118/$E289)*($E289-SUM($G289:AI289)),($B118/$E289)*AJ289)))</f>
        <v>0</v>
      </c>
      <c r="AL118" s="395">
        <f ca="1">IF($E$289=0,0,IF(SUM($G118:AK118)=$B118,0,IF(SUM($G289:AK289)&gt;=$E289,($B118/$E289)*($E289-SUM($G289:AJ289)),($B118/$E289)*AK289)))</f>
        <v>0</v>
      </c>
      <c r="AM118" s="395">
        <f ca="1">IF($E$289=0,0,IF(SUM($G118:AL118)=$B118,0,IF(SUM($G289:AL289)&gt;=$E289,($B118/$E289)*($E289-SUM($G289:AK289)),($B118/$E289)*AL289)))</f>
        <v>0</v>
      </c>
      <c r="AN118" s="395">
        <f ca="1">IF($E$289=0,0,IF(SUM($G118:AM118)=$B118,0,IF(SUM($G289:AM289)&gt;=$E289,($B118/$E289)*($E289-SUM($G289:AL289)),($B118/$E289)*AM289)))</f>
        <v>0</v>
      </c>
      <c r="AO118" s="395">
        <f ca="1">IF($E$289=0,0,IF(SUM($G118:AN118)=$B118,0,IF(SUM($G289:AN289)&gt;=$E289,($B118/$E289)*($E289-SUM($G289:AM289)),($B118/$E289)*AN289)))</f>
        <v>0</v>
      </c>
      <c r="AP118" s="395">
        <f ca="1">IF($E$289=0,0,IF(SUM($G118:AO118)=$B118,0,IF(SUM($G289:AO289)&gt;=$E289,($B118/$E289)*($E289-SUM($G289:AN289)),($B118/$E289)*AO289)))</f>
        <v>0.20821917808219176</v>
      </c>
      <c r="AQ118" s="395">
        <f ca="1">IF($E$289=0,0,IF(SUM($G118:AP118)=$B118,0,IF(SUM($G289:AP289)&gt;=$E289,($B118/$E289)*($E289-SUM($G289:AO289)),($B118/$E289)*AP289)))</f>
        <v>0.30684931506849311</v>
      </c>
      <c r="AR118" s="395">
        <f ca="1">IF($E$289=0,0,IF(SUM($G118:AQ118)=$B118,0,IF(SUM($G289:AQ289)&gt;=$E289,($B118/$E289)*($E289-SUM($G289:AP289)),($B118/$E289)*AQ289)))</f>
        <v>0.28493150684931501</v>
      </c>
      <c r="AS118" s="395">
        <f ca="1">IF($E$289=0,0,IF(SUM($G118:AR118)=$B118,0,IF(SUM($G289:AR289)&gt;=$E289,($B118/$E289)*($E289-SUM($G289:AQ289)),($B118/$E289)*AR289)))</f>
        <v>0</v>
      </c>
      <c r="AT118" s="395">
        <f ca="1">IF($E$289=0,0,IF(SUM($G118:AS118)=$B118,0,IF(SUM($G289:AS289)&gt;=$E289,($B118/$E289)*($E289-SUM($G289:AR289)),($B118/$E289)*AS289)))</f>
        <v>0</v>
      </c>
      <c r="AU118" s="395">
        <f ca="1">IF($E$289=0,0,IF(SUM($G118:AT118)=$B118,0,IF(SUM($G289:AT289)&gt;=$E289,($B118/$E289)*($E289-SUM($G289:AS289)),($B118/$E289)*AT289)))</f>
        <v>0</v>
      </c>
      <c r="AV118" s="395">
        <f ca="1">IF($E$289=0,0,IF(SUM($G118:AU118)=$B118,0,IF(SUM($G289:AU289)&gt;=$E289,($B118/$E289)*($E289-SUM($G289:AT289)),($B118/$E289)*AU289)))</f>
        <v>0</v>
      </c>
      <c r="AW118" s="395">
        <f ca="1">IF($E$289=0,0,IF(SUM($G118:AV118)=$B118,0,IF(SUM($G289:AV289)&gt;=$E289,($B118/$E289)*($E289-SUM($G289:AU289)),($B118/$E289)*AV289)))</f>
        <v>0</v>
      </c>
      <c r="AX118" s="395">
        <f ca="1">IF($E$289=0,0,IF(SUM($G118:AW118)=$B118,0,IF(SUM($G289:AW289)&gt;=$E289,($B118/$E289)*($E289-SUM($G289:AV289)),($B118/$E289)*AW289)))</f>
        <v>0</v>
      </c>
      <c r="AY118" s="395">
        <f ca="1">IF($E$289=0,0,IF(SUM($G118:AX118)=$B118,0,IF(SUM($G289:AX289)&gt;=$E289,($B118/$E289)*($E289-SUM($G289:AW289)),($B118/$E289)*AX289)))</f>
        <v>0</v>
      </c>
      <c r="AZ118" s="395">
        <f ca="1">IF($E$289=0,0,IF(SUM($G118:AY118)=$B118,0,IF(SUM($G289:AY289)&gt;=$E289,($B118/$E289)*($E289-SUM($G289:AX289)),($B118/$E289)*AY289)))</f>
        <v>0</v>
      </c>
      <c r="BA118" s="395">
        <f ca="1">IF($E$289=0,0,IF(SUM($G118:AZ118)=$B118,0,IF(SUM($G289:AZ289)&gt;=$E289,($B118/$E289)*($E289-SUM($G289:AY289)),($B118/$E289)*AZ289)))</f>
        <v>0</v>
      </c>
      <c r="BB118" s="395">
        <f ca="1">IF($E$289=0,0,IF(SUM($G118:BA118)=$B118,0,IF(SUM($G289:BA289)&gt;=$E289,($B118/$E289)*($E289-SUM($G289:AZ289)),($B118/$E289)*BA289)))</f>
        <v>0</v>
      </c>
      <c r="BC118" s="395">
        <f ca="1">IF($E$289=0,0,IF(SUM($G118:BB118)=$B118,0,IF(SUM($G289:BB289)&gt;=$E289,($B118/$E289)*($E289-SUM($G289:BA289)),($B118/$E289)*BB289)))</f>
        <v>0</v>
      </c>
      <c r="BD118" s="395">
        <f ca="1">IF($E$289=0,0,IF(SUM($G118:BC118)=$B118,0,IF(SUM($G289:BC289)&gt;=$E289,($B118/$E289)*($E289-SUM($G289:BB289)),($B118/$E289)*BC289)))</f>
        <v>0</v>
      </c>
      <c r="BE118" s="395">
        <f ca="1">IF($E$289=0,0,IF(SUM($G118:BD118)=$B118,0,IF(SUM($G289:BD289)&gt;=$E289,($B118/$E289)*($E289-SUM($G289:BC289)),($B118/$E289)*BD289)))</f>
        <v>0</v>
      </c>
      <c r="BF118" s="395">
        <f ca="1">IF($E$289=0,0,IF(SUM($G118:BE118)=$B118,0,IF(SUM($G289:BE289)&gt;=$E289,($B118/$E289)*($E289-SUM($G289:BD289)),($B118/$E289)*BE289)))</f>
        <v>0</v>
      </c>
      <c r="BG118" s="395">
        <f ca="1">IF($E$289=0,0,IF(SUM($G118:BF118)=$B118,0,IF(SUM($G289:BF289)&gt;=$E289,($B118/$E289)*($E289-SUM($G289:BE289)),($B118/$E289)*BF289)))</f>
        <v>0</v>
      </c>
      <c r="BH118" s="395">
        <f ca="1">IF($E$289=0,0,IF(SUM($G118:BG118)=$B118,0,IF(SUM($G289:BG289)&gt;=$E289,($B118/$E289)*($E289-SUM($G289:BF289)),($B118/$E289)*BG289)))</f>
        <v>0</v>
      </c>
      <c r="BI118" s="395">
        <f ca="1">IF($E$289=0,0,IF(SUM($G118:BH118)=$B118,0,IF(SUM($G289:BH289)&gt;=$E289,($B118/$E289)*($E289-SUM($G289:BG289)),($B118/$E289)*BH289)))</f>
        <v>0</v>
      </c>
      <c r="BJ118" s="395">
        <f ca="1">IF($E$289=0,0,IF(SUM($G118:BI118)=$B118,0,IF(SUM($G289:BI289)&gt;=$E289,($B118/$E289)*($E289-SUM($G289:BH289)),($B118/$E289)*BI289)))</f>
        <v>0</v>
      </c>
      <c r="BK118" s="395">
        <f ca="1">IF($E$289=0,0,IF(SUM($G118:BJ118)=$B118,0,IF(SUM($G289:BJ289)&gt;=$E289,($B118/$E289)*($E289-SUM($G289:BI289)),($B118/$E289)*BJ289)))</f>
        <v>0</v>
      </c>
      <c r="BL118" s="395">
        <f ca="1">IF($E$289=0,0,IF(SUM($G118:BK118)=$B118,0,IF(SUM($G289:BK289)&gt;=$E289,($B118/$E289)*($E289-SUM($G289:BJ289)),($B118/$E289)*BK289)))</f>
        <v>0</v>
      </c>
      <c r="BM118" s="395">
        <f ca="1">IF($E$289=0,0,IF(SUM($G118:BL118)=$B118,0,IF(SUM($G289:BL289)&gt;=$E289,($B118/$E289)*($E289-SUM($G289:BK289)),($B118/$E289)*BL289)))</f>
        <v>0</v>
      </c>
      <c r="BN118" s="395">
        <f ca="1">IF($E$289=0,0,IF(SUM($G118:BM118)=$B118,0,IF(SUM($G289:BM289)&gt;=$E289,($B118/$E289)*($E289-SUM($G289:BL289)),($B118/$E289)*BM289)))</f>
        <v>0</v>
      </c>
      <c r="BO118" s="395">
        <f ca="1">IF($E$289=0,0,IF(SUM($G118:BN118)=$B118,0,IF(SUM($G289:BN289)&gt;=$E289,($B118/$E289)*($E289-SUM($G289:BM289)),($B118/$E289)*BN289)))</f>
        <v>0</v>
      </c>
      <c r="BP118" s="395">
        <f ca="1">IF($E$289=0,0,IF(SUM($G118:BO118)=$B118,0,IF(SUM($G289:BO289)&gt;=$E289,($B118/$E289)*($E289-SUM($G289:BN289)),($B118/$E289)*BO289)))</f>
        <v>0</v>
      </c>
      <c r="BQ118" s="395">
        <f ca="1">IF($E$289=0,0,IF(SUM($G118:BP118)=$B118,0,IF(SUM($G289:BP289)&gt;=$E289,($B118/$E289)*($E289-SUM($G289:BO289)),($B118/$E289)*BP289)))</f>
        <v>0</v>
      </c>
      <c r="BR118" s="395">
        <f ca="1">IF($E$289=0,0,IF(SUM($G118:BQ118)=$B118,0,IF(SUM($G289:BQ289)&gt;=$E289,($B118/$E289)*($E289-SUM($G289:BP289)),($B118/$E289)*BQ289)))</f>
        <v>0</v>
      </c>
      <c r="BS118" s="395">
        <f ca="1">IF($E$289=0,0,IF(SUM($G118:BR118)=$B118,0,IF(SUM($G289:BR289)&gt;=$E289,($B118/$E289)*($E289-SUM($G289:BQ289)),($B118/$E289)*BR289)))</f>
        <v>0</v>
      </c>
      <c r="BT118" s="395">
        <f ca="1">IF($E$289=0,0,IF(SUM($G118:BS118)=$B118,0,IF(SUM($G289:BS289)&gt;=$E289,($B118/$E289)*($E289-SUM($G289:BR289)),($B118/$E289)*BS289)))</f>
        <v>0</v>
      </c>
      <c r="BU118" s="395">
        <f ca="1">IF($E$289=0,0,IF(SUM($G118:BT118)=$B118,0,IF(SUM($G289:BT289)&gt;=$E289,($B118/$E289)*($E289-SUM($G289:BS289)),($B118/$E289)*BT289)))</f>
        <v>0</v>
      </c>
      <c r="BV118" s="395">
        <f ca="1">IF($E$289=0,0,IF(SUM($G118:BU118)=$B118,0,IF(SUM($G289:BU289)&gt;=$E289,($B118/$E289)*($E289-SUM($G289:BT289)),($B118/$E289)*BU289)))</f>
        <v>0</v>
      </c>
      <c r="BW118" s="395">
        <f ca="1">IF($E$289=0,0,IF(SUM($G118:BV118)=$B118,0,IF(SUM($G289:BV289)&gt;=$E289,($B118/$E289)*($E289-SUM($G289:BU289)),($B118/$E289)*BV289)))</f>
        <v>0</v>
      </c>
      <c r="BX118" s="395">
        <f ca="1">IF($E$289=0,0,IF(SUM($G118:BW118)=$B118,0,IF(SUM($G289:BW289)&gt;=$E289,($B118/$E289)*($E289-SUM($G289:BV289)),($B118/$E289)*BW289)))</f>
        <v>0</v>
      </c>
      <c r="BY118" s="395">
        <f ca="1">IF($E$289=0,0,IF(SUM($G118:BX118)=$B118,0,IF(SUM($G289:BX289)&gt;=$E289,($B118/$E289)*($E289-SUM($G289:BW289)),($B118/$E289)*BX289)))</f>
        <v>0</v>
      </c>
      <c r="BZ118" s="395">
        <f ca="1">IF($E$289=0,0,IF(SUM($G118:BY118)=$B118,0,IF(SUM($G289:BY289)&gt;=$E289,($B118/$E289)*($E289-SUM($G289:BX289)),($B118/$E289)*BY289)))</f>
        <v>0</v>
      </c>
      <c r="CA118" s="395">
        <f ca="1">IF($E$289=0,0,IF(SUM($G118:BZ118)=$B118,0,IF(SUM($G289:BZ289)&gt;=$E289,($B118/$E289)*($E289-SUM($G289:BY289)),($B118/$E289)*BZ289)))</f>
        <v>0</v>
      </c>
      <c r="CB118" s="395">
        <f ca="1">IF($E$289=0,0,IF(SUM($G118:CA118)=$B118,0,IF(SUM($G289:CA289)&gt;=$E289,($B118/$E289)*($E289-SUM($G289:BZ289)),($B118/$E289)*CA289)))</f>
        <v>0</v>
      </c>
      <c r="CC118" s="395">
        <f ca="1">IF($E$289=0,0,IF(SUM($G118:CB118)=$B118,0,IF(SUM($G289:CB289)&gt;=$E289,($B118/$E289)*($E289-SUM($G289:CA289)),($B118/$E289)*CB289)))</f>
        <v>0</v>
      </c>
      <c r="CD118" s="395">
        <f ca="1">IF($E$289=0,0,IF(SUM($G118:CC118)=$B118,0,IF(SUM($G289:CC289)&gt;=$E289,($B118/$E289)*($E289-SUM($G289:CB289)),($B118/$E289)*CC289)))</f>
        <v>0</v>
      </c>
      <c r="CE118" s="395">
        <f ca="1">IF($E$289=0,0,IF(SUM($G118:CD118)=$B118,0,IF(SUM($G289:CD289)&gt;=$E289,($B118/$E289)*($E289-SUM($G289:CC289)),($B118/$E289)*CD289)))</f>
        <v>0</v>
      </c>
      <c r="CF118" s="395">
        <f ca="1">IF($E$289=0,0,IF(SUM($G118:CE118)=$B118,0,IF(SUM($G289:CE289)&gt;=$E289,($B118/$E289)*($E289-SUM($G289:CD289)),($B118/$E289)*CE289)))</f>
        <v>0</v>
      </c>
      <c r="CG118" s="395">
        <f ca="1">IF($E$289=0,0,IF(SUM($G118:CF118)=$B118,0,IF(SUM($G289:CF289)&gt;=$E289,($B118/$E289)*($E289-SUM($G289:CE289)),($B118/$E289)*CF289)))</f>
        <v>0</v>
      </c>
      <c r="CH118" s="395">
        <f ca="1">IF($E$289=0,0,IF(SUM($G118:CG118)=$B118,0,IF(SUM($G289:CG289)&gt;=$E289,($B118/$E289)*($E289-SUM($G289:CF289)),($B118/$E289)*CG289)))</f>
        <v>0</v>
      </c>
      <c r="CI118" s="395">
        <f ca="1">IF($E$289=0,0,IF(SUM($G118:CH118)=$B118,0,IF(SUM($G289:CH289)&gt;=$E289,($B118/$E289)*($E289-SUM($G289:CG289)),($B118/$E289)*CH289)))</f>
        <v>0</v>
      </c>
      <c r="CJ118" s="395">
        <f ca="1">IF($E$289=0,0,IF(SUM($G118:CI118)=$B118,0,IF(SUM($G289:CI289)&gt;=$E289,($B118/$E289)*($E289-SUM($G289:CH289)),($B118/$E289)*CI289)))</f>
        <v>0</v>
      </c>
      <c r="CK118" s="395">
        <f ca="1">IF($E$289=0,0,IF(SUM($G118:CJ118)=$B118,0,IF(SUM($G289:CJ289)&gt;=$E289,($B118/$E289)*($E289-SUM($G289:CI289)),($B118/$E289)*CJ289)))</f>
        <v>0</v>
      </c>
      <c r="CL118" s="395">
        <f ca="1">IF($E$289=0,0,IF(SUM($G118:CK118)=$B118,0,IF(SUM($G289:CK289)&gt;=$E289,($B118/$E289)*($E289-SUM($G289:CJ289)),($B118/$E289)*CK289)))</f>
        <v>0</v>
      </c>
      <c r="CM118" s="395">
        <f ca="1">IF($E$289=0,0,IF(SUM($G118:CL118)=$B118,0,IF(SUM($G289:CL289)&gt;=$E289,($B118/$E289)*($E289-SUM($G289:CK289)),($B118/$E289)*CL289)))</f>
        <v>0</v>
      </c>
      <c r="CN118" s="395">
        <f ca="1">IF($E$289=0,0,IF(SUM($G118:CM118)=$B118,0,IF(SUM($G289:CM289)&gt;=$E289,($B118/$E289)*($E289-SUM($G289:CL289)),($B118/$E289)*CM289)))</f>
        <v>0</v>
      </c>
      <c r="CO118" s="395">
        <f ca="1">IF($E$289=0,0,IF(SUM($G118:CN118)=$B118,0,IF(SUM($G289:CN289)&gt;=$E289,($B118/$E289)*($E289-SUM($G289:CM289)),($B118/$E289)*CN289)))</f>
        <v>0</v>
      </c>
      <c r="CP118" s="395">
        <f ca="1">IF($E$289=0,0,IF(SUM($G118:CO118)=$B118,0,IF(SUM($G289:CO289)&gt;=$E289,($B118/$E289)*($E289-SUM($G289:CN289)),($B118/$E289)*CO289)))</f>
        <v>0</v>
      </c>
      <c r="CQ118" s="395">
        <f ca="1">IF($E$289=0,0,IF(SUM($G118:CP118)=$B118,0,IF(SUM($G289:CP289)&gt;=$E289,($B118/$E289)*($E289-SUM($G289:CO289)),($B118/$E289)*CP289)))</f>
        <v>0</v>
      </c>
      <c r="CR118" s="395">
        <f ca="1">IF($E$289=0,0,IF(SUM($G118:CQ118)=$B118,0,IF(SUM($G289:CQ289)&gt;=$E289,($B118/$E289)*($E289-SUM($G289:CP289)),($B118/$E289)*CQ289)))</f>
        <v>0</v>
      </c>
      <c r="CS118" s="395">
        <f ca="1">IF($E$289=0,0,IF(SUM($G118:CR118)=$B118,0,IF(SUM($G289:CR289)&gt;=$E289,($B118/$E289)*($E289-SUM($G289:CQ289)),($B118/$E289)*CR289)))</f>
        <v>0</v>
      </c>
      <c r="CT118" s="395">
        <f ca="1">IF($E$289=0,0,IF(SUM($G118:CS118)=$B118,0,IF(SUM($G289:CS289)&gt;=$E289,($B118/$E289)*($E289-SUM($G289:CR289)),($B118/$E289)*CS289)))</f>
        <v>0</v>
      </c>
      <c r="CU118" s="395">
        <f ca="1">IF($E$289=0,0,IF(SUM($G118:CT118)=$B118,0,IF(SUM($G289:CT289)&gt;=$E289,($B118/$E289)*($E289-SUM($G289:CS289)),($B118/$E289)*CT289)))</f>
        <v>0</v>
      </c>
      <c r="CV118" s="395">
        <f ca="1">IF($E$289=0,0,IF(SUM($G118:CU118)=$B118,0,IF(SUM($G289:CU289)&gt;=$E289,($B118/$E289)*($E289-SUM($G289:CT289)),($B118/$E289)*CU289)))</f>
        <v>0</v>
      </c>
      <c r="CW118" s="395">
        <f ca="1">IF($E$289=0,0,IF(SUM($G118:CV118)=$B118,0,IF(SUM($G289:CV289)&gt;=$E289,($B118/$E289)*($E289-SUM($G289:CU289)),($B118/$E289)*CV289)))</f>
        <v>0</v>
      </c>
      <c r="CX118" s="395">
        <f ca="1">IF($E$289=0,0,IF(SUM($G118:CW118)=$B118,0,IF(SUM($G289:CW289)&gt;=$E289,($B118/$E289)*($E289-SUM($G289:CV289)),($B118/$E289)*CW289)))</f>
        <v>0</v>
      </c>
      <c r="CY118" s="395">
        <f ca="1">IF($E$289=0,0,IF(SUM($G118:CX118)=$B118,0,IF(SUM($G289:CX289)&gt;=$E289,($B118/$E289)*($E289-SUM($G289:CW289)),($B118/$E289)*CX289)))</f>
        <v>0</v>
      </c>
      <c r="CZ118" s="395">
        <f ca="1">IF($E$289=0,0,IF(SUM($G118:CY118)=$B118,0,IF(SUM($G289:CY289)&gt;=$E289,($B118/$E289)*($E289-SUM($G289:CX289)),($B118/$E289)*CY289)))</f>
        <v>0</v>
      </c>
      <c r="DA118" s="395">
        <f ca="1">IF($E$289=0,0,IF(SUM($G118:CZ118)=$B118,0,IF(SUM($G289:CZ289)&gt;=$E289,($B118/$E289)*($E289-SUM($G289:CY289)),($B118/$E289)*CZ289)))</f>
        <v>0</v>
      </c>
      <c r="DB118" s="395">
        <f ca="1">IF($E$289=0,0,IF(SUM($G118:DA118)=$B118,0,IF(SUM($G289:DA289)&gt;=$E289,($B118/$E289)*($E289-SUM($G289:CZ289)),($B118/$E289)*DA289)))</f>
        <v>0</v>
      </c>
      <c r="DC118" s="395">
        <f ca="1">IF($E$289=0,0,IF(SUM($G118:DB118)=$B118,0,IF(SUM($G289:DB289)&gt;=$E289,($B118/$E289)*($E289-SUM($G289:DA289)),($B118/$E289)*DB289)))</f>
        <v>0</v>
      </c>
      <c r="DD118" s="395">
        <f ca="1">IF($E$289=0,0,IF(SUM($G118:DC118)=$B118,0,IF(SUM($G289:DC289)&gt;=$E289,($B118/$E289)*($E289-SUM($G289:DB289)),($B118/$E289)*DC289)))</f>
        <v>0</v>
      </c>
      <c r="DE118" s="395">
        <f ca="1">IF($E$289=0,0,IF(SUM($G118:DD118)=$B118,0,IF(SUM($G289:DD289)&gt;=$E289,($B118/$E289)*($E289-SUM($G289:DC289)),($B118/$E289)*DD289)))</f>
        <v>0</v>
      </c>
      <c r="DF118" s="395">
        <f ca="1">IF($E$289=0,0,IF(SUM($G118:DE118)=$B118,0,IF(SUM($G289:DE289)&gt;=$E289,($B118/$E289)*($E289-SUM($G289:DD289)),($B118/$E289)*DE289)))</f>
        <v>0</v>
      </c>
      <c r="DG118" s="395">
        <f ca="1">IF($E$289=0,0,IF(SUM($G118:DF118)=$B118,0,IF(SUM($G289:DF289)&gt;=$E289,($B118/$E289)*($E289-SUM($G289:DE289)),($B118/$E289)*DF289)))</f>
        <v>0</v>
      </c>
      <c r="DH118" s="395">
        <f ca="1">IF($E$289=0,0,IF(SUM($G118:DG118)=$B118,0,IF(SUM($G289:DG289)&gt;=$E289,($B118/$E289)*($E289-SUM($G289:DF289)),($B118/$E289)*DG289)))</f>
        <v>0</v>
      </c>
      <c r="DI118" s="395">
        <f ca="1">IF($E$289=0,0,IF(SUM($G118:DH118)=$B118,0,IF(SUM($G289:DH289)&gt;=$E289,($B118/$E289)*($E289-SUM($G289:DG289)),($B118/$E289)*DH289)))</f>
        <v>0</v>
      </c>
      <c r="DJ118" s="395">
        <f ca="1">IF($E$289=0,0,IF(SUM($G118:DI118)=$B118,0,IF(SUM($G289:DI289)&gt;=$E289,($B118/$E289)*($E289-SUM($G289:DH289)),($B118/$E289)*DI289)))</f>
        <v>0</v>
      </c>
      <c r="DK118" s="395">
        <f ca="1">IF($E$289=0,0,IF(SUM($G118:DJ118)=$B118,0,IF(SUM($G289:DJ289)&gt;=$E289,($B118/$E289)*($E289-SUM($G289:DI289)),($B118/$E289)*DJ289)))</f>
        <v>0</v>
      </c>
      <c r="DL118" s="395">
        <f ca="1">IF($E$289=0,0,IF(SUM($G118:DK118)=$B118,0,IF(SUM($G289:DK289)&gt;=$E289,($B118/$E289)*($E289-SUM($G289:DJ289)),($B118/$E289)*DK289)))</f>
        <v>0</v>
      </c>
      <c r="DM118" s="395">
        <f ca="1">IF($E$289=0,0,IF(SUM($G118:DL118)=$B118,0,IF(SUM($G289:DL289)&gt;=$E289,($B118/$E289)*($E289-SUM($G289:DK289)),($B118/$E289)*DL289)))</f>
        <v>0</v>
      </c>
      <c r="DN118" s="395">
        <f ca="1">IF($E$289=0,0,IF(SUM($G118:DM118)=$B118,0,IF(SUM($G289:DM289)&gt;=$E289,($B118/$E289)*($E289-SUM($G289:DL289)),($B118/$E289)*DM289)))</f>
        <v>0</v>
      </c>
      <c r="DO118" s="395">
        <f ca="1">IF($E$289=0,0,IF(SUM($G118:DN118)=$B118,0,IF(SUM($G289:DN289)&gt;=$E289,($B118/$E289)*($E289-SUM($G289:DM289)),($B118/$E289)*DN289)))</f>
        <v>0</v>
      </c>
      <c r="DP118" s="395">
        <f ca="1">IF($E$289=0,0,IF(SUM($G118:DO118)=$B118,0,IF(SUM($G289:DO289)&gt;=$E289,($B118/$E289)*($E289-SUM($G289:DN289)),($B118/$E289)*DO289)))</f>
        <v>0</v>
      </c>
      <c r="DQ118" s="395">
        <f ca="1">IF($E$289=0,0,IF(SUM($G118:DP118)=$B118,0,IF(SUM($G289:DP289)&gt;=$E289,($B118/$E289)*($E289-SUM($G289:DO289)),($B118/$E289)*DP289)))</f>
        <v>0</v>
      </c>
      <c r="DR118" s="395">
        <f ca="1">IF($E$289=0,0,IF(SUM($G118:DQ118)=$B118,0,IF(SUM($G289:DQ289)&gt;=$E289,($B118/$E289)*($E289-SUM($G289:DP289)),($B118/$E289)*DQ289)))</f>
        <v>0</v>
      </c>
      <c r="DS118" s="395">
        <f ca="1">IF($E$289=0,0,IF(SUM($G118:DR118)=$B118,0,IF(SUM($G289:DR289)&gt;=$E289,($B118/$E289)*($E289-SUM($G289:DQ289)),($B118/$E289)*DR289)))</f>
        <v>0</v>
      </c>
      <c r="DT118" s="395">
        <f ca="1">IF($E$289=0,0,IF(SUM($G118:DS118)=$B118,0,IF(SUM($G289:DS289)&gt;=$E289,($B118/$E289)*($E289-SUM($G289:DR289)),($B118/$E289)*DS289)))</f>
        <v>0</v>
      </c>
      <c r="DU118" s="395">
        <f ca="1">IF($E$289=0,0,IF(SUM($G118:DT118)=$B118,0,IF(SUM($G289:DT289)&gt;=$E289,($B118/$E289)*($E289-SUM($G289:DS289)),($B118/$E289)*DT289)))</f>
        <v>0</v>
      </c>
      <c r="DV118" s="395">
        <f ca="1">IF($E$289=0,0,IF(SUM($G118:DU118)=$B118,0,IF(SUM($G289:DU289)&gt;=$E289,($B118/$E289)*($E289-SUM($G289:DT289)),($B118/$E289)*DU289)))</f>
        <v>0</v>
      </c>
      <c r="DW118" s="395">
        <f ca="1">IF($E$289=0,0,IF(SUM($G118:DV118)=$B118,0,IF(SUM($G289:DV289)&gt;=$E289,($B118/$E289)*($E289-SUM($G289:DU289)),($B118/$E289)*DV289)))</f>
        <v>0</v>
      </c>
      <c r="DX118" s="395">
        <f ca="1">IF($E$289=0,0,IF(SUM($G118:DW118)=$B118,0,IF(SUM($G289:DW289)&gt;=$E289,($B118/$E289)*($E289-SUM($G289:DV289)),($B118/$E289)*DW289)))</f>
        <v>0</v>
      </c>
      <c r="DY118" s="395">
        <f ca="1">IF($E$289=0,0,IF(SUM($G118:DX118)=$B118,0,IF(SUM($G289:DX289)&gt;=$E289,($B118/$E289)*($E289-SUM($G289:DW289)),($B118/$E289)*DX289)))</f>
        <v>0</v>
      </c>
      <c r="DZ118" s="395">
        <f ca="1">IF($E$289=0,0,IF(SUM($G118:DY118)=$B118,0,IF(SUM($G289:DY289)&gt;=$E289,($B118/$E289)*($E289-SUM($G289:DX289)),($B118/$E289)*DY289)))</f>
        <v>0</v>
      </c>
      <c r="EA118" s="395">
        <f ca="1">IF($E$289=0,0,IF(SUM($G118:DZ118)=$B118,0,IF(SUM($G289:DZ289)&gt;=$E289,($B118/$E289)*($E289-SUM($G289:DY289)),($B118/$E289)*DZ289)))</f>
        <v>0</v>
      </c>
      <c r="EB118" s="395">
        <f ca="1">IF($E$289=0,0,IF(SUM($G118:EA118)=$B118,0,IF(SUM($G289:EA289)&gt;=$E289,($B118/$E289)*($E289-SUM($G289:DZ289)),($B118/$E289)*EA289)))</f>
        <v>0</v>
      </c>
      <c r="EC118" s="395">
        <f ca="1">IF($E$289=0,0,IF(SUM($G118:EB118)=$B118,0,IF(SUM($G289:EB289)&gt;=$E289,($B118/$E289)*($E289-SUM($G289:EA289)),($B118/$E289)*EB289)))</f>
        <v>0</v>
      </c>
      <c r="ED118" s="395">
        <f ca="1">IF($E$289=0,0,IF(SUM($G118:EC118)=$B118,0,IF(SUM($G289:EC289)&gt;=$E289,($B118/$E289)*($E289-SUM($G289:EB289)),($B118/$E289)*EC289)))</f>
        <v>0</v>
      </c>
      <c r="EE118" s="395">
        <f ca="1">IF($E$289=0,0,IF(SUM($G118:ED118)=$B118,0,IF(SUM($G289:ED289)&gt;=$E289,($B118/$E289)*($E289-SUM($G289:EC289)),($B118/$E289)*ED289)))</f>
        <v>0</v>
      </c>
      <c r="EF118" s="395">
        <f ca="1">IF($E$289=0,0,IF(SUM($G118:EE118)=$B118,0,IF(SUM($G289:EE289)&gt;=$E289,($B118/$E289)*($E289-SUM($G289:ED289)),($B118/$E289)*EE289)))</f>
        <v>0</v>
      </c>
      <c r="EG118" s="395">
        <f ca="1">IF($E$289=0,0,IF(SUM($G118:EF118)=$B118,0,IF(SUM($G289:EF289)&gt;=$E289,($B118/$E289)*($E289-SUM($G289:EE289)),($B118/$E289)*EF289)))</f>
        <v>0</v>
      </c>
      <c r="EH118" s="395">
        <f ca="1">IF($E$289=0,0,IF(SUM($G118:EG118)=$B118,0,IF(SUM($G289:EG289)&gt;=$E289,($B118/$E289)*($E289-SUM($G289:EF289)),($B118/$E289)*EG289)))</f>
        <v>0</v>
      </c>
      <c r="EI118" s="395">
        <f ca="1">IF($E$289=0,0,IF(SUM($G118:EH118)=$B118,0,IF(SUM($G289:EH289)&gt;=$E289,($B118/$E289)*($E289-SUM($G289:EG289)),($B118/$E289)*EH289)))</f>
        <v>0</v>
      </c>
      <c r="EJ118" s="398"/>
      <c r="EK118" s="313"/>
    </row>
    <row r="119" spans="1:141" hidden="1" outlineLevel="2">
      <c r="A119" s="332"/>
      <c r="B119" s="549">
        <f>длительность!D186</f>
        <v>2.5000000000000001E-2</v>
      </c>
      <c r="C119" s="317"/>
      <c r="D119" s="317" t="s">
        <v>638</v>
      </c>
      <c r="E119" s="318">
        <f t="shared" ca="1" si="340"/>
        <v>0</v>
      </c>
      <c r="F119" s="397">
        <f ca="1">SUM(G119:EJ119)</f>
        <v>2.5000000000000001E-2</v>
      </c>
      <c r="G119" s="395"/>
      <c r="H119" s="395">
        <f ca="1">IF($E$289=0,0,IF(SUM($G119:G119)=$B119,0,IF(SUM(H118:$EJ118)=0%,$B119,0%)))</f>
        <v>0</v>
      </c>
      <c r="I119" s="395">
        <f ca="1">IF($E$289=0,0,IF(SUM($G119:H119)=$B119,0,IF(SUM(I118:$EJ118)=0%,$B119,0%)))</f>
        <v>0</v>
      </c>
      <c r="J119" s="395">
        <f ca="1">IF($E$289=0,0,IF(SUM($G119:I119)=$B119,0,IF(SUM(J118:$EJ118)=0%,$B119,0%)))</f>
        <v>0</v>
      </c>
      <c r="K119" s="395">
        <f ca="1">IF($E$289=0,0,IF(SUM($G119:J119)=$B119,0,IF(SUM(K118:$EJ118)=0%,$B119,0%)))</f>
        <v>0</v>
      </c>
      <c r="L119" s="395">
        <f ca="1">IF($E$289=0,0,IF(SUM($G119:K119)=$B119,0,IF(SUM(L118:$EJ118)=0%,$B119,0%)))</f>
        <v>0</v>
      </c>
      <c r="M119" s="395">
        <f ca="1">IF($E$289=0,0,IF(SUM($G119:L119)=$B119,0,IF(SUM(M118:$EJ118)=0%,$B119,0%)))</f>
        <v>0</v>
      </c>
      <c r="N119" s="395">
        <f ca="1">IF($E$289=0,0,IF(SUM($G119:M119)=$B119,0,IF(SUM(N118:$EJ118)=0%,$B119,0%)))</f>
        <v>0</v>
      </c>
      <c r="O119" s="395">
        <f ca="1">IF($E$289=0,0,IF(SUM($G119:N119)=$B119,0,IF(SUM(O118:$EJ118)=0%,$B119,0%)))</f>
        <v>0</v>
      </c>
      <c r="P119" s="395">
        <f ca="1">IF($E$289=0,0,IF(SUM($G119:O119)=$B119,0,IF(SUM(P118:$EJ118)=0%,$B119,0%)))</f>
        <v>0</v>
      </c>
      <c r="Q119" s="395">
        <f ca="1">IF($E$289=0,0,IF(SUM($G119:P119)=$B119,0,IF(SUM(Q118:$EJ118)=0%,$B119,0%)))</f>
        <v>0</v>
      </c>
      <c r="R119" s="395">
        <f ca="1">IF($E$289=0,0,IF(SUM($G119:Q119)=$B119,0,IF(SUM(R118:$EJ118)=0%,$B119,0%)))</f>
        <v>0</v>
      </c>
      <c r="S119" s="395">
        <f ca="1">IF($E$289=0,0,IF(SUM($G119:R119)=$B119,0,IF(SUM(S118:$EJ118)=0%,$B119,0%)))</f>
        <v>0</v>
      </c>
      <c r="T119" s="395">
        <f ca="1">IF($E$289=0,0,IF(SUM($G119:S119)=$B119,0,IF(SUM(T118:$EJ118)=0%,$B119,0%)))</f>
        <v>0</v>
      </c>
      <c r="U119" s="395">
        <f ca="1">IF($E$289=0,0,IF(SUM($G119:T119)=$B119,0,IF(SUM(U118:$EJ118)=0%,$B119,0%)))</f>
        <v>0</v>
      </c>
      <c r="V119" s="395">
        <f ca="1">IF($E$289=0,0,IF(SUM($G119:U119)=$B119,0,IF(SUM(V118:$EJ118)=0%,$B119,0%)))</f>
        <v>0</v>
      </c>
      <c r="W119" s="395">
        <f ca="1">IF($E$289=0,0,IF(SUM($G119:V119)=$B119,0,IF(SUM(W118:$EJ118)=0%,$B119,0%)))</f>
        <v>0</v>
      </c>
      <c r="X119" s="395">
        <f ca="1">IF($E$289=0,0,IF(SUM($G119:W119)=$B119,0,IF(SUM(X118:$EJ118)=0%,$B119,0%)))</f>
        <v>0</v>
      </c>
      <c r="Y119" s="395">
        <f ca="1">IF($E$289=0,0,IF(SUM($G119:X119)=$B119,0,IF(SUM(Y118:$EJ118)=0%,$B119,0%)))</f>
        <v>0</v>
      </c>
      <c r="Z119" s="395">
        <f ca="1">IF($E$289=0,0,IF(SUM($G119:Y119)=$B119,0,IF(SUM(Z118:$EJ118)=0%,$B119,0%)))</f>
        <v>0</v>
      </c>
      <c r="AA119" s="395">
        <f ca="1">IF($E$289=0,0,IF(SUM($G119:Z119)=$B119,0,IF(SUM(AA118:$EJ118)=0%,$B119,0%)))</f>
        <v>0</v>
      </c>
      <c r="AB119" s="395">
        <f ca="1">IF($E$289=0,0,IF(SUM($G119:AA119)=$B119,0,IF(SUM(AB118:$EJ118)=0%,$B119,0%)))</f>
        <v>0</v>
      </c>
      <c r="AC119" s="395">
        <f ca="1">IF($E$289=0,0,IF(SUM($G119:AB119)=$B119,0,IF(SUM(AC118:$EJ118)=0%,$B119,0%)))</f>
        <v>0</v>
      </c>
      <c r="AD119" s="395">
        <f ca="1">IF($E$289=0,0,IF(SUM($G119:AC119)=$B119,0,IF(SUM(AD118:$EJ118)=0%,$B119,0%)))</f>
        <v>0</v>
      </c>
      <c r="AE119" s="395">
        <f ca="1">IF($E$289=0,0,IF(SUM($G119:AD119)=$B119,0,IF(SUM(AE118:$EJ118)=0%,$B119,0%)))</f>
        <v>0</v>
      </c>
      <c r="AF119" s="395">
        <f ca="1">IF($E$289=0,0,IF(SUM($G119:AE119)=$B119,0,IF(SUM(AF118:$EJ118)=0%,$B119,0%)))</f>
        <v>0</v>
      </c>
      <c r="AG119" s="395">
        <f ca="1">IF($E$289=0,0,IF(SUM($G119:AF119)=$B119,0,IF(SUM(AG118:$EJ118)=0%,$B119,0%)))</f>
        <v>0</v>
      </c>
      <c r="AH119" s="395">
        <f ca="1">IF($E$289=0,0,IF(SUM($G119:AG119)=$B119,0,IF(SUM(AH118:$EJ118)=0%,$B119,0%)))</f>
        <v>0</v>
      </c>
      <c r="AI119" s="395">
        <f ca="1">IF($E$289=0,0,IF(SUM($G119:AH119)=$B119,0,IF(SUM(AI118:$EJ118)=0%,$B119,0%)))</f>
        <v>0</v>
      </c>
      <c r="AJ119" s="395">
        <f ca="1">IF($E$289=0,0,IF(SUM($G119:AI119)=$B119,0,IF(SUM(AJ118:$EJ118)=0%,$B119,0%)))</f>
        <v>0</v>
      </c>
      <c r="AK119" s="395">
        <f ca="1">IF($E$289=0,0,IF(SUM($G119:AJ119)=$B119,0,IF(SUM(AK118:$EJ118)=0%,$B119,0%)))</f>
        <v>0</v>
      </c>
      <c r="AL119" s="395">
        <f ca="1">IF($E$289=0,0,IF(SUM($G119:AK119)=$B119,0,IF(SUM(AL118:$EJ118)=0%,$B119,0%)))</f>
        <v>0</v>
      </c>
      <c r="AM119" s="395">
        <f ca="1">IF($E$289=0,0,IF(SUM($G119:AL119)=$B119,0,IF(SUM(AM118:$EJ118)=0%,$B119,0%)))</f>
        <v>0</v>
      </c>
      <c r="AN119" s="395">
        <f ca="1">IF($E$289=0,0,IF(SUM($G119:AM119)=$B119,0,IF(SUM(AN118:$EJ118)=0%,$B119,0%)))</f>
        <v>0</v>
      </c>
      <c r="AO119" s="395">
        <f ca="1">IF($E$289=0,0,IF(SUM($G119:AN119)=$B119,0,IF(SUM(AO118:$EJ118)=0%,$B119,0%)))</f>
        <v>0</v>
      </c>
      <c r="AP119" s="395">
        <f ca="1">IF($E$289=0,0,IF(SUM($G119:AO119)=$B119,0,IF(SUM(AP118:$EJ118)=0%,$B119,0%)))</f>
        <v>0</v>
      </c>
      <c r="AQ119" s="395">
        <f ca="1">IF($E$289=0,0,IF(SUM($G119:AP119)=$B119,0,IF(SUM(AQ118:$EJ118)=0%,$B119,0%)))</f>
        <v>0</v>
      </c>
      <c r="AR119" s="395">
        <f ca="1">IF($E$289=0,0,IF(SUM($G119:AQ119)=$B119,0,IF(SUM(AR118:$EJ118)=0%,$B119,0%)))</f>
        <v>0</v>
      </c>
      <c r="AS119" s="395">
        <f ca="1">IF($E$289=0,0,IF(SUM($G119:AR119)=$B119,0,IF(SUM(AS118:$EJ118)=0%,$B119,0%)))</f>
        <v>2.5000000000000001E-2</v>
      </c>
      <c r="AT119" s="395">
        <f ca="1">IF($E$289=0,0,IF(SUM($G119:AS119)=$B119,0,IF(SUM(AT118:$EJ118)=0%,$B119,0%)))</f>
        <v>0</v>
      </c>
      <c r="AU119" s="395">
        <f ca="1">IF($E$289=0,0,IF(SUM($G119:AT119)=$B119,0,IF(SUM(AU118:$EJ118)=0%,$B119,0%)))</f>
        <v>0</v>
      </c>
      <c r="AV119" s="395">
        <f ca="1">IF($E$289=0,0,IF(SUM($G119:AU119)=$B119,0,IF(SUM(AV118:$EJ118)=0%,$B119,0%)))</f>
        <v>0</v>
      </c>
      <c r="AW119" s="395">
        <f ca="1">IF($E$289=0,0,IF(SUM($G119:AV119)=$B119,0,IF(SUM(AW118:$EJ118)=0%,$B119,0%)))</f>
        <v>0</v>
      </c>
      <c r="AX119" s="395">
        <f ca="1">IF($E$289=0,0,IF(SUM($G119:AW119)=$B119,0,IF(SUM(AX118:$EJ118)=0%,$B119,0%)))</f>
        <v>0</v>
      </c>
      <c r="AY119" s="395">
        <f ca="1">IF($E$289=0,0,IF(SUM($G119:AX119)=$B119,0,IF(SUM(AY118:$EJ118)=0%,$B119,0%)))</f>
        <v>0</v>
      </c>
      <c r="AZ119" s="395">
        <f ca="1">IF($E$289=0,0,IF(SUM($G119:AY119)=$B119,0,IF(SUM(AZ118:$EJ118)=0%,$B119,0%)))</f>
        <v>0</v>
      </c>
      <c r="BA119" s="395">
        <f ca="1">IF($E$289=0,0,IF(SUM($G119:AZ119)=$B119,0,IF(SUM(BA118:$EJ118)=0%,$B119,0%)))</f>
        <v>0</v>
      </c>
      <c r="BB119" s="395">
        <f ca="1">IF($E$289=0,0,IF(SUM($G119:BA119)=$B119,0,IF(SUM(BB118:$EJ118)=0%,$B119,0%)))</f>
        <v>0</v>
      </c>
      <c r="BC119" s="395">
        <f ca="1">IF($E$289=0,0,IF(SUM($G119:BB119)=$B119,0,IF(SUM(BC118:$EJ118)=0%,$B119,0%)))</f>
        <v>0</v>
      </c>
      <c r="BD119" s="395">
        <f ca="1">IF($E$289=0,0,IF(SUM($G119:BC119)=$B119,0,IF(SUM(BD118:$EJ118)=0%,$B119,0%)))</f>
        <v>0</v>
      </c>
      <c r="BE119" s="395">
        <f ca="1">IF($E$289=0,0,IF(SUM($G119:BD119)=$B119,0,IF(SUM(BE118:$EJ118)=0%,$B119,0%)))</f>
        <v>0</v>
      </c>
      <c r="BF119" s="395">
        <f ca="1">IF($E$289=0,0,IF(SUM($G119:BE119)=$B119,0,IF(SUM(BF118:$EJ118)=0%,$B119,0%)))</f>
        <v>0</v>
      </c>
      <c r="BG119" s="395">
        <f ca="1">IF($E$289=0,0,IF(SUM($G119:BF119)=$B119,0,IF(SUM(BG118:$EJ118)=0%,$B119,0%)))</f>
        <v>0</v>
      </c>
      <c r="BH119" s="395">
        <f ca="1">IF($E$289=0,0,IF(SUM($G119:BG119)=$B119,0,IF(SUM(BH118:$EJ118)=0%,$B119,0%)))</f>
        <v>0</v>
      </c>
      <c r="BI119" s="395">
        <f ca="1">IF($E$289=0,0,IF(SUM($G119:BH119)=$B119,0,IF(SUM(BI118:$EJ118)=0%,$B119,0%)))</f>
        <v>0</v>
      </c>
      <c r="BJ119" s="395">
        <f ca="1">IF($E$289=0,0,IF(SUM($G119:BI119)=$B119,0,IF(SUM(BJ118:$EJ118)=0%,$B119,0%)))</f>
        <v>0</v>
      </c>
      <c r="BK119" s="395">
        <f ca="1">IF($E$289=0,0,IF(SUM($G119:BJ119)=$B119,0,IF(SUM(BK118:$EJ118)=0%,$B119,0%)))</f>
        <v>0</v>
      </c>
      <c r="BL119" s="395">
        <f ca="1">IF($E$289=0,0,IF(SUM($G119:BK119)=$B119,0,IF(SUM(BL118:$EJ118)=0%,$B119,0%)))</f>
        <v>0</v>
      </c>
      <c r="BM119" s="395">
        <f ca="1">IF($E$289=0,0,IF(SUM($G119:BL119)=$B119,0,IF(SUM(BM118:$EJ118)=0%,$B119,0%)))</f>
        <v>0</v>
      </c>
      <c r="BN119" s="395">
        <f ca="1">IF($E$289=0,0,IF(SUM($G119:BM119)=$B119,0,IF(SUM(BN118:$EJ118)=0%,$B119,0%)))</f>
        <v>0</v>
      </c>
      <c r="BO119" s="395">
        <f ca="1">IF($E$289=0,0,IF(SUM($G119:BN119)=$B119,0,IF(SUM(BO118:$EJ118)=0%,$B119,0%)))</f>
        <v>0</v>
      </c>
      <c r="BP119" s="395">
        <f ca="1">IF($E$289=0,0,IF(SUM($G119:BO119)=$B119,0,IF(SUM(BP118:$EJ118)=0%,$B119,0%)))</f>
        <v>0</v>
      </c>
      <c r="BQ119" s="395">
        <f ca="1">IF($E$289=0,0,IF(SUM($G119:BP119)=$B119,0,IF(SUM(BQ118:$EJ118)=0%,$B119,0%)))</f>
        <v>0</v>
      </c>
      <c r="BR119" s="395">
        <f ca="1">IF($E$289=0,0,IF(SUM($G119:BQ119)=$B119,0,IF(SUM(BR118:$EJ118)=0%,$B119,0%)))</f>
        <v>0</v>
      </c>
      <c r="BS119" s="395">
        <f ca="1">IF($E$289=0,0,IF(SUM($G119:BR119)=$B119,0,IF(SUM(BS118:$EJ118)=0%,$B119,0%)))</f>
        <v>0</v>
      </c>
      <c r="BT119" s="395">
        <f ca="1">IF($E$289=0,0,IF(SUM($G119:BS119)=$B119,0,IF(SUM(BT118:$EJ118)=0%,$B119,0%)))</f>
        <v>0</v>
      </c>
      <c r="BU119" s="395">
        <f ca="1">IF($E$289=0,0,IF(SUM($G119:BT119)=$B119,0,IF(SUM(BU118:$EJ118)=0%,$B119,0%)))</f>
        <v>0</v>
      </c>
      <c r="BV119" s="395">
        <f ca="1">IF($E$289=0,0,IF(SUM($G119:BU119)=$B119,0,IF(SUM(BV118:$EJ118)=0%,$B119,0%)))</f>
        <v>0</v>
      </c>
      <c r="BW119" s="395">
        <f ca="1">IF($E$289=0,0,IF(SUM($G119:BV119)=$B119,0,IF(SUM(BW118:$EJ118)=0%,$B119,0%)))</f>
        <v>0</v>
      </c>
      <c r="BX119" s="395">
        <f ca="1">IF($E$289=0,0,IF(SUM($G119:BW119)=$B119,0,IF(SUM(BX118:$EJ118)=0%,$B119,0%)))</f>
        <v>0</v>
      </c>
      <c r="BY119" s="395">
        <f ca="1">IF($E$289=0,0,IF(SUM($G119:BX119)=$B119,0,IF(SUM(BY118:$EJ118)=0%,$B119,0%)))</f>
        <v>0</v>
      </c>
      <c r="BZ119" s="395">
        <f ca="1">IF($E$289=0,0,IF(SUM($G119:BY119)=$B119,0,IF(SUM(BZ118:$EJ118)=0%,$B119,0%)))</f>
        <v>0</v>
      </c>
      <c r="CA119" s="395">
        <f ca="1">IF($E$289=0,0,IF(SUM($G119:BZ119)=$B119,0,IF(SUM(CA118:$EJ118)=0%,$B119,0%)))</f>
        <v>0</v>
      </c>
      <c r="CB119" s="395">
        <f ca="1">IF($E$289=0,0,IF(SUM($G119:CA119)=$B119,0,IF(SUM(CB118:$EJ118)=0%,$B119,0%)))</f>
        <v>0</v>
      </c>
      <c r="CC119" s="395">
        <f ca="1">IF($E$289=0,0,IF(SUM($G119:CB119)=$B119,0,IF(SUM(CC118:$EJ118)=0%,$B119,0%)))</f>
        <v>0</v>
      </c>
      <c r="CD119" s="395">
        <f ca="1">IF($E$289=0,0,IF(SUM($G119:CC119)=$B119,0,IF(SUM(CD118:$EJ118)=0%,$B119,0%)))</f>
        <v>0</v>
      </c>
      <c r="CE119" s="395">
        <f ca="1">IF($E$289=0,0,IF(SUM($G119:CD119)=$B119,0,IF(SUM(CE118:$EJ118)=0%,$B119,0%)))</f>
        <v>0</v>
      </c>
      <c r="CF119" s="395">
        <f ca="1">IF($E$289=0,0,IF(SUM($G119:CE119)=$B119,0,IF(SUM(CF118:$EJ118)=0%,$B119,0%)))</f>
        <v>0</v>
      </c>
      <c r="CG119" s="395">
        <f ca="1">IF($E$289=0,0,IF(SUM($G119:CF119)=$B119,0,IF(SUM(CG118:$EJ118)=0%,$B119,0%)))</f>
        <v>0</v>
      </c>
      <c r="CH119" s="395">
        <f ca="1">IF($E$289=0,0,IF(SUM($G119:CG119)=$B119,0,IF(SUM(CH118:$EJ118)=0%,$B119,0%)))</f>
        <v>0</v>
      </c>
      <c r="CI119" s="395">
        <f ca="1">IF($E$289=0,0,IF(SUM($G119:CH119)=$B119,0,IF(SUM(CI118:$EJ118)=0%,$B119,0%)))</f>
        <v>0</v>
      </c>
      <c r="CJ119" s="395">
        <f ca="1">IF($E$289=0,0,IF(SUM($G119:CI119)=$B119,0,IF(SUM(CJ118:$EJ118)=0%,$B119,0%)))</f>
        <v>0</v>
      </c>
      <c r="CK119" s="395">
        <f ca="1">IF($E$289=0,0,IF(SUM($G119:CJ119)=$B119,0,IF(SUM(CK118:$EJ118)=0%,$B119,0%)))</f>
        <v>0</v>
      </c>
      <c r="CL119" s="395">
        <f ca="1">IF($E$289=0,0,IF(SUM($G119:CK119)=$B119,0,IF(SUM(CL118:$EJ118)=0%,$B119,0%)))</f>
        <v>0</v>
      </c>
      <c r="CM119" s="395">
        <f ca="1">IF($E$289=0,0,IF(SUM($G119:CL119)=$B119,0,IF(SUM(CM118:$EJ118)=0%,$B119,0%)))</f>
        <v>0</v>
      </c>
      <c r="CN119" s="395">
        <f ca="1">IF($E$289=0,0,IF(SUM($G119:CM119)=$B119,0,IF(SUM(CN118:$EJ118)=0%,$B119,0%)))</f>
        <v>0</v>
      </c>
      <c r="CO119" s="395">
        <f ca="1">IF($E$289=0,0,IF(SUM($G119:CN119)=$B119,0,IF(SUM(CO118:$EJ118)=0%,$B119,0%)))</f>
        <v>0</v>
      </c>
      <c r="CP119" s="395">
        <f ca="1">IF($E$289=0,0,IF(SUM($G119:CO119)=$B119,0,IF(SUM(CP118:$EJ118)=0%,$B119,0%)))</f>
        <v>0</v>
      </c>
      <c r="CQ119" s="395">
        <f ca="1">IF($E$289=0,0,IF(SUM($G119:CP119)=$B119,0,IF(SUM(CQ118:$EJ118)=0%,$B119,0%)))</f>
        <v>0</v>
      </c>
      <c r="CR119" s="395">
        <f ca="1">IF($E$289=0,0,IF(SUM($G119:CQ119)=$B119,0,IF(SUM(CR118:$EJ118)=0%,$B119,0%)))</f>
        <v>0</v>
      </c>
      <c r="CS119" s="395">
        <f ca="1">IF($E$289=0,0,IF(SUM($G119:CR119)=$B119,0,IF(SUM(CS118:$EJ118)=0%,$B119,0%)))</f>
        <v>0</v>
      </c>
      <c r="CT119" s="395">
        <f ca="1">IF($E$289=0,0,IF(SUM($G119:CS119)=$B119,0,IF(SUM(CT118:$EJ118)=0%,$B119,0%)))</f>
        <v>0</v>
      </c>
      <c r="CU119" s="395">
        <f ca="1">IF($E$289=0,0,IF(SUM($G119:CT119)=$B119,0,IF(SUM(CU118:$EJ118)=0%,$B119,0%)))</f>
        <v>0</v>
      </c>
      <c r="CV119" s="395">
        <f ca="1">IF($E$289=0,0,IF(SUM($G119:CU119)=$B119,0,IF(SUM(CV118:$EJ118)=0%,$B119,0%)))</f>
        <v>0</v>
      </c>
      <c r="CW119" s="395">
        <f ca="1">IF($E$289=0,0,IF(SUM($G119:CV119)=$B119,0,IF(SUM(CW118:$EJ118)=0%,$B119,0%)))</f>
        <v>0</v>
      </c>
      <c r="CX119" s="395">
        <f ca="1">IF($E$289=0,0,IF(SUM($G119:CW119)=$B119,0,IF(SUM(CX118:$EJ118)=0%,$B119,0%)))</f>
        <v>0</v>
      </c>
      <c r="CY119" s="395">
        <f ca="1">IF($E$289=0,0,IF(SUM($G119:CX119)=$B119,0,IF(SUM(CY118:$EJ118)=0%,$B119,0%)))</f>
        <v>0</v>
      </c>
      <c r="CZ119" s="395">
        <f ca="1">IF($E$289=0,0,IF(SUM($G119:CY119)=$B119,0,IF(SUM(CZ118:$EJ118)=0%,$B119,0%)))</f>
        <v>0</v>
      </c>
      <c r="DA119" s="395">
        <f ca="1">IF($E$289=0,0,IF(SUM($G119:CZ119)=$B119,0,IF(SUM(DA118:$EJ118)=0%,$B119,0%)))</f>
        <v>0</v>
      </c>
      <c r="DB119" s="395">
        <f ca="1">IF($E$289=0,0,IF(SUM($G119:DA119)=$B119,0,IF(SUM(DB118:$EJ118)=0%,$B119,0%)))</f>
        <v>0</v>
      </c>
      <c r="DC119" s="395">
        <f ca="1">IF($E$289=0,0,IF(SUM($G119:DB119)=$B119,0,IF(SUM(DC118:$EJ118)=0%,$B119,0%)))</f>
        <v>0</v>
      </c>
      <c r="DD119" s="395">
        <f ca="1">IF($E$289=0,0,IF(SUM($G119:DC119)=$B119,0,IF(SUM(DD118:$EJ118)=0%,$B119,0%)))</f>
        <v>0</v>
      </c>
      <c r="DE119" s="395">
        <f ca="1">IF($E$289=0,0,IF(SUM($G119:DD119)=$B119,0,IF(SUM(DE118:$EJ118)=0%,$B119,0%)))</f>
        <v>0</v>
      </c>
      <c r="DF119" s="395">
        <f ca="1">IF($E$289=0,0,IF(SUM($G119:DE119)=$B119,0,IF(SUM(DF118:$EJ118)=0%,$B119,0%)))</f>
        <v>0</v>
      </c>
      <c r="DG119" s="395">
        <f ca="1">IF($E$289=0,0,IF(SUM($G119:DF119)=$B119,0,IF(SUM(DG118:$EJ118)=0%,$B119,0%)))</f>
        <v>0</v>
      </c>
      <c r="DH119" s="395">
        <f ca="1">IF($E$289=0,0,IF(SUM($G119:DG119)=$B119,0,IF(SUM(DH118:$EJ118)=0%,$B119,0%)))</f>
        <v>0</v>
      </c>
      <c r="DI119" s="395">
        <f ca="1">IF($E$289=0,0,IF(SUM($G119:DH119)=$B119,0,IF(SUM(DI118:$EJ118)=0%,$B119,0%)))</f>
        <v>0</v>
      </c>
      <c r="DJ119" s="395">
        <f ca="1">IF($E$289=0,0,IF(SUM($G119:DI119)=$B119,0,IF(SUM(DJ118:$EJ118)=0%,$B119,0%)))</f>
        <v>0</v>
      </c>
      <c r="DK119" s="395">
        <f ca="1">IF($E$289=0,0,IF(SUM($G119:DJ119)=$B119,0,IF(SUM(DK118:$EJ118)=0%,$B119,0%)))</f>
        <v>0</v>
      </c>
      <c r="DL119" s="395">
        <f ca="1">IF($E$289=0,0,IF(SUM($G119:DK119)=$B119,0,IF(SUM(DL118:$EJ118)=0%,$B119,0%)))</f>
        <v>0</v>
      </c>
      <c r="DM119" s="395">
        <f ca="1">IF($E$289=0,0,IF(SUM($G119:DL119)=$B119,0,IF(SUM(DM118:$EJ118)=0%,$B119,0%)))</f>
        <v>0</v>
      </c>
      <c r="DN119" s="395">
        <f ca="1">IF($E$289=0,0,IF(SUM($G119:DM119)=$B119,0,IF(SUM(DN118:$EJ118)=0%,$B119,0%)))</f>
        <v>0</v>
      </c>
      <c r="DO119" s="395">
        <f ca="1">IF($E$289=0,0,IF(SUM($G119:DN119)=$B119,0,IF(SUM(DO118:$EJ118)=0%,$B119,0%)))</f>
        <v>0</v>
      </c>
      <c r="DP119" s="395">
        <f ca="1">IF($E$289=0,0,IF(SUM($G119:DO119)=$B119,0,IF(SUM(DP118:$EJ118)=0%,$B119,0%)))</f>
        <v>0</v>
      </c>
      <c r="DQ119" s="395">
        <f ca="1">IF($E$289=0,0,IF(SUM($G119:DP119)=$B119,0,IF(SUM(DQ118:$EJ118)=0%,$B119,0%)))</f>
        <v>0</v>
      </c>
      <c r="DR119" s="395">
        <f ca="1">IF($E$289=0,0,IF(SUM($G119:DQ119)=$B119,0,IF(SUM(DR118:$EJ118)=0%,$B119,0%)))</f>
        <v>0</v>
      </c>
      <c r="DS119" s="395">
        <f ca="1">IF($E$289=0,0,IF(SUM($G119:DR119)=$B119,0,IF(SUM(DS118:$EJ118)=0%,$B119,0%)))</f>
        <v>0</v>
      </c>
      <c r="DT119" s="395">
        <f ca="1">IF($E$289=0,0,IF(SUM($G119:DS119)=$B119,0,IF(SUM(DT118:$EJ118)=0%,$B119,0%)))</f>
        <v>0</v>
      </c>
      <c r="DU119" s="395">
        <f ca="1">IF($E$289=0,0,IF(SUM($G119:DT119)=$B119,0,IF(SUM(DU118:$EJ118)=0%,$B119,0%)))</f>
        <v>0</v>
      </c>
      <c r="DV119" s="395">
        <f ca="1">IF($E$289=0,0,IF(SUM($G119:DU119)=$B119,0,IF(SUM(DV118:$EJ118)=0%,$B119,0%)))</f>
        <v>0</v>
      </c>
      <c r="DW119" s="395">
        <f ca="1">IF($E$289=0,0,IF(SUM($G119:DV119)=$B119,0,IF(SUM(DW118:$EJ118)=0%,$B119,0%)))</f>
        <v>0</v>
      </c>
      <c r="DX119" s="395">
        <f ca="1">IF($E$289=0,0,IF(SUM($G119:DW119)=$B119,0,IF(SUM(DX118:$EJ118)=0%,$B119,0%)))</f>
        <v>0</v>
      </c>
      <c r="DY119" s="395">
        <f ca="1">IF($E$289=0,0,IF(SUM($G119:DX119)=$B119,0,IF(SUM(DY118:$EJ118)=0%,$B119,0%)))</f>
        <v>0</v>
      </c>
      <c r="DZ119" s="395">
        <f ca="1">IF($E$289=0,0,IF(SUM($G119:DY119)=$B119,0,IF(SUM(DZ118:$EJ118)=0%,$B119,0%)))</f>
        <v>0</v>
      </c>
      <c r="EA119" s="395">
        <f ca="1">IF($E$289=0,0,IF(SUM($G119:DZ119)=$B119,0,IF(SUM(EA118:$EJ118)=0%,$B119,0%)))</f>
        <v>0</v>
      </c>
      <c r="EB119" s="395">
        <f ca="1">IF($E$289=0,0,IF(SUM($G119:EA119)=$B119,0,IF(SUM(EB118:$EJ118)=0%,$B119,0%)))</f>
        <v>0</v>
      </c>
      <c r="EC119" s="395">
        <f ca="1">IF($E$289=0,0,IF(SUM($G119:EB119)=$B119,0,IF(SUM(EC118:$EJ118)=0%,$B119,0%)))</f>
        <v>0</v>
      </c>
      <c r="ED119" s="395">
        <f ca="1">IF($E$289=0,0,IF(SUM($G119:EC119)=$B119,0,IF(SUM(ED118:$EJ118)=0%,$B119,0%)))</f>
        <v>0</v>
      </c>
      <c r="EE119" s="395">
        <f ca="1">IF($E$289=0,0,IF(SUM($G119:ED119)=$B119,0,IF(SUM(EE118:$EJ118)=0%,$B119,0%)))</f>
        <v>0</v>
      </c>
      <c r="EF119" s="395">
        <f ca="1">IF($E$289=0,0,IF(SUM($G119:EE119)=$B119,0,IF(SUM(EF118:$EJ118)=0%,$B119,0%)))</f>
        <v>0</v>
      </c>
      <c r="EG119" s="395">
        <f ca="1">IF($E$289=0,0,IF(SUM($G119:EF119)=$B119,0,IF(SUM(EG118:$EJ118)=0%,$B119,0%)))</f>
        <v>0</v>
      </c>
      <c r="EH119" s="395">
        <f ca="1">IF($E$289=0,0,IF(SUM($G119:EG119)=$B119,0,IF(SUM(EH118:$EJ118)=0%,$B119,0%)))</f>
        <v>0</v>
      </c>
      <c r="EI119" s="395">
        <f ca="1">IF($E$289=0,0,IF(SUM($G119:EH119)=$B119,0,IF(SUM(EI118:$EJ118)=0%,$B119,0%)))</f>
        <v>0</v>
      </c>
      <c r="EJ119" s="398"/>
      <c r="EK119" s="313"/>
    </row>
    <row r="120" spans="1:141" hidden="1" outlineLevel="2">
      <c r="A120" s="332"/>
      <c r="B120" s="549">
        <f>длительность!F186</f>
        <v>2.5000000000000001E-2</v>
      </c>
      <c r="C120" s="317"/>
      <c r="D120" s="317" t="s">
        <v>640</v>
      </c>
      <c r="E120" s="318">
        <f t="shared" ca="1" si="340"/>
        <v>0</v>
      </c>
      <c r="F120" s="397">
        <f ca="1">SUM(G120:EJ120)</f>
        <v>2.5000000000000001E-2</v>
      </c>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f ca="1">IF($E$289=0,0,IF(SUM($G120:AC120)=$B120,0,IF(SUM($G119:G119)=$B119,$B120,0%)))</f>
        <v>0</v>
      </c>
      <c r="AE120" s="395">
        <f ca="1">IF($E$289=0,0,IF(SUM($G120:AD120)=$B120,0,IF(SUM($G119:H119)=$B119,$B120,0%)))</f>
        <v>0</v>
      </c>
      <c r="AF120" s="395">
        <f ca="1">IF($E$289=0,0,IF(SUM($G120:AE120)=$B120,0,IF(SUM($G119:I119)=$B119,$B120,0%)))</f>
        <v>0</v>
      </c>
      <c r="AG120" s="395">
        <f ca="1">IF($E$289=0,0,IF(SUM($G120:AF120)=$B120,0,IF(SUM($G119:J119)=$B119,$B120,0%)))</f>
        <v>0</v>
      </c>
      <c r="AH120" s="395">
        <f ca="1">IF($E$289=0,0,IF(SUM($G120:AG120)=$B120,0,IF(SUM($G119:K119)=$B119,$B120,0%)))</f>
        <v>0</v>
      </c>
      <c r="AI120" s="395">
        <f ca="1">IF($E$289=0,0,IF(SUM($G120:AH120)=$B120,0,IF(SUM($G119:L119)=$B119,$B120,0%)))</f>
        <v>0</v>
      </c>
      <c r="AJ120" s="395">
        <f ca="1">IF($E$289=0,0,IF(SUM($G120:AI120)=$B120,0,IF(SUM($G119:M119)=$B119,$B120,0%)))</f>
        <v>0</v>
      </c>
      <c r="AK120" s="395">
        <f ca="1">IF($E$289=0,0,IF(SUM($G120:AJ120)=$B120,0,IF(SUM($G119:N119)=$B119,$B120,0%)))</f>
        <v>0</v>
      </c>
      <c r="AL120" s="395">
        <f ca="1">IF($E$289=0,0,IF(SUM($G120:AK120)=$B120,0,IF(SUM($G119:O119)=$B119,$B120,0%)))</f>
        <v>0</v>
      </c>
      <c r="AM120" s="395">
        <f ca="1">IF($E$289=0,0,IF(SUM($G120:AL120)=$B120,0,IF(SUM($G119:P119)=$B119,$B120,0%)))</f>
        <v>0</v>
      </c>
      <c r="AN120" s="395">
        <f ca="1">IF($E$289=0,0,IF(SUM($G120:AM120)=$B120,0,IF(SUM($G119:Q119)=$B119,$B120,0%)))</f>
        <v>0</v>
      </c>
      <c r="AO120" s="395">
        <f ca="1">IF($E$289=0,0,IF(SUM($G120:AN120)=$B120,0,IF(SUM($G119:R119)=$B119,$B120,0%)))</f>
        <v>0</v>
      </c>
      <c r="AP120" s="395">
        <f ca="1">IF($E$289=0,0,IF(SUM($G120:AO120)=$B120,0,IF(SUM($G119:S119)=$B119,$B120,0%)))</f>
        <v>0</v>
      </c>
      <c r="AQ120" s="395">
        <f ca="1">IF($E$289=0,0,IF(SUM($G120:AP120)=$B120,0,IF(SUM($G119:T119)=$B119,$B120,0%)))</f>
        <v>0</v>
      </c>
      <c r="AR120" s="395">
        <f ca="1">IF($E$289=0,0,IF(SUM($G120:AQ120)=$B120,0,IF(SUM($G119:U119)=$B119,$B120,0%)))</f>
        <v>0</v>
      </c>
      <c r="AS120" s="395">
        <f ca="1">IF($E$289=0,0,IF(SUM($G120:AR120)=$B120,0,IF(SUM($G119:V119)=$B119,$B120,0%)))</f>
        <v>0</v>
      </c>
      <c r="AT120" s="395">
        <f ca="1">IF($E$289=0,0,IF(SUM($G120:AS120)=$B120,0,IF(SUM($G119:W119)=$B119,$B120,0%)))</f>
        <v>0</v>
      </c>
      <c r="AU120" s="395">
        <f ca="1">IF($E$289=0,0,IF(SUM($G120:AT120)=$B120,0,IF(SUM($G119:X119)=$B119,$B120,0%)))</f>
        <v>0</v>
      </c>
      <c r="AV120" s="395">
        <f ca="1">IF($E$289=0,0,IF(SUM($G120:AU120)=$B120,0,IF(SUM($G119:Y119)=$B119,$B120,0%)))</f>
        <v>0</v>
      </c>
      <c r="AW120" s="395">
        <f ca="1">IF($E$289=0,0,IF(SUM($G120:AV120)=$B120,0,IF(SUM($G119:Z119)=$B119,$B120,0%)))</f>
        <v>0</v>
      </c>
      <c r="AX120" s="395">
        <f ca="1">IF($E$289=0,0,IF(SUM($G120:AW120)=$B120,0,IF(SUM($G119:AA119)=$B119,$B120,0%)))</f>
        <v>0</v>
      </c>
      <c r="AY120" s="395">
        <f ca="1">IF($E$289=0,0,IF(SUM($G120:AX120)=$B120,0,IF(SUM($G119:AB119)=$B119,$B120,0%)))</f>
        <v>0</v>
      </c>
      <c r="AZ120" s="395">
        <f ca="1">IF($E$289=0,0,IF(SUM($G120:AY120)=$B120,0,IF(SUM($G119:AC119)=$B119,$B120,0%)))</f>
        <v>0</v>
      </c>
      <c r="BA120" s="395">
        <f ca="1">IF($E$289=0,0,IF(SUM($G120:AZ120)=$B120,0,IF(SUM($G119:AD119)=$B119,$B120,0%)))</f>
        <v>0</v>
      </c>
      <c r="BB120" s="395">
        <f ca="1">IF($E$289=0,0,IF(SUM($G120:BA120)=$B120,0,IF(SUM($G119:AE119)=$B119,$B120,0%)))</f>
        <v>0</v>
      </c>
      <c r="BC120" s="395">
        <f ca="1">IF($E$289=0,0,IF(SUM($G120:BB120)=$B120,0,IF(SUM($G119:AF119)=$B119,$B120,0%)))</f>
        <v>0</v>
      </c>
      <c r="BD120" s="395">
        <f ca="1">IF($E$289=0,0,IF(SUM($G120:BC120)=$B120,0,IF(SUM($G119:AG119)=$B119,$B120,0%)))</f>
        <v>0</v>
      </c>
      <c r="BE120" s="395">
        <f ca="1">IF($E$289=0,0,IF(SUM($G120:BD120)=$B120,0,IF(SUM($G119:AH119)=$B119,$B120,0%)))</f>
        <v>0</v>
      </c>
      <c r="BF120" s="395">
        <f ca="1">IF($E$289=0,0,IF(SUM($G120:BE120)=$B120,0,IF(SUM($G119:AI119)=$B119,$B120,0%)))</f>
        <v>0</v>
      </c>
      <c r="BG120" s="395">
        <f ca="1">IF($E$289=0,0,IF(SUM($G120:BF120)=$B120,0,IF(SUM($G119:AJ119)=$B119,$B120,0%)))</f>
        <v>0</v>
      </c>
      <c r="BH120" s="395">
        <f ca="1">IF($E$289=0,0,IF(SUM($G120:BG120)=$B120,0,IF(SUM($G119:AK119)=$B119,$B120,0%)))</f>
        <v>0</v>
      </c>
      <c r="BI120" s="395">
        <f ca="1">IF($E$289=0,0,IF(SUM($G120:BH120)=$B120,0,IF(SUM($G119:AL119)=$B119,$B120,0%)))</f>
        <v>0</v>
      </c>
      <c r="BJ120" s="395">
        <f ca="1">IF($E$289=0,0,IF(SUM($G120:BI120)=$B120,0,IF(SUM($G119:AM119)=$B119,$B120,0%)))</f>
        <v>0</v>
      </c>
      <c r="BK120" s="395">
        <f ca="1">IF($E$289=0,0,IF(SUM($G120:BJ120)=$B120,0,IF(SUM($G119:AN119)=$B119,$B120,0%)))</f>
        <v>0</v>
      </c>
      <c r="BL120" s="395">
        <f ca="1">IF($E$289=0,0,IF(SUM($G120:BK120)=$B120,0,IF(SUM($G119:AO119)=$B119,$B120,0%)))</f>
        <v>0</v>
      </c>
      <c r="BM120" s="395">
        <f ca="1">IF($E$289=0,0,IF(SUM($G120:BL120)=$B120,0,IF(SUM($G119:AP119)=$B119,$B120,0%)))</f>
        <v>0</v>
      </c>
      <c r="BN120" s="395">
        <f ca="1">IF($E$289=0,0,IF(SUM($G120:BM120)=$B120,0,IF(SUM($G119:AQ119)=$B119,$B120,0%)))</f>
        <v>0</v>
      </c>
      <c r="BO120" s="395">
        <f ca="1">IF($E$289=0,0,IF(SUM($G120:BN120)=$B120,0,IF(SUM($G119:AR119)=$B119,$B120,0%)))</f>
        <v>0</v>
      </c>
      <c r="BP120" s="395">
        <f ca="1">IF($E$289=0,0,IF(SUM($G120:BO120)=$B120,0,IF(SUM($G119:AS119)=$B119,$B120,0%)))</f>
        <v>2.5000000000000001E-2</v>
      </c>
      <c r="BQ120" s="395">
        <f ca="1">IF($E$289=0,0,IF(SUM($G120:BP120)=$B120,0,IF(SUM($G119:AT119)=$B119,$B120,0%)))</f>
        <v>0</v>
      </c>
      <c r="BR120" s="395">
        <f ca="1">IF($E$289=0,0,IF(SUM($G120:BQ120)=$B120,0,IF(SUM($G119:AU119)=$B119,$B120,0%)))</f>
        <v>0</v>
      </c>
      <c r="BS120" s="395">
        <f ca="1">IF($E$289=0,0,IF(SUM($G120:BR120)=$B120,0,IF(SUM($G119:AV119)=$B119,$B120,0%)))</f>
        <v>0</v>
      </c>
      <c r="BT120" s="395">
        <f ca="1">IF($E$289=0,0,IF(SUM($G120:BS120)=$B120,0,IF(SUM($G119:AW119)=$B119,$B120,0%)))</f>
        <v>0</v>
      </c>
      <c r="BU120" s="395">
        <f ca="1">IF($E$289=0,0,IF(SUM($G120:BT120)=$B120,0,IF(SUM($G119:AX119)=$B119,$B120,0%)))</f>
        <v>0</v>
      </c>
      <c r="BV120" s="395">
        <f ca="1">IF($E$289=0,0,IF(SUM($G120:BU120)=$B120,0,IF(SUM($G119:AY119)=$B119,$B120,0%)))</f>
        <v>0</v>
      </c>
      <c r="BW120" s="395">
        <f ca="1">IF($E$289=0,0,IF(SUM($G120:BV120)=$B120,0,IF(SUM($G119:AZ119)=$B119,$B120,0%)))</f>
        <v>0</v>
      </c>
      <c r="BX120" s="395">
        <f ca="1">IF($E$289=0,0,IF(SUM($G120:BW120)=$B120,0,IF(SUM($G119:BA119)=$B119,$B120,0%)))</f>
        <v>0</v>
      </c>
      <c r="BY120" s="395">
        <f ca="1">IF($E$289=0,0,IF(SUM($G120:BX120)=$B120,0,IF(SUM($G119:BB119)=$B119,$B120,0%)))</f>
        <v>0</v>
      </c>
      <c r="BZ120" s="395">
        <f ca="1">IF($E$289=0,0,IF(SUM($G120:BY120)=$B120,0,IF(SUM($G119:BC119)=$B119,$B120,0%)))</f>
        <v>0</v>
      </c>
      <c r="CA120" s="395">
        <f ca="1">IF($E$289=0,0,IF(SUM($G120:BZ120)=$B120,0,IF(SUM($G119:BD119)=$B119,$B120,0%)))</f>
        <v>0</v>
      </c>
      <c r="CB120" s="395">
        <f ca="1">IF($E$289=0,0,IF(SUM($G120:CA120)=$B120,0,IF(SUM($G119:BE119)=$B119,$B120,0%)))</f>
        <v>0</v>
      </c>
      <c r="CC120" s="395">
        <f ca="1">IF($E$289=0,0,IF(SUM($G120:CB120)=$B120,0,IF(SUM($G119:BF119)=$B119,$B120,0%)))</f>
        <v>0</v>
      </c>
      <c r="CD120" s="395">
        <f ca="1">IF($E$289=0,0,IF(SUM($G120:CC120)=$B120,0,IF(SUM($G119:BG119)=$B119,$B120,0%)))</f>
        <v>0</v>
      </c>
      <c r="CE120" s="395">
        <f ca="1">IF($E$289=0,0,IF(SUM($G120:CD120)=$B120,0,IF(SUM($G119:BH119)=$B119,$B120,0%)))</f>
        <v>0</v>
      </c>
      <c r="CF120" s="395">
        <f ca="1">IF($E$289=0,0,IF(SUM($G120:CE120)=$B120,0,IF(SUM($G119:BI119)=$B119,$B120,0%)))</f>
        <v>0</v>
      </c>
      <c r="CG120" s="395">
        <f ca="1">IF($E$289=0,0,IF(SUM($G120:CF120)=$B120,0,IF(SUM($G119:BJ119)=$B119,$B120,0%)))</f>
        <v>0</v>
      </c>
      <c r="CH120" s="395">
        <f ca="1">IF($E$289=0,0,IF(SUM($G120:CG120)=$B120,0,IF(SUM($G119:BK119)=$B119,$B120,0%)))</f>
        <v>0</v>
      </c>
      <c r="CI120" s="395">
        <f ca="1">IF($E$289=0,0,IF(SUM($G120:CH120)=$B120,0,IF(SUM($G119:BL119)=$B119,$B120,0%)))</f>
        <v>0</v>
      </c>
      <c r="CJ120" s="395">
        <f ca="1">IF($E$289=0,0,IF(SUM($G120:CI120)=$B120,0,IF(SUM($G119:BM119)=$B119,$B120,0%)))</f>
        <v>0</v>
      </c>
      <c r="CK120" s="395">
        <f ca="1">IF($E$289=0,0,IF(SUM($G120:CJ120)=$B120,0,IF(SUM($G119:BN119)=$B119,$B120,0%)))</f>
        <v>0</v>
      </c>
      <c r="CL120" s="395">
        <f ca="1">IF($E$289=0,0,IF(SUM($G120:CK120)=$B120,0,IF(SUM($G119:BO119)=$B119,$B120,0%)))</f>
        <v>0</v>
      </c>
      <c r="CM120" s="395">
        <f ca="1">IF($E$289=0,0,IF(SUM($G120:CL120)=$B120,0,IF(SUM($G119:BP119)=$B119,$B120,0%)))</f>
        <v>0</v>
      </c>
      <c r="CN120" s="395">
        <f ca="1">IF($E$289=0,0,IF(SUM($G120:CM120)=$B120,0,IF(SUM($G119:BQ119)=$B119,$B120,0%)))</f>
        <v>0</v>
      </c>
      <c r="CO120" s="395">
        <f ca="1">IF($E$289=0,0,IF(SUM($G120:CN120)=$B120,0,IF(SUM($G119:BR119)=$B119,$B120,0%)))</f>
        <v>0</v>
      </c>
      <c r="CP120" s="395">
        <f ca="1">IF($E$289=0,0,IF(SUM($G120:CO120)=$B120,0,IF(SUM($G119:BS119)=$B119,$B120,0%)))</f>
        <v>0</v>
      </c>
      <c r="CQ120" s="395">
        <f ca="1">IF($E$289=0,0,IF(SUM($G120:CP120)=$B120,0,IF(SUM($G119:BT119)=$B119,$B120,0%)))</f>
        <v>0</v>
      </c>
      <c r="CR120" s="395">
        <f ca="1">IF($E$289=0,0,IF(SUM($G120:CQ120)=$B120,0,IF(SUM($G119:BU119)=$B119,$B120,0%)))</f>
        <v>0</v>
      </c>
      <c r="CS120" s="395">
        <f ca="1">IF($E$289=0,0,IF(SUM($G120:CR120)=$B120,0,IF(SUM($G119:BV119)=$B119,$B120,0%)))</f>
        <v>0</v>
      </c>
      <c r="CT120" s="395">
        <f ca="1">IF($E$289=0,0,IF(SUM($G120:CS120)=$B120,0,IF(SUM($G119:BW119)=$B119,$B120,0%)))</f>
        <v>0</v>
      </c>
      <c r="CU120" s="395">
        <f ca="1">IF($E$289=0,0,IF(SUM($G120:CT120)=$B120,0,IF(SUM($G119:BX119)=$B119,$B120,0%)))</f>
        <v>0</v>
      </c>
      <c r="CV120" s="395">
        <f ca="1">IF($E$289=0,0,IF(SUM($G120:CU120)=$B120,0,IF(SUM($G119:BY119)=$B119,$B120,0%)))</f>
        <v>0</v>
      </c>
      <c r="CW120" s="395">
        <f ca="1">IF($E$289=0,0,IF(SUM($G120:CV120)=$B120,0,IF(SUM($G119:BZ119)=$B119,$B120,0%)))</f>
        <v>0</v>
      </c>
      <c r="CX120" s="395">
        <f ca="1">IF($E$289=0,0,IF(SUM($G120:CW120)=$B120,0,IF(SUM($G119:CA119)=$B119,$B120,0%)))</f>
        <v>0</v>
      </c>
      <c r="CY120" s="395">
        <f ca="1">IF($E$289=0,0,IF(SUM($G120:CX120)=$B120,0,IF(SUM($G119:CB119)=$B119,$B120,0%)))</f>
        <v>0</v>
      </c>
      <c r="CZ120" s="395">
        <f ca="1">IF($E$289=0,0,IF(SUM($G120:CY120)=$B120,0,IF(SUM($G119:CC119)=$B119,$B120,0%)))</f>
        <v>0</v>
      </c>
      <c r="DA120" s="395">
        <f ca="1">IF($E$289=0,0,IF(SUM($G120:CZ120)=$B120,0,IF(SUM($G119:CD119)=$B119,$B120,0%)))</f>
        <v>0</v>
      </c>
      <c r="DB120" s="395">
        <f ca="1">IF($E$289=0,0,IF(SUM($G120:DA120)=$B120,0,IF(SUM($G119:CE119)=$B119,$B120,0%)))</f>
        <v>0</v>
      </c>
      <c r="DC120" s="395">
        <f ca="1">IF($E$289=0,0,IF(SUM($G120:DB120)=$B120,0,IF(SUM($G119:CF119)=$B119,$B120,0%)))</f>
        <v>0</v>
      </c>
      <c r="DD120" s="395">
        <f ca="1">IF($E$289=0,0,IF(SUM($G120:DC120)=$B120,0,IF(SUM($G119:CG119)=$B119,$B120,0%)))</f>
        <v>0</v>
      </c>
      <c r="DE120" s="395">
        <f ca="1">IF($E$289=0,0,IF(SUM($G120:DD120)=$B120,0,IF(SUM($G119:CH119)=$B119,$B120,0%)))</f>
        <v>0</v>
      </c>
      <c r="DF120" s="395">
        <f ca="1">IF($E$289=0,0,IF(SUM($G120:DE120)=$B120,0,IF(SUM($G119:CI119)=$B119,$B120,0%)))</f>
        <v>0</v>
      </c>
      <c r="DG120" s="395">
        <f ca="1">IF($E$289=0,0,IF(SUM($G120:DF120)=$B120,0,IF(SUM($G119:CJ119)=$B119,$B120,0%)))</f>
        <v>0</v>
      </c>
      <c r="DH120" s="395">
        <f ca="1">IF($E$289=0,0,IF(SUM($G120:DG120)=$B120,0,IF(SUM($G119:CK119)=$B119,$B120,0%)))</f>
        <v>0</v>
      </c>
      <c r="DI120" s="395">
        <f ca="1">IF($E$289=0,0,IF(SUM($G120:DH120)=$B120,0,IF(SUM($G119:CL119)=$B119,$B120,0%)))</f>
        <v>0</v>
      </c>
      <c r="DJ120" s="395">
        <f ca="1">IF($E$289=0,0,IF(SUM($G120:DI120)=$B120,0,IF(SUM($G119:CM119)=$B119,$B120,0%)))</f>
        <v>0</v>
      </c>
      <c r="DK120" s="395">
        <f ca="1">IF($E$289=0,0,IF(SUM($G120:DJ120)=$B120,0,IF(SUM($G119:CN119)=$B119,$B120,0%)))</f>
        <v>0</v>
      </c>
      <c r="DL120" s="395">
        <f ca="1">IF($E$289=0,0,IF(SUM($G120:DK120)=$B120,0,IF(SUM($G119:CO119)=$B119,$B120,0%)))</f>
        <v>0</v>
      </c>
      <c r="DM120" s="395">
        <f ca="1">IF($E$289=0,0,IF(SUM($G120:DL120)=$B120,0,IF(SUM($G119:CP119)=$B119,$B120,0%)))</f>
        <v>0</v>
      </c>
      <c r="DN120" s="395">
        <f ca="1">IF($E$289=0,0,IF(SUM($G120:DM120)=$B120,0,IF(SUM($G119:CQ119)=$B119,$B120,0%)))</f>
        <v>0</v>
      </c>
      <c r="DO120" s="395">
        <f ca="1">IF($E$289=0,0,IF(SUM($G120:DN120)=$B120,0,IF(SUM($G119:CR119)=$B119,$B120,0%)))</f>
        <v>0</v>
      </c>
      <c r="DP120" s="395">
        <f ca="1">IF($E$289=0,0,IF(SUM($G120:DO120)=$B120,0,IF(SUM($G119:CS119)=$B119,$B120,0%)))</f>
        <v>0</v>
      </c>
      <c r="DQ120" s="395">
        <f ca="1">IF($E$289=0,0,IF(SUM($G120:DP120)=$B120,0,IF(SUM($G119:CT119)=$B119,$B120,0%)))</f>
        <v>0</v>
      </c>
      <c r="DR120" s="395">
        <f ca="1">IF($E$289=0,0,IF(SUM($G120:DQ120)=$B120,0,IF(SUM($G119:CU119)=$B119,$B120,0%)))</f>
        <v>0</v>
      </c>
      <c r="DS120" s="395">
        <f ca="1">IF($E$289=0,0,IF(SUM($G120:DR120)=$B120,0,IF(SUM($G119:CV119)=$B119,$B120,0%)))</f>
        <v>0</v>
      </c>
      <c r="DT120" s="395">
        <f ca="1">IF($E$289=0,0,IF(SUM($G120:DS120)=$B120,0,IF(SUM($G119:CW119)=$B119,$B120,0%)))</f>
        <v>0</v>
      </c>
      <c r="DU120" s="395">
        <f ca="1">IF($E$289=0,0,IF(SUM($G120:DT120)=$B120,0,IF(SUM($G119:CX119)=$B119,$B120,0%)))</f>
        <v>0</v>
      </c>
      <c r="DV120" s="395">
        <f ca="1">IF($E$289=0,0,IF(SUM($G120:DU120)=$B120,0,IF(SUM($G119:CY119)=$B119,$B120,0%)))</f>
        <v>0</v>
      </c>
      <c r="DW120" s="395">
        <f ca="1">IF($E$289=0,0,IF(SUM($G120:DV120)=$B120,0,IF(SUM($G119:CZ119)=$B119,$B120,0%)))</f>
        <v>0</v>
      </c>
      <c r="DX120" s="395">
        <f ca="1">IF($E$289=0,0,IF(SUM($G120:DW120)=$B120,0,IF(SUM($G119:DA119)=$B119,$B120,0%)))</f>
        <v>0</v>
      </c>
      <c r="DY120" s="395">
        <f ca="1">IF($E$289=0,0,IF(SUM($G120:DX120)=$B120,0,IF(SUM($G119:DB119)=$B119,$B120,0%)))</f>
        <v>0</v>
      </c>
      <c r="DZ120" s="395">
        <f ca="1">IF($E$289=0,0,IF(SUM($G120:DY120)=$B120,0,IF(SUM($G119:DC119)=$B119,$B120,0%)))</f>
        <v>0</v>
      </c>
      <c r="EA120" s="395">
        <f ca="1">IF($E$289=0,0,IF(SUM($G120:DZ120)=$B120,0,IF(SUM($G119:DD119)=$B119,$B120,0%)))</f>
        <v>0</v>
      </c>
      <c r="EB120" s="395">
        <f ca="1">IF($E$289=0,0,IF(SUM($G120:EA120)=$B120,0,IF(SUM($G119:DE119)=$B119,$B120,0%)))</f>
        <v>0</v>
      </c>
      <c r="EC120" s="395">
        <f ca="1">IF($E$289=0,0,IF(SUM($G120:EB120)=$B120,0,IF(SUM($G119:DF119)=$B119,$B120,0%)))</f>
        <v>0</v>
      </c>
      <c r="ED120" s="395">
        <f ca="1">IF($E$289=0,0,IF(SUM($G120:EC120)=$B120,0,IF(SUM($G119:DG119)=$B119,$B120,0%)))</f>
        <v>0</v>
      </c>
      <c r="EE120" s="395">
        <f ca="1">IF($E$289=0,0,IF(SUM($G120:ED120)=$B120,0,IF(SUM($G119:DH119)=$B119,$B120,0%)))</f>
        <v>0</v>
      </c>
      <c r="EF120" s="395">
        <f ca="1">IF($E$289=0,0,IF(SUM($G120:EE120)=$B120,0,IF(SUM($G119:DI119)=$B119,$B120,0%)))</f>
        <v>0</v>
      </c>
      <c r="EG120" s="395">
        <f ca="1">IF($E$289=0,0,IF(SUM($G120:EF120)=$B120,0,IF(SUM($G119:DJ119)=$B119,$B120,0%)))</f>
        <v>0</v>
      </c>
      <c r="EH120" s="395">
        <f ca="1">IF($E$289=0,0,IF(SUM($G120:EG120)=$B120,0,IF(SUM($G119:DK119)=$B119,$B120,0%)))</f>
        <v>0</v>
      </c>
      <c r="EI120" s="395">
        <f ca="1">IF($E$289=0,0,IF(SUM($G120:EH120)=$B120,0,IF(SUM($G119:DL119)=$B119,$B120,0%)))</f>
        <v>0</v>
      </c>
      <c r="EJ120" s="398"/>
      <c r="EK120" s="313"/>
    </row>
    <row r="121" spans="1:141" hidden="1" outlineLevel="1" collapsed="1">
      <c r="A121" s="332"/>
      <c r="B121" s="313"/>
      <c r="C121" s="392" t="s">
        <v>74</v>
      </c>
      <c r="D121" s="392" t="str">
        <f>D294</f>
        <v>Кровля - вертолетная площадка</v>
      </c>
      <c r="E121" s="393">
        <f ca="1">ROUND(IF(F121=0,0,100%-F121),0)</f>
        <v>0</v>
      </c>
      <c r="F121" s="394">
        <f t="shared" ref="F121:F123" ca="1" si="341">SUM(G121:EJ121)</f>
        <v>0</v>
      </c>
      <c r="G121" s="395">
        <f>SUM(G122:G125)</f>
        <v>0</v>
      </c>
      <c r="H121" s="395">
        <f t="shared" ref="H121:BS121" ca="1" si="342">SUM(H122:H125)</f>
        <v>0</v>
      </c>
      <c r="I121" s="395">
        <f t="shared" ca="1" si="342"/>
        <v>0</v>
      </c>
      <c r="J121" s="395">
        <f t="shared" ca="1" si="342"/>
        <v>0</v>
      </c>
      <c r="K121" s="395">
        <f t="shared" ca="1" si="342"/>
        <v>0</v>
      </c>
      <c r="L121" s="395">
        <f t="shared" ca="1" si="342"/>
        <v>0</v>
      </c>
      <c r="M121" s="395">
        <f t="shared" ca="1" si="342"/>
        <v>0</v>
      </c>
      <c r="N121" s="395">
        <f t="shared" ca="1" si="342"/>
        <v>0</v>
      </c>
      <c r="O121" s="395">
        <f t="shared" ca="1" si="342"/>
        <v>0</v>
      </c>
      <c r="P121" s="395">
        <f t="shared" ca="1" si="342"/>
        <v>0</v>
      </c>
      <c r="Q121" s="395">
        <f t="shared" ca="1" si="342"/>
        <v>0</v>
      </c>
      <c r="R121" s="395">
        <f t="shared" ca="1" si="342"/>
        <v>0</v>
      </c>
      <c r="S121" s="395">
        <f t="shared" ca="1" si="342"/>
        <v>0</v>
      </c>
      <c r="T121" s="395">
        <f t="shared" ca="1" si="342"/>
        <v>0</v>
      </c>
      <c r="U121" s="395">
        <f t="shared" ca="1" si="342"/>
        <v>0</v>
      </c>
      <c r="V121" s="395">
        <f t="shared" ca="1" si="342"/>
        <v>0</v>
      </c>
      <c r="W121" s="395">
        <f t="shared" ca="1" si="342"/>
        <v>0</v>
      </c>
      <c r="X121" s="395">
        <f t="shared" ca="1" si="342"/>
        <v>0</v>
      </c>
      <c r="Y121" s="395">
        <f t="shared" ca="1" si="342"/>
        <v>0</v>
      </c>
      <c r="Z121" s="395">
        <f t="shared" ca="1" si="342"/>
        <v>0</v>
      </c>
      <c r="AA121" s="395">
        <f t="shared" ca="1" si="342"/>
        <v>0</v>
      </c>
      <c r="AB121" s="395">
        <f t="shared" ca="1" si="342"/>
        <v>0</v>
      </c>
      <c r="AC121" s="395">
        <f t="shared" ca="1" si="342"/>
        <v>0</v>
      </c>
      <c r="AD121" s="395">
        <f t="shared" ca="1" si="342"/>
        <v>0</v>
      </c>
      <c r="AE121" s="395">
        <f t="shared" ca="1" si="342"/>
        <v>0</v>
      </c>
      <c r="AF121" s="395">
        <f t="shared" ca="1" si="342"/>
        <v>0</v>
      </c>
      <c r="AG121" s="395">
        <f t="shared" ca="1" si="342"/>
        <v>0</v>
      </c>
      <c r="AH121" s="395">
        <f t="shared" ca="1" si="342"/>
        <v>0</v>
      </c>
      <c r="AI121" s="395">
        <f t="shared" ca="1" si="342"/>
        <v>0</v>
      </c>
      <c r="AJ121" s="395">
        <f t="shared" ca="1" si="342"/>
        <v>0</v>
      </c>
      <c r="AK121" s="395">
        <f t="shared" ca="1" si="342"/>
        <v>0</v>
      </c>
      <c r="AL121" s="395">
        <f t="shared" ca="1" si="342"/>
        <v>0</v>
      </c>
      <c r="AM121" s="395">
        <f t="shared" ca="1" si="342"/>
        <v>0</v>
      </c>
      <c r="AN121" s="395">
        <f t="shared" ca="1" si="342"/>
        <v>0</v>
      </c>
      <c r="AO121" s="395">
        <f t="shared" ca="1" si="342"/>
        <v>0</v>
      </c>
      <c r="AP121" s="395">
        <f t="shared" ca="1" si="342"/>
        <v>0</v>
      </c>
      <c r="AQ121" s="395">
        <f t="shared" ca="1" si="342"/>
        <v>0</v>
      </c>
      <c r="AR121" s="395">
        <f t="shared" ca="1" si="342"/>
        <v>0</v>
      </c>
      <c r="AS121" s="395">
        <f t="shared" ca="1" si="342"/>
        <v>0</v>
      </c>
      <c r="AT121" s="395">
        <f t="shared" ca="1" si="342"/>
        <v>0</v>
      </c>
      <c r="AU121" s="395">
        <f t="shared" ca="1" si="342"/>
        <v>0</v>
      </c>
      <c r="AV121" s="395">
        <f t="shared" ca="1" si="342"/>
        <v>0</v>
      </c>
      <c r="AW121" s="395">
        <f t="shared" ca="1" si="342"/>
        <v>0</v>
      </c>
      <c r="AX121" s="395">
        <f t="shared" ca="1" si="342"/>
        <v>0</v>
      </c>
      <c r="AY121" s="395">
        <f t="shared" ca="1" si="342"/>
        <v>0</v>
      </c>
      <c r="AZ121" s="395">
        <f t="shared" ca="1" si="342"/>
        <v>0</v>
      </c>
      <c r="BA121" s="395">
        <f t="shared" ca="1" si="342"/>
        <v>0</v>
      </c>
      <c r="BB121" s="395">
        <f t="shared" ca="1" si="342"/>
        <v>0</v>
      </c>
      <c r="BC121" s="395">
        <f t="shared" ca="1" si="342"/>
        <v>0</v>
      </c>
      <c r="BD121" s="395">
        <f t="shared" ca="1" si="342"/>
        <v>0</v>
      </c>
      <c r="BE121" s="395">
        <f t="shared" ca="1" si="342"/>
        <v>0</v>
      </c>
      <c r="BF121" s="395">
        <f t="shared" ca="1" si="342"/>
        <v>0</v>
      </c>
      <c r="BG121" s="395">
        <f t="shared" ca="1" si="342"/>
        <v>0</v>
      </c>
      <c r="BH121" s="395">
        <f t="shared" ca="1" si="342"/>
        <v>0</v>
      </c>
      <c r="BI121" s="395">
        <f t="shared" ca="1" si="342"/>
        <v>0</v>
      </c>
      <c r="BJ121" s="395">
        <f t="shared" ca="1" si="342"/>
        <v>0</v>
      </c>
      <c r="BK121" s="395">
        <f t="shared" ca="1" si="342"/>
        <v>0</v>
      </c>
      <c r="BL121" s="395">
        <f t="shared" ca="1" si="342"/>
        <v>0</v>
      </c>
      <c r="BM121" s="395">
        <f t="shared" ca="1" si="342"/>
        <v>0</v>
      </c>
      <c r="BN121" s="395">
        <f t="shared" ca="1" si="342"/>
        <v>0</v>
      </c>
      <c r="BO121" s="395">
        <f t="shared" ca="1" si="342"/>
        <v>0</v>
      </c>
      <c r="BP121" s="395">
        <f t="shared" ca="1" si="342"/>
        <v>0</v>
      </c>
      <c r="BQ121" s="395">
        <f t="shared" ca="1" si="342"/>
        <v>0</v>
      </c>
      <c r="BR121" s="395">
        <f t="shared" ca="1" si="342"/>
        <v>0</v>
      </c>
      <c r="BS121" s="395">
        <f t="shared" ca="1" si="342"/>
        <v>0</v>
      </c>
      <c r="BT121" s="395">
        <f t="shared" ref="BT121:EE121" ca="1" si="343">SUM(BT122:BT125)</f>
        <v>0</v>
      </c>
      <c r="BU121" s="395">
        <f t="shared" ca="1" si="343"/>
        <v>0</v>
      </c>
      <c r="BV121" s="395">
        <f t="shared" ca="1" si="343"/>
        <v>0</v>
      </c>
      <c r="BW121" s="395">
        <f t="shared" ca="1" si="343"/>
        <v>0</v>
      </c>
      <c r="BX121" s="395">
        <f t="shared" ca="1" si="343"/>
        <v>0</v>
      </c>
      <c r="BY121" s="395">
        <f t="shared" ca="1" si="343"/>
        <v>0</v>
      </c>
      <c r="BZ121" s="395">
        <f t="shared" ca="1" si="343"/>
        <v>0</v>
      </c>
      <c r="CA121" s="395">
        <f t="shared" ca="1" si="343"/>
        <v>0</v>
      </c>
      <c r="CB121" s="395">
        <f t="shared" ca="1" si="343"/>
        <v>0</v>
      </c>
      <c r="CC121" s="395">
        <f t="shared" ca="1" si="343"/>
        <v>0</v>
      </c>
      <c r="CD121" s="395">
        <f t="shared" ca="1" si="343"/>
        <v>0</v>
      </c>
      <c r="CE121" s="395">
        <f t="shared" ca="1" si="343"/>
        <v>0</v>
      </c>
      <c r="CF121" s="395">
        <f t="shared" ca="1" si="343"/>
        <v>0</v>
      </c>
      <c r="CG121" s="395">
        <f t="shared" ca="1" si="343"/>
        <v>0</v>
      </c>
      <c r="CH121" s="395">
        <f t="shared" ca="1" si="343"/>
        <v>0</v>
      </c>
      <c r="CI121" s="395">
        <f t="shared" ca="1" si="343"/>
        <v>0</v>
      </c>
      <c r="CJ121" s="395">
        <f t="shared" ca="1" si="343"/>
        <v>0</v>
      </c>
      <c r="CK121" s="395">
        <f t="shared" ca="1" si="343"/>
        <v>0</v>
      </c>
      <c r="CL121" s="395">
        <f t="shared" ca="1" si="343"/>
        <v>0</v>
      </c>
      <c r="CM121" s="395">
        <f t="shared" ca="1" si="343"/>
        <v>0</v>
      </c>
      <c r="CN121" s="395">
        <f t="shared" ca="1" si="343"/>
        <v>0</v>
      </c>
      <c r="CO121" s="395">
        <f t="shared" ca="1" si="343"/>
        <v>0</v>
      </c>
      <c r="CP121" s="395">
        <f t="shared" ca="1" si="343"/>
        <v>0</v>
      </c>
      <c r="CQ121" s="395">
        <f t="shared" ca="1" si="343"/>
        <v>0</v>
      </c>
      <c r="CR121" s="395">
        <f t="shared" ca="1" si="343"/>
        <v>0</v>
      </c>
      <c r="CS121" s="395">
        <f t="shared" ca="1" si="343"/>
        <v>0</v>
      </c>
      <c r="CT121" s="395">
        <f t="shared" ca="1" si="343"/>
        <v>0</v>
      </c>
      <c r="CU121" s="395">
        <f t="shared" ca="1" si="343"/>
        <v>0</v>
      </c>
      <c r="CV121" s="395">
        <f t="shared" ca="1" si="343"/>
        <v>0</v>
      </c>
      <c r="CW121" s="395">
        <f t="shared" ca="1" si="343"/>
        <v>0</v>
      </c>
      <c r="CX121" s="395">
        <f t="shared" ca="1" si="343"/>
        <v>0</v>
      </c>
      <c r="CY121" s="395">
        <f t="shared" ca="1" si="343"/>
        <v>0</v>
      </c>
      <c r="CZ121" s="395">
        <f t="shared" ca="1" si="343"/>
        <v>0</v>
      </c>
      <c r="DA121" s="395">
        <f t="shared" ca="1" si="343"/>
        <v>0</v>
      </c>
      <c r="DB121" s="395">
        <f t="shared" ca="1" si="343"/>
        <v>0</v>
      </c>
      <c r="DC121" s="395">
        <f t="shared" ca="1" si="343"/>
        <v>0</v>
      </c>
      <c r="DD121" s="395">
        <f t="shared" ca="1" si="343"/>
        <v>0</v>
      </c>
      <c r="DE121" s="395">
        <f t="shared" ca="1" si="343"/>
        <v>0</v>
      </c>
      <c r="DF121" s="395">
        <f t="shared" ca="1" si="343"/>
        <v>0</v>
      </c>
      <c r="DG121" s="395">
        <f t="shared" ca="1" si="343"/>
        <v>0</v>
      </c>
      <c r="DH121" s="395">
        <f t="shared" ca="1" si="343"/>
        <v>0</v>
      </c>
      <c r="DI121" s="395">
        <f t="shared" ca="1" si="343"/>
        <v>0</v>
      </c>
      <c r="DJ121" s="395">
        <f t="shared" ca="1" si="343"/>
        <v>0</v>
      </c>
      <c r="DK121" s="395">
        <f t="shared" ca="1" si="343"/>
        <v>0</v>
      </c>
      <c r="DL121" s="395">
        <f t="shared" ca="1" si="343"/>
        <v>0</v>
      </c>
      <c r="DM121" s="395">
        <f t="shared" ca="1" si="343"/>
        <v>0</v>
      </c>
      <c r="DN121" s="395">
        <f t="shared" ca="1" si="343"/>
        <v>0</v>
      </c>
      <c r="DO121" s="395">
        <f t="shared" ca="1" si="343"/>
        <v>0</v>
      </c>
      <c r="DP121" s="395">
        <f t="shared" ca="1" si="343"/>
        <v>0</v>
      </c>
      <c r="DQ121" s="395">
        <f t="shared" ca="1" si="343"/>
        <v>0</v>
      </c>
      <c r="DR121" s="395">
        <f t="shared" ca="1" si="343"/>
        <v>0</v>
      </c>
      <c r="DS121" s="395">
        <f t="shared" ca="1" si="343"/>
        <v>0</v>
      </c>
      <c r="DT121" s="395">
        <f t="shared" ca="1" si="343"/>
        <v>0</v>
      </c>
      <c r="DU121" s="395">
        <f t="shared" ca="1" si="343"/>
        <v>0</v>
      </c>
      <c r="DV121" s="395">
        <f t="shared" ca="1" si="343"/>
        <v>0</v>
      </c>
      <c r="DW121" s="395">
        <f t="shared" ca="1" si="343"/>
        <v>0</v>
      </c>
      <c r="DX121" s="395">
        <f t="shared" ca="1" si="343"/>
        <v>0</v>
      </c>
      <c r="DY121" s="395">
        <f t="shared" ca="1" si="343"/>
        <v>0</v>
      </c>
      <c r="DZ121" s="395">
        <f t="shared" ca="1" si="343"/>
        <v>0</v>
      </c>
      <c r="EA121" s="395">
        <f t="shared" ca="1" si="343"/>
        <v>0</v>
      </c>
      <c r="EB121" s="395">
        <f t="shared" ca="1" si="343"/>
        <v>0</v>
      </c>
      <c r="EC121" s="395">
        <f t="shared" ca="1" si="343"/>
        <v>0</v>
      </c>
      <c r="ED121" s="395">
        <f t="shared" ca="1" si="343"/>
        <v>0</v>
      </c>
      <c r="EE121" s="395">
        <f t="shared" ca="1" si="343"/>
        <v>0</v>
      </c>
      <c r="EF121" s="395">
        <f t="shared" ref="EF121:EI121" ca="1" si="344">SUM(EF122:EF125)</f>
        <v>0</v>
      </c>
      <c r="EG121" s="395">
        <f t="shared" ca="1" si="344"/>
        <v>0</v>
      </c>
      <c r="EH121" s="395">
        <f t="shared" ca="1" si="344"/>
        <v>0</v>
      </c>
      <c r="EI121" s="395">
        <f t="shared" ca="1" si="344"/>
        <v>0</v>
      </c>
      <c r="EJ121" s="398"/>
      <c r="EK121" s="313"/>
    </row>
    <row r="122" spans="1:141" hidden="1" outlineLevel="2">
      <c r="A122" s="332"/>
      <c r="B122" s="313"/>
      <c r="C122" s="317"/>
      <c r="D122" s="317" t="s">
        <v>664</v>
      </c>
      <c r="E122" s="318">
        <f ca="1">IF(F122=0,0,30%-F122)</f>
        <v>0</v>
      </c>
      <c r="F122" s="397">
        <f t="shared" ca="1" si="341"/>
        <v>0</v>
      </c>
      <c r="G122" s="395"/>
      <c r="H122" s="395">
        <f ca="1">IF(SUM($G122:G122)=30%,0,IF(J123&gt;0%,30%,0%))</f>
        <v>0</v>
      </c>
      <c r="I122" s="395">
        <f ca="1">IF(SUM($G122:H122)=30%,0,IF(K123&gt;0%,30%,0%))</f>
        <v>0</v>
      </c>
      <c r="J122" s="395">
        <f ca="1">IF(SUM($G122:I122)=30%,0,IF(L123&gt;0%,30%,0%))</f>
        <v>0</v>
      </c>
      <c r="K122" s="395">
        <f ca="1">IF(SUM($G122:J122)=30%,0,IF(M123&gt;0%,30%,0%))</f>
        <v>0</v>
      </c>
      <c r="L122" s="395">
        <f ca="1">IF(SUM($G122:K122)=30%,0,IF(N123&gt;0%,30%,0%))</f>
        <v>0</v>
      </c>
      <c r="M122" s="395">
        <f ca="1">IF(SUM($G122:L122)=30%,0,IF(O123&gt;0%,30%,0%))</f>
        <v>0</v>
      </c>
      <c r="N122" s="395">
        <f ca="1">IF(SUM($G122:M122)=30%,0,IF(P123&gt;0%,30%,0%))</f>
        <v>0</v>
      </c>
      <c r="O122" s="395">
        <f ca="1">IF(SUM($G122:N122)=30%,0,IF(Q123&gt;0%,30%,0%))</f>
        <v>0</v>
      </c>
      <c r="P122" s="395">
        <f ca="1">IF(SUM($G122:O122)=30%,0,IF(R123&gt;0%,30%,0%))</f>
        <v>0</v>
      </c>
      <c r="Q122" s="395">
        <f ca="1">IF(SUM($G122:P122)=30%,0,IF(S123&gt;0%,30%,0%))</f>
        <v>0</v>
      </c>
      <c r="R122" s="395">
        <f ca="1">IF(SUM($G122:Q122)=30%,0,IF(T123&gt;0%,30%,0%))</f>
        <v>0</v>
      </c>
      <c r="S122" s="395">
        <f ca="1">IF(SUM($G122:R122)=30%,0,IF(U123&gt;0%,30%,0%))</f>
        <v>0</v>
      </c>
      <c r="T122" s="395">
        <f ca="1">IF(SUM($G122:S122)=30%,0,IF(V123&gt;0%,30%,0%))</f>
        <v>0</v>
      </c>
      <c r="U122" s="395">
        <f ca="1">IF(SUM($G122:T122)=30%,0,IF(W123&gt;0%,30%,0%))</f>
        <v>0</v>
      </c>
      <c r="V122" s="395">
        <f ca="1">IF(SUM($G122:U122)=30%,0,IF(X123&gt;0%,30%,0%))</f>
        <v>0</v>
      </c>
      <c r="W122" s="395">
        <f ca="1">IF(SUM($G122:V122)=30%,0,IF(Y123&gt;0%,30%,0%))</f>
        <v>0</v>
      </c>
      <c r="X122" s="395">
        <f ca="1">IF(SUM($G122:W122)=30%,0,IF(Z123&gt;0%,30%,0%))</f>
        <v>0</v>
      </c>
      <c r="Y122" s="395">
        <f ca="1">IF(SUM($G122:X122)=30%,0,IF(AA123&gt;0%,30%,0%))</f>
        <v>0</v>
      </c>
      <c r="Z122" s="395">
        <f ca="1">IF(SUM($G122:Y122)=30%,0,IF(AB123&gt;0%,30%,0%))</f>
        <v>0</v>
      </c>
      <c r="AA122" s="395">
        <f ca="1">IF(SUM($G122:Z122)=30%,0,IF(AC123&gt;0%,30%,0%))</f>
        <v>0</v>
      </c>
      <c r="AB122" s="395">
        <f ca="1">IF(SUM($G122:AA122)=30%,0,IF(AD123&gt;0%,30%,0%))</f>
        <v>0</v>
      </c>
      <c r="AC122" s="395">
        <f ca="1">IF(SUM($G122:AB122)=30%,0,IF(AE123&gt;0%,30%,0%))</f>
        <v>0</v>
      </c>
      <c r="AD122" s="395">
        <f ca="1">IF(SUM($G122:AC122)=30%,0,IF(AF123&gt;0%,30%,0%))</f>
        <v>0</v>
      </c>
      <c r="AE122" s="395">
        <f ca="1">IF(SUM($G122:AD122)=30%,0,IF(AG123&gt;0%,30%,0%))</f>
        <v>0</v>
      </c>
      <c r="AF122" s="395">
        <f ca="1">IF(SUM($G122:AE122)=30%,0,IF(AH123&gt;0%,30%,0%))</f>
        <v>0</v>
      </c>
      <c r="AG122" s="395">
        <f ca="1">IF(SUM($G122:AF122)=30%,0,IF(AI123&gt;0%,30%,0%))</f>
        <v>0</v>
      </c>
      <c r="AH122" s="395">
        <f ca="1">IF(SUM($G122:AG122)=30%,0,IF(AJ123&gt;0%,30%,0%))</f>
        <v>0</v>
      </c>
      <c r="AI122" s="395">
        <f ca="1">IF(SUM($G122:AH122)=30%,0,IF(AK123&gt;0%,30%,0%))</f>
        <v>0</v>
      </c>
      <c r="AJ122" s="395">
        <f ca="1">IF(SUM($G122:AI122)=30%,0,IF(AL123&gt;0%,30%,0%))</f>
        <v>0</v>
      </c>
      <c r="AK122" s="395">
        <f ca="1">IF(SUM($G122:AJ122)=30%,0,IF(AM123&gt;0%,30%,0%))</f>
        <v>0</v>
      </c>
      <c r="AL122" s="395">
        <f ca="1">IF(SUM($G122:AK122)=30%,0,IF(AN123&gt;0%,30%,0%))</f>
        <v>0</v>
      </c>
      <c r="AM122" s="395">
        <f ca="1">IF(SUM($G122:AL122)=30%,0,IF(AO123&gt;0%,30%,0%))</f>
        <v>0</v>
      </c>
      <c r="AN122" s="395">
        <f ca="1">IF(SUM($G122:AM122)=30%,0,IF(AP123&gt;0%,30%,0%))</f>
        <v>0</v>
      </c>
      <c r="AO122" s="395">
        <f ca="1">IF(SUM($G122:AN122)=30%,0,IF(AQ123&gt;0%,30%,0%))</f>
        <v>0</v>
      </c>
      <c r="AP122" s="395">
        <f ca="1">IF(SUM($G122:AO122)=30%,0,IF(AR123&gt;0%,30%,0%))</f>
        <v>0</v>
      </c>
      <c r="AQ122" s="395">
        <f ca="1">IF(SUM($G122:AP122)=30%,0,IF(AS123&gt;0%,30%,0%))</f>
        <v>0</v>
      </c>
      <c r="AR122" s="395">
        <f ca="1">IF(SUM($G122:AQ122)=30%,0,IF(AT123&gt;0%,30%,0%))</f>
        <v>0</v>
      </c>
      <c r="AS122" s="395">
        <f ca="1">IF(SUM($G122:AR122)=30%,0,IF(AU123&gt;0%,30%,0%))</f>
        <v>0</v>
      </c>
      <c r="AT122" s="395">
        <f ca="1">IF(SUM($G122:AS122)=30%,0,IF(AV123&gt;0%,30%,0%))</f>
        <v>0</v>
      </c>
      <c r="AU122" s="395">
        <f ca="1">IF(SUM($G122:AT122)=30%,0,IF(AW123&gt;0%,30%,0%))</f>
        <v>0</v>
      </c>
      <c r="AV122" s="395">
        <f ca="1">IF(SUM($G122:AU122)=30%,0,IF(AX123&gt;0%,30%,0%))</f>
        <v>0</v>
      </c>
      <c r="AW122" s="395">
        <f ca="1">IF(SUM($G122:AV122)=30%,0,IF(AY123&gt;0%,30%,0%))</f>
        <v>0</v>
      </c>
      <c r="AX122" s="395">
        <f ca="1">IF(SUM($G122:AW122)=30%,0,IF(AZ123&gt;0%,30%,0%))</f>
        <v>0</v>
      </c>
      <c r="AY122" s="395">
        <f ca="1">IF(SUM($G122:AX122)=30%,0,IF(BA123&gt;0%,30%,0%))</f>
        <v>0</v>
      </c>
      <c r="AZ122" s="395">
        <f ca="1">IF(SUM($G122:AY122)=30%,0,IF(BB123&gt;0%,30%,0%))</f>
        <v>0</v>
      </c>
      <c r="BA122" s="395">
        <f ca="1">IF(SUM($G122:AZ122)=30%,0,IF(BC123&gt;0%,30%,0%))</f>
        <v>0</v>
      </c>
      <c r="BB122" s="395">
        <f ca="1">IF(SUM($G122:BA122)=30%,0,IF(BD123&gt;0%,30%,0%))</f>
        <v>0</v>
      </c>
      <c r="BC122" s="395">
        <f ca="1">IF(SUM($G122:BB122)=30%,0,IF(BE123&gt;0%,30%,0%))</f>
        <v>0</v>
      </c>
      <c r="BD122" s="395">
        <f ca="1">IF(SUM($G122:BC122)=30%,0,IF(BF123&gt;0%,30%,0%))</f>
        <v>0</v>
      </c>
      <c r="BE122" s="395">
        <f ca="1">IF(SUM($G122:BD122)=30%,0,IF(BG123&gt;0%,30%,0%))</f>
        <v>0</v>
      </c>
      <c r="BF122" s="395">
        <f ca="1">IF(SUM($G122:BE122)=30%,0,IF(BH123&gt;0%,30%,0%))</f>
        <v>0</v>
      </c>
      <c r="BG122" s="395">
        <f ca="1">IF(SUM($G122:BF122)=30%,0,IF(BI123&gt;0%,30%,0%))</f>
        <v>0</v>
      </c>
      <c r="BH122" s="395">
        <f ca="1">IF(SUM($G122:BG122)=30%,0,IF(BJ123&gt;0%,30%,0%))</f>
        <v>0</v>
      </c>
      <c r="BI122" s="395">
        <f ca="1">IF(SUM($G122:BH122)=30%,0,IF(BK123&gt;0%,30%,0%))</f>
        <v>0</v>
      </c>
      <c r="BJ122" s="395">
        <f ca="1">IF(SUM($G122:BI122)=30%,0,IF(BL123&gt;0%,30%,0%))</f>
        <v>0</v>
      </c>
      <c r="BK122" s="395">
        <f ca="1">IF(SUM($G122:BJ122)=30%,0,IF(BM123&gt;0%,30%,0%))</f>
        <v>0</v>
      </c>
      <c r="BL122" s="395">
        <f ca="1">IF(SUM($G122:BK122)=30%,0,IF(BN123&gt;0%,30%,0%))</f>
        <v>0</v>
      </c>
      <c r="BM122" s="395">
        <f ca="1">IF(SUM($G122:BL122)=30%,0,IF(BO123&gt;0%,30%,0%))</f>
        <v>0</v>
      </c>
      <c r="BN122" s="395">
        <f ca="1">IF(SUM($G122:BM122)=30%,0,IF(BP123&gt;0%,30%,0%))</f>
        <v>0</v>
      </c>
      <c r="BO122" s="395">
        <f ca="1">IF(SUM($G122:BN122)=30%,0,IF(BQ123&gt;0%,30%,0%))</f>
        <v>0</v>
      </c>
      <c r="BP122" s="395">
        <f ca="1">IF(SUM($G122:BO122)=30%,0,IF(BR123&gt;0%,30%,0%))</f>
        <v>0</v>
      </c>
      <c r="BQ122" s="395">
        <f ca="1">IF(SUM($G122:BP122)=30%,0,IF(BS123&gt;0%,30%,0%))</f>
        <v>0</v>
      </c>
      <c r="BR122" s="395">
        <f ca="1">IF(SUM($G122:BQ122)=30%,0,IF(BT123&gt;0%,30%,0%))</f>
        <v>0</v>
      </c>
      <c r="BS122" s="395">
        <f ca="1">IF(SUM($G122:BR122)=30%,0,IF(BU123&gt;0%,30%,0%))</f>
        <v>0</v>
      </c>
      <c r="BT122" s="395">
        <f ca="1">IF(SUM($G122:BS122)=30%,0,IF(BV123&gt;0%,30%,0%))</f>
        <v>0</v>
      </c>
      <c r="BU122" s="395">
        <f ca="1">IF(SUM($G122:BT122)=30%,0,IF(BW123&gt;0%,30%,0%))</f>
        <v>0</v>
      </c>
      <c r="BV122" s="395">
        <f ca="1">IF(SUM($G122:BU122)=30%,0,IF(BX123&gt;0%,30%,0%))</f>
        <v>0</v>
      </c>
      <c r="BW122" s="395">
        <f ca="1">IF(SUM($G122:BV122)=30%,0,IF(BY123&gt;0%,30%,0%))</f>
        <v>0</v>
      </c>
      <c r="BX122" s="395">
        <f ca="1">IF(SUM($G122:BW122)=30%,0,IF(BZ123&gt;0%,30%,0%))</f>
        <v>0</v>
      </c>
      <c r="BY122" s="395">
        <f ca="1">IF(SUM($G122:BX122)=30%,0,IF(CA123&gt;0%,30%,0%))</f>
        <v>0</v>
      </c>
      <c r="BZ122" s="395">
        <f ca="1">IF(SUM($G122:BY122)=30%,0,IF(CB123&gt;0%,30%,0%))</f>
        <v>0</v>
      </c>
      <c r="CA122" s="395">
        <f ca="1">IF(SUM($G122:BZ122)=30%,0,IF(CC123&gt;0%,30%,0%))</f>
        <v>0</v>
      </c>
      <c r="CB122" s="395">
        <f ca="1">IF(SUM($G122:CA122)=30%,0,IF(CD123&gt;0%,30%,0%))</f>
        <v>0</v>
      </c>
      <c r="CC122" s="395">
        <f ca="1">IF(SUM($G122:CB122)=30%,0,IF(CE123&gt;0%,30%,0%))</f>
        <v>0</v>
      </c>
      <c r="CD122" s="395">
        <f ca="1">IF(SUM($G122:CC122)=30%,0,IF(CF123&gt;0%,30%,0%))</f>
        <v>0</v>
      </c>
      <c r="CE122" s="395">
        <f ca="1">IF(SUM($G122:CD122)=30%,0,IF(CG123&gt;0%,30%,0%))</f>
        <v>0</v>
      </c>
      <c r="CF122" s="395">
        <f ca="1">IF(SUM($G122:CE122)=30%,0,IF(CH123&gt;0%,30%,0%))</f>
        <v>0</v>
      </c>
      <c r="CG122" s="395">
        <f ca="1">IF(SUM($G122:CF122)=30%,0,IF(CI123&gt;0%,30%,0%))</f>
        <v>0</v>
      </c>
      <c r="CH122" s="395">
        <f ca="1">IF(SUM($G122:CG122)=30%,0,IF(CJ123&gt;0%,30%,0%))</f>
        <v>0</v>
      </c>
      <c r="CI122" s="395">
        <f ca="1">IF(SUM($G122:CH122)=30%,0,IF(CK123&gt;0%,30%,0%))</f>
        <v>0</v>
      </c>
      <c r="CJ122" s="395">
        <f ca="1">IF(SUM($G122:CI122)=30%,0,IF(CL123&gt;0%,30%,0%))</f>
        <v>0</v>
      </c>
      <c r="CK122" s="395">
        <f ca="1">IF(SUM($G122:CJ122)=30%,0,IF(CM123&gt;0%,30%,0%))</f>
        <v>0</v>
      </c>
      <c r="CL122" s="395">
        <f ca="1">IF(SUM($G122:CK122)=30%,0,IF(CN123&gt;0%,30%,0%))</f>
        <v>0</v>
      </c>
      <c r="CM122" s="395">
        <f ca="1">IF(SUM($G122:CL122)=30%,0,IF(CO123&gt;0%,30%,0%))</f>
        <v>0</v>
      </c>
      <c r="CN122" s="395">
        <f ca="1">IF(SUM($G122:CM122)=30%,0,IF(CP123&gt;0%,30%,0%))</f>
        <v>0</v>
      </c>
      <c r="CO122" s="395">
        <f ca="1">IF(SUM($G122:CN122)=30%,0,IF(CQ123&gt;0%,30%,0%))</f>
        <v>0</v>
      </c>
      <c r="CP122" s="395">
        <f ca="1">IF(SUM($G122:CO122)=30%,0,IF(CR123&gt;0%,30%,0%))</f>
        <v>0</v>
      </c>
      <c r="CQ122" s="395">
        <f ca="1">IF(SUM($G122:CP122)=30%,0,IF(CS123&gt;0%,30%,0%))</f>
        <v>0</v>
      </c>
      <c r="CR122" s="395">
        <f ca="1">IF(SUM($G122:CQ122)=30%,0,IF(CT123&gt;0%,30%,0%))</f>
        <v>0</v>
      </c>
      <c r="CS122" s="395">
        <f ca="1">IF(SUM($G122:CR122)=30%,0,IF(CU123&gt;0%,30%,0%))</f>
        <v>0</v>
      </c>
      <c r="CT122" s="395">
        <f ca="1">IF(SUM($G122:CS122)=30%,0,IF(CV123&gt;0%,30%,0%))</f>
        <v>0</v>
      </c>
      <c r="CU122" s="395">
        <f ca="1">IF(SUM($G122:CT122)=30%,0,IF(CW123&gt;0%,30%,0%))</f>
        <v>0</v>
      </c>
      <c r="CV122" s="395">
        <f ca="1">IF(SUM($G122:CU122)=30%,0,IF(CX123&gt;0%,30%,0%))</f>
        <v>0</v>
      </c>
      <c r="CW122" s="395">
        <f ca="1">IF(SUM($G122:CV122)=30%,0,IF(CY123&gt;0%,30%,0%))</f>
        <v>0</v>
      </c>
      <c r="CX122" s="395">
        <f ca="1">IF(SUM($G122:CW122)=30%,0,IF(CZ123&gt;0%,30%,0%))</f>
        <v>0</v>
      </c>
      <c r="CY122" s="395">
        <f ca="1">IF(SUM($G122:CX122)=30%,0,IF(DA123&gt;0%,30%,0%))</f>
        <v>0</v>
      </c>
      <c r="CZ122" s="395">
        <f ca="1">IF(SUM($G122:CY122)=30%,0,IF(DB123&gt;0%,30%,0%))</f>
        <v>0</v>
      </c>
      <c r="DA122" s="395">
        <f ca="1">IF(SUM($G122:CZ122)=30%,0,IF(DC123&gt;0%,30%,0%))</f>
        <v>0</v>
      </c>
      <c r="DB122" s="395">
        <f ca="1">IF(SUM($G122:DA122)=30%,0,IF(DD123&gt;0%,30%,0%))</f>
        <v>0</v>
      </c>
      <c r="DC122" s="395">
        <f ca="1">IF(SUM($G122:DB122)=30%,0,IF(DE123&gt;0%,30%,0%))</f>
        <v>0</v>
      </c>
      <c r="DD122" s="395">
        <f ca="1">IF(SUM($G122:DC122)=30%,0,IF(DF123&gt;0%,30%,0%))</f>
        <v>0</v>
      </c>
      <c r="DE122" s="395">
        <f ca="1">IF(SUM($G122:DD122)=30%,0,IF(DG123&gt;0%,30%,0%))</f>
        <v>0</v>
      </c>
      <c r="DF122" s="395">
        <f ca="1">IF(SUM($G122:DE122)=30%,0,IF(DH123&gt;0%,30%,0%))</f>
        <v>0</v>
      </c>
      <c r="DG122" s="395">
        <f ca="1">IF(SUM($G122:DF122)=30%,0,IF(DI123&gt;0%,30%,0%))</f>
        <v>0</v>
      </c>
      <c r="DH122" s="395">
        <f ca="1">IF(SUM($G122:DG122)=30%,0,IF(DJ123&gt;0%,30%,0%))</f>
        <v>0</v>
      </c>
      <c r="DI122" s="395">
        <f ca="1">IF(SUM($G122:DH122)=30%,0,IF(DK123&gt;0%,30%,0%))</f>
        <v>0</v>
      </c>
      <c r="DJ122" s="395">
        <f ca="1">IF(SUM($G122:DI122)=30%,0,IF(DL123&gt;0%,30%,0%))</f>
        <v>0</v>
      </c>
      <c r="DK122" s="395">
        <f ca="1">IF(SUM($G122:DJ122)=30%,0,IF(DM123&gt;0%,30%,0%))</f>
        <v>0</v>
      </c>
      <c r="DL122" s="395">
        <f ca="1">IF(SUM($G122:DK122)=30%,0,IF(DN123&gt;0%,30%,0%))</f>
        <v>0</v>
      </c>
      <c r="DM122" s="395">
        <f ca="1">IF(SUM($G122:DL122)=30%,0,IF(DO123&gt;0%,30%,0%))</f>
        <v>0</v>
      </c>
      <c r="DN122" s="395">
        <f ca="1">IF(SUM($G122:DM122)=30%,0,IF(DP123&gt;0%,30%,0%))</f>
        <v>0</v>
      </c>
      <c r="DO122" s="395">
        <f ca="1">IF(SUM($G122:DN122)=30%,0,IF(DQ123&gt;0%,30%,0%))</f>
        <v>0</v>
      </c>
      <c r="DP122" s="395">
        <f ca="1">IF(SUM($G122:DO122)=30%,0,IF(DR123&gt;0%,30%,0%))</f>
        <v>0</v>
      </c>
      <c r="DQ122" s="395">
        <f ca="1">IF(SUM($G122:DP122)=30%,0,IF(DS123&gt;0%,30%,0%))</f>
        <v>0</v>
      </c>
      <c r="DR122" s="395">
        <f ca="1">IF(SUM($G122:DQ122)=30%,0,IF(DT123&gt;0%,30%,0%))</f>
        <v>0</v>
      </c>
      <c r="DS122" s="395">
        <f ca="1">IF(SUM($G122:DR122)=30%,0,IF(DU123&gt;0%,30%,0%))</f>
        <v>0</v>
      </c>
      <c r="DT122" s="395">
        <f ca="1">IF(SUM($G122:DS122)=30%,0,IF(DV123&gt;0%,30%,0%))</f>
        <v>0</v>
      </c>
      <c r="DU122" s="395">
        <f ca="1">IF(SUM($G122:DT122)=30%,0,IF(DW123&gt;0%,30%,0%))</f>
        <v>0</v>
      </c>
      <c r="DV122" s="395">
        <f ca="1">IF(SUM($G122:DU122)=30%,0,IF(DX123&gt;0%,30%,0%))</f>
        <v>0</v>
      </c>
      <c r="DW122" s="395">
        <f ca="1">IF(SUM($G122:DV122)=30%,0,IF(DY123&gt;0%,30%,0%))</f>
        <v>0</v>
      </c>
      <c r="DX122" s="395">
        <f ca="1">IF(SUM($G122:DW122)=30%,0,IF(DZ123&gt;0%,30%,0%))</f>
        <v>0</v>
      </c>
      <c r="DY122" s="395">
        <f ca="1">IF(SUM($G122:DX122)=30%,0,IF(EA123&gt;0%,30%,0%))</f>
        <v>0</v>
      </c>
      <c r="DZ122" s="395">
        <f ca="1">IF(SUM($G122:DY122)=30%,0,IF(EB123&gt;0%,30%,0%))</f>
        <v>0</v>
      </c>
      <c r="EA122" s="395">
        <f ca="1">IF(SUM($G122:DZ122)=30%,0,IF(EC123&gt;0%,30%,0%))</f>
        <v>0</v>
      </c>
      <c r="EB122" s="395">
        <f ca="1">IF(SUM($G122:EA122)=30%,0,IF(ED123&gt;0%,30%,0%))</f>
        <v>0</v>
      </c>
      <c r="EC122" s="395">
        <f ca="1">IF(SUM($G122:EB122)=30%,0,IF(EE123&gt;0%,30%,0%))</f>
        <v>0</v>
      </c>
      <c r="ED122" s="395">
        <f ca="1">IF(SUM($G122:EC122)=30%,0,IF(EF123&gt;0%,30%,0%))</f>
        <v>0</v>
      </c>
      <c r="EE122" s="395">
        <f ca="1">IF(SUM($G122:ED122)=30%,0,IF(EG123&gt;0%,30%,0%))</f>
        <v>0</v>
      </c>
      <c r="EF122" s="395">
        <f ca="1">IF(SUM($G122:EE122)=30%,0,IF(EH123&gt;0%,30%,0%))</f>
        <v>0</v>
      </c>
      <c r="EG122" s="395">
        <f ca="1">IF(SUM($G122:EF122)=30%,0,IF(EI123&gt;0%,30%,0%))</f>
        <v>0</v>
      </c>
      <c r="EH122" s="395">
        <f ca="1">IF(SUM($G122:EG122)=30%,0,IF(EJ123&gt;0%,30%,0%))</f>
        <v>0</v>
      </c>
      <c r="EI122" s="395">
        <f ca="1">IF(SUM($G122:EH122)=30%,0,IF(EK123&gt;0%,30%,0%))</f>
        <v>0</v>
      </c>
      <c r="EJ122" s="398"/>
      <c r="EK122" s="313"/>
    </row>
    <row r="123" spans="1:141" hidden="1" outlineLevel="2">
      <c r="A123" s="332"/>
      <c r="B123" s="313"/>
      <c r="C123" s="317"/>
      <c r="D123" s="317" t="s">
        <v>663</v>
      </c>
      <c r="E123" s="318">
        <f ca="1">IF(F123=0,0,60%-F123)</f>
        <v>0</v>
      </c>
      <c r="F123" s="397">
        <f t="shared" ca="1" si="341"/>
        <v>0</v>
      </c>
      <c r="G123" s="395"/>
      <c r="H123" s="395"/>
      <c r="I123" s="395">
        <f ca="1">IF($E$294=0,0,IF(SUM($G123:H123)=60%,0,IF(SUM($G294:H294)&gt;=$E294,(60%/$E294)*($E294-SUM($G294:G294)),(60%/$E294)*H294)))</f>
        <v>0</v>
      </c>
      <c r="J123" s="395">
        <f ca="1">IF($E$294=0,0,IF(SUM($G123:I123)=60%,0,IF(SUM($G294:I294)&gt;=$E294,(60%/$E294)*($E294-SUM($G294:H294)),(60%/$E294)*I294)))</f>
        <v>0</v>
      </c>
      <c r="K123" s="395">
        <f ca="1">IF($E$294=0,0,IF(SUM($G123:J123)=60%,0,IF(SUM($G294:J294)&gt;=$E294,(60%/$E294)*($E294-SUM($G294:I294)),(60%/$E294)*J294)))</f>
        <v>0</v>
      </c>
      <c r="L123" s="395">
        <f ca="1">IF($E$294=0,0,IF(SUM($G123:K123)=60%,0,IF(SUM($G294:K294)&gt;=$E294,(60%/$E294)*($E294-SUM($G294:J294)),(60%/$E294)*K294)))</f>
        <v>0</v>
      </c>
      <c r="M123" s="395">
        <f ca="1">IF($E$294=0,0,IF(SUM($G123:L123)=60%,0,IF(SUM($G294:L294)&gt;=$E294,(60%/$E294)*($E294-SUM($G294:K294)),(60%/$E294)*L294)))</f>
        <v>0</v>
      </c>
      <c r="N123" s="395">
        <f ca="1">IF($E$294=0,0,IF(SUM($G123:M123)=60%,0,IF(SUM($G294:M294)&gt;=$E294,(60%/$E294)*($E294-SUM($G294:L294)),(60%/$E294)*M294)))</f>
        <v>0</v>
      </c>
      <c r="O123" s="395">
        <f ca="1">IF($E$294=0,0,IF(SUM($G123:N123)=60%,0,IF(SUM($G294:N294)&gt;=$E294,(60%/$E294)*($E294-SUM($G294:M294)),(60%/$E294)*N294)))</f>
        <v>0</v>
      </c>
      <c r="P123" s="395">
        <f ca="1">IF($E$294=0,0,IF(SUM($G123:O123)=60%,0,IF(SUM($G294:O294)&gt;=$E294,(60%/$E294)*($E294-SUM($G294:N294)),(60%/$E294)*O294)))</f>
        <v>0</v>
      </c>
      <c r="Q123" s="395">
        <f ca="1">IF($E$294=0,0,IF(SUM($G123:P123)=60%,0,IF(SUM($G294:P294)&gt;=$E294,(60%/$E294)*($E294-SUM($G294:O294)),(60%/$E294)*P294)))</f>
        <v>0</v>
      </c>
      <c r="R123" s="395">
        <f ca="1">IF($E$294=0,0,IF(SUM($G123:Q123)=60%,0,IF(SUM($G294:Q294)&gt;=$E294,(60%/$E294)*($E294-SUM($G294:P294)),(60%/$E294)*Q294)))</f>
        <v>0</v>
      </c>
      <c r="S123" s="395">
        <f ca="1">IF($E$294=0,0,IF(SUM($G123:R123)=60%,0,IF(SUM($G294:R294)&gt;=$E294,(60%/$E294)*($E294-SUM($G294:Q294)),(60%/$E294)*R294)))</f>
        <v>0</v>
      </c>
      <c r="T123" s="395">
        <f ca="1">IF($E$294=0,0,IF(SUM($G123:S123)=60%,0,IF(SUM($G294:S294)&gt;=$E294,(60%/$E294)*($E294-SUM($G294:R294)),(60%/$E294)*S294)))</f>
        <v>0</v>
      </c>
      <c r="U123" s="395">
        <f ca="1">IF($E$294=0,0,IF(SUM($G123:T123)=60%,0,IF(SUM($G294:T294)&gt;=$E294,(60%/$E294)*($E294-SUM($G294:S294)),(60%/$E294)*T294)))</f>
        <v>0</v>
      </c>
      <c r="V123" s="395">
        <f ca="1">IF($E$294=0,0,IF(SUM($G123:U123)=60%,0,IF(SUM($G294:U294)&gt;=$E294,(60%/$E294)*($E294-SUM($G294:T294)),(60%/$E294)*U294)))</f>
        <v>0</v>
      </c>
      <c r="W123" s="395">
        <f ca="1">IF($E$294=0,0,IF(SUM($G123:V123)=60%,0,IF(SUM($G294:V294)&gt;=$E294,(60%/$E294)*($E294-SUM($G294:U294)),(60%/$E294)*V294)))</f>
        <v>0</v>
      </c>
      <c r="X123" s="395">
        <f ca="1">IF($E$294=0,0,IF(SUM($G123:W123)=60%,0,IF(SUM($G294:W294)&gt;=$E294,(60%/$E294)*($E294-SUM($G294:V294)),(60%/$E294)*W294)))</f>
        <v>0</v>
      </c>
      <c r="Y123" s="395">
        <f ca="1">IF($E$294=0,0,IF(SUM($G123:X123)=60%,0,IF(SUM($G294:X294)&gt;=$E294,(60%/$E294)*($E294-SUM($G294:W294)),(60%/$E294)*X294)))</f>
        <v>0</v>
      </c>
      <c r="Z123" s="395">
        <f ca="1">IF($E$294=0,0,IF(SUM($G123:Y123)=60%,0,IF(SUM($G294:Y294)&gt;=$E294,(60%/$E294)*($E294-SUM($G294:X294)),(60%/$E294)*Y294)))</f>
        <v>0</v>
      </c>
      <c r="AA123" s="395">
        <f ca="1">IF($E$294=0,0,IF(SUM($G123:Z123)=60%,0,IF(SUM($G294:Z294)&gt;=$E294,(60%/$E294)*($E294-SUM($G294:Y294)),(60%/$E294)*Z294)))</f>
        <v>0</v>
      </c>
      <c r="AB123" s="395">
        <f ca="1">IF($E$294=0,0,IF(SUM($G123:AA123)=60%,0,IF(SUM($G294:AA294)&gt;=$E294,(60%/$E294)*($E294-SUM($G294:Z294)),(60%/$E294)*AA294)))</f>
        <v>0</v>
      </c>
      <c r="AC123" s="395">
        <f ca="1">IF($E$294=0,0,IF(SUM($G123:AB123)=60%,0,IF(SUM($G294:AB294)&gt;=$E294,(60%/$E294)*($E294-SUM($G294:AA294)),(60%/$E294)*AB294)))</f>
        <v>0</v>
      </c>
      <c r="AD123" s="395">
        <f ca="1">IF($E$294=0,0,IF(SUM($G123:AC123)=60%,0,IF(SUM($G294:AC294)&gt;=$E294,(60%/$E294)*($E294-SUM($G294:AB294)),(60%/$E294)*AC294)))</f>
        <v>0</v>
      </c>
      <c r="AE123" s="395">
        <f ca="1">IF($E$294=0,0,IF(SUM($G123:AD123)=60%,0,IF(SUM($G294:AD294)&gt;=$E294,(60%/$E294)*($E294-SUM($G294:AC294)),(60%/$E294)*AD294)))</f>
        <v>0</v>
      </c>
      <c r="AF123" s="395">
        <f ca="1">IF($E$294=0,0,IF(SUM($G123:AE123)=60%,0,IF(SUM($G294:AE294)&gt;=$E294,(60%/$E294)*($E294-SUM($G294:AD294)),(60%/$E294)*AE294)))</f>
        <v>0</v>
      </c>
      <c r="AG123" s="395">
        <f ca="1">IF($E$294=0,0,IF(SUM($G123:AF123)=60%,0,IF(SUM($G294:AF294)&gt;=$E294,(60%/$E294)*($E294-SUM($G294:AE294)),(60%/$E294)*AF294)))</f>
        <v>0</v>
      </c>
      <c r="AH123" s="395">
        <f ca="1">IF($E$294=0,0,IF(SUM($G123:AG123)=60%,0,IF(SUM($G294:AG294)&gt;=$E294,(60%/$E294)*($E294-SUM($G294:AF294)),(60%/$E294)*AG294)))</f>
        <v>0</v>
      </c>
      <c r="AI123" s="395">
        <f ca="1">IF($E$294=0,0,IF(SUM($G123:AH123)=60%,0,IF(SUM($G294:AH294)&gt;=$E294,(60%/$E294)*($E294-SUM($G294:AG294)),(60%/$E294)*AH294)))</f>
        <v>0</v>
      </c>
      <c r="AJ123" s="395">
        <f ca="1">IF($E$294=0,0,IF(SUM($G123:AI123)=60%,0,IF(SUM($G294:AI294)&gt;=$E294,(60%/$E294)*($E294-SUM($G294:AH294)),(60%/$E294)*AI294)))</f>
        <v>0</v>
      </c>
      <c r="AK123" s="395">
        <f ca="1">IF($E$294=0,0,IF(SUM($G123:AJ123)=60%,0,IF(SUM($G294:AJ294)&gt;=$E294,(60%/$E294)*($E294-SUM($G294:AI294)),(60%/$E294)*AJ294)))</f>
        <v>0</v>
      </c>
      <c r="AL123" s="395">
        <f ca="1">IF($E$294=0,0,IF(SUM($G123:AK123)=60%,0,IF(SUM($G294:AK294)&gt;=$E294,(60%/$E294)*($E294-SUM($G294:AJ294)),(60%/$E294)*AK294)))</f>
        <v>0</v>
      </c>
      <c r="AM123" s="395">
        <f ca="1">IF($E$294=0,0,IF(SUM($G123:AL123)=60%,0,IF(SUM($G294:AL294)&gt;=$E294,(60%/$E294)*($E294-SUM($G294:AK294)),(60%/$E294)*AL294)))</f>
        <v>0</v>
      </c>
      <c r="AN123" s="395">
        <f ca="1">IF($E$294=0,0,IF(SUM($G123:AM123)=60%,0,IF(SUM($G294:AM294)&gt;=$E294,(60%/$E294)*($E294-SUM($G294:AL294)),(60%/$E294)*AM294)))</f>
        <v>0</v>
      </c>
      <c r="AO123" s="395">
        <f ca="1">IF($E$294=0,0,IF(SUM($G123:AN123)=60%,0,IF(SUM($G294:AN294)&gt;=$E294,(60%/$E294)*($E294-SUM($G294:AM294)),(60%/$E294)*AN294)))</f>
        <v>0</v>
      </c>
      <c r="AP123" s="395">
        <f ca="1">IF($E$294=0,0,IF(SUM($G123:AO123)=60%,0,IF(SUM($G294:AO294)&gt;=$E294,(60%/$E294)*($E294-SUM($G294:AN294)),(60%/$E294)*AO294)))</f>
        <v>0</v>
      </c>
      <c r="AQ123" s="395">
        <f ca="1">IF($E$294=0,0,IF(SUM($G123:AP123)=60%,0,IF(SUM($G294:AP294)&gt;=$E294,(60%/$E294)*($E294-SUM($G294:AO294)),(60%/$E294)*AP294)))</f>
        <v>0</v>
      </c>
      <c r="AR123" s="395">
        <f ca="1">IF($E$294=0,0,IF(SUM($G123:AQ123)=60%,0,IF(SUM($G294:AQ294)&gt;=$E294,(60%/$E294)*($E294-SUM($G294:AP294)),(60%/$E294)*AQ294)))</f>
        <v>0</v>
      </c>
      <c r="AS123" s="395">
        <f ca="1">IF($E$294=0,0,IF(SUM($G123:AR123)=60%,0,IF(SUM($G294:AR294)&gt;=$E294,(60%/$E294)*($E294-SUM($G294:AQ294)),(60%/$E294)*AR294)))</f>
        <v>0</v>
      </c>
      <c r="AT123" s="395">
        <f ca="1">IF($E$294=0,0,IF(SUM($G123:AS123)=60%,0,IF(SUM($G294:AS294)&gt;=$E294,(60%/$E294)*($E294-SUM($G294:AR294)),(60%/$E294)*AS294)))</f>
        <v>0</v>
      </c>
      <c r="AU123" s="395">
        <f ca="1">IF($E$294=0,0,IF(SUM($G123:AT123)=60%,0,IF(SUM($G294:AT294)&gt;=$E294,(60%/$E294)*($E294-SUM($G294:AS294)),(60%/$E294)*AT294)))</f>
        <v>0</v>
      </c>
      <c r="AV123" s="395">
        <f ca="1">IF($E$294=0,0,IF(SUM($G123:AU123)=60%,0,IF(SUM($G294:AU294)&gt;=$E294,(60%/$E294)*($E294-SUM($G294:AT294)),(60%/$E294)*AU294)))</f>
        <v>0</v>
      </c>
      <c r="AW123" s="395">
        <f ca="1">IF($E$294=0,0,IF(SUM($G123:AV123)=60%,0,IF(SUM($G294:AV294)&gt;=$E294,(60%/$E294)*($E294-SUM($G294:AU294)),(60%/$E294)*AV294)))</f>
        <v>0</v>
      </c>
      <c r="AX123" s="395">
        <f ca="1">IF($E$294=0,0,IF(SUM($G123:AW123)=60%,0,IF(SUM($G294:AW294)&gt;=$E294,(60%/$E294)*($E294-SUM($G294:AV294)),(60%/$E294)*AW294)))</f>
        <v>0</v>
      </c>
      <c r="AY123" s="395">
        <f ca="1">IF($E$294=0,0,IF(SUM($G123:AX123)=60%,0,IF(SUM($G294:AX294)&gt;=$E294,(60%/$E294)*($E294-SUM($G294:AW294)),(60%/$E294)*AX294)))</f>
        <v>0</v>
      </c>
      <c r="AZ123" s="395">
        <f ca="1">IF($E$294=0,0,IF(SUM($G123:AY123)=60%,0,IF(SUM($G294:AY294)&gt;=$E294,(60%/$E294)*($E294-SUM($G294:AX294)),(60%/$E294)*AY294)))</f>
        <v>0</v>
      </c>
      <c r="BA123" s="395">
        <f ca="1">IF($E$294=0,0,IF(SUM($G123:AZ123)=60%,0,IF(SUM($G294:AZ294)&gt;=$E294,(60%/$E294)*($E294-SUM($G294:AY294)),(60%/$E294)*AZ294)))</f>
        <v>0</v>
      </c>
      <c r="BB123" s="395">
        <f ca="1">IF($E$294=0,0,IF(SUM($G123:BA123)=60%,0,IF(SUM($G294:BA294)&gt;=$E294,(60%/$E294)*($E294-SUM($G294:AZ294)),(60%/$E294)*BA294)))</f>
        <v>0</v>
      </c>
      <c r="BC123" s="395">
        <f ca="1">IF($E$294=0,0,IF(SUM($G123:BB123)=60%,0,IF(SUM($G294:BB294)&gt;=$E294,(60%/$E294)*($E294-SUM($G294:BA294)),(60%/$E294)*BB294)))</f>
        <v>0</v>
      </c>
      <c r="BD123" s="395">
        <f ca="1">IF($E$294=0,0,IF(SUM($G123:BC123)=60%,0,IF(SUM($G294:BC294)&gt;=$E294,(60%/$E294)*($E294-SUM($G294:BB294)),(60%/$E294)*BC294)))</f>
        <v>0</v>
      </c>
      <c r="BE123" s="395">
        <f ca="1">IF($E$294=0,0,IF(SUM($G123:BD123)=60%,0,IF(SUM($G294:BD294)&gt;=$E294,(60%/$E294)*($E294-SUM($G294:BC294)),(60%/$E294)*BD294)))</f>
        <v>0</v>
      </c>
      <c r="BF123" s="395">
        <f ca="1">IF($E$294=0,0,IF(SUM($G123:BE123)=60%,0,IF(SUM($G294:BE294)&gt;=$E294,(60%/$E294)*($E294-SUM($G294:BD294)),(60%/$E294)*BE294)))</f>
        <v>0</v>
      </c>
      <c r="BG123" s="395">
        <f ca="1">IF($E$294=0,0,IF(SUM($G123:BF123)=60%,0,IF(SUM($G294:BF294)&gt;=$E294,(60%/$E294)*($E294-SUM($G294:BE294)),(60%/$E294)*BF294)))</f>
        <v>0</v>
      </c>
      <c r="BH123" s="395">
        <f ca="1">IF($E$294=0,0,IF(SUM($G123:BG123)=60%,0,IF(SUM($G294:BG294)&gt;=$E294,(60%/$E294)*($E294-SUM($G294:BF294)),(60%/$E294)*BG294)))</f>
        <v>0</v>
      </c>
      <c r="BI123" s="395">
        <f ca="1">IF($E$294=0,0,IF(SUM($G123:BH123)=60%,0,IF(SUM($G294:BH294)&gt;=$E294,(60%/$E294)*($E294-SUM($G294:BG294)),(60%/$E294)*BH294)))</f>
        <v>0</v>
      </c>
      <c r="BJ123" s="395">
        <f ca="1">IF($E$294=0,0,IF(SUM($G123:BI123)=60%,0,IF(SUM($G294:BI294)&gt;=$E294,(60%/$E294)*($E294-SUM($G294:BH294)),(60%/$E294)*BI294)))</f>
        <v>0</v>
      </c>
      <c r="BK123" s="395">
        <f ca="1">IF($E$294=0,0,IF(SUM($G123:BJ123)=60%,0,IF(SUM($G294:BJ294)&gt;=$E294,(60%/$E294)*($E294-SUM($G294:BI294)),(60%/$E294)*BJ294)))</f>
        <v>0</v>
      </c>
      <c r="BL123" s="395">
        <f ca="1">IF($E$294=0,0,IF(SUM($G123:BK123)=60%,0,IF(SUM($G294:BK294)&gt;=$E294,(60%/$E294)*($E294-SUM($G294:BJ294)),(60%/$E294)*BK294)))</f>
        <v>0</v>
      </c>
      <c r="BM123" s="395">
        <f ca="1">IF($E$294=0,0,IF(SUM($G123:BL123)=60%,0,IF(SUM($G294:BL294)&gt;=$E294,(60%/$E294)*($E294-SUM($G294:BK294)),(60%/$E294)*BL294)))</f>
        <v>0</v>
      </c>
      <c r="BN123" s="395">
        <f ca="1">IF($E$294=0,0,IF(SUM($G123:BM123)=60%,0,IF(SUM($G294:BM294)&gt;=$E294,(60%/$E294)*($E294-SUM($G294:BL294)),(60%/$E294)*BM294)))</f>
        <v>0</v>
      </c>
      <c r="BO123" s="395">
        <f ca="1">IF($E$294=0,0,IF(SUM($G123:BN123)=60%,0,IF(SUM($G294:BN294)&gt;=$E294,(60%/$E294)*($E294-SUM($G294:BM294)),(60%/$E294)*BN294)))</f>
        <v>0</v>
      </c>
      <c r="BP123" s="395">
        <f ca="1">IF($E$294=0,0,IF(SUM($G123:BO123)=60%,0,IF(SUM($G294:BO294)&gt;=$E294,(60%/$E294)*($E294-SUM($G294:BN294)),(60%/$E294)*BO294)))</f>
        <v>0</v>
      </c>
      <c r="BQ123" s="395">
        <f ca="1">IF($E$294=0,0,IF(SUM($G123:BP123)=60%,0,IF(SUM($G294:BP294)&gt;=$E294,(60%/$E294)*($E294-SUM($G294:BO294)),(60%/$E294)*BP294)))</f>
        <v>0</v>
      </c>
      <c r="BR123" s="395">
        <f ca="1">IF($E$294=0,0,IF(SUM($G123:BQ123)=60%,0,IF(SUM($G294:BQ294)&gt;=$E294,(60%/$E294)*($E294-SUM($G294:BP294)),(60%/$E294)*BQ294)))</f>
        <v>0</v>
      </c>
      <c r="BS123" s="395">
        <f ca="1">IF($E$294=0,0,IF(SUM($G123:BR123)=60%,0,IF(SUM($G294:BR294)&gt;=$E294,(60%/$E294)*($E294-SUM($G294:BQ294)),(60%/$E294)*BR294)))</f>
        <v>0</v>
      </c>
      <c r="BT123" s="395">
        <f ca="1">IF($E$294=0,0,IF(SUM($G123:BS123)=60%,0,IF(SUM($G294:BS294)&gt;=$E294,(60%/$E294)*($E294-SUM($G294:BR294)),(60%/$E294)*BS294)))</f>
        <v>0</v>
      </c>
      <c r="BU123" s="395">
        <f ca="1">IF($E$294=0,0,IF(SUM($G123:BT123)=60%,0,IF(SUM($G294:BT294)&gt;=$E294,(60%/$E294)*($E294-SUM($G294:BS294)),(60%/$E294)*BT294)))</f>
        <v>0</v>
      </c>
      <c r="BV123" s="395">
        <f ca="1">IF($E$294=0,0,IF(SUM($G123:BU123)=60%,0,IF(SUM($G294:BU294)&gt;=$E294,(60%/$E294)*($E294-SUM($G294:BT294)),(60%/$E294)*BU294)))</f>
        <v>0</v>
      </c>
      <c r="BW123" s="395">
        <f ca="1">IF($E$294=0,0,IF(SUM($G123:BV123)=60%,0,IF(SUM($G294:BV294)&gt;=$E294,(60%/$E294)*($E294-SUM($G294:BU294)),(60%/$E294)*BV294)))</f>
        <v>0</v>
      </c>
      <c r="BX123" s="395">
        <f ca="1">IF($E$294=0,0,IF(SUM($G123:BW123)=60%,0,IF(SUM($G294:BW294)&gt;=$E294,(60%/$E294)*($E294-SUM($G294:BV294)),(60%/$E294)*BW294)))</f>
        <v>0</v>
      </c>
      <c r="BY123" s="395">
        <f ca="1">IF($E$294=0,0,IF(SUM($G123:BX123)=60%,0,IF(SUM($G294:BX294)&gt;=$E294,(60%/$E294)*($E294-SUM($G294:BW294)),(60%/$E294)*BX294)))</f>
        <v>0</v>
      </c>
      <c r="BZ123" s="395">
        <f ca="1">IF($E$294=0,0,IF(SUM($G123:BY123)=60%,0,IF(SUM($G294:BY294)&gt;=$E294,(60%/$E294)*($E294-SUM($G294:BX294)),(60%/$E294)*BY294)))</f>
        <v>0</v>
      </c>
      <c r="CA123" s="395">
        <f ca="1">IF($E$294=0,0,IF(SUM($G123:BZ123)=60%,0,IF(SUM($G294:BZ294)&gt;=$E294,(60%/$E294)*($E294-SUM($G294:BY294)),(60%/$E294)*BZ294)))</f>
        <v>0</v>
      </c>
      <c r="CB123" s="395">
        <f ca="1">IF($E$294=0,0,IF(SUM($G123:CA123)=60%,0,IF(SUM($G294:CA294)&gt;=$E294,(60%/$E294)*($E294-SUM($G294:BZ294)),(60%/$E294)*CA294)))</f>
        <v>0</v>
      </c>
      <c r="CC123" s="395">
        <f ca="1">IF($E$294=0,0,IF(SUM($G123:CB123)=60%,0,IF(SUM($G294:CB294)&gt;=$E294,(60%/$E294)*($E294-SUM($G294:CA294)),(60%/$E294)*CB294)))</f>
        <v>0</v>
      </c>
      <c r="CD123" s="395">
        <f ca="1">IF($E$294=0,0,IF(SUM($G123:CC123)=60%,0,IF(SUM($G294:CC294)&gt;=$E294,(60%/$E294)*($E294-SUM($G294:CB294)),(60%/$E294)*CC294)))</f>
        <v>0</v>
      </c>
      <c r="CE123" s="395">
        <f ca="1">IF($E$294=0,0,IF(SUM($G123:CD123)=60%,0,IF(SUM($G294:CD294)&gt;=$E294,(60%/$E294)*($E294-SUM($G294:CC294)),(60%/$E294)*CD294)))</f>
        <v>0</v>
      </c>
      <c r="CF123" s="395">
        <f ca="1">IF($E$294=0,0,IF(SUM($G123:CE123)=60%,0,IF(SUM($G294:CE294)&gt;=$E294,(60%/$E294)*($E294-SUM($G294:CD294)),(60%/$E294)*CE294)))</f>
        <v>0</v>
      </c>
      <c r="CG123" s="395">
        <f ca="1">IF($E$294=0,0,IF(SUM($G123:CF123)=60%,0,IF(SUM($G294:CF294)&gt;=$E294,(60%/$E294)*($E294-SUM($G294:CE294)),(60%/$E294)*CF294)))</f>
        <v>0</v>
      </c>
      <c r="CH123" s="395">
        <f ca="1">IF($E$294=0,0,IF(SUM($G123:CG123)=60%,0,IF(SUM($G294:CG294)&gt;=$E294,(60%/$E294)*($E294-SUM($G294:CF294)),(60%/$E294)*CG294)))</f>
        <v>0</v>
      </c>
      <c r="CI123" s="395">
        <f ca="1">IF($E$294=0,0,IF(SUM($G123:CH123)=60%,0,IF(SUM($G294:CH294)&gt;=$E294,(60%/$E294)*($E294-SUM($G294:CG294)),(60%/$E294)*CH294)))</f>
        <v>0</v>
      </c>
      <c r="CJ123" s="395">
        <f ca="1">IF($E$294=0,0,IF(SUM($G123:CI123)=60%,0,IF(SUM($G294:CI294)&gt;=$E294,(60%/$E294)*($E294-SUM($G294:CH294)),(60%/$E294)*CI294)))</f>
        <v>0</v>
      </c>
      <c r="CK123" s="395">
        <f ca="1">IF($E$294=0,0,IF(SUM($G123:CJ123)=60%,0,IF(SUM($G294:CJ294)&gt;=$E294,(60%/$E294)*($E294-SUM($G294:CI294)),(60%/$E294)*CJ294)))</f>
        <v>0</v>
      </c>
      <c r="CL123" s="395">
        <f ca="1">IF($E$294=0,0,IF(SUM($G123:CK123)=60%,0,IF(SUM($G294:CK294)&gt;=$E294,(60%/$E294)*($E294-SUM($G294:CJ294)),(60%/$E294)*CK294)))</f>
        <v>0</v>
      </c>
      <c r="CM123" s="395">
        <f ca="1">IF($E$294=0,0,IF(SUM($G123:CL123)=60%,0,IF(SUM($G294:CL294)&gt;=$E294,(60%/$E294)*($E294-SUM($G294:CK294)),(60%/$E294)*CL294)))</f>
        <v>0</v>
      </c>
      <c r="CN123" s="395">
        <f ca="1">IF($E$294=0,0,IF(SUM($G123:CM123)=60%,0,IF(SUM($G294:CM294)&gt;=$E294,(60%/$E294)*($E294-SUM($G294:CL294)),(60%/$E294)*CM294)))</f>
        <v>0</v>
      </c>
      <c r="CO123" s="395">
        <f ca="1">IF($E$294=0,0,IF(SUM($G123:CN123)=60%,0,IF(SUM($G294:CN294)&gt;=$E294,(60%/$E294)*($E294-SUM($G294:CM294)),(60%/$E294)*CN294)))</f>
        <v>0</v>
      </c>
      <c r="CP123" s="395">
        <f ca="1">IF($E$294=0,0,IF(SUM($G123:CO123)=60%,0,IF(SUM($G294:CO294)&gt;=$E294,(60%/$E294)*($E294-SUM($G294:CN294)),(60%/$E294)*CO294)))</f>
        <v>0</v>
      </c>
      <c r="CQ123" s="395">
        <f ca="1">IF($E$294=0,0,IF(SUM($G123:CP123)=60%,0,IF(SUM($G294:CP294)&gt;=$E294,(60%/$E294)*($E294-SUM($G294:CO294)),(60%/$E294)*CP294)))</f>
        <v>0</v>
      </c>
      <c r="CR123" s="395">
        <f ca="1">IF($E$294=0,0,IF(SUM($G123:CQ123)=60%,0,IF(SUM($G294:CQ294)&gt;=$E294,(60%/$E294)*($E294-SUM($G294:CP294)),(60%/$E294)*CQ294)))</f>
        <v>0</v>
      </c>
      <c r="CS123" s="395">
        <f ca="1">IF($E$294=0,0,IF(SUM($G123:CR123)=60%,0,IF(SUM($G294:CR294)&gt;=$E294,(60%/$E294)*($E294-SUM($G294:CQ294)),(60%/$E294)*CR294)))</f>
        <v>0</v>
      </c>
      <c r="CT123" s="395">
        <f ca="1">IF($E$294=0,0,IF(SUM($G123:CS123)=60%,0,IF(SUM($G294:CS294)&gt;=$E294,(60%/$E294)*($E294-SUM($G294:CR294)),(60%/$E294)*CS294)))</f>
        <v>0</v>
      </c>
      <c r="CU123" s="395">
        <f ca="1">IF($E$294=0,0,IF(SUM($G123:CT123)=60%,0,IF(SUM($G294:CT294)&gt;=$E294,(60%/$E294)*($E294-SUM($G294:CS294)),(60%/$E294)*CT294)))</f>
        <v>0</v>
      </c>
      <c r="CV123" s="395">
        <f ca="1">IF($E$294=0,0,IF(SUM($G123:CU123)=60%,0,IF(SUM($G294:CU294)&gt;=$E294,(60%/$E294)*($E294-SUM($G294:CT294)),(60%/$E294)*CU294)))</f>
        <v>0</v>
      </c>
      <c r="CW123" s="395">
        <f ca="1">IF($E$294=0,0,IF(SUM($G123:CV123)=60%,0,IF(SUM($G294:CV294)&gt;=$E294,(60%/$E294)*($E294-SUM($G294:CU294)),(60%/$E294)*CV294)))</f>
        <v>0</v>
      </c>
      <c r="CX123" s="395">
        <f ca="1">IF($E$294=0,0,IF(SUM($G123:CW123)=60%,0,IF(SUM($G294:CW294)&gt;=$E294,(60%/$E294)*($E294-SUM($G294:CV294)),(60%/$E294)*CW294)))</f>
        <v>0</v>
      </c>
      <c r="CY123" s="395">
        <f ca="1">IF($E$294=0,0,IF(SUM($G123:CX123)=60%,0,IF(SUM($G294:CX294)&gt;=$E294,(60%/$E294)*($E294-SUM($G294:CW294)),(60%/$E294)*CX294)))</f>
        <v>0</v>
      </c>
      <c r="CZ123" s="395">
        <f ca="1">IF($E$294=0,0,IF(SUM($G123:CY123)=60%,0,IF(SUM($G294:CY294)&gt;=$E294,(60%/$E294)*($E294-SUM($G294:CX294)),(60%/$E294)*CY294)))</f>
        <v>0</v>
      </c>
      <c r="DA123" s="395">
        <f ca="1">IF($E$294=0,0,IF(SUM($G123:CZ123)=60%,0,IF(SUM($G294:CZ294)&gt;=$E294,(60%/$E294)*($E294-SUM($G294:CY294)),(60%/$E294)*CZ294)))</f>
        <v>0</v>
      </c>
      <c r="DB123" s="395">
        <f ca="1">IF($E$294=0,0,IF(SUM($G123:DA123)=60%,0,IF(SUM($G294:DA294)&gt;=$E294,(60%/$E294)*($E294-SUM($G294:CZ294)),(60%/$E294)*DA294)))</f>
        <v>0</v>
      </c>
      <c r="DC123" s="395">
        <f ca="1">IF($E$294=0,0,IF(SUM($G123:DB123)=60%,0,IF(SUM($G294:DB294)&gt;=$E294,(60%/$E294)*($E294-SUM($G294:DA294)),(60%/$E294)*DB294)))</f>
        <v>0</v>
      </c>
      <c r="DD123" s="395">
        <f ca="1">IF($E$294=0,0,IF(SUM($G123:DC123)=60%,0,IF(SUM($G294:DC294)&gt;=$E294,(60%/$E294)*($E294-SUM($G294:DB294)),(60%/$E294)*DC294)))</f>
        <v>0</v>
      </c>
      <c r="DE123" s="395">
        <f ca="1">IF($E$294=0,0,IF(SUM($G123:DD123)=60%,0,IF(SUM($G294:DD294)&gt;=$E294,(60%/$E294)*($E294-SUM($G294:DC294)),(60%/$E294)*DD294)))</f>
        <v>0</v>
      </c>
      <c r="DF123" s="395">
        <f ca="1">IF($E$294=0,0,IF(SUM($G123:DE123)=60%,0,IF(SUM($G294:DE294)&gt;=$E294,(60%/$E294)*($E294-SUM($G294:DD294)),(60%/$E294)*DE294)))</f>
        <v>0</v>
      </c>
      <c r="DG123" s="395">
        <f ca="1">IF($E$294=0,0,IF(SUM($G123:DF123)=60%,0,IF(SUM($G294:DF294)&gt;=$E294,(60%/$E294)*($E294-SUM($G294:DE294)),(60%/$E294)*DF294)))</f>
        <v>0</v>
      </c>
      <c r="DH123" s="395">
        <f ca="1">IF($E$294=0,0,IF(SUM($G123:DG123)=60%,0,IF(SUM($G294:DG294)&gt;=$E294,(60%/$E294)*($E294-SUM($G294:DF294)),(60%/$E294)*DG294)))</f>
        <v>0</v>
      </c>
      <c r="DI123" s="395">
        <f ca="1">IF($E$294=0,0,IF(SUM($G123:DH123)=60%,0,IF(SUM($G294:DH294)&gt;=$E294,(60%/$E294)*($E294-SUM($G294:DG294)),(60%/$E294)*DH294)))</f>
        <v>0</v>
      </c>
      <c r="DJ123" s="395">
        <f ca="1">IF($E$294=0,0,IF(SUM($G123:DI123)=60%,0,IF(SUM($G294:DI294)&gt;=$E294,(60%/$E294)*($E294-SUM($G294:DH294)),(60%/$E294)*DI294)))</f>
        <v>0</v>
      </c>
      <c r="DK123" s="395">
        <f ca="1">IF($E$294=0,0,IF(SUM($G123:DJ123)=60%,0,IF(SUM($G294:DJ294)&gt;=$E294,(60%/$E294)*($E294-SUM($G294:DI294)),(60%/$E294)*DJ294)))</f>
        <v>0</v>
      </c>
      <c r="DL123" s="395">
        <f ca="1">IF($E$294=0,0,IF(SUM($G123:DK123)=60%,0,IF(SUM($G294:DK294)&gt;=$E294,(60%/$E294)*($E294-SUM($G294:DJ294)),(60%/$E294)*DK294)))</f>
        <v>0</v>
      </c>
      <c r="DM123" s="395">
        <f ca="1">IF($E$294=0,0,IF(SUM($G123:DL123)=60%,0,IF(SUM($G294:DL294)&gt;=$E294,(60%/$E294)*($E294-SUM($G294:DK294)),(60%/$E294)*DL294)))</f>
        <v>0</v>
      </c>
      <c r="DN123" s="395">
        <f ca="1">IF($E$294=0,0,IF(SUM($G123:DM123)=60%,0,IF(SUM($G294:DM294)&gt;=$E294,(60%/$E294)*($E294-SUM($G294:DL294)),(60%/$E294)*DM294)))</f>
        <v>0</v>
      </c>
      <c r="DO123" s="395">
        <f ca="1">IF($E$294=0,0,IF(SUM($G123:DN123)=60%,0,IF(SUM($G294:DN294)&gt;=$E294,(60%/$E294)*($E294-SUM($G294:DM294)),(60%/$E294)*DN294)))</f>
        <v>0</v>
      </c>
      <c r="DP123" s="395">
        <f ca="1">IF($E$294=0,0,IF(SUM($G123:DO123)=60%,0,IF(SUM($G294:DO294)&gt;=$E294,(60%/$E294)*($E294-SUM($G294:DN294)),(60%/$E294)*DO294)))</f>
        <v>0</v>
      </c>
      <c r="DQ123" s="395">
        <f ca="1">IF($E$294=0,0,IF(SUM($G123:DP123)=60%,0,IF(SUM($G294:DP294)&gt;=$E294,(60%/$E294)*($E294-SUM($G294:DO294)),(60%/$E294)*DP294)))</f>
        <v>0</v>
      </c>
      <c r="DR123" s="395">
        <f ca="1">IF($E$294=0,0,IF(SUM($G123:DQ123)=60%,0,IF(SUM($G294:DQ294)&gt;=$E294,(60%/$E294)*($E294-SUM($G294:DP294)),(60%/$E294)*DQ294)))</f>
        <v>0</v>
      </c>
      <c r="DS123" s="395">
        <f ca="1">IF($E$294=0,0,IF(SUM($G123:DR123)=60%,0,IF(SUM($G294:DR294)&gt;=$E294,(60%/$E294)*($E294-SUM($G294:DQ294)),(60%/$E294)*DR294)))</f>
        <v>0</v>
      </c>
      <c r="DT123" s="395">
        <f ca="1">IF($E$294=0,0,IF(SUM($G123:DS123)=60%,0,IF(SUM($G294:DS294)&gt;=$E294,(60%/$E294)*($E294-SUM($G294:DR294)),(60%/$E294)*DS294)))</f>
        <v>0</v>
      </c>
      <c r="DU123" s="395">
        <f ca="1">IF($E$294=0,0,IF(SUM($G123:DT123)=60%,0,IF(SUM($G294:DT294)&gt;=$E294,(60%/$E294)*($E294-SUM($G294:DS294)),(60%/$E294)*DT294)))</f>
        <v>0</v>
      </c>
      <c r="DV123" s="395">
        <f ca="1">IF($E$294=0,0,IF(SUM($G123:DU123)=60%,0,IF(SUM($G294:DU294)&gt;=$E294,(60%/$E294)*($E294-SUM($G294:DT294)),(60%/$E294)*DU294)))</f>
        <v>0</v>
      </c>
      <c r="DW123" s="395">
        <f ca="1">IF($E$294=0,0,IF(SUM($G123:DV123)=60%,0,IF(SUM($G294:DV294)&gt;=$E294,(60%/$E294)*($E294-SUM($G294:DU294)),(60%/$E294)*DV294)))</f>
        <v>0</v>
      </c>
      <c r="DX123" s="395">
        <f ca="1">IF($E$294=0,0,IF(SUM($G123:DW123)=60%,0,IF(SUM($G294:DW294)&gt;=$E294,(60%/$E294)*($E294-SUM($G294:DV294)),(60%/$E294)*DW294)))</f>
        <v>0</v>
      </c>
      <c r="DY123" s="395">
        <f ca="1">IF($E$294=0,0,IF(SUM($G123:DX123)=60%,0,IF(SUM($G294:DX294)&gt;=$E294,(60%/$E294)*($E294-SUM($G294:DW294)),(60%/$E294)*DX294)))</f>
        <v>0</v>
      </c>
      <c r="DZ123" s="395">
        <f ca="1">IF($E$294=0,0,IF(SUM($G123:DY123)=60%,0,IF(SUM($G294:DY294)&gt;=$E294,(60%/$E294)*($E294-SUM($G294:DX294)),(60%/$E294)*DY294)))</f>
        <v>0</v>
      </c>
      <c r="EA123" s="395">
        <f ca="1">IF($E$294=0,0,IF(SUM($G123:DZ123)=60%,0,IF(SUM($G294:DZ294)&gt;=$E294,(60%/$E294)*($E294-SUM($G294:DY294)),(60%/$E294)*DZ294)))</f>
        <v>0</v>
      </c>
      <c r="EB123" s="395">
        <f ca="1">IF($E$294=0,0,IF(SUM($G123:EA123)=60%,0,IF(SUM($G294:EA294)&gt;=$E294,(60%/$E294)*($E294-SUM($G294:DZ294)),(60%/$E294)*EA294)))</f>
        <v>0</v>
      </c>
      <c r="EC123" s="395">
        <f ca="1">IF($E$294=0,0,IF(SUM($G123:EB123)=60%,0,IF(SUM($G294:EB294)&gt;=$E294,(60%/$E294)*($E294-SUM($G294:EA294)),(60%/$E294)*EB294)))</f>
        <v>0</v>
      </c>
      <c r="ED123" s="395">
        <f ca="1">IF($E$294=0,0,IF(SUM($G123:EC123)=60%,0,IF(SUM($G294:EC294)&gt;=$E294,(60%/$E294)*($E294-SUM($G294:EB294)),(60%/$E294)*EC294)))</f>
        <v>0</v>
      </c>
      <c r="EE123" s="395">
        <f ca="1">IF($E$294=0,0,IF(SUM($G123:ED123)=60%,0,IF(SUM($G294:ED294)&gt;=$E294,(60%/$E294)*($E294-SUM($G294:EC294)),(60%/$E294)*ED294)))</f>
        <v>0</v>
      </c>
      <c r="EF123" s="395">
        <f ca="1">IF($E$294=0,0,IF(SUM($G123:EE123)=60%,0,IF(SUM($G294:EE294)&gt;=$E294,(60%/$E294)*($E294-SUM($G294:ED294)),(60%/$E294)*EE294)))</f>
        <v>0</v>
      </c>
      <c r="EG123" s="395">
        <f ca="1">IF($E$294=0,0,IF(SUM($G123:EF123)=60%,0,IF(SUM($G294:EF294)&gt;=$E294,(60%/$E294)*($E294-SUM($G294:EE294)),(60%/$E294)*EF294)))</f>
        <v>0</v>
      </c>
      <c r="EH123" s="395">
        <f ca="1">IF($E$294=0,0,IF(SUM($G123:EG123)=60%,0,IF(SUM($G294:EG294)&gt;=$E294,(60%/$E294)*($E294-SUM($G294:EF294)),(60%/$E294)*EG294)))</f>
        <v>0</v>
      </c>
      <c r="EI123" s="395">
        <f ca="1">IF($E$294=0,0,IF(SUM($G123:EH123)=60%,0,IF(SUM($G294:EH294)&gt;=$E294,(60%/$E294)*($E294-SUM($G294:EG294)),(60%/$E294)*EH294)))</f>
        <v>0</v>
      </c>
      <c r="EJ123" s="398"/>
      <c r="EK123" s="313"/>
    </row>
    <row r="124" spans="1:141" hidden="1" outlineLevel="2">
      <c r="A124" s="332"/>
      <c r="B124" s="313"/>
      <c r="C124" s="317"/>
      <c r="D124" s="317" t="s">
        <v>638</v>
      </c>
      <c r="E124" s="318">
        <f ca="1">IF(F124=0,0,5%-F124)</f>
        <v>0</v>
      </c>
      <c r="F124" s="397">
        <f ca="1">SUM(G124:EJ124)</f>
        <v>0</v>
      </c>
      <c r="G124" s="395"/>
      <c r="H124" s="395">
        <f ca="1">IF($E$294=0,0,IF(SUM($G124:G124)=5%,0,IF(SUM(H123:$EJ123)=0%,5%,0%)))</f>
        <v>0</v>
      </c>
      <c r="I124" s="395">
        <f ca="1">IF($E$294=0,0,IF(SUM($G124:H124)=5%,0,IF(SUM(I123:$EJ123)=0%,5%,0%)))</f>
        <v>0</v>
      </c>
      <c r="J124" s="395">
        <f ca="1">IF($E$294=0,0,IF(SUM($G124:I124)=5%,0,IF(SUM(J123:$EJ123)=0%,5%,0%)))</f>
        <v>0</v>
      </c>
      <c r="K124" s="395">
        <f ca="1">IF($E$294=0,0,IF(SUM($G124:J124)=5%,0,IF(SUM(K123:$EJ123)=0%,5%,0%)))</f>
        <v>0</v>
      </c>
      <c r="L124" s="395">
        <f ca="1">IF($E$294=0,0,IF(SUM($G124:K124)=5%,0,IF(SUM(L123:$EJ123)=0%,5%,0%)))</f>
        <v>0</v>
      </c>
      <c r="M124" s="395">
        <f ca="1">IF($E$294=0,0,IF(SUM($G124:L124)=5%,0,IF(SUM(M123:$EJ123)=0%,5%,0%)))</f>
        <v>0</v>
      </c>
      <c r="N124" s="395">
        <f ca="1">IF($E$294=0,0,IF(SUM($G124:M124)=5%,0,IF(SUM(N123:$EJ123)=0%,5%,0%)))</f>
        <v>0</v>
      </c>
      <c r="O124" s="395">
        <f ca="1">IF($E$294=0,0,IF(SUM($G124:N124)=5%,0,IF(SUM(O123:$EJ123)=0%,5%,0%)))</f>
        <v>0</v>
      </c>
      <c r="P124" s="395">
        <f ca="1">IF($E$294=0,0,IF(SUM($G124:O124)=5%,0,IF(SUM(P123:$EJ123)=0%,5%,0%)))</f>
        <v>0</v>
      </c>
      <c r="Q124" s="395">
        <f ca="1">IF($E$294=0,0,IF(SUM($G124:P124)=5%,0,IF(SUM(Q123:$EJ123)=0%,5%,0%)))</f>
        <v>0</v>
      </c>
      <c r="R124" s="395">
        <f ca="1">IF($E$294=0,0,IF(SUM($G124:Q124)=5%,0,IF(SUM(R123:$EJ123)=0%,5%,0%)))</f>
        <v>0</v>
      </c>
      <c r="S124" s="395">
        <f ca="1">IF($E$294=0,0,IF(SUM($G124:R124)=5%,0,IF(SUM(S123:$EJ123)=0%,5%,0%)))</f>
        <v>0</v>
      </c>
      <c r="T124" s="395">
        <f ca="1">IF($E$294=0,0,IF(SUM($G124:S124)=5%,0,IF(SUM(T123:$EJ123)=0%,5%,0%)))</f>
        <v>0</v>
      </c>
      <c r="U124" s="395">
        <f ca="1">IF($E$294=0,0,IF(SUM($G124:T124)=5%,0,IF(SUM(U123:$EJ123)=0%,5%,0%)))</f>
        <v>0</v>
      </c>
      <c r="V124" s="395">
        <f ca="1">IF($E$294=0,0,IF(SUM($G124:U124)=5%,0,IF(SUM(V123:$EJ123)=0%,5%,0%)))</f>
        <v>0</v>
      </c>
      <c r="W124" s="395">
        <f ca="1">IF($E$294=0,0,IF(SUM($G124:V124)=5%,0,IF(SUM(W123:$EJ123)=0%,5%,0%)))</f>
        <v>0</v>
      </c>
      <c r="X124" s="395">
        <f ca="1">IF($E$294=0,0,IF(SUM($G124:W124)=5%,0,IF(SUM(X123:$EJ123)=0%,5%,0%)))</f>
        <v>0</v>
      </c>
      <c r="Y124" s="395">
        <f ca="1">IF($E$294=0,0,IF(SUM($G124:X124)=5%,0,IF(SUM(Y123:$EJ123)=0%,5%,0%)))</f>
        <v>0</v>
      </c>
      <c r="Z124" s="395">
        <f ca="1">IF($E$294=0,0,IF(SUM($G124:Y124)=5%,0,IF(SUM(Z123:$EJ123)=0%,5%,0%)))</f>
        <v>0</v>
      </c>
      <c r="AA124" s="395">
        <f ca="1">IF($E$294=0,0,IF(SUM($G124:Z124)=5%,0,IF(SUM(AA123:$EJ123)=0%,5%,0%)))</f>
        <v>0</v>
      </c>
      <c r="AB124" s="395">
        <f ca="1">IF($E$294=0,0,IF(SUM($G124:AA124)=5%,0,IF(SUM(AB123:$EJ123)=0%,5%,0%)))</f>
        <v>0</v>
      </c>
      <c r="AC124" s="395">
        <f ca="1">IF($E$294=0,0,IF(SUM($G124:AB124)=5%,0,IF(SUM(AC123:$EJ123)=0%,5%,0%)))</f>
        <v>0</v>
      </c>
      <c r="AD124" s="395">
        <f ca="1">IF($E$294=0,0,IF(SUM($G124:AC124)=5%,0,IF(SUM(AD123:$EJ123)=0%,5%,0%)))</f>
        <v>0</v>
      </c>
      <c r="AE124" s="395">
        <f ca="1">IF($E$294=0,0,IF(SUM($G124:AD124)=5%,0,IF(SUM(AE123:$EJ123)=0%,5%,0%)))</f>
        <v>0</v>
      </c>
      <c r="AF124" s="395">
        <f ca="1">IF($E$294=0,0,IF(SUM($G124:AE124)=5%,0,IF(SUM(AF123:$EJ123)=0%,5%,0%)))</f>
        <v>0</v>
      </c>
      <c r="AG124" s="395">
        <f ca="1">IF($E$294=0,0,IF(SUM($G124:AF124)=5%,0,IF(SUM(AG123:$EJ123)=0%,5%,0%)))</f>
        <v>0</v>
      </c>
      <c r="AH124" s="395">
        <f ca="1">IF($E$294=0,0,IF(SUM($G124:AG124)=5%,0,IF(SUM(AH123:$EJ123)=0%,5%,0%)))</f>
        <v>0</v>
      </c>
      <c r="AI124" s="395">
        <f ca="1">IF($E$294=0,0,IF(SUM($G124:AH124)=5%,0,IF(SUM(AI123:$EJ123)=0%,5%,0%)))</f>
        <v>0</v>
      </c>
      <c r="AJ124" s="395">
        <f ca="1">IF($E$294=0,0,IF(SUM($G124:AI124)=5%,0,IF(SUM(AJ123:$EJ123)=0%,5%,0%)))</f>
        <v>0</v>
      </c>
      <c r="AK124" s="395">
        <f ca="1">IF($E$294=0,0,IF(SUM($G124:AJ124)=5%,0,IF(SUM(AK123:$EJ123)=0%,5%,0%)))</f>
        <v>0</v>
      </c>
      <c r="AL124" s="395">
        <f ca="1">IF($E$294=0,0,IF(SUM($G124:AK124)=5%,0,IF(SUM(AL123:$EJ123)=0%,5%,0%)))</f>
        <v>0</v>
      </c>
      <c r="AM124" s="395">
        <f ca="1">IF($E$294=0,0,IF(SUM($G124:AL124)=5%,0,IF(SUM(AM123:$EJ123)=0%,5%,0%)))</f>
        <v>0</v>
      </c>
      <c r="AN124" s="395">
        <f ca="1">IF($E$294=0,0,IF(SUM($G124:AM124)=5%,0,IF(SUM(AN123:$EJ123)=0%,5%,0%)))</f>
        <v>0</v>
      </c>
      <c r="AO124" s="395">
        <f ca="1">IF($E$294=0,0,IF(SUM($G124:AN124)=5%,0,IF(SUM(AO123:$EJ123)=0%,5%,0%)))</f>
        <v>0</v>
      </c>
      <c r="AP124" s="395">
        <f ca="1">IF($E$294=0,0,IF(SUM($G124:AO124)=5%,0,IF(SUM(AP123:$EJ123)=0%,5%,0%)))</f>
        <v>0</v>
      </c>
      <c r="AQ124" s="395">
        <f ca="1">IF($E$294=0,0,IF(SUM($G124:AP124)=5%,0,IF(SUM(AQ123:$EJ123)=0%,5%,0%)))</f>
        <v>0</v>
      </c>
      <c r="AR124" s="395">
        <f ca="1">IF($E$294=0,0,IF(SUM($G124:AQ124)=5%,0,IF(SUM(AR123:$EJ123)=0%,5%,0%)))</f>
        <v>0</v>
      </c>
      <c r="AS124" s="395">
        <f ca="1">IF($E$294=0,0,IF(SUM($G124:AR124)=5%,0,IF(SUM(AS123:$EJ123)=0%,5%,0%)))</f>
        <v>0</v>
      </c>
      <c r="AT124" s="395">
        <f ca="1">IF($E$294=0,0,IF(SUM($G124:AS124)=5%,0,IF(SUM(AT123:$EJ123)=0%,5%,0%)))</f>
        <v>0</v>
      </c>
      <c r="AU124" s="395">
        <f ca="1">IF($E$294=0,0,IF(SUM($G124:AT124)=5%,0,IF(SUM(AU123:$EJ123)=0%,5%,0%)))</f>
        <v>0</v>
      </c>
      <c r="AV124" s="395">
        <f ca="1">IF($E$294=0,0,IF(SUM($G124:AU124)=5%,0,IF(SUM(AV123:$EJ123)=0%,5%,0%)))</f>
        <v>0</v>
      </c>
      <c r="AW124" s="395">
        <f ca="1">IF($E$294=0,0,IF(SUM($G124:AV124)=5%,0,IF(SUM(AW123:$EJ123)=0%,5%,0%)))</f>
        <v>0</v>
      </c>
      <c r="AX124" s="395">
        <f ca="1">IF($E$294=0,0,IF(SUM($G124:AW124)=5%,0,IF(SUM(AX123:$EJ123)=0%,5%,0%)))</f>
        <v>0</v>
      </c>
      <c r="AY124" s="395">
        <f ca="1">IF($E$294=0,0,IF(SUM($G124:AX124)=5%,0,IF(SUM(AY123:$EJ123)=0%,5%,0%)))</f>
        <v>0</v>
      </c>
      <c r="AZ124" s="395">
        <f ca="1">IF($E$294=0,0,IF(SUM($G124:AY124)=5%,0,IF(SUM(AZ123:$EJ123)=0%,5%,0%)))</f>
        <v>0</v>
      </c>
      <c r="BA124" s="395">
        <f ca="1">IF($E$294=0,0,IF(SUM($G124:AZ124)=5%,0,IF(SUM(BA123:$EJ123)=0%,5%,0%)))</f>
        <v>0</v>
      </c>
      <c r="BB124" s="395">
        <f ca="1">IF($E$294=0,0,IF(SUM($G124:BA124)=5%,0,IF(SUM(BB123:$EJ123)=0%,5%,0%)))</f>
        <v>0</v>
      </c>
      <c r="BC124" s="395">
        <f ca="1">IF($E$294=0,0,IF(SUM($G124:BB124)=5%,0,IF(SUM(BC123:$EJ123)=0%,5%,0%)))</f>
        <v>0</v>
      </c>
      <c r="BD124" s="395">
        <f ca="1">IF($E$294=0,0,IF(SUM($G124:BC124)=5%,0,IF(SUM(BD123:$EJ123)=0%,5%,0%)))</f>
        <v>0</v>
      </c>
      <c r="BE124" s="395">
        <f ca="1">IF($E$294=0,0,IF(SUM($G124:BD124)=5%,0,IF(SUM(BE123:$EJ123)=0%,5%,0%)))</f>
        <v>0</v>
      </c>
      <c r="BF124" s="395">
        <f ca="1">IF($E$294=0,0,IF(SUM($G124:BE124)=5%,0,IF(SUM(BF123:$EJ123)=0%,5%,0%)))</f>
        <v>0</v>
      </c>
      <c r="BG124" s="395">
        <f ca="1">IF($E$294=0,0,IF(SUM($G124:BF124)=5%,0,IF(SUM(BG123:$EJ123)=0%,5%,0%)))</f>
        <v>0</v>
      </c>
      <c r="BH124" s="395">
        <f ca="1">IF($E$294=0,0,IF(SUM($G124:BG124)=5%,0,IF(SUM(BH123:$EJ123)=0%,5%,0%)))</f>
        <v>0</v>
      </c>
      <c r="BI124" s="395">
        <f ca="1">IF($E$294=0,0,IF(SUM($G124:BH124)=5%,0,IF(SUM(BI123:$EJ123)=0%,5%,0%)))</f>
        <v>0</v>
      </c>
      <c r="BJ124" s="395">
        <f ca="1">IF($E$294=0,0,IF(SUM($G124:BI124)=5%,0,IF(SUM(BJ123:$EJ123)=0%,5%,0%)))</f>
        <v>0</v>
      </c>
      <c r="BK124" s="395">
        <f ca="1">IF($E$294=0,0,IF(SUM($G124:BJ124)=5%,0,IF(SUM(BK123:$EJ123)=0%,5%,0%)))</f>
        <v>0</v>
      </c>
      <c r="BL124" s="395">
        <f ca="1">IF($E$294=0,0,IF(SUM($G124:BK124)=5%,0,IF(SUM(BL123:$EJ123)=0%,5%,0%)))</f>
        <v>0</v>
      </c>
      <c r="BM124" s="395">
        <f ca="1">IF($E$294=0,0,IF(SUM($G124:BL124)=5%,0,IF(SUM(BM123:$EJ123)=0%,5%,0%)))</f>
        <v>0</v>
      </c>
      <c r="BN124" s="395">
        <f ca="1">IF($E$294=0,0,IF(SUM($G124:BM124)=5%,0,IF(SUM(BN123:$EJ123)=0%,5%,0%)))</f>
        <v>0</v>
      </c>
      <c r="BO124" s="395">
        <f ca="1">IF($E$294=0,0,IF(SUM($G124:BN124)=5%,0,IF(SUM(BO123:$EJ123)=0%,5%,0%)))</f>
        <v>0</v>
      </c>
      <c r="BP124" s="395">
        <f ca="1">IF($E$294=0,0,IF(SUM($G124:BO124)=5%,0,IF(SUM(BP123:$EJ123)=0%,5%,0%)))</f>
        <v>0</v>
      </c>
      <c r="BQ124" s="395">
        <f ca="1">IF($E$294=0,0,IF(SUM($G124:BP124)=5%,0,IF(SUM(BQ123:$EJ123)=0%,5%,0%)))</f>
        <v>0</v>
      </c>
      <c r="BR124" s="395">
        <f ca="1">IF($E$294=0,0,IF(SUM($G124:BQ124)=5%,0,IF(SUM(BR123:$EJ123)=0%,5%,0%)))</f>
        <v>0</v>
      </c>
      <c r="BS124" s="395">
        <f ca="1">IF($E$294=0,0,IF(SUM($G124:BR124)=5%,0,IF(SUM(BS123:$EJ123)=0%,5%,0%)))</f>
        <v>0</v>
      </c>
      <c r="BT124" s="395">
        <f ca="1">IF($E$294=0,0,IF(SUM($G124:BS124)=5%,0,IF(SUM(BT123:$EJ123)=0%,5%,0%)))</f>
        <v>0</v>
      </c>
      <c r="BU124" s="395">
        <f ca="1">IF($E$294=0,0,IF(SUM($G124:BT124)=5%,0,IF(SUM(BU123:$EJ123)=0%,5%,0%)))</f>
        <v>0</v>
      </c>
      <c r="BV124" s="395">
        <f ca="1">IF($E$294=0,0,IF(SUM($G124:BU124)=5%,0,IF(SUM(BV123:$EJ123)=0%,5%,0%)))</f>
        <v>0</v>
      </c>
      <c r="BW124" s="395">
        <f ca="1">IF($E$294=0,0,IF(SUM($G124:BV124)=5%,0,IF(SUM(BW123:$EJ123)=0%,5%,0%)))</f>
        <v>0</v>
      </c>
      <c r="BX124" s="395">
        <f ca="1">IF($E$294=0,0,IF(SUM($G124:BW124)=5%,0,IF(SUM(BX123:$EJ123)=0%,5%,0%)))</f>
        <v>0</v>
      </c>
      <c r="BY124" s="395">
        <f ca="1">IF($E$294=0,0,IF(SUM($G124:BX124)=5%,0,IF(SUM(BY123:$EJ123)=0%,5%,0%)))</f>
        <v>0</v>
      </c>
      <c r="BZ124" s="395">
        <f ca="1">IF($E$294=0,0,IF(SUM($G124:BY124)=5%,0,IF(SUM(BZ123:$EJ123)=0%,5%,0%)))</f>
        <v>0</v>
      </c>
      <c r="CA124" s="395">
        <f ca="1">IF($E$294=0,0,IF(SUM($G124:BZ124)=5%,0,IF(SUM(CA123:$EJ123)=0%,5%,0%)))</f>
        <v>0</v>
      </c>
      <c r="CB124" s="395">
        <f ca="1">IF($E$294=0,0,IF(SUM($G124:CA124)=5%,0,IF(SUM(CB123:$EJ123)=0%,5%,0%)))</f>
        <v>0</v>
      </c>
      <c r="CC124" s="395">
        <f ca="1">IF($E$294=0,0,IF(SUM($G124:CB124)=5%,0,IF(SUM(CC123:$EJ123)=0%,5%,0%)))</f>
        <v>0</v>
      </c>
      <c r="CD124" s="395">
        <f ca="1">IF($E$294=0,0,IF(SUM($G124:CC124)=5%,0,IF(SUM(CD123:$EJ123)=0%,5%,0%)))</f>
        <v>0</v>
      </c>
      <c r="CE124" s="395">
        <f ca="1">IF($E$294=0,0,IF(SUM($G124:CD124)=5%,0,IF(SUM(CE123:$EJ123)=0%,5%,0%)))</f>
        <v>0</v>
      </c>
      <c r="CF124" s="395">
        <f ca="1">IF($E$294=0,0,IF(SUM($G124:CE124)=5%,0,IF(SUM(CF123:$EJ123)=0%,5%,0%)))</f>
        <v>0</v>
      </c>
      <c r="CG124" s="395">
        <f ca="1">IF($E$294=0,0,IF(SUM($G124:CF124)=5%,0,IF(SUM(CG123:$EJ123)=0%,5%,0%)))</f>
        <v>0</v>
      </c>
      <c r="CH124" s="395">
        <f ca="1">IF($E$294=0,0,IF(SUM($G124:CG124)=5%,0,IF(SUM(CH123:$EJ123)=0%,5%,0%)))</f>
        <v>0</v>
      </c>
      <c r="CI124" s="395">
        <f ca="1">IF($E$294=0,0,IF(SUM($G124:CH124)=5%,0,IF(SUM(CI123:$EJ123)=0%,5%,0%)))</f>
        <v>0</v>
      </c>
      <c r="CJ124" s="395">
        <f ca="1">IF($E$294=0,0,IF(SUM($G124:CI124)=5%,0,IF(SUM(CJ123:$EJ123)=0%,5%,0%)))</f>
        <v>0</v>
      </c>
      <c r="CK124" s="395">
        <f ca="1">IF($E$294=0,0,IF(SUM($G124:CJ124)=5%,0,IF(SUM(CK123:$EJ123)=0%,5%,0%)))</f>
        <v>0</v>
      </c>
      <c r="CL124" s="395">
        <f ca="1">IF($E$294=0,0,IF(SUM($G124:CK124)=5%,0,IF(SUM(CL123:$EJ123)=0%,5%,0%)))</f>
        <v>0</v>
      </c>
      <c r="CM124" s="395">
        <f ca="1">IF($E$294=0,0,IF(SUM($G124:CL124)=5%,0,IF(SUM(CM123:$EJ123)=0%,5%,0%)))</f>
        <v>0</v>
      </c>
      <c r="CN124" s="395">
        <f ca="1">IF($E$294=0,0,IF(SUM($G124:CM124)=5%,0,IF(SUM(CN123:$EJ123)=0%,5%,0%)))</f>
        <v>0</v>
      </c>
      <c r="CO124" s="395">
        <f ca="1">IF($E$294=0,0,IF(SUM($G124:CN124)=5%,0,IF(SUM(CO123:$EJ123)=0%,5%,0%)))</f>
        <v>0</v>
      </c>
      <c r="CP124" s="395">
        <f ca="1">IF($E$294=0,0,IF(SUM($G124:CO124)=5%,0,IF(SUM(CP123:$EJ123)=0%,5%,0%)))</f>
        <v>0</v>
      </c>
      <c r="CQ124" s="395">
        <f ca="1">IF($E$294=0,0,IF(SUM($G124:CP124)=5%,0,IF(SUM(CQ123:$EJ123)=0%,5%,0%)))</f>
        <v>0</v>
      </c>
      <c r="CR124" s="395">
        <f ca="1">IF($E$294=0,0,IF(SUM($G124:CQ124)=5%,0,IF(SUM(CR123:$EJ123)=0%,5%,0%)))</f>
        <v>0</v>
      </c>
      <c r="CS124" s="395">
        <f ca="1">IF($E$294=0,0,IF(SUM($G124:CR124)=5%,0,IF(SUM(CS123:$EJ123)=0%,5%,0%)))</f>
        <v>0</v>
      </c>
      <c r="CT124" s="395">
        <f ca="1">IF($E$294=0,0,IF(SUM($G124:CS124)=5%,0,IF(SUM(CT123:$EJ123)=0%,5%,0%)))</f>
        <v>0</v>
      </c>
      <c r="CU124" s="395">
        <f ca="1">IF($E$294=0,0,IF(SUM($G124:CT124)=5%,0,IF(SUM(CU123:$EJ123)=0%,5%,0%)))</f>
        <v>0</v>
      </c>
      <c r="CV124" s="395">
        <f ca="1">IF($E$294=0,0,IF(SUM($G124:CU124)=5%,0,IF(SUM(CV123:$EJ123)=0%,5%,0%)))</f>
        <v>0</v>
      </c>
      <c r="CW124" s="395">
        <f ca="1">IF($E$294=0,0,IF(SUM($G124:CV124)=5%,0,IF(SUM(CW123:$EJ123)=0%,5%,0%)))</f>
        <v>0</v>
      </c>
      <c r="CX124" s="395">
        <f ca="1">IF($E$294=0,0,IF(SUM($G124:CW124)=5%,0,IF(SUM(CX123:$EJ123)=0%,5%,0%)))</f>
        <v>0</v>
      </c>
      <c r="CY124" s="395">
        <f ca="1">IF($E$294=0,0,IF(SUM($G124:CX124)=5%,0,IF(SUM(CY123:$EJ123)=0%,5%,0%)))</f>
        <v>0</v>
      </c>
      <c r="CZ124" s="395">
        <f ca="1">IF($E$294=0,0,IF(SUM($G124:CY124)=5%,0,IF(SUM(CZ123:$EJ123)=0%,5%,0%)))</f>
        <v>0</v>
      </c>
      <c r="DA124" s="395">
        <f ca="1">IF($E$294=0,0,IF(SUM($G124:CZ124)=5%,0,IF(SUM(DA123:$EJ123)=0%,5%,0%)))</f>
        <v>0</v>
      </c>
      <c r="DB124" s="395">
        <f ca="1">IF($E$294=0,0,IF(SUM($G124:DA124)=5%,0,IF(SUM(DB123:$EJ123)=0%,5%,0%)))</f>
        <v>0</v>
      </c>
      <c r="DC124" s="395">
        <f ca="1">IF($E$294=0,0,IF(SUM($G124:DB124)=5%,0,IF(SUM(DC123:$EJ123)=0%,5%,0%)))</f>
        <v>0</v>
      </c>
      <c r="DD124" s="395">
        <f ca="1">IF($E$294=0,0,IF(SUM($G124:DC124)=5%,0,IF(SUM(DD123:$EJ123)=0%,5%,0%)))</f>
        <v>0</v>
      </c>
      <c r="DE124" s="395">
        <f ca="1">IF($E$294=0,0,IF(SUM($G124:DD124)=5%,0,IF(SUM(DE123:$EJ123)=0%,5%,0%)))</f>
        <v>0</v>
      </c>
      <c r="DF124" s="395">
        <f ca="1">IF($E$294=0,0,IF(SUM($G124:DE124)=5%,0,IF(SUM(DF123:$EJ123)=0%,5%,0%)))</f>
        <v>0</v>
      </c>
      <c r="DG124" s="395">
        <f ca="1">IF($E$294=0,0,IF(SUM($G124:DF124)=5%,0,IF(SUM(DG123:$EJ123)=0%,5%,0%)))</f>
        <v>0</v>
      </c>
      <c r="DH124" s="395">
        <f ca="1">IF($E$294=0,0,IF(SUM($G124:DG124)=5%,0,IF(SUM(DH123:$EJ123)=0%,5%,0%)))</f>
        <v>0</v>
      </c>
      <c r="DI124" s="395">
        <f ca="1">IF($E$294=0,0,IF(SUM($G124:DH124)=5%,0,IF(SUM(DI123:$EJ123)=0%,5%,0%)))</f>
        <v>0</v>
      </c>
      <c r="DJ124" s="395">
        <f ca="1">IF($E$294=0,0,IF(SUM($G124:DI124)=5%,0,IF(SUM(DJ123:$EJ123)=0%,5%,0%)))</f>
        <v>0</v>
      </c>
      <c r="DK124" s="395">
        <f ca="1">IF($E$294=0,0,IF(SUM($G124:DJ124)=5%,0,IF(SUM(DK123:$EJ123)=0%,5%,0%)))</f>
        <v>0</v>
      </c>
      <c r="DL124" s="395">
        <f ca="1">IF($E$294=0,0,IF(SUM($G124:DK124)=5%,0,IF(SUM(DL123:$EJ123)=0%,5%,0%)))</f>
        <v>0</v>
      </c>
      <c r="DM124" s="395">
        <f ca="1">IF($E$294=0,0,IF(SUM($G124:DL124)=5%,0,IF(SUM(DM123:$EJ123)=0%,5%,0%)))</f>
        <v>0</v>
      </c>
      <c r="DN124" s="395">
        <f ca="1">IF($E$294=0,0,IF(SUM($G124:DM124)=5%,0,IF(SUM(DN123:$EJ123)=0%,5%,0%)))</f>
        <v>0</v>
      </c>
      <c r="DO124" s="395">
        <f ca="1">IF($E$294=0,0,IF(SUM($G124:DN124)=5%,0,IF(SUM(DO123:$EJ123)=0%,5%,0%)))</f>
        <v>0</v>
      </c>
      <c r="DP124" s="395">
        <f ca="1">IF($E$294=0,0,IF(SUM($G124:DO124)=5%,0,IF(SUM(DP123:$EJ123)=0%,5%,0%)))</f>
        <v>0</v>
      </c>
      <c r="DQ124" s="395">
        <f ca="1">IF($E$294=0,0,IF(SUM($G124:DP124)=5%,0,IF(SUM(DQ123:$EJ123)=0%,5%,0%)))</f>
        <v>0</v>
      </c>
      <c r="DR124" s="395">
        <f ca="1">IF($E$294=0,0,IF(SUM($G124:DQ124)=5%,0,IF(SUM(DR123:$EJ123)=0%,5%,0%)))</f>
        <v>0</v>
      </c>
      <c r="DS124" s="395">
        <f ca="1">IF($E$294=0,0,IF(SUM($G124:DR124)=5%,0,IF(SUM(DS123:$EJ123)=0%,5%,0%)))</f>
        <v>0</v>
      </c>
      <c r="DT124" s="395">
        <f ca="1">IF($E$294=0,0,IF(SUM($G124:DS124)=5%,0,IF(SUM(DT123:$EJ123)=0%,5%,0%)))</f>
        <v>0</v>
      </c>
      <c r="DU124" s="395">
        <f ca="1">IF($E$294=0,0,IF(SUM($G124:DT124)=5%,0,IF(SUM(DU123:$EJ123)=0%,5%,0%)))</f>
        <v>0</v>
      </c>
      <c r="DV124" s="395">
        <f ca="1">IF($E$294=0,0,IF(SUM($G124:DU124)=5%,0,IF(SUM(DV123:$EJ123)=0%,5%,0%)))</f>
        <v>0</v>
      </c>
      <c r="DW124" s="395">
        <f ca="1">IF($E$294=0,0,IF(SUM($G124:DV124)=5%,0,IF(SUM(DW123:$EJ123)=0%,5%,0%)))</f>
        <v>0</v>
      </c>
      <c r="DX124" s="395">
        <f ca="1">IF($E$294=0,0,IF(SUM($G124:DW124)=5%,0,IF(SUM(DX123:$EJ123)=0%,5%,0%)))</f>
        <v>0</v>
      </c>
      <c r="DY124" s="395">
        <f ca="1">IF($E$294=0,0,IF(SUM($G124:DX124)=5%,0,IF(SUM(DY123:$EJ123)=0%,5%,0%)))</f>
        <v>0</v>
      </c>
      <c r="DZ124" s="395">
        <f ca="1">IF($E$294=0,0,IF(SUM($G124:DY124)=5%,0,IF(SUM(DZ123:$EJ123)=0%,5%,0%)))</f>
        <v>0</v>
      </c>
      <c r="EA124" s="395">
        <f ca="1">IF($E$294=0,0,IF(SUM($G124:DZ124)=5%,0,IF(SUM(EA123:$EJ123)=0%,5%,0%)))</f>
        <v>0</v>
      </c>
      <c r="EB124" s="395">
        <f ca="1">IF($E$294=0,0,IF(SUM($G124:EA124)=5%,0,IF(SUM(EB123:$EJ123)=0%,5%,0%)))</f>
        <v>0</v>
      </c>
      <c r="EC124" s="395">
        <f ca="1">IF($E$294=0,0,IF(SUM($G124:EB124)=5%,0,IF(SUM(EC123:$EJ123)=0%,5%,0%)))</f>
        <v>0</v>
      </c>
      <c r="ED124" s="395">
        <f ca="1">IF($E$294=0,0,IF(SUM($G124:EC124)=5%,0,IF(SUM(ED123:$EJ123)=0%,5%,0%)))</f>
        <v>0</v>
      </c>
      <c r="EE124" s="395">
        <f ca="1">IF($E$294=0,0,IF(SUM($G124:ED124)=5%,0,IF(SUM(EE123:$EJ123)=0%,5%,0%)))</f>
        <v>0</v>
      </c>
      <c r="EF124" s="395">
        <f ca="1">IF($E$294=0,0,IF(SUM($G124:EE124)=5%,0,IF(SUM(EF123:$EJ123)=0%,5%,0%)))</f>
        <v>0</v>
      </c>
      <c r="EG124" s="395">
        <f ca="1">IF($E$294=0,0,IF(SUM($G124:EF124)=5%,0,IF(SUM(EG123:$EJ123)=0%,5%,0%)))</f>
        <v>0</v>
      </c>
      <c r="EH124" s="395">
        <f ca="1">IF($E$294=0,0,IF(SUM($G124:EG124)=5%,0,IF(SUM(EH123:$EJ123)=0%,5%,0%)))</f>
        <v>0</v>
      </c>
      <c r="EI124" s="395">
        <f ca="1">IF($E$294=0,0,IF(SUM($G124:EH124)=5%,0,IF(SUM(EI123:$EJ123)=0%,5%,0%)))</f>
        <v>0</v>
      </c>
      <c r="EJ124" s="398"/>
      <c r="EK124" s="313"/>
    </row>
    <row r="125" spans="1:141" hidden="1" outlineLevel="2">
      <c r="A125" s="332"/>
      <c r="B125" s="313"/>
      <c r="C125" s="317"/>
      <c r="D125" s="317" t="s">
        <v>640</v>
      </c>
      <c r="E125" s="318">
        <f ca="1">IF(F125=0,0,5%-F125)</f>
        <v>0</v>
      </c>
      <c r="F125" s="397">
        <f ca="1">SUM(G125:EJ125)</f>
        <v>0</v>
      </c>
      <c r="G125" s="395"/>
      <c r="H125" s="395"/>
      <c r="I125" s="395"/>
      <c r="J125" s="395"/>
      <c r="K125" s="395"/>
      <c r="L125" s="395"/>
      <c r="M125" s="395"/>
      <c r="N125" s="395"/>
      <c r="O125" s="395"/>
      <c r="P125" s="395"/>
      <c r="Q125" s="395"/>
      <c r="R125" s="395"/>
      <c r="S125" s="395"/>
      <c r="T125" s="395"/>
      <c r="U125" s="395"/>
      <c r="V125" s="395"/>
      <c r="W125" s="395"/>
      <c r="X125" s="395"/>
      <c r="Y125" s="395"/>
      <c r="Z125" s="395"/>
      <c r="AA125" s="395"/>
      <c r="AB125" s="395"/>
      <c r="AC125" s="395"/>
      <c r="AD125" s="395">
        <f ca="1">IF($E$294=0,0,IF(SUM($G125:AC125)=5%,0,IF(SUM($G124:G124)=5%,5%,0%)))</f>
        <v>0</v>
      </c>
      <c r="AE125" s="395">
        <f ca="1">IF($E$294=0,0,IF(SUM($G125:AD125)=5%,0,IF(SUM($G124:H124)=5%,5%,0%)))</f>
        <v>0</v>
      </c>
      <c r="AF125" s="395">
        <f ca="1">IF($E$294=0,0,IF(SUM($G125:AE125)=5%,0,IF(SUM($G124:I124)=5%,5%,0%)))</f>
        <v>0</v>
      </c>
      <c r="AG125" s="395">
        <f ca="1">IF($E$294=0,0,IF(SUM($G125:AF125)=5%,0,IF(SUM($G124:J124)=5%,5%,0%)))</f>
        <v>0</v>
      </c>
      <c r="AH125" s="395">
        <f ca="1">IF($E$294=0,0,IF(SUM($G125:AG125)=5%,0,IF(SUM($G124:K124)=5%,5%,0%)))</f>
        <v>0</v>
      </c>
      <c r="AI125" s="395">
        <f ca="1">IF($E$294=0,0,IF(SUM($G125:AH125)=5%,0,IF(SUM($G124:L124)=5%,5%,0%)))</f>
        <v>0</v>
      </c>
      <c r="AJ125" s="395">
        <f ca="1">IF($E$294=0,0,IF(SUM($G125:AI125)=5%,0,IF(SUM($G124:M124)=5%,5%,0%)))</f>
        <v>0</v>
      </c>
      <c r="AK125" s="395">
        <f ca="1">IF($E$294=0,0,IF(SUM($G125:AJ125)=5%,0,IF(SUM($G124:N124)=5%,5%,0%)))</f>
        <v>0</v>
      </c>
      <c r="AL125" s="395">
        <f ca="1">IF($E$294=0,0,IF(SUM($G125:AK125)=5%,0,IF(SUM($G124:O124)=5%,5%,0%)))</f>
        <v>0</v>
      </c>
      <c r="AM125" s="395">
        <f ca="1">IF($E$294=0,0,IF(SUM($G125:AL125)=5%,0,IF(SUM($G124:P124)=5%,5%,0%)))</f>
        <v>0</v>
      </c>
      <c r="AN125" s="395">
        <f ca="1">IF($E$294=0,0,IF(SUM($G125:AM125)=5%,0,IF(SUM($G124:Q124)=5%,5%,0%)))</f>
        <v>0</v>
      </c>
      <c r="AO125" s="395">
        <f ca="1">IF($E$294=0,0,IF(SUM($G125:AN125)=5%,0,IF(SUM($G124:R124)=5%,5%,0%)))</f>
        <v>0</v>
      </c>
      <c r="AP125" s="395">
        <f ca="1">IF($E$294=0,0,IF(SUM($G125:AO125)=5%,0,IF(SUM($G124:S124)=5%,5%,0%)))</f>
        <v>0</v>
      </c>
      <c r="AQ125" s="395">
        <f ca="1">IF($E$294=0,0,IF(SUM($G125:AP125)=5%,0,IF(SUM($G124:T124)=5%,5%,0%)))</f>
        <v>0</v>
      </c>
      <c r="AR125" s="395">
        <f ca="1">IF($E$294=0,0,IF(SUM($G125:AQ125)=5%,0,IF(SUM($G124:U124)=5%,5%,0%)))</f>
        <v>0</v>
      </c>
      <c r="AS125" s="395">
        <f ca="1">IF($E$294=0,0,IF(SUM($G125:AR125)=5%,0,IF(SUM($G124:V124)=5%,5%,0%)))</f>
        <v>0</v>
      </c>
      <c r="AT125" s="395">
        <f ca="1">IF($E$294=0,0,IF(SUM($G125:AS125)=5%,0,IF(SUM($G124:W124)=5%,5%,0%)))</f>
        <v>0</v>
      </c>
      <c r="AU125" s="395">
        <f ca="1">IF($E$294=0,0,IF(SUM($G125:AT125)=5%,0,IF(SUM($G124:X124)=5%,5%,0%)))</f>
        <v>0</v>
      </c>
      <c r="AV125" s="395">
        <f ca="1">IF($E$294=0,0,IF(SUM($G125:AU125)=5%,0,IF(SUM($G124:Y124)=5%,5%,0%)))</f>
        <v>0</v>
      </c>
      <c r="AW125" s="395">
        <f ca="1">IF($E$294=0,0,IF(SUM($G125:AV125)=5%,0,IF(SUM($G124:Z124)=5%,5%,0%)))</f>
        <v>0</v>
      </c>
      <c r="AX125" s="395">
        <f ca="1">IF($E$294=0,0,IF(SUM($G125:AW125)=5%,0,IF(SUM($G124:AA124)=5%,5%,0%)))</f>
        <v>0</v>
      </c>
      <c r="AY125" s="395">
        <f ca="1">IF($E$294=0,0,IF(SUM($G125:AX125)=5%,0,IF(SUM($G124:AB124)=5%,5%,0%)))</f>
        <v>0</v>
      </c>
      <c r="AZ125" s="395">
        <f ca="1">IF($E$294=0,0,IF(SUM($G125:AY125)=5%,0,IF(SUM($G124:AC124)=5%,5%,0%)))</f>
        <v>0</v>
      </c>
      <c r="BA125" s="395">
        <f ca="1">IF($E$294=0,0,IF(SUM($G125:AZ125)=5%,0,IF(SUM($G124:AD124)=5%,5%,0%)))</f>
        <v>0</v>
      </c>
      <c r="BB125" s="395">
        <f ca="1">IF($E$294=0,0,IF(SUM($G125:BA125)=5%,0,IF(SUM($G124:AE124)=5%,5%,0%)))</f>
        <v>0</v>
      </c>
      <c r="BC125" s="395">
        <f ca="1">IF($E$294=0,0,IF(SUM($G125:BB125)=5%,0,IF(SUM($G124:AF124)=5%,5%,0%)))</f>
        <v>0</v>
      </c>
      <c r="BD125" s="395">
        <f ca="1">IF($E$294=0,0,IF(SUM($G125:BC125)=5%,0,IF(SUM($G124:AG124)=5%,5%,0%)))</f>
        <v>0</v>
      </c>
      <c r="BE125" s="395">
        <f ca="1">IF($E$294=0,0,IF(SUM($G125:BD125)=5%,0,IF(SUM($G124:AH124)=5%,5%,0%)))</f>
        <v>0</v>
      </c>
      <c r="BF125" s="395">
        <f ca="1">IF($E$294=0,0,IF(SUM($G125:BE125)=5%,0,IF(SUM($G124:AI124)=5%,5%,0%)))</f>
        <v>0</v>
      </c>
      <c r="BG125" s="395">
        <f ca="1">IF($E$294=0,0,IF(SUM($G125:BF125)=5%,0,IF(SUM($G124:AJ124)=5%,5%,0%)))</f>
        <v>0</v>
      </c>
      <c r="BH125" s="395">
        <f ca="1">IF($E$294=0,0,IF(SUM($G125:BG125)=5%,0,IF(SUM($G124:AK124)=5%,5%,0%)))</f>
        <v>0</v>
      </c>
      <c r="BI125" s="395">
        <f ca="1">IF($E$294=0,0,IF(SUM($G125:BH125)=5%,0,IF(SUM($G124:AL124)=5%,5%,0%)))</f>
        <v>0</v>
      </c>
      <c r="BJ125" s="395">
        <f ca="1">IF($E$294=0,0,IF(SUM($G125:BI125)=5%,0,IF(SUM($G124:AM124)=5%,5%,0%)))</f>
        <v>0</v>
      </c>
      <c r="BK125" s="395">
        <f ca="1">IF($E$294=0,0,IF(SUM($G125:BJ125)=5%,0,IF(SUM($G124:AN124)=5%,5%,0%)))</f>
        <v>0</v>
      </c>
      <c r="BL125" s="395">
        <f ca="1">IF($E$294=0,0,IF(SUM($G125:BK125)=5%,0,IF(SUM($G124:AO124)=5%,5%,0%)))</f>
        <v>0</v>
      </c>
      <c r="BM125" s="395">
        <f ca="1">IF($E$294=0,0,IF(SUM($G125:BL125)=5%,0,IF(SUM($G124:AP124)=5%,5%,0%)))</f>
        <v>0</v>
      </c>
      <c r="BN125" s="395">
        <f ca="1">IF($E$294=0,0,IF(SUM($G125:BM125)=5%,0,IF(SUM($G124:AQ124)=5%,5%,0%)))</f>
        <v>0</v>
      </c>
      <c r="BO125" s="395">
        <f ca="1">IF($E$294=0,0,IF(SUM($G125:BN125)=5%,0,IF(SUM($G124:AR124)=5%,5%,0%)))</f>
        <v>0</v>
      </c>
      <c r="BP125" s="395">
        <f ca="1">IF($E$294=0,0,IF(SUM($G125:BO125)=5%,0,IF(SUM($G124:AS124)=5%,5%,0%)))</f>
        <v>0</v>
      </c>
      <c r="BQ125" s="395">
        <f ca="1">IF($E$294=0,0,IF(SUM($G125:BP125)=5%,0,IF(SUM($G124:AT124)=5%,5%,0%)))</f>
        <v>0</v>
      </c>
      <c r="BR125" s="395">
        <f ca="1">IF($E$294=0,0,IF(SUM($G125:BQ125)=5%,0,IF(SUM($G124:AU124)=5%,5%,0%)))</f>
        <v>0</v>
      </c>
      <c r="BS125" s="395">
        <f ca="1">IF($E$294=0,0,IF(SUM($G125:BR125)=5%,0,IF(SUM($G124:AV124)=5%,5%,0%)))</f>
        <v>0</v>
      </c>
      <c r="BT125" s="395">
        <f ca="1">IF($E$294=0,0,IF(SUM($G125:BS125)=5%,0,IF(SUM($G124:AW124)=5%,5%,0%)))</f>
        <v>0</v>
      </c>
      <c r="BU125" s="395">
        <f ca="1">IF($E$294=0,0,IF(SUM($G125:BT125)=5%,0,IF(SUM($G124:AX124)=5%,5%,0%)))</f>
        <v>0</v>
      </c>
      <c r="BV125" s="395">
        <f ca="1">IF($E$294=0,0,IF(SUM($G125:BU125)=5%,0,IF(SUM($G124:AY124)=5%,5%,0%)))</f>
        <v>0</v>
      </c>
      <c r="BW125" s="395">
        <f ca="1">IF($E$294=0,0,IF(SUM($G125:BV125)=5%,0,IF(SUM($G124:AZ124)=5%,5%,0%)))</f>
        <v>0</v>
      </c>
      <c r="BX125" s="395">
        <f ca="1">IF($E$294=0,0,IF(SUM($G125:BW125)=5%,0,IF(SUM($G124:BA124)=5%,5%,0%)))</f>
        <v>0</v>
      </c>
      <c r="BY125" s="395">
        <f ca="1">IF($E$294=0,0,IF(SUM($G125:BX125)=5%,0,IF(SUM($G124:BB124)=5%,5%,0%)))</f>
        <v>0</v>
      </c>
      <c r="BZ125" s="395">
        <f ca="1">IF($E$294=0,0,IF(SUM($G125:BY125)=5%,0,IF(SUM($G124:BC124)=5%,5%,0%)))</f>
        <v>0</v>
      </c>
      <c r="CA125" s="395">
        <f ca="1">IF($E$294=0,0,IF(SUM($G125:BZ125)=5%,0,IF(SUM($G124:BD124)=5%,5%,0%)))</f>
        <v>0</v>
      </c>
      <c r="CB125" s="395">
        <f ca="1">IF($E$294=0,0,IF(SUM($G125:CA125)=5%,0,IF(SUM($G124:BE124)=5%,5%,0%)))</f>
        <v>0</v>
      </c>
      <c r="CC125" s="395">
        <f ca="1">IF($E$294=0,0,IF(SUM($G125:CB125)=5%,0,IF(SUM($G124:BF124)=5%,5%,0%)))</f>
        <v>0</v>
      </c>
      <c r="CD125" s="395">
        <f ca="1">IF($E$294=0,0,IF(SUM($G125:CC125)=5%,0,IF(SUM($G124:BG124)=5%,5%,0%)))</f>
        <v>0</v>
      </c>
      <c r="CE125" s="395">
        <f ca="1">IF($E$294=0,0,IF(SUM($G125:CD125)=5%,0,IF(SUM($G124:BH124)=5%,5%,0%)))</f>
        <v>0</v>
      </c>
      <c r="CF125" s="395">
        <f ca="1">IF($E$294=0,0,IF(SUM($G125:CE125)=5%,0,IF(SUM($G124:BI124)=5%,5%,0%)))</f>
        <v>0</v>
      </c>
      <c r="CG125" s="395">
        <f ca="1">IF($E$294=0,0,IF(SUM($G125:CF125)=5%,0,IF(SUM($G124:BJ124)=5%,5%,0%)))</f>
        <v>0</v>
      </c>
      <c r="CH125" s="395">
        <f ca="1">IF($E$294=0,0,IF(SUM($G125:CG125)=5%,0,IF(SUM($G124:BK124)=5%,5%,0%)))</f>
        <v>0</v>
      </c>
      <c r="CI125" s="395">
        <f ca="1">IF($E$294=0,0,IF(SUM($G125:CH125)=5%,0,IF(SUM($G124:BL124)=5%,5%,0%)))</f>
        <v>0</v>
      </c>
      <c r="CJ125" s="395">
        <f ca="1">IF($E$294=0,0,IF(SUM($G125:CI125)=5%,0,IF(SUM($G124:BM124)=5%,5%,0%)))</f>
        <v>0</v>
      </c>
      <c r="CK125" s="395">
        <f ca="1">IF($E$294=0,0,IF(SUM($G125:CJ125)=5%,0,IF(SUM($G124:BN124)=5%,5%,0%)))</f>
        <v>0</v>
      </c>
      <c r="CL125" s="395">
        <f ca="1">IF($E$294=0,0,IF(SUM($G125:CK125)=5%,0,IF(SUM($G124:BO124)=5%,5%,0%)))</f>
        <v>0</v>
      </c>
      <c r="CM125" s="395">
        <f ca="1">IF($E$294=0,0,IF(SUM($G125:CL125)=5%,0,IF(SUM($G124:BP124)=5%,5%,0%)))</f>
        <v>0</v>
      </c>
      <c r="CN125" s="395">
        <f ca="1">IF($E$294=0,0,IF(SUM($G125:CM125)=5%,0,IF(SUM($G124:BQ124)=5%,5%,0%)))</f>
        <v>0</v>
      </c>
      <c r="CO125" s="395">
        <f ca="1">IF($E$294=0,0,IF(SUM($G125:CN125)=5%,0,IF(SUM($G124:BR124)=5%,5%,0%)))</f>
        <v>0</v>
      </c>
      <c r="CP125" s="395">
        <f ca="1">IF($E$294=0,0,IF(SUM($G125:CO125)=5%,0,IF(SUM($G124:BS124)=5%,5%,0%)))</f>
        <v>0</v>
      </c>
      <c r="CQ125" s="395">
        <f ca="1">IF($E$294=0,0,IF(SUM($G125:CP125)=5%,0,IF(SUM($G124:BT124)=5%,5%,0%)))</f>
        <v>0</v>
      </c>
      <c r="CR125" s="395">
        <f ca="1">IF($E$294=0,0,IF(SUM($G125:CQ125)=5%,0,IF(SUM($G124:BU124)=5%,5%,0%)))</f>
        <v>0</v>
      </c>
      <c r="CS125" s="395">
        <f ca="1">IF($E$294=0,0,IF(SUM($G125:CR125)=5%,0,IF(SUM($G124:BV124)=5%,5%,0%)))</f>
        <v>0</v>
      </c>
      <c r="CT125" s="395">
        <f ca="1">IF($E$294=0,0,IF(SUM($G125:CS125)=5%,0,IF(SUM($G124:BW124)=5%,5%,0%)))</f>
        <v>0</v>
      </c>
      <c r="CU125" s="395">
        <f ca="1">IF($E$294=0,0,IF(SUM($G125:CT125)=5%,0,IF(SUM($G124:BX124)=5%,5%,0%)))</f>
        <v>0</v>
      </c>
      <c r="CV125" s="395">
        <f ca="1">IF($E$294=0,0,IF(SUM($G125:CU125)=5%,0,IF(SUM($G124:BY124)=5%,5%,0%)))</f>
        <v>0</v>
      </c>
      <c r="CW125" s="395">
        <f ca="1">IF($E$294=0,0,IF(SUM($G125:CV125)=5%,0,IF(SUM($G124:BZ124)=5%,5%,0%)))</f>
        <v>0</v>
      </c>
      <c r="CX125" s="395">
        <f ca="1">IF($E$294=0,0,IF(SUM($G125:CW125)=5%,0,IF(SUM($G124:CA124)=5%,5%,0%)))</f>
        <v>0</v>
      </c>
      <c r="CY125" s="395">
        <f ca="1">IF($E$294=0,0,IF(SUM($G125:CX125)=5%,0,IF(SUM($G124:CB124)=5%,5%,0%)))</f>
        <v>0</v>
      </c>
      <c r="CZ125" s="395">
        <f ca="1">IF($E$294=0,0,IF(SUM($G125:CY125)=5%,0,IF(SUM($G124:CC124)=5%,5%,0%)))</f>
        <v>0</v>
      </c>
      <c r="DA125" s="395">
        <f ca="1">IF($E$294=0,0,IF(SUM($G125:CZ125)=5%,0,IF(SUM($G124:CD124)=5%,5%,0%)))</f>
        <v>0</v>
      </c>
      <c r="DB125" s="395">
        <f ca="1">IF($E$294=0,0,IF(SUM($G125:DA125)=5%,0,IF(SUM($G124:CE124)=5%,5%,0%)))</f>
        <v>0</v>
      </c>
      <c r="DC125" s="395">
        <f ca="1">IF($E$294=0,0,IF(SUM($G125:DB125)=5%,0,IF(SUM($G124:CF124)=5%,5%,0%)))</f>
        <v>0</v>
      </c>
      <c r="DD125" s="395">
        <f ca="1">IF($E$294=0,0,IF(SUM($G125:DC125)=5%,0,IF(SUM($G124:CG124)=5%,5%,0%)))</f>
        <v>0</v>
      </c>
      <c r="DE125" s="395">
        <f ca="1">IF($E$294=0,0,IF(SUM($G125:DD125)=5%,0,IF(SUM($G124:CH124)=5%,5%,0%)))</f>
        <v>0</v>
      </c>
      <c r="DF125" s="395">
        <f ca="1">IF($E$294=0,0,IF(SUM($G125:DE125)=5%,0,IF(SUM($G124:CI124)=5%,5%,0%)))</f>
        <v>0</v>
      </c>
      <c r="DG125" s="395">
        <f ca="1">IF($E$294=0,0,IF(SUM($G125:DF125)=5%,0,IF(SUM($G124:CJ124)=5%,5%,0%)))</f>
        <v>0</v>
      </c>
      <c r="DH125" s="395">
        <f ca="1">IF($E$294=0,0,IF(SUM($G125:DG125)=5%,0,IF(SUM($G124:CK124)=5%,5%,0%)))</f>
        <v>0</v>
      </c>
      <c r="DI125" s="395">
        <f ca="1">IF($E$294=0,0,IF(SUM($G125:DH125)=5%,0,IF(SUM($G124:CL124)=5%,5%,0%)))</f>
        <v>0</v>
      </c>
      <c r="DJ125" s="395">
        <f ca="1">IF($E$294=0,0,IF(SUM($G125:DI125)=5%,0,IF(SUM($G124:CM124)=5%,5%,0%)))</f>
        <v>0</v>
      </c>
      <c r="DK125" s="395">
        <f ca="1">IF($E$294=0,0,IF(SUM($G125:DJ125)=5%,0,IF(SUM($G124:CN124)=5%,5%,0%)))</f>
        <v>0</v>
      </c>
      <c r="DL125" s="395">
        <f ca="1">IF($E$294=0,0,IF(SUM($G125:DK125)=5%,0,IF(SUM($G124:CO124)=5%,5%,0%)))</f>
        <v>0</v>
      </c>
      <c r="DM125" s="395">
        <f ca="1">IF($E$294=0,0,IF(SUM($G125:DL125)=5%,0,IF(SUM($G124:CP124)=5%,5%,0%)))</f>
        <v>0</v>
      </c>
      <c r="DN125" s="395">
        <f ca="1">IF($E$294=0,0,IF(SUM($G125:DM125)=5%,0,IF(SUM($G124:CQ124)=5%,5%,0%)))</f>
        <v>0</v>
      </c>
      <c r="DO125" s="395">
        <f ca="1">IF($E$294=0,0,IF(SUM($G125:DN125)=5%,0,IF(SUM($G124:CR124)=5%,5%,0%)))</f>
        <v>0</v>
      </c>
      <c r="DP125" s="395">
        <f ca="1">IF($E$294=0,0,IF(SUM($G125:DO125)=5%,0,IF(SUM($G124:CS124)=5%,5%,0%)))</f>
        <v>0</v>
      </c>
      <c r="DQ125" s="395">
        <f ca="1">IF($E$294=0,0,IF(SUM($G125:DP125)=5%,0,IF(SUM($G124:CT124)=5%,5%,0%)))</f>
        <v>0</v>
      </c>
      <c r="DR125" s="395">
        <f ca="1">IF($E$294=0,0,IF(SUM($G125:DQ125)=5%,0,IF(SUM($G124:CU124)=5%,5%,0%)))</f>
        <v>0</v>
      </c>
      <c r="DS125" s="395">
        <f ca="1">IF($E$294=0,0,IF(SUM($G125:DR125)=5%,0,IF(SUM($G124:CV124)=5%,5%,0%)))</f>
        <v>0</v>
      </c>
      <c r="DT125" s="395">
        <f ca="1">IF($E$294=0,0,IF(SUM($G125:DS125)=5%,0,IF(SUM($G124:CW124)=5%,5%,0%)))</f>
        <v>0</v>
      </c>
      <c r="DU125" s="395">
        <f ca="1">IF($E$294=0,0,IF(SUM($G125:DT125)=5%,0,IF(SUM($G124:CX124)=5%,5%,0%)))</f>
        <v>0</v>
      </c>
      <c r="DV125" s="395">
        <f ca="1">IF($E$294=0,0,IF(SUM($G125:DU125)=5%,0,IF(SUM($G124:CY124)=5%,5%,0%)))</f>
        <v>0</v>
      </c>
      <c r="DW125" s="395">
        <f ca="1">IF($E$294=0,0,IF(SUM($G125:DV125)=5%,0,IF(SUM($G124:CZ124)=5%,5%,0%)))</f>
        <v>0</v>
      </c>
      <c r="DX125" s="395">
        <f ca="1">IF($E$294=0,0,IF(SUM($G125:DW125)=5%,0,IF(SUM($G124:DA124)=5%,5%,0%)))</f>
        <v>0</v>
      </c>
      <c r="DY125" s="395">
        <f ca="1">IF($E$294=0,0,IF(SUM($G125:DX125)=5%,0,IF(SUM($G124:DB124)=5%,5%,0%)))</f>
        <v>0</v>
      </c>
      <c r="DZ125" s="395">
        <f ca="1">IF($E$294=0,0,IF(SUM($G125:DY125)=5%,0,IF(SUM($G124:DC124)=5%,5%,0%)))</f>
        <v>0</v>
      </c>
      <c r="EA125" s="395">
        <f ca="1">IF($E$294=0,0,IF(SUM($G125:DZ125)=5%,0,IF(SUM($G124:DD124)=5%,5%,0%)))</f>
        <v>0</v>
      </c>
      <c r="EB125" s="395">
        <f ca="1">IF($E$294=0,0,IF(SUM($G125:EA125)=5%,0,IF(SUM($G124:DE124)=5%,5%,0%)))</f>
        <v>0</v>
      </c>
      <c r="EC125" s="395">
        <f ca="1">IF($E$294=0,0,IF(SUM($G125:EB125)=5%,0,IF(SUM($G124:DF124)=5%,5%,0%)))</f>
        <v>0</v>
      </c>
      <c r="ED125" s="395">
        <f ca="1">IF($E$294=0,0,IF(SUM($G125:EC125)=5%,0,IF(SUM($G124:DG124)=5%,5%,0%)))</f>
        <v>0</v>
      </c>
      <c r="EE125" s="395">
        <f ca="1">IF($E$294=0,0,IF(SUM($G125:ED125)=5%,0,IF(SUM($G124:DH124)=5%,5%,0%)))</f>
        <v>0</v>
      </c>
      <c r="EF125" s="395">
        <f ca="1">IF($E$294=0,0,IF(SUM($G125:EE125)=5%,0,IF(SUM($G124:DI124)=5%,5%,0%)))</f>
        <v>0</v>
      </c>
      <c r="EG125" s="395">
        <f ca="1">IF($E$294=0,0,IF(SUM($G125:EF125)=5%,0,IF(SUM($G124:DJ124)=5%,5%,0%)))</f>
        <v>0</v>
      </c>
      <c r="EH125" s="395">
        <f ca="1">IF($E$294=0,0,IF(SUM($G125:EG125)=5%,0,IF(SUM($G124:DK124)=5%,5%,0%)))</f>
        <v>0</v>
      </c>
      <c r="EI125" s="395">
        <f ca="1">IF($E$294=0,0,IF(SUM($G125:EH125)=5%,0,IF(SUM($G124:DL124)=5%,5%,0%)))</f>
        <v>0</v>
      </c>
      <c r="EJ125" s="398"/>
      <c r="EK125" s="313"/>
    </row>
    <row r="126" spans="1:141" hidden="1" outlineLevel="1" collapsed="1">
      <c r="A126" s="332"/>
      <c r="B126" s="313"/>
      <c r="C126" s="392" t="s">
        <v>78</v>
      </c>
      <c r="D126" s="392" t="s">
        <v>28</v>
      </c>
      <c r="E126" s="393">
        <f ca="1">ROUND(IF(F126=0,0,100%-F126),0)</f>
        <v>0</v>
      </c>
      <c r="F126" s="394">
        <f t="shared" ca="1" si="283"/>
        <v>0.99999999999999989</v>
      </c>
      <c r="G126" s="395">
        <f>SUM(G127:G130)</f>
        <v>0</v>
      </c>
      <c r="H126" s="395">
        <f t="shared" ref="H126:BS126" ca="1" si="345">SUM(H127:H130)</f>
        <v>0</v>
      </c>
      <c r="I126" s="395">
        <f t="shared" ca="1" si="345"/>
        <v>0</v>
      </c>
      <c r="J126" s="395">
        <f t="shared" ca="1" si="345"/>
        <v>0</v>
      </c>
      <c r="K126" s="395">
        <f t="shared" ca="1" si="345"/>
        <v>0</v>
      </c>
      <c r="L126" s="395">
        <f t="shared" ca="1" si="345"/>
        <v>0</v>
      </c>
      <c r="M126" s="395">
        <f t="shared" ca="1" si="345"/>
        <v>0</v>
      </c>
      <c r="N126" s="395">
        <f t="shared" ca="1" si="345"/>
        <v>0</v>
      </c>
      <c r="O126" s="395">
        <f t="shared" ca="1" si="345"/>
        <v>0</v>
      </c>
      <c r="P126" s="395">
        <f t="shared" ca="1" si="345"/>
        <v>0</v>
      </c>
      <c r="Q126" s="395">
        <f t="shared" ca="1" si="345"/>
        <v>0</v>
      </c>
      <c r="R126" s="395">
        <f t="shared" ca="1" si="345"/>
        <v>0</v>
      </c>
      <c r="S126" s="395">
        <f t="shared" ca="1" si="345"/>
        <v>0</v>
      </c>
      <c r="T126" s="395">
        <f t="shared" ca="1" si="345"/>
        <v>0</v>
      </c>
      <c r="U126" s="395">
        <f t="shared" ca="1" si="345"/>
        <v>0</v>
      </c>
      <c r="V126" s="395">
        <f t="shared" ca="1" si="345"/>
        <v>0</v>
      </c>
      <c r="W126" s="395">
        <f t="shared" ca="1" si="345"/>
        <v>0</v>
      </c>
      <c r="X126" s="395">
        <f t="shared" ca="1" si="345"/>
        <v>0</v>
      </c>
      <c r="Y126" s="395">
        <f t="shared" ca="1" si="345"/>
        <v>0</v>
      </c>
      <c r="Z126" s="395">
        <f t="shared" ca="1" si="345"/>
        <v>0</v>
      </c>
      <c r="AA126" s="395">
        <f t="shared" ca="1" si="345"/>
        <v>0</v>
      </c>
      <c r="AB126" s="395">
        <f t="shared" ca="1" si="345"/>
        <v>0</v>
      </c>
      <c r="AC126" s="395">
        <f t="shared" ca="1" si="345"/>
        <v>0</v>
      </c>
      <c r="AD126" s="395">
        <f t="shared" ca="1" si="345"/>
        <v>0</v>
      </c>
      <c r="AE126" s="395">
        <f t="shared" ca="1" si="345"/>
        <v>0</v>
      </c>
      <c r="AF126" s="395">
        <f t="shared" ca="1" si="345"/>
        <v>0</v>
      </c>
      <c r="AG126" s="395">
        <f t="shared" ca="1" si="345"/>
        <v>0</v>
      </c>
      <c r="AH126" s="395">
        <f t="shared" ca="1" si="345"/>
        <v>0</v>
      </c>
      <c r="AI126" s="395">
        <f t="shared" ca="1" si="345"/>
        <v>0</v>
      </c>
      <c r="AJ126" s="395">
        <f t="shared" ca="1" si="345"/>
        <v>0</v>
      </c>
      <c r="AK126" s="395">
        <f t="shared" ca="1" si="345"/>
        <v>0</v>
      </c>
      <c r="AL126" s="395">
        <f t="shared" ca="1" si="345"/>
        <v>0</v>
      </c>
      <c r="AM126" s="395">
        <f t="shared" ca="1" si="345"/>
        <v>0</v>
      </c>
      <c r="AN126" s="395">
        <f t="shared" ca="1" si="345"/>
        <v>0</v>
      </c>
      <c r="AO126" s="395">
        <f t="shared" ca="1" si="345"/>
        <v>0</v>
      </c>
      <c r="AP126" s="395">
        <f t="shared" ca="1" si="345"/>
        <v>0</v>
      </c>
      <c r="AQ126" s="395">
        <f t="shared" ca="1" si="345"/>
        <v>0</v>
      </c>
      <c r="AR126" s="395">
        <f t="shared" ca="1" si="345"/>
        <v>0.15</v>
      </c>
      <c r="AS126" s="395">
        <f t="shared" ca="1" si="345"/>
        <v>0</v>
      </c>
      <c r="AT126" s="395">
        <f t="shared" ca="1" si="345"/>
        <v>3.5571177504393668E-2</v>
      </c>
      <c r="AU126" s="395">
        <f t="shared" ca="1" si="345"/>
        <v>4.2179261862917393E-2</v>
      </c>
      <c r="AV126" s="395">
        <f t="shared" ca="1" si="345"/>
        <v>4.3585237258347974E-2</v>
      </c>
      <c r="AW126" s="395">
        <f t="shared" ca="1" si="345"/>
        <v>4.3585237258347974E-2</v>
      </c>
      <c r="AX126" s="395">
        <f t="shared" ca="1" si="345"/>
        <v>4.2179261862917393E-2</v>
      </c>
      <c r="AY126" s="395">
        <f t="shared" ca="1" si="345"/>
        <v>4.3585237258347974E-2</v>
      </c>
      <c r="AZ126" s="395">
        <f t="shared" ca="1" si="345"/>
        <v>4.2179261862917393E-2</v>
      </c>
      <c r="BA126" s="395">
        <f t="shared" ca="1" si="345"/>
        <v>4.3585237258347974E-2</v>
      </c>
      <c r="BB126" s="395">
        <f t="shared" ca="1" si="345"/>
        <v>4.3585237258347974E-2</v>
      </c>
      <c r="BC126" s="395">
        <f t="shared" ca="1" si="345"/>
        <v>3.9367311072056238E-2</v>
      </c>
      <c r="BD126" s="395">
        <f t="shared" ca="1" si="345"/>
        <v>4.3585237258347974E-2</v>
      </c>
      <c r="BE126" s="395">
        <f t="shared" ca="1" si="345"/>
        <v>4.2179261862917393E-2</v>
      </c>
      <c r="BF126" s="395">
        <f t="shared" ca="1" si="345"/>
        <v>4.3585237258347974E-2</v>
      </c>
      <c r="BG126" s="395">
        <f t="shared" ca="1" si="345"/>
        <v>4.2179261862917393E-2</v>
      </c>
      <c r="BH126" s="395">
        <f t="shared" ca="1" si="345"/>
        <v>4.3585237258347974E-2</v>
      </c>
      <c r="BI126" s="395">
        <f t="shared" ca="1" si="345"/>
        <v>4.3585237258347974E-2</v>
      </c>
      <c r="BJ126" s="395">
        <f t="shared" ca="1" si="345"/>
        <v>4.2179261862917393E-2</v>
      </c>
      <c r="BK126" s="395">
        <f t="shared" ca="1" si="345"/>
        <v>4.3585237258347974E-2</v>
      </c>
      <c r="BL126" s="395">
        <f t="shared" ca="1" si="345"/>
        <v>3.6133567662565966E-2</v>
      </c>
      <c r="BM126" s="395">
        <f t="shared" ca="1" si="345"/>
        <v>2.5000000000000001E-2</v>
      </c>
      <c r="BN126" s="395">
        <f t="shared" ca="1" si="345"/>
        <v>0</v>
      </c>
      <c r="BO126" s="395">
        <f t="shared" ca="1" si="345"/>
        <v>0</v>
      </c>
      <c r="BP126" s="395">
        <f t="shared" ca="1" si="345"/>
        <v>0</v>
      </c>
      <c r="BQ126" s="395">
        <f t="shared" ca="1" si="345"/>
        <v>0</v>
      </c>
      <c r="BR126" s="395">
        <f t="shared" ca="1" si="345"/>
        <v>0</v>
      </c>
      <c r="BS126" s="395">
        <f t="shared" ca="1" si="345"/>
        <v>0</v>
      </c>
      <c r="BT126" s="395">
        <f t="shared" ref="BT126:EE126" ca="1" si="346">SUM(BT127:BT130)</f>
        <v>0</v>
      </c>
      <c r="BU126" s="395">
        <f t="shared" ca="1" si="346"/>
        <v>0</v>
      </c>
      <c r="BV126" s="395">
        <f t="shared" ca="1" si="346"/>
        <v>0</v>
      </c>
      <c r="BW126" s="395">
        <f t="shared" ca="1" si="346"/>
        <v>0</v>
      </c>
      <c r="BX126" s="395">
        <f t="shared" ca="1" si="346"/>
        <v>0</v>
      </c>
      <c r="BY126" s="395">
        <f t="shared" ca="1" si="346"/>
        <v>0</v>
      </c>
      <c r="BZ126" s="395">
        <f t="shared" ca="1" si="346"/>
        <v>0</v>
      </c>
      <c r="CA126" s="395">
        <f t="shared" ca="1" si="346"/>
        <v>0</v>
      </c>
      <c r="CB126" s="395">
        <f t="shared" ca="1" si="346"/>
        <v>0</v>
      </c>
      <c r="CC126" s="395">
        <f t="shared" ca="1" si="346"/>
        <v>0</v>
      </c>
      <c r="CD126" s="395">
        <f t="shared" ca="1" si="346"/>
        <v>0</v>
      </c>
      <c r="CE126" s="395">
        <f t="shared" ca="1" si="346"/>
        <v>0</v>
      </c>
      <c r="CF126" s="395">
        <f t="shared" ca="1" si="346"/>
        <v>0</v>
      </c>
      <c r="CG126" s="395">
        <f t="shared" ca="1" si="346"/>
        <v>0</v>
      </c>
      <c r="CH126" s="395">
        <f t="shared" ca="1" si="346"/>
        <v>0</v>
      </c>
      <c r="CI126" s="395">
        <f t="shared" ca="1" si="346"/>
        <v>0</v>
      </c>
      <c r="CJ126" s="395">
        <f t="shared" ca="1" si="346"/>
        <v>2.5000000000000001E-2</v>
      </c>
      <c r="CK126" s="395">
        <f t="shared" ca="1" si="346"/>
        <v>0</v>
      </c>
      <c r="CL126" s="395">
        <f t="shared" ca="1" si="346"/>
        <v>0</v>
      </c>
      <c r="CM126" s="395">
        <f t="shared" ca="1" si="346"/>
        <v>0</v>
      </c>
      <c r="CN126" s="395">
        <f t="shared" ca="1" si="346"/>
        <v>0</v>
      </c>
      <c r="CO126" s="395">
        <f t="shared" ca="1" si="346"/>
        <v>0</v>
      </c>
      <c r="CP126" s="395">
        <f t="shared" ca="1" si="346"/>
        <v>0</v>
      </c>
      <c r="CQ126" s="395">
        <f t="shared" ca="1" si="346"/>
        <v>0</v>
      </c>
      <c r="CR126" s="395">
        <f t="shared" ca="1" si="346"/>
        <v>0</v>
      </c>
      <c r="CS126" s="395">
        <f t="shared" ca="1" si="346"/>
        <v>0</v>
      </c>
      <c r="CT126" s="395">
        <f t="shared" ca="1" si="346"/>
        <v>0</v>
      </c>
      <c r="CU126" s="395">
        <f t="shared" ca="1" si="346"/>
        <v>0</v>
      </c>
      <c r="CV126" s="395">
        <f t="shared" ca="1" si="346"/>
        <v>0</v>
      </c>
      <c r="CW126" s="395">
        <f t="shared" ca="1" si="346"/>
        <v>0</v>
      </c>
      <c r="CX126" s="395">
        <f t="shared" ca="1" si="346"/>
        <v>0</v>
      </c>
      <c r="CY126" s="395">
        <f t="shared" ca="1" si="346"/>
        <v>0</v>
      </c>
      <c r="CZ126" s="395">
        <f t="shared" ca="1" si="346"/>
        <v>0</v>
      </c>
      <c r="DA126" s="395">
        <f t="shared" ca="1" si="346"/>
        <v>0</v>
      </c>
      <c r="DB126" s="395">
        <f t="shared" ca="1" si="346"/>
        <v>0</v>
      </c>
      <c r="DC126" s="395">
        <f t="shared" ca="1" si="346"/>
        <v>0</v>
      </c>
      <c r="DD126" s="395">
        <f t="shared" ca="1" si="346"/>
        <v>0</v>
      </c>
      <c r="DE126" s="395">
        <f t="shared" ca="1" si="346"/>
        <v>0</v>
      </c>
      <c r="DF126" s="395">
        <f t="shared" ca="1" si="346"/>
        <v>0</v>
      </c>
      <c r="DG126" s="395">
        <f t="shared" ca="1" si="346"/>
        <v>0</v>
      </c>
      <c r="DH126" s="395">
        <f t="shared" ca="1" si="346"/>
        <v>0</v>
      </c>
      <c r="DI126" s="395">
        <f t="shared" ca="1" si="346"/>
        <v>0</v>
      </c>
      <c r="DJ126" s="395">
        <f t="shared" ca="1" si="346"/>
        <v>0</v>
      </c>
      <c r="DK126" s="395">
        <f t="shared" ca="1" si="346"/>
        <v>0</v>
      </c>
      <c r="DL126" s="395">
        <f t="shared" ca="1" si="346"/>
        <v>0</v>
      </c>
      <c r="DM126" s="395">
        <f t="shared" ca="1" si="346"/>
        <v>0</v>
      </c>
      <c r="DN126" s="395">
        <f t="shared" ca="1" si="346"/>
        <v>0</v>
      </c>
      <c r="DO126" s="395">
        <f t="shared" ca="1" si="346"/>
        <v>0</v>
      </c>
      <c r="DP126" s="395">
        <f t="shared" ca="1" si="346"/>
        <v>0</v>
      </c>
      <c r="DQ126" s="395">
        <f t="shared" ca="1" si="346"/>
        <v>0</v>
      </c>
      <c r="DR126" s="395">
        <f t="shared" ca="1" si="346"/>
        <v>0</v>
      </c>
      <c r="DS126" s="395">
        <f t="shared" ca="1" si="346"/>
        <v>0</v>
      </c>
      <c r="DT126" s="395">
        <f t="shared" ca="1" si="346"/>
        <v>0</v>
      </c>
      <c r="DU126" s="395">
        <f t="shared" ca="1" si="346"/>
        <v>0</v>
      </c>
      <c r="DV126" s="395">
        <f t="shared" ca="1" si="346"/>
        <v>0</v>
      </c>
      <c r="DW126" s="395">
        <f t="shared" ca="1" si="346"/>
        <v>0</v>
      </c>
      <c r="DX126" s="395">
        <f t="shared" ca="1" si="346"/>
        <v>0</v>
      </c>
      <c r="DY126" s="395">
        <f t="shared" ca="1" si="346"/>
        <v>0</v>
      </c>
      <c r="DZ126" s="395">
        <f t="shared" ca="1" si="346"/>
        <v>0</v>
      </c>
      <c r="EA126" s="395">
        <f t="shared" ca="1" si="346"/>
        <v>0</v>
      </c>
      <c r="EB126" s="395">
        <f t="shared" ca="1" si="346"/>
        <v>0</v>
      </c>
      <c r="EC126" s="395">
        <f t="shared" ca="1" si="346"/>
        <v>0</v>
      </c>
      <c r="ED126" s="395">
        <f t="shared" ca="1" si="346"/>
        <v>0</v>
      </c>
      <c r="EE126" s="395">
        <f t="shared" ca="1" si="346"/>
        <v>0</v>
      </c>
      <c r="EF126" s="395">
        <f t="shared" ref="EF126:EI126" ca="1" si="347">SUM(EF127:EF130)</f>
        <v>0</v>
      </c>
      <c r="EG126" s="395">
        <f t="shared" ca="1" si="347"/>
        <v>0</v>
      </c>
      <c r="EH126" s="395">
        <f t="shared" ca="1" si="347"/>
        <v>0</v>
      </c>
      <c r="EI126" s="395">
        <f t="shared" ca="1" si="347"/>
        <v>0</v>
      </c>
      <c r="EJ126" s="398"/>
      <c r="EK126" s="313"/>
    </row>
    <row r="127" spans="1:141" hidden="1" outlineLevel="2">
      <c r="A127" s="332"/>
      <c r="B127" s="549">
        <f>длительность!B187</f>
        <v>0.15</v>
      </c>
      <c r="C127" s="317"/>
      <c r="D127" s="317" t="s">
        <v>664</v>
      </c>
      <c r="E127" s="318">
        <f t="shared" ref="E127:E130" ca="1" si="348">IF(F127=0,0,B127-F127)</f>
        <v>0</v>
      </c>
      <c r="F127" s="397">
        <f t="shared" ca="1" si="283"/>
        <v>0.15</v>
      </c>
      <c r="G127" s="395"/>
      <c r="H127" s="395">
        <f ca="1">IF(SUM($G127:G127)=$B127,0,IF(J128&gt;0%,$B127,0%))</f>
        <v>0</v>
      </c>
      <c r="I127" s="395">
        <f ca="1">IF(SUM($G127:H127)=$B127,0,IF(K128&gt;0%,$B127,0%))</f>
        <v>0</v>
      </c>
      <c r="J127" s="395">
        <f ca="1">IF(SUM($G127:I127)=$B127,0,IF(L128&gt;0%,$B127,0%))</f>
        <v>0</v>
      </c>
      <c r="K127" s="395">
        <f ca="1">IF(SUM($G127:J127)=$B127,0,IF(M128&gt;0%,$B127,0%))</f>
        <v>0</v>
      </c>
      <c r="L127" s="395">
        <f ca="1">IF(SUM($G127:K127)=$B127,0,IF(N128&gt;0%,$B127,0%))</f>
        <v>0</v>
      </c>
      <c r="M127" s="395">
        <f ca="1">IF(SUM($G127:L127)=$B127,0,IF(O128&gt;0%,$B127,0%))</f>
        <v>0</v>
      </c>
      <c r="N127" s="395">
        <f ca="1">IF(SUM($G127:M127)=$B127,0,IF(P128&gt;0%,$B127,0%))</f>
        <v>0</v>
      </c>
      <c r="O127" s="395">
        <f ca="1">IF(SUM($G127:N127)=$B127,0,IF(Q128&gt;0%,$B127,0%))</f>
        <v>0</v>
      </c>
      <c r="P127" s="395">
        <f ca="1">IF(SUM($G127:O127)=$B127,0,IF(R128&gt;0%,$B127,0%))</f>
        <v>0</v>
      </c>
      <c r="Q127" s="395">
        <f ca="1">IF(SUM($G127:P127)=$B127,0,IF(S128&gt;0%,$B127,0%))</f>
        <v>0</v>
      </c>
      <c r="R127" s="395">
        <f ca="1">IF(SUM($G127:Q127)=$B127,0,IF(T128&gt;0%,$B127,0%))</f>
        <v>0</v>
      </c>
      <c r="S127" s="395">
        <f ca="1">IF(SUM($G127:R127)=$B127,0,IF(U128&gt;0%,$B127,0%))</f>
        <v>0</v>
      </c>
      <c r="T127" s="395">
        <f ca="1">IF(SUM($G127:S127)=$B127,0,IF(V128&gt;0%,$B127,0%))</f>
        <v>0</v>
      </c>
      <c r="U127" s="395">
        <f ca="1">IF(SUM($G127:T127)=$B127,0,IF(W128&gt;0%,$B127,0%))</f>
        <v>0</v>
      </c>
      <c r="V127" s="395">
        <f ca="1">IF(SUM($G127:U127)=$B127,0,IF(X128&gt;0%,$B127,0%))</f>
        <v>0</v>
      </c>
      <c r="W127" s="395">
        <f ca="1">IF(SUM($G127:V127)=$B127,0,IF(Y128&gt;0%,$B127,0%))</f>
        <v>0</v>
      </c>
      <c r="X127" s="395">
        <f ca="1">IF(SUM($G127:W127)=$B127,0,IF(Z128&gt;0%,$B127,0%))</f>
        <v>0</v>
      </c>
      <c r="Y127" s="395">
        <f ca="1">IF(SUM($G127:X127)=$B127,0,IF(AA128&gt;0%,$B127,0%))</f>
        <v>0</v>
      </c>
      <c r="Z127" s="395">
        <f ca="1">IF(SUM($G127:Y127)=$B127,0,IF(AB128&gt;0%,$B127,0%))</f>
        <v>0</v>
      </c>
      <c r="AA127" s="395">
        <f ca="1">IF(SUM($G127:Z127)=$B127,0,IF(AC128&gt;0%,$B127,0%))</f>
        <v>0</v>
      </c>
      <c r="AB127" s="395">
        <f ca="1">IF(SUM($G127:AA127)=$B127,0,IF(AD128&gt;0%,$B127,0%))</f>
        <v>0</v>
      </c>
      <c r="AC127" s="395">
        <f ca="1">IF(SUM($G127:AB127)=$B127,0,IF(AE128&gt;0%,$B127,0%))</f>
        <v>0</v>
      </c>
      <c r="AD127" s="395">
        <f ca="1">IF(SUM($G127:AC127)=$B127,0,IF(AF128&gt;0%,$B127,0%))</f>
        <v>0</v>
      </c>
      <c r="AE127" s="395">
        <f ca="1">IF(SUM($G127:AD127)=$B127,0,IF(AG128&gt;0%,$B127,0%))</f>
        <v>0</v>
      </c>
      <c r="AF127" s="395">
        <f ca="1">IF(SUM($G127:AE127)=$B127,0,IF(AH128&gt;0%,$B127,0%))</f>
        <v>0</v>
      </c>
      <c r="AG127" s="395">
        <f ca="1">IF(SUM($G127:AF127)=$B127,0,IF(AI128&gt;0%,$B127,0%))</f>
        <v>0</v>
      </c>
      <c r="AH127" s="395">
        <f ca="1">IF(SUM($G127:AG127)=$B127,0,IF(AJ128&gt;0%,$B127,0%))</f>
        <v>0</v>
      </c>
      <c r="AI127" s="395">
        <f ca="1">IF(SUM($G127:AH127)=$B127,0,IF(AK128&gt;0%,$B127,0%))</f>
        <v>0</v>
      </c>
      <c r="AJ127" s="395">
        <f ca="1">IF(SUM($G127:AI127)=$B127,0,IF(AL128&gt;0%,$B127,0%))</f>
        <v>0</v>
      </c>
      <c r="AK127" s="395">
        <f ca="1">IF(SUM($G127:AJ127)=$B127,0,IF(AM128&gt;0%,$B127,0%))</f>
        <v>0</v>
      </c>
      <c r="AL127" s="395">
        <f ca="1">IF(SUM($G127:AK127)=$B127,0,IF(AN128&gt;0%,$B127,0%))</f>
        <v>0</v>
      </c>
      <c r="AM127" s="395">
        <f ca="1">IF(SUM($G127:AL127)=$B127,0,IF(AO128&gt;0%,$B127,0%))</f>
        <v>0</v>
      </c>
      <c r="AN127" s="395">
        <f ca="1">IF(SUM($G127:AM127)=$B127,0,IF(AP128&gt;0%,$B127,0%))</f>
        <v>0</v>
      </c>
      <c r="AO127" s="395">
        <f ca="1">IF(SUM($G127:AN127)=$B127,0,IF(AQ128&gt;0%,$B127,0%))</f>
        <v>0</v>
      </c>
      <c r="AP127" s="395">
        <f ca="1">IF(SUM($G127:AO127)=$B127,0,IF(AR128&gt;0%,$B127,0%))</f>
        <v>0</v>
      </c>
      <c r="AQ127" s="395">
        <f ca="1">IF(SUM($G127:AP127)=$B127,0,IF(AS128&gt;0%,$B127,0%))</f>
        <v>0</v>
      </c>
      <c r="AR127" s="395">
        <f ca="1">IF(SUM($G127:AQ127)=$B127,0,IF(AT128&gt;0%,$B127,0%))</f>
        <v>0.15</v>
      </c>
      <c r="AS127" s="395">
        <f ca="1">IF(SUM($G127:AR127)=$B127,0,IF(AU128&gt;0%,$B127,0%))</f>
        <v>0</v>
      </c>
      <c r="AT127" s="395">
        <f ca="1">IF(SUM($G127:AS127)=$B127,0,IF(AV128&gt;0%,$B127,0%))</f>
        <v>0</v>
      </c>
      <c r="AU127" s="395">
        <f ca="1">IF(SUM($G127:AT127)=$B127,0,IF(AW128&gt;0%,$B127,0%))</f>
        <v>0</v>
      </c>
      <c r="AV127" s="395">
        <f ca="1">IF(SUM($G127:AU127)=$B127,0,IF(AX128&gt;0%,$B127,0%))</f>
        <v>0</v>
      </c>
      <c r="AW127" s="395">
        <f ca="1">IF(SUM($G127:AV127)=$B127,0,IF(AY128&gt;0%,$B127,0%))</f>
        <v>0</v>
      </c>
      <c r="AX127" s="395">
        <f ca="1">IF(SUM($G127:AW127)=$B127,0,IF(AZ128&gt;0%,$B127,0%))</f>
        <v>0</v>
      </c>
      <c r="AY127" s="395">
        <f ca="1">IF(SUM($G127:AX127)=$B127,0,IF(BA128&gt;0%,$B127,0%))</f>
        <v>0</v>
      </c>
      <c r="AZ127" s="395">
        <f ca="1">IF(SUM($G127:AY127)=$B127,0,IF(BB128&gt;0%,$B127,0%))</f>
        <v>0</v>
      </c>
      <c r="BA127" s="395">
        <f ca="1">IF(SUM($G127:AZ127)=$B127,0,IF(BC128&gt;0%,$B127,0%))</f>
        <v>0</v>
      </c>
      <c r="BB127" s="395">
        <f ca="1">IF(SUM($G127:BA127)=$B127,0,IF(BD128&gt;0%,$B127,0%))</f>
        <v>0</v>
      </c>
      <c r="BC127" s="395">
        <f ca="1">IF(SUM($G127:BB127)=$B127,0,IF(BE128&gt;0%,$B127,0%))</f>
        <v>0</v>
      </c>
      <c r="BD127" s="395">
        <f ca="1">IF(SUM($G127:BC127)=$B127,0,IF(BF128&gt;0%,$B127,0%))</f>
        <v>0</v>
      </c>
      <c r="BE127" s="395">
        <f ca="1">IF(SUM($G127:BD127)=$B127,0,IF(BG128&gt;0%,$B127,0%))</f>
        <v>0</v>
      </c>
      <c r="BF127" s="395">
        <f ca="1">IF(SUM($G127:BE127)=$B127,0,IF(BH128&gt;0%,$B127,0%))</f>
        <v>0</v>
      </c>
      <c r="BG127" s="395">
        <f ca="1">IF(SUM($G127:BF127)=$B127,0,IF(BI128&gt;0%,$B127,0%))</f>
        <v>0</v>
      </c>
      <c r="BH127" s="395">
        <f ca="1">IF(SUM($G127:BG127)=$B127,0,IF(BJ128&gt;0%,$B127,0%))</f>
        <v>0</v>
      </c>
      <c r="BI127" s="395">
        <f ca="1">IF(SUM($G127:BH127)=$B127,0,IF(BK128&gt;0%,$B127,0%))</f>
        <v>0</v>
      </c>
      <c r="BJ127" s="395">
        <f ca="1">IF(SUM($G127:BI127)=$B127,0,IF(BL128&gt;0%,$B127,0%))</f>
        <v>0</v>
      </c>
      <c r="BK127" s="395">
        <f ca="1">IF(SUM($G127:BJ127)=$B127,0,IF(BM128&gt;0%,$B127,0%))</f>
        <v>0</v>
      </c>
      <c r="BL127" s="395">
        <f ca="1">IF(SUM($G127:BK127)=$B127,0,IF(BN128&gt;0%,$B127,0%))</f>
        <v>0</v>
      </c>
      <c r="BM127" s="395">
        <f ca="1">IF(SUM($G127:BL127)=$B127,0,IF(BO128&gt;0%,$B127,0%))</f>
        <v>0</v>
      </c>
      <c r="BN127" s="395">
        <f ca="1">IF(SUM($G127:BM127)=$B127,0,IF(BP128&gt;0%,$B127,0%))</f>
        <v>0</v>
      </c>
      <c r="BO127" s="395">
        <f ca="1">IF(SUM($G127:BN127)=$B127,0,IF(BQ128&gt;0%,$B127,0%))</f>
        <v>0</v>
      </c>
      <c r="BP127" s="395">
        <f ca="1">IF(SUM($G127:BO127)=$B127,0,IF(BR128&gt;0%,$B127,0%))</f>
        <v>0</v>
      </c>
      <c r="BQ127" s="395">
        <f ca="1">IF(SUM($G127:BP127)=$B127,0,IF(BS128&gt;0%,$B127,0%))</f>
        <v>0</v>
      </c>
      <c r="BR127" s="395">
        <f ca="1">IF(SUM($G127:BQ127)=$B127,0,IF(BT128&gt;0%,$B127,0%))</f>
        <v>0</v>
      </c>
      <c r="BS127" s="395">
        <f ca="1">IF(SUM($G127:BR127)=$B127,0,IF(BU128&gt;0%,$B127,0%))</f>
        <v>0</v>
      </c>
      <c r="BT127" s="395">
        <f ca="1">IF(SUM($G127:BS127)=$B127,0,IF(BV128&gt;0%,$B127,0%))</f>
        <v>0</v>
      </c>
      <c r="BU127" s="395">
        <f ca="1">IF(SUM($G127:BT127)=$B127,0,IF(BW128&gt;0%,$B127,0%))</f>
        <v>0</v>
      </c>
      <c r="BV127" s="395">
        <f ca="1">IF(SUM($G127:BU127)=$B127,0,IF(BX128&gt;0%,$B127,0%))</f>
        <v>0</v>
      </c>
      <c r="BW127" s="395">
        <f ca="1">IF(SUM($G127:BV127)=$B127,0,IF(BY128&gt;0%,$B127,0%))</f>
        <v>0</v>
      </c>
      <c r="BX127" s="395">
        <f ca="1">IF(SUM($G127:BW127)=$B127,0,IF(BZ128&gt;0%,$B127,0%))</f>
        <v>0</v>
      </c>
      <c r="BY127" s="395">
        <f ca="1">IF(SUM($G127:BX127)=$B127,0,IF(CA128&gt;0%,$B127,0%))</f>
        <v>0</v>
      </c>
      <c r="BZ127" s="395">
        <f ca="1">IF(SUM($G127:BY127)=$B127,0,IF(CB128&gt;0%,$B127,0%))</f>
        <v>0</v>
      </c>
      <c r="CA127" s="395">
        <f ca="1">IF(SUM($G127:BZ127)=$B127,0,IF(CC128&gt;0%,$B127,0%))</f>
        <v>0</v>
      </c>
      <c r="CB127" s="395">
        <f ca="1">IF(SUM($G127:CA127)=$B127,0,IF(CD128&gt;0%,$B127,0%))</f>
        <v>0</v>
      </c>
      <c r="CC127" s="395">
        <f ca="1">IF(SUM($G127:CB127)=$B127,0,IF(CE128&gt;0%,$B127,0%))</f>
        <v>0</v>
      </c>
      <c r="CD127" s="395">
        <f ca="1">IF(SUM($G127:CC127)=$B127,0,IF(CF128&gt;0%,$B127,0%))</f>
        <v>0</v>
      </c>
      <c r="CE127" s="395">
        <f ca="1">IF(SUM($G127:CD127)=$B127,0,IF(CG128&gt;0%,$B127,0%))</f>
        <v>0</v>
      </c>
      <c r="CF127" s="395">
        <f ca="1">IF(SUM($G127:CE127)=$B127,0,IF(CH128&gt;0%,$B127,0%))</f>
        <v>0</v>
      </c>
      <c r="CG127" s="395">
        <f ca="1">IF(SUM($G127:CF127)=$B127,0,IF(CI128&gt;0%,$B127,0%))</f>
        <v>0</v>
      </c>
      <c r="CH127" s="395">
        <f ca="1">IF(SUM($G127:CG127)=$B127,0,IF(CJ128&gt;0%,$B127,0%))</f>
        <v>0</v>
      </c>
      <c r="CI127" s="395">
        <f ca="1">IF(SUM($G127:CH127)=$B127,0,IF(CK128&gt;0%,$B127,0%))</f>
        <v>0</v>
      </c>
      <c r="CJ127" s="395">
        <f ca="1">IF(SUM($G127:CI127)=$B127,0,IF(CL128&gt;0%,$B127,0%))</f>
        <v>0</v>
      </c>
      <c r="CK127" s="395">
        <f ca="1">IF(SUM($G127:CJ127)=$B127,0,IF(CM128&gt;0%,$B127,0%))</f>
        <v>0</v>
      </c>
      <c r="CL127" s="395">
        <f ca="1">IF(SUM($G127:CK127)=$B127,0,IF(CN128&gt;0%,$B127,0%))</f>
        <v>0</v>
      </c>
      <c r="CM127" s="395">
        <f ca="1">IF(SUM($G127:CL127)=$B127,0,IF(CO128&gt;0%,$B127,0%))</f>
        <v>0</v>
      </c>
      <c r="CN127" s="395">
        <f ca="1">IF(SUM($G127:CM127)=$B127,0,IF(CP128&gt;0%,$B127,0%))</f>
        <v>0</v>
      </c>
      <c r="CO127" s="395">
        <f ca="1">IF(SUM($G127:CN127)=$B127,0,IF(CQ128&gt;0%,$B127,0%))</f>
        <v>0</v>
      </c>
      <c r="CP127" s="395">
        <f ca="1">IF(SUM($G127:CO127)=$B127,0,IF(CR128&gt;0%,$B127,0%))</f>
        <v>0</v>
      </c>
      <c r="CQ127" s="395">
        <f ca="1">IF(SUM($G127:CP127)=$B127,0,IF(CS128&gt;0%,$B127,0%))</f>
        <v>0</v>
      </c>
      <c r="CR127" s="395">
        <f ca="1">IF(SUM($G127:CQ127)=$B127,0,IF(CT128&gt;0%,$B127,0%))</f>
        <v>0</v>
      </c>
      <c r="CS127" s="395">
        <f ca="1">IF(SUM($G127:CR127)=$B127,0,IF(CU128&gt;0%,$B127,0%))</f>
        <v>0</v>
      </c>
      <c r="CT127" s="395">
        <f ca="1">IF(SUM($G127:CS127)=$B127,0,IF(CV128&gt;0%,$B127,0%))</f>
        <v>0</v>
      </c>
      <c r="CU127" s="395">
        <f ca="1">IF(SUM($G127:CT127)=$B127,0,IF(CW128&gt;0%,$B127,0%))</f>
        <v>0</v>
      </c>
      <c r="CV127" s="395">
        <f ca="1">IF(SUM($G127:CU127)=$B127,0,IF(CX128&gt;0%,$B127,0%))</f>
        <v>0</v>
      </c>
      <c r="CW127" s="395">
        <f ca="1">IF(SUM($G127:CV127)=$B127,0,IF(CY128&gt;0%,$B127,0%))</f>
        <v>0</v>
      </c>
      <c r="CX127" s="395">
        <f ca="1">IF(SUM($G127:CW127)=$B127,0,IF(CZ128&gt;0%,$B127,0%))</f>
        <v>0</v>
      </c>
      <c r="CY127" s="395">
        <f ca="1">IF(SUM($G127:CX127)=$B127,0,IF(DA128&gt;0%,$B127,0%))</f>
        <v>0</v>
      </c>
      <c r="CZ127" s="395">
        <f ca="1">IF(SUM($G127:CY127)=$B127,0,IF(DB128&gt;0%,$B127,0%))</f>
        <v>0</v>
      </c>
      <c r="DA127" s="395">
        <f ca="1">IF(SUM($G127:CZ127)=$B127,0,IF(DC128&gt;0%,$B127,0%))</f>
        <v>0</v>
      </c>
      <c r="DB127" s="395">
        <f ca="1">IF(SUM($G127:DA127)=$B127,0,IF(DD128&gt;0%,$B127,0%))</f>
        <v>0</v>
      </c>
      <c r="DC127" s="395">
        <f ca="1">IF(SUM($G127:DB127)=$B127,0,IF(DE128&gt;0%,$B127,0%))</f>
        <v>0</v>
      </c>
      <c r="DD127" s="395">
        <f ca="1">IF(SUM($G127:DC127)=$B127,0,IF(DF128&gt;0%,$B127,0%))</f>
        <v>0</v>
      </c>
      <c r="DE127" s="395">
        <f ca="1">IF(SUM($G127:DD127)=$B127,0,IF(DG128&gt;0%,$B127,0%))</f>
        <v>0</v>
      </c>
      <c r="DF127" s="395">
        <f ca="1">IF(SUM($G127:DE127)=$B127,0,IF(DH128&gt;0%,$B127,0%))</f>
        <v>0</v>
      </c>
      <c r="DG127" s="395">
        <f ca="1">IF(SUM($G127:DF127)=$B127,0,IF(DI128&gt;0%,$B127,0%))</f>
        <v>0</v>
      </c>
      <c r="DH127" s="395">
        <f ca="1">IF(SUM($G127:DG127)=$B127,0,IF(DJ128&gt;0%,$B127,0%))</f>
        <v>0</v>
      </c>
      <c r="DI127" s="395">
        <f ca="1">IF(SUM($G127:DH127)=$B127,0,IF(DK128&gt;0%,$B127,0%))</f>
        <v>0</v>
      </c>
      <c r="DJ127" s="395">
        <f ca="1">IF(SUM($G127:DI127)=$B127,0,IF(DL128&gt;0%,$B127,0%))</f>
        <v>0</v>
      </c>
      <c r="DK127" s="395">
        <f ca="1">IF(SUM($G127:DJ127)=$B127,0,IF(DM128&gt;0%,$B127,0%))</f>
        <v>0</v>
      </c>
      <c r="DL127" s="395">
        <f ca="1">IF(SUM($G127:DK127)=$B127,0,IF(DN128&gt;0%,$B127,0%))</f>
        <v>0</v>
      </c>
      <c r="DM127" s="395">
        <f ca="1">IF(SUM($G127:DL127)=$B127,0,IF(DO128&gt;0%,$B127,0%))</f>
        <v>0</v>
      </c>
      <c r="DN127" s="395">
        <f ca="1">IF(SUM($G127:DM127)=$B127,0,IF(DP128&gt;0%,$B127,0%))</f>
        <v>0</v>
      </c>
      <c r="DO127" s="395">
        <f ca="1">IF(SUM($G127:DN127)=$B127,0,IF(DQ128&gt;0%,$B127,0%))</f>
        <v>0</v>
      </c>
      <c r="DP127" s="395">
        <f ca="1">IF(SUM($G127:DO127)=$B127,0,IF(DR128&gt;0%,$B127,0%))</f>
        <v>0</v>
      </c>
      <c r="DQ127" s="395">
        <f ca="1">IF(SUM($G127:DP127)=$B127,0,IF(DS128&gt;0%,$B127,0%))</f>
        <v>0</v>
      </c>
      <c r="DR127" s="395">
        <f ca="1">IF(SUM($G127:DQ127)=$B127,0,IF(DT128&gt;0%,$B127,0%))</f>
        <v>0</v>
      </c>
      <c r="DS127" s="395">
        <f ca="1">IF(SUM($G127:DR127)=$B127,0,IF(DU128&gt;0%,$B127,0%))</f>
        <v>0</v>
      </c>
      <c r="DT127" s="395">
        <f ca="1">IF(SUM($G127:DS127)=$B127,0,IF(DV128&gt;0%,$B127,0%))</f>
        <v>0</v>
      </c>
      <c r="DU127" s="395">
        <f ca="1">IF(SUM($G127:DT127)=$B127,0,IF(DW128&gt;0%,$B127,0%))</f>
        <v>0</v>
      </c>
      <c r="DV127" s="395">
        <f ca="1">IF(SUM($G127:DU127)=$B127,0,IF(DX128&gt;0%,$B127,0%))</f>
        <v>0</v>
      </c>
      <c r="DW127" s="395">
        <f ca="1">IF(SUM($G127:DV127)=$B127,0,IF(DY128&gt;0%,$B127,0%))</f>
        <v>0</v>
      </c>
      <c r="DX127" s="395">
        <f ca="1">IF(SUM($G127:DW127)=$B127,0,IF(DZ128&gt;0%,$B127,0%))</f>
        <v>0</v>
      </c>
      <c r="DY127" s="395">
        <f ca="1">IF(SUM($G127:DX127)=$B127,0,IF(EA128&gt;0%,$B127,0%))</f>
        <v>0</v>
      </c>
      <c r="DZ127" s="395">
        <f ca="1">IF(SUM($G127:DY127)=$B127,0,IF(EB128&gt;0%,$B127,0%))</f>
        <v>0</v>
      </c>
      <c r="EA127" s="395">
        <f ca="1">IF(SUM($G127:DZ127)=$B127,0,IF(EC128&gt;0%,$B127,0%))</f>
        <v>0</v>
      </c>
      <c r="EB127" s="395">
        <f ca="1">IF(SUM($G127:EA127)=$B127,0,IF(ED128&gt;0%,$B127,0%))</f>
        <v>0</v>
      </c>
      <c r="EC127" s="395">
        <f ca="1">IF(SUM($G127:EB127)=$B127,0,IF(EE128&gt;0%,$B127,0%))</f>
        <v>0</v>
      </c>
      <c r="ED127" s="395">
        <f ca="1">IF(SUM($G127:EC127)=$B127,0,IF(EF128&gt;0%,$B127,0%))</f>
        <v>0</v>
      </c>
      <c r="EE127" s="395">
        <f ca="1">IF(SUM($G127:ED127)=$B127,0,IF(EG128&gt;0%,$B127,0%))</f>
        <v>0</v>
      </c>
      <c r="EF127" s="395">
        <f ca="1">IF(SUM($G127:EE127)=$B127,0,IF(EH128&gt;0%,$B127,0%))</f>
        <v>0</v>
      </c>
      <c r="EG127" s="395">
        <f ca="1">IF(SUM($G127:EF127)=$B127,0,IF(EI128&gt;0%,$B127,0%))</f>
        <v>0</v>
      </c>
      <c r="EH127" s="395">
        <f ca="1">IF(SUM($G127:EG127)=$B127,0,IF(EJ128&gt;0%,$B127,0%))</f>
        <v>0</v>
      </c>
      <c r="EI127" s="395">
        <f ca="1">IF(SUM($G127:EH127)=$B127,0,IF(EK128&gt;0%,$B127,0%))</f>
        <v>0</v>
      </c>
      <c r="EJ127" s="398"/>
      <c r="EK127" s="313"/>
    </row>
    <row r="128" spans="1:141" hidden="1" outlineLevel="2">
      <c r="A128" s="332"/>
      <c r="B128" s="549">
        <f>длительность!C187</f>
        <v>0.79999999999999993</v>
      </c>
      <c r="C128" s="317"/>
      <c r="D128" s="317" t="s">
        <v>663</v>
      </c>
      <c r="E128" s="606">
        <f ca="1">ROUND(IF(F128=0,0,B128-F128),5)</f>
        <v>0</v>
      </c>
      <c r="F128" s="397">
        <f t="shared" ca="1" si="283"/>
        <v>0.79999999999999982</v>
      </c>
      <c r="G128" s="395"/>
      <c r="H128" s="395"/>
      <c r="I128" s="395">
        <f ca="1">IF($E$299=0,0,IF(SUM($G128:H128)=$B128,0,IF(SUM($G299:H299)&gt;=$E299,($B128/$E299)*($E299-SUM($G299:G299)),($B128/$E299)*H299)))</f>
        <v>0</v>
      </c>
      <c r="J128" s="395">
        <f ca="1">IF($E$299=0,0,IF(SUM($G128:I128)=$B128,0,IF(SUM($G299:I299)&gt;=$E299,($B128/$E299)*($E299-SUM($G299:H299)),($B128/$E299)*I299)))</f>
        <v>0</v>
      </c>
      <c r="K128" s="395">
        <f ca="1">IF($E$299=0,0,IF(SUM($G128:J128)=$B128,0,IF(SUM($G299:J299)&gt;=$E299,($B128/$E299)*($E299-SUM($G299:I299)),($B128/$E299)*J299)))</f>
        <v>0</v>
      </c>
      <c r="L128" s="395">
        <f ca="1">IF($E$299=0,0,IF(SUM($G128:K128)=$B128,0,IF(SUM($G299:K299)&gt;=$E299,($B128/$E299)*($E299-SUM($G299:J299)),($B128/$E299)*K299)))</f>
        <v>0</v>
      </c>
      <c r="M128" s="395">
        <f ca="1">IF($E$299=0,0,IF(SUM($G128:L128)=$B128,0,IF(SUM($G299:L299)&gt;=$E299,($B128/$E299)*($E299-SUM($G299:K299)),($B128/$E299)*L299)))</f>
        <v>0</v>
      </c>
      <c r="N128" s="395">
        <f ca="1">IF($E$299=0,0,IF(SUM($G128:M128)=$B128,0,IF(SUM($G299:M299)&gt;=$E299,($B128/$E299)*($E299-SUM($G299:L299)),($B128/$E299)*M299)))</f>
        <v>0</v>
      </c>
      <c r="O128" s="395">
        <f ca="1">IF($E$299=0,0,IF(SUM($G128:N128)=$B128,0,IF(SUM($G299:N299)&gt;=$E299,($B128/$E299)*($E299-SUM($G299:M299)),($B128/$E299)*N299)))</f>
        <v>0</v>
      </c>
      <c r="P128" s="395">
        <f ca="1">IF($E$299=0,0,IF(SUM($G128:O128)=$B128,0,IF(SUM($G299:O299)&gt;=$E299,($B128/$E299)*($E299-SUM($G299:N299)),($B128/$E299)*O299)))</f>
        <v>0</v>
      </c>
      <c r="Q128" s="395">
        <f ca="1">IF($E$299=0,0,IF(SUM($G128:P128)=$B128,0,IF(SUM($G299:P299)&gt;=$E299,($B128/$E299)*($E299-SUM($G299:O299)),($B128/$E299)*P299)))</f>
        <v>0</v>
      </c>
      <c r="R128" s="395">
        <f ca="1">IF($E$299=0,0,IF(SUM($G128:Q128)=$B128,0,IF(SUM($G299:Q299)&gt;=$E299,($B128/$E299)*($E299-SUM($G299:P299)),($B128/$E299)*Q299)))</f>
        <v>0</v>
      </c>
      <c r="S128" s="395">
        <f ca="1">IF($E$299=0,0,IF(SUM($G128:R128)=$B128,0,IF(SUM($G299:R299)&gt;=$E299,($B128/$E299)*($E299-SUM($G299:Q299)),($B128/$E299)*R299)))</f>
        <v>0</v>
      </c>
      <c r="T128" s="395">
        <f ca="1">IF($E$299=0,0,IF(SUM($G128:S128)=$B128,0,IF(SUM($G299:S299)&gt;=$E299,($B128/$E299)*($E299-SUM($G299:R299)),($B128/$E299)*S299)))</f>
        <v>0</v>
      </c>
      <c r="U128" s="395">
        <f ca="1">IF($E$299=0,0,IF(SUM($G128:T128)=$B128,0,IF(SUM($G299:T299)&gt;=$E299,($B128/$E299)*($E299-SUM($G299:S299)),($B128/$E299)*T299)))</f>
        <v>0</v>
      </c>
      <c r="V128" s="395">
        <f ca="1">IF($E$299=0,0,IF(SUM($G128:U128)=$B128,0,IF(SUM($G299:U299)&gt;=$E299,($B128/$E299)*($E299-SUM($G299:T299)),($B128/$E299)*U299)))</f>
        <v>0</v>
      </c>
      <c r="W128" s="395">
        <f ca="1">IF($E$299=0,0,IF(SUM($G128:V128)=$B128,0,IF(SUM($G299:V299)&gt;=$E299,($B128/$E299)*($E299-SUM($G299:U299)),($B128/$E299)*V299)))</f>
        <v>0</v>
      </c>
      <c r="X128" s="395">
        <f ca="1">IF($E$299=0,0,IF(SUM($G128:W128)=$B128,0,IF(SUM($G299:W299)&gt;=$E299,($B128/$E299)*($E299-SUM($G299:V299)),($B128/$E299)*W299)))</f>
        <v>0</v>
      </c>
      <c r="Y128" s="395">
        <f ca="1">IF($E$299=0,0,IF(SUM($G128:X128)=$B128,0,IF(SUM($G299:X299)&gt;=$E299,($B128/$E299)*($E299-SUM($G299:W299)),($B128/$E299)*X299)))</f>
        <v>0</v>
      </c>
      <c r="Z128" s="395">
        <f ca="1">IF($E$299=0,0,IF(SUM($G128:Y128)=$B128,0,IF(SUM($G299:Y299)&gt;=$E299,($B128/$E299)*($E299-SUM($G299:X299)),($B128/$E299)*Y299)))</f>
        <v>0</v>
      </c>
      <c r="AA128" s="395">
        <f ca="1">IF($E$299=0,0,IF(SUM($G128:Z128)=$B128,0,IF(SUM($G299:Z299)&gt;=$E299,($B128/$E299)*($E299-SUM($G299:Y299)),($B128/$E299)*Z299)))</f>
        <v>0</v>
      </c>
      <c r="AB128" s="395">
        <f ca="1">IF($E$299=0,0,IF(SUM($G128:AA128)=$B128,0,IF(SUM($G299:AA299)&gt;=$E299,($B128/$E299)*($E299-SUM($G299:Z299)),($B128/$E299)*AA299)))</f>
        <v>0</v>
      </c>
      <c r="AC128" s="395">
        <f ca="1">IF($E$299=0,0,IF(SUM($G128:AB128)=$B128,0,IF(SUM($G299:AB299)&gt;=$E299,($B128/$E299)*($E299-SUM($G299:AA299)),($B128/$E299)*AB299)))</f>
        <v>0</v>
      </c>
      <c r="AD128" s="395">
        <f ca="1">IF($E$299=0,0,IF(SUM($G128:AC128)=$B128,0,IF(SUM($G299:AC299)&gt;=$E299,($B128/$E299)*($E299-SUM($G299:AB299)),($B128/$E299)*AC299)))</f>
        <v>0</v>
      </c>
      <c r="AE128" s="395">
        <f ca="1">IF($E$299=0,0,IF(SUM($G128:AD128)=$B128,0,IF(SUM($G299:AD299)&gt;=$E299,($B128/$E299)*($E299-SUM($G299:AC299)),($B128/$E299)*AD299)))</f>
        <v>0</v>
      </c>
      <c r="AF128" s="395">
        <f ca="1">IF($E$299=0,0,IF(SUM($G128:AE128)=$B128,0,IF(SUM($G299:AE299)&gt;=$E299,($B128/$E299)*($E299-SUM($G299:AD299)),($B128/$E299)*AE299)))</f>
        <v>0</v>
      </c>
      <c r="AG128" s="395">
        <f ca="1">IF($E$299=0,0,IF(SUM($G128:AF128)=$B128,0,IF(SUM($G299:AF299)&gt;=$E299,($B128/$E299)*($E299-SUM($G299:AE299)),($B128/$E299)*AF299)))</f>
        <v>0</v>
      </c>
      <c r="AH128" s="395">
        <f ca="1">IF($E$299=0,0,IF(SUM($G128:AG128)=$B128,0,IF(SUM($G299:AG299)&gt;=$E299,($B128/$E299)*($E299-SUM($G299:AF299)),($B128/$E299)*AG299)))</f>
        <v>0</v>
      </c>
      <c r="AI128" s="395">
        <f ca="1">IF($E$299=0,0,IF(SUM($G128:AH128)=$B128,0,IF(SUM($G299:AH299)&gt;=$E299,($B128/$E299)*($E299-SUM($G299:AG299)),($B128/$E299)*AH299)))</f>
        <v>0</v>
      </c>
      <c r="AJ128" s="395">
        <f ca="1">IF($E$299=0,0,IF(SUM($G128:AI128)=$B128,0,IF(SUM($G299:AI299)&gt;=$E299,($B128/$E299)*($E299-SUM($G299:AH299)),($B128/$E299)*AI299)))</f>
        <v>0</v>
      </c>
      <c r="AK128" s="395">
        <f ca="1">IF($E$299=0,0,IF(SUM($G128:AJ128)=$B128,0,IF(SUM($G299:AJ299)&gt;=$E299,($B128/$E299)*($E299-SUM($G299:AI299)),($B128/$E299)*AJ299)))</f>
        <v>0</v>
      </c>
      <c r="AL128" s="395">
        <f ca="1">IF($E$299=0,0,IF(SUM($G128:AK128)=$B128,0,IF(SUM($G299:AK299)&gt;=$E299,($B128/$E299)*($E299-SUM($G299:AJ299)),($B128/$E299)*AK299)))</f>
        <v>0</v>
      </c>
      <c r="AM128" s="395">
        <f ca="1">IF($E$299=0,0,IF(SUM($G128:AL128)=$B128,0,IF(SUM($G299:AL299)&gt;=$E299,($B128/$E299)*($E299-SUM($G299:AK299)),($B128/$E299)*AL299)))</f>
        <v>0</v>
      </c>
      <c r="AN128" s="395">
        <f ca="1">IF($E$299=0,0,IF(SUM($G128:AM128)=$B128,0,IF(SUM($G299:AM299)&gt;=$E299,($B128/$E299)*($E299-SUM($G299:AL299)),($B128/$E299)*AM299)))</f>
        <v>0</v>
      </c>
      <c r="AO128" s="395">
        <f ca="1">IF($E$299=0,0,IF(SUM($G128:AN128)=$B128,0,IF(SUM($G299:AN299)&gt;=$E299,($B128/$E299)*($E299-SUM($G299:AM299)),($B128/$E299)*AN299)))</f>
        <v>0</v>
      </c>
      <c r="AP128" s="395">
        <f ca="1">IF($E$299=0,0,IF(SUM($G128:AO128)=$B128,0,IF(SUM($G299:AO299)&gt;=$E299,($B128/$E299)*($E299-SUM($G299:AN299)),($B128/$E299)*AO299)))</f>
        <v>0</v>
      </c>
      <c r="AQ128" s="395">
        <f ca="1">IF($E$299=0,0,IF(SUM($G128:AP128)=$B128,0,IF(SUM($G299:AP299)&gt;=$E299,($B128/$E299)*($E299-SUM($G299:AO299)),($B128/$E299)*AP299)))</f>
        <v>0</v>
      </c>
      <c r="AR128" s="395">
        <f ca="1">IF($E$299=0,0,IF(SUM($G128:AQ128)=$B128,0,IF(SUM($G299:AQ299)&gt;=$E299,($B128/$E299)*($E299-SUM($G299:AP299)),($B128/$E299)*AQ299)))</f>
        <v>0</v>
      </c>
      <c r="AS128" s="395">
        <f ca="1">IF($E$299=0,0,IF(SUM($G128:AR128)=$B128,0,IF(SUM($G299:AR299)&gt;=$E299,($B128/$E299)*($E299-SUM($G299:AQ299)),($B128/$E299)*AR299)))</f>
        <v>0</v>
      </c>
      <c r="AT128" s="395">
        <f ca="1">IF($E$299=0,0,IF(SUM($G128:AS128)=$B128,0,IF(SUM($G299:AS299)&gt;=$E299,($B128/$E299)*($E299-SUM($G299:AR299)),($B128/$E299)*AS299)))</f>
        <v>3.5571177504393668E-2</v>
      </c>
      <c r="AU128" s="395">
        <f ca="1">IF($E$299=0,0,IF(SUM($G128:AT128)=$B128,0,IF(SUM($G299:AT299)&gt;=$E299,($B128/$E299)*($E299-SUM($G299:AS299)),($B128/$E299)*AT299)))</f>
        <v>4.2179261862917393E-2</v>
      </c>
      <c r="AV128" s="395">
        <f ca="1">IF($E$299=0,0,IF(SUM($G128:AU128)=$B128,0,IF(SUM($G299:AU299)&gt;=$E299,($B128/$E299)*($E299-SUM($G299:AT299)),($B128/$E299)*AU299)))</f>
        <v>4.3585237258347974E-2</v>
      </c>
      <c r="AW128" s="395">
        <f ca="1">IF($E$299=0,0,IF(SUM($G128:AV128)=$B128,0,IF(SUM($G299:AV299)&gt;=$E299,($B128/$E299)*($E299-SUM($G299:AU299)),($B128/$E299)*AV299)))</f>
        <v>4.3585237258347974E-2</v>
      </c>
      <c r="AX128" s="395">
        <f ca="1">IF($E$299=0,0,IF(SUM($G128:AW128)=$B128,0,IF(SUM($G299:AW299)&gt;=$E299,($B128/$E299)*($E299-SUM($G299:AV299)),($B128/$E299)*AW299)))</f>
        <v>4.2179261862917393E-2</v>
      </c>
      <c r="AY128" s="395">
        <f ca="1">IF($E$299=0,0,IF(SUM($G128:AX128)=$B128,0,IF(SUM($G299:AX299)&gt;=$E299,($B128/$E299)*($E299-SUM($G299:AW299)),($B128/$E299)*AX299)))</f>
        <v>4.3585237258347974E-2</v>
      </c>
      <c r="AZ128" s="395">
        <f ca="1">IF($E$299=0,0,IF(SUM($G128:AY128)=$B128,0,IF(SUM($G299:AY299)&gt;=$E299,($B128/$E299)*($E299-SUM($G299:AX299)),($B128/$E299)*AY299)))</f>
        <v>4.2179261862917393E-2</v>
      </c>
      <c r="BA128" s="395">
        <f ca="1">IF($E$299=0,0,IF(SUM($G128:AZ128)=$B128,0,IF(SUM($G299:AZ299)&gt;=$E299,($B128/$E299)*($E299-SUM($G299:AY299)),($B128/$E299)*AZ299)))</f>
        <v>4.3585237258347974E-2</v>
      </c>
      <c r="BB128" s="395">
        <f ca="1">IF($E$299=0,0,IF(SUM($G128:BA128)=$B128,0,IF(SUM($G299:BA299)&gt;=$E299,($B128/$E299)*($E299-SUM($G299:AZ299)),($B128/$E299)*BA299)))</f>
        <v>4.3585237258347974E-2</v>
      </c>
      <c r="BC128" s="395">
        <f ca="1">IF($E$299=0,0,IF(SUM($G128:BB128)=$B128,0,IF(SUM($G299:BB299)&gt;=$E299,($B128/$E299)*($E299-SUM($G299:BA299)),($B128/$E299)*BB299)))</f>
        <v>3.9367311072056238E-2</v>
      </c>
      <c r="BD128" s="395">
        <f ca="1">IF($E$299=0,0,IF(SUM($G128:BC128)=$B128,0,IF(SUM($G299:BC299)&gt;=$E299,($B128/$E299)*($E299-SUM($G299:BB299)),($B128/$E299)*BC299)))</f>
        <v>4.3585237258347974E-2</v>
      </c>
      <c r="BE128" s="395">
        <f ca="1">IF($E$299=0,0,IF(SUM($G128:BD128)=$B128,0,IF(SUM($G299:BD299)&gt;=$E299,($B128/$E299)*($E299-SUM($G299:BC299)),($B128/$E299)*BD299)))</f>
        <v>4.2179261862917393E-2</v>
      </c>
      <c r="BF128" s="395">
        <f ca="1">IF($E$299=0,0,IF(SUM($G128:BE128)=$B128,0,IF(SUM($G299:BE299)&gt;=$E299,($B128/$E299)*($E299-SUM($G299:BD299)),($B128/$E299)*BE299)))</f>
        <v>4.3585237258347974E-2</v>
      </c>
      <c r="BG128" s="395">
        <f ca="1">IF($E$299=0,0,IF(SUM($G128:BF128)=$B128,0,IF(SUM($G299:BF299)&gt;=$E299,($B128/$E299)*($E299-SUM($G299:BE299)),($B128/$E299)*BF299)))</f>
        <v>4.2179261862917393E-2</v>
      </c>
      <c r="BH128" s="395">
        <f ca="1">IF($E$299=0,0,IF(SUM($G128:BG128)=$B128,0,IF(SUM($G299:BG299)&gt;=$E299,($B128/$E299)*($E299-SUM($G299:BF299)),($B128/$E299)*BG299)))</f>
        <v>4.3585237258347974E-2</v>
      </c>
      <c r="BI128" s="395">
        <f ca="1">IF($E$299=0,0,IF(SUM($G128:BH128)=$B128,0,IF(SUM($G299:BH299)&gt;=$E299,($B128/$E299)*($E299-SUM($G299:BG299)),($B128/$E299)*BH299)))</f>
        <v>4.3585237258347974E-2</v>
      </c>
      <c r="BJ128" s="395">
        <f ca="1">IF($E$299=0,0,IF(SUM($G128:BI128)=$B128,0,IF(SUM($G299:BI299)&gt;=$E299,($B128/$E299)*($E299-SUM($G299:BH299)),($B128/$E299)*BI299)))</f>
        <v>4.2179261862917393E-2</v>
      </c>
      <c r="BK128" s="395">
        <f ca="1">IF($E$299=0,0,IF(SUM($G128:BJ128)=$B128,0,IF(SUM($G299:BJ299)&gt;=$E299,($B128/$E299)*($E299-SUM($G299:BI299)),($B128/$E299)*BJ299)))</f>
        <v>4.3585237258347974E-2</v>
      </c>
      <c r="BL128" s="395">
        <f ca="1">IF($E$299=0,0,IF(SUM($G128:BK128)=$B128,0,IF(SUM($G299:BK299)&gt;=$E299,($B128/$E299)*($E299-SUM($G299:BJ299)),($B128/$E299)*BK299)))</f>
        <v>3.6133567662565966E-2</v>
      </c>
      <c r="BM128" s="395">
        <f ca="1">IF($E$299=0,0,IF(SUM($G128:BL128)=$B128,0,IF(SUM($G299:BL299)&gt;=$E299,($B128/$E299)*($E299-SUM($G299:BK299)),($B128/$E299)*BL299)))</f>
        <v>0</v>
      </c>
      <c r="BN128" s="395">
        <f ca="1">IF($E$299=0,0,IF(SUM($G128:BM128)=$B128,0,IF(SUM($G299:BM299)&gt;=$E299,($B128/$E299)*($E299-SUM($G299:BL299)),($B128/$E299)*BM299)))</f>
        <v>0</v>
      </c>
      <c r="BO128" s="395">
        <f ca="1">IF($E$299=0,0,IF(SUM($G128:BN128)=$B128,0,IF(SUM($G299:BN299)&gt;=$E299,($B128/$E299)*($E299-SUM($G299:BM299)),($B128/$E299)*BN299)))</f>
        <v>0</v>
      </c>
      <c r="BP128" s="395">
        <f ca="1">IF($E$299=0,0,IF(SUM($G128:BO128)=$B128,0,IF(SUM($G299:BO299)&gt;=$E299,($B128/$E299)*($E299-SUM($G299:BN299)),($B128/$E299)*BO299)))</f>
        <v>0</v>
      </c>
      <c r="BQ128" s="395">
        <f ca="1">IF($E$299=0,0,IF(SUM($G128:BP128)=$B128,0,IF(SUM($G299:BP299)&gt;=$E299,($B128/$E299)*($E299-SUM($G299:BO299)),($B128/$E299)*BP299)))</f>
        <v>0</v>
      </c>
      <c r="BR128" s="395">
        <f ca="1">IF($E$299=0,0,IF(SUM($G128:BQ128)=$B128,0,IF(SUM($G299:BQ299)&gt;=$E299,($B128/$E299)*($E299-SUM($G299:BP299)),($B128/$E299)*BQ299)))</f>
        <v>0</v>
      </c>
      <c r="BS128" s="395">
        <f ca="1">IF($E$299=0,0,IF(SUM($G128:BR128)=$B128,0,IF(SUM($G299:BR299)&gt;=$E299,($B128/$E299)*($E299-SUM($G299:BQ299)),($B128/$E299)*BR299)))</f>
        <v>0</v>
      </c>
      <c r="BT128" s="395">
        <f ca="1">IF($E$299=0,0,IF(SUM($G128:BS128)=$B128,0,IF(SUM($G299:BS299)&gt;=$E299,($B128/$E299)*($E299-SUM($G299:BR299)),($B128/$E299)*BS299)))</f>
        <v>0</v>
      </c>
      <c r="BU128" s="395">
        <f ca="1">IF($E$299=0,0,IF(SUM($G128:BT128)=$B128,0,IF(SUM($G299:BT299)&gt;=$E299,($B128/$E299)*($E299-SUM($G299:BS299)),($B128/$E299)*BT299)))</f>
        <v>0</v>
      </c>
      <c r="BV128" s="395">
        <f ca="1">IF($E$299=0,0,IF(SUM($G128:BU128)=$B128,0,IF(SUM($G299:BU299)&gt;=$E299,($B128/$E299)*($E299-SUM($G299:BT299)),($B128/$E299)*BU299)))</f>
        <v>0</v>
      </c>
      <c r="BW128" s="395">
        <f ca="1">IF($E$299=0,0,IF(SUM($G128:BV128)=$B128,0,IF(SUM($G299:BV299)&gt;=$E299,($B128/$E299)*($E299-SUM($G299:BU299)),($B128/$E299)*BV299)))</f>
        <v>0</v>
      </c>
      <c r="BX128" s="395">
        <f ca="1">IF($E$299=0,0,IF(SUM($G128:BW128)=$B128,0,IF(SUM($G299:BW299)&gt;=$E299,($B128/$E299)*($E299-SUM($G299:BV299)),($B128/$E299)*BW299)))</f>
        <v>0</v>
      </c>
      <c r="BY128" s="395">
        <f ca="1">IF($E$299=0,0,IF(SUM($G128:BX128)=$B128,0,IF(SUM($G299:BX299)&gt;=$E299,($B128/$E299)*($E299-SUM($G299:BW299)),($B128/$E299)*BX299)))</f>
        <v>0</v>
      </c>
      <c r="BZ128" s="395">
        <f ca="1">IF($E$299=0,0,IF(SUM($G128:BY128)=$B128,0,IF(SUM($G299:BY299)&gt;=$E299,($B128/$E299)*($E299-SUM($G299:BX299)),($B128/$E299)*BY299)))</f>
        <v>0</v>
      </c>
      <c r="CA128" s="395">
        <f ca="1">IF($E$299=0,0,IF(SUM($G128:BZ128)=$B128,0,IF(SUM($G299:BZ299)&gt;=$E299,($B128/$E299)*($E299-SUM($G299:BY299)),($B128/$E299)*BZ299)))</f>
        <v>0</v>
      </c>
      <c r="CB128" s="395">
        <f ca="1">IF($E$299=0,0,IF(SUM($G128:CA128)=$B128,0,IF(SUM($G299:CA299)&gt;=$E299,($B128/$E299)*($E299-SUM($G299:BZ299)),($B128/$E299)*CA299)))</f>
        <v>0</v>
      </c>
      <c r="CC128" s="395">
        <f ca="1">IF($E$299=0,0,IF(SUM($G128:CB128)=$B128,0,IF(SUM($G299:CB299)&gt;=$E299,($B128/$E299)*($E299-SUM($G299:CA299)),($B128/$E299)*CB299)))</f>
        <v>0</v>
      </c>
      <c r="CD128" s="395">
        <f ca="1">IF($E$299=0,0,IF(SUM($G128:CC128)=$B128,0,IF(SUM($G299:CC299)&gt;=$E299,($B128/$E299)*($E299-SUM($G299:CB299)),($B128/$E299)*CC299)))</f>
        <v>0</v>
      </c>
      <c r="CE128" s="395">
        <f ca="1">IF($E$299=0,0,IF(SUM($G128:CD128)=$B128,0,IF(SUM($G299:CD299)&gt;=$E299,($B128/$E299)*($E299-SUM($G299:CC299)),($B128/$E299)*CD299)))</f>
        <v>0</v>
      </c>
      <c r="CF128" s="395">
        <f ca="1">IF($E$299=0,0,IF(SUM($G128:CE128)=$B128,0,IF(SUM($G299:CE299)&gt;=$E299,($B128/$E299)*($E299-SUM($G299:CD299)),($B128/$E299)*CE299)))</f>
        <v>0</v>
      </c>
      <c r="CG128" s="395">
        <f ca="1">IF($E$299=0,0,IF(SUM($G128:CF128)=$B128,0,IF(SUM($G299:CF299)&gt;=$E299,($B128/$E299)*($E299-SUM($G299:CE299)),($B128/$E299)*CF299)))</f>
        <v>0</v>
      </c>
      <c r="CH128" s="395">
        <f ca="1">IF($E$299=0,0,IF(SUM($G128:CG128)=$B128,0,IF(SUM($G299:CG299)&gt;=$E299,($B128/$E299)*($E299-SUM($G299:CF299)),($B128/$E299)*CG299)))</f>
        <v>0</v>
      </c>
      <c r="CI128" s="395">
        <f ca="1">IF($E$299=0,0,IF(SUM($G128:CH128)=$B128,0,IF(SUM($G299:CH299)&gt;=$E299,($B128/$E299)*($E299-SUM($G299:CG299)),($B128/$E299)*CH299)))</f>
        <v>0</v>
      </c>
      <c r="CJ128" s="395">
        <f ca="1">IF($E$299=0,0,IF(SUM($G128:CI128)=$B128,0,IF(SUM($G299:CI299)&gt;=$E299,($B128/$E299)*($E299-SUM($G299:CH299)),($B128/$E299)*CI299)))</f>
        <v>0</v>
      </c>
      <c r="CK128" s="395">
        <f ca="1">IF($E$299=0,0,IF(SUM($G128:CJ128)=$B128,0,IF(SUM($G299:CJ299)&gt;=$E299,($B128/$E299)*($E299-SUM($G299:CI299)),($B128/$E299)*CJ299)))</f>
        <v>0</v>
      </c>
      <c r="CL128" s="395">
        <f ca="1">IF($E$299=0,0,IF(SUM($G128:CK128)=$B128,0,IF(SUM($G299:CK299)&gt;=$E299,($B128/$E299)*($E299-SUM($G299:CJ299)),($B128/$E299)*CK299)))</f>
        <v>0</v>
      </c>
      <c r="CM128" s="395">
        <f ca="1">IF($E$299=0,0,IF(SUM($G128:CL128)=$B128,0,IF(SUM($G299:CL299)&gt;=$E299,($B128/$E299)*($E299-SUM($G299:CK299)),($B128/$E299)*CL299)))</f>
        <v>0</v>
      </c>
      <c r="CN128" s="395">
        <f ca="1">IF($E$299=0,0,IF(SUM($G128:CM128)=$B128,0,IF(SUM($G299:CM299)&gt;=$E299,($B128/$E299)*($E299-SUM($G299:CL299)),($B128/$E299)*CM299)))</f>
        <v>0</v>
      </c>
      <c r="CO128" s="395">
        <f ca="1">IF($E$299=0,0,IF(SUM($G128:CN128)=$B128,0,IF(SUM($G299:CN299)&gt;=$E299,($B128/$E299)*($E299-SUM($G299:CM299)),($B128/$E299)*CN299)))</f>
        <v>0</v>
      </c>
      <c r="CP128" s="395">
        <f ca="1">IF($E$299=0,0,IF(SUM($G128:CO128)=$B128,0,IF(SUM($G299:CO299)&gt;=$E299,($B128/$E299)*($E299-SUM($G299:CN299)),($B128/$E299)*CO299)))</f>
        <v>0</v>
      </c>
      <c r="CQ128" s="395">
        <f ca="1">IF($E$299=0,0,IF(SUM($G128:CP128)=$B128,0,IF(SUM($G299:CP299)&gt;=$E299,($B128/$E299)*($E299-SUM($G299:CO299)),($B128/$E299)*CP299)))</f>
        <v>0</v>
      </c>
      <c r="CR128" s="395">
        <f ca="1">IF($E$299=0,0,IF(SUM($G128:CQ128)=$B128,0,IF(SUM($G299:CQ299)&gt;=$E299,($B128/$E299)*($E299-SUM($G299:CP299)),($B128/$E299)*CQ299)))</f>
        <v>0</v>
      </c>
      <c r="CS128" s="395">
        <f ca="1">IF($E$299=0,0,IF(SUM($G128:CR128)=$B128,0,IF(SUM($G299:CR299)&gt;=$E299,($B128/$E299)*($E299-SUM($G299:CQ299)),($B128/$E299)*CR299)))</f>
        <v>0</v>
      </c>
      <c r="CT128" s="395">
        <f ca="1">IF($E$299=0,0,IF(SUM($G128:CS128)=$B128,0,IF(SUM($G299:CS299)&gt;=$E299,($B128/$E299)*($E299-SUM($G299:CR299)),($B128/$E299)*CS299)))</f>
        <v>0</v>
      </c>
      <c r="CU128" s="395">
        <f ca="1">IF($E$299=0,0,IF(SUM($G128:CT128)=$B128,0,IF(SUM($G299:CT299)&gt;=$E299,($B128/$E299)*($E299-SUM($G299:CS299)),($B128/$E299)*CT299)))</f>
        <v>0</v>
      </c>
      <c r="CV128" s="395">
        <f ca="1">IF($E$299=0,0,IF(SUM($G128:CU128)=$B128,0,IF(SUM($G299:CU299)&gt;=$E299,($B128/$E299)*($E299-SUM($G299:CT299)),($B128/$E299)*CU299)))</f>
        <v>0</v>
      </c>
      <c r="CW128" s="395">
        <f ca="1">IF($E$299=0,0,IF(SUM($G128:CV128)=$B128,0,IF(SUM($G299:CV299)&gt;=$E299,($B128/$E299)*($E299-SUM($G299:CU299)),($B128/$E299)*CV299)))</f>
        <v>0</v>
      </c>
      <c r="CX128" s="395">
        <f ca="1">IF($E$299=0,0,IF(SUM($G128:CW128)=$B128,0,IF(SUM($G299:CW299)&gt;=$E299,($B128/$E299)*($E299-SUM($G299:CV299)),($B128/$E299)*CW299)))</f>
        <v>0</v>
      </c>
      <c r="CY128" s="395">
        <f ca="1">IF($E$299=0,0,IF(SUM($G128:CX128)=$B128,0,IF(SUM($G299:CX299)&gt;=$E299,($B128/$E299)*($E299-SUM($G299:CW299)),($B128/$E299)*CX299)))</f>
        <v>0</v>
      </c>
      <c r="CZ128" s="395">
        <f ca="1">IF($E$299=0,0,IF(SUM($G128:CY128)=$B128,0,IF(SUM($G299:CY299)&gt;=$E299,($B128/$E299)*($E299-SUM($G299:CX299)),($B128/$E299)*CY299)))</f>
        <v>0</v>
      </c>
      <c r="DA128" s="395">
        <f ca="1">IF($E$299=0,0,IF(SUM($G128:CZ128)=$B128,0,IF(SUM($G299:CZ299)&gt;=$E299,($B128/$E299)*($E299-SUM($G299:CY299)),($B128/$E299)*CZ299)))</f>
        <v>0</v>
      </c>
      <c r="DB128" s="395">
        <f ca="1">IF($E$299=0,0,IF(SUM($G128:DA128)=$B128,0,IF(SUM($G299:DA299)&gt;=$E299,($B128/$E299)*($E299-SUM($G299:CZ299)),($B128/$E299)*DA299)))</f>
        <v>0</v>
      </c>
      <c r="DC128" s="395">
        <f ca="1">IF($E$299=0,0,IF(SUM($G128:DB128)=$B128,0,IF(SUM($G299:DB299)&gt;=$E299,($B128/$E299)*($E299-SUM($G299:DA299)),($B128/$E299)*DB299)))</f>
        <v>0</v>
      </c>
      <c r="DD128" s="395">
        <f ca="1">IF($E$299=0,0,IF(SUM($G128:DC128)=$B128,0,IF(SUM($G299:DC299)&gt;=$E299,($B128/$E299)*($E299-SUM($G299:DB299)),($B128/$E299)*DC299)))</f>
        <v>0</v>
      </c>
      <c r="DE128" s="395">
        <f ca="1">IF($E$299=0,0,IF(SUM($G128:DD128)=$B128,0,IF(SUM($G299:DD299)&gt;=$E299,($B128/$E299)*($E299-SUM($G299:DC299)),($B128/$E299)*DD299)))</f>
        <v>0</v>
      </c>
      <c r="DF128" s="395">
        <f ca="1">IF($E$299=0,0,IF(SUM($G128:DE128)=$B128,0,IF(SUM($G299:DE299)&gt;=$E299,($B128/$E299)*($E299-SUM($G299:DD299)),($B128/$E299)*DE299)))</f>
        <v>0</v>
      </c>
      <c r="DG128" s="395">
        <f ca="1">IF($E$299=0,0,IF(SUM($G128:DF128)=$B128,0,IF(SUM($G299:DF299)&gt;=$E299,($B128/$E299)*($E299-SUM($G299:DE299)),($B128/$E299)*DF299)))</f>
        <v>0</v>
      </c>
      <c r="DH128" s="395">
        <f ca="1">IF($E$299=0,0,IF(SUM($G128:DG128)=$B128,0,IF(SUM($G299:DG299)&gt;=$E299,($B128/$E299)*($E299-SUM($G299:DF299)),($B128/$E299)*DG299)))</f>
        <v>0</v>
      </c>
      <c r="DI128" s="395">
        <f ca="1">IF($E$299=0,0,IF(SUM($G128:DH128)=$B128,0,IF(SUM($G299:DH299)&gt;=$E299,($B128/$E299)*($E299-SUM($G299:DG299)),($B128/$E299)*DH299)))</f>
        <v>0</v>
      </c>
      <c r="DJ128" s="395">
        <f ca="1">IF($E$299=0,0,IF(SUM($G128:DI128)=$B128,0,IF(SUM($G299:DI299)&gt;=$E299,($B128/$E299)*($E299-SUM($G299:DH299)),($B128/$E299)*DI299)))</f>
        <v>0</v>
      </c>
      <c r="DK128" s="395">
        <f ca="1">IF($E$299=0,0,IF(SUM($G128:DJ128)=$B128,0,IF(SUM($G299:DJ299)&gt;=$E299,($B128/$E299)*($E299-SUM($G299:DI299)),($B128/$E299)*DJ299)))</f>
        <v>0</v>
      </c>
      <c r="DL128" s="395">
        <f ca="1">IF($E$299=0,0,IF(SUM($G128:DK128)=$B128,0,IF(SUM($G299:DK299)&gt;=$E299,($B128/$E299)*($E299-SUM($G299:DJ299)),($B128/$E299)*DK299)))</f>
        <v>0</v>
      </c>
      <c r="DM128" s="395">
        <f ca="1">IF($E$299=0,0,IF(SUM($G128:DL128)=$B128,0,IF(SUM($G299:DL299)&gt;=$E299,($B128/$E299)*($E299-SUM($G299:DK299)),($B128/$E299)*DL299)))</f>
        <v>0</v>
      </c>
      <c r="DN128" s="395">
        <f ca="1">IF($E$299=0,0,IF(SUM($G128:DM128)=$B128,0,IF(SUM($G299:DM299)&gt;=$E299,($B128/$E299)*($E299-SUM($G299:DL299)),($B128/$E299)*DM299)))</f>
        <v>0</v>
      </c>
      <c r="DO128" s="395">
        <f ca="1">IF($E$299=0,0,IF(SUM($G128:DN128)=$B128,0,IF(SUM($G299:DN299)&gt;=$E299,($B128/$E299)*($E299-SUM($G299:DM299)),($B128/$E299)*DN299)))</f>
        <v>0</v>
      </c>
      <c r="DP128" s="395">
        <f ca="1">IF($E$299=0,0,IF(SUM($G128:DO128)=$B128,0,IF(SUM($G299:DO299)&gt;=$E299,($B128/$E299)*($E299-SUM($G299:DN299)),($B128/$E299)*DO299)))</f>
        <v>0</v>
      </c>
      <c r="DQ128" s="395">
        <f ca="1">IF($E$299=0,0,IF(SUM($G128:DP128)=$B128,0,IF(SUM($G299:DP299)&gt;=$E299,($B128/$E299)*($E299-SUM($G299:DO299)),($B128/$E299)*DP299)))</f>
        <v>0</v>
      </c>
      <c r="DR128" s="395">
        <f ca="1">IF($E$299=0,0,IF(SUM($G128:DQ128)=$B128,0,IF(SUM($G299:DQ299)&gt;=$E299,($B128/$E299)*($E299-SUM($G299:DP299)),($B128/$E299)*DQ299)))</f>
        <v>0</v>
      </c>
      <c r="DS128" s="395">
        <f ca="1">IF($E$299=0,0,IF(SUM($G128:DR128)=$B128,0,IF(SUM($G299:DR299)&gt;=$E299,($B128/$E299)*($E299-SUM($G299:DQ299)),($B128/$E299)*DR299)))</f>
        <v>0</v>
      </c>
      <c r="DT128" s="395">
        <f ca="1">IF($E$299=0,0,IF(SUM($G128:DS128)=$B128,0,IF(SUM($G299:DS299)&gt;=$E299,($B128/$E299)*($E299-SUM($G299:DR299)),($B128/$E299)*DS299)))</f>
        <v>0</v>
      </c>
      <c r="DU128" s="395">
        <f ca="1">IF($E$299=0,0,IF(SUM($G128:DT128)=$B128,0,IF(SUM($G299:DT299)&gt;=$E299,($B128/$E299)*($E299-SUM($G299:DS299)),($B128/$E299)*DT299)))</f>
        <v>0</v>
      </c>
      <c r="DV128" s="395">
        <f ca="1">IF($E$299=0,0,IF(SUM($G128:DU128)=$B128,0,IF(SUM($G299:DU299)&gt;=$E299,($B128/$E299)*($E299-SUM($G299:DT299)),($B128/$E299)*DU299)))</f>
        <v>0</v>
      </c>
      <c r="DW128" s="395">
        <f ca="1">IF($E$299=0,0,IF(SUM($G128:DV128)=$B128,0,IF(SUM($G299:DV299)&gt;=$E299,($B128/$E299)*($E299-SUM($G299:DU299)),($B128/$E299)*DV299)))</f>
        <v>0</v>
      </c>
      <c r="DX128" s="395">
        <f ca="1">IF($E$299=0,0,IF(SUM($G128:DW128)=$B128,0,IF(SUM($G299:DW299)&gt;=$E299,($B128/$E299)*($E299-SUM($G299:DV299)),($B128/$E299)*DW299)))</f>
        <v>0</v>
      </c>
      <c r="DY128" s="395">
        <f ca="1">IF($E$299=0,0,IF(SUM($G128:DX128)=$B128,0,IF(SUM($G299:DX299)&gt;=$E299,($B128/$E299)*($E299-SUM($G299:DW299)),($B128/$E299)*DX299)))</f>
        <v>0</v>
      </c>
      <c r="DZ128" s="395">
        <f ca="1">IF($E$299=0,0,IF(SUM($G128:DY128)=$B128,0,IF(SUM($G299:DY299)&gt;=$E299,($B128/$E299)*($E299-SUM($G299:DX299)),($B128/$E299)*DY299)))</f>
        <v>0</v>
      </c>
      <c r="EA128" s="395">
        <f ca="1">IF($E$299=0,0,IF(SUM($G128:DZ128)=$B128,0,IF(SUM($G299:DZ299)&gt;=$E299,($B128/$E299)*($E299-SUM($G299:DY299)),($B128/$E299)*DZ299)))</f>
        <v>0</v>
      </c>
      <c r="EB128" s="395">
        <f ca="1">IF($E$299=0,0,IF(SUM($G128:EA128)=$B128,0,IF(SUM($G299:EA299)&gt;=$E299,($B128/$E299)*($E299-SUM($G299:DZ299)),($B128/$E299)*EA299)))</f>
        <v>0</v>
      </c>
      <c r="EC128" s="395">
        <f ca="1">IF($E$299=0,0,IF(SUM($G128:EB128)=$B128,0,IF(SUM($G299:EB299)&gt;=$E299,($B128/$E299)*($E299-SUM($G299:EA299)),($B128/$E299)*EB299)))</f>
        <v>0</v>
      </c>
      <c r="ED128" s="395">
        <f ca="1">IF($E$299=0,0,IF(SUM($G128:EC128)=$B128,0,IF(SUM($G299:EC299)&gt;=$E299,($B128/$E299)*($E299-SUM($G299:EB299)),($B128/$E299)*EC299)))</f>
        <v>0</v>
      </c>
      <c r="EE128" s="395">
        <f ca="1">IF($E$299=0,0,IF(SUM($G128:ED128)=$B128,0,IF(SUM($G299:ED299)&gt;=$E299,($B128/$E299)*($E299-SUM($G299:EC299)),($B128/$E299)*ED299)))</f>
        <v>0</v>
      </c>
      <c r="EF128" s="395">
        <f ca="1">IF($E$299=0,0,IF(SUM($G128:EE128)=$B128,0,IF(SUM($G299:EE299)&gt;=$E299,($B128/$E299)*($E299-SUM($G299:ED299)),($B128/$E299)*EE299)))</f>
        <v>0</v>
      </c>
      <c r="EG128" s="395">
        <f ca="1">IF($E$299=0,0,IF(SUM($G128:EF128)=$B128,0,IF(SUM($G299:EF299)&gt;=$E299,($B128/$E299)*($E299-SUM($G299:EE299)),($B128/$E299)*EF299)))</f>
        <v>0</v>
      </c>
      <c r="EH128" s="395">
        <f ca="1">IF($E$299=0,0,IF(SUM($G128:EG128)=$B128,0,IF(SUM($G299:EG299)&gt;=$E299,($B128/$E299)*($E299-SUM($G299:EF299)),($B128/$E299)*EG299)))</f>
        <v>0</v>
      </c>
      <c r="EI128" s="395">
        <f ca="1">IF($E$299=0,0,IF(SUM($G128:EH128)=$B128,0,IF(SUM($G299:EH299)&gt;=$E299,($B128/$E299)*($E299-SUM($G299:EG299)),($B128/$E299)*EH299)))</f>
        <v>0</v>
      </c>
      <c r="EJ128" s="398"/>
      <c r="EK128" s="313"/>
    </row>
    <row r="129" spans="1:141" hidden="1" outlineLevel="2">
      <c r="A129" s="332"/>
      <c r="B129" s="549">
        <f>длительность!D187</f>
        <v>2.5000000000000001E-2</v>
      </c>
      <c r="C129" s="317"/>
      <c r="D129" s="317" t="s">
        <v>638</v>
      </c>
      <c r="E129" s="318">
        <f t="shared" ca="1" si="348"/>
        <v>0</v>
      </c>
      <c r="F129" s="397">
        <f ca="1">SUM(G129:EJ129)</f>
        <v>2.5000000000000001E-2</v>
      </c>
      <c r="G129" s="395"/>
      <c r="H129" s="395">
        <f ca="1">IF($E$299=0,0,IF(SUM($G129:G129)=$B129,0,IF(SUM(H128:$EJ128)=0%,$B129,0%)))</f>
        <v>0</v>
      </c>
      <c r="I129" s="395">
        <f ca="1">IF($E$299=0,0,IF(SUM($G129:H129)=$B129,0,IF(SUM(I128:$EJ128)=0%,$B129,0%)))</f>
        <v>0</v>
      </c>
      <c r="J129" s="395">
        <f ca="1">IF($E$299=0,0,IF(SUM($G129:I129)=$B129,0,IF(SUM(J128:$EJ128)=0%,$B129,0%)))</f>
        <v>0</v>
      </c>
      <c r="K129" s="395">
        <f ca="1">IF($E$299=0,0,IF(SUM($G129:J129)=$B129,0,IF(SUM(K128:$EJ128)=0%,$B129,0%)))</f>
        <v>0</v>
      </c>
      <c r="L129" s="395">
        <f ca="1">IF($E$299=0,0,IF(SUM($G129:K129)=$B129,0,IF(SUM(L128:$EJ128)=0%,$B129,0%)))</f>
        <v>0</v>
      </c>
      <c r="M129" s="395">
        <f ca="1">IF($E$299=0,0,IF(SUM($G129:L129)=$B129,0,IF(SUM(M128:$EJ128)=0%,$B129,0%)))</f>
        <v>0</v>
      </c>
      <c r="N129" s="395">
        <f ca="1">IF($E$299=0,0,IF(SUM($G129:M129)=$B129,0,IF(SUM(N128:$EJ128)=0%,$B129,0%)))</f>
        <v>0</v>
      </c>
      <c r="O129" s="395">
        <f ca="1">IF($E$299=0,0,IF(SUM($G129:N129)=$B129,0,IF(SUM(O128:$EJ128)=0%,$B129,0%)))</f>
        <v>0</v>
      </c>
      <c r="P129" s="395">
        <f ca="1">IF($E$299=0,0,IF(SUM($G129:O129)=$B129,0,IF(SUM(P128:$EJ128)=0%,$B129,0%)))</f>
        <v>0</v>
      </c>
      <c r="Q129" s="395">
        <f ca="1">IF($E$299=0,0,IF(SUM($G129:P129)=$B129,0,IF(SUM(Q128:$EJ128)=0%,$B129,0%)))</f>
        <v>0</v>
      </c>
      <c r="R129" s="395">
        <f ca="1">IF($E$299=0,0,IF(SUM($G129:Q129)=$B129,0,IF(SUM(R128:$EJ128)=0%,$B129,0%)))</f>
        <v>0</v>
      </c>
      <c r="S129" s="395">
        <f ca="1">IF($E$299=0,0,IF(SUM($G129:R129)=$B129,0,IF(SUM(S128:$EJ128)=0%,$B129,0%)))</f>
        <v>0</v>
      </c>
      <c r="T129" s="395">
        <f ca="1">IF($E$299=0,0,IF(SUM($G129:S129)=$B129,0,IF(SUM(T128:$EJ128)=0%,$B129,0%)))</f>
        <v>0</v>
      </c>
      <c r="U129" s="395">
        <f ca="1">IF($E$299=0,0,IF(SUM($G129:T129)=$B129,0,IF(SUM(U128:$EJ128)=0%,$B129,0%)))</f>
        <v>0</v>
      </c>
      <c r="V129" s="395">
        <f ca="1">IF($E$299=0,0,IF(SUM($G129:U129)=$B129,0,IF(SUM(V128:$EJ128)=0%,$B129,0%)))</f>
        <v>0</v>
      </c>
      <c r="W129" s="395">
        <f ca="1">IF($E$299=0,0,IF(SUM($G129:V129)=$B129,0,IF(SUM(W128:$EJ128)=0%,$B129,0%)))</f>
        <v>0</v>
      </c>
      <c r="X129" s="395">
        <f ca="1">IF($E$299=0,0,IF(SUM($G129:W129)=$B129,0,IF(SUM(X128:$EJ128)=0%,$B129,0%)))</f>
        <v>0</v>
      </c>
      <c r="Y129" s="395">
        <f ca="1">IF($E$299=0,0,IF(SUM($G129:X129)=$B129,0,IF(SUM(Y128:$EJ128)=0%,$B129,0%)))</f>
        <v>0</v>
      </c>
      <c r="Z129" s="395">
        <f ca="1">IF($E$299=0,0,IF(SUM($G129:Y129)=$B129,0,IF(SUM(Z128:$EJ128)=0%,$B129,0%)))</f>
        <v>0</v>
      </c>
      <c r="AA129" s="395">
        <f ca="1">IF($E$299=0,0,IF(SUM($G129:Z129)=$B129,0,IF(SUM(AA128:$EJ128)=0%,$B129,0%)))</f>
        <v>0</v>
      </c>
      <c r="AB129" s="395">
        <f ca="1">IF($E$299=0,0,IF(SUM($G129:AA129)=$B129,0,IF(SUM(AB128:$EJ128)=0%,$B129,0%)))</f>
        <v>0</v>
      </c>
      <c r="AC129" s="395">
        <f ca="1">IF($E$299=0,0,IF(SUM($G129:AB129)=$B129,0,IF(SUM(AC128:$EJ128)=0%,$B129,0%)))</f>
        <v>0</v>
      </c>
      <c r="AD129" s="395">
        <f ca="1">IF($E$299=0,0,IF(SUM($G129:AC129)=$B129,0,IF(SUM(AD128:$EJ128)=0%,$B129,0%)))</f>
        <v>0</v>
      </c>
      <c r="AE129" s="395">
        <f ca="1">IF($E$299=0,0,IF(SUM($G129:AD129)=$B129,0,IF(SUM(AE128:$EJ128)=0%,$B129,0%)))</f>
        <v>0</v>
      </c>
      <c r="AF129" s="395">
        <f ca="1">IF($E$299=0,0,IF(SUM($G129:AE129)=$B129,0,IF(SUM(AF128:$EJ128)=0%,$B129,0%)))</f>
        <v>0</v>
      </c>
      <c r="AG129" s="395">
        <f ca="1">IF($E$299=0,0,IF(SUM($G129:AF129)=$B129,0,IF(SUM(AG128:$EJ128)=0%,$B129,0%)))</f>
        <v>0</v>
      </c>
      <c r="AH129" s="395">
        <f ca="1">IF($E$299=0,0,IF(SUM($G129:AG129)=$B129,0,IF(SUM(AH128:$EJ128)=0%,$B129,0%)))</f>
        <v>0</v>
      </c>
      <c r="AI129" s="395">
        <f ca="1">IF($E$299=0,0,IF(SUM($G129:AH129)=$B129,0,IF(SUM(AI128:$EJ128)=0%,$B129,0%)))</f>
        <v>0</v>
      </c>
      <c r="AJ129" s="395">
        <f ca="1">IF($E$299=0,0,IF(SUM($G129:AI129)=$B129,0,IF(SUM(AJ128:$EJ128)=0%,$B129,0%)))</f>
        <v>0</v>
      </c>
      <c r="AK129" s="395">
        <f ca="1">IF($E$299=0,0,IF(SUM($G129:AJ129)=$B129,0,IF(SUM(AK128:$EJ128)=0%,$B129,0%)))</f>
        <v>0</v>
      </c>
      <c r="AL129" s="395">
        <f ca="1">IF($E$299=0,0,IF(SUM($G129:AK129)=$B129,0,IF(SUM(AL128:$EJ128)=0%,$B129,0%)))</f>
        <v>0</v>
      </c>
      <c r="AM129" s="395">
        <f ca="1">IF($E$299=0,0,IF(SUM($G129:AL129)=$B129,0,IF(SUM(AM128:$EJ128)=0%,$B129,0%)))</f>
        <v>0</v>
      </c>
      <c r="AN129" s="395">
        <f ca="1">IF($E$299=0,0,IF(SUM($G129:AM129)=$B129,0,IF(SUM(AN128:$EJ128)=0%,$B129,0%)))</f>
        <v>0</v>
      </c>
      <c r="AO129" s="395">
        <f ca="1">IF($E$299=0,0,IF(SUM($G129:AN129)=$B129,0,IF(SUM(AO128:$EJ128)=0%,$B129,0%)))</f>
        <v>0</v>
      </c>
      <c r="AP129" s="395">
        <f ca="1">IF($E$299=0,0,IF(SUM($G129:AO129)=$B129,0,IF(SUM(AP128:$EJ128)=0%,$B129,0%)))</f>
        <v>0</v>
      </c>
      <c r="AQ129" s="395">
        <f ca="1">IF($E$299=0,0,IF(SUM($G129:AP129)=$B129,0,IF(SUM(AQ128:$EJ128)=0%,$B129,0%)))</f>
        <v>0</v>
      </c>
      <c r="AR129" s="395">
        <f ca="1">IF($E$299=0,0,IF(SUM($G129:AQ129)=$B129,0,IF(SUM(AR128:$EJ128)=0%,$B129,0%)))</f>
        <v>0</v>
      </c>
      <c r="AS129" s="395">
        <f ca="1">IF($E$299=0,0,IF(SUM($G129:AR129)=$B129,0,IF(SUM(AS128:$EJ128)=0%,$B129,0%)))</f>
        <v>0</v>
      </c>
      <c r="AT129" s="395">
        <f ca="1">IF($E$299=0,0,IF(SUM($G129:AS129)=$B129,0,IF(SUM(AT128:$EJ128)=0%,$B129,0%)))</f>
        <v>0</v>
      </c>
      <c r="AU129" s="395">
        <f ca="1">IF($E$299=0,0,IF(SUM($G129:AT129)=$B129,0,IF(SUM(AU128:$EJ128)=0%,$B129,0%)))</f>
        <v>0</v>
      </c>
      <c r="AV129" s="395">
        <f ca="1">IF($E$299=0,0,IF(SUM($G129:AU129)=$B129,0,IF(SUM(AV128:$EJ128)=0%,$B129,0%)))</f>
        <v>0</v>
      </c>
      <c r="AW129" s="395">
        <f ca="1">IF($E$299=0,0,IF(SUM($G129:AV129)=$B129,0,IF(SUM(AW128:$EJ128)=0%,$B129,0%)))</f>
        <v>0</v>
      </c>
      <c r="AX129" s="395">
        <f ca="1">IF($E$299=0,0,IF(SUM($G129:AW129)=$B129,0,IF(SUM(AX128:$EJ128)=0%,$B129,0%)))</f>
        <v>0</v>
      </c>
      <c r="AY129" s="395">
        <f ca="1">IF($E$299=0,0,IF(SUM($G129:AX129)=$B129,0,IF(SUM(AY128:$EJ128)=0%,$B129,0%)))</f>
        <v>0</v>
      </c>
      <c r="AZ129" s="395">
        <f ca="1">IF($E$299=0,0,IF(SUM($G129:AY129)=$B129,0,IF(SUM(AZ128:$EJ128)=0%,$B129,0%)))</f>
        <v>0</v>
      </c>
      <c r="BA129" s="395">
        <f ca="1">IF($E$299=0,0,IF(SUM($G129:AZ129)=$B129,0,IF(SUM(BA128:$EJ128)=0%,$B129,0%)))</f>
        <v>0</v>
      </c>
      <c r="BB129" s="395">
        <f ca="1">IF($E$299=0,0,IF(SUM($G129:BA129)=$B129,0,IF(SUM(BB128:$EJ128)=0%,$B129,0%)))</f>
        <v>0</v>
      </c>
      <c r="BC129" s="395">
        <f ca="1">IF($E$299=0,0,IF(SUM($G129:BB129)=$B129,0,IF(SUM(BC128:$EJ128)=0%,$B129,0%)))</f>
        <v>0</v>
      </c>
      <c r="BD129" s="395">
        <f ca="1">IF($E$299=0,0,IF(SUM($G129:BC129)=$B129,0,IF(SUM(BD128:$EJ128)=0%,$B129,0%)))</f>
        <v>0</v>
      </c>
      <c r="BE129" s="395">
        <f ca="1">IF($E$299=0,0,IF(SUM($G129:BD129)=$B129,0,IF(SUM(BE128:$EJ128)=0%,$B129,0%)))</f>
        <v>0</v>
      </c>
      <c r="BF129" s="395">
        <f ca="1">IF($E$299=0,0,IF(SUM($G129:BE129)=$B129,0,IF(SUM(BF128:$EJ128)=0%,$B129,0%)))</f>
        <v>0</v>
      </c>
      <c r="BG129" s="395">
        <f ca="1">IF($E$299=0,0,IF(SUM($G129:BF129)=$B129,0,IF(SUM(BG128:$EJ128)=0%,$B129,0%)))</f>
        <v>0</v>
      </c>
      <c r="BH129" s="395">
        <f ca="1">IF($E$299=0,0,IF(SUM($G129:BG129)=$B129,0,IF(SUM(BH128:$EJ128)=0%,$B129,0%)))</f>
        <v>0</v>
      </c>
      <c r="BI129" s="395">
        <f ca="1">IF($E$299=0,0,IF(SUM($G129:BH129)=$B129,0,IF(SUM(BI128:$EJ128)=0%,$B129,0%)))</f>
        <v>0</v>
      </c>
      <c r="BJ129" s="395">
        <f ca="1">IF($E$299=0,0,IF(SUM($G129:BI129)=$B129,0,IF(SUM(BJ128:$EJ128)=0%,$B129,0%)))</f>
        <v>0</v>
      </c>
      <c r="BK129" s="395">
        <f ca="1">IF($E$299=0,0,IF(SUM($G129:BJ129)=$B129,0,IF(SUM(BK128:$EJ128)=0%,$B129,0%)))</f>
        <v>0</v>
      </c>
      <c r="BL129" s="395">
        <f ca="1">IF($E$299=0,0,IF(SUM($G129:BK129)=$B129,0,IF(SUM(BL128:$EJ128)=0%,$B129,0%)))</f>
        <v>0</v>
      </c>
      <c r="BM129" s="395">
        <f ca="1">IF($E$299=0,0,IF(SUM($G129:BL129)=$B129,0,IF(SUM(BM128:$EJ128)=0%,$B129,0%)))</f>
        <v>2.5000000000000001E-2</v>
      </c>
      <c r="BN129" s="395">
        <f ca="1">IF($E$299=0,0,IF(SUM($G129:BM129)=$B129,0,IF(SUM(BN128:$EJ128)=0%,$B129,0%)))</f>
        <v>0</v>
      </c>
      <c r="BO129" s="395">
        <f ca="1">IF($E$299=0,0,IF(SUM($G129:BN129)=$B129,0,IF(SUM(BO128:$EJ128)=0%,$B129,0%)))</f>
        <v>0</v>
      </c>
      <c r="BP129" s="395">
        <f ca="1">IF($E$299=0,0,IF(SUM($G129:BO129)=$B129,0,IF(SUM(BP128:$EJ128)=0%,$B129,0%)))</f>
        <v>0</v>
      </c>
      <c r="BQ129" s="395">
        <f ca="1">IF($E$299=0,0,IF(SUM($G129:BP129)=$B129,0,IF(SUM(BQ128:$EJ128)=0%,$B129,0%)))</f>
        <v>0</v>
      </c>
      <c r="BR129" s="395">
        <f ca="1">IF($E$299=0,0,IF(SUM($G129:BQ129)=$B129,0,IF(SUM(BR128:$EJ128)=0%,$B129,0%)))</f>
        <v>0</v>
      </c>
      <c r="BS129" s="395">
        <f ca="1">IF($E$299=0,0,IF(SUM($G129:BR129)=$B129,0,IF(SUM(BS128:$EJ128)=0%,$B129,0%)))</f>
        <v>0</v>
      </c>
      <c r="BT129" s="395">
        <f ca="1">IF($E$299=0,0,IF(SUM($G129:BS129)=$B129,0,IF(SUM(BT128:$EJ128)=0%,$B129,0%)))</f>
        <v>0</v>
      </c>
      <c r="BU129" s="395">
        <f ca="1">IF($E$299=0,0,IF(SUM($G129:BT129)=$B129,0,IF(SUM(BU128:$EJ128)=0%,$B129,0%)))</f>
        <v>0</v>
      </c>
      <c r="BV129" s="395">
        <f ca="1">IF($E$299=0,0,IF(SUM($G129:BU129)=$B129,0,IF(SUM(BV128:$EJ128)=0%,$B129,0%)))</f>
        <v>0</v>
      </c>
      <c r="BW129" s="395">
        <f ca="1">IF($E$299=0,0,IF(SUM($G129:BV129)=$B129,0,IF(SUM(BW128:$EJ128)=0%,$B129,0%)))</f>
        <v>0</v>
      </c>
      <c r="BX129" s="395">
        <f ca="1">IF($E$299=0,0,IF(SUM($G129:BW129)=$B129,0,IF(SUM(BX128:$EJ128)=0%,$B129,0%)))</f>
        <v>0</v>
      </c>
      <c r="BY129" s="395">
        <f ca="1">IF($E$299=0,0,IF(SUM($G129:BX129)=$B129,0,IF(SUM(BY128:$EJ128)=0%,$B129,0%)))</f>
        <v>0</v>
      </c>
      <c r="BZ129" s="395">
        <f ca="1">IF($E$299=0,0,IF(SUM($G129:BY129)=$B129,0,IF(SUM(BZ128:$EJ128)=0%,$B129,0%)))</f>
        <v>0</v>
      </c>
      <c r="CA129" s="395">
        <f ca="1">IF($E$299=0,0,IF(SUM($G129:BZ129)=$B129,0,IF(SUM(CA128:$EJ128)=0%,$B129,0%)))</f>
        <v>0</v>
      </c>
      <c r="CB129" s="395">
        <f ca="1">IF($E$299=0,0,IF(SUM($G129:CA129)=$B129,0,IF(SUM(CB128:$EJ128)=0%,$B129,0%)))</f>
        <v>0</v>
      </c>
      <c r="CC129" s="395">
        <f ca="1">IF($E$299=0,0,IF(SUM($G129:CB129)=$B129,0,IF(SUM(CC128:$EJ128)=0%,$B129,0%)))</f>
        <v>0</v>
      </c>
      <c r="CD129" s="395">
        <f ca="1">IF($E$299=0,0,IF(SUM($G129:CC129)=$B129,0,IF(SUM(CD128:$EJ128)=0%,$B129,0%)))</f>
        <v>0</v>
      </c>
      <c r="CE129" s="395">
        <f ca="1">IF($E$299=0,0,IF(SUM($G129:CD129)=$B129,0,IF(SUM(CE128:$EJ128)=0%,$B129,0%)))</f>
        <v>0</v>
      </c>
      <c r="CF129" s="395">
        <f ca="1">IF($E$299=0,0,IF(SUM($G129:CE129)=$B129,0,IF(SUM(CF128:$EJ128)=0%,$B129,0%)))</f>
        <v>0</v>
      </c>
      <c r="CG129" s="395">
        <f ca="1">IF($E$299=0,0,IF(SUM($G129:CF129)=$B129,0,IF(SUM(CG128:$EJ128)=0%,$B129,0%)))</f>
        <v>0</v>
      </c>
      <c r="CH129" s="395">
        <f ca="1">IF($E$299=0,0,IF(SUM($G129:CG129)=$B129,0,IF(SUM(CH128:$EJ128)=0%,$B129,0%)))</f>
        <v>0</v>
      </c>
      <c r="CI129" s="395">
        <f ca="1">IF($E$299=0,0,IF(SUM($G129:CH129)=$B129,0,IF(SUM(CI128:$EJ128)=0%,$B129,0%)))</f>
        <v>0</v>
      </c>
      <c r="CJ129" s="395">
        <f ca="1">IF($E$299=0,0,IF(SUM($G129:CI129)=$B129,0,IF(SUM(CJ128:$EJ128)=0%,$B129,0%)))</f>
        <v>0</v>
      </c>
      <c r="CK129" s="395">
        <f ca="1">IF($E$299=0,0,IF(SUM($G129:CJ129)=$B129,0,IF(SUM(CK128:$EJ128)=0%,$B129,0%)))</f>
        <v>0</v>
      </c>
      <c r="CL129" s="395">
        <f ca="1">IF($E$299=0,0,IF(SUM($G129:CK129)=$B129,0,IF(SUM(CL128:$EJ128)=0%,$B129,0%)))</f>
        <v>0</v>
      </c>
      <c r="CM129" s="395">
        <f ca="1">IF($E$299=0,0,IF(SUM($G129:CL129)=$B129,0,IF(SUM(CM128:$EJ128)=0%,$B129,0%)))</f>
        <v>0</v>
      </c>
      <c r="CN129" s="395">
        <f ca="1">IF($E$299=0,0,IF(SUM($G129:CM129)=$B129,0,IF(SUM(CN128:$EJ128)=0%,$B129,0%)))</f>
        <v>0</v>
      </c>
      <c r="CO129" s="395">
        <f ca="1">IF($E$299=0,0,IF(SUM($G129:CN129)=$B129,0,IF(SUM(CO128:$EJ128)=0%,$B129,0%)))</f>
        <v>0</v>
      </c>
      <c r="CP129" s="395">
        <f ca="1">IF($E$299=0,0,IF(SUM($G129:CO129)=$B129,0,IF(SUM(CP128:$EJ128)=0%,$B129,0%)))</f>
        <v>0</v>
      </c>
      <c r="CQ129" s="395">
        <f ca="1">IF($E$299=0,0,IF(SUM($G129:CP129)=$B129,0,IF(SUM(CQ128:$EJ128)=0%,$B129,0%)))</f>
        <v>0</v>
      </c>
      <c r="CR129" s="395">
        <f ca="1">IF($E$299=0,0,IF(SUM($G129:CQ129)=$B129,0,IF(SUM(CR128:$EJ128)=0%,$B129,0%)))</f>
        <v>0</v>
      </c>
      <c r="CS129" s="395">
        <f ca="1">IF($E$299=0,0,IF(SUM($G129:CR129)=$B129,0,IF(SUM(CS128:$EJ128)=0%,$B129,0%)))</f>
        <v>0</v>
      </c>
      <c r="CT129" s="395">
        <f ca="1">IF($E$299=0,0,IF(SUM($G129:CS129)=$B129,0,IF(SUM(CT128:$EJ128)=0%,$B129,0%)))</f>
        <v>0</v>
      </c>
      <c r="CU129" s="395">
        <f ca="1">IF($E$299=0,0,IF(SUM($G129:CT129)=$B129,0,IF(SUM(CU128:$EJ128)=0%,$B129,0%)))</f>
        <v>0</v>
      </c>
      <c r="CV129" s="395">
        <f ca="1">IF($E$299=0,0,IF(SUM($G129:CU129)=$B129,0,IF(SUM(CV128:$EJ128)=0%,$B129,0%)))</f>
        <v>0</v>
      </c>
      <c r="CW129" s="395">
        <f ca="1">IF($E$299=0,0,IF(SUM($G129:CV129)=$B129,0,IF(SUM(CW128:$EJ128)=0%,$B129,0%)))</f>
        <v>0</v>
      </c>
      <c r="CX129" s="395">
        <f ca="1">IF($E$299=0,0,IF(SUM($G129:CW129)=$B129,0,IF(SUM(CX128:$EJ128)=0%,$B129,0%)))</f>
        <v>0</v>
      </c>
      <c r="CY129" s="395">
        <f ca="1">IF($E$299=0,0,IF(SUM($G129:CX129)=$B129,0,IF(SUM(CY128:$EJ128)=0%,$B129,0%)))</f>
        <v>0</v>
      </c>
      <c r="CZ129" s="395">
        <f ca="1">IF($E$299=0,0,IF(SUM($G129:CY129)=$B129,0,IF(SUM(CZ128:$EJ128)=0%,$B129,0%)))</f>
        <v>0</v>
      </c>
      <c r="DA129" s="395">
        <f ca="1">IF($E$299=0,0,IF(SUM($G129:CZ129)=$B129,0,IF(SUM(DA128:$EJ128)=0%,$B129,0%)))</f>
        <v>0</v>
      </c>
      <c r="DB129" s="395">
        <f ca="1">IF($E$299=0,0,IF(SUM($G129:DA129)=$B129,0,IF(SUM(DB128:$EJ128)=0%,$B129,0%)))</f>
        <v>0</v>
      </c>
      <c r="DC129" s="395">
        <f ca="1">IF($E$299=0,0,IF(SUM($G129:DB129)=$B129,0,IF(SUM(DC128:$EJ128)=0%,$B129,0%)))</f>
        <v>0</v>
      </c>
      <c r="DD129" s="395">
        <f ca="1">IF($E$299=0,0,IF(SUM($G129:DC129)=$B129,0,IF(SUM(DD128:$EJ128)=0%,$B129,0%)))</f>
        <v>0</v>
      </c>
      <c r="DE129" s="395">
        <f ca="1">IF($E$299=0,0,IF(SUM($G129:DD129)=$B129,0,IF(SUM(DE128:$EJ128)=0%,$B129,0%)))</f>
        <v>0</v>
      </c>
      <c r="DF129" s="395">
        <f ca="1">IF($E$299=0,0,IF(SUM($G129:DE129)=$B129,0,IF(SUM(DF128:$EJ128)=0%,$B129,0%)))</f>
        <v>0</v>
      </c>
      <c r="DG129" s="395">
        <f ca="1">IF($E$299=0,0,IF(SUM($G129:DF129)=$B129,0,IF(SUM(DG128:$EJ128)=0%,$B129,0%)))</f>
        <v>0</v>
      </c>
      <c r="DH129" s="395">
        <f ca="1">IF($E$299=0,0,IF(SUM($G129:DG129)=$B129,0,IF(SUM(DH128:$EJ128)=0%,$B129,0%)))</f>
        <v>0</v>
      </c>
      <c r="DI129" s="395">
        <f ca="1">IF($E$299=0,0,IF(SUM($G129:DH129)=$B129,0,IF(SUM(DI128:$EJ128)=0%,$B129,0%)))</f>
        <v>0</v>
      </c>
      <c r="DJ129" s="395">
        <f ca="1">IF($E$299=0,0,IF(SUM($G129:DI129)=$B129,0,IF(SUM(DJ128:$EJ128)=0%,$B129,0%)))</f>
        <v>0</v>
      </c>
      <c r="DK129" s="395">
        <f ca="1">IF($E$299=0,0,IF(SUM($G129:DJ129)=$B129,0,IF(SUM(DK128:$EJ128)=0%,$B129,0%)))</f>
        <v>0</v>
      </c>
      <c r="DL129" s="395">
        <f ca="1">IF($E$299=0,0,IF(SUM($G129:DK129)=$B129,0,IF(SUM(DL128:$EJ128)=0%,$B129,0%)))</f>
        <v>0</v>
      </c>
      <c r="DM129" s="395">
        <f ca="1">IF($E$299=0,0,IF(SUM($G129:DL129)=$B129,0,IF(SUM(DM128:$EJ128)=0%,$B129,0%)))</f>
        <v>0</v>
      </c>
      <c r="DN129" s="395">
        <f ca="1">IF($E$299=0,0,IF(SUM($G129:DM129)=$B129,0,IF(SUM(DN128:$EJ128)=0%,$B129,0%)))</f>
        <v>0</v>
      </c>
      <c r="DO129" s="395">
        <f ca="1">IF($E$299=0,0,IF(SUM($G129:DN129)=$B129,0,IF(SUM(DO128:$EJ128)=0%,$B129,0%)))</f>
        <v>0</v>
      </c>
      <c r="DP129" s="395">
        <f ca="1">IF($E$299=0,0,IF(SUM($G129:DO129)=$B129,0,IF(SUM(DP128:$EJ128)=0%,$B129,0%)))</f>
        <v>0</v>
      </c>
      <c r="DQ129" s="395">
        <f ca="1">IF($E$299=0,0,IF(SUM($G129:DP129)=$B129,0,IF(SUM(DQ128:$EJ128)=0%,$B129,0%)))</f>
        <v>0</v>
      </c>
      <c r="DR129" s="395">
        <f ca="1">IF($E$299=0,0,IF(SUM($G129:DQ129)=$B129,0,IF(SUM(DR128:$EJ128)=0%,$B129,0%)))</f>
        <v>0</v>
      </c>
      <c r="DS129" s="395">
        <f ca="1">IF($E$299=0,0,IF(SUM($G129:DR129)=$B129,0,IF(SUM(DS128:$EJ128)=0%,$B129,0%)))</f>
        <v>0</v>
      </c>
      <c r="DT129" s="395">
        <f ca="1">IF($E$299=0,0,IF(SUM($G129:DS129)=$B129,0,IF(SUM(DT128:$EJ128)=0%,$B129,0%)))</f>
        <v>0</v>
      </c>
      <c r="DU129" s="395">
        <f ca="1">IF($E$299=0,0,IF(SUM($G129:DT129)=$B129,0,IF(SUM(DU128:$EJ128)=0%,$B129,0%)))</f>
        <v>0</v>
      </c>
      <c r="DV129" s="395">
        <f ca="1">IF($E$299=0,0,IF(SUM($G129:DU129)=$B129,0,IF(SUM(DV128:$EJ128)=0%,$B129,0%)))</f>
        <v>0</v>
      </c>
      <c r="DW129" s="395">
        <f ca="1">IF($E$299=0,0,IF(SUM($G129:DV129)=$B129,0,IF(SUM(DW128:$EJ128)=0%,$B129,0%)))</f>
        <v>0</v>
      </c>
      <c r="DX129" s="395">
        <f ca="1">IF($E$299=0,0,IF(SUM($G129:DW129)=$B129,0,IF(SUM(DX128:$EJ128)=0%,$B129,0%)))</f>
        <v>0</v>
      </c>
      <c r="DY129" s="395">
        <f ca="1">IF($E$299=0,0,IF(SUM($G129:DX129)=$B129,0,IF(SUM(DY128:$EJ128)=0%,$B129,0%)))</f>
        <v>0</v>
      </c>
      <c r="DZ129" s="395">
        <f ca="1">IF($E$299=0,0,IF(SUM($G129:DY129)=$B129,0,IF(SUM(DZ128:$EJ128)=0%,$B129,0%)))</f>
        <v>0</v>
      </c>
      <c r="EA129" s="395">
        <f ca="1">IF($E$299=0,0,IF(SUM($G129:DZ129)=$B129,0,IF(SUM(EA128:$EJ128)=0%,$B129,0%)))</f>
        <v>0</v>
      </c>
      <c r="EB129" s="395">
        <f ca="1">IF($E$299=0,0,IF(SUM($G129:EA129)=$B129,0,IF(SUM(EB128:$EJ128)=0%,$B129,0%)))</f>
        <v>0</v>
      </c>
      <c r="EC129" s="395">
        <f ca="1">IF($E$299=0,0,IF(SUM($G129:EB129)=$B129,0,IF(SUM(EC128:$EJ128)=0%,$B129,0%)))</f>
        <v>0</v>
      </c>
      <c r="ED129" s="395">
        <f ca="1">IF($E$299=0,0,IF(SUM($G129:EC129)=$B129,0,IF(SUM(ED128:$EJ128)=0%,$B129,0%)))</f>
        <v>0</v>
      </c>
      <c r="EE129" s="395">
        <f ca="1">IF($E$299=0,0,IF(SUM($G129:ED129)=$B129,0,IF(SUM(EE128:$EJ128)=0%,$B129,0%)))</f>
        <v>0</v>
      </c>
      <c r="EF129" s="395">
        <f ca="1">IF($E$299=0,0,IF(SUM($G129:EE129)=$B129,0,IF(SUM(EF128:$EJ128)=0%,$B129,0%)))</f>
        <v>0</v>
      </c>
      <c r="EG129" s="395">
        <f ca="1">IF($E$299=0,0,IF(SUM($G129:EF129)=$B129,0,IF(SUM(EG128:$EJ128)=0%,$B129,0%)))</f>
        <v>0</v>
      </c>
      <c r="EH129" s="395">
        <f ca="1">IF($E$299=0,0,IF(SUM($G129:EG129)=$B129,0,IF(SUM(EH128:$EJ128)=0%,$B129,0%)))</f>
        <v>0</v>
      </c>
      <c r="EI129" s="395">
        <f ca="1">IF($E$299=0,0,IF(SUM($G129:EH129)=$B129,0,IF(SUM(EI128:$EJ128)=0%,$B129,0%)))</f>
        <v>0</v>
      </c>
      <c r="EJ129" s="398"/>
      <c r="EK129" s="313"/>
    </row>
    <row r="130" spans="1:141" hidden="1" outlineLevel="2">
      <c r="A130" s="332"/>
      <c r="B130" s="549">
        <f>длительность!F187</f>
        <v>2.5000000000000001E-2</v>
      </c>
      <c r="C130" s="317"/>
      <c r="D130" s="317" t="s">
        <v>640</v>
      </c>
      <c r="E130" s="318">
        <f t="shared" ca="1" si="348"/>
        <v>0</v>
      </c>
      <c r="F130" s="397">
        <f ca="1">SUM(G130:EJ130)</f>
        <v>2.5000000000000001E-2</v>
      </c>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f ca="1">IF($E$299=0,0,IF(SUM($G130:AC130)=$B130,0,IF(SUM($G129:G129)=$B129,$B130,0%)))</f>
        <v>0</v>
      </c>
      <c r="AE130" s="395">
        <f ca="1">IF($E$299=0,0,IF(SUM($G130:AD130)=$B130,0,IF(SUM($G129:H129)=$B129,$B130,0%)))</f>
        <v>0</v>
      </c>
      <c r="AF130" s="395">
        <f ca="1">IF($E$299=0,0,IF(SUM($G130:AE130)=$B130,0,IF(SUM($G129:I129)=$B129,$B130,0%)))</f>
        <v>0</v>
      </c>
      <c r="AG130" s="395">
        <f ca="1">IF($E$299=0,0,IF(SUM($G130:AF130)=$B130,0,IF(SUM($G129:J129)=$B129,$B130,0%)))</f>
        <v>0</v>
      </c>
      <c r="AH130" s="395">
        <f ca="1">IF($E$299=0,0,IF(SUM($G130:AG130)=$B130,0,IF(SUM($G129:K129)=$B129,$B130,0%)))</f>
        <v>0</v>
      </c>
      <c r="AI130" s="395">
        <f ca="1">IF($E$299=0,0,IF(SUM($G130:AH130)=$B130,0,IF(SUM($G129:L129)=$B129,$B130,0%)))</f>
        <v>0</v>
      </c>
      <c r="AJ130" s="395">
        <f ca="1">IF($E$299=0,0,IF(SUM($G130:AI130)=$B130,0,IF(SUM($G129:M129)=$B129,$B130,0%)))</f>
        <v>0</v>
      </c>
      <c r="AK130" s="395">
        <f ca="1">IF($E$299=0,0,IF(SUM($G130:AJ130)=$B130,0,IF(SUM($G129:N129)=$B129,$B130,0%)))</f>
        <v>0</v>
      </c>
      <c r="AL130" s="395">
        <f ca="1">IF($E$299=0,0,IF(SUM($G130:AK130)=$B130,0,IF(SUM($G129:O129)=$B129,$B130,0%)))</f>
        <v>0</v>
      </c>
      <c r="AM130" s="395">
        <f ca="1">IF($E$299=0,0,IF(SUM($G130:AL130)=$B130,0,IF(SUM($G129:P129)=$B129,$B130,0%)))</f>
        <v>0</v>
      </c>
      <c r="AN130" s="395">
        <f ca="1">IF($E$299=0,0,IF(SUM($G130:AM130)=$B130,0,IF(SUM($G129:Q129)=$B129,$B130,0%)))</f>
        <v>0</v>
      </c>
      <c r="AO130" s="395">
        <f ca="1">IF($E$299=0,0,IF(SUM($G130:AN130)=$B130,0,IF(SUM($G129:R129)=$B129,$B130,0%)))</f>
        <v>0</v>
      </c>
      <c r="AP130" s="395">
        <f ca="1">IF($E$299=0,0,IF(SUM($G130:AO130)=$B130,0,IF(SUM($G129:S129)=$B129,$B130,0%)))</f>
        <v>0</v>
      </c>
      <c r="AQ130" s="395">
        <f ca="1">IF($E$299=0,0,IF(SUM($G130:AP130)=$B130,0,IF(SUM($G129:T129)=$B129,$B130,0%)))</f>
        <v>0</v>
      </c>
      <c r="AR130" s="395">
        <f ca="1">IF($E$299=0,0,IF(SUM($G130:AQ130)=$B130,0,IF(SUM($G129:U129)=$B129,$B130,0%)))</f>
        <v>0</v>
      </c>
      <c r="AS130" s="395">
        <f ca="1">IF($E$299=0,0,IF(SUM($G130:AR130)=$B130,0,IF(SUM($G129:V129)=$B129,$B130,0%)))</f>
        <v>0</v>
      </c>
      <c r="AT130" s="395">
        <f ca="1">IF($E$299=0,0,IF(SUM($G130:AS130)=$B130,0,IF(SUM($G129:W129)=$B129,$B130,0%)))</f>
        <v>0</v>
      </c>
      <c r="AU130" s="395">
        <f ca="1">IF($E$299=0,0,IF(SUM($G130:AT130)=$B130,0,IF(SUM($G129:X129)=$B129,$B130,0%)))</f>
        <v>0</v>
      </c>
      <c r="AV130" s="395">
        <f ca="1">IF($E$299=0,0,IF(SUM($G130:AU130)=$B130,0,IF(SUM($G129:Y129)=$B129,$B130,0%)))</f>
        <v>0</v>
      </c>
      <c r="AW130" s="395">
        <f ca="1">IF($E$299=0,0,IF(SUM($G130:AV130)=$B130,0,IF(SUM($G129:Z129)=$B129,$B130,0%)))</f>
        <v>0</v>
      </c>
      <c r="AX130" s="395">
        <f ca="1">IF($E$299=0,0,IF(SUM($G130:AW130)=$B130,0,IF(SUM($G129:AA129)=$B129,$B130,0%)))</f>
        <v>0</v>
      </c>
      <c r="AY130" s="395">
        <f ca="1">IF($E$299=0,0,IF(SUM($G130:AX130)=$B130,0,IF(SUM($G129:AB129)=$B129,$B130,0%)))</f>
        <v>0</v>
      </c>
      <c r="AZ130" s="395">
        <f ca="1">IF($E$299=0,0,IF(SUM($G130:AY130)=$B130,0,IF(SUM($G129:AC129)=$B129,$B130,0%)))</f>
        <v>0</v>
      </c>
      <c r="BA130" s="395">
        <f ca="1">IF($E$299=0,0,IF(SUM($G130:AZ130)=$B130,0,IF(SUM($G129:AD129)=$B129,$B130,0%)))</f>
        <v>0</v>
      </c>
      <c r="BB130" s="395">
        <f ca="1">IF($E$299=0,0,IF(SUM($G130:BA130)=$B130,0,IF(SUM($G129:AE129)=$B129,$B130,0%)))</f>
        <v>0</v>
      </c>
      <c r="BC130" s="395">
        <f ca="1">IF($E$299=0,0,IF(SUM($G130:BB130)=$B130,0,IF(SUM($G129:AF129)=$B129,$B130,0%)))</f>
        <v>0</v>
      </c>
      <c r="BD130" s="395">
        <f ca="1">IF($E$299=0,0,IF(SUM($G130:BC130)=$B130,0,IF(SUM($G129:AG129)=$B129,$B130,0%)))</f>
        <v>0</v>
      </c>
      <c r="BE130" s="395">
        <f ca="1">IF($E$299=0,0,IF(SUM($G130:BD130)=$B130,0,IF(SUM($G129:AH129)=$B129,$B130,0%)))</f>
        <v>0</v>
      </c>
      <c r="BF130" s="395">
        <f ca="1">IF($E$299=0,0,IF(SUM($G130:BE130)=$B130,0,IF(SUM($G129:AI129)=$B129,$B130,0%)))</f>
        <v>0</v>
      </c>
      <c r="BG130" s="395">
        <f ca="1">IF($E$299=0,0,IF(SUM($G130:BF130)=$B130,0,IF(SUM($G129:AJ129)=$B129,$B130,0%)))</f>
        <v>0</v>
      </c>
      <c r="BH130" s="395">
        <f ca="1">IF($E$299=0,0,IF(SUM($G130:BG130)=$B130,0,IF(SUM($G129:AK129)=$B129,$B130,0%)))</f>
        <v>0</v>
      </c>
      <c r="BI130" s="395">
        <f ca="1">IF($E$299=0,0,IF(SUM($G130:BH130)=$B130,0,IF(SUM($G129:AL129)=$B129,$B130,0%)))</f>
        <v>0</v>
      </c>
      <c r="BJ130" s="395">
        <f ca="1">IF($E$299=0,0,IF(SUM($G130:BI130)=$B130,0,IF(SUM($G129:AM129)=$B129,$B130,0%)))</f>
        <v>0</v>
      </c>
      <c r="BK130" s="395">
        <f ca="1">IF($E$299=0,0,IF(SUM($G130:BJ130)=$B130,0,IF(SUM($G129:AN129)=$B129,$B130,0%)))</f>
        <v>0</v>
      </c>
      <c r="BL130" s="395">
        <f ca="1">IF($E$299=0,0,IF(SUM($G130:BK130)=$B130,0,IF(SUM($G129:AO129)=$B129,$B130,0%)))</f>
        <v>0</v>
      </c>
      <c r="BM130" s="395">
        <f ca="1">IF($E$299=0,0,IF(SUM($G130:BL130)=$B130,0,IF(SUM($G129:AP129)=$B129,$B130,0%)))</f>
        <v>0</v>
      </c>
      <c r="BN130" s="395">
        <f ca="1">IF($E$299=0,0,IF(SUM($G130:BM130)=$B130,0,IF(SUM($G129:AQ129)=$B129,$B130,0%)))</f>
        <v>0</v>
      </c>
      <c r="BO130" s="395">
        <f ca="1">IF($E$299=0,0,IF(SUM($G130:BN130)=$B130,0,IF(SUM($G129:AR129)=$B129,$B130,0%)))</f>
        <v>0</v>
      </c>
      <c r="BP130" s="395">
        <f ca="1">IF($E$299=0,0,IF(SUM($G130:BO130)=$B130,0,IF(SUM($G129:AS129)=$B129,$B130,0%)))</f>
        <v>0</v>
      </c>
      <c r="BQ130" s="395">
        <f ca="1">IF($E$299=0,0,IF(SUM($G130:BP130)=$B130,0,IF(SUM($G129:AT129)=$B129,$B130,0%)))</f>
        <v>0</v>
      </c>
      <c r="BR130" s="395">
        <f ca="1">IF($E$299=0,0,IF(SUM($G130:BQ130)=$B130,0,IF(SUM($G129:AU129)=$B129,$B130,0%)))</f>
        <v>0</v>
      </c>
      <c r="BS130" s="395">
        <f ca="1">IF($E$299=0,0,IF(SUM($G130:BR130)=$B130,0,IF(SUM($G129:AV129)=$B129,$B130,0%)))</f>
        <v>0</v>
      </c>
      <c r="BT130" s="395">
        <f ca="1">IF($E$299=0,0,IF(SUM($G130:BS130)=$B130,0,IF(SUM($G129:AW129)=$B129,$B130,0%)))</f>
        <v>0</v>
      </c>
      <c r="BU130" s="395">
        <f ca="1">IF($E$299=0,0,IF(SUM($G130:BT130)=$B130,0,IF(SUM($G129:AX129)=$B129,$B130,0%)))</f>
        <v>0</v>
      </c>
      <c r="BV130" s="395">
        <f ca="1">IF($E$299=0,0,IF(SUM($G130:BU130)=$B130,0,IF(SUM($G129:AY129)=$B129,$B130,0%)))</f>
        <v>0</v>
      </c>
      <c r="BW130" s="395">
        <f ca="1">IF($E$299=0,0,IF(SUM($G130:BV130)=$B130,0,IF(SUM($G129:AZ129)=$B129,$B130,0%)))</f>
        <v>0</v>
      </c>
      <c r="BX130" s="395">
        <f ca="1">IF($E$299=0,0,IF(SUM($G130:BW130)=$B130,0,IF(SUM($G129:BA129)=$B129,$B130,0%)))</f>
        <v>0</v>
      </c>
      <c r="BY130" s="395">
        <f ca="1">IF($E$299=0,0,IF(SUM($G130:BX130)=$B130,0,IF(SUM($G129:BB129)=$B129,$B130,0%)))</f>
        <v>0</v>
      </c>
      <c r="BZ130" s="395">
        <f ca="1">IF($E$299=0,0,IF(SUM($G130:BY130)=$B130,0,IF(SUM($G129:BC129)=$B129,$B130,0%)))</f>
        <v>0</v>
      </c>
      <c r="CA130" s="395">
        <f ca="1">IF($E$299=0,0,IF(SUM($G130:BZ130)=$B130,0,IF(SUM($G129:BD129)=$B129,$B130,0%)))</f>
        <v>0</v>
      </c>
      <c r="CB130" s="395">
        <f ca="1">IF($E$299=0,0,IF(SUM($G130:CA130)=$B130,0,IF(SUM($G129:BE129)=$B129,$B130,0%)))</f>
        <v>0</v>
      </c>
      <c r="CC130" s="395">
        <f ca="1">IF($E$299=0,0,IF(SUM($G130:CB130)=$B130,0,IF(SUM($G129:BF129)=$B129,$B130,0%)))</f>
        <v>0</v>
      </c>
      <c r="CD130" s="395">
        <f ca="1">IF($E$299=0,0,IF(SUM($G130:CC130)=$B130,0,IF(SUM($G129:BG129)=$B129,$B130,0%)))</f>
        <v>0</v>
      </c>
      <c r="CE130" s="395">
        <f ca="1">IF($E$299=0,0,IF(SUM($G130:CD130)=$B130,0,IF(SUM($G129:BH129)=$B129,$B130,0%)))</f>
        <v>0</v>
      </c>
      <c r="CF130" s="395">
        <f ca="1">IF($E$299=0,0,IF(SUM($G130:CE130)=$B130,0,IF(SUM($G129:BI129)=$B129,$B130,0%)))</f>
        <v>0</v>
      </c>
      <c r="CG130" s="395">
        <f ca="1">IF($E$299=0,0,IF(SUM($G130:CF130)=$B130,0,IF(SUM($G129:BJ129)=$B129,$B130,0%)))</f>
        <v>0</v>
      </c>
      <c r="CH130" s="395">
        <f ca="1">IF($E$299=0,0,IF(SUM($G130:CG130)=$B130,0,IF(SUM($G129:BK129)=$B129,$B130,0%)))</f>
        <v>0</v>
      </c>
      <c r="CI130" s="395">
        <f ca="1">IF($E$299=0,0,IF(SUM($G130:CH130)=$B130,0,IF(SUM($G129:BL129)=$B129,$B130,0%)))</f>
        <v>0</v>
      </c>
      <c r="CJ130" s="395">
        <f ca="1">IF($E$299=0,0,IF(SUM($G130:CI130)=$B130,0,IF(SUM($G129:BM129)=$B129,$B130,0%)))</f>
        <v>2.5000000000000001E-2</v>
      </c>
      <c r="CK130" s="395">
        <f ca="1">IF($E$299=0,0,IF(SUM($G130:CJ130)=$B130,0,IF(SUM($G129:BN129)=$B129,$B130,0%)))</f>
        <v>0</v>
      </c>
      <c r="CL130" s="395">
        <f ca="1">IF($E$299=0,0,IF(SUM($G130:CK130)=$B130,0,IF(SUM($G129:BO129)=$B129,$B130,0%)))</f>
        <v>0</v>
      </c>
      <c r="CM130" s="395">
        <f ca="1">IF($E$299=0,0,IF(SUM($G130:CL130)=$B130,0,IF(SUM($G129:BP129)=$B129,$B130,0%)))</f>
        <v>0</v>
      </c>
      <c r="CN130" s="395">
        <f ca="1">IF($E$299=0,0,IF(SUM($G130:CM130)=$B130,0,IF(SUM($G129:BQ129)=$B129,$B130,0%)))</f>
        <v>0</v>
      </c>
      <c r="CO130" s="395">
        <f ca="1">IF($E$299=0,0,IF(SUM($G130:CN130)=$B130,0,IF(SUM($G129:BR129)=$B129,$B130,0%)))</f>
        <v>0</v>
      </c>
      <c r="CP130" s="395">
        <f ca="1">IF($E$299=0,0,IF(SUM($G130:CO130)=$B130,0,IF(SUM($G129:BS129)=$B129,$B130,0%)))</f>
        <v>0</v>
      </c>
      <c r="CQ130" s="395">
        <f ca="1">IF($E$299=0,0,IF(SUM($G130:CP130)=$B130,0,IF(SUM($G129:BT129)=$B129,$B130,0%)))</f>
        <v>0</v>
      </c>
      <c r="CR130" s="395">
        <f ca="1">IF($E$299=0,0,IF(SUM($G130:CQ130)=$B130,0,IF(SUM($G129:BU129)=$B129,$B130,0%)))</f>
        <v>0</v>
      </c>
      <c r="CS130" s="395">
        <f ca="1">IF($E$299=0,0,IF(SUM($G130:CR130)=$B130,0,IF(SUM($G129:BV129)=$B129,$B130,0%)))</f>
        <v>0</v>
      </c>
      <c r="CT130" s="395">
        <f ca="1">IF($E$299=0,0,IF(SUM($G130:CS130)=$B130,0,IF(SUM($G129:BW129)=$B129,$B130,0%)))</f>
        <v>0</v>
      </c>
      <c r="CU130" s="395">
        <f ca="1">IF($E$299=0,0,IF(SUM($G130:CT130)=$B130,0,IF(SUM($G129:BX129)=$B129,$B130,0%)))</f>
        <v>0</v>
      </c>
      <c r="CV130" s="395">
        <f ca="1">IF($E$299=0,0,IF(SUM($G130:CU130)=$B130,0,IF(SUM($G129:BY129)=$B129,$B130,0%)))</f>
        <v>0</v>
      </c>
      <c r="CW130" s="395">
        <f ca="1">IF($E$299=0,0,IF(SUM($G130:CV130)=$B130,0,IF(SUM($G129:BZ129)=$B129,$B130,0%)))</f>
        <v>0</v>
      </c>
      <c r="CX130" s="395">
        <f ca="1">IF($E$299=0,0,IF(SUM($G130:CW130)=$B130,0,IF(SUM($G129:CA129)=$B129,$B130,0%)))</f>
        <v>0</v>
      </c>
      <c r="CY130" s="395">
        <f ca="1">IF($E$299=0,0,IF(SUM($G130:CX130)=$B130,0,IF(SUM($G129:CB129)=$B129,$B130,0%)))</f>
        <v>0</v>
      </c>
      <c r="CZ130" s="395">
        <f ca="1">IF($E$299=0,0,IF(SUM($G130:CY130)=$B130,0,IF(SUM($G129:CC129)=$B129,$B130,0%)))</f>
        <v>0</v>
      </c>
      <c r="DA130" s="395">
        <f ca="1">IF($E$299=0,0,IF(SUM($G130:CZ130)=$B130,0,IF(SUM($G129:CD129)=$B129,$B130,0%)))</f>
        <v>0</v>
      </c>
      <c r="DB130" s="395">
        <f ca="1">IF($E$299=0,0,IF(SUM($G130:DA130)=$B130,0,IF(SUM($G129:CE129)=$B129,$B130,0%)))</f>
        <v>0</v>
      </c>
      <c r="DC130" s="395">
        <f ca="1">IF($E$299=0,0,IF(SUM($G130:DB130)=$B130,0,IF(SUM($G129:CF129)=$B129,$B130,0%)))</f>
        <v>0</v>
      </c>
      <c r="DD130" s="395">
        <f ca="1">IF($E$299=0,0,IF(SUM($G130:DC130)=$B130,0,IF(SUM($G129:CG129)=$B129,$B130,0%)))</f>
        <v>0</v>
      </c>
      <c r="DE130" s="395">
        <f ca="1">IF($E$299=0,0,IF(SUM($G130:DD130)=$B130,0,IF(SUM($G129:CH129)=$B129,$B130,0%)))</f>
        <v>0</v>
      </c>
      <c r="DF130" s="395">
        <f ca="1">IF($E$299=0,0,IF(SUM($G130:DE130)=$B130,0,IF(SUM($G129:CI129)=$B129,$B130,0%)))</f>
        <v>0</v>
      </c>
      <c r="DG130" s="395">
        <f ca="1">IF($E$299=0,0,IF(SUM($G130:DF130)=$B130,0,IF(SUM($G129:CJ129)=$B129,$B130,0%)))</f>
        <v>0</v>
      </c>
      <c r="DH130" s="395">
        <f ca="1">IF($E$299=0,0,IF(SUM($G130:DG130)=$B130,0,IF(SUM($G129:CK129)=$B129,$B130,0%)))</f>
        <v>0</v>
      </c>
      <c r="DI130" s="395">
        <f ca="1">IF($E$299=0,0,IF(SUM($G130:DH130)=$B130,0,IF(SUM($G129:CL129)=$B129,$B130,0%)))</f>
        <v>0</v>
      </c>
      <c r="DJ130" s="395">
        <f ca="1">IF($E$299=0,0,IF(SUM($G130:DI130)=$B130,0,IF(SUM($G129:CM129)=$B129,$B130,0%)))</f>
        <v>0</v>
      </c>
      <c r="DK130" s="395">
        <f ca="1">IF($E$299=0,0,IF(SUM($G130:DJ130)=$B130,0,IF(SUM($G129:CN129)=$B129,$B130,0%)))</f>
        <v>0</v>
      </c>
      <c r="DL130" s="395">
        <f ca="1">IF($E$299=0,0,IF(SUM($G130:DK130)=$B130,0,IF(SUM($G129:CO129)=$B129,$B130,0%)))</f>
        <v>0</v>
      </c>
      <c r="DM130" s="395">
        <f ca="1">IF($E$299=0,0,IF(SUM($G130:DL130)=$B130,0,IF(SUM($G129:CP129)=$B129,$B130,0%)))</f>
        <v>0</v>
      </c>
      <c r="DN130" s="395">
        <f ca="1">IF($E$299=0,0,IF(SUM($G130:DM130)=$B130,0,IF(SUM($G129:CQ129)=$B129,$B130,0%)))</f>
        <v>0</v>
      </c>
      <c r="DO130" s="395">
        <f ca="1">IF($E$299=0,0,IF(SUM($G130:DN130)=$B130,0,IF(SUM($G129:CR129)=$B129,$B130,0%)))</f>
        <v>0</v>
      </c>
      <c r="DP130" s="395">
        <f ca="1">IF($E$299=0,0,IF(SUM($G130:DO130)=$B130,0,IF(SUM($G129:CS129)=$B129,$B130,0%)))</f>
        <v>0</v>
      </c>
      <c r="DQ130" s="395">
        <f ca="1">IF($E$299=0,0,IF(SUM($G130:DP130)=$B130,0,IF(SUM($G129:CT129)=$B129,$B130,0%)))</f>
        <v>0</v>
      </c>
      <c r="DR130" s="395">
        <f ca="1">IF($E$299=0,0,IF(SUM($G130:DQ130)=$B130,0,IF(SUM($G129:CU129)=$B129,$B130,0%)))</f>
        <v>0</v>
      </c>
      <c r="DS130" s="395">
        <f ca="1">IF($E$299=0,0,IF(SUM($G130:DR130)=$B130,0,IF(SUM($G129:CV129)=$B129,$B130,0%)))</f>
        <v>0</v>
      </c>
      <c r="DT130" s="395">
        <f ca="1">IF($E$299=0,0,IF(SUM($G130:DS130)=$B130,0,IF(SUM($G129:CW129)=$B129,$B130,0%)))</f>
        <v>0</v>
      </c>
      <c r="DU130" s="395">
        <f ca="1">IF($E$299=0,0,IF(SUM($G130:DT130)=$B130,0,IF(SUM($G129:CX129)=$B129,$B130,0%)))</f>
        <v>0</v>
      </c>
      <c r="DV130" s="395">
        <f ca="1">IF($E$299=0,0,IF(SUM($G130:DU130)=$B130,0,IF(SUM($G129:CY129)=$B129,$B130,0%)))</f>
        <v>0</v>
      </c>
      <c r="DW130" s="395">
        <f ca="1">IF($E$299=0,0,IF(SUM($G130:DV130)=$B130,0,IF(SUM($G129:CZ129)=$B129,$B130,0%)))</f>
        <v>0</v>
      </c>
      <c r="DX130" s="395">
        <f ca="1">IF($E$299=0,0,IF(SUM($G130:DW130)=$B130,0,IF(SUM($G129:DA129)=$B129,$B130,0%)))</f>
        <v>0</v>
      </c>
      <c r="DY130" s="395">
        <f ca="1">IF($E$299=0,0,IF(SUM($G130:DX130)=$B130,0,IF(SUM($G129:DB129)=$B129,$B130,0%)))</f>
        <v>0</v>
      </c>
      <c r="DZ130" s="395">
        <f ca="1">IF($E$299=0,0,IF(SUM($G130:DY130)=$B130,0,IF(SUM($G129:DC129)=$B129,$B130,0%)))</f>
        <v>0</v>
      </c>
      <c r="EA130" s="395">
        <f ca="1">IF($E$299=0,0,IF(SUM($G130:DZ130)=$B130,0,IF(SUM($G129:DD129)=$B129,$B130,0%)))</f>
        <v>0</v>
      </c>
      <c r="EB130" s="395">
        <f ca="1">IF($E$299=0,0,IF(SUM($G130:EA130)=$B130,0,IF(SUM($G129:DE129)=$B129,$B130,0%)))</f>
        <v>0</v>
      </c>
      <c r="EC130" s="395">
        <f ca="1">IF($E$299=0,0,IF(SUM($G130:EB130)=$B130,0,IF(SUM($G129:DF129)=$B129,$B130,0%)))</f>
        <v>0</v>
      </c>
      <c r="ED130" s="395">
        <f ca="1">IF($E$299=0,0,IF(SUM($G130:EC130)=$B130,0,IF(SUM($G129:DG129)=$B129,$B130,0%)))</f>
        <v>0</v>
      </c>
      <c r="EE130" s="395">
        <f ca="1">IF($E$299=0,0,IF(SUM($G130:ED130)=$B130,0,IF(SUM($G129:DH129)=$B129,$B130,0%)))</f>
        <v>0</v>
      </c>
      <c r="EF130" s="395">
        <f ca="1">IF($E$299=0,0,IF(SUM($G130:EE130)=$B130,0,IF(SUM($G129:DI129)=$B129,$B130,0%)))</f>
        <v>0</v>
      </c>
      <c r="EG130" s="395">
        <f ca="1">IF($E$299=0,0,IF(SUM($G130:EF130)=$B130,0,IF(SUM($G129:DJ129)=$B129,$B130,0%)))</f>
        <v>0</v>
      </c>
      <c r="EH130" s="395">
        <f ca="1">IF($E$299=0,0,IF(SUM($G130:EG130)=$B130,0,IF(SUM($G129:DK129)=$B129,$B130,0%)))</f>
        <v>0</v>
      </c>
      <c r="EI130" s="395">
        <f ca="1">IF($E$299=0,0,IF(SUM($G130:EH130)=$B130,0,IF(SUM($G129:DL129)=$B129,$B130,0%)))</f>
        <v>0</v>
      </c>
      <c r="EJ130" s="398"/>
      <c r="EK130" s="313"/>
    </row>
    <row r="131" spans="1:141" hidden="1" outlineLevel="1" collapsed="1">
      <c r="A131" s="332"/>
      <c r="B131" s="313"/>
      <c r="C131" s="392" t="s">
        <v>79</v>
      </c>
      <c r="D131" s="392" t="s">
        <v>80</v>
      </c>
      <c r="E131" s="393">
        <f ca="1">ROUND(IF(F131=0,0,100%-F131),0)</f>
        <v>0</v>
      </c>
      <c r="F131" s="394">
        <f t="shared" ca="1" si="283"/>
        <v>1</v>
      </c>
      <c r="G131" s="395">
        <f>SUM(G132:G136)</f>
        <v>0</v>
      </c>
      <c r="H131" s="395">
        <f t="shared" ref="H131:BS131" ca="1" si="349">SUM(H132:H136)</f>
        <v>0</v>
      </c>
      <c r="I131" s="395">
        <f t="shared" ca="1" si="349"/>
        <v>0</v>
      </c>
      <c r="J131" s="395">
        <f t="shared" ca="1" si="349"/>
        <v>0</v>
      </c>
      <c r="K131" s="395">
        <f t="shared" ca="1" si="349"/>
        <v>0</v>
      </c>
      <c r="L131" s="395">
        <f t="shared" ca="1" si="349"/>
        <v>0</v>
      </c>
      <c r="M131" s="395">
        <f t="shared" ca="1" si="349"/>
        <v>0</v>
      </c>
      <c r="N131" s="395">
        <f t="shared" ca="1" si="349"/>
        <v>0</v>
      </c>
      <c r="O131" s="395">
        <f t="shared" ca="1" si="349"/>
        <v>0</v>
      </c>
      <c r="P131" s="395">
        <f t="shared" ca="1" si="349"/>
        <v>0</v>
      </c>
      <c r="Q131" s="395">
        <f t="shared" ca="1" si="349"/>
        <v>0</v>
      </c>
      <c r="R131" s="395">
        <f t="shared" ca="1" si="349"/>
        <v>0</v>
      </c>
      <c r="S131" s="395">
        <f t="shared" ca="1" si="349"/>
        <v>0</v>
      </c>
      <c r="T131" s="395">
        <f t="shared" ca="1" si="349"/>
        <v>0</v>
      </c>
      <c r="U131" s="395">
        <f t="shared" ca="1" si="349"/>
        <v>0</v>
      </c>
      <c r="V131" s="395">
        <f t="shared" ca="1" si="349"/>
        <v>0</v>
      </c>
      <c r="W131" s="395">
        <f t="shared" ca="1" si="349"/>
        <v>0</v>
      </c>
      <c r="X131" s="395">
        <f t="shared" ca="1" si="349"/>
        <v>0</v>
      </c>
      <c r="Y131" s="395">
        <f t="shared" ca="1" si="349"/>
        <v>0</v>
      </c>
      <c r="Z131" s="395">
        <f t="shared" ca="1" si="349"/>
        <v>0</v>
      </c>
      <c r="AA131" s="395">
        <f t="shared" ca="1" si="349"/>
        <v>0</v>
      </c>
      <c r="AB131" s="395">
        <f t="shared" ca="1" si="349"/>
        <v>0</v>
      </c>
      <c r="AC131" s="395">
        <f t="shared" ca="1" si="349"/>
        <v>0</v>
      </c>
      <c r="AD131" s="395">
        <f t="shared" ca="1" si="349"/>
        <v>0</v>
      </c>
      <c r="AE131" s="395">
        <f t="shared" ca="1" si="349"/>
        <v>0</v>
      </c>
      <c r="AF131" s="395">
        <f t="shared" ca="1" si="349"/>
        <v>0</v>
      </c>
      <c r="AG131" s="395">
        <f t="shared" ca="1" si="349"/>
        <v>0</v>
      </c>
      <c r="AH131" s="395">
        <f t="shared" ca="1" si="349"/>
        <v>0</v>
      </c>
      <c r="AI131" s="395">
        <f t="shared" ca="1" si="349"/>
        <v>0</v>
      </c>
      <c r="AJ131" s="395">
        <f t="shared" ca="1" si="349"/>
        <v>0</v>
      </c>
      <c r="AK131" s="395">
        <f t="shared" ca="1" si="349"/>
        <v>0</v>
      </c>
      <c r="AL131" s="395">
        <f t="shared" ca="1" si="349"/>
        <v>0</v>
      </c>
      <c r="AM131" s="395">
        <f t="shared" ca="1" si="349"/>
        <v>0</v>
      </c>
      <c r="AN131" s="395">
        <f t="shared" ca="1" si="349"/>
        <v>0</v>
      </c>
      <c r="AO131" s="395">
        <f t="shared" ca="1" si="349"/>
        <v>0</v>
      </c>
      <c r="AP131" s="395">
        <f t="shared" ca="1" si="349"/>
        <v>0</v>
      </c>
      <c r="AQ131" s="395">
        <f t="shared" ca="1" si="349"/>
        <v>0</v>
      </c>
      <c r="AR131" s="395">
        <f t="shared" ca="1" si="349"/>
        <v>0.15</v>
      </c>
      <c r="AS131" s="395">
        <f t="shared" ca="1" si="349"/>
        <v>0</v>
      </c>
      <c r="AT131" s="395">
        <f t="shared" ca="1" si="349"/>
        <v>3.8499999999999993E-2</v>
      </c>
      <c r="AU131" s="395">
        <f t="shared" ca="1" si="349"/>
        <v>4.5652173913043478E-2</v>
      </c>
      <c r="AV131" s="395">
        <f t="shared" ca="1" si="349"/>
        <v>4.7173913043478261E-2</v>
      </c>
      <c r="AW131" s="395">
        <f t="shared" ca="1" si="349"/>
        <v>4.7173913043478261E-2</v>
      </c>
      <c r="AX131" s="395">
        <f t="shared" ca="1" si="349"/>
        <v>4.5652173913043478E-2</v>
      </c>
      <c r="AY131" s="395">
        <f t="shared" ca="1" si="349"/>
        <v>4.7173913043478261E-2</v>
      </c>
      <c r="AZ131" s="395">
        <f t="shared" ca="1" si="349"/>
        <v>4.5652173913043478E-2</v>
      </c>
      <c r="BA131" s="395">
        <f t="shared" ca="1" si="349"/>
        <v>4.7173913043478261E-2</v>
      </c>
      <c r="BB131" s="395">
        <f t="shared" ca="1" si="349"/>
        <v>4.7173913043478261E-2</v>
      </c>
      <c r="BC131" s="395">
        <f t="shared" ca="1" si="349"/>
        <v>4.2608695652173914E-2</v>
      </c>
      <c r="BD131" s="395">
        <f t="shared" ca="1" si="349"/>
        <v>4.7173913043478261E-2</v>
      </c>
      <c r="BE131" s="395">
        <f t="shared" ca="1" si="349"/>
        <v>4.5652173913043478E-2</v>
      </c>
      <c r="BF131" s="395">
        <f t="shared" ca="1" si="349"/>
        <v>4.7173913043478261E-2</v>
      </c>
      <c r="BG131" s="395">
        <f t="shared" ca="1" si="349"/>
        <v>4.5652173913043478E-2</v>
      </c>
      <c r="BH131" s="395">
        <f t="shared" ca="1" si="349"/>
        <v>4.7173913043478261E-2</v>
      </c>
      <c r="BI131" s="395">
        <f t="shared" ca="1" si="349"/>
        <v>1.3239130434782592E-2</v>
      </c>
      <c r="BJ131" s="395">
        <f t="shared" ca="1" si="349"/>
        <v>0.125</v>
      </c>
      <c r="BK131" s="395">
        <f t="shared" ca="1" si="349"/>
        <v>0</v>
      </c>
      <c r="BL131" s="395">
        <f t="shared" ca="1" si="349"/>
        <v>0</v>
      </c>
      <c r="BM131" s="395">
        <f t="shared" ca="1" si="349"/>
        <v>0</v>
      </c>
      <c r="BN131" s="395">
        <f t="shared" ca="1" si="349"/>
        <v>0</v>
      </c>
      <c r="BO131" s="395">
        <f t="shared" ca="1" si="349"/>
        <v>0</v>
      </c>
      <c r="BP131" s="395">
        <f t="shared" ca="1" si="349"/>
        <v>0</v>
      </c>
      <c r="BQ131" s="395">
        <f t="shared" ca="1" si="349"/>
        <v>0</v>
      </c>
      <c r="BR131" s="395">
        <f t="shared" ca="1" si="349"/>
        <v>0</v>
      </c>
      <c r="BS131" s="395">
        <f t="shared" ca="1" si="349"/>
        <v>0</v>
      </c>
      <c r="BT131" s="395">
        <f t="shared" ref="BT131:EE131" ca="1" si="350">SUM(BT132:BT136)</f>
        <v>0</v>
      </c>
      <c r="BU131" s="395">
        <f t="shared" ca="1" si="350"/>
        <v>0</v>
      </c>
      <c r="BV131" s="395">
        <f t="shared" ca="1" si="350"/>
        <v>0</v>
      </c>
      <c r="BW131" s="395">
        <f t="shared" ca="1" si="350"/>
        <v>0</v>
      </c>
      <c r="BX131" s="395">
        <f t="shared" ca="1" si="350"/>
        <v>0</v>
      </c>
      <c r="BY131" s="395">
        <f t="shared" ca="1" si="350"/>
        <v>0</v>
      </c>
      <c r="BZ131" s="395">
        <f t="shared" ca="1" si="350"/>
        <v>0</v>
      </c>
      <c r="CA131" s="395">
        <f t="shared" ca="1" si="350"/>
        <v>0</v>
      </c>
      <c r="CB131" s="395">
        <f t="shared" ca="1" si="350"/>
        <v>0</v>
      </c>
      <c r="CC131" s="395">
        <f t="shared" ca="1" si="350"/>
        <v>0</v>
      </c>
      <c r="CD131" s="395">
        <f t="shared" ca="1" si="350"/>
        <v>0</v>
      </c>
      <c r="CE131" s="395">
        <f t="shared" ca="1" si="350"/>
        <v>0</v>
      </c>
      <c r="CF131" s="395">
        <f t="shared" ca="1" si="350"/>
        <v>0</v>
      </c>
      <c r="CG131" s="395">
        <f t="shared" ca="1" si="350"/>
        <v>2.5000000000000001E-2</v>
      </c>
      <c r="CH131" s="395">
        <f t="shared" ca="1" si="350"/>
        <v>0</v>
      </c>
      <c r="CI131" s="395">
        <f t="shared" ca="1" si="350"/>
        <v>0</v>
      </c>
      <c r="CJ131" s="395">
        <f t="shared" ca="1" si="350"/>
        <v>0</v>
      </c>
      <c r="CK131" s="395">
        <f t="shared" ca="1" si="350"/>
        <v>0</v>
      </c>
      <c r="CL131" s="395">
        <f t="shared" ca="1" si="350"/>
        <v>0</v>
      </c>
      <c r="CM131" s="395">
        <f t="shared" ca="1" si="350"/>
        <v>0</v>
      </c>
      <c r="CN131" s="395">
        <f t="shared" ca="1" si="350"/>
        <v>0</v>
      </c>
      <c r="CO131" s="395">
        <f t="shared" ca="1" si="350"/>
        <v>0</v>
      </c>
      <c r="CP131" s="395">
        <f t="shared" ca="1" si="350"/>
        <v>0</v>
      </c>
      <c r="CQ131" s="395">
        <f t="shared" ca="1" si="350"/>
        <v>0</v>
      </c>
      <c r="CR131" s="395">
        <f t="shared" ca="1" si="350"/>
        <v>0</v>
      </c>
      <c r="CS131" s="395">
        <f t="shared" ca="1" si="350"/>
        <v>0</v>
      </c>
      <c r="CT131" s="395">
        <f t="shared" ca="1" si="350"/>
        <v>0</v>
      </c>
      <c r="CU131" s="395">
        <f t="shared" ca="1" si="350"/>
        <v>0</v>
      </c>
      <c r="CV131" s="395">
        <f t="shared" ca="1" si="350"/>
        <v>0</v>
      </c>
      <c r="CW131" s="395">
        <f t="shared" ca="1" si="350"/>
        <v>0</v>
      </c>
      <c r="CX131" s="395">
        <f t="shared" ca="1" si="350"/>
        <v>0</v>
      </c>
      <c r="CY131" s="395">
        <f t="shared" ca="1" si="350"/>
        <v>0</v>
      </c>
      <c r="CZ131" s="395">
        <f t="shared" ca="1" si="350"/>
        <v>0</v>
      </c>
      <c r="DA131" s="395">
        <f t="shared" ca="1" si="350"/>
        <v>0</v>
      </c>
      <c r="DB131" s="395">
        <f t="shared" ca="1" si="350"/>
        <v>0</v>
      </c>
      <c r="DC131" s="395">
        <f t="shared" ca="1" si="350"/>
        <v>0</v>
      </c>
      <c r="DD131" s="395">
        <f t="shared" ca="1" si="350"/>
        <v>0</v>
      </c>
      <c r="DE131" s="395">
        <f t="shared" ca="1" si="350"/>
        <v>0</v>
      </c>
      <c r="DF131" s="395">
        <f t="shared" ca="1" si="350"/>
        <v>0</v>
      </c>
      <c r="DG131" s="395">
        <f t="shared" ca="1" si="350"/>
        <v>0</v>
      </c>
      <c r="DH131" s="395">
        <f t="shared" ca="1" si="350"/>
        <v>0</v>
      </c>
      <c r="DI131" s="395">
        <f t="shared" ca="1" si="350"/>
        <v>0</v>
      </c>
      <c r="DJ131" s="395">
        <f t="shared" ca="1" si="350"/>
        <v>0</v>
      </c>
      <c r="DK131" s="395">
        <f t="shared" ca="1" si="350"/>
        <v>0</v>
      </c>
      <c r="DL131" s="395">
        <f t="shared" ca="1" si="350"/>
        <v>0</v>
      </c>
      <c r="DM131" s="395">
        <f t="shared" ca="1" si="350"/>
        <v>0</v>
      </c>
      <c r="DN131" s="395">
        <f t="shared" ca="1" si="350"/>
        <v>0</v>
      </c>
      <c r="DO131" s="395">
        <f t="shared" ca="1" si="350"/>
        <v>0</v>
      </c>
      <c r="DP131" s="395">
        <f t="shared" ca="1" si="350"/>
        <v>0</v>
      </c>
      <c r="DQ131" s="395">
        <f t="shared" ca="1" si="350"/>
        <v>0</v>
      </c>
      <c r="DR131" s="395">
        <f t="shared" ca="1" si="350"/>
        <v>0</v>
      </c>
      <c r="DS131" s="395">
        <f t="shared" ca="1" si="350"/>
        <v>0</v>
      </c>
      <c r="DT131" s="395">
        <f t="shared" ca="1" si="350"/>
        <v>0</v>
      </c>
      <c r="DU131" s="395">
        <f t="shared" ca="1" si="350"/>
        <v>0</v>
      </c>
      <c r="DV131" s="395">
        <f t="shared" ca="1" si="350"/>
        <v>0</v>
      </c>
      <c r="DW131" s="395">
        <f t="shared" ca="1" si="350"/>
        <v>0</v>
      </c>
      <c r="DX131" s="395">
        <f t="shared" ca="1" si="350"/>
        <v>0</v>
      </c>
      <c r="DY131" s="395">
        <f t="shared" ca="1" si="350"/>
        <v>0</v>
      </c>
      <c r="DZ131" s="395">
        <f t="shared" ca="1" si="350"/>
        <v>0</v>
      </c>
      <c r="EA131" s="395">
        <f t="shared" ca="1" si="350"/>
        <v>0</v>
      </c>
      <c r="EB131" s="395">
        <f t="shared" ca="1" si="350"/>
        <v>0</v>
      </c>
      <c r="EC131" s="395">
        <f t="shared" ca="1" si="350"/>
        <v>0</v>
      </c>
      <c r="ED131" s="395">
        <f t="shared" ca="1" si="350"/>
        <v>0</v>
      </c>
      <c r="EE131" s="395">
        <f t="shared" ca="1" si="350"/>
        <v>0</v>
      </c>
      <c r="EF131" s="395">
        <f t="shared" ref="EF131:EI131" ca="1" si="351">SUM(EF132:EF136)</f>
        <v>0</v>
      </c>
      <c r="EG131" s="395">
        <f t="shared" ca="1" si="351"/>
        <v>0</v>
      </c>
      <c r="EH131" s="395">
        <f t="shared" ca="1" si="351"/>
        <v>0</v>
      </c>
      <c r="EI131" s="395">
        <f t="shared" ca="1" si="351"/>
        <v>0</v>
      </c>
      <c r="EJ131" s="398"/>
      <c r="EK131" s="313"/>
    </row>
    <row r="132" spans="1:141" hidden="1" outlineLevel="2">
      <c r="A132" s="332"/>
      <c r="B132" s="549">
        <f>длительность!B188</f>
        <v>0.15</v>
      </c>
      <c r="C132" s="317"/>
      <c r="D132" s="317" t="s">
        <v>664</v>
      </c>
      <c r="E132" s="318">
        <f t="shared" ref="E132:E136" ca="1" si="352">IF(F132=0,0,B132-F132)</f>
        <v>0</v>
      </c>
      <c r="F132" s="397">
        <f t="shared" ca="1" si="283"/>
        <v>0.15</v>
      </c>
      <c r="G132" s="395"/>
      <c r="H132" s="395">
        <f ca="1">IF(SUM($G132:G132)=$B132,0,IF(J133&gt;0%,$B132,0%))</f>
        <v>0</v>
      </c>
      <c r="I132" s="395">
        <f ca="1">IF(SUM($G132:H132)=$B132,0,IF(K133&gt;0%,$B132,0%))</f>
        <v>0</v>
      </c>
      <c r="J132" s="395">
        <f ca="1">IF(SUM($G132:I132)=$B132,0,IF(L133&gt;0%,$B132,0%))</f>
        <v>0</v>
      </c>
      <c r="K132" s="395">
        <f ca="1">IF(SUM($G132:J132)=$B132,0,IF(M133&gt;0%,$B132,0%))</f>
        <v>0</v>
      </c>
      <c r="L132" s="395">
        <f ca="1">IF(SUM($G132:K132)=$B132,0,IF(N133&gt;0%,$B132,0%))</f>
        <v>0</v>
      </c>
      <c r="M132" s="395">
        <f ca="1">IF(SUM($G132:L132)=$B132,0,IF(O133&gt;0%,$B132,0%))</f>
        <v>0</v>
      </c>
      <c r="N132" s="395">
        <f ca="1">IF(SUM($G132:M132)=$B132,0,IF(P133&gt;0%,$B132,0%))</f>
        <v>0</v>
      </c>
      <c r="O132" s="395">
        <f ca="1">IF(SUM($G132:N132)=$B132,0,IF(Q133&gt;0%,$B132,0%))</f>
        <v>0</v>
      </c>
      <c r="P132" s="395">
        <f ca="1">IF(SUM($G132:O132)=$B132,0,IF(R133&gt;0%,$B132,0%))</f>
        <v>0</v>
      </c>
      <c r="Q132" s="395">
        <f ca="1">IF(SUM($G132:P132)=$B132,0,IF(S133&gt;0%,$B132,0%))</f>
        <v>0</v>
      </c>
      <c r="R132" s="395">
        <f ca="1">IF(SUM($G132:Q132)=$B132,0,IF(T133&gt;0%,$B132,0%))</f>
        <v>0</v>
      </c>
      <c r="S132" s="395">
        <f ca="1">IF(SUM($G132:R132)=$B132,0,IF(U133&gt;0%,$B132,0%))</f>
        <v>0</v>
      </c>
      <c r="T132" s="395">
        <f ca="1">IF(SUM($G132:S132)=$B132,0,IF(V133&gt;0%,$B132,0%))</f>
        <v>0</v>
      </c>
      <c r="U132" s="395">
        <f ca="1">IF(SUM($G132:T132)=$B132,0,IF(W133&gt;0%,$B132,0%))</f>
        <v>0</v>
      </c>
      <c r="V132" s="395">
        <f ca="1">IF(SUM($G132:U132)=$B132,0,IF(X133&gt;0%,$B132,0%))</f>
        <v>0</v>
      </c>
      <c r="W132" s="395">
        <f ca="1">IF(SUM($G132:V132)=$B132,0,IF(Y133&gt;0%,$B132,0%))</f>
        <v>0</v>
      </c>
      <c r="X132" s="395">
        <f ca="1">IF(SUM($G132:W132)=$B132,0,IF(Z133&gt;0%,$B132,0%))</f>
        <v>0</v>
      </c>
      <c r="Y132" s="395">
        <f ca="1">IF(SUM($G132:X132)=$B132,0,IF(AA133&gt;0%,$B132,0%))</f>
        <v>0</v>
      </c>
      <c r="Z132" s="395">
        <f ca="1">IF(SUM($G132:Y132)=$B132,0,IF(AB133&gt;0%,$B132,0%))</f>
        <v>0</v>
      </c>
      <c r="AA132" s="395">
        <f ca="1">IF(SUM($G132:Z132)=$B132,0,IF(AC133&gt;0%,$B132,0%))</f>
        <v>0</v>
      </c>
      <c r="AB132" s="395">
        <f ca="1">IF(SUM($G132:AA132)=$B132,0,IF(AD133&gt;0%,$B132,0%))</f>
        <v>0</v>
      </c>
      <c r="AC132" s="395">
        <f ca="1">IF(SUM($G132:AB132)=$B132,0,IF(AE133&gt;0%,$B132,0%))</f>
        <v>0</v>
      </c>
      <c r="AD132" s="395">
        <f ca="1">IF(SUM($G132:AC132)=$B132,0,IF(AF133&gt;0%,$B132,0%))</f>
        <v>0</v>
      </c>
      <c r="AE132" s="395">
        <f ca="1">IF(SUM($G132:AD132)=$B132,0,IF(AG133&gt;0%,$B132,0%))</f>
        <v>0</v>
      </c>
      <c r="AF132" s="395">
        <f ca="1">IF(SUM($G132:AE132)=$B132,0,IF(AH133&gt;0%,$B132,0%))</f>
        <v>0</v>
      </c>
      <c r="AG132" s="395">
        <f ca="1">IF(SUM($G132:AF132)=$B132,0,IF(AI133&gt;0%,$B132,0%))</f>
        <v>0</v>
      </c>
      <c r="AH132" s="395">
        <f ca="1">IF(SUM($G132:AG132)=$B132,0,IF(AJ133&gt;0%,$B132,0%))</f>
        <v>0</v>
      </c>
      <c r="AI132" s="395">
        <f ca="1">IF(SUM($G132:AH132)=$B132,0,IF(AK133&gt;0%,$B132,0%))</f>
        <v>0</v>
      </c>
      <c r="AJ132" s="395">
        <f ca="1">IF(SUM($G132:AI132)=$B132,0,IF(AL133&gt;0%,$B132,0%))</f>
        <v>0</v>
      </c>
      <c r="AK132" s="395">
        <f ca="1">IF(SUM($G132:AJ132)=$B132,0,IF(AM133&gt;0%,$B132,0%))</f>
        <v>0</v>
      </c>
      <c r="AL132" s="395">
        <f ca="1">IF(SUM($G132:AK132)=$B132,0,IF(AN133&gt;0%,$B132,0%))</f>
        <v>0</v>
      </c>
      <c r="AM132" s="395">
        <f ca="1">IF(SUM($G132:AL132)=$B132,0,IF(AO133&gt;0%,$B132,0%))</f>
        <v>0</v>
      </c>
      <c r="AN132" s="395">
        <f ca="1">IF(SUM($G132:AM132)=$B132,0,IF(AP133&gt;0%,$B132,0%))</f>
        <v>0</v>
      </c>
      <c r="AO132" s="395">
        <f ca="1">IF(SUM($G132:AN132)=$B132,0,IF(AQ133&gt;0%,$B132,0%))</f>
        <v>0</v>
      </c>
      <c r="AP132" s="395">
        <f ca="1">IF(SUM($G132:AO132)=$B132,0,IF(AR133&gt;0%,$B132,0%))</f>
        <v>0</v>
      </c>
      <c r="AQ132" s="395">
        <f ca="1">IF(SUM($G132:AP132)=$B132,0,IF(AS133&gt;0%,$B132,0%))</f>
        <v>0</v>
      </c>
      <c r="AR132" s="395">
        <f ca="1">IF(SUM($G132:AQ132)=$B132,0,IF(AT133&gt;0%,$B132,0%))</f>
        <v>0.15</v>
      </c>
      <c r="AS132" s="395">
        <f ca="1">IF(SUM($G132:AR132)=$B132,0,IF(AU133&gt;0%,$B132,0%))</f>
        <v>0</v>
      </c>
      <c r="AT132" s="395">
        <f ca="1">IF(SUM($G132:AS132)=$B132,0,IF(AV133&gt;0%,$B132,0%))</f>
        <v>0</v>
      </c>
      <c r="AU132" s="395">
        <f ca="1">IF(SUM($G132:AT132)=$B132,0,IF(AW133&gt;0%,$B132,0%))</f>
        <v>0</v>
      </c>
      <c r="AV132" s="395">
        <f ca="1">IF(SUM($G132:AU132)=$B132,0,IF(AX133&gt;0%,$B132,0%))</f>
        <v>0</v>
      </c>
      <c r="AW132" s="395">
        <f ca="1">IF(SUM($G132:AV132)=$B132,0,IF(AY133&gt;0%,$B132,0%))</f>
        <v>0</v>
      </c>
      <c r="AX132" s="395">
        <f ca="1">IF(SUM($G132:AW132)=$B132,0,IF(AZ133&gt;0%,$B132,0%))</f>
        <v>0</v>
      </c>
      <c r="AY132" s="395">
        <f ca="1">IF(SUM($G132:AX132)=$B132,0,IF(BA133&gt;0%,$B132,0%))</f>
        <v>0</v>
      </c>
      <c r="AZ132" s="395">
        <f ca="1">IF(SUM($G132:AY132)=$B132,0,IF(BB133&gt;0%,$B132,0%))</f>
        <v>0</v>
      </c>
      <c r="BA132" s="395">
        <f ca="1">IF(SUM($G132:AZ132)=$B132,0,IF(BC133&gt;0%,$B132,0%))</f>
        <v>0</v>
      </c>
      <c r="BB132" s="395">
        <f ca="1">IF(SUM($G132:BA132)=$B132,0,IF(BD133&gt;0%,$B132,0%))</f>
        <v>0</v>
      </c>
      <c r="BC132" s="395">
        <f ca="1">IF(SUM($G132:BB132)=$B132,0,IF(BE133&gt;0%,$B132,0%))</f>
        <v>0</v>
      </c>
      <c r="BD132" s="395">
        <f ca="1">IF(SUM($G132:BC132)=$B132,0,IF(BF133&gt;0%,$B132,0%))</f>
        <v>0</v>
      </c>
      <c r="BE132" s="395">
        <f ca="1">IF(SUM($G132:BD132)=$B132,0,IF(BG133&gt;0%,$B132,0%))</f>
        <v>0</v>
      </c>
      <c r="BF132" s="395">
        <f ca="1">IF(SUM($G132:BE132)=$B132,0,IF(BH133&gt;0%,$B132,0%))</f>
        <v>0</v>
      </c>
      <c r="BG132" s="395">
        <f ca="1">IF(SUM($G132:BF132)=$B132,0,IF(BI133&gt;0%,$B132,0%))</f>
        <v>0</v>
      </c>
      <c r="BH132" s="395">
        <f ca="1">IF(SUM($G132:BG132)=$B132,0,IF(BJ133&gt;0%,$B132,0%))</f>
        <v>0</v>
      </c>
      <c r="BI132" s="395">
        <f ca="1">IF(SUM($G132:BH132)=$B132,0,IF(BK133&gt;0%,$B132,0%))</f>
        <v>0</v>
      </c>
      <c r="BJ132" s="395">
        <f ca="1">IF(SUM($G132:BI132)=$B132,0,IF(BL133&gt;0%,$B132,0%))</f>
        <v>0</v>
      </c>
      <c r="BK132" s="395">
        <f ca="1">IF(SUM($G132:BJ132)=$B132,0,IF(BM133&gt;0%,$B132,0%))</f>
        <v>0</v>
      </c>
      <c r="BL132" s="395">
        <f ca="1">IF(SUM($G132:BK132)=$B132,0,IF(BN133&gt;0%,$B132,0%))</f>
        <v>0</v>
      </c>
      <c r="BM132" s="395">
        <f ca="1">IF(SUM($G132:BL132)=$B132,0,IF(BO133&gt;0%,$B132,0%))</f>
        <v>0</v>
      </c>
      <c r="BN132" s="395">
        <f ca="1">IF(SUM($G132:BM132)=$B132,0,IF(BP133&gt;0%,$B132,0%))</f>
        <v>0</v>
      </c>
      <c r="BO132" s="395">
        <f ca="1">IF(SUM($G132:BN132)=$B132,0,IF(BQ133&gt;0%,$B132,0%))</f>
        <v>0</v>
      </c>
      <c r="BP132" s="395">
        <f ca="1">IF(SUM($G132:BO132)=$B132,0,IF(BR133&gt;0%,$B132,0%))</f>
        <v>0</v>
      </c>
      <c r="BQ132" s="395">
        <f ca="1">IF(SUM($G132:BP132)=$B132,0,IF(BS133&gt;0%,$B132,0%))</f>
        <v>0</v>
      </c>
      <c r="BR132" s="395">
        <f ca="1">IF(SUM($G132:BQ132)=$B132,0,IF(BT133&gt;0%,$B132,0%))</f>
        <v>0</v>
      </c>
      <c r="BS132" s="395">
        <f ca="1">IF(SUM($G132:BR132)=$B132,0,IF(BU133&gt;0%,$B132,0%))</f>
        <v>0</v>
      </c>
      <c r="BT132" s="395">
        <f ca="1">IF(SUM($G132:BS132)=$B132,0,IF(BV133&gt;0%,$B132,0%))</f>
        <v>0</v>
      </c>
      <c r="BU132" s="395">
        <f ca="1">IF(SUM($G132:BT132)=$B132,0,IF(BW133&gt;0%,$B132,0%))</f>
        <v>0</v>
      </c>
      <c r="BV132" s="395">
        <f ca="1">IF(SUM($G132:BU132)=$B132,0,IF(BX133&gt;0%,$B132,0%))</f>
        <v>0</v>
      </c>
      <c r="BW132" s="395">
        <f ca="1">IF(SUM($G132:BV132)=$B132,0,IF(BY133&gt;0%,$B132,0%))</f>
        <v>0</v>
      </c>
      <c r="BX132" s="395">
        <f ca="1">IF(SUM($G132:BW132)=$B132,0,IF(BZ133&gt;0%,$B132,0%))</f>
        <v>0</v>
      </c>
      <c r="BY132" s="395">
        <f ca="1">IF(SUM($G132:BX132)=$B132,0,IF(CA133&gt;0%,$B132,0%))</f>
        <v>0</v>
      </c>
      <c r="BZ132" s="395">
        <f ca="1">IF(SUM($G132:BY132)=$B132,0,IF(CB133&gt;0%,$B132,0%))</f>
        <v>0</v>
      </c>
      <c r="CA132" s="395">
        <f ca="1">IF(SUM($G132:BZ132)=$B132,0,IF(CC133&gt;0%,$B132,0%))</f>
        <v>0</v>
      </c>
      <c r="CB132" s="395">
        <f ca="1">IF(SUM($G132:CA132)=$B132,0,IF(CD133&gt;0%,$B132,0%))</f>
        <v>0</v>
      </c>
      <c r="CC132" s="395">
        <f ca="1">IF(SUM($G132:CB132)=$B132,0,IF(CE133&gt;0%,$B132,0%))</f>
        <v>0</v>
      </c>
      <c r="CD132" s="395">
        <f ca="1">IF(SUM($G132:CC132)=$B132,0,IF(CF133&gt;0%,$B132,0%))</f>
        <v>0</v>
      </c>
      <c r="CE132" s="395">
        <f ca="1">IF(SUM($G132:CD132)=$B132,0,IF(CG133&gt;0%,$B132,0%))</f>
        <v>0</v>
      </c>
      <c r="CF132" s="395">
        <f ca="1">IF(SUM($G132:CE132)=$B132,0,IF(CH133&gt;0%,$B132,0%))</f>
        <v>0</v>
      </c>
      <c r="CG132" s="395">
        <f ca="1">IF(SUM($G132:CF132)=$B132,0,IF(CI133&gt;0%,$B132,0%))</f>
        <v>0</v>
      </c>
      <c r="CH132" s="395">
        <f ca="1">IF(SUM($G132:CG132)=$B132,0,IF(CJ133&gt;0%,$B132,0%))</f>
        <v>0</v>
      </c>
      <c r="CI132" s="395">
        <f ca="1">IF(SUM($G132:CH132)=$B132,0,IF(CK133&gt;0%,$B132,0%))</f>
        <v>0</v>
      </c>
      <c r="CJ132" s="395">
        <f ca="1">IF(SUM($G132:CI132)=$B132,0,IF(CL133&gt;0%,$B132,0%))</f>
        <v>0</v>
      </c>
      <c r="CK132" s="395">
        <f ca="1">IF(SUM($G132:CJ132)=$B132,0,IF(CM133&gt;0%,$B132,0%))</f>
        <v>0</v>
      </c>
      <c r="CL132" s="395">
        <f ca="1">IF(SUM($G132:CK132)=$B132,0,IF(CN133&gt;0%,$B132,0%))</f>
        <v>0</v>
      </c>
      <c r="CM132" s="395">
        <f ca="1">IF(SUM($G132:CL132)=$B132,0,IF(CO133&gt;0%,$B132,0%))</f>
        <v>0</v>
      </c>
      <c r="CN132" s="395">
        <f ca="1">IF(SUM($G132:CM132)=$B132,0,IF(CP133&gt;0%,$B132,0%))</f>
        <v>0</v>
      </c>
      <c r="CO132" s="395">
        <f ca="1">IF(SUM($G132:CN132)=$B132,0,IF(CQ133&gt;0%,$B132,0%))</f>
        <v>0</v>
      </c>
      <c r="CP132" s="395">
        <f ca="1">IF(SUM($G132:CO132)=$B132,0,IF(CR133&gt;0%,$B132,0%))</f>
        <v>0</v>
      </c>
      <c r="CQ132" s="395">
        <f ca="1">IF(SUM($G132:CP132)=$B132,0,IF(CS133&gt;0%,$B132,0%))</f>
        <v>0</v>
      </c>
      <c r="CR132" s="395">
        <f ca="1">IF(SUM($G132:CQ132)=$B132,0,IF(CT133&gt;0%,$B132,0%))</f>
        <v>0</v>
      </c>
      <c r="CS132" s="395">
        <f ca="1">IF(SUM($G132:CR132)=$B132,0,IF(CU133&gt;0%,$B132,0%))</f>
        <v>0</v>
      </c>
      <c r="CT132" s="395">
        <f ca="1">IF(SUM($G132:CS132)=$B132,0,IF(CV133&gt;0%,$B132,0%))</f>
        <v>0</v>
      </c>
      <c r="CU132" s="395">
        <f ca="1">IF(SUM($G132:CT132)=$B132,0,IF(CW133&gt;0%,$B132,0%))</f>
        <v>0</v>
      </c>
      <c r="CV132" s="395">
        <f ca="1">IF(SUM($G132:CU132)=$B132,0,IF(CX133&gt;0%,$B132,0%))</f>
        <v>0</v>
      </c>
      <c r="CW132" s="395">
        <f ca="1">IF(SUM($G132:CV132)=$B132,0,IF(CY133&gt;0%,$B132,0%))</f>
        <v>0</v>
      </c>
      <c r="CX132" s="395">
        <f ca="1">IF(SUM($G132:CW132)=$B132,0,IF(CZ133&gt;0%,$B132,0%))</f>
        <v>0</v>
      </c>
      <c r="CY132" s="395">
        <f ca="1">IF(SUM($G132:CX132)=$B132,0,IF(DA133&gt;0%,$B132,0%))</f>
        <v>0</v>
      </c>
      <c r="CZ132" s="395">
        <f ca="1">IF(SUM($G132:CY132)=$B132,0,IF(DB133&gt;0%,$B132,0%))</f>
        <v>0</v>
      </c>
      <c r="DA132" s="395">
        <f ca="1">IF(SUM($G132:CZ132)=$B132,0,IF(DC133&gt;0%,$B132,0%))</f>
        <v>0</v>
      </c>
      <c r="DB132" s="395">
        <f ca="1">IF(SUM($G132:DA132)=$B132,0,IF(DD133&gt;0%,$B132,0%))</f>
        <v>0</v>
      </c>
      <c r="DC132" s="395">
        <f ca="1">IF(SUM($G132:DB132)=$B132,0,IF(DE133&gt;0%,$B132,0%))</f>
        <v>0</v>
      </c>
      <c r="DD132" s="395">
        <f ca="1">IF(SUM($G132:DC132)=$B132,0,IF(DF133&gt;0%,$B132,0%))</f>
        <v>0</v>
      </c>
      <c r="DE132" s="395">
        <f ca="1">IF(SUM($G132:DD132)=$B132,0,IF(DG133&gt;0%,$B132,0%))</f>
        <v>0</v>
      </c>
      <c r="DF132" s="395">
        <f ca="1">IF(SUM($G132:DE132)=$B132,0,IF(DH133&gt;0%,$B132,0%))</f>
        <v>0</v>
      </c>
      <c r="DG132" s="395">
        <f ca="1">IF(SUM($G132:DF132)=$B132,0,IF(DI133&gt;0%,$B132,0%))</f>
        <v>0</v>
      </c>
      <c r="DH132" s="395">
        <f ca="1">IF(SUM($G132:DG132)=$B132,0,IF(DJ133&gt;0%,$B132,0%))</f>
        <v>0</v>
      </c>
      <c r="DI132" s="395">
        <f ca="1">IF(SUM($G132:DH132)=$B132,0,IF(DK133&gt;0%,$B132,0%))</f>
        <v>0</v>
      </c>
      <c r="DJ132" s="395">
        <f ca="1">IF(SUM($G132:DI132)=$B132,0,IF(DL133&gt;0%,$B132,0%))</f>
        <v>0</v>
      </c>
      <c r="DK132" s="395">
        <f ca="1">IF(SUM($G132:DJ132)=$B132,0,IF(DM133&gt;0%,$B132,0%))</f>
        <v>0</v>
      </c>
      <c r="DL132" s="395">
        <f ca="1">IF(SUM($G132:DK132)=$B132,0,IF(DN133&gt;0%,$B132,0%))</f>
        <v>0</v>
      </c>
      <c r="DM132" s="395">
        <f ca="1">IF(SUM($G132:DL132)=$B132,0,IF(DO133&gt;0%,$B132,0%))</f>
        <v>0</v>
      </c>
      <c r="DN132" s="395">
        <f ca="1">IF(SUM($G132:DM132)=$B132,0,IF(DP133&gt;0%,$B132,0%))</f>
        <v>0</v>
      </c>
      <c r="DO132" s="395">
        <f ca="1">IF(SUM($G132:DN132)=$B132,0,IF(DQ133&gt;0%,$B132,0%))</f>
        <v>0</v>
      </c>
      <c r="DP132" s="395">
        <f ca="1">IF(SUM($G132:DO132)=$B132,0,IF(DR133&gt;0%,$B132,0%))</f>
        <v>0</v>
      </c>
      <c r="DQ132" s="395">
        <f ca="1">IF(SUM($G132:DP132)=$B132,0,IF(DS133&gt;0%,$B132,0%))</f>
        <v>0</v>
      </c>
      <c r="DR132" s="395">
        <f ca="1">IF(SUM($G132:DQ132)=$B132,0,IF(DT133&gt;0%,$B132,0%))</f>
        <v>0</v>
      </c>
      <c r="DS132" s="395">
        <f ca="1">IF(SUM($G132:DR132)=$B132,0,IF(DU133&gt;0%,$B132,0%))</f>
        <v>0</v>
      </c>
      <c r="DT132" s="395">
        <f ca="1">IF(SUM($G132:DS132)=$B132,0,IF(DV133&gt;0%,$B132,0%))</f>
        <v>0</v>
      </c>
      <c r="DU132" s="395">
        <f ca="1">IF(SUM($G132:DT132)=$B132,0,IF(DW133&gt;0%,$B132,0%))</f>
        <v>0</v>
      </c>
      <c r="DV132" s="395">
        <f ca="1">IF(SUM($G132:DU132)=$B132,0,IF(DX133&gt;0%,$B132,0%))</f>
        <v>0</v>
      </c>
      <c r="DW132" s="395">
        <f ca="1">IF(SUM($G132:DV132)=$B132,0,IF(DY133&gt;0%,$B132,0%))</f>
        <v>0</v>
      </c>
      <c r="DX132" s="395">
        <f ca="1">IF(SUM($G132:DW132)=$B132,0,IF(DZ133&gt;0%,$B132,0%))</f>
        <v>0</v>
      </c>
      <c r="DY132" s="395">
        <f ca="1">IF(SUM($G132:DX132)=$B132,0,IF(EA133&gt;0%,$B132,0%))</f>
        <v>0</v>
      </c>
      <c r="DZ132" s="395">
        <f ca="1">IF(SUM($G132:DY132)=$B132,0,IF(EB133&gt;0%,$B132,0%))</f>
        <v>0</v>
      </c>
      <c r="EA132" s="395">
        <f ca="1">IF(SUM($G132:DZ132)=$B132,0,IF(EC133&gt;0%,$B132,0%))</f>
        <v>0</v>
      </c>
      <c r="EB132" s="395">
        <f ca="1">IF(SUM($G132:EA132)=$B132,0,IF(ED133&gt;0%,$B132,0%))</f>
        <v>0</v>
      </c>
      <c r="EC132" s="395">
        <f ca="1">IF(SUM($G132:EB132)=$B132,0,IF(EE133&gt;0%,$B132,0%))</f>
        <v>0</v>
      </c>
      <c r="ED132" s="395">
        <f ca="1">IF(SUM($G132:EC132)=$B132,0,IF(EF133&gt;0%,$B132,0%))</f>
        <v>0</v>
      </c>
      <c r="EE132" s="395">
        <f ca="1">IF(SUM($G132:ED132)=$B132,0,IF(EG133&gt;0%,$B132,0%))</f>
        <v>0</v>
      </c>
      <c r="EF132" s="395">
        <f ca="1">IF(SUM($G132:EE132)=$B132,0,IF(EH133&gt;0%,$B132,0%))</f>
        <v>0</v>
      </c>
      <c r="EG132" s="395">
        <f ca="1">IF(SUM($G132:EF132)=$B132,0,IF(EI133&gt;0%,$B132,0%))</f>
        <v>0</v>
      </c>
      <c r="EH132" s="395">
        <f ca="1">IF(SUM($G132:EG132)=$B132,0,IF(EJ133&gt;0%,$B132,0%))</f>
        <v>0</v>
      </c>
      <c r="EI132" s="395">
        <f ca="1">IF(SUM($G132:EH132)=$B132,0,IF(EK133&gt;0%,$B132,0%))</f>
        <v>0</v>
      </c>
      <c r="EJ132" s="398"/>
      <c r="EK132" s="313"/>
    </row>
    <row r="133" spans="1:141" hidden="1" outlineLevel="2">
      <c r="A133" s="332"/>
      <c r="B133" s="549">
        <f>длительность!C188</f>
        <v>0.7</v>
      </c>
      <c r="C133" s="317"/>
      <c r="D133" s="317" t="s">
        <v>663</v>
      </c>
      <c r="E133" s="318">
        <f ca="1">ROUND(IF(F133=0,0,B133-F133),3)</f>
        <v>0</v>
      </c>
      <c r="F133" s="397">
        <f t="shared" ca="1" si="283"/>
        <v>0.7</v>
      </c>
      <c r="G133" s="395"/>
      <c r="H133" s="395"/>
      <c r="I133" s="395">
        <f ca="1">IF($E$304=0,0,IF(SUM($G133:H133)=$B133,0,IF(SUM($G304:H304)&gt;=$E304,($B133/$E304)*($E304-SUM($G304:G304)),($B133/$E304)*H304)))</f>
        <v>0</v>
      </c>
      <c r="J133" s="395">
        <f ca="1">IF($E$304=0,0,IF(SUM($G133:I133)=$B133,0,IF(SUM($G304:I304)&gt;=$E304,($B133/$E304)*($E304-SUM($G304:H304)),($B133/$E304)*I304)))</f>
        <v>0</v>
      </c>
      <c r="K133" s="395">
        <f ca="1">IF($E$304=0,0,IF(SUM($G133:J133)=$B133,0,IF(SUM($G304:J304)&gt;=$E304,($B133/$E304)*($E304-SUM($G304:I304)),($B133/$E304)*J304)))</f>
        <v>0</v>
      </c>
      <c r="L133" s="395">
        <f ca="1">IF($E$304=0,0,IF(SUM($G133:K133)=$B133,0,IF(SUM($G304:K304)&gt;=$E304,($B133/$E304)*($E304-SUM($G304:J304)),($B133/$E304)*K304)))</f>
        <v>0</v>
      </c>
      <c r="M133" s="395">
        <f ca="1">IF($E$304=0,0,IF(SUM($G133:L133)=$B133,0,IF(SUM($G304:L304)&gt;=$E304,($B133/$E304)*($E304-SUM($G304:K304)),($B133/$E304)*L304)))</f>
        <v>0</v>
      </c>
      <c r="N133" s="395">
        <f ca="1">IF($E$304=0,0,IF(SUM($G133:M133)=$B133,0,IF(SUM($G304:M304)&gt;=$E304,($B133/$E304)*($E304-SUM($G304:L304)),($B133/$E304)*M304)))</f>
        <v>0</v>
      </c>
      <c r="O133" s="395">
        <f ca="1">IF($E$304=0,0,IF(SUM($G133:N133)=$B133,0,IF(SUM($G304:N304)&gt;=$E304,($B133/$E304)*($E304-SUM($G304:M304)),($B133/$E304)*N304)))</f>
        <v>0</v>
      </c>
      <c r="P133" s="395">
        <f ca="1">IF($E$304=0,0,IF(SUM($G133:O133)=$B133,0,IF(SUM($G304:O304)&gt;=$E304,($B133/$E304)*($E304-SUM($G304:N304)),($B133/$E304)*O304)))</f>
        <v>0</v>
      </c>
      <c r="Q133" s="395">
        <f ca="1">IF($E$304=0,0,IF(SUM($G133:P133)=$B133,0,IF(SUM($G304:P304)&gt;=$E304,($B133/$E304)*($E304-SUM($G304:O304)),($B133/$E304)*P304)))</f>
        <v>0</v>
      </c>
      <c r="R133" s="395">
        <f ca="1">IF($E$304=0,0,IF(SUM($G133:Q133)=$B133,0,IF(SUM($G304:Q304)&gt;=$E304,($B133/$E304)*($E304-SUM($G304:P304)),($B133/$E304)*Q304)))</f>
        <v>0</v>
      </c>
      <c r="S133" s="395">
        <f ca="1">IF($E$304=0,0,IF(SUM($G133:R133)=$B133,0,IF(SUM($G304:R304)&gt;=$E304,($B133/$E304)*($E304-SUM($G304:Q304)),($B133/$E304)*R304)))</f>
        <v>0</v>
      </c>
      <c r="T133" s="395">
        <f ca="1">IF($E$304=0,0,IF(SUM($G133:S133)=$B133,0,IF(SUM($G304:S304)&gt;=$E304,($B133/$E304)*($E304-SUM($G304:R304)),($B133/$E304)*S304)))</f>
        <v>0</v>
      </c>
      <c r="U133" s="395">
        <f ca="1">IF($E$304=0,0,IF(SUM($G133:T133)=$B133,0,IF(SUM($G304:T304)&gt;=$E304,($B133/$E304)*($E304-SUM($G304:S304)),($B133/$E304)*T304)))</f>
        <v>0</v>
      </c>
      <c r="V133" s="395">
        <f ca="1">IF($E$304=0,0,IF(SUM($G133:U133)=$B133,0,IF(SUM($G304:U304)&gt;=$E304,($B133/$E304)*($E304-SUM($G304:T304)),($B133/$E304)*U304)))</f>
        <v>0</v>
      </c>
      <c r="W133" s="395">
        <f ca="1">IF($E$304=0,0,IF(SUM($G133:V133)=$B133,0,IF(SUM($G304:V304)&gt;=$E304,($B133/$E304)*($E304-SUM($G304:U304)),($B133/$E304)*V304)))</f>
        <v>0</v>
      </c>
      <c r="X133" s="395">
        <f ca="1">IF($E$304=0,0,IF(SUM($G133:W133)=$B133,0,IF(SUM($G304:W304)&gt;=$E304,($B133/$E304)*($E304-SUM($G304:V304)),($B133/$E304)*W304)))</f>
        <v>0</v>
      </c>
      <c r="Y133" s="395">
        <f ca="1">IF($E$304=0,0,IF(SUM($G133:X133)=$B133,0,IF(SUM($G304:X304)&gt;=$E304,($B133/$E304)*($E304-SUM($G304:W304)),($B133/$E304)*X304)))</f>
        <v>0</v>
      </c>
      <c r="Z133" s="395">
        <f ca="1">IF($E$304=0,0,IF(SUM($G133:Y133)=$B133,0,IF(SUM($G304:Y304)&gt;=$E304,($B133/$E304)*($E304-SUM($G304:X304)),($B133/$E304)*Y304)))</f>
        <v>0</v>
      </c>
      <c r="AA133" s="395">
        <f ca="1">IF($E$304=0,0,IF(SUM($G133:Z133)=$B133,0,IF(SUM($G304:Z304)&gt;=$E304,($B133/$E304)*($E304-SUM($G304:Y304)),($B133/$E304)*Z304)))</f>
        <v>0</v>
      </c>
      <c r="AB133" s="395">
        <f ca="1">IF($E$304=0,0,IF(SUM($G133:AA133)=$B133,0,IF(SUM($G304:AA304)&gt;=$E304,($B133/$E304)*($E304-SUM($G304:Z304)),($B133/$E304)*AA304)))</f>
        <v>0</v>
      </c>
      <c r="AC133" s="395">
        <f ca="1">IF($E$304=0,0,IF(SUM($G133:AB133)=$B133,0,IF(SUM($G304:AB304)&gt;=$E304,($B133/$E304)*($E304-SUM($G304:AA304)),($B133/$E304)*AB304)))</f>
        <v>0</v>
      </c>
      <c r="AD133" s="395">
        <f ca="1">IF($E$304=0,0,IF(SUM($G133:AC133)=$B133,0,IF(SUM($G304:AC304)&gt;=$E304,($B133/$E304)*($E304-SUM($G304:AB304)),($B133/$E304)*AC304)))</f>
        <v>0</v>
      </c>
      <c r="AE133" s="395">
        <f ca="1">IF($E$304=0,0,IF(SUM($G133:AD133)=$B133,0,IF(SUM($G304:AD304)&gt;=$E304,($B133/$E304)*($E304-SUM($G304:AC304)),($B133/$E304)*AD304)))</f>
        <v>0</v>
      </c>
      <c r="AF133" s="395">
        <f ca="1">IF($E$304=0,0,IF(SUM($G133:AE133)=$B133,0,IF(SUM($G304:AE304)&gt;=$E304,($B133/$E304)*($E304-SUM($G304:AD304)),($B133/$E304)*AE304)))</f>
        <v>0</v>
      </c>
      <c r="AG133" s="395">
        <f ca="1">IF($E$304=0,0,IF(SUM($G133:AF133)=$B133,0,IF(SUM($G304:AF304)&gt;=$E304,($B133/$E304)*($E304-SUM($G304:AE304)),($B133/$E304)*AF304)))</f>
        <v>0</v>
      </c>
      <c r="AH133" s="395">
        <f ca="1">IF($E$304=0,0,IF(SUM($G133:AG133)=$B133,0,IF(SUM($G304:AG304)&gt;=$E304,($B133/$E304)*($E304-SUM($G304:AF304)),($B133/$E304)*AG304)))</f>
        <v>0</v>
      </c>
      <c r="AI133" s="395">
        <f ca="1">IF($E$304=0,0,IF(SUM($G133:AH133)=$B133,0,IF(SUM($G304:AH304)&gt;=$E304,($B133/$E304)*($E304-SUM($G304:AG304)),($B133/$E304)*AH304)))</f>
        <v>0</v>
      </c>
      <c r="AJ133" s="395">
        <f ca="1">IF($E$304=0,0,IF(SUM($G133:AI133)=$B133,0,IF(SUM($G304:AI304)&gt;=$E304,($B133/$E304)*($E304-SUM($G304:AH304)),($B133/$E304)*AI304)))</f>
        <v>0</v>
      </c>
      <c r="AK133" s="395">
        <f ca="1">IF($E$304=0,0,IF(SUM($G133:AJ133)=$B133,0,IF(SUM($G304:AJ304)&gt;=$E304,($B133/$E304)*($E304-SUM($G304:AI304)),($B133/$E304)*AJ304)))</f>
        <v>0</v>
      </c>
      <c r="AL133" s="395">
        <f ca="1">IF($E$304=0,0,IF(SUM($G133:AK133)=$B133,0,IF(SUM($G304:AK304)&gt;=$E304,($B133/$E304)*($E304-SUM($G304:AJ304)),($B133/$E304)*AK304)))</f>
        <v>0</v>
      </c>
      <c r="AM133" s="395">
        <f ca="1">IF($E$304=0,0,IF(SUM($G133:AL133)=$B133,0,IF(SUM($G304:AL304)&gt;=$E304,($B133/$E304)*($E304-SUM($G304:AK304)),($B133/$E304)*AL304)))</f>
        <v>0</v>
      </c>
      <c r="AN133" s="395">
        <f ca="1">IF($E$304=0,0,IF(SUM($G133:AM133)=$B133,0,IF(SUM($G304:AM304)&gt;=$E304,($B133/$E304)*($E304-SUM($G304:AL304)),($B133/$E304)*AM304)))</f>
        <v>0</v>
      </c>
      <c r="AO133" s="395">
        <f ca="1">IF($E$304=0,0,IF(SUM($G133:AN133)=$B133,0,IF(SUM($G304:AN304)&gt;=$E304,($B133/$E304)*($E304-SUM($G304:AM304)),($B133/$E304)*AN304)))</f>
        <v>0</v>
      </c>
      <c r="AP133" s="395">
        <f ca="1">IF($E$304=0,0,IF(SUM($G133:AO133)=$B133,0,IF(SUM($G304:AO304)&gt;=$E304,($B133/$E304)*($E304-SUM($G304:AN304)),($B133/$E304)*AO304)))</f>
        <v>0</v>
      </c>
      <c r="AQ133" s="395">
        <f ca="1">IF($E$304=0,0,IF(SUM($G133:AP133)=$B133,0,IF(SUM($G304:AP304)&gt;=$E304,($B133/$E304)*($E304-SUM($G304:AO304)),($B133/$E304)*AP304)))</f>
        <v>0</v>
      </c>
      <c r="AR133" s="395">
        <f ca="1">IF($E$304=0,0,IF(SUM($G133:AQ133)=$B133,0,IF(SUM($G304:AQ304)&gt;=$E304,($B133/$E304)*($E304-SUM($G304:AP304)),($B133/$E304)*AQ304)))</f>
        <v>0</v>
      </c>
      <c r="AS133" s="395">
        <f ca="1">IF($E$304=0,0,IF(SUM($G133:AR133)=$B133,0,IF(SUM($G304:AR304)&gt;=$E304,($B133/$E304)*($E304-SUM($G304:AQ304)),($B133/$E304)*AR304)))</f>
        <v>0</v>
      </c>
      <c r="AT133" s="395">
        <f ca="1">IF($E$304=0,0,IF(SUM($G133:AS133)=$B133,0,IF(SUM($G304:AS304)&gt;=$E304,($B133/$E304)*($E304-SUM($G304:AR304)),($B133/$E304)*AS304)))</f>
        <v>3.8499999999999993E-2</v>
      </c>
      <c r="AU133" s="395">
        <f ca="1">IF($E$304=0,0,IF(SUM($G133:AT133)=$B133,0,IF(SUM($G304:AT304)&gt;=$E304,($B133/$E304)*($E304-SUM($G304:AS304)),($B133/$E304)*AT304)))</f>
        <v>4.5652173913043478E-2</v>
      </c>
      <c r="AV133" s="395">
        <f ca="1">IF($E$304=0,0,IF(SUM($G133:AU133)=$B133,0,IF(SUM($G304:AU304)&gt;=$E304,($B133/$E304)*($E304-SUM($G304:AT304)),($B133/$E304)*AU304)))</f>
        <v>4.7173913043478261E-2</v>
      </c>
      <c r="AW133" s="395">
        <f ca="1">IF($E$304=0,0,IF(SUM($G133:AV133)=$B133,0,IF(SUM($G304:AV304)&gt;=$E304,($B133/$E304)*($E304-SUM($G304:AU304)),($B133/$E304)*AV304)))</f>
        <v>4.7173913043478261E-2</v>
      </c>
      <c r="AX133" s="395">
        <f ca="1">IF($E$304=0,0,IF(SUM($G133:AW133)=$B133,0,IF(SUM($G304:AW304)&gt;=$E304,($B133/$E304)*($E304-SUM($G304:AV304)),($B133/$E304)*AW304)))</f>
        <v>4.5652173913043478E-2</v>
      </c>
      <c r="AY133" s="395">
        <f ca="1">IF($E$304=0,0,IF(SUM($G133:AX133)=$B133,0,IF(SUM($G304:AX304)&gt;=$E304,($B133/$E304)*($E304-SUM($G304:AW304)),($B133/$E304)*AX304)))</f>
        <v>4.7173913043478261E-2</v>
      </c>
      <c r="AZ133" s="395">
        <f ca="1">IF($E$304=0,0,IF(SUM($G133:AY133)=$B133,0,IF(SUM($G304:AY304)&gt;=$E304,($B133/$E304)*($E304-SUM($G304:AX304)),($B133/$E304)*AY304)))</f>
        <v>4.5652173913043478E-2</v>
      </c>
      <c r="BA133" s="395">
        <f ca="1">IF($E$304=0,0,IF(SUM($G133:AZ133)=$B133,0,IF(SUM($G304:AZ304)&gt;=$E304,($B133/$E304)*($E304-SUM($G304:AY304)),($B133/$E304)*AZ304)))</f>
        <v>4.7173913043478261E-2</v>
      </c>
      <c r="BB133" s="395">
        <f ca="1">IF($E$304=0,0,IF(SUM($G133:BA133)=$B133,0,IF(SUM($G304:BA304)&gt;=$E304,($B133/$E304)*($E304-SUM($G304:AZ304)),($B133/$E304)*BA304)))</f>
        <v>4.7173913043478261E-2</v>
      </c>
      <c r="BC133" s="395">
        <f ca="1">IF($E$304=0,0,IF(SUM($G133:BB133)=$B133,0,IF(SUM($G304:BB304)&gt;=$E304,($B133/$E304)*($E304-SUM($G304:BA304)),($B133/$E304)*BB304)))</f>
        <v>4.2608695652173914E-2</v>
      </c>
      <c r="BD133" s="395">
        <f ca="1">IF($E$304=0,0,IF(SUM($G133:BC133)=$B133,0,IF(SUM($G304:BC304)&gt;=$E304,($B133/$E304)*($E304-SUM($G304:BB304)),($B133/$E304)*BC304)))</f>
        <v>4.7173913043478261E-2</v>
      </c>
      <c r="BE133" s="395">
        <f ca="1">IF($E$304=0,0,IF(SUM($G133:BD133)=$B133,0,IF(SUM($G304:BD304)&gt;=$E304,($B133/$E304)*($E304-SUM($G304:BC304)),($B133/$E304)*BD304)))</f>
        <v>4.5652173913043478E-2</v>
      </c>
      <c r="BF133" s="395">
        <f ca="1">IF($E$304=0,0,IF(SUM($G133:BE133)=$B133,0,IF(SUM($G304:BE304)&gt;=$E304,($B133/$E304)*($E304-SUM($G304:BD304)),($B133/$E304)*BE304)))</f>
        <v>4.7173913043478261E-2</v>
      </c>
      <c r="BG133" s="395">
        <f ca="1">IF($E$304=0,0,IF(SUM($G133:BF133)=$B133,0,IF(SUM($G304:BF304)&gt;=$E304,($B133/$E304)*($E304-SUM($G304:BE304)),($B133/$E304)*BF304)))</f>
        <v>4.5652173913043478E-2</v>
      </c>
      <c r="BH133" s="395">
        <f ca="1">IF($E$304=0,0,IF(SUM($G133:BG133)=$B133,0,IF(SUM($G304:BG304)&gt;=$E304,($B133/$E304)*($E304-SUM($G304:BF304)),($B133/$E304)*BG304)))</f>
        <v>4.7173913043478261E-2</v>
      </c>
      <c r="BI133" s="395">
        <f ca="1">IF($E$304=0,0,IF(SUM($G133:BH133)=$B133,0,IF(SUM($G304:BH304)&gt;=$E304,($B133/$E304)*($E304-SUM($G304:BG304)),($B133/$E304)*BH304)))</f>
        <v>1.3239130434782592E-2</v>
      </c>
      <c r="BJ133" s="395">
        <f ca="1">IF($E$304=0,0,IF(SUM($G133:BI133)=$B133,0,IF(SUM($G304:BI304)&gt;=$E304,($B133/$E304)*($E304-SUM($G304:BH304)),($B133/$E304)*BI304)))</f>
        <v>0</v>
      </c>
      <c r="BK133" s="395">
        <f ca="1">IF($E$304=0,0,IF(SUM($G133:BJ133)=$B133,0,IF(SUM($G304:BJ304)&gt;=$E304,($B133/$E304)*($E304-SUM($G304:BI304)),($B133/$E304)*BJ304)))</f>
        <v>0</v>
      </c>
      <c r="BL133" s="395">
        <f ca="1">IF($E$304=0,0,IF(SUM($G133:BK133)=$B133,0,IF(SUM($G304:BK304)&gt;=$E304,($B133/$E304)*($E304-SUM($G304:BJ304)),($B133/$E304)*BK304)))</f>
        <v>0</v>
      </c>
      <c r="BM133" s="395">
        <f ca="1">IF($E$304=0,0,IF(SUM($G133:BL133)=$B133,0,IF(SUM($G304:BL304)&gt;=$E304,($B133/$E304)*($E304-SUM($G304:BK304)),($B133/$E304)*BL304)))</f>
        <v>0</v>
      </c>
      <c r="BN133" s="395">
        <f ca="1">IF($E$304=0,0,IF(SUM($G133:BM133)=$B133,0,IF(SUM($G304:BM304)&gt;=$E304,($B133/$E304)*($E304-SUM($G304:BL304)),($B133/$E304)*BM304)))</f>
        <v>0</v>
      </c>
      <c r="BO133" s="395">
        <f ca="1">IF($E$304=0,0,IF(SUM($G133:BN133)=$B133,0,IF(SUM($G304:BN304)&gt;=$E304,($B133/$E304)*($E304-SUM($G304:BM304)),($B133/$E304)*BN304)))</f>
        <v>0</v>
      </c>
      <c r="BP133" s="395">
        <f ca="1">IF($E$304=0,0,IF(SUM($G133:BO133)=$B133,0,IF(SUM($G304:BO304)&gt;=$E304,($B133/$E304)*($E304-SUM($G304:BN304)),($B133/$E304)*BO304)))</f>
        <v>0</v>
      </c>
      <c r="BQ133" s="395">
        <f ca="1">IF($E$304=0,0,IF(SUM($G133:BP133)=$B133,0,IF(SUM($G304:BP304)&gt;=$E304,($B133/$E304)*($E304-SUM($G304:BO304)),($B133/$E304)*BP304)))</f>
        <v>0</v>
      </c>
      <c r="BR133" s="395">
        <f ca="1">IF($E$304=0,0,IF(SUM($G133:BQ133)=$B133,0,IF(SUM($G304:BQ304)&gt;=$E304,($B133/$E304)*($E304-SUM($G304:BP304)),($B133/$E304)*BQ304)))</f>
        <v>0</v>
      </c>
      <c r="BS133" s="395">
        <f ca="1">IF($E$304=0,0,IF(SUM($G133:BR133)=$B133,0,IF(SUM($G304:BR304)&gt;=$E304,($B133/$E304)*($E304-SUM($G304:BQ304)),($B133/$E304)*BR304)))</f>
        <v>0</v>
      </c>
      <c r="BT133" s="395">
        <f ca="1">IF($E$304=0,0,IF(SUM($G133:BS133)=$B133,0,IF(SUM($G304:BS304)&gt;=$E304,($B133/$E304)*($E304-SUM($G304:BR304)),($B133/$E304)*BS304)))</f>
        <v>0</v>
      </c>
      <c r="BU133" s="395">
        <f ca="1">IF($E$304=0,0,IF(SUM($G133:BT133)=$B133,0,IF(SUM($G304:BT304)&gt;=$E304,($B133/$E304)*($E304-SUM($G304:BS304)),($B133/$E304)*BT304)))</f>
        <v>0</v>
      </c>
      <c r="BV133" s="395">
        <f ca="1">IF($E$304=0,0,IF(SUM($G133:BU133)=$B133,0,IF(SUM($G304:BU304)&gt;=$E304,($B133/$E304)*($E304-SUM($G304:BT304)),($B133/$E304)*BU304)))</f>
        <v>0</v>
      </c>
      <c r="BW133" s="395">
        <f ca="1">IF($E$304=0,0,IF(SUM($G133:BV133)=$B133,0,IF(SUM($G304:BV304)&gt;=$E304,($B133/$E304)*($E304-SUM($G304:BU304)),($B133/$E304)*BV304)))</f>
        <v>0</v>
      </c>
      <c r="BX133" s="395">
        <f ca="1">IF($E$304=0,0,IF(SUM($G133:BW133)=$B133,0,IF(SUM($G304:BW304)&gt;=$E304,($B133/$E304)*($E304-SUM($G304:BV304)),($B133/$E304)*BW304)))</f>
        <v>0</v>
      </c>
      <c r="BY133" s="395">
        <f ca="1">IF($E$304=0,0,IF(SUM($G133:BX133)=$B133,0,IF(SUM($G304:BX304)&gt;=$E304,($B133/$E304)*($E304-SUM($G304:BW304)),($B133/$E304)*BX304)))</f>
        <v>0</v>
      </c>
      <c r="BZ133" s="395">
        <f ca="1">IF($E$304=0,0,IF(SUM($G133:BY133)=$B133,0,IF(SUM($G304:BY304)&gt;=$E304,($B133/$E304)*($E304-SUM($G304:BX304)),($B133/$E304)*BY304)))</f>
        <v>0</v>
      </c>
      <c r="CA133" s="395">
        <f ca="1">IF($E$304=0,0,IF(SUM($G133:BZ133)=$B133,0,IF(SUM($G304:BZ304)&gt;=$E304,($B133/$E304)*($E304-SUM($G304:BY304)),($B133/$E304)*BZ304)))</f>
        <v>0</v>
      </c>
      <c r="CB133" s="395">
        <f ca="1">IF($E$304=0,0,IF(SUM($G133:CA133)=$B133,0,IF(SUM($G304:CA304)&gt;=$E304,($B133/$E304)*($E304-SUM($G304:BZ304)),($B133/$E304)*CA304)))</f>
        <v>0</v>
      </c>
      <c r="CC133" s="395">
        <f ca="1">IF($E$304=0,0,IF(SUM($G133:CB133)=$B133,0,IF(SUM($G304:CB304)&gt;=$E304,($B133/$E304)*($E304-SUM($G304:CA304)),($B133/$E304)*CB304)))</f>
        <v>0</v>
      </c>
      <c r="CD133" s="395">
        <f ca="1">IF($E$304=0,0,IF(SUM($G133:CC133)=$B133,0,IF(SUM($G304:CC304)&gt;=$E304,($B133/$E304)*($E304-SUM($G304:CB304)),($B133/$E304)*CC304)))</f>
        <v>0</v>
      </c>
      <c r="CE133" s="395">
        <f ca="1">IF($E$304=0,0,IF(SUM($G133:CD133)=$B133,0,IF(SUM($G304:CD304)&gt;=$E304,($B133/$E304)*($E304-SUM($G304:CC304)),($B133/$E304)*CD304)))</f>
        <v>0</v>
      </c>
      <c r="CF133" s="395">
        <f ca="1">IF($E$304=0,0,IF(SUM($G133:CE133)=$B133,0,IF(SUM($G304:CE304)&gt;=$E304,($B133/$E304)*($E304-SUM($G304:CD304)),($B133/$E304)*CE304)))</f>
        <v>0</v>
      </c>
      <c r="CG133" s="395">
        <f ca="1">IF($E$304=0,0,IF(SUM($G133:CF133)=$B133,0,IF(SUM($G304:CF304)&gt;=$E304,($B133/$E304)*($E304-SUM($G304:CE304)),($B133/$E304)*CF304)))</f>
        <v>0</v>
      </c>
      <c r="CH133" s="395">
        <f ca="1">IF($E$304=0,0,IF(SUM($G133:CG133)=$B133,0,IF(SUM($G304:CG304)&gt;=$E304,($B133/$E304)*($E304-SUM($G304:CF304)),($B133/$E304)*CG304)))</f>
        <v>0</v>
      </c>
      <c r="CI133" s="395">
        <f ca="1">IF($E$304=0,0,IF(SUM($G133:CH133)=$B133,0,IF(SUM($G304:CH304)&gt;=$E304,($B133/$E304)*($E304-SUM($G304:CG304)),($B133/$E304)*CH304)))</f>
        <v>0</v>
      </c>
      <c r="CJ133" s="395">
        <f ca="1">IF($E$304=0,0,IF(SUM($G133:CI133)=$B133,0,IF(SUM($G304:CI304)&gt;=$E304,($B133/$E304)*($E304-SUM($G304:CH304)),($B133/$E304)*CI304)))</f>
        <v>0</v>
      </c>
      <c r="CK133" s="395">
        <f ca="1">IF($E$304=0,0,IF(SUM($G133:CJ133)=$B133,0,IF(SUM($G304:CJ304)&gt;=$E304,($B133/$E304)*($E304-SUM($G304:CI304)),($B133/$E304)*CJ304)))</f>
        <v>0</v>
      </c>
      <c r="CL133" s="395">
        <f ca="1">IF($E$304=0,0,IF(SUM($G133:CK133)=$B133,0,IF(SUM($G304:CK304)&gt;=$E304,($B133/$E304)*($E304-SUM($G304:CJ304)),($B133/$E304)*CK304)))</f>
        <v>0</v>
      </c>
      <c r="CM133" s="395">
        <f ca="1">IF($E$304=0,0,IF(SUM($G133:CL133)=$B133,0,IF(SUM($G304:CL304)&gt;=$E304,($B133/$E304)*($E304-SUM($G304:CK304)),($B133/$E304)*CL304)))</f>
        <v>0</v>
      </c>
      <c r="CN133" s="395">
        <f ca="1">IF($E$304=0,0,IF(SUM($G133:CM133)=$B133,0,IF(SUM($G304:CM304)&gt;=$E304,($B133/$E304)*($E304-SUM($G304:CL304)),($B133/$E304)*CM304)))</f>
        <v>0</v>
      </c>
      <c r="CO133" s="395">
        <f ca="1">IF($E$304=0,0,IF(SUM($G133:CN133)=$B133,0,IF(SUM($G304:CN304)&gt;=$E304,($B133/$E304)*($E304-SUM($G304:CM304)),($B133/$E304)*CN304)))</f>
        <v>0</v>
      </c>
      <c r="CP133" s="395">
        <f ca="1">IF($E$304=0,0,IF(SUM($G133:CO133)=$B133,0,IF(SUM($G304:CO304)&gt;=$E304,($B133/$E304)*($E304-SUM($G304:CN304)),($B133/$E304)*CO304)))</f>
        <v>0</v>
      </c>
      <c r="CQ133" s="395">
        <f ca="1">IF($E$304=0,0,IF(SUM($G133:CP133)=$B133,0,IF(SUM($G304:CP304)&gt;=$E304,($B133/$E304)*($E304-SUM($G304:CO304)),($B133/$E304)*CP304)))</f>
        <v>0</v>
      </c>
      <c r="CR133" s="395">
        <f ca="1">IF($E$304=0,0,IF(SUM($G133:CQ133)=$B133,0,IF(SUM($G304:CQ304)&gt;=$E304,($B133/$E304)*($E304-SUM($G304:CP304)),($B133/$E304)*CQ304)))</f>
        <v>0</v>
      </c>
      <c r="CS133" s="395">
        <f ca="1">IF($E$304=0,0,IF(SUM($G133:CR133)=$B133,0,IF(SUM($G304:CR304)&gt;=$E304,($B133/$E304)*($E304-SUM($G304:CQ304)),($B133/$E304)*CR304)))</f>
        <v>0</v>
      </c>
      <c r="CT133" s="395">
        <f ca="1">IF($E$304=0,0,IF(SUM($G133:CS133)=$B133,0,IF(SUM($G304:CS304)&gt;=$E304,($B133/$E304)*($E304-SUM($G304:CR304)),($B133/$E304)*CS304)))</f>
        <v>0</v>
      </c>
      <c r="CU133" s="395">
        <f ca="1">IF($E$304=0,0,IF(SUM($G133:CT133)=$B133,0,IF(SUM($G304:CT304)&gt;=$E304,($B133/$E304)*($E304-SUM($G304:CS304)),($B133/$E304)*CT304)))</f>
        <v>0</v>
      </c>
      <c r="CV133" s="395">
        <f ca="1">IF($E$304=0,0,IF(SUM($G133:CU133)=$B133,0,IF(SUM($G304:CU304)&gt;=$E304,($B133/$E304)*($E304-SUM($G304:CT304)),($B133/$E304)*CU304)))</f>
        <v>0</v>
      </c>
      <c r="CW133" s="395">
        <f ca="1">IF($E$304=0,0,IF(SUM($G133:CV133)=$B133,0,IF(SUM($G304:CV304)&gt;=$E304,($B133/$E304)*($E304-SUM($G304:CU304)),($B133/$E304)*CV304)))</f>
        <v>0</v>
      </c>
      <c r="CX133" s="395">
        <f ca="1">IF($E$304=0,0,IF(SUM($G133:CW133)=$B133,0,IF(SUM($G304:CW304)&gt;=$E304,($B133/$E304)*($E304-SUM($G304:CV304)),($B133/$E304)*CW304)))</f>
        <v>0</v>
      </c>
      <c r="CY133" s="395">
        <f ca="1">IF($E$304=0,0,IF(SUM($G133:CX133)=$B133,0,IF(SUM($G304:CX304)&gt;=$E304,($B133/$E304)*($E304-SUM($G304:CW304)),($B133/$E304)*CX304)))</f>
        <v>0</v>
      </c>
      <c r="CZ133" s="395">
        <f ca="1">IF($E$304=0,0,IF(SUM($G133:CY133)=$B133,0,IF(SUM($G304:CY304)&gt;=$E304,($B133/$E304)*($E304-SUM($G304:CX304)),($B133/$E304)*CY304)))</f>
        <v>0</v>
      </c>
      <c r="DA133" s="395">
        <f ca="1">IF($E$304=0,0,IF(SUM($G133:CZ133)=$B133,0,IF(SUM($G304:CZ304)&gt;=$E304,($B133/$E304)*($E304-SUM($G304:CY304)),($B133/$E304)*CZ304)))</f>
        <v>0</v>
      </c>
      <c r="DB133" s="395">
        <f ca="1">IF($E$304=0,0,IF(SUM($G133:DA133)=$B133,0,IF(SUM($G304:DA304)&gt;=$E304,($B133/$E304)*($E304-SUM($G304:CZ304)),($B133/$E304)*DA304)))</f>
        <v>0</v>
      </c>
      <c r="DC133" s="395">
        <f ca="1">IF($E$304=0,0,IF(SUM($G133:DB133)=$B133,0,IF(SUM($G304:DB304)&gt;=$E304,($B133/$E304)*($E304-SUM($G304:DA304)),($B133/$E304)*DB304)))</f>
        <v>0</v>
      </c>
      <c r="DD133" s="395">
        <f ca="1">IF($E$304=0,0,IF(SUM($G133:DC133)=$B133,0,IF(SUM($G304:DC304)&gt;=$E304,($B133/$E304)*($E304-SUM($G304:DB304)),($B133/$E304)*DC304)))</f>
        <v>0</v>
      </c>
      <c r="DE133" s="395">
        <f ca="1">IF($E$304=0,0,IF(SUM($G133:DD133)=$B133,0,IF(SUM($G304:DD304)&gt;=$E304,($B133/$E304)*($E304-SUM($G304:DC304)),($B133/$E304)*DD304)))</f>
        <v>0</v>
      </c>
      <c r="DF133" s="395">
        <f ca="1">IF($E$304=0,0,IF(SUM($G133:DE133)=$B133,0,IF(SUM($G304:DE304)&gt;=$E304,($B133/$E304)*($E304-SUM($G304:DD304)),($B133/$E304)*DE304)))</f>
        <v>0</v>
      </c>
      <c r="DG133" s="395">
        <f ca="1">IF($E$304=0,0,IF(SUM($G133:DF133)=$B133,0,IF(SUM($G304:DF304)&gt;=$E304,($B133/$E304)*($E304-SUM($G304:DE304)),($B133/$E304)*DF304)))</f>
        <v>0</v>
      </c>
      <c r="DH133" s="395">
        <f ca="1">IF($E$304=0,0,IF(SUM($G133:DG133)=$B133,0,IF(SUM($G304:DG304)&gt;=$E304,($B133/$E304)*($E304-SUM($G304:DF304)),($B133/$E304)*DG304)))</f>
        <v>0</v>
      </c>
      <c r="DI133" s="395">
        <f ca="1">IF($E$304=0,0,IF(SUM($G133:DH133)=$B133,0,IF(SUM($G304:DH304)&gt;=$E304,($B133/$E304)*($E304-SUM($G304:DG304)),($B133/$E304)*DH304)))</f>
        <v>0</v>
      </c>
      <c r="DJ133" s="395">
        <f ca="1">IF($E$304=0,0,IF(SUM($G133:DI133)=$B133,0,IF(SUM($G304:DI304)&gt;=$E304,($B133/$E304)*($E304-SUM($G304:DH304)),($B133/$E304)*DI304)))</f>
        <v>0</v>
      </c>
      <c r="DK133" s="395">
        <f ca="1">IF($E$304=0,0,IF(SUM($G133:DJ133)=$B133,0,IF(SUM($G304:DJ304)&gt;=$E304,($B133/$E304)*($E304-SUM($G304:DI304)),($B133/$E304)*DJ304)))</f>
        <v>0</v>
      </c>
      <c r="DL133" s="395">
        <f ca="1">IF($E$304=0,0,IF(SUM($G133:DK133)=$B133,0,IF(SUM($G304:DK304)&gt;=$E304,($B133/$E304)*($E304-SUM($G304:DJ304)),($B133/$E304)*DK304)))</f>
        <v>0</v>
      </c>
      <c r="DM133" s="395">
        <f ca="1">IF($E$304=0,0,IF(SUM($G133:DL133)=$B133,0,IF(SUM($G304:DL304)&gt;=$E304,($B133/$E304)*($E304-SUM($G304:DK304)),($B133/$E304)*DL304)))</f>
        <v>0</v>
      </c>
      <c r="DN133" s="395">
        <f ca="1">IF($E$304=0,0,IF(SUM($G133:DM133)=$B133,0,IF(SUM($G304:DM304)&gt;=$E304,($B133/$E304)*($E304-SUM($G304:DL304)),($B133/$E304)*DM304)))</f>
        <v>0</v>
      </c>
      <c r="DO133" s="395">
        <f ca="1">IF($E$304=0,0,IF(SUM($G133:DN133)=$B133,0,IF(SUM($G304:DN304)&gt;=$E304,($B133/$E304)*($E304-SUM($G304:DM304)),($B133/$E304)*DN304)))</f>
        <v>0</v>
      </c>
      <c r="DP133" s="395">
        <f ca="1">IF($E$304=0,0,IF(SUM($G133:DO133)=$B133,0,IF(SUM($G304:DO304)&gt;=$E304,($B133/$E304)*($E304-SUM($G304:DN304)),($B133/$E304)*DO304)))</f>
        <v>0</v>
      </c>
      <c r="DQ133" s="395">
        <f ca="1">IF($E$304=0,0,IF(SUM($G133:DP133)=$B133,0,IF(SUM($G304:DP304)&gt;=$E304,($B133/$E304)*($E304-SUM($G304:DO304)),($B133/$E304)*DP304)))</f>
        <v>0</v>
      </c>
      <c r="DR133" s="395">
        <f ca="1">IF($E$304=0,0,IF(SUM($G133:DQ133)=$B133,0,IF(SUM($G304:DQ304)&gt;=$E304,($B133/$E304)*($E304-SUM($G304:DP304)),($B133/$E304)*DQ304)))</f>
        <v>0</v>
      </c>
      <c r="DS133" s="395">
        <f ca="1">IF($E$304=0,0,IF(SUM($G133:DR133)=$B133,0,IF(SUM($G304:DR304)&gt;=$E304,($B133/$E304)*($E304-SUM($G304:DQ304)),($B133/$E304)*DR304)))</f>
        <v>0</v>
      </c>
      <c r="DT133" s="395">
        <f ca="1">IF($E$304=0,0,IF(SUM($G133:DS133)=$B133,0,IF(SUM($G304:DS304)&gt;=$E304,($B133/$E304)*($E304-SUM($G304:DR304)),($B133/$E304)*DS304)))</f>
        <v>0</v>
      </c>
      <c r="DU133" s="395">
        <f ca="1">IF($E$304=0,0,IF(SUM($G133:DT133)=$B133,0,IF(SUM($G304:DT304)&gt;=$E304,($B133/$E304)*($E304-SUM($G304:DS304)),($B133/$E304)*DT304)))</f>
        <v>0</v>
      </c>
      <c r="DV133" s="395">
        <f ca="1">IF($E$304=0,0,IF(SUM($G133:DU133)=$B133,0,IF(SUM($G304:DU304)&gt;=$E304,($B133/$E304)*($E304-SUM($G304:DT304)),($B133/$E304)*DU304)))</f>
        <v>0</v>
      </c>
      <c r="DW133" s="395">
        <f ca="1">IF($E$304=0,0,IF(SUM($G133:DV133)=$B133,0,IF(SUM($G304:DV304)&gt;=$E304,($B133/$E304)*($E304-SUM($G304:DU304)),($B133/$E304)*DV304)))</f>
        <v>0</v>
      </c>
      <c r="DX133" s="395">
        <f ca="1">IF($E$304=0,0,IF(SUM($G133:DW133)=$B133,0,IF(SUM($G304:DW304)&gt;=$E304,($B133/$E304)*($E304-SUM($G304:DV304)),($B133/$E304)*DW304)))</f>
        <v>0</v>
      </c>
      <c r="DY133" s="395">
        <f ca="1">IF($E$304=0,0,IF(SUM($G133:DX133)=$B133,0,IF(SUM($G304:DX304)&gt;=$E304,($B133/$E304)*($E304-SUM($G304:DW304)),($B133/$E304)*DX304)))</f>
        <v>0</v>
      </c>
      <c r="DZ133" s="395">
        <f ca="1">IF($E$304=0,0,IF(SUM($G133:DY133)=$B133,0,IF(SUM($G304:DY304)&gt;=$E304,($B133/$E304)*($E304-SUM($G304:DX304)),($B133/$E304)*DY304)))</f>
        <v>0</v>
      </c>
      <c r="EA133" s="395">
        <f ca="1">IF($E$304=0,0,IF(SUM($G133:DZ133)=$B133,0,IF(SUM($G304:DZ304)&gt;=$E304,($B133/$E304)*($E304-SUM($G304:DY304)),($B133/$E304)*DZ304)))</f>
        <v>0</v>
      </c>
      <c r="EB133" s="395">
        <f ca="1">IF($E$304=0,0,IF(SUM($G133:EA133)=$B133,0,IF(SUM($G304:EA304)&gt;=$E304,($B133/$E304)*($E304-SUM($G304:DZ304)),($B133/$E304)*EA304)))</f>
        <v>0</v>
      </c>
      <c r="EC133" s="395">
        <f ca="1">IF($E$304=0,0,IF(SUM($G133:EB133)=$B133,0,IF(SUM($G304:EB304)&gt;=$E304,($B133/$E304)*($E304-SUM($G304:EA304)),($B133/$E304)*EB304)))</f>
        <v>0</v>
      </c>
      <c r="ED133" s="395">
        <f ca="1">IF($E$304=0,0,IF(SUM($G133:EC133)=$B133,0,IF(SUM($G304:EC304)&gt;=$E304,($B133/$E304)*($E304-SUM($G304:EB304)),($B133/$E304)*EC304)))</f>
        <v>0</v>
      </c>
      <c r="EE133" s="395">
        <f ca="1">IF($E$304=0,0,IF(SUM($G133:ED133)=$B133,0,IF(SUM($G304:ED304)&gt;=$E304,($B133/$E304)*($E304-SUM($G304:EC304)),($B133/$E304)*ED304)))</f>
        <v>0</v>
      </c>
      <c r="EF133" s="395">
        <f ca="1">IF($E$304=0,0,IF(SUM($G133:EE133)=$B133,0,IF(SUM($G304:EE304)&gt;=$E304,($B133/$E304)*($E304-SUM($G304:ED304)),($B133/$E304)*EE304)))</f>
        <v>0</v>
      </c>
      <c r="EG133" s="395">
        <f ca="1">IF($E$304=0,0,IF(SUM($G133:EF133)=$B133,0,IF(SUM($G304:EF304)&gt;=$E304,($B133/$E304)*($E304-SUM($G304:EE304)),($B133/$E304)*EF304)))</f>
        <v>0</v>
      </c>
      <c r="EH133" s="395">
        <f ca="1">IF($E$304=0,0,IF(SUM($G133:EG133)=$B133,0,IF(SUM($G304:EG304)&gt;=$E304,($B133/$E304)*($E304-SUM($G304:EF304)),($B133/$E304)*EG304)))</f>
        <v>0</v>
      </c>
      <c r="EI133" s="395">
        <f ca="1">IF($E$304=0,0,IF(SUM($G133:EH133)=$B133,0,IF(SUM($G304:EH304)&gt;=$E304,($B133/$E304)*($E304-SUM($G304:EG304)),($B133/$E304)*EH304)))</f>
        <v>0</v>
      </c>
      <c r="EJ133" s="398"/>
      <c r="EK133" s="313"/>
    </row>
    <row r="134" spans="1:141" hidden="1" outlineLevel="2">
      <c r="A134" s="332"/>
      <c r="B134" s="549">
        <f>длительность!D188</f>
        <v>2.5000000000000001E-2</v>
      </c>
      <c r="C134" s="317"/>
      <c r="D134" s="317" t="s">
        <v>638</v>
      </c>
      <c r="E134" s="318">
        <f t="shared" ca="1" si="352"/>
        <v>0</v>
      </c>
      <c r="F134" s="397">
        <f ca="1">SUM(G134:EJ134)</f>
        <v>2.5000000000000001E-2</v>
      </c>
      <c r="G134" s="395"/>
      <c r="H134" s="395">
        <f ca="1">IF($E$304=0,0,IF(SUM($G134:G134)=$B134,0,IF(SUM(H133:$EJ133)=0%,$B134,0%)))</f>
        <v>0</v>
      </c>
      <c r="I134" s="395">
        <f ca="1">IF($E$304=0,0,IF(SUM($G134:H134)=$B134,0,IF(SUM(I133:$EJ133)=0%,$B134,0%)))</f>
        <v>0</v>
      </c>
      <c r="J134" s="395">
        <f ca="1">IF($E$304=0,0,IF(SUM($G134:I134)=$B134,0,IF(SUM(J133:$EJ133)=0%,$B134,0%)))</f>
        <v>0</v>
      </c>
      <c r="K134" s="395">
        <f ca="1">IF($E$304=0,0,IF(SUM($G134:J134)=$B134,0,IF(SUM(K133:$EJ133)=0%,$B134,0%)))</f>
        <v>0</v>
      </c>
      <c r="L134" s="395">
        <f ca="1">IF($E$304=0,0,IF(SUM($G134:K134)=$B134,0,IF(SUM(L133:$EJ133)=0%,$B134,0%)))</f>
        <v>0</v>
      </c>
      <c r="M134" s="395">
        <f ca="1">IF($E$304=0,0,IF(SUM($G134:L134)=$B134,0,IF(SUM(M133:$EJ133)=0%,$B134,0%)))</f>
        <v>0</v>
      </c>
      <c r="N134" s="395">
        <f ca="1">IF($E$304=0,0,IF(SUM($G134:M134)=$B134,0,IF(SUM(N133:$EJ133)=0%,$B134,0%)))</f>
        <v>0</v>
      </c>
      <c r="O134" s="395">
        <f ca="1">IF($E$304=0,0,IF(SUM($G134:N134)=$B134,0,IF(SUM(O133:$EJ133)=0%,$B134,0%)))</f>
        <v>0</v>
      </c>
      <c r="P134" s="395">
        <f ca="1">IF($E$304=0,0,IF(SUM($G134:O134)=$B134,0,IF(SUM(P133:$EJ133)=0%,$B134,0%)))</f>
        <v>0</v>
      </c>
      <c r="Q134" s="395">
        <f ca="1">IF($E$304=0,0,IF(SUM($G134:P134)=$B134,0,IF(SUM(Q133:$EJ133)=0%,$B134,0%)))</f>
        <v>0</v>
      </c>
      <c r="R134" s="395">
        <f ca="1">IF($E$304=0,0,IF(SUM($G134:Q134)=$B134,0,IF(SUM(R133:$EJ133)=0%,$B134,0%)))</f>
        <v>0</v>
      </c>
      <c r="S134" s="395">
        <f ca="1">IF($E$304=0,0,IF(SUM($G134:R134)=$B134,0,IF(SUM(S133:$EJ133)=0%,$B134,0%)))</f>
        <v>0</v>
      </c>
      <c r="T134" s="395">
        <f ca="1">IF($E$304=0,0,IF(SUM($G134:S134)=$B134,0,IF(SUM(T133:$EJ133)=0%,$B134,0%)))</f>
        <v>0</v>
      </c>
      <c r="U134" s="395">
        <f ca="1">IF($E$304=0,0,IF(SUM($G134:T134)=$B134,0,IF(SUM(U133:$EJ133)=0%,$B134,0%)))</f>
        <v>0</v>
      </c>
      <c r="V134" s="395">
        <f ca="1">IF($E$304=0,0,IF(SUM($G134:U134)=$B134,0,IF(SUM(V133:$EJ133)=0%,$B134,0%)))</f>
        <v>0</v>
      </c>
      <c r="W134" s="395">
        <f ca="1">IF($E$304=0,0,IF(SUM($G134:V134)=$B134,0,IF(SUM(W133:$EJ133)=0%,$B134,0%)))</f>
        <v>0</v>
      </c>
      <c r="X134" s="395">
        <f ca="1">IF($E$304=0,0,IF(SUM($G134:W134)=$B134,0,IF(SUM(X133:$EJ133)=0%,$B134,0%)))</f>
        <v>0</v>
      </c>
      <c r="Y134" s="395">
        <f ca="1">IF($E$304=0,0,IF(SUM($G134:X134)=$B134,0,IF(SUM(Y133:$EJ133)=0%,$B134,0%)))</f>
        <v>0</v>
      </c>
      <c r="Z134" s="395">
        <f ca="1">IF($E$304=0,0,IF(SUM($G134:Y134)=$B134,0,IF(SUM(Z133:$EJ133)=0%,$B134,0%)))</f>
        <v>0</v>
      </c>
      <c r="AA134" s="395">
        <f ca="1">IF($E$304=0,0,IF(SUM($G134:Z134)=$B134,0,IF(SUM(AA133:$EJ133)=0%,$B134,0%)))</f>
        <v>0</v>
      </c>
      <c r="AB134" s="395">
        <f ca="1">IF($E$304=0,0,IF(SUM($G134:AA134)=$B134,0,IF(SUM(AB133:$EJ133)=0%,$B134,0%)))</f>
        <v>0</v>
      </c>
      <c r="AC134" s="395">
        <f ca="1">IF($E$304=0,0,IF(SUM($G134:AB134)=$B134,0,IF(SUM(AC133:$EJ133)=0%,$B134,0%)))</f>
        <v>0</v>
      </c>
      <c r="AD134" s="395">
        <f ca="1">IF($E$304=0,0,IF(SUM($G134:AC134)=$B134,0,IF(SUM(AD133:$EJ133)=0%,$B134,0%)))</f>
        <v>0</v>
      </c>
      <c r="AE134" s="395">
        <f ca="1">IF($E$304=0,0,IF(SUM($G134:AD134)=$B134,0,IF(SUM(AE133:$EJ133)=0%,$B134,0%)))</f>
        <v>0</v>
      </c>
      <c r="AF134" s="395">
        <f ca="1">IF($E$304=0,0,IF(SUM($G134:AE134)=$B134,0,IF(SUM(AF133:$EJ133)=0%,$B134,0%)))</f>
        <v>0</v>
      </c>
      <c r="AG134" s="395">
        <f ca="1">IF($E$304=0,0,IF(SUM($G134:AF134)=$B134,0,IF(SUM(AG133:$EJ133)=0%,$B134,0%)))</f>
        <v>0</v>
      </c>
      <c r="AH134" s="395">
        <f ca="1">IF($E$304=0,0,IF(SUM($G134:AG134)=$B134,0,IF(SUM(AH133:$EJ133)=0%,$B134,0%)))</f>
        <v>0</v>
      </c>
      <c r="AI134" s="395">
        <f ca="1">IF($E$304=0,0,IF(SUM($G134:AH134)=$B134,0,IF(SUM(AI133:$EJ133)=0%,$B134,0%)))</f>
        <v>0</v>
      </c>
      <c r="AJ134" s="395">
        <f ca="1">IF($E$304=0,0,IF(SUM($G134:AI134)=$B134,0,IF(SUM(AJ133:$EJ133)=0%,$B134,0%)))</f>
        <v>0</v>
      </c>
      <c r="AK134" s="395">
        <f ca="1">IF($E$304=0,0,IF(SUM($G134:AJ134)=$B134,0,IF(SUM(AK133:$EJ133)=0%,$B134,0%)))</f>
        <v>0</v>
      </c>
      <c r="AL134" s="395">
        <f ca="1">IF($E$304=0,0,IF(SUM($G134:AK134)=$B134,0,IF(SUM(AL133:$EJ133)=0%,$B134,0%)))</f>
        <v>0</v>
      </c>
      <c r="AM134" s="395">
        <f ca="1">IF($E$304=0,0,IF(SUM($G134:AL134)=$B134,0,IF(SUM(AM133:$EJ133)=0%,$B134,0%)))</f>
        <v>0</v>
      </c>
      <c r="AN134" s="395">
        <f ca="1">IF($E$304=0,0,IF(SUM($G134:AM134)=$B134,0,IF(SUM(AN133:$EJ133)=0%,$B134,0%)))</f>
        <v>0</v>
      </c>
      <c r="AO134" s="395">
        <f ca="1">IF($E$304=0,0,IF(SUM($G134:AN134)=$B134,0,IF(SUM(AO133:$EJ133)=0%,$B134,0%)))</f>
        <v>0</v>
      </c>
      <c r="AP134" s="395">
        <f ca="1">IF($E$304=0,0,IF(SUM($G134:AO134)=$B134,0,IF(SUM(AP133:$EJ133)=0%,$B134,0%)))</f>
        <v>0</v>
      </c>
      <c r="AQ134" s="395">
        <f ca="1">IF($E$304=0,0,IF(SUM($G134:AP134)=$B134,0,IF(SUM(AQ133:$EJ133)=0%,$B134,0%)))</f>
        <v>0</v>
      </c>
      <c r="AR134" s="395">
        <f ca="1">IF($E$304=0,0,IF(SUM($G134:AQ134)=$B134,0,IF(SUM(AR133:$EJ133)=0%,$B134,0%)))</f>
        <v>0</v>
      </c>
      <c r="AS134" s="395">
        <f ca="1">IF($E$304=0,0,IF(SUM($G134:AR134)=$B134,0,IF(SUM(AS133:$EJ133)=0%,$B134,0%)))</f>
        <v>0</v>
      </c>
      <c r="AT134" s="395">
        <f ca="1">IF($E$304=0,0,IF(SUM($G134:AS134)=$B134,0,IF(SUM(AT133:$EJ133)=0%,$B134,0%)))</f>
        <v>0</v>
      </c>
      <c r="AU134" s="395">
        <f ca="1">IF($E$304=0,0,IF(SUM($G134:AT134)=$B134,0,IF(SUM(AU133:$EJ133)=0%,$B134,0%)))</f>
        <v>0</v>
      </c>
      <c r="AV134" s="395">
        <f ca="1">IF($E$304=0,0,IF(SUM($G134:AU134)=$B134,0,IF(SUM(AV133:$EJ133)=0%,$B134,0%)))</f>
        <v>0</v>
      </c>
      <c r="AW134" s="395">
        <f ca="1">IF($E$304=0,0,IF(SUM($G134:AV134)=$B134,0,IF(SUM(AW133:$EJ133)=0%,$B134,0%)))</f>
        <v>0</v>
      </c>
      <c r="AX134" s="395">
        <f ca="1">IF($E$304=0,0,IF(SUM($G134:AW134)=$B134,0,IF(SUM(AX133:$EJ133)=0%,$B134,0%)))</f>
        <v>0</v>
      </c>
      <c r="AY134" s="395">
        <f ca="1">IF($E$304=0,0,IF(SUM($G134:AX134)=$B134,0,IF(SUM(AY133:$EJ133)=0%,$B134,0%)))</f>
        <v>0</v>
      </c>
      <c r="AZ134" s="395">
        <f ca="1">IF($E$304=0,0,IF(SUM($G134:AY134)=$B134,0,IF(SUM(AZ133:$EJ133)=0%,$B134,0%)))</f>
        <v>0</v>
      </c>
      <c r="BA134" s="395">
        <f ca="1">IF($E$304=0,0,IF(SUM($G134:AZ134)=$B134,0,IF(SUM(BA133:$EJ133)=0%,$B134,0%)))</f>
        <v>0</v>
      </c>
      <c r="BB134" s="395">
        <f ca="1">IF($E$304=0,0,IF(SUM($G134:BA134)=$B134,0,IF(SUM(BB133:$EJ133)=0%,$B134,0%)))</f>
        <v>0</v>
      </c>
      <c r="BC134" s="395">
        <f ca="1">IF($E$304=0,0,IF(SUM($G134:BB134)=$B134,0,IF(SUM(BC133:$EJ133)=0%,$B134,0%)))</f>
        <v>0</v>
      </c>
      <c r="BD134" s="395">
        <f ca="1">IF($E$304=0,0,IF(SUM($G134:BC134)=$B134,0,IF(SUM(BD133:$EJ133)=0%,$B134,0%)))</f>
        <v>0</v>
      </c>
      <c r="BE134" s="395">
        <f ca="1">IF($E$304=0,0,IF(SUM($G134:BD134)=$B134,0,IF(SUM(BE133:$EJ133)=0%,$B134,0%)))</f>
        <v>0</v>
      </c>
      <c r="BF134" s="395">
        <f ca="1">IF($E$304=0,0,IF(SUM($G134:BE134)=$B134,0,IF(SUM(BF133:$EJ133)=0%,$B134,0%)))</f>
        <v>0</v>
      </c>
      <c r="BG134" s="395">
        <f ca="1">IF($E$304=0,0,IF(SUM($G134:BF134)=$B134,0,IF(SUM(BG133:$EJ133)=0%,$B134,0%)))</f>
        <v>0</v>
      </c>
      <c r="BH134" s="395">
        <f ca="1">IF($E$304=0,0,IF(SUM($G134:BG134)=$B134,0,IF(SUM(BH133:$EJ133)=0%,$B134,0%)))</f>
        <v>0</v>
      </c>
      <c r="BI134" s="395">
        <f ca="1">IF($E$304=0,0,IF(SUM($G134:BH134)=$B134,0,IF(SUM(BI133:$EJ133)=0%,$B134,0%)))</f>
        <v>0</v>
      </c>
      <c r="BJ134" s="395">
        <f ca="1">IF($E$304=0,0,IF(SUM($G134:BI134)=$B134,0,IF(SUM(BJ133:$EJ133)=0%,$B134,0%)))</f>
        <v>2.5000000000000001E-2</v>
      </c>
      <c r="BK134" s="395">
        <f ca="1">IF($E$304=0,0,IF(SUM($G134:BJ134)=$B134,0,IF(SUM(BK133:$EJ133)=0%,$B134,0%)))</f>
        <v>0</v>
      </c>
      <c r="BL134" s="395">
        <f ca="1">IF($E$304=0,0,IF(SUM($G134:BK134)=$B134,0,IF(SUM(BL133:$EJ133)=0%,$B134,0%)))</f>
        <v>0</v>
      </c>
      <c r="BM134" s="395">
        <f ca="1">IF($E$304=0,0,IF(SUM($G134:BL134)=$B134,0,IF(SUM(BM133:$EJ133)=0%,$B134,0%)))</f>
        <v>0</v>
      </c>
      <c r="BN134" s="395">
        <f ca="1">IF($E$304=0,0,IF(SUM($G134:BM134)=$B134,0,IF(SUM(BN133:$EJ133)=0%,$B134,0%)))</f>
        <v>0</v>
      </c>
      <c r="BO134" s="395">
        <f ca="1">IF($E$304=0,0,IF(SUM($G134:BN134)=$B134,0,IF(SUM(BO133:$EJ133)=0%,$B134,0%)))</f>
        <v>0</v>
      </c>
      <c r="BP134" s="395">
        <f ca="1">IF($E$304=0,0,IF(SUM($G134:BO134)=$B134,0,IF(SUM(BP133:$EJ133)=0%,$B134,0%)))</f>
        <v>0</v>
      </c>
      <c r="BQ134" s="395">
        <f ca="1">IF($E$304=0,0,IF(SUM($G134:BP134)=$B134,0,IF(SUM(BQ133:$EJ133)=0%,$B134,0%)))</f>
        <v>0</v>
      </c>
      <c r="BR134" s="395">
        <f ca="1">IF($E$304=0,0,IF(SUM($G134:BQ134)=$B134,0,IF(SUM(BR133:$EJ133)=0%,$B134,0%)))</f>
        <v>0</v>
      </c>
      <c r="BS134" s="395">
        <f ca="1">IF($E$304=0,0,IF(SUM($G134:BR134)=$B134,0,IF(SUM(BS133:$EJ133)=0%,$B134,0%)))</f>
        <v>0</v>
      </c>
      <c r="BT134" s="395">
        <f ca="1">IF($E$304=0,0,IF(SUM($G134:BS134)=$B134,0,IF(SUM(BT133:$EJ133)=0%,$B134,0%)))</f>
        <v>0</v>
      </c>
      <c r="BU134" s="395">
        <f ca="1">IF($E$304=0,0,IF(SUM($G134:BT134)=$B134,0,IF(SUM(BU133:$EJ133)=0%,$B134,0%)))</f>
        <v>0</v>
      </c>
      <c r="BV134" s="395">
        <f ca="1">IF($E$304=0,0,IF(SUM($G134:BU134)=$B134,0,IF(SUM(BV133:$EJ133)=0%,$B134,0%)))</f>
        <v>0</v>
      </c>
      <c r="BW134" s="395">
        <f ca="1">IF($E$304=0,0,IF(SUM($G134:BV134)=$B134,0,IF(SUM(BW133:$EJ133)=0%,$B134,0%)))</f>
        <v>0</v>
      </c>
      <c r="BX134" s="395">
        <f ca="1">IF($E$304=0,0,IF(SUM($G134:BW134)=$B134,0,IF(SUM(BX133:$EJ133)=0%,$B134,0%)))</f>
        <v>0</v>
      </c>
      <c r="BY134" s="395">
        <f ca="1">IF($E$304=0,0,IF(SUM($G134:BX134)=$B134,0,IF(SUM(BY133:$EJ133)=0%,$B134,0%)))</f>
        <v>0</v>
      </c>
      <c r="BZ134" s="395">
        <f ca="1">IF($E$304=0,0,IF(SUM($G134:BY134)=$B134,0,IF(SUM(BZ133:$EJ133)=0%,$B134,0%)))</f>
        <v>0</v>
      </c>
      <c r="CA134" s="395">
        <f ca="1">IF($E$304=0,0,IF(SUM($G134:BZ134)=$B134,0,IF(SUM(CA133:$EJ133)=0%,$B134,0%)))</f>
        <v>0</v>
      </c>
      <c r="CB134" s="395">
        <f ca="1">IF($E$304=0,0,IF(SUM($G134:CA134)=$B134,0,IF(SUM(CB133:$EJ133)=0%,$B134,0%)))</f>
        <v>0</v>
      </c>
      <c r="CC134" s="395">
        <f ca="1">IF($E$304=0,0,IF(SUM($G134:CB134)=$B134,0,IF(SUM(CC133:$EJ133)=0%,$B134,0%)))</f>
        <v>0</v>
      </c>
      <c r="CD134" s="395">
        <f ca="1">IF($E$304=0,0,IF(SUM($G134:CC134)=$B134,0,IF(SUM(CD133:$EJ133)=0%,$B134,0%)))</f>
        <v>0</v>
      </c>
      <c r="CE134" s="395">
        <f ca="1">IF($E$304=0,0,IF(SUM($G134:CD134)=$B134,0,IF(SUM(CE133:$EJ133)=0%,$B134,0%)))</f>
        <v>0</v>
      </c>
      <c r="CF134" s="395">
        <f ca="1">IF($E$304=0,0,IF(SUM($G134:CE134)=$B134,0,IF(SUM(CF133:$EJ133)=0%,$B134,0%)))</f>
        <v>0</v>
      </c>
      <c r="CG134" s="395">
        <f ca="1">IF($E$304=0,0,IF(SUM($G134:CF134)=$B134,0,IF(SUM(CG133:$EJ133)=0%,$B134,0%)))</f>
        <v>0</v>
      </c>
      <c r="CH134" s="395">
        <f ca="1">IF($E$304=0,0,IF(SUM($G134:CG134)=$B134,0,IF(SUM(CH133:$EJ133)=0%,$B134,0%)))</f>
        <v>0</v>
      </c>
      <c r="CI134" s="395">
        <f ca="1">IF($E$304=0,0,IF(SUM($G134:CH134)=$B134,0,IF(SUM(CI133:$EJ133)=0%,$B134,0%)))</f>
        <v>0</v>
      </c>
      <c r="CJ134" s="395">
        <f ca="1">IF($E$304=0,0,IF(SUM($G134:CI134)=$B134,0,IF(SUM(CJ133:$EJ133)=0%,$B134,0%)))</f>
        <v>0</v>
      </c>
      <c r="CK134" s="395">
        <f ca="1">IF($E$304=0,0,IF(SUM($G134:CJ134)=$B134,0,IF(SUM(CK133:$EJ133)=0%,$B134,0%)))</f>
        <v>0</v>
      </c>
      <c r="CL134" s="395">
        <f ca="1">IF($E$304=0,0,IF(SUM($G134:CK134)=$B134,0,IF(SUM(CL133:$EJ133)=0%,$B134,0%)))</f>
        <v>0</v>
      </c>
      <c r="CM134" s="395">
        <f ca="1">IF($E$304=0,0,IF(SUM($G134:CL134)=$B134,0,IF(SUM(CM133:$EJ133)=0%,$B134,0%)))</f>
        <v>0</v>
      </c>
      <c r="CN134" s="395">
        <f ca="1">IF($E$304=0,0,IF(SUM($G134:CM134)=$B134,0,IF(SUM(CN133:$EJ133)=0%,$B134,0%)))</f>
        <v>0</v>
      </c>
      <c r="CO134" s="395">
        <f ca="1">IF($E$304=0,0,IF(SUM($G134:CN134)=$B134,0,IF(SUM(CO133:$EJ133)=0%,$B134,0%)))</f>
        <v>0</v>
      </c>
      <c r="CP134" s="395">
        <f ca="1">IF($E$304=0,0,IF(SUM($G134:CO134)=$B134,0,IF(SUM(CP133:$EJ133)=0%,$B134,0%)))</f>
        <v>0</v>
      </c>
      <c r="CQ134" s="395">
        <f ca="1">IF($E$304=0,0,IF(SUM($G134:CP134)=$B134,0,IF(SUM(CQ133:$EJ133)=0%,$B134,0%)))</f>
        <v>0</v>
      </c>
      <c r="CR134" s="395">
        <f ca="1">IF($E$304=0,0,IF(SUM($G134:CQ134)=$B134,0,IF(SUM(CR133:$EJ133)=0%,$B134,0%)))</f>
        <v>0</v>
      </c>
      <c r="CS134" s="395">
        <f ca="1">IF($E$304=0,0,IF(SUM($G134:CR134)=$B134,0,IF(SUM(CS133:$EJ133)=0%,$B134,0%)))</f>
        <v>0</v>
      </c>
      <c r="CT134" s="395">
        <f ca="1">IF($E$304=0,0,IF(SUM($G134:CS134)=$B134,0,IF(SUM(CT133:$EJ133)=0%,$B134,0%)))</f>
        <v>0</v>
      </c>
      <c r="CU134" s="395">
        <f ca="1">IF($E$304=0,0,IF(SUM($G134:CT134)=$B134,0,IF(SUM(CU133:$EJ133)=0%,$B134,0%)))</f>
        <v>0</v>
      </c>
      <c r="CV134" s="395">
        <f ca="1">IF($E$304=0,0,IF(SUM($G134:CU134)=$B134,0,IF(SUM(CV133:$EJ133)=0%,$B134,0%)))</f>
        <v>0</v>
      </c>
      <c r="CW134" s="395">
        <f ca="1">IF($E$304=0,0,IF(SUM($G134:CV134)=$B134,0,IF(SUM(CW133:$EJ133)=0%,$B134,0%)))</f>
        <v>0</v>
      </c>
      <c r="CX134" s="395">
        <f ca="1">IF($E$304=0,0,IF(SUM($G134:CW134)=$B134,0,IF(SUM(CX133:$EJ133)=0%,$B134,0%)))</f>
        <v>0</v>
      </c>
      <c r="CY134" s="395">
        <f ca="1">IF($E$304=0,0,IF(SUM($G134:CX134)=$B134,0,IF(SUM(CY133:$EJ133)=0%,$B134,0%)))</f>
        <v>0</v>
      </c>
      <c r="CZ134" s="395">
        <f ca="1">IF($E$304=0,0,IF(SUM($G134:CY134)=$B134,0,IF(SUM(CZ133:$EJ133)=0%,$B134,0%)))</f>
        <v>0</v>
      </c>
      <c r="DA134" s="395">
        <f ca="1">IF($E$304=0,0,IF(SUM($G134:CZ134)=$B134,0,IF(SUM(DA133:$EJ133)=0%,$B134,0%)))</f>
        <v>0</v>
      </c>
      <c r="DB134" s="395">
        <f ca="1">IF($E$304=0,0,IF(SUM($G134:DA134)=$B134,0,IF(SUM(DB133:$EJ133)=0%,$B134,0%)))</f>
        <v>0</v>
      </c>
      <c r="DC134" s="395">
        <f ca="1">IF($E$304=0,0,IF(SUM($G134:DB134)=$B134,0,IF(SUM(DC133:$EJ133)=0%,$B134,0%)))</f>
        <v>0</v>
      </c>
      <c r="DD134" s="395">
        <f ca="1">IF($E$304=0,0,IF(SUM($G134:DC134)=$B134,0,IF(SUM(DD133:$EJ133)=0%,$B134,0%)))</f>
        <v>0</v>
      </c>
      <c r="DE134" s="395">
        <f ca="1">IF($E$304=0,0,IF(SUM($G134:DD134)=$B134,0,IF(SUM(DE133:$EJ133)=0%,$B134,0%)))</f>
        <v>0</v>
      </c>
      <c r="DF134" s="395">
        <f ca="1">IF($E$304=0,0,IF(SUM($G134:DE134)=$B134,0,IF(SUM(DF133:$EJ133)=0%,$B134,0%)))</f>
        <v>0</v>
      </c>
      <c r="DG134" s="395">
        <f ca="1">IF($E$304=0,0,IF(SUM($G134:DF134)=$B134,0,IF(SUM(DG133:$EJ133)=0%,$B134,0%)))</f>
        <v>0</v>
      </c>
      <c r="DH134" s="395">
        <f ca="1">IF($E$304=0,0,IF(SUM($G134:DG134)=$B134,0,IF(SUM(DH133:$EJ133)=0%,$B134,0%)))</f>
        <v>0</v>
      </c>
      <c r="DI134" s="395">
        <f ca="1">IF($E$304=0,0,IF(SUM($G134:DH134)=$B134,0,IF(SUM(DI133:$EJ133)=0%,$B134,0%)))</f>
        <v>0</v>
      </c>
      <c r="DJ134" s="395">
        <f ca="1">IF($E$304=0,0,IF(SUM($G134:DI134)=$B134,0,IF(SUM(DJ133:$EJ133)=0%,$B134,0%)))</f>
        <v>0</v>
      </c>
      <c r="DK134" s="395">
        <f ca="1">IF($E$304=0,0,IF(SUM($G134:DJ134)=$B134,0,IF(SUM(DK133:$EJ133)=0%,$B134,0%)))</f>
        <v>0</v>
      </c>
      <c r="DL134" s="395">
        <f ca="1">IF($E$304=0,0,IF(SUM($G134:DK134)=$B134,0,IF(SUM(DL133:$EJ133)=0%,$B134,0%)))</f>
        <v>0</v>
      </c>
      <c r="DM134" s="395">
        <f ca="1">IF($E$304=0,0,IF(SUM($G134:DL134)=$B134,0,IF(SUM(DM133:$EJ133)=0%,$B134,0%)))</f>
        <v>0</v>
      </c>
      <c r="DN134" s="395">
        <f ca="1">IF($E$304=0,0,IF(SUM($G134:DM134)=$B134,0,IF(SUM(DN133:$EJ133)=0%,$B134,0%)))</f>
        <v>0</v>
      </c>
      <c r="DO134" s="395">
        <f ca="1">IF($E$304=0,0,IF(SUM($G134:DN134)=$B134,0,IF(SUM(DO133:$EJ133)=0%,$B134,0%)))</f>
        <v>0</v>
      </c>
      <c r="DP134" s="395">
        <f ca="1">IF($E$304=0,0,IF(SUM($G134:DO134)=$B134,0,IF(SUM(DP133:$EJ133)=0%,$B134,0%)))</f>
        <v>0</v>
      </c>
      <c r="DQ134" s="395">
        <f ca="1">IF($E$304=0,0,IF(SUM($G134:DP134)=$B134,0,IF(SUM(DQ133:$EJ133)=0%,$B134,0%)))</f>
        <v>0</v>
      </c>
      <c r="DR134" s="395">
        <f ca="1">IF($E$304=0,0,IF(SUM($G134:DQ134)=$B134,0,IF(SUM(DR133:$EJ133)=0%,$B134,0%)))</f>
        <v>0</v>
      </c>
      <c r="DS134" s="395">
        <f ca="1">IF($E$304=0,0,IF(SUM($G134:DR134)=$B134,0,IF(SUM(DS133:$EJ133)=0%,$B134,0%)))</f>
        <v>0</v>
      </c>
      <c r="DT134" s="395">
        <f ca="1">IF($E$304=0,0,IF(SUM($G134:DS134)=$B134,0,IF(SUM(DT133:$EJ133)=0%,$B134,0%)))</f>
        <v>0</v>
      </c>
      <c r="DU134" s="395">
        <f ca="1">IF($E$304=0,0,IF(SUM($G134:DT134)=$B134,0,IF(SUM(DU133:$EJ133)=0%,$B134,0%)))</f>
        <v>0</v>
      </c>
      <c r="DV134" s="395">
        <f ca="1">IF($E$304=0,0,IF(SUM($G134:DU134)=$B134,0,IF(SUM(DV133:$EJ133)=0%,$B134,0%)))</f>
        <v>0</v>
      </c>
      <c r="DW134" s="395">
        <f ca="1">IF($E$304=0,0,IF(SUM($G134:DV134)=$B134,0,IF(SUM(DW133:$EJ133)=0%,$B134,0%)))</f>
        <v>0</v>
      </c>
      <c r="DX134" s="395">
        <f ca="1">IF($E$304=0,0,IF(SUM($G134:DW134)=$B134,0,IF(SUM(DX133:$EJ133)=0%,$B134,0%)))</f>
        <v>0</v>
      </c>
      <c r="DY134" s="395">
        <f ca="1">IF($E$304=0,0,IF(SUM($G134:DX134)=$B134,0,IF(SUM(DY133:$EJ133)=0%,$B134,0%)))</f>
        <v>0</v>
      </c>
      <c r="DZ134" s="395">
        <f ca="1">IF($E$304=0,0,IF(SUM($G134:DY134)=$B134,0,IF(SUM(DZ133:$EJ133)=0%,$B134,0%)))</f>
        <v>0</v>
      </c>
      <c r="EA134" s="395">
        <f ca="1">IF($E$304=0,0,IF(SUM($G134:DZ134)=$B134,0,IF(SUM(EA133:$EJ133)=0%,$B134,0%)))</f>
        <v>0</v>
      </c>
      <c r="EB134" s="395">
        <f ca="1">IF($E$304=0,0,IF(SUM($G134:EA134)=$B134,0,IF(SUM(EB133:$EJ133)=0%,$B134,0%)))</f>
        <v>0</v>
      </c>
      <c r="EC134" s="395">
        <f ca="1">IF($E$304=0,0,IF(SUM($G134:EB134)=$B134,0,IF(SUM(EC133:$EJ133)=0%,$B134,0%)))</f>
        <v>0</v>
      </c>
      <c r="ED134" s="395">
        <f ca="1">IF($E$304=0,0,IF(SUM($G134:EC134)=$B134,0,IF(SUM(ED133:$EJ133)=0%,$B134,0%)))</f>
        <v>0</v>
      </c>
      <c r="EE134" s="395">
        <f ca="1">IF($E$304=0,0,IF(SUM($G134:ED134)=$B134,0,IF(SUM(EE133:$EJ133)=0%,$B134,0%)))</f>
        <v>0</v>
      </c>
      <c r="EF134" s="395">
        <f ca="1">IF($E$304=0,0,IF(SUM($G134:EE134)=$B134,0,IF(SUM(EF133:$EJ133)=0%,$B134,0%)))</f>
        <v>0</v>
      </c>
      <c r="EG134" s="395">
        <f ca="1">IF($E$304=0,0,IF(SUM($G134:EF134)=$B134,0,IF(SUM(EG133:$EJ133)=0%,$B134,0%)))</f>
        <v>0</v>
      </c>
      <c r="EH134" s="395">
        <f ca="1">IF($E$304=0,0,IF(SUM($G134:EG134)=$B134,0,IF(SUM(EH133:$EJ133)=0%,$B134,0%)))</f>
        <v>0</v>
      </c>
      <c r="EI134" s="395">
        <f ca="1">IF($E$304=0,0,IF(SUM($G134:EH134)=$B134,0,IF(SUM(EI133:$EJ133)=0%,$B134,0%)))</f>
        <v>0</v>
      </c>
      <c r="EJ134" s="398"/>
      <c r="EK134" s="313"/>
    </row>
    <row r="135" spans="1:141" hidden="1" outlineLevel="2">
      <c r="A135" s="332"/>
      <c r="B135" s="549">
        <f>длительность!E188</f>
        <v>0.1</v>
      </c>
      <c r="C135" s="317"/>
      <c r="D135" s="317" t="s">
        <v>639</v>
      </c>
      <c r="E135" s="318">
        <f t="shared" ca="1" si="352"/>
        <v>0</v>
      </c>
      <c r="F135" s="397">
        <f ca="1">SUM(G135:EJ135)</f>
        <v>0.1</v>
      </c>
      <c r="G135" s="395"/>
      <c r="H135" s="395"/>
      <c r="I135" s="395"/>
      <c r="J135" s="395">
        <f ca="1">IF(SUM($G135:I135)=$B135,0,IF(SUM($G133:I133)=$B133,$B135,0%))</f>
        <v>0</v>
      </c>
      <c r="K135" s="395">
        <f ca="1">IF(SUM($G135:J135)=$B135,0,IF(SUM($G133:J133)=$B133,$B135,0%))</f>
        <v>0</v>
      </c>
      <c r="L135" s="395">
        <f ca="1">IF(SUM($G135:K135)=$B135,0,IF(SUM($G133:K133)=$B133,$B135,0%))</f>
        <v>0</v>
      </c>
      <c r="M135" s="395">
        <f ca="1">IF(SUM($G135:L135)=$B135,0,IF(SUM($G133:L133)=$B133,$B135,0%))</f>
        <v>0</v>
      </c>
      <c r="N135" s="395">
        <f ca="1">IF(SUM($G135:M135)=$B135,0,IF(SUM($G133:M133)=$B133,$B135,0%))</f>
        <v>0</v>
      </c>
      <c r="O135" s="395">
        <f ca="1">IF(SUM($G135:N135)=$B135,0,IF(SUM($G133:N133)=$B133,$B135,0%))</f>
        <v>0</v>
      </c>
      <c r="P135" s="395">
        <f ca="1">IF(SUM($G135:O135)=$B135,0,IF(SUM($G133:O133)=$B133,$B135,0%))</f>
        <v>0</v>
      </c>
      <c r="Q135" s="395">
        <f ca="1">IF(SUM($G135:P135)=$B135,0,IF(SUM($G133:P133)=$B133,$B135,0%))</f>
        <v>0</v>
      </c>
      <c r="R135" s="395">
        <f ca="1">IF(SUM($G135:Q135)=$B135,0,IF(SUM($G133:Q133)=$B133,$B135,0%))</f>
        <v>0</v>
      </c>
      <c r="S135" s="395">
        <f ca="1">IF(SUM($G135:R135)=$B135,0,IF(SUM($G133:R133)=$B133,$B135,0%))</f>
        <v>0</v>
      </c>
      <c r="T135" s="395">
        <f ca="1">IF(SUM($G135:S135)=$B135,0,IF(SUM($G133:S133)=$B133,$B135,0%))</f>
        <v>0</v>
      </c>
      <c r="U135" s="395">
        <f ca="1">IF(SUM($G135:T135)=$B135,0,IF(SUM($G133:T133)=$B133,$B135,0%))</f>
        <v>0</v>
      </c>
      <c r="V135" s="395">
        <f ca="1">IF(SUM($G135:U135)=$B135,0,IF(SUM($G133:U133)=$B133,$B135,0%))</f>
        <v>0</v>
      </c>
      <c r="W135" s="395">
        <f ca="1">IF(SUM($G135:V135)=$B135,0,IF(SUM($G133:V133)=$B133,$B135,0%))</f>
        <v>0</v>
      </c>
      <c r="X135" s="395">
        <f ca="1">IF(SUM($G135:W135)=$B135,0,IF(SUM($G133:W133)=$B133,$B135,0%))</f>
        <v>0</v>
      </c>
      <c r="Y135" s="395">
        <f ca="1">IF(SUM($G135:X135)=$B135,0,IF(SUM($G133:X133)=$B133,$B135,0%))</f>
        <v>0</v>
      </c>
      <c r="Z135" s="395">
        <f ca="1">IF(SUM($G135:Y135)=$B135,0,IF(SUM($G133:Y133)=$B133,$B135,0%))</f>
        <v>0</v>
      </c>
      <c r="AA135" s="395">
        <f ca="1">IF(SUM($G135:Z135)=$B135,0,IF(SUM($G133:Z133)=$B133,$B135,0%))</f>
        <v>0</v>
      </c>
      <c r="AB135" s="395">
        <f ca="1">IF(SUM($G135:AA135)=$B135,0,IF(SUM($G133:AA133)=$B133,$B135,0%))</f>
        <v>0</v>
      </c>
      <c r="AC135" s="395">
        <f ca="1">IF(SUM($G135:AB135)=$B135,0,IF(SUM($G133:AB133)=$B133,$B135,0%))</f>
        <v>0</v>
      </c>
      <c r="AD135" s="395">
        <f ca="1">IF(SUM($G135:AC135)=$B135,0,IF(SUM($G133:AC133)=$B133,$B135,0%))</f>
        <v>0</v>
      </c>
      <c r="AE135" s="395">
        <f ca="1">IF(SUM($G135:AD135)=$B135,0,IF(SUM($G133:AD133)=$B133,$B135,0%))</f>
        <v>0</v>
      </c>
      <c r="AF135" s="395">
        <f ca="1">IF(SUM($G135:AE135)=$B135,0,IF(SUM($G133:AE133)=$B133,$B135,0%))</f>
        <v>0</v>
      </c>
      <c r="AG135" s="395">
        <f ca="1">IF(SUM($G135:AF135)=$B135,0,IF(SUM($G133:AF133)=$B133,$B135,0%))</f>
        <v>0</v>
      </c>
      <c r="AH135" s="395">
        <f ca="1">IF(SUM($G135:AG135)=$B135,0,IF(SUM($G133:AG133)=$B133,$B135,0%))</f>
        <v>0</v>
      </c>
      <c r="AI135" s="395">
        <f ca="1">IF(SUM($G135:AH135)=$B135,0,IF(SUM($G133:AH133)=$B133,$B135,0%))</f>
        <v>0</v>
      </c>
      <c r="AJ135" s="395">
        <f ca="1">IF(SUM($G135:AI135)=$B135,0,IF(SUM($G133:AI133)=$B133,$B135,0%))</f>
        <v>0</v>
      </c>
      <c r="AK135" s="395">
        <f ca="1">IF(SUM($G135:AJ135)=$B135,0,IF(SUM($G133:AJ133)=$B133,$B135,0%))</f>
        <v>0</v>
      </c>
      <c r="AL135" s="395">
        <f ca="1">IF(SUM($G135:AK135)=$B135,0,IF(SUM($G133:AK133)=$B133,$B135,0%))</f>
        <v>0</v>
      </c>
      <c r="AM135" s="395">
        <f ca="1">IF(SUM($G135:AL135)=$B135,0,IF(SUM($G133:AL133)=$B133,$B135,0%))</f>
        <v>0</v>
      </c>
      <c r="AN135" s="395">
        <f ca="1">IF(SUM($G135:AM135)=$B135,0,IF(SUM($G133:AM133)=$B133,$B135,0%))</f>
        <v>0</v>
      </c>
      <c r="AO135" s="395">
        <f ca="1">IF(SUM($G135:AN135)=$B135,0,IF(SUM($G133:AN133)=$B133,$B135,0%))</f>
        <v>0</v>
      </c>
      <c r="AP135" s="395">
        <f ca="1">IF(SUM($G135:AO135)=$B135,0,IF(SUM($G133:AO133)=$B133,$B135,0%))</f>
        <v>0</v>
      </c>
      <c r="AQ135" s="395">
        <f ca="1">IF(SUM($G135:AP135)=$B135,0,IF(SUM($G133:AP133)=$B133,$B135,0%))</f>
        <v>0</v>
      </c>
      <c r="AR135" s="395">
        <f ca="1">IF(SUM($G135:AQ135)=$B135,0,IF(SUM($G133:AQ133)=$B133,$B135,0%))</f>
        <v>0</v>
      </c>
      <c r="AS135" s="395">
        <f ca="1">IF(SUM($G135:AR135)=$B135,0,IF(SUM($G133:AR133)=$B133,$B135,0%))</f>
        <v>0</v>
      </c>
      <c r="AT135" s="395">
        <f ca="1">IF(SUM($G135:AS135)=$B135,0,IF(SUM($G133:AS133)=$B133,$B135,0%))</f>
        <v>0</v>
      </c>
      <c r="AU135" s="395">
        <f ca="1">IF(SUM($G135:AT135)=$B135,0,IF(SUM($G133:AT133)=$B133,$B135,0%))</f>
        <v>0</v>
      </c>
      <c r="AV135" s="395">
        <f ca="1">IF(SUM($G135:AU135)=$B135,0,IF(SUM($G133:AU133)=$B133,$B135,0%))</f>
        <v>0</v>
      </c>
      <c r="AW135" s="395">
        <f ca="1">IF(SUM($G135:AV135)=$B135,0,IF(SUM($G133:AV133)=$B133,$B135,0%))</f>
        <v>0</v>
      </c>
      <c r="AX135" s="395">
        <f ca="1">IF(SUM($G135:AW135)=$B135,0,IF(SUM($G133:AW133)=$B133,$B135,0%))</f>
        <v>0</v>
      </c>
      <c r="AY135" s="395">
        <f ca="1">IF(SUM($G135:AX135)=$B135,0,IF(SUM($G133:AX133)=$B133,$B135,0%))</f>
        <v>0</v>
      </c>
      <c r="AZ135" s="395">
        <f ca="1">IF(SUM($G135:AY135)=$B135,0,IF(SUM($G133:AY133)=$B133,$B135,0%))</f>
        <v>0</v>
      </c>
      <c r="BA135" s="395">
        <f ca="1">IF(SUM($G135:AZ135)=$B135,0,IF(SUM($G133:AZ133)=$B133,$B135,0%))</f>
        <v>0</v>
      </c>
      <c r="BB135" s="395">
        <f ca="1">IF(SUM($G135:BA135)=$B135,0,IF(SUM($G133:BA133)=$B133,$B135,0%))</f>
        <v>0</v>
      </c>
      <c r="BC135" s="395">
        <f ca="1">IF(SUM($G135:BB135)=$B135,0,IF(SUM($G133:BB133)=$B133,$B135,0%))</f>
        <v>0</v>
      </c>
      <c r="BD135" s="395">
        <f ca="1">IF(SUM($G135:BC135)=$B135,0,IF(SUM($G133:BC133)=$B133,$B135,0%))</f>
        <v>0</v>
      </c>
      <c r="BE135" s="395">
        <f ca="1">IF(SUM($G135:BD135)=$B135,0,IF(SUM($G133:BD133)=$B133,$B135,0%))</f>
        <v>0</v>
      </c>
      <c r="BF135" s="395">
        <f ca="1">IF(SUM($G135:BE135)=$B135,0,IF(SUM($G133:BE133)=$B133,$B135,0%))</f>
        <v>0</v>
      </c>
      <c r="BG135" s="395">
        <f ca="1">IF(SUM($G135:BF135)=$B135,0,IF(SUM($G133:BF133)=$B133,$B135,0%))</f>
        <v>0</v>
      </c>
      <c r="BH135" s="395">
        <f ca="1">IF(SUM($G135:BG135)=$B135,0,IF(SUM($G133:BG133)=$B133,$B135,0%))</f>
        <v>0</v>
      </c>
      <c r="BI135" s="395">
        <f ca="1">IF(SUM($G135:BH135)=$B135,0,IF(SUM($G133:BH133)=$B133,$B135,0%))</f>
        <v>0</v>
      </c>
      <c r="BJ135" s="395">
        <f ca="1">IF(SUM($G135:BI135)=$B135,0,IF(SUM($G133:BI133)=$B133,$B135,0%))</f>
        <v>0.1</v>
      </c>
      <c r="BK135" s="395">
        <f ca="1">IF(SUM($G135:BJ135)=$B135,0,IF(SUM($G133:BJ133)=$B133,$B135,0%))</f>
        <v>0</v>
      </c>
      <c r="BL135" s="395">
        <f ca="1">IF(SUM($G135:BK135)=$B135,0,IF(SUM($G133:BK133)=$B133,$B135,0%))</f>
        <v>0</v>
      </c>
      <c r="BM135" s="395">
        <f ca="1">IF(SUM($G135:BL135)=$B135,0,IF(SUM($G133:BL133)=$B133,$B135,0%))</f>
        <v>0</v>
      </c>
      <c r="BN135" s="395">
        <f ca="1">IF(SUM($G135:BM135)=$B135,0,IF(SUM($G133:BM133)=$B133,$B135,0%))</f>
        <v>0</v>
      </c>
      <c r="BO135" s="395">
        <f ca="1">IF(SUM($G135:BN135)=$B135,0,IF(SUM($G133:BN133)=$B133,$B135,0%))</f>
        <v>0</v>
      </c>
      <c r="BP135" s="395">
        <f ca="1">IF(SUM($G135:BO135)=$B135,0,IF(SUM($G133:BO133)=$B133,$B135,0%))</f>
        <v>0</v>
      </c>
      <c r="BQ135" s="395">
        <f ca="1">IF(SUM($G135:BP135)=$B135,0,IF(SUM($G133:BP133)=$B133,$B135,0%))</f>
        <v>0</v>
      </c>
      <c r="BR135" s="395">
        <f ca="1">IF(SUM($G135:BQ135)=$B135,0,IF(SUM($G133:BQ133)=$B133,$B135,0%))</f>
        <v>0</v>
      </c>
      <c r="BS135" s="395">
        <f ca="1">IF(SUM($G135:BR135)=$B135,0,IF(SUM($G133:BR133)=$B133,$B135,0%))</f>
        <v>0</v>
      </c>
      <c r="BT135" s="395">
        <f ca="1">IF(SUM($G135:BS135)=$B135,0,IF(SUM($G133:BS133)=$B133,$B135,0%))</f>
        <v>0</v>
      </c>
      <c r="BU135" s="395">
        <f ca="1">IF(SUM($G135:BT135)=$B135,0,IF(SUM($G133:BT133)=$B133,$B135,0%))</f>
        <v>0</v>
      </c>
      <c r="BV135" s="395">
        <f ca="1">IF(SUM($G135:BU135)=$B135,0,IF(SUM($G133:BU133)=$B133,$B135,0%))</f>
        <v>0</v>
      </c>
      <c r="BW135" s="395">
        <f ca="1">IF(SUM($G135:BV135)=$B135,0,IF(SUM($G133:BV133)=$B133,$B135,0%))</f>
        <v>0</v>
      </c>
      <c r="BX135" s="395">
        <f ca="1">IF(SUM($G135:BW135)=$B135,0,IF(SUM($G133:BW133)=$B133,$B135,0%))</f>
        <v>0</v>
      </c>
      <c r="BY135" s="395">
        <f ca="1">IF(SUM($G135:BX135)=$B135,0,IF(SUM($G133:BX133)=$B133,$B135,0%))</f>
        <v>0</v>
      </c>
      <c r="BZ135" s="395">
        <f ca="1">IF(SUM($G135:BY135)=$B135,0,IF(SUM($G133:BY133)=$B133,$B135,0%))</f>
        <v>0</v>
      </c>
      <c r="CA135" s="395">
        <f ca="1">IF(SUM($G135:BZ135)=$B135,0,IF(SUM($G133:BZ133)=$B133,$B135,0%))</f>
        <v>0</v>
      </c>
      <c r="CB135" s="395">
        <f ca="1">IF(SUM($G135:CA135)=$B135,0,IF(SUM($G133:CA133)=$B133,$B135,0%))</f>
        <v>0</v>
      </c>
      <c r="CC135" s="395">
        <f ca="1">IF(SUM($G135:CB135)=$B135,0,IF(SUM($G133:CB133)=$B133,$B135,0%))</f>
        <v>0</v>
      </c>
      <c r="CD135" s="395">
        <f ca="1">IF(SUM($G135:CC135)=$B135,0,IF(SUM($G133:CC133)=$B133,$B135,0%))</f>
        <v>0</v>
      </c>
      <c r="CE135" s="395">
        <f ca="1">IF(SUM($G135:CD135)=$B135,0,IF(SUM($G133:CD133)=$B133,$B135,0%))</f>
        <v>0</v>
      </c>
      <c r="CF135" s="395">
        <f ca="1">IF(SUM($G135:CE135)=$B135,0,IF(SUM($G133:CE133)=$B133,$B135,0%))</f>
        <v>0</v>
      </c>
      <c r="CG135" s="395">
        <f ca="1">IF(SUM($G135:CF135)=$B135,0,IF(SUM($G133:CF133)=$B133,$B135,0%))</f>
        <v>0</v>
      </c>
      <c r="CH135" s="395">
        <f ca="1">IF(SUM($G135:CG135)=$B135,0,IF(SUM($G133:CG133)=$B133,$B135,0%))</f>
        <v>0</v>
      </c>
      <c r="CI135" s="395">
        <f ca="1">IF(SUM($G135:CH135)=$B135,0,IF(SUM($G133:CH133)=$B133,$B135,0%))</f>
        <v>0</v>
      </c>
      <c r="CJ135" s="395">
        <f ca="1">IF(SUM($G135:CI135)=$B135,0,IF(SUM($G133:CI133)=$B133,$B135,0%))</f>
        <v>0</v>
      </c>
      <c r="CK135" s="395">
        <f ca="1">IF(SUM($G135:CJ135)=$B135,0,IF(SUM($G133:CJ133)=$B133,$B135,0%))</f>
        <v>0</v>
      </c>
      <c r="CL135" s="395">
        <f ca="1">IF(SUM($G135:CK135)=$B135,0,IF(SUM($G133:CK133)=$B133,$B135,0%))</f>
        <v>0</v>
      </c>
      <c r="CM135" s="395">
        <f ca="1">IF(SUM($G135:CL135)=$B135,0,IF(SUM($G133:CL133)=$B133,$B135,0%))</f>
        <v>0</v>
      </c>
      <c r="CN135" s="395">
        <f ca="1">IF(SUM($G135:CM135)=$B135,0,IF(SUM($G133:CM133)=$B133,$B135,0%))</f>
        <v>0</v>
      </c>
      <c r="CO135" s="395">
        <f ca="1">IF(SUM($G135:CN135)=$B135,0,IF(SUM($G133:CN133)=$B133,$B135,0%))</f>
        <v>0</v>
      </c>
      <c r="CP135" s="395">
        <f ca="1">IF(SUM($G135:CO135)=$B135,0,IF(SUM($G133:CO133)=$B133,$B135,0%))</f>
        <v>0</v>
      </c>
      <c r="CQ135" s="395">
        <f ca="1">IF(SUM($G135:CP135)=$B135,0,IF(SUM($G133:CP133)=$B133,$B135,0%))</f>
        <v>0</v>
      </c>
      <c r="CR135" s="395">
        <f ca="1">IF(SUM($G135:CQ135)=$B135,0,IF(SUM($G133:CQ133)=$B133,$B135,0%))</f>
        <v>0</v>
      </c>
      <c r="CS135" s="395">
        <f ca="1">IF(SUM($G135:CR135)=$B135,0,IF(SUM($G133:CR133)=$B133,$B135,0%))</f>
        <v>0</v>
      </c>
      <c r="CT135" s="395">
        <f ca="1">IF(SUM($G135:CS135)=$B135,0,IF(SUM($G133:CS133)=$B133,$B135,0%))</f>
        <v>0</v>
      </c>
      <c r="CU135" s="395">
        <f ca="1">IF(SUM($G135:CT135)=$B135,0,IF(SUM($G133:CT133)=$B133,$B135,0%))</f>
        <v>0</v>
      </c>
      <c r="CV135" s="395">
        <f ca="1">IF(SUM($G135:CU135)=$B135,0,IF(SUM($G133:CU133)=$B133,$B135,0%))</f>
        <v>0</v>
      </c>
      <c r="CW135" s="395">
        <f ca="1">IF(SUM($G135:CV135)=$B135,0,IF(SUM($G133:CV133)=$B133,$B135,0%))</f>
        <v>0</v>
      </c>
      <c r="CX135" s="395">
        <f ca="1">IF(SUM($G135:CW135)=$B135,0,IF(SUM($G133:CW133)=$B133,$B135,0%))</f>
        <v>0</v>
      </c>
      <c r="CY135" s="395">
        <f ca="1">IF(SUM($G135:CX135)=$B135,0,IF(SUM($G133:CX133)=$B133,$B135,0%))</f>
        <v>0</v>
      </c>
      <c r="CZ135" s="395">
        <f ca="1">IF(SUM($G135:CY135)=$B135,0,IF(SUM($G133:CY133)=$B133,$B135,0%))</f>
        <v>0</v>
      </c>
      <c r="DA135" s="395">
        <f ca="1">IF(SUM($G135:CZ135)=$B135,0,IF(SUM($G133:CZ133)=$B133,$B135,0%))</f>
        <v>0</v>
      </c>
      <c r="DB135" s="395">
        <f ca="1">IF(SUM($G135:DA135)=$B135,0,IF(SUM($G133:DA133)=$B133,$B135,0%))</f>
        <v>0</v>
      </c>
      <c r="DC135" s="395">
        <f ca="1">IF(SUM($G135:DB135)=$B135,0,IF(SUM($G133:DB133)=$B133,$B135,0%))</f>
        <v>0</v>
      </c>
      <c r="DD135" s="395">
        <f ca="1">IF(SUM($G135:DC135)=$B135,0,IF(SUM($G133:DC133)=$B133,$B135,0%))</f>
        <v>0</v>
      </c>
      <c r="DE135" s="395">
        <f ca="1">IF(SUM($G135:DD135)=$B135,0,IF(SUM($G133:DD133)=$B133,$B135,0%))</f>
        <v>0</v>
      </c>
      <c r="DF135" s="395">
        <f ca="1">IF(SUM($G135:DE135)=$B135,0,IF(SUM($G133:DE133)=$B133,$B135,0%))</f>
        <v>0</v>
      </c>
      <c r="DG135" s="395">
        <f ca="1">IF(SUM($G135:DF135)=$B135,0,IF(SUM($G133:DF133)=$B133,$B135,0%))</f>
        <v>0</v>
      </c>
      <c r="DH135" s="395">
        <f ca="1">IF(SUM($G135:DG135)=$B135,0,IF(SUM($G133:DG133)=$B133,$B135,0%))</f>
        <v>0</v>
      </c>
      <c r="DI135" s="395">
        <f ca="1">IF(SUM($G135:DH135)=$B135,0,IF(SUM($G133:DH133)=$B133,$B135,0%))</f>
        <v>0</v>
      </c>
      <c r="DJ135" s="395">
        <f ca="1">IF(SUM($G135:DI135)=$B135,0,IF(SUM($G133:DI133)=$B133,$B135,0%))</f>
        <v>0</v>
      </c>
      <c r="DK135" s="395">
        <f ca="1">IF(SUM($G135:DJ135)=$B135,0,IF(SUM($G133:DJ133)=$B133,$B135,0%))</f>
        <v>0</v>
      </c>
      <c r="DL135" s="395">
        <f ca="1">IF(SUM($G135:DK135)=$B135,0,IF(SUM($G133:DK133)=$B133,$B135,0%))</f>
        <v>0</v>
      </c>
      <c r="DM135" s="395">
        <f ca="1">IF(SUM($G135:DL135)=$B135,0,IF(SUM($G133:DL133)=$B133,$B135,0%))</f>
        <v>0</v>
      </c>
      <c r="DN135" s="395">
        <f ca="1">IF(SUM($G135:DM135)=$B135,0,IF(SUM($G133:DM133)=$B133,$B135,0%))</f>
        <v>0</v>
      </c>
      <c r="DO135" s="395">
        <f ca="1">IF(SUM($G135:DN135)=$B135,0,IF(SUM($G133:DN133)=$B133,$B135,0%))</f>
        <v>0</v>
      </c>
      <c r="DP135" s="395">
        <f ca="1">IF(SUM($G135:DO135)=$B135,0,IF(SUM($G133:DO133)=$B133,$B135,0%))</f>
        <v>0</v>
      </c>
      <c r="DQ135" s="395">
        <f ca="1">IF(SUM($G135:DP135)=$B135,0,IF(SUM($G133:DP133)=$B133,$B135,0%))</f>
        <v>0</v>
      </c>
      <c r="DR135" s="395">
        <f ca="1">IF(SUM($G135:DQ135)=$B135,0,IF(SUM($G133:DQ133)=$B133,$B135,0%))</f>
        <v>0</v>
      </c>
      <c r="DS135" s="395">
        <f ca="1">IF(SUM($G135:DR135)=$B135,0,IF(SUM($G133:DR133)=$B133,$B135,0%))</f>
        <v>0</v>
      </c>
      <c r="DT135" s="395">
        <f ca="1">IF(SUM($G135:DS135)=$B135,0,IF(SUM($G133:DS133)=$B133,$B135,0%))</f>
        <v>0</v>
      </c>
      <c r="DU135" s="395">
        <f ca="1">IF(SUM($G135:DT135)=$B135,0,IF(SUM($G133:DT133)=$B133,$B135,0%))</f>
        <v>0</v>
      </c>
      <c r="DV135" s="395">
        <f ca="1">IF(SUM($G135:DU135)=$B135,0,IF(SUM($G133:DU133)=$B133,$B135,0%))</f>
        <v>0</v>
      </c>
      <c r="DW135" s="395">
        <f ca="1">IF(SUM($G135:DV135)=$B135,0,IF(SUM($G133:DV133)=$B133,$B135,0%))</f>
        <v>0</v>
      </c>
      <c r="DX135" s="395">
        <f ca="1">IF(SUM($G135:DW135)=$B135,0,IF(SUM($G133:DW133)=$B133,$B135,0%))</f>
        <v>0</v>
      </c>
      <c r="DY135" s="395">
        <f ca="1">IF(SUM($G135:DX135)=$B135,0,IF(SUM($G133:DX133)=$B133,$B135,0%))</f>
        <v>0</v>
      </c>
      <c r="DZ135" s="395">
        <f ca="1">IF(SUM($G135:DY135)=$B135,0,IF(SUM($G133:DY133)=$B133,$B135,0%))</f>
        <v>0</v>
      </c>
      <c r="EA135" s="395">
        <f ca="1">IF(SUM($G135:DZ135)=$B135,0,IF(SUM($G133:DZ133)=$B133,$B135,0%))</f>
        <v>0</v>
      </c>
      <c r="EB135" s="395">
        <f ca="1">IF(SUM($G135:EA135)=$B135,0,IF(SUM($G133:EA133)=$B133,$B135,0%))</f>
        <v>0</v>
      </c>
      <c r="EC135" s="395">
        <f ca="1">IF(SUM($G135:EB135)=$B135,0,IF(SUM($G133:EB133)=$B133,$B135,0%))</f>
        <v>0</v>
      </c>
      <c r="ED135" s="395">
        <f ca="1">IF(SUM($G135:EC135)=$B135,0,IF(SUM($G133:EC133)=$B133,$B135,0%))</f>
        <v>0</v>
      </c>
      <c r="EE135" s="395">
        <f ca="1">IF(SUM($G135:ED135)=$B135,0,IF(SUM($G133:ED133)=$B133,$B135,0%))</f>
        <v>0</v>
      </c>
      <c r="EF135" s="395">
        <f ca="1">IF(SUM($G135:EE135)=$B135,0,IF(SUM($G133:EE133)=$B133,$B135,0%))</f>
        <v>0</v>
      </c>
      <c r="EG135" s="395">
        <f ca="1">IF(SUM($G135:EF135)=$B135,0,IF(SUM($G133:EF133)=$B133,$B135,0%))</f>
        <v>0</v>
      </c>
      <c r="EH135" s="395">
        <f ca="1">IF(SUM($G135:EG135)=$B135,0,IF(SUM($G133:EG133)=$B133,$B135,0%))</f>
        <v>0</v>
      </c>
      <c r="EI135" s="395">
        <f ca="1">IF(SUM($G135:EH135)=$B135,0,IF(SUM($G133:EH133)=$B133,$B135,0%))</f>
        <v>0</v>
      </c>
      <c r="EJ135" s="398"/>
      <c r="EK135" s="313"/>
    </row>
    <row r="136" spans="1:141" hidden="1" outlineLevel="2">
      <c r="A136" s="332"/>
      <c r="B136" s="549">
        <f>длительность!F188</f>
        <v>2.5000000000000001E-2</v>
      </c>
      <c r="C136" s="317"/>
      <c r="D136" s="317" t="s">
        <v>640</v>
      </c>
      <c r="E136" s="318">
        <f t="shared" ca="1" si="352"/>
        <v>0</v>
      </c>
      <c r="F136" s="397">
        <f ca="1">SUM(G136:EJ136)</f>
        <v>2.5000000000000001E-2</v>
      </c>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f>IF(SUM($G136:AC136)=$B136,0,IF(SUM($G134:G134)=$B134,$B136,0%))</f>
        <v>0</v>
      </c>
      <c r="AE136" s="395">
        <f ca="1">IF(SUM($G136:AD136)=$B136,0,IF(SUM($G134:H134)=$B134,$B136,0%))</f>
        <v>0</v>
      </c>
      <c r="AF136" s="395">
        <f ca="1">IF(SUM($G136:AE136)=$B136,0,IF(SUM($G134:I134)=$B134,$B136,0%))</f>
        <v>0</v>
      </c>
      <c r="AG136" s="395">
        <f ca="1">IF(SUM($G136:AF136)=$B136,0,IF(SUM($G134:J134)=$B134,$B136,0%))</f>
        <v>0</v>
      </c>
      <c r="AH136" s="395">
        <f ca="1">IF(SUM($G136:AG136)=$B136,0,IF(SUM($G134:K134)=$B134,$B136,0%))</f>
        <v>0</v>
      </c>
      <c r="AI136" s="395">
        <f ca="1">IF(SUM($G136:AH136)=$B136,0,IF(SUM($G134:L134)=$B134,$B136,0%))</f>
        <v>0</v>
      </c>
      <c r="AJ136" s="395">
        <f ca="1">IF(SUM($G136:AI136)=$B136,0,IF(SUM($G134:M134)=$B134,$B136,0%))</f>
        <v>0</v>
      </c>
      <c r="AK136" s="395">
        <f ca="1">IF(SUM($G136:AJ136)=$B136,0,IF(SUM($G134:N134)=$B134,$B136,0%))</f>
        <v>0</v>
      </c>
      <c r="AL136" s="395">
        <f ca="1">IF(SUM($G136:AK136)=$B136,0,IF(SUM($G134:O134)=$B134,$B136,0%))</f>
        <v>0</v>
      </c>
      <c r="AM136" s="395">
        <f ca="1">IF(SUM($G136:AL136)=$B136,0,IF(SUM($G134:P134)=$B134,$B136,0%))</f>
        <v>0</v>
      </c>
      <c r="AN136" s="395">
        <f ca="1">IF(SUM($G136:AM136)=$B136,0,IF(SUM($G134:Q134)=$B134,$B136,0%))</f>
        <v>0</v>
      </c>
      <c r="AO136" s="395">
        <f ca="1">IF(SUM($G136:AN136)=$B136,0,IF(SUM($G134:R134)=$B134,$B136,0%))</f>
        <v>0</v>
      </c>
      <c r="AP136" s="395">
        <f ca="1">IF(SUM($G136:AO136)=$B136,0,IF(SUM($G134:S134)=$B134,$B136,0%))</f>
        <v>0</v>
      </c>
      <c r="AQ136" s="395">
        <f ca="1">IF(SUM($G136:AP136)=$B136,0,IF(SUM($G134:T134)=$B134,$B136,0%))</f>
        <v>0</v>
      </c>
      <c r="AR136" s="395">
        <f ca="1">IF(SUM($G136:AQ136)=$B136,0,IF(SUM($G134:U134)=$B134,$B136,0%))</f>
        <v>0</v>
      </c>
      <c r="AS136" s="395">
        <f ca="1">IF(SUM($G136:AR136)=$B136,0,IF(SUM($G134:V134)=$B134,$B136,0%))</f>
        <v>0</v>
      </c>
      <c r="AT136" s="395">
        <f ca="1">IF(SUM($G136:AS136)=$B136,0,IF(SUM($G134:W134)=$B134,$B136,0%))</f>
        <v>0</v>
      </c>
      <c r="AU136" s="395">
        <f ca="1">IF(SUM($G136:AT136)=$B136,0,IF(SUM($G134:X134)=$B134,$B136,0%))</f>
        <v>0</v>
      </c>
      <c r="AV136" s="395">
        <f ca="1">IF(SUM($G136:AU136)=$B136,0,IF(SUM($G134:Y134)=$B134,$B136,0%))</f>
        <v>0</v>
      </c>
      <c r="AW136" s="395">
        <f ca="1">IF(SUM($G136:AV136)=$B136,0,IF(SUM($G134:Z134)=$B134,$B136,0%))</f>
        <v>0</v>
      </c>
      <c r="AX136" s="395">
        <f ca="1">IF(SUM($G136:AW136)=$B136,0,IF(SUM($G134:AA134)=$B134,$B136,0%))</f>
        <v>0</v>
      </c>
      <c r="AY136" s="395">
        <f ca="1">IF(SUM($G136:AX136)=$B136,0,IF(SUM($G134:AB134)=$B134,$B136,0%))</f>
        <v>0</v>
      </c>
      <c r="AZ136" s="395">
        <f ca="1">IF(SUM($G136:AY136)=$B136,0,IF(SUM($G134:AC134)=$B134,$B136,0%))</f>
        <v>0</v>
      </c>
      <c r="BA136" s="395">
        <f ca="1">IF(SUM($G136:AZ136)=$B136,0,IF(SUM($G134:AD134)=$B134,$B136,0%))</f>
        <v>0</v>
      </c>
      <c r="BB136" s="395">
        <f ca="1">IF(SUM($G136:BA136)=$B136,0,IF(SUM($G134:AE134)=$B134,$B136,0%))</f>
        <v>0</v>
      </c>
      <c r="BC136" s="395">
        <f ca="1">IF(SUM($G136:BB136)=$B136,0,IF(SUM($G134:AF134)=$B134,$B136,0%))</f>
        <v>0</v>
      </c>
      <c r="BD136" s="395">
        <f ca="1">IF(SUM($G136:BC136)=$B136,0,IF(SUM($G134:AG134)=$B134,$B136,0%))</f>
        <v>0</v>
      </c>
      <c r="BE136" s="395">
        <f ca="1">IF(SUM($G136:BD136)=$B136,0,IF(SUM($G134:AH134)=$B134,$B136,0%))</f>
        <v>0</v>
      </c>
      <c r="BF136" s="395">
        <f ca="1">IF(SUM($G136:BE136)=$B136,0,IF(SUM($G134:AI134)=$B134,$B136,0%))</f>
        <v>0</v>
      </c>
      <c r="BG136" s="395">
        <f ca="1">IF(SUM($G136:BF136)=$B136,0,IF(SUM($G134:AJ134)=$B134,$B136,0%))</f>
        <v>0</v>
      </c>
      <c r="BH136" s="395">
        <f ca="1">IF(SUM($G136:BG136)=$B136,0,IF(SUM($G134:AK134)=$B134,$B136,0%))</f>
        <v>0</v>
      </c>
      <c r="BI136" s="395">
        <f ca="1">IF(SUM($G136:BH136)=$B136,0,IF(SUM($G134:AL134)=$B134,$B136,0%))</f>
        <v>0</v>
      </c>
      <c r="BJ136" s="395">
        <f ca="1">IF(SUM($G136:BI136)=$B136,0,IF(SUM($G134:AM134)=$B134,$B136,0%))</f>
        <v>0</v>
      </c>
      <c r="BK136" s="395">
        <f ca="1">IF(SUM($G136:BJ136)=$B136,0,IF(SUM($G134:AN134)=$B134,$B136,0%))</f>
        <v>0</v>
      </c>
      <c r="BL136" s="395">
        <f ca="1">IF(SUM($G136:BK136)=$B136,0,IF(SUM($G134:AO134)=$B134,$B136,0%))</f>
        <v>0</v>
      </c>
      <c r="BM136" s="395">
        <f ca="1">IF(SUM($G136:BL136)=$B136,0,IF(SUM($G134:AP134)=$B134,$B136,0%))</f>
        <v>0</v>
      </c>
      <c r="BN136" s="395">
        <f ca="1">IF(SUM($G136:BM136)=$B136,0,IF(SUM($G134:AQ134)=$B134,$B136,0%))</f>
        <v>0</v>
      </c>
      <c r="BO136" s="395">
        <f ca="1">IF(SUM($G136:BN136)=$B136,0,IF(SUM($G134:AR134)=$B134,$B136,0%))</f>
        <v>0</v>
      </c>
      <c r="BP136" s="395">
        <f ca="1">IF(SUM($G136:BO136)=$B136,0,IF(SUM($G134:AS134)=$B134,$B136,0%))</f>
        <v>0</v>
      </c>
      <c r="BQ136" s="395">
        <f ca="1">IF(SUM($G136:BP136)=$B136,0,IF(SUM($G134:AT134)=$B134,$B136,0%))</f>
        <v>0</v>
      </c>
      <c r="BR136" s="395">
        <f ca="1">IF(SUM($G136:BQ136)=$B136,0,IF(SUM($G134:AU134)=$B134,$B136,0%))</f>
        <v>0</v>
      </c>
      <c r="BS136" s="395">
        <f ca="1">IF(SUM($G136:BR136)=$B136,0,IF(SUM($G134:AV134)=$B134,$B136,0%))</f>
        <v>0</v>
      </c>
      <c r="BT136" s="395">
        <f ca="1">IF(SUM($G136:BS136)=$B136,0,IF(SUM($G134:AW134)=$B134,$B136,0%))</f>
        <v>0</v>
      </c>
      <c r="BU136" s="395">
        <f ca="1">IF(SUM($G136:BT136)=$B136,0,IF(SUM($G134:AX134)=$B134,$B136,0%))</f>
        <v>0</v>
      </c>
      <c r="BV136" s="395">
        <f ca="1">IF(SUM($G136:BU136)=$B136,0,IF(SUM($G134:AY134)=$B134,$B136,0%))</f>
        <v>0</v>
      </c>
      <c r="BW136" s="395">
        <f ca="1">IF(SUM($G136:BV136)=$B136,0,IF(SUM($G134:AZ134)=$B134,$B136,0%))</f>
        <v>0</v>
      </c>
      <c r="BX136" s="395">
        <f ca="1">IF(SUM($G136:BW136)=$B136,0,IF(SUM($G134:BA134)=$B134,$B136,0%))</f>
        <v>0</v>
      </c>
      <c r="BY136" s="395">
        <f ca="1">IF(SUM($G136:BX136)=$B136,0,IF(SUM($G134:BB134)=$B134,$B136,0%))</f>
        <v>0</v>
      </c>
      <c r="BZ136" s="395">
        <f ca="1">IF(SUM($G136:BY136)=$B136,0,IF(SUM($G134:BC134)=$B134,$B136,0%))</f>
        <v>0</v>
      </c>
      <c r="CA136" s="395">
        <f ca="1">IF(SUM($G136:BZ136)=$B136,0,IF(SUM($G134:BD134)=$B134,$B136,0%))</f>
        <v>0</v>
      </c>
      <c r="CB136" s="395">
        <f ca="1">IF(SUM($G136:CA136)=$B136,0,IF(SUM($G134:BE134)=$B134,$B136,0%))</f>
        <v>0</v>
      </c>
      <c r="CC136" s="395">
        <f ca="1">IF(SUM($G136:CB136)=$B136,0,IF(SUM($G134:BF134)=$B134,$B136,0%))</f>
        <v>0</v>
      </c>
      <c r="CD136" s="395">
        <f ca="1">IF(SUM($G136:CC136)=$B136,0,IF(SUM($G134:BG134)=$B134,$B136,0%))</f>
        <v>0</v>
      </c>
      <c r="CE136" s="395">
        <f ca="1">IF(SUM($G136:CD136)=$B136,0,IF(SUM($G134:BH134)=$B134,$B136,0%))</f>
        <v>0</v>
      </c>
      <c r="CF136" s="395">
        <f ca="1">IF(SUM($G136:CE136)=$B136,0,IF(SUM($G134:BI134)=$B134,$B136,0%))</f>
        <v>0</v>
      </c>
      <c r="CG136" s="395">
        <f ca="1">IF(SUM($G136:CF136)=$B136,0,IF(SUM($G134:BJ134)=$B134,$B136,0%))</f>
        <v>2.5000000000000001E-2</v>
      </c>
      <c r="CH136" s="395">
        <f ca="1">IF(SUM($G136:CG136)=$B136,0,IF(SUM($G134:BK134)=$B134,$B136,0%))</f>
        <v>0</v>
      </c>
      <c r="CI136" s="395">
        <f ca="1">IF(SUM($G136:CH136)=$B136,0,IF(SUM($G134:BL134)=$B134,$B136,0%))</f>
        <v>0</v>
      </c>
      <c r="CJ136" s="395">
        <f ca="1">IF(SUM($G136:CI136)=$B136,0,IF(SUM($G134:BM134)=$B134,$B136,0%))</f>
        <v>0</v>
      </c>
      <c r="CK136" s="395">
        <f ca="1">IF(SUM($G136:CJ136)=$B136,0,IF(SUM($G134:BN134)=$B134,$B136,0%))</f>
        <v>0</v>
      </c>
      <c r="CL136" s="395">
        <f ca="1">IF(SUM($G136:CK136)=$B136,0,IF(SUM($G134:BO134)=$B134,$B136,0%))</f>
        <v>0</v>
      </c>
      <c r="CM136" s="395">
        <f ca="1">IF(SUM($G136:CL136)=$B136,0,IF(SUM($G134:BP134)=$B134,$B136,0%))</f>
        <v>0</v>
      </c>
      <c r="CN136" s="395">
        <f ca="1">IF(SUM($G136:CM136)=$B136,0,IF(SUM($G134:BQ134)=$B134,$B136,0%))</f>
        <v>0</v>
      </c>
      <c r="CO136" s="395">
        <f ca="1">IF(SUM($G136:CN136)=$B136,0,IF(SUM($G134:BR134)=$B134,$B136,0%))</f>
        <v>0</v>
      </c>
      <c r="CP136" s="395">
        <f ca="1">IF(SUM($G136:CO136)=$B136,0,IF(SUM($G134:BS134)=$B134,$B136,0%))</f>
        <v>0</v>
      </c>
      <c r="CQ136" s="395">
        <f ca="1">IF(SUM($G136:CP136)=$B136,0,IF(SUM($G134:BT134)=$B134,$B136,0%))</f>
        <v>0</v>
      </c>
      <c r="CR136" s="395">
        <f ca="1">IF(SUM($G136:CQ136)=$B136,0,IF(SUM($G134:BU134)=$B134,$B136,0%))</f>
        <v>0</v>
      </c>
      <c r="CS136" s="395">
        <f ca="1">IF(SUM($G136:CR136)=$B136,0,IF(SUM($G134:BV134)=$B134,$B136,0%))</f>
        <v>0</v>
      </c>
      <c r="CT136" s="395">
        <f ca="1">IF(SUM($G136:CS136)=$B136,0,IF(SUM($G134:BW134)=$B134,$B136,0%))</f>
        <v>0</v>
      </c>
      <c r="CU136" s="395">
        <f ca="1">IF(SUM($G136:CT136)=$B136,0,IF(SUM($G134:BX134)=$B134,$B136,0%))</f>
        <v>0</v>
      </c>
      <c r="CV136" s="395">
        <f ca="1">IF(SUM($G136:CU136)=$B136,0,IF(SUM($G134:BY134)=$B134,$B136,0%))</f>
        <v>0</v>
      </c>
      <c r="CW136" s="395">
        <f ca="1">IF(SUM($G136:CV136)=$B136,0,IF(SUM($G134:BZ134)=$B134,$B136,0%))</f>
        <v>0</v>
      </c>
      <c r="CX136" s="395">
        <f ca="1">IF(SUM($G136:CW136)=$B136,0,IF(SUM($G134:CA134)=$B134,$B136,0%))</f>
        <v>0</v>
      </c>
      <c r="CY136" s="395">
        <f ca="1">IF(SUM($G136:CX136)=$B136,0,IF(SUM($G134:CB134)=$B134,$B136,0%))</f>
        <v>0</v>
      </c>
      <c r="CZ136" s="395">
        <f ca="1">IF(SUM($G136:CY136)=$B136,0,IF(SUM($G134:CC134)=$B134,$B136,0%))</f>
        <v>0</v>
      </c>
      <c r="DA136" s="395">
        <f ca="1">IF(SUM($G136:CZ136)=$B136,0,IF(SUM($G134:CD134)=$B134,$B136,0%))</f>
        <v>0</v>
      </c>
      <c r="DB136" s="395">
        <f ca="1">IF(SUM($G136:DA136)=$B136,0,IF(SUM($G134:CE134)=$B134,$B136,0%))</f>
        <v>0</v>
      </c>
      <c r="DC136" s="395">
        <f ca="1">IF(SUM($G136:DB136)=$B136,0,IF(SUM($G134:CF134)=$B134,$B136,0%))</f>
        <v>0</v>
      </c>
      <c r="DD136" s="395">
        <f ca="1">IF(SUM($G136:DC136)=$B136,0,IF(SUM($G134:CG134)=$B134,$B136,0%))</f>
        <v>0</v>
      </c>
      <c r="DE136" s="395">
        <f ca="1">IF(SUM($G136:DD136)=$B136,0,IF(SUM($G134:CH134)=$B134,$B136,0%))</f>
        <v>0</v>
      </c>
      <c r="DF136" s="395">
        <f ca="1">IF(SUM($G136:DE136)=$B136,0,IF(SUM($G134:CI134)=$B134,$B136,0%))</f>
        <v>0</v>
      </c>
      <c r="DG136" s="395">
        <f ca="1">IF(SUM($G136:DF136)=$B136,0,IF(SUM($G134:CJ134)=$B134,$B136,0%))</f>
        <v>0</v>
      </c>
      <c r="DH136" s="395">
        <f ca="1">IF(SUM($G136:DG136)=$B136,0,IF(SUM($G134:CK134)=$B134,$B136,0%))</f>
        <v>0</v>
      </c>
      <c r="DI136" s="395">
        <f ca="1">IF(SUM($G136:DH136)=$B136,0,IF(SUM($G134:CL134)=$B134,$B136,0%))</f>
        <v>0</v>
      </c>
      <c r="DJ136" s="395">
        <f ca="1">IF(SUM($G136:DI136)=$B136,0,IF(SUM($G134:CM134)=$B134,$B136,0%))</f>
        <v>0</v>
      </c>
      <c r="DK136" s="395">
        <f ca="1">IF(SUM($G136:DJ136)=$B136,0,IF(SUM($G134:CN134)=$B134,$B136,0%))</f>
        <v>0</v>
      </c>
      <c r="DL136" s="395">
        <f ca="1">IF(SUM($G136:DK136)=$B136,0,IF(SUM($G134:CO134)=$B134,$B136,0%))</f>
        <v>0</v>
      </c>
      <c r="DM136" s="395">
        <f ca="1">IF(SUM($G136:DL136)=$B136,0,IF(SUM($G134:CP134)=$B134,$B136,0%))</f>
        <v>0</v>
      </c>
      <c r="DN136" s="395">
        <f ca="1">IF(SUM($G136:DM136)=$B136,0,IF(SUM($G134:CQ134)=$B134,$B136,0%))</f>
        <v>0</v>
      </c>
      <c r="DO136" s="395">
        <f ca="1">IF(SUM($G136:DN136)=$B136,0,IF(SUM($G134:CR134)=$B134,$B136,0%))</f>
        <v>0</v>
      </c>
      <c r="DP136" s="395">
        <f ca="1">IF(SUM($G136:DO136)=$B136,0,IF(SUM($G134:CS134)=$B134,$B136,0%))</f>
        <v>0</v>
      </c>
      <c r="DQ136" s="395">
        <f ca="1">IF(SUM($G136:DP136)=$B136,0,IF(SUM($G134:CT134)=$B134,$B136,0%))</f>
        <v>0</v>
      </c>
      <c r="DR136" s="395">
        <f ca="1">IF(SUM($G136:DQ136)=$B136,0,IF(SUM($G134:CU134)=$B134,$B136,0%))</f>
        <v>0</v>
      </c>
      <c r="DS136" s="395">
        <f ca="1">IF(SUM($G136:DR136)=$B136,0,IF(SUM($G134:CV134)=$B134,$B136,0%))</f>
        <v>0</v>
      </c>
      <c r="DT136" s="395">
        <f ca="1">IF(SUM($G136:DS136)=$B136,0,IF(SUM($G134:CW134)=$B134,$B136,0%))</f>
        <v>0</v>
      </c>
      <c r="DU136" s="395">
        <f ca="1">IF(SUM($G136:DT136)=$B136,0,IF(SUM($G134:CX134)=$B134,$B136,0%))</f>
        <v>0</v>
      </c>
      <c r="DV136" s="395">
        <f ca="1">IF(SUM($G136:DU136)=$B136,0,IF(SUM($G134:CY134)=$B134,$B136,0%))</f>
        <v>0</v>
      </c>
      <c r="DW136" s="395">
        <f ca="1">IF(SUM($G136:DV136)=$B136,0,IF(SUM($G134:CZ134)=$B134,$B136,0%))</f>
        <v>0</v>
      </c>
      <c r="DX136" s="395">
        <f ca="1">IF(SUM($G136:DW136)=$B136,0,IF(SUM($G134:DA134)=$B134,$B136,0%))</f>
        <v>0</v>
      </c>
      <c r="DY136" s="395">
        <f ca="1">IF(SUM($G136:DX136)=$B136,0,IF(SUM($G134:DB134)=$B134,$B136,0%))</f>
        <v>0</v>
      </c>
      <c r="DZ136" s="395">
        <f ca="1">IF(SUM($G136:DY136)=$B136,0,IF(SUM($G134:DC134)=$B134,$B136,0%))</f>
        <v>0</v>
      </c>
      <c r="EA136" s="395">
        <f ca="1">IF(SUM($G136:DZ136)=$B136,0,IF(SUM($G134:DD134)=$B134,$B136,0%))</f>
        <v>0</v>
      </c>
      <c r="EB136" s="395">
        <f ca="1">IF(SUM($G136:EA136)=$B136,0,IF(SUM($G134:DE134)=$B134,$B136,0%))</f>
        <v>0</v>
      </c>
      <c r="EC136" s="395">
        <f ca="1">IF(SUM($G136:EB136)=$B136,0,IF(SUM($G134:DF134)=$B134,$B136,0%))</f>
        <v>0</v>
      </c>
      <c r="ED136" s="395">
        <f ca="1">IF(SUM($G136:EC136)=$B136,0,IF(SUM($G134:DG134)=$B134,$B136,0%))</f>
        <v>0</v>
      </c>
      <c r="EE136" s="395">
        <f ca="1">IF(SUM($G136:ED136)=$B136,0,IF(SUM($G134:DH134)=$B134,$B136,0%))</f>
        <v>0</v>
      </c>
      <c r="EF136" s="395">
        <f ca="1">IF(SUM($G136:EE136)=$B136,0,IF(SUM($G134:DI134)=$B134,$B136,0%))</f>
        <v>0</v>
      </c>
      <c r="EG136" s="395">
        <f ca="1">IF(SUM($G136:EF136)=$B136,0,IF(SUM($G134:DJ134)=$B134,$B136,0%))</f>
        <v>0</v>
      </c>
      <c r="EH136" s="395">
        <f ca="1">IF(SUM($G136:EG136)=$B136,0,IF(SUM($G134:DK134)=$B134,$B136,0%))</f>
        <v>0</v>
      </c>
      <c r="EI136" s="395">
        <f ca="1">IF(SUM($G136:EH136)=$B136,0,IF(SUM($G134:DL134)=$B134,$B136,0%))</f>
        <v>0</v>
      </c>
      <c r="EJ136" s="398"/>
      <c r="EK136" s="313"/>
    </row>
    <row r="137" spans="1:141" hidden="1" outlineLevel="1" collapsed="1">
      <c r="A137" s="332"/>
      <c r="B137" s="313"/>
      <c r="C137" s="392" t="s">
        <v>79</v>
      </c>
      <c r="D137" s="392" t="s">
        <v>665</v>
      </c>
      <c r="E137" s="393">
        <f ca="1">ROUND(IF(F137=0,0,100%-F137),0)</f>
        <v>0</v>
      </c>
      <c r="F137" s="394">
        <f ca="1">SUM(G137:EJ137)</f>
        <v>1</v>
      </c>
      <c r="G137" s="395">
        <f>SUM(G138:G142)</f>
        <v>0</v>
      </c>
      <c r="H137" s="395">
        <f ca="1">SUM(H138:H142)</f>
        <v>0</v>
      </c>
      <c r="I137" s="395">
        <f t="shared" ref="I137:BT137" ca="1" si="353">SUM(I138:I142)</f>
        <v>0</v>
      </c>
      <c r="J137" s="395">
        <f t="shared" ca="1" si="353"/>
        <v>0</v>
      </c>
      <c r="K137" s="395">
        <f t="shared" ca="1" si="353"/>
        <v>0</v>
      </c>
      <c r="L137" s="395">
        <f t="shared" ca="1" si="353"/>
        <v>0</v>
      </c>
      <c r="M137" s="395">
        <f t="shared" ca="1" si="353"/>
        <v>0</v>
      </c>
      <c r="N137" s="395">
        <f t="shared" ca="1" si="353"/>
        <v>0</v>
      </c>
      <c r="O137" s="395">
        <f t="shared" ca="1" si="353"/>
        <v>0</v>
      </c>
      <c r="P137" s="395">
        <f t="shared" ca="1" si="353"/>
        <v>0</v>
      </c>
      <c r="Q137" s="395">
        <f t="shared" ca="1" si="353"/>
        <v>0</v>
      </c>
      <c r="R137" s="395">
        <f t="shared" ca="1" si="353"/>
        <v>0</v>
      </c>
      <c r="S137" s="395">
        <f t="shared" ca="1" si="353"/>
        <v>0</v>
      </c>
      <c r="T137" s="395">
        <f t="shared" ca="1" si="353"/>
        <v>0</v>
      </c>
      <c r="U137" s="395">
        <f t="shared" ca="1" si="353"/>
        <v>0</v>
      </c>
      <c r="V137" s="395">
        <f t="shared" ca="1" si="353"/>
        <v>0</v>
      </c>
      <c r="W137" s="395">
        <f t="shared" ca="1" si="353"/>
        <v>0</v>
      </c>
      <c r="X137" s="395">
        <f t="shared" ca="1" si="353"/>
        <v>0</v>
      </c>
      <c r="Y137" s="395">
        <f t="shared" ca="1" si="353"/>
        <v>0</v>
      </c>
      <c r="Z137" s="395">
        <f t="shared" ca="1" si="353"/>
        <v>0</v>
      </c>
      <c r="AA137" s="395">
        <f t="shared" ca="1" si="353"/>
        <v>0</v>
      </c>
      <c r="AB137" s="395">
        <f t="shared" ca="1" si="353"/>
        <v>0</v>
      </c>
      <c r="AC137" s="395">
        <f t="shared" ca="1" si="353"/>
        <v>0</v>
      </c>
      <c r="AD137" s="395">
        <f t="shared" ca="1" si="353"/>
        <v>0</v>
      </c>
      <c r="AE137" s="395">
        <f t="shared" ca="1" si="353"/>
        <v>0</v>
      </c>
      <c r="AF137" s="395">
        <f t="shared" ca="1" si="353"/>
        <v>0</v>
      </c>
      <c r="AG137" s="395">
        <f t="shared" ca="1" si="353"/>
        <v>0</v>
      </c>
      <c r="AH137" s="395">
        <f t="shared" ca="1" si="353"/>
        <v>0</v>
      </c>
      <c r="AI137" s="395">
        <f t="shared" ca="1" si="353"/>
        <v>0</v>
      </c>
      <c r="AJ137" s="395">
        <f t="shared" ca="1" si="353"/>
        <v>0</v>
      </c>
      <c r="AK137" s="395">
        <f t="shared" ca="1" si="353"/>
        <v>0</v>
      </c>
      <c r="AL137" s="395">
        <f t="shared" ca="1" si="353"/>
        <v>0</v>
      </c>
      <c r="AM137" s="395">
        <f t="shared" ca="1" si="353"/>
        <v>0</v>
      </c>
      <c r="AN137" s="395">
        <f t="shared" ca="1" si="353"/>
        <v>0</v>
      </c>
      <c r="AO137" s="395">
        <f t="shared" ca="1" si="353"/>
        <v>0</v>
      </c>
      <c r="AP137" s="395">
        <f t="shared" ca="1" si="353"/>
        <v>0</v>
      </c>
      <c r="AQ137" s="395">
        <f t="shared" ca="1" si="353"/>
        <v>0</v>
      </c>
      <c r="AR137" s="395">
        <f t="shared" ca="1" si="353"/>
        <v>0</v>
      </c>
      <c r="AS137" s="395">
        <f t="shared" ca="1" si="353"/>
        <v>0</v>
      </c>
      <c r="AT137" s="395">
        <f t="shared" ca="1" si="353"/>
        <v>0</v>
      </c>
      <c r="AU137" s="395">
        <f t="shared" ca="1" si="353"/>
        <v>0</v>
      </c>
      <c r="AV137" s="395">
        <f t="shared" ca="1" si="353"/>
        <v>0.4</v>
      </c>
      <c r="AW137" s="395">
        <f t="shared" ca="1" si="353"/>
        <v>0</v>
      </c>
      <c r="AX137" s="395">
        <f t="shared" ca="1" si="353"/>
        <v>0</v>
      </c>
      <c r="AY137" s="395">
        <f t="shared" ca="1" si="353"/>
        <v>0</v>
      </c>
      <c r="AZ137" s="395">
        <f t="shared" ca="1" si="353"/>
        <v>0</v>
      </c>
      <c r="BA137" s="395">
        <f t="shared" ca="1" si="353"/>
        <v>0</v>
      </c>
      <c r="BB137" s="395">
        <f t="shared" ca="1" si="353"/>
        <v>2.2058823529411763E-2</v>
      </c>
      <c r="BC137" s="395">
        <f t="shared" ca="1" si="353"/>
        <v>0.12352941176470589</v>
      </c>
      <c r="BD137" s="395">
        <f t="shared" ca="1" si="353"/>
        <v>0.13676470588235293</v>
      </c>
      <c r="BE137" s="395">
        <f t="shared" ca="1" si="353"/>
        <v>0.13235294117647059</v>
      </c>
      <c r="BF137" s="395">
        <f t="shared" ca="1" si="353"/>
        <v>3.5294117647058823E-2</v>
      </c>
      <c r="BG137" s="395">
        <f t="shared" ca="1" si="353"/>
        <v>0.125</v>
      </c>
      <c r="BH137" s="395">
        <f t="shared" ca="1" si="353"/>
        <v>0</v>
      </c>
      <c r="BI137" s="395">
        <f t="shared" ca="1" si="353"/>
        <v>0</v>
      </c>
      <c r="BJ137" s="395">
        <f t="shared" ca="1" si="353"/>
        <v>0</v>
      </c>
      <c r="BK137" s="395">
        <f t="shared" ca="1" si="353"/>
        <v>0</v>
      </c>
      <c r="BL137" s="395">
        <f t="shared" ca="1" si="353"/>
        <v>0</v>
      </c>
      <c r="BM137" s="395">
        <f t="shared" ca="1" si="353"/>
        <v>0</v>
      </c>
      <c r="BN137" s="395">
        <f t="shared" ca="1" si="353"/>
        <v>0</v>
      </c>
      <c r="BO137" s="395">
        <f t="shared" ca="1" si="353"/>
        <v>0</v>
      </c>
      <c r="BP137" s="395">
        <f t="shared" ca="1" si="353"/>
        <v>0</v>
      </c>
      <c r="BQ137" s="395">
        <f t="shared" ca="1" si="353"/>
        <v>0</v>
      </c>
      <c r="BR137" s="395">
        <f t="shared" ca="1" si="353"/>
        <v>0</v>
      </c>
      <c r="BS137" s="395">
        <f t="shared" ca="1" si="353"/>
        <v>0</v>
      </c>
      <c r="BT137" s="395">
        <f t="shared" ca="1" si="353"/>
        <v>0</v>
      </c>
      <c r="BU137" s="395">
        <f t="shared" ref="BU137:EF137" ca="1" si="354">SUM(BU138:BU142)</f>
        <v>0</v>
      </c>
      <c r="BV137" s="395">
        <f t="shared" ca="1" si="354"/>
        <v>0</v>
      </c>
      <c r="BW137" s="395">
        <f t="shared" ca="1" si="354"/>
        <v>0</v>
      </c>
      <c r="BX137" s="395">
        <f t="shared" ca="1" si="354"/>
        <v>0</v>
      </c>
      <c r="BY137" s="395">
        <f t="shared" ca="1" si="354"/>
        <v>0</v>
      </c>
      <c r="BZ137" s="395">
        <f t="shared" ca="1" si="354"/>
        <v>0</v>
      </c>
      <c r="CA137" s="395">
        <f t="shared" ca="1" si="354"/>
        <v>0</v>
      </c>
      <c r="CB137" s="395">
        <f t="shared" ca="1" si="354"/>
        <v>0</v>
      </c>
      <c r="CC137" s="395">
        <f t="shared" ca="1" si="354"/>
        <v>0</v>
      </c>
      <c r="CD137" s="395">
        <f t="shared" ca="1" si="354"/>
        <v>2.5000000000000001E-2</v>
      </c>
      <c r="CE137" s="395">
        <f t="shared" ca="1" si="354"/>
        <v>0</v>
      </c>
      <c r="CF137" s="395">
        <f t="shared" ca="1" si="354"/>
        <v>0</v>
      </c>
      <c r="CG137" s="395">
        <f t="shared" ca="1" si="354"/>
        <v>0</v>
      </c>
      <c r="CH137" s="395">
        <f t="shared" ca="1" si="354"/>
        <v>0</v>
      </c>
      <c r="CI137" s="395">
        <f t="shared" ca="1" si="354"/>
        <v>0</v>
      </c>
      <c r="CJ137" s="395">
        <f t="shared" ca="1" si="354"/>
        <v>0</v>
      </c>
      <c r="CK137" s="395">
        <f t="shared" ca="1" si="354"/>
        <v>0</v>
      </c>
      <c r="CL137" s="395">
        <f t="shared" ca="1" si="354"/>
        <v>0</v>
      </c>
      <c r="CM137" s="395">
        <f t="shared" ca="1" si="354"/>
        <v>0</v>
      </c>
      <c r="CN137" s="395">
        <f t="shared" ca="1" si="354"/>
        <v>0</v>
      </c>
      <c r="CO137" s="395">
        <f t="shared" ca="1" si="354"/>
        <v>0</v>
      </c>
      <c r="CP137" s="395">
        <f t="shared" ca="1" si="354"/>
        <v>0</v>
      </c>
      <c r="CQ137" s="395">
        <f t="shared" ca="1" si="354"/>
        <v>0</v>
      </c>
      <c r="CR137" s="395">
        <f t="shared" ca="1" si="354"/>
        <v>0</v>
      </c>
      <c r="CS137" s="395">
        <f t="shared" ca="1" si="354"/>
        <v>0</v>
      </c>
      <c r="CT137" s="395">
        <f t="shared" ca="1" si="354"/>
        <v>0</v>
      </c>
      <c r="CU137" s="395">
        <f t="shared" ca="1" si="354"/>
        <v>0</v>
      </c>
      <c r="CV137" s="395">
        <f t="shared" ca="1" si="354"/>
        <v>0</v>
      </c>
      <c r="CW137" s="395">
        <f t="shared" ca="1" si="354"/>
        <v>0</v>
      </c>
      <c r="CX137" s="395">
        <f t="shared" ca="1" si="354"/>
        <v>0</v>
      </c>
      <c r="CY137" s="395">
        <f t="shared" ca="1" si="354"/>
        <v>0</v>
      </c>
      <c r="CZ137" s="395">
        <f t="shared" ca="1" si="354"/>
        <v>0</v>
      </c>
      <c r="DA137" s="395">
        <f t="shared" ca="1" si="354"/>
        <v>0</v>
      </c>
      <c r="DB137" s="395">
        <f t="shared" ca="1" si="354"/>
        <v>0</v>
      </c>
      <c r="DC137" s="395">
        <f t="shared" ca="1" si="354"/>
        <v>0</v>
      </c>
      <c r="DD137" s="395">
        <f t="shared" ca="1" si="354"/>
        <v>0</v>
      </c>
      <c r="DE137" s="395">
        <f t="shared" ca="1" si="354"/>
        <v>0</v>
      </c>
      <c r="DF137" s="395">
        <f t="shared" ca="1" si="354"/>
        <v>0</v>
      </c>
      <c r="DG137" s="395">
        <f t="shared" ca="1" si="354"/>
        <v>0</v>
      </c>
      <c r="DH137" s="395">
        <f t="shared" ca="1" si="354"/>
        <v>0</v>
      </c>
      <c r="DI137" s="395">
        <f t="shared" ca="1" si="354"/>
        <v>0</v>
      </c>
      <c r="DJ137" s="395">
        <f t="shared" ca="1" si="354"/>
        <v>0</v>
      </c>
      <c r="DK137" s="395">
        <f t="shared" ca="1" si="354"/>
        <v>0</v>
      </c>
      <c r="DL137" s="395">
        <f t="shared" ca="1" si="354"/>
        <v>0</v>
      </c>
      <c r="DM137" s="395">
        <f t="shared" ca="1" si="354"/>
        <v>0</v>
      </c>
      <c r="DN137" s="395">
        <f t="shared" ca="1" si="354"/>
        <v>0</v>
      </c>
      <c r="DO137" s="395">
        <f t="shared" ca="1" si="354"/>
        <v>0</v>
      </c>
      <c r="DP137" s="395">
        <f t="shared" ca="1" si="354"/>
        <v>0</v>
      </c>
      <c r="DQ137" s="395">
        <f t="shared" ca="1" si="354"/>
        <v>0</v>
      </c>
      <c r="DR137" s="395">
        <f t="shared" ca="1" si="354"/>
        <v>0</v>
      </c>
      <c r="DS137" s="395">
        <f t="shared" ca="1" si="354"/>
        <v>0</v>
      </c>
      <c r="DT137" s="395">
        <f t="shared" ca="1" si="354"/>
        <v>0</v>
      </c>
      <c r="DU137" s="395">
        <f t="shared" ca="1" si="354"/>
        <v>0</v>
      </c>
      <c r="DV137" s="395">
        <f t="shared" ca="1" si="354"/>
        <v>0</v>
      </c>
      <c r="DW137" s="395">
        <f t="shared" ca="1" si="354"/>
        <v>0</v>
      </c>
      <c r="DX137" s="395">
        <f t="shared" ca="1" si="354"/>
        <v>0</v>
      </c>
      <c r="DY137" s="395">
        <f t="shared" ca="1" si="354"/>
        <v>0</v>
      </c>
      <c r="DZ137" s="395">
        <f t="shared" ca="1" si="354"/>
        <v>0</v>
      </c>
      <c r="EA137" s="395">
        <f t="shared" ca="1" si="354"/>
        <v>0</v>
      </c>
      <c r="EB137" s="395">
        <f t="shared" ca="1" si="354"/>
        <v>0</v>
      </c>
      <c r="EC137" s="395">
        <f t="shared" ca="1" si="354"/>
        <v>0</v>
      </c>
      <c r="ED137" s="395">
        <f t="shared" ca="1" si="354"/>
        <v>0</v>
      </c>
      <c r="EE137" s="395">
        <f t="shared" ca="1" si="354"/>
        <v>0</v>
      </c>
      <c r="EF137" s="395">
        <f t="shared" ca="1" si="354"/>
        <v>0</v>
      </c>
      <c r="EG137" s="395">
        <f t="shared" ref="EG137:EI137" ca="1" si="355">SUM(EG138:EG142)</f>
        <v>0</v>
      </c>
      <c r="EH137" s="395">
        <f t="shared" ca="1" si="355"/>
        <v>0</v>
      </c>
      <c r="EI137" s="395">
        <f t="shared" ca="1" si="355"/>
        <v>0</v>
      </c>
      <c r="EJ137" s="398"/>
      <c r="EK137" s="313"/>
    </row>
    <row r="138" spans="1:141" hidden="1" outlineLevel="2">
      <c r="A138" s="332"/>
      <c r="B138" s="549">
        <f>длительность!B189</f>
        <v>0.4</v>
      </c>
      <c r="C138" s="317"/>
      <c r="D138" s="317" t="s">
        <v>664</v>
      </c>
      <c r="E138" s="318">
        <f t="shared" ref="E138:E142" ca="1" si="356">IF(F138=0,0,B138-F138)</f>
        <v>0</v>
      </c>
      <c r="F138" s="397">
        <f t="shared" ref="F138:F139" ca="1" si="357">SUM(G138:EJ138)</f>
        <v>0.4</v>
      </c>
      <c r="G138" s="395"/>
      <c r="H138" s="395">
        <f ca="1">IF(SUM($G138:G138)=$B138,0,IF(N139&gt;0%,$B138,0%))</f>
        <v>0</v>
      </c>
      <c r="I138" s="395">
        <f ca="1">IF(SUM($G138:H138)=$B138,0,IF(O139&gt;0%,$B138,0%))</f>
        <v>0</v>
      </c>
      <c r="J138" s="395">
        <f ca="1">IF(SUM($G138:I138)=$B138,0,IF(P139&gt;0%,$B138,0%))</f>
        <v>0</v>
      </c>
      <c r="K138" s="395">
        <f ca="1">IF(SUM($G138:J138)=$B138,0,IF(Q139&gt;0%,$B138,0%))</f>
        <v>0</v>
      </c>
      <c r="L138" s="395">
        <f ca="1">IF(SUM($G138:K138)=$B138,0,IF(R139&gt;0%,$B138,0%))</f>
        <v>0</v>
      </c>
      <c r="M138" s="395">
        <f ca="1">IF(SUM($G138:L138)=$B138,0,IF(S139&gt;0%,$B138,0%))</f>
        <v>0</v>
      </c>
      <c r="N138" s="395">
        <f ca="1">IF(SUM($G138:M138)=$B138,0,IF(T139&gt;0%,$B138,0%))</f>
        <v>0</v>
      </c>
      <c r="O138" s="395">
        <f ca="1">IF(SUM($G138:N138)=$B138,0,IF(U139&gt;0%,$B138,0%))</f>
        <v>0</v>
      </c>
      <c r="P138" s="395">
        <f ca="1">IF(SUM($G138:O138)=$B138,0,IF(V139&gt;0%,$B138,0%))</f>
        <v>0</v>
      </c>
      <c r="Q138" s="395">
        <f ca="1">IF(SUM($G138:P138)=$B138,0,IF(W139&gt;0%,$B138,0%))</f>
        <v>0</v>
      </c>
      <c r="R138" s="395">
        <f ca="1">IF(SUM($G138:Q138)=$B138,0,IF(X139&gt;0%,$B138,0%))</f>
        <v>0</v>
      </c>
      <c r="S138" s="395">
        <f ca="1">IF(SUM($G138:R138)=$B138,0,IF(Y139&gt;0%,$B138,0%))</f>
        <v>0</v>
      </c>
      <c r="T138" s="395">
        <f ca="1">IF(SUM($G138:S138)=$B138,0,IF(Z139&gt;0%,$B138,0%))</f>
        <v>0</v>
      </c>
      <c r="U138" s="395">
        <f ca="1">IF(SUM($G138:T138)=$B138,0,IF(AA139&gt;0%,$B138,0%))</f>
        <v>0</v>
      </c>
      <c r="V138" s="395">
        <f ca="1">IF(SUM($G138:U138)=$B138,0,IF(AB139&gt;0%,$B138,0%))</f>
        <v>0</v>
      </c>
      <c r="W138" s="395">
        <f ca="1">IF(SUM($G138:V138)=$B138,0,IF(AC139&gt;0%,$B138,0%))</f>
        <v>0</v>
      </c>
      <c r="X138" s="395">
        <f ca="1">IF(SUM($G138:W138)=$B138,0,IF(AD139&gt;0%,$B138,0%))</f>
        <v>0</v>
      </c>
      <c r="Y138" s="395">
        <f ca="1">IF(SUM($G138:X138)=$B138,0,IF(AE139&gt;0%,$B138,0%))</f>
        <v>0</v>
      </c>
      <c r="Z138" s="395">
        <f ca="1">IF(SUM($G138:Y138)=$B138,0,IF(AF139&gt;0%,$B138,0%))</f>
        <v>0</v>
      </c>
      <c r="AA138" s="395">
        <f ca="1">IF(SUM($G138:Z138)=$B138,0,IF(AG139&gt;0%,$B138,0%))</f>
        <v>0</v>
      </c>
      <c r="AB138" s="395">
        <f ca="1">IF(SUM($G138:AA138)=$B138,0,IF(AH139&gt;0%,$B138,0%))</f>
        <v>0</v>
      </c>
      <c r="AC138" s="395">
        <f ca="1">IF(SUM($G138:AB138)=$B138,0,IF(AI139&gt;0%,$B138,0%))</f>
        <v>0</v>
      </c>
      <c r="AD138" s="395">
        <f ca="1">IF(SUM($G138:AC138)=$B138,0,IF(AJ139&gt;0%,$B138,0%))</f>
        <v>0</v>
      </c>
      <c r="AE138" s="395">
        <f ca="1">IF(SUM($G138:AD138)=$B138,0,IF(AK139&gt;0%,$B138,0%))</f>
        <v>0</v>
      </c>
      <c r="AF138" s="395">
        <f ca="1">IF(SUM($G138:AE138)=$B138,0,IF(AL139&gt;0%,$B138,0%))</f>
        <v>0</v>
      </c>
      <c r="AG138" s="395">
        <f ca="1">IF(SUM($G138:AF138)=$B138,0,IF(AM139&gt;0%,$B138,0%))</f>
        <v>0</v>
      </c>
      <c r="AH138" s="395">
        <f ca="1">IF(SUM($G138:AG138)=$B138,0,IF(AN139&gt;0%,$B138,0%))</f>
        <v>0</v>
      </c>
      <c r="AI138" s="395">
        <f ca="1">IF(SUM($G138:AH138)=$B138,0,IF(AO139&gt;0%,$B138,0%))</f>
        <v>0</v>
      </c>
      <c r="AJ138" s="395">
        <f ca="1">IF(SUM($G138:AI138)=$B138,0,IF(AP139&gt;0%,$B138,0%))</f>
        <v>0</v>
      </c>
      <c r="AK138" s="395">
        <f ca="1">IF(SUM($G138:AJ138)=$B138,0,IF(AQ139&gt;0%,$B138,0%))</f>
        <v>0</v>
      </c>
      <c r="AL138" s="395">
        <f ca="1">IF(SUM($G138:AK138)=$B138,0,IF(AR139&gt;0%,$B138,0%))</f>
        <v>0</v>
      </c>
      <c r="AM138" s="395">
        <f ca="1">IF(SUM($G138:AL138)=$B138,0,IF(AS139&gt;0%,$B138,0%))</f>
        <v>0</v>
      </c>
      <c r="AN138" s="395">
        <f ca="1">IF(SUM($G138:AM138)=$B138,0,IF(AT139&gt;0%,$B138,0%))</f>
        <v>0</v>
      </c>
      <c r="AO138" s="395">
        <f ca="1">IF(SUM($G138:AN138)=$B138,0,IF(AU139&gt;0%,$B138,0%))</f>
        <v>0</v>
      </c>
      <c r="AP138" s="395">
        <f ca="1">IF(SUM($G138:AO138)=$B138,0,IF(AV139&gt;0%,$B138,0%))</f>
        <v>0</v>
      </c>
      <c r="AQ138" s="395">
        <f ca="1">IF(SUM($G138:AP138)=$B138,0,IF(AW139&gt;0%,$B138,0%))</f>
        <v>0</v>
      </c>
      <c r="AR138" s="395">
        <f ca="1">IF(SUM($G138:AQ138)=$B138,0,IF(AX139&gt;0%,$B138,0%))</f>
        <v>0</v>
      </c>
      <c r="AS138" s="395">
        <f ca="1">IF(SUM($G138:AR138)=$B138,0,IF(AY139&gt;0%,$B138,0%))</f>
        <v>0</v>
      </c>
      <c r="AT138" s="395">
        <f ca="1">IF(SUM($G138:AS138)=$B138,0,IF(AZ139&gt;0%,$B138,0%))</f>
        <v>0</v>
      </c>
      <c r="AU138" s="395">
        <f ca="1">IF(SUM($G138:AT138)=$B138,0,IF(BA139&gt;0%,$B138,0%))</f>
        <v>0</v>
      </c>
      <c r="AV138" s="395">
        <f ca="1">IF(SUM($G138:AU138)=$B138,0,IF(BB139&gt;0%,$B138,0%))</f>
        <v>0.4</v>
      </c>
      <c r="AW138" s="395">
        <f ca="1">IF(SUM($G138:AV138)=$B138,0,IF(BC139&gt;0%,$B138,0%))</f>
        <v>0</v>
      </c>
      <c r="AX138" s="395">
        <f ca="1">IF(SUM($G138:AW138)=$B138,0,IF(BD139&gt;0%,$B138,0%))</f>
        <v>0</v>
      </c>
      <c r="AY138" s="395">
        <f ca="1">IF(SUM($G138:AX138)=$B138,0,IF(BE139&gt;0%,$B138,0%))</f>
        <v>0</v>
      </c>
      <c r="AZ138" s="395">
        <f ca="1">IF(SUM($G138:AY138)=$B138,0,IF(BF139&gt;0%,$B138,0%))</f>
        <v>0</v>
      </c>
      <c r="BA138" s="395">
        <f ca="1">IF(SUM($G138:AZ138)=$B138,0,IF(BG139&gt;0%,$B138,0%))</f>
        <v>0</v>
      </c>
      <c r="BB138" s="395">
        <f ca="1">IF(SUM($G138:BA138)=$B138,0,IF(BH139&gt;0%,$B138,0%))</f>
        <v>0</v>
      </c>
      <c r="BC138" s="395">
        <f ca="1">IF(SUM($G138:BB138)=$B138,0,IF(BI139&gt;0%,$B138,0%))</f>
        <v>0</v>
      </c>
      <c r="BD138" s="395">
        <f ca="1">IF(SUM($G138:BC138)=$B138,0,IF(BJ139&gt;0%,$B138,0%))</f>
        <v>0</v>
      </c>
      <c r="BE138" s="395">
        <f ca="1">IF(SUM($G138:BD138)=$B138,0,IF(BK139&gt;0%,$B138,0%))</f>
        <v>0</v>
      </c>
      <c r="BF138" s="395">
        <f ca="1">IF(SUM($G138:BE138)=$B138,0,IF(BL139&gt;0%,$B138,0%))</f>
        <v>0</v>
      </c>
      <c r="BG138" s="395">
        <f ca="1">IF(SUM($G138:BF138)=$B138,0,IF(BM139&gt;0%,$B138,0%))</f>
        <v>0</v>
      </c>
      <c r="BH138" s="395">
        <f ca="1">IF(SUM($G138:BG138)=$B138,0,IF(BN139&gt;0%,$B138,0%))</f>
        <v>0</v>
      </c>
      <c r="BI138" s="395">
        <f ca="1">IF(SUM($G138:BH138)=$B138,0,IF(BO139&gt;0%,$B138,0%))</f>
        <v>0</v>
      </c>
      <c r="BJ138" s="395">
        <f ca="1">IF(SUM($G138:BI138)=$B138,0,IF(BP139&gt;0%,$B138,0%))</f>
        <v>0</v>
      </c>
      <c r="BK138" s="395">
        <f ca="1">IF(SUM($G138:BJ138)=$B138,0,IF(BQ139&gt;0%,$B138,0%))</f>
        <v>0</v>
      </c>
      <c r="BL138" s="395">
        <f ca="1">IF(SUM($G138:BK138)=$B138,0,IF(BR139&gt;0%,$B138,0%))</f>
        <v>0</v>
      </c>
      <c r="BM138" s="395">
        <f ca="1">IF(SUM($G138:BL138)=$B138,0,IF(BS139&gt;0%,$B138,0%))</f>
        <v>0</v>
      </c>
      <c r="BN138" s="395">
        <f ca="1">IF(SUM($G138:BM138)=$B138,0,IF(BT139&gt;0%,$B138,0%))</f>
        <v>0</v>
      </c>
      <c r="BO138" s="395">
        <f ca="1">IF(SUM($G138:BN138)=$B138,0,IF(BU139&gt;0%,$B138,0%))</f>
        <v>0</v>
      </c>
      <c r="BP138" s="395">
        <f ca="1">IF(SUM($G138:BO138)=$B138,0,IF(BV139&gt;0%,$B138,0%))</f>
        <v>0</v>
      </c>
      <c r="BQ138" s="395">
        <f ca="1">IF(SUM($G138:BP138)=$B138,0,IF(BW139&gt;0%,$B138,0%))</f>
        <v>0</v>
      </c>
      <c r="BR138" s="395">
        <f ca="1">IF(SUM($G138:BQ138)=$B138,0,IF(BX139&gt;0%,$B138,0%))</f>
        <v>0</v>
      </c>
      <c r="BS138" s="395">
        <f ca="1">IF(SUM($G138:BR138)=$B138,0,IF(BY139&gt;0%,$B138,0%))</f>
        <v>0</v>
      </c>
      <c r="BT138" s="395">
        <f ca="1">IF(SUM($G138:BS138)=$B138,0,IF(BZ139&gt;0%,$B138,0%))</f>
        <v>0</v>
      </c>
      <c r="BU138" s="395">
        <f ca="1">IF(SUM($G138:BT138)=$B138,0,IF(CA139&gt;0%,$B138,0%))</f>
        <v>0</v>
      </c>
      <c r="BV138" s="395">
        <f ca="1">IF(SUM($G138:BU138)=$B138,0,IF(CB139&gt;0%,$B138,0%))</f>
        <v>0</v>
      </c>
      <c r="BW138" s="395">
        <f ca="1">IF(SUM($G138:BV138)=$B138,0,IF(CC139&gt;0%,$B138,0%))</f>
        <v>0</v>
      </c>
      <c r="BX138" s="395">
        <f ca="1">IF(SUM($G138:BW138)=$B138,0,IF(CD139&gt;0%,$B138,0%))</f>
        <v>0</v>
      </c>
      <c r="BY138" s="395">
        <f ca="1">IF(SUM($G138:BX138)=$B138,0,IF(CE139&gt;0%,$B138,0%))</f>
        <v>0</v>
      </c>
      <c r="BZ138" s="395">
        <f ca="1">IF(SUM($G138:BY138)=$B138,0,IF(CF139&gt;0%,$B138,0%))</f>
        <v>0</v>
      </c>
      <c r="CA138" s="395">
        <f ca="1">IF(SUM($G138:BZ138)=$B138,0,IF(CG139&gt;0%,$B138,0%))</f>
        <v>0</v>
      </c>
      <c r="CB138" s="395">
        <f ca="1">IF(SUM($G138:CA138)=$B138,0,IF(CH139&gt;0%,$B138,0%))</f>
        <v>0</v>
      </c>
      <c r="CC138" s="395">
        <f ca="1">IF(SUM($G138:CB138)=$B138,0,IF(CI139&gt;0%,$B138,0%))</f>
        <v>0</v>
      </c>
      <c r="CD138" s="395">
        <f ca="1">IF(SUM($G138:CC138)=$B138,0,IF(CJ139&gt;0%,$B138,0%))</f>
        <v>0</v>
      </c>
      <c r="CE138" s="395">
        <f ca="1">IF(SUM($G138:CD138)=$B138,0,IF(CK139&gt;0%,$B138,0%))</f>
        <v>0</v>
      </c>
      <c r="CF138" s="395">
        <f ca="1">IF(SUM($G138:CE138)=$B138,0,IF(CL139&gt;0%,$B138,0%))</f>
        <v>0</v>
      </c>
      <c r="CG138" s="395">
        <f ca="1">IF(SUM($G138:CF138)=$B138,0,IF(CM139&gt;0%,$B138,0%))</f>
        <v>0</v>
      </c>
      <c r="CH138" s="395">
        <f ca="1">IF(SUM($G138:CG138)=$B138,0,IF(CN139&gt;0%,$B138,0%))</f>
        <v>0</v>
      </c>
      <c r="CI138" s="395">
        <f ca="1">IF(SUM($G138:CH138)=$B138,0,IF(CO139&gt;0%,$B138,0%))</f>
        <v>0</v>
      </c>
      <c r="CJ138" s="395">
        <f ca="1">IF(SUM($G138:CI138)=$B138,0,IF(CP139&gt;0%,$B138,0%))</f>
        <v>0</v>
      </c>
      <c r="CK138" s="395">
        <f ca="1">IF(SUM($G138:CJ138)=$B138,0,IF(CQ139&gt;0%,$B138,0%))</f>
        <v>0</v>
      </c>
      <c r="CL138" s="395">
        <f ca="1">IF(SUM($G138:CK138)=$B138,0,IF(CR139&gt;0%,$B138,0%))</f>
        <v>0</v>
      </c>
      <c r="CM138" s="395">
        <f ca="1">IF(SUM($G138:CL138)=$B138,0,IF(CS139&gt;0%,$B138,0%))</f>
        <v>0</v>
      </c>
      <c r="CN138" s="395">
        <f ca="1">IF(SUM($G138:CM138)=$B138,0,IF(CT139&gt;0%,$B138,0%))</f>
        <v>0</v>
      </c>
      <c r="CO138" s="395">
        <f ca="1">IF(SUM($G138:CN138)=$B138,0,IF(CU139&gt;0%,$B138,0%))</f>
        <v>0</v>
      </c>
      <c r="CP138" s="395">
        <f ca="1">IF(SUM($G138:CO138)=$B138,0,IF(CV139&gt;0%,$B138,0%))</f>
        <v>0</v>
      </c>
      <c r="CQ138" s="395">
        <f ca="1">IF(SUM($G138:CP138)=$B138,0,IF(CW139&gt;0%,$B138,0%))</f>
        <v>0</v>
      </c>
      <c r="CR138" s="395">
        <f ca="1">IF(SUM($G138:CQ138)=$B138,0,IF(CX139&gt;0%,$B138,0%))</f>
        <v>0</v>
      </c>
      <c r="CS138" s="395">
        <f ca="1">IF(SUM($G138:CR138)=$B138,0,IF(CY139&gt;0%,$B138,0%))</f>
        <v>0</v>
      </c>
      <c r="CT138" s="395">
        <f ca="1">IF(SUM($G138:CS138)=$B138,0,IF(CZ139&gt;0%,$B138,0%))</f>
        <v>0</v>
      </c>
      <c r="CU138" s="395">
        <f ca="1">IF(SUM($G138:CT138)=$B138,0,IF(DA139&gt;0%,$B138,0%))</f>
        <v>0</v>
      </c>
      <c r="CV138" s="395">
        <f ca="1">IF(SUM($G138:CU138)=$B138,0,IF(DB139&gt;0%,$B138,0%))</f>
        <v>0</v>
      </c>
      <c r="CW138" s="395">
        <f ca="1">IF(SUM($G138:CV138)=$B138,0,IF(DC139&gt;0%,$B138,0%))</f>
        <v>0</v>
      </c>
      <c r="CX138" s="395">
        <f ca="1">IF(SUM($G138:CW138)=$B138,0,IF(DD139&gt;0%,$B138,0%))</f>
        <v>0</v>
      </c>
      <c r="CY138" s="395">
        <f ca="1">IF(SUM($G138:CX138)=$B138,0,IF(DE139&gt;0%,$B138,0%))</f>
        <v>0</v>
      </c>
      <c r="CZ138" s="395">
        <f ca="1">IF(SUM($G138:CY138)=$B138,0,IF(DF139&gt;0%,$B138,0%))</f>
        <v>0</v>
      </c>
      <c r="DA138" s="395">
        <f ca="1">IF(SUM($G138:CZ138)=$B138,0,IF(DG139&gt;0%,$B138,0%))</f>
        <v>0</v>
      </c>
      <c r="DB138" s="395">
        <f ca="1">IF(SUM($G138:DA138)=$B138,0,IF(DH139&gt;0%,$B138,0%))</f>
        <v>0</v>
      </c>
      <c r="DC138" s="395">
        <f ca="1">IF(SUM($G138:DB138)=$B138,0,IF(DI139&gt;0%,$B138,0%))</f>
        <v>0</v>
      </c>
      <c r="DD138" s="395">
        <f ca="1">IF(SUM($G138:DC138)=$B138,0,IF(DJ139&gt;0%,$B138,0%))</f>
        <v>0</v>
      </c>
      <c r="DE138" s="395">
        <f ca="1">IF(SUM($G138:DD138)=$B138,0,IF(DK139&gt;0%,$B138,0%))</f>
        <v>0</v>
      </c>
      <c r="DF138" s="395">
        <f ca="1">IF(SUM($G138:DE138)=$B138,0,IF(DL139&gt;0%,$B138,0%))</f>
        <v>0</v>
      </c>
      <c r="DG138" s="395">
        <f ca="1">IF(SUM($G138:DF138)=$B138,0,IF(DM139&gt;0%,$B138,0%))</f>
        <v>0</v>
      </c>
      <c r="DH138" s="395">
        <f ca="1">IF(SUM($G138:DG138)=$B138,0,IF(DN139&gt;0%,$B138,0%))</f>
        <v>0</v>
      </c>
      <c r="DI138" s="395">
        <f ca="1">IF(SUM($G138:DH138)=$B138,0,IF(DO139&gt;0%,$B138,0%))</f>
        <v>0</v>
      </c>
      <c r="DJ138" s="395">
        <f ca="1">IF(SUM($G138:DI138)=$B138,0,IF(DP139&gt;0%,$B138,0%))</f>
        <v>0</v>
      </c>
      <c r="DK138" s="395">
        <f ca="1">IF(SUM($G138:DJ138)=$B138,0,IF(DQ139&gt;0%,$B138,0%))</f>
        <v>0</v>
      </c>
      <c r="DL138" s="395">
        <f ca="1">IF(SUM($G138:DK138)=$B138,0,IF(DR139&gt;0%,$B138,0%))</f>
        <v>0</v>
      </c>
      <c r="DM138" s="395">
        <f ca="1">IF(SUM($G138:DL138)=$B138,0,IF(DS139&gt;0%,$B138,0%))</f>
        <v>0</v>
      </c>
      <c r="DN138" s="395">
        <f ca="1">IF(SUM($G138:DM138)=$B138,0,IF(DT139&gt;0%,$B138,0%))</f>
        <v>0</v>
      </c>
      <c r="DO138" s="395">
        <f ca="1">IF(SUM($G138:DN138)=$B138,0,IF(DU139&gt;0%,$B138,0%))</f>
        <v>0</v>
      </c>
      <c r="DP138" s="395">
        <f ca="1">IF(SUM($G138:DO138)=$B138,0,IF(DV139&gt;0%,$B138,0%))</f>
        <v>0</v>
      </c>
      <c r="DQ138" s="395">
        <f ca="1">IF(SUM($G138:DP138)=$B138,0,IF(DW139&gt;0%,$B138,0%))</f>
        <v>0</v>
      </c>
      <c r="DR138" s="395">
        <f ca="1">IF(SUM($G138:DQ138)=$B138,0,IF(DX139&gt;0%,$B138,0%))</f>
        <v>0</v>
      </c>
      <c r="DS138" s="395">
        <f ca="1">IF(SUM($G138:DR138)=$B138,0,IF(DY139&gt;0%,$B138,0%))</f>
        <v>0</v>
      </c>
      <c r="DT138" s="395">
        <f ca="1">IF(SUM($G138:DS138)=$B138,0,IF(DZ139&gt;0%,$B138,0%))</f>
        <v>0</v>
      </c>
      <c r="DU138" s="395">
        <f ca="1">IF(SUM($G138:DT138)=$B138,0,IF(EA139&gt;0%,$B138,0%))</f>
        <v>0</v>
      </c>
      <c r="DV138" s="395">
        <f ca="1">IF(SUM($G138:DU138)=$B138,0,IF(EB139&gt;0%,$B138,0%))</f>
        <v>0</v>
      </c>
      <c r="DW138" s="395">
        <f ca="1">IF(SUM($G138:DV138)=$B138,0,IF(EC139&gt;0%,$B138,0%))</f>
        <v>0</v>
      </c>
      <c r="DX138" s="395">
        <f ca="1">IF(SUM($G138:DW138)=$B138,0,IF(ED139&gt;0%,$B138,0%))</f>
        <v>0</v>
      </c>
      <c r="DY138" s="395">
        <f ca="1">IF(SUM($G138:DX138)=$B138,0,IF(EE139&gt;0%,$B138,0%))</f>
        <v>0</v>
      </c>
      <c r="DZ138" s="395">
        <f ca="1">IF(SUM($G138:DY138)=$B138,0,IF(EF139&gt;0%,$B138,0%))</f>
        <v>0</v>
      </c>
      <c r="EA138" s="395">
        <f ca="1">IF(SUM($G138:DZ138)=$B138,0,IF(EG139&gt;0%,$B138,0%))</f>
        <v>0</v>
      </c>
      <c r="EB138" s="395">
        <f ca="1">IF(SUM($G138:EA138)=$B138,0,IF(EH139&gt;0%,$B138,0%))</f>
        <v>0</v>
      </c>
      <c r="EC138" s="395">
        <f ca="1">IF(SUM($G138:EB138)=$B138,0,IF(EI139&gt;0%,$B138,0%))</f>
        <v>0</v>
      </c>
      <c r="ED138" s="395">
        <f ca="1">IF(SUM($G138:EC138)=$B138,0,IF(EJ139&gt;0%,$B138,0%))</f>
        <v>0</v>
      </c>
      <c r="EE138" s="395">
        <f ca="1">IF(SUM($G138:ED138)=$B138,0,IF(EK139&gt;0%,$B138,0%))</f>
        <v>0</v>
      </c>
      <c r="EF138" s="395">
        <f ca="1">IF(SUM($G138:EE138)=$B138,0,IF(EL139&gt;0%,$B138,0%))</f>
        <v>0</v>
      </c>
      <c r="EG138" s="395">
        <f ca="1">IF(SUM($G138:EF138)=$B138,0,IF(EM139&gt;0%,$B138,0%))</f>
        <v>0</v>
      </c>
      <c r="EH138" s="395">
        <f ca="1">IF(SUM($G138:EG138)=$B138,0,IF(EN139&gt;0%,$B138,0%))</f>
        <v>0</v>
      </c>
      <c r="EI138" s="395">
        <f ca="1">IF(SUM($G138:EH138)=$B138,0,IF(EO139&gt;0%,$B138,0%))</f>
        <v>0</v>
      </c>
      <c r="EJ138" s="398"/>
      <c r="EK138" s="313"/>
    </row>
    <row r="139" spans="1:141" hidden="1" outlineLevel="2">
      <c r="A139" s="332"/>
      <c r="B139" s="549">
        <f>длительность!C189</f>
        <v>0.44999999999999996</v>
      </c>
      <c r="C139" s="317"/>
      <c r="D139" s="317" t="s">
        <v>663</v>
      </c>
      <c r="E139" s="318">
        <f ca="1">ROUND(IF(F139=0,0,B139-F139),3)</f>
        <v>0</v>
      </c>
      <c r="F139" s="397">
        <f t="shared" ca="1" si="357"/>
        <v>0.44999999999999996</v>
      </c>
      <c r="G139" s="395"/>
      <c r="H139" s="395"/>
      <c r="I139" s="395">
        <f ca="1">IF($E$309=0,0,IF(SUM($G139:H139)=$B139,0,IF(SUM($G309:H309)&gt;=$E309,($B139/$E309)*($E309-SUM($G309:G309)),($B139/$E309)*H309)))</f>
        <v>0</v>
      </c>
      <c r="J139" s="395">
        <f ca="1">IF($E$309=0,0,IF(SUM($G139:I139)=$B139,0,IF(SUM($G309:I309)&gt;=$E309,($B139/$E309)*($E309-SUM($G309:H309)),($B139/$E309)*I309)))</f>
        <v>0</v>
      </c>
      <c r="K139" s="395">
        <f ca="1">IF($E$309=0,0,IF(SUM($G139:J139)=$B139,0,IF(SUM($G309:J309)&gt;=$E309,($B139/$E309)*($E309-SUM($G309:I309)),($B139/$E309)*J309)))</f>
        <v>0</v>
      </c>
      <c r="L139" s="395">
        <f ca="1">IF($E$309=0,0,IF(SUM($G139:K139)=$B139,0,IF(SUM($G309:K309)&gt;=$E309,($B139/$E309)*($E309-SUM($G309:J309)),($B139/$E309)*K309)))</f>
        <v>0</v>
      </c>
      <c r="M139" s="395">
        <f ca="1">IF($E$309=0,0,IF(SUM($G139:L139)=$B139,0,IF(SUM($G309:L309)&gt;=$E309,($B139/$E309)*($E309-SUM($G309:K309)),($B139/$E309)*L309)))</f>
        <v>0</v>
      </c>
      <c r="N139" s="395">
        <f ca="1">IF($E$309=0,0,IF(SUM($G139:M139)=$B139,0,IF(SUM($G309:M309)&gt;=$E309,($B139/$E309)*($E309-SUM($G309:L309)),($B139/$E309)*M309)))</f>
        <v>0</v>
      </c>
      <c r="O139" s="395">
        <f ca="1">IF($E$309=0,0,IF(SUM($G139:N139)=$B139,0,IF(SUM($G309:N309)&gt;=$E309,($B139/$E309)*($E309-SUM($G309:M309)),($B139/$E309)*N309)))</f>
        <v>0</v>
      </c>
      <c r="P139" s="395">
        <f ca="1">IF($E$309=0,0,IF(SUM($G139:O139)=$B139,0,IF(SUM($G309:O309)&gt;=$E309,($B139/$E309)*($E309-SUM($G309:N309)),($B139/$E309)*O309)))</f>
        <v>0</v>
      </c>
      <c r="Q139" s="395">
        <f ca="1">IF($E$309=0,0,IF(SUM($G139:P139)=$B139,0,IF(SUM($G309:P309)&gt;=$E309,($B139/$E309)*($E309-SUM($G309:O309)),($B139/$E309)*P309)))</f>
        <v>0</v>
      </c>
      <c r="R139" s="395">
        <f ca="1">IF($E$309=0,0,IF(SUM($G139:Q139)=$B139,0,IF(SUM($G309:Q309)&gt;=$E309,($B139/$E309)*($E309-SUM($G309:P309)),($B139/$E309)*Q309)))</f>
        <v>0</v>
      </c>
      <c r="S139" s="395">
        <f ca="1">IF($E$309=0,0,IF(SUM($G139:R139)=$B139,0,IF(SUM($G309:R309)&gt;=$E309,($B139/$E309)*($E309-SUM($G309:Q309)),($B139/$E309)*R309)))</f>
        <v>0</v>
      </c>
      <c r="T139" s="395">
        <f ca="1">IF($E$309=0,0,IF(SUM($G139:S139)=$B139,0,IF(SUM($G309:S309)&gt;=$E309,($B139/$E309)*($E309-SUM($G309:R309)),($B139/$E309)*S309)))</f>
        <v>0</v>
      </c>
      <c r="U139" s="395">
        <f ca="1">IF($E$309=0,0,IF(SUM($G139:T139)=$B139,0,IF(SUM($G309:T309)&gt;=$E309,($B139/$E309)*($E309-SUM($G309:S309)),($B139/$E309)*T309)))</f>
        <v>0</v>
      </c>
      <c r="V139" s="395">
        <f ca="1">IF($E$309=0,0,IF(SUM($G139:U139)=$B139,0,IF(SUM($G309:U309)&gt;=$E309,($B139/$E309)*($E309-SUM($G309:T309)),($B139/$E309)*U309)))</f>
        <v>0</v>
      </c>
      <c r="W139" s="395">
        <f ca="1">IF($E$309=0,0,IF(SUM($G139:V139)=$B139,0,IF(SUM($G309:V309)&gt;=$E309,($B139/$E309)*($E309-SUM($G309:U309)),($B139/$E309)*V309)))</f>
        <v>0</v>
      </c>
      <c r="X139" s="395">
        <f ca="1">IF($E$309=0,0,IF(SUM($G139:W139)=$B139,0,IF(SUM($G309:W309)&gt;=$E309,($B139/$E309)*($E309-SUM($G309:V309)),($B139/$E309)*W309)))</f>
        <v>0</v>
      </c>
      <c r="Y139" s="395">
        <f ca="1">IF($E$309=0,0,IF(SUM($G139:X139)=$B139,0,IF(SUM($G309:X309)&gt;=$E309,($B139/$E309)*($E309-SUM($G309:W309)),($B139/$E309)*X309)))</f>
        <v>0</v>
      </c>
      <c r="Z139" s="395">
        <f ca="1">IF($E$309=0,0,IF(SUM($G139:Y139)=$B139,0,IF(SUM($G309:Y309)&gt;=$E309,($B139/$E309)*($E309-SUM($G309:X309)),($B139/$E309)*Y309)))</f>
        <v>0</v>
      </c>
      <c r="AA139" s="395">
        <f ca="1">IF($E$309=0,0,IF(SUM($G139:Z139)=$B139,0,IF(SUM($G309:Z309)&gt;=$E309,($B139/$E309)*($E309-SUM($G309:Y309)),($B139/$E309)*Z309)))</f>
        <v>0</v>
      </c>
      <c r="AB139" s="395">
        <f ca="1">IF($E$309=0,0,IF(SUM($G139:AA139)=$B139,0,IF(SUM($G309:AA309)&gt;=$E309,($B139/$E309)*($E309-SUM($G309:Z309)),($B139/$E309)*AA309)))</f>
        <v>0</v>
      </c>
      <c r="AC139" s="395">
        <f ca="1">IF($E$309=0,0,IF(SUM($G139:AB139)=$B139,0,IF(SUM($G309:AB309)&gt;=$E309,($B139/$E309)*($E309-SUM($G309:AA309)),($B139/$E309)*AB309)))</f>
        <v>0</v>
      </c>
      <c r="AD139" s="395">
        <f ca="1">IF($E$309=0,0,IF(SUM($G139:AC139)=$B139,0,IF(SUM($G309:AC309)&gt;=$E309,($B139/$E309)*($E309-SUM($G309:AB309)),($B139/$E309)*AC309)))</f>
        <v>0</v>
      </c>
      <c r="AE139" s="395">
        <f ca="1">IF($E$309=0,0,IF(SUM($G139:AD139)=$B139,0,IF(SUM($G309:AD309)&gt;=$E309,($B139/$E309)*($E309-SUM($G309:AC309)),($B139/$E309)*AD309)))</f>
        <v>0</v>
      </c>
      <c r="AF139" s="395">
        <f ca="1">IF($E$309=0,0,IF(SUM($G139:AE139)=$B139,0,IF(SUM($G309:AE309)&gt;=$E309,($B139/$E309)*($E309-SUM($G309:AD309)),($B139/$E309)*AE309)))</f>
        <v>0</v>
      </c>
      <c r="AG139" s="395">
        <f ca="1">IF($E$309=0,0,IF(SUM($G139:AF139)=$B139,0,IF(SUM($G309:AF309)&gt;=$E309,($B139/$E309)*($E309-SUM($G309:AE309)),($B139/$E309)*AF309)))</f>
        <v>0</v>
      </c>
      <c r="AH139" s="395">
        <f ca="1">IF($E$309=0,0,IF(SUM($G139:AG139)=$B139,0,IF(SUM($G309:AG309)&gt;=$E309,($B139/$E309)*($E309-SUM($G309:AF309)),($B139/$E309)*AG309)))</f>
        <v>0</v>
      </c>
      <c r="AI139" s="395">
        <f ca="1">IF($E$309=0,0,IF(SUM($G139:AH139)=$B139,0,IF(SUM($G309:AH309)&gt;=$E309,($B139/$E309)*($E309-SUM($G309:AG309)),($B139/$E309)*AH309)))</f>
        <v>0</v>
      </c>
      <c r="AJ139" s="395">
        <f ca="1">IF($E$309=0,0,IF(SUM($G139:AI139)=$B139,0,IF(SUM($G309:AI309)&gt;=$E309,($B139/$E309)*($E309-SUM($G309:AH309)),($B139/$E309)*AI309)))</f>
        <v>0</v>
      </c>
      <c r="AK139" s="395">
        <f ca="1">IF($E$309=0,0,IF(SUM($G139:AJ139)=$B139,0,IF(SUM($G309:AJ309)&gt;=$E309,($B139/$E309)*($E309-SUM($G309:AI309)),($B139/$E309)*AJ309)))</f>
        <v>0</v>
      </c>
      <c r="AL139" s="395">
        <f ca="1">IF($E$309=0,0,IF(SUM($G139:AK139)=$B139,0,IF(SUM($G309:AK309)&gt;=$E309,($B139/$E309)*($E309-SUM($G309:AJ309)),($B139/$E309)*AK309)))</f>
        <v>0</v>
      </c>
      <c r="AM139" s="395">
        <f ca="1">IF($E$309=0,0,IF(SUM($G139:AL139)=$B139,0,IF(SUM($G309:AL309)&gt;=$E309,($B139/$E309)*($E309-SUM($G309:AK309)),($B139/$E309)*AL309)))</f>
        <v>0</v>
      </c>
      <c r="AN139" s="395">
        <f ca="1">IF($E$309=0,0,IF(SUM($G139:AM139)=$B139,0,IF(SUM($G309:AM309)&gt;=$E309,($B139/$E309)*($E309-SUM($G309:AL309)),($B139/$E309)*AM309)))</f>
        <v>0</v>
      </c>
      <c r="AO139" s="395">
        <f ca="1">IF($E$309=0,0,IF(SUM($G139:AN139)=$B139,0,IF(SUM($G309:AN309)&gt;=$E309,($B139/$E309)*($E309-SUM($G309:AM309)),($B139/$E309)*AN309)))</f>
        <v>0</v>
      </c>
      <c r="AP139" s="395">
        <f ca="1">IF($E$309=0,0,IF(SUM($G139:AO139)=$B139,0,IF(SUM($G309:AO309)&gt;=$E309,($B139/$E309)*($E309-SUM($G309:AN309)),($B139/$E309)*AO309)))</f>
        <v>0</v>
      </c>
      <c r="AQ139" s="395">
        <f ca="1">IF($E$309=0,0,IF(SUM($G139:AP139)=$B139,0,IF(SUM($G309:AP309)&gt;=$E309,($B139/$E309)*($E309-SUM($G309:AO309)),($B139/$E309)*AP309)))</f>
        <v>0</v>
      </c>
      <c r="AR139" s="395">
        <f ca="1">IF($E$309=0,0,IF(SUM($G139:AQ139)=$B139,0,IF(SUM($G309:AQ309)&gt;=$E309,($B139/$E309)*($E309-SUM($G309:AP309)),($B139/$E309)*AQ309)))</f>
        <v>0</v>
      </c>
      <c r="AS139" s="395">
        <f ca="1">IF($E$309=0,0,IF(SUM($G139:AR139)=$B139,0,IF(SUM($G309:AR309)&gt;=$E309,($B139/$E309)*($E309-SUM($G309:AQ309)),($B139/$E309)*AR309)))</f>
        <v>0</v>
      </c>
      <c r="AT139" s="395">
        <f ca="1">IF($E$309=0,0,IF(SUM($G139:AS139)=$B139,0,IF(SUM($G309:AS309)&gt;=$E309,($B139/$E309)*($E309-SUM($G309:AR309)),($B139/$E309)*AS309)))</f>
        <v>0</v>
      </c>
      <c r="AU139" s="395">
        <f ca="1">IF($E$309=0,0,IF(SUM($G139:AT139)=$B139,0,IF(SUM($G309:AT309)&gt;=$E309,($B139/$E309)*($E309-SUM($G309:AS309)),($B139/$E309)*AT309)))</f>
        <v>0</v>
      </c>
      <c r="AV139" s="395">
        <f ca="1">IF($E$309=0,0,IF(SUM($G139:AU139)=$B139,0,IF(SUM($G309:AU309)&gt;=$E309,($B139/$E309)*($E309-SUM($G309:AT309)),($B139/$E309)*AU309)))</f>
        <v>0</v>
      </c>
      <c r="AW139" s="395">
        <f ca="1">IF($E$309=0,0,IF(SUM($G139:AV139)=$B139,0,IF(SUM($G309:AV309)&gt;=$E309,($B139/$E309)*($E309-SUM($G309:AU309)),($B139/$E309)*AV309)))</f>
        <v>0</v>
      </c>
      <c r="AX139" s="395">
        <f ca="1">IF($E$309=0,0,IF(SUM($G139:AW139)=$B139,0,IF(SUM($G309:AW309)&gt;=$E309,($B139/$E309)*($E309-SUM($G309:AV309)),($B139/$E309)*AW309)))</f>
        <v>0</v>
      </c>
      <c r="AY139" s="395">
        <f ca="1">IF($E$309=0,0,IF(SUM($G139:AX139)=$B139,0,IF(SUM($G309:AX309)&gt;=$E309,($B139/$E309)*($E309-SUM($G309:AW309)),($B139/$E309)*AX309)))</f>
        <v>0</v>
      </c>
      <c r="AZ139" s="395">
        <f ca="1">IF($E$309=0,0,IF(SUM($G139:AY139)=$B139,0,IF(SUM($G309:AY309)&gt;=$E309,($B139/$E309)*($E309-SUM($G309:AX309)),($B139/$E309)*AY309)))</f>
        <v>0</v>
      </c>
      <c r="BA139" s="395">
        <f ca="1">IF($E$309=0,0,IF(SUM($G139:AZ139)=$B139,0,IF(SUM($G309:AZ309)&gt;=$E309,($B139/$E309)*($E309-SUM($G309:AY309)),($B139/$E309)*AZ309)))</f>
        <v>0</v>
      </c>
      <c r="BB139" s="395">
        <f ca="1">IF($E$309=0,0,IF(SUM($G139:BA139)=$B139,0,IF(SUM($G309:BA309)&gt;=$E309,($B139/$E309)*($E309-SUM($G309:AZ309)),($B139/$E309)*BA309)))</f>
        <v>2.2058823529411763E-2</v>
      </c>
      <c r="BC139" s="395">
        <f ca="1">IF($E$309=0,0,IF(SUM($G139:BB139)=$B139,0,IF(SUM($G309:BB309)&gt;=$E309,($B139/$E309)*($E309-SUM($G309:BA309)),($B139/$E309)*BB309)))</f>
        <v>0.12352941176470589</v>
      </c>
      <c r="BD139" s="395">
        <f ca="1">IF($E$309=0,0,IF(SUM($G139:BC139)=$B139,0,IF(SUM($G309:BC309)&gt;=$E309,($B139/$E309)*($E309-SUM($G309:BB309)),($B139/$E309)*BC309)))</f>
        <v>0.13676470588235293</v>
      </c>
      <c r="BE139" s="395">
        <f ca="1">IF($E$309=0,0,IF(SUM($G139:BD139)=$B139,0,IF(SUM($G309:BD309)&gt;=$E309,($B139/$E309)*($E309-SUM($G309:BC309)),($B139/$E309)*BD309)))</f>
        <v>0.13235294117647059</v>
      </c>
      <c r="BF139" s="395">
        <f ca="1">IF($E$309=0,0,IF(SUM($G139:BE139)=$B139,0,IF(SUM($G309:BE309)&gt;=$E309,($B139/$E309)*($E309-SUM($G309:BD309)),($B139/$E309)*BE309)))</f>
        <v>3.5294117647058823E-2</v>
      </c>
      <c r="BG139" s="395">
        <f ca="1">IF($E$309=0,0,IF(SUM($G139:BF139)=$B139,0,IF(SUM($G309:BF309)&gt;=$E309,($B139/$E309)*($E309-SUM($G309:BE309)),($B139/$E309)*BF309)))</f>
        <v>0</v>
      </c>
      <c r="BH139" s="395">
        <f ca="1">IF($E$309=0,0,IF(SUM($G139:BG139)=$B139,0,IF(SUM($G309:BG309)&gt;=$E309,($B139/$E309)*($E309-SUM($G309:BF309)),($B139/$E309)*BG309)))</f>
        <v>0</v>
      </c>
      <c r="BI139" s="395">
        <f ca="1">IF($E$309=0,0,IF(SUM($G139:BH139)=$B139,0,IF(SUM($G309:BH309)&gt;=$E309,($B139/$E309)*($E309-SUM($G309:BG309)),($B139/$E309)*BH309)))</f>
        <v>0</v>
      </c>
      <c r="BJ139" s="395">
        <f ca="1">IF($E$309=0,0,IF(SUM($G139:BI139)=$B139,0,IF(SUM($G309:BI309)&gt;=$E309,($B139/$E309)*($E309-SUM($G309:BH309)),($B139/$E309)*BI309)))</f>
        <v>0</v>
      </c>
      <c r="BK139" s="395">
        <f ca="1">IF($E$309=0,0,IF(SUM($G139:BJ139)=$B139,0,IF(SUM($G309:BJ309)&gt;=$E309,($B139/$E309)*($E309-SUM($G309:BI309)),($B139/$E309)*BJ309)))</f>
        <v>0</v>
      </c>
      <c r="BL139" s="395">
        <f ca="1">IF($E$309=0,0,IF(SUM($G139:BK139)=$B139,0,IF(SUM($G309:BK309)&gt;=$E309,($B139/$E309)*($E309-SUM($G309:BJ309)),($B139/$E309)*BK309)))</f>
        <v>0</v>
      </c>
      <c r="BM139" s="395">
        <f ca="1">IF($E$309=0,0,IF(SUM($G139:BL139)=$B139,0,IF(SUM($G309:BL309)&gt;=$E309,($B139/$E309)*($E309-SUM($G309:BK309)),($B139/$E309)*BL309)))</f>
        <v>0</v>
      </c>
      <c r="BN139" s="395">
        <f ca="1">IF($E$309=0,0,IF(SUM($G139:BM139)=$B139,0,IF(SUM($G309:BM309)&gt;=$E309,($B139/$E309)*($E309-SUM($G309:BL309)),($B139/$E309)*BM309)))</f>
        <v>0</v>
      </c>
      <c r="BO139" s="395">
        <f ca="1">IF($E$309=0,0,IF(SUM($G139:BN139)=$B139,0,IF(SUM($G309:BN309)&gt;=$E309,($B139/$E309)*($E309-SUM($G309:BM309)),($B139/$E309)*BN309)))</f>
        <v>0</v>
      </c>
      <c r="BP139" s="395">
        <f ca="1">IF($E$309=0,0,IF(SUM($G139:BO139)=$B139,0,IF(SUM($G309:BO309)&gt;=$E309,($B139/$E309)*($E309-SUM($G309:BN309)),($B139/$E309)*BO309)))</f>
        <v>0</v>
      </c>
      <c r="BQ139" s="395">
        <f ca="1">IF($E$309=0,0,IF(SUM($G139:BP139)=$B139,0,IF(SUM($G309:BP309)&gt;=$E309,($B139/$E309)*($E309-SUM($G309:BO309)),($B139/$E309)*BP309)))</f>
        <v>0</v>
      </c>
      <c r="BR139" s="395">
        <f ca="1">IF($E$309=0,0,IF(SUM($G139:BQ139)=$B139,0,IF(SUM($G309:BQ309)&gt;=$E309,($B139/$E309)*($E309-SUM($G309:BP309)),($B139/$E309)*BQ309)))</f>
        <v>0</v>
      </c>
      <c r="BS139" s="395">
        <f ca="1">IF($E$309=0,0,IF(SUM($G139:BR139)=$B139,0,IF(SUM($G309:BR309)&gt;=$E309,($B139/$E309)*($E309-SUM($G309:BQ309)),($B139/$E309)*BR309)))</f>
        <v>0</v>
      </c>
      <c r="BT139" s="395">
        <f ca="1">IF($E$309=0,0,IF(SUM($G139:BS139)=$B139,0,IF(SUM($G309:BS309)&gt;=$E309,($B139/$E309)*($E309-SUM($G309:BR309)),($B139/$E309)*BS309)))</f>
        <v>0</v>
      </c>
      <c r="BU139" s="395">
        <f ca="1">IF($E$309=0,0,IF(SUM($G139:BT139)=$B139,0,IF(SUM($G309:BT309)&gt;=$E309,($B139/$E309)*($E309-SUM($G309:BS309)),($B139/$E309)*BT309)))</f>
        <v>0</v>
      </c>
      <c r="BV139" s="395">
        <f ca="1">IF($E$309=0,0,IF(SUM($G139:BU139)=$B139,0,IF(SUM($G309:BU309)&gt;=$E309,($B139/$E309)*($E309-SUM($G309:BT309)),($B139/$E309)*BU309)))</f>
        <v>0</v>
      </c>
      <c r="BW139" s="395">
        <f ca="1">IF($E$309=0,0,IF(SUM($G139:BV139)=$B139,0,IF(SUM($G309:BV309)&gt;=$E309,($B139/$E309)*($E309-SUM($G309:BU309)),($B139/$E309)*BV309)))</f>
        <v>0</v>
      </c>
      <c r="BX139" s="395">
        <f ca="1">IF($E$309=0,0,IF(SUM($G139:BW139)=$B139,0,IF(SUM($G309:BW309)&gt;=$E309,($B139/$E309)*($E309-SUM($G309:BV309)),($B139/$E309)*BW309)))</f>
        <v>0</v>
      </c>
      <c r="BY139" s="395">
        <f ca="1">IF($E$309=0,0,IF(SUM($G139:BX139)=$B139,0,IF(SUM($G309:BX309)&gt;=$E309,($B139/$E309)*($E309-SUM($G309:BW309)),($B139/$E309)*BX309)))</f>
        <v>0</v>
      </c>
      <c r="BZ139" s="395">
        <f ca="1">IF($E$309=0,0,IF(SUM($G139:BY139)=$B139,0,IF(SUM($G309:BY309)&gt;=$E309,($B139/$E309)*($E309-SUM($G309:BX309)),($B139/$E309)*BY309)))</f>
        <v>0</v>
      </c>
      <c r="CA139" s="395">
        <f ca="1">IF($E$309=0,0,IF(SUM($G139:BZ139)=$B139,0,IF(SUM($G309:BZ309)&gt;=$E309,($B139/$E309)*($E309-SUM($G309:BY309)),($B139/$E309)*BZ309)))</f>
        <v>0</v>
      </c>
      <c r="CB139" s="395">
        <f ca="1">IF($E$309=0,0,IF(SUM($G139:CA139)=$B139,0,IF(SUM($G309:CA309)&gt;=$E309,($B139/$E309)*($E309-SUM($G309:BZ309)),($B139/$E309)*CA309)))</f>
        <v>0</v>
      </c>
      <c r="CC139" s="395">
        <f ca="1">IF($E$309=0,0,IF(SUM($G139:CB139)=$B139,0,IF(SUM($G309:CB309)&gt;=$E309,($B139/$E309)*($E309-SUM($G309:CA309)),($B139/$E309)*CB309)))</f>
        <v>0</v>
      </c>
      <c r="CD139" s="395">
        <f ca="1">IF($E$309=0,0,IF(SUM($G139:CC139)=$B139,0,IF(SUM($G309:CC309)&gt;=$E309,($B139/$E309)*($E309-SUM($G309:CB309)),($B139/$E309)*CC309)))</f>
        <v>0</v>
      </c>
      <c r="CE139" s="395">
        <f ca="1">IF($E$309=0,0,IF(SUM($G139:CD139)=$B139,0,IF(SUM($G309:CD309)&gt;=$E309,($B139/$E309)*($E309-SUM($G309:CC309)),($B139/$E309)*CD309)))</f>
        <v>0</v>
      </c>
      <c r="CF139" s="395">
        <f ca="1">IF($E$309=0,0,IF(SUM($G139:CE139)=$B139,0,IF(SUM($G309:CE309)&gt;=$E309,($B139/$E309)*($E309-SUM($G309:CD309)),($B139/$E309)*CE309)))</f>
        <v>0</v>
      </c>
      <c r="CG139" s="395">
        <f ca="1">IF($E$309=0,0,IF(SUM($G139:CF139)=$B139,0,IF(SUM($G309:CF309)&gt;=$E309,($B139/$E309)*($E309-SUM($G309:CE309)),($B139/$E309)*CF309)))</f>
        <v>0</v>
      </c>
      <c r="CH139" s="395">
        <f ca="1">IF($E$309=0,0,IF(SUM($G139:CG139)=$B139,0,IF(SUM($G309:CG309)&gt;=$E309,($B139/$E309)*($E309-SUM($G309:CF309)),($B139/$E309)*CG309)))</f>
        <v>0</v>
      </c>
      <c r="CI139" s="395">
        <f ca="1">IF($E$309=0,0,IF(SUM($G139:CH139)=$B139,0,IF(SUM($G309:CH309)&gt;=$E309,($B139/$E309)*($E309-SUM($G309:CG309)),($B139/$E309)*CH309)))</f>
        <v>0</v>
      </c>
      <c r="CJ139" s="395">
        <f ca="1">IF($E$309=0,0,IF(SUM($G139:CI139)=$B139,0,IF(SUM($G309:CI309)&gt;=$E309,($B139/$E309)*($E309-SUM($G309:CH309)),($B139/$E309)*CI309)))</f>
        <v>0</v>
      </c>
      <c r="CK139" s="395">
        <f ca="1">IF($E$309=0,0,IF(SUM($G139:CJ139)=$B139,0,IF(SUM($G309:CJ309)&gt;=$E309,($B139/$E309)*($E309-SUM($G309:CI309)),($B139/$E309)*CJ309)))</f>
        <v>0</v>
      </c>
      <c r="CL139" s="395">
        <f ca="1">IF($E$309=0,0,IF(SUM($G139:CK139)=$B139,0,IF(SUM($G309:CK309)&gt;=$E309,($B139/$E309)*($E309-SUM($G309:CJ309)),($B139/$E309)*CK309)))</f>
        <v>0</v>
      </c>
      <c r="CM139" s="395">
        <f ca="1">IF($E$309=0,0,IF(SUM($G139:CL139)=$B139,0,IF(SUM($G309:CL309)&gt;=$E309,($B139/$E309)*($E309-SUM($G309:CK309)),($B139/$E309)*CL309)))</f>
        <v>0</v>
      </c>
      <c r="CN139" s="395">
        <f ca="1">IF($E$309=0,0,IF(SUM($G139:CM139)=$B139,0,IF(SUM($G309:CM309)&gt;=$E309,($B139/$E309)*($E309-SUM($G309:CL309)),($B139/$E309)*CM309)))</f>
        <v>0</v>
      </c>
      <c r="CO139" s="395">
        <f ca="1">IF($E$309=0,0,IF(SUM($G139:CN139)=$B139,0,IF(SUM($G309:CN309)&gt;=$E309,($B139/$E309)*($E309-SUM($G309:CM309)),($B139/$E309)*CN309)))</f>
        <v>0</v>
      </c>
      <c r="CP139" s="395">
        <f ca="1">IF($E$309=0,0,IF(SUM($G139:CO139)=$B139,0,IF(SUM($G309:CO309)&gt;=$E309,($B139/$E309)*($E309-SUM($G309:CN309)),($B139/$E309)*CO309)))</f>
        <v>0</v>
      </c>
      <c r="CQ139" s="395">
        <f ca="1">IF($E$309=0,0,IF(SUM($G139:CP139)=$B139,0,IF(SUM($G309:CP309)&gt;=$E309,($B139/$E309)*($E309-SUM($G309:CO309)),($B139/$E309)*CP309)))</f>
        <v>0</v>
      </c>
      <c r="CR139" s="395">
        <f ca="1">IF($E$309=0,0,IF(SUM($G139:CQ139)=$B139,0,IF(SUM($G309:CQ309)&gt;=$E309,($B139/$E309)*($E309-SUM($G309:CP309)),($B139/$E309)*CQ309)))</f>
        <v>0</v>
      </c>
      <c r="CS139" s="395">
        <f ca="1">IF($E$309=0,0,IF(SUM($G139:CR139)=$B139,0,IF(SUM($G309:CR309)&gt;=$E309,($B139/$E309)*($E309-SUM($G309:CQ309)),($B139/$E309)*CR309)))</f>
        <v>0</v>
      </c>
      <c r="CT139" s="395">
        <f ca="1">IF($E$309=0,0,IF(SUM($G139:CS139)=$B139,0,IF(SUM($G309:CS309)&gt;=$E309,($B139/$E309)*($E309-SUM($G309:CR309)),($B139/$E309)*CS309)))</f>
        <v>0</v>
      </c>
      <c r="CU139" s="395">
        <f ca="1">IF($E$309=0,0,IF(SUM($G139:CT139)=$B139,0,IF(SUM($G309:CT309)&gt;=$E309,($B139/$E309)*($E309-SUM($G309:CS309)),($B139/$E309)*CT309)))</f>
        <v>0</v>
      </c>
      <c r="CV139" s="395">
        <f ca="1">IF($E$309=0,0,IF(SUM($G139:CU139)=$B139,0,IF(SUM($G309:CU309)&gt;=$E309,($B139/$E309)*($E309-SUM($G309:CT309)),($B139/$E309)*CU309)))</f>
        <v>0</v>
      </c>
      <c r="CW139" s="395">
        <f ca="1">IF($E$309=0,0,IF(SUM($G139:CV139)=$B139,0,IF(SUM($G309:CV309)&gt;=$E309,($B139/$E309)*($E309-SUM($G309:CU309)),($B139/$E309)*CV309)))</f>
        <v>0</v>
      </c>
      <c r="CX139" s="395">
        <f ca="1">IF($E$309=0,0,IF(SUM($G139:CW139)=$B139,0,IF(SUM($G309:CW309)&gt;=$E309,($B139/$E309)*($E309-SUM($G309:CV309)),($B139/$E309)*CW309)))</f>
        <v>0</v>
      </c>
      <c r="CY139" s="395">
        <f ca="1">IF($E$309=0,0,IF(SUM($G139:CX139)=$B139,0,IF(SUM($G309:CX309)&gt;=$E309,($B139/$E309)*($E309-SUM($G309:CW309)),($B139/$E309)*CX309)))</f>
        <v>0</v>
      </c>
      <c r="CZ139" s="395">
        <f ca="1">IF($E$309=0,0,IF(SUM($G139:CY139)=$B139,0,IF(SUM($G309:CY309)&gt;=$E309,($B139/$E309)*($E309-SUM($G309:CX309)),($B139/$E309)*CY309)))</f>
        <v>0</v>
      </c>
      <c r="DA139" s="395">
        <f ca="1">IF($E$309=0,0,IF(SUM($G139:CZ139)=$B139,0,IF(SUM($G309:CZ309)&gt;=$E309,($B139/$E309)*($E309-SUM($G309:CY309)),($B139/$E309)*CZ309)))</f>
        <v>0</v>
      </c>
      <c r="DB139" s="395">
        <f ca="1">IF($E$309=0,0,IF(SUM($G139:DA139)=$B139,0,IF(SUM($G309:DA309)&gt;=$E309,($B139/$E309)*($E309-SUM($G309:CZ309)),($B139/$E309)*DA309)))</f>
        <v>0</v>
      </c>
      <c r="DC139" s="395">
        <f ca="1">IF($E$309=0,0,IF(SUM($G139:DB139)=$B139,0,IF(SUM($G309:DB309)&gt;=$E309,($B139/$E309)*($E309-SUM($G309:DA309)),($B139/$E309)*DB309)))</f>
        <v>0</v>
      </c>
      <c r="DD139" s="395">
        <f ca="1">IF($E$309=0,0,IF(SUM($G139:DC139)=$B139,0,IF(SUM($G309:DC309)&gt;=$E309,($B139/$E309)*($E309-SUM($G309:DB309)),($B139/$E309)*DC309)))</f>
        <v>0</v>
      </c>
      <c r="DE139" s="395">
        <f ca="1">IF($E$309=0,0,IF(SUM($G139:DD139)=$B139,0,IF(SUM($G309:DD309)&gt;=$E309,($B139/$E309)*($E309-SUM($G309:DC309)),($B139/$E309)*DD309)))</f>
        <v>0</v>
      </c>
      <c r="DF139" s="395">
        <f ca="1">IF($E$309=0,0,IF(SUM($G139:DE139)=$B139,0,IF(SUM($G309:DE309)&gt;=$E309,($B139/$E309)*($E309-SUM($G309:DD309)),($B139/$E309)*DE309)))</f>
        <v>0</v>
      </c>
      <c r="DG139" s="395">
        <f ca="1">IF($E$309=0,0,IF(SUM($G139:DF139)=$B139,0,IF(SUM($G309:DF309)&gt;=$E309,($B139/$E309)*($E309-SUM($G309:DE309)),($B139/$E309)*DF309)))</f>
        <v>0</v>
      </c>
      <c r="DH139" s="395">
        <f ca="1">IF($E$309=0,0,IF(SUM($G139:DG139)=$B139,0,IF(SUM($G309:DG309)&gt;=$E309,($B139/$E309)*($E309-SUM($G309:DF309)),($B139/$E309)*DG309)))</f>
        <v>0</v>
      </c>
      <c r="DI139" s="395">
        <f ca="1">IF($E$309=0,0,IF(SUM($G139:DH139)=$B139,0,IF(SUM($G309:DH309)&gt;=$E309,($B139/$E309)*($E309-SUM($G309:DG309)),($B139/$E309)*DH309)))</f>
        <v>0</v>
      </c>
      <c r="DJ139" s="395">
        <f ca="1">IF($E$309=0,0,IF(SUM($G139:DI139)=$B139,0,IF(SUM($G309:DI309)&gt;=$E309,($B139/$E309)*($E309-SUM($G309:DH309)),($B139/$E309)*DI309)))</f>
        <v>0</v>
      </c>
      <c r="DK139" s="395">
        <f ca="1">IF($E$309=0,0,IF(SUM($G139:DJ139)=$B139,0,IF(SUM($G309:DJ309)&gt;=$E309,($B139/$E309)*($E309-SUM($G309:DI309)),($B139/$E309)*DJ309)))</f>
        <v>0</v>
      </c>
      <c r="DL139" s="395">
        <f ca="1">IF($E$309=0,0,IF(SUM($G139:DK139)=$B139,0,IF(SUM($G309:DK309)&gt;=$E309,($B139/$E309)*($E309-SUM($G309:DJ309)),($B139/$E309)*DK309)))</f>
        <v>0</v>
      </c>
      <c r="DM139" s="395">
        <f ca="1">IF($E$309=0,0,IF(SUM($G139:DL139)=$B139,0,IF(SUM($G309:DL309)&gt;=$E309,($B139/$E309)*($E309-SUM($G309:DK309)),($B139/$E309)*DL309)))</f>
        <v>0</v>
      </c>
      <c r="DN139" s="395">
        <f ca="1">IF($E$309=0,0,IF(SUM($G139:DM139)=$B139,0,IF(SUM($G309:DM309)&gt;=$E309,($B139/$E309)*($E309-SUM($G309:DL309)),($B139/$E309)*DM309)))</f>
        <v>0</v>
      </c>
      <c r="DO139" s="395">
        <f ca="1">IF($E$309=0,0,IF(SUM($G139:DN139)=$B139,0,IF(SUM($G309:DN309)&gt;=$E309,($B139/$E309)*($E309-SUM($G309:DM309)),($B139/$E309)*DN309)))</f>
        <v>0</v>
      </c>
      <c r="DP139" s="395">
        <f ca="1">IF($E$309=0,0,IF(SUM($G139:DO139)=$B139,0,IF(SUM($G309:DO309)&gt;=$E309,($B139/$E309)*($E309-SUM($G309:DN309)),($B139/$E309)*DO309)))</f>
        <v>0</v>
      </c>
      <c r="DQ139" s="395">
        <f ca="1">IF($E$309=0,0,IF(SUM($G139:DP139)=$B139,0,IF(SUM($G309:DP309)&gt;=$E309,($B139/$E309)*($E309-SUM($G309:DO309)),($B139/$E309)*DP309)))</f>
        <v>0</v>
      </c>
      <c r="DR139" s="395">
        <f ca="1">IF($E$309=0,0,IF(SUM($G139:DQ139)=$B139,0,IF(SUM($G309:DQ309)&gt;=$E309,($B139/$E309)*($E309-SUM($G309:DP309)),($B139/$E309)*DQ309)))</f>
        <v>0</v>
      </c>
      <c r="DS139" s="395">
        <f ca="1">IF($E$309=0,0,IF(SUM($G139:DR139)=$B139,0,IF(SUM($G309:DR309)&gt;=$E309,($B139/$E309)*($E309-SUM($G309:DQ309)),($B139/$E309)*DR309)))</f>
        <v>0</v>
      </c>
      <c r="DT139" s="395">
        <f ca="1">IF($E$309=0,0,IF(SUM($G139:DS139)=$B139,0,IF(SUM($G309:DS309)&gt;=$E309,($B139/$E309)*($E309-SUM($G309:DR309)),($B139/$E309)*DS309)))</f>
        <v>0</v>
      </c>
      <c r="DU139" s="395">
        <f ca="1">IF($E$309=0,0,IF(SUM($G139:DT139)=$B139,0,IF(SUM($G309:DT309)&gt;=$E309,($B139/$E309)*($E309-SUM($G309:DS309)),($B139/$E309)*DT309)))</f>
        <v>0</v>
      </c>
      <c r="DV139" s="395">
        <f ca="1">IF($E$309=0,0,IF(SUM($G139:DU139)=$B139,0,IF(SUM($G309:DU309)&gt;=$E309,($B139/$E309)*($E309-SUM($G309:DT309)),($B139/$E309)*DU309)))</f>
        <v>0</v>
      </c>
      <c r="DW139" s="395">
        <f ca="1">IF($E$309=0,0,IF(SUM($G139:DV139)=$B139,0,IF(SUM($G309:DV309)&gt;=$E309,($B139/$E309)*($E309-SUM($G309:DU309)),($B139/$E309)*DV309)))</f>
        <v>0</v>
      </c>
      <c r="DX139" s="395">
        <f ca="1">IF($E$309=0,0,IF(SUM($G139:DW139)=$B139,0,IF(SUM($G309:DW309)&gt;=$E309,($B139/$E309)*($E309-SUM($G309:DV309)),($B139/$E309)*DW309)))</f>
        <v>0</v>
      </c>
      <c r="DY139" s="395">
        <f ca="1">IF($E$309=0,0,IF(SUM($G139:DX139)=$B139,0,IF(SUM($G309:DX309)&gt;=$E309,($B139/$E309)*($E309-SUM($G309:DW309)),($B139/$E309)*DX309)))</f>
        <v>0</v>
      </c>
      <c r="DZ139" s="395">
        <f ca="1">IF($E$309=0,0,IF(SUM($G139:DY139)=$B139,0,IF(SUM($G309:DY309)&gt;=$E309,($B139/$E309)*($E309-SUM($G309:DX309)),($B139/$E309)*DY309)))</f>
        <v>0</v>
      </c>
      <c r="EA139" s="395">
        <f ca="1">IF($E$309=0,0,IF(SUM($G139:DZ139)=$B139,0,IF(SUM($G309:DZ309)&gt;=$E309,($B139/$E309)*($E309-SUM($G309:DY309)),($B139/$E309)*DZ309)))</f>
        <v>0</v>
      </c>
      <c r="EB139" s="395">
        <f ca="1">IF($E$309=0,0,IF(SUM($G139:EA139)=$B139,0,IF(SUM($G309:EA309)&gt;=$E309,($B139/$E309)*($E309-SUM($G309:DZ309)),($B139/$E309)*EA309)))</f>
        <v>0</v>
      </c>
      <c r="EC139" s="395">
        <f ca="1">IF($E$309=0,0,IF(SUM($G139:EB139)=$B139,0,IF(SUM($G309:EB309)&gt;=$E309,($B139/$E309)*($E309-SUM($G309:EA309)),($B139/$E309)*EB309)))</f>
        <v>0</v>
      </c>
      <c r="ED139" s="395">
        <f ca="1">IF($E$309=0,0,IF(SUM($G139:EC139)=$B139,0,IF(SUM($G309:EC309)&gt;=$E309,($B139/$E309)*($E309-SUM($G309:EB309)),($B139/$E309)*EC309)))</f>
        <v>0</v>
      </c>
      <c r="EE139" s="395">
        <f ca="1">IF($E$309=0,0,IF(SUM($G139:ED139)=$B139,0,IF(SUM($G309:ED309)&gt;=$E309,($B139/$E309)*($E309-SUM($G309:EC309)),($B139/$E309)*ED309)))</f>
        <v>0</v>
      </c>
      <c r="EF139" s="395">
        <f ca="1">IF($E$309=0,0,IF(SUM($G139:EE139)=$B139,0,IF(SUM($G309:EE309)&gt;=$E309,($B139/$E309)*($E309-SUM($G309:ED309)),($B139/$E309)*EE309)))</f>
        <v>0</v>
      </c>
      <c r="EG139" s="395">
        <f ca="1">IF($E$309=0,0,IF(SUM($G139:EF139)=$B139,0,IF(SUM($G309:EF309)&gt;=$E309,($B139/$E309)*($E309-SUM($G309:EE309)),($B139/$E309)*EF309)))</f>
        <v>0</v>
      </c>
      <c r="EH139" s="395">
        <f ca="1">IF($E$309=0,0,IF(SUM($G139:EG139)=$B139,0,IF(SUM($G309:EG309)&gt;=$E309,($B139/$E309)*($E309-SUM($G309:EF309)),($B139/$E309)*EG309)))</f>
        <v>0</v>
      </c>
      <c r="EI139" s="395">
        <f ca="1">IF($E$309=0,0,IF(SUM($G139:EH139)=$B139,0,IF(SUM($G309:EH309)&gt;=$E309,($B139/$E309)*($E309-SUM($G309:EG309)),($B139/$E309)*EH309)))</f>
        <v>0</v>
      </c>
      <c r="EJ139" s="398"/>
      <c r="EK139" s="313"/>
    </row>
    <row r="140" spans="1:141" hidden="1" outlineLevel="2">
      <c r="A140" s="332"/>
      <c r="B140" s="549">
        <f>длительность!D189</f>
        <v>2.5000000000000001E-2</v>
      </c>
      <c r="C140" s="317"/>
      <c r="D140" s="317" t="s">
        <v>638</v>
      </c>
      <c r="E140" s="318">
        <f t="shared" ca="1" si="356"/>
        <v>0</v>
      </c>
      <c r="F140" s="397">
        <f ca="1">SUM(G140:EJ140)</f>
        <v>2.5000000000000001E-2</v>
      </c>
      <c r="G140" s="395"/>
      <c r="H140" s="395">
        <f ca="1">IF($E$309=0,0,IF(SUM($G140:G140)=$B140,0,IF(SUM(H139:$EJ139)=0%,$B140,0%)))</f>
        <v>0</v>
      </c>
      <c r="I140" s="395">
        <f ca="1">IF($E$309=0,0,IF(SUM($G140:H140)=$B140,0,IF(SUM(I139:$EJ139)=0%,$B140,0%)))</f>
        <v>0</v>
      </c>
      <c r="J140" s="395">
        <f ca="1">IF($E$309=0,0,IF(SUM($G140:I140)=$B140,0,IF(SUM(J139:$EJ139)=0%,$B140,0%)))</f>
        <v>0</v>
      </c>
      <c r="K140" s="395">
        <f ca="1">IF($E$309=0,0,IF(SUM($G140:J140)=$B140,0,IF(SUM(K139:$EJ139)=0%,$B140,0%)))</f>
        <v>0</v>
      </c>
      <c r="L140" s="395">
        <f ca="1">IF($E$309=0,0,IF(SUM($G140:K140)=$B140,0,IF(SUM(L139:$EJ139)=0%,$B140,0%)))</f>
        <v>0</v>
      </c>
      <c r="M140" s="395">
        <f ca="1">IF($E$309=0,0,IF(SUM($G140:L140)=$B140,0,IF(SUM(M139:$EJ139)=0%,$B140,0%)))</f>
        <v>0</v>
      </c>
      <c r="N140" s="395">
        <f ca="1">IF($E$309=0,0,IF(SUM($G140:M140)=$B140,0,IF(SUM(N139:$EJ139)=0%,$B140,0%)))</f>
        <v>0</v>
      </c>
      <c r="O140" s="395">
        <f ca="1">IF($E$309=0,0,IF(SUM($G140:N140)=$B140,0,IF(SUM(O139:$EJ139)=0%,$B140,0%)))</f>
        <v>0</v>
      </c>
      <c r="P140" s="395">
        <f ca="1">IF($E$309=0,0,IF(SUM($G140:O140)=$B140,0,IF(SUM(P139:$EJ139)=0%,$B140,0%)))</f>
        <v>0</v>
      </c>
      <c r="Q140" s="395">
        <f ca="1">IF($E$309=0,0,IF(SUM($G140:P140)=$B140,0,IF(SUM(Q139:$EJ139)=0%,$B140,0%)))</f>
        <v>0</v>
      </c>
      <c r="R140" s="395">
        <f ca="1">IF($E$309=0,0,IF(SUM($G140:Q140)=$B140,0,IF(SUM(R139:$EJ139)=0%,$B140,0%)))</f>
        <v>0</v>
      </c>
      <c r="S140" s="395">
        <f ca="1">IF($E$309=0,0,IF(SUM($G140:R140)=$B140,0,IF(SUM(S139:$EJ139)=0%,$B140,0%)))</f>
        <v>0</v>
      </c>
      <c r="T140" s="395">
        <f ca="1">IF($E$309=0,0,IF(SUM($G140:S140)=$B140,0,IF(SUM(T139:$EJ139)=0%,$B140,0%)))</f>
        <v>0</v>
      </c>
      <c r="U140" s="395">
        <f ca="1">IF($E$309=0,0,IF(SUM($G140:T140)=$B140,0,IF(SUM(U139:$EJ139)=0%,$B140,0%)))</f>
        <v>0</v>
      </c>
      <c r="V140" s="395">
        <f ca="1">IF($E$309=0,0,IF(SUM($G140:U140)=$B140,0,IF(SUM(V139:$EJ139)=0%,$B140,0%)))</f>
        <v>0</v>
      </c>
      <c r="W140" s="395">
        <f ca="1">IF($E$309=0,0,IF(SUM($G140:V140)=$B140,0,IF(SUM(W139:$EJ139)=0%,$B140,0%)))</f>
        <v>0</v>
      </c>
      <c r="X140" s="395">
        <f ca="1">IF($E$309=0,0,IF(SUM($G140:W140)=$B140,0,IF(SUM(X139:$EJ139)=0%,$B140,0%)))</f>
        <v>0</v>
      </c>
      <c r="Y140" s="395">
        <f ca="1">IF($E$309=0,0,IF(SUM($G140:X140)=$B140,0,IF(SUM(Y139:$EJ139)=0%,$B140,0%)))</f>
        <v>0</v>
      </c>
      <c r="Z140" s="395">
        <f ca="1">IF($E$309=0,0,IF(SUM($G140:Y140)=$B140,0,IF(SUM(Z139:$EJ139)=0%,$B140,0%)))</f>
        <v>0</v>
      </c>
      <c r="AA140" s="395">
        <f ca="1">IF($E$309=0,0,IF(SUM($G140:Z140)=$B140,0,IF(SUM(AA139:$EJ139)=0%,$B140,0%)))</f>
        <v>0</v>
      </c>
      <c r="AB140" s="395">
        <f ca="1">IF($E$309=0,0,IF(SUM($G140:AA140)=$B140,0,IF(SUM(AB139:$EJ139)=0%,$B140,0%)))</f>
        <v>0</v>
      </c>
      <c r="AC140" s="395">
        <f ca="1">IF($E$309=0,0,IF(SUM($G140:AB140)=$B140,0,IF(SUM(AC139:$EJ139)=0%,$B140,0%)))</f>
        <v>0</v>
      </c>
      <c r="AD140" s="395">
        <f ca="1">IF($E$309=0,0,IF(SUM($G140:AC140)=$B140,0,IF(SUM(AD139:$EJ139)=0%,$B140,0%)))</f>
        <v>0</v>
      </c>
      <c r="AE140" s="395">
        <f ca="1">IF($E$309=0,0,IF(SUM($G140:AD140)=$B140,0,IF(SUM(AE139:$EJ139)=0%,$B140,0%)))</f>
        <v>0</v>
      </c>
      <c r="AF140" s="395">
        <f ca="1">IF($E$309=0,0,IF(SUM($G140:AE140)=$B140,0,IF(SUM(AF139:$EJ139)=0%,$B140,0%)))</f>
        <v>0</v>
      </c>
      <c r="AG140" s="395">
        <f ca="1">IF($E$309=0,0,IF(SUM($G140:AF140)=$B140,0,IF(SUM(AG139:$EJ139)=0%,$B140,0%)))</f>
        <v>0</v>
      </c>
      <c r="AH140" s="395">
        <f ca="1">IF($E$309=0,0,IF(SUM($G140:AG140)=$B140,0,IF(SUM(AH139:$EJ139)=0%,$B140,0%)))</f>
        <v>0</v>
      </c>
      <c r="AI140" s="395">
        <f ca="1">IF($E$309=0,0,IF(SUM($G140:AH140)=$B140,0,IF(SUM(AI139:$EJ139)=0%,$B140,0%)))</f>
        <v>0</v>
      </c>
      <c r="AJ140" s="395">
        <f ca="1">IF($E$309=0,0,IF(SUM($G140:AI140)=$B140,0,IF(SUM(AJ139:$EJ139)=0%,$B140,0%)))</f>
        <v>0</v>
      </c>
      <c r="AK140" s="395">
        <f ca="1">IF($E$309=0,0,IF(SUM($G140:AJ140)=$B140,0,IF(SUM(AK139:$EJ139)=0%,$B140,0%)))</f>
        <v>0</v>
      </c>
      <c r="AL140" s="395">
        <f ca="1">IF($E$309=0,0,IF(SUM($G140:AK140)=$B140,0,IF(SUM(AL139:$EJ139)=0%,$B140,0%)))</f>
        <v>0</v>
      </c>
      <c r="AM140" s="395">
        <f ca="1">IF($E$309=0,0,IF(SUM($G140:AL140)=$B140,0,IF(SUM(AM139:$EJ139)=0%,$B140,0%)))</f>
        <v>0</v>
      </c>
      <c r="AN140" s="395">
        <f ca="1">IF($E$309=0,0,IF(SUM($G140:AM140)=$B140,0,IF(SUM(AN139:$EJ139)=0%,$B140,0%)))</f>
        <v>0</v>
      </c>
      <c r="AO140" s="395">
        <f ca="1">IF($E$309=0,0,IF(SUM($G140:AN140)=$B140,0,IF(SUM(AO139:$EJ139)=0%,$B140,0%)))</f>
        <v>0</v>
      </c>
      <c r="AP140" s="395">
        <f ca="1">IF($E$309=0,0,IF(SUM($G140:AO140)=$B140,0,IF(SUM(AP139:$EJ139)=0%,$B140,0%)))</f>
        <v>0</v>
      </c>
      <c r="AQ140" s="395">
        <f ca="1">IF($E$309=0,0,IF(SUM($G140:AP140)=$B140,0,IF(SUM(AQ139:$EJ139)=0%,$B140,0%)))</f>
        <v>0</v>
      </c>
      <c r="AR140" s="395">
        <f ca="1">IF($E$309=0,0,IF(SUM($G140:AQ140)=$B140,0,IF(SUM(AR139:$EJ139)=0%,$B140,0%)))</f>
        <v>0</v>
      </c>
      <c r="AS140" s="395">
        <f ca="1">IF($E$309=0,0,IF(SUM($G140:AR140)=$B140,0,IF(SUM(AS139:$EJ139)=0%,$B140,0%)))</f>
        <v>0</v>
      </c>
      <c r="AT140" s="395">
        <f ca="1">IF($E$309=0,0,IF(SUM($G140:AS140)=$B140,0,IF(SUM(AT139:$EJ139)=0%,$B140,0%)))</f>
        <v>0</v>
      </c>
      <c r="AU140" s="395">
        <f ca="1">IF($E$309=0,0,IF(SUM($G140:AT140)=$B140,0,IF(SUM(AU139:$EJ139)=0%,$B140,0%)))</f>
        <v>0</v>
      </c>
      <c r="AV140" s="395">
        <f ca="1">IF($E$309=0,0,IF(SUM($G140:AU140)=$B140,0,IF(SUM(AV139:$EJ139)=0%,$B140,0%)))</f>
        <v>0</v>
      </c>
      <c r="AW140" s="395">
        <f ca="1">IF($E$309=0,0,IF(SUM($G140:AV140)=$B140,0,IF(SUM(AW139:$EJ139)=0%,$B140,0%)))</f>
        <v>0</v>
      </c>
      <c r="AX140" s="395">
        <f ca="1">IF($E$309=0,0,IF(SUM($G140:AW140)=$B140,0,IF(SUM(AX139:$EJ139)=0%,$B140,0%)))</f>
        <v>0</v>
      </c>
      <c r="AY140" s="395">
        <f ca="1">IF($E$309=0,0,IF(SUM($G140:AX140)=$B140,0,IF(SUM(AY139:$EJ139)=0%,$B140,0%)))</f>
        <v>0</v>
      </c>
      <c r="AZ140" s="395">
        <f ca="1">IF($E$309=0,0,IF(SUM($G140:AY140)=$B140,0,IF(SUM(AZ139:$EJ139)=0%,$B140,0%)))</f>
        <v>0</v>
      </c>
      <c r="BA140" s="395">
        <f ca="1">IF($E$309=0,0,IF(SUM($G140:AZ140)=$B140,0,IF(SUM(BA139:$EJ139)=0%,$B140,0%)))</f>
        <v>0</v>
      </c>
      <c r="BB140" s="395">
        <f ca="1">IF($E$309=0,0,IF(SUM($G140:BA140)=$B140,0,IF(SUM(BB139:$EJ139)=0%,$B140,0%)))</f>
        <v>0</v>
      </c>
      <c r="BC140" s="395">
        <f ca="1">IF($E$309=0,0,IF(SUM($G140:BB140)=$B140,0,IF(SUM(BC139:$EJ139)=0%,$B140,0%)))</f>
        <v>0</v>
      </c>
      <c r="BD140" s="395">
        <f ca="1">IF($E$309=0,0,IF(SUM($G140:BC140)=$B140,0,IF(SUM(BD139:$EJ139)=0%,$B140,0%)))</f>
        <v>0</v>
      </c>
      <c r="BE140" s="395">
        <f ca="1">IF($E$309=0,0,IF(SUM($G140:BD140)=$B140,0,IF(SUM(BE139:$EJ139)=0%,$B140,0%)))</f>
        <v>0</v>
      </c>
      <c r="BF140" s="395">
        <f ca="1">IF($E$309=0,0,IF(SUM($G140:BE140)=$B140,0,IF(SUM(BF139:$EJ139)=0%,$B140,0%)))</f>
        <v>0</v>
      </c>
      <c r="BG140" s="395">
        <f ca="1">IF($E$309=0,0,IF(SUM($G140:BF140)=$B140,0,IF(SUM(BG139:$EJ139)=0%,$B140,0%)))</f>
        <v>2.5000000000000001E-2</v>
      </c>
      <c r="BH140" s="395">
        <f ca="1">IF($E$309=0,0,IF(SUM($G140:BG140)=$B140,0,IF(SUM(BH139:$EJ139)=0%,$B140,0%)))</f>
        <v>0</v>
      </c>
      <c r="BI140" s="395">
        <f ca="1">IF($E$309=0,0,IF(SUM($G140:BH140)=$B140,0,IF(SUM(BI139:$EJ139)=0%,$B140,0%)))</f>
        <v>0</v>
      </c>
      <c r="BJ140" s="395">
        <f ca="1">IF($E$309=0,0,IF(SUM($G140:BI140)=$B140,0,IF(SUM(BJ139:$EJ139)=0%,$B140,0%)))</f>
        <v>0</v>
      </c>
      <c r="BK140" s="395">
        <f ca="1">IF($E$309=0,0,IF(SUM($G140:BJ140)=$B140,0,IF(SUM(BK139:$EJ139)=0%,$B140,0%)))</f>
        <v>0</v>
      </c>
      <c r="BL140" s="395">
        <f ca="1">IF($E$309=0,0,IF(SUM($G140:BK140)=$B140,0,IF(SUM(BL139:$EJ139)=0%,$B140,0%)))</f>
        <v>0</v>
      </c>
      <c r="BM140" s="395">
        <f ca="1">IF($E$309=0,0,IF(SUM($G140:BL140)=$B140,0,IF(SUM(BM139:$EJ139)=0%,$B140,0%)))</f>
        <v>0</v>
      </c>
      <c r="BN140" s="395">
        <f ca="1">IF($E$309=0,0,IF(SUM($G140:BM140)=$B140,0,IF(SUM(BN139:$EJ139)=0%,$B140,0%)))</f>
        <v>0</v>
      </c>
      <c r="BO140" s="395">
        <f ca="1">IF($E$309=0,0,IF(SUM($G140:BN140)=$B140,0,IF(SUM(BO139:$EJ139)=0%,$B140,0%)))</f>
        <v>0</v>
      </c>
      <c r="BP140" s="395">
        <f ca="1">IF($E$309=0,0,IF(SUM($G140:BO140)=$B140,0,IF(SUM(BP139:$EJ139)=0%,$B140,0%)))</f>
        <v>0</v>
      </c>
      <c r="BQ140" s="395">
        <f ca="1">IF($E$309=0,0,IF(SUM($G140:BP140)=$B140,0,IF(SUM(BQ139:$EJ139)=0%,$B140,0%)))</f>
        <v>0</v>
      </c>
      <c r="BR140" s="395">
        <f ca="1">IF($E$309=0,0,IF(SUM($G140:BQ140)=$B140,0,IF(SUM(BR139:$EJ139)=0%,$B140,0%)))</f>
        <v>0</v>
      </c>
      <c r="BS140" s="395">
        <f ca="1">IF($E$309=0,0,IF(SUM($G140:BR140)=$B140,0,IF(SUM(BS139:$EJ139)=0%,$B140,0%)))</f>
        <v>0</v>
      </c>
      <c r="BT140" s="395">
        <f ca="1">IF($E$309=0,0,IF(SUM($G140:BS140)=$B140,0,IF(SUM(BT139:$EJ139)=0%,$B140,0%)))</f>
        <v>0</v>
      </c>
      <c r="BU140" s="395">
        <f ca="1">IF($E$309=0,0,IF(SUM($G140:BT140)=$B140,0,IF(SUM(BU139:$EJ139)=0%,$B140,0%)))</f>
        <v>0</v>
      </c>
      <c r="BV140" s="395">
        <f ca="1">IF($E$309=0,0,IF(SUM($G140:BU140)=$B140,0,IF(SUM(BV139:$EJ139)=0%,$B140,0%)))</f>
        <v>0</v>
      </c>
      <c r="BW140" s="395">
        <f ca="1">IF($E$309=0,0,IF(SUM($G140:BV140)=$B140,0,IF(SUM(BW139:$EJ139)=0%,$B140,0%)))</f>
        <v>0</v>
      </c>
      <c r="BX140" s="395">
        <f ca="1">IF($E$309=0,0,IF(SUM($G140:BW140)=$B140,0,IF(SUM(BX139:$EJ139)=0%,$B140,0%)))</f>
        <v>0</v>
      </c>
      <c r="BY140" s="395">
        <f ca="1">IF($E$309=0,0,IF(SUM($G140:BX140)=$B140,0,IF(SUM(BY139:$EJ139)=0%,$B140,0%)))</f>
        <v>0</v>
      </c>
      <c r="BZ140" s="395">
        <f ca="1">IF($E$309=0,0,IF(SUM($G140:BY140)=$B140,0,IF(SUM(BZ139:$EJ139)=0%,$B140,0%)))</f>
        <v>0</v>
      </c>
      <c r="CA140" s="395">
        <f ca="1">IF($E$309=0,0,IF(SUM($G140:BZ140)=$B140,0,IF(SUM(CA139:$EJ139)=0%,$B140,0%)))</f>
        <v>0</v>
      </c>
      <c r="CB140" s="395">
        <f ca="1">IF($E$309=0,0,IF(SUM($G140:CA140)=$B140,0,IF(SUM(CB139:$EJ139)=0%,$B140,0%)))</f>
        <v>0</v>
      </c>
      <c r="CC140" s="395">
        <f ca="1">IF($E$309=0,0,IF(SUM($G140:CB140)=$B140,0,IF(SUM(CC139:$EJ139)=0%,$B140,0%)))</f>
        <v>0</v>
      </c>
      <c r="CD140" s="395">
        <f ca="1">IF($E$309=0,0,IF(SUM($G140:CC140)=$B140,0,IF(SUM(CD139:$EJ139)=0%,$B140,0%)))</f>
        <v>0</v>
      </c>
      <c r="CE140" s="395">
        <f ca="1">IF($E$309=0,0,IF(SUM($G140:CD140)=$B140,0,IF(SUM(CE139:$EJ139)=0%,$B140,0%)))</f>
        <v>0</v>
      </c>
      <c r="CF140" s="395">
        <f ca="1">IF($E$309=0,0,IF(SUM($G140:CE140)=$B140,0,IF(SUM(CF139:$EJ139)=0%,$B140,0%)))</f>
        <v>0</v>
      </c>
      <c r="CG140" s="395">
        <f ca="1">IF($E$309=0,0,IF(SUM($G140:CF140)=$B140,0,IF(SUM(CG139:$EJ139)=0%,$B140,0%)))</f>
        <v>0</v>
      </c>
      <c r="CH140" s="395">
        <f ca="1">IF($E$309=0,0,IF(SUM($G140:CG140)=$B140,0,IF(SUM(CH139:$EJ139)=0%,$B140,0%)))</f>
        <v>0</v>
      </c>
      <c r="CI140" s="395">
        <f ca="1">IF($E$309=0,0,IF(SUM($G140:CH140)=$B140,0,IF(SUM(CI139:$EJ139)=0%,$B140,0%)))</f>
        <v>0</v>
      </c>
      <c r="CJ140" s="395">
        <f ca="1">IF($E$309=0,0,IF(SUM($G140:CI140)=$B140,0,IF(SUM(CJ139:$EJ139)=0%,$B140,0%)))</f>
        <v>0</v>
      </c>
      <c r="CK140" s="395">
        <f ca="1">IF($E$309=0,0,IF(SUM($G140:CJ140)=$B140,0,IF(SUM(CK139:$EJ139)=0%,$B140,0%)))</f>
        <v>0</v>
      </c>
      <c r="CL140" s="395">
        <f ca="1">IF($E$309=0,0,IF(SUM($G140:CK140)=$B140,0,IF(SUM(CL139:$EJ139)=0%,$B140,0%)))</f>
        <v>0</v>
      </c>
      <c r="CM140" s="395">
        <f ca="1">IF($E$309=0,0,IF(SUM($G140:CL140)=$B140,0,IF(SUM(CM139:$EJ139)=0%,$B140,0%)))</f>
        <v>0</v>
      </c>
      <c r="CN140" s="395">
        <f ca="1">IF($E$309=0,0,IF(SUM($G140:CM140)=$B140,0,IF(SUM(CN139:$EJ139)=0%,$B140,0%)))</f>
        <v>0</v>
      </c>
      <c r="CO140" s="395">
        <f ca="1">IF($E$309=0,0,IF(SUM($G140:CN140)=$B140,0,IF(SUM(CO139:$EJ139)=0%,$B140,0%)))</f>
        <v>0</v>
      </c>
      <c r="CP140" s="395">
        <f ca="1">IF($E$309=0,0,IF(SUM($G140:CO140)=$B140,0,IF(SUM(CP139:$EJ139)=0%,$B140,0%)))</f>
        <v>0</v>
      </c>
      <c r="CQ140" s="395">
        <f ca="1">IF($E$309=0,0,IF(SUM($G140:CP140)=$B140,0,IF(SUM(CQ139:$EJ139)=0%,$B140,0%)))</f>
        <v>0</v>
      </c>
      <c r="CR140" s="395">
        <f ca="1">IF($E$309=0,0,IF(SUM($G140:CQ140)=$B140,0,IF(SUM(CR139:$EJ139)=0%,$B140,0%)))</f>
        <v>0</v>
      </c>
      <c r="CS140" s="395">
        <f ca="1">IF($E$309=0,0,IF(SUM($G140:CR140)=$B140,0,IF(SUM(CS139:$EJ139)=0%,$B140,0%)))</f>
        <v>0</v>
      </c>
      <c r="CT140" s="395">
        <f ca="1">IF($E$309=0,0,IF(SUM($G140:CS140)=$B140,0,IF(SUM(CT139:$EJ139)=0%,$B140,0%)))</f>
        <v>0</v>
      </c>
      <c r="CU140" s="395">
        <f ca="1">IF($E$309=0,0,IF(SUM($G140:CT140)=$B140,0,IF(SUM(CU139:$EJ139)=0%,$B140,0%)))</f>
        <v>0</v>
      </c>
      <c r="CV140" s="395">
        <f ca="1">IF($E$309=0,0,IF(SUM($G140:CU140)=$B140,0,IF(SUM(CV139:$EJ139)=0%,$B140,0%)))</f>
        <v>0</v>
      </c>
      <c r="CW140" s="395">
        <f ca="1">IF($E$309=0,0,IF(SUM($G140:CV140)=$B140,0,IF(SUM(CW139:$EJ139)=0%,$B140,0%)))</f>
        <v>0</v>
      </c>
      <c r="CX140" s="395">
        <f ca="1">IF($E$309=0,0,IF(SUM($G140:CW140)=$B140,0,IF(SUM(CX139:$EJ139)=0%,$B140,0%)))</f>
        <v>0</v>
      </c>
      <c r="CY140" s="395">
        <f ca="1">IF($E$309=0,0,IF(SUM($G140:CX140)=$B140,0,IF(SUM(CY139:$EJ139)=0%,$B140,0%)))</f>
        <v>0</v>
      </c>
      <c r="CZ140" s="395">
        <f ca="1">IF($E$309=0,0,IF(SUM($G140:CY140)=$B140,0,IF(SUM(CZ139:$EJ139)=0%,$B140,0%)))</f>
        <v>0</v>
      </c>
      <c r="DA140" s="395">
        <f ca="1">IF($E$309=0,0,IF(SUM($G140:CZ140)=$B140,0,IF(SUM(DA139:$EJ139)=0%,$B140,0%)))</f>
        <v>0</v>
      </c>
      <c r="DB140" s="395">
        <f ca="1">IF($E$309=0,0,IF(SUM($G140:DA140)=$B140,0,IF(SUM(DB139:$EJ139)=0%,$B140,0%)))</f>
        <v>0</v>
      </c>
      <c r="DC140" s="395">
        <f ca="1">IF($E$309=0,0,IF(SUM($G140:DB140)=$B140,0,IF(SUM(DC139:$EJ139)=0%,$B140,0%)))</f>
        <v>0</v>
      </c>
      <c r="DD140" s="395">
        <f ca="1">IF($E$309=0,0,IF(SUM($G140:DC140)=$B140,0,IF(SUM(DD139:$EJ139)=0%,$B140,0%)))</f>
        <v>0</v>
      </c>
      <c r="DE140" s="395">
        <f ca="1">IF($E$309=0,0,IF(SUM($G140:DD140)=$B140,0,IF(SUM(DE139:$EJ139)=0%,$B140,0%)))</f>
        <v>0</v>
      </c>
      <c r="DF140" s="395">
        <f ca="1">IF($E$309=0,0,IF(SUM($G140:DE140)=$B140,0,IF(SUM(DF139:$EJ139)=0%,$B140,0%)))</f>
        <v>0</v>
      </c>
      <c r="DG140" s="395">
        <f ca="1">IF($E$309=0,0,IF(SUM($G140:DF140)=$B140,0,IF(SUM(DG139:$EJ139)=0%,$B140,0%)))</f>
        <v>0</v>
      </c>
      <c r="DH140" s="395">
        <f ca="1">IF($E$309=0,0,IF(SUM($G140:DG140)=$B140,0,IF(SUM(DH139:$EJ139)=0%,$B140,0%)))</f>
        <v>0</v>
      </c>
      <c r="DI140" s="395">
        <f ca="1">IF($E$309=0,0,IF(SUM($G140:DH140)=$B140,0,IF(SUM(DI139:$EJ139)=0%,$B140,0%)))</f>
        <v>0</v>
      </c>
      <c r="DJ140" s="395">
        <f ca="1">IF($E$309=0,0,IF(SUM($G140:DI140)=$B140,0,IF(SUM(DJ139:$EJ139)=0%,$B140,0%)))</f>
        <v>0</v>
      </c>
      <c r="DK140" s="395">
        <f ca="1">IF($E$309=0,0,IF(SUM($G140:DJ140)=$B140,0,IF(SUM(DK139:$EJ139)=0%,$B140,0%)))</f>
        <v>0</v>
      </c>
      <c r="DL140" s="395">
        <f ca="1">IF($E$309=0,0,IF(SUM($G140:DK140)=$B140,0,IF(SUM(DL139:$EJ139)=0%,$B140,0%)))</f>
        <v>0</v>
      </c>
      <c r="DM140" s="395">
        <f ca="1">IF($E$309=0,0,IF(SUM($G140:DL140)=$B140,0,IF(SUM(DM139:$EJ139)=0%,$B140,0%)))</f>
        <v>0</v>
      </c>
      <c r="DN140" s="395">
        <f ca="1">IF($E$309=0,0,IF(SUM($G140:DM140)=$B140,0,IF(SUM(DN139:$EJ139)=0%,$B140,0%)))</f>
        <v>0</v>
      </c>
      <c r="DO140" s="395">
        <f ca="1">IF($E$309=0,0,IF(SUM($G140:DN140)=$B140,0,IF(SUM(DO139:$EJ139)=0%,$B140,0%)))</f>
        <v>0</v>
      </c>
      <c r="DP140" s="395">
        <f ca="1">IF($E$309=0,0,IF(SUM($G140:DO140)=$B140,0,IF(SUM(DP139:$EJ139)=0%,$B140,0%)))</f>
        <v>0</v>
      </c>
      <c r="DQ140" s="395">
        <f ca="1">IF($E$309=0,0,IF(SUM($G140:DP140)=$B140,0,IF(SUM(DQ139:$EJ139)=0%,$B140,0%)))</f>
        <v>0</v>
      </c>
      <c r="DR140" s="395">
        <f ca="1">IF($E$309=0,0,IF(SUM($G140:DQ140)=$B140,0,IF(SUM(DR139:$EJ139)=0%,$B140,0%)))</f>
        <v>0</v>
      </c>
      <c r="DS140" s="395">
        <f ca="1">IF($E$309=0,0,IF(SUM($G140:DR140)=$B140,0,IF(SUM(DS139:$EJ139)=0%,$B140,0%)))</f>
        <v>0</v>
      </c>
      <c r="DT140" s="395">
        <f ca="1">IF($E$309=0,0,IF(SUM($G140:DS140)=$B140,0,IF(SUM(DT139:$EJ139)=0%,$B140,0%)))</f>
        <v>0</v>
      </c>
      <c r="DU140" s="395">
        <f ca="1">IF($E$309=0,0,IF(SUM($G140:DT140)=$B140,0,IF(SUM(DU139:$EJ139)=0%,$B140,0%)))</f>
        <v>0</v>
      </c>
      <c r="DV140" s="395">
        <f ca="1">IF($E$309=0,0,IF(SUM($G140:DU140)=$B140,0,IF(SUM(DV139:$EJ139)=0%,$B140,0%)))</f>
        <v>0</v>
      </c>
      <c r="DW140" s="395">
        <f ca="1">IF($E$309=0,0,IF(SUM($G140:DV140)=$B140,0,IF(SUM(DW139:$EJ139)=0%,$B140,0%)))</f>
        <v>0</v>
      </c>
      <c r="DX140" s="395">
        <f ca="1">IF($E$309=0,0,IF(SUM($G140:DW140)=$B140,0,IF(SUM(DX139:$EJ139)=0%,$B140,0%)))</f>
        <v>0</v>
      </c>
      <c r="DY140" s="395">
        <f ca="1">IF($E$309=0,0,IF(SUM($G140:DX140)=$B140,0,IF(SUM(DY139:$EJ139)=0%,$B140,0%)))</f>
        <v>0</v>
      </c>
      <c r="DZ140" s="395">
        <f ca="1">IF($E$309=0,0,IF(SUM($G140:DY140)=$B140,0,IF(SUM(DZ139:$EJ139)=0%,$B140,0%)))</f>
        <v>0</v>
      </c>
      <c r="EA140" s="395">
        <f ca="1">IF($E$309=0,0,IF(SUM($G140:DZ140)=$B140,0,IF(SUM(EA139:$EJ139)=0%,$B140,0%)))</f>
        <v>0</v>
      </c>
      <c r="EB140" s="395">
        <f ca="1">IF($E$309=0,0,IF(SUM($G140:EA140)=$B140,0,IF(SUM(EB139:$EJ139)=0%,$B140,0%)))</f>
        <v>0</v>
      </c>
      <c r="EC140" s="395">
        <f ca="1">IF($E$309=0,0,IF(SUM($G140:EB140)=$B140,0,IF(SUM(EC139:$EJ139)=0%,$B140,0%)))</f>
        <v>0</v>
      </c>
      <c r="ED140" s="395">
        <f ca="1">IF($E$309=0,0,IF(SUM($G140:EC140)=$B140,0,IF(SUM(ED139:$EJ139)=0%,$B140,0%)))</f>
        <v>0</v>
      </c>
      <c r="EE140" s="395">
        <f ca="1">IF($E$309=0,0,IF(SUM($G140:ED140)=$B140,0,IF(SUM(EE139:$EJ139)=0%,$B140,0%)))</f>
        <v>0</v>
      </c>
      <c r="EF140" s="395">
        <f ca="1">IF($E$309=0,0,IF(SUM($G140:EE140)=$B140,0,IF(SUM(EF139:$EJ139)=0%,$B140,0%)))</f>
        <v>0</v>
      </c>
      <c r="EG140" s="395">
        <f ca="1">IF($E$309=0,0,IF(SUM($G140:EF140)=$B140,0,IF(SUM(EG139:$EJ139)=0%,$B140,0%)))</f>
        <v>0</v>
      </c>
      <c r="EH140" s="395">
        <f ca="1">IF($E$309=0,0,IF(SUM($G140:EG140)=$B140,0,IF(SUM(EH139:$EJ139)=0%,$B140,0%)))</f>
        <v>0</v>
      </c>
      <c r="EI140" s="395">
        <f ca="1">IF($E$309=0,0,IF(SUM($G140:EH140)=$B140,0,IF(SUM(EI139:$EJ139)=0%,$B140,0%)))</f>
        <v>0</v>
      </c>
      <c r="EJ140" s="398"/>
      <c r="EK140" s="313"/>
    </row>
    <row r="141" spans="1:141" hidden="1" outlineLevel="2">
      <c r="A141" s="332"/>
      <c r="B141" s="549">
        <f>длительность!E189</f>
        <v>0.1</v>
      </c>
      <c r="C141" s="317"/>
      <c r="D141" s="317" t="s">
        <v>639</v>
      </c>
      <c r="E141" s="318">
        <f t="shared" ca="1" si="356"/>
        <v>0</v>
      </c>
      <c r="F141" s="397">
        <f ca="1">SUM(G141:EJ141)</f>
        <v>0.1</v>
      </c>
      <c r="G141" s="395"/>
      <c r="H141" s="395"/>
      <c r="I141" s="395"/>
      <c r="J141" s="395">
        <f ca="1">IF(SUM($G141:I141)=$B141,0,IF(SUM($G139:I139)=$B139,$B141,0%))</f>
        <v>0</v>
      </c>
      <c r="K141" s="395">
        <f ca="1">IF(SUM($G141:J141)=$B141,0,IF(SUM($G139:J139)=$B139,$B141,0%))</f>
        <v>0</v>
      </c>
      <c r="L141" s="395">
        <f ca="1">IF(SUM($G141:K141)=$B141,0,IF(SUM($G139:K139)=$B139,$B141,0%))</f>
        <v>0</v>
      </c>
      <c r="M141" s="395">
        <f ca="1">IF(SUM($G141:L141)=$B141,0,IF(SUM($G139:L139)=$B139,$B141,0%))</f>
        <v>0</v>
      </c>
      <c r="N141" s="395">
        <f ca="1">IF(SUM($G141:M141)=$B141,0,IF(SUM($G139:M139)=$B139,$B141,0%))</f>
        <v>0</v>
      </c>
      <c r="O141" s="395">
        <f ca="1">IF(SUM($G141:N141)=$B141,0,IF(SUM($G139:N139)=$B139,$B141,0%))</f>
        <v>0</v>
      </c>
      <c r="P141" s="395">
        <f ca="1">IF(SUM($G141:O141)=$B141,0,IF(SUM($G139:O139)=$B139,$B141,0%))</f>
        <v>0</v>
      </c>
      <c r="Q141" s="395">
        <f ca="1">IF(SUM($G141:P141)=$B141,0,IF(SUM($G139:P139)=$B139,$B141,0%))</f>
        <v>0</v>
      </c>
      <c r="R141" s="395">
        <f ca="1">IF(SUM($G141:Q141)=$B141,0,IF(SUM($G139:Q139)=$B139,$B141,0%))</f>
        <v>0</v>
      </c>
      <c r="S141" s="395">
        <f ca="1">IF(SUM($G141:R141)=$B141,0,IF(SUM($G139:R139)=$B139,$B141,0%))</f>
        <v>0</v>
      </c>
      <c r="T141" s="395">
        <f ca="1">IF(SUM($G141:S141)=$B141,0,IF(SUM($G139:S139)=$B139,$B141,0%))</f>
        <v>0</v>
      </c>
      <c r="U141" s="395">
        <f ca="1">IF(SUM($G141:T141)=$B141,0,IF(SUM($G139:T139)=$B139,$B141,0%))</f>
        <v>0</v>
      </c>
      <c r="V141" s="395">
        <f ca="1">IF(SUM($G141:U141)=$B141,0,IF(SUM($G139:U139)=$B139,$B141,0%))</f>
        <v>0</v>
      </c>
      <c r="W141" s="395">
        <f ca="1">IF(SUM($G141:V141)=$B141,0,IF(SUM($G139:V139)=$B139,$B141,0%))</f>
        <v>0</v>
      </c>
      <c r="X141" s="395">
        <f ca="1">IF(SUM($G141:W141)=$B141,0,IF(SUM($G139:W139)=$B139,$B141,0%))</f>
        <v>0</v>
      </c>
      <c r="Y141" s="395">
        <f ca="1">IF(SUM($G141:X141)=$B141,0,IF(SUM($G139:X139)=$B139,$B141,0%))</f>
        <v>0</v>
      </c>
      <c r="Z141" s="395">
        <f ca="1">IF(SUM($G141:Y141)=$B141,0,IF(SUM($G139:Y139)=$B139,$B141,0%))</f>
        <v>0</v>
      </c>
      <c r="AA141" s="395">
        <f ca="1">IF(SUM($G141:Z141)=$B141,0,IF(SUM($G139:Z139)=$B139,$B141,0%))</f>
        <v>0</v>
      </c>
      <c r="AB141" s="395">
        <f ca="1">IF(SUM($G141:AA141)=$B141,0,IF(SUM($G139:AA139)=$B139,$B141,0%))</f>
        <v>0</v>
      </c>
      <c r="AC141" s="395">
        <f ca="1">IF(SUM($G141:AB141)=$B141,0,IF(SUM($G139:AB139)=$B139,$B141,0%))</f>
        <v>0</v>
      </c>
      <c r="AD141" s="395">
        <f ca="1">IF(SUM($G141:AC141)=$B141,0,IF(SUM($G139:AC139)=$B139,$B141,0%))</f>
        <v>0</v>
      </c>
      <c r="AE141" s="395">
        <f ca="1">IF(SUM($G141:AD141)=$B141,0,IF(SUM($G139:AD139)=$B139,$B141,0%))</f>
        <v>0</v>
      </c>
      <c r="AF141" s="395">
        <f ca="1">IF(SUM($G141:AE141)=$B141,0,IF(SUM($G139:AE139)=$B139,$B141,0%))</f>
        <v>0</v>
      </c>
      <c r="AG141" s="395">
        <f ca="1">IF(SUM($G141:AF141)=$B141,0,IF(SUM($G139:AF139)=$B139,$B141,0%))</f>
        <v>0</v>
      </c>
      <c r="AH141" s="395">
        <f ca="1">IF(SUM($G141:AG141)=$B141,0,IF(SUM($G139:AG139)=$B139,$B141,0%))</f>
        <v>0</v>
      </c>
      <c r="AI141" s="395">
        <f ca="1">IF(SUM($G141:AH141)=$B141,0,IF(SUM($G139:AH139)=$B139,$B141,0%))</f>
        <v>0</v>
      </c>
      <c r="AJ141" s="395">
        <f ca="1">IF(SUM($G141:AI141)=$B141,0,IF(SUM($G139:AI139)=$B139,$B141,0%))</f>
        <v>0</v>
      </c>
      <c r="AK141" s="395">
        <f ca="1">IF(SUM($G141:AJ141)=$B141,0,IF(SUM($G139:AJ139)=$B139,$B141,0%))</f>
        <v>0</v>
      </c>
      <c r="AL141" s="395">
        <f ca="1">IF(SUM($G141:AK141)=$B141,0,IF(SUM($G139:AK139)=$B139,$B141,0%))</f>
        <v>0</v>
      </c>
      <c r="AM141" s="395">
        <f ca="1">IF(SUM($G141:AL141)=$B141,0,IF(SUM($G139:AL139)=$B139,$B141,0%))</f>
        <v>0</v>
      </c>
      <c r="AN141" s="395">
        <f ca="1">IF(SUM($G141:AM141)=$B141,0,IF(SUM($G139:AM139)=$B139,$B141,0%))</f>
        <v>0</v>
      </c>
      <c r="AO141" s="395">
        <f ca="1">IF(SUM($G141:AN141)=$B141,0,IF(SUM($G139:AN139)=$B139,$B141,0%))</f>
        <v>0</v>
      </c>
      <c r="AP141" s="395">
        <f ca="1">IF(SUM($G141:AO141)=$B141,0,IF(SUM($G139:AO139)=$B139,$B141,0%))</f>
        <v>0</v>
      </c>
      <c r="AQ141" s="395">
        <f ca="1">IF(SUM($G141:AP141)=$B141,0,IF(SUM($G139:AP139)=$B139,$B141,0%))</f>
        <v>0</v>
      </c>
      <c r="AR141" s="395">
        <f ca="1">IF(SUM($G141:AQ141)=$B141,0,IF(SUM($G139:AQ139)=$B139,$B141,0%))</f>
        <v>0</v>
      </c>
      <c r="AS141" s="395">
        <f ca="1">IF(SUM($G141:AR141)=$B141,0,IF(SUM($G139:AR139)=$B139,$B141,0%))</f>
        <v>0</v>
      </c>
      <c r="AT141" s="395">
        <f ca="1">IF(SUM($G141:AS141)=$B141,0,IF(SUM($G139:AS139)=$B139,$B141,0%))</f>
        <v>0</v>
      </c>
      <c r="AU141" s="395">
        <f ca="1">IF(SUM($G141:AT141)=$B141,0,IF(SUM($G139:AT139)=$B139,$B141,0%))</f>
        <v>0</v>
      </c>
      <c r="AV141" s="395">
        <f ca="1">IF(SUM($G141:AU141)=$B141,0,IF(SUM($G139:AU139)=$B139,$B141,0%))</f>
        <v>0</v>
      </c>
      <c r="AW141" s="395">
        <f ca="1">IF(SUM($G141:AV141)=$B141,0,IF(SUM($G139:AV139)=$B139,$B141,0%))</f>
        <v>0</v>
      </c>
      <c r="AX141" s="395">
        <f ca="1">IF(SUM($G141:AW141)=$B141,0,IF(SUM($G139:AW139)=$B139,$B141,0%))</f>
        <v>0</v>
      </c>
      <c r="AY141" s="395">
        <f ca="1">IF(SUM($G141:AX141)=$B141,0,IF(SUM($G139:AX139)=$B139,$B141,0%))</f>
        <v>0</v>
      </c>
      <c r="AZ141" s="395">
        <f ca="1">IF(SUM($G141:AY141)=$B141,0,IF(SUM($G139:AY139)=$B139,$B141,0%))</f>
        <v>0</v>
      </c>
      <c r="BA141" s="395">
        <f ca="1">IF(SUM($G141:AZ141)=$B141,0,IF(SUM($G139:AZ139)=$B139,$B141,0%))</f>
        <v>0</v>
      </c>
      <c r="BB141" s="395">
        <f ca="1">IF(SUM($G141:BA141)=$B141,0,IF(SUM($G139:BA139)=$B139,$B141,0%))</f>
        <v>0</v>
      </c>
      <c r="BC141" s="395">
        <f ca="1">IF(SUM($G141:BB141)=$B141,0,IF(SUM($G139:BB139)=$B139,$B141,0%))</f>
        <v>0</v>
      </c>
      <c r="BD141" s="395">
        <f ca="1">IF(SUM($G141:BC141)=$B141,0,IF(SUM($G139:BC139)=$B139,$B141,0%))</f>
        <v>0</v>
      </c>
      <c r="BE141" s="395">
        <f ca="1">IF(SUM($G141:BD141)=$B141,0,IF(SUM($G139:BD139)=$B139,$B141,0%))</f>
        <v>0</v>
      </c>
      <c r="BF141" s="395">
        <f ca="1">IF(SUM($G141:BE141)=$B141,0,IF(SUM($G139:BE139)=$B139,$B141,0%))</f>
        <v>0</v>
      </c>
      <c r="BG141" s="395">
        <f ca="1">IF(SUM($G141:BF141)=$B141,0,IF(SUM($G139:BF139)=$B139,$B141,0%))</f>
        <v>0.1</v>
      </c>
      <c r="BH141" s="395">
        <f ca="1">IF(SUM($G141:BG141)=$B141,0,IF(SUM($G139:BG139)=$B139,$B141,0%))</f>
        <v>0</v>
      </c>
      <c r="BI141" s="395">
        <f ca="1">IF(SUM($G141:BH141)=$B141,0,IF(SUM($G139:BH139)=$B139,$B141,0%))</f>
        <v>0</v>
      </c>
      <c r="BJ141" s="395">
        <f ca="1">IF(SUM($G141:BI141)=$B141,0,IF(SUM($G139:BI139)=$B139,$B141,0%))</f>
        <v>0</v>
      </c>
      <c r="BK141" s="395">
        <f ca="1">IF(SUM($G141:BJ141)=$B141,0,IF(SUM($G139:BJ139)=$B139,$B141,0%))</f>
        <v>0</v>
      </c>
      <c r="BL141" s="395">
        <f ca="1">IF(SUM($G141:BK141)=$B141,0,IF(SUM($G139:BK139)=$B139,$B141,0%))</f>
        <v>0</v>
      </c>
      <c r="BM141" s="395">
        <f ca="1">IF(SUM($G141:BL141)=$B141,0,IF(SUM($G139:BL139)=$B139,$B141,0%))</f>
        <v>0</v>
      </c>
      <c r="BN141" s="395">
        <f ca="1">IF(SUM($G141:BM141)=$B141,0,IF(SUM($G139:BM139)=$B139,$B141,0%))</f>
        <v>0</v>
      </c>
      <c r="BO141" s="395">
        <f ca="1">IF(SUM($G141:BN141)=$B141,0,IF(SUM($G139:BN139)=$B139,$B141,0%))</f>
        <v>0</v>
      </c>
      <c r="BP141" s="395">
        <f ca="1">IF(SUM($G141:BO141)=$B141,0,IF(SUM($G139:BO139)=$B139,$B141,0%))</f>
        <v>0</v>
      </c>
      <c r="BQ141" s="395">
        <f ca="1">IF(SUM($G141:BP141)=$B141,0,IF(SUM($G139:BP139)=$B139,$B141,0%))</f>
        <v>0</v>
      </c>
      <c r="BR141" s="395">
        <f ca="1">IF(SUM($G141:BQ141)=$B141,0,IF(SUM($G139:BQ139)=$B139,$B141,0%))</f>
        <v>0</v>
      </c>
      <c r="BS141" s="395">
        <f ca="1">IF(SUM($G141:BR141)=$B141,0,IF(SUM($G139:BR139)=$B139,$B141,0%))</f>
        <v>0</v>
      </c>
      <c r="BT141" s="395">
        <f ca="1">IF(SUM($G141:BS141)=$B141,0,IF(SUM($G139:BS139)=$B139,$B141,0%))</f>
        <v>0</v>
      </c>
      <c r="BU141" s="395">
        <f ca="1">IF(SUM($G141:BT141)=$B141,0,IF(SUM($G139:BT139)=$B139,$B141,0%))</f>
        <v>0</v>
      </c>
      <c r="BV141" s="395">
        <f ca="1">IF(SUM($G141:BU141)=$B141,0,IF(SUM($G139:BU139)=$B139,$B141,0%))</f>
        <v>0</v>
      </c>
      <c r="BW141" s="395">
        <f ca="1">IF(SUM($G141:BV141)=$B141,0,IF(SUM($G139:BV139)=$B139,$B141,0%))</f>
        <v>0</v>
      </c>
      <c r="BX141" s="395">
        <f ca="1">IF(SUM($G141:BW141)=$B141,0,IF(SUM($G139:BW139)=$B139,$B141,0%))</f>
        <v>0</v>
      </c>
      <c r="BY141" s="395">
        <f ca="1">IF(SUM($G141:BX141)=$B141,0,IF(SUM($G139:BX139)=$B139,$B141,0%))</f>
        <v>0</v>
      </c>
      <c r="BZ141" s="395">
        <f ca="1">IF(SUM($G141:BY141)=$B141,0,IF(SUM($G139:BY139)=$B139,$B141,0%))</f>
        <v>0</v>
      </c>
      <c r="CA141" s="395">
        <f ca="1">IF(SUM($G141:BZ141)=$B141,0,IF(SUM($G139:BZ139)=$B139,$B141,0%))</f>
        <v>0</v>
      </c>
      <c r="CB141" s="395">
        <f ca="1">IF(SUM($G141:CA141)=$B141,0,IF(SUM($G139:CA139)=$B139,$B141,0%))</f>
        <v>0</v>
      </c>
      <c r="CC141" s="395">
        <f ca="1">IF(SUM($G141:CB141)=$B141,0,IF(SUM($G139:CB139)=$B139,$B141,0%))</f>
        <v>0</v>
      </c>
      <c r="CD141" s="395">
        <f ca="1">IF(SUM($G141:CC141)=$B141,0,IF(SUM($G139:CC139)=$B139,$B141,0%))</f>
        <v>0</v>
      </c>
      <c r="CE141" s="395">
        <f ca="1">IF(SUM($G141:CD141)=$B141,0,IF(SUM($G139:CD139)=$B139,$B141,0%))</f>
        <v>0</v>
      </c>
      <c r="CF141" s="395">
        <f ca="1">IF(SUM($G141:CE141)=$B141,0,IF(SUM($G139:CE139)=$B139,$B141,0%))</f>
        <v>0</v>
      </c>
      <c r="CG141" s="395">
        <f ca="1">IF(SUM($G141:CF141)=$B141,0,IF(SUM($G139:CF139)=$B139,$B141,0%))</f>
        <v>0</v>
      </c>
      <c r="CH141" s="395">
        <f ca="1">IF(SUM($G141:CG141)=$B141,0,IF(SUM($G139:CG139)=$B139,$B141,0%))</f>
        <v>0</v>
      </c>
      <c r="CI141" s="395">
        <f ca="1">IF(SUM($G141:CH141)=$B141,0,IF(SUM($G139:CH139)=$B139,$B141,0%))</f>
        <v>0</v>
      </c>
      <c r="CJ141" s="395">
        <f ca="1">IF(SUM($G141:CI141)=$B141,0,IF(SUM($G139:CI139)=$B139,$B141,0%))</f>
        <v>0</v>
      </c>
      <c r="CK141" s="395">
        <f ca="1">IF(SUM($G141:CJ141)=$B141,0,IF(SUM($G139:CJ139)=$B139,$B141,0%))</f>
        <v>0</v>
      </c>
      <c r="CL141" s="395">
        <f ca="1">IF(SUM($G141:CK141)=$B141,0,IF(SUM($G139:CK139)=$B139,$B141,0%))</f>
        <v>0</v>
      </c>
      <c r="CM141" s="395">
        <f ca="1">IF(SUM($G141:CL141)=$B141,0,IF(SUM($G139:CL139)=$B139,$B141,0%))</f>
        <v>0</v>
      </c>
      <c r="CN141" s="395">
        <f ca="1">IF(SUM($G141:CM141)=$B141,0,IF(SUM($G139:CM139)=$B139,$B141,0%))</f>
        <v>0</v>
      </c>
      <c r="CO141" s="395">
        <f ca="1">IF(SUM($G141:CN141)=$B141,0,IF(SUM($G139:CN139)=$B139,$B141,0%))</f>
        <v>0</v>
      </c>
      <c r="CP141" s="395">
        <f ca="1">IF(SUM($G141:CO141)=$B141,0,IF(SUM($G139:CO139)=$B139,$B141,0%))</f>
        <v>0</v>
      </c>
      <c r="CQ141" s="395">
        <f ca="1">IF(SUM($G141:CP141)=$B141,0,IF(SUM($G139:CP139)=$B139,$B141,0%))</f>
        <v>0</v>
      </c>
      <c r="CR141" s="395">
        <f ca="1">IF(SUM($G141:CQ141)=$B141,0,IF(SUM($G139:CQ139)=$B139,$B141,0%))</f>
        <v>0</v>
      </c>
      <c r="CS141" s="395">
        <f ca="1">IF(SUM($G141:CR141)=$B141,0,IF(SUM($G139:CR139)=$B139,$B141,0%))</f>
        <v>0</v>
      </c>
      <c r="CT141" s="395">
        <f ca="1">IF(SUM($G141:CS141)=$B141,0,IF(SUM($G139:CS139)=$B139,$B141,0%))</f>
        <v>0</v>
      </c>
      <c r="CU141" s="395">
        <f ca="1">IF(SUM($G141:CT141)=$B141,0,IF(SUM($G139:CT139)=$B139,$B141,0%))</f>
        <v>0</v>
      </c>
      <c r="CV141" s="395">
        <f ca="1">IF(SUM($G141:CU141)=$B141,0,IF(SUM($G139:CU139)=$B139,$B141,0%))</f>
        <v>0</v>
      </c>
      <c r="CW141" s="395">
        <f ca="1">IF(SUM($G141:CV141)=$B141,0,IF(SUM($G139:CV139)=$B139,$B141,0%))</f>
        <v>0</v>
      </c>
      <c r="CX141" s="395">
        <f ca="1">IF(SUM($G141:CW141)=$B141,0,IF(SUM($G139:CW139)=$B139,$B141,0%))</f>
        <v>0</v>
      </c>
      <c r="CY141" s="395">
        <f ca="1">IF(SUM($G141:CX141)=$B141,0,IF(SUM($G139:CX139)=$B139,$B141,0%))</f>
        <v>0</v>
      </c>
      <c r="CZ141" s="395">
        <f ca="1">IF(SUM($G141:CY141)=$B141,0,IF(SUM($G139:CY139)=$B139,$B141,0%))</f>
        <v>0</v>
      </c>
      <c r="DA141" s="395">
        <f ca="1">IF(SUM($G141:CZ141)=$B141,0,IF(SUM($G139:CZ139)=$B139,$B141,0%))</f>
        <v>0</v>
      </c>
      <c r="DB141" s="395">
        <f ca="1">IF(SUM($G141:DA141)=$B141,0,IF(SUM($G139:DA139)=$B139,$B141,0%))</f>
        <v>0</v>
      </c>
      <c r="DC141" s="395">
        <f ca="1">IF(SUM($G141:DB141)=$B141,0,IF(SUM($G139:DB139)=$B139,$B141,0%))</f>
        <v>0</v>
      </c>
      <c r="DD141" s="395">
        <f ca="1">IF(SUM($G141:DC141)=$B141,0,IF(SUM($G139:DC139)=$B139,$B141,0%))</f>
        <v>0</v>
      </c>
      <c r="DE141" s="395">
        <f ca="1">IF(SUM($G141:DD141)=$B141,0,IF(SUM($G139:DD139)=$B139,$B141,0%))</f>
        <v>0</v>
      </c>
      <c r="DF141" s="395">
        <f ca="1">IF(SUM($G141:DE141)=$B141,0,IF(SUM($G139:DE139)=$B139,$B141,0%))</f>
        <v>0</v>
      </c>
      <c r="DG141" s="395">
        <f ca="1">IF(SUM($G141:DF141)=$B141,0,IF(SUM($G139:DF139)=$B139,$B141,0%))</f>
        <v>0</v>
      </c>
      <c r="DH141" s="395">
        <f ca="1">IF(SUM($G141:DG141)=$B141,0,IF(SUM($G139:DG139)=$B139,$B141,0%))</f>
        <v>0</v>
      </c>
      <c r="DI141" s="395">
        <f ca="1">IF(SUM($G141:DH141)=$B141,0,IF(SUM($G139:DH139)=$B139,$B141,0%))</f>
        <v>0</v>
      </c>
      <c r="DJ141" s="395">
        <f ca="1">IF(SUM($G141:DI141)=$B141,0,IF(SUM($G139:DI139)=$B139,$B141,0%))</f>
        <v>0</v>
      </c>
      <c r="DK141" s="395">
        <f ca="1">IF(SUM($G141:DJ141)=$B141,0,IF(SUM($G139:DJ139)=$B139,$B141,0%))</f>
        <v>0</v>
      </c>
      <c r="DL141" s="395">
        <f ca="1">IF(SUM($G141:DK141)=$B141,0,IF(SUM($G139:DK139)=$B139,$B141,0%))</f>
        <v>0</v>
      </c>
      <c r="DM141" s="395">
        <f ca="1">IF(SUM($G141:DL141)=$B141,0,IF(SUM($G139:DL139)=$B139,$B141,0%))</f>
        <v>0</v>
      </c>
      <c r="DN141" s="395">
        <f ca="1">IF(SUM($G141:DM141)=$B141,0,IF(SUM($G139:DM139)=$B139,$B141,0%))</f>
        <v>0</v>
      </c>
      <c r="DO141" s="395">
        <f ca="1">IF(SUM($G141:DN141)=$B141,0,IF(SUM($G139:DN139)=$B139,$B141,0%))</f>
        <v>0</v>
      </c>
      <c r="DP141" s="395">
        <f ca="1">IF(SUM($G141:DO141)=$B141,0,IF(SUM($G139:DO139)=$B139,$B141,0%))</f>
        <v>0</v>
      </c>
      <c r="DQ141" s="395">
        <f ca="1">IF(SUM($G141:DP141)=$B141,0,IF(SUM($G139:DP139)=$B139,$B141,0%))</f>
        <v>0</v>
      </c>
      <c r="DR141" s="395">
        <f ca="1">IF(SUM($G141:DQ141)=$B141,0,IF(SUM($G139:DQ139)=$B139,$B141,0%))</f>
        <v>0</v>
      </c>
      <c r="DS141" s="395">
        <f ca="1">IF(SUM($G141:DR141)=$B141,0,IF(SUM($G139:DR139)=$B139,$B141,0%))</f>
        <v>0</v>
      </c>
      <c r="DT141" s="395">
        <f ca="1">IF(SUM($G141:DS141)=$B141,0,IF(SUM($G139:DS139)=$B139,$B141,0%))</f>
        <v>0</v>
      </c>
      <c r="DU141" s="395">
        <f ca="1">IF(SUM($G141:DT141)=$B141,0,IF(SUM($G139:DT139)=$B139,$B141,0%))</f>
        <v>0</v>
      </c>
      <c r="DV141" s="395">
        <f ca="1">IF(SUM($G141:DU141)=$B141,0,IF(SUM($G139:DU139)=$B139,$B141,0%))</f>
        <v>0</v>
      </c>
      <c r="DW141" s="395">
        <f ca="1">IF(SUM($G141:DV141)=$B141,0,IF(SUM($G139:DV139)=$B139,$B141,0%))</f>
        <v>0</v>
      </c>
      <c r="DX141" s="395">
        <f ca="1">IF(SUM($G141:DW141)=$B141,0,IF(SUM($G139:DW139)=$B139,$B141,0%))</f>
        <v>0</v>
      </c>
      <c r="DY141" s="395">
        <f ca="1">IF(SUM($G141:DX141)=$B141,0,IF(SUM($G139:DX139)=$B139,$B141,0%))</f>
        <v>0</v>
      </c>
      <c r="DZ141" s="395">
        <f ca="1">IF(SUM($G141:DY141)=$B141,0,IF(SUM($G139:DY139)=$B139,$B141,0%))</f>
        <v>0</v>
      </c>
      <c r="EA141" s="395">
        <f ca="1">IF(SUM($G141:DZ141)=$B141,0,IF(SUM($G139:DZ139)=$B139,$B141,0%))</f>
        <v>0</v>
      </c>
      <c r="EB141" s="395">
        <f ca="1">IF(SUM($G141:EA141)=$B141,0,IF(SUM($G139:EA139)=$B139,$B141,0%))</f>
        <v>0</v>
      </c>
      <c r="EC141" s="395">
        <f ca="1">IF(SUM($G141:EB141)=$B141,0,IF(SUM($G139:EB139)=$B139,$B141,0%))</f>
        <v>0</v>
      </c>
      <c r="ED141" s="395">
        <f ca="1">IF(SUM($G141:EC141)=$B141,0,IF(SUM($G139:EC139)=$B139,$B141,0%))</f>
        <v>0</v>
      </c>
      <c r="EE141" s="395">
        <f ca="1">IF(SUM($G141:ED141)=$B141,0,IF(SUM($G139:ED139)=$B139,$B141,0%))</f>
        <v>0</v>
      </c>
      <c r="EF141" s="395">
        <f ca="1">IF(SUM($G141:EE141)=$B141,0,IF(SUM($G139:EE139)=$B139,$B141,0%))</f>
        <v>0</v>
      </c>
      <c r="EG141" s="395">
        <f ca="1">IF(SUM($G141:EF141)=$B141,0,IF(SUM($G139:EF139)=$B139,$B141,0%))</f>
        <v>0</v>
      </c>
      <c r="EH141" s="395">
        <f ca="1">IF(SUM($G141:EG141)=$B141,0,IF(SUM($G139:EG139)=$B139,$B141,0%))</f>
        <v>0</v>
      </c>
      <c r="EI141" s="395">
        <f ca="1">IF(SUM($G141:EH141)=$B141,0,IF(SUM($G139:EH139)=$B139,$B141,0%))</f>
        <v>0</v>
      </c>
      <c r="EJ141" s="398"/>
      <c r="EK141" s="313"/>
    </row>
    <row r="142" spans="1:141" hidden="1" outlineLevel="2">
      <c r="A142" s="332"/>
      <c r="B142" s="549">
        <f>длительность!F189</f>
        <v>2.5000000000000001E-2</v>
      </c>
      <c r="C142" s="317"/>
      <c r="D142" s="317" t="s">
        <v>640</v>
      </c>
      <c r="E142" s="318">
        <f t="shared" ca="1" si="356"/>
        <v>0</v>
      </c>
      <c r="F142" s="397">
        <f ca="1">SUM(G142:EJ142)</f>
        <v>2.5000000000000001E-2</v>
      </c>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f>IF(SUM($G142:AC142)=$B142,0,IF(SUM($G140:G140)=$B140,$B142,0%))</f>
        <v>0</v>
      </c>
      <c r="AE142" s="395">
        <f ca="1">IF(SUM($G142:AD142)=$B142,0,IF(SUM($G140:H140)=$B140,$B142,0%))</f>
        <v>0</v>
      </c>
      <c r="AF142" s="395">
        <f ca="1">IF(SUM($G142:AE142)=$B142,0,IF(SUM($G140:I140)=$B140,$B142,0%))</f>
        <v>0</v>
      </c>
      <c r="AG142" s="395">
        <f ca="1">IF(SUM($G142:AF142)=$B142,0,IF(SUM($G140:J140)=$B140,$B142,0%))</f>
        <v>0</v>
      </c>
      <c r="AH142" s="395">
        <f ca="1">IF(SUM($G142:AG142)=$B142,0,IF(SUM($G140:K140)=$B140,$B142,0%))</f>
        <v>0</v>
      </c>
      <c r="AI142" s="395">
        <f ca="1">IF(SUM($G142:AH142)=$B142,0,IF(SUM($G140:L140)=$B140,$B142,0%))</f>
        <v>0</v>
      </c>
      <c r="AJ142" s="395">
        <f ca="1">IF(SUM($G142:AI142)=$B142,0,IF(SUM($G140:M140)=$B140,$B142,0%))</f>
        <v>0</v>
      </c>
      <c r="AK142" s="395">
        <f ca="1">IF(SUM($G142:AJ142)=$B142,0,IF(SUM($G140:N140)=$B140,$B142,0%))</f>
        <v>0</v>
      </c>
      <c r="AL142" s="395">
        <f ca="1">IF(SUM($G142:AK142)=$B142,0,IF(SUM($G140:O140)=$B140,$B142,0%))</f>
        <v>0</v>
      </c>
      <c r="AM142" s="395">
        <f ca="1">IF(SUM($G142:AL142)=$B142,0,IF(SUM($G140:P140)=$B140,$B142,0%))</f>
        <v>0</v>
      </c>
      <c r="AN142" s="395">
        <f ca="1">IF(SUM($G142:AM142)=$B142,0,IF(SUM($G140:Q140)=$B140,$B142,0%))</f>
        <v>0</v>
      </c>
      <c r="AO142" s="395">
        <f ca="1">IF(SUM($G142:AN142)=$B142,0,IF(SUM($G140:R140)=$B140,$B142,0%))</f>
        <v>0</v>
      </c>
      <c r="AP142" s="395">
        <f ca="1">IF(SUM($G142:AO142)=$B142,0,IF(SUM($G140:S140)=$B140,$B142,0%))</f>
        <v>0</v>
      </c>
      <c r="AQ142" s="395">
        <f ca="1">IF(SUM($G142:AP142)=$B142,0,IF(SUM($G140:T140)=$B140,$B142,0%))</f>
        <v>0</v>
      </c>
      <c r="AR142" s="395">
        <f ca="1">IF(SUM($G142:AQ142)=$B142,0,IF(SUM($G140:U140)=$B140,$B142,0%))</f>
        <v>0</v>
      </c>
      <c r="AS142" s="395">
        <f ca="1">IF(SUM($G142:AR142)=$B142,0,IF(SUM($G140:V140)=$B140,$B142,0%))</f>
        <v>0</v>
      </c>
      <c r="AT142" s="395">
        <f ca="1">IF(SUM($G142:AS142)=$B142,0,IF(SUM($G140:W140)=$B140,$B142,0%))</f>
        <v>0</v>
      </c>
      <c r="AU142" s="395">
        <f ca="1">IF(SUM($G142:AT142)=$B142,0,IF(SUM($G140:X140)=$B140,$B142,0%))</f>
        <v>0</v>
      </c>
      <c r="AV142" s="395">
        <f ca="1">IF(SUM($G142:AU142)=$B142,0,IF(SUM($G140:Y140)=$B140,$B142,0%))</f>
        <v>0</v>
      </c>
      <c r="AW142" s="395">
        <f ca="1">IF(SUM($G142:AV142)=$B142,0,IF(SUM($G140:Z140)=$B140,$B142,0%))</f>
        <v>0</v>
      </c>
      <c r="AX142" s="395">
        <f ca="1">IF(SUM($G142:AW142)=$B142,0,IF(SUM($G140:AA140)=$B140,$B142,0%))</f>
        <v>0</v>
      </c>
      <c r="AY142" s="395">
        <f ca="1">IF(SUM($G142:AX142)=$B142,0,IF(SUM($G140:AB140)=$B140,$B142,0%))</f>
        <v>0</v>
      </c>
      <c r="AZ142" s="395">
        <f ca="1">IF(SUM($G142:AY142)=$B142,0,IF(SUM($G140:AC140)=$B140,$B142,0%))</f>
        <v>0</v>
      </c>
      <c r="BA142" s="395">
        <f ca="1">IF(SUM($G142:AZ142)=$B142,0,IF(SUM($G140:AD140)=$B140,$B142,0%))</f>
        <v>0</v>
      </c>
      <c r="BB142" s="395">
        <f ca="1">IF(SUM($G142:BA142)=$B142,0,IF(SUM($G140:AE140)=$B140,$B142,0%))</f>
        <v>0</v>
      </c>
      <c r="BC142" s="395">
        <f ca="1">IF(SUM($G142:BB142)=$B142,0,IF(SUM($G140:AF140)=$B140,$B142,0%))</f>
        <v>0</v>
      </c>
      <c r="BD142" s="395">
        <f ca="1">IF(SUM($G142:BC142)=$B142,0,IF(SUM($G140:AG140)=$B140,$B142,0%))</f>
        <v>0</v>
      </c>
      <c r="BE142" s="395">
        <f ca="1">IF(SUM($G142:BD142)=$B142,0,IF(SUM($G140:AH140)=$B140,$B142,0%))</f>
        <v>0</v>
      </c>
      <c r="BF142" s="395">
        <f ca="1">IF(SUM($G142:BE142)=$B142,0,IF(SUM($G140:AI140)=$B140,$B142,0%))</f>
        <v>0</v>
      </c>
      <c r="BG142" s="395">
        <f ca="1">IF(SUM($G142:BF142)=$B142,0,IF(SUM($G140:AJ140)=$B140,$B142,0%))</f>
        <v>0</v>
      </c>
      <c r="BH142" s="395">
        <f ca="1">IF(SUM($G142:BG142)=$B142,0,IF(SUM($G140:AK140)=$B140,$B142,0%))</f>
        <v>0</v>
      </c>
      <c r="BI142" s="395">
        <f ca="1">IF(SUM($G142:BH142)=$B142,0,IF(SUM($G140:AL140)=$B140,$B142,0%))</f>
        <v>0</v>
      </c>
      <c r="BJ142" s="395">
        <f ca="1">IF(SUM($G142:BI142)=$B142,0,IF(SUM($G140:AM140)=$B140,$B142,0%))</f>
        <v>0</v>
      </c>
      <c r="BK142" s="395">
        <f ca="1">IF(SUM($G142:BJ142)=$B142,0,IF(SUM($G140:AN140)=$B140,$B142,0%))</f>
        <v>0</v>
      </c>
      <c r="BL142" s="395">
        <f ca="1">IF(SUM($G142:BK142)=$B142,0,IF(SUM($G140:AO140)=$B140,$B142,0%))</f>
        <v>0</v>
      </c>
      <c r="BM142" s="395">
        <f ca="1">IF(SUM($G142:BL142)=$B142,0,IF(SUM($G140:AP140)=$B140,$B142,0%))</f>
        <v>0</v>
      </c>
      <c r="BN142" s="395">
        <f ca="1">IF(SUM($G142:BM142)=$B142,0,IF(SUM($G140:AQ140)=$B140,$B142,0%))</f>
        <v>0</v>
      </c>
      <c r="BO142" s="395">
        <f ca="1">IF(SUM($G142:BN142)=$B142,0,IF(SUM($G140:AR140)=$B140,$B142,0%))</f>
        <v>0</v>
      </c>
      <c r="BP142" s="395">
        <f ca="1">IF(SUM($G142:BO142)=$B142,0,IF(SUM($G140:AS140)=$B140,$B142,0%))</f>
        <v>0</v>
      </c>
      <c r="BQ142" s="395">
        <f ca="1">IF(SUM($G142:BP142)=$B142,0,IF(SUM($G140:AT140)=$B140,$B142,0%))</f>
        <v>0</v>
      </c>
      <c r="BR142" s="395">
        <f ca="1">IF(SUM($G142:BQ142)=$B142,0,IF(SUM($G140:AU140)=$B140,$B142,0%))</f>
        <v>0</v>
      </c>
      <c r="BS142" s="395">
        <f ca="1">IF(SUM($G142:BR142)=$B142,0,IF(SUM($G140:AV140)=$B140,$B142,0%))</f>
        <v>0</v>
      </c>
      <c r="BT142" s="395">
        <f ca="1">IF(SUM($G142:BS142)=$B142,0,IF(SUM($G140:AW140)=$B140,$B142,0%))</f>
        <v>0</v>
      </c>
      <c r="BU142" s="395">
        <f ca="1">IF(SUM($G142:BT142)=$B142,0,IF(SUM($G140:AX140)=$B140,$B142,0%))</f>
        <v>0</v>
      </c>
      <c r="BV142" s="395">
        <f ca="1">IF(SUM($G142:BU142)=$B142,0,IF(SUM($G140:AY140)=$B140,$B142,0%))</f>
        <v>0</v>
      </c>
      <c r="BW142" s="395">
        <f ca="1">IF(SUM($G142:BV142)=$B142,0,IF(SUM($G140:AZ140)=$B140,$B142,0%))</f>
        <v>0</v>
      </c>
      <c r="BX142" s="395">
        <f ca="1">IF(SUM($G142:BW142)=$B142,0,IF(SUM($G140:BA140)=$B140,$B142,0%))</f>
        <v>0</v>
      </c>
      <c r="BY142" s="395">
        <f ca="1">IF(SUM($G142:BX142)=$B142,0,IF(SUM($G140:BB140)=$B140,$B142,0%))</f>
        <v>0</v>
      </c>
      <c r="BZ142" s="395">
        <f ca="1">IF(SUM($G142:BY142)=$B142,0,IF(SUM($G140:BC140)=$B140,$B142,0%))</f>
        <v>0</v>
      </c>
      <c r="CA142" s="395">
        <f ca="1">IF(SUM($G142:BZ142)=$B142,0,IF(SUM($G140:BD140)=$B140,$B142,0%))</f>
        <v>0</v>
      </c>
      <c r="CB142" s="395">
        <f ca="1">IF(SUM($G142:CA142)=$B142,0,IF(SUM($G140:BE140)=$B140,$B142,0%))</f>
        <v>0</v>
      </c>
      <c r="CC142" s="395">
        <f ca="1">IF(SUM($G142:CB142)=$B142,0,IF(SUM($G140:BF140)=$B140,$B142,0%))</f>
        <v>0</v>
      </c>
      <c r="CD142" s="395">
        <f ca="1">IF(SUM($G142:CC142)=$B142,0,IF(SUM($G140:BG140)=$B140,$B142,0%))</f>
        <v>2.5000000000000001E-2</v>
      </c>
      <c r="CE142" s="395">
        <f ca="1">IF(SUM($G142:CD142)=$B142,0,IF(SUM($G140:BH140)=$B140,$B142,0%))</f>
        <v>0</v>
      </c>
      <c r="CF142" s="395">
        <f ca="1">IF(SUM($G142:CE142)=$B142,0,IF(SUM($G140:BI140)=$B140,$B142,0%))</f>
        <v>0</v>
      </c>
      <c r="CG142" s="395">
        <f ca="1">IF(SUM($G142:CF142)=$B142,0,IF(SUM($G140:BJ140)=$B140,$B142,0%))</f>
        <v>0</v>
      </c>
      <c r="CH142" s="395">
        <f ca="1">IF(SUM($G142:CG142)=$B142,0,IF(SUM($G140:BK140)=$B140,$B142,0%))</f>
        <v>0</v>
      </c>
      <c r="CI142" s="395">
        <f ca="1">IF(SUM($G142:CH142)=$B142,0,IF(SUM($G140:BL140)=$B140,$B142,0%))</f>
        <v>0</v>
      </c>
      <c r="CJ142" s="395">
        <f ca="1">IF(SUM($G142:CI142)=$B142,0,IF(SUM($G140:BM140)=$B140,$B142,0%))</f>
        <v>0</v>
      </c>
      <c r="CK142" s="395">
        <f ca="1">IF(SUM($G142:CJ142)=$B142,0,IF(SUM($G140:BN140)=$B140,$B142,0%))</f>
        <v>0</v>
      </c>
      <c r="CL142" s="395">
        <f ca="1">IF(SUM($G142:CK142)=$B142,0,IF(SUM($G140:BO140)=$B140,$B142,0%))</f>
        <v>0</v>
      </c>
      <c r="CM142" s="395">
        <f ca="1">IF(SUM($G142:CL142)=$B142,0,IF(SUM($G140:BP140)=$B140,$B142,0%))</f>
        <v>0</v>
      </c>
      <c r="CN142" s="395">
        <f ca="1">IF(SUM($G142:CM142)=$B142,0,IF(SUM($G140:BQ140)=$B140,$B142,0%))</f>
        <v>0</v>
      </c>
      <c r="CO142" s="395">
        <f ca="1">IF(SUM($G142:CN142)=$B142,0,IF(SUM($G140:BR140)=$B140,$B142,0%))</f>
        <v>0</v>
      </c>
      <c r="CP142" s="395">
        <f ca="1">IF(SUM($G142:CO142)=$B142,0,IF(SUM($G140:BS140)=$B140,$B142,0%))</f>
        <v>0</v>
      </c>
      <c r="CQ142" s="395">
        <f ca="1">IF(SUM($G142:CP142)=$B142,0,IF(SUM($G140:BT140)=$B140,$B142,0%))</f>
        <v>0</v>
      </c>
      <c r="CR142" s="395">
        <f ca="1">IF(SUM($G142:CQ142)=$B142,0,IF(SUM($G140:BU140)=$B140,$B142,0%))</f>
        <v>0</v>
      </c>
      <c r="CS142" s="395">
        <f ca="1">IF(SUM($G142:CR142)=$B142,0,IF(SUM($G140:BV140)=$B140,$B142,0%))</f>
        <v>0</v>
      </c>
      <c r="CT142" s="395">
        <f ca="1">IF(SUM($G142:CS142)=$B142,0,IF(SUM($G140:BW140)=$B140,$B142,0%))</f>
        <v>0</v>
      </c>
      <c r="CU142" s="395">
        <f ca="1">IF(SUM($G142:CT142)=$B142,0,IF(SUM($G140:BX140)=$B140,$B142,0%))</f>
        <v>0</v>
      </c>
      <c r="CV142" s="395">
        <f ca="1">IF(SUM($G142:CU142)=$B142,0,IF(SUM($G140:BY140)=$B140,$B142,0%))</f>
        <v>0</v>
      </c>
      <c r="CW142" s="395">
        <f ca="1">IF(SUM($G142:CV142)=$B142,0,IF(SUM($G140:BZ140)=$B140,$B142,0%))</f>
        <v>0</v>
      </c>
      <c r="CX142" s="395">
        <f ca="1">IF(SUM($G142:CW142)=$B142,0,IF(SUM($G140:CA140)=$B140,$B142,0%))</f>
        <v>0</v>
      </c>
      <c r="CY142" s="395">
        <f ca="1">IF(SUM($G142:CX142)=$B142,0,IF(SUM($G140:CB140)=$B140,$B142,0%))</f>
        <v>0</v>
      </c>
      <c r="CZ142" s="395">
        <f ca="1">IF(SUM($G142:CY142)=$B142,0,IF(SUM($G140:CC140)=$B140,$B142,0%))</f>
        <v>0</v>
      </c>
      <c r="DA142" s="395">
        <f ca="1">IF(SUM($G142:CZ142)=$B142,0,IF(SUM($G140:CD140)=$B140,$B142,0%))</f>
        <v>0</v>
      </c>
      <c r="DB142" s="395">
        <f ca="1">IF(SUM($G142:DA142)=$B142,0,IF(SUM($G140:CE140)=$B140,$B142,0%))</f>
        <v>0</v>
      </c>
      <c r="DC142" s="395">
        <f ca="1">IF(SUM($G142:DB142)=$B142,0,IF(SUM($G140:CF140)=$B140,$B142,0%))</f>
        <v>0</v>
      </c>
      <c r="DD142" s="395">
        <f ca="1">IF(SUM($G142:DC142)=$B142,0,IF(SUM($G140:CG140)=$B140,$B142,0%))</f>
        <v>0</v>
      </c>
      <c r="DE142" s="395">
        <f ca="1">IF(SUM($G142:DD142)=$B142,0,IF(SUM($G140:CH140)=$B140,$B142,0%))</f>
        <v>0</v>
      </c>
      <c r="DF142" s="395">
        <f ca="1">IF(SUM($G142:DE142)=$B142,0,IF(SUM($G140:CI140)=$B140,$B142,0%))</f>
        <v>0</v>
      </c>
      <c r="DG142" s="395">
        <f ca="1">IF(SUM($G142:DF142)=$B142,0,IF(SUM($G140:CJ140)=$B140,$B142,0%))</f>
        <v>0</v>
      </c>
      <c r="DH142" s="395">
        <f ca="1">IF(SUM($G142:DG142)=$B142,0,IF(SUM($G140:CK140)=$B140,$B142,0%))</f>
        <v>0</v>
      </c>
      <c r="DI142" s="395">
        <f ca="1">IF(SUM($G142:DH142)=$B142,0,IF(SUM($G140:CL140)=$B140,$B142,0%))</f>
        <v>0</v>
      </c>
      <c r="DJ142" s="395">
        <f ca="1">IF(SUM($G142:DI142)=$B142,0,IF(SUM($G140:CM140)=$B140,$B142,0%))</f>
        <v>0</v>
      </c>
      <c r="DK142" s="395">
        <f ca="1">IF(SUM($G142:DJ142)=$B142,0,IF(SUM($G140:CN140)=$B140,$B142,0%))</f>
        <v>0</v>
      </c>
      <c r="DL142" s="395">
        <f ca="1">IF(SUM($G142:DK142)=$B142,0,IF(SUM($G140:CO140)=$B140,$B142,0%))</f>
        <v>0</v>
      </c>
      <c r="DM142" s="395">
        <f ca="1">IF(SUM($G142:DL142)=$B142,0,IF(SUM($G140:CP140)=$B140,$B142,0%))</f>
        <v>0</v>
      </c>
      <c r="DN142" s="395">
        <f ca="1">IF(SUM($G142:DM142)=$B142,0,IF(SUM($G140:CQ140)=$B140,$B142,0%))</f>
        <v>0</v>
      </c>
      <c r="DO142" s="395">
        <f ca="1">IF(SUM($G142:DN142)=$B142,0,IF(SUM($G140:CR140)=$B140,$B142,0%))</f>
        <v>0</v>
      </c>
      <c r="DP142" s="395">
        <f ca="1">IF(SUM($G142:DO142)=$B142,0,IF(SUM($G140:CS140)=$B140,$B142,0%))</f>
        <v>0</v>
      </c>
      <c r="DQ142" s="395">
        <f ca="1">IF(SUM($G142:DP142)=$B142,0,IF(SUM($G140:CT140)=$B140,$B142,0%))</f>
        <v>0</v>
      </c>
      <c r="DR142" s="395">
        <f ca="1">IF(SUM($G142:DQ142)=$B142,0,IF(SUM($G140:CU140)=$B140,$B142,0%))</f>
        <v>0</v>
      </c>
      <c r="DS142" s="395">
        <f ca="1">IF(SUM($G142:DR142)=$B142,0,IF(SUM($G140:CV140)=$B140,$B142,0%))</f>
        <v>0</v>
      </c>
      <c r="DT142" s="395">
        <f ca="1">IF(SUM($G142:DS142)=$B142,0,IF(SUM($G140:CW140)=$B140,$B142,0%))</f>
        <v>0</v>
      </c>
      <c r="DU142" s="395">
        <f ca="1">IF(SUM($G142:DT142)=$B142,0,IF(SUM($G140:CX140)=$B140,$B142,0%))</f>
        <v>0</v>
      </c>
      <c r="DV142" s="395">
        <f ca="1">IF(SUM($G142:DU142)=$B142,0,IF(SUM($G140:CY140)=$B140,$B142,0%))</f>
        <v>0</v>
      </c>
      <c r="DW142" s="395">
        <f ca="1">IF(SUM($G142:DV142)=$B142,0,IF(SUM($G140:CZ140)=$B140,$B142,0%))</f>
        <v>0</v>
      </c>
      <c r="DX142" s="395">
        <f ca="1">IF(SUM($G142:DW142)=$B142,0,IF(SUM($G140:DA140)=$B140,$B142,0%))</f>
        <v>0</v>
      </c>
      <c r="DY142" s="395">
        <f ca="1">IF(SUM($G142:DX142)=$B142,0,IF(SUM($G140:DB140)=$B140,$B142,0%))</f>
        <v>0</v>
      </c>
      <c r="DZ142" s="395">
        <f ca="1">IF(SUM($G142:DY142)=$B142,0,IF(SUM($G140:DC140)=$B140,$B142,0%))</f>
        <v>0</v>
      </c>
      <c r="EA142" s="395">
        <f ca="1">IF(SUM($G142:DZ142)=$B142,0,IF(SUM($G140:DD140)=$B140,$B142,0%))</f>
        <v>0</v>
      </c>
      <c r="EB142" s="395">
        <f ca="1">IF(SUM($G142:EA142)=$B142,0,IF(SUM($G140:DE140)=$B140,$B142,0%))</f>
        <v>0</v>
      </c>
      <c r="EC142" s="395">
        <f ca="1">IF(SUM($G142:EB142)=$B142,0,IF(SUM($G140:DF140)=$B140,$B142,0%))</f>
        <v>0</v>
      </c>
      <c r="ED142" s="395">
        <f ca="1">IF(SUM($G142:EC142)=$B142,0,IF(SUM($G140:DG140)=$B140,$B142,0%))</f>
        <v>0</v>
      </c>
      <c r="EE142" s="395">
        <f ca="1">IF(SUM($G142:ED142)=$B142,0,IF(SUM($G140:DH140)=$B140,$B142,0%))</f>
        <v>0</v>
      </c>
      <c r="EF142" s="395">
        <f ca="1">IF(SUM($G142:EE142)=$B142,0,IF(SUM($G140:DI140)=$B140,$B142,0%))</f>
        <v>0</v>
      </c>
      <c r="EG142" s="395">
        <f ca="1">IF(SUM($G142:EF142)=$B142,0,IF(SUM($G140:DJ140)=$B140,$B142,0%))</f>
        <v>0</v>
      </c>
      <c r="EH142" s="395">
        <f ca="1">IF(SUM($G142:EG142)=$B142,0,IF(SUM($G140:DK140)=$B140,$B142,0%))</f>
        <v>0</v>
      </c>
      <c r="EI142" s="395">
        <f ca="1">IF(SUM($G142:EH142)=$B142,0,IF(SUM($G140:DL140)=$B140,$B142,0%))</f>
        <v>0</v>
      </c>
      <c r="EJ142" s="398"/>
      <c r="EK142" s="313"/>
    </row>
    <row r="143" spans="1:141" hidden="1" outlineLevel="1" collapsed="1">
      <c r="A143" s="332"/>
      <c r="B143" s="313"/>
      <c r="C143" s="392" t="s">
        <v>91</v>
      </c>
      <c r="D143" s="392" t="str">
        <f>D314</f>
        <v>Внутренняя отделка - отделка квартир</v>
      </c>
      <c r="E143" s="393">
        <f ca="1">ROUND(IF(F143=0,0,100%-F143),0)</f>
        <v>0</v>
      </c>
      <c r="F143" s="394">
        <f t="shared" ca="1" si="283"/>
        <v>1</v>
      </c>
      <c r="G143" s="395">
        <f>SUM(G144:G147)</f>
        <v>0</v>
      </c>
      <c r="H143" s="395">
        <f ca="1">SUM(H144:H147)</f>
        <v>0</v>
      </c>
      <c r="I143" s="395">
        <f t="shared" ref="I143:BT143" ca="1" si="358">SUM(I144:I147)</f>
        <v>0</v>
      </c>
      <c r="J143" s="395">
        <f t="shared" ca="1" si="358"/>
        <v>0</v>
      </c>
      <c r="K143" s="395">
        <f t="shared" ca="1" si="358"/>
        <v>0</v>
      </c>
      <c r="L143" s="395">
        <f t="shared" ca="1" si="358"/>
        <v>0</v>
      </c>
      <c r="M143" s="395">
        <f t="shared" ca="1" si="358"/>
        <v>0</v>
      </c>
      <c r="N143" s="395">
        <f t="shared" ca="1" si="358"/>
        <v>0</v>
      </c>
      <c r="O143" s="395">
        <f t="shared" ca="1" si="358"/>
        <v>0</v>
      </c>
      <c r="P143" s="395">
        <f t="shared" ca="1" si="358"/>
        <v>0</v>
      </c>
      <c r="Q143" s="395">
        <f t="shared" ca="1" si="358"/>
        <v>0</v>
      </c>
      <c r="R143" s="395">
        <f t="shared" ca="1" si="358"/>
        <v>0</v>
      </c>
      <c r="S143" s="395">
        <f t="shared" ca="1" si="358"/>
        <v>0</v>
      </c>
      <c r="T143" s="395">
        <f t="shared" ca="1" si="358"/>
        <v>0</v>
      </c>
      <c r="U143" s="395">
        <f t="shared" ca="1" si="358"/>
        <v>0</v>
      </c>
      <c r="V143" s="395">
        <f t="shared" ca="1" si="358"/>
        <v>0</v>
      </c>
      <c r="W143" s="395">
        <f t="shared" ca="1" si="358"/>
        <v>0</v>
      </c>
      <c r="X143" s="395">
        <f t="shared" ca="1" si="358"/>
        <v>0</v>
      </c>
      <c r="Y143" s="395">
        <f t="shared" ca="1" si="358"/>
        <v>0</v>
      </c>
      <c r="Z143" s="395">
        <f t="shared" ca="1" si="358"/>
        <v>0</v>
      </c>
      <c r="AA143" s="395">
        <f t="shared" ca="1" si="358"/>
        <v>0</v>
      </c>
      <c r="AB143" s="395">
        <f t="shared" ca="1" si="358"/>
        <v>0</v>
      </c>
      <c r="AC143" s="395">
        <f t="shared" ca="1" si="358"/>
        <v>0</v>
      </c>
      <c r="AD143" s="395">
        <f t="shared" ca="1" si="358"/>
        <v>0</v>
      </c>
      <c r="AE143" s="395">
        <f t="shared" ca="1" si="358"/>
        <v>0</v>
      </c>
      <c r="AF143" s="395">
        <f t="shared" ca="1" si="358"/>
        <v>0</v>
      </c>
      <c r="AG143" s="395">
        <f t="shared" ca="1" si="358"/>
        <v>0</v>
      </c>
      <c r="AH143" s="395">
        <f t="shared" ca="1" si="358"/>
        <v>0</v>
      </c>
      <c r="AI143" s="395">
        <f t="shared" ca="1" si="358"/>
        <v>0</v>
      </c>
      <c r="AJ143" s="395">
        <f t="shared" ca="1" si="358"/>
        <v>0</v>
      </c>
      <c r="AK143" s="395">
        <f t="shared" ca="1" si="358"/>
        <v>0</v>
      </c>
      <c r="AL143" s="395">
        <f t="shared" ca="1" si="358"/>
        <v>0</v>
      </c>
      <c r="AM143" s="395">
        <f t="shared" ca="1" si="358"/>
        <v>0</v>
      </c>
      <c r="AN143" s="395">
        <f t="shared" ca="1" si="358"/>
        <v>0</v>
      </c>
      <c r="AO143" s="395">
        <f t="shared" ca="1" si="358"/>
        <v>0</v>
      </c>
      <c r="AP143" s="395">
        <f t="shared" ca="1" si="358"/>
        <v>0</v>
      </c>
      <c r="AQ143" s="395">
        <f t="shared" ca="1" si="358"/>
        <v>0</v>
      </c>
      <c r="AR143" s="395">
        <f t="shared" ca="1" si="358"/>
        <v>0</v>
      </c>
      <c r="AS143" s="395">
        <f t="shared" ca="1" si="358"/>
        <v>0</v>
      </c>
      <c r="AT143" s="395">
        <f t="shared" ca="1" si="358"/>
        <v>0</v>
      </c>
      <c r="AU143" s="395">
        <f t="shared" ca="1" si="358"/>
        <v>0</v>
      </c>
      <c r="AV143" s="395">
        <f t="shared" ca="1" si="358"/>
        <v>0.3</v>
      </c>
      <c r="AW143" s="395">
        <f t="shared" ca="1" si="358"/>
        <v>0</v>
      </c>
      <c r="AX143" s="395">
        <f t="shared" ca="1" si="358"/>
        <v>5.4708333333333449E-2</v>
      </c>
      <c r="AY143" s="395">
        <f t="shared" ca="1" si="358"/>
        <v>0.33583333333333332</v>
      </c>
      <c r="AZ143" s="395">
        <f t="shared" ca="1" si="358"/>
        <v>0.25945833333333318</v>
      </c>
      <c r="BA143" s="395">
        <f t="shared" ca="1" si="358"/>
        <v>2.5000000000000001E-2</v>
      </c>
      <c r="BB143" s="395">
        <f t="shared" ca="1" si="358"/>
        <v>0</v>
      </c>
      <c r="BC143" s="395">
        <f t="shared" ca="1" si="358"/>
        <v>0</v>
      </c>
      <c r="BD143" s="395">
        <f t="shared" ca="1" si="358"/>
        <v>0</v>
      </c>
      <c r="BE143" s="395">
        <f t="shared" ca="1" si="358"/>
        <v>0</v>
      </c>
      <c r="BF143" s="395">
        <f t="shared" ca="1" si="358"/>
        <v>0</v>
      </c>
      <c r="BG143" s="395">
        <f t="shared" ca="1" si="358"/>
        <v>0</v>
      </c>
      <c r="BH143" s="395">
        <f t="shared" ca="1" si="358"/>
        <v>0</v>
      </c>
      <c r="BI143" s="395">
        <f t="shared" ca="1" si="358"/>
        <v>0</v>
      </c>
      <c r="BJ143" s="395">
        <f t="shared" ca="1" si="358"/>
        <v>0</v>
      </c>
      <c r="BK143" s="395">
        <f t="shared" ca="1" si="358"/>
        <v>0</v>
      </c>
      <c r="BL143" s="395">
        <f t="shared" ca="1" si="358"/>
        <v>0</v>
      </c>
      <c r="BM143" s="395">
        <f t="shared" ca="1" si="358"/>
        <v>0</v>
      </c>
      <c r="BN143" s="395">
        <f t="shared" ca="1" si="358"/>
        <v>0</v>
      </c>
      <c r="BO143" s="395">
        <f t="shared" ca="1" si="358"/>
        <v>0</v>
      </c>
      <c r="BP143" s="395">
        <f t="shared" ca="1" si="358"/>
        <v>0</v>
      </c>
      <c r="BQ143" s="395">
        <f t="shared" ca="1" si="358"/>
        <v>0</v>
      </c>
      <c r="BR143" s="395">
        <f t="shared" ca="1" si="358"/>
        <v>0</v>
      </c>
      <c r="BS143" s="395">
        <f t="shared" ca="1" si="358"/>
        <v>0</v>
      </c>
      <c r="BT143" s="395">
        <f t="shared" ca="1" si="358"/>
        <v>0</v>
      </c>
      <c r="BU143" s="395">
        <f t="shared" ref="BU143:EF143" ca="1" si="359">SUM(BU144:BU147)</f>
        <v>0</v>
      </c>
      <c r="BV143" s="395">
        <f t="shared" ca="1" si="359"/>
        <v>0</v>
      </c>
      <c r="BW143" s="395">
        <f t="shared" ca="1" si="359"/>
        <v>0</v>
      </c>
      <c r="BX143" s="395">
        <f t="shared" ca="1" si="359"/>
        <v>2.5000000000000001E-2</v>
      </c>
      <c r="BY143" s="395">
        <f t="shared" ca="1" si="359"/>
        <v>0</v>
      </c>
      <c r="BZ143" s="395">
        <f t="shared" ca="1" si="359"/>
        <v>0</v>
      </c>
      <c r="CA143" s="395">
        <f t="shared" ca="1" si="359"/>
        <v>0</v>
      </c>
      <c r="CB143" s="395">
        <f t="shared" ca="1" si="359"/>
        <v>0</v>
      </c>
      <c r="CC143" s="395">
        <f t="shared" ca="1" si="359"/>
        <v>0</v>
      </c>
      <c r="CD143" s="395">
        <f t="shared" ca="1" si="359"/>
        <v>0</v>
      </c>
      <c r="CE143" s="395">
        <f t="shared" ca="1" si="359"/>
        <v>0</v>
      </c>
      <c r="CF143" s="395">
        <f t="shared" ca="1" si="359"/>
        <v>0</v>
      </c>
      <c r="CG143" s="395">
        <f t="shared" ca="1" si="359"/>
        <v>0</v>
      </c>
      <c r="CH143" s="395">
        <f t="shared" ca="1" si="359"/>
        <v>0</v>
      </c>
      <c r="CI143" s="395">
        <f t="shared" ca="1" si="359"/>
        <v>0</v>
      </c>
      <c r="CJ143" s="395">
        <f t="shared" ca="1" si="359"/>
        <v>0</v>
      </c>
      <c r="CK143" s="395">
        <f t="shared" ca="1" si="359"/>
        <v>0</v>
      </c>
      <c r="CL143" s="395">
        <f t="shared" ca="1" si="359"/>
        <v>0</v>
      </c>
      <c r="CM143" s="395">
        <f t="shared" ca="1" si="359"/>
        <v>0</v>
      </c>
      <c r="CN143" s="395">
        <f t="shared" ca="1" si="359"/>
        <v>0</v>
      </c>
      <c r="CO143" s="395">
        <f t="shared" ca="1" si="359"/>
        <v>0</v>
      </c>
      <c r="CP143" s="395">
        <f t="shared" ca="1" si="359"/>
        <v>0</v>
      </c>
      <c r="CQ143" s="395">
        <f t="shared" ca="1" si="359"/>
        <v>0</v>
      </c>
      <c r="CR143" s="395">
        <f t="shared" ca="1" si="359"/>
        <v>0</v>
      </c>
      <c r="CS143" s="395">
        <f t="shared" ca="1" si="359"/>
        <v>0</v>
      </c>
      <c r="CT143" s="395">
        <f t="shared" ca="1" si="359"/>
        <v>0</v>
      </c>
      <c r="CU143" s="395">
        <f t="shared" ca="1" si="359"/>
        <v>0</v>
      </c>
      <c r="CV143" s="395">
        <f t="shared" ca="1" si="359"/>
        <v>0</v>
      </c>
      <c r="CW143" s="395">
        <f t="shared" ca="1" si="359"/>
        <v>0</v>
      </c>
      <c r="CX143" s="395">
        <f t="shared" ca="1" si="359"/>
        <v>0</v>
      </c>
      <c r="CY143" s="395">
        <f t="shared" ca="1" si="359"/>
        <v>0</v>
      </c>
      <c r="CZ143" s="395">
        <f t="shared" ca="1" si="359"/>
        <v>0</v>
      </c>
      <c r="DA143" s="395">
        <f t="shared" ca="1" si="359"/>
        <v>0</v>
      </c>
      <c r="DB143" s="395">
        <f t="shared" ca="1" si="359"/>
        <v>0</v>
      </c>
      <c r="DC143" s="395">
        <f t="shared" ca="1" si="359"/>
        <v>0</v>
      </c>
      <c r="DD143" s="395">
        <f t="shared" ca="1" si="359"/>
        <v>0</v>
      </c>
      <c r="DE143" s="395">
        <f t="shared" ca="1" si="359"/>
        <v>0</v>
      </c>
      <c r="DF143" s="395">
        <f t="shared" ca="1" si="359"/>
        <v>0</v>
      </c>
      <c r="DG143" s="395">
        <f t="shared" ca="1" si="359"/>
        <v>0</v>
      </c>
      <c r="DH143" s="395">
        <f t="shared" ca="1" si="359"/>
        <v>0</v>
      </c>
      <c r="DI143" s="395">
        <f t="shared" ca="1" si="359"/>
        <v>0</v>
      </c>
      <c r="DJ143" s="395">
        <f t="shared" ca="1" si="359"/>
        <v>0</v>
      </c>
      <c r="DK143" s="395">
        <f t="shared" ca="1" si="359"/>
        <v>0</v>
      </c>
      <c r="DL143" s="395">
        <f t="shared" ca="1" si="359"/>
        <v>0</v>
      </c>
      <c r="DM143" s="395">
        <f t="shared" ca="1" si="359"/>
        <v>0</v>
      </c>
      <c r="DN143" s="395">
        <f t="shared" ca="1" si="359"/>
        <v>0</v>
      </c>
      <c r="DO143" s="395">
        <f t="shared" ca="1" si="359"/>
        <v>0</v>
      </c>
      <c r="DP143" s="395">
        <f t="shared" ca="1" si="359"/>
        <v>0</v>
      </c>
      <c r="DQ143" s="395">
        <f t="shared" ca="1" si="359"/>
        <v>0</v>
      </c>
      <c r="DR143" s="395">
        <f t="shared" ca="1" si="359"/>
        <v>0</v>
      </c>
      <c r="DS143" s="395">
        <f t="shared" ca="1" si="359"/>
        <v>0</v>
      </c>
      <c r="DT143" s="395">
        <f t="shared" ca="1" si="359"/>
        <v>0</v>
      </c>
      <c r="DU143" s="395">
        <f t="shared" ca="1" si="359"/>
        <v>0</v>
      </c>
      <c r="DV143" s="395">
        <f t="shared" ca="1" si="359"/>
        <v>0</v>
      </c>
      <c r="DW143" s="395">
        <f t="shared" ca="1" si="359"/>
        <v>0</v>
      </c>
      <c r="DX143" s="395">
        <f t="shared" ca="1" si="359"/>
        <v>0</v>
      </c>
      <c r="DY143" s="395">
        <f t="shared" ca="1" si="359"/>
        <v>0</v>
      </c>
      <c r="DZ143" s="395">
        <f t="shared" ca="1" si="359"/>
        <v>0</v>
      </c>
      <c r="EA143" s="395">
        <f t="shared" ca="1" si="359"/>
        <v>0</v>
      </c>
      <c r="EB143" s="395">
        <f t="shared" ca="1" si="359"/>
        <v>0</v>
      </c>
      <c r="EC143" s="395">
        <f t="shared" ca="1" si="359"/>
        <v>0</v>
      </c>
      <c r="ED143" s="395">
        <f t="shared" ca="1" si="359"/>
        <v>0</v>
      </c>
      <c r="EE143" s="395">
        <f t="shared" ca="1" si="359"/>
        <v>0</v>
      </c>
      <c r="EF143" s="395">
        <f t="shared" ca="1" si="359"/>
        <v>0</v>
      </c>
      <c r="EG143" s="395">
        <f t="shared" ref="EG143:EI143" ca="1" si="360">SUM(EG144:EG147)</f>
        <v>0</v>
      </c>
      <c r="EH143" s="395">
        <f t="shared" ca="1" si="360"/>
        <v>0</v>
      </c>
      <c r="EI143" s="395">
        <f t="shared" ca="1" si="360"/>
        <v>0</v>
      </c>
      <c r="EJ143" s="398"/>
      <c r="EK143" s="313"/>
    </row>
    <row r="144" spans="1:141" hidden="1" outlineLevel="2">
      <c r="A144" s="332"/>
      <c r="B144" s="549">
        <f>длительность!B190</f>
        <v>0.3</v>
      </c>
      <c r="C144" s="317"/>
      <c r="D144" s="317" t="s">
        <v>664</v>
      </c>
      <c r="E144" s="318">
        <f t="shared" ref="E144:E147" ca="1" si="361">IF(F144=0,0,B144-F144)</f>
        <v>0</v>
      </c>
      <c r="F144" s="397">
        <f t="shared" ca="1" si="283"/>
        <v>0.3</v>
      </c>
      <c r="G144" s="395"/>
      <c r="H144" s="395">
        <f ca="1">IF(SUM($G144:G144)=$B144,0,IF(J145&gt;0%,$B144,0%))</f>
        <v>0</v>
      </c>
      <c r="I144" s="395">
        <f ca="1">IF(SUM($G144:H144)=$B144,0,IF(K145&gt;0%,$B144,0%))</f>
        <v>0</v>
      </c>
      <c r="J144" s="395">
        <f ca="1">IF(SUM($G144:I144)=$B144,0,IF(L145&gt;0%,$B144,0%))</f>
        <v>0</v>
      </c>
      <c r="K144" s="395">
        <f ca="1">IF(SUM($G144:J144)=$B144,0,IF(M145&gt;0%,$B144,0%))</f>
        <v>0</v>
      </c>
      <c r="L144" s="395">
        <f ca="1">IF(SUM($G144:K144)=$B144,0,IF(N145&gt;0%,$B144,0%))</f>
        <v>0</v>
      </c>
      <c r="M144" s="395">
        <f ca="1">IF(SUM($G144:L144)=$B144,0,IF(O145&gt;0%,$B144,0%))</f>
        <v>0</v>
      </c>
      <c r="N144" s="395">
        <f ca="1">IF(SUM($G144:M144)=$B144,0,IF(P145&gt;0%,$B144,0%))</f>
        <v>0</v>
      </c>
      <c r="O144" s="395">
        <f ca="1">IF(SUM($G144:N144)=$B144,0,IF(Q145&gt;0%,$B144,0%))</f>
        <v>0</v>
      </c>
      <c r="P144" s="395">
        <f ca="1">IF(SUM($G144:O144)=$B144,0,IF(R145&gt;0%,$B144,0%))</f>
        <v>0</v>
      </c>
      <c r="Q144" s="395">
        <f ca="1">IF(SUM($G144:P144)=$B144,0,IF(S145&gt;0%,$B144,0%))</f>
        <v>0</v>
      </c>
      <c r="R144" s="395">
        <f ca="1">IF(SUM($G144:Q144)=$B144,0,IF(T145&gt;0%,$B144,0%))</f>
        <v>0</v>
      </c>
      <c r="S144" s="395">
        <f ca="1">IF(SUM($G144:R144)=$B144,0,IF(U145&gt;0%,$B144,0%))</f>
        <v>0</v>
      </c>
      <c r="T144" s="395">
        <f ca="1">IF(SUM($G144:S144)=$B144,0,IF(V145&gt;0%,$B144,0%))</f>
        <v>0</v>
      </c>
      <c r="U144" s="395">
        <f ca="1">IF(SUM($G144:T144)=$B144,0,IF(W145&gt;0%,$B144,0%))</f>
        <v>0</v>
      </c>
      <c r="V144" s="395">
        <f ca="1">IF(SUM($G144:U144)=$B144,0,IF(X145&gt;0%,$B144,0%))</f>
        <v>0</v>
      </c>
      <c r="W144" s="395">
        <f ca="1">IF(SUM($G144:V144)=$B144,0,IF(Y145&gt;0%,$B144,0%))</f>
        <v>0</v>
      </c>
      <c r="X144" s="395">
        <f ca="1">IF(SUM($G144:W144)=$B144,0,IF(Z145&gt;0%,$B144,0%))</f>
        <v>0</v>
      </c>
      <c r="Y144" s="395">
        <f ca="1">IF(SUM($G144:X144)=$B144,0,IF(AA145&gt;0%,$B144,0%))</f>
        <v>0</v>
      </c>
      <c r="Z144" s="395">
        <f ca="1">IF(SUM($G144:Y144)=$B144,0,IF(AB145&gt;0%,$B144,0%))</f>
        <v>0</v>
      </c>
      <c r="AA144" s="395">
        <f ca="1">IF(SUM($G144:Z144)=$B144,0,IF(AC145&gt;0%,$B144,0%))</f>
        <v>0</v>
      </c>
      <c r="AB144" s="395">
        <f ca="1">IF(SUM($G144:AA144)=$B144,0,IF(AD145&gt;0%,$B144,0%))</f>
        <v>0</v>
      </c>
      <c r="AC144" s="395">
        <f ca="1">IF(SUM($G144:AB144)=$B144,0,IF(AE145&gt;0%,$B144,0%))</f>
        <v>0</v>
      </c>
      <c r="AD144" s="395">
        <f ca="1">IF(SUM($G144:AC144)=$B144,0,IF(AF145&gt;0%,$B144,0%))</f>
        <v>0</v>
      </c>
      <c r="AE144" s="395">
        <f ca="1">IF(SUM($G144:AD144)=$B144,0,IF(AG145&gt;0%,$B144,0%))</f>
        <v>0</v>
      </c>
      <c r="AF144" s="395">
        <f ca="1">IF(SUM($G144:AE144)=$B144,0,IF(AH145&gt;0%,$B144,0%))</f>
        <v>0</v>
      </c>
      <c r="AG144" s="395">
        <f ca="1">IF(SUM($G144:AF144)=$B144,0,IF(AI145&gt;0%,$B144,0%))</f>
        <v>0</v>
      </c>
      <c r="AH144" s="395">
        <f ca="1">IF(SUM($G144:AG144)=$B144,0,IF(AJ145&gt;0%,$B144,0%))</f>
        <v>0</v>
      </c>
      <c r="AI144" s="395">
        <f ca="1">IF(SUM($G144:AH144)=$B144,0,IF(AK145&gt;0%,$B144,0%))</f>
        <v>0</v>
      </c>
      <c r="AJ144" s="395">
        <f ca="1">IF(SUM($G144:AI144)=$B144,0,IF(AL145&gt;0%,$B144,0%))</f>
        <v>0</v>
      </c>
      <c r="AK144" s="395">
        <f ca="1">IF(SUM($G144:AJ144)=$B144,0,IF(AM145&gt;0%,$B144,0%))</f>
        <v>0</v>
      </c>
      <c r="AL144" s="395">
        <f ca="1">IF(SUM($G144:AK144)=$B144,0,IF(AN145&gt;0%,$B144,0%))</f>
        <v>0</v>
      </c>
      <c r="AM144" s="395">
        <f ca="1">IF(SUM($G144:AL144)=$B144,0,IF(AO145&gt;0%,$B144,0%))</f>
        <v>0</v>
      </c>
      <c r="AN144" s="395">
        <f ca="1">IF(SUM($G144:AM144)=$B144,0,IF(AP145&gt;0%,$B144,0%))</f>
        <v>0</v>
      </c>
      <c r="AO144" s="395">
        <f ca="1">IF(SUM($G144:AN144)=$B144,0,IF(AQ145&gt;0%,$B144,0%))</f>
        <v>0</v>
      </c>
      <c r="AP144" s="395">
        <f ca="1">IF(SUM($G144:AO144)=$B144,0,IF(AR145&gt;0%,$B144,0%))</f>
        <v>0</v>
      </c>
      <c r="AQ144" s="395">
        <f ca="1">IF(SUM($G144:AP144)=$B144,0,IF(AS145&gt;0%,$B144,0%))</f>
        <v>0</v>
      </c>
      <c r="AR144" s="395">
        <f ca="1">IF(SUM($G144:AQ144)=$B144,0,IF(AT145&gt;0%,$B144,0%))</f>
        <v>0</v>
      </c>
      <c r="AS144" s="395">
        <f ca="1">IF(SUM($G144:AR144)=$B144,0,IF(AU145&gt;0%,$B144,0%))</f>
        <v>0</v>
      </c>
      <c r="AT144" s="395">
        <f ca="1">IF(SUM($G144:AS144)=$B144,0,IF(AV145&gt;0%,$B144,0%))</f>
        <v>0</v>
      </c>
      <c r="AU144" s="395">
        <f ca="1">IF(SUM($G144:AT144)=$B144,0,IF(AW145&gt;0%,$B144,0%))</f>
        <v>0</v>
      </c>
      <c r="AV144" s="395">
        <f ca="1">IF(SUM($G144:AU144)=$B144,0,IF(AX145&gt;0%,$B144,0%))</f>
        <v>0.3</v>
      </c>
      <c r="AW144" s="395">
        <f ca="1">IF(SUM($G144:AV144)=$B144,0,IF(AY145&gt;0%,$B144,0%))</f>
        <v>0</v>
      </c>
      <c r="AX144" s="395">
        <f ca="1">IF(SUM($G144:AW144)=$B144,0,IF(AZ145&gt;0%,$B144,0%))</f>
        <v>0</v>
      </c>
      <c r="AY144" s="395">
        <f ca="1">IF(SUM($G144:AX144)=$B144,0,IF(BA145&gt;0%,$B144,0%))</f>
        <v>0</v>
      </c>
      <c r="AZ144" s="395">
        <f ca="1">IF(SUM($G144:AY144)=$B144,0,IF(BB145&gt;0%,$B144,0%))</f>
        <v>0</v>
      </c>
      <c r="BA144" s="395">
        <f ca="1">IF(SUM($G144:AZ144)=$B144,0,IF(BC145&gt;0%,$B144,0%))</f>
        <v>0</v>
      </c>
      <c r="BB144" s="395">
        <f ca="1">IF(SUM($G144:BA144)=$B144,0,IF(BD145&gt;0%,$B144,0%))</f>
        <v>0</v>
      </c>
      <c r="BC144" s="395">
        <f ca="1">IF(SUM($G144:BB144)=$B144,0,IF(BE145&gt;0%,$B144,0%))</f>
        <v>0</v>
      </c>
      <c r="BD144" s="395">
        <f ca="1">IF(SUM($G144:BC144)=$B144,0,IF(BF145&gt;0%,$B144,0%))</f>
        <v>0</v>
      </c>
      <c r="BE144" s="395">
        <f ca="1">IF(SUM($G144:BD144)=$B144,0,IF(BG145&gt;0%,$B144,0%))</f>
        <v>0</v>
      </c>
      <c r="BF144" s="395">
        <f ca="1">IF(SUM($G144:BE144)=$B144,0,IF(BH145&gt;0%,$B144,0%))</f>
        <v>0</v>
      </c>
      <c r="BG144" s="395">
        <f ca="1">IF(SUM($G144:BF144)=$B144,0,IF(BI145&gt;0%,$B144,0%))</f>
        <v>0</v>
      </c>
      <c r="BH144" s="395">
        <f ca="1">IF(SUM($G144:BG144)=$B144,0,IF(BJ145&gt;0%,$B144,0%))</f>
        <v>0</v>
      </c>
      <c r="BI144" s="395">
        <f ca="1">IF(SUM($G144:BH144)=$B144,0,IF(BK145&gt;0%,$B144,0%))</f>
        <v>0</v>
      </c>
      <c r="BJ144" s="395">
        <f ca="1">IF(SUM($G144:BI144)=$B144,0,IF(BL145&gt;0%,$B144,0%))</f>
        <v>0</v>
      </c>
      <c r="BK144" s="395">
        <f ca="1">IF(SUM($G144:BJ144)=$B144,0,IF(BM145&gt;0%,$B144,0%))</f>
        <v>0</v>
      </c>
      <c r="BL144" s="395">
        <f ca="1">IF(SUM($G144:BK144)=$B144,0,IF(BN145&gt;0%,$B144,0%))</f>
        <v>0</v>
      </c>
      <c r="BM144" s="395">
        <f ca="1">IF(SUM($G144:BL144)=$B144,0,IF(BO145&gt;0%,$B144,0%))</f>
        <v>0</v>
      </c>
      <c r="BN144" s="395">
        <f ca="1">IF(SUM($G144:BM144)=$B144,0,IF(BP145&gt;0%,$B144,0%))</f>
        <v>0</v>
      </c>
      <c r="BO144" s="395">
        <f ca="1">IF(SUM($G144:BN144)=$B144,0,IF(BQ145&gt;0%,$B144,0%))</f>
        <v>0</v>
      </c>
      <c r="BP144" s="395">
        <f ca="1">IF(SUM($G144:BO144)=$B144,0,IF(BR145&gt;0%,$B144,0%))</f>
        <v>0</v>
      </c>
      <c r="BQ144" s="395">
        <f ca="1">IF(SUM($G144:BP144)=$B144,0,IF(BS145&gt;0%,$B144,0%))</f>
        <v>0</v>
      </c>
      <c r="BR144" s="395">
        <f ca="1">IF(SUM($G144:BQ144)=$B144,0,IF(BT145&gt;0%,$B144,0%))</f>
        <v>0</v>
      </c>
      <c r="BS144" s="395">
        <f ca="1">IF(SUM($G144:BR144)=$B144,0,IF(BU145&gt;0%,$B144,0%))</f>
        <v>0</v>
      </c>
      <c r="BT144" s="395">
        <f ca="1">IF(SUM($G144:BS144)=$B144,0,IF(BV145&gt;0%,$B144,0%))</f>
        <v>0</v>
      </c>
      <c r="BU144" s="395">
        <f ca="1">IF(SUM($G144:BT144)=$B144,0,IF(BW145&gt;0%,$B144,0%))</f>
        <v>0</v>
      </c>
      <c r="BV144" s="395">
        <f ca="1">IF(SUM($G144:BU144)=$B144,0,IF(BX145&gt;0%,$B144,0%))</f>
        <v>0</v>
      </c>
      <c r="BW144" s="395">
        <f ca="1">IF(SUM($G144:BV144)=$B144,0,IF(BY145&gt;0%,$B144,0%))</f>
        <v>0</v>
      </c>
      <c r="BX144" s="395">
        <f ca="1">IF(SUM($G144:BW144)=$B144,0,IF(BZ145&gt;0%,$B144,0%))</f>
        <v>0</v>
      </c>
      <c r="BY144" s="395">
        <f ca="1">IF(SUM($G144:BX144)=$B144,0,IF(CA145&gt;0%,$B144,0%))</f>
        <v>0</v>
      </c>
      <c r="BZ144" s="395">
        <f ca="1">IF(SUM($G144:BY144)=$B144,0,IF(CB145&gt;0%,$B144,0%))</f>
        <v>0</v>
      </c>
      <c r="CA144" s="395">
        <f ca="1">IF(SUM($G144:BZ144)=$B144,0,IF(CC145&gt;0%,$B144,0%))</f>
        <v>0</v>
      </c>
      <c r="CB144" s="395">
        <f ca="1">IF(SUM($G144:CA144)=$B144,0,IF(CD145&gt;0%,$B144,0%))</f>
        <v>0</v>
      </c>
      <c r="CC144" s="395">
        <f ca="1">IF(SUM($G144:CB144)=$B144,0,IF(CE145&gt;0%,$B144,0%))</f>
        <v>0</v>
      </c>
      <c r="CD144" s="395">
        <f ca="1">IF(SUM($G144:CC144)=$B144,0,IF(CF145&gt;0%,$B144,0%))</f>
        <v>0</v>
      </c>
      <c r="CE144" s="395">
        <f ca="1">IF(SUM($G144:CD144)=$B144,0,IF(CG145&gt;0%,$B144,0%))</f>
        <v>0</v>
      </c>
      <c r="CF144" s="395">
        <f ca="1">IF(SUM($G144:CE144)=$B144,0,IF(CH145&gt;0%,$B144,0%))</f>
        <v>0</v>
      </c>
      <c r="CG144" s="395">
        <f ca="1">IF(SUM($G144:CF144)=$B144,0,IF(CI145&gt;0%,$B144,0%))</f>
        <v>0</v>
      </c>
      <c r="CH144" s="395">
        <f ca="1">IF(SUM($G144:CG144)=$B144,0,IF(CJ145&gt;0%,$B144,0%))</f>
        <v>0</v>
      </c>
      <c r="CI144" s="395">
        <f ca="1">IF(SUM($G144:CH144)=$B144,0,IF(CK145&gt;0%,$B144,0%))</f>
        <v>0</v>
      </c>
      <c r="CJ144" s="395">
        <f ca="1">IF(SUM($G144:CI144)=$B144,0,IF(CL145&gt;0%,$B144,0%))</f>
        <v>0</v>
      </c>
      <c r="CK144" s="395">
        <f ca="1">IF(SUM($G144:CJ144)=$B144,0,IF(CM145&gt;0%,$B144,0%))</f>
        <v>0</v>
      </c>
      <c r="CL144" s="395">
        <f ca="1">IF(SUM($G144:CK144)=$B144,0,IF(CN145&gt;0%,$B144,0%))</f>
        <v>0</v>
      </c>
      <c r="CM144" s="395">
        <f ca="1">IF(SUM($G144:CL144)=$B144,0,IF(CO145&gt;0%,$B144,0%))</f>
        <v>0</v>
      </c>
      <c r="CN144" s="395">
        <f ca="1">IF(SUM($G144:CM144)=$B144,0,IF(CP145&gt;0%,$B144,0%))</f>
        <v>0</v>
      </c>
      <c r="CO144" s="395">
        <f ca="1">IF(SUM($G144:CN144)=$B144,0,IF(CQ145&gt;0%,$B144,0%))</f>
        <v>0</v>
      </c>
      <c r="CP144" s="395">
        <f ca="1">IF(SUM($G144:CO144)=$B144,0,IF(CR145&gt;0%,$B144,0%))</f>
        <v>0</v>
      </c>
      <c r="CQ144" s="395">
        <f ca="1">IF(SUM($G144:CP144)=$B144,0,IF(CS145&gt;0%,$B144,0%))</f>
        <v>0</v>
      </c>
      <c r="CR144" s="395">
        <f ca="1">IF(SUM($G144:CQ144)=$B144,0,IF(CT145&gt;0%,$B144,0%))</f>
        <v>0</v>
      </c>
      <c r="CS144" s="395">
        <f ca="1">IF(SUM($G144:CR144)=$B144,0,IF(CU145&gt;0%,$B144,0%))</f>
        <v>0</v>
      </c>
      <c r="CT144" s="395">
        <f ca="1">IF(SUM($G144:CS144)=$B144,0,IF(CV145&gt;0%,$B144,0%))</f>
        <v>0</v>
      </c>
      <c r="CU144" s="395">
        <f ca="1">IF(SUM($G144:CT144)=$B144,0,IF(CW145&gt;0%,$B144,0%))</f>
        <v>0</v>
      </c>
      <c r="CV144" s="395">
        <f ca="1">IF(SUM($G144:CU144)=$B144,0,IF(CX145&gt;0%,$B144,0%))</f>
        <v>0</v>
      </c>
      <c r="CW144" s="395">
        <f ca="1">IF(SUM($G144:CV144)=$B144,0,IF(CY145&gt;0%,$B144,0%))</f>
        <v>0</v>
      </c>
      <c r="CX144" s="395">
        <f ca="1">IF(SUM($G144:CW144)=$B144,0,IF(CZ145&gt;0%,$B144,0%))</f>
        <v>0</v>
      </c>
      <c r="CY144" s="395">
        <f ca="1">IF(SUM($G144:CX144)=$B144,0,IF(DA145&gt;0%,$B144,0%))</f>
        <v>0</v>
      </c>
      <c r="CZ144" s="395">
        <f ca="1">IF(SUM($G144:CY144)=$B144,0,IF(DB145&gt;0%,$B144,0%))</f>
        <v>0</v>
      </c>
      <c r="DA144" s="395">
        <f ca="1">IF(SUM($G144:CZ144)=$B144,0,IF(DC145&gt;0%,$B144,0%))</f>
        <v>0</v>
      </c>
      <c r="DB144" s="395">
        <f ca="1">IF(SUM($G144:DA144)=$B144,0,IF(DD145&gt;0%,$B144,0%))</f>
        <v>0</v>
      </c>
      <c r="DC144" s="395">
        <f ca="1">IF(SUM($G144:DB144)=$B144,0,IF(DE145&gt;0%,$B144,0%))</f>
        <v>0</v>
      </c>
      <c r="DD144" s="395">
        <f ca="1">IF(SUM($G144:DC144)=$B144,0,IF(DF145&gt;0%,$B144,0%))</f>
        <v>0</v>
      </c>
      <c r="DE144" s="395">
        <f ca="1">IF(SUM($G144:DD144)=$B144,0,IF(DG145&gt;0%,$B144,0%))</f>
        <v>0</v>
      </c>
      <c r="DF144" s="395">
        <f ca="1">IF(SUM($G144:DE144)=$B144,0,IF(DH145&gt;0%,$B144,0%))</f>
        <v>0</v>
      </c>
      <c r="DG144" s="395">
        <f ca="1">IF(SUM($G144:DF144)=$B144,0,IF(DI145&gt;0%,$B144,0%))</f>
        <v>0</v>
      </c>
      <c r="DH144" s="395">
        <f ca="1">IF(SUM($G144:DG144)=$B144,0,IF(DJ145&gt;0%,$B144,0%))</f>
        <v>0</v>
      </c>
      <c r="DI144" s="395">
        <f ca="1">IF(SUM($G144:DH144)=$B144,0,IF(DK145&gt;0%,$B144,0%))</f>
        <v>0</v>
      </c>
      <c r="DJ144" s="395">
        <f ca="1">IF(SUM($G144:DI144)=$B144,0,IF(DL145&gt;0%,$B144,0%))</f>
        <v>0</v>
      </c>
      <c r="DK144" s="395">
        <f ca="1">IF(SUM($G144:DJ144)=$B144,0,IF(DM145&gt;0%,$B144,0%))</f>
        <v>0</v>
      </c>
      <c r="DL144" s="395">
        <f ca="1">IF(SUM($G144:DK144)=$B144,0,IF(DN145&gt;0%,$B144,0%))</f>
        <v>0</v>
      </c>
      <c r="DM144" s="395">
        <f ca="1">IF(SUM($G144:DL144)=$B144,0,IF(DO145&gt;0%,$B144,0%))</f>
        <v>0</v>
      </c>
      <c r="DN144" s="395">
        <f ca="1">IF(SUM($G144:DM144)=$B144,0,IF(DP145&gt;0%,$B144,0%))</f>
        <v>0</v>
      </c>
      <c r="DO144" s="395">
        <f ca="1">IF(SUM($G144:DN144)=$B144,0,IF(DQ145&gt;0%,$B144,0%))</f>
        <v>0</v>
      </c>
      <c r="DP144" s="395">
        <f ca="1">IF(SUM($G144:DO144)=$B144,0,IF(DR145&gt;0%,$B144,0%))</f>
        <v>0</v>
      </c>
      <c r="DQ144" s="395">
        <f ca="1">IF(SUM($G144:DP144)=$B144,0,IF(DS145&gt;0%,$B144,0%))</f>
        <v>0</v>
      </c>
      <c r="DR144" s="395">
        <f ca="1">IF(SUM($G144:DQ144)=$B144,0,IF(DT145&gt;0%,$B144,0%))</f>
        <v>0</v>
      </c>
      <c r="DS144" s="395">
        <f ca="1">IF(SUM($G144:DR144)=$B144,0,IF(DU145&gt;0%,$B144,0%))</f>
        <v>0</v>
      </c>
      <c r="DT144" s="395">
        <f ca="1">IF(SUM($G144:DS144)=$B144,0,IF(DV145&gt;0%,$B144,0%))</f>
        <v>0</v>
      </c>
      <c r="DU144" s="395">
        <f ca="1">IF(SUM($G144:DT144)=$B144,0,IF(DW145&gt;0%,$B144,0%))</f>
        <v>0</v>
      </c>
      <c r="DV144" s="395">
        <f ca="1">IF(SUM($G144:DU144)=$B144,0,IF(DX145&gt;0%,$B144,0%))</f>
        <v>0</v>
      </c>
      <c r="DW144" s="395">
        <f ca="1">IF(SUM($G144:DV144)=$B144,0,IF(DY145&gt;0%,$B144,0%))</f>
        <v>0</v>
      </c>
      <c r="DX144" s="395">
        <f ca="1">IF(SUM($G144:DW144)=$B144,0,IF(DZ145&gt;0%,$B144,0%))</f>
        <v>0</v>
      </c>
      <c r="DY144" s="395">
        <f ca="1">IF(SUM($G144:DX144)=$B144,0,IF(EA145&gt;0%,$B144,0%))</f>
        <v>0</v>
      </c>
      <c r="DZ144" s="395">
        <f ca="1">IF(SUM($G144:DY144)=$B144,0,IF(EB145&gt;0%,$B144,0%))</f>
        <v>0</v>
      </c>
      <c r="EA144" s="395">
        <f ca="1">IF(SUM($G144:DZ144)=$B144,0,IF(EC145&gt;0%,$B144,0%))</f>
        <v>0</v>
      </c>
      <c r="EB144" s="395">
        <f ca="1">IF(SUM($G144:EA144)=$B144,0,IF(ED145&gt;0%,$B144,0%))</f>
        <v>0</v>
      </c>
      <c r="EC144" s="395">
        <f ca="1">IF(SUM($G144:EB144)=$B144,0,IF(EE145&gt;0%,$B144,0%))</f>
        <v>0</v>
      </c>
      <c r="ED144" s="395">
        <f ca="1">IF(SUM($G144:EC144)=$B144,0,IF(EF145&gt;0%,$B144,0%))</f>
        <v>0</v>
      </c>
      <c r="EE144" s="395">
        <f ca="1">IF(SUM($G144:ED144)=$B144,0,IF(EG145&gt;0%,$B144,0%))</f>
        <v>0</v>
      </c>
      <c r="EF144" s="395">
        <f ca="1">IF(SUM($G144:EE144)=$B144,0,IF(EH145&gt;0%,$B144,0%))</f>
        <v>0</v>
      </c>
      <c r="EG144" s="395">
        <f ca="1">IF(SUM($G144:EF144)=$B144,0,IF(EI145&gt;0%,$B144,0%))</f>
        <v>0</v>
      </c>
      <c r="EH144" s="395">
        <f ca="1">IF(SUM($G144:EG144)=$B144,0,IF(EJ145&gt;0%,$B144,0%))</f>
        <v>0</v>
      </c>
      <c r="EI144" s="395">
        <f ca="1">IF(SUM($G144:EH144)=$B144,0,IF(EK145&gt;0%,$B144,0%))</f>
        <v>0</v>
      </c>
      <c r="EJ144" s="398"/>
      <c r="EK144" s="313"/>
    </row>
    <row r="145" spans="1:141" hidden="1" outlineLevel="2">
      <c r="A145" s="332"/>
      <c r="B145" s="549">
        <f>длительность!C190</f>
        <v>0.64999999999999991</v>
      </c>
      <c r="C145" s="317"/>
      <c r="D145" s="317" t="s">
        <v>663</v>
      </c>
      <c r="E145" s="318">
        <f ca="1">ROUND(IF(F145=0,0,B145-F145),3)</f>
        <v>0</v>
      </c>
      <c r="F145" s="397">
        <f t="shared" ca="1" si="283"/>
        <v>0.64999999999999991</v>
      </c>
      <c r="G145" s="395"/>
      <c r="H145" s="395"/>
      <c r="I145" s="395">
        <f ca="1">IF($E$314=0,0,IF(SUM($G145:H145)=$B145,0,IF(SUM($G314:H314)&gt;=$E314,($B145/$E314)*($E314-SUM($G314:G314)),($B145/$E314)*H314)))</f>
        <v>0</v>
      </c>
      <c r="J145" s="395">
        <f ca="1">IF($E$314=0,0,IF(SUM($G145:I145)=$B145,0,IF(SUM($G314:I314)&gt;=$E314,($B145/$E314)*($E314-SUM($G314:H314)),($B145/$E314)*I314)))</f>
        <v>0</v>
      </c>
      <c r="K145" s="395">
        <f ca="1">IF($E$314=0,0,IF(SUM($G145:J145)=$B145,0,IF(SUM($G314:J314)&gt;=$E314,($B145/$E314)*($E314-SUM($G314:I314)),($B145/$E314)*J314)))</f>
        <v>0</v>
      </c>
      <c r="L145" s="395">
        <f ca="1">IF($E$314=0,0,IF(SUM($G145:K145)=$B145,0,IF(SUM($G314:K314)&gt;=$E314,($B145/$E314)*($E314-SUM($G314:J314)),($B145/$E314)*K314)))</f>
        <v>0</v>
      </c>
      <c r="M145" s="395">
        <f ca="1">IF($E$314=0,0,IF(SUM($G145:L145)=$B145,0,IF(SUM($G314:L314)&gt;=$E314,($B145/$E314)*($E314-SUM($G314:K314)),($B145/$E314)*L314)))</f>
        <v>0</v>
      </c>
      <c r="N145" s="395">
        <f ca="1">IF($E$314=0,0,IF(SUM($G145:M145)=$B145,0,IF(SUM($G314:M314)&gt;=$E314,($B145/$E314)*($E314-SUM($G314:L314)),($B145/$E314)*M314)))</f>
        <v>0</v>
      </c>
      <c r="O145" s="395">
        <f ca="1">IF($E$314=0,0,IF(SUM($G145:N145)=$B145,0,IF(SUM($G314:N314)&gt;=$E314,($B145/$E314)*($E314-SUM($G314:M314)),($B145/$E314)*N314)))</f>
        <v>0</v>
      </c>
      <c r="P145" s="395">
        <f ca="1">IF($E$314=0,0,IF(SUM($G145:O145)=$B145,0,IF(SUM($G314:O314)&gt;=$E314,($B145/$E314)*($E314-SUM($G314:N314)),($B145/$E314)*O314)))</f>
        <v>0</v>
      </c>
      <c r="Q145" s="395">
        <f ca="1">IF($E$314=0,0,IF(SUM($G145:P145)=$B145,0,IF(SUM($G314:P314)&gt;=$E314,($B145/$E314)*($E314-SUM($G314:O314)),($B145/$E314)*P314)))</f>
        <v>0</v>
      </c>
      <c r="R145" s="395">
        <f ca="1">IF($E$314=0,0,IF(SUM($G145:Q145)=$B145,0,IF(SUM($G314:Q314)&gt;=$E314,($B145/$E314)*($E314-SUM($G314:P314)),($B145/$E314)*Q314)))</f>
        <v>0</v>
      </c>
      <c r="S145" s="395">
        <f ca="1">IF($E$314=0,0,IF(SUM($G145:R145)=$B145,0,IF(SUM($G314:R314)&gt;=$E314,($B145/$E314)*($E314-SUM($G314:Q314)),($B145/$E314)*R314)))</f>
        <v>0</v>
      </c>
      <c r="T145" s="395">
        <f ca="1">IF($E$314=0,0,IF(SUM($G145:S145)=$B145,0,IF(SUM($G314:S314)&gt;=$E314,($B145/$E314)*($E314-SUM($G314:R314)),($B145/$E314)*S314)))</f>
        <v>0</v>
      </c>
      <c r="U145" s="395">
        <f ca="1">IF($E$314=0,0,IF(SUM($G145:T145)=$B145,0,IF(SUM($G314:T314)&gt;=$E314,($B145/$E314)*($E314-SUM($G314:S314)),($B145/$E314)*T314)))</f>
        <v>0</v>
      </c>
      <c r="V145" s="395">
        <f ca="1">IF($E$314=0,0,IF(SUM($G145:U145)=$B145,0,IF(SUM($G314:U314)&gt;=$E314,($B145/$E314)*($E314-SUM($G314:T314)),($B145/$E314)*U314)))</f>
        <v>0</v>
      </c>
      <c r="W145" s="395">
        <f ca="1">IF($E$314=0,0,IF(SUM($G145:V145)=$B145,0,IF(SUM($G314:V314)&gt;=$E314,($B145/$E314)*($E314-SUM($G314:U314)),($B145/$E314)*V314)))</f>
        <v>0</v>
      </c>
      <c r="X145" s="395">
        <f ca="1">IF($E$314=0,0,IF(SUM($G145:W145)=$B145,0,IF(SUM($G314:W314)&gt;=$E314,($B145/$E314)*($E314-SUM($G314:V314)),($B145/$E314)*W314)))</f>
        <v>0</v>
      </c>
      <c r="Y145" s="395">
        <f ca="1">IF($E$314=0,0,IF(SUM($G145:X145)=$B145,0,IF(SUM($G314:X314)&gt;=$E314,($B145/$E314)*($E314-SUM($G314:W314)),($B145/$E314)*X314)))</f>
        <v>0</v>
      </c>
      <c r="Z145" s="395">
        <f ca="1">IF($E$314=0,0,IF(SUM($G145:Y145)=$B145,0,IF(SUM($G314:Y314)&gt;=$E314,($B145/$E314)*($E314-SUM($G314:X314)),($B145/$E314)*Y314)))</f>
        <v>0</v>
      </c>
      <c r="AA145" s="395">
        <f ca="1">IF($E$314=0,0,IF(SUM($G145:Z145)=$B145,0,IF(SUM($G314:Z314)&gt;=$E314,($B145/$E314)*($E314-SUM($G314:Y314)),($B145/$E314)*Z314)))</f>
        <v>0</v>
      </c>
      <c r="AB145" s="395">
        <f ca="1">IF($E$314=0,0,IF(SUM($G145:AA145)=$B145,0,IF(SUM($G314:AA314)&gt;=$E314,($B145/$E314)*($E314-SUM($G314:Z314)),($B145/$E314)*AA314)))</f>
        <v>0</v>
      </c>
      <c r="AC145" s="395">
        <f ca="1">IF($E$314=0,0,IF(SUM($G145:AB145)=$B145,0,IF(SUM($G314:AB314)&gt;=$E314,($B145/$E314)*($E314-SUM($G314:AA314)),($B145/$E314)*AB314)))</f>
        <v>0</v>
      </c>
      <c r="AD145" s="395">
        <f ca="1">IF($E$314=0,0,IF(SUM($G145:AC145)=$B145,0,IF(SUM($G314:AC314)&gt;=$E314,($B145/$E314)*($E314-SUM($G314:AB314)),($B145/$E314)*AC314)))</f>
        <v>0</v>
      </c>
      <c r="AE145" s="395">
        <f ca="1">IF($E$314=0,0,IF(SUM($G145:AD145)=$B145,0,IF(SUM($G314:AD314)&gt;=$E314,($B145/$E314)*($E314-SUM($G314:AC314)),($B145/$E314)*AD314)))</f>
        <v>0</v>
      </c>
      <c r="AF145" s="395">
        <f ca="1">IF($E$314=0,0,IF(SUM($G145:AE145)=$B145,0,IF(SUM($G314:AE314)&gt;=$E314,($B145/$E314)*($E314-SUM($G314:AD314)),($B145/$E314)*AE314)))</f>
        <v>0</v>
      </c>
      <c r="AG145" s="395">
        <f ca="1">IF($E$314=0,0,IF(SUM($G145:AF145)=$B145,0,IF(SUM($G314:AF314)&gt;=$E314,($B145/$E314)*($E314-SUM($G314:AE314)),($B145/$E314)*AF314)))</f>
        <v>0</v>
      </c>
      <c r="AH145" s="395">
        <f ca="1">IF($E$314=0,0,IF(SUM($G145:AG145)=$B145,0,IF(SUM($G314:AG314)&gt;=$E314,($B145/$E314)*($E314-SUM($G314:AF314)),($B145/$E314)*AG314)))</f>
        <v>0</v>
      </c>
      <c r="AI145" s="395">
        <f ca="1">IF($E$314=0,0,IF(SUM($G145:AH145)=$B145,0,IF(SUM($G314:AH314)&gt;=$E314,($B145/$E314)*($E314-SUM($G314:AG314)),($B145/$E314)*AH314)))</f>
        <v>0</v>
      </c>
      <c r="AJ145" s="395">
        <f ca="1">IF($E$314=0,0,IF(SUM($G145:AI145)=$B145,0,IF(SUM($G314:AI314)&gt;=$E314,($B145/$E314)*($E314-SUM($G314:AH314)),($B145/$E314)*AI314)))</f>
        <v>0</v>
      </c>
      <c r="AK145" s="395">
        <f ca="1">IF($E$314=0,0,IF(SUM($G145:AJ145)=$B145,0,IF(SUM($G314:AJ314)&gt;=$E314,($B145/$E314)*($E314-SUM($G314:AI314)),($B145/$E314)*AJ314)))</f>
        <v>0</v>
      </c>
      <c r="AL145" s="395">
        <f ca="1">IF($E$314=0,0,IF(SUM($G145:AK145)=$B145,0,IF(SUM($G314:AK314)&gt;=$E314,($B145/$E314)*($E314-SUM($G314:AJ314)),($B145/$E314)*AK314)))</f>
        <v>0</v>
      </c>
      <c r="AM145" s="395">
        <f ca="1">IF($E$314=0,0,IF(SUM($G145:AL145)=$B145,0,IF(SUM($G314:AL314)&gt;=$E314,($B145/$E314)*($E314-SUM($G314:AK314)),($B145/$E314)*AL314)))</f>
        <v>0</v>
      </c>
      <c r="AN145" s="395">
        <f ca="1">IF($E$314=0,0,IF(SUM($G145:AM145)=$B145,0,IF(SUM($G314:AM314)&gt;=$E314,($B145/$E314)*($E314-SUM($G314:AL314)),($B145/$E314)*AM314)))</f>
        <v>0</v>
      </c>
      <c r="AO145" s="395">
        <f ca="1">IF($E$314=0,0,IF(SUM($G145:AN145)=$B145,0,IF(SUM($G314:AN314)&gt;=$E314,($B145/$E314)*($E314-SUM($G314:AM314)),($B145/$E314)*AN314)))</f>
        <v>0</v>
      </c>
      <c r="AP145" s="395">
        <f ca="1">IF($E$314=0,0,IF(SUM($G145:AO145)=$B145,0,IF(SUM($G314:AO314)&gt;=$E314,($B145/$E314)*($E314-SUM($G314:AN314)),($B145/$E314)*AO314)))</f>
        <v>0</v>
      </c>
      <c r="AQ145" s="395">
        <f ca="1">IF($E$314=0,0,IF(SUM($G145:AP145)=$B145,0,IF(SUM($G314:AP314)&gt;=$E314,($B145/$E314)*($E314-SUM($G314:AO314)),($B145/$E314)*AP314)))</f>
        <v>0</v>
      </c>
      <c r="AR145" s="395">
        <f ca="1">IF($E$314=0,0,IF(SUM($G145:AQ145)=$B145,0,IF(SUM($G314:AQ314)&gt;=$E314,($B145/$E314)*($E314-SUM($G314:AP314)),($B145/$E314)*AQ314)))</f>
        <v>0</v>
      </c>
      <c r="AS145" s="395">
        <f ca="1">IF($E$314=0,0,IF(SUM($G145:AR145)=$B145,0,IF(SUM($G314:AR314)&gt;=$E314,($B145/$E314)*($E314-SUM($G314:AQ314)),($B145/$E314)*AR314)))</f>
        <v>0</v>
      </c>
      <c r="AT145" s="395">
        <f ca="1">IF($E$314=0,0,IF(SUM($G145:AS145)=$B145,0,IF(SUM($G314:AS314)&gt;=$E314,($B145/$E314)*($E314-SUM($G314:AR314)),($B145/$E314)*AS314)))</f>
        <v>0</v>
      </c>
      <c r="AU145" s="395">
        <f ca="1">IF($E$314=0,0,IF(SUM($G145:AT145)=$B145,0,IF(SUM($G314:AT314)&gt;=$E314,($B145/$E314)*($E314-SUM($G314:AS314)),($B145/$E314)*AT314)))</f>
        <v>0</v>
      </c>
      <c r="AV145" s="395">
        <f ca="1">IF($E$314=0,0,IF(SUM($G145:AU145)=$B145,0,IF(SUM($G314:AU314)&gt;=$E314,($B145/$E314)*($E314-SUM($G314:AT314)),($B145/$E314)*AU314)))</f>
        <v>0</v>
      </c>
      <c r="AW145" s="395">
        <f ca="1">IF($E$314=0,0,IF(SUM($G145:AV145)=$B145,0,IF(SUM($G314:AV314)&gt;=$E314,($B145/$E314)*($E314-SUM($G314:AU314)),($B145/$E314)*AV314)))</f>
        <v>0</v>
      </c>
      <c r="AX145" s="395">
        <f ca="1">IF($E$314=0,0,IF(SUM($G145:AW145)=$B145,0,IF(SUM($G314:AW314)&gt;=$E314,($B145/$E314)*($E314-SUM($G314:AV314)),($B145/$E314)*AW314)))</f>
        <v>5.4708333333333449E-2</v>
      </c>
      <c r="AY145" s="395">
        <f ca="1">IF($E$314=0,0,IF(SUM($G145:AX145)=$B145,0,IF(SUM($G314:AX314)&gt;=$E314,($B145/$E314)*($E314-SUM($G314:AW314)),($B145/$E314)*AX314)))</f>
        <v>0.33583333333333332</v>
      </c>
      <c r="AZ145" s="395">
        <f ca="1">IF($E$314=0,0,IF(SUM($G145:AY145)=$B145,0,IF(SUM($G314:AY314)&gt;=$E314,($B145/$E314)*($E314-SUM($G314:AX314)),($B145/$E314)*AY314)))</f>
        <v>0.25945833333333318</v>
      </c>
      <c r="BA145" s="395">
        <f ca="1">IF($E$314=0,0,IF(SUM($G145:AZ145)=$B145,0,IF(SUM($G314:AZ314)&gt;=$E314,($B145/$E314)*($E314-SUM($G314:AY314)),($B145/$E314)*AZ314)))</f>
        <v>0</v>
      </c>
      <c r="BB145" s="395">
        <f ca="1">IF($E$314=0,0,IF(SUM($G145:BA145)=$B145,0,IF(SUM($G314:BA314)&gt;=$E314,($B145/$E314)*($E314-SUM($G314:AZ314)),($B145/$E314)*BA314)))</f>
        <v>0</v>
      </c>
      <c r="BC145" s="395">
        <f ca="1">IF($E$314=0,0,IF(SUM($G145:BB145)=$B145,0,IF(SUM($G314:BB314)&gt;=$E314,($B145/$E314)*($E314-SUM($G314:BA314)),($B145/$E314)*BB314)))</f>
        <v>0</v>
      </c>
      <c r="BD145" s="395">
        <f ca="1">IF($E$314=0,0,IF(SUM($G145:BC145)=$B145,0,IF(SUM($G314:BC314)&gt;=$E314,($B145/$E314)*($E314-SUM($G314:BB314)),($B145/$E314)*BC314)))</f>
        <v>0</v>
      </c>
      <c r="BE145" s="395">
        <f ca="1">IF($E$314=0,0,IF(SUM($G145:BD145)=$B145,0,IF(SUM($G314:BD314)&gt;=$E314,($B145/$E314)*($E314-SUM($G314:BC314)),($B145/$E314)*BD314)))</f>
        <v>0</v>
      </c>
      <c r="BF145" s="395">
        <f ca="1">IF($E$314=0,0,IF(SUM($G145:BE145)=$B145,0,IF(SUM($G314:BE314)&gt;=$E314,($B145/$E314)*($E314-SUM($G314:BD314)),($B145/$E314)*BE314)))</f>
        <v>0</v>
      </c>
      <c r="BG145" s="395">
        <f ca="1">IF($E$314=0,0,IF(SUM($G145:BF145)=$B145,0,IF(SUM($G314:BF314)&gt;=$E314,($B145/$E314)*($E314-SUM($G314:BE314)),($B145/$E314)*BF314)))</f>
        <v>0</v>
      </c>
      <c r="BH145" s="395">
        <f ca="1">IF($E$314=0,0,IF(SUM($G145:BG145)=$B145,0,IF(SUM($G314:BG314)&gt;=$E314,($B145/$E314)*($E314-SUM($G314:BF314)),($B145/$E314)*BG314)))</f>
        <v>0</v>
      </c>
      <c r="BI145" s="395">
        <f ca="1">IF($E$314=0,0,IF(SUM($G145:BH145)=$B145,0,IF(SUM($G314:BH314)&gt;=$E314,($B145/$E314)*($E314-SUM($G314:BG314)),($B145/$E314)*BH314)))</f>
        <v>0</v>
      </c>
      <c r="BJ145" s="395">
        <f ca="1">IF($E$314=0,0,IF(SUM($G145:BI145)=$B145,0,IF(SUM($G314:BI314)&gt;=$E314,($B145/$E314)*($E314-SUM($G314:BH314)),($B145/$E314)*BI314)))</f>
        <v>0</v>
      </c>
      <c r="BK145" s="395">
        <f ca="1">IF($E$314=0,0,IF(SUM($G145:BJ145)=$B145,0,IF(SUM($G314:BJ314)&gt;=$E314,($B145/$E314)*($E314-SUM($G314:BI314)),($B145/$E314)*BJ314)))</f>
        <v>0</v>
      </c>
      <c r="BL145" s="395">
        <f ca="1">IF($E$314=0,0,IF(SUM($G145:BK145)=$B145,0,IF(SUM($G314:BK314)&gt;=$E314,($B145/$E314)*($E314-SUM($G314:BJ314)),($B145/$E314)*BK314)))</f>
        <v>0</v>
      </c>
      <c r="BM145" s="395">
        <f ca="1">IF($E$314=0,0,IF(SUM($G145:BL145)=$B145,0,IF(SUM($G314:BL314)&gt;=$E314,($B145/$E314)*($E314-SUM($G314:BK314)),($B145/$E314)*BL314)))</f>
        <v>0</v>
      </c>
      <c r="BN145" s="395">
        <f ca="1">IF($E$314=0,0,IF(SUM($G145:BM145)=$B145,0,IF(SUM($G314:BM314)&gt;=$E314,($B145/$E314)*($E314-SUM($G314:BL314)),($B145/$E314)*BM314)))</f>
        <v>0</v>
      </c>
      <c r="BO145" s="395">
        <f ca="1">IF($E$314=0,0,IF(SUM($G145:BN145)=$B145,0,IF(SUM($G314:BN314)&gt;=$E314,($B145/$E314)*($E314-SUM($G314:BM314)),($B145/$E314)*BN314)))</f>
        <v>0</v>
      </c>
      <c r="BP145" s="395">
        <f ca="1">IF($E$314=0,0,IF(SUM($G145:BO145)=$B145,0,IF(SUM($G314:BO314)&gt;=$E314,($B145/$E314)*($E314-SUM($G314:BN314)),($B145/$E314)*BO314)))</f>
        <v>0</v>
      </c>
      <c r="BQ145" s="395">
        <f ca="1">IF($E$314=0,0,IF(SUM($G145:BP145)=$B145,0,IF(SUM($G314:BP314)&gt;=$E314,($B145/$E314)*($E314-SUM($G314:BO314)),($B145/$E314)*BP314)))</f>
        <v>0</v>
      </c>
      <c r="BR145" s="395">
        <f ca="1">IF($E$314=0,0,IF(SUM($G145:BQ145)=$B145,0,IF(SUM($G314:BQ314)&gt;=$E314,($B145/$E314)*($E314-SUM($G314:BP314)),($B145/$E314)*BQ314)))</f>
        <v>0</v>
      </c>
      <c r="BS145" s="395">
        <f ca="1">IF($E$314=0,0,IF(SUM($G145:BR145)=$B145,0,IF(SUM($G314:BR314)&gt;=$E314,($B145/$E314)*($E314-SUM($G314:BQ314)),($B145/$E314)*BR314)))</f>
        <v>0</v>
      </c>
      <c r="BT145" s="395">
        <f ca="1">IF($E$314=0,0,IF(SUM($G145:BS145)=$B145,0,IF(SUM($G314:BS314)&gt;=$E314,($B145/$E314)*($E314-SUM($G314:BR314)),($B145/$E314)*BS314)))</f>
        <v>0</v>
      </c>
      <c r="BU145" s="395">
        <f ca="1">IF($E$314=0,0,IF(SUM($G145:BT145)=$B145,0,IF(SUM($G314:BT314)&gt;=$E314,($B145/$E314)*($E314-SUM($G314:BS314)),($B145/$E314)*BT314)))</f>
        <v>0</v>
      </c>
      <c r="BV145" s="395">
        <f ca="1">IF($E$314=0,0,IF(SUM($G145:BU145)=$B145,0,IF(SUM($G314:BU314)&gt;=$E314,($B145/$E314)*($E314-SUM($G314:BT314)),($B145/$E314)*BU314)))</f>
        <v>0</v>
      </c>
      <c r="BW145" s="395">
        <f ca="1">IF($E$314=0,0,IF(SUM($G145:BV145)=$B145,0,IF(SUM($G314:BV314)&gt;=$E314,($B145/$E314)*($E314-SUM($G314:BU314)),($B145/$E314)*BV314)))</f>
        <v>0</v>
      </c>
      <c r="BX145" s="395">
        <f ca="1">IF($E$314=0,0,IF(SUM($G145:BW145)=$B145,0,IF(SUM($G314:BW314)&gt;=$E314,($B145/$E314)*($E314-SUM($G314:BV314)),($B145/$E314)*BW314)))</f>
        <v>0</v>
      </c>
      <c r="BY145" s="395">
        <f ca="1">IF($E$314=0,0,IF(SUM($G145:BX145)=$B145,0,IF(SUM($G314:BX314)&gt;=$E314,($B145/$E314)*($E314-SUM($G314:BW314)),($B145/$E314)*BX314)))</f>
        <v>0</v>
      </c>
      <c r="BZ145" s="395">
        <f ca="1">IF($E$314=0,0,IF(SUM($G145:BY145)=$B145,0,IF(SUM($G314:BY314)&gt;=$E314,($B145/$E314)*($E314-SUM($G314:BX314)),($B145/$E314)*BY314)))</f>
        <v>0</v>
      </c>
      <c r="CA145" s="395">
        <f ca="1">IF($E$314=0,0,IF(SUM($G145:BZ145)=$B145,0,IF(SUM($G314:BZ314)&gt;=$E314,($B145/$E314)*($E314-SUM($G314:BY314)),($B145/$E314)*BZ314)))</f>
        <v>0</v>
      </c>
      <c r="CB145" s="395">
        <f ca="1">IF($E$314=0,0,IF(SUM($G145:CA145)=$B145,0,IF(SUM($G314:CA314)&gt;=$E314,($B145/$E314)*($E314-SUM($G314:BZ314)),($B145/$E314)*CA314)))</f>
        <v>0</v>
      </c>
      <c r="CC145" s="395">
        <f ca="1">IF($E$314=0,0,IF(SUM($G145:CB145)=$B145,0,IF(SUM($G314:CB314)&gt;=$E314,($B145/$E314)*($E314-SUM($G314:CA314)),($B145/$E314)*CB314)))</f>
        <v>0</v>
      </c>
      <c r="CD145" s="395">
        <f ca="1">IF($E$314=0,0,IF(SUM($G145:CC145)=$B145,0,IF(SUM($G314:CC314)&gt;=$E314,($B145/$E314)*($E314-SUM($G314:CB314)),($B145/$E314)*CC314)))</f>
        <v>0</v>
      </c>
      <c r="CE145" s="395">
        <f ca="1">IF($E$314=0,0,IF(SUM($G145:CD145)=$B145,0,IF(SUM($G314:CD314)&gt;=$E314,($B145/$E314)*($E314-SUM($G314:CC314)),($B145/$E314)*CD314)))</f>
        <v>0</v>
      </c>
      <c r="CF145" s="395">
        <f ca="1">IF($E$314=0,0,IF(SUM($G145:CE145)=$B145,0,IF(SUM($G314:CE314)&gt;=$E314,($B145/$E314)*($E314-SUM($G314:CD314)),($B145/$E314)*CE314)))</f>
        <v>0</v>
      </c>
      <c r="CG145" s="395">
        <f ca="1">IF($E$314=0,0,IF(SUM($G145:CF145)=$B145,0,IF(SUM($G314:CF314)&gt;=$E314,($B145/$E314)*($E314-SUM($G314:CE314)),($B145/$E314)*CF314)))</f>
        <v>0</v>
      </c>
      <c r="CH145" s="395">
        <f ca="1">IF($E$314=0,0,IF(SUM($G145:CG145)=$B145,0,IF(SUM($G314:CG314)&gt;=$E314,($B145/$E314)*($E314-SUM($G314:CF314)),($B145/$E314)*CG314)))</f>
        <v>0</v>
      </c>
      <c r="CI145" s="395">
        <f ca="1">IF($E$314=0,0,IF(SUM($G145:CH145)=$B145,0,IF(SUM($G314:CH314)&gt;=$E314,($B145/$E314)*($E314-SUM($G314:CG314)),($B145/$E314)*CH314)))</f>
        <v>0</v>
      </c>
      <c r="CJ145" s="395">
        <f ca="1">IF($E$314=0,0,IF(SUM($G145:CI145)=$B145,0,IF(SUM($G314:CI314)&gt;=$E314,($B145/$E314)*($E314-SUM($G314:CH314)),($B145/$E314)*CI314)))</f>
        <v>0</v>
      </c>
      <c r="CK145" s="395">
        <f ca="1">IF($E$314=0,0,IF(SUM($G145:CJ145)=$B145,0,IF(SUM($G314:CJ314)&gt;=$E314,($B145/$E314)*($E314-SUM($G314:CI314)),($B145/$E314)*CJ314)))</f>
        <v>0</v>
      </c>
      <c r="CL145" s="395">
        <f ca="1">IF($E$314=0,0,IF(SUM($G145:CK145)=$B145,0,IF(SUM($G314:CK314)&gt;=$E314,($B145/$E314)*($E314-SUM($G314:CJ314)),($B145/$E314)*CK314)))</f>
        <v>0</v>
      </c>
      <c r="CM145" s="395">
        <f ca="1">IF($E$314=0,0,IF(SUM($G145:CL145)=$B145,0,IF(SUM($G314:CL314)&gt;=$E314,($B145/$E314)*($E314-SUM($G314:CK314)),($B145/$E314)*CL314)))</f>
        <v>0</v>
      </c>
      <c r="CN145" s="395">
        <f ca="1">IF($E$314=0,0,IF(SUM($G145:CM145)=$B145,0,IF(SUM($G314:CM314)&gt;=$E314,($B145/$E314)*($E314-SUM($G314:CL314)),($B145/$E314)*CM314)))</f>
        <v>0</v>
      </c>
      <c r="CO145" s="395">
        <f ca="1">IF($E$314=0,0,IF(SUM($G145:CN145)=$B145,0,IF(SUM($G314:CN314)&gt;=$E314,($B145/$E314)*($E314-SUM($G314:CM314)),($B145/$E314)*CN314)))</f>
        <v>0</v>
      </c>
      <c r="CP145" s="395">
        <f ca="1">IF($E$314=0,0,IF(SUM($G145:CO145)=$B145,0,IF(SUM($G314:CO314)&gt;=$E314,($B145/$E314)*($E314-SUM($G314:CN314)),($B145/$E314)*CO314)))</f>
        <v>0</v>
      </c>
      <c r="CQ145" s="395">
        <f ca="1">IF($E$314=0,0,IF(SUM($G145:CP145)=$B145,0,IF(SUM($G314:CP314)&gt;=$E314,($B145/$E314)*($E314-SUM($G314:CO314)),($B145/$E314)*CP314)))</f>
        <v>0</v>
      </c>
      <c r="CR145" s="395">
        <f ca="1">IF($E$314=0,0,IF(SUM($G145:CQ145)=$B145,0,IF(SUM($G314:CQ314)&gt;=$E314,($B145/$E314)*($E314-SUM($G314:CP314)),($B145/$E314)*CQ314)))</f>
        <v>0</v>
      </c>
      <c r="CS145" s="395">
        <f ca="1">IF($E$314=0,0,IF(SUM($G145:CR145)=$B145,0,IF(SUM($G314:CR314)&gt;=$E314,($B145/$E314)*($E314-SUM($G314:CQ314)),($B145/$E314)*CR314)))</f>
        <v>0</v>
      </c>
      <c r="CT145" s="395">
        <f ca="1">IF($E$314=0,0,IF(SUM($G145:CS145)=$B145,0,IF(SUM($G314:CS314)&gt;=$E314,($B145/$E314)*($E314-SUM($G314:CR314)),($B145/$E314)*CS314)))</f>
        <v>0</v>
      </c>
      <c r="CU145" s="395">
        <f ca="1">IF($E$314=0,0,IF(SUM($G145:CT145)=$B145,0,IF(SUM($G314:CT314)&gt;=$E314,($B145/$E314)*($E314-SUM($G314:CS314)),($B145/$E314)*CT314)))</f>
        <v>0</v>
      </c>
      <c r="CV145" s="395">
        <f ca="1">IF($E$314=0,0,IF(SUM($G145:CU145)=$B145,0,IF(SUM($G314:CU314)&gt;=$E314,($B145/$E314)*($E314-SUM($G314:CT314)),($B145/$E314)*CU314)))</f>
        <v>0</v>
      </c>
      <c r="CW145" s="395">
        <f ca="1">IF($E$314=0,0,IF(SUM($G145:CV145)=$B145,0,IF(SUM($G314:CV314)&gt;=$E314,($B145/$E314)*($E314-SUM($G314:CU314)),($B145/$E314)*CV314)))</f>
        <v>0</v>
      </c>
      <c r="CX145" s="395">
        <f ca="1">IF($E$314=0,0,IF(SUM($G145:CW145)=$B145,0,IF(SUM($G314:CW314)&gt;=$E314,($B145/$E314)*($E314-SUM($G314:CV314)),($B145/$E314)*CW314)))</f>
        <v>0</v>
      </c>
      <c r="CY145" s="395">
        <f ca="1">IF($E$314=0,0,IF(SUM($G145:CX145)=$B145,0,IF(SUM($G314:CX314)&gt;=$E314,($B145/$E314)*($E314-SUM($G314:CW314)),($B145/$E314)*CX314)))</f>
        <v>0</v>
      </c>
      <c r="CZ145" s="395">
        <f ca="1">IF($E$314=0,0,IF(SUM($G145:CY145)=$B145,0,IF(SUM($G314:CY314)&gt;=$E314,($B145/$E314)*($E314-SUM($G314:CX314)),($B145/$E314)*CY314)))</f>
        <v>0</v>
      </c>
      <c r="DA145" s="395">
        <f ca="1">IF($E$314=0,0,IF(SUM($G145:CZ145)=$B145,0,IF(SUM($G314:CZ314)&gt;=$E314,($B145/$E314)*($E314-SUM($G314:CY314)),($B145/$E314)*CZ314)))</f>
        <v>0</v>
      </c>
      <c r="DB145" s="395">
        <f ca="1">IF($E$314=0,0,IF(SUM($G145:DA145)=$B145,0,IF(SUM($G314:DA314)&gt;=$E314,($B145/$E314)*($E314-SUM($G314:CZ314)),($B145/$E314)*DA314)))</f>
        <v>0</v>
      </c>
      <c r="DC145" s="395">
        <f ca="1">IF($E$314=0,0,IF(SUM($G145:DB145)=$B145,0,IF(SUM($G314:DB314)&gt;=$E314,($B145/$E314)*($E314-SUM($G314:DA314)),($B145/$E314)*DB314)))</f>
        <v>0</v>
      </c>
      <c r="DD145" s="395">
        <f ca="1">IF($E$314=0,0,IF(SUM($G145:DC145)=$B145,0,IF(SUM($G314:DC314)&gt;=$E314,($B145/$E314)*($E314-SUM($G314:DB314)),($B145/$E314)*DC314)))</f>
        <v>0</v>
      </c>
      <c r="DE145" s="395">
        <f ca="1">IF($E$314=0,0,IF(SUM($G145:DD145)=$B145,0,IF(SUM($G314:DD314)&gt;=$E314,($B145/$E314)*($E314-SUM($G314:DC314)),($B145/$E314)*DD314)))</f>
        <v>0</v>
      </c>
      <c r="DF145" s="395">
        <f ca="1">IF($E$314=0,0,IF(SUM($G145:DE145)=$B145,0,IF(SUM($G314:DE314)&gt;=$E314,($B145/$E314)*($E314-SUM($G314:DD314)),($B145/$E314)*DE314)))</f>
        <v>0</v>
      </c>
      <c r="DG145" s="395">
        <f ca="1">IF($E$314=0,0,IF(SUM($G145:DF145)=$B145,0,IF(SUM($G314:DF314)&gt;=$E314,($B145/$E314)*($E314-SUM($G314:DE314)),($B145/$E314)*DF314)))</f>
        <v>0</v>
      </c>
      <c r="DH145" s="395">
        <f ca="1">IF($E$314=0,0,IF(SUM($G145:DG145)=$B145,0,IF(SUM($G314:DG314)&gt;=$E314,($B145/$E314)*($E314-SUM($G314:DF314)),($B145/$E314)*DG314)))</f>
        <v>0</v>
      </c>
      <c r="DI145" s="395">
        <f ca="1">IF($E$314=0,0,IF(SUM($G145:DH145)=$B145,0,IF(SUM($G314:DH314)&gt;=$E314,($B145/$E314)*($E314-SUM($G314:DG314)),($B145/$E314)*DH314)))</f>
        <v>0</v>
      </c>
      <c r="DJ145" s="395">
        <f ca="1">IF($E$314=0,0,IF(SUM($G145:DI145)=$B145,0,IF(SUM($G314:DI314)&gt;=$E314,($B145/$E314)*($E314-SUM($G314:DH314)),($B145/$E314)*DI314)))</f>
        <v>0</v>
      </c>
      <c r="DK145" s="395">
        <f ca="1">IF($E$314=0,0,IF(SUM($G145:DJ145)=$B145,0,IF(SUM($G314:DJ314)&gt;=$E314,($B145/$E314)*($E314-SUM($G314:DI314)),($B145/$E314)*DJ314)))</f>
        <v>0</v>
      </c>
      <c r="DL145" s="395">
        <f ca="1">IF($E$314=0,0,IF(SUM($G145:DK145)=$B145,0,IF(SUM($G314:DK314)&gt;=$E314,($B145/$E314)*($E314-SUM($G314:DJ314)),($B145/$E314)*DK314)))</f>
        <v>0</v>
      </c>
      <c r="DM145" s="395">
        <f ca="1">IF($E$314=0,0,IF(SUM($G145:DL145)=$B145,0,IF(SUM($G314:DL314)&gt;=$E314,($B145/$E314)*($E314-SUM($G314:DK314)),($B145/$E314)*DL314)))</f>
        <v>0</v>
      </c>
      <c r="DN145" s="395">
        <f ca="1">IF($E$314=0,0,IF(SUM($G145:DM145)=$B145,0,IF(SUM($G314:DM314)&gt;=$E314,($B145/$E314)*($E314-SUM($G314:DL314)),($B145/$E314)*DM314)))</f>
        <v>0</v>
      </c>
      <c r="DO145" s="395">
        <f ca="1">IF($E$314=0,0,IF(SUM($G145:DN145)=$B145,0,IF(SUM($G314:DN314)&gt;=$E314,($B145/$E314)*($E314-SUM($G314:DM314)),($B145/$E314)*DN314)))</f>
        <v>0</v>
      </c>
      <c r="DP145" s="395">
        <f ca="1">IF($E$314=0,0,IF(SUM($G145:DO145)=$B145,0,IF(SUM($G314:DO314)&gt;=$E314,($B145/$E314)*($E314-SUM($G314:DN314)),($B145/$E314)*DO314)))</f>
        <v>0</v>
      </c>
      <c r="DQ145" s="395">
        <f ca="1">IF($E$314=0,0,IF(SUM($G145:DP145)=$B145,0,IF(SUM($G314:DP314)&gt;=$E314,($B145/$E314)*($E314-SUM($G314:DO314)),($B145/$E314)*DP314)))</f>
        <v>0</v>
      </c>
      <c r="DR145" s="395">
        <f ca="1">IF($E$314=0,0,IF(SUM($G145:DQ145)=$B145,0,IF(SUM($G314:DQ314)&gt;=$E314,($B145/$E314)*($E314-SUM($G314:DP314)),($B145/$E314)*DQ314)))</f>
        <v>0</v>
      </c>
      <c r="DS145" s="395">
        <f ca="1">IF($E$314=0,0,IF(SUM($G145:DR145)=$B145,0,IF(SUM($G314:DR314)&gt;=$E314,($B145/$E314)*($E314-SUM($G314:DQ314)),($B145/$E314)*DR314)))</f>
        <v>0</v>
      </c>
      <c r="DT145" s="395">
        <f ca="1">IF($E$314=0,0,IF(SUM($G145:DS145)=$B145,0,IF(SUM($G314:DS314)&gt;=$E314,($B145/$E314)*($E314-SUM($G314:DR314)),($B145/$E314)*DS314)))</f>
        <v>0</v>
      </c>
      <c r="DU145" s="395">
        <f ca="1">IF($E$314=0,0,IF(SUM($G145:DT145)=$B145,0,IF(SUM($G314:DT314)&gt;=$E314,($B145/$E314)*($E314-SUM($G314:DS314)),($B145/$E314)*DT314)))</f>
        <v>0</v>
      </c>
      <c r="DV145" s="395">
        <f ca="1">IF($E$314=0,0,IF(SUM($G145:DU145)=$B145,0,IF(SUM($G314:DU314)&gt;=$E314,($B145/$E314)*($E314-SUM($G314:DT314)),($B145/$E314)*DU314)))</f>
        <v>0</v>
      </c>
      <c r="DW145" s="395">
        <f ca="1">IF($E$314=0,0,IF(SUM($G145:DV145)=$B145,0,IF(SUM($G314:DV314)&gt;=$E314,($B145/$E314)*($E314-SUM($G314:DU314)),($B145/$E314)*DV314)))</f>
        <v>0</v>
      </c>
      <c r="DX145" s="395">
        <f ca="1">IF($E$314=0,0,IF(SUM($G145:DW145)=$B145,0,IF(SUM($G314:DW314)&gt;=$E314,($B145/$E314)*($E314-SUM($G314:DV314)),($B145/$E314)*DW314)))</f>
        <v>0</v>
      </c>
      <c r="DY145" s="395">
        <f ca="1">IF($E$314=0,0,IF(SUM($G145:DX145)=$B145,0,IF(SUM($G314:DX314)&gt;=$E314,($B145/$E314)*($E314-SUM($G314:DW314)),($B145/$E314)*DX314)))</f>
        <v>0</v>
      </c>
      <c r="DZ145" s="395">
        <f ca="1">IF($E$314=0,0,IF(SUM($G145:DY145)=$B145,0,IF(SUM($G314:DY314)&gt;=$E314,($B145/$E314)*($E314-SUM($G314:DX314)),($B145/$E314)*DY314)))</f>
        <v>0</v>
      </c>
      <c r="EA145" s="395">
        <f ca="1">IF($E$314=0,0,IF(SUM($G145:DZ145)=$B145,0,IF(SUM($G314:DZ314)&gt;=$E314,($B145/$E314)*($E314-SUM($G314:DY314)),($B145/$E314)*DZ314)))</f>
        <v>0</v>
      </c>
      <c r="EB145" s="395">
        <f ca="1">IF($E$314=0,0,IF(SUM($G145:EA145)=$B145,0,IF(SUM($G314:EA314)&gt;=$E314,($B145/$E314)*($E314-SUM($G314:DZ314)),($B145/$E314)*EA314)))</f>
        <v>0</v>
      </c>
      <c r="EC145" s="395">
        <f ca="1">IF($E$314=0,0,IF(SUM($G145:EB145)=$B145,0,IF(SUM($G314:EB314)&gt;=$E314,($B145/$E314)*($E314-SUM($G314:EA314)),($B145/$E314)*EB314)))</f>
        <v>0</v>
      </c>
      <c r="ED145" s="395">
        <f ca="1">IF($E$314=0,0,IF(SUM($G145:EC145)=$B145,0,IF(SUM($G314:EC314)&gt;=$E314,($B145/$E314)*($E314-SUM($G314:EB314)),($B145/$E314)*EC314)))</f>
        <v>0</v>
      </c>
      <c r="EE145" s="395">
        <f ca="1">IF($E$314=0,0,IF(SUM($G145:ED145)=$B145,0,IF(SUM($G314:ED314)&gt;=$E314,($B145/$E314)*($E314-SUM($G314:EC314)),($B145/$E314)*ED314)))</f>
        <v>0</v>
      </c>
      <c r="EF145" s="395">
        <f ca="1">IF($E$314=0,0,IF(SUM($G145:EE145)=$B145,0,IF(SUM($G314:EE314)&gt;=$E314,($B145/$E314)*($E314-SUM($G314:ED314)),($B145/$E314)*EE314)))</f>
        <v>0</v>
      </c>
      <c r="EG145" s="395">
        <f ca="1">IF($E$314=0,0,IF(SUM($G145:EF145)=$B145,0,IF(SUM($G314:EF314)&gt;=$E314,($B145/$E314)*($E314-SUM($G314:EE314)),($B145/$E314)*EF314)))</f>
        <v>0</v>
      </c>
      <c r="EH145" s="395">
        <f ca="1">IF($E$314=0,0,IF(SUM($G145:EG145)=$B145,0,IF(SUM($G314:EG314)&gt;=$E314,($B145/$E314)*($E314-SUM($G314:EF314)),($B145/$E314)*EG314)))</f>
        <v>0</v>
      </c>
      <c r="EI145" s="395">
        <f ca="1">IF($E$314=0,0,IF(SUM($G145:EH145)=$B145,0,IF(SUM($G314:EH314)&gt;=$E314,($B145/$E314)*($E314-SUM($G314:EG314)),($B145/$E314)*EH314)))</f>
        <v>0</v>
      </c>
      <c r="EJ145" s="398"/>
      <c r="EK145" s="313"/>
    </row>
    <row r="146" spans="1:141" hidden="1" outlineLevel="2">
      <c r="A146" s="332"/>
      <c r="B146" s="549">
        <f>длительность!D190</f>
        <v>2.5000000000000001E-2</v>
      </c>
      <c r="C146" s="317"/>
      <c r="D146" s="317" t="s">
        <v>638</v>
      </c>
      <c r="E146" s="318">
        <f t="shared" ca="1" si="361"/>
        <v>0</v>
      </c>
      <c r="F146" s="397">
        <f ca="1">SUM(G146:EJ146)</f>
        <v>2.5000000000000001E-2</v>
      </c>
      <c r="G146" s="395"/>
      <c r="H146" s="395">
        <f ca="1">IF($E$314=0,0,IF(SUM($G146:G146)=$B146,0,IF(SUM(H145:$EJ145)=0%,$B146,0%)))</f>
        <v>0</v>
      </c>
      <c r="I146" s="395">
        <f ca="1">IF($E$314=0,0,IF(SUM($G146:H146)=$B146,0,IF(SUM(I145:$EJ145)=0%,$B146,0%)))</f>
        <v>0</v>
      </c>
      <c r="J146" s="395">
        <f ca="1">IF($E$314=0,0,IF(SUM($G146:I146)=$B146,0,IF(SUM(J145:$EJ145)=0%,$B146,0%)))</f>
        <v>0</v>
      </c>
      <c r="K146" s="395">
        <f ca="1">IF($E$314=0,0,IF(SUM($G146:J146)=$B146,0,IF(SUM(K145:$EJ145)=0%,$B146,0%)))</f>
        <v>0</v>
      </c>
      <c r="L146" s="395">
        <f ca="1">IF($E$314=0,0,IF(SUM($G146:K146)=$B146,0,IF(SUM(L145:$EJ145)=0%,$B146,0%)))</f>
        <v>0</v>
      </c>
      <c r="M146" s="395">
        <f ca="1">IF($E$314=0,0,IF(SUM($G146:L146)=$B146,0,IF(SUM(M145:$EJ145)=0%,$B146,0%)))</f>
        <v>0</v>
      </c>
      <c r="N146" s="395">
        <f ca="1">IF($E$314=0,0,IF(SUM($G146:M146)=$B146,0,IF(SUM(N145:$EJ145)=0%,$B146,0%)))</f>
        <v>0</v>
      </c>
      <c r="O146" s="395">
        <f ca="1">IF($E$314=0,0,IF(SUM($G146:N146)=$B146,0,IF(SUM(O145:$EJ145)=0%,$B146,0%)))</f>
        <v>0</v>
      </c>
      <c r="P146" s="395">
        <f ca="1">IF($E$314=0,0,IF(SUM($G146:O146)=$B146,0,IF(SUM(P145:$EJ145)=0%,$B146,0%)))</f>
        <v>0</v>
      </c>
      <c r="Q146" s="395">
        <f ca="1">IF($E$314=0,0,IF(SUM($G146:P146)=$B146,0,IF(SUM(Q145:$EJ145)=0%,$B146,0%)))</f>
        <v>0</v>
      </c>
      <c r="R146" s="395">
        <f ca="1">IF($E$314=0,0,IF(SUM($G146:Q146)=$B146,0,IF(SUM(R145:$EJ145)=0%,$B146,0%)))</f>
        <v>0</v>
      </c>
      <c r="S146" s="395">
        <f ca="1">IF($E$314=0,0,IF(SUM($G146:R146)=$B146,0,IF(SUM(S145:$EJ145)=0%,$B146,0%)))</f>
        <v>0</v>
      </c>
      <c r="T146" s="395">
        <f ca="1">IF($E$314=0,0,IF(SUM($G146:S146)=$B146,0,IF(SUM(T145:$EJ145)=0%,$B146,0%)))</f>
        <v>0</v>
      </c>
      <c r="U146" s="395">
        <f ca="1">IF($E$314=0,0,IF(SUM($G146:T146)=$B146,0,IF(SUM(U145:$EJ145)=0%,$B146,0%)))</f>
        <v>0</v>
      </c>
      <c r="V146" s="395">
        <f ca="1">IF($E$314=0,0,IF(SUM($G146:U146)=$B146,0,IF(SUM(V145:$EJ145)=0%,$B146,0%)))</f>
        <v>0</v>
      </c>
      <c r="W146" s="395">
        <f ca="1">IF($E$314=0,0,IF(SUM($G146:V146)=$B146,0,IF(SUM(W145:$EJ145)=0%,$B146,0%)))</f>
        <v>0</v>
      </c>
      <c r="X146" s="395">
        <f ca="1">IF($E$314=0,0,IF(SUM($G146:W146)=$B146,0,IF(SUM(X145:$EJ145)=0%,$B146,0%)))</f>
        <v>0</v>
      </c>
      <c r="Y146" s="395">
        <f ca="1">IF($E$314=0,0,IF(SUM($G146:X146)=$B146,0,IF(SUM(Y145:$EJ145)=0%,$B146,0%)))</f>
        <v>0</v>
      </c>
      <c r="Z146" s="395">
        <f ca="1">IF($E$314=0,0,IF(SUM($G146:Y146)=$B146,0,IF(SUM(Z145:$EJ145)=0%,$B146,0%)))</f>
        <v>0</v>
      </c>
      <c r="AA146" s="395">
        <f ca="1">IF($E$314=0,0,IF(SUM($G146:Z146)=$B146,0,IF(SUM(AA145:$EJ145)=0%,$B146,0%)))</f>
        <v>0</v>
      </c>
      <c r="AB146" s="395">
        <f ca="1">IF($E$314=0,0,IF(SUM($G146:AA146)=$B146,0,IF(SUM(AB145:$EJ145)=0%,$B146,0%)))</f>
        <v>0</v>
      </c>
      <c r="AC146" s="395">
        <f ca="1">IF($E$314=0,0,IF(SUM($G146:AB146)=$B146,0,IF(SUM(AC145:$EJ145)=0%,$B146,0%)))</f>
        <v>0</v>
      </c>
      <c r="AD146" s="395">
        <f ca="1">IF($E$314=0,0,IF(SUM($G146:AC146)=$B146,0,IF(SUM(AD145:$EJ145)=0%,$B146,0%)))</f>
        <v>0</v>
      </c>
      <c r="AE146" s="395">
        <f ca="1">IF($E$314=0,0,IF(SUM($G146:AD146)=$B146,0,IF(SUM(AE145:$EJ145)=0%,$B146,0%)))</f>
        <v>0</v>
      </c>
      <c r="AF146" s="395">
        <f ca="1">IF($E$314=0,0,IF(SUM($G146:AE146)=$B146,0,IF(SUM(AF145:$EJ145)=0%,$B146,0%)))</f>
        <v>0</v>
      </c>
      <c r="AG146" s="395">
        <f ca="1">IF($E$314=0,0,IF(SUM($G146:AF146)=$B146,0,IF(SUM(AG145:$EJ145)=0%,$B146,0%)))</f>
        <v>0</v>
      </c>
      <c r="AH146" s="395">
        <f ca="1">IF($E$314=0,0,IF(SUM($G146:AG146)=$B146,0,IF(SUM(AH145:$EJ145)=0%,$B146,0%)))</f>
        <v>0</v>
      </c>
      <c r="AI146" s="395">
        <f ca="1">IF($E$314=0,0,IF(SUM($G146:AH146)=$B146,0,IF(SUM(AI145:$EJ145)=0%,$B146,0%)))</f>
        <v>0</v>
      </c>
      <c r="AJ146" s="395">
        <f ca="1">IF($E$314=0,0,IF(SUM($G146:AI146)=$B146,0,IF(SUM(AJ145:$EJ145)=0%,$B146,0%)))</f>
        <v>0</v>
      </c>
      <c r="AK146" s="395">
        <f ca="1">IF($E$314=0,0,IF(SUM($G146:AJ146)=$B146,0,IF(SUM(AK145:$EJ145)=0%,$B146,0%)))</f>
        <v>0</v>
      </c>
      <c r="AL146" s="395">
        <f ca="1">IF($E$314=0,0,IF(SUM($G146:AK146)=$B146,0,IF(SUM(AL145:$EJ145)=0%,$B146,0%)))</f>
        <v>0</v>
      </c>
      <c r="AM146" s="395">
        <f ca="1">IF($E$314=0,0,IF(SUM($G146:AL146)=$B146,0,IF(SUM(AM145:$EJ145)=0%,$B146,0%)))</f>
        <v>0</v>
      </c>
      <c r="AN146" s="395">
        <f ca="1">IF($E$314=0,0,IF(SUM($G146:AM146)=$B146,0,IF(SUM(AN145:$EJ145)=0%,$B146,0%)))</f>
        <v>0</v>
      </c>
      <c r="AO146" s="395">
        <f ca="1">IF($E$314=0,0,IF(SUM($G146:AN146)=$B146,0,IF(SUM(AO145:$EJ145)=0%,$B146,0%)))</f>
        <v>0</v>
      </c>
      <c r="AP146" s="395">
        <f ca="1">IF($E$314=0,0,IF(SUM($G146:AO146)=$B146,0,IF(SUM(AP145:$EJ145)=0%,$B146,0%)))</f>
        <v>0</v>
      </c>
      <c r="AQ146" s="395">
        <f ca="1">IF($E$314=0,0,IF(SUM($G146:AP146)=$B146,0,IF(SUM(AQ145:$EJ145)=0%,$B146,0%)))</f>
        <v>0</v>
      </c>
      <c r="AR146" s="395">
        <f ca="1">IF($E$314=0,0,IF(SUM($G146:AQ146)=$B146,0,IF(SUM(AR145:$EJ145)=0%,$B146,0%)))</f>
        <v>0</v>
      </c>
      <c r="AS146" s="395">
        <f ca="1">IF($E$314=0,0,IF(SUM($G146:AR146)=$B146,0,IF(SUM(AS145:$EJ145)=0%,$B146,0%)))</f>
        <v>0</v>
      </c>
      <c r="AT146" s="395">
        <f ca="1">IF($E$314=0,0,IF(SUM($G146:AS146)=$B146,0,IF(SUM(AT145:$EJ145)=0%,$B146,0%)))</f>
        <v>0</v>
      </c>
      <c r="AU146" s="395">
        <f ca="1">IF($E$314=0,0,IF(SUM($G146:AT146)=$B146,0,IF(SUM(AU145:$EJ145)=0%,$B146,0%)))</f>
        <v>0</v>
      </c>
      <c r="AV146" s="395">
        <f ca="1">IF($E$314=0,0,IF(SUM($G146:AU146)=$B146,0,IF(SUM(AV145:$EJ145)=0%,$B146,0%)))</f>
        <v>0</v>
      </c>
      <c r="AW146" s="395">
        <f ca="1">IF($E$314=0,0,IF(SUM($G146:AV146)=$B146,0,IF(SUM(AW145:$EJ145)=0%,$B146,0%)))</f>
        <v>0</v>
      </c>
      <c r="AX146" s="395">
        <f ca="1">IF($E$314=0,0,IF(SUM($G146:AW146)=$B146,0,IF(SUM(AX145:$EJ145)=0%,$B146,0%)))</f>
        <v>0</v>
      </c>
      <c r="AY146" s="395">
        <f ca="1">IF($E$314=0,0,IF(SUM($G146:AX146)=$B146,0,IF(SUM(AY145:$EJ145)=0%,$B146,0%)))</f>
        <v>0</v>
      </c>
      <c r="AZ146" s="395">
        <f ca="1">IF($E$314=0,0,IF(SUM($G146:AY146)=$B146,0,IF(SUM(AZ145:$EJ145)=0%,$B146,0%)))</f>
        <v>0</v>
      </c>
      <c r="BA146" s="395">
        <f ca="1">IF($E$314=0,0,IF(SUM($G146:AZ146)=$B146,0,IF(SUM(BA145:$EJ145)=0%,$B146,0%)))</f>
        <v>2.5000000000000001E-2</v>
      </c>
      <c r="BB146" s="395">
        <f ca="1">IF($E$314=0,0,IF(SUM($G146:BA146)=$B146,0,IF(SUM(BB145:$EJ145)=0%,$B146,0%)))</f>
        <v>0</v>
      </c>
      <c r="BC146" s="395">
        <f ca="1">IF($E$314=0,0,IF(SUM($G146:BB146)=$B146,0,IF(SUM(BC145:$EJ145)=0%,$B146,0%)))</f>
        <v>0</v>
      </c>
      <c r="BD146" s="395">
        <f ca="1">IF($E$314=0,0,IF(SUM($G146:BC146)=$B146,0,IF(SUM(BD145:$EJ145)=0%,$B146,0%)))</f>
        <v>0</v>
      </c>
      <c r="BE146" s="395">
        <f ca="1">IF($E$314=0,0,IF(SUM($G146:BD146)=$B146,0,IF(SUM(BE145:$EJ145)=0%,$B146,0%)))</f>
        <v>0</v>
      </c>
      <c r="BF146" s="395">
        <f ca="1">IF($E$314=0,0,IF(SUM($G146:BE146)=$B146,0,IF(SUM(BF145:$EJ145)=0%,$B146,0%)))</f>
        <v>0</v>
      </c>
      <c r="BG146" s="395">
        <f ca="1">IF($E$314=0,0,IF(SUM($G146:BF146)=$B146,0,IF(SUM(BG145:$EJ145)=0%,$B146,0%)))</f>
        <v>0</v>
      </c>
      <c r="BH146" s="395">
        <f ca="1">IF($E$314=0,0,IF(SUM($G146:BG146)=$B146,0,IF(SUM(BH145:$EJ145)=0%,$B146,0%)))</f>
        <v>0</v>
      </c>
      <c r="BI146" s="395">
        <f ca="1">IF($E$314=0,0,IF(SUM($G146:BH146)=$B146,0,IF(SUM(BI145:$EJ145)=0%,$B146,0%)))</f>
        <v>0</v>
      </c>
      <c r="BJ146" s="395">
        <f ca="1">IF($E$314=0,0,IF(SUM($G146:BI146)=$B146,0,IF(SUM(BJ145:$EJ145)=0%,$B146,0%)))</f>
        <v>0</v>
      </c>
      <c r="BK146" s="395">
        <f ca="1">IF($E$314=0,0,IF(SUM($G146:BJ146)=$B146,0,IF(SUM(BK145:$EJ145)=0%,$B146,0%)))</f>
        <v>0</v>
      </c>
      <c r="BL146" s="395">
        <f ca="1">IF($E$314=0,0,IF(SUM($G146:BK146)=$B146,0,IF(SUM(BL145:$EJ145)=0%,$B146,0%)))</f>
        <v>0</v>
      </c>
      <c r="BM146" s="395">
        <f ca="1">IF($E$314=0,0,IF(SUM($G146:BL146)=$B146,0,IF(SUM(BM145:$EJ145)=0%,$B146,0%)))</f>
        <v>0</v>
      </c>
      <c r="BN146" s="395">
        <f ca="1">IF($E$314=0,0,IF(SUM($G146:BM146)=$B146,0,IF(SUM(BN145:$EJ145)=0%,$B146,0%)))</f>
        <v>0</v>
      </c>
      <c r="BO146" s="395">
        <f ca="1">IF($E$314=0,0,IF(SUM($G146:BN146)=$B146,0,IF(SUM(BO145:$EJ145)=0%,$B146,0%)))</f>
        <v>0</v>
      </c>
      <c r="BP146" s="395">
        <f ca="1">IF($E$314=0,0,IF(SUM($G146:BO146)=$B146,0,IF(SUM(BP145:$EJ145)=0%,$B146,0%)))</f>
        <v>0</v>
      </c>
      <c r="BQ146" s="395">
        <f ca="1">IF($E$314=0,0,IF(SUM($G146:BP146)=$B146,0,IF(SUM(BQ145:$EJ145)=0%,$B146,0%)))</f>
        <v>0</v>
      </c>
      <c r="BR146" s="395">
        <f ca="1">IF($E$314=0,0,IF(SUM($G146:BQ146)=$B146,0,IF(SUM(BR145:$EJ145)=0%,$B146,0%)))</f>
        <v>0</v>
      </c>
      <c r="BS146" s="395">
        <f ca="1">IF($E$314=0,0,IF(SUM($G146:BR146)=$B146,0,IF(SUM(BS145:$EJ145)=0%,$B146,0%)))</f>
        <v>0</v>
      </c>
      <c r="BT146" s="395">
        <f ca="1">IF($E$314=0,0,IF(SUM($G146:BS146)=$B146,0,IF(SUM(BT145:$EJ145)=0%,$B146,0%)))</f>
        <v>0</v>
      </c>
      <c r="BU146" s="395">
        <f ca="1">IF($E$314=0,0,IF(SUM($G146:BT146)=$B146,0,IF(SUM(BU145:$EJ145)=0%,$B146,0%)))</f>
        <v>0</v>
      </c>
      <c r="BV146" s="395">
        <f ca="1">IF($E$314=0,0,IF(SUM($G146:BU146)=$B146,0,IF(SUM(BV145:$EJ145)=0%,$B146,0%)))</f>
        <v>0</v>
      </c>
      <c r="BW146" s="395">
        <f ca="1">IF($E$314=0,0,IF(SUM($G146:BV146)=$B146,0,IF(SUM(BW145:$EJ145)=0%,$B146,0%)))</f>
        <v>0</v>
      </c>
      <c r="BX146" s="395">
        <f ca="1">IF($E$314=0,0,IF(SUM($G146:BW146)=$B146,0,IF(SUM(BX145:$EJ145)=0%,$B146,0%)))</f>
        <v>0</v>
      </c>
      <c r="BY146" s="395">
        <f ca="1">IF($E$314=0,0,IF(SUM($G146:BX146)=$B146,0,IF(SUM(BY145:$EJ145)=0%,$B146,0%)))</f>
        <v>0</v>
      </c>
      <c r="BZ146" s="395">
        <f ca="1">IF($E$314=0,0,IF(SUM($G146:BY146)=$B146,0,IF(SUM(BZ145:$EJ145)=0%,$B146,0%)))</f>
        <v>0</v>
      </c>
      <c r="CA146" s="395">
        <f ca="1">IF($E$314=0,0,IF(SUM($G146:BZ146)=$B146,0,IF(SUM(CA145:$EJ145)=0%,$B146,0%)))</f>
        <v>0</v>
      </c>
      <c r="CB146" s="395">
        <f ca="1">IF($E$314=0,0,IF(SUM($G146:CA146)=$B146,0,IF(SUM(CB145:$EJ145)=0%,$B146,0%)))</f>
        <v>0</v>
      </c>
      <c r="CC146" s="395">
        <f ca="1">IF($E$314=0,0,IF(SUM($G146:CB146)=$B146,0,IF(SUM(CC145:$EJ145)=0%,$B146,0%)))</f>
        <v>0</v>
      </c>
      <c r="CD146" s="395">
        <f ca="1">IF($E$314=0,0,IF(SUM($G146:CC146)=$B146,0,IF(SUM(CD145:$EJ145)=0%,$B146,0%)))</f>
        <v>0</v>
      </c>
      <c r="CE146" s="395">
        <f ca="1">IF($E$314=0,0,IF(SUM($G146:CD146)=$B146,0,IF(SUM(CE145:$EJ145)=0%,$B146,0%)))</f>
        <v>0</v>
      </c>
      <c r="CF146" s="395">
        <f ca="1">IF($E$314=0,0,IF(SUM($G146:CE146)=$B146,0,IF(SUM(CF145:$EJ145)=0%,$B146,0%)))</f>
        <v>0</v>
      </c>
      <c r="CG146" s="395">
        <f ca="1">IF($E$314=0,0,IF(SUM($G146:CF146)=$B146,0,IF(SUM(CG145:$EJ145)=0%,$B146,0%)))</f>
        <v>0</v>
      </c>
      <c r="CH146" s="395">
        <f ca="1">IF($E$314=0,0,IF(SUM($G146:CG146)=$B146,0,IF(SUM(CH145:$EJ145)=0%,$B146,0%)))</f>
        <v>0</v>
      </c>
      <c r="CI146" s="395">
        <f ca="1">IF($E$314=0,0,IF(SUM($G146:CH146)=$B146,0,IF(SUM(CI145:$EJ145)=0%,$B146,0%)))</f>
        <v>0</v>
      </c>
      <c r="CJ146" s="395">
        <f ca="1">IF($E$314=0,0,IF(SUM($G146:CI146)=$B146,0,IF(SUM(CJ145:$EJ145)=0%,$B146,0%)))</f>
        <v>0</v>
      </c>
      <c r="CK146" s="395">
        <f ca="1">IF($E$314=0,0,IF(SUM($G146:CJ146)=$B146,0,IF(SUM(CK145:$EJ145)=0%,$B146,0%)))</f>
        <v>0</v>
      </c>
      <c r="CL146" s="395">
        <f ca="1">IF($E$314=0,0,IF(SUM($G146:CK146)=$B146,0,IF(SUM(CL145:$EJ145)=0%,$B146,0%)))</f>
        <v>0</v>
      </c>
      <c r="CM146" s="395">
        <f ca="1">IF($E$314=0,0,IF(SUM($G146:CL146)=$B146,0,IF(SUM(CM145:$EJ145)=0%,$B146,0%)))</f>
        <v>0</v>
      </c>
      <c r="CN146" s="395">
        <f ca="1">IF($E$314=0,0,IF(SUM($G146:CM146)=$B146,0,IF(SUM(CN145:$EJ145)=0%,$B146,0%)))</f>
        <v>0</v>
      </c>
      <c r="CO146" s="395">
        <f ca="1">IF($E$314=0,0,IF(SUM($G146:CN146)=$B146,0,IF(SUM(CO145:$EJ145)=0%,$B146,0%)))</f>
        <v>0</v>
      </c>
      <c r="CP146" s="395">
        <f ca="1">IF($E$314=0,0,IF(SUM($G146:CO146)=$B146,0,IF(SUM(CP145:$EJ145)=0%,$B146,0%)))</f>
        <v>0</v>
      </c>
      <c r="CQ146" s="395">
        <f ca="1">IF($E$314=0,0,IF(SUM($G146:CP146)=$B146,0,IF(SUM(CQ145:$EJ145)=0%,$B146,0%)))</f>
        <v>0</v>
      </c>
      <c r="CR146" s="395">
        <f ca="1">IF($E$314=0,0,IF(SUM($G146:CQ146)=$B146,0,IF(SUM(CR145:$EJ145)=0%,$B146,0%)))</f>
        <v>0</v>
      </c>
      <c r="CS146" s="395">
        <f ca="1">IF($E$314=0,0,IF(SUM($G146:CR146)=$B146,0,IF(SUM(CS145:$EJ145)=0%,$B146,0%)))</f>
        <v>0</v>
      </c>
      <c r="CT146" s="395">
        <f ca="1">IF($E$314=0,0,IF(SUM($G146:CS146)=$B146,0,IF(SUM(CT145:$EJ145)=0%,$B146,0%)))</f>
        <v>0</v>
      </c>
      <c r="CU146" s="395">
        <f ca="1">IF($E$314=0,0,IF(SUM($G146:CT146)=$B146,0,IF(SUM(CU145:$EJ145)=0%,$B146,0%)))</f>
        <v>0</v>
      </c>
      <c r="CV146" s="395">
        <f ca="1">IF($E$314=0,0,IF(SUM($G146:CU146)=$B146,0,IF(SUM(CV145:$EJ145)=0%,$B146,0%)))</f>
        <v>0</v>
      </c>
      <c r="CW146" s="395">
        <f ca="1">IF($E$314=0,0,IF(SUM($G146:CV146)=$B146,0,IF(SUM(CW145:$EJ145)=0%,$B146,0%)))</f>
        <v>0</v>
      </c>
      <c r="CX146" s="395">
        <f ca="1">IF($E$314=0,0,IF(SUM($G146:CW146)=$B146,0,IF(SUM(CX145:$EJ145)=0%,$B146,0%)))</f>
        <v>0</v>
      </c>
      <c r="CY146" s="395">
        <f ca="1">IF($E$314=0,0,IF(SUM($G146:CX146)=$B146,0,IF(SUM(CY145:$EJ145)=0%,$B146,0%)))</f>
        <v>0</v>
      </c>
      <c r="CZ146" s="395">
        <f ca="1">IF($E$314=0,0,IF(SUM($G146:CY146)=$B146,0,IF(SUM(CZ145:$EJ145)=0%,$B146,0%)))</f>
        <v>0</v>
      </c>
      <c r="DA146" s="395">
        <f ca="1">IF($E$314=0,0,IF(SUM($G146:CZ146)=$B146,0,IF(SUM(DA145:$EJ145)=0%,$B146,0%)))</f>
        <v>0</v>
      </c>
      <c r="DB146" s="395">
        <f ca="1">IF($E$314=0,0,IF(SUM($G146:DA146)=$B146,0,IF(SUM(DB145:$EJ145)=0%,$B146,0%)))</f>
        <v>0</v>
      </c>
      <c r="DC146" s="395">
        <f ca="1">IF($E$314=0,0,IF(SUM($G146:DB146)=$B146,0,IF(SUM(DC145:$EJ145)=0%,$B146,0%)))</f>
        <v>0</v>
      </c>
      <c r="DD146" s="395">
        <f ca="1">IF($E$314=0,0,IF(SUM($G146:DC146)=$B146,0,IF(SUM(DD145:$EJ145)=0%,$B146,0%)))</f>
        <v>0</v>
      </c>
      <c r="DE146" s="395">
        <f ca="1">IF($E$314=0,0,IF(SUM($G146:DD146)=$B146,0,IF(SUM(DE145:$EJ145)=0%,$B146,0%)))</f>
        <v>0</v>
      </c>
      <c r="DF146" s="395">
        <f ca="1">IF($E$314=0,0,IF(SUM($G146:DE146)=$B146,0,IF(SUM(DF145:$EJ145)=0%,$B146,0%)))</f>
        <v>0</v>
      </c>
      <c r="DG146" s="395">
        <f ca="1">IF($E$314=0,0,IF(SUM($G146:DF146)=$B146,0,IF(SUM(DG145:$EJ145)=0%,$B146,0%)))</f>
        <v>0</v>
      </c>
      <c r="DH146" s="395">
        <f ca="1">IF($E$314=0,0,IF(SUM($G146:DG146)=$B146,0,IF(SUM(DH145:$EJ145)=0%,$B146,0%)))</f>
        <v>0</v>
      </c>
      <c r="DI146" s="395">
        <f ca="1">IF($E$314=0,0,IF(SUM($G146:DH146)=$B146,0,IF(SUM(DI145:$EJ145)=0%,$B146,0%)))</f>
        <v>0</v>
      </c>
      <c r="DJ146" s="395">
        <f ca="1">IF($E$314=0,0,IF(SUM($G146:DI146)=$B146,0,IF(SUM(DJ145:$EJ145)=0%,$B146,0%)))</f>
        <v>0</v>
      </c>
      <c r="DK146" s="395">
        <f ca="1">IF($E$314=0,0,IF(SUM($G146:DJ146)=$B146,0,IF(SUM(DK145:$EJ145)=0%,$B146,0%)))</f>
        <v>0</v>
      </c>
      <c r="DL146" s="395">
        <f ca="1">IF($E$314=0,0,IF(SUM($G146:DK146)=$B146,0,IF(SUM(DL145:$EJ145)=0%,$B146,0%)))</f>
        <v>0</v>
      </c>
      <c r="DM146" s="395">
        <f ca="1">IF($E$314=0,0,IF(SUM($G146:DL146)=$B146,0,IF(SUM(DM145:$EJ145)=0%,$B146,0%)))</f>
        <v>0</v>
      </c>
      <c r="DN146" s="395">
        <f ca="1">IF($E$314=0,0,IF(SUM($G146:DM146)=$B146,0,IF(SUM(DN145:$EJ145)=0%,$B146,0%)))</f>
        <v>0</v>
      </c>
      <c r="DO146" s="395">
        <f ca="1">IF($E$314=0,0,IF(SUM($G146:DN146)=$B146,0,IF(SUM(DO145:$EJ145)=0%,$B146,0%)))</f>
        <v>0</v>
      </c>
      <c r="DP146" s="395">
        <f ca="1">IF($E$314=0,0,IF(SUM($G146:DO146)=$B146,0,IF(SUM(DP145:$EJ145)=0%,$B146,0%)))</f>
        <v>0</v>
      </c>
      <c r="DQ146" s="395">
        <f ca="1">IF($E$314=0,0,IF(SUM($G146:DP146)=$B146,0,IF(SUM(DQ145:$EJ145)=0%,$B146,0%)))</f>
        <v>0</v>
      </c>
      <c r="DR146" s="395">
        <f ca="1">IF($E$314=0,0,IF(SUM($G146:DQ146)=$B146,0,IF(SUM(DR145:$EJ145)=0%,$B146,0%)))</f>
        <v>0</v>
      </c>
      <c r="DS146" s="395">
        <f ca="1">IF($E$314=0,0,IF(SUM($G146:DR146)=$B146,0,IF(SUM(DS145:$EJ145)=0%,$B146,0%)))</f>
        <v>0</v>
      </c>
      <c r="DT146" s="395">
        <f ca="1">IF($E$314=0,0,IF(SUM($G146:DS146)=$B146,0,IF(SUM(DT145:$EJ145)=0%,$B146,0%)))</f>
        <v>0</v>
      </c>
      <c r="DU146" s="395">
        <f ca="1">IF($E$314=0,0,IF(SUM($G146:DT146)=$B146,0,IF(SUM(DU145:$EJ145)=0%,$B146,0%)))</f>
        <v>0</v>
      </c>
      <c r="DV146" s="395">
        <f ca="1">IF($E$314=0,0,IF(SUM($G146:DU146)=$B146,0,IF(SUM(DV145:$EJ145)=0%,$B146,0%)))</f>
        <v>0</v>
      </c>
      <c r="DW146" s="395">
        <f ca="1">IF($E$314=0,0,IF(SUM($G146:DV146)=$B146,0,IF(SUM(DW145:$EJ145)=0%,$B146,0%)))</f>
        <v>0</v>
      </c>
      <c r="DX146" s="395">
        <f ca="1">IF($E$314=0,0,IF(SUM($G146:DW146)=$B146,0,IF(SUM(DX145:$EJ145)=0%,$B146,0%)))</f>
        <v>0</v>
      </c>
      <c r="DY146" s="395">
        <f ca="1">IF($E$314=0,0,IF(SUM($G146:DX146)=$B146,0,IF(SUM(DY145:$EJ145)=0%,$B146,0%)))</f>
        <v>0</v>
      </c>
      <c r="DZ146" s="395">
        <f ca="1">IF($E$314=0,0,IF(SUM($G146:DY146)=$B146,0,IF(SUM(DZ145:$EJ145)=0%,$B146,0%)))</f>
        <v>0</v>
      </c>
      <c r="EA146" s="395">
        <f ca="1">IF($E$314=0,0,IF(SUM($G146:DZ146)=$B146,0,IF(SUM(EA145:$EJ145)=0%,$B146,0%)))</f>
        <v>0</v>
      </c>
      <c r="EB146" s="395">
        <f ca="1">IF($E$314=0,0,IF(SUM($G146:EA146)=$B146,0,IF(SUM(EB145:$EJ145)=0%,$B146,0%)))</f>
        <v>0</v>
      </c>
      <c r="EC146" s="395">
        <f ca="1">IF($E$314=0,0,IF(SUM($G146:EB146)=$B146,0,IF(SUM(EC145:$EJ145)=0%,$B146,0%)))</f>
        <v>0</v>
      </c>
      <c r="ED146" s="395">
        <f ca="1">IF($E$314=0,0,IF(SUM($G146:EC146)=$B146,0,IF(SUM(ED145:$EJ145)=0%,$B146,0%)))</f>
        <v>0</v>
      </c>
      <c r="EE146" s="395">
        <f ca="1">IF($E$314=0,0,IF(SUM($G146:ED146)=$B146,0,IF(SUM(EE145:$EJ145)=0%,$B146,0%)))</f>
        <v>0</v>
      </c>
      <c r="EF146" s="395">
        <f ca="1">IF($E$314=0,0,IF(SUM($G146:EE146)=$B146,0,IF(SUM(EF145:$EJ145)=0%,$B146,0%)))</f>
        <v>0</v>
      </c>
      <c r="EG146" s="395">
        <f ca="1">IF($E$314=0,0,IF(SUM($G146:EF146)=$B146,0,IF(SUM(EG145:$EJ145)=0%,$B146,0%)))</f>
        <v>0</v>
      </c>
      <c r="EH146" s="395">
        <f ca="1">IF($E$314=0,0,IF(SUM($G146:EG146)=$B146,0,IF(SUM(EH145:$EJ145)=0%,$B146,0%)))</f>
        <v>0</v>
      </c>
      <c r="EI146" s="395">
        <f ca="1">IF($E$314=0,0,IF(SUM($G146:EH146)=$B146,0,IF(SUM(EI145:$EJ145)=0%,$B146,0%)))</f>
        <v>0</v>
      </c>
      <c r="EJ146" s="398"/>
      <c r="EK146" s="313"/>
    </row>
    <row r="147" spans="1:141" hidden="1" outlineLevel="2">
      <c r="A147" s="332"/>
      <c r="B147" s="549">
        <f>длительность!F190</f>
        <v>2.5000000000000001E-2</v>
      </c>
      <c r="C147" s="317"/>
      <c r="D147" s="317" t="s">
        <v>640</v>
      </c>
      <c r="E147" s="318">
        <f t="shared" ca="1" si="361"/>
        <v>0</v>
      </c>
      <c r="F147" s="397">
        <f ca="1">SUM(G147:EJ147)</f>
        <v>2.5000000000000001E-2</v>
      </c>
      <c r="G147" s="395"/>
      <c r="H147" s="395"/>
      <c r="I147" s="395"/>
      <c r="J147" s="395"/>
      <c r="K147" s="395"/>
      <c r="L147" s="395"/>
      <c r="M147" s="395"/>
      <c r="N147" s="395"/>
      <c r="O147" s="395"/>
      <c r="P147" s="395"/>
      <c r="Q147" s="395"/>
      <c r="R147" s="395"/>
      <c r="S147" s="395"/>
      <c r="T147" s="395"/>
      <c r="U147" s="395"/>
      <c r="V147" s="395"/>
      <c r="W147" s="395"/>
      <c r="X147" s="395"/>
      <c r="Y147" s="395"/>
      <c r="Z147" s="395"/>
      <c r="AA147" s="395"/>
      <c r="AB147" s="395"/>
      <c r="AC147" s="395"/>
      <c r="AD147" s="395">
        <f ca="1">IF($E$314=0,0,IF(SUM($G147:AC147)=$B147,0,IF(SUM($G146:G146)=$B146,$B147,0%)))</f>
        <v>0</v>
      </c>
      <c r="AE147" s="395">
        <f ca="1">IF($E$314=0,0,IF(SUM($G147:AD147)=$B147,0,IF(SUM($G146:H146)=$B146,$B147,0%)))</f>
        <v>0</v>
      </c>
      <c r="AF147" s="395">
        <f ca="1">IF($E$314=0,0,IF(SUM($G147:AE147)=$B147,0,IF(SUM($G146:I146)=$B146,$B147,0%)))</f>
        <v>0</v>
      </c>
      <c r="AG147" s="395">
        <f ca="1">IF($E$314=0,0,IF(SUM($G147:AF147)=$B147,0,IF(SUM($G146:J146)=$B146,$B147,0%)))</f>
        <v>0</v>
      </c>
      <c r="AH147" s="395">
        <f ca="1">IF($E$314=0,0,IF(SUM($G147:AG147)=$B147,0,IF(SUM($G146:K146)=$B146,$B147,0%)))</f>
        <v>0</v>
      </c>
      <c r="AI147" s="395">
        <f ca="1">IF($E$314=0,0,IF(SUM($G147:AH147)=$B147,0,IF(SUM($G146:L146)=$B146,$B147,0%)))</f>
        <v>0</v>
      </c>
      <c r="AJ147" s="395">
        <f ca="1">IF($E$314=0,0,IF(SUM($G147:AI147)=$B147,0,IF(SUM($G146:M146)=$B146,$B147,0%)))</f>
        <v>0</v>
      </c>
      <c r="AK147" s="395">
        <f ca="1">IF($E$314=0,0,IF(SUM($G147:AJ147)=$B147,0,IF(SUM($G146:N146)=$B146,$B147,0%)))</f>
        <v>0</v>
      </c>
      <c r="AL147" s="395">
        <f ca="1">IF($E$314=0,0,IF(SUM($G147:AK147)=$B147,0,IF(SUM($G146:O146)=$B146,$B147,0%)))</f>
        <v>0</v>
      </c>
      <c r="AM147" s="395">
        <f ca="1">IF($E$314=0,0,IF(SUM($G147:AL147)=$B147,0,IF(SUM($G146:P146)=$B146,$B147,0%)))</f>
        <v>0</v>
      </c>
      <c r="AN147" s="395">
        <f ca="1">IF($E$314=0,0,IF(SUM($G147:AM147)=$B147,0,IF(SUM($G146:Q146)=$B146,$B147,0%)))</f>
        <v>0</v>
      </c>
      <c r="AO147" s="395">
        <f ca="1">IF($E$314=0,0,IF(SUM($G147:AN147)=$B147,0,IF(SUM($G146:R146)=$B146,$B147,0%)))</f>
        <v>0</v>
      </c>
      <c r="AP147" s="395">
        <f ca="1">IF($E$314=0,0,IF(SUM($G147:AO147)=$B147,0,IF(SUM($G146:S146)=$B146,$B147,0%)))</f>
        <v>0</v>
      </c>
      <c r="AQ147" s="395">
        <f ca="1">IF($E$314=0,0,IF(SUM($G147:AP147)=$B147,0,IF(SUM($G146:T146)=$B146,$B147,0%)))</f>
        <v>0</v>
      </c>
      <c r="AR147" s="395">
        <f ca="1">IF($E$314=0,0,IF(SUM($G147:AQ147)=$B147,0,IF(SUM($G146:U146)=$B146,$B147,0%)))</f>
        <v>0</v>
      </c>
      <c r="AS147" s="395">
        <f ca="1">IF($E$314=0,0,IF(SUM($G147:AR147)=$B147,0,IF(SUM($G146:V146)=$B146,$B147,0%)))</f>
        <v>0</v>
      </c>
      <c r="AT147" s="395">
        <f ca="1">IF($E$314=0,0,IF(SUM($G147:AS147)=$B147,0,IF(SUM($G146:W146)=$B146,$B147,0%)))</f>
        <v>0</v>
      </c>
      <c r="AU147" s="395">
        <f ca="1">IF($E$314=0,0,IF(SUM($G147:AT147)=$B147,0,IF(SUM($G146:X146)=$B146,$B147,0%)))</f>
        <v>0</v>
      </c>
      <c r="AV147" s="395">
        <f ca="1">IF($E$314=0,0,IF(SUM($G147:AU147)=$B147,0,IF(SUM($G146:Y146)=$B146,$B147,0%)))</f>
        <v>0</v>
      </c>
      <c r="AW147" s="395">
        <f ca="1">IF($E$314=0,0,IF(SUM($G147:AV147)=$B147,0,IF(SUM($G146:Z146)=$B146,$B147,0%)))</f>
        <v>0</v>
      </c>
      <c r="AX147" s="395">
        <f ca="1">IF($E$314=0,0,IF(SUM($G147:AW147)=$B147,0,IF(SUM($G146:AA146)=$B146,$B147,0%)))</f>
        <v>0</v>
      </c>
      <c r="AY147" s="395">
        <f ca="1">IF($E$314=0,0,IF(SUM($G147:AX147)=$B147,0,IF(SUM($G146:AB146)=$B146,$B147,0%)))</f>
        <v>0</v>
      </c>
      <c r="AZ147" s="395">
        <f ca="1">IF($E$314=0,0,IF(SUM($G147:AY147)=$B147,0,IF(SUM($G146:AC146)=$B146,$B147,0%)))</f>
        <v>0</v>
      </c>
      <c r="BA147" s="395">
        <f ca="1">IF($E$314=0,0,IF(SUM($G147:AZ147)=$B147,0,IF(SUM($G146:AD146)=$B146,$B147,0%)))</f>
        <v>0</v>
      </c>
      <c r="BB147" s="395">
        <f ca="1">IF($E$314=0,0,IF(SUM($G147:BA147)=$B147,0,IF(SUM($G146:AE146)=$B146,$B147,0%)))</f>
        <v>0</v>
      </c>
      <c r="BC147" s="395">
        <f ca="1">IF($E$314=0,0,IF(SUM($G147:BB147)=$B147,0,IF(SUM($G146:AF146)=$B146,$B147,0%)))</f>
        <v>0</v>
      </c>
      <c r="BD147" s="395">
        <f ca="1">IF($E$314=0,0,IF(SUM($G147:BC147)=$B147,0,IF(SUM($G146:AG146)=$B146,$B147,0%)))</f>
        <v>0</v>
      </c>
      <c r="BE147" s="395">
        <f ca="1">IF($E$314=0,0,IF(SUM($G147:BD147)=$B147,0,IF(SUM($G146:AH146)=$B146,$B147,0%)))</f>
        <v>0</v>
      </c>
      <c r="BF147" s="395">
        <f ca="1">IF($E$314=0,0,IF(SUM($G147:BE147)=$B147,0,IF(SUM($G146:AI146)=$B146,$B147,0%)))</f>
        <v>0</v>
      </c>
      <c r="BG147" s="395">
        <f ca="1">IF($E$314=0,0,IF(SUM($G147:BF147)=$B147,0,IF(SUM($G146:AJ146)=$B146,$B147,0%)))</f>
        <v>0</v>
      </c>
      <c r="BH147" s="395">
        <f ca="1">IF($E$314=0,0,IF(SUM($G147:BG147)=$B147,0,IF(SUM($G146:AK146)=$B146,$B147,0%)))</f>
        <v>0</v>
      </c>
      <c r="BI147" s="395">
        <f ca="1">IF($E$314=0,0,IF(SUM($G147:BH147)=$B147,0,IF(SUM($G146:AL146)=$B146,$B147,0%)))</f>
        <v>0</v>
      </c>
      <c r="BJ147" s="395">
        <f ca="1">IF($E$314=0,0,IF(SUM($G147:BI147)=$B147,0,IF(SUM($G146:AM146)=$B146,$B147,0%)))</f>
        <v>0</v>
      </c>
      <c r="BK147" s="395">
        <f ca="1">IF($E$314=0,0,IF(SUM($G147:BJ147)=$B147,0,IF(SUM($G146:AN146)=$B146,$B147,0%)))</f>
        <v>0</v>
      </c>
      <c r="BL147" s="395">
        <f ca="1">IF($E$314=0,0,IF(SUM($G147:BK147)=$B147,0,IF(SUM($G146:AO146)=$B146,$B147,0%)))</f>
        <v>0</v>
      </c>
      <c r="BM147" s="395">
        <f ca="1">IF($E$314=0,0,IF(SUM($G147:BL147)=$B147,0,IF(SUM($G146:AP146)=$B146,$B147,0%)))</f>
        <v>0</v>
      </c>
      <c r="BN147" s="395">
        <f ca="1">IF($E$314=0,0,IF(SUM($G147:BM147)=$B147,0,IF(SUM($G146:AQ146)=$B146,$B147,0%)))</f>
        <v>0</v>
      </c>
      <c r="BO147" s="395">
        <f ca="1">IF($E$314=0,0,IF(SUM($G147:BN147)=$B147,0,IF(SUM($G146:AR146)=$B146,$B147,0%)))</f>
        <v>0</v>
      </c>
      <c r="BP147" s="395">
        <f ca="1">IF($E$314=0,0,IF(SUM($G147:BO147)=$B147,0,IF(SUM($G146:AS146)=$B146,$B147,0%)))</f>
        <v>0</v>
      </c>
      <c r="BQ147" s="395">
        <f ca="1">IF($E$314=0,0,IF(SUM($G147:BP147)=$B147,0,IF(SUM($G146:AT146)=$B146,$B147,0%)))</f>
        <v>0</v>
      </c>
      <c r="BR147" s="395">
        <f ca="1">IF($E$314=0,0,IF(SUM($G147:BQ147)=$B147,0,IF(SUM($G146:AU146)=$B146,$B147,0%)))</f>
        <v>0</v>
      </c>
      <c r="BS147" s="395">
        <f ca="1">IF($E$314=0,0,IF(SUM($G147:BR147)=$B147,0,IF(SUM($G146:AV146)=$B146,$B147,0%)))</f>
        <v>0</v>
      </c>
      <c r="BT147" s="395">
        <f ca="1">IF($E$314=0,0,IF(SUM($G147:BS147)=$B147,0,IF(SUM($G146:AW146)=$B146,$B147,0%)))</f>
        <v>0</v>
      </c>
      <c r="BU147" s="395">
        <f ca="1">IF($E$314=0,0,IF(SUM($G147:BT147)=$B147,0,IF(SUM($G146:AX146)=$B146,$B147,0%)))</f>
        <v>0</v>
      </c>
      <c r="BV147" s="395">
        <f ca="1">IF($E$314=0,0,IF(SUM($G147:BU147)=$B147,0,IF(SUM($G146:AY146)=$B146,$B147,0%)))</f>
        <v>0</v>
      </c>
      <c r="BW147" s="395">
        <f ca="1">IF($E$314=0,0,IF(SUM($G147:BV147)=$B147,0,IF(SUM($G146:AZ146)=$B146,$B147,0%)))</f>
        <v>0</v>
      </c>
      <c r="BX147" s="395">
        <f ca="1">IF($E$314=0,0,IF(SUM($G147:BW147)=$B147,0,IF(SUM($G146:BA146)=$B146,$B147,0%)))</f>
        <v>2.5000000000000001E-2</v>
      </c>
      <c r="BY147" s="395">
        <f ca="1">IF($E$314=0,0,IF(SUM($G147:BX147)=$B147,0,IF(SUM($G146:BB146)=$B146,$B147,0%)))</f>
        <v>0</v>
      </c>
      <c r="BZ147" s="395">
        <f ca="1">IF($E$314=0,0,IF(SUM($G147:BY147)=$B147,0,IF(SUM($G146:BC146)=$B146,$B147,0%)))</f>
        <v>0</v>
      </c>
      <c r="CA147" s="395">
        <f ca="1">IF($E$314=0,0,IF(SUM($G147:BZ147)=$B147,0,IF(SUM($G146:BD146)=$B146,$B147,0%)))</f>
        <v>0</v>
      </c>
      <c r="CB147" s="395">
        <f ca="1">IF($E$314=0,0,IF(SUM($G147:CA147)=$B147,0,IF(SUM($G146:BE146)=$B146,$B147,0%)))</f>
        <v>0</v>
      </c>
      <c r="CC147" s="395">
        <f ca="1">IF($E$314=0,0,IF(SUM($G147:CB147)=$B147,0,IF(SUM($G146:BF146)=$B146,$B147,0%)))</f>
        <v>0</v>
      </c>
      <c r="CD147" s="395">
        <f ca="1">IF($E$314=0,0,IF(SUM($G147:CC147)=$B147,0,IF(SUM($G146:BG146)=$B146,$B147,0%)))</f>
        <v>0</v>
      </c>
      <c r="CE147" s="395">
        <f ca="1">IF($E$314=0,0,IF(SUM($G147:CD147)=$B147,0,IF(SUM($G146:BH146)=$B146,$B147,0%)))</f>
        <v>0</v>
      </c>
      <c r="CF147" s="395">
        <f ca="1">IF($E$314=0,0,IF(SUM($G147:CE147)=$B147,0,IF(SUM($G146:BI146)=$B146,$B147,0%)))</f>
        <v>0</v>
      </c>
      <c r="CG147" s="395">
        <f ca="1">IF($E$314=0,0,IF(SUM($G147:CF147)=$B147,0,IF(SUM($G146:BJ146)=$B146,$B147,0%)))</f>
        <v>0</v>
      </c>
      <c r="CH147" s="395">
        <f ca="1">IF($E$314=0,0,IF(SUM($G147:CG147)=$B147,0,IF(SUM($G146:BK146)=$B146,$B147,0%)))</f>
        <v>0</v>
      </c>
      <c r="CI147" s="395">
        <f ca="1">IF($E$314=0,0,IF(SUM($G147:CH147)=$B147,0,IF(SUM($G146:BL146)=$B146,$B147,0%)))</f>
        <v>0</v>
      </c>
      <c r="CJ147" s="395">
        <f ca="1">IF($E$314=0,0,IF(SUM($G147:CI147)=$B147,0,IF(SUM($G146:BM146)=$B146,$B147,0%)))</f>
        <v>0</v>
      </c>
      <c r="CK147" s="395">
        <f ca="1">IF($E$314=0,0,IF(SUM($G147:CJ147)=$B147,0,IF(SUM($G146:BN146)=$B146,$B147,0%)))</f>
        <v>0</v>
      </c>
      <c r="CL147" s="395">
        <f ca="1">IF($E$314=0,0,IF(SUM($G147:CK147)=$B147,0,IF(SUM($G146:BO146)=$B146,$B147,0%)))</f>
        <v>0</v>
      </c>
      <c r="CM147" s="395">
        <f ca="1">IF($E$314=0,0,IF(SUM($G147:CL147)=$B147,0,IF(SUM($G146:BP146)=$B146,$B147,0%)))</f>
        <v>0</v>
      </c>
      <c r="CN147" s="395">
        <f ca="1">IF($E$314=0,0,IF(SUM($G147:CM147)=$B147,0,IF(SUM($G146:BQ146)=$B146,$B147,0%)))</f>
        <v>0</v>
      </c>
      <c r="CO147" s="395">
        <f ca="1">IF($E$314=0,0,IF(SUM($G147:CN147)=$B147,0,IF(SUM($G146:BR146)=$B146,$B147,0%)))</f>
        <v>0</v>
      </c>
      <c r="CP147" s="395">
        <f ca="1">IF($E$314=0,0,IF(SUM($G147:CO147)=$B147,0,IF(SUM($G146:BS146)=$B146,$B147,0%)))</f>
        <v>0</v>
      </c>
      <c r="CQ147" s="395">
        <f ca="1">IF($E$314=0,0,IF(SUM($G147:CP147)=$B147,0,IF(SUM($G146:BT146)=$B146,$B147,0%)))</f>
        <v>0</v>
      </c>
      <c r="CR147" s="395">
        <f ca="1">IF($E$314=0,0,IF(SUM($G147:CQ147)=$B147,0,IF(SUM($G146:BU146)=$B146,$B147,0%)))</f>
        <v>0</v>
      </c>
      <c r="CS147" s="395">
        <f ca="1">IF($E$314=0,0,IF(SUM($G147:CR147)=$B147,0,IF(SUM($G146:BV146)=$B146,$B147,0%)))</f>
        <v>0</v>
      </c>
      <c r="CT147" s="395">
        <f ca="1">IF($E$314=0,0,IF(SUM($G147:CS147)=$B147,0,IF(SUM($G146:BW146)=$B146,$B147,0%)))</f>
        <v>0</v>
      </c>
      <c r="CU147" s="395">
        <f ca="1">IF($E$314=0,0,IF(SUM($G147:CT147)=$B147,0,IF(SUM($G146:BX146)=$B146,$B147,0%)))</f>
        <v>0</v>
      </c>
      <c r="CV147" s="395">
        <f ca="1">IF($E$314=0,0,IF(SUM($G147:CU147)=$B147,0,IF(SUM($G146:BY146)=$B146,$B147,0%)))</f>
        <v>0</v>
      </c>
      <c r="CW147" s="395">
        <f ca="1">IF($E$314=0,0,IF(SUM($G147:CV147)=$B147,0,IF(SUM($G146:BZ146)=$B146,$B147,0%)))</f>
        <v>0</v>
      </c>
      <c r="CX147" s="395">
        <f ca="1">IF($E$314=0,0,IF(SUM($G147:CW147)=$B147,0,IF(SUM($G146:CA146)=$B146,$B147,0%)))</f>
        <v>0</v>
      </c>
      <c r="CY147" s="395">
        <f ca="1">IF($E$314=0,0,IF(SUM($G147:CX147)=$B147,0,IF(SUM($G146:CB146)=$B146,$B147,0%)))</f>
        <v>0</v>
      </c>
      <c r="CZ147" s="395">
        <f ca="1">IF($E$314=0,0,IF(SUM($G147:CY147)=$B147,0,IF(SUM($G146:CC146)=$B146,$B147,0%)))</f>
        <v>0</v>
      </c>
      <c r="DA147" s="395">
        <f ca="1">IF($E$314=0,0,IF(SUM($G147:CZ147)=$B147,0,IF(SUM($G146:CD146)=$B146,$B147,0%)))</f>
        <v>0</v>
      </c>
      <c r="DB147" s="395">
        <f ca="1">IF($E$314=0,0,IF(SUM($G147:DA147)=$B147,0,IF(SUM($G146:CE146)=$B146,$B147,0%)))</f>
        <v>0</v>
      </c>
      <c r="DC147" s="395">
        <f ca="1">IF($E$314=0,0,IF(SUM($G147:DB147)=$B147,0,IF(SUM($G146:CF146)=$B146,$B147,0%)))</f>
        <v>0</v>
      </c>
      <c r="DD147" s="395">
        <f ca="1">IF($E$314=0,0,IF(SUM($G147:DC147)=$B147,0,IF(SUM($G146:CG146)=$B146,$B147,0%)))</f>
        <v>0</v>
      </c>
      <c r="DE147" s="395">
        <f ca="1">IF($E$314=0,0,IF(SUM($G147:DD147)=$B147,0,IF(SUM($G146:CH146)=$B146,$B147,0%)))</f>
        <v>0</v>
      </c>
      <c r="DF147" s="395">
        <f ca="1">IF($E$314=0,0,IF(SUM($G147:DE147)=$B147,0,IF(SUM($G146:CI146)=$B146,$B147,0%)))</f>
        <v>0</v>
      </c>
      <c r="DG147" s="395">
        <f ca="1">IF($E$314=0,0,IF(SUM($G147:DF147)=$B147,0,IF(SUM($G146:CJ146)=$B146,$B147,0%)))</f>
        <v>0</v>
      </c>
      <c r="DH147" s="395">
        <f ca="1">IF($E$314=0,0,IF(SUM($G147:DG147)=$B147,0,IF(SUM($G146:CK146)=$B146,$B147,0%)))</f>
        <v>0</v>
      </c>
      <c r="DI147" s="395">
        <f ca="1">IF($E$314=0,0,IF(SUM($G147:DH147)=$B147,0,IF(SUM($G146:CL146)=$B146,$B147,0%)))</f>
        <v>0</v>
      </c>
      <c r="DJ147" s="395">
        <f ca="1">IF($E$314=0,0,IF(SUM($G147:DI147)=$B147,0,IF(SUM($G146:CM146)=$B146,$B147,0%)))</f>
        <v>0</v>
      </c>
      <c r="DK147" s="395">
        <f ca="1">IF($E$314=0,0,IF(SUM($G147:DJ147)=$B147,0,IF(SUM($G146:CN146)=$B146,$B147,0%)))</f>
        <v>0</v>
      </c>
      <c r="DL147" s="395">
        <f ca="1">IF($E$314=0,0,IF(SUM($G147:DK147)=$B147,0,IF(SUM($G146:CO146)=$B146,$B147,0%)))</f>
        <v>0</v>
      </c>
      <c r="DM147" s="395">
        <f ca="1">IF($E$314=0,0,IF(SUM($G147:DL147)=$B147,0,IF(SUM($G146:CP146)=$B146,$B147,0%)))</f>
        <v>0</v>
      </c>
      <c r="DN147" s="395">
        <f ca="1">IF($E$314=0,0,IF(SUM($G147:DM147)=$B147,0,IF(SUM($G146:CQ146)=$B146,$B147,0%)))</f>
        <v>0</v>
      </c>
      <c r="DO147" s="395">
        <f ca="1">IF($E$314=0,0,IF(SUM($G147:DN147)=$B147,0,IF(SUM($G146:CR146)=$B146,$B147,0%)))</f>
        <v>0</v>
      </c>
      <c r="DP147" s="395">
        <f ca="1">IF($E$314=0,0,IF(SUM($G147:DO147)=$B147,0,IF(SUM($G146:CS146)=$B146,$B147,0%)))</f>
        <v>0</v>
      </c>
      <c r="DQ147" s="395">
        <f ca="1">IF($E$314=0,0,IF(SUM($G147:DP147)=$B147,0,IF(SUM($G146:CT146)=$B146,$B147,0%)))</f>
        <v>0</v>
      </c>
      <c r="DR147" s="395">
        <f ca="1">IF($E$314=0,0,IF(SUM($G147:DQ147)=$B147,0,IF(SUM($G146:CU146)=$B146,$B147,0%)))</f>
        <v>0</v>
      </c>
      <c r="DS147" s="395">
        <f ca="1">IF($E$314=0,0,IF(SUM($G147:DR147)=$B147,0,IF(SUM($G146:CV146)=$B146,$B147,0%)))</f>
        <v>0</v>
      </c>
      <c r="DT147" s="395">
        <f ca="1">IF($E$314=0,0,IF(SUM($G147:DS147)=$B147,0,IF(SUM($G146:CW146)=$B146,$B147,0%)))</f>
        <v>0</v>
      </c>
      <c r="DU147" s="395">
        <f ca="1">IF($E$314=0,0,IF(SUM($G147:DT147)=$B147,0,IF(SUM($G146:CX146)=$B146,$B147,0%)))</f>
        <v>0</v>
      </c>
      <c r="DV147" s="395">
        <f ca="1">IF($E$314=0,0,IF(SUM($G147:DU147)=$B147,0,IF(SUM($G146:CY146)=$B146,$B147,0%)))</f>
        <v>0</v>
      </c>
      <c r="DW147" s="395">
        <f ca="1">IF($E$314=0,0,IF(SUM($G147:DV147)=$B147,0,IF(SUM($G146:CZ146)=$B146,$B147,0%)))</f>
        <v>0</v>
      </c>
      <c r="DX147" s="395">
        <f ca="1">IF($E$314=0,0,IF(SUM($G147:DW147)=$B147,0,IF(SUM($G146:DA146)=$B146,$B147,0%)))</f>
        <v>0</v>
      </c>
      <c r="DY147" s="395">
        <f ca="1">IF($E$314=0,0,IF(SUM($G147:DX147)=$B147,0,IF(SUM($G146:DB146)=$B146,$B147,0%)))</f>
        <v>0</v>
      </c>
      <c r="DZ147" s="395">
        <f ca="1">IF($E$314=0,0,IF(SUM($G147:DY147)=$B147,0,IF(SUM($G146:DC146)=$B146,$B147,0%)))</f>
        <v>0</v>
      </c>
      <c r="EA147" s="395">
        <f ca="1">IF($E$314=0,0,IF(SUM($G147:DZ147)=$B147,0,IF(SUM($G146:DD146)=$B146,$B147,0%)))</f>
        <v>0</v>
      </c>
      <c r="EB147" s="395">
        <f ca="1">IF($E$314=0,0,IF(SUM($G147:EA147)=$B147,0,IF(SUM($G146:DE146)=$B146,$B147,0%)))</f>
        <v>0</v>
      </c>
      <c r="EC147" s="395">
        <f ca="1">IF($E$314=0,0,IF(SUM($G147:EB147)=$B147,0,IF(SUM($G146:DF146)=$B146,$B147,0%)))</f>
        <v>0</v>
      </c>
      <c r="ED147" s="395">
        <f ca="1">IF($E$314=0,0,IF(SUM($G147:EC147)=$B147,0,IF(SUM($G146:DG146)=$B146,$B147,0%)))</f>
        <v>0</v>
      </c>
      <c r="EE147" s="395">
        <f ca="1">IF($E$314=0,0,IF(SUM($G147:ED147)=$B147,0,IF(SUM($G146:DH146)=$B146,$B147,0%)))</f>
        <v>0</v>
      </c>
      <c r="EF147" s="395">
        <f ca="1">IF($E$314=0,0,IF(SUM($G147:EE147)=$B147,0,IF(SUM($G146:DI146)=$B146,$B147,0%)))</f>
        <v>0</v>
      </c>
      <c r="EG147" s="395">
        <f ca="1">IF($E$314=0,0,IF(SUM($G147:EF147)=$B147,0,IF(SUM($G146:DJ146)=$B146,$B147,0%)))</f>
        <v>0</v>
      </c>
      <c r="EH147" s="395">
        <f ca="1">IF($E$314=0,0,IF(SUM($G147:EG147)=$B147,0,IF(SUM($G146:DK146)=$B146,$B147,0%)))</f>
        <v>0</v>
      </c>
      <c r="EI147" s="395">
        <f ca="1">IF($E$314=0,0,IF(SUM($G147:EH147)=$B147,0,IF(SUM($G146:DL146)=$B146,$B147,0%)))</f>
        <v>0</v>
      </c>
      <c r="EJ147" s="398"/>
      <c r="EK147" s="313"/>
    </row>
    <row r="148" spans="1:141" hidden="1" outlineLevel="1" collapsed="1">
      <c r="A148" s="332"/>
      <c r="B148" s="313"/>
      <c r="C148" s="392" t="s">
        <v>91</v>
      </c>
      <c r="D148" s="392" t="str">
        <f>D319</f>
        <v>Внутренняя отделка - отделка тех. помещений</v>
      </c>
      <c r="E148" s="393">
        <f ca="1">ROUND(IF(F148=0,0,100%-F148),0)</f>
        <v>0</v>
      </c>
      <c r="F148" s="394">
        <f t="shared" ref="F148:F150" ca="1" si="362">SUM(G148:EJ148)</f>
        <v>1</v>
      </c>
      <c r="G148" s="395">
        <f>SUM(G149:G152)</f>
        <v>0</v>
      </c>
      <c r="H148" s="395">
        <f ca="1">SUM(H149:H152)</f>
        <v>0</v>
      </c>
      <c r="I148" s="395">
        <f t="shared" ref="I148:BT148" ca="1" si="363">SUM(I149:I152)</f>
        <v>0</v>
      </c>
      <c r="J148" s="395">
        <f t="shared" ca="1" si="363"/>
        <v>0</v>
      </c>
      <c r="K148" s="395">
        <f t="shared" ca="1" si="363"/>
        <v>0</v>
      </c>
      <c r="L148" s="395">
        <f t="shared" ca="1" si="363"/>
        <v>0</v>
      </c>
      <c r="M148" s="395">
        <f t="shared" ca="1" si="363"/>
        <v>0</v>
      </c>
      <c r="N148" s="395">
        <f t="shared" ca="1" si="363"/>
        <v>0</v>
      </c>
      <c r="O148" s="395">
        <f t="shared" ca="1" si="363"/>
        <v>0</v>
      </c>
      <c r="P148" s="395">
        <f t="shared" ca="1" si="363"/>
        <v>0</v>
      </c>
      <c r="Q148" s="395">
        <f t="shared" ca="1" si="363"/>
        <v>0</v>
      </c>
      <c r="R148" s="395">
        <f t="shared" ca="1" si="363"/>
        <v>0</v>
      </c>
      <c r="S148" s="395">
        <f t="shared" ca="1" si="363"/>
        <v>0</v>
      </c>
      <c r="T148" s="395">
        <f t="shared" ca="1" si="363"/>
        <v>0</v>
      </c>
      <c r="U148" s="395">
        <f t="shared" ca="1" si="363"/>
        <v>0</v>
      </c>
      <c r="V148" s="395">
        <f t="shared" ca="1" si="363"/>
        <v>0</v>
      </c>
      <c r="W148" s="395">
        <f t="shared" ca="1" si="363"/>
        <v>0</v>
      </c>
      <c r="X148" s="395">
        <f t="shared" ca="1" si="363"/>
        <v>0</v>
      </c>
      <c r="Y148" s="395">
        <f t="shared" ca="1" si="363"/>
        <v>0</v>
      </c>
      <c r="Z148" s="395">
        <f t="shared" ca="1" si="363"/>
        <v>0</v>
      </c>
      <c r="AA148" s="395">
        <f t="shared" ca="1" si="363"/>
        <v>0</v>
      </c>
      <c r="AB148" s="395">
        <f t="shared" ca="1" si="363"/>
        <v>0</v>
      </c>
      <c r="AC148" s="395">
        <f t="shared" ca="1" si="363"/>
        <v>0</v>
      </c>
      <c r="AD148" s="395">
        <f t="shared" ca="1" si="363"/>
        <v>0</v>
      </c>
      <c r="AE148" s="395">
        <f t="shared" ca="1" si="363"/>
        <v>0</v>
      </c>
      <c r="AF148" s="395">
        <f t="shared" ca="1" si="363"/>
        <v>0</v>
      </c>
      <c r="AG148" s="395">
        <f t="shared" ca="1" si="363"/>
        <v>0</v>
      </c>
      <c r="AH148" s="395">
        <f t="shared" ca="1" si="363"/>
        <v>0</v>
      </c>
      <c r="AI148" s="395">
        <f t="shared" ca="1" si="363"/>
        <v>0</v>
      </c>
      <c r="AJ148" s="395">
        <f t="shared" ca="1" si="363"/>
        <v>0</v>
      </c>
      <c r="AK148" s="395">
        <f t="shared" ca="1" si="363"/>
        <v>0</v>
      </c>
      <c r="AL148" s="395">
        <f t="shared" ca="1" si="363"/>
        <v>0</v>
      </c>
      <c r="AM148" s="395">
        <f t="shared" ca="1" si="363"/>
        <v>0</v>
      </c>
      <c r="AN148" s="395">
        <f t="shared" ca="1" si="363"/>
        <v>0</v>
      </c>
      <c r="AO148" s="395">
        <f t="shared" ca="1" si="363"/>
        <v>0</v>
      </c>
      <c r="AP148" s="395">
        <f t="shared" ca="1" si="363"/>
        <v>0</v>
      </c>
      <c r="AQ148" s="395">
        <f t="shared" ca="1" si="363"/>
        <v>0</v>
      </c>
      <c r="AR148" s="395">
        <f t="shared" ca="1" si="363"/>
        <v>0</v>
      </c>
      <c r="AS148" s="395">
        <f t="shared" ca="1" si="363"/>
        <v>0</v>
      </c>
      <c r="AT148" s="395">
        <f t="shared" ca="1" si="363"/>
        <v>0</v>
      </c>
      <c r="AU148" s="395">
        <f t="shared" ca="1" si="363"/>
        <v>0</v>
      </c>
      <c r="AV148" s="395">
        <f t="shared" ca="1" si="363"/>
        <v>0.3</v>
      </c>
      <c r="AW148" s="395">
        <f t="shared" ca="1" si="363"/>
        <v>0</v>
      </c>
      <c r="AX148" s="395">
        <f t="shared" ca="1" si="363"/>
        <v>1.3792016806722719E-2</v>
      </c>
      <c r="AY148" s="395">
        <f t="shared" ca="1" si="363"/>
        <v>8.4663865546218478E-2</v>
      </c>
      <c r="AZ148" s="395">
        <f t="shared" ca="1" si="363"/>
        <v>8.1932773109243698E-2</v>
      </c>
      <c r="BA148" s="395">
        <f t="shared" ca="1" si="363"/>
        <v>8.4663865546218478E-2</v>
      </c>
      <c r="BB148" s="395">
        <f t="shared" ca="1" si="363"/>
        <v>8.4663865546218478E-2</v>
      </c>
      <c r="BC148" s="395">
        <f t="shared" ca="1" si="363"/>
        <v>7.647058823529411E-2</v>
      </c>
      <c r="BD148" s="395">
        <f t="shared" ca="1" si="363"/>
        <v>8.4663865546218478E-2</v>
      </c>
      <c r="BE148" s="395">
        <f t="shared" ca="1" si="363"/>
        <v>8.1932773109243698E-2</v>
      </c>
      <c r="BF148" s="395">
        <f t="shared" ca="1" si="363"/>
        <v>5.7216386554621815E-2</v>
      </c>
      <c r="BG148" s="395">
        <f t="shared" ca="1" si="363"/>
        <v>2.5000000000000001E-2</v>
      </c>
      <c r="BH148" s="395">
        <f t="shared" ca="1" si="363"/>
        <v>0</v>
      </c>
      <c r="BI148" s="395">
        <f t="shared" ca="1" si="363"/>
        <v>0</v>
      </c>
      <c r="BJ148" s="395">
        <f t="shared" ca="1" si="363"/>
        <v>0</v>
      </c>
      <c r="BK148" s="395">
        <f t="shared" ca="1" si="363"/>
        <v>0</v>
      </c>
      <c r="BL148" s="395">
        <f t="shared" ca="1" si="363"/>
        <v>0</v>
      </c>
      <c r="BM148" s="395">
        <f t="shared" ca="1" si="363"/>
        <v>0</v>
      </c>
      <c r="BN148" s="395">
        <f t="shared" ca="1" si="363"/>
        <v>0</v>
      </c>
      <c r="BO148" s="395">
        <f t="shared" ca="1" si="363"/>
        <v>0</v>
      </c>
      <c r="BP148" s="395">
        <f t="shared" ca="1" si="363"/>
        <v>0</v>
      </c>
      <c r="BQ148" s="395">
        <f t="shared" ca="1" si="363"/>
        <v>0</v>
      </c>
      <c r="BR148" s="395">
        <f t="shared" ca="1" si="363"/>
        <v>0</v>
      </c>
      <c r="BS148" s="395">
        <f t="shared" ca="1" si="363"/>
        <v>0</v>
      </c>
      <c r="BT148" s="395">
        <f t="shared" ca="1" si="363"/>
        <v>0</v>
      </c>
      <c r="BU148" s="395">
        <f t="shared" ref="BU148:EF148" ca="1" si="364">SUM(BU149:BU152)</f>
        <v>0</v>
      </c>
      <c r="BV148" s="395">
        <f t="shared" ca="1" si="364"/>
        <v>0</v>
      </c>
      <c r="BW148" s="395">
        <f t="shared" ca="1" si="364"/>
        <v>0</v>
      </c>
      <c r="BX148" s="395">
        <f t="shared" ca="1" si="364"/>
        <v>0</v>
      </c>
      <c r="BY148" s="395">
        <f t="shared" ca="1" si="364"/>
        <v>0</v>
      </c>
      <c r="BZ148" s="395">
        <f t="shared" ca="1" si="364"/>
        <v>0</v>
      </c>
      <c r="CA148" s="395">
        <f t="shared" ca="1" si="364"/>
        <v>0</v>
      </c>
      <c r="CB148" s="395">
        <f t="shared" ca="1" si="364"/>
        <v>0</v>
      </c>
      <c r="CC148" s="395">
        <f t="shared" ca="1" si="364"/>
        <v>0</v>
      </c>
      <c r="CD148" s="395">
        <f t="shared" ca="1" si="364"/>
        <v>2.5000000000000001E-2</v>
      </c>
      <c r="CE148" s="395">
        <f t="shared" ca="1" si="364"/>
        <v>0</v>
      </c>
      <c r="CF148" s="395">
        <f t="shared" ca="1" si="364"/>
        <v>0</v>
      </c>
      <c r="CG148" s="395">
        <f t="shared" ca="1" si="364"/>
        <v>0</v>
      </c>
      <c r="CH148" s="395">
        <f t="shared" ca="1" si="364"/>
        <v>0</v>
      </c>
      <c r="CI148" s="395">
        <f t="shared" ca="1" si="364"/>
        <v>0</v>
      </c>
      <c r="CJ148" s="395">
        <f t="shared" ca="1" si="364"/>
        <v>0</v>
      </c>
      <c r="CK148" s="395">
        <f t="shared" ca="1" si="364"/>
        <v>0</v>
      </c>
      <c r="CL148" s="395">
        <f t="shared" ca="1" si="364"/>
        <v>0</v>
      </c>
      <c r="CM148" s="395">
        <f t="shared" ca="1" si="364"/>
        <v>0</v>
      </c>
      <c r="CN148" s="395">
        <f t="shared" ca="1" si="364"/>
        <v>0</v>
      </c>
      <c r="CO148" s="395">
        <f t="shared" ca="1" si="364"/>
        <v>0</v>
      </c>
      <c r="CP148" s="395">
        <f t="shared" ca="1" si="364"/>
        <v>0</v>
      </c>
      <c r="CQ148" s="395">
        <f t="shared" ca="1" si="364"/>
        <v>0</v>
      </c>
      <c r="CR148" s="395">
        <f t="shared" ca="1" si="364"/>
        <v>0</v>
      </c>
      <c r="CS148" s="395">
        <f t="shared" ca="1" si="364"/>
        <v>0</v>
      </c>
      <c r="CT148" s="395">
        <f t="shared" ca="1" si="364"/>
        <v>0</v>
      </c>
      <c r="CU148" s="395">
        <f t="shared" ca="1" si="364"/>
        <v>0</v>
      </c>
      <c r="CV148" s="395">
        <f t="shared" ca="1" si="364"/>
        <v>0</v>
      </c>
      <c r="CW148" s="395">
        <f t="shared" ca="1" si="364"/>
        <v>0</v>
      </c>
      <c r="CX148" s="395">
        <f t="shared" ca="1" si="364"/>
        <v>0</v>
      </c>
      <c r="CY148" s="395">
        <f t="shared" ca="1" si="364"/>
        <v>0</v>
      </c>
      <c r="CZ148" s="395">
        <f t="shared" ca="1" si="364"/>
        <v>0</v>
      </c>
      <c r="DA148" s="395">
        <f t="shared" ca="1" si="364"/>
        <v>0</v>
      </c>
      <c r="DB148" s="395">
        <f t="shared" ca="1" si="364"/>
        <v>0</v>
      </c>
      <c r="DC148" s="395">
        <f t="shared" ca="1" si="364"/>
        <v>0</v>
      </c>
      <c r="DD148" s="395">
        <f t="shared" ca="1" si="364"/>
        <v>0</v>
      </c>
      <c r="DE148" s="395">
        <f t="shared" ca="1" si="364"/>
        <v>0</v>
      </c>
      <c r="DF148" s="395">
        <f t="shared" ca="1" si="364"/>
        <v>0</v>
      </c>
      <c r="DG148" s="395">
        <f t="shared" ca="1" si="364"/>
        <v>0</v>
      </c>
      <c r="DH148" s="395">
        <f t="shared" ca="1" si="364"/>
        <v>0</v>
      </c>
      <c r="DI148" s="395">
        <f t="shared" ca="1" si="364"/>
        <v>0</v>
      </c>
      <c r="DJ148" s="395">
        <f t="shared" ca="1" si="364"/>
        <v>0</v>
      </c>
      <c r="DK148" s="395">
        <f t="shared" ca="1" si="364"/>
        <v>0</v>
      </c>
      <c r="DL148" s="395">
        <f t="shared" ca="1" si="364"/>
        <v>0</v>
      </c>
      <c r="DM148" s="395">
        <f t="shared" ca="1" si="364"/>
        <v>0</v>
      </c>
      <c r="DN148" s="395">
        <f t="shared" ca="1" si="364"/>
        <v>0</v>
      </c>
      <c r="DO148" s="395">
        <f t="shared" ca="1" si="364"/>
        <v>0</v>
      </c>
      <c r="DP148" s="395">
        <f t="shared" ca="1" si="364"/>
        <v>0</v>
      </c>
      <c r="DQ148" s="395">
        <f t="shared" ca="1" si="364"/>
        <v>0</v>
      </c>
      <c r="DR148" s="395">
        <f t="shared" ca="1" si="364"/>
        <v>0</v>
      </c>
      <c r="DS148" s="395">
        <f t="shared" ca="1" si="364"/>
        <v>0</v>
      </c>
      <c r="DT148" s="395">
        <f t="shared" ca="1" si="364"/>
        <v>0</v>
      </c>
      <c r="DU148" s="395">
        <f t="shared" ca="1" si="364"/>
        <v>0</v>
      </c>
      <c r="DV148" s="395">
        <f t="shared" ca="1" si="364"/>
        <v>0</v>
      </c>
      <c r="DW148" s="395">
        <f t="shared" ca="1" si="364"/>
        <v>0</v>
      </c>
      <c r="DX148" s="395">
        <f t="shared" ca="1" si="364"/>
        <v>0</v>
      </c>
      <c r="DY148" s="395">
        <f t="shared" ca="1" si="364"/>
        <v>0</v>
      </c>
      <c r="DZ148" s="395">
        <f t="shared" ca="1" si="364"/>
        <v>0</v>
      </c>
      <c r="EA148" s="395">
        <f t="shared" ca="1" si="364"/>
        <v>0</v>
      </c>
      <c r="EB148" s="395">
        <f t="shared" ca="1" si="364"/>
        <v>0</v>
      </c>
      <c r="EC148" s="395">
        <f t="shared" ca="1" si="364"/>
        <v>0</v>
      </c>
      <c r="ED148" s="395">
        <f t="shared" ca="1" si="364"/>
        <v>0</v>
      </c>
      <c r="EE148" s="395">
        <f t="shared" ca="1" si="364"/>
        <v>0</v>
      </c>
      <c r="EF148" s="395">
        <f t="shared" ca="1" si="364"/>
        <v>0</v>
      </c>
      <c r="EG148" s="395">
        <f t="shared" ref="EG148:EI148" ca="1" si="365">SUM(EG149:EG152)</f>
        <v>0</v>
      </c>
      <c r="EH148" s="395">
        <f t="shared" ca="1" si="365"/>
        <v>0</v>
      </c>
      <c r="EI148" s="395">
        <f t="shared" ca="1" si="365"/>
        <v>0</v>
      </c>
      <c r="EJ148" s="398"/>
      <c r="EK148" s="313"/>
    </row>
    <row r="149" spans="1:141" hidden="1" outlineLevel="2">
      <c r="A149" s="332"/>
      <c r="B149" s="548">
        <f>B144</f>
        <v>0.3</v>
      </c>
      <c r="C149" s="317"/>
      <c r="D149" s="317" t="s">
        <v>664</v>
      </c>
      <c r="E149" s="318">
        <f t="shared" ref="E149:E152" ca="1" si="366">IF(F149=0,0,B149-F149)</f>
        <v>0</v>
      </c>
      <c r="F149" s="397">
        <f t="shared" ca="1" si="362"/>
        <v>0.3</v>
      </c>
      <c r="G149" s="395"/>
      <c r="H149" s="395">
        <f ca="1">IF(SUM($G149:G149)=$B149,0,IF(J150&gt;0%,$B149,0%))</f>
        <v>0</v>
      </c>
      <c r="I149" s="395">
        <f ca="1">IF(SUM($G149:H149)=$B149,0,IF(K150&gt;0%,$B149,0%))</f>
        <v>0</v>
      </c>
      <c r="J149" s="395">
        <f ca="1">IF(SUM($G149:I149)=$B149,0,IF(L150&gt;0%,$B149,0%))</f>
        <v>0</v>
      </c>
      <c r="K149" s="395">
        <f ca="1">IF(SUM($G149:J149)=$B149,0,IF(M150&gt;0%,$B149,0%))</f>
        <v>0</v>
      </c>
      <c r="L149" s="395">
        <f ca="1">IF(SUM($G149:K149)=$B149,0,IF(N150&gt;0%,$B149,0%))</f>
        <v>0</v>
      </c>
      <c r="M149" s="395">
        <f ca="1">IF(SUM($G149:L149)=$B149,0,IF(O150&gt;0%,$B149,0%))</f>
        <v>0</v>
      </c>
      <c r="N149" s="395">
        <f ca="1">IF(SUM($G149:M149)=$B149,0,IF(P150&gt;0%,$B149,0%))</f>
        <v>0</v>
      </c>
      <c r="O149" s="395">
        <f ca="1">IF(SUM($G149:N149)=$B149,0,IF(Q150&gt;0%,$B149,0%))</f>
        <v>0</v>
      </c>
      <c r="P149" s="395">
        <f ca="1">IF(SUM($G149:O149)=$B149,0,IF(R150&gt;0%,$B149,0%))</f>
        <v>0</v>
      </c>
      <c r="Q149" s="395">
        <f ca="1">IF(SUM($G149:P149)=$B149,0,IF(S150&gt;0%,$B149,0%))</f>
        <v>0</v>
      </c>
      <c r="R149" s="395">
        <f ca="1">IF(SUM($G149:Q149)=$B149,0,IF(T150&gt;0%,$B149,0%))</f>
        <v>0</v>
      </c>
      <c r="S149" s="395">
        <f ca="1">IF(SUM($G149:R149)=$B149,0,IF(U150&gt;0%,$B149,0%))</f>
        <v>0</v>
      </c>
      <c r="T149" s="395">
        <f ca="1">IF(SUM($G149:S149)=$B149,0,IF(V150&gt;0%,$B149,0%))</f>
        <v>0</v>
      </c>
      <c r="U149" s="395">
        <f ca="1">IF(SUM($G149:T149)=$B149,0,IF(W150&gt;0%,$B149,0%))</f>
        <v>0</v>
      </c>
      <c r="V149" s="395">
        <f ca="1">IF(SUM($G149:U149)=$B149,0,IF(X150&gt;0%,$B149,0%))</f>
        <v>0</v>
      </c>
      <c r="W149" s="395">
        <f ca="1">IF(SUM($G149:V149)=$B149,0,IF(Y150&gt;0%,$B149,0%))</f>
        <v>0</v>
      </c>
      <c r="X149" s="395">
        <f ca="1">IF(SUM($G149:W149)=$B149,0,IF(Z150&gt;0%,$B149,0%))</f>
        <v>0</v>
      </c>
      <c r="Y149" s="395">
        <f ca="1">IF(SUM($G149:X149)=$B149,0,IF(AA150&gt;0%,$B149,0%))</f>
        <v>0</v>
      </c>
      <c r="Z149" s="395">
        <f ca="1">IF(SUM($G149:Y149)=$B149,0,IF(AB150&gt;0%,$B149,0%))</f>
        <v>0</v>
      </c>
      <c r="AA149" s="395">
        <f ca="1">IF(SUM($G149:Z149)=$B149,0,IF(AC150&gt;0%,$B149,0%))</f>
        <v>0</v>
      </c>
      <c r="AB149" s="395">
        <f ca="1">IF(SUM($G149:AA149)=$B149,0,IF(AD150&gt;0%,$B149,0%))</f>
        <v>0</v>
      </c>
      <c r="AC149" s="395">
        <f ca="1">IF(SUM($G149:AB149)=$B149,0,IF(AE150&gt;0%,$B149,0%))</f>
        <v>0</v>
      </c>
      <c r="AD149" s="395">
        <f ca="1">IF(SUM($G149:AC149)=$B149,0,IF(AF150&gt;0%,$B149,0%))</f>
        <v>0</v>
      </c>
      <c r="AE149" s="395">
        <f ca="1">IF(SUM($G149:AD149)=$B149,0,IF(AG150&gt;0%,$B149,0%))</f>
        <v>0</v>
      </c>
      <c r="AF149" s="395">
        <f ca="1">IF(SUM($G149:AE149)=$B149,0,IF(AH150&gt;0%,$B149,0%))</f>
        <v>0</v>
      </c>
      <c r="AG149" s="395">
        <f ca="1">IF(SUM($G149:AF149)=$B149,0,IF(AI150&gt;0%,$B149,0%))</f>
        <v>0</v>
      </c>
      <c r="AH149" s="395">
        <f ca="1">IF(SUM($G149:AG149)=$B149,0,IF(AJ150&gt;0%,$B149,0%))</f>
        <v>0</v>
      </c>
      <c r="AI149" s="395">
        <f ca="1">IF(SUM($G149:AH149)=$B149,0,IF(AK150&gt;0%,$B149,0%))</f>
        <v>0</v>
      </c>
      <c r="AJ149" s="395">
        <f ca="1">IF(SUM($G149:AI149)=$B149,0,IF(AL150&gt;0%,$B149,0%))</f>
        <v>0</v>
      </c>
      <c r="AK149" s="395">
        <f ca="1">IF(SUM($G149:AJ149)=$B149,0,IF(AM150&gt;0%,$B149,0%))</f>
        <v>0</v>
      </c>
      <c r="AL149" s="395">
        <f ca="1">IF(SUM($G149:AK149)=$B149,0,IF(AN150&gt;0%,$B149,0%))</f>
        <v>0</v>
      </c>
      <c r="AM149" s="395">
        <f ca="1">IF(SUM($G149:AL149)=$B149,0,IF(AO150&gt;0%,$B149,0%))</f>
        <v>0</v>
      </c>
      <c r="AN149" s="395">
        <f ca="1">IF(SUM($G149:AM149)=$B149,0,IF(AP150&gt;0%,$B149,0%))</f>
        <v>0</v>
      </c>
      <c r="AO149" s="395">
        <f ca="1">IF(SUM($G149:AN149)=$B149,0,IF(AQ150&gt;0%,$B149,0%))</f>
        <v>0</v>
      </c>
      <c r="AP149" s="395">
        <f ca="1">IF(SUM($G149:AO149)=$B149,0,IF(AR150&gt;0%,$B149,0%))</f>
        <v>0</v>
      </c>
      <c r="AQ149" s="395">
        <f ca="1">IF(SUM($G149:AP149)=$B149,0,IF(AS150&gt;0%,$B149,0%))</f>
        <v>0</v>
      </c>
      <c r="AR149" s="395">
        <f ca="1">IF(SUM($G149:AQ149)=$B149,0,IF(AT150&gt;0%,$B149,0%))</f>
        <v>0</v>
      </c>
      <c r="AS149" s="395">
        <f ca="1">IF(SUM($G149:AR149)=$B149,0,IF(AU150&gt;0%,$B149,0%))</f>
        <v>0</v>
      </c>
      <c r="AT149" s="395">
        <f ca="1">IF(SUM($G149:AS149)=$B149,0,IF(AV150&gt;0%,$B149,0%))</f>
        <v>0</v>
      </c>
      <c r="AU149" s="395">
        <f ca="1">IF(SUM($G149:AT149)=$B149,0,IF(AW150&gt;0%,$B149,0%))</f>
        <v>0</v>
      </c>
      <c r="AV149" s="395">
        <f ca="1">IF(SUM($G149:AU149)=$B149,0,IF(AX150&gt;0%,$B149,0%))</f>
        <v>0.3</v>
      </c>
      <c r="AW149" s="395">
        <f ca="1">IF(SUM($G149:AV149)=$B149,0,IF(AY150&gt;0%,$B149,0%))</f>
        <v>0</v>
      </c>
      <c r="AX149" s="395">
        <f ca="1">IF(SUM($G149:AW149)=$B149,0,IF(AZ150&gt;0%,$B149,0%))</f>
        <v>0</v>
      </c>
      <c r="AY149" s="395">
        <f ca="1">IF(SUM($G149:AX149)=$B149,0,IF(BA150&gt;0%,$B149,0%))</f>
        <v>0</v>
      </c>
      <c r="AZ149" s="395">
        <f ca="1">IF(SUM($G149:AY149)=$B149,0,IF(BB150&gt;0%,$B149,0%))</f>
        <v>0</v>
      </c>
      <c r="BA149" s="395">
        <f ca="1">IF(SUM($G149:AZ149)=$B149,0,IF(BC150&gt;0%,$B149,0%))</f>
        <v>0</v>
      </c>
      <c r="BB149" s="395">
        <f ca="1">IF(SUM($G149:BA149)=$B149,0,IF(BD150&gt;0%,$B149,0%))</f>
        <v>0</v>
      </c>
      <c r="BC149" s="395">
        <f ca="1">IF(SUM($G149:BB149)=$B149,0,IF(BE150&gt;0%,$B149,0%))</f>
        <v>0</v>
      </c>
      <c r="BD149" s="395">
        <f ca="1">IF(SUM($G149:BC149)=$B149,0,IF(BF150&gt;0%,$B149,0%))</f>
        <v>0</v>
      </c>
      <c r="BE149" s="395">
        <f ca="1">IF(SUM($G149:BD149)=$B149,0,IF(BG150&gt;0%,$B149,0%))</f>
        <v>0</v>
      </c>
      <c r="BF149" s="395">
        <f ca="1">IF(SUM($G149:BE149)=$B149,0,IF(BH150&gt;0%,$B149,0%))</f>
        <v>0</v>
      </c>
      <c r="BG149" s="395">
        <f ca="1">IF(SUM($G149:BF149)=$B149,0,IF(BI150&gt;0%,$B149,0%))</f>
        <v>0</v>
      </c>
      <c r="BH149" s="395">
        <f ca="1">IF(SUM($G149:BG149)=$B149,0,IF(BJ150&gt;0%,$B149,0%))</f>
        <v>0</v>
      </c>
      <c r="BI149" s="395">
        <f ca="1">IF(SUM($G149:BH149)=$B149,0,IF(BK150&gt;0%,$B149,0%))</f>
        <v>0</v>
      </c>
      <c r="BJ149" s="395">
        <f ca="1">IF(SUM($G149:BI149)=$B149,0,IF(BL150&gt;0%,$B149,0%))</f>
        <v>0</v>
      </c>
      <c r="BK149" s="395">
        <f ca="1">IF(SUM($G149:BJ149)=$B149,0,IF(BM150&gt;0%,$B149,0%))</f>
        <v>0</v>
      </c>
      <c r="BL149" s="395">
        <f ca="1">IF(SUM($G149:BK149)=$B149,0,IF(BN150&gt;0%,$B149,0%))</f>
        <v>0</v>
      </c>
      <c r="BM149" s="395">
        <f ca="1">IF(SUM($G149:BL149)=$B149,0,IF(BO150&gt;0%,$B149,0%))</f>
        <v>0</v>
      </c>
      <c r="BN149" s="395">
        <f ca="1">IF(SUM($G149:BM149)=$B149,0,IF(BP150&gt;0%,$B149,0%))</f>
        <v>0</v>
      </c>
      <c r="BO149" s="395">
        <f ca="1">IF(SUM($G149:BN149)=$B149,0,IF(BQ150&gt;0%,$B149,0%))</f>
        <v>0</v>
      </c>
      <c r="BP149" s="395">
        <f ca="1">IF(SUM($G149:BO149)=$B149,0,IF(BR150&gt;0%,$B149,0%))</f>
        <v>0</v>
      </c>
      <c r="BQ149" s="395">
        <f ca="1">IF(SUM($G149:BP149)=$B149,0,IF(BS150&gt;0%,$B149,0%))</f>
        <v>0</v>
      </c>
      <c r="BR149" s="395">
        <f ca="1">IF(SUM($G149:BQ149)=$B149,0,IF(BT150&gt;0%,$B149,0%))</f>
        <v>0</v>
      </c>
      <c r="BS149" s="395">
        <f ca="1">IF(SUM($G149:BR149)=$B149,0,IF(BU150&gt;0%,$B149,0%))</f>
        <v>0</v>
      </c>
      <c r="BT149" s="395">
        <f ca="1">IF(SUM($G149:BS149)=$B149,0,IF(BV150&gt;0%,$B149,0%))</f>
        <v>0</v>
      </c>
      <c r="BU149" s="395">
        <f ca="1">IF(SUM($G149:BT149)=$B149,0,IF(BW150&gt;0%,$B149,0%))</f>
        <v>0</v>
      </c>
      <c r="BV149" s="395">
        <f ca="1">IF(SUM($G149:BU149)=$B149,0,IF(BX150&gt;0%,$B149,0%))</f>
        <v>0</v>
      </c>
      <c r="BW149" s="395">
        <f ca="1">IF(SUM($G149:BV149)=$B149,0,IF(BY150&gt;0%,$B149,0%))</f>
        <v>0</v>
      </c>
      <c r="BX149" s="395">
        <f ca="1">IF(SUM($G149:BW149)=$B149,0,IF(BZ150&gt;0%,$B149,0%))</f>
        <v>0</v>
      </c>
      <c r="BY149" s="395">
        <f ca="1">IF(SUM($G149:BX149)=$B149,0,IF(CA150&gt;0%,$B149,0%))</f>
        <v>0</v>
      </c>
      <c r="BZ149" s="395">
        <f ca="1">IF(SUM($G149:BY149)=$B149,0,IF(CB150&gt;0%,$B149,0%))</f>
        <v>0</v>
      </c>
      <c r="CA149" s="395">
        <f ca="1">IF(SUM($G149:BZ149)=$B149,0,IF(CC150&gt;0%,$B149,0%))</f>
        <v>0</v>
      </c>
      <c r="CB149" s="395">
        <f ca="1">IF(SUM($G149:CA149)=$B149,0,IF(CD150&gt;0%,$B149,0%))</f>
        <v>0</v>
      </c>
      <c r="CC149" s="395">
        <f ca="1">IF(SUM($G149:CB149)=$B149,0,IF(CE150&gt;0%,$B149,0%))</f>
        <v>0</v>
      </c>
      <c r="CD149" s="395">
        <f ca="1">IF(SUM($G149:CC149)=$B149,0,IF(CF150&gt;0%,$B149,0%))</f>
        <v>0</v>
      </c>
      <c r="CE149" s="395">
        <f ca="1">IF(SUM($G149:CD149)=$B149,0,IF(CG150&gt;0%,$B149,0%))</f>
        <v>0</v>
      </c>
      <c r="CF149" s="395">
        <f ca="1">IF(SUM($G149:CE149)=$B149,0,IF(CH150&gt;0%,$B149,0%))</f>
        <v>0</v>
      </c>
      <c r="CG149" s="395">
        <f ca="1">IF(SUM($G149:CF149)=$B149,0,IF(CI150&gt;0%,$B149,0%))</f>
        <v>0</v>
      </c>
      <c r="CH149" s="395">
        <f ca="1">IF(SUM($G149:CG149)=$B149,0,IF(CJ150&gt;0%,$B149,0%))</f>
        <v>0</v>
      </c>
      <c r="CI149" s="395">
        <f ca="1">IF(SUM($G149:CH149)=$B149,0,IF(CK150&gt;0%,$B149,0%))</f>
        <v>0</v>
      </c>
      <c r="CJ149" s="395">
        <f ca="1">IF(SUM($G149:CI149)=$B149,0,IF(CL150&gt;0%,$B149,0%))</f>
        <v>0</v>
      </c>
      <c r="CK149" s="395">
        <f ca="1">IF(SUM($G149:CJ149)=$B149,0,IF(CM150&gt;0%,$B149,0%))</f>
        <v>0</v>
      </c>
      <c r="CL149" s="395">
        <f ca="1">IF(SUM($G149:CK149)=$B149,0,IF(CN150&gt;0%,$B149,0%))</f>
        <v>0</v>
      </c>
      <c r="CM149" s="395">
        <f ca="1">IF(SUM($G149:CL149)=$B149,0,IF(CO150&gt;0%,$B149,0%))</f>
        <v>0</v>
      </c>
      <c r="CN149" s="395">
        <f ca="1">IF(SUM($G149:CM149)=$B149,0,IF(CP150&gt;0%,$B149,0%))</f>
        <v>0</v>
      </c>
      <c r="CO149" s="395">
        <f ca="1">IF(SUM($G149:CN149)=$B149,0,IF(CQ150&gt;0%,$B149,0%))</f>
        <v>0</v>
      </c>
      <c r="CP149" s="395">
        <f ca="1">IF(SUM($G149:CO149)=$B149,0,IF(CR150&gt;0%,$B149,0%))</f>
        <v>0</v>
      </c>
      <c r="CQ149" s="395">
        <f ca="1">IF(SUM($G149:CP149)=$B149,0,IF(CS150&gt;0%,$B149,0%))</f>
        <v>0</v>
      </c>
      <c r="CR149" s="395">
        <f ca="1">IF(SUM($G149:CQ149)=$B149,0,IF(CT150&gt;0%,$B149,0%))</f>
        <v>0</v>
      </c>
      <c r="CS149" s="395">
        <f ca="1">IF(SUM($G149:CR149)=$B149,0,IF(CU150&gt;0%,$B149,0%))</f>
        <v>0</v>
      </c>
      <c r="CT149" s="395">
        <f ca="1">IF(SUM($G149:CS149)=$B149,0,IF(CV150&gt;0%,$B149,0%))</f>
        <v>0</v>
      </c>
      <c r="CU149" s="395">
        <f ca="1">IF(SUM($G149:CT149)=$B149,0,IF(CW150&gt;0%,$B149,0%))</f>
        <v>0</v>
      </c>
      <c r="CV149" s="395">
        <f ca="1">IF(SUM($G149:CU149)=$B149,0,IF(CX150&gt;0%,$B149,0%))</f>
        <v>0</v>
      </c>
      <c r="CW149" s="395">
        <f ca="1">IF(SUM($G149:CV149)=$B149,0,IF(CY150&gt;0%,$B149,0%))</f>
        <v>0</v>
      </c>
      <c r="CX149" s="395">
        <f ca="1">IF(SUM($G149:CW149)=$B149,0,IF(CZ150&gt;0%,$B149,0%))</f>
        <v>0</v>
      </c>
      <c r="CY149" s="395">
        <f ca="1">IF(SUM($G149:CX149)=$B149,0,IF(DA150&gt;0%,$B149,0%))</f>
        <v>0</v>
      </c>
      <c r="CZ149" s="395">
        <f ca="1">IF(SUM($G149:CY149)=$B149,0,IF(DB150&gt;0%,$B149,0%))</f>
        <v>0</v>
      </c>
      <c r="DA149" s="395">
        <f ca="1">IF(SUM($G149:CZ149)=$B149,0,IF(DC150&gt;0%,$B149,0%))</f>
        <v>0</v>
      </c>
      <c r="DB149" s="395">
        <f ca="1">IF(SUM($G149:DA149)=$B149,0,IF(DD150&gt;0%,$B149,0%))</f>
        <v>0</v>
      </c>
      <c r="DC149" s="395">
        <f ca="1">IF(SUM($G149:DB149)=$B149,0,IF(DE150&gt;0%,$B149,0%))</f>
        <v>0</v>
      </c>
      <c r="DD149" s="395">
        <f ca="1">IF(SUM($G149:DC149)=$B149,0,IF(DF150&gt;0%,$B149,0%))</f>
        <v>0</v>
      </c>
      <c r="DE149" s="395">
        <f ca="1">IF(SUM($G149:DD149)=$B149,0,IF(DG150&gt;0%,$B149,0%))</f>
        <v>0</v>
      </c>
      <c r="DF149" s="395">
        <f ca="1">IF(SUM($G149:DE149)=$B149,0,IF(DH150&gt;0%,$B149,0%))</f>
        <v>0</v>
      </c>
      <c r="DG149" s="395">
        <f ca="1">IF(SUM($G149:DF149)=$B149,0,IF(DI150&gt;0%,$B149,0%))</f>
        <v>0</v>
      </c>
      <c r="DH149" s="395">
        <f ca="1">IF(SUM($G149:DG149)=$B149,0,IF(DJ150&gt;0%,$B149,0%))</f>
        <v>0</v>
      </c>
      <c r="DI149" s="395">
        <f ca="1">IF(SUM($G149:DH149)=$B149,0,IF(DK150&gt;0%,$B149,0%))</f>
        <v>0</v>
      </c>
      <c r="DJ149" s="395">
        <f ca="1">IF(SUM($G149:DI149)=$B149,0,IF(DL150&gt;0%,$B149,0%))</f>
        <v>0</v>
      </c>
      <c r="DK149" s="395">
        <f ca="1">IF(SUM($G149:DJ149)=$B149,0,IF(DM150&gt;0%,$B149,0%))</f>
        <v>0</v>
      </c>
      <c r="DL149" s="395">
        <f ca="1">IF(SUM($G149:DK149)=$B149,0,IF(DN150&gt;0%,$B149,0%))</f>
        <v>0</v>
      </c>
      <c r="DM149" s="395">
        <f ca="1">IF(SUM($G149:DL149)=$B149,0,IF(DO150&gt;0%,$B149,0%))</f>
        <v>0</v>
      </c>
      <c r="DN149" s="395">
        <f ca="1">IF(SUM($G149:DM149)=$B149,0,IF(DP150&gt;0%,$B149,0%))</f>
        <v>0</v>
      </c>
      <c r="DO149" s="395">
        <f ca="1">IF(SUM($G149:DN149)=$B149,0,IF(DQ150&gt;0%,$B149,0%))</f>
        <v>0</v>
      </c>
      <c r="DP149" s="395">
        <f ca="1">IF(SUM($G149:DO149)=$B149,0,IF(DR150&gt;0%,$B149,0%))</f>
        <v>0</v>
      </c>
      <c r="DQ149" s="395">
        <f ca="1">IF(SUM($G149:DP149)=$B149,0,IF(DS150&gt;0%,$B149,0%))</f>
        <v>0</v>
      </c>
      <c r="DR149" s="395">
        <f ca="1">IF(SUM($G149:DQ149)=$B149,0,IF(DT150&gt;0%,$B149,0%))</f>
        <v>0</v>
      </c>
      <c r="DS149" s="395">
        <f ca="1">IF(SUM($G149:DR149)=$B149,0,IF(DU150&gt;0%,$B149,0%))</f>
        <v>0</v>
      </c>
      <c r="DT149" s="395">
        <f ca="1">IF(SUM($G149:DS149)=$B149,0,IF(DV150&gt;0%,$B149,0%))</f>
        <v>0</v>
      </c>
      <c r="DU149" s="395">
        <f ca="1">IF(SUM($G149:DT149)=$B149,0,IF(DW150&gt;0%,$B149,0%))</f>
        <v>0</v>
      </c>
      <c r="DV149" s="395">
        <f ca="1">IF(SUM($G149:DU149)=$B149,0,IF(DX150&gt;0%,$B149,0%))</f>
        <v>0</v>
      </c>
      <c r="DW149" s="395">
        <f ca="1">IF(SUM($G149:DV149)=$B149,0,IF(DY150&gt;0%,$B149,0%))</f>
        <v>0</v>
      </c>
      <c r="DX149" s="395">
        <f ca="1">IF(SUM($G149:DW149)=$B149,0,IF(DZ150&gt;0%,$B149,0%))</f>
        <v>0</v>
      </c>
      <c r="DY149" s="395">
        <f ca="1">IF(SUM($G149:DX149)=$B149,0,IF(EA150&gt;0%,$B149,0%))</f>
        <v>0</v>
      </c>
      <c r="DZ149" s="395">
        <f ca="1">IF(SUM($G149:DY149)=$B149,0,IF(EB150&gt;0%,$B149,0%))</f>
        <v>0</v>
      </c>
      <c r="EA149" s="395">
        <f ca="1">IF(SUM($G149:DZ149)=$B149,0,IF(EC150&gt;0%,$B149,0%))</f>
        <v>0</v>
      </c>
      <c r="EB149" s="395">
        <f ca="1">IF(SUM($G149:EA149)=$B149,0,IF(ED150&gt;0%,$B149,0%))</f>
        <v>0</v>
      </c>
      <c r="EC149" s="395">
        <f ca="1">IF(SUM($G149:EB149)=$B149,0,IF(EE150&gt;0%,$B149,0%))</f>
        <v>0</v>
      </c>
      <c r="ED149" s="395">
        <f ca="1">IF(SUM($G149:EC149)=$B149,0,IF(EF150&gt;0%,$B149,0%))</f>
        <v>0</v>
      </c>
      <c r="EE149" s="395">
        <f ca="1">IF(SUM($G149:ED149)=$B149,0,IF(EG150&gt;0%,$B149,0%))</f>
        <v>0</v>
      </c>
      <c r="EF149" s="395">
        <f ca="1">IF(SUM($G149:EE149)=$B149,0,IF(EH150&gt;0%,$B149,0%))</f>
        <v>0</v>
      </c>
      <c r="EG149" s="395">
        <f ca="1">IF(SUM($G149:EF149)=$B149,0,IF(EI150&gt;0%,$B149,0%))</f>
        <v>0</v>
      </c>
      <c r="EH149" s="395">
        <f ca="1">IF(SUM($G149:EG149)=$B149,0,IF(EJ150&gt;0%,$B149,0%))</f>
        <v>0</v>
      </c>
      <c r="EI149" s="395">
        <f ca="1">IF(SUM($G149:EH149)=$B149,0,IF(EK150&gt;0%,$B149,0%))</f>
        <v>0</v>
      </c>
      <c r="EJ149" s="398"/>
      <c r="EK149" s="313"/>
    </row>
    <row r="150" spans="1:141" hidden="1" outlineLevel="2">
      <c r="A150" s="332"/>
      <c r="B150" s="548">
        <f t="shared" ref="B150:B152" si="367">B145</f>
        <v>0.64999999999999991</v>
      </c>
      <c r="C150" s="317"/>
      <c r="D150" s="317" t="s">
        <v>663</v>
      </c>
      <c r="E150" s="318">
        <f ca="1">ROUND(IF(F150=0,0,B150-F150),3)</f>
        <v>0</v>
      </c>
      <c r="F150" s="397">
        <f t="shared" ca="1" si="362"/>
        <v>0.65</v>
      </c>
      <c r="G150" s="395"/>
      <c r="H150" s="395"/>
      <c r="I150" s="395">
        <f ca="1">IF($E$319=0,0,IF(SUM($G150:H150)=$B150,0,IF(SUM($G319:H319)&gt;=$E319,($B150/$E319)*($E319-SUM($G319:G319)),($B150/$E319)*H319)))</f>
        <v>0</v>
      </c>
      <c r="J150" s="395">
        <f ca="1">IF($E$319=0,0,IF(SUM($G150:I150)=$B150,0,IF(SUM($G319:I319)&gt;=$E319,($B150/$E319)*($E319-SUM($G319:H319)),($B150/$E319)*I319)))</f>
        <v>0</v>
      </c>
      <c r="K150" s="395">
        <f ca="1">IF($E$319=0,0,IF(SUM($G150:J150)=$B150,0,IF(SUM($G319:J319)&gt;=$E319,($B150/$E319)*($E319-SUM($G319:I319)),($B150/$E319)*J319)))</f>
        <v>0</v>
      </c>
      <c r="L150" s="395">
        <f ca="1">IF($E$319=0,0,IF(SUM($G150:K150)=$B150,0,IF(SUM($G319:K319)&gt;=$E319,($B150/$E319)*($E319-SUM($G319:J319)),($B150/$E319)*K319)))</f>
        <v>0</v>
      </c>
      <c r="M150" s="395">
        <f ca="1">IF($E$319=0,0,IF(SUM($G150:L150)=$B150,0,IF(SUM($G319:L319)&gt;=$E319,($B150/$E319)*($E319-SUM($G319:K319)),($B150/$E319)*L319)))</f>
        <v>0</v>
      </c>
      <c r="N150" s="395">
        <f ca="1">IF($E$319=0,0,IF(SUM($G150:M150)=$B150,0,IF(SUM($G319:M319)&gt;=$E319,($B150/$E319)*($E319-SUM($G319:L319)),($B150/$E319)*M319)))</f>
        <v>0</v>
      </c>
      <c r="O150" s="395">
        <f ca="1">IF($E$319=0,0,IF(SUM($G150:N150)=$B150,0,IF(SUM($G319:N319)&gt;=$E319,($B150/$E319)*($E319-SUM($G319:M319)),($B150/$E319)*N319)))</f>
        <v>0</v>
      </c>
      <c r="P150" s="395">
        <f ca="1">IF($E$319=0,0,IF(SUM($G150:O150)=$B150,0,IF(SUM($G319:O319)&gt;=$E319,($B150/$E319)*($E319-SUM($G319:N319)),($B150/$E319)*O319)))</f>
        <v>0</v>
      </c>
      <c r="Q150" s="395">
        <f ca="1">IF($E$319=0,0,IF(SUM($G150:P150)=$B150,0,IF(SUM($G319:P319)&gt;=$E319,($B150/$E319)*($E319-SUM($G319:O319)),($B150/$E319)*P319)))</f>
        <v>0</v>
      </c>
      <c r="R150" s="395">
        <f ca="1">IF($E$319=0,0,IF(SUM($G150:Q150)=$B150,0,IF(SUM($G319:Q319)&gt;=$E319,($B150/$E319)*($E319-SUM($G319:P319)),($B150/$E319)*Q319)))</f>
        <v>0</v>
      </c>
      <c r="S150" s="395">
        <f ca="1">IF($E$319=0,0,IF(SUM($G150:R150)=$B150,0,IF(SUM($G319:R319)&gt;=$E319,($B150/$E319)*($E319-SUM($G319:Q319)),($B150/$E319)*R319)))</f>
        <v>0</v>
      </c>
      <c r="T150" s="395">
        <f ca="1">IF($E$319=0,0,IF(SUM($G150:S150)=$B150,0,IF(SUM($G319:S319)&gt;=$E319,($B150/$E319)*($E319-SUM($G319:R319)),($B150/$E319)*S319)))</f>
        <v>0</v>
      </c>
      <c r="U150" s="395">
        <f ca="1">IF($E$319=0,0,IF(SUM($G150:T150)=$B150,0,IF(SUM($G319:T319)&gt;=$E319,($B150/$E319)*($E319-SUM($G319:S319)),($B150/$E319)*T319)))</f>
        <v>0</v>
      </c>
      <c r="V150" s="395">
        <f ca="1">IF($E$319=0,0,IF(SUM($G150:U150)=$B150,0,IF(SUM($G319:U319)&gt;=$E319,($B150/$E319)*($E319-SUM($G319:T319)),($B150/$E319)*U319)))</f>
        <v>0</v>
      </c>
      <c r="W150" s="395">
        <f ca="1">IF($E$319=0,0,IF(SUM($G150:V150)=$B150,0,IF(SUM($G319:V319)&gt;=$E319,($B150/$E319)*($E319-SUM($G319:U319)),($B150/$E319)*V319)))</f>
        <v>0</v>
      </c>
      <c r="X150" s="395">
        <f ca="1">IF($E$319=0,0,IF(SUM($G150:W150)=$B150,0,IF(SUM($G319:W319)&gt;=$E319,($B150/$E319)*($E319-SUM($G319:V319)),($B150/$E319)*W319)))</f>
        <v>0</v>
      </c>
      <c r="Y150" s="395">
        <f ca="1">IF($E$319=0,0,IF(SUM($G150:X150)=$B150,0,IF(SUM($G319:X319)&gt;=$E319,($B150/$E319)*($E319-SUM($G319:W319)),($B150/$E319)*X319)))</f>
        <v>0</v>
      </c>
      <c r="Z150" s="395">
        <f ca="1">IF($E$319=0,0,IF(SUM($G150:Y150)=$B150,0,IF(SUM($G319:Y319)&gt;=$E319,($B150/$E319)*($E319-SUM($G319:X319)),($B150/$E319)*Y319)))</f>
        <v>0</v>
      </c>
      <c r="AA150" s="395">
        <f ca="1">IF($E$319=0,0,IF(SUM($G150:Z150)=$B150,0,IF(SUM($G319:Z319)&gt;=$E319,($B150/$E319)*($E319-SUM($G319:Y319)),($B150/$E319)*Z319)))</f>
        <v>0</v>
      </c>
      <c r="AB150" s="395">
        <f ca="1">IF($E$319=0,0,IF(SUM($G150:AA150)=$B150,0,IF(SUM($G319:AA319)&gt;=$E319,($B150/$E319)*($E319-SUM($G319:Z319)),($B150/$E319)*AA319)))</f>
        <v>0</v>
      </c>
      <c r="AC150" s="395">
        <f ca="1">IF($E$319=0,0,IF(SUM($G150:AB150)=$B150,0,IF(SUM($G319:AB319)&gt;=$E319,($B150/$E319)*($E319-SUM($G319:AA319)),($B150/$E319)*AB319)))</f>
        <v>0</v>
      </c>
      <c r="AD150" s="395">
        <f ca="1">IF($E$319=0,0,IF(SUM($G150:AC150)=$B150,0,IF(SUM($G319:AC319)&gt;=$E319,($B150/$E319)*($E319-SUM($G319:AB319)),($B150/$E319)*AC319)))</f>
        <v>0</v>
      </c>
      <c r="AE150" s="395">
        <f ca="1">IF($E$319=0,0,IF(SUM($G150:AD150)=$B150,0,IF(SUM($G319:AD319)&gt;=$E319,($B150/$E319)*($E319-SUM($G319:AC319)),($B150/$E319)*AD319)))</f>
        <v>0</v>
      </c>
      <c r="AF150" s="395">
        <f ca="1">IF($E$319=0,0,IF(SUM($G150:AE150)=$B150,0,IF(SUM($G319:AE319)&gt;=$E319,($B150/$E319)*($E319-SUM($G319:AD319)),($B150/$E319)*AE319)))</f>
        <v>0</v>
      </c>
      <c r="AG150" s="395">
        <f ca="1">IF($E$319=0,0,IF(SUM($G150:AF150)=$B150,0,IF(SUM($G319:AF319)&gt;=$E319,($B150/$E319)*($E319-SUM($G319:AE319)),($B150/$E319)*AF319)))</f>
        <v>0</v>
      </c>
      <c r="AH150" s="395">
        <f ca="1">IF($E$319=0,0,IF(SUM($G150:AG150)=$B150,0,IF(SUM($G319:AG319)&gt;=$E319,($B150/$E319)*($E319-SUM($G319:AF319)),($B150/$E319)*AG319)))</f>
        <v>0</v>
      </c>
      <c r="AI150" s="395">
        <f ca="1">IF($E$319=0,0,IF(SUM($G150:AH150)=$B150,0,IF(SUM($G319:AH319)&gt;=$E319,($B150/$E319)*($E319-SUM($G319:AG319)),($B150/$E319)*AH319)))</f>
        <v>0</v>
      </c>
      <c r="AJ150" s="395">
        <f ca="1">IF($E$319=0,0,IF(SUM($G150:AI150)=$B150,0,IF(SUM($G319:AI319)&gt;=$E319,($B150/$E319)*($E319-SUM($G319:AH319)),($B150/$E319)*AI319)))</f>
        <v>0</v>
      </c>
      <c r="AK150" s="395">
        <f ca="1">IF($E$319=0,0,IF(SUM($G150:AJ150)=$B150,0,IF(SUM($G319:AJ319)&gt;=$E319,($B150/$E319)*($E319-SUM($G319:AI319)),($B150/$E319)*AJ319)))</f>
        <v>0</v>
      </c>
      <c r="AL150" s="395">
        <f ca="1">IF($E$319=0,0,IF(SUM($G150:AK150)=$B150,0,IF(SUM($G319:AK319)&gt;=$E319,($B150/$E319)*($E319-SUM($G319:AJ319)),($B150/$E319)*AK319)))</f>
        <v>0</v>
      </c>
      <c r="AM150" s="395">
        <f ca="1">IF($E$319=0,0,IF(SUM($G150:AL150)=$B150,0,IF(SUM($G319:AL319)&gt;=$E319,($B150/$E319)*($E319-SUM($G319:AK319)),($B150/$E319)*AL319)))</f>
        <v>0</v>
      </c>
      <c r="AN150" s="395">
        <f ca="1">IF($E$319=0,0,IF(SUM($G150:AM150)=$B150,0,IF(SUM($G319:AM319)&gt;=$E319,($B150/$E319)*($E319-SUM($G319:AL319)),($B150/$E319)*AM319)))</f>
        <v>0</v>
      </c>
      <c r="AO150" s="395">
        <f ca="1">IF($E$319=0,0,IF(SUM($G150:AN150)=$B150,0,IF(SUM($G319:AN319)&gt;=$E319,($B150/$E319)*($E319-SUM($G319:AM319)),($B150/$E319)*AN319)))</f>
        <v>0</v>
      </c>
      <c r="AP150" s="395">
        <f ca="1">IF($E$319=0,0,IF(SUM($G150:AO150)=$B150,0,IF(SUM($G319:AO319)&gt;=$E319,($B150/$E319)*($E319-SUM($G319:AN319)),($B150/$E319)*AO319)))</f>
        <v>0</v>
      </c>
      <c r="AQ150" s="395">
        <f ca="1">IF($E$319=0,0,IF(SUM($G150:AP150)=$B150,0,IF(SUM($G319:AP319)&gt;=$E319,($B150/$E319)*($E319-SUM($G319:AO319)),($B150/$E319)*AP319)))</f>
        <v>0</v>
      </c>
      <c r="AR150" s="395">
        <f ca="1">IF($E$319=0,0,IF(SUM($G150:AQ150)=$B150,0,IF(SUM($G319:AQ319)&gt;=$E319,($B150/$E319)*($E319-SUM($G319:AP319)),($B150/$E319)*AQ319)))</f>
        <v>0</v>
      </c>
      <c r="AS150" s="395">
        <f ca="1">IF($E$319=0,0,IF(SUM($G150:AR150)=$B150,0,IF(SUM($G319:AR319)&gt;=$E319,($B150/$E319)*($E319-SUM($G319:AQ319)),($B150/$E319)*AR319)))</f>
        <v>0</v>
      </c>
      <c r="AT150" s="395">
        <f ca="1">IF($E$319=0,0,IF(SUM($G150:AS150)=$B150,0,IF(SUM($G319:AS319)&gt;=$E319,($B150/$E319)*($E319-SUM($G319:AR319)),($B150/$E319)*AS319)))</f>
        <v>0</v>
      </c>
      <c r="AU150" s="395">
        <f ca="1">IF($E$319=0,0,IF(SUM($G150:AT150)=$B150,0,IF(SUM($G319:AT319)&gt;=$E319,($B150/$E319)*($E319-SUM($G319:AS319)),($B150/$E319)*AT319)))</f>
        <v>0</v>
      </c>
      <c r="AV150" s="395">
        <f ca="1">IF($E$319=0,0,IF(SUM($G150:AU150)=$B150,0,IF(SUM($G319:AU319)&gt;=$E319,($B150/$E319)*($E319-SUM($G319:AT319)),($B150/$E319)*AU319)))</f>
        <v>0</v>
      </c>
      <c r="AW150" s="395">
        <f ca="1">IF($E$319=0,0,IF(SUM($G150:AV150)=$B150,0,IF(SUM($G319:AV319)&gt;=$E319,($B150/$E319)*($E319-SUM($G319:AU319)),($B150/$E319)*AV319)))</f>
        <v>0</v>
      </c>
      <c r="AX150" s="395">
        <f ca="1">IF($E$319=0,0,IF(SUM($G150:AW150)=$B150,0,IF(SUM($G319:AW319)&gt;=$E319,($B150/$E319)*($E319-SUM($G319:AV319)),($B150/$E319)*AW319)))</f>
        <v>1.3792016806722719E-2</v>
      </c>
      <c r="AY150" s="395">
        <f ca="1">IF($E$319=0,0,IF(SUM($G150:AX150)=$B150,0,IF(SUM($G319:AX319)&gt;=$E319,($B150/$E319)*($E319-SUM($G319:AW319)),($B150/$E319)*AX319)))</f>
        <v>8.4663865546218478E-2</v>
      </c>
      <c r="AZ150" s="395">
        <f ca="1">IF($E$319=0,0,IF(SUM($G150:AY150)=$B150,0,IF(SUM($G319:AY319)&gt;=$E319,($B150/$E319)*($E319-SUM($G319:AX319)),($B150/$E319)*AY319)))</f>
        <v>8.1932773109243698E-2</v>
      </c>
      <c r="BA150" s="395">
        <f ca="1">IF($E$319=0,0,IF(SUM($G150:AZ150)=$B150,0,IF(SUM($G319:AZ319)&gt;=$E319,($B150/$E319)*($E319-SUM($G319:AY319)),($B150/$E319)*AZ319)))</f>
        <v>8.4663865546218478E-2</v>
      </c>
      <c r="BB150" s="395">
        <f ca="1">IF($E$319=0,0,IF(SUM($G150:BA150)=$B150,0,IF(SUM($G319:BA319)&gt;=$E319,($B150/$E319)*($E319-SUM($G319:AZ319)),($B150/$E319)*BA319)))</f>
        <v>8.4663865546218478E-2</v>
      </c>
      <c r="BC150" s="395">
        <f ca="1">IF($E$319=0,0,IF(SUM($G150:BB150)=$B150,0,IF(SUM($G319:BB319)&gt;=$E319,($B150/$E319)*($E319-SUM($G319:BA319)),($B150/$E319)*BB319)))</f>
        <v>7.647058823529411E-2</v>
      </c>
      <c r="BD150" s="395">
        <f ca="1">IF($E$319=0,0,IF(SUM($G150:BC150)=$B150,0,IF(SUM($G319:BC319)&gt;=$E319,($B150/$E319)*($E319-SUM($G319:BB319)),($B150/$E319)*BC319)))</f>
        <v>8.4663865546218478E-2</v>
      </c>
      <c r="BE150" s="395">
        <f ca="1">IF($E$319=0,0,IF(SUM($G150:BD150)=$B150,0,IF(SUM($G319:BD319)&gt;=$E319,($B150/$E319)*($E319-SUM($G319:BC319)),($B150/$E319)*BD319)))</f>
        <v>8.1932773109243698E-2</v>
      </c>
      <c r="BF150" s="395">
        <f ca="1">IF($E$319=0,0,IF(SUM($G150:BE150)=$B150,0,IF(SUM($G319:BE319)&gt;=$E319,($B150/$E319)*($E319-SUM($G319:BD319)),($B150/$E319)*BE319)))</f>
        <v>5.7216386554621815E-2</v>
      </c>
      <c r="BG150" s="395">
        <f ca="1">IF($E$319=0,0,IF(SUM($G150:BF150)=$B150,0,IF(SUM($G319:BF319)&gt;=$E319,($B150/$E319)*($E319-SUM($G319:BE319)),($B150/$E319)*BF319)))</f>
        <v>0</v>
      </c>
      <c r="BH150" s="395">
        <f ca="1">IF($E$319=0,0,IF(SUM($G150:BG150)=$B150,0,IF(SUM($G319:BG319)&gt;=$E319,($B150/$E319)*($E319-SUM($G319:BF319)),($B150/$E319)*BG319)))</f>
        <v>0</v>
      </c>
      <c r="BI150" s="395">
        <f ca="1">IF($E$319=0,0,IF(SUM($G150:BH150)=$B150,0,IF(SUM($G319:BH319)&gt;=$E319,($B150/$E319)*($E319-SUM($G319:BG319)),($B150/$E319)*BH319)))</f>
        <v>0</v>
      </c>
      <c r="BJ150" s="395">
        <f ca="1">IF($E$319=0,0,IF(SUM($G150:BI150)=$B150,0,IF(SUM($G319:BI319)&gt;=$E319,($B150/$E319)*($E319-SUM($G319:BH319)),($B150/$E319)*BI319)))</f>
        <v>0</v>
      </c>
      <c r="BK150" s="395">
        <f ca="1">IF($E$319=0,0,IF(SUM($G150:BJ150)=$B150,0,IF(SUM($G319:BJ319)&gt;=$E319,($B150/$E319)*($E319-SUM($G319:BI319)),($B150/$E319)*BJ319)))</f>
        <v>0</v>
      </c>
      <c r="BL150" s="395">
        <f ca="1">IF($E$319=0,0,IF(SUM($G150:BK150)=$B150,0,IF(SUM($G319:BK319)&gt;=$E319,($B150/$E319)*($E319-SUM($G319:BJ319)),($B150/$E319)*BK319)))</f>
        <v>0</v>
      </c>
      <c r="BM150" s="395">
        <f ca="1">IF($E$319=0,0,IF(SUM($G150:BL150)=$B150,0,IF(SUM($G319:BL319)&gt;=$E319,($B150/$E319)*($E319-SUM($G319:BK319)),($B150/$E319)*BL319)))</f>
        <v>0</v>
      </c>
      <c r="BN150" s="395">
        <f ca="1">IF($E$319=0,0,IF(SUM($G150:BM150)=$B150,0,IF(SUM($G319:BM319)&gt;=$E319,($B150/$E319)*($E319-SUM($G319:BL319)),($B150/$E319)*BM319)))</f>
        <v>0</v>
      </c>
      <c r="BO150" s="395">
        <f ca="1">IF($E$319=0,0,IF(SUM($G150:BN150)=$B150,0,IF(SUM($G319:BN319)&gt;=$E319,($B150/$E319)*($E319-SUM($G319:BM319)),($B150/$E319)*BN319)))</f>
        <v>0</v>
      </c>
      <c r="BP150" s="395">
        <f ca="1">IF($E$319=0,0,IF(SUM($G150:BO150)=$B150,0,IF(SUM($G319:BO319)&gt;=$E319,($B150/$E319)*($E319-SUM($G319:BN319)),($B150/$E319)*BO319)))</f>
        <v>0</v>
      </c>
      <c r="BQ150" s="395">
        <f ca="1">IF($E$319=0,0,IF(SUM($G150:BP150)=$B150,0,IF(SUM($G319:BP319)&gt;=$E319,($B150/$E319)*($E319-SUM($G319:BO319)),($B150/$E319)*BP319)))</f>
        <v>0</v>
      </c>
      <c r="BR150" s="395">
        <f ca="1">IF($E$319=0,0,IF(SUM($G150:BQ150)=$B150,0,IF(SUM($G319:BQ319)&gt;=$E319,($B150/$E319)*($E319-SUM($G319:BP319)),($B150/$E319)*BQ319)))</f>
        <v>0</v>
      </c>
      <c r="BS150" s="395">
        <f ca="1">IF($E$319=0,0,IF(SUM($G150:BR150)=$B150,0,IF(SUM($G319:BR319)&gt;=$E319,($B150/$E319)*($E319-SUM($G319:BQ319)),($B150/$E319)*BR319)))</f>
        <v>0</v>
      </c>
      <c r="BT150" s="395">
        <f ca="1">IF($E$319=0,0,IF(SUM($G150:BS150)=$B150,0,IF(SUM($G319:BS319)&gt;=$E319,($B150/$E319)*($E319-SUM($G319:BR319)),($B150/$E319)*BS319)))</f>
        <v>0</v>
      </c>
      <c r="BU150" s="395">
        <f ca="1">IF($E$319=0,0,IF(SUM($G150:BT150)=$B150,0,IF(SUM($G319:BT319)&gt;=$E319,($B150/$E319)*($E319-SUM($G319:BS319)),($B150/$E319)*BT319)))</f>
        <v>0</v>
      </c>
      <c r="BV150" s="395">
        <f ca="1">IF($E$319=0,0,IF(SUM($G150:BU150)=$B150,0,IF(SUM($G319:BU319)&gt;=$E319,($B150/$E319)*($E319-SUM($G319:BT319)),($B150/$E319)*BU319)))</f>
        <v>0</v>
      </c>
      <c r="BW150" s="395">
        <f ca="1">IF($E$319=0,0,IF(SUM($G150:BV150)=$B150,0,IF(SUM($G319:BV319)&gt;=$E319,($B150/$E319)*($E319-SUM($G319:BU319)),($B150/$E319)*BV319)))</f>
        <v>0</v>
      </c>
      <c r="BX150" s="395">
        <f ca="1">IF($E$319=0,0,IF(SUM($G150:BW150)=$B150,0,IF(SUM($G319:BW319)&gt;=$E319,($B150/$E319)*($E319-SUM($G319:BV319)),($B150/$E319)*BW319)))</f>
        <v>0</v>
      </c>
      <c r="BY150" s="395">
        <f ca="1">IF($E$319=0,0,IF(SUM($G150:BX150)=$B150,0,IF(SUM($G319:BX319)&gt;=$E319,($B150/$E319)*($E319-SUM($G319:BW319)),($B150/$E319)*BX319)))</f>
        <v>0</v>
      </c>
      <c r="BZ150" s="395">
        <f ca="1">IF($E$319=0,0,IF(SUM($G150:BY150)=$B150,0,IF(SUM($G319:BY319)&gt;=$E319,($B150/$E319)*($E319-SUM($G319:BX319)),($B150/$E319)*BY319)))</f>
        <v>0</v>
      </c>
      <c r="CA150" s="395">
        <f ca="1">IF($E$319=0,0,IF(SUM($G150:BZ150)=$B150,0,IF(SUM($G319:BZ319)&gt;=$E319,($B150/$E319)*($E319-SUM($G319:BY319)),($B150/$E319)*BZ319)))</f>
        <v>0</v>
      </c>
      <c r="CB150" s="395">
        <f ca="1">IF($E$319=0,0,IF(SUM($G150:CA150)=$B150,0,IF(SUM($G319:CA319)&gt;=$E319,($B150/$E319)*($E319-SUM($G319:BZ319)),($B150/$E319)*CA319)))</f>
        <v>0</v>
      </c>
      <c r="CC150" s="395">
        <f ca="1">IF($E$319=0,0,IF(SUM($G150:CB150)=$B150,0,IF(SUM($G319:CB319)&gt;=$E319,($B150/$E319)*($E319-SUM($G319:CA319)),($B150/$E319)*CB319)))</f>
        <v>0</v>
      </c>
      <c r="CD150" s="395">
        <f ca="1">IF($E$319=0,0,IF(SUM($G150:CC150)=$B150,0,IF(SUM($G319:CC319)&gt;=$E319,($B150/$E319)*($E319-SUM($G319:CB319)),($B150/$E319)*CC319)))</f>
        <v>0</v>
      </c>
      <c r="CE150" s="395">
        <f ca="1">IF($E$319=0,0,IF(SUM($G150:CD150)=$B150,0,IF(SUM($G319:CD319)&gt;=$E319,($B150/$E319)*($E319-SUM($G319:CC319)),($B150/$E319)*CD319)))</f>
        <v>0</v>
      </c>
      <c r="CF150" s="395">
        <f ca="1">IF($E$319=0,0,IF(SUM($G150:CE150)=$B150,0,IF(SUM($G319:CE319)&gt;=$E319,($B150/$E319)*($E319-SUM($G319:CD319)),($B150/$E319)*CE319)))</f>
        <v>0</v>
      </c>
      <c r="CG150" s="395">
        <f ca="1">IF($E$319=0,0,IF(SUM($G150:CF150)=$B150,0,IF(SUM($G319:CF319)&gt;=$E319,($B150/$E319)*($E319-SUM($G319:CE319)),($B150/$E319)*CF319)))</f>
        <v>0</v>
      </c>
      <c r="CH150" s="395">
        <f ca="1">IF($E$319=0,0,IF(SUM($G150:CG150)=$B150,0,IF(SUM($G319:CG319)&gt;=$E319,($B150/$E319)*($E319-SUM($G319:CF319)),($B150/$E319)*CG319)))</f>
        <v>0</v>
      </c>
      <c r="CI150" s="395">
        <f ca="1">IF($E$319=0,0,IF(SUM($G150:CH150)=$B150,0,IF(SUM($G319:CH319)&gt;=$E319,($B150/$E319)*($E319-SUM($G319:CG319)),($B150/$E319)*CH319)))</f>
        <v>0</v>
      </c>
      <c r="CJ150" s="395">
        <f ca="1">IF($E$319=0,0,IF(SUM($G150:CI150)=$B150,0,IF(SUM($G319:CI319)&gt;=$E319,($B150/$E319)*($E319-SUM($G319:CH319)),($B150/$E319)*CI319)))</f>
        <v>0</v>
      </c>
      <c r="CK150" s="395">
        <f ca="1">IF($E$319=0,0,IF(SUM($G150:CJ150)=$B150,0,IF(SUM($G319:CJ319)&gt;=$E319,($B150/$E319)*($E319-SUM($G319:CI319)),($B150/$E319)*CJ319)))</f>
        <v>0</v>
      </c>
      <c r="CL150" s="395">
        <f ca="1">IF($E$319=0,0,IF(SUM($G150:CK150)=$B150,0,IF(SUM($G319:CK319)&gt;=$E319,($B150/$E319)*($E319-SUM($G319:CJ319)),($B150/$E319)*CK319)))</f>
        <v>0</v>
      </c>
      <c r="CM150" s="395">
        <f ca="1">IF($E$319=0,0,IF(SUM($G150:CL150)=$B150,0,IF(SUM($G319:CL319)&gt;=$E319,($B150/$E319)*($E319-SUM($G319:CK319)),($B150/$E319)*CL319)))</f>
        <v>0</v>
      </c>
      <c r="CN150" s="395">
        <f ca="1">IF($E$319=0,0,IF(SUM($G150:CM150)=$B150,0,IF(SUM($G319:CM319)&gt;=$E319,($B150/$E319)*($E319-SUM($G319:CL319)),($B150/$E319)*CM319)))</f>
        <v>0</v>
      </c>
      <c r="CO150" s="395">
        <f ca="1">IF($E$319=0,0,IF(SUM($G150:CN150)=$B150,0,IF(SUM($G319:CN319)&gt;=$E319,($B150/$E319)*($E319-SUM($G319:CM319)),($B150/$E319)*CN319)))</f>
        <v>0</v>
      </c>
      <c r="CP150" s="395">
        <f ca="1">IF($E$319=0,0,IF(SUM($G150:CO150)=$B150,0,IF(SUM($G319:CO319)&gt;=$E319,($B150/$E319)*($E319-SUM($G319:CN319)),($B150/$E319)*CO319)))</f>
        <v>0</v>
      </c>
      <c r="CQ150" s="395">
        <f ca="1">IF($E$319=0,0,IF(SUM($G150:CP150)=$B150,0,IF(SUM($G319:CP319)&gt;=$E319,($B150/$E319)*($E319-SUM($G319:CO319)),($B150/$E319)*CP319)))</f>
        <v>0</v>
      </c>
      <c r="CR150" s="395">
        <f ca="1">IF($E$319=0,0,IF(SUM($G150:CQ150)=$B150,0,IF(SUM($G319:CQ319)&gt;=$E319,($B150/$E319)*($E319-SUM($G319:CP319)),($B150/$E319)*CQ319)))</f>
        <v>0</v>
      </c>
      <c r="CS150" s="395">
        <f ca="1">IF($E$319=0,0,IF(SUM($G150:CR150)=$B150,0,IF(SUM($G319:CR319)&gt;=$E319,($B150/$E319)*($E319-SUM($G319:CQ319)),($B150/$E319)*CR319)))</f>
        <v>0</v>
      </c>
      <c r="CT150" s="395">
        <f ca="1">IF($E$319=0,0,IF(SUM($G150:CS150)=$B150,0,IF(SUM($G319:CS319)&gt;=$E319,($B150/$E319)*($E319-SUM($G319:CR319)),($B150/$E319)*CS319)))</f>
        <v>0</v>
      </c>
      <c r="CU150" s="395">
        <f ca="1">IF($E$319=0,0,IF(SUM($G150:CT150)=$B150,0,IF(SUM($G319:CT319)&gt;=$E319,($B150/$E319)*($E319-SUM($G319:CS319)),($B150/$E319)*CT319)))</f>
        <v>0</v>
      </c>
      <c r="CV150" s="395">
        <f ca="1">IF($E$319=0,0,IF(SUM($G150:CU150)=$B150,0,IF(SUM($G319:CU319)&gt;=$E319,($B150/$E319)*($E319-SUM($G319:CT319)),($B150/$E319)*CU319)))</f>
        <v>0</v>
      </c>
      <c r="CW150" s="395">
        <f ca="1">IF($E$319=0,0,IF(SUM($G150:CV150)=$B150,0,IF(SUM($G319:CV319)&gt;=$E319,($B150/$E319)*($E319-SUM($G319:CU319)),($B150/$E319)*CV319)))</f>
        <v>0</v>
      </c>
      <c r="CX150" s="395">
        <f ca="1">IF($E$319=0,0,IF(SUM($G150:CW150)=$B150,0,IF(SUM($G319:CW319)&gt;=$E319,($B150/$E319)*($E319-SUM($G319:CV319)),($B150/$E319)*CW319)))</f>
        <v>0</v>
      </c>
      <c r="CY150" s="395">
        <f ca="1">IF($E$319=0,0,IF(SUM($G150:CX150)=$B150,0,IF(SUM($G319:CX319)&gt;=$E319,($B150/$E319)*($E319-SUM($G319:CW319)),($B150/$E319)*CX319)))</f>
        <v>0</v>
      </c>
      <c r="CZ150" s="395">
        <f ca="1">IF($E$319=0,0,IF(SUM($G150:CY150)=$B150,0,IF(SUM($G319:CY319)&gt;=$E319,($B150/$E319)*($E319-SUM($G319:CX319)),($B150/$E319)*CY319)))</f>
        <v>0</v>
      </c>
      <c r="DA150" s="395">
        <f ca="1">IF($E$319=0,0,IF(SUM($G150:CZ150)=$B150,0,IF(SUM($G319:CZ319)&gt;=$E319,($B150/$E319)*($E319-SUM($G319:CY319)),($B150/$E319)*CZ319)))</f>
        <v>0</v>
      </c>
      <c r="DB150" s="395">
        <f ca="1">IF($E$319=0,0,IF(SUM($G150:DA150)=$B150,0,IF(SUM($G319:DA319)&gt;=$E319,($B150/$E319)*($E319-SUM($G319:CZ319)),($B150/$E319)*DA319)))</f>
        <v>0</v>
      </c>
      <c r="DC150" s="395">
        <f ca="1">IF($E$319=0,0,IF(SUM($G150:DB150)=$B150,0,IF(SUM($G319:DB319)&gt;=$E319,($B150/$E319)*($E319-SUM($G319:DA319)),($B150/$E319)*DB319)))</f>
        <v>0</v>
      </c>
      <c r="DD150" s="395">
        <f ca="1">IF($E$319=0,0,IF(SUM($G150:DC150)=$B150,0,IF(SUM($G319:DC319)&gt;=$E319,($B150/$E319)*($E319-SUM($G319:DB319)),($B150/$E319)*DC319)))</f>
        <v>0</v>
      </c>
      <c r="DE150" s="395">
        <f ca="1">IF($E$319=0,0,IF(SUM($G150:DD150)=$B150,0,IF(SUM($G319:DD319)&gt;=$E319,($B150/$E319)*($E319-SUM($G319:DC319)),($B150/$E319)*DD319)))</f>
        <v>0</v>
      </c>
      <c r="DF150" s="395">
        <f ca="1">IF($E$319=0,0,IF(SUM($G150:DE150)=$B150,0,IF(SUM($G319:DE319)&gt;=$E319,($B150/$E319)*($E319-SUM($G319:DD319)),($B150/$E319)*DE319)))</f>
        <v>0</v>
      </c>
      <c r="DG150" s="395">
        <f ca="1">IF($E$319=0,0,IF(SUM($G150:DF150)=$B150,0,IF(SUM($G319:DF319)&gt;=$E319,($B150/$E319)*($E319-SUM($G319:DE319)),($B150/$E319)*DF319)))</f>
        <v>0</v>
      </c>
      <c r="DH150" s="395">
        <f ca="1">IF($E$319=0,0,IF(SUM($G150:DG150)=$B150,0,IF(SUM($G319:DG319)&gt;=$E319,($B150/$E319)*($E319-SUM($G319:DF319)),($B150/$E319)*DG319)))</f>
        <v>0</v>
      </c>
      <c r="DI150" s="395">
        <f ca="1">IF($E$319=0,0,IF(SUM($G150:DH150)=$B150,0,IF(SUM($G319:DH319)&gt;=$E319,($B150/$E319)*($E319-SUM($G319:DG319)),($B150/$E319)*DH319)))</f>
        <v>0</v>
      </c>
      <c r="DJ150" s="395">
        <f ca="1">IF($E$319=0,0,IF(SUM($G150:DI150)=$B150,0,IF(SUM($G319:DI319)&gt;=$E319,($B150/$E319)*($E319-SUM($G319:DH319)),($B150/$E319)*DI319)))</f>
        <v>0</v>
      </c>
      <c r="DK150" s="395">
        <f ca="1">IF($E$319=0,0,IF(SUM($G150:DJ150)=$B150,0,IF(SUM($G319:DJ319)&gt;=$E319,($B150/$E319)*($E319-SUM($G319:DI319)),($B150/$E319)*DJ319)))</f>
        <v>0</v>
      </c>
      <c r="DL150" s="395">
        <f ca="1">IF($E$319=0,0,IF(SUM($G150:DK150)=$B150,0,IF(SUM($G319:DK319)&gt;=$E319,($B150/$E319)*($E319-SUM($G319:DJ319)),($B150/$E319)*DK319)))</f>
        <v>0</v>
      </c>
      <c r="DM150" s="395">
        <f ca="1">IF($E$319=0,0,IF(SUM($G150:DL150)=$B150,0,IF(SUM($G319:DL319)&gt;=$E319,($B150/$E319)*($E319-SUM($G319:DK319)),($B150/$E319)*DL319)))</f>
        <v>0</v>
      </c>
      <c r="DN150" s="395">
        <f ca="1">IF($E$319=0,0,IF(SUM($G150:DM150)=$B150,0,IF(SUM($G319:DM319)&gt;=$E319,($B150/$E319)*($E319-SUM($G319:DL319)),($B150/$E319)*DM319)))</f>
        <v>0</v>
      </c>
      <c r="DO150" s="395">
        <f ca="1">IF($E$319=0,0,IF(SUM($G150:DN150)=$B150,0,IF(SUM($G319:DN319)&gt;=$E319,($B150/$E319)*($E319-SUM($G319:DM319)),($B150/$E319)*DN319)))</f>
        <v>0</v>
      </c>
      <c r="DP150" s="395">
        <f ca="1">IF($E$319=0,0,IF(SUM($G150:DO150)=$B150,0,IF(SUM($G319:DO319)&gt;=$E319,($B150/$E319)*($E319-SUM($G319:DN319)),($B150/$E319)*DO319)))</f>
        <v>0</v>
      </c>
      <c r="DQ150" s="395">
        <f ca="1">IF($E$319=0,0,IF(SUM($G150:DP150)=$B150,0,IF(SUM($G319:DP319)&gt;=$E319,($B150/$E319)*($E319-SUM($G319:DO319)),($B150/$E319)*DP319)))</f>
        <v>0</v>
      </c>
      <c r="DR150" s="395">
        <f ca="1">IF($E$319=0,0,IF(SUM($G150:DQ150)=$B150,0,IF(SUM($G319:DQ319)&gt;=$E319,($B150/$E319)*($E319-SUM($G319:DP319)),($B150/$E319)*DQ319)))</f>
        <v>0</v>
      </c>
      <c r="DS150" s="395">
        <f ca="1">IF($E$319=0,0,IF(SUM($G150:DR150)=$B150,0,IF(SUM($G319:DR319)&gt;=$E319,($B150/$E319)*($E319-SUM($G319:DQ319)),($B150/$E319)*DR319)))</f>
        <v>0</v>
      </c>
      <c r="DT150" s="395">
        <f ca="1">IF($E$319=0,0,IF(SUM($G150:DS150)=$B150,0,IF(SUM($G319:DS319)&gt;=$E319,($B150/$E319)*($E319-SUM($G319:DR319)),($B150/$E319)*DS319)))</f>
        <v>0</v>
      </c>
      <c r="DU150" s="395">
        <f ca="1">IF($E$319=0,0,IF(SUM($G150:DT150)=$B150,0,IF(SUM($G319:DT319)&gt;=$E319,($B150/$E319)*($E319-SUM($G319:DS319)),($B150/$E319)*DT319)))</f>
        <v>0</v>
      </c>
      <c r="DV150" s="395">
        <f ca="1">IF($E$319=0,0,IF(SUM($G150:DU150)=$B150,0,IF(SUM($G319:DU319)&gt;=$E319,($B150/$E319)*($E319-SUM($G319:DT319)),($B150/$E319)*DU319)))</f>
        <v>0</v>
      </c>
      <c r="DW150" s="395">
        <f ca="1">IF($E$319=0,0,IF(SUM($G150:DV150)=$B150,0,IF(SUM($G319:DV319)&gt;=$E319,($B150/$E319)*($E319-SUM($G319:DU319)),($B150/$E319)*DV319)))</f>
        <v>0</v>
      </c>
      <c r="DX150" s="395">
        <f ca="1">IF($E$319=0,0,IF(SUM($G150:DW150)=$B150,0,IF(SUM($G319:DW319)&gt;=$E319,($B150/$E319)*($E319-SUM($G319:DV319)),($B150/$E319)*DW319)))</f>
        <v>0</v>
      </c>
      <c r="DY150" s="395">
        <f ca="1">IF($E$319=0,0,IF(SUM($G150:DX150)=$B150,0,IF(SUM($G319:DX319)&gt;=$E319,($B150/$E319)*($E319-SUM($G319:DW319)),($B150/$E319)*DX319)))</f>
        <v>0</v>
      </c>
      <c r="DZ150" s="395">
        <f ca="1">IF($E$319=0,0,IF(SUM($G150:DY150)=$B150,0,IF(SUM($G319:DY319)&gt;=$E319,($B150/$E319)*($E319-SUM($G319:DX319)),($B150/$E319)*DY319)))</f>
        <v>0</v>
      </c>
      <c r="EA150" s="395">
        <f ca="1">IF($E$319=0,0,IF(SUM($G150:DZ150)=$B150,0,IF(SUM($G319:DZ319)&gt;=$E319,($B150/$E319)*($E319-SUM($G319:DY319)),($B150/$E319)*DZ319)))</f>
        <v>0</v>
      </c>
      <c r="EB150" s="395">
        <f ca="1">IF($E$319=0,0,IF(SUM($G150:EA150)=$B150,0,IF(SUM($G319:EA319)&gt;=$E319,($B150/$E319)*($E319-SUM($G319:DZ319)),($B150/$E319)*EA319)))</f>
        <v>0</v>
      </c>
      <c r="EC150" s="395">
        <f ca="1">IF($E$319=0,0,IF(SUM($G150:EB150)=$B150,0,IF(SUM($G319:EB319)&gt;=$E319,($B150/$E319)*($E319-SUM($G319:EA319)),($B150/$E319)*EB319)))</f>
        <v>0</v>
      </c>
      <c r="ED150" s="395">
        <f ca="1">IF($E$319=0,0,IF(SUM($G150:EC150)=$B150,0,IF(SUM($G319:EC319)&gt;=$E319,($B150/$E319)*($E319-SUM($G319:EB319)),($B150/$E319)*EC319)))</f>
        <v>0</v>
      </c>
      <c r="EE150" s="395">
        <f ca="1">IF($E$319=0,0,IF(SUM($G150:ED150)=$B150,0,IF(SUM($G319:ED319)&gt;=$E319,($B150/$E319)*($E319-SUM($G319:EC319)),($B150/$E319)*ED319)))</f>
        <v>0</v>
      </c>
      <c r="EF150" s="395">
        <f ca="1">IF($E$319=0,0,IF(SUM($G150:EE150)=$B150,0,IF(SUM($G319:EE319)&gt;=$E319,($B150/$E319)*($E319-SUM($G319:ED319)),($B150/$E319)*EE319)))</f>
        <v>0</v>
      </c>
      <c r="EG150" s="395">
        <f ca="1">IF($E$319=0,0,IF(SUM($G150:EF150)=$B150,0,IF(SUM($G319:EF319)&gt;=$E319,($B150/$E319)*($E319-SUM($G319:EE319)),($B150/$E319)*EF319)))</f>
        <v>0</v>
      </c>
      <c r="EH150" s="395">
        <f ca="1">IF($E$319=0,0,IF(SUM($G150:EG150)=$B150,0,IF(SUM($G319:EG319)&gt;=$E319,($B150/$E319)*($E319-SUM($G319:EF319)),($B150/$E319)*EG319)))</f>
        <v>0</v>
      </c>
      <c r="EI150" s="395">
        <f ca="1">IF($E$319=0,0,IF(SUM($G150:EH150)=$B150,0,IF(SUM($G319:EH319)&gt;=$E319,($B150/$E319)*($E319-SUM($G319:EG319)),($B150/$E319)*EH319)))</f>
        <v>0</v>
      </c>
      <c r="EJ150" s="398"/>
      <c r="EK150" s="313"/>
    </row>
    <row r="151" spans="1:141" hidden="1" outlineLevel="2">
      <c r="A151" s="332"/>
      <c r="B151" s="548">
        <f t="shared" si="367"/>
        <v>2.5000000000000001E-2</v>
      </c>
      <c r="C151" s="317"/>
      <c r="D151" s="317" t="s">
        <v>638</v>
      </c>
      <c r="E151" s="318">
        <f t="shared" ca="1" si="366"/>
        <v>0</v>
      </c>
      <c r="F151" s="397">
        <f ca="1">SUM(G151:EJ151)</f>
        <v>2.5000000000000001E-2</v>
      </c>
      <c r="G151" s="395"/>
      <c r="H151" s="395">
        <f ca="1">IF($E$319=0,0,IF(SUM($G151:G151)=$B151,0,IF(SUM(H150:$EJ150)=0%,$B151,0%)))</f>
        <v>0</v>
      </c>
      <c r="I151" s="395">
        <f ca="1">IF($E$319=0,0,IF(SUM($G151:H151)=$B151,0,IF(SUM(I150:$EJ150)=0%,$B151,0%)))</f>
        <v>0</v>
      </c>
      <c r="J151" s="395">
        <f ca="1">IF($E$319=0,0,IF(SUM($G151:I151)=$B151,0,IF(SUM(J150:$EJ150)=0%,$B151,0%)))</f>
        <v>0</v>
      </c>
      <c r="K151" s="395">
        <f ca="1">IF($E$319=0,0,IF(SUM($G151:J151)=$B151,0,IF(SUM(K150:$EJ150)=0%,$B151,0%)))</f>
        <v>0</v>
      </c>
      <c r="L151" s="395">
        <f ca="1">IF($E$319=0,0,IF(SUM($G151:K151)=$B151,0,IF(SUM(L150:$EJ150)=0%,$B151,0%)))</f>
        <v>0</v>
      </c>
      <c r="M151" s="395">
        <f ca="1">IF($E$319=0,0,IF(SUM($G151:L151)=$B151,0,IF(SUM(M150:$EJ150)=0%,$B151,0%)))</f>
        <v>0</v>
      </c>
      <c r="N151" s="395">
        <f ca="1">IF($E$319=0,0,IF(SUM($G151:M151)=$B151,0,IF(SUM(N150:$EJ150)=0%,$B151,0%)))</f>
        <v>0</v>
      </c>
      <c r="O151" s="395">
        <f ca="1">IF($E$319=0,0,IF(SUM($G151:N151)=$B151,0,IF(SUM(O150:$EJ150)=0%,$B151,0%)))</f>
        <v>0</v>
      </c>
      <c r="P151" s="395">
        <f ca="1">IF($E$319=0,0,IF(SUM($G151:O151)=$B151,0,IF(SUM(P150:$EJ150)=0%,$B151,0%)))</f>
        <v>0</v>
      </c>
      <c r="Q151" s="395">
        <f ca="1">IF($E$319=0,0,IF(SUM($G151:P151)=$B151,0,IF(SUM(Q150:$EJ150)=0%,$B151,0%)))</f>
        <v>0</v>
      </c>
      <c r="R151" s="395">
        <f ca="1">IF($E$319=0,0,IF(SUM($G151:Q151)=$B151,0,IF(SUM(R150:$EJ150)=0%,$B151,0%)))</f>
        <v>0</v>
      </c>
      <c r="S151" s="395">
        <f ca="1">IF($E$319=0,0,IF(SUM($G151:R151)=$B151,0,IF(SUM(S150:$EJ150)=0%,$B151,0%)))</f>
        <v>0</v>
      </c>
      <c r="T151" s="395">
        <f ca="1">IF($E$319=0,0,IF(SUM($G151:S151)=$B151,0,IF(SUM(T150:$EJ150)=0%,$B151,0%)))</f>
        <v>0</v>
      </c>
      <c r="U151" s="395">
        <f ca="1">IF($E$319=0,0,IF(SUM($G151:T151)=$B151,0,IF(SUM(U150:$EJ150)=0%,$B151,0%)))</f>
        <v>0</v>
      </c>
      <c r="V151" s="395">
        <f ca="1">IF($E$319=0,0,IF(SUM($G151:U151)=$B151,0,IF(SUM(V150:$EJ150)=0%,$B151,0%)))</f>
        <v>0</v>
      </c>
      <c r="W151" s="395">
        <f ca="1">IF($E$319=0,0,IF(SUM($G151:V151)=$B151,0,IF(SUM(W150:$EJ150)=0%,$B151,0%)))</f>
        <v>0</v>
      </c>
      <c r="X151" s="395">
        <f ca="1">IF($E$319=0,0,IF(SUM($G151:W151)=$B151,0,IF(SUM(X150:$EJ150)=0%,$B151,0%)))</f>
        <v>0</v>
      </c>
      <c r="Y151" s="395">
        <f ca="1">IF($E$319=0,0,IF(SUM($G151:X151)=$B151,0,IF(SUM(Y150:$EJ150)=0%,$B151,0%)))</f>
        <v>0</v>
      </c>
      <c r="Z151" s="395">
        <f ca="1">IF($E$319=0,0,IF(SUM($G151:Y151)=$B151,0,IF(SUM(Z150:$EJ150)=0%,$B151,0%)))</f>
        <v>0</v>
      </c>
      <c r="AA151" s="395">
        <f ca="1">IF($E$319=0,0,IF(SUM($G151:Z151)=$B151,0,IF(SUM(AA150:$EJ150)=0%,$B151,0%)))</f>
        <v>0</v>
      </c>
      <c r="AB151" s="395">
        <f ca="1">IF($E$319=0,0,IF(SUM($G151:AA151)=$B151,0,IF(SUM(AB150:$EJ150)=0%,$B151,0%)))</f>
        <v>0</v>
      </c>
      <c r="AC151" s="395">
        <f ca="1">IF($E$319=0,0,IF(SUM($G151:AB151)=$B151,0,IF(SUM(AC150:$EJ150)=0%,$B151,0%)))</f>
        <v>0</v>
      </c>
      <c r="AD151" s="395">
        <f ca="1">IF($E$319=0,0,IF(SUM($G151:AC151)=$B151,0,IF(SUM(AD150:$EJ150)=0%,$B151,0%)))</f>
        <v>0</v>
      </c>
      <c r="AE151" s="395">
        <f ca="1">IF($E$319=0,0,IF(SUM($G151:AD151)=$B151,0,IF(SUM(AE150:$EJ150)=0%,$B151,0%)))</f>
        <v>0</v>
      </c>
      <c r="AF151" s="395">
        <f ca="1">IF($E$319=0,0,IF(SUM($G151:AE151)=$B151,0,IF(SUM(AF150:$EJ150)=0%,$B151,0%)))</f>
        <v>0</v>
      </c>
      <c r="AG151" s="395">
        <f ca="1">IF($E$319=0,0,IF(SUM($G151:AF151)=$B151,0,IF(SUM(AG150:$EJ150)=0%,$B151,0%)))</f>
        <v>0</v>
      </c>
      <c r="AH151" s="395">
        <f ca="1">IF($E$319=0,0,IF(SUM($G151:AG151)=$B151,0,IF(SUM(AH150:$EJ150)=0%,$B151,0%)))</f>
        <v>0</v>
      </c>
      <c r="AI151" s="395">
        <f ca="1">IF($E$319=0,0,IF(SUM($G151:AH151)=$B151,0,IF(SUM(AI150:$EJ150)=0%,$B151,0%)))</f>
        <v>0</v>
      </c>
      <c r="AJ151" s="395">
        <f ca="1">IF($E$319=0,0,IF(SUM($G151:AI151)=$B151,0,IF(SUM(AJ150:$EJ150)=0%,$B151,0%)))</f>
        <v>0</v>
      </c>
      <c r="AK151" s="395">
        <f ca="1">IF($E$319=0,0,IF(SUM($G151:AJ151)=$B151,0,IF(SUM(AK150:$EJ150)=0%,$B151,0%)))</f>
        <v>0</v>
      </c>
      <c r="AL151" s="395">
        <f ca="1">IF($E$319=0,0,IF(SUM($G151:AK151)=$B151,0,IF(SUM(AL150:$EJ150)=0%,$B151,0%)))</f>
        <v>0</v>
      </c>
      <c r="AM151" s="395">
        <f ca="1">IF($E$319=0,0,IF(SUM($G151:AL151)=$B151,0,IF(SUM(AM150:$EJ150)=0%,$B151,0%)))</f>
        <v>0</v>
      </c>
      <c r="AN151" s="395">
        <f ca="1">IF($E$319=0,0,IF(SUM($G151:AM151)=$B151,0,IF(SUM(AN150:$EJ150)=0%,$B151,0%)))</f>
        <v>0</v>
      </c>
      <c r="AO151" s="395">
        <f ca="1">IF($E$319=0,0,IF(SUM($G151:AN151)=$B151,0,IF(SUM(AO150:$EJ150)=0%,$B151,0%)))</f>
        <v>0</v>
      </c>
      <c r="AP151" s="395">
        <f ca="1">IF($E$319=0,0,IF(SUM($G151:AO151)=$B151,0,IF(SUM(AP150:$EJ150)=0%,$B151,0%)))</f>
        <v>0</v>
      </c>
      <c r="AQ151" s="395">
        <f ca="1">IF($E$319=0,0,IF(SUM($G151:AP151)=$B151,0,IF(SUM(AQ150:$EJ150)=0%,$B151,0%)))</f>
        <v>0</v>
      </c>
      <c r="AR151" s="395">
        <f ca="1">IF($E$319=0,0,IF(SUM($G151:AQ151)=$B151,0,IF(SUM(AR150:$EJ150)=0%,$B151,0%)))</f>
        <v>0</v>
      </c>
      <c r="AS151" s="395">
        <f ca="1">IF($E$319=0,0,IF(SUM($G151:AR151)=$B151,0,IF(SUM(AS150:$EJ150)=0%,$B151,0%)))</f>
        <v>0</v>
      </c>
      <c r="AT151" s="395">
        <f ca="1">IF($E$319=0,0,IF(SUM($G151:AS151)=$B151,0,IF(SUM(AT150:$EJ150)=0%,$B151,0%)))</f>
        <v>0</v>
      </c>
      <c r="AU151" s="395">
        <f ca="1">IF($E$319=0,0,IF(SUM($G151:AT151)=$B151,0,IF(SUM(AU150:$EJ150)=0%,$B151,0%)))</f>
        <v>0</v>
      </c>
      <c r="AV151" s="395">
        <f ca="1">IF($E$319=0,0,IF(SUM($G151:AU151)=$B151,0,IF(SUM(AV150:$EJ150)=0%,$B151,0%)))</f>
        <v>0</v>
      </c>
      <c r="AW151" s="395">
        <f ca="1">IF($E$319=0,0,IF(SUM($G151:AV151)=$B151,0,IF(SUM(AW150:$EJ150)=0%,$B151,0%)))</f>
        <v>0</v>
      </c>
      <c r="AX151" s="395">
        <f ca="1">IF($E$319=0,0,IF(SUM($G151:AW151)=$B151,0,IF(SUM(AX150:$EJ150)=0%,$B151,0%)))</f>
        <v>0</v>
      </c>
      <c r="AY151" s="395">
        <f ca="1">IF($E$319=0,0,IF(SUM($G151:AX151)=$B151,0,IF(SUM(AY150:$EJ150)=0%,$B151,0%)))</f>
        <v>0</v>
      </c>
      <c r="AZ151" s="395">
        <f ca="1">IF($E$319=0,0,IF(SUM($G151:AY151)=$B151,0,IF(SUM(AZ150:$EJ150)=0%,$B151,0%)))</f>
        <v>0</v>
      </c>
      <c r="BA151" s="395">
        <f ca="1">IF($E$319=0,0,IF(SUM($G151:AZ151)=$B151,0,IF(SUM(BA150:$EJ150)=0%,$B151,0%)))</f>
        <v>0</v>
      </c>
      <c r="BB151" s="395">
        <f ca="1">IF($E$319=0,0,IF(SUM($G151:BA151)=$B151,0,IF(SUM(BB150:$EJ150)=0%,$B151,0%)))</f>
        <v>0</v>
      </c>
      <c r="BC151" s="395">
        <f ca="1">IF($E$319=0,0,IF(SUM($G151:BB151)=$B151,0,IF(SUM(BC150:$EJ150)=0%,$B151,0%)))</f>
        <v>0</v>
      </c>
      <c r="BD151" s="395">
        <f ca="1">IF($E$319=0,0,IF(SUM($G151:BC151)=$B151,0,IF(SUM(BD150:$EJ150)=0%,$B151,0%)))</f>
        <v>0</v>
      </c>
      <c r="BE151" s="395">
        <f ca="1">IF($E$319=0,0,IF(SUM($G151:BD151)=$B151,0,IF(SUM(BE150:$EJ150)=0%,$B151,0%)))</f>
        <v>0</v>
      </c>
      <c r="BF151" s="395">
        <f ca="1">IF($E$319=0,0,IF(SUM($G151:BE151)=$B151,0,IF(SUM(BF150:$EJ150)=0%,$B151,0%)))</f>
        <v>0</v>
      </c>
      <c r="BG151" s="395">
        <f ca="1">IF($E$319=0,0,IF(SUM($G151:BF151)=$B151,0,IF(SUM(BG150:$EJ150)=0%,$B151,0%)))</f>
        <v>2.5000000000000001E-2</v>
      </c>
      <c r="BH151" s="395">
        <f ca="1">IF($E$319=0,0,IF(SUM($G151:BG151)=$B151,0,IF(SUM(BH150:$EJ150)=0%,$B151,0%)))</f>
        <v>0</v>
      </c>
      <c r="BI151" s="395">
        <f ca="1">IF($E$319=0,0,IF(SUM($G151:BH151)=$B151,0,IF(SUM(BI150:$EJ150)=0%,$B151,0%)))</f>
        <v>0</v>
      </c>
      <c r="BJ151" s="395">
        <f ca="1">IF($E$319=0,0,IF(SUM($G151:BI151)=$B151,0,IF(SUM(BJ150:$EJ150)=0%,$B151,0%)))</f>
        <v>0</v>
      </c>
      <c r="BK151" s="395">
        <f ca="1">IF($E$319=0,0,IF(SUM($G151:BJ151)=$B151,0,IF(SUM(BK150:$EJ150)=0%,$B151,0%)))</f>
        <v>0</v>
      </c>
      <c r="BL151" s="395">
        <f ca="1">IF($E$319=0,0,IF(SUM($G151:BK151)=$B151,0,IF(SUM(BL150:$EJ150)=0%,$B151,0%)))</f>
        <v>0</v>
      </c>
      <c r="BM151" s="395">
        <f ca="1">IF($E$319=0,0,IF(SUM($G151:BL151)=$B151,0,IF(SUM(BM150:$EJ150)=0%,$B151,0%)))</f>
        <v>0</v>
      </c>
      <c r="BN151" s="395">
        <f ca="1">IF($E$319=0,0,IF(SUM($G151:BM151)=$B151,0,IF(SUM(BN150:$EJ150)=0%,$B151,0%)))</f>
        <v>0</v>
      </c>
      <c r="BO151" s="395">
        <f ca="1">IF($E$319=0,0,IF(SUM($G151:BN151)=$B151,0,IF(SUM(BO150:$EJ150)=0%,$B151,0%)))</f>
        <v>0</v>
      </c>
      <c r="BP151" s="395">
        <f ca="1">IF($E$319=0,0,IF(SUM($G151:BO151)=$B151,0,IF(SUM(BP150:$EJ150)=0%,$B151,0%)))</f>
        <v>0</v>
      </c>
      <c r="BQ151" s="395">
        <f ca="1">IF($E$319=0,0,IF(SUM($G151:BP151)=$B151,0,IF(SUM(BQ150:$EJ150)=0%,$B151,0%)))</f>
        <v>0</v>
      </c>
      <c r="BR151" s="395">
        <f ca="1">IF($E$319=0,0,IF(SUM($G151:BQ151)=$B151,0,IF(SUM(BR150:$EJ150)=0%,$B151,0%)))</f>
        <v>0</v>
      </c>
      <c r="BS151" s="395">
        <f ca="1">IF($E$319=0,0,IF(SUM($G151:BR151)=$B151,0,IF(SUM(BS150:$EJ150)=0%,$B151,0%)))</f>
        <v>0</v>
      </c>
      <c r="BT151" s="395">
        <f ca="1">IF($E$319=0,0,IF(SUM($G151:BS151)=$B151,0,IF(SUM(BT150:$EJ150)=0%,$B151,0%)))</f>
        <v>0</v>
      </c>
      <c r="BU151" s="395">
        <f ca="1">IF($E$319=0,0,IF(SUM($G151:BT151)=$B151,0,IF(SUM(BU150:$EJ150)=0%,$B151,0%)))</f>
        <v>0</v>
      </c>
      <c r="BV151" s="395">
        <f ca="1">IF($E$319=0,0,IF(SUM($G151:BU151)=$B151,0,IF(SUM(BV150:$EJ150)=0%,$B151,0%)))</f>
        <v>0</v>
      </c>
      <c r="BW151" s="395">
        <f ca="1">IF($E$319=0,0,IF(SUM($G151:BV151)=$B151,0,IF(SUM(BW150:$EJ150)=0%,$B151,0%)))</f>
        <v>0</v>
      </c>
      <c r="BX151" s="395">
        <f ca="1">IF($E$319=0,0,IF(SUM($G151:BW151)=$B151,0,IF(SUM(BX150:$EJ150)=0%,$B151,0%)))</f>
        <v>0</v>
      </c>
      <c r="BY151" s="395">
        <f ca="1">IF($E$319=0,0,IF(SUM($G151:BX151)=$B151,0,IF(SUM(BY150:$EJ150)=0%,$B151,0%)))</f>
        <v>0</v>
      </c>
      <c r="BZ151" s="395">
        <f ca="1">IF($E$319=0,0,IF(SUM($G151:BY151)=$B151,0,IF(SUM(BZ150:$EJ150)=0%,$B151,0%)))</f>
        <v>0</v>
      </c>
      <c r="CA151" s="395">
        <f ca="1">IF($E$319=0,0,IF(SUM($G151:BZ151)=$B151,0,IF(SUM(CA150:$EJ150)=0%,$B151,0%)))</f>
        <v>0</v>
      </c>
      <c r="CB151" s="395">
        <f ca="1">IF($E$319=0,0,IF(SUM($G151:CA151)=$B151,0,IF(SUM(CB150:$EJ150)=0%,$B151,0%)))</f>
        <v>0</v>
      </c>
      <c r="CC151" s="395">
        <f ca="1">IF($E$319=0,0,IF(SUM($G151:CB151)=$B151,0,IF(SUM(CC150:$EJ150)=0%,$B151,0%)))</f>
        <v>0</v>
      </c>
      <c r="CD151" s="395">
        <f ca="1">IF($E$319=0,0,IF(SUM($G151:CC151)=$B151,0,IF(SUM(CD150:$EJ150)=0%,$B151,0%)))</f>
        <v>0</v>
      </c>
      <c r="CE151" s="395">
        <f ca="1">IF($E$319=0,0,IF(SUM($G151:CD151)=$B151,0,IF(SUM(CE150:$EJ150)=0%,$B151,0%)))</f>
        <v>0</v>
      </c>
      <c r="CF151" s="395">
        <f ca="1">IF($E$319=0,0,IF(SUM($G151:CE151)=$B151,0,IF(SUM(CF150:$EJ150)=0%,$B151,0%)))</f>
        <v>0</v>
      </c>
      <c r="CG151" s="395">
        <f ca="1">IF($E$319=0,0,IF(SUM($G151:CF151)=$B151,0,IF(SUM(CG150:$EJ150)=0%,$B151,0%)))</f>
        <v>0</v>
      </c>
      <c r="CH151" s="395">
        <f ca="1">IF($E$319=0,0,IF(SUM($G151:CG151)=$B151,0,IF(SUM(CH150:$EJ150)=0%,$B151,0%)))</f>
        <v>0</v>
      </c>
      <c r="CI151" s="395">
        <f ca="1">IF($E$319=0,0,IF(SUM($G151:CH151)=$B151,0,IF(SUM(CI150:$EJ150)=0%,$B151,0%)))</f>
        <v>0</v>
      </c>
      <c r="CJ151" s="395">
        <f ca="1">IF($E$319=0,0,IF(SUM($G151:CI151)=$B151,0,IF(SUM(CJ150:$EJ150)=0%,$B151,0%)))</f>
        <v>0</v>
      </c>
      <c r="CK151" s="395">
        <f ca="1">IF($E$319=0,0,IF(SUM($G151:CJ151)=$B151,0,IF(SUM(CK150:$EJ150)=0%,$B151,0%)))</f>
        <v>0</v>
      </c>
      <c r="CL151" s="395">
        <f ca="1">IF($E$319=0,0,IF(SUM($G151:CK151)=$B151,0,IF(SUM(CL150:$EJ150)=0%,$B151,0%)))</f>
        <v>0</v>
      </c>
      <c r="CM151" s="395">
        <f ca="1">IF($E$319=0,0,IF(SUM($G151:CL151)=$B151,0,IF(SUM(CM150:$EJ150)=0%,$B151,0%)))</f>
        <v>0</v>
      </c>
      <c r="CN151" s="395">
        <f ca="1">IF($E$319=0,0,IF(SUM($G151:CM151)=$B151,0,IF(SUM(CN150:$EJ150)=0%,$B151,0%)))</f>
        <v>0</v>
      </c>
      <c r="CO151" s="395">
        <f ca="1">IF($E$319=0,0,IF(SUM($G151:CN151)=$B151,0,IF(SUM(CO150:$EJ150)=0%,$B151,0%)))</f>
        <v>0</v>
      </c>
      <c r="CP151" s="395">
        <f ca="1">IF($E$319=0,0,IF(SUM($G151:CO151)=$B151,0,IF(SUM(CP150:$EJ150)=0%,$B151,0%)))</f>
        <v>0</v>
      </c>
      <c r="CQ151" s="395">
        <f ca="1">IF($E$319=0,0,IF(SUM($G151:CP151)=$B151,0,IF(SUM(CQ150:$EJ150)=0%,$B151,0%)))</f>
        <v>0</v>
      </c>
      <c r="CR151" s="395">
        <f ca="1">IF($E$319=0,0,IF(SUM($G151:CQ151)=$B151,0,IF(SUM(CR150:$EJ150)=0%,$B151,0%)))</f>
        <v>0</v>
      </c>
      <c r="CS151" s="395">
        <f ca="1">IF($E$319=0,0,IF(SUM($G151:CR151)=$B151,0,IF(SUM(CS150:$EJ150)=0%,$B151,0%)))</f>
        <v>0</v>
      </c>
      <c r="CT151" s="395">
        <f ca="1">IF($E$319=0,0,IF(SUM($G151:CS151)=$B151,0,IF(SUM(CT150:$EJ150)=0%,$B151,0%)))</f>
        <v>0</v>
      </c>
      <c r="CU151" s="395">
        <f ca="1">IF($E$319=0,0,IF(SUM($G151:CT151)=$B151,0,IF(SUM(CU150:$EJ150)=0%,$B151,0%)))</f>
        <v>0</v>
      </c>
      <c r="CV151" s="395">
        <f ca="1">IF($E$319=0,0,IF(SUM($G151:CU151)=$B151,0,IF(SUM(CV150:$EJ150)=0%,$B151,0%)))</f>
        <v>0</v>
      </c>
      <c r="CW151" s="395">
        <f ca="1">IF($E$319=0,0,IF(SUM($G151:CV151)=$B151,0,IF(SUM(CW150:$EJ150)=0%,$B151,0%)))</f>
        <v>0</v>
      </c>
      <c r="CX151" s="395">
        <f ca="1">IF($E$319=0,0,IF(SUM($G151:CW151)=$B151,0,IF(SUM(CX150:$EJ150)=0%,$B151,0%)))</f>
        <v>0</v>
      </c>
      <c r="CY151" s="395">
        <f ca="1">IF($E$319=0,0,IF(SUM($G151:CX151)=$B151,0,IF(SUM(CY150:$EJ150)=0%,$B151,0%)))</f>
        <v>0</v>
      </c>
      <c r="CZ151" s="395">
        <f ca="1">IF($E$319=0,0,IF(SUM($G151:CY151)=$B151,0,IF(SUM(CZ150:$EJ150)=0%,$B151,0%)))</f>
        <v>0</v>
      </c>
      <c r="DA151" s="395">
        <f ca="1">IF($E$319=0,0,IF(SUM($G151:CZ151)=$B151,0,IF(SUM(DA150:$EJ150)=0%,$B151,0%)))</f>
        <v>0</v>
      </c>
      <c r="DB151" s="395">
        <f ca="1">IF($E$319=0,0,IF(SUM($G151:DA151)=$B151,0,IF(SUM(DB150:$EJ150)=0%,$B151,0%)))</f>
        <v>0</v>
      </c>
      <c r="DC151" s="395">
        <f ca="1">IF($E$319=0,0,IF(SUM($G151:DB151)=$B151,0,IF(SUM(DC150:$EJ150)=0%,$B151,0%)))</f>
        <v>0</v>
      </c>
      <c r="DD151" s="395">
        <f ca="1">IF($E$319=0,0,IF(SUM($G151:DC151)=$B151,0,IF(SUM(DD150:$EJ150)=0%,$B151,0%)))</f>
        <v>0</v>
      </c>
      <c r="DE151" s="395">
        <f ca="1">IF($E$319=0,0,IF(SUM($G151:DD151)=$B151,0,IF(SUM(DE150:$EJ150)=0%,$B151,0%)))</f>
        <v>0</v>
      </c>
      <c r="DF151" s="395">
        <f ca="1">IF($E$319=0,0,IF(SUM($G151:DE151)=$B151,0,IF(SUM(DF150:$EJ150)=0%,$B151,0%)))</f>
        <v>0</v>
      </c>
      <c r="DG151" s="395">
        <f ca="1">IF($E$319=0,0,IF(SUM($G151:DF151)=$B151,0,IF(SUM(DG150:$EJ150)=0%,$B151,0%)))</f>
        <v>0</v>
      </c>
      <c r="DH151" s="395">
        <f ca="1">IF($E$319=0,0,IF(SUM($G151:DG151)=$B151,0,IF(SUM(DH150:$EJ150)=0%,$B151,0%)))</f>
        <v>0</v>
      </c>
      <c r="DI151" s="395">
        <f ca="1">IF($E$319=0,0,IF(SUM($G151:DH151)=$B151,0,IF(SUM(DI150:$EJ150)=0%,$B151,0%)))</f>
        <v>0</v>
      </c>
      <c r="DJ151" s="395">
        <f ca="1">IF($E$319=0,0,IF(SUM($G151:DI151)=$B151,0,IF(SUM(DJ150:$EJ150)=0%,$B151,0%)))</f>
        <v>0</v>
      </c>
      <c r="DK151" s="395">
        <f ca="1">IF($E$319=0,0,IF(SUM($G151:DJ151)=$B151,0,IF(SUM(DK150:$EJ150)=0%,$B151,0%)))</f>
        <v>0</v>
      </c>
      <c r="DL151" s="395">
        <f ca="1">IF($E$319=0,0,IF(SUM($G151:DK151)=$B151,0,IF(SUM(DL150:$EJ150)=0%,$B151,0%)))</f>
        <v>0</v>
      </c>
      <c r="DM151" s="395">
        <f ca="1">IF($E$319=0,0,IF(SUM($G151:DL151)=$B151,0,IF(SUM(DM150:$EJ150)=0%,$B151,0%)))</f>
        <v>0</v>
      </c>
      <c r="DN151" s="395">
        <f ca="1">IF($E$319=0,0,IF(SUM($G151:DM151)=$B151,0,IF(SUM(DN150:$EJ150)=0%,$B151,0%)))</f>
        <v>0</v>
      </c>
      <c r="DO151" s="395">
        <f ca="1">IF($E$319=0,0,IF(SUM($G151:DN151)=$B151,0,IF(SUM(DO150:$EJ150)=0%,$B151,0%)))</f>
        <v>0</v>
      </c>
      <c r="DP151" s="395">
        <f ca="1">IF($E$319=0,0,IF(SUM($G151:DO151)=$B151,0,IF(SUM(DP150:$EJ150)=0%,$B151,0%)))</f>
        <v>0</v>
      </c>
      <c r="DQ151" s="395">
        <f ca="1">IF($E$319=0,0,IF(SUM($G151:DP151)=$B151,0,IF(SUM(DQ150:$EJ150)=0%,$B151,0%)))</f>
        <v>0</v>
      </c>
      <c r="DR151" s="395">
        <f ca="1">IF($E$319=0,0,IF(SUM($G151:DQ151)=$B151,0,IF(SUM(DR150:$EJ150)=0%,$B151,0%)))</f>
        <v>0</v>
      </c>
      <c r="DS151" s="395">
        <f ca="1">IF($E$319=0,0,IF(SUM($G151:DR151)=$B151,0,IF(SUM(DS150:$EJ150)=0%,$B151,0%)))</f>
        <v>0</v>
      </c>
      <c r="DT151" s="395">
        <f ca="1">IF($E$319=0,0,IF(SUM($G151:DS151)=$B151,0,IF(SUM(DT150:$EJ150)=0%,$B151,0%)))</f>
        <v>0</v>
      </c>
      <c r="DU151" s="395">
        <f ca="1">IF($E$319=0,0,IF(SUM($G151:DT151)=$B151,0,IF(SUM(DU150:$EJ150)=0%,$B151,0%)))</f>
        <v>0</v>
      </c>
      <c r="DV151" s="395">
        <f ca="1">IF($E$319=0,0,IF(SUM($G151:DU151)=$B151,0,IF(SUM(DV150:$EJ150)=0%,$B151,0%)))</f>
        <v>0</v>
      </c>
      <c r="DW151" s="395">
        <f ca="1">IF($E$319=0,0,IF(SUM($G151:DV151)=$B151,0,IF(SUM(DW150:$EJ150)=0%,$B151,0%)))</f>
        <v>0</v>
      </c>
      <c r="DX151" s="395">
        <f ca="1">IF($E$319=0,0,IF(SUM($G151:DW151)=$B151,0,IF(SUM(DX150:$EJ150)=0%,$B151,0%)))</f>
        <v>0</v>
      </c>
      <c r="DY151" s="395">
        <f ca="1">IF($E$319=0,0,IF(SUM($G151:DX151)=$B151,0,IF(SUM(DY150:$EJ150)=0%,$B151,0%)))</f>
        <v>0</v>
      </c>
      <c r="DZ151" s="395">
        <f ca="1">IF($E$319=0,0,IF(SUM($G151:DY151)=$B151,0,IF(SUM(DZ150:$EJ150)=0%,$B151,0%)))</f>
        <v>0</v>
      </c>
      <c r="EA151" s="395">
        <f ca="1">IF($E$319=0,0,IF(SUM($G151:DZ151)=$B151,0,IF(SUM(EA150:$EJ150)=0%,$B151,0%)))</f>
        <v>0</v>
      </c>
      <c r="EB151" s="395">
        <f ca="1">IF($E$319=0,0,IF(SUM($G151:EA151)=$B151,0,IF(SUM(EB150:$EJ150)=0%,$B151,0%)))</f>
        <v>0</v>
      </c>
      <c r="EC151" s="395">
        <f ca="1">IF($E$319=0,0,IF(SUM($G151:EB151)=$B151,0,IF(SUM(EC150:$EJ150)=0%,$B151,0%)))</f>
        <v>0</v>
      </c>
      <c r="ED151" s="395">
        <f ca="1">IF($E$319=0,0,IF(SUM($G151:EC151)=$B151,0,IF(SUM(ED150:$EJ150)=0%,$B151,0%)))</f>
        <v>0</v>
      </c>
      <c r="EE151" s="395">
        <f ca="1">IF($E$319=0,0,IF(SUM($G151:ED151)=$B151,0,IF(SUM(EE150:$EJ150)=0%,$B151,0%)))</f>
        <v>0</v>
      </c>
      <c r="EF151" s="395">
        <f ca="1">IF($E$319=0,0,IF(SUM($G151:EE151)=$B151,0,IF(SUM(EF150:$EJ150)=0%,$B151,0%)))</f>
        <v>0</v>
      </c>
      <c r="EG151" s="395">
        <f ca="1">IF($E$319=0,0,IF(SUM($G151:EF151)=$B151,0,IF(SUM(EG150:$EJ150)=0%,$B151,0%)))</f>
        <v>0</v>
      </c>
      <c r="EH151" s="395">
        <f ca="1">IF($E$319=0,0,IF(SUM($G151:EG151)=$B151,0,IF(SUM(EH150:$EJ150)=0%,$B151,0%)))</f>
        <v>0</v>
      </c>
      <c r="EI151" s="395">
        <f ca="1">IF($E$319=0,0,IF(SUM($G151:EH151)=$B151,0,IF(SUM(EI150:$EJ150)=0%,$B151,0%)))</f>
        <v>0</v>
      </c>
      <c r="EJ151" s="398"/>
      <c r="EK151" s="313"/>
    </row>
    <row r="152" spans="1:141" hidden="1" outlineLevel="2">
      <c r="A152" s="332"/>
      <c r="B152" s="548">
        <f t="shared" si="367"/>
        <v>2.5000000000000001E-2</v>
      </c>
      <c r="C152" s="317"/>
      <c r="D152" s="317" t="s">
        <v>640</v>
      </c>
      <c r="E152" s="318">
        <f t="shared" ca="1" si="366"/>
        <v>0</v>
      </c>
      <c r="F152" s="397">
        <f ca="1">SUM(G152:EJ152)</f>
        <v>2.5000000000000001E-2</v>
      </c>
      <c r="G152" s="395"/>
      <c r="H152" s="395"/>
      <c r="I152" s="395"/>
      <c r="J152" s="395"/>
      <c r="K152" s="395"/>
      <c r="L152" s="395"/>
      <c r="M152" s="395"/>
      <c r="N152" s="395"/>
      <c r="O152" s="395"/>
      <c r="P152" s="395"/>
      <c r="Q152" s="395"/>
      <c r="R152" s="395"/>
      <c r="S152" s="395"/>
      <c r="T152" s="395"/>
      <c r="U152" s="395"/>
      <c r="V152" s="395"/>
      <c r="W152" s="395"/>
      <c r="X152" s="395"/>
      <c r="Y152" s="395"/>
      <c r="Z152" s="395"/>
      <c r="AA152" s="395"/>
      <c r="AB152" s="395"/>
      <c r="AC152" s="395"/>
      <c r="AD152" s="395">
        <f ca="1">IF($E$319=0,0,IF(SUM($G152:AC152)=$B152,0,IF(SUM($G151:G151)=$B151,$B152,0%)))</f>
        <v>0</v>
      </c>
      <c r="AE152" s="395">
        <f ca="1">IF($E$319=0,0,IF(SUM($G152:AD152)=$B152,0,IF(SUM($G151:H151)=$B151,$B152,0%)))</f>
        <v>0</v>
      </c>
      <c r="AF152" s="395">
        <f ca="1">IF($E$319=0,0,IF(SUM($G152:AE152)=$B152,0,IF(SUM($G151:I151)=$B151,$B152,0%)))</f>
        <v>0</v>
      </c>
      <c r="AG152" s="395">
        <f ca="1">IF($E$319=0,0,IF(SUM($G152:AF152)=$B152,0,IF(SUM($G151:J151)=$B151,$B152,0%)))</f>
        <v>0</v>
      </c>
      <c r="AH152" s="395">
        <f ca="1">IF($E$319=0,0,IF(SUM($G152:AG152)=$B152,0,IF(SUM($G151:K151)=$B151,$B152,0%)))</f>
        <v>0</v>
      </c>
      <c r="AI152" s="395">
        <f ca="1">IF($E$319=0,0,IF(SUM($G152:AH152)=$B152,0,IF(SUM($G151:L151)=$B151,$B152,0%)))</f>
        <v>0</v>
      </c>
      <c r="AJ152" s="395">
        <f ca="1">IF($E$319=0,0,IF(SUM($G152:AI152)=$B152,0,IF(SUM($G151:M151)=$B151,$B152,0%)))</f>
        <v>0</v>
      </c>
      <c r="AK152" s="395">
        <f ca="1">IF($E$319=0,0,IF(SUM($G152:AJ152)=$B152,0,IF(SUM($G151:N151)=$B151,$B152,0%)))</f>
        <v>0</v>
      </c>
      <c r="AL152" s="395">
        <f ca="1">IF($E$319=0,0,IF(SUM($G152:AK152)=$B152,0,IF(SUM($G151:O151)=$B151,$B152,0%)))</f>
        <v>0</v>
      </c>
      <c r="AM152" s="395">
        <f ca="1">IF($E$319=0,0,IF(SUM($G152:AL152)=$B152,0,IF(SUM($G151:P151)=$B151,$B152,0%)))</f>
        <v>0</v>
      </c>
      <c r="AN152" s="395">
        <f ca="1">IF($E$319=0,0,IF(SUM($G152:AM152)=$B152,0,IF(SUM($G151:Q151)=$B151,$B152,0%)))</f>
        <v>0</v>
      </c>
      <c r="AO152" s="395">
        <f ca="1">IF($E$319=0,0,IF(SUM($G152:AN152)=$B152,0,IF(SUM($G151:R151)=$B151,$B152,0%)))</f>
        <v>0</v>
      </c>
      <c r="AP152" s="395">
        <f ca="1">IF($E$319=0,0,IF(SUM($G152:AO152)=$B152,0,IF(SUM($G151:S151)=$B151,$B152,0%)))</f>
        <v>0</v>
      </c>
      <c r="AQ152" s="395">
        <f ca="1">IF($E$319=0,0,IF(SUM($G152:AP152)=$B152,0,IF(SUM($G151:T151)=$B151,$B152,0%)))</f>
        <v>0</v>
      </c>
      <c r="AR152" s="395">
        <f ca="1">IF($E$319=0,0,IF(SUM($G152:AQ152)=$B152,0,IF(SUM($G151:U151)=$B151,$B152,0%)))</f>
        <v>0</v>
      </c>
      <c r="AS152" s="395">
        <f ca="1">IF($E$319=0,0,IF(SUM($G152:AR152)=$B152,0,IF(SUM($G151:V151)=$B151,$B152,0%)))</f>
        <v>0</v>
      </c>
      <c r="AT152" s="395">
        <f ca="1">IF($E$319=0,0,IF(SUM($G152:AS152)=$B152,0,IF(SUM($G151:W151)=$B151,$B152,0%)))</f>
        <v>0</v>
      </c>
      <c r="AU152" s="395">
        <f ca="1">IF($E$319=0,0,IF(SUM($G152:AT152)=$B152,0,IF(SUM($G151:X151)=$B151,$B152,0%)))</f>
        <v>0</v>
      </c>
      <c r="AV152" s="395">
        <f ca="1">IF($E$319=0,0,IF(SUM($G152:AU152)=$B152,0,IF(SUM($G151:Y151)=$B151,$B152,0%)))</f>
        <v>0</v>
      </c>
      <c r="AW152" s="395">
        <f ca="1">IF($E$319=0,0,IF(SUM($G152:AV152)=$B152,0,IF(SUM($G151:Z151)=$B151,$B152,0%)))</f>
        <v>0</v>
      </c>
      <c r="AX152" s="395">
        <f ca="1">IF($E$319=0,0,IF(SUM($G152:AW152)=$B152,0,IF(SUM($G151:AA151)=$B151,$B152,0%)))</f>
        <v>0</v>
      </c>
      <c r="AY152" s="395">
        <f ca="1">IF($E$319=0,0,IF(SUM($G152:AX152)=$B152,0,IF(SUM($G151:AB151)=$B151,$B152,0%)))</f>
        <v>0</v>
      </c>
      <c r="AZ152" s="395">
        <f ca="1">IF($E$319=0,0,IF(SUM($G152:AY152)=$B152,0,IF(SUM($G151:AC151)=$B151,$B152,0%)))</f>
        <v>0</v>
      </c>
      <c r="BA152" s="395">
        <f ca="1">IF($E$319=0,0,IF(SUM($G152:AZ152)=$B152,0,IF(SUM($G151:AD151)=$B151,$B152,0%)))</f>
        <v>0</v>
      </c>
      <c r="BB152" s="395">
        <f ca="1">IF($E$319=0,0,IF(SUM($G152:BA152)=$B152,0,IF(SUM($G151:AE151)=$B151,$B152,0%)))</f>
        <v>0</v>
      </c>
      <c r="BC152" s="395">
        <f ca="1">IF($E$319=0,0,IF(SUM($G152:BB152)=$B152,0,IF(SUM($G151:AF151)=$B151,$B152,0%)))</f>
        <v>0</v>
      </c>
      <c r="BD152" s="395">
        <f ca="1">IF($E$319=0,0,IF(SUM($G152:BC152)=$B152,0,IF(SUM($G151:AG151)=$B151,$B152,0%)))</f>
        <v>0</v>
      </c>
      <c r="BE152" s="395">
        <f ca="1">IF($E$319=0,0,IF(SUM($G152:BD152)=$B152,0,IF(SUM($G151:AH151)=$B151,$B152,0%)))</f>
        <v>0</v>
      </c>
      <c r="BF152" s="395">
        <f ca="1">IF($E$319=0,0,IF(SUM($G152:BE152)=$B152,0,IF(SUM($G151:AI151)=$B151,$B152,0%)))</f>
        <v>0</v>
      </c>
      <c r="BG152" s="395">
        <f ca="1">IF($E$319=0,0,IF(SUM($G152:BF152)=$B152,0,IF(SUM($G151:AJ151)=$B151,$B152,0%)))</f>
        <v>0</v>
      </c>
      <c r="BH152" s="395">
        <f ca="1">IF($E$319=0,0,IF(SUM($G152:BG152)=$B152,0,IF(SUM($G151:AK151)=$B151,$B152,0%)))</f>
        <v>0</v>
      </c>
      <c r="BI152" s="395">
        <f ca="1">IF($E$319=0,0,IF(SUM($G152:BH152)=$B152,0,IF(SUM($G151:AL151)=$B151,$B152,0%)))</f>
        <v>0</v>
      </c>
      <c r="BJ152" s="395">
        <f ca="1">IF($E$319=0,0,IF(SUM($G152:BI152)=$B152,0,IF(SUM($G151:AM151)=$B151,$B152,0%)))</f>
        <v>0</v>
      </c>
      <c r="BK152" s="395">
        <f ca="1">IF($E$319=0,0,IF(SUM($G152:BJ152)=$B152,0,IF(SUM($G151:AN151)=$B151,$B152,0%)))</f>
        <v>0</v>
      </c>
      <c r="BL152" s="395">
        <f ca="1">IF($E$319=0,0,IF(SUM($G152:BK152)=$B152,0,IF(SUM($G151:AO151)=$B151,$B152,0%)))</f>
        <v>0</v>
      </c>
      <c r="BM152" s="395">
        <f ca="1">IF($E$319=0,0,IF(SUM($G152:BL152)=$B152,0,IF(SUM($G151:AP151)=$B151,$B152,0%)))</f>
        <v>0</v>
      </c>
      <c r="BN152" s="395">
        <f ca="1">IF($E$319=0,0,IF(SUM($G152:BM152)=$B152,0,IF(SUM($G151:AQ151)=$B151,$B152,0%)))</f>
        <v>0</v>
      </c>
      <c r="BO152" s="395">
        <f ca="1">IF($E$319=0,0,IF(SUM($G152:BN152)=$B152,0,IF(SUM($G151:AR151)=$B151,$B152,0%)))</f>
        <v>0</v>
      </c>
      <c r="BP152" s="395">
        <f ca="1">IF($E$319=0,0,IF(SUM($G152:BO152)=$B152,0,IF(SUM($G151:AS151)=$B151,$B152,0%)))</f>
        <v>0</v>
      </c>
      <c r="BQ152" s="395">
        <f ca="1">IF($E$319=0,0,IF(SUM($G152:BP152)=$B152,0,IF(SUM($G151:AT151)=$B151,$B152,0%)))</f>
        <v>0</v>
      </c>
      <c r="BR152" s="395">
        <f ca="1">IF($E$319=0,0,IF(SUM($G152:BQ152)=$B152,0,IF(SUM($G151:AU151)=$B151,$B152,0%)))</f>
        <v>0</v>
      </c>
      <c r="BS152" s="395">
        <f ca="1">IF($E$319=0,0,IF(SUM($G152:BR152)=$B152,0,IF(SUM($G151:AV151)=$B151,$B152,0%)))</f>
        <v>0</v>
      </c>
      <c r="BT152" s="395">
        <f ca="1">IF($E$319=0,0,IF(SUM($G152:BS152)=$B152,0,IF(SUM($G151:AW151)=$B151,$B152,0%)))</f>
        <v>0</v>
      </c>
      <c r="BU152" s="395">
        <f ca="1">IF($E$319=0,0,IF(SUM($G152:BT152)=$B152,0,IF(SUM($G151:AX151)=$B151,$B152,0%)))</f>
        <v>0</v>
      </c>
      <c r="BV152" s="395">
        <f ca="1">IF($E$319=0,0,IF(SUM($G152:BU152)=$B152,0,IF(SUM($G151:AY151)=$B151,$B152,0%)))</f>
        <v>0</v>
      </c>
      <c r="BW152" s="395">
        <f ca="1">IF($E$319=0,0,IF(SUM($G152:BV152)=$B152,0,IF(SUM($G151:AZ151)=$B151,$B152,0%)))</f>
        <v>0</v>
      </c>
      <c r="BX152" s="395">
        <f ca="1">IF($E$319=0,0,IF(SUM($G152:BW152)=$B152,0,IF(SUM($G151:BA151)=$B151,$B152,0%)))</f>
        <v>0</v>
      </c>
      <c r="BY152" s="395">
        <f ca="1">IF($E$319=0,0,IF(SUM($G152:BX152)=$B152,0,IF(SUM($G151:BB151)=$B151,$B152,0%)))</f>
        <v>0</v>
      </c>
      <c r="BZ152" s="395">
        <f ca="1">IF($E$319=0,0,IF(SUM($G152:BY152)=$B152,0,IF(SUM($G151:BC151)=$B151,$B152,0%)))</f>
        <v>0</v>
      </c>
      <c r="CA152" s="395">
        <f ca="1">IF($E$319=0,0,IF(SUM($G152:BZ152)=$B152,0,IF(SUM($G151:BD151)=$B151,$B152,0%)))</f>
        <v>0</v>
      </c>
      <c r="CB152" s="395">
        <f ca="1">IF($E$319=0,0,IF(SUM($G152:CA152)=$B152,0,IF(SUM($G151:BE151)=$B151,$B152,0%)))</f>
        <v>0</v>
      </c>
      <c r="CC152" s="395">
        <f ca="1">IF($E$319=0,0,IF(SUM($G152:CB152)=$B152,0,IF(SUM($G151:BF151)=$B151,$B152,0%)))</f>
        <v>0</v>
      </c>
      <c r="CD152" s="395">
        <f ca="1">IF($E$319=0,0,IF(SUM($G152:CC152)=$B152,0,IF(SUM($G151:BG151)=$B151,$B152,0%)))</f>
        <v>2.5000000000000001E-2</v>
      </c>
      <c r="CE152" s="395">
        <f ca="1">IF($E$319=0,0,IF(SUM($G152:CD152)=$B152,0,IF(SUM($G151:BH151)=$B151,$B152,0%)))</f>
        <v>0</v>
      </c>
      <c r="CF152" s="395">
        <f ca="1">IF($E$319=0,0,IF(SUM($G152:CE152)=$B152,0,IF(SUM($G151:BI151)=$B151,$B152,0%)))</f>
        <v>0</v>
      </c>
      <c r="CG152" s="395">
        <f ca="1">IF($E$319=0,0,IF(SUM($G152:CF152)=$B152,0,IF(SUM($G151:BJ151)=$B151,$B152,0%)))</f>
        <v>0</v>
      </c>
      <c r="CH152" s="395">
        <f ca="1">IF($E$319=0,0,IF(SUM($G152:CG152)=$B152,0,IF(SUM($G151:BK151)=$B151,$B152,0%)))</f>
        <v>0</v>
      </c>
      <c r="CI152" s="395">
        <f ca="1">IF($E$319=0,0,IF(SUM($G152:CH152)=$B152,0,IF(SUM($G151:BL151)=$B151,$B152,0%)))</f>
        <v>0</v>
      </c>
      <c r="CJ152" s="395">
        <f ca="1">IF($E$319=0,0,IF(SUM($G152:CI152)=$B152,0,IF(SUM($G151:BM151)=$B151,$B152,0%)))</f>
        <v>0</v>
      </c>
      <c r="CK152" s="395">
        <f ca="1">IF($E$319=0,0,IF(SUM($G152:CJ152)=$B152,0,IF(SUM($G151:BN151)=$B151,$B152,0%)))</f>
        <v>0</v>
      </c>
      <c r="CL152" s="395">
        <f ca="1">IF($E$319=0,0,IF(SUM($G152:CK152)=$B152,0,IF(SUM($G151:BO151)=$B151,$B152,0%)))</f>
        <v>0</v>
      </c>
      <c r="CM152" s="395">
        <f ca="1">IF($E$319=0,0,IF(SUM($G152:CL152)=$B152,0,IF(SUM($G151:BP151)=$B151,$B152,0%)))</f>
        <v>0</v>
      </c>
      <c r="CN152" s="395">
        <f ca="1">IF($E$319=0,0,IF(SUM($G152:CM152)=$B152,0,IF(SUM($G151:BQ151)=$B151,$B152,0%)))</f>
        <v>0</v>
      </c>
      <c r="CO152" s="395">
        <f ca="1">IF($E$319=0,0,IF(SUM($G152:CN152)=$B152,0,IF(SUM($G151:BR151)=$B151,$B152,0%)))</f>
        <v>0</v>
      </c>
      <c r="CP152" s="395">
        <f ca="1">IF($E$319=0,0,IF(SUM($G152:CO152)=$B152,0,IF(SUM($G151:BS151)=$B151,$B152,0%)))</f>
        <v>0</v>
      </c>
      <c r="CQ152" s="395">
        <f ca="1">IF($E$319=0,0,IF(SUM($G152:CP152)=$B152,0,IF(SUM($G151:BT151)=$B151,$B152,0%)))</f>
        <v>0</v>
      </c>
      <c r="CR152" s="395">
        <f ca="1">IF($E$319=0,0,IF(SUM($G152:CQ152)=$B152,0,IF(SUM($G151:BU151)=$B151,$B152,0%)))</f>
        <v>0</v>
      </c>
      <c r="CS152" s="395">
        <f ca="1">IF($E$319=0,0,IF(SUM($G152:CR152)=$B152,0,IF(SUM($G151:BV151)=$B151,$B152,0%)))</f>
        <v>0</v>
      </c>
      <c r="CT152" s="395">
        <f ca="1">IF($E$319=0,0,IF(SUM($G152:CS152)=$B152,0,IF(SUM($G151:BW151)=$B151,$B152,0%)))</f>
        <v>0</v>
      </c>
      <c r="CU152" s="395">
        <f ca="1">IF($E$319=0,0,IF(SUM($G152:CT152)=$B152,0,IF(SUM($G151:BX151)=$B151,$B152,0%)))</f>
        <v>0</v>
      </c>
      <c r="CV152" s="395">
        <f ca="1">IF($E$319=0,0,IF(SUM($G152:CU152)=$B152,0,IF(SUM($G151:BY151)=$B151,$B152,0%)))</f>
        <v>0</v>
      </c>
      <c r="CW152" s="395">
        <f ca="1">IF($E$319=0,0,IF(SUM($G152:CV152)=$B152,0,IF(SUM($G151:BZ151)=$B151,$B152,0%)))</f>
        <v>0</v>
      </c>
      <c r="CX152" s="395">
        <f ca="1">IF($E$319=0,0,IF(SUM($G152:CW152)=$B152,0,IF(SUM($G151:CA151)=$B151,$B152,0%)))</f>
        <v>0</v>
      </c>
      <c r="CY152" s="395">
        <f ca="1">IF($E$319=0,0,IF(SUM($G152:CX152)=$B152,0,IF(SUM($G151:CB151)=$B151,$B152,0%)))</f>
        <v>0</v>
      </c>
      <c r="CZ152" s="395">
        <f ca="1">IF($E$319=0,0,IF(SUM($G152:CY152)=$B152,0,IF(SUM($G151:CC151)=$B151,$B152,0%)))</f>
        <v>0</v>
      </c>
      <c r="DA152" s="395">
        <f ca="1">IF($E$319=0,0,IF(SUM($G152:CZ152)=$B152,0,IF(SUM($G151:CD151)=$B151,$B152,0%)))</f>
        <v>0</v>
      </c>
      <c r="DB152" s="395">
        <f ca="1">IF($E$319=0,0,IF(SUM($G152:DA152)=$B152,0,IF(SUM($G151:CE151)=$B151,$B152,0%)))</f>
        <v>0</v>
      </c>
      <c r="DC152" s="395">
        <f ca="1">IF($E$319=0,0,IF(SUM($G152:DB152)=$B152,0,IF(SUM($G151:CF151)=$B151,$B152,0%)))</f>
        <v>0</v>
      </c>
      <c r="DD152" s="395">
        <f ca="1">IF($E$319=0,0,IF(SUM($G152:DC152)=$B152,0,IF(SUM($G151:CG151)=$B151,$B152,0%)))</f>
        <v>0</v>
      </c>
      <c r="DE152" s="395">
        <f ca="1">IF($E$319=0,0,IF(SUM($G152:DD152)=$B152,0,IF(SUM($G151:CH151)=$B151,$B152,0%)))</f>
        <v>0</v>
      </c>
      <c r="DF152" s="395">
        <f ca="1">IF($E$319=0,0,IF(SUM($G152:DE152)=$B152,0,IF(SUM($G151:CI151)=$B151,$B152,0%)))</f>
        <v>0</v>
      </c>
      <c r="DG152" s="395">
        <f ca="1">IF($E$319=0,0,IF(SUM($G152:DF152)=$B152,0,IF(SUM($G151:CJ151)=$B151,$B152,0%)))</f>
        <v>0</v>
      </c>
      <c r="DH152" s="395">
        <f ca="1">IF($E$319=0,0,IF(SUM($G152:DG152)=$B152,0,IF(SUM($G151:CK151)=$B151,$B152,0%)))</f>
        <v>0</v>
      </c>
      <c r="DI152" s="395">
        <f ca="1">IF($E$319=0,0,IF(SUM($G152:DH152)=$B152,0,IF(SUM($G151:CL151)=$B151,$B152,0%)))</f>
        <v>0</v>
      </c>
      <c r="DJ152" s="395">
        <f ca="1">IF($E$319=0,0,IF(SUM($G152:DI152)=$B152,0,IF(SUM($G151:CM151)=$B151,$B152,0%)))</f>
        <v>0</v>
      </c>
      <c r="DK152" s="395">
        <f ca="1">IF($E$319=0,0,IF(SUM($G152:DJ152)=$B152,0,IF(SUM($G151:CN151)=$B151,$B152,0%)))</f>
        <v>0</v>
      </c>
      <c r="DL152" s="395">
        <f ca="1">IF($E$319=0,0,IF(SUM($G152:DK152)=$B152,0,IF(SUM($G151:CO151)=$B151,$B152,0%)))</f>
        <v>0</v>
      </c>
      <c r="DM152" s="395">
        <f ca="1">IF($E$319=0,0,IF(SUM($G152:DL152)=$B152,0,IF(SUM($G151:CP151)=$B151,$B152,0%)))</f>
        <v>0</v>
      </c>
      <c r="DN152" s="395">
        <f ca="1">IF($E$319=0,0,IF(SUM($G152:DM152)=$B152,0,IF(SUM($G151:CQ151)=$B151,$B152,0%)))</f>
        <v>0</v>
      </c>
      <c r="DO152" s="395">
        <f ca="1">IF($E$319=0,0,IF(SUM($G152:DN152)=$B152,0,IF(SUM($G151:CR151)=$B151,$B152,0%)))</f>
        <v>0</v>
      </c>
      <c r="DP152" s="395">
        <f ca="1">IF($E$319=0,0,IF(SUM($G152:DO152)=$B152,0,IF(SUM($G151:CS151)=$B151,$B152,0%)))</f>
        <v>0</v>
      </c>
      <c r="DQ152" s="395">
        <f ca="1">IF($E$319=0,0,IF(SUM($G152:DP152)=$B152,0,IF(SUM($G151:CT151)=$B151,$B152,0%)))</f>
        <v>0</v>
      </c>
      <c r="DR152" s="395">
        <f ca="1">IF($E$319=0,0,IF(SUM($G152:DQ152)=$B152,0,IF(SUM($G151:CU151)=$B151,$B152,0%)))</f>
        <v>0</v>
      </c>
      <c r="DS152" s="395">
        <f ca="1">IF($E$319=0,0,IF(SUM($G152:DR152)=$B152,0,IF(SUM($G151:CV151)=$B151,$B152,0%)))</f>
        <v>0</v>
      </c>
      <c r="DT152" s="395">
        <f ca="1">IF($E$319=0,0,IF(SUM($G152:DS152)=$B152,0,IF(SUM($G151:CW151)=$B151,$B152,0%)))</f>
        <v>0</v>
      </c>
      <c r="DU152" s="395">
        <f ca="1">IF($E$319=0,0,IF(SUM($G152:DT152)=$B152,0,IF(SUM($G151:CX151)=$B151,$B152,0%)))</f>
        <v>0</v>
      </c>
      <c r="DV152" s="395">
        <f ca="1">IF($E$319=0,0,IF(SUM($G152:DU152)=$B152,0,IF(SUM($G151:CY151)=$B151,$B152,0%)))</f>
        <v>0</v>
      </c>
      <c r="DW152" s="395">
        <f ca="1">IF($E$319=0,0,IF(SUM($G152:DV152)=$B152,0,IF(SUM($G151:CZ151)=$B151,$B152,0%)))</f>
        <v>0</v>
      </c>
      <c r="DX152" s="395">
        <f ca="1">IF($E$319=0,0,IF(SUM($G152:DW152)=$B152,0,IF(SUM($G151:DA151)=$B151,$B152,0%)))</f>
        <v>0</v>
      </c>
      <c r="DY152" s="395">
        <f ca="1">IF($E$319=0,0,IF(SUM($G152:DX152)=$B152,0,IF(SUM($G151:DB151)=$B151,$B152,0%)))</f>
        <v>0</v>
      </c>
      <c r="DZ152" s="395">
        <f ca="1">IF($E$319=0,0,IF(SUM($G152:DY152)=$B152,0,IF(SUM($G151:DC151)=$B151,$B152,0%)))</f>
        <v>0</v>
      </c>
      <c r="EA152" s="395">
        <f ca="1">IF($E$319=0,0,IF(SUM($G152:DZ152)=$B152,0,IF(SUM($G151:DD151)=$B151,$B152,0%)))</f>
        <v>0</v>
      </c>
      <c r="EB152" s="395">
        <f ca="1">IF($E$319=0,0,IF(SUM($G152:EA152)=$B152,0,IF(SUM($G151:DE151)=$B151,$B152,0%)))</f>
        <v>0</v>
      </c>
      <c r="EC152" s="395">
        <f ca="1">IF($E$319=0,0,IF(SUM($G152:EB152)=$B152,0,IF(SUM($G151:DF151)=$B151,$B152,0%)))</f>
        <v>0</v>
      </c>
      <c r="ED152" s="395">
        <f ca="1">IF($E$319=0,0,IF(SUM($G152:EC152)=$B152,0,IF(SUM($G151:DG151)=$B151,$B152,0%)))</f>
        <v>0</v>
      </c>
      <c r="EE152" s="395">
        <f ca="1">IF($E$319=0,0,IF(SUM($G152:ED152)=$B152,0,IF(SUM($G151:DH151)=$B151,$B152,0%)))</f>
        <v>0</v>
      </c>
      <c r="EF152" s="395">
        <f ca="1">IF($E$319=0,0,IF(SUM($G152:EE152)=$B152,0,IF(SUM($G151:DI151)=$B151,$B152,0%)))</f>
        <v>0</v>
      </c>
      <c r="EG152" s="395">
        <f ca="1">IF($E$319=0,0,IF(SUM($G152:EF152)=$B152,0,IF(SUM($G151:DJ151)=$B151,$B152,0%)))</f>
        <v>0</v>
      </c>
      <c r="EH152" s="395">
        <f ca="1">IF($E$319=0,0,IF(SUM($G152:EG152)=$B152,0,IF(SUM($G151:DK151)=$B151,$B152,0%)))</f>
        <v>0</v>
      </c>
      <c r="EI152" s="395">
        <f ca="1">IF($E$319=0,0,IF(SUM($G152:EH152)=$B152,0,IF(SUM($G151:DL151)=$B151,$B152,0%)))</f>
        <v>0</v>
      </c>
      <c r="EJ152" s="398"/>
      <c r="EK152" s="313"/>
    </row>
    <row r="153" spans="1:141" hidden="1" outlineLevel="1" collapsed="1">
      <c r="A153" s="332"/>
      <c r="B153" s="313"/>
      <c r="C153" s="392" t="s">
        <v>91</v>
      </c>
      <c r="D153" s="392" t="str">
        <f>D324</f>
        <v>Внутренняя отделка - отделка блоков</v>
      </c>
      <c r="E153" s="393">
        <f ca="1">ROUND(IF(F153=0,0,100%-F153),0)</f>
        <v>0</v>
      </c>
      <c r="F153" s="394">
        <f t="shared" ref="F153:F155" ca="1" si="368">SUM(G153:EJ153)</f>
        <v>1</v>
      </c>
      <c r="G153" s="395">
        <f>SUM(G154:G157)</f>
        <v>0</v>
      </c>
      <c r="H153" s="395">
        <f ca="1">SUM(H154:H157)</f>
        <v>0</v>
      </c>
      <c r="I153" s="395">
        <f t="shared" ref="I153:BT153" ca="1" si="369">SUM(I154:I157)</f>
        <v>0</v>
      </c>
      <c r="J153" s="395">
        <f t="shared" ca="1" si="369"/>
        <v>0</v>
      </c>
      <c r="K153" s="395">
        <f t="shared" ca="1" si="369"/>
        <v>0</v>
      </c>
      <c r="L153" s="395">
        <f t="shared" ca="1" si="369"/>
        <v>0</v>
      </c>
      <c r="M153" s="395">
        <f t="shared" ca="1" si="369"/>
        <v>0</v>
      </c>
      <c r="N153" s="395">
        <f t="shared" ca="1" si="369"/>
        <v>0</v>
      </c>
      <c r="O153" s="395">
        <f t="shared" ca="1" si="369"/>
        <v>0</v>
      </c>
      <c r="P153" s="395">
        <f t="shared" ca="1" si="369"/>
        <v>0</v>
      </c>
      <c r="Q153" s="395">
        <f t="shared" ca="1" si="369"/>
        <v>0</v>
      </c>
      <c r="R153" s="395">
        <f t="shared" ca="1" si="369"/>
        <v>0</v>
      </c>
      <c r="S153" s="395">
        <f t="shared" ca="1" si="369"/>
        <v>0</v>
      </c>
      <c r="T153" s="395">
        <f t="shared" ca="1" si="369"/>
        <v>0</v>
      </c>
      <c r="U153" s="395">
        <f t="shared" ca="1" si="369"/>
        <v>0</v>
      </c>
      <c r="V153" s="395">
        <f t="shared" ca="1" si="369"/>
        <v>0</v>
      </c>
      <c r="W153" s="395">
        <f t="shared" ca="1" si="369"/>
        <v>0</v>
      </c>
      <c r="X153" s="395">
        <f t="shared" ca="1" si="369"/>
        <v>0</v>
      </c>
      <c r="Y153" s="395">
        <f t="shared" ca="1" si="369"/>
        <v>0</v>
      </c>
      <c r="Z153" s="395">
        <f t="shared" ca="1" si="369"/>
        <v>0</v>
      </c>
      <c r="AA153" s="395">
        <f t="shared" ca="1" si="369"/>
        <v>0</v>
      </c>
      <c r="AB153" s="395">
        <f t="shared" ca="1" si="369"/>
        <v>0</v>
      </c>
      <c r="AC153" s="395">
        <f t="shared" ca="1" si="369"/>
        <v>0</v>
      </c>
      <c r="AD153" s="395">
        <f t="shared" ca="1" si="369"/>
        <v>0</v>
      </c>
      <c r="AE153" s="395">
        <f t="shared" ca="1" si="369"/>
        <v>0</v>
      </c>
      <c r="AF153" s="395">
        <f t="shared" ca="1" si="369"/>
        <v>0</v>
      </c>
      <c r="AG153" s="395">
        <f t="shared" ca="1" si="369"/>
        <v>0</v>
      </c>
      <c r="AH153" s="395">
        <f t="shared" ca="1" si="369"/>
        <v>0</v>
      </c>
      <c r="AI153" s="395">
        <f t="shared" ca="1" si="369"/>
        <v>0</v>
      </c>
      <c r="AJ153" s="395">
        <f t="shared" ca="1" si="369"/>
        <v>0</v>
      </c>
      <c r="AK153" s="395">
        <f t="shared" ca="1" si="369"/>
        <v>0</v>
      </c>
      <c r="AL153" s="395">
        <f t="shared" ca="1" si="369"/>
        <v>0</v>
      </c>
      <c r="AM153" s="395">
        <f t="shared" ca="1" si="369"/>
        <v>0</v>
      </c>
      <c r="AN153" s="395">
        <f t="shared" ca="1" si="369"/>
        <v>0</v>
      </c>
      <c r="AO153" s="395">
        <f t="shared" ca="1" si="369"/>
        <v>0</v>
      </c>
      <c r="AP153" s="395">
        <f t="shared" ca="1" si="369"/>
        <v>0</v>
      </c>
      <c r="AQ153" s="395">
        <f t="shared" ca="1" si="369"/>
        <v>0</v>
      </c>
      <c r="AR153" s="395">
        <f t="shared" ca="1" si="369"/>
        <v>0</v>
      </c>
      <c r="AS153" s="395">
        <f t="shared" ca="1" si="369"/>
        <v>0</v>
      </c>
      <c r="AT153" s="395">
        <f t="shared" ca="1" si="369"/>
        <v>0</v>
      </c>
      <c r="AU153" s="395">
        <f t="shared" ca="1" si="369"/>
        <v>0</v>
      </c>
      <c r="AV153" s="395">
        <f t="shared" ca="1" si="369"/>
        <v>0.3</v>
      </c>
      <c r="AW153" s="395">
        <f t="shared" ca="1" si="369"/>
        <v>0</v>
      </c>
      <c r="AX153" s="395">
        <f t="shared" ca="1" si="369"/>
        <v>4.3766666666666766E-2</v>
      </c>
      <c r="AY153" s="395">
        <f t="shared" ca="1" si="369"/>
        <v>0.26866666666666666</v>
      </c>
      <c r="AZ153" s="395">
        <f t="shared" ca="1" si="369"/>
        <v>0.26</v>
      </c>
      <c r="BA153" s="395">
        <f t="shared" ca="1" si="369"/>
        <v>7.7566666666666562E-2</v>
      </c>
      <c r="BB153" s="395">
        <f t="shared" ca="1" si="369"/>
        <v>2.5000000000000001E-2</v>
      </c>
      <c r="BC153" s="395">
        <f t="shared" ca="1" si="369"/>
        <v>0</v>
      </c>
      <c r="BD153" s="395">
        <f t="shared" ca="1" si="369"/>
        <v>0</v>
      </c>
      <c r="BE153" s="395">
        <f t="shared" ca="1" si="369"/>
        <v>0</v>
      </c>
      <c r="BF153" s="395">
        <f t="shared" ca="1" si="369"/>
        <v>0</v>
      </c>
      <c r="BG153" s="395">
        <f t="shared" ca="1" si="369"/>
        <v>0</v>
      </c>
      <c r="BH153" s="395">
        <f t="shared" ca="1" si="369"/>
        <v>0</v>
      </c>
      <c r="BI153" s="395">
        <f t="shared" ca="1" si="369"/>
        <v>0</v>
      </c>
      <c r="BJ153" s="395">
        <f t="shared" ca="1" si="369"/>
        <v>0</v>
      </c>
      <c r="BK153" s="395">
        <f t="shared" ca="1" si="369"/>
        <v>0</v>
      </c>
      <c r="BL153" s="395">
        <f t="shared" ca="1" si="369"/>
        <v>0</v>
      </c>
      <c r="BM153" s="395">
        <f t="shared" ca="1" si="369"/>
        <v>0</v>
      </c>
      <c r="BN153" s="395">
        <f t="shared" ca="1" si="369"/>
        <v>0</v>
      </c>
      <c r="BO153" s="395">
        <f t="shared" ca="1" si="369"/>
        <v>0</v>
      </c>
      <c r="BP153" s="395">
        <f t="shared" ca="1" si="369"/>
        <v>0</v>
      </c>
      <c r="BQ153" s="395">
        <f t="shared" ca="1" si="369"/>
        <v>0</v>
      </c>
      <c r="BR153" s="395">
        <f t="shared" ca="1" si="369"/>
        <v>0</v>
      </c>
      <c r="BS153" s="395">
        <f t="shared" ca="1" si="369"/>
        <v>0</v>
      </c>
      <c r="BT153" s="395">
        <f t="shared" ca="1" si="369"/>
        <v>0</v>
      </c>
      <c r="BU153" s="395">
        <f t="shared" ref="BU153:EF153" ca="1" si="370">SUM(BU154:BU157)</f>
        <v>0</v>
      </c>
      <c r="BV153" s="395">
        <f t="shared" ca="1" si="370"/>
        <v>0</v>
      </c>
      <c r="BW153" s="395">
        <f t="shared" ca="1" si="370"/>
        <v>0</v>
      </c>
      <c r="BX153" s="395">
        <f t="shared" ca="1" si="370"/>
        <v>0</v>
      </c>
      <c r="BY153" s="395">
        <f t="shared" ca="1" si="370"/>
        <v>2.5000000000000001E-2</v>
      </c>
      <c r="BZ153" s="395">
        <f t="shared" ca="1" si="370"/>
        <v>0</v>
      </c>
      <c r="CA153" s="395">
        <f t="shared" ca="1" si="370"/>
        <v>0</v>
      </c>
      <c r="CB153" s="395">
        <f t="shared" ca="1" si="370"/>
        <v>0</v>
      </c>
      <c r="CC153" s="395">
        <f t="shared" ca="1" si="370"/>
        <v>0</v>
      </c>
      <c r="CD153" s="395">
        <f t="shared" ca="1" si="370"/>
        <v>0</v>
      </c>
      <c r="CE153" s="395">
        <f t="shared" ca="1" si="370"/>
        <v>0</v>
      </c>
      <c r="CF153" s="395">
        <f t="shared" ca="1" si="370"/>
        <v>0</v>
      </c>
      <c r="CG153" s="395">
        <f t="shared" ca="1" si="370"/>
        <v>0</v>
      </c>
      <c r="CH153" s="395">
        <f t="shared" ca="1" si="370"/>
        <v>0</v>
      </c>
      <c r="CI153" s="395">
        <f t="shared" ca="1" si="370"/>
        <v>0</v>
      </c>
      <c r="CJ153" s="395">
        <f t="shared" ca="1" si="370"/>
        <v>0</v>
      </c>
      <c r="CK153" s="395">
        <f t="shared" ca="1" si="370"/>
        <v>0</v>
      </c>
      <c r="CL153" s="395">
        <f t="shared" ca="1" si="370"/>
        <v>0</v>
      </c>
      <c r="CM153" s="395">
        <f t="shared" ca="1" si="370"/>
        <v>0</v>
      </c>
      <c r="CN153" s="395">
        <f t="shared" ca="1" si="370"/>
        <v>0</v>
      </c>
      <c r="CO153" s="395">
        <f t="shared" ca="1" si="370"/>
        <v>0</v>
      </c>
      <c r="CP153" s="395">
        <f t="shared" ca="1" si="370"/>
        <v>0</v>
      </c>
      <c r="CQ153" s="395">
        <f t="shared" ca="1" si="370"/>
        <v>0</v>
      </c>
      <c r="CR153" s="395">
        <f t="shared" ca="1" si="370"/>
        <v>0</v>
      </c>
      <c r="CS153" s="395">
        <f t="shared" ca="1" si="370"/>
        <v>0</v>
      </c>
      <c r="CT153" s="395">
        <f t="shared" ca="1" si="370"/>
        <v>0</v>
      </c>
      <c r="CU153" s="395">
        <f t="shared" ca="1" si="370"/>
        <v>0</v>
      </c>
      <c r="CV153" s="395">
        <f t="shared" ca="1" si="370"/>
        <v>0</v>
      </c>
      <c r="CW153" s="395">
        <f t="shared" ca="1" si="370"/>
        <v>0</v>
      </c>
      <c r="CX153" s="395">
        <f t="shared" ca="1" si="370"/>
        <v>0</v>
      </c>
      <c r="CY153" s="395">
        <f t="shared" ca="1" si="370"/>
        <v>0</v>
      </c>
      <c r="CZ153" s="395">
        <f t="shared" ca="1" si="370"/>
        <v>0</v>
      </c>
      <c r="DA153" s="395">
        <f t="shared" ca="1" si="370"/>
        <v>0</v>
      </c>
      <c r="DB153" s="395">
        <f t="shared" ca="1" si="370"/>
        <v>0</v>
      </c>
      <c r="DC153" s="395">
        <f t="shared" ca="1" si="370"/>
        <v>0</v>
      </c>
      <c r="DD153" s="395">
        <f t="shared" ca="1" si="370"/>
        <v>0</v>
      </c>
      <c r="DE153" s="395">
        <f t="shared" ca="1" si="370"/>
        <v>0</v>
      </c>
      <c r="DF153" s="395">
        <f t="shared" ca="1" si="370"/>
        <v>0</v>
      </c>
      <c r="DG153" s="395">
        <f t="shared" ca="1" si="370"/>
        <v>0</v>
      </c>
      <c r="DH153" s="395">
        <f t="shared" ca="1" si="370"/>
        <v>0</v>
      </c>
      <c r="DI153" s="395">
        <f t="shared" ca="1" si="370"/>
        <v>0</v>
      </c>
      <c r="DJ153" s="395">
        <f t="shared" ca="1" si="370"/>
        <v>0</v>
      </c>
      <c r="DK153" s="395">
        <f t="shared" ca="1" si="370"/>
        <v>0</v>
      </c>
      <c r="DL153" s="395">
        <f t="shared" ca="1" si="370"/>
        <v>0</v>
      </c>
      <c r="DM153" s="395">
        <f t="shared" ca="1" si="370"/>
        <v>0</v>
      </c>
      <c r="DN153" s="395">
        <f t="shared" ca="1" si="370"/>
        <v>0</v>
      </c>
      <c r="DO153" s="395">
        <f t="shared" ca="1" si="370"/>
        <v>0</v>
      </c>
      <c r="DP153" s="395">
        <f t="shared" ca="1" si="370"/>
        <v>0</v>
      </c>
      <c r="DQ153" s="395">
        <f t="shared" ca="1" si="370"/>
        <v>0</v>
      </c>
      <c r="DR153" s="395">
        <f t="shared" ca="1" si="370"/>
        <v>0</v>
      </c>
      <c r="DS153" s="395">
        <f t="shared" ca="1" si="370"/>
        <v>0</v>
      </c>
      <c r="DT153" s="395">
        <f t="shared" ca="1" si="370"/>
        <v>0</v>
      </c>
      <c r="DU153" s="395">
        <f t="shared" ca="1" si="370"/>
        <v>0</v>
      </c>
      <c r="DV153" s="395">
        <f t="shared" ca="1" si="370"/>
        <v>0</v>
      </c>
      <c r="DW153" s="395">
        <f t="shared" ca="1" si="370"/>
        <v>0</v>
      </c>
      <c r="DX153" s="395">
        <f t="shared" ca="1" si="370"/>
        <v>0</v>
      </c>
      <c r="DY153" s="395">
        <f t="shared" ca="1" si="370"/>
        <v>0</v>
      </c>
      <c r="DZ153" s="395">
        <f t="shared" ca="1" si="370"/>
        <v>0</v>
      </c>
      <c r="EA153" s="395">
        <f t="shared" ca="1" si="370"/>
        <v>0</v>
      </c>
      <c r="EB153" s="395">
        <f t="shared" ca="1" si="370"/>
        <v>0</v>
      </c>
      <c r="EC153" s="395">
        <f t="shared" ca="1" si="370"/>
        <v>0</v>
      </c>
      <c r="ED153" s="395">
        <f t="shared" ca="1" si="370"/>
        <v>0</v>
      </c>
      <c r="EE153" s="395">
        <f t="shared" ca="1" si="370"/>
        <v>0</v>
      </c>
      <c r="EF153" s="395">
        <f t="shared" ca="1" si="370"/>
        <v>0</v>
      </c>
      <c r="EG153" s="395">
        <f t="shared" ref="EG153:EI153" ca="1" si="371">SUM(EG154:EG157)</f>
        <v>0</v>
      </c>
      <c r="EH153" s="395">
        <f t="shared" ca="1" si="371"/>
        <v>0</v>
      </c>
      <c r="EI153" s="395">
        <f t="shared" ca="1" si="371"/>
        <v>0</v>
      </c>
      <c r="EJ153" s="398"/>
      <c r="EK153" s="313"/>
    </row>
    <row r="154" spans="1:141" hidden="1" outlineLevel="2">
      <c r="A154" s="332"/>
      <c r="B154" s="548">
        <f>B144</f>
        <v>0.3</v>
      </c>
      <c r="C154" s="317"/>
      <c r="D154" s="317" t="s">
        <v>664</v>
      </c>
      <c r="E154" s="318">
        <f t="shared" ref="E154:E157" ca="1" si="372">IF(F154=0,0,B154-F154)</f>
        <v>0</v>
      </c>
      <c r="F154" s="397">
        <f t="shared" ca="1" si="368"/>
        <v>0.3</v>
      </c>
      <c r="G154" s="395"/>
      <c r="H154" s="395">
        <f ca="1">IF(SUM($G154:G154)=$B154,0,IF(J155&gt;0%,$B154,0%))</f>
        <v>0</v>
      </c>
      <c r="I154" s="395">
        <f ca="1">IF(SUM($G154:H154)=$B154,0,IF(K155&gt;0%,$B154,0%))</f>
        <v>0</v>
      </c>
      <c r="J154" s="395">
        <f ca="1">IF(SUM($G154:I154)=$B154,0,IF(L155&gt;0%,$B154,0%))</f>
        <v>0</v>
      </c>
      <c r="K154" s="395">
        <f ca="1">IF(SUM($G154:J154)=$B154,0,IF(M155&gt;0%,$B154,0%))</f>
        <v>0</v>
      </c>
      <c r="L154" s="395">
        <f ca="1">IF(SUM($G154:K154)=$B154,0,IF(N155&gt;0%,$B154,0%))</f>
        <v>0</v>
      </c>
      <c r="M154" s="395">
        <f ca="1">IF(SUM($G154:L154)=$B154,0,IF(O155&gt;0%,$B154,0%))</f>
        <v>0</v>
      </c>
      <c r="N154" s="395">
        <f ca="1">IF(SUM($G154:M154)=$B154,0,IF(P155&gt;0%,$B154,0%))</f>
        <v>0</v>
      </c>
      <c r="O154" s="395">
        <f ca="1">IF(SUM($G154:N154)=$B154,0,IF(Q155&gt;0%,$B154,0%))</f>
        <v>0</v>
      </c>
      <c r="P154" s="395">
        <f ca="1">IF(SUM($G154:O154)=$B154,0,IF(R155&gt;0%,$B154,0%))</f>
        <v>0</v>
      </c>
      <c r="Q154" s="395">
        <f ca="1">IF(SUM($G154:P154)=$B154,0,IF(S155&gt;0%,$B154,0%))</f>
        <v>0</v>
      </c>
      <c r="R154" s="395">
        <f ca="1">IF(SUM($G154:Q154)=$B154,0,IF(T155&gt;0%,$B154,0%))</f>
        <v>0</v>
      </c>
      <c r="S154" s="395">
        <f ca="1">IF(SUM($G154:R154)=$B154,0,IF(U155&gt;0%,$B154,0%))</f>
        <v>0</v>
      </c>
      <c r="T154" s="395">
        <f ca="1">IF(SUM($G154:S154)=$B154,0,IF(V155&gt;0%,$B154,0%))</f>
        <v>0</v>
      </c>
      <c r="U154" s="395">
        <f ca="1">IF(SUM($G154:T154)=$B154,0,IF(W155&gt;0%,$B154,0%))</f>
        <v>0</v>
      </c>
      <c r="V154" s="395">
        <f ca="1">IF(SUM($G154:U154)=$B154,0,IF(X155&gt;0%,$B154,0%))</f>
        <v>0</v>
      </c>
      <c r="W154" s="395">
        <f ca="1">IF(SUM($G154:V154)=$B154,0,IF(Y155&gt;0%,$B154,0%))</f>
        <v>0</v>
      </c>
      <c r="X154" s="395">
        <f ca="1">IF(SUM($G154:W154)=$B154,0,IF(Z155&gt;0%,$B154,0%))</f>
        <v>0</v>
      </c>
      <c r="Y154" s="395">
        <f ca="1">IF(SUM($G154:X154)=$B154,0,IF(AA155&gt;0%,$B154,0%))</f>
        <v>0</v>
      </c>
      <c r="Z154" s="395">
        <f ca="1">IF(SUM($G154:Y154)=$B154,0,IF(AB155&gt;0%,$B154,0%))</f>
        <v>0</v>
      </c>
      <c r="AA154" s="395">
        <f ca="1">IF(SUM($G154:Z154)=$B154,0,IF(AC155&gt;0%,$B154,0%))</f>
        <v>0</v>
      </c>
      <c r="AB154" s="395">
        <f ca="1">IF(SUM($G154:AA154)=$B154,0,IF(AD155&gt;0%,$B154,0%))</f>
        <v>0</v>
      </c>
      <c r="AC154" s="395">
        <f ca="1">IF(SUM($G154:AB154)=$B154,0,IF(AE155&gt;0%,$B154,0%))</f>
        <v>0</v>
      </c>
      <c r="AD154" s="395">
        <f ca="1">IF(SUM($G154:AC154)=$B154,0,IF(AF155&gt;0%,$B154,0%))</f>
        <v>0</v>
      </c>
      <c r="AE154" s="395">
        <f ca="1">IF(SUM($G154:AD154)=$B154,0,IF(AG155&gt;0%,$B154,0%))</f>
        <v>0</v>
      </c>
      <c r="AF154" s="395">
        <f ca="1">IF(SUM($G154:AE154)=$B154,0,IF(AH155&gt;0%,$B154,0%))</f>
        <v>0</v>
      </c>
      <c r="AG154" s="395">
        <f ca="1">IF(SUM($G154:AF154)=$B154,0,IF(AI155&gt;0%,$B154,0%))</f>
        <v>0</v>
      </c>
      <c r="AH154" s="395">
        <f ca="1">IF(SUM($G154:AG154)=$B154,0,IF(AJ155&gt;0%,$B154,0%))</f>
        <v>0</v>
      </c>
      <c r="AI154" s="395">
        <f ca="1">IF(SUM($G154:AH154)=$B154,0,IF(AK155&gt;0%,$B154,0%))</f>
        <v>0</v>
      </c>
      <c r="AJ154" s="395">
        <f ca="1">IF(SUM($G154:AI154)=$B154,0,IF(AL155&gt;0%,$B154,0%))</f>
        <v>0</v>
      </c>
      <c r="AK154" s="395">
        <f ca="1">IF(SUM($G154:AJ154)=$B154,0,IF(AM155&gt;0%,$B154,0%))</f>
        <v>0</v>
      </c>
      <c r="AL154" s="395">
        <f ca="1">IF(SUM($G154:AK154)=$B154,0,IF(AN155&gt;0%,$B154,0%))</f>
        <v>0</v>
      </c>
      <c r="AM154" s="395">
        <f ca="1">IF(SUM($G154:AL154)=$B154,0,IF(AO155&gt;0%,$B154,0%))</f>
        <v>0</v>
      </c>
      <c r="AN154" s="395">
        <f ca="1">IF(SUM($G154:AM154)=$B154,0,IF(AP155&gt;0%,$B154,0%))</f>
        <v>0</v>
      </c>
      <c r="AO154" s="395">
        <f ca="1">IF(SUM($G154:AN154)=$B154,0,IF(AQ155&gt;0%,$B154,0%))</f>
        <v>0</v>
      </c>
      <c r="AP154" s="395">
        <f ca="1">IF(SUM($G154:AO154)=$B154,0,IF(AR155&gt;0%,$B154,0%))</f>
        <v>0</v>
      </c>
      <c r="AQ154" s="395">
        <f ca="1">IF(SUM($G154:AP154)=$B154,0,IF(AS155&gt;0%,$B154,0%))</f>
        <v>0</v>
      </c>
      <c r="AR154" s="395">
        <f ca="1">IF(SUM($G154:AQ154)=$B154,0,IF(AT155&gt;0%,$B154,0%))</f>
        <v>0</v>
      </c>
      <c r="AS154" s="395">
        <f ca="1">IF(SUM($G154:AR154)=$B154,0,IF(AU155&gt;0%,$B154,0%))</f>
        <v>0</v>
      </c>
      <c r="AT154" s="395">
        <f ca="1">IF(SUM($G154:AS154)=$B154,0,IF(AV155&gt;0%,$B154,0%))</f>
        <v>0</v>
      </c>
      <c r="AU154" s="395">
        <f ca="1">IF(SUM($G154:AT154)=$B154,0,IF(AW155&gt;0%,$B154,0%))</f>
        <v>0</v>
      </c>
      <c r="AV154" s="395">
        <f ca="1">IF(SUM($G154:AU154)=$B154,0,IF(AX155&gt;0%,$B154,0%))</f>
        <v>0.3</v>
      </c>
      <c r="AW154" s="395">
        <f ca="1">IF(SUM($G154:AV154)=$B154,0,IF(AY155&gt;0%,$B154,0%))</f>
        <v>0</v>
      </c>
      <c r="AX154" s="395">
        <f ca="1">IF(SUM($G154:AW154)=$B154,0,IF(AZ155&gt;0%,$B154,0%))</f>
        <v>0</v>
      </c>
      <c r="AY154" s="395">
        <f ca="1">IF(SUM($G154:AX154)=$B154,0,IF(BA155&gt;0%,$B154,0%))</f>
        <v>0</v>
      </c>
      <c r="AZ154" s="395">
        <f ca="1">IF(SUM($G154:AY154)=$B154,0,IF(BB155&gt;0%,$B154,0%))</f>
        <v>0</v>
      </c>
      <c r="BA154" s="395">
        <f ca="1">IF(SUM($G154:AZ154)=$B154,0,IF(BC155&gt;0%,$B154,0%))</f>
        <v>0</v>
      </c>
      <c r="BB154" s="395">
        <f ca="1">IF(SUM($G154:BA154)=$B154,0,IF(BD155&gt;0%,$B154,0%))</f>
        <v>0</v>
      </c>
      <c r="BC154" s="395">
        <f ca="1">IF(SUM($G154:BB154)=$B154,0,IF(BE155&gt;0%,$B154,0%))</f>
        <v>0</v>
      </c>
      <c r="BD154" s="395">
        <f ca="1">IF(SUM($G154:BC154)=$B154,0,IF(BF155&gt;0%,$B154,0%))</f>
        <v>0</v>
      </c>
      <c r="BE154" s="395">
        <f ca="1">IF(SUM($G154:BD154)=$B154,0,IF(BG155&gt;0%,$B154,0%))</f>
        <v>0</v>
      </c>
      <c r="BF154" s="395">
        <f ca="1">IF(SUM($G154:BE154)=$B154,0,IF(BH155&gt;0%,$B154,0%))</f>
        <v>0</v>
      </c>
      <c r="BG154" s="395">
        <f ca="1">IF(SUM($G154:BF154)=$B154,0,IF(BI155&gt;0%,$B154,0%))</f>
        <v>0</v>
      </c>
      <c r="BH154" s="395">
        <f ca="1">IF(SUM($G154:BG154)=$B154,0,IF(BJ155&gt;0%,$B154,0%))</f>
        <v>0</v>
      </c>
      <c r="BI154" s="395">
        <f ca="1">IF(SUM($G154:BH154)=$B154,0,IF(BK155&gt;0%,$B154,0%))</f>
        <v>0</v>
      </c>
      <c r="BJ154" s="395">
        <f ca="1">IF(SUM($G154:BI154)=$B154,0,IF(BL155&gt;0%,$B154,0%))</f>
        <v>0</v>
      </c>
      <c r="BK154" s="395">
        <f ca="1">IF(SUM($G154:BJ154)=$B154,0,IF(BM155&gt;0%,$B154,0%))</f>
        <v>0</v>
      </c>
      <c r="BL154" s="395">
        <f ca="1">IF(SUM($G154:BK154)=$B154,0,IF(BN155&gt;0%,$B154,0%))</f>
        <v>0</v>
      </c>
      <c r="BM154" s="395">
        <f ca="1">IF(SUM($G154:BL154)=$B154,0,IF(BO155&gt;0%,$B154,0%))</f>
        <v>0</v>
      </c>
      <c r="BN154" s="395">
        <f ca="1">IF(SUM($G154:BM154)=$B154,0,IF(BP155&gt;0%,$B154,0%))</f>
        <v>0</v>
      </c>
      <c r="BO154" s="395">
        <f ca="1">IF(SUM($G154:BN154)=$B154,0,IF(BQ155&gt;0%,$B154,0%))</f>
        <v>0</v>
      </c>
      <c r="BP154" s="395">
        <f ca="1">IF(SUM($G154:BO154)=$B154,0,IF(BR155&gt;0%,$B154,0%))</f>
        <v>0</v>
      </c>
      <c r="BQ154" s="395">
        <f ca="1">IF(SUM($G154:BP154)=$B154,0,IF(BS155&gt;0%,$B154,0%))</f>
        <v>0</v>
      </c>
      <c r="BR154" s="395">
        <f ca="1">IF(SUM($G154:BQ154)=$B154,0,IF(BT155&gt;0%,$B154,0%))</f>
        <v>0</v>
      </c>
      <c r="BS154" s="395">
        <f ca="1">IF(SUM($G154:BR154)=$B154,0,IF(BU155&gt;0%,$B154,0%))</f>
        <v>0</v>
      </c>
      <c r="BT154" s="395">
        <f ca="1">IF(SUM($G154:BS154)=$B154,0,IF(BV155&gt;0%,$B154,0%))</f>
        <v>0</v>
      </c>
      <c r="BU154" s="395">
        <f ca="1">IF(SUM($G154:BT154)=$B154,0,IF(BW155&gt;0%,$B154,0%))</f>
        <v>0</v>
      </c>
      <c r="BV154" s="395">
        <f ca="1">IF(SUM($G154:BU154)=$B154,0,IF(BX155&gt;0%,$B154,0%))</f>
        <v>0</v>
      </c>
      <c r="BW154" s="395">
        <f ca="1">IF(SUM($G154:BV154)=$B154,0,IF(BY155&gt;0%,$B154,0%))</f>
        <v>0</v>
      </c>
      <c r="BX154" s="395">
        <f ca="1">IF(SUM($G154:BW154)=$B154,0,IF(BZ155&gt;0%,$B154,0%))</f>
        <v>0</v>
      </c>
      <c r="BY154" s="395">
        <f ca="1">IF(SUM($G154:BX154)=$B154,0,IF(CA155&gt;0%,$B154,0%))</f>
        <v>0</v>
      </c>
      <c r="BZ154" s="395">
        <f ca="1">IF(SUM($G154:BY154)=$B154,0,IF(CB155&gt;0%,$B154,0%))</f>
        <v>0</v>
      </c>
      <c r="CA154" s="395">
        <f ca="1">IF(SUM($G154:BZ154)=$B154,0,IF(CC155&gt;0%,$B154,0%))</f>
        <v>0</v>
      </c>
      <c r="CB154" s="395">
        <f ca="1">IF(SUM($G154:CA154)=$B154,0,IF(CD155&gt;0%,$B154,0%))</f>
        <v>0</v>
      </c>
      <c r="CC154" s="395">
        <f ca="1">IF(SUM($G154:CB154)=$B154,0,IF(CE155&gt;0%,$B154,0%))</f>
        <v>0</v>
      </c>
      <c r="CD154" s="395">
        <f ca="1">IF(SUM($G154:CC154)=$B154,0,IF(CF155&gt;0%,$B154,0%))</f>
        <v>0</v>
      </c>
      <c r="CE154" s="395">
        <f ca="1">IF(SUM($G154:CD154)=$B154,0,IF(CG155&gt;0%,$B154,0%))</f>
        <v>0</v>
      </c>
      <c r="CF154" s="395">
        <f ca="1">IF(SUM($G154:CE154)=$B154,0,IF(CH155&gt;0%,$B154,0%))</f>
        <v>0</v>
      </c>
      <c r="CG154" s="395">
        <f ca="1">IF(SUM($G154:CF154)=$B154,0,IF(CI155&gt;0%,$B154,0%))</f>
        <v>0</v>
      </c>
      <c r="CH154" s="395">
        <f ca="1">IF(SUM($G154:CG154)=$B154,0,IF(CJ155&gt;0%,$B154,0%))</f>
        <v>0</v>
      </c>
      <c r="CI154" s="395">
        <f ca="1">IF(SUM($G154:CH154)=$B154,0,IF(CK155&gt;0%,$B154,0%))</f>
        <v>0</v>
      </c>
      <c r="CJ154" s="395">
        <f ca="1">IF(SUM($G154:CI154)=$B154,0,IF(CL155&gt;0%,$B154,0%))</f>
        <v>0</v>
      </c>
      <c r="CK154" s="395">
        <f ca="1">IF(SUM($G154:CJ154)=$B154,0,IF(CM155&gt;0%,$B154,0%))</f>
        <v>0</v>
      </c>
      <c r="CL154" s="395">
        <f ca="1">IF(SUM($G154:CK154)=$B154,0,IF(CN155&gt;0%,$B154,0%))</f>
        <v>0</v>
      </c>
      <c r="CM154" s="395">
        <f ca="1">IF(SUM($G154:CL154)=$B154,0,IF(CO155&gt;0%,$B154,0%))</f>
        <v>0</v>
      </c>
      <c r="CN154" s="395">
        <f ca="1">IF(SUM($G154:CM154)=$B154,0,IF(CP155&gt;0%,$B154,0%))</f>
        <v>0</v>
      </c>
      <c r="CO154" s="395">
        <f ca="1">IF(SUM($G154:CN154)=$B154,0,IF(CQ155&gt;0%,$B154,0%))</f>
        <v>0</v>
      </c>
      <c r="CP154" s="395">
        <f ca="1">IF(SUM($G154:CO154)=$B154,0,IF(CR155&gt;0%,$B154,0%))</f>
        <v>0</v>
      </c>
      <c r="CQ154" s="395">
        <f ca="1">IF(SUM($G154:CP154)=$B154,0,IF(CS155&gt;0%,$B154,0%))</f>
        <v>0</v>
      </c>
      <c r="CR154" s="395">
        <f ca="1">IF(SUM($G154:CQ154)=$B154,0,IF(CT155&gt;0%,$B154,0%))</f>
        <v>0</v>
      </c>
      <c r="CS154" s="395">
        <f ca="1">IF(SUM($G154:CR154)=$B154,0,IF(CU155&gt;0%,$B154,0%))</f>
        <v>0</v>
      </c>
      <c r="CT154" s="395">
        <f ca="1">IF(SUM($G154:CS154)=$B154,0,IF(CV155&gt;0%,$B154,0%))</f>
        <v>0</v>
      </c>
      <c r="CU154" s="395">
        <f ca="1">IF(SUM($G154:CT154)=$B154,0,IF(CW155&gt;0%,$B154,0%))</f>
        <v>0</v>
      </c>
      <c r="CV154" s="395">
        <f ca="1">IF(SUM($G154:CU154)=$B154,0,IF(CX155&gt;0%,$B154,0%))</f>
        <v>0</v>
      </c>
      <c r="CW154" s="395">
        <f ca="1">IF(SUM($G154:CV154)=$B154,0,IF(CY155&gt;0%,$B154,0%))</f>
        <v>0</v>
      </c>
      <c r="CX154" s="395">
        <f ca="1">IF(SUM($G154:CW154)=$B154,0,IF(CZ155&gt;0%,$B154,0%))</f>
        <v>0</v>
      </c>
      <c r="CY154" s="395">
        <f ca="1">IF(SUM($G154:CX154)=$B154,0,IF(DA155&gt;0%,$B154,0%))</f>
        <v>0</v>
      </c>
      <c r="CZ154" s="395">
        <f ca="1">IF(SUM($G154:CY154)=$B154,0,IF(DB155&gt;0%,$B154,0%))</f>
        <v>0</v>
      </c>
      <c r="DA154" s="395">
        <f ca="1">IF(SUM($G154:CZ154)=$B154,0,IF(DC155&gt;0%,$B154,0%))</f>
        <v>0</v>
      </c>
      <c r="DB154" s="395">
        <f ca="1">IF(SUM($G154:DA154)=$B154,0,IF(DD155&gt;0%,$B154,0%))</f>
        <v>0</v>
      </c>
      <c r="DC154" s="395">
        <f ca="1">IF(SUM($G154:DB154)=$B154,0,IF(DE155&gt;0%,$B154,0%))</f>
        <v>0</v>
      </c>
      <c r="DD154" s="395">
        <f ca="1">IF(SUM($G154:DC154)=$B154,0,IF(DF155&gt;0%,$B154,0%))</f>
        <v>0</v>
      </c>
      <c r="DE154" s="395">
        <f ca="1">IF(SUM($G154:DD154)=$B154,0,IF(DG155&gt;0%,$B154,0%))</f>
        <v>0</v>
      </c>
      <c r="DF154" s="395">
        <f ca="1">IF(SUM($G154:DE154)=$B154,0,IF(DH155&gt;0%,$B154,0%))</f>
        <v>0</v>
      </c>
      <c r="DG154" s="395">
        <f ca="1">IF(SUM($G154:DF154)=$B154,0,IF(DI155&gt;0%,$B154,0%))</f>
        <v>0</v>
      </c>
      <c r="DH154" s="395">
        <f ca="1">IF(SUM($G154:DG154)=$B154,0,IF(DJ155&gt;0%,$B154,0%))</f>
        <v>0</v>
      </c>
      <c r="DI154" s="395">
        <f ca="1">IF(SUM($G154:DH154)=$B154,0,IF(DK155&gt;0%,$B154,0%))</f>
        <v>0</v>
      </c>
      <c r="DJ154" s="395">
        <f ca="1">IF(SUM($G154:DI154)=$B154,0,IF(DL155&gt;0%,$B154,0%))</f>
        <v>0</v>
      </c>
      <c r="DK154" s="395">
        <f ca="1">IF(SUM($G154:DJ154)=$B154,0,IF(DM155&gt;0%,$B154,0%))</f>
        <v>0</v>
      </c>
      <c r="DL154" s="395">
        <f ca="1">IF(SUM($G154:DK154)=$B154,0,IF(DN155&gt;0%,$B154,0%))</f>
        <v>0</v>
      </c>
      <c r="DM154" s="395">
        <f ca="1">IF(SUM($G154:DL154)=$B154,0,IF(DO155&gt;0%,$B154,0%))</f>
        <v>0</v>
      </c>
      <c r="DN154" s="395">
        <f ca="1">IF(SUM($G154:DM154)=$B154,0,IF(DP155&gt;0%,$B154,0%))</f>
        <v>0</v>
      </c>
      <c r="DO154" s="395">
        <f ca="1">IF(SUM($G154:DN154)=$B154,0,IF(DQ155&gt;0%,$B154,0%))</f>
        <v>0</v>
      </c>
      <c r="DP154" s="395">
        <f ca="1">IF(SUM($G154:DO154)=$B154,0,IF(DR155&gt;0%,$B154,0%))</f>
        <v>0</v>
      </c>
      <c r="DQ154" s="395">
        <f ca="1">IF(SUM($G154:DP154)=$B154,0,IF(DS155&gt;0%,$B154,0%))</f>
        <v>0</v>
      </c>
      <c r="DR154" s="395">
        <f ca="1">IF(SUM($G154:DQ154)=$B154,0,IF(DT155&gt;0%,$B154,0%))</f>
        <v>0</v>
      </c>
      <c r="DS154" s="395">
        <f ca="1">IF(SUM($G154:DR154)=$B154,0,IF(DU155&gt;0%,$B154,0%))</f>
        <v>0</v>
      </c>
      <c r="DT154" s="395">
        <f ca="1">IF(SUM($G154:DS154)=$B154,0,IF(DV155&gt;0%,$B154,0%))</f>
        <v>0</v>
      </c>
      <c r="DU154" s="395">
        <f ca="1">IF(SUM($G154:DT154)=$B154,0,IF(DW155&gt;0%,$B154,0%))</f>
        <v>0</v>
      </c>
      <c r="DV154" s="395">
        <f ca="1">IF(SUM($G154:DU154)=$B154,0,IF(DX155&gt;0%,$B154,0%))</f>
        <v>0</v>
      </c>
      <c r="DW154" s="395">
        <f ca="1">IF(SUM($G154:DV154)=$B154,0,IF(DY155&gt;0%,$B154,0%))</f>
        <v>0</v>
      </c>
      <c r="DX154" s="395">
        <f ca="1">IF(SUM($G154:DW154)=$B154,0,IF(DZ155&gt;0%,$B154,0%))</f>
        <v>0</v>
      </c>
      <c r="DY154" s="395">
        <f ca="1">IF(SUM($G154:DX154)=$B154,0,IF(EA155&gt;0%,$B154,0%))</f>
        <v>0</v>
      </c>
      <c r="DZ154" s="395">
        <f ca="1">IF(SUM($G154:DY154)=$B154,0,IF(EB155&gt;0%,$B154,0%))</f>
        <v>0</v>
      </c>
      <c r="EA154" s="395">
        <f ca="1">IF(SUM($G154:DZ154)=$B154,0,IF(EC155&gt;0%,$B154,0%))</f>
        <v>0</v>
      </c>
      <c r="EB154" s="395">
        <f ca="1">IF(SUM($G154:EA154)=$B154,0,IF(ED155&gt;0%,$B154,0%))</f>
        <v>0</v>
      </c>
      <c r="EC154" s="395">
        <f ca="1">IF(SUM($G154:EB154)=$B154,0,IF(EE155&gt;0%,$B154,0%))</f>
        <v>0</v>
      </c>
      <c r="ED154" s="395">
        <f ca="1">IF(SUM($G154:EC154)=$B154,0,IF(EF155&gt;0%,$B154,0%))</f>
        <v>0</v>
      </c>
      <c r="EE154" s="395">
        <f ca="1">IF(SUM($G154:ED154)=$B154,0,IF(EG155&gt;0%,$B154,0%))</f>
        <v>0</v>
      </c>
      <c r="EF154" s="395">
        <f ca="1">IF(SUM($G154:EE154)=$B154,0,IF(EH155&gt;0%,$B154,0%))</f>
        <v>0</v>
      </c>
      <c r="EG154" s="395">
        <f ca="1">IF(SUM($G154:EF154)=$B154,0,IF(EI155&gt;0%,$B154,0%))</f>
        <v>0</v>
      </c>
      <c r="EH154" s="395">
        <f ca="1">IF(SUM($G154:EG154)=$B154,0,IF(EJ155&gt;0%,$B154,0%))</f>
        <v>0</v>
      </c>
      <c r="EI154" s="395">
        <f ca="1">IF(SUM($G154:EH154)=$B154,0,IF(EK155&gt;0%,$B154,0%))</f>
        <v>0</v>
      </c>
      <c r="EJ154" s="398"/>
      <c r="EK154" s="313"/>
    </row>
    <row r="155" spans="1:141" hidden="1" outlineLevel="2">
      <c r="A155" s="332"/>
      <c r="B155" s="548">
        <f t="shared" ref="B155:B157" si="373">B145</f>
        <v>0.64999999999999991</v>
      </c>
      <c r="C155" s="317"/>
      <c r="D155" s="317" t="s">
        <v>663</v>
      </c>
      <c r="E155" s="318">
        <f t="shared" ca="1" si="372"/>
        <v>-1.1102230246251565E-16</v>
      </c>
      <c r="F155" s="397">
        <f t="shared" ca="1" si="368"/>
        <v>0.65</v>
      </c>
      <c r="G155" s="395"/>
      <c r="H155" s="395"/>
      <c r="I155" s="395">
        <f ca="1">IF($E$324=0,0,IF(SUM($G155:H155)=$B155,0,IF(SUM($G324:H324)&gt;=$E324,($B155/$E324)*($E324-SUM($G324:G324)),($B155/$E324)*H324)))</f>
        <v>0</v>
      </c>
      <c r="J155" s="395">
        <f ca="1">IF($E$324=0,0,IF(SUM($G155:I155)=$B155,0,IF(SUM($G324:I324)&gt;=$E324,($B155/$E324)*($E324-SUM($G324:H324)),($B155/$E324)*I324)))</f>
        <v>0</v>
      </c>
      <c r="K155" s="395">
        <f ca="1">IF($E$324=0,0,IF(SUM($G155:J155)=$B155,0,IF(SUM($G324:J324)&gt;=$E324,($B155/$E324)*($E324-SUM($G324:I324)),($B155/$E324)*J324)))</f>
        <v>0</v>
      </c>
      <c r="L155" s="395">
        <f ca="1">IF($E$324=0,0,IF(SUM($G155:K155)=$B155,0,IF(SUM($G324:K324)&gt;=$E324,($B155/$E324)*($E324-SUM($G324:J324)),($B155/$E324)*K324)))</f>
        <v>0</v>
      </c>
      <c r="M155" s="395">
        <f ca="1">IF($E$324=0,0,IF(SUM($G155:L155)=$B155,0,IF(SUM($G324:L324)&gt;=$E324,($B155/$E324)*($E324-SUM($G324:K324)),($B155/$E324)*L324)))</f>
        <v>0</v>
      </c>
      <c r="N155" s="395">
        <f ca="1">IF($E$324=0,0,IF(SUM($G155:M155)=$B155,0,IF(SUM($G324:M324)&gt;=$E324,($B155/$E324)*($E324-SUM($G324:L324)),($B155/$E324)*M324)))</f>
        <v>0</v>
      </c>
      <c r="O155" s="395">
        <f ca="1">IF($E$324=0,0,IF(SUM($G155:N155)=$B155,0,IF(SUM($G324:N324)&gt;=$E324,($B155/$E324)*($E324-SUM($G324:M324)),($B155/$E324)*N324)))</f>
        <v>0</v>
      </c>
      <c r="P155" s="395">
        <f ca="1">IF($E$324=0,0,IF(SUM($G155:O155)=$B155,0,IF(SUM($G324:O324)&gt;=$E324,($B155/$E324)*($E324-SUM($G324:N324)),($B155/$E324)*O324)))</f>
        <v>0</v>
      </c>
      <c r="Q155" s="395">
        <f ca="1">IF($E$324=0,0,IF(SUM($G155:P155)=$B155,0,IF(SUM($G324:P324)&gt;=$E324,($B155/$E324)*($E324-SUM($G324:O324)),($B155/$E324)*P324)))</f>
        <v>0</v>
      </c>
      <c r="R155" s="395">
        <f ca="1">IF($E$324=0,0,IF(SUM($G155:Q155)=$B155,0,IF(SUM($G324:Q324)&gt;=$E324,($B155/$E324)*($E324-SUM($G324:P324)),($B155/$E324)*Q324)))</f>
        <v>0</v>
      </c>
      <c r="S155" s="395">
        <f ca="1">IF($E$324=0,0,IF(SUM($G155:R155)=$B155,0,IF(SUM($G324:R324)&gt;=$E324,($B155/$E324)*($E324-SUM($G324:Q324)),($B155/$E324)*R324)))</f>
        <v>0</v>
      </c>
      <c r="T155" s="395">
        <f ca="1">IF($E$324=0,0,IF(SUM($G155:S155)=$B155,0,IF(SUM($G324:S324)&gt;=$E324,($B155/$E324)*($E324-SUM($G324:R324)),($B155/$E324)*S324)))</f>
        <v>0</v>
      </c>
      <c r="U155" s="395">
        <f ca="1">IF($E$324=0,0,IF(SUM($G155:T155)=$B155,0,IF(SUM($G324:T324)&gt;=$E324,($B155/$E324)*($E324-SUM($G324:S324)),($B155/$E324)*T324)))</f>
        <v>0</v>
      </c>
      <c r="V155" s="395">
        <f ca="1">IF($E$324=0,0,IF(SUM($G155:U155)=$B155,0,IF(SUM($G324:U324)&gt;=$E324,($B155/$E324)*($E324-SUM($G324:T324)),($B155/$E324)*U324)))</f>
        <v>0</v>
      </c>
      <c r="W155" s="395">
        <f ca="1">IF($E$324=0,0,IF(SUM($G155:V155)=$B155,0,IF(SUM($G324:V324)&gt;=$E324,($B155/$E324)*($E324-SUM($G324:U324)),($B155/$E324)*V324)))</f>
        <v>0</v>
      </c>
      <c r="X155" s="395">
        <f ca="1">IF($E$324=0,0,IF(SUM($G155:W155)=$B155,0,IF(SUM($G324:W324)&gt;=$E324,($B155/$E324)*($E324-SUM($G324:V324)),($B155/$E324)*W324)))</f>
        <v>0</v>
      </c>
      <c r="Y155" s="395">
        <f ca="1">IF($E$324=0,0,IF(SUM($G155:X155)=$B155,0,IF(SUM($G324:X324)&gt;=$E324,($B155/$E324)*($E324-SUM($G324:W324)),($B155/$E324)*X324)))</f>
        <v>0</v>
      </c>
      <c r="Z155" s="395">
        <f ca="1">IF($E$324=0,0,IF(SUM($G155:Y155)=$B155,0,IF(SUM($G324:Y324)&gt;=$E324,($B155/$E324)*($E324-SUM($G324:X324)),($B155/$E324)*Y324)))</f>
        <v>0</v>
      </c>
      <c r="AA155" s="395">
        <f ca="1">IF($E$324=0,0,IF(SUM($G155:Z155)=$B155,0,IF(SUM($G324:Z324)&gt;=$E324,($B155/$E324)*($E324-SUM($G324:Y324)),($B155/$E324)*Z324)))</f>
        <v>0</v>
      </c>
      <c r="AB155" s="395">
        <f ca="1">IF($E$324=0,0,IF(SUM($G155:AA155)=$B155,0,IF(SUM($G324:AA324)&gt;=$E324,($B155/$E324)*($E324-SUM($G324:Z324)),($B155/$E324)*AA324)))</f>
        <v>0</v>
      </c>
      <c r="AC155" s="395">
        <f ca="1">IF($E$324=0,0,IF(SUM($G155:AB155)=$B155,0,IF(SUM($G324:AB324)&gt;=$E324,($B155/$E324)*($E324-SUM($G324:AA324)),($B155/$E324)*AB324)))</f>
        <v>0</v>
      </c>
      <c r="AD155" s="395">
        <f ca="1">IF($E$324=0,0,IF(SUM($G155:AC155)=$B155,0,IF(SUM($G324:AC324)&gt;=$E324,($B155/$E324)*($E324-SUM($G324:AB324)),($B155/$E324)*AC324)))</f>
        <v>0</v>
      </c>
      <c r="AE155" s="395">
        <f ca="1">IF($E$324=0,0,IF(SUM($G155:AD155)=$B155,0,IF(SUM($G324:AD324)&gt;=$E324,($B155/$E324)*($E324-SUM($G324:AC324)),($B155/$E324)*AD324)))</f>
        <v>0</v>
      </c>
      <c r="AF155" s="395">
        <f ca="1">IF($E$324=0,0,IF(SUM($G155:AE155)=$B155,0,IF(SUM($G324:AE324)&gt;=$E324,($B155/$E324)*($E324-SUM($G324:AD324)),($B155/$E324)*AE324)))</f>
        <v>0</v>
      </c>
      <c r="AG155" s="395">
        <f ca="1">IF($E$324=0,0,IF(SUM($G155:AF155)=$B155,0,IF(SUM($G324:AF324)&gt;=$E324,($B155/$E324)*($E324-SUM($G324:AE324)),($B155/$E324)*AF324)))</f>
        <v>0</v>
      </c>
      <c r="AH155" s="395">
        <f ca="1">IF($E$324=0,0,IF(SUM($G155:AG155)=$B155,0,IF(SUM($G324:AG324)&gt;=$E324,($B155/$E324)*($E324-SUM($G324:AF324)),($B155/$E324)*AG324)))</f>
        <v>0</v>
      </c>
      <c r="AI155" s="395">
        <f ca="1">IF($E$324=0,0,IF(SUM($G155:AH155)=$B155,0,IF(SUM($G324:AH324)&gt;=$E324,($B155/$E324)*($E324-SUM($G324:AG324)),($B155/$E324)*AH324)))</f>
        <v>0</v>
      </c>
      <c r="AJ155" s="395">
        <f ca="1">IF($E$324=0,0,IF(SUM($G155:AI155)=$B155,0,IF(SUM($G324:AI324)&gt;=$E324,($B155/$E324)*($E324-SUM($G324:AH324)),($B155/$E324)*AI324)))</f>
        <v>0</v>
      </c>
      <c r="AK155" s="395">
        <f ca="1">IF($E$324=0,0,IF(SUM($G155:AJ155)=$B155,0,IF(SUM($G324:AJ324)&gt;=$E324,($B155/$E324)*($E324-SUM($G324:AI324)),($B155/$E324)*AJ324)))</f>
        <v>0</v>
      </c>
      <c r="AL155" s="395">
        <f ca="1">IF($E$324=0,0,IF(SUM($G155:AK155)=$B155,0,IF(SUM($G324:AK324)&gt;=$E324,($B155/$E324)*($E324-SUM($G324:AJ324)),($B155/$E324)*AK324)))</f>
        <v>0</v>
      </c>
      <c r="AM155" s="395">
        <f ca="1">IF($E$324=0,0,IF(SUM($G155:AL155)=$B155,0,IF(SUM($G324:AL324)&gt;=$E324,($B155/$E324)*($E324-SUM($G324:AK324)),($B155/$E324)*AL324)))</f>
        <v>0</v>
      </c>
      <c r="AN155" s="395">
        <f ca="1">IF($E$324=0,0,IF(SUM($G155:AM155)=$B155,0,IF(SUM($G324:AM324)&gt;=$E324,($B155/$E324)*($E324-SUM($G324:AL324)),($B155/$E324)*AM324)))</f>
        <v>0</v>
      </c>
      <c r="AO155" s="395">
        <f ca="1">IF($E$324=0,0,IF(SUM($G155:AN155)=$B155,0,IF(SUM($G324:AN324)&gt;=$E324,($B155/$E324)*($E324-SUM($G324:AM324)),($B155/$E324)*AN324)))</f>
        <v>0</v>
      </c>
      <c r="AP155" s="395">
        <f ca="1">IF($E$324=0,0,IF(SUM($G155:AO155)=$B155,0,IF(SUM($G324:AO324)&gt;=$E324,($B155/$E324)*($E324-SUM($G324:AN324)),($B155/$E324)*AO324)))</f>
        <v>0</v>
      </c>
      <c r="AQ155" s="395">
        <f ca="1">IF($E$324=0,0,IF(SUM($G155:AP155)=$B155,0,IF(SUM($G324:AP324)&gt;=$E324,($B155/$E324)*($E324-SUM($G324:AO324)),($B155/$E324)*AP324)))</f>
        <v>0</v>
      </c>
      <c r="AR155" s="395">
        <f ca="1">IF($E$324=0,0,IF(SUM($G155:AQ155)=$B155,0,IF(SUM($G324:AQ324)&gt;=$E324,($B155/$E324)*($E324-SUM($G324:AP324)),($B155/$E324)*AQ324)))</f>
        <v>0</v>
      </c>
      <c r="AS155" s="395">
        <f ca="1">IF($E$324=0,0,IF(SUM($G155:AR155)=$B155,0,IF(SUM($G324:AR324)&gt;=$E324,($B155/$E324)*($E324-SUM($G324:AQ324)),($B155/$E324)*AR324)))</f>
        <v>0</v>
      </c>
      <c r="AT155" s="395">
        <f ca="1">IF($E$324=0,0,IF(SUM($G155:AS155)=$B155,0,IF(SUM($G324:AS324)&gt;=$E324,($B155/$E324)*($E324-SUM($G324:AR324)),($B155/$E324)*AS324)))</f>
        <v>0</v>
      </c>
      <c r="AU155" s="395">
        <f ca="1">IF($E$324=0,0,IF(SUM($G155:AT155)=$B155,0,IF(SUM($G324:AT324)&gt;=$E324,($B155/$E324)*($E324-SUM($G324:AS324)),($B155/$E324)*AT324)))</f>
        <v>0</v>
      </c>
      <c r="AV155" s="395">
        <f ca="1">IF($E$324=0,0,IF(SUM($G155:AU155)=$B155,0,IF(SUM($G324:AU324)&gt;=$E324,($B155/$E324)*($E324-SUM($G324:AT324)),($B155/$E324)*AU324)))</f>
        <v>0</v>
      </c>
      <c r="AW155" s="395">
        <f ca="1">IF($E$324=0,0,IF(SUM($G155:AV155)=$B155,0,IF(SUM($G324:AV324)&gt;=$E324,($B155/$E324)*($E324-SUM($G324:AU324)),($B155/$E324)*AV324)))</f>
        <v>0</v>
      </c>
      <c r="AX155" s="395">
        <f ca="1">IF($E$324=0,0,IF(SUM($G155:AW155)=$B155,0,IF(SUM($G324:AW324)&gt;=$E324,($B155/$E324)*($E324-SUM($G324:AV324)),($B155/$E324)*AW324)))</f>
        <v>4.3766666666666766E-2</v>
      </c>
      <c r="AY155" s="395">
        <f ca="1">IF($E$324=0,0,IF(SUM($G155:AX155)=$B155,0,IF(SUM($G324:AX324)&gt;=$E324,($B155/$E324)*($E324-SUM($G324:AW324)),($B155/$E324)*AX324)))</f>
        <v>0.26866666666666666</v>
      </c>
      <c r="AZ155" s="395">
        <f ca="1">IF($E$324=0,0,IF(SUM($G155:AY155)=$B155,0,IF(SUM($G324:AY324)&gt;=$E324,($B155/$E324)*($E324-SUM($G324:AX324)),($B155/$E324)*AY324)))</f>
        <v>0.26</v>
      </c>
      <c r="BA155" s="395">
        <f ca="1">IF($E$324=0,0,IF(SUM($G155:AZ155)=$B155,0,IF(SUM($G324:AZ324)&gt;=$E324,($B155/$E324)*($E324-SUM($G324:AY324)),($B155/$E324)*AZ324)))</f>
        <v>7.7566666666666562E-2</v>
      </c>
      <c r="BB155" s="395">
        <f ca="1">IF($E$324=0,0,IF(SUM($G155:BA155)=$B155,0,IF(SUM($G324:BA324)&gt;=$E324,($B155/$E324)*($E324-SUM($G324:AZ324)),($B155/$E324)*BA324)))</f>
        <v>0</v>
      </c>
      <c r="BC155" s="395">
        <f ca="1">IF($E$324=0,0,IF(SUM($G155:BB155)=$B155,0,IF(SUM($G324:BB324)&gt;=$E324,($B155/$E324)*($E324-SUM($G324:BA324)),($B155/$E324)*BB324)))</f>
        <v>0</v>
      </c>
      <c r="BD155" s="395">
        <f ca="1">IF($E$324=0,0,IF(SUM($G155:BC155)=$B155,0,IF(SUM($G324:BC324)&gt;=$E324,($B155/$E324)*($E324-SUM($G324:BB324)),($B155/$E324)*BC324)))</f>
        <v>0</v>
      </c>
      <c r="BE155" s="395">
        <f ca="1">IF($E$324=0,0,IF(SUM($G155:BD155)=$B155,0,IF(SUM($G324:BD324)&gt;=$E324,($B155/$E324)*($E324-SUM($G324:BC324)),($B155/$E324)*BD324)))</f>
        <v>0</v>
      </c>
      <c r="BF155" s="395">
        <f ca="1">IF($E$324=0,0,IF(SUM($G155:BE155)=$B155,0,IF(SUM($G324:BE324)&gt;=$E324,($B155/$E324)*($E324-SUM($G324:BD324)),($B155/$E324)*BE324)))</f>
        <v>0</v>
      </c>
      <c r="BG155" s="395">
        <f ca="1">IF($E$324=0,0,IF(SUM($G155:BF155)=$B155,0,IF(SUM($G324:BF324)&gt;=$E324,($B155/$E324)*($E324-SUM($G324:BE324)),($B155/$E324)*BF324)))</f>
        <v>0</v>
      </c>
      <c r="BH155" s="395">
        <f ca="1">IF($E$324=0,0,IF(SUM($G155:BG155)=$B155,0,IF(SUM($G324:BG324)&gt;=$E324,($B155/$E324)*($E324-SUM($G324:BF324)),($B155/$E324)*BG324)))</f>
        <v>0</v>
      </c>
      <c r="BI155" s="395">
        <f ca="1">IF($E$324=0,0,IF(SUM($G155:BH155)=$B155,0,IF(SUM($G324:BH324)&gt;=$E324,($B155/$E324)*($E324-SUM($G324:BG324)),($B155/$E324)*BH324)))</f>
        <v>0</v>
      </c>
      <c r="BJ155" s="395">
        <f ca="1">IF($E$324=0,0,IF(SUM($G155:BI155)=$B155,0,IF(SUM($G324:BI324)&gt;=$E324,($B155/$E324)*($E324-SUM($G324:BH324)),($B155/$E324)*BI324)))</f>
        <v>0</v>
      </c>
      <c r="BK155" s="395">
        <f ca="1">IF($E$324=0,0,IF(SUM($G155:BJ155)=$B155,0,IF(SUM($G324:BJ324)&gt;=$E324,($B155/$E324)*($E324-SUM($G324:BI324)),($B155/$E324)*BJ324)))</f>
        <v>0</v>
      </c>
      <c r="BL155" s="395">
        <f ca="1">IF($E$324=0,0,IF(SUM($G155:BK155)=$B155,0,IF(SUM($G324:BK324)&gt;=$E324,($B155/$E324)*($E324-SUM($G324:BJ324)),($B155/$E324)*BK324)))</f>
        <v>0</v>
      </c>
      <c r="BM155" s="395">
        <f ca="1">IF($E$324=0,0,IF(SUM($G155:BL155)=$B155,0,IF(SUM($G324:BL324)&gt;=$E324,($B155/$E324)*($E324-SUM($G324:BK324)),($B155/$E324)*BL324)))</f>
        <v>0</v>
      </c>
      <c r="BN155" s="395">
        <f ca="1">IF($E$324=0,0,IF(SUM($G155:BM155)=$B155,0,IF(SUM($G324:BM324)&gt;=$E324,($B155/$E324)*($E324-SUM($G324:BL324)),($B155/$E324)*BM324)))</f>
        <v>0</v>
      </c>
      <c r="BO155" s="395">
        <f ca="1">IF($E$324=0,0,IF(SUM($G155:BN155)=$B155,0,IF(SUM($G324:BN324)&gt;=$E324,($B155/$E324)*($E324-SUM($G324:BM324)),($B155/$E324)*BN324)))</f>
        <v>0</v>
      </c>
      <c r="BP155" s="395">
        <f ca="1">IF($E$324=0,0,IF(SUM($G155:BO155)=$B155,0,IF(SUM($G324:BO324)&gt;=$E324,($B155/$E324)*($E324-SUM($G324:BN324)),($B155/$E324)*BO324)))</f>
        <v>0</v>
      </c>
      <c r="BQ155" s="395">
        <f ca="1">IF($E$324=0,0,IF(SUM($G155:BP155)=$B155,0,IF(SUM($G324:BP324)&gt;=$E324,($B155/$E324)*($E324-SUM($G324:BO324)),($B155/$E324)*BP324)))</f>
        <v>0</v>
      </c>
      <c r="BR155" s="395">
        <f ca="1">IF($E$324=0,0,IF(SUM($G155:BQ155)=$B155,0,IF(SUM($G324:BQ324)&gt;=$E324,($B155/$E324)*($E324-SUM($G324:BP324)),($B155/$E324)*BQ324)))</f>
        <v>0</v>
      </c>
      <c r="BS155" s="395">
        <f ca="1">IF($E$324=0,0,IF(SUM($G155:BR155)=$B155,0,IF(SUM($G324:BR324)&gt;=$E324,($B155/$E324)*($E324-SUM($G324:BQ324)),($B155/$E324)*BR324)))</f>
        <v>0</v>
      </c>
      <c r="BT155" s="395">
        <f ca="1">IF($E$324=0,0,IF(SUM($G155:BS155)=$B155,0,IF(SUM($G324:BS324)&gt;=$E324,($B155/$E324)*($E324-SUM($G324:BR324)),($B155/$E324)*BS324)))</f>
        <v>0</v>
      </c>
      <c r="BU155" s="395">
        <f ca="1">IF($E$324=0,0,IF(SUM($G155:BT155)=$B155,0,IF(SUM($G324:BT324)&gt;=$E324,($B155/$E324)*($E324-SUM($G324:BS324)),($B155/$E324)*BT324)))</f>
        <v>0</v>
      </c>
      <c r="BV155" s="395">
        <f ca="1">IF($E$324=0,0,IF(SUM($G155:BU155)=$B155,0,IF(SUM($G324:BU324)&gt;=$E324,($B155/$E324)*($E324-SUM($G324:BT324)),($B155/$E324)*BU324)))</f>
        <v>0</v>
      </c>
      <c r="BW155" s="395">
        <f ca="1">IF($E$324=0,0,IF(SUM($G155:BV155)=$B155,0,IF(SUM($G324:BV324)&gt;=$E324,($B155/$E324)*($E324-SUM($G324:BU324)),($B155/$E324)*BV324)))</f>
        <v>0</v>
      </c>
      <c r="BX155" s="395">
        <f ca="1">IF($E$324=0,0,IF(SUM($G155:BW155)=$B155,0,IF(SUM($G324:BW324)&gt;=$E324,($B155/$E324)*($E324-SUM($G324:BV324)),($B155/$E324)*BW324)))</f>
        <v>0</v>
      </c>
      <c r="BY155" s="395">
        <f ca="1">IF($E$324=0,0,IF(SUM($G155:BX155)=$B155,0,IF(SUM($G324:BX324)&gt;=$E324,($B155/$E324)*($E324-SUM($G324:BW324)),($B155/$E324)*BX324)))</f>
        <v>0</v>
      </c>
      <c r="BZ155" s="395">
        <f ca="1">IF($E$324=0,0,IF(SUM($G155:BY155)=$B155,0,IF(SUM($G324:BY324)&gt;=$E324,($B155/$E324)*($E324-SUM($G324:BX324)),($B155/$E324)*BY324)))</f>
        <v>0</v>
      </c>
      <c r="CA155" s="395">
        <f ca="1">IF($E$324=0,0,IF(SUM($G155:BZ155)=$B155,0,IF(SUM($G324:BZ324)&gt;=$E324,($B155/$E324)*($E324-SUM($G324:BY324)),($B155/$E324)*BZ324)))</f>
        <v>0</v>
      </c>
      <c r="CB155" s="395">
        <f ca="1">IF($E$324=0,0,IF(SUM($G155:CA155)=$B155,0,IF(SUM($G324:CA324)&gt;=$E324,($B155/$E324)*($E324-SUM($G324:BZ324)),($B155/$E324)*CA324)))</f>
        <v>0</v>
      </c>
      <c r="CC155" s="395">
        <f ca="1">IF($E$324=0,0,IF(SUM($G155:CB155)=$B155,0,IF(SUM($G324:CB324)&gt;=$E324,($B155/$E324)*($E324-SUM($G324:CA324)),($B155/$E324)*CB324)))</f>
        <v>0</v>
      </c>
      <c r="CD155" s="395">
        <f ca="1">IF($E$324=0,0,IF(SUM($G155:CC155)=$B155,0,IF(SUM($G324:CC324)&gt;=$E324,($B155/$E324)*($E324-SUM($G324:CB324)),($B155/$E324)*CC324)))</f>
        <v>0</v>
      </c>
      <c r="CE155" s="395">
        <f ca="1">IF($E$324=0,0,IF(SUM($G155:CD155)=$B155,0,IF(SUM($G324:CD324)&gt;=$E324,($B155/$E324)*($E324-SUM($G324:CC324)),($B155/$E324)*CD324)))</f>
        <v>0</v>
      </c>
      <c r="CF155" s="395">
        <f ca="1">IF($E$324=0,0,IF(SUM($G155:CE155)=$B155,0,IF(SUM($G324:CE324)&gt;=$E324,($B155/$E324)*($E324-SUM($G324:CD324)),($B155/$E324)*CE324)))</f>
        <v>0</v>
      </c>
      <c r="CG155" s="395">
        <f ca="1">IF($E$324=0,0,IF(SUM($G155:CF155)=$B155,0,IF(SUM($G324:CF324)&gt;=$E324,($B155/$E324)*($E324-SUM($G324:CE324)),($B155/$E324)*CF324)))</f>
        <v>0</v>
      </c>
      <c r="CH155" s="395">
        <f ca="1">IF($E$324=0,0,IF(SUM($G155:CG155)=$B155,0,IF(SUM($G324:CG324)&gt;=$E324,($B155/$E324)*($E324-SUM($G324:CF324)),($B155/$E324)*CG324)))</f>
        <v>0</v>
      </c>
      <c r="CI155" s="395">
        <f ca="1">IF($E$324=0,0,IF(SUM($G155:CH155)=$B155,0,IF(SUM($G324:CH324)&gt;=$E324,($B155/$E324)*($E324-SUM($G324:CG324)),($B155/$E324)*CH324)))</f>
        <v>0</v>
      </c>
      <c r="CJ155" s="395">
        <f ca="1">IF($E$324=0,0,IF(SUM($G155:CI155)=$B155,0,IF(SUM($G324:CI324)&gt;=$E324,($B155/$E324)*($E324-SUM($G324:CH324)),($B155/$E324)*CI324)))</f>
        <v>0</v>
      </c>
      <c r="CK155" s="395">
        <f ca="1">IF($E$324=0,0,IF(SUM($G155:CJ155)=$B155,0,IF(SUM($G324:CJ324)&gt;=$E324,($B155/$E324)*($E324-SUM($G324:CI324)),($B155/$E324)*CJ324)))</f>
        <v>0</v>
      </c>
      <c r="CL155" s="395">
        <f ca="1">IF($E$324=0,0,IF(SUM($G155:CK155)=$B155,0,IF(SUM($G324:CK324)&gt;=$E324,($B155/$E324)*($E324-SUM($G324:CJ324)),($B155/$E324)*CK324)))</f>
        <v>0</v>
      </c>
      <c r="CM155" s="395">
        <f ca="1">IF($E$324=0,0,IF(SUM($G155:CL155)=$B155,0,IF(SUM($G324:CL324)&gt;=$E324,($B155/$E324)*($E324-SUM($G324:CK324)),($B155/$E324)*CL324)))</f>
        <v>0</v>
      </c>
      <c r="CN155" s="395">
        <f ca="1">IF($E$324=0,0,IF(SUM($G155:CM155)=$B155,0,IF(SUM($G324:CM324)&gt;=$E324,($B155/$E324)*($E324-SUM($G324:CL324)),($B155/$E324)*CM324)))</f>
        <v>0</v>
      </c>
      <c r="CO155" s="395">
        <f ca="1">IF($E$324=0,0,IF(SUM($G155:CN155)=$B155,0,IF(SUM($G324:CN324)&gt;=$E324,($B155/$E324)*($E324-SUM($G324:CM324)),($B155/$E324)*CN324)))</f>
        <v>0</v>
      </c>
      <c r="CP155" s="395">
        <f ca="1">IF($E$324=0,0,IF(SUM($G155:CO155)=$B155,0,IF(SUM($G324:CO324)&gt;=$E324,($B155/$E324)*($E324-SUM($G324:CN324)),($B155/$E324)*CO324)))</f>
        <v>0</v>
      </c>
      <c r="CQ155" s="395">
        <f ca="1">IF($E$324=0,0,IF(SUM($G155:CP155)=$B155,0,IF(SUM($G324:CP324)&gt;=$E324,($B155/$E324)*($E324-SUM($G324:CO324)),($B155/$E324)*CP324)))</f>
        <v>0</v>
      </c>
      <c r="CR155" s="395">
        <f ca="1">IF($E$324=0,0,IF(SUM($G155:CQ155)=$B155,0,IF(SUM($G324:CQ324)&gt;=$E324,($B155/$E324)*($E324-SUM($G324:CP324)),($B155/$E324)*CQ324)))</f>
        <v>0</v>
      </c>
      <c r="CS155" s="395">
        <f ca="1">IF($E$324=0,0,IF(SUM($G155:CR155)=$B155,0,IF(SUM($G324:CR324)&gt;=$E324,($B155/$E324)*($E324-SUM($G324:CQ324)),($B155/$E324)*CR324)))</f>
        <v>0</v>
      </c>
      <c r="CT155" s="395">
        <f ca="1">IF($E$324=0,0,IF(SUM($G155:CS155)=$B155,0,IF(SUM($G324:CS324)&gt;=$E324,($B155/$E324)*($E324-SUM($G324:CR324)),($B155/$E324)*CS324)))</f>
        <v>0</v>
      </c>
      <c r="CU155" s="395">
        <f ca="1">IF($E$324=0,0,IF(SUM($G155:CT155)=$B155,0,IF(SUM($G324:CT324)&gt;=$E324,($B155/$E324)*($E324-SUM($G324:CS324)),($B155/$E324)*CT324)))</f>
        <v>0</v>
      </c>
      <c r="CV155" s="395">
        <f ca="1">IF($E$324=0,0,IF(SUM($G155:CU155)=$B155,0,IF(SUM($G324:CU324)&gt;=$E324,($B155/$E324)*($E324-SUM($G324:CT324)),($B155/$E324)*CU324)))</f>
        <v>0</v>
      </c>
      <c r="CW155" s="395">
        <f ca="1">IF($E$324=0,0,IF(SUM($G155:CV155)=$B155,0,IF(SUM($G324:CV324)&gt;=$E324,($B155/$E324)*($E324-SUM($G324:CU324)),($B155/$E324)*CV324)))</f>
        <v>0</v>
      </c>
      <c r="CX155" s="395">
        <f ca="1">IF($E$324=0,0,IF(SUM($G155:CW155)=$B155,0,IF(SUM($G324:CW324)&gt;=$E324,($B155/$E324)*($E324-SUM($G324:CV324)),($B155/$E324)*CW324)))</f>
        <v>0</v>
      </c>
      <c r="CY155" s="395">
        <f ca="1">IF($E$324=0,0,IF(SUM($G155:CX155)=$B155,0,IF(SUM($G324:CX324)&gt;=$E324,($B155/$E324)*($E324-SUM($G324:CW324)),($B155/$E324)*CX324)))</f>
        <v>0</v>
      </c>
      <c r="CZ155" s="395">
        <f ca="1">IF($E$324=0,0,IF(SUM($G155:CY155)=$B155,0,IF(SUM($G324:CY324)&gt;=$E324,($B155/$E324)*($E324-SUM($G324:CX324)),($B155/$E324)*CY324)))</f>
        <v>0</v>
      </c>
      <c r="DA155" s="395">
        <f ca="1">IF($E$324=0,0,IF(SUM($G155:CZ155)=$B155,0,IF(SUM($G324:CZ324)&gt;=$E324,($B155/$E324)*($E324-SUM($G324:CY324)),($B155/$E324)*CZ324)))</f>
        <v>0</v>
      </c>
      <c r="DB155" s="395">
        <f ca="1">IF($E$324=0,0,IF(SUM($G155:DA155)=$B155,0,IF(SUM($G324:DA324)&gt;=$E324,($B155/$E324)*($E324-SUM($G324:CZ324)),($B155/$E324)*DA324)))</f>
        <v>0</v>
      </c>
      <c r="DC155" s="395">
        <f ca="1">IF($E$324=0,0,IF(SUM($G155:DB155)=$B155,0,IF(SUM($G324:DB324)&gt;=$E324,($B155/$E324)*($E324-SUM($G324:DA324)),($B155/$E324)*DB324)))</f>
        <v>0</v>
      </c>
      <c r="DD155" s="395">
        <f ca="1">IF($E$324=0,0,IF(SUM($G155:DC155)=$B155,0,IF(SUM($G324:DC324)&gt;=$E324,($B155/$E324)*($E324-SUM($G324:DB324)),($B155/$E324)*DC324)))</f>
        <v>0</v>
      </c>
      <c r="DE155" s="395">
        <f ca="1">IF($E$324=0,0,IF(SUM($G155:DD155)=$B155,0,IF(SUM($G324:DD324)&gt;=$E324,($B155/$E324)*($E324-SUM($G324:DC324)),($B155/$E324)*DD324)))</f>
        <v>0</v>
      </c>
      <c r="DF155" s="395">
        <f ca="1">IF($E$324=0,0,IF(SUM($G155:DE155)=$B155,0,IF(SUM($G324:DE324)&gt;=$E324,($B155/$E324)*($E324-SUM($G324:DD324)),($B155/$E324)*DE324)))</f>
        <v>0</v>
      </c>
      <c r="DG155" s="395">
        <f ca="1">IF($E$324=0,0,IF(SUM($G155:DF155)=$B155,0,IF(SUM($G324:DF324)&gt;=$E324,($B155/$E324)*($E324-SUM($G324:DE324)),($B155/$E324)*DF324)))</f>
        <v>0</v>
      </c>
      <c r="DH155" s="395">
        <f ca="1">IF($E$324=0,0,IF(SUM($G155:DG155)=$B155,0,IF(SUM($G324:DG324)&gt;=$E324,($B155/$E324)*($E324-SUM($G324:DF324)),($B155/$E324)*DG324)))</f>
        <v>0</v>
      </c>
      <c r="DI155" s="395">
        <f ca="1">IF($E$324=0,0,IF(SUM($G155:DH155)=$B155,0,IF(SUM($G324:DH324)&gt;=$E324,($B155/$E324)*($E324-SUM($G324:DG324)),($B155/$E324)*DH324)))</f>
        <v>0</v>
      </c>
      <c r="DJ155" s="395">
        <f ca="1">IF($E$324=0,0,IF(SUM($G155:DI155)=$B155,0,IF(SUM($G324:DI324)&gt;=$E324,($B155/$E324)*($E324-SUM($G324:DH324)),($B155/$E324)*DI324)))</f>
        <v>0</v>
      </c>
      <c r="DK155" s="395">
        <f ca="1">IF($E$324=0,0,IF(SUM($G155:DJ155)=$B155,0,IF(SUM($G324:DJ324)&gt;=$E324,($B155/$E324)*($E324-SUM($G324:DI324)),($B155/$E324)*DJ324)))</f>
        <v>0</v>
      </c>
      <c r="DL155" s="395">
        <f ca="1">IF($E$324=0,0,IF(SUM($G155:DK155)=$B155,0,IF(SUM($G324:DK324)&gt;=$E324,($B155/$E324)*($E324-SUM($G324:DJ324)),($B155/$E324)*DK324)))</f>
        <v>0</v>
      </c>
      <c r="DM155" s="395">
        <f ca="1">IF($E$324=0,0,IF(SUM($G155:DL155)=$B155,0,IF(SUM($G324:DL324)&gt;=$E324,($B155/$E324)*($E324-SUM($G324:DK324)),($B155/$E324)*DL324)))</f>
        <v>0</v>
      </c>
      <c r="DN155" s="395">
        <f ca="1">IF($E$324=0,0,IF(SUM($G155:DM155)=$B155,0,IF(SUM($G324:DM324)&gt;=$E324,($B155/$E324)*($E324-SUM($G324:DL324)),($B155/$E324)*DM324)))</f>
        <v>0</v>
      </c>
      <c r="DO155" s="395">
        <f ca="1">IF($E$324=0,0,IF(SUM($G155:DN155)=$B155,0,IF(SUM($G324:DN324)&gt;=$E324,($B155/$E324)*($E324-SUM($G324:DM324)),($B155/$E324)*DN324)))</f>
        <v>0</v>
      </c>
      <c r="DP155" s="395">
        <f ca="1">IF($E$324=0,0,IF(SUM($G155:DO155)=$B155,0,IF(SUM($G324:DO324)&gt;=$E324,($B155/$E324)*($E324-SUM($G324:DN324)),($B155/$E324)*DO324)))</f>
        <v>0</v>
      </c>
      <c r="DQ155" s="395">
        <f ca="1">IF($E$324=0,0,IF(SUM($G155:DP155)=$B155,0,IF(SUM($G324:DP324)&gt;=$E324,($B155/$E324)*($E324-SUM($G324:DO324)),($B155/$E324)*DP324)))</f>
        <v>0</v>
      </c>
      <c r="DR155" s="395">
        <f ca="1">IF($E$324=0,0,IF(SUM($G155:DQ155)=$B155,0,IF(SUM($G324:DQ324)&gt;=$E324,($B155/$E324)*($E324-SUM($G324:DP324)),($B155/$E324)*DQ324)))</f>
        <v>0</v>
      </c>
      <c r="DS155" s="395">
        <f ca="1">IF($E$324=0,0,IF(SUM($G155:DR155)=$B155,0,IF(SUM($G324:DR324)&gt;=$E324,($B155/$E324)*($E324-SUM($G324:DQ324)),($B155/$E324)*DR324)))</f>
        <v>0</v>
      </c>
      <c r="DT155" s="395">
        <f ca="1">IF($E$324=0,0,IF(SUM($G155:DS155)=$B155,0,IF(SUM($G324:DS324)&gt;=$E324,($B155/$E324)*($E324-SUM($G324:DR324)),($B155/$E324)*DS324)))</f>
        <v>0</v>
      </c>
      <c r="DU155" s="395">
        <f ca="1">IF($E$324=0,0,IF(SUM($G155:DT155)=$B155,0,IF(SUM($G324:DT324)&gt;=$E324,($B155/$E324)*($E324-SUM($G324:DS324)),($B155/$E324)*DT324)))</f>
        <v>0</v>
      </c>
      <c r="DV155" s="395">
        <f ca="1">IF($E$324=0,0,IF(SUM($G155:DU155)=$B155,0,IF(SUM($G324:DU324)&gt;=$E324,($B155/$E324)*($E324-SUM($G324:DT324)),($B155/$E324)*DU324)))</f>
        <v>0</v>
      </c>
      <c r="DW155" s="395">
        <f ca="1">IF($E$324=0,0,IF(SUM($G155:DV155)=$B155,0,IF(SUM($G324:DV324)&gt;=$E324,($B155/$E324)*($E324-SUM($G324:DU324)),($B155/$E324)*DV324)))</f>
        <v>0</v>
      </c>
      <c r="DX155" s="395">
        <f ca="1">IF($E$324=0,0,IF(SUM($G155:DW155)=$B155,0,IF(SUM($G324:DW324)&gt;=$E324,($B155/$E324)*($E324-SUM($G324:DV324)),($B155/$E324)*DW324)))</f>
        <v>0</v>
      </c>
      <c r="DY155" s="395">
        <f ca="1">IF($E$324=0,0,IF(SUM($G155:DX155)=$B155,0,IF(SUM($G324:DX324)&gt;=$E324,($B155/$E324)*($E324-SUM($G324:DW324)),($B155/$E324)*DX324)))</f>
        <v>0</v>
      </c>
      <c r="DZ155" s="395">
        <f ca="1">IF($E$324=0,0,IF(SUM($G155:DY155)=$B155,0,IF(SUM($G324:DY324)&gt;=$E324,($B155/$E324)*($E324-SUM($G324:DX324)),($B155/$E324)*DY324)))</f>
        <v>0</v>
      </c>
      <c r="EA155" s="395">
        <f ca="1">IF($E$324=0,0,IF(SUM($G155:DZ155)=$B155,0,IF(SUM($G324:DZ324)&gt;=$E324,($B155/$E324)*($E324-SUM($G324:DY324)),($B155/$E324)*DZ324)))</f>
        <v>0</v>
      </c>
      <c r="EB155" s="395">
        <f ca="1">IF($E$324=0,0,IF(SUM($G155:EA155)=$B155,0,IF(SUM($G324:EA324)&gt;=$E324,($B155/$E324)*($E324-SUM($G324:DZ324)),($B155/$E324)*EA324)))</f>
        <v>0</v>
      </c>
      <c r="EC155" s="395">
        <f ca="1">IF($E$324=0,0,IF(SUM($G155:EB155)=$B155,0,IF(SUM($G324:EB324)&gt;=$E324,($B155/$E324)*($E324-SUM($G324:EA324)),($B155/$E324)*EB324)))</f>
        <v>0</v>
      </c>
      <c r="ED155" s="395">
        <f ca="1">IF($E$324=0,0,IF(SUM($G155:EC155)=$B155,0,IF(SUM($G324:EC324)&gt;=$E324,($B155/$E324)*($E324-SUM($G324:EB324)),($B155/$E324)*EC324)))</f>
        <v>0</v>
      </c>
      <c r="EE155" s="395">
        <f ca="1">IF($E$324=0,0,IF(SUM($G155:ED155)=$B155,0,IF(SUM($G324:ED324)&gt;=$E324,($B155/$E324)*($E324-SUM($G324:EC324)),($B155/$E324)*ED324)))</f>
        <v>0</v>
      </c>
      <c r="EF155" s="395">
        <f ca="1">IF($E$324=0,0,IF(SUM($G155:EE155)=$B155,0,IF(SUM($G324:EE324)&gt;=$E324,($B155/$E324)*($E324-SUM($G324:ED324)),($B155/$E324)*EE324)))</f>
        <v>0</v>
      </c>
      <c r="EG155" s="395">
        <f ca="1">IF($E$324=0,0,IF(SUM($G155:EF155)=$B155,0,IF(SUM($G324:EF324)&gt;=$E324,($B155/$E324)*($E324-SUM($G324:EE324)),($B155/$E324)*EF324)))</f>
        <v>0</v>
      </c>
      <c r="EH155" s="395">
        <f ca="1">IF($E$324=0,0,IF(SUM($G155:EG155)=$B155,0,IF(SUM($G324:EG324)&gt;=$E324,($B155/$E324)*($E324-SUM($G324:EF324)),($B155/$E324)*EG324)))</f>
        <v>0</v>
      </c>
      <c r="EI155" s="395">
        <f ca="1">IF($E$324=0,0,IF(SUM($G155:EH155)=$B155,0,IF(SUM($G324:EH324)&gt;=$E324,($B155/$E324)*($E324-SUM($G324:EG324)),($B155/$E324)*EH324)))</f>
        <v>0</v>
      </c>
      <c r="EJ155" s="398"/>
      <c r="EK155" s="313"/>
    </row>
    <row r="156" spans="1:141" hidden="1" outlineLevel="2">
      <c r="A156" s="332"/>
      <c r="B156" s="548">
        <f t="shared" si="373"/>
        <v>2.5000000000000001E-2</v>
      </c>
      <c r="C156" s="317"/>
      <c r="D156" s="317" t="s">
        <v>638</v>
      </c>
      <c r="E156" s="318">
        <f t="shared" ca="1" si="372"/>
        <v>0</v>
      </c>
      <c r="F156" s="397">
        <f ca="1">SUM(G156:EJ156)</f>
        <v>2.5000000000000001E-2</v>
      </c>
      <c r="G156" s="395"/>
      <c r="H156" s="395">
        <f ca="1">IF($E$324=0,0,IF(SUM($G156:G156)=$B156,0,IF(SUM(H155:$EJ155)=0%,$B156,0%)))</f>
        <v>0</v>
      </c>
      <c r="I156" s="395">
        <f ca="1">IF($E$324=0,0,IF(SUM($G156:H156)=$B156,0,IF(SUM(I155:$EJ155)=0%,$B156,0%)))</f>
        <v>0</v>
      </c>
      <c r="J156" s="395">
        <f ca="1">IF($E$324=0,0,IF(SUM($G156:I156)=$B156,0,IF(SUM(J155:$EJ155)=0%,$B156,0%)))</f>
        <v>0</v>
      </c>
      <c r="K156" s="395">
        <f ca="1">IF($E$324=0,0,IF(SUM($G156:J156)=$B156,0,IF(SUM(K155:$EJ155)=0%,$B156,0%)))</f>
        <v>0</v>
      </c>
      <c r="L156" s="395">
        <f ca="1">IF($E$324=0,0,IF(SUM($G156:K156)=$B156,0,IF(SUM(L155:$EJ155)=0%,$B156,0%)))</f>
        <v>0</v>
      </c>
      <c r="M156" s="395">
        <f ca="1">IF($E$324=0,0,IF(SUM($G156:L156)=$B156,0,IF(SUM(M155:$EJ155)=0%,$B156,0%)))</f>
        <v>0</v>
      </c>
      <c r="N156" s="395">
        <f ca="1">IF($E$324=0,0,IF(SUM($G156:M156)=$B156,0,IF(SUM(N155:$EJ155)=0%,$B156,0%)))</f>
        <v>0</v>
      </c>
      <c r="O156" s="395">
        <f ca="1">IF($E$324=0,0,IF(SUM($G156:N156)=$B156,0,IF(SUM(O155:$EJ155)=0%,$B156,0%)))</f>
        <v>0</v>
      </c>
      <c r="P156" s="395">
        <f ca="1">IF($E$324=0,0,IF(SUM($G156:O156)=$B156,0,IF(SUM(P155:$EJ155)=0%,$B156,0%)))</f>
        <v>0</v>
      </c>
      <c r="Q156" s="395">
        <f ca="1">IF($E$324=0,0,IF(SUM($G156:P156)=$B156,0,IF(SUM(Q155:$EJ155)=0%,$B156,0%)))</f>
        <v>0</v>
      </c>
      <c r="R156" s="395">
        <f ca="1">IF($E$324=0,0,IF(SUM($G156:Q156)=$B156,0,IF(SUM(R155:$EJ155)=0%,$B156,0%)))</f>
        <v>0</v>
      </c>
      <c r="S156" s="395">
        <f ca="1">IF($E$324=0,0,IF(SUM($G156:R156)=$B156,0,IF(SUM(S155:$EJ155)=0%,$B156,0%)))</f>
        <v>0</v>
      </c>
      <c r="T156" s="395">
        <f ca="1">IF($E$324=0,0,IF(SUM($G156:S156)=$B156,0,IF(SUM(T155:$EJ155)=0%,$B156,0%)))</f>
        <v>0</v>
      </c>
      <c r="U156" s="395">
        <f ca="1">IF($E$324=0,0,IF(SUM($G156:T156)=$B156,0,IF(SUM(U155:$EJ155)=0%,$B156,0%)))</f>
        <v>0</v>
      </c>
      <c r="V156" s="395">
        <f ca="1">IF($E$324=0,0,IF(SUM($G156:U156)=$B156,0,IF(SUM(V155:$EJ155)=0%,$B156,0%)))</f>
        <v>0</v>
      </c>
      <c r="W156" s="395">
        <f ca="1">IF($E$324=0,0,IF(SUM($G156:V156)=$B156,0,IF(SUM(W155:$EJ155)=0%,$B156,0%)))</f>
        <v>0</v>
      </c>
      <c r="X156" s="395">
        <f ca="1">IF($E$324=0,0,IF(SUM($G156:W156)=$B156,0,IF(SUM(X155:$EJ155)=0%,$B156,0%)))</f>
        <v>0</v>
      </c>
      <c r="Y156" s="395">
        <f ca="1">IF($E$324=0,0,IF(SUM($G156:X156)=$B156,0,IF(SUM(Y155:$EJ155)=0%,$B156,0%)))</f>
        <v>0</v>
      </c>
      <c r="Z156" s="395">
        <f ca="1">IF($E$324=0,0,IF(SUM($G156:Y156)=$B156,0,IF(SUM(Z155:$EJ155)=0%,$B156,0%)))</f>
        <v>0</v>
      </c>
      <c r="AA156" s="395">
        <f ca="1">IF($E$324=0,0,IF(SUM($G156:Z156)=$B156,0,IF(SUM(AA155:$EJ155)=0%,$B156,0%)))</f>
        <v>0</v>
      </c>
      <c r="AB156" s="395">
        <f ca="1">IF($E$324=0,0,IF(SUM($G156:AA156)=$B156,0,IF(SUM(AB155:$EJ155)=0%,$B156,0%)))</f>
        <v>0</v>
      </c>
      <c r="AC156" s="395">
        <f ca="1">IF($E$324=0,0,IF(SUM($G156:AB156)=$B156,0,IF(SUM(AC155:$EJ155)=0%,$B156,0%)))</f>
        <v>0</v>
      </c>
      <c r="AD156" s="395">
        <f ca="1">IF($E$324=0,0,IF(SUM($G156:AC156)=$B156,0,IF(SUM(AD155:$EJ155)=0%,$B156,0%)))</f>
        <v>0</v>
      </c>
      <c r="AE156" s="395">
        <f ca="1">IF($E$324=0,0,IF(SUM($G156:AD156)=$B156,0,IF(SUM(AE155:$EJ155)=0%,$B156,0%)))</f>
        <v>0</v>
      </c>
      <c r="AF156" s="395">
        <f ca="1">IF($E$324=0,0,IF(SUM($G156:AE156)=$B156,0,IF(SUM(AF155:$EJ155)=0%,$B156,0%)))</f>
        <v>0</v>
      </c>
      <c r="AG156" s="395">
        <f ca="1">IF($E$324=0,0,IF(SUM($G156:AF156)=$B156,0,IF(SUM(AG155:$EJ155)=0%,$B156,0%)))</f>
        <v>0</v>
      </c>
      <c r="AH156" s="395">
        <f ca="1">IF($E$324=0,0,IF(SUM($G156:AG156)=$B156,0,IF(SUM(AH155:$EJ155)=0%,$B156,0%)))</f>
        <v>0</v>
      </c>
      <c r="AI156" s="395">
        <f ca="1">IF($E$324=0,0,IF(SUM($G156:AH156)=$B156,0,IF(SUM(AI155:$EJ155)=0%,$B156,0%)))</f>
        <v>0</v>
      </c>
      <c r="AJ156" s="395">
        <f ca="1">IF($E$324=0,0,IF(SUM($G156:AI156)=$B156,0,IF(SUM(AJ155:$EJ155)=0%,$B156,0%)))</f>
        <v>0</v>
      </c>
      <c r="AK156" s="395">
        <f ca="1">IF($E$324=0,0,IF(SUM($G156:AJ156)=$B156,0,IF(SUM(AK155:$EJ155)=0%,$B156,0%)))</f>
        <v>0</v>
      </c>
      <c r="AL156" s="395">
        <f ca="1">IF($E$324=0,0,IF(SUM($G156:AK156)=$B156,0,IF(SUM(AL155:$EJ155)=0%,$B156,0%)))</f>
        <v>0</v>
      </c>
      <c r="AM156" s="395">
        <f ca="1">IF($E$324=0,0,IF(SUM($G156:AL156)=$B156,0,IF(SUM(AM155:$EJ155)=0%,$B156,0%)))</f>
        <v>0</v>
      </c>
      <c r="AN156" s="395">
        <f ca="1">IF($E$324=0,0,IF(SUM($G156:AM156)=$B156,0,IF(SUM(AN155:$EJ155)=0%,$B156,0%)))</f>
        <v>0</v>
      </c>
      <c r="AO156" s="395">
        <f ca="1">IF($E$324=0,0,IF(SUM($G156:AN156)=$B156,0,IF(SUM(AO155:$EJ155)=0%,$B156,0%)))</f>
        <v>0</v>
      </c>
      <c r="AP156" s="395">
        <f ca="1">IF($E$324=0,0,IF(SUM($G156:AO156)=$B156,0,IF(SUM(AP155:$EJ155)=0%,$B156,0%)))</f>
        <v>0</v>
      </c>
      <c r="AQ156" s="395">
        <f ca="1">IF($E$324=0,0,IF(SUM($G156:AP156)=$B156,0,IF(SUM(AQ155:$EJ155)=0%,$B156,0%)))</f>
        <v>0</v>
      </c>
      <c r="AR156" s="395">
        <f ca="1">IF($E$324=0,0,IF(SUM($G156:AQ156)=$B156,0,IF(SUM(AR155:$EJ155)=0%,$B156,0%)))</f>
        <v>0</v>
      </c>
      <c r="AS156" s="395">
        <f ca="1">IF($E$324=0,0,IF(SUM($G156:AR156)=$B156,0,IF(SUM(AS155:$EJ155)=0%,$B156,0%)))</f>
        <v>0</v>
      </c>
      <c r="AT156" s="395">
        <f ca="1">IF($E$324=0,0,IF(SUM($G156:AS156)=$B156,0,IF(SUM(AT155:$EJ155)=0%,$B156,0%)))</f>
        <v>0</v>
      </c>
      <c r="AU156" s="395">
        <f ca="1">IF($E$324=0,0,IF(SUM($G156:AT156)=$B156,0,IF(SUM(AU155:$EJ155)=0%,$B156,0%)))</f>
        <v>0</v>
      </c>
      <c r="AV156" s="395">
        <f ca="1">IF($E$324=0,0,IF(SUM($G156:AU156)=$B156,0,IF(SUM(AV155:$EJ155)=0%,$B156,0%)))</f>
        <v>0</v>
      </c>
      <c r="AW156" s="395">
        <f ca="1">IF($E$324=0,0,IF(SUM($G156:AV156)=$B156,0,IF(SUM(AW155:$EJ155)=0%,$B156,0%)))</f>
        <v>0</v>
      </c>
      <c r="AX156" s="395">
        <f ca="1">IF($E$324=0,0,IF(SUM($G156:AW156)=$B156,0,IF(SUM(AX155:$EJ155)=0%,$B156,0%)))</f>
        <v>0</v>
      </c>
      <c r="AY156" s="395">
        <f ca="1">IF($E$324=0,0,IF(SUM($G156:AX156)=$B156,0,IF(SUM(AY155:$EJ155)=0%,$B156,0%)))</f>
        <v>0</v>
      </c>
      <c r="AZ156" s="395">
        <f ca="1">IF($E$324=0,0,IF(SUM($G156:AY156)=$B156,0,IF(SUM(AZ155:$EJ155)=0%,$B156,0%)))</f>
        <v>0</v>
      </c>
      <c r="BA156" s="395">
        <f ca="1">IF($E$324=0,0,IF(SUM($G156:AZ156)=$B156,0,IF(SUM(BA155:$EJ155)=0%,$B156,0%)))</f>
        <v>0</v>
      </c>
      <c r="BB156" s="395">
        <f ca="1">IF($E$324=0,0,IF(SUM($G156:BA156)=$B156,0,IF(SUM(BB155:$EJ155)=0%,$B156,0%)))</f>
        <v>2.5000000000000001E-2</v>
      </c>
      <c r="BC156" s="395">
        <f ca="1">IF($E$324=0,0,IF(SUM($G156:BB156)=$B156,0,IF(SUM(BC155:$EJ155)=0%,$B156,0%)))</f>
        <v>0</v>
      </c>
      <c r="BD156" s="395">
        <f ca="1">IF($E$324=0,0,IF(SUM($G156:BC156)=$B156,0,IF(SUM(BD155:$EJ155)=0%,$B156,0%)))</f>
        <v>0</v>
      </c>
      <c r="BE156" s="395">
        <f ca="1">IF($E$324=0,0,IF(SUM($G156:BD156)=$B156,0,IF(SUM(BE155:$EJ155)=0%,$B156,0%)))</f>
        <v>0</v>
      </c>
      <c r="BF156" s="395">
        <f ca="1">IF($E$324=0,0,IF(SUM($G156:BE156)=$B156,0,IF(SUM(BF155:$EJ155)=0%,$B156,0%)))</f>
        <v>0</v>
      </c>
      <c r="BG156" s="395">
        <f ca="1">IF($E$324=0,0,IF(SUM($G156:BF156)=$B156,0,IF(SUM(BG155:$EJ155)=0%,$B156,0%)))</f>
        <v>0</v>
      </c>
      <c r="BH156" s="395">
        <f ca="1">IF($E$324=0,0,IF(SUM($G156:BG156)=$B156,0,IF(SUM(BH155:$EJ155)=0%,$B156,0%)))</f>
        <v>0</v>
      </c>
      <c r="BI156" s="395">
        <f ca="1">IF($E$324=0,0,IF(SUM($G156:BH156)=$B156,0,IF(SUM(BI155:$EJ155)=0%,$B156,0%)))</f>
        <v>0</v>
      </c>
      <c r="BJ156" s="395">
        <f ca="1">IF($E$324=0,0,IF(SUM($G156:BI156)=$B156,0,IF(SUM(BJ155:$EJ155)=0%,$B156,0%)))</f>
        <v>0</v>
      </c>
      <c r="BK156" s="395">
        <f ca="1">IF($E$324=0,0,IF(SUM($G156:BJ156)=$B156,0,IF(SUM(BK155:$EJ155)=0%,$B156,0%)))</f>
        <v>0</v>
      </c>
      <c r="BL156" s="395">
        <f ca="1">IF($E$324=0,0,IF(SUM($G156:BK156)=$B156,0,IF(SUM(BL155:$EJ155)=0%,$B156,0%)))</f>
        <v>0</v>
      </c>
      <c r="BM156" s="395">
        <f ca="1">IF($E$324=0,0,IF(SUM($G156:BL156)=$B156,0,IF(SUM(BM155:$EJ155)=0%,$B156,0%)))</f>
        <v>0</v>
      </c>
      <c r="BN156" s="395">
        <f ca="1">IF($E$324=0,0,IF(SUM($G156:BM156)=$B156,0,IF(SUM(BN155:$EJ155)=0%,$B156,0%)))</f>
        <v>0</v>
      </c>
      <c r="BO156" s="395">
        <f ca="1">IF($E$324=0,0,IF(SUM($G156:BN156)=$B156,0,IF(SUM(BO155:$EJ155)=0%,$B156,0%)))</f>
        <v>0</v>
      </c>
      <c r="BP156" s="395">
        <f ca="1">IF($E$324=0,0,IF(SUM($G156:BO156)=$B156,0,IF(SUM(BP155:$EJ155)=0%,$B156,0%)))</f>
        <v>0</v>
      </c>
      <c r="BQ156" s="395">
        <f ca="1">IF($E$324=0,0,IF(SUM($G156:BP156)=$B156,0,IF(SUM(BQ155:$EJ155)=0%,$B156,0%)))</f>
        <v>0</v>
      </c>
      <c r="BR156" s="395">
        <f ca="1">IF($E$324=0,0,IF(SUM($G156:BQ156)=$B156,0,IF(SUM(BR155:$EJ155)=0%,$B156,0%)))</f>
        <v>0</v>
      </c>
      <c r="BS156" s="395">
        <f ca="1">IF($E$324=0,0,IF(SUM($G156:BR156)=$B156,0,IF(SUM(BS155:$EJ155)=0%,$B156,0%)))</f>
        <v>0</v>
      </c>
      <c r="BT156" s="395">
        <f ca="1">IF($E$324=0,0,IF(SUM($G156:BS156)=$B156,0,IF(SUM(BT155:$EJ155)=0%,$B156,0%)))</f>
        <v>0</v>
      </c>
      <c r="BU156" s="395">
        <f ca="1">IF($E$324=0,0,IF(SUM($G156:BT156)=$B156,0,IF(SUM(BU155:$EJ155)=0%,$B156,0%)))</f>
        <v>0</v>
      </c>
      <c r="BV156" s="395">
        <f ca="1">IF($E$324=0,0,IF(SUM($G156:BU156)=$B156,0,IF(SUM(BV155:$EJ155)=0%,$B156,0%)))</f>
        <v>0</v>
      </c>
      <c r="BW156" s="395">
        <f ca="1">IF($E$324=0,0,IF(SUM($G156:BV156)=$B156,0,IF(SUM(BW155:$EJ155)=0%,$B156,0%)))</f>
        <v>0</v>
      </c>
      <c r="BX156" s="395">
        <f ca="1">IF($E$324=0,0,IF(SUM($G156:BW156)=$B156,0,IF(SUM(BX155:$EJ155)=0%,$B156,0%)))</f>
        <v>0</v>
      </c>
      <c r="BY156" s="395">
        <f ca="1">IF($E$324=0,0,IF(SUM($G156:BX156)=$B156,0,IF(SUM(BY155:$EJ155)=0%,$B156,0%)))</f>
        <v>0</v>
      </c>
      <c r="BZ156" s="395">
        <f ca="1">IF($E$324=0,0,IF(SUM($G156:BY156)=$B156,0,IF(SUM(BZ155:$EJ155)=0%,$B156,0%)))</f>
        <v>0</v>
      </c>
      <c r="CA156" s="395">
        <f ca="1">IF($E$324=0,0,IF(SUM($G156:BZ156)=$B156,0,IF(SUM(CA155:$EJ155)=0%,$B156,0%)))</f>
        <v>0</v>
      </c>
      <c r="CB156" s="395">
        <f ca="1">IF($E$324=0,0,IF(SUM($G156:CA156)=$B156,0,IF(SUM(CB155:$EJ155)=0%,$B156,0%)))</f>
        <v>0</v>
      </c>
      <c r="CC156" s="395">
        <f ca="1">IF($E$324=0,0,IF(SUM($G156:CB156)=$B156,0,IF(SUM(CC155:$EJ155)=0%,$B156,0%)))</f>
        <v>0</v>
      </c>
      <c r="CD156" s="395">
        <f ca="1">IF($E$324=0,0,IF(SUM($G156:CC156)=$B156,0,IF(SUM(CD155:$EJ155)=0%,$B156,0%)))</f>
        <v>0</v>
      </c>
      <c r="CE156" s="395">
        <f ca="1">IF($E$324=0,0,IF(SUM($G156:CD156)=$B156,0,IF(SUM(CE155:$EJ155)=0%,$B156,0%)))</f>
        <v>0</v>
      </c>
      <c r="CF156" s="395">
        <f ca="1">IF($E$324=0,0,IF(SUM($G156:CE156)=$B156,0,IF(SUM(CF155:$EJ155)=0%,$B156,0%)))</f>
        <v>0</v>
      </c>
      <c r="CG156" s="395">
        <f ca="1">IF($E$324=0,0,IF(SUM($G156:CF156)=$B156,0,IF(SUM(CG155:$EJ155)=0%,$B156,0%)))</f>
        <v>0</v>
      </c>
      <c r="CH156" s="395">
        <f ca="1">IF($E$324=0,0,IF(SUM($G156:CG156)=$B156,0,IF(SUM(CH155:$EJ155)=0%,$B156,0%)))</f>
        <v>0</v>
      </c>
      <c r="CI156" s="395">
        <f ca="1">IF($E$324=0,0,IF(SUM($G156:CH156)=$B156,0,IF(SUM(CI155:$EJ155)=0%,$B156,0%)))</f>
        <v>0</v>
      </c>
      <c r="CJ156" s="395">
        <f ca="1">IF($E$324=0,0,IF(SUM($G156:CI156)=$B156,0,IF(SUM(CJ155:$EJ155)=0%,$B156,0%)))</f>
        <v>0</v>
      </c>
      <c r="CK156" s="395">
        <f ca="1">IF($E$324=0,0,IF(SUM($G156:CJ156)=$B156,0,IF(SUM(CK155:$EJ155)=0%,$B156,0%)))</f>
        <v>0</v>
      </c>
      <c r="CL156" s="395">
        <f ca="1">IF($E$324=0,0,IF(SUM($G156:CK156)=$B156,0,IF(SUM(CL155:$EJ155)=0%,$B156,0%)))</f>
        <v>0</v>
      </c>
      <c r="CM156" s="395">
        <f ca="1">IF($E$324=0,0,IF(SUM($G156:CL156)=$B156,0,IF(SUM(CM155:$EJ155)=0%,$B156,0%)))</f>
        <v>0</v>
      </c>
      <c r="CN156" s="395">
        <f ca="1">IF($E$324=0,0,IF(SUM($G156:CM156)=$B156,0,IF(SUM(CN155:$EJ155)=0%,$B156,0%)))</f>
        <v>0</v>
      </c>
      <c r="CO156" s="395">
        <f ca="1">IF($E$324=0,0,IF(SUM($G156:CN156)=$B156,0,IF(SUM(CO155:$EJ155)=0%,$B156,0%)))</f>
        <v>0</v>
      </c>
      <c r="CP156" s="395">
        <f ca="1">IF($E$324=0,0,IF(SUM($G156:CO156)=$B156,0,IF(SUM(CP155:$EJ155)=0%,$B156,0%)))</f>
        <v>0</v>
      </c>
      <c r="CQ156" s="395">
        <f ca="1">IF($E$324=0,0,IF(SUM($G156:CP156)=$B156,0,IF(SUM(CQ155:$EJ155)=0%,$B156,0%)))</f>
        <v>0</v>
      </c>
      <c r="CR156" s="395">
        <f ca="1">IF($E$324=0,0,IF(SUM($G156:CQ156)=$B156,0,IF(SUM(CR155:$EJ155)=0%,$B156,0%)))</f>
        <v>0</v>
      </c>
      <c r="CS156" s="395">
        <f ca="1">IF($E$324=0,0,IF(SUM($G156:CR156)=$B156,0,IF(SUM(CS155:$EJ155)=0%,$B156,0%)))</f>
        <v>0</v>
      </c>
      <c r="CT156" s="395">
        <f ca="1">IF($E$324=0,0,IF(SUM($G156:CS156)=$B156,0,IF(SUM(CT155:$EJ155)=0%,$B156,0%)))</f>
        <v>0</v>
      </c>
      <c r="CU156" s="395">
        <f ca="1">IF($E$324=0,0,IF(SUM($G156:CT156)=$B156,0,IF(SUM(CU155:$EJ155)=0%,$B156,0%)))</f>
        <v>0</v>
      </c>
      <c r="CV156" s="395">
        <f ca="1">IF($E$324=0,0,IF(SUM($G156:CU156)=$B156,0,IF(SUM(CV155:$EJ155)=0%,$B156,0%)))</f>
        <v>0</v>
      </c>
      <c r="CW156" s="395">
        <f ca="1">IF($E$324=0,0,IF(SUM($G156:CV156)=$B156,0,IF(SUM(CW155:$EJ155)=0%,$B156,0%)))</f>
        <v>0</v>
      </c>
      <c r="CX156" s="395">
        <f ca="1">IF($E$324=0,0,IF(SUM($G156:CW156)=$B156,0,IF(SUM(CX155:$EJ155)=0%,$B156,0%)))</f>
        <v>0</v>
      </c>
      <c r="CY156" s="395">
        <f ca="1">IF($E$324=0,0,IF(SUM($G156:CX156)=$B156,0,IF(SUM(CY155:$EJ155)=0%,$B156,0%)))</f>
        <v>0</v>
      </c>
      <c r="CZ156" s="395">
        <f ca="1">IF($E$324=0,0,IF(SUM($G156:CY156)=$B156,0,IF(SUM(CZ155:$EJ155)=0%,$B156,0%)))</f>
        <v>0</v>
      </c>
      <c r="DA156" s="395">
        <f ca="1">IF($E$324=0,0,IF(SUM($G156:CZ156)=$B156,0,IF(SUM(DA155:$EJ155)=0%,$B156,0%)))</f>
        <v>0</v>
      </c>
      <c r="DB156" s="395">
        <f ca="1">IF($E$324=0,0,IF(SUM($G156:DA156)=$B156,0,IF(SUM(DB155:$EJ155)=0%,$B156,0%)))</f>
        <v>0</v>
      </c>
      <c r="DC156" s="395">
        <f ca="1">IF($E$324=0,0,IF(SUM($G156:DB156)=$B156,0,IF(SUM(DC155:$EJ155)=0%,$B156,0%)))</f>
        <v>0</v>
      </c>
      <c r="DD156" s="395">
        <f ca="1">IF($E$324=0,0,IF(SUM($G156:DC156)=$B156,0,IF(SUM(DD155:$EJ155)=0%,$B156,0%)))</f>
        <v>0</v>
      </c>
      <c r="DE156" s="395">
        <f ca="1">IF($E$324=0,0,IF(SUM($G156:DD156)=$B156,0,IF(SUM(DE155:$EJ155)=0%,$B156,0%)))</f>
        <v>0</v>
      </c>
      <c r="DF156" s="395">
        <f ca="1">IF($E$324=0,0,IF(SUM($G156:DE156)=$B156,0,IF(SUM(DF155:$EJ155)=0%,$B156,0%)))</f>
        <v>0</v>
      </c>
      <c r="DG156" s="395">
        <f ca="1">IF($E$324=0,0,IF(SUM($G156:DF156)=$B156,0,IF(SUM(DG155:$EJ155)=0%,$B156,0%)))</f>
        <v>0</v>
      </c>
      <c r="DH156" s="395">
        <f ca="1">IF($E$324=0,0,IF(SUM($G156:DG156)=$B156,0,IF(SUM(DH155:$EJ155)=0%,$B156,0%)))</f>
        <v>0</v>
      </c>
      <c r="DI156" s="395">
        <f ca="1">IF($E$324=0,0,IF(SUM($G156:DH156)=$B156,0,IF(SUM(DI155:$EJ155)=0%,$B156,0%)))</f>
        <v>0</v>
      </c>
      <c r="DJ156" s="395">
        <f ca="1">IF($E$324=0,0,IF(SUM($G156:DI156)=$B156,0,IF(SUM(DJ155:$EJ155)=0%,$B156,0%)))</f>
        <v>0</v>
      </c>
      <c r="DK156" s="395">
        <f ca="1">IF($E$324=0,0,IF(SUM($G156:DJ156)=$B156,0,IF(SUM(DK155:$EJ155)=0%,$B156,0%)))</f>
        <v>0</v>
      </c>
      <c r="DL156" s="395">
        <f ca="1">IF($E$324=0,0,IF(SUM($G156:DK156)=$B156,0,IF(SUM(DL155:$EJ155)=0%,$B156,0%)))</f>
        <v>0</v>
      </c>
      <c r="DM156" s="395">
        <f ca="1">IF($E$324=0,0,IF(SUM($G156:DL156)=$B156,0,IF(SUM(DM155:$EJ155)=0%,$B156,0%)))</f>
        <v>0</v>
      </c>
      <c r="DN156" s="395">
        <f ca="1">IF($E$324=0,0,IF(SUM($G156:DM156)=$B156,0,IF(SUM(DN155:$EJ155)=0%,$B156,0%)))</f>
        <v>0</v>
      </c>
      <c r="DO156" s="395">
        <f ca="1">IF($E$324=0,0,IF(SUM($G156:DN156)=$B156,0,IF(SUM(DO155:$EJ155)=0%,$B156,0%)))</f>
        <v>0</v>
      </c>
      <c r="DP156" s="395">
        <f ca="1">IF($E$324=0,0,IF(SUM($G156:DO156)=$B156,0,IF(SUM(DP155:$EJ155)=0%,$B156,0%)))</f>
        <v>0</v>
      </c>
      <c r="DQ156" s="395">
        <f ca="1">IF($E$324=0,0,IF(SUM($G156:DP156)=$B156,0,IF(SUM(DQ155:$EJ155)=0%,$B156,0%)))</f>
        <v>0</v>
      </c>
      <c r="DR156" s="395">
        <f ca="1">IF($E$324=0,0,IF(SUM($G156:DQ156)=$B156,0,IF(SUM(DR155:$EJ155)=0%,$B156,0%)))</f>
        <v>0</v>
      </c>
      <c r="DS156" s="395">
        <f ca="1">IF($E$324=0,0,IF(SUM($G156:DR156)=$B156,0,IF(SUM(DS155:$EJ155)=0%,$B156,0%)))</f>
        <v>0</v>
      </c>
      <c r="DT156" s="395">
        <f ca="1">IF($E$324=0,0,IF(SUM($G156:DS156)=$B156,0,IF(SUM(DT155:$EJ155)=0%,$B156,0%)))</f>
        <v>0</v>
      </c>
      <c r="DU156" s="395">
        <f ca="1">IF($E$324=0,0,IF(SUM($G156:DT156)=$B156,0,IF(SUM(DU155:$EJ155)=0%,$B156,0%)))</f>
        <v>0</v>
      </c>
      <c r="DV156" s="395">
        <f ca="1">IF($E$324=0,0,IF(SUM($G156:DU156)=$B156,0,IF(SUM(DV155:$EJ155)=0%,$B156,0%)))</f>
        <v>0</v>
      </c>
      <c r="DW156" s="395">
        <f ca="1">IF($E$324=0,0,IF(SUM($G156:DV156)=$B156,0,IF(SUM(DW155:$EJ155)=0%,$B156,0%)))</f>
        <v>0</v>
      </c>
      <c r="DX156" s="395">
        <f ca="1">IF($E$324=0,0,IF(SUM($G156:DW156)=$B156,0,IF(SUM(DX155:$EJ155)=0%,$B156,0%)))</f>
        <v>0</v>
      </c>
      <c r="DY156" s="395">
        <f ca="1">IF($E$324=0,0,IF(SUM($G156:DX156)=$B156,0,IF(SUM(DY155:$EJ155)=0%,$B156,0%)))</f>
        <v>0</v>
      </c>
      <c r="DZ156" s="395">
        <f ca="1">IF($E$324=0,0,IF(SUM($G156:DY156)=$B156,0,IF(SUM(DZ155:$EJ155)=0%,$B156,0%)))</f>
        <v>0</v>
      </c>
      <c r="EA156" s="395">
        <f ca="1">IF($E$324=0,0,IF(SUM($G156:DZ156)=$B156,0,IF(SUM(EA155:$EJ155)=0%,$B156,0%)))</f>
        <v>0</v>
      </c>
      <c r="EB156" s="395">
        <f ca="1">IF($E$324=0,0,IF(SUM($G156:EA156)=$B156,0,IF(SUM(EB155:$EJ155)=0%,$B156,0%)))</f>
        <v>0</v>
      </c>
      <c r="EC156" s="395">
        <f ca="1">IF($E$324=0,0,IF(SUM($G156:EB156)=$B156,0,IF(SUM(EC155:$EJ155)=0%,$B156,0%)))</f>
        <v>0</v>
      </c>
      <c r="ED156" s="395">
        <f ca="1">IF($E$324=0,0,IF(SUM($G156:EC156)=$B156,0,IF(SUM(ED155:$EJ155)=0%,$B156,0%)))</f>
        <v>0</v>
      </c>
      <c r="EE156" s="395">
        <f ca="1">IF($E$324=0,0,IF(SUM($G156:ED156)=$B156,0,IF(SUM(EE155:$EJ155)=0%,$B156,0%)))</f>
        <v>0</v>
      </c>
      <c r="EF156" s="395">
        <f ca="1">IF($E$324=0,0,IF(SUM($G156:EE156)=$B156,0,IF(SUM(EF155:$EJ155)=0%,$B156,0%)))</f>
        <v>0</v>
      </c>
      <c r="EG156" s="395">
        <f ca="1">IF($E$324=0,0,IF(SUM($G156:EF156)=$B156,0,IF(SUM(EG155:$EJ155)=0%,$B156,0%)))</f>
        <v>0</v>
      </c>
      <c r="EH156" s="395">
        <f ca="1">IF($E$324=0,0,IF(SUM($G156:EG156)=$B156,0,IF(SUM(EH155:$EJ155)=0%,$B156,0%)))</f>
        <v>0</v>
      </c>
      <c r="EI156" s="395">
        <f ca="1">IF($E$324=0,0,IF(SUM($G156:EH156)=$B156,0,IF(SUM(EI155:$EJ155)=0%,$B156,0%)))</f>
        <v>0</v>
      </c>
      <c r="EJ156" s="398"/>
      <c r="EK156" s="313"/>
    </row>
    <row r="157" spans="1:141" hidden="1" outlineLevel="2">
      <c r="A157" s="332"/>
      <c r="B157" s="548">
        <f t="shared" si="373"/>
        <v>2.5000000000000001E-2</v>
      </c>
      <c r="C157" s="317"/>
      <c r="D157" s="317" t="s">
        <v>640</v>
      </c>
      <c r="E157" s="318">
        <f t="shared" ca="1" si="372"/>
        <v>0</v>
      </c>
      <c r="F157" s="397">
        <f ca="1">SUM(G157:EJ157)</f>
        <v>2.5000000000000001E-2</v>
      </c>
      <c r="G157" s="395"/>
      <c r="H157" s="395"/>
      <c r="I157" s="395"/>
      <c r="J157" s="395"/>
      <c r="K157" s="395"/>
      <c r="L157" s="395"/>
      <c r="M157" s="395"/>
      <c r="N157" s="395"/>
      <c r="O157" s="395"/>
      <c r="P157" s="395"/>
      <c r="Q157" s="395"/>
      <c r="R157" s="395"/>
      <c r="S157" s="395"/>
      <c r="T157" s="395"/>
      <c r="U157" s="395"/>
      <c r="V157" s="395"/>
      <c r="W157" s="395"/>
      <c r="X157" s="395"/>
      <c r="Y157" s="395"/>
      <c r="Z157" s="395"/>
      <c r="AA157" s="395"/>
      <c r="AB157" s="395"/>
      <c r="AC157" s="395"/>
      <c r="AD157" s="395">
        <f ca="1">IF($E$324=0,0,IF(SUM($G157:AC157)=$B157,0,IF(SUM($G156:G156)=$B156,$B157,0%)))</f>
        <v>0</v>
      </c>
      <c r="AE157" s="395">
        <f ca="1">IF($E$324=0,0,IF(SUM($G157:AD157)=$B157,0,IF(SUM($G156:H156)=$B156,$B157,0%)))</f>
        <v>0</v>
      </c>
      <c r="AF157" s="395">
        <f ca="1">IF($E$324=0,0,IF(SUM($G157:AE157)=$B157,0,IF(SUM($G156:I156)=$B156,$B157,0%)))</f>
        <v>0</v>
      </c>
      <c r="AG157" s="395">
        <f ca="1">IF($E$324=0,0,IF(SUM($G157:AF157)=$B157,0,IF(SUM($G156:J156)=$B156,$B157,0%)))</f>
        <v>0</v>
      </c>
      <c r="AH157" s="395">
        <f ca="1">IF($E$324=0,0,IF(SUM($G157:AG157)=$B157,0,IF(SUM($G156:K156)=$B156,$B157,0%)))</f>
        <v>0</v>
      </c>
      <c r="AI157" s="395">
        <f ca="1">IF($E$324=0,0,IF(SUM($G157:AH157)=$B157,0,IF(SUM($G156:L156)=$B156,$B157,0%)))</f>
        <v>0</v>
      </c>
      <c r="AJ157" s="395">
        <f ca="1">IF($E$324=0,0,IF(SUM($G157:AI157)=$B157,0,IF(SUM($G156:M156)=$B156,$B157,0%)))</f>
        <v>0</v>
      </c>
      <c r="AK157" s="395">
        <f ca="1">IF($E$324=0,0,IF(SUM($G157:AJ157)=$B157,0,IF(SUM($G156:N156)=$B156,$B157,0%)))</f>
        <v>0</v>
      </c>
      <c r="AL157" s="395">
        <f ca="1">IF($E$324=0,0,IF(SUM($G157:AK157)=$B157,0,IF(SUM($G156:O156)=$B156,$B157,0%)))</f>
        <v>0</v>
      </c>
      <c r="AM157" s="395">
        <f ca="1">IF($E$324=0,0,IF(SUM($G157:AL157)=$B157,0,IF(SUM($G156:P156)=$B156,$B157,0%)))</f>
        <v>0</v>
      </c>
      <c r="AN157" s="395">
        <f ca="1">IF($E$324=0,0,IF(SUM($G157:AM157)=$B157,0,IF(SUM($G156:Q156)=$B156,$B157,0%)))</f>
        <v>0</v>
      </c>
      <c r="AO157" s="395">
        <f ca="1">IF($E$324=0,0,IF(SUM($G157:AN157)=$B157,0,IF(SUM($G156:R156)=$B156,$B157,0%)))</f>
        <v>0</v>
      </c>
      <c r="AP157" s="395">
        <f ca="1">IF($E$324=0,0,IF(SUM($G157:AO157)=$B157,0,IF(SUM($G156:S156)=$B156,$B157,0%)))</f>
        <v>0</v>
      </c>
      <c r="AQ157" s="395">
        <f ca="1">IF($E$324=0,0,IF(SUM($G157:AP157)=$B157,0,IF(SUM($G156:T156)=$B156,$B157,0%)))</f>
        <v>0</v>
      </c>
      <c r="AR157" s="395">
        <f ca="1">IF($E$324=0,0,IF(SUM($G157:AQ157)=$B157,0,IF(SUM($G156:U156)=$B156,$B157,0%)))</f>
        <v>0</v>
      </c>
      <c r="AS157" s="395">
        <f ca="1">IF($E$324=0,0,IF(SUM($G157:AR157)=$B157,0,IF(SUM($G156:V156)=$B156,$B157,0%)))</f>
        <v>0</v>
      </c>
      <c r="AT157" s="395">
        <f ca="1">IF($E$324=0,0,IF(SUM($G157:AS157)=$B157,0,IF(SUM($G156:W156)=$B156,$B157,0%)))</f>
        <v>0</v>
      </c>
      <c r="AU157" s="395">
        <f ca="1">IF($E$324=0,0,IF(SUM($G157:AT157)=$B157,0,IF(SUM($G156:X156)=$B156,$B157,0%)))</f>
        <v>0</v>
      </c>
      <c r="AV157" s="395">
        <f ca="1">IF($E$324=0,0,IF(SUM($G157:AU157)=$B157,0,IF(SUM($G156:Y156)=$B156,$B157,0%)))</f>
        <v>0</v>
      </c>
      <c r="AW157" s="395">
        <f ca="1">IF($E$324=0,0,IF(SUM($G157:AV157)=$B157,0,IF(SUM($G156:Z156)=$B156,$B157,0%)))</f>
        <v>0</v>
      </c>
      <c r="AX157" s="395">
        <f ca="1">IF($E$324=0,0,IF(SUM($G157:AW157)=$B157,0,IF(SUM($G156:AA156)=$B156,$B157,0%)))</f>
        <v>0</v>
      </c>
      <c r="AY157" s="395">
        <f ca="1">IF($E$324=0,0,IF(SUM($G157:AX157)=$B157,0,IF(SUM($G156:AB156)=$B156,$B157,0%)))</f>
        <v>0</v>
      </c>
      <c r="AZ157" s="395">
        <f ca="1">IF($E$324=0,0,IF(SUM($G157:AY157)=$B157,0,IF(SUM($G156:AC156)=$B156,$B157,0%)))</f>
        <v>0</v>
      </c>
      <c r="BA157" s="395">
        <f ca="1">IF($E$324=0,0,IF(SUM($G157:AZ157)=$B157,0,IF(SUM($G156:AD156)=$B156,$B157,0%)))</f>
        <v>0</v>
      </c>
      <c r="BB157" s="395">
        <f ca="1">IF($E$324=0,0,IF(SUM($G157:BA157)=$B157,0,IF(SUM($G156:AE156)=$B156,$B157,0%)))</f>
        <v>0</v>
      </c>
      <c r="BC157" s="395">
        <f ca="1">IF($E$324=0,0,IF(SUM($G157:BB157)=$B157,0,IF(SUM($G156:AF156)=$B156,$B157,0%)))</f>
        <v>0</v>
      </c>
      <c r="BD157" s="395">
        <f ca="1">IF($E$324=0,0,IF(SUM($G157:BC157)=$B157,0,IF(SUM($G156:AG156)=$B156,$B157,0%)))</f>
        <v>0</v>
      </c>
      <c r="BE157" s="395">
        <f ca="1">IF($E$324=0,0,IF(SUM($G157:BD157)=$B157,0,IF(SUM($G156:AH156)=$B156,$B157,0%)))</f>
        <v>0</v>
      </c>
      <c r="BF157" s="395">
        <f ca="1">IF($E$324=0,0,IF(SUM($G157:BE157)=$B157,0,IF(SUM($G156:AI156)=$B156,$B157,0%)))</f>
        <v>0</v>
      </c>
      <c r="BG157" s="395">
        <f ca="1">IF($E$324=0,0,IF(SUM($G157:BF157)=$B157,0,IF(SUM($G156:AJ156)=$B156,$B157,0%)))</f>
        <v>0</v>
      </c>
      <c r="BH157" s="395">
        <f ca="1">IF($E$324=0,0,IF(SUM($G157:BG157)=$B157,0,IF(SUM($G156:AK156)=$B156,$B157,0%)))</f>
        <v>0</v>
      </c>
      <c r="BI157" s="395">
        <f ca="1">IF($E$324=0,0,IF(SUM($G157:BH157)=$B157,0,IF(SUM($G156:AL156)=$B156,$B157,0%)))</f>
        <v>0</v>
      </c>
      <c r="BJ157" s="395">
        <f ca="1">IF($E$324=0,0,IF(SUM($G157:BI157)=$B157,0,IF(SUM($G156:AM156)=$B156,$B157,0%)))</f>
        <v>0</v>
      </c>
      <c r="BK157" s="395">
        <f ca="1">IF($E$324=0,0,IF(SUM($G157:BJ157)=$B157,0,IF(SUM($G156:AN156)=$B156,$B157,0%)))</f>
        <v>0</v>
      </c>
      <c r="BL157" s="395">
        <f ca="1">IF($E$324=0,0,IF(SUM($G157:BK157)=$B157,0,IF(SUM($G156:AO156)=$B156,$B157,0%)))</f>
        <v>0</v>
      </c>
      <c r="BM157" s="395">
        <f ca="1">IF($E$324=0,0,IF(SUM($G157:BL157)=$B157,0,IF(SUM($G156:AP156)=$B156,$B157,0%)))</f>
        <v>0</v>
      </c>
      <c r="BN157" s="395">
        <f ca="1">IF($E$324=0,0,IF(SUM($G157:BM157)=$B157,0,IF(SUM($G156:AQ156)=$B156,$B157,0%)))</f>
        <v>0</v>
      </c>
      <c r="BO157" s="395">
        <f ca="1">IF($E$324=0,0,IF(SUM($G157:BN157)=$B157,0,IF(SUM($G156:AR156)=$B156,$B157,0%)))</f>
        <v>0</v>
      </c>
      <c r="BP157" s="395">
        <f ca="1">IF($E$324=0,0,IF(SUM($G157:BO157)=$B157,0,IF(SUM($G156:AS156)=$B156,$B157,0%)))</f>
        <v>0</v>
      </c>
      <c r="BQ157" s="395">
        <f ca="1">IF($E$324=0,0,IF(SUM($G157:BP157)=$B157,0,IF(SUM($G156:AT156)=$B156,$B157,0%)))</f>
        <v>0</v>
      </c>
      <c r="BR157" s="395">
        <f ca="1">IF($E$324=0,0,IF(SUM($G157:BQ157)=$B157,0,IF(SUM($G156:AU156)=$B156,$B157,0%)))</f>
        <v>0</v>
      </c>
      <c r="BS157" s="395">
        <f ca="1">IF($E$324=0,0,IF(SUM($G157:BR157)=$B157,0,IF(SUM($G156:AV156)=$B156,$B157,0%)))</f>
        <v>0</v>
      </c>
      <c r="BT157" s="395">
        <f ca="1">IF($E$324=0,0,IF(SUM($G157:BS157)=$B157,0,IF(SUM($G156:AW156)=$B156,$B157,0%)))</f>
        <v>0</v>
      </c>
      <c r="BU157" s="395">
        <f ca="1">IF($E$324=0,0,IF(SUM($G157:BT157)=$B157,0,IF(SUM($G156:AX156)=$B156,$B157,0%)))</f>
        <v>0</v>
      </c>
      <c r="BV157" s="395">
        <f ca="1">IF($E$324=0,0,IF(SUM($G157:BU157)=$B157,0,IF(SUM($G156:AY156)=$B156,$B157,0%)))</f>
        <v>0</v>
      </c>
      <c r="BW157" s="395">
        <f ca="1">IF($E$324=0,0,IF(SUM($G157:BV157)=$B157,0,IF(SUM($G156:AZ156)=$B156,$B157,0%)))</f>
        <v>0</v>
      </c>
      <c r="BX157" s="395">
        <f ca="1">IF($E$324=0,0,IF(SUM($G157:BW157)=$B157,0,IF(SUM($G156:BA156)=$B156,$B157,0%)))</f>
        <v>0</v>
      </c>
      <c r="BY157" s="395">
        <f ca="1">IF($E$324=0,0,IF(SUM($G157:BX157)=$B157,0,IF(SUM($G156:BB156)=$B156,$B157,0%)))</f>
        <v>2.5000000000000001E-2</v>
      </c>
      <c r="BZ157" s="395">
        <f ca="1">IF($E$324=0,0,IF(SUM($G157:BY157)=$B157,0,IF(SUM($G156:BC156)=$B156,$B157,0%)))</f>
        <v>0</v>
      </c>
      <c r="CA157" s="395">
        <f ca="1">IF($E$324=0,0,IF(SUM($G157:BZ157)=$B157,0,IF(SUM($G156:BD156)=$B156,$B157,0%)))</f>
        <v>0</v>
      </c>
      <c r="CB157" s="395">
        <f ca="1">IF($E$324=0,0,IF(SUM($G157:CA157)=$B157,0,IF(SUM($G156:BE156)=$B156,$B157,0%)))</f>
        <v>0</v>
      </c>
      <c r="CC157" s="395">
        <f ca="1">IF($E$324=0,0,IF(SUM($G157:CB157)=$B157,0,IF(SUM($G156:BF156)=$B156,$B157,0%)))</f>
        <v>0</v>
      </c>
      <c r="CD157" s="395">
        <f ca="1">IF($E$324=0,0,IF(SUM($G157:CC157)=$B157,0,IF(SUM($G156:BG156)=$B156,$B157,0%)))</f>
        <v>0</v>
      </c>
      <c r="CE157" s="395">
        <f ca="1">IF($E$324=0,0,IF(SUM($G157:CD157)=$B157,0,IF(SUM($G156:BH156)=$B156,$B157,0%)))</f>
        <v>0</v>
      </c>
      <c r="CF157" s="395">
        <f ca="1">IF($E$324=0,0,IF(SUM($G157:CE157)=$B157,0,IF(SUM($G156:BI156)=$B156,$B157,0%)))</f>
        <v>0</v>
      </c>
      <c r="CG157" s="395">
        <f ca="1">IF($E$324=0,0,IF(SUM($G157:CF157)=$B157,0,IF(SUM($G156:BJ156)=$B156,$B157,0%)))</f>
        <v>0</v>
      </c>
      <c r="CH157" s="395">
        <f ca="1">IF($E$324=0,0,IF(SUM($G157:CG157)=$B157,0,IF(SUM($G156:BK156)=$B156,$B157,0%)))</f>
        <v>0</v>
      </c>
      <c r="CI157" s="395">
        <f ca="1">IF($E$324=0,0,IF(SUM($G157:CH157)=$B157,0,IF(SUM($G156:BL156)=$B156,$B157,0%)))</f>
        <v>0</v>
      </c>
      <c r="CJ157" s="395">
        <f ca="1">IF($E$324=0,0,IF(SUM($G157:CI157)=$B157,0,IF(SUM($G156:BM156)=$B156,$B157,0%)))</f>
        <v>0</v>
      </c>
      <c r="CK157" s="395">
        <f ca="1">IF($E$324=0,0,IF(SUM($G157:CJ157)=$B157,0,IF(SUM($G156:BN156)=$B156,$B157,0%)))</f>
        <v>0</v>
      </c>
      <c r="CL157" s="395">
        <f ca="1">IF($E$324=0,0,IF(SUM($G157:CK157)=$B157,0,IF(SUM($G156:BO156)=$B156,$B157,0%)))</f>
        <v>0</v>
      </c>
      <c r="CM157" s="395">
        <f ca="1">IF($E$324=0,0,IF(SUM($G157:CL157)=$B157,0,IF(SUM($G156:BP156)=$B156,$B157,0%)))</f>
        <v>0</v>
      </c>
      <c r="CN157" s="395">
        <f ca="1">IF($E$324=0,0,IF(SUM($G157:CM157)=$B157,0,IF(SUM($G156:BQ156)=$B156,$B157,0%)))</f>
        <v>0</v>
      </c>
      <c r="CO157" s="395">
        <f ca="1">IF($E$324=0,0,IF(SUM($G157:CN157)=$B157,0,IF(SUM($G156:BR156)=$B156,$B157,0%)))</f>
        <v>0</v>
      </c>
      <c r="CP157" s="395">
        <f ca="1">IF($E$324=0,0,IF(SUM($G157:CO157)=$B157,0,IF(SUM($G156:BS156)=$B156,$B157,0%)))</f>
        <v>0</v>
      </c>
      <c r="CQ157" s="395">
        <f ca="1">IF($E$324=0,0,IF(SUM($G157:CP157)=$B157,0,IF(SUM($G156:BT156)=$B156,$B157,0%)))</f>
        <v>0</v>
      </c>
      <c r="CR157" s="395">
        <f ca="1">IF($E$324=0,0,IF(SUM($G157:CQ157)=$B157,0,IF(SUM($G156:BU156)=$B156,$B157,0%)))</f>
        <v>0</v>
      </c>
      <c r="CS157" s="395">
        <f ca="1">IF($E$324=0,0,IF(SUM($G157:CR157)=$B157,0,IF(SUM($G156:BV156)=$B156,$B157,0%)))</f>
        <v>0</v>
      </c>
      <c r="CT157" s="395">
        <f ca="1">IF($E$324=0,0,IF(SUM($G157:CS157)=$B157,0,IF(SUM($G156:BW156)=$B156,$B157,0%)))</f>
        <v>0</v>
      </c>
      <c r="CU157" s="395">
        <f ca="1">IF($E$324=0,0,IF(SUM($G157:CT157)=$B157,0,IF(SUM($G156:BX156)=$B156,$B157,0%)))</f>
        <v>0</v>
      </c>
      <c r="CV157" s="395">
        <f ca="1">IF($E$324=0,0,IF(SUM($G157:CU157)=$B157,0,IF(SUM($G156:BY156)=$B156,$B157,0%)))</f>
        <v>0</v>
      </c>
      <c r="CW157" s="395">
        <f ca="1">IF($E$324=0,0,IF(SUM($G157:CV157)=$B157,0,IF(SUM($G156:BZ156)=$B156,$B157,0%)))</f>
        <v>0</v>
      </c>
      <c r="CX157" s="395">
        <f ca="1">IF($E$324=0,0,IF(SUM($G157:CW157)=$B157,0,IF(SUM($G156:CA156)=$B156,$B157,0%)))</f>
        <v>0</v>
      </c>
      <c r="CY157" s="395">
        <f ca="1">IF($E$324=0,0,IF(SUM($G157:CX157)=$B157,0,IF(SUM($G156:CB156)=$B156,$B157,0%)))</f>
        <v>0</v>
      </c>
      <c r="CZ157" s="395">
        <f ca="1">IF($E$324=0,0,IF(SUM($G157:CY157)=$B157,0,IF(SUM($G156:CC156)=$B156,$B157,0%)))</f>
        <v>0</v>
      </c>
      <c r="DA157" s="395">
        <f ca="1">IF($E$324=0,0,IF(SUM($G157:CZ157)=$B157,0,IF(SUM($G156:CD156)=$B156,$B157,0%)))</f>
        <v>0</v>
      </c>
      <c r="DB157" s="395">
        <f ca="1">IF($E$324=0,0,IF(SUM($G157:DA157)=$B157,0,IF(SUM($G156:CE156)=$B156,$B157,0%)))</f>
        <v>0</v>
      </c>
      <c r="DC157" s="395">
        <f ca="1">IF($E$324=0,0,IF(SUM($G157:DB157)=$B157,0,IF(SUM($G156:CF156)=$B156,$B157,0%)))</f>
        <v>0</v>
      </c>
      <c r="DD157" s="395">
        <f ca="1">IF($E$324=0,0,IF(SUM($G157:DC157)=$B157,0,IF(SUM($G156:CG156)=$B156,$B157,0%)))</f>
        <v>0</v>
      </c>
      <c r="DE157" s="395">
        <f ca="1">IF($E$324=0,0,IF(SUM($G157:DD157)=$B157,0,IF(SUM($G156:CH156)=$B156,$B157,0%)))</f>
        <v>0</v>
      </c>
      <c r="DF157" s="395">
        <f ca="1">IF($E$324=0,0,IF(SUM($G157:DE157)=$B157,0,IF(SUM($G156:CI156)=$B156,$B157,0%)))</f>
        <v>0</v>
      </c>
      <c r="DG157" s="395">
        <f ca="1">IF($E$324=0,0,IF(SUM($G157:DF157)=$B157,0,IF(SUM($G156:CJ156)=$B156,$B157,0%)))</f>
        <v>0</v>
      </c>
      <c r="DH157" s="395">
        <f ca="1">IF($E$324=0,0,IF(SUM($G157:DG157)=$B157,0,IF(SUM($G156:CK156)=$B156,$B157,0%)))</f>
        <v>0</v>
      </c>
      <c r="DI157" s="395">
        <f ca="1">IF($E$324=0,0,IF(SUM($G157:DH157)=$B157,0,IF(SUM($G156:CL156)=$B156,$B157,0%)))</f>
        <v>0</v>
      </c>
      <c r="DJ157" s="395">
        <f ca="1">IF($E$324=0,0,IF(SUM($G157:DI157)=$B157,0,IF(SUM($G156:CM156)=$B156,$B157,0%)))</f>
        <v>0</v>
      </c>
      <c r="DK157" s="395">
        <f ca="1">IF($E$324=0,0,IF(SUM($G157:DJ157)=$B157,0,IF(SUM($G156:CN156)=$B156,$B157,0%)))</f>
        <v>0</v>
      </c>
      <c r="DL157" s="395">
        <f ca="1">IF($E$324=0,0,IF(SUM($G157:DK157)=$B157,0,IF(SUM($G156:CO156)=$B156,$B157,0%)))</f>
        <v>0</v>
      </c>
      <c r="DM157" s="395">
        <f ca="1">IF($E$324=0,0,IF(SUM($G157:DL157)=$B157,0,IF(SUM($G156:CP156)=$B156,$B157,0%)))</f>
        <v>0</v>
      </c>
      <c r="DN157" s="395">
        <f ca="1">IF($E$324=0,0,IF(SUM($G157:DM157)=$B157,0,IF(SUM($G156:CQ156)=$B156,$B157,0%)))</f>
        <v>0</v>
      </c>
      <c r="DO157" s="395">
        <f ca="1">IF($E$324=0,0,IF(SUM($G157:DN157)=$B157,0,IF(SUM($G156:CR156)=$B156,$B157,0%)))</f>
        <v>0</v>
      </c>
      <c r="DP157" s="395">
        <f ca="1">IF($E$324=0,0,IF(SUM($G157:DO157)=$B157,0,IF(SUM($G156:CS156)=$B156,$B157,0%)))</f>
        <v>0</v>
      </c>
      <c r="DQ157" s="395">
        <f ca="1">IF($E$324=0,0,IF(SUM($G157:DP157)=$B157,0,IF(SUM($G156:CT156)=$B156,$B157,0%)))</f>
        <v>0</v>
      </c>
      <c r="DR157" s="395">
        <f ca="1">IF($E$324=0,0,IF(SUM($G157:DQ157)=$B157,0,IF(SUM($G156:CU156)=$B156,$B157,0%)))</f>
        <v>0</v>
      </c>
      <c r="DS157" s="395">
        <f ca="1">IF($E$324=0,0,IF(SUM($G157:DR157)=$B157,0,IF(SUM($G156:CV156)=$B156,$B157,0%)))</f>
        <v>0</v>
      </c>
      <c r="DT157" s="395">
        <f ca="1">IF($E$324=0,0,IF(SUM($G157:DS157)=$B157,0,IF(SUM($G156:CW156)=$B156,$B157,0%)))</f>
        <v>0</v>
      </c>
      <c r="DU157" s="395">
        <f ca="1">IF($E$324=0,0,IF(SUM($G157:DT157)=$B157,0,IF(SUM($G156:CX156)=$B156,$B157,0%)))</f>
        <v>0</v>
      </c>
      <c r="DV157" s="395">
        <f ca="1">IF($E$324=0,0,IF(SUM($G157:DU157)=$B157,0,IF(SUM($G156:CY156)=$B156,$B157,0%)))</f>
        <v>0</v>
      </c>
      <c r="DW157" s="395">
        <f ca="1">IF($E$324=0,0,IF(SUM($G157:DV157)=$B157,0,IF(SUM($G156:CZ156)=$B156,$B157,0%)))</f>
        <v>0</v>
      </c>
      <c r="DX157" s="395">
        <f ca="1">IF($E$324=0,0,IF(SUM($G157:DW157)=$B157,0,IF(SUM($G156:DA156)=$B156,$B157,0%)))</f>
        <v>0</v>
      </c>
      <c r="DY157" s="395">
        <f ca="1">IF($E$324=0,0,IF(SUM($G157:DX157)=$B157,0,IF(SUM($G156:DB156)=$B156,$B157,0%)))</f>
        <v>0</v>
      </c>
      <c r="DZ157" s="395">
        <f ca="1">IF($E$324=0,0,IF(SUM($G157:DY157)=$B157,0,IF(SUM($G156:DC156)=$B156,$B157,0%)))</f>
        <v>0</v>
      </c>
      <c r="EA157" s="395">
        <f ca="1">IF($E$324=0,0,IF(SUM($G157:DZ157)=$B157,0,IF(SUM($G156:DD156)=$B156,$B157,0%)))</f>
        <v>0</v>
      </c>
      <c r="EB157" s="395">
        <f ca="1">IF($E$324=0,0,IF(SUM($G157:EA157)=$B157,0,IF(SUM($G156:DE156)=$B156,$B157,0%)))</f>
        <v>0</v>
      </c>
      <c r="EC157" s="395">
        <f ca="1">IF($E$324=0,0,IF(SUM($G157:EB157)=$B157,0,IF(SUM($G156:DF156)=$B156,$B157,0%)))</f>
        <v>0</v>
      </c>
      <c r="ED157" s="395">
        <f ca="1">IF($E$324=0,0,IF(SUM($G157:EC157)=$B157,0,IF(SUM($G156:DG156)=$B156,$B157,0%)))</f>
        <v>0</v>
      </c>
      <c r="EE157" s="395">
        <f ca="1">IF($E$324=0,0,IF(SUM($G157:ED157)=$B157,0,IF(SUM($G156:DH156)=$B156,$B157,0%)))</f>
        <v>0</v>
      </c>
      <c r="EF157" s="395">
        <f ca="1">IF($E$324=0,0,IF(SUM($G157:EE157)=$B157,0,IF(SUM($G156:DI156)=$B156,$B157,0%)))</f>
        <v>0</v>
      </c>
      <c r="EG157" s="395">
        <f ca="1">IF($E$324=0,0,IF(SUM($G157:EF157)=$B157,0,IF(SUM($G156:DJ156)=$B156,$B157,0%)))</f>
        <v>0</v>
      </c>
      <c r="EH157" s="395">
        <f ca="1">IF($E$324=0,0,IF(SUM($G157:EG157)=$B157,0,IF(SUM($G156:DK156)=$B156,$B157,0%)))</f>
        <v>0</v>
      </c>
      <c r="EI157" s="395">
        <f ca="1">IF($E$324=0,0,IF(SUM($G157:EH157)=$B157,0,IF(SUM($G156:DL156)=$B156,$B157,0%)))</f>
        <v>0</v>
      </c>
      <c r="EJ157" s="398"/>
      <c r="EK157" s="313"/>
    </row>
    <row r="158" spans="1:141" hidden="1" outlineLevel="1" collapsed="1">
      <c r="A158" s="332"/>
      <c r="B158" s="313"/>
      <c r="C158" s="392" t="s">
        <v>91</v>
      </c>
      <c r="D158" s="392" t="str">
        <f>D329</f>
        <v>Внутренняя отделка - отделка моп</v>
      </c>
      <c r="E158" s="393">
        <f ca="1">ROUND(IF(F158=0,0,100%-F158),0)</f>
        <v>0</v>
      </c>
      <c r="F158" s="394">
        <f t="shared" ref="F158:F160" ca="1" si="374">SUM(G158:EJ158)</f>
        <v>0.99999999999999978</v>
      </c>
      <c r="G158" s="395">
        <f>SUM(G159:G162)</f>
        <v>0</v>
      </c>
      <c r="H158" s="395">
        <f ca="1">SUM(H159:H162)</f>
        <v>0</v>
      </c>
      <c r="I158" s="395">
        <f t="shared" ref="I158:BT158" ca="1" si="375">SUM(I159:I162)</f>
        <v>0</v>
      </c>
      <c r="J158" s="395">
        <f t="shared" ca="1" si="375"/>
        <v>0</v>
      </c>
      <c r="K158" s="395">
        <f t="shared" ca="1" si="375"/>
        <v>0</v>
      </c>
      <c r="L158" s="395">
        <f t="shared" ca="1" si="375"/>
        <v>0</v>
      </c>
      <c r="M158" s="395">
        <f t="shared" ca="1" si="375"/>
        <v>0</v>
      </c>
      <c r="N158" s="395">
        <f t="shared" ca="1" si="375"/>
        <v>0</v>
      </c>
      <c r="O158" s="395">
        <f t="shared" ca="1" si="375"/>
        <v>0</v>
      </c>
      <c r="P158" s="395">
        <f t="shared" ca="1" si="375"/>
        <v>0</v>
      </c>
      <c r="Q158" s="395">
        <f t="shared" ca="1" si="375"/>
        <v>0</v>
      </c>
      <c r="R158" s="395">
        <f t="shared" ca="1" si="375"/>
        <v>0</v>
      </c>
      <c r="S158" s="395">
        <f t="shared" ca="1" si="375"/>
        <v>0</v>
      </c>
      <c r="T158" s="395">
        <f t="shared" ca="1" si="375"/>
        <v>0</v>
      </c>
      <c r="U158" s="395">
        <f t="shared" ca="1" si="375"/>
        <v>0</v>
      </c>
      <c r="V158" s="395">
        <f t="shared" ca="1" si="375"/>
        <v>0</v>
      </c>
      <c r="W158" s="395">
        <f t="shared" ca="1" si="375"/>
        <v>0</v>
      </c>
      <c r="X158" s="395">
        <f t="shared" ca="1" si="375"/>
        <v>0</v>
      </c>
      <c r="Y158" s="395">
        <f t="shared" ca="1" si="375"/>
        <v>0</v>
      </c>
      <c r="Z158" s="395">
        <f t="shared" ca="1" si="375"/>
        <v>0</v>
      </c>
      <c r="AA158" s="395">
        <f t="shared" ca="1" si="375"/>
        <v>0</v>
      </c>
      <c r="AB158" s="395">
        <f t="shared" ca="1" si="375"/>
        <v>0</v>
      </c>
      <c r="AC158" s="395">
        <f t="shared" ca="1" si="375"/>
        <v>0</v>
      </c>
      <c r="AD158" s="395">
        <f t="shared" ca="1" si="375"/>
        <v>0</v>
      </c>
      <c r="AE158" s="395">
        <f t="shared" ca="1" si="375"/>
        <v>0</v>
      </c>
      <c r="AF158" s="395">
        <f t="shared" ca="1" si="375"/>
        <v>0</v>
      </c>
      <c r="AG158" s="395">
        <f t="shared" ca="1" si="375"/>
        <v>0</v>
      </c>
      <c r="AH158" s="395">
        <f t="shared" ca="1" si="375"/>
        <v>0</v>
      </c>
      <c r="AI158" s="395">
        <f t="shared" ca="1" si="375"/>
        <v>0</v>
      </c>
      <c r="AJ158" s="395">
        <f t="shared" ca="1" si="375"/>
        <v>0</v>
      </c>
      <c r="AK158" s="395">
        <f t="shared" ca="1" si="375"/>
        <v>0</v>
      </c>
      <c r="AL158" s="395">
        <f t="shared" ca="1" si="375"/>
        <v>0</v>
      </c>
      <c r="AM158" s="395">
        <f t="shared" ca="1" si="375"/>
        <v>0</v>
      </c>
      <c r="AN158" s="395">
        <f t="shared" ca="1" si="375"/>
        <v>0</v>
      </c>
      <c r="AO158" s="395">
        <f t="shared" ca="1" si="375"/>
        <v>0</v>
      </c>
      <c r="AP158" s="395">
        <f t="shared" ca="1" si="375"/>
        <v>0</v>
      </c>
      <c r="AQ158" s="395">
        <f t="shared" ca="1" si="375"/>
        <v>0</v>
      </c>
      <c r="AR158" s="395">
        <f t="shared" ca="1" si="375"/>
        <v>0</v>
      </c>
      <c r="AS158" s="395">
        <f t="shared" ca="1" si="375"/>
        <v>0</v>
      </c>
      <c r="AT158" s="395">
        <f t="shared" ca="1" si="375"/>
        <v>0</v>
      </c>
      <c r="AU158" s="395">
        <f t="shared" ca="1" si="375"/>
        <v>0</v>
      </c>
      <c r="AV158" s="395">
        <f t="shared" ca="1" si="375"/>
        <v>0.3</v>
      </c>
      <c r="AW158" s="395">
        <f t="shared" ca="1" si="375"/>
        <v>0</v>
      </c>
      <c r="AX158" s="395">
        <f t="shared" ca="1" si="375"/>
        <v>1.1681494661921733E-2</v>
      </c>
      <c r="AY158" s="395">
        <f t="shared" ca="1" si="375"/>
        <v>7.170818505338078E-2</v>
      </c>
      <c r="AZ158" s="395">
        <f t="shared" ca="1" si="375"/>
        <v>6.9395017793594305E-2</v>
      </c>
      <c r="BA158" s="395">
        <f t="shared" ca="1" si="375"/>
        <v>7.170818505338078E-2</v>
      </c>
      <c r="BB158" s="395">
        <f t="shared" ca="1" si="375"/>
        <v>7.170818505338078E-2</v>
      </c>
      <c r="BC158" s="395">
        <f t="shared" ca="1" si="375"/>
        <v>6.4768683274021355E-2</v>
      </c>
      <c r="BD158" s="395">
        <f t="shared" ca="1" si="375"/>
        <v>7.170818505338078E-2</v>
      </c>
      <c r="BE158" s="395">
        <f t="shared" ca="1" si="375"/>
        <v>6.9395017793594305E-2</v>
      </c>
      <c r="BF158" s="395">
        <f t="shared" ca="1" si="375"/>
        <v>7.170818505338078E-2</v>
      </c>
      <c r="BG158" s="395">
        <f t="shared" ca="1" si="375"/>
        <v>6.9395017793594305E-2</v>
      </c>
      <c r="BH158" s="395">
        <f t="shared" ca="1" si="375"/>
        <v>6.8238434163700804E-3</v>
      </c>
      <c r="BI158" s="395">
        <f t="shared" ca="1" si="375"/>
        <v>2.5000000000000001E-2</v>
      </c>
      <c r="BJ158" s="395">
        <f t="shared" ca="1" si="375"/>
        <v>0</v>
      </c>
      <c r="BK158" s="395">
        <f t="shared" ca="1" si="375"/>
        <v>0</v>
      </c>
      <c r="BL158" s="395">
        <f t="shared" ca="1" si="375"/>
        <v>0</v>
      </c>
      <c r="BM158" s="395">
        <f t="shared" ca="1" si="375"/>
        <v>0</v>
      </c>
      <c r="BN158" s="395">
        <f t="shared" ca="1" si="375"/>
        <v>0</v>
      </c>
      <c r="BO158" s="395">
        <f t="shared" ca="1" si="375"/>
        <v>0</v>
      </c>
      <c r="BP158" s="395">
        <f t="shared" ca="1" si="375"/>
        <v>0</v>
      </c>
      <c r="BQ158" s="395">
        <f t="shared" ca="1" si="375"/>
        <v>0</v>
      </c>
      <c r="BR158" s="395">
        <f t="shared" ca="1" si="375"/>
        <v>0</v>
      </c>
      <c r="BS158" s="395">
        <f t="shared" ca="1" si="375"/>
        <v>0</v>
      </c>
      <c r="BT158" s="395">
        <f t="shared" ca="1" si="375"/>
        <v>0</v>
      </c>
      <c r="BU158" s="395">
        <f t="shared" ref="BU158:EF158" ca="1" si="376">SUM(BU159:BU162)</f>
        <v>0</v>
      </c>
      <c r="BV158" s="395">
        <f t="shared" ca="1" si="376"/>
        <v>0</v>
      </c>
      <c r="BW158" s="395">
        <f t="shared" ca="1" si="376"/>
        <v>0</v>
      </c>
      <c r="BX158" s="395">
        <f t="shared" ca="1" si="376"/>
        <v>0</v>
      </c>
      <c r="BY158" s="395">
        <f t="shared" ca="1" si="376"/>
        <v>0</v>
      </c>
      <c r="BZ158" s="395">
        <f t="shared" ca="1" si="376"/>
        <v>0</v>
      </c>
      <c r="CA158" s="395">
        <f t="shared" ca="1" si="376"/>
        <v>0</v>
      </c>
      <c r="CB158" s="395">
        <f t="shared" ca="1" si="376"/>
        <v>0</v>
      </c>
      <c r="CC158" s="395">
        <f t="shared" ca="1" si="376"/>
        <v>0</v>
      </c>
      <c r="CD158" s="395">
        <f t="shared" ca="1" si="376"/>
        <v>0</v>
      </c>
      <c r="CE158" s="395">
        <f t="shared" ca="1" si="376"/>
        <v>0</v>
      </c>
      <c r="CF158" s="395">
        <f t="shared" ca="1" si="376"/>
        <v>2.5000000000000001E-2</v>
      </c>
      <c r="CG158" s="395">
        <f t="shared" ca="1" si="376"/>
        <v>0</v>
      </c>
      <c r="CH158" s="395">
        <f t="shared" ca="1" si="376"/>
        <v>0</v>
      </c>
      <c r="CI158" s="395">
        <f t="shared" ca="1" si="376"/>
        <v>0</v>
      </c>
      <c r="CJ158" s="395">
        <f t="shared" ca="1" si="376"/>
        <v>0</v>
      </c>
      <c r="CK158" s="395">
        <f t="shared" ca="1" si="376"/>
        <v>0</v>
      </c>
      <c r="CL158" s="395">
        <f t="shared" ca="1" si="376"/>
        <v>0</v>
      </c>
      <c r="CM158" s="395">
        <f t="shared" ca="1" si="376"/>
        <v>0</v>
      </c>
      <c r="CN158" s="395">
        <f t="shared" ca="1" si="376"/>
        <v>0</v>
      </c>
      <c r="CO158" s="395">
        <f t="shared" ca="1" si="376"/>
        <v>0</v>
      </c>
      <c r="CP158" s="395">
        <f t="shared" ca="1" si="376"/>
        <v>0</v>
      </c>
      <c r="CQ158" s="395">
        <f t="shared" ca="1" si="376"/>
        <v>0</v>
      </c>
      <c r="CR158" s="395">
        <f t="shared" ca="1" si="376"/>
        <v>0</v>
      </c>
      <c r="CS158" s="395">
        <f t="shared" ca="1" si="376"/>
        <v>0</v>
      </c>
      <c r="CT158" s="395">
        <f t="shared" ca="1" si="376"/>
        <v>0</v>
      </c>
      <c r="CU158" s="395">
        <f t="shared" ca="1" si="376"/>
        <v>0</v>
      </c>
      <c r="CV158" s="395">
        <f t="shared" ca="1" si="376"/>
        <v>0</v>
      </c>
      <c r="CW158" s="395">
        <f t="shared" ca="1" si="376"/>
        <v>0</v>
      </c>
      <c r="CX158" s="395">
        <f t="shared" ca="1" si="376"/>
        <v>0</v>
      </c>
      <c r="CY158" s="395">
        <f t="shared" ca="1" si="376"/>
        <v>0</v>
      </c>
      <c r="CZ158" s="395">
        <f t="shared" ca="1" si="376"/>
        <v>0</v>
      </c>
      <c r="DA158" s="395">
        <f t="shared" ca="1" si="376"/>
        <v>0</v>
      </c>
      <c r="DB158" s="395">
        <f t="shared" ca="1" si="376"/>
        <v>0</v>
      </c>
      <c r="DC158" s="395">
        <f t="shared" ca="1" si="376"/>
        <v>0</v>
      </c>
      <c r="DD158" s="395">
        <f t="shared" ca="1" si="376"/>
        <v>0</v>
      </c>
      <c r="DE158" s="395">
        <f t="shared" ca="1" si="376"/>
        <v>0</v>
      </c>
      <c r="DF158" s="395">
        <f t="shared" ca="1" si="376"/>
        <v>0</v>
      </c>
      <c r="DG158" s="395">
        <f t="shared" ca="1" si="376"/>
        <v>0</v>
      </c>
      <c r="DH158" s="395">
        <f t="shared" ca="1" si="376"/>
        <v>0</v>
      </c>
      <c r="DI158" s="395">
        <f t="shared" ca="1" si="376"/>
        <v>0</v>
      </c>
      <c r="DJ158" s="395">
        <f t="shared" ca="1" si="376"/>
        <v>0</v>
      </c>
      <c r="DK158" s="395">
        <f t="shared" ca="1" si="376"/>
        <v>0</v>
      </c>
      <c r="DL158" s="395">
        <f t="shared" ca="1" si="376"/>
        <v>0</v>
      </c>
      <c r="DM158" s="395">
        <f t="shared" ca="1" si="376"/>
        <v>0</v>
      </c>
      <c r="DN158" s="395">
        <f t="shared" ca="1" si="376"/>
        <v>0</v>
      </c>
      <c r="DO158" s="395">
        <f t="shared" ca="1" si="376"/>
        <v>0</v>
      </c>
      <c r="DP158" s="395">
        <f t="shared" ca="1" si="376"/>
        <v>0</v>
      </c>
      <c r="DQ158" s="395">
        <f t="shared" ca="1" si="376"/>
        <v>0</v>
      </c>
      <c r="DR158" s="395">
        <f t="shared" ca="1" si="376"/>
        <v>0</v>
      </c>
      <c r="DS158" s="395">
        <f t="shared" ca="1" si="376"/>
        <v>0</v>
      </c>
      <c r="DT158" s="395">
        <f t="shared" ca="1" si="376"/>
        <v>0</v>
      </c>
      <c r="DU158" s="395">
        <f t="shared" ca="1" si="376"/>
        <v>0</v>
      </c>
      <c r="DV158" s="395">
        <f t="shared" ca="1" si="376"/>
        <v>0</v>
      </c>
      <c r="DW158" s="395">
        <f t="shared" ca="1" si="376"/>
        <v>0</v>
      </c>
      <c r="DX158" s="395">
        <f t="shared" ca="1" si="376"/>
        <v>0</v>
      </c>
      <c r="DY158" s="395">
        <f t="shared" ca="1" si="376"/>
        <v>0</v>
      </c>
      <c r="DZ158" s="395">
        <f t="shared" ca="1" si="376"/>
        <v>0</v>
      </c>
      <c r="EA158" s="395">
        <f t="shared" ca="1" si="376"/>
        <v>0</v>
      </c>
      <c r="EB158" s="395">
        <f t="shared" ca="1" si="376"/>
        <v>0</v>
      </c>
      <c r="EC158" s="395">
        <f t="shared" ca="1" si="376"/>
        <v>0</v>
      </c>
      <c r="ED158" s="395">
        <f t="shared" ca="1" si="376"/>
        <v>0</v>
      </c>
      <c r="EE158" s="395">
        <f t="shared" ca="1" si="376"/>
        <v>0</v>
      </c>
      <c r="EF158" s="395">
        <f t="shared" ca="1" si="376"/>
        <v>0</v>
      </c>
      <c r="EG158" s="395">
        <f t="shared" ref="EG158:EI158" ca="1" si="377">SUM(EG159:EG162)</f>
        <v>0</v>
      </c>
      <c r="EH158" s="395">
        <f t="shared" ca="1" si="377"/>
        <v>0</v>
      </c>
      <c r="EI158" s="395">
        <f t="shared" ca="1" si="377"/>
        <v>0</v>
      </c>
      <c r="EJ158" s="398"/>
      <c r="EK158" s="313"/>
    </row>
    <row r="159" spans="1:141" hidden="1" outlineLevel="2">
      <c r="A159" s="332"/>
      <c r="B159" s="548">
        <f>B144</f>
        <v>0.3</v>
      </c>
      <c r="C159" s="317"/>
      <c r="D159" s="317" t="s">
        <v>664</v>
      </c>
      <c r="E159" s="318">
        <f t="shared" ref="E159:E162" ca="1" si="378">IF(F159=0,0,B159-F159)</f>
        <v>0</v>
      </c>
      <c r="F159" s="397">
        <f t="shared" ca="1" si="374"/>
        <v>0.3</v>
      </c>
      <c r="G159" s="395"/>
      <c r="H159" s="395">
        <f ca="1">IF(SUM($G159:G159)=$B159,0,IF(J160&gt;0%,$B159,0%))</f>
        <v>0</v>
      </c>
      <c r="I159" s="395">
        <f ca="1">IF(SUM($G159:H159)=$B159,0,IF(K160&gt;0%,$B159,0%))</f>
        <v>0</v>
      </c>
      <c r="J159" s="395">
        <f ca="1">IF(SUM($G159:I159)=$B159,0,IF(L160&gt;0%,$B159,0%))</f>
        <v>0</v>
      </c>
      <c r="K159" s="395">
        <f ca="1">IF(SUM($G159:J159)=$B159,0,IF(M160&gt;0%,$B159,0%))</f>
        <v>0</v>
      </c>
      <c r="L159" s="395">
        <f ca="1">IF(SUM($G159:K159)=$B159,0,IF(N160&gt;0%,$B159,0%))</f>
        <v>0</v>
      </c>
      <c r="M159" s="395">
        <f ca="1">IF(SUM($G159:L159)=$B159,0,IF(O160&gt;0%,$B159,0%))</f>
        <v>0</v>
      </c>
      <c r="N159" s="395">
        <f ca="1">IF(SUM($G159:M159)=$B159,0,IF(P160&gt;0%,$B159,0%))</f>
        <v>0</v>
      </c>
      <c r="O159" s="395">
        <f ca="1">IF(SUM($G159:N159)=$B159,0,IF(Q160&gt;0%,$B159,0%))</f>
        <v>0</v>
      </c>
      <c r="P159" s="395">
        <f ca="1">IF(SUM($G159:O159)=$B159,0,IF(R160&gt;0%,$B159,0%))</f>
        <v>0</v>
      </c>
      <c r="Q159" s="395">
        <f ca="1">IF(SUM($G159:P159)=$B159,0,IF(S160&gt;0%,$B159,0%))</f>
        <v>0</v>
      </c>
      <c r="R159" s="395">
        <f ca="1">IF(SUM($G159:Q159)=$B159,0,IF(T160&gt;0%,$B159,0%))</f>
        <v>0</v>
      </c>
      <c r="S159" s="395">
        <f ca="1">IF(SUM($G159:R159)=$B159,0,IF(U160&gt;0%,$B159,0%))</f>
        <v>0</v>
      </c>
      <c r="T159" s="395">
        <f ca="1">IF(SUM($G159:S159)=$B159,0,IF(V160&gt;0%,$B159,0%))</f>
        <v>0</v>
      </c>
      <c r="U159" s="395">
        <f ca="1">IF(SUM($G159:T159)=$B159,0,IF(W160&gt;0%,$B159,0%))</f>
        <v>0</v>
      </c>
      <c r="V159" s="395">
        <f ca="1">IF(SUM($G159:U159)=$B159,0,IF(X160&gt;0%,$B159,0%))</f>
        <v>0</v>
      </c>
      <c r="W159" s="395">
        <f ca="1">IF(SUM($G159:V159)=$B159,0,IF(Y160&gt;0%,$B159,0%))</f>
        <v>0</v>
      </c>
      <c r="X159" s="395">
        <f ca="1">IF(SUM($G159:W159)=$B159,0,IF(Z160&gt;0%,$B159,0%))</f>
        <v>0</v>
      </c>
      <c r="Y159" s="395">
        <f ca="1">IF(SUM($G159:X159)=$B159,0,IF(AA160&gt;0%,$B159,0%))</f>
        <v>0</v>
      </c>
      <c r="Z159" s="395">
        <f ca="1">IF(SUM($G159:Y159)=$B159,0,IF(AB160&gt;0%,$B159,0%))</f>
        <v>0</v>
      </c>
      <c r="AA159" s="395">
        <f ca="1">IF(SUM($G159:Z159)=$B159,0,IF(AC160&gt;0%,$B159,0%))</f>
        <v>0</v>
      </c>
      <c r="AB159" s="395">
        <f ca="1">IF(SUM($G159:AA159)=$B159,0,IF(AD160&gt;0%,$B159,0%))</f>
        <v>0</v>
      </c>
      <c r="AC159" s="395">
        <f ca="1">IF(SUM($G159:AB159)=$B159,0,IF(AE160&gt;0%,$B159,0%))</f>
        <v>0</v>
      </c>
      <c r="AD159" s="395">
        <f ca="1">IF(SUM($G159:AC159)=$B159,0,IF(AF160&gt;0%,$B159,0%))</f>
        <v>0</v>
      </c>
      <c r="AE159" s="395">
        <f ca="1">IF(SUM($G159:AD159)=$B159,0,IF(AG160&gt;0%,$B159,0%))</f>
        <v>0</v>
      </c>
      <c r="AF159" s="395">
        <f ca="1">IF(SUM($G159:AE159)=$B159,0,IF(AH160&gt;0%,$B159,0%))</f>
        <v>0</v>
      </c>
      <c r="AG159" s="395">
        <f ca="1">IF(SUM($G159:AF159)=$B159,0,IF(AI160&gt;0%,$B159,0%))</f>
        <v>0</v>
      </c>
      <c r="AH159" s="395">
        <f ca="1">IF(SUM($G159:AG159)=$B159,0,IF(AJ160&gt;0%,$B159,0%))</f>
        <v>0</v>
      </c>
      <c r="AI159" s="395">
        <f ca="1">IF(SUM($G159:AH159)=$B159,0,IF(AK160&gt;0%,$B159,0%))</f>
        <v>0</v>
      </c>
      <c r="AJ159" s="395">
        <f ca="1">IF(SUM($G159:AI159)=$B159,0,IF(AL160&gt;0%,$B159,0%))</f>
        <v>0</v>
      </c>
      <c r="AK159" s="395">
        <f ca="1">IF(SUM($G159:AJ159)=$B159,0,IF(AM160&gt;0%,$B159,0%))</f>
        <v>0</v>
      </c>
      <c r="AL159" s="395">
        <f ca="1">IF(SUM($G159:AK159)=$B159,0,IF(AN160&gt;0%,$B159,0%))</f>
        <v>0</v>
      </c>
      <c r="AM159" s="395">
        <f ca="1">IF(SUM($G159:AL159)=$B159,0,IF(AO160&gt;0%,$B159,0%))</f>
        <v>0</v>
      </c>
      <c r="AN159" s="395">
        <f ca="1">IF(SUM($G159:AM159)=$B159,0,IF(AP160&gt;0%,$B159,0%))</f>
        <v>0</v>
      </c>
      <c r="AO159" s="395">
        <f ca="1">IF(SUM($G159:AN159)=$B159,0,IF(AQ160&gt;0%,$B159,0%))</f>
        <v>0</v>
      </c>
      <c r="AP159" s="395">
        <f ca="1">IF(SUM($G159:AO159)=$B159,0,IF(AR160&gt;0%,$B159,0%))</f>
        <v>0</v>
      </c>
      <c r="AQ159" s="395">
        <f ca="1">IF(SUM($G159:AP159)=$B159,0,IF(AS160&gt;0%,$B159,0%))</f>
        <v>0</v>
      </c>
      <c r="AR159" s="395">
        <f ca="1">IF(SUM($G159:AQ159)=$B159,0,IF(AT160&gt;0%,$B159,0%))</f>
        <v>0</v>
      </c>
      <c r="AS159" s="395">
        <f ca="1">IF(SUM($G159:AR159)=$B159,0,IF(AU160&gt;0%,$B159,0%))</f>
        <v>0</v>
      </c>
      <c r="AT159" s="395">
        <f ca="1">IF(SUM($G159:AS159)=$B159,0,IF(AV160&gt;0%,$B159,0%))</f>
        <v>0</v>
      </c>
      <c r="AU159" s="395">
        <f ca="1">IF(SUM($G159:AT159)=$B159,0,IF(AW160&gt;0%,$B159,0%))</f>
        <v>0</v>
      </c>
      <c r="AV159" s="395">
        <f ca="1">IF(SUM($G159:AU159)=$B159,0,IF(AX160&gt;0%,$B159,0%))</f>
        <v>0.3</v>
      </c>
      <c r="AW159" s="395">
        <f ca="1">IF(SUM($G159:AV159)=$B159,0,IF(AY160&gt;0%,$B159,0%))</f>
        <v>0</v>
      </c>
      <c r="AX159" s="395">
        <f ca="1">IF(SUM($G159:AW159)=$B159,0,IF(AZ160&gt;0%,$B159,0%))</f>
        <v>0</v>
      </c>
      <c r="AY159" s="395">
        <f ca="1">IF(SUM($G159:AX159)=$B159,0,IF(BA160&gt;0%,$B159,0%))</f>
        <v>0</v>
      </c>
      <c r="AZ159" s="395">
        <f ca="1">IF(SUM($G159:AY159)=$B159,0,IF(BB160&gt;0%,$B159,0%))</f>
        <v>0</v>
      </c>
      <c r="BA159" s="395">
        <f ca="1">IF(SUM($G159:AZ159)=$B159,0,IF(BC160&gt;0%,$B159,0%))</f>
        <v>0</v>
      </c>
      <c r="BB159" s="395">
        <f ca="1">IF(SUM($G159:BA159)=$B159,0,IF(BD160&gt;0%,$B159,0%))</f>
        <v>0</v>
      </c>
      <c r="BC159" s="395">
        <f ca="1">IF(SUM($G159:BB159)=$B159,0,IF(BE160&gt;0%,$B159,0%))</f>
        <v>0</v>
      </c>
      <c r="BD159" s="395">
        <f ca="1">IF(SUM($G159:BC159)=$B159,0,IF(BF160&gt;0%,$B159,0%))</f>
        <v>0</v>
      </c>
      <c r="BE159" s="395">
        <f ca="1">IF(SUM($G159:BD159)=$B159,0,IF(BG160&gt;0%,$B159,0%))</f>
        <v>0</v>
      </c>
      <c r="BF159" s="395">
        <f ca="1">IF(SUM($G159:BE159)=$B159,0,IF(BH160&gt;0%,$B159,0%))</f>
        <v>0</v>
      </c>
      <c r="BG159" s="395">
        <f ca="1">IF(SUM($G159:BF159)=$B159,0,IF(BI160&gt;0%,$B159,0%))</f>
        <v>0</v>
      </c>
      <c r="BH159" s="395">
        <f ca="1">IF(SUM($G159:BG159)=$B159,0,IF(BJ160&gt;0%,$B159,0%))</f>
        <v>0</v>
      </c>
      <c r="BI159" s="395">
        <f ca="1">IF(SUM($G159:BH159)=$B159,0,IF(BK160&gt;0%,$B159,0%))</f>
        <v>0</v>
      </c>
      <c r="BJ159" s="395">
        <f ca="1">IF(SUM($G159:BI159)=$B159,0,IF(BL160&gt;0%,$B159,0%))</f>
        <v>0</v>
      </c>
      <c r="BK159" s="395">
        <f ca="1">IF(SUM($G159:BJ159)=$B159,0,IF(BM160&gt;0%,$B159,0%))</f>
        <v>0</v>
      </c>
      <c r="BL159" s="395">
        <f ca="1">IF(SUM($G159:BK159)=$B159,0,IF(BN160&gt;0%,$B159,0%))</f>
        <v>0</v>
      </c>
      <c r="BM159" s="395">
        <f ca="1">IF(SUM($G159:BL159)=$B159,0,IF(BO160&gt;0%,$B159,0%))</f>
        <v>0</v>
      </c>
      <c r="BN159" s="395">
        <f ca="1">IF(SUM($G159:BM159)=$B159,0,IF(BP160&gt;0%,$B159,0%))</f>
        <v>0</v>
      </c>
      <c r="BO159" s="395">
        <f ca="1">IF(SUM($G159:BN159)=$B159,0,IF(BQ160&gt;0%,$B159,0%))</f>
        <v>0</v>
      </c>
      <c r="BP159" s="395">
        <f ca="1">IF(SUM($G159:BO159)=$B159,0,IF(BR160&gt;0%,$B159,0%))</f>
        <v>0</v>
      </c>
      <c r="BQ159" s="395">
        <f ca="1">IF(SUM($G159:BP159)=$B159,0,IF(BS160&gt;0%,$B159,0%))</f>
        <v>0</v>
      </c>
      <c r="BR159" s="395">
        <f ca="1">IF(SUM($G159:BQ159)=$B159,0,IF(BT160&gt;0%,$B159,0%))</f>
        <v>0</v>
      </c>
      <c r="BS159" s="395">
        <f ca="1">IF(SUM($G159:BR159)=$B159,0,IF(BU160&gt;0%,$B159,0%))</f>
        <v>0</v>
      </c>
      <c r="BT159" s="395">
        <f ca="1">IF(SUM($G159:BS159)=$B159,0,IF(BV160&gt;0%,$B159,0%))</f>
        <v>0</v>
      </c>
      <c r="BU159" s="395">
        <f ca="1">IF(SUM($G159:BT159)=$B159,0,IF(BW160&gt;0%,$B159,0%))</f>
        <v>0</v>
      </c>
      <c r="BV159" s="395">
        <f ca="1">IF(SUM($G159:BU159)=$B159,0,IF(BX160&gt;0%,$B159,0%))</f>
        <v>0</v>
      </c>
      <c r="BW159" s="395">
        <f ca="1">IF(SUM($G159:BV159)=$B159,0,IF(BY160&gt;0%,$B159,0%))</f>
        <v>0</v>
      </c>
      <c r="BX159" s="395">
        <f ca="1">IF(SUM($G159:BW159)=$B159,0,IF(BZ160&gt;0%,$B159,0%))</f>
        <v>0</v>
      </c>
      <c r="BY159" s="395">
        <f ca="1">IF(SUM($G159:BX159)=$B159,0,IF(CA160&gt;0%,$B159,0%))</f>
        <v>0</v>
      </c>
      <c r="BZ159" s="395">
        <f ca="1">IF(SUM($G159:BY159)=$B159,0,IF(CB160&gt;0%,$B159,0%))</f>
        <v>0</v>
      </c>
      <c r="CA159" s="395">
        <f ca="1">IF(SUM($G159:BZ159)=$B159,0,IF(CC160&gt;0%,$B159,0%))</f>
        <v>0</v>
      </c>
      <c r="CB159" s="395">
        <f ca="1">IF(SUM($G159:CA159)=$B159,0,IF(CD160&gt;0%,$B159,0%))</f>
        <v>0</v>
      </c>
      <c r="CC159" s="395">
        <f ca="1">IF(SUM($G159:CB159)=$B159,0,IF(CE160&gt;0%,$B159,0%))</f>
        <v>0</v>
      </c>
      <c r="CD159" s="395">
        <f ca="1">IF(SUM($G159:CC159)=$B159,0,IF(CF160&gt;0%,$B159,0%))</f>
        <v>0</v>
      </c>
      <c r="CE159" s="395">
        <f ca="1">IF(SUM($G159:CD159)=$B159,0,IF(CG160&gt;0%,$B159,0%))</f>
        <v>0</v>
      </c>
      <c r="CF159" s="395">
        <f ca="1">IF(SUM($G159:CE159)=$B159,0,IF(CH160&gt;0%,$B159,0%))</f>
        <v>0</v>
      </c>
      <c r="CG159" s="395">
        <f ca="1">IF(SUM($G159:CF159)=$B159,0,IF(CI160&gt;0%,$B159,0%))</f>
        <v>0</v>
      </c>
      <c r="CH159" s="395">
        <f ca="1">IF(SUM($G159:CG159)=$B159,0,IF(CJ160&gt;0%,$B159,0%))</f>
        <v>0</v>
      </c>
      <c r="CI159" s="395">
        <f ca="1">IF(SUM($G159:CH159)=$B159,0,IF(CK160&gt;0%,$B159,0%))</f>
        <v>0</v>
      </c>
      <c r="CJ159" s="395">
        <f ca="1">IF(SUM($G159:CI159)=$B159,0,IF(CL160&gt;0%,$B159,0%))</f>
        <v>0</v>
      </c>
      <c r="CK159" s="395">
        <f ca="1">IF(SUM($G159:CJ159)=$B159,0,IF(CM160&gt;0%,$B159,0%))</f>
        <v>0</v>
      </c>
      <c r="CL159" s="395">
        <f ca="1">IF(SUM($G159:CK159)=$B159,0,IF(CN160&gt;0%,$B159,0%))</f>
        <v>0</v>
      </c>
      <c r="CM159" s="395">
        <f ca="1">IF(SUM($G159:CL159)=$B159,0,IF(CO160&gt;0%,$B159,0%))</f>
        <v>0</v>
      </c>
      <c r="CN159" s="395">
        <f ca="1">IF(SUM($G159:CM159)=$B159,0,IF(CP160&gt;0%,$B159,0%))</f>
        <v>0</v>
      </c>
      <c r="CO159" s="395">
        <f ca="1">IF(SUM($G159:CN159)=$B159,0,IF(CQ160&gt;0%,$B159,0%))</f>
        <v>0</v>
      </c>
      <c r="CP159" s="395">
        <f ca="1">IF(SUM($G159:CO159)=$B159,0,IF(CR160&gt;0%,$B159,0%))</f>
        <v>0</v>
      </c>
      <c r="CQ159" s="395">
        <f ca="1">IF(SUM($G159:CP159)=$B159,0,IF(CS160&gt;0%,$B159,0%))</f>
        <v>0</v>
      </c>
      <c r="CR159" s="395">
        <f ca="1">IF(SUM($G159:CQ159)=$B159,0,IF(CT160&gt;0%,$B159,0%))</f>
        <v>0</v>
      </c>
      <c r="CS159" s="395">
        <f ca="1">IF(SUM($G159:CR159)=$B159,0,IF(CU160&gt;0%,$B159,0%))</f>
        <v>0</v>
      </c>
      <c r="CT159" s="395">
        <f ca="1">IF(SUM($G159:CS159)=$B159,0,IF(CV160&gt;0%,$B159,0%))</f>
        <v>0</v>
      </c>
      <c r="CU159" s="395">
        <f ca="1">IF(SUM($G159:CT159)=$B159,0,IF(CW160&gt;0%,$B159,0%))</f>
        <v>0</v>
      </c>
      <c r="CV159" s="395">
        <f ca="1">IF(SUM($G159:CU159)=$B159,0,IF(CX160&gt;0%,$B159,0%))</f>
        <v>0</v>
      </c>
      <c r="CW159" s="395">
        <f ca="1">IF(SUM($G159:CV159)=$B159,0,IF(CY160&gt;0%,$B159,0%))</f>
        <v>0</v>
      </c>
      <c r="CX159" s="395">
        <f ca="1">IF(SUM($G159:CW159)=$B159,0,IF(CZ160&gt;0%,$B159,0%))</f>
        <v>0</v>
      </c>
      <c r="CY159" s="395">
        <f ca="1">IF(SUM($G159:CX159)=$B159,0,IF(DA160&gt;0%,$B159,0%))</f>
        <v>0</v>
      </c>
      <c r="CZ159" s="395">
        <f ca="1">IF(SUM($G159:CY159)=$B159,0,IF(DB160&gt;0%,$B159,0%))</f>
        <v>0</v>
      </c>
      <c r="DA159" s="395">
        <f ca="1">IF(SUM($G159:CZ159)=$B159,0,IF(DC160&gt;0%,$B159,0%))</f>
        <v>0</v>
      </c>
      <c r="DB159" s="395">
        <f ca="1">IF(SUM($G159:DA159)=$B159,0,IF(DD160&gt;0%,$B159,0%))</f>
        <v>0</v>
      </c>
      <c r="DC159" s="395">
        <f ca="1">IF(SUM($G159:DB159)=$B159,0,IF(DE160&gt;0%,$B159,0%))</f>
        <v>0</v>
      </c>
      <c r="DD159" s="395">
        <f ca="1">IF(SUM($G159:DC159)=$B159,0,IF(DF160&gt;0%,$B159,0%))</f>
        <v>0</v>
      </c>
      <c r="DE159" s="395">
        <f ca="1">IF(SUM($G159:DD159)=$B159,0,IF(DG160&gt;0%,$B159,0%))</f>
        <v>0</v>
      </c>
      <c r="DF159" s="395">
        <f ca="1">IF(SUM($G159:DE159)=$B159,0,IF(DH160&gt;0%,$B159,0%))</f>
        <v>0</v>
      </c>
      <c r="DG159" s="395">
        <f ca="1">IF(SUM($G159:DF159)=$B159,0,IF(DI160&gt;0%,$B159,0%))</f>
        <v>0</v>
      </c>
      <c r="DH159" s="395">
        <f ca="1">IF(SUM($G159:DG159)=$B159,0,IF(DJ160&gt;0%,$B159,0%))</f>
        <v>0</v>
      </c>
      <c r="DI159" s="395">
        <f ca="1">IF(SUM($G159:DH159)=$B159,0,IF(DK160&gt;0%,$B159,0%))</f>
        <v>0</v>
      </c>
      <c r="DJ159" s="395">
        <f ca="1">IF(SUM($G159:DI159)=$B159,0,IF(DL160&gt;0%,$B159,0%))</f>
        <v>0</v>
      </c>
      <c r="DK159" s="395">
        <f ca="1">IF(SUM($G159:DJ159)=$B159,0,IF(DM160&gt;0%,$B159,0%))</f>
        <v>0</v>
      </c>
      <c r="DL159" s="395">
        <f ca="1">IF(SUM($G159:DK159)=$B159,0,IF(DN160&gt;0%,$B159,0%))</f>
        <v>0</v>
      </c>
      <c r="DM159" s="395">
        <f ca="1">IF(SUM($G159:DL159)=$B159,0,IF(DO160&gt;0%,$B159,0%))</f>
        <v>0</v>
      </c>
      <c r="DN159" s="395">
        <f ca="1">IF(SUM($G159:DM159)=$B159,0,IF(DP160&gt;0%,$B159,0%))</f>
        <v>0</v>
      </c>
      <c r="DO159" s="395">
        <f ca="1">IF(SUM($G159:DN159)=$B159,0,IF(DQ160&gt;0%,$B159,0%))</f>
        <v>0</v>
      </c>
      <c r="DP159" s="395">
        <f ca="1">IF(SUM($G159:DO159)=$B159,0,IF(DR160&gt;0%,$B159,0%))</f>
        <v>0</v>
      </c>
      <c r="DQ159" s="395">
        <f ca="1">IF(SUM($G159:DP159)=$B159,0,IF(DS160&gt;0%,$B159,0%))</f>
        <v>0</v>
      </c>
      <c r="DR159" s="395">
        <f ca="1">IF(SUM($G159:DQ159)=$B159,0,IF(DT160&gt;0%,$B159,0%))</f>
        <v>0</v>
      </c>
      <c r="DS159" s="395">
        <f ca="1">IF(SUM($G159:DR159)=$B159,0,IF(DU160&gt;0%,$B159,0%))</f>
        <v>0</v>
      </c>
      <c r="DT159" s="395">
        <f ca="1">IF(SUM($G159:DS159)=$B159,0,IF(DV160&gt;0%,$B159,0%))</f>
        <v>0</v>
      </c>
      <c r="DU159" s="395">
        <f ca="1">IF(SUM($G159:DT159)=$B159,0,IF(DW160&gt;0%,$B159,0%))</f>
        <v>0</v>
      </c>
      <c r="DV159" s="395">
        <f ca="1">IF(SUM($G159:DU159)=$B159,0,IF(DX160&gt;0%,$B159,0%))</f>
        <v>0</v>
      </c>
      <c r="DW159" s="395">
        <f ca="1">IF(SUM($G159:DV159)=$B159,0,IF(DY160&gt;0%,$B159,0%))</f>
        <v>0</v>
      </c>
      <c r="DX159" s="395">
        <f ca="1">IF(SUM($G159:DW159)=$B159,0,IF(DZ160&gt;0%,$B159,0%))</f>
        <v>0</v>
      </c>
      <c r="DY159" s="395">
        <f ca="1">IF(SUM($G159:DX159)=$B159,0,IF(EA160&gt;0%,$B159,0%))</f>
        <v>0</v>
      </c>
      <c r="DZ159" s="395">
        <f ca="1">IF(SUM($G159:DY159)=$B159,0,IF(EB160&gt;0%,$B159,0%))</f>
        <v>0</v>
      </c>
      <c r="EA159" s="395">
        <f ca="1">IF(SUM($G159:DZ159)=$B159,0,IF(EC160&gt;0%,$B159,0%))</f>
        <v>0</v>
      </c>
      <c r="EB159" s="395">
        <f ca="1">IF(SUM($G159:EA159)=$B159,0,IF(ED160&gt;0%,$B159,0%))</f>
        <v>0</v>
      </c>
      <c r="EC159" s="395">
        <f ca="1">IF(SUM($G159:EB159)=$B159,0,IF(EE160&gt;0%,$B159,0%))</f>
        <v>0</v>
      </c>
      <c r="ED159" s="395">
        <f ca="1">IF(SUM($G159:EC159)=$B159,0,IF(EF160&gt;0%,$B159,0%))</f>
        <v>0</v>
      </c>
      <c r="EE159" s="395">
        <f ca="1">IF(SUM($G159:ED159)=$B159,0,IF(EG160&gt;0%,$B159,0%))</f>
        <v>0</v>
      </c>
      <c r="EF159" s="395">
        <f ca="1">IF(SUM($G159:EE159)=$B159,0,IF(EH160&gt;0%,$B159,0%))</f>
        <v>0</v>
      </c>
      <c r="EG159" s="395">
        <f ca="1">IF(SUM($G159:EF159)=$B159,0,IF(EI160&gt;0%,$B159,0%))</f>
        <v>0</v>
      </c>
      <c r="EH159" s="395">
        <f ca="1">IF(SUM($G159:EG159)=$B159,0,IF(EJ160&gt;0%,$B159,0%))</f>
        <v>0</v>
      </c>
      <c r="EI159" s="395">
        <f ca="1">IF(SUM($G159:EH159)=$B159,0,IF(EK160&gt;0%,$B159,0%))</f>
        <v>0</v>
      </c>
      <c r="EJ159" s="398"/>
      <c r="EK159" s="313"/>
    </row>
    <row r="160" spans="1:141" hidden="1" outlineLevel="2">
      <c r="A160" s="332"/>
      <c r="B160" s="548">
        <f t="shared" ref="B160:B162" si="379">B145</f>
        <v>0.64999999999999991</v>
      </c>
      <c r="C160" s="317"/>
      <c r="D160" s="317" t="s">
        <v>663</v>
      </c>
      <c r="E160" s="318">
        <f t="shared" ca="1" si="378"/>
        <v>0</v>
      </c>
      <c r="F160" s="397">
        <f t="shared" ca="1" si="374"/>
        <v>0.64999999999999991</v>
      </c>
      <c r="G160" s="395"/>
      <c r="H160" s="395"/>
      <c r="I160" s="395">
        <f ca="1">IF($E$329=0,0,IF(SUM($G160:H160)=$B160,0,IF(SUM($G329:H329)&gt;=$E329,($B160/$E329)*($E329-SUM($G329:G329)),($B160/$E329)*H329)))</f>
        <v>0</v>
      </c>
      <c r="J160" s="395">
        <f ca="1">IF($E$329=0,0,IF(SUM($G160:I160)=$B160,0,IF(SUM($G329:I329)&gt;=$E329,($B160/$E329)*($E329-SUM($G329:H329)),($B160/$E329)*I329)))</f>
        <v>0</v>
      </c>
      <c r="K160" s="395">
        <f ca="1">IF($E$329=0,0,IF(SUM($G160:J160)=$B160,0,IF(SUM($G329:J329)&gt;=$E329,($B160/$E329)*($E329-SUM($G329:I329)),($B160/$E329)*J329)))</f>
        <v>0</v>
      </c>
      <c r="L160" s="395">
        <f ca="1">IF($E$329=0,0,IF(SUM($G160:K160)=$B160,0,IF(SUM($G329:K329)&gt;=$E329,($B160/$E329)*($E329-SUM($G329:J329)),($B160/$E329)*K329)))</f>
        <v>0</v>
      </c>
      <c r="M160" s="395">
        <f ca="1">IF($E$329=0,0,IF(SUM($G160:L160)=$B160,0,IF(SUM($G329:L329)&gt;=$E329,($B160/$E329)*($E329-SUM($G329:K329)),($B160/$E329)*L329)))</f>
        <v>0</v>
      </c>
      <c r="N160" s="395">
        <f ca="1">IF($E$329=0,0,IF(SUM($G160:M160)=$B160,0,IF(SUM($G329:M329)&gt;=$E329,($B160/$E329)*($E329-SUM($G329:L329)),($B160/$E329)*M329)))</f>
        <v>0</v>
      </c>
      <c r="O160" s="395">
        <f ca="1">IF($E$329=0,0,IF(SUM($G160:N160)=$B160,0,IF(SUM($G329:N329)&gt;=$E329,($B160/$E329)*($E329-SUM($G329:M329)),($B160/$E329)*N329)))</f>
        <v>0</v>
      </c>
      <c r="P160" s="395">
        <f ca="1">IF($E$329=0,0,IF(SUM($G160:O160)=$B160,0,IF(SUM($G329:O329)&gt;=$E329,($B160/$E329)*($E329-SUM($G329:N329)),($B160/$E329)*O329)))</f>
        <v>0</v>
      </c>
      <c r="Q160" s="395">
        <f ca="1">IF($E$329=0,0,IF(SUM($G160:P160)=$B160,0,IF(SUM($G329:P329)&gt;=$E329,($B160/$E329)*($E329-SUM($G329:O329)),($B160/$E329)*P329)))</f>
        <v>0</v>
      </c>
      <c r="R160" s="395">
        <f ca="1">IF($E$329=0,0,IF(SUM($G160:Q160)=$B160,0,IF(SUM($G329:Q329)&gt;=$E329,($B160/$E329)*($E329-SUM($G329:P329)),($B160/$E329)*Q329)))</f>
        <v>0</v>
      </c>
      <c r="S160" s="395">
        <f ca="1">IF($E$329=0,0,IF(SUM($G160:R160)=$B160,0,IF(SUM($G329:R329)&gt;=$E329,($B160/$E329)*($E329-SUM($G329:Q329)),($B160/$E329)*R329)))</f>
        <v>0</v>
      </c>
      <c r="T160" s="395">
        <f ca="1">IF($E$329=0,0,IF(SUM($G160:S160)=$B160,0,IF(SUM($G329:S329)&gt;=$E329,($B160/$E329)*($E329-SUM($G329:R329)),($B160/$E329)*S329)))</f>
        <v>0</v>
      </c>
      <c r="U160" s="395">
        <f ca="1">IF($E$329=0,0,IF(SUM($G160:T160)=$B160,0,IF(SUM($G329:T329)&gt;=$E329,($B160/$E329)*($E329-SUM($G329:S329)),($B160/$E329)*T329)))</f>
        <v>0</v>
      </c>
      <c r="V160" s="395">
        <f ca="1">IF($E$329=0,0,IF(SUM($G160:U160)=$B160,0,IF(SUM($G329:U329)&gt;=$E329,($B160/$E329)*($E329-SUM($G329:T329)),($B160/$E329)*U329)))</f>
        <v>0</v>
      </c>
      <c r="W160" s="395">
        <f ca="1">IF($E$329=0,0,IF(SUM($G160:V160)=$B160,0,IF(SUM($G329:V329)&gt;=$E329,($B160/$E329)*($E329-SUM($G329:U329)),($B160/$E329)*V329)))</f>
        <v>0</v>
      </c>
      <c r="X160" s="395">
        <f ca="1">IF($E$329=0,0,IF(SUM($G160:W160)=$B160,0,IF(SUM($G329:W329)&gt;=$E329,($B160/$E329)*($E329-SUM($G329:V329)),($B160/$E329)*W329)))</f>
        <v>0</v>
      </c>
      <c r="Y160" s="395">
        <f ca="1">IF($E$329=0,0,IF(SUM($G160:X160)=$B160,0,IF(SUM($G329:X329)&gt;=$E329,($B160/$E329)*($E329-SUM($G329:W329)),($B160/$E329)*X329)))</f>
        <v>0</v>
      </c>
      <c r="Z160" s="395">
        <f ca="1">IF($E$329=0,0,IF(SUM($G160:Y160)=$B160,0,IF(SUM($G329:Y329)&gt;=$E329,($B160/$E329)*($E329-SUM($G329:X329)),($B160/$E329)*Y329)))</f>
        <v>0</v>
      </c>
      <c r="AA160" s="395">
        <f ca="1">IF($E$329=0,0,IF(SUM($G160:Z160)=$B160,0,IF(SUM($G329:Z329)&gt;=$E329,($B160/$E329)*($E329-SUM($G329:Y329)),($B160/$E329)*Z329)))</f>
        <v>0</v>
      </c>
      <c r="AB160" s="395">
        <f ca="1">IF($E$329=0,0,IF(SUM($G160:AA160)=$B160,0,IF(SUM($G329:AA329)&gt;=$E329,($B160/$E329)*($E329-SUM($G329:Z329)),($B160/$E329)*AA329)))</f>
        <v>0</v>
      </c>
      <c r="AC160" s="395">
        <f ca="1">IF($E$329=0,0,IF(SUM($G160:AB160)=$B160,0,IF(SUM($G329:AB329)&gt;=$E329,($B160/$E329)*($E329-SUM($G329:AA329)),($B160/$E329)*AB329)))</f>
        <v>0</v>
      </c>
      <c r="AD160" s="395">
        <f ca="1">IF($E$329=0,0,IF(SUM($G160:AC160)=$B160,0,IF(SUM($G329:AC329)&gt;=$E329,($B160/$E329)*($E329-SUM($G329:AB329)),($B160/$E329)*AC329)))</f>
        <v>0</v>
      </c>
      <c r="AE160" s="395">
        <f ca="1">IF($E$329=0,0,IF(SUM($G160:AD160)=$B160,0,IF(SUM($G329:AD329)&gt;=$E329,($B160/$E329)*($E329-SUM($G329:AC329)),($B160/$E329)*AD329)))</f>
        <v>0</v>
      </c>
      <c r="AF160" s="395">
        <f ca="1">IF($E$329=0,0,IF(SUM($G160:AE160)=$B160,0,IF(SUM($G329:AE329)&gt;=$E329,($B160/$E329)*($E329-SUM($G329:AD329)),($B160/$E329)*AE329)))</f>
        <v>0</v>
      </c>
      <c r="AG160" s="395">
        <f ca="1">IF($E$329=0,0,IF(SUM($G160:AF160)=$B160,0,IF(SUM($G329:AF329)&gt;=$E329,($B160/$E329)*($E329-SUM($G329:AE329)),($B160/$E329)*AF329)))</f>
        <v>0</v>
      </c>
      <c r="AH160" s="395">
        <f ca="1">IF($E$329=0,0,IF(SUM($G160:AG160)=$B160,0,IF(SUM($G329:AG329)&gt;=$E329,($B160/$E329)*($E329-SUM($G329:AF329)),($B160/$E329)*AG329)))</f>
        <v>0</v>
      </c>
      <c r="AI160" s="395">
        <f ca="1">IF($E$329=0,0,IF(SUM($G160:AH160)=$B160,0,IF(SUM($G329:AH329)&gt;=$E329,($B160/$E329)*($E329-SUM($G329:AG329)),($B160/$E329)*AH329)))</f>
        <v>0</v>
      </c>
      <c r="AJ160" s="395">
        <f ca="1">IF($E$329=0,0,IF(SUM($G160:AI160)=$B160,0,IF(SUM($G329:AI329)&gt;=$E329,($B160/$E329)*($E329-SUM($G329:AH329)),($B160/$E329)*AI329)))</f>
        <v>0</v>
      </c>
      <c r="AK160" s="395">
        <f ca="1">IF($E$329=0,0,IF(SUM($G160:AJ160)=$B160,0,IF(SUM($G329:AJ329)&gt;=$E329,($B160/$E329)*($E329-SUM($G329:AI329)),($B160/$E329)*AJ329)))</f>
        <v>0</v>
      </c>
      <c r="AL160" s="395">
        <f ca="1">IF($E$329=0,0,IF(SUM($G160:AK160)=$B160,0,IF(SUM($G329:AK329)&gt;=$E329,($B160/$E329)*($E329-SUM($G329:AJ329)),($B160/$E329)*AK329)))</f>
        <v>0</v>
      </c>
      <c r="AM160" s="395">
        <f ca="1">IF($E$329=0,0,IF(SUM($G160:AL160)=$B160,0,IF(SUM($G329:AL329)&gt;=$E329,($B160/$E329)*($E329-SUM($G329:AK329)),($B160/$E329)*AL329)))</f>
        <v>0</v>
      </c>
      <c r="AN160" s="395">
        <f ca="1">IF($E$329=0,0,IF(SUM($G160:AM160)=$B160,0,IF(SUM($G329:AM329)&gt;=$E329,($B160/$E329)*($E329-SUM($G329:AL329)),($B160/$E329)*AM329)))</f>
        <v>0</v>
      </c>
      <c r="AO160" s="395">
        <f ca="1">IF($E$329=0,0,IF(SUM($G160:AN160)=$B160,0,IF(SUM($G329:AN329)&gt;=$E329,($B160/$E329)*($E329-SUM($G329:AM329)),($B160/$E329)*AN329)))</f>
        <v>0</v>
      </c>
      <c r="AP160" s="395">
        <f ca="1">IF($E$329=0,0,IF(SUM($G160:AO160)=$B160,0,IF(SUM($G329:AO329)&gt;=$E329,($B160/$E329)*($E329-SUM($G329:AN329)),($B160/$E329)*AO329)))</f>
        <v>0</v>
      </c>
      <c r="AQ160" s="395">
        <f ca="1">IF($E$329=0,0,IF(SUM($G160:AP160)=$B160,0,IF(SUM($G329:AP329)&gt;=$E329,($B160/$E329)*($E329-SUM($G329:AO329)),($B160/$E329)*AP329)))</f>
        <v>0</v>
      </c>
      <c r="AR160" s="395">
        <f ca="1">IF($E$329=0,0,IF(SUM($G160:AQ160)=$B160,0,IF(SUM($G329:AQ329)&gt;=$E329,($B160/$E329)*($E329-SUM($G329:AP329)),($B160/$E329)*AQ329)))</f>
        <v>0</v>
      </c>
      <c r="AS160" s="395">
        <f ca="1">IF($E$329=0,0,IF(SUM($G160:AR160)=$B160,0,IF(SUM($G329:AR329)&gt;=$E329,($B160/$E329)*($E329-SUM($G329:AQ329)),($B160/$E329)*AR329)))</f>
        <v>0</v>
      </c>
      <c r="AT160" s="395">
        <f ca="1">IF($E$329=0,0,IF(SUM($G160:AS160)=$B160,0,IF(SUM($G329:AS329)&gt;=$E329,($B160/$E329)*($E329-SUM($G329:AR329)),($B160/$E329)*AS329)))</f>
        <v>0</v>
      </c>
      <c r="AU160" s="395">
        <f ca="1">IF($E$329=0,0,IF(SUM($G160:AT160)=$B160,0,IF(SUM($G329:AT329)&gt;=$E329,($B160/$E329)*($E329-SUM($G329:AS329)),($B160/$E329)*AT329)))</f>
        <v>0</v>
      </c>
      <c r="AV160" s="395">
        <f ca="1">IF($E$329=0,0,IF(SUM($G160:AU160)=$B160,0,IF(SUM($G329:AU329)&gt;=$E329,($B160/$E329)*($E329-SUM($G329:AT329)),($B160/$E329)*AU329)))</f>
        <v>0</v>
      </c>
      <c r="AW160" s="395">
        <f ca="1">IF($E$329=0,0,IF(SUM($G160:AV160)=$B160,0,IF(SUM($G329:AV329)&gt;=$E329,($B160/$E329)*($E329-SUM($G329:AU329)),($B160/$E329)*AV329)))</f>
        <v>0</v>
      </c>
      <c r="AX160" s="395">
        <f ca="1">IF($E$329=0,0,IF(SUM($G160:AW160)=$B160,0,IF(SUM($G329:AW329)&gt;=$E329,($B160/$E329)*($E329-SUM($G329:AV329)),($B160/$E329)*AW329)))</f>
        <v>1.1681494661921733E-2</v>
      </c>
      <c r="AY160" s="395">
        <f ca="1">IF($E$329=0,0,IF(SUM($G160:AX160)=$B160,0,IF(SUM($G329:AX329)&gt;=$E329,($B160/$E329)*($E329-SUM($G329:AW329)),($B160/$E329)*AX329)))</f>
        <v>7.170818505338078E-2</v>
      </c>
      <c r="AZ160" s="395">
        <f ca="1">IF($E$329=0,0,IF(SUM($G160:AY160)=$B160,0,IF(SUM($G329:AY329)&gt;=$E329,($B160/$E329)*($E329-SUM($G329:AX329)),($B160/$E329)*AY329)))</f>
        <v>6.9395017793594305E-2</v>
      </c>
      <c r="BA160" s="395">
        <f ca="1">IF($E$329=0,0,IF(SUM($G160:AZ160)=$B160,0,IF(SUM($G329:AZ329)&gt;=$E329,($B160/$E329)*($E329-SUM($G329:AY329)),($B160/$E329)*AZ329)))</f>
        <v>7.170818505338078E-2</v>
      </c>
      <c r="BB160" s="395">
        <f ca="1">IF($E$329=0,0,IF(SUM($G160:BA160)=$B160,0,IF(SUM($G329:BA329)&gt;=$E329,($B160/$E329)*($E329-SUM($G329:AZ329)),($B160/$E329)*BA329)))</f>
        <v>7.170818505338078E-2</v>
      </c>
      <c r="BC160" s="395">
        <f ca="1">IF($E$329=0,0,IF(SUM($G160:BB160)=$B160,0,IF(SUM($G329:BB329)&gt;=$E329,($B160/$E329)*($E329-SUM($G329:BA329)),($B160/$E329)*BB329)))</f>
        <v>6.4768683274021355E-2</v>
      </c>
      <c r="BD160" s="395">
        <f ca="1">IF($E$329=0,0,IF(SUM($G160:BC160)=$B160,0,IF(SUM($G329:BC329)&gt;=$E329,($B160/$E329)*($E329-SUM($G329:BB329)),($B160/$E329)*BC329)))</f>
        <v>7.170818505338078E-2</v>
      </c>
      <c r="BE160" s="395">
        <f ca="1">IF($E$329=0,0,IF(SUM($G160:BD160)=$B160,0,IF(SUM($G329:BD329)&gt;=$E329,($B160/$E329)*($E329-SUM($G329:BC329)),($B160/$E329)*BD329)))</f>
        <v>6.9395017793594305E-2</v>
      </c>
      <c r="BF160" s="395">
        <f ca="1">IF($E$329=0,0,IF(SUM($G160:BE160)=$B160,0,IF(SUM($G329:BE329)&gt;=$E329,($B160/$E329)*($E329-SUM($G329:BD329)),($B160/$E329)*BE329)))</f>
        <v>7.170818505338078E-2</v>
      </c>
      <c r="BG160" s="395">
        <f ca="1">IF($E$329=0,0,IF(SUM($G160:BF160)=$B160,0,IF(SUM($G329:BF329)&gt;=$E329,($B160/$E329)*($E329-SUM($G329:BE329)),($B160/$E329)*BF329)))</f>
        <v>6.9395017793594305E-2</v>
      </c>
      <c r="BH160" s="395">
        <f ca="1">IF($E$329=0,0,IF(SUM($G160:BG160)=$B160,0,IF(SUM($G329:BG329)&gt;=$E329,($B160/$E329)*($E329-SUM($G329:BF329)),($B160/$E329)*BG329)))</f>
        <v>6.8238434163700804E-3</v>
      </c>
      <c r="BI160" s="395">
        <f ca="1">IF($E$329=0,0,IF(SUM($G160:BH160)=$B160,0,IF(SUM($G329:BH329)&gt;=$E329,($B160/$E329)*($E329-SUM($G329:BG329)),($B160/$E329)*BH329)))</f>
        <v>0</v>
      </c>
      <c r="BJ160" s="395">
        <f ca="1">IF($E$329=0,0,IF(SUM($G160:BI160)=$B160,0,IF(SUM($G329:BI329)&gt;=$E329,($B160/$E329)*($E329-SUM($G329:BH329)),($B160/$E329)*BI329)))</f>
        <v>0</v>
      </c>
      <c r="BK160" s="395">
        <f ca="1">IF($E$329=0,0,IF(SUM($G160:BJ160)=$B160,0,IF(SUM($G329:BJ329)&gt;=$E329,($B160/$E329)*($E329-SUM($G329:BI329)),($B160/$E329)*BJ329)))</f>
        <v>0</v>
      </c>
      <c r="BL160" s="395">
        <f ca="1">IF($E$329=0,0,IF(SUM($G160:BK160)=$B160,0,IF(SUM($G329:BK329)&gt;=$E329,($B160/$E329)*($E329-SUM($G329:BJ329)),($B160/$E329)*BK329)))</f>
        <v>0</v>
      </c>
      <c r="BM160" s="395">
        <f ca="1">IF($E$329=0,0,IF(SUM($G160:BL160)=$B160,0,IF(SUM($G329:BL329)&gt;=$E329,($B160/$E329)*($E329-SUM($G329:BK329)),($B160/$E329)*BL329)))</f>
        <v>0</v>
      </c>
      <c r="BN160" s="395">
        <f ca="1">IF($E$329=0,0,IF(SUM($G160:BM160)=$B160,0,IF(SUM($G329:BM329)&gt;=$E329,($B160/$E329)*($E329-SUM($G329:BL329)),($B160/$E329)*BM329)))</f>
        <v>0</v>
      </c>
      <c r="BO160" s="395">
        <f ca="1">IF($E$329=0,0,IF(SUM($G160:BN160)=$B160,0,IF(SUM($G329:BN329)&gt;=$E329,($B160/$E329)*($E329-SUM($G329:BM329)),($B160/$E329)*BN329)))</f>
        <v>0</v>
      </c>
      <c r="BP160" s="395">
        <f ca="1">IF($E$329=0,0,IF(SUM($G160:BO160)=$B160,0,IF(SUM($G329:BO329)&gt;=$E329,($B160/$E329)*($E329-SUM($G329:BN329)),($B160/$E329)*BO329)))</f>
        <v>0</v>
      </c>
      <c r="BQ160" s="395">
        <f ca="1">IF($E$329=0,0,IF(SUM($G160:BP160)=$B160,0,IF(SUM($G329:BP329)&gt;=$E329,($B160/$E329)*($E329-SUM($G329:BO329)),($B160/$E329)*BP329)))</f>
        <v>0</v>
      </c>
      <c r="BR160" s="395">
        <f ca="1">IF($E$329=0,0,IF(SUM($G160:BQ160)=$B160,0,IF(SUM($G329:BQ329)&gt;=$E329,($B160/$E329)*($E329-SUM($G329:BP329)),($B160/$E329)*BQ329)))</f>
        <v>0</v>
      </c>
      <c r="BS160" s="395">
        <f ca="1">IF($E$329=0,0,IF(SUM($G160:BR160)=$B160,0,IF(SUM($G329:BR329)&gt;=$E329,($B160/$E329)*($E329-SUM($G329:BQ329)),($B160/$E329)*BR329)))</f>
        <v>0</v>
      </c>
      <c r="BT160" s="395">
        <f ca="1">IF($E$329=0,0,IF(SUM($G160:BS160)=$B160,0,IF(SUM($G329:BS329)&gt;=$E329,($B160/$E329)*($E329-SUM($G329:BR329)),($B160/$E329)*BS329)))</f>
        <v>0</v>
      </c>
      <c r="BU160" s="395">
        <f ca="1">IF($E$329=0,0,IF(SUM($G160:BT160)=$B160,0,IF(SUM($G329:BT329)&gt;=$E329,($B160/$E329)*($E329-SUM($G329:BS329)),($B160/$E329)*BT329)))</f>
        <v>0</v>
      </c>
      <c r="BV160" s="395">
        <f ca="1">IF($E$329=0,0,IF(SUM($G160:BU160)=$B160,0,IF(SUM($G329:BU329)&gt;=$E329,($B160/$E329)*($E329-SUM($G329:BT329)),($B160/$E329)*BU329)))</f>
        <v>0</v>
      </c>
      <c r="BW160" s="395">
        <f ca="1">IF($E$329=0,0,IF(SUM($G160:BV160)=$B160,0,IF(SUM($G329:BV329)&gt;=$E329,($B160/$E329)*($E329-SUM($G329:BU329)),($B160/$E329)*BV329)))</f>
        <v>0</v>
      </c>
      <c r="BX160" s="395">
        <f ca="1">IF($E$329=0,0,IF(SUM($G160:BW160)=$B160,0,IF(SUM($G329:BW329)&gt;=$E329,($B160/$E329)*($E329-SUM($G329:BV329)),($B160/$E329)*BW329)))</f>
        <v>0</v>
      </c>
      <c r="BY160" s="395">
        <f ca="1">IF($E$329=0,0,IF(SUM($G160:BX160)=$B160,0,IF(SUM($G329:BX329)&gt;=$E329,($B160/$E329)*($E329-SUM($G329:BW329)),($B160/$E329)*BX329)))</f>
        <v>0</v>
      </c>
      <c r="BZ160" s="395">
        <f ca="1">IF($E$329=0,0,IF(SUM($G160:BY160)=$B160,0,IF(SUM($G329:BY329)&gt;=$E329,($B160/$E329)*($E329-SUM($G329:BX329)),($B160/$E329)*BY329)))</f>
        <v>0</v>
      </c>
      <c r="CA160" s="395">
        <f ca="1">IF($E$329=0,0,IF(SUM($G160:BZ160)=$B160,0,IF(SUM($G329:BZ329)&gt;=$E329,($B160/$E329)*($E329-SUM($G329:BY329)),($B160/$E329)*BZ329)))</f>
        <v>0</v>
      </c>
      <c r="CB160" s="395">
        <f ca="1">IF($E$329=0,0,IF(SUM($G160:CA160)=$B160,0,IF(SUM($G329:CA329)&gt;=$E329,($B160/$E329)*($E329-SUM($G329:BZ329)),($B160/$E329)*CA329)))</f>
        <v>0</v>
      </c>
      <c r="CC160" s="395">
        <f ca="1">IF($E$329=0,0,IF(SUM($G160:CB160)=$B160,0,IF(SUM($G329:CB329)&gt;=$E329,($B160/$E329)*($E329-SUM($G329:CA329)),($B160/$E329)*CB329)))</f>
        <v>0</v>
      </c>
      <c r="CD160" s="395">
        <f ca="1">IF($E$329=0,0,IF(SUM($G160:CC160)=$B160,0,IF(SUM($G329:CC329)&gt;=$E329,($B160/$E329)*($E329-SUM($G329:CB329)),($B160/$E329)*CC329)))</f>
        <v>0</v>
      </c>
      <c r="CE160" s="395">
        <f ca="1">IF($E$329=0,0,IF(SUM($G160:CD160)=$B160,0,IF(SUM($G329:CD329)&gt;=$E329,($B160/$E329)*($E329-SUM($G329:CC329)),($B160/$E329)*CD329)))</f>
        <v>0</v>
      </c>
      <c r="CF160" s="395">
        <f ca="1">IF($E$329=0,0,IF(SUM($G160:CE160)=$B160,0,IF(SUM($G329:CE329)&gt;=$E329,($B160/$E329)*($E329-SUM($G329:CD329)),($B160/$E329)*CE329)))</f>
        <v>0</v>
      </c>
      <c r="CG160" s="395">
        <f ca="1">IF($E$329=0,0,IF(SUM($G160:CF160)=$B160,0,IF(SUM($G329:CF329)&gt;=$E329,($B160/$E329)*($E329-SUM($G329:CE329)),($B160/$E329)*CF329)))</f>
        <v>0</v>
      </c>
      <c r="CH160" s="395">
        <f ca="1">IF($E$329=0,0,IF(SUM($G160:CG160)=$B160,0,IF(SUM($G329:CG329)&gt;=$E329,($B160/$E329)*($E329-SUM($G329:CF329)),($B160/$E329)*CG329)))</f>
        <v>0</v>
      </c>
      <c r="CI160" s="395">
        <f ca="1">IF($E$329=0,0,IF(SUM($G160:CH160)=$B160,0,IF(SUM($G329:CH329)&gt;=$E329,($B160/$E329)*($E329-SUM($G329:CG329)),($B160/$E329)*CH329)))</f>
        <v>0</v>
      </c>
      <c r="CJ160" s="395">
        <f ca="1">IF($E$329=0,0,IF(SUM($G160:CI160)=$B160,0,IF(SUM($G329:CI329)&gt;=$E329,($B160/$E329)*($E329-SUM($G329:CH329)),($B160/$E329)*CI329)))</f>
        <v>0</v>
      </c>
      <c r="CK160" s="395">
        <f ca="1">IF($E$329=0,0,IF(SUM($G160:CJ160)=$B160,0,IF(SUM($G329:CJ329)&gt;=$E329,($B160/$E329)*($E329-SUM($G329:CI329)),($B160/$E329)*CJ329)))</f>
        <v>0</v>
      </c>
      <c r="CL160" s="395">
        <f ca="1">IF($E$329=0,0,IF(SUM($G160:CK160)=$B160,0,IF(SUM($G329:CK329)&gt;=$E329,($B160/$E329)*($E329-SUM($G329:CJ329)),($B160/$E329)*CK329)))</f>
        <v>0</v>
      </c>
      <c r="CM160" s="395">
        <f ca="1">IF($E$329=0,0,IF(SUM($G160:CL160)=$B160,0,IF(SUM($G329:CL329)&gt;=$E329,($B160/$E329)*($E329-SUM($G329:CK329)),($B160/$E329)*CL329)))</f>
        <v>0</v>
      </c>
      <c r="CN160" s="395">
        <f ca="1">IF($E$329=0,0,IF(SUM($G160:CM160)=$B160,0,IF(SUM($G329:CM329)&gt;=$E329,($B160/$E329)*($E329-SUM($G329:CL329)),($B160/$E329)*CM329)))</f>
        <v>0</v>
      </c>
      <c r="CO160" s="395">
        <f ca="1">IF($E$329=0,0,IF(SUM($G160:CN160)=$B160,0,IF(SUM($G329:CN329)&gt;=$E329,($B160/$E329)*($E329-SUM($G329:CM329)),($B160/$E329)*CN329)))</f>
        <v>0</v>
      </c>
      <c r="CP160" s="395">
        <f ca="1">IF($E$329=0,0,IF(SUM($G160:CO160)=$B160,0,IF(SUM($G329:CO329)&gt;=$E329,($B160/$E329)*($E329-SUM($G329:CN329)),($B160/$E329)*CO329)))</f>
        <v>0</v>
      </c>
      <c r="CQ160" s="395">
        <f ca="1">IF($E$329=0,0,IF(SUM($G160:CP160)=$B160,0,IF(SUM($G329:CP329)&gt;=$E329,($B160/$E329)*($E329-SUM($G329:CO329)),($B160/$E329)*CP329)))</f>
        <v>0</v>
      </c>
      <c r="CR160" s="395">
        <f ca="1">IF($E$329=0,0,IF(SUM($G160:CQ160)=$B160,0,IF(SUM($G329:CQ329)&gt;=$E329,($B160/$E329)*($E329-SUM($G329:CP329)),($B160/$E329)*CQ329)))</f>
        <v>0</v>
      </c>
      <c r="CS160" s="395">
        <f ca="1">IF($E$329=0,0,IF(SUM($G160:CR160)=$B160,0,IF(SUM($G329:CR329)&gt;=$E329,($B160/$E329)*($E329-SUM($G329:CQ329)),($B160/$E329)*CR329)))</f>
        <v>0</v>
      </c>
      <c r="CT160" s="395">
        <f ca="1">IF($E$329=0,0,IF(SUM($G160:CS160)=$B160,0,IF(SUM($G329:CS329)&gt;=$E329,($B160/$E329)*($E329-SUM($G329:CR329)),($B160/$E329)*CS329)))</f>
        <v>0</v>
      </c>
      <c r="CU160" s="395">
        <f ca="1">IF($E$329=0,0,IF(SUM($G160:CT160)=$B160,0,IF(SUM($G329:CT329)&gt;=$E329,($B160/$E329)*($E329-SUM($G329:CS329)),($B160/$E329)*CT329)))</f>
        <v>0</v>
      </c>
      <c r="CV160" s="395">
        <f ca="1">IF($E$329=0,0,IF(SUM($G160:CU160)=$B160,0,IF(SUM($G329:CU329)&gt;=$E329,($B160/$E329)*($E329-SUM($G329:CT329)),($B160/$E329)*CU329)))</f>
        <v>0</v>
      </c>
      <c r="CW160" s="395">
        <f ca="1">IF($E$329=0,0,IF(SUM($G160:CV160)=$B160,0,IF(SUM($G329:CV329)&gt;=$E329,($B160/$E329)*($E329-SUM($G329:CU329)),($B160/$E329)*CV329)))</f>
        <v>0</v>
      </c>
      <c r="CX160" s="395">
        <f ca="1">IF($E$329=0,0,IF(SUM($G160:CW160)=$B160,0,IF(SUM($G329:CW329)&gt;=$E329,($B160/$E329)*($E329-SUM($G329:CV329)),($B160/$E329)*CW329)))</f>
        <v>0</v>
      </c>
      <c r="CY160" s="395">
        <f ca="1">IF($E$329=0,0,IF(SUM($G160:CX160)=$B160,0,IF(SUM($G329:CX329)&gt;=$E329,($B160/$E329)*($E329-SUM($G329:CW329)),($B160/$E329)*CX329)))</f>
        <v>0</v>
      </c>
      <c r="CZ160" s="395">
        <f ca="1">IF($E$329=0,0,IF(SUM($G160:CY160)=$B160,0,IF(SUM($G329:CY329)&gt;=$E329,($B160/$E329)*($E329-SUM($G329:CX329)),($B160/$E329)*CY329)))</f>
        <v>0</v>
      </c>
      <c r="DA160" s="395">
        <f ca="1">IF($E$329=0,0,IF(SUM($G160:CZ160)=$B160,0,IF(SUM($G329:CZ329)&gt;=$E329,($B160/$E329)*($E329-SUM($G329:CY329)),($B160/$E329)*CZ329)))</f>
        <v>0</v>
      </c>
      <c r="DB160" s="395">
        <f ca="1">IF($E$329=0,0,IF(SUM($G160:DA160)=$B160,0,IF(SUM($G329:DA329)&gt;=$E329,($B160/$E329)*($E329-SUM($G329:CZ329)),($B160/$E329)*DA329)))</f>
        <v>0</v>
      </c>
      <c r="DC160" s="395">
        <f ca="1">IF($E$329=0,0,IF(SUM($G160:DB160)=$B160,0,IF(SUM($G329:DB329)&gt;=$E329,($B160/$E329)*($E329-SUM($G329:DA329)),($B160/$E329)*DB329)))</f>
        <v>0</v>
      </c>
      <c r="DD160" s="395">
        <f ca="1">IF($E$329=0,0,IF(SUM($G160:DC160)=$B160,0,IF(SUM($G329:DC329)&gt;=$E329,($B160/$E329)*($E329-SUM($G329:DB329)),($B160/$E329)*DC329)))</f>
        <v>0</v>
      </c>
      <c r="DE160" s="395">
        <f ca="1">IF($E$329=0,0,IF(SUM($G160:DD160)=$B160,0,IF(SUM($G329:DD329)&gt;=$E329,($B160/$E329)*($E329-SUM($G329:DC329)),($B160/$E329)*DD329)))</f>
        <v>0</v>
      </c>
      <c r="DF160" s="395">
        <f ca="1">IF($E$329=0,0,IF(SUM($G160:DE160)=$B160,0,IF(SUM($G329:DE329)&gt;=$E329,($B160/$E329)*($E329-SUM($G329:DD329)),($B160/$E329)*DE329)))</f>
        <v>0</v>
      </c>
      <c r="DG160" s="395">
        <f ca="1">IF($E$329=0,0,IF(SUM($G160:DF160)=$B160,0,IF(SUM($G329:DF329)&gt;=$E329,($B160/$E329)*($E329-SUM($G329:DE329)),($B160/$E329)*DF329)))</f>
        <v>0</v>
      </c>
      <c r="DH160" s="395">
        <f ca="1">IF($E$329=0,0,IF(SUM($G160:DG160)=$B160,0,IF(SUM($G329:DG329)&gt;=$E329,($B160/$E329)*($E329-SUM($G329:DF329)),($B160/$E329)*DG329)))</f>
        <v>0</v>
      </c>
      <c r="DI160" s="395">
        <f ca="1">IF($E$329=0,0,IF(SUM($G160:DH160)=$B160,0,IF(SUM($G329:DH329)&gt;=$E329,($B160/$E329)*($E329-SUM($G329:DG329)),($B160/$E329)*DH329)))</f>
        <v>0</v>
      </c>
      <c r="DJ160" s="395">
        <f ca="1">IF($E$329=0,0,IF(SUM($G160:DI160)=$B160,0,IF(SUM($G329:DI329)&gt;=$E329,($B160/$E329)*($E329-SUM($G329:DH329)),($B160/$E329)*DI329)))</f>
        <v>0</v>
      </c>
      <c r="DK160" s="395">
        <f ca="1">IF($E$329=0,0,IF(SUM($G160:DJ160)=$B160,0,IF(SUM($G329:DJ329)&gt;=$E329,($B160/$E329)*($E329-SUM($G329:DI329)),($B160/$E329)*DJ329)))</f>
        <v>0</v>
      </c>
      <c r="DL160" s="395">
        <f ca="1">IF($E$329=0,0,IF(SUM($G160:DK160)=$B160,0,IF(SUM($G329:DK329)&gt;=$E329,($B160/$E329)*($E329-SUM($G329:DJ329)),($B160/$E329)*DK329)))</f>
        <v>0</v>
      </c>
      <c r="DM160" s="395">
        <f ca="1">IF($E$329=0,0,IF(SUM($G160:DL160)=$B160,0,IF(SUM($G329:DL329)&gt;=$E329,($B160/$E329)*($E329-SUM($G329:DK329)),($B160/$E329)*DL329)))</f>
        <v>0</v>
      </c>
      <c r="DN160" s="395">
        <f ca="1">IF($E$329=0,0,IF(SUM($G160:DM160)=$B160,0,IF(SUM($G329:DM329)&gt;=$E329,($B160/$E329)*($E329-SUM($G329:DL329)),($B160/$E329)*DM329)))</f>
        <v>0</v>
      </c>
      <c r="DO160" s="395">
        <f ca="1">IF($E$329=0,0,IF(SUM($G160:DN160)=$B160,0,IF(SUM($G329:DN329)&gt;=$E329,($B160/$E329)*($E329-SUM($G329:DM329)),($B160/$E329)*DN329)))</f>
        <v>0</v>
      </c>
      <c r="DP160" s="395">
        <f ca="1">IF($E$329=0,0,IF(SUM($G160:DO160)=$B160,0,IF(SUM($G329:DO329)&gt;=$E329,($B160/$E329)*($E329-SUM($G329:DN329)),($B160/$E329)*DO329)))</f>
        <v>0</v>
      </c>
      <c r="DQ160" s="395">
        <f ca="1">IF($E$329=0,0,IF(SUM($G160:DP160)=$B160,0,IF(SUM($G329:DP329)&gt;=$E329,($B160/$E329)*($E329-SUM($G329:DO329)),($B160/$E329)*DP329)))</f>
        <v>0</v>
      </c>
      <c r="DR160" s="395">
        <f ca="1">IF($E$329=0,0,IF(SUM($G160:DQ160)=$B160,0,IF(SUM($G329:DQ329)&gt;=$E329,($B160/$E329)*($E329-SUM($G329:DP329)),($B160/$E329)*DQ329)))</f>
        <v>0</v>
      </c>
      <c r="DS160" s="395">
        <f ca="1">IF($E$329=0,0,IF(SUM($G160:DR160)=$B160,0,IF(SUM($G329:DR329)&gt;=$E329,($B160/$E329)*($E329-SUM($G329:DQ329)),($B160/$E329)*DR329)))</f>
        <v>0</v>
      </c>
      <c r="DT160" s="395">
        <f ca="1">IF($E$329=0,0,IF(SUM($G160:DS160)=$B160,0,IF(SUM($G329:DS329)&gt;=$E329,($B160/$E329)*($E329-SUM($G329:DR329)),($B160/$E329)*DS329)))</f>
        <v>0</v>
      </c>
      <c r="DU160" s="395">
        <f ca="1">IF($E$329=0,0,IF(SUM($G160:DT160)=$B160,0,IF(SUM($G329:DT329)&gt;=$E329,($B160/$E329)*($E329-SUM($G329:DS329)),($B160/$E329)*DT329)))</f>
        <v>0</v>
      </c>
      <c r="DV160" s="395">
        <f ca="1">IF($E$329=0,0,IF(SUM($G160:DU160)=$B160,0,IF(SUM($G329:DU329)&gt;=$E329,($B160/$E329)*($E329-SUM($G329:DT329)),($B160/$E329)*DU329)))</f>
        <v>0</v>
      </c>
      <c r="DW160" s="395">
        <f ca="1">IF($E$329=0,0,IF(SUM($G160:DV160)=$B160,0,IF(SUM($G329:DV329)&gt;=$E329,($B160/$E329)*($E329-SUM($G329:DU329)),($B160/$E329)*DV329)))</f>
        <v>0</v>
      </c>
      <c r="DX160" s="395">
        <f ca="1">IF($E$329=0,0,IF(SUM($G160:DW160)=$B160,0,IF(SUM($G329:DW329)&gt;=$E329,($B160/$E329)*($E329-SUM($G329:DV329)),($B160/$E329)*DW329)))</f>
        <v>0</v>
      </c>
      <c r="DY160" s="395">
        <f ca="1">IF($E$329=0,0,IF(SUM($G160:DX160)=$B160,0,IF(SUM($G329:DX329)&gt;=$E329,($B160/$E329)*($E329-SUM($G329:DW329)),($B160/$E329)*DX329)))</f>
        <v>0</v>
      </c>
      <c r="DZ160" s="395">
        <f ca="1">IF($E$329=0,0,IF(SUM($G160:DY160)=$B160,0,IF(SUM($G329:DY329)&gt;=$E329,($B160/$E329)*($E329-SUM($G329:DX329)),($B160/$E329)*DY329)))</f>
        <v>0</v>
      </c>
      <c r="EA160" s="395">
        <f ca="1">IF($E$329=0,0,IF(SUM($G160:DZ160)=$B160,0,IF(SUM($G329:DZ329)&gt;=$E329,($B160/$E329)*($E329-SUM($G329:DY329)),($B160/$E329)*DZ329)))</f>
        <v>0</v>
      </c>
      <c r="EB160" s="395">
        <f ca="1">IF($E$329=0,0,IF(SUM($G160:EA160)=$B160,0,IF(SUM($G329:EA329)&gt;=$E329,($B160/$E329)*($E329-SUM($G329:DZ329)),($B160/$E329)*EA329)))</f>
        <v>0</v>
      </c>
      <c r="EC160" s="395">
        <f ca="1">IF($E$329=0,0,IF(SUM($G160:EB160)=$B160,0,IF(SUM($G329:EB329)&gt;=$E329,($B160/$E329)*($E329-SUM($G329:EA329)),($B160/$E329)*EB329)))</f>
        <v>0</v>
      </c>
      <c r="ED160" s="395">
        <f ca="1">IF($E$329=0,0,IF(SUM($G160:EC160)=$B160,0,IF(SUM($G329:EC329)&gt;=$E329,($B160/$E329)*($E329-SUM($G329:EB329)),($B160/$E329)*EC329)))</f>
        <v>0</v>
      </c>
      <c r="EE160" s="395">
        <f ca="1">IF($E$329=0,0,IF(SUM($G160:ED160)=$B160,0,IF(SUM($G329:ED329)&gt;=$E329,($B160/$E329)*($E329-SUM($G329:EC329)),($B160/$E329)*ED329)))</f>
        <v>0</v>
      </c>
      <c r="EF160" s="395">
        <f ca="1">IF($E$329=0,0,IF(SUM($G160:EE160)=$B160,0,IF(SUM($G329:EE329)&gt;=$E329,($B160/$E329)*($E329-SUM($G329:ED329)),($B160/$E329)*EE329)))</f>
        <v>0</v>
      </c>
      <c r="EG160" s="395">
        <f ca="1">IF($E$329=0,0,IF(SUM($G160:EF160)=$B160,0,IF(SUM($G329:EF329)&gt;=$E329,($B160/$E329)*($E329-SUM($G329:EE329)),($B160/$E329)*EF329)))</f>
        <v>0</v>
      </c>
      <c r="EH160" s="395">
        <f ca="1">IF($E$329=0,0,IF(SUM($G160:EG160)=$B160,0,IF(SUM($G329:EG329)&gt;=$E329,($B160/$E329)*($E329-SUM($G329:EF329)),($B160/$E329)*EG329)))</f>
        <v>0</v>
      </c>
      <c r="EI160" s="395">
        <f ca="1">IF($E$329=0,0,IF(SUM($G160:EH160)=$B160,0,IF(SUM($G329:EH329)&gt;=$E329,($B160/$E329)*($E329-SUM($G329:EG329)),($B160/$E329)*EH329)))</f>
        <v>0</v>
      </c>
      <c r="EJ160" s="398"/>
      <c r="EK160" s="313"/>
    </row>
    <row r="161" spans="1:141" hidden="1" outlineLevel="2">
      <c r="A161" s="332"/>
      <c r="B161" s="548">
        <f t="shared" si="379"/>
        <v>2.5000000000000001E-2</v>
      </c>
      <c r="C161" s="317"/>
      <c r="D161" s="317" t="s">
        <v>638</v>
      </c>
      <c r="E161" s="318">
        <f t="shared" ca="1" si="378"/>
        <v>0</v>
      </c>
      <c r="F161" s="397">
        <f ca="1">SUM(G161:EJ161)</f>
        <v>2.5000000000000001E-2</v>
      </c>
      <c r="G161" s="395"/>
      <c r="H161" s="395">
        <f ca="1">IF($E$329=0,0,IF(SUM($G161:G161)=$B161,0,IF(SUM(H160:$EJ160)=0%,$B161,0%)))</f>
        <v>0</v>
      </c>
      <c r="I161" s="395">
        <f ca="1">IF($E$329=0,0,IF(SUM($G161:H161)=$B161,0,IF(SUM(I160:$EJ160)=0%,$B161,0%)))</f>
        <v>0</v>
      </c>
      <c r="J161" s="395">
        <f ca="1">IF($E$329=0,0,IF(SUM($G161:I161)=$B161,0,IF(SUM(J160:$EJ160)=0%,$B161,0%)))</f>
        <v>0</v>
      </c>
      <c r="K161" s="395">
        <f ca="1">IF($E$329=0,0,IF(SUM($G161:J161)=$B161,0,IF(SUM(K160:$EJ160)=0%,$B161,0%)))</f>
        <v>0</v>
      </c>
      <c r="L161" s="395">
        <f ca="1">IF($E$329=0,0,IF(SUM($G161:K161)=$B161,0,IF(SUM(L160:$EJ160)=0%,$B161,0%)))</f>
        <v>0</v>
      </c>
      <c r="M161" s="395">
        <f ca="1">IF($E$329=0,0,IF(SUM($G161:L161)=$B161,0,IF(SUM(M160:$EJ160)=0%,$B161,0%)))</f>
        <v>0</v>
      </c>
      <c r="N161" s="395">
        <f ca="1">IF($E$329=0,0,IF(SUM($G161:M161)=$B161,0,IF(SUM(N160:$EJ160)=0%,$B161,0%)))</f>
        <v>0</v>
      </c>
      <c r="O161" s="395">
        <f ca="1">IF($E$329=0,0,IF(SUM($G161:N161)=$B161,0,IF(SUM(O160:$EJ160)=0%,$B161,0%)))</f>
        <v>0</v>
      </c>
      <c r="P161" s="395">
        <f ca="1">IF($E$329=0,0,IF(SUM($G161:O161)=$B161,0,IF(SUM(P160:$EJ160)=0%,$B161,0%)))</f>
        <v>0</v>
      </c>
      <c r="Q161" s="395">
        <f ca="1">IF($E$329=0,0,IF(SUM($G161:P161)=$B161,0,IF(SUM(Q160:$EJ160)=0%,$B161,0%)))</f>
        <v>0</v>
      </c>
      <c r="R161" s="395">
        <f ca="1">IF($E$329=0,0,IF(SUM($G161:Q161)=$B161,0,IF(SUM(R160:$EJ160)=0%,$B161,0%)))</f>
        <v>0</v>
      </c>
      <c r="S161" s="395">
        <f ca="1">IF($E$329=0,0,IF(SUM($G161:R161)=$B161,0,IF(SUM(S160:$EJ160)=0%,$B161,0%)))</f>
        <v>0</v>
      </c>
      <c r="T161" s="395">
        <f ca="1">IF($E$329=0,0,IF(SUM($G161:S161)=$B161,0,IF(SUM(T160:$EJ160)=0%,$B161,0%)))</f>
        <v>0</v>
      </c>
      <c r="U161" s="395">
        <f ca="1">IF($E$329=0,0,IF(SUM($G161:T161)=$B161,0,IF(SUM(U160:$EJ160)=0%,$B161,0%)))</f>
        <v>0</v>
      </c>
      <c r="V161" s="395">
        <f ca="1">IF($E$329=0,0,IF(SUM($G161:U161)=$B161,0,IF(SUM(V160:$EJ160)=0%,$B161,0%)))</f>
        <v>0</v>
      </c>
      <c r="W161" s="395">
        <f ca="1">IF($E$329=0,0,IF(SUM($G161:V161)=$B161,0,IF(SUM(W160:$EJ160)=0%,$B161,0%)))</f>
        <v>0</v>
      </c>
      <c r="X161" s="395">
        <f ca="1">IF($E$329=0,0,IF(SUM($G161:W161)=$B161,0,IF(SUM(X160:$EJ160)=0%,$B161,0%)))</f>
        <v>0</v>
      </c>
      <c r="Y161" s="395">
        <f ca="1">IF($E$329=0,0,IF(SUM($G161:X161)=$B161,0,IF(SUM(Y160:$EJ160)=0%,$B161,0%)))</f>
        <v>0</v>
      </c>
      <c r="Z161" s="395">
        <f ca="1">IF($E$329=0,0,IF(SUM($G161:Y161)=$B161,0,IF(SUM(Z160:$EJ160)=0%,$B161,0%)))</f>
        <v>0</v>
      </c>
      <c r="AA161" s="395">
        <f ca="1">IF($E$329=0,0,IF(SUM($G161:Z161)=$B161,0,IF(SUM(AA160:$EJ160)=0%,$B161,0%)))</f>
        <v>0</v>
      </c>
      <c r="AB161" s="395">
        <f ca="1">IF($E$329=0,0,IF(SUM($G161:AA161)=$B161,0,IF(SUM(AB160:$EJ160)=0%,$B161,0%)))</f>
        <v>0</v>
      </c>
      <c r="AC161" s="395">
        <f ca="1">IF($E$329=0,0,IF(SUM($G161:AB161)=$B161,0,IF(SUM(AC160:$EJ160)=0%,$B161,0%)))</f>
        <v>0</v>
      </c>
      <c r="AD161" s="395">
        <f ca="1">IF($E$329=0,0,IF(SUM($G161:AC161)=$B161,0,IF(SUM(AD160:$EJ160)=0%,$B161,0%)))</f>
        <v>0</v>
      </c>
      <c r="AE161" s="395">
        <f ca="1">IF($E$329=0,0,IF(SUM($G161:AD161)=$B161,0,IF(SUM(AE160:$EJ160)=0%,$B161,0%)))</f>
        <v>0</v>
      </c>
      <c r="AF161" s="395">
        <f ca="1">IF($E$329=0,0,IF(SUM($G161:AE161)=$B161,0,IF(SUM(AF160:$EJ160)=0%,$B161,0%)))</f>
        <v>0</v>
      </c>
      <c r="AG161" s="395">
        <f ca="1">IF($E$329=0,0,IF(SUM($G161:AF161)=$B161,0,IF(SUM(AG160:$EJ160)=0%,$B161,0%)))</f>
        <v>0</v>
      </c>
      <c r="AH161" s="395">
        <f ca="1">IF($E$329=0,0,IF(SUM($G161:AG161)=$B161,0,IF(SUM(AH160:$EJ160)=0%,$B161,0%)))</f>
        <v>0</v>
      </c>
      <c r="AI161" s="395">
        <f ca="1">IF($E$329=0,0,IF(SUM($G161:AH161)=$B161,0,IF(SUM(AI160:$EJ160)=0%,$B161,0%)))</f>
        <v>0</v>
      </c>
      <c r="AJ161" s="395">
        <f ca="1">IF($E$329=0,0,IF(SUM($G161:AI161)=$B161,0,IF(SUM(AJ160:$EJ160)=0%,$B161,0%)))</f>
        <v>0</v>
      </c>
      <c r="AK161" s="395">
        <f ca="1">IF($E$329=0,0,IF(SUM($G161:AJ161)=$B161,0,IF(SUM(AK160:$EJ160)=0%,$B161,0%)))</f>
        <v>0</v>
      </c>
      <c r="AL161" s="395">
        <f ca="1">IF($E$329=0,0,IF(SUM($G161:AK161)=$B161,0,IF(SUM(AL160:$EJ160)=0%,$B161,0%)))</f>
        <v>0</v>
      </c>
      <c r="AM161" s="395">
        <f ca="1">IF($E$329=0,0,IF(SUM($G161:AL161)=$B161,0,IF(SUM(AM160:$EJ160)=0%,$B161,0%)))</f>
        <v>0</v>
      </c>
      <c r="AN161" s="395">
        <f ca="1">IF($E$329=0,0,IF(SUM($G161:AM161)=$B161,0,IF(SUM(AN160:$EJ160)=0%,$B161,0%)))</f>
        <v>0</v>
      </c>
      <c r="AO161" s="395">
        <f ca="1">IF($E$329=0,0,IF(SUM($G161:AN161)=$B161,0,IF(SUM(AO160:$EJ160)=0%,$B161,0%)))</f>
        <v>0</v>
      </c>
      <c r="AP161" s="395">
        <f ca="1">IF($E$329=0,0,IF(SUM($G161:AO161)=$B161,0,IF(SUM(AP160:$EJ160)=0%,$B161,0%)))</f>
        <v>0</v>
      </c>
      <c r="AQ161" s="395">
        <f ca="1">IF($E$329=0,0,IF(SUM($G161:AP161)=$B161,0,IF(SUM(AQ160:$EJ160)=0%,$B161,0%)))</f>
        <v>0</v>
      </c>
      <c r="AR161" s="395">
        <f ca="1">IF($E$329=0,0,IF(SUM($G161:AQ161)=$B161,0,IF(SUM(AR160:$EJ160)=0%,$B161,0%)))</f>
        <v>0</v>
      </c>
      <c r="AS161" s="395">
        <f ca="1">IF($E$329=0,0,IF(SUM($G161:AR161)=$B161,0,IF(SUM(AS160:$EJ160)=0%,$B161,0%)))</f>
        <v>0</v>
      </c>
      <c r="AT161" s="395">
        <f ca="1">IF($E$329=0,0,IF(SUM($G161:AS161)=$B161,0,IF(SUM(AT160:$EJ160)=0%,$B161,0%)))</f>
        <v>0</v>
      </c>
      <c r="AU161" s="395">
        <f ca="1">IF($E$329=0,0,IF(SUM($G161:AT161)=$B161,0,IF(SUM(AU160:$EJ160)=0%,$B161,0%)))</f>
        <v>0</v>
      </c>
      <c r="AV161" s="395">
        <f ca="1">IF($E$329=0,0,IF(SUM($G161:AU161)=$B161,0,IF(SUM(AV160:$EJ160)=0%,$B161,0%)))</f>
        <v>0</v>
      </c>
      <c r="AW161" s="395">
        <f ca="1">IF($E$329=0,0,IF(SUM($G161:AV161)=$B161,0,IF(SUM(AW160:$EJ160)=0%,$B161,0%)))</f>
        <v>0</v>
      </c>
      <c r="AX161" s="395">
        <f ca="1">IF($E$329=0,0,IF(SUM($G161:AW161)=$B161,0,IF(SUM(AX160:$EJ160)=0%,$B161,0%)))</f>
        <v>0</v>
      </c>
      <c r="AY161" s="395">
        <f ca="1">IF($E$329=0,0,IF(SUM($G161:AX161)=$B161,0,IF(SUM(AY160:$EJ160)=0%,$B161,0%)))</f>
        <v>0</v>
      </c>
      <c r="AZ161" s="395">
        <f ca="1">IF($E$329=0,0,IF(SUM($G161:AY161)=$B161,0,IF(SUM(AZ160:$EJ160)=0%,$B161,0%)))</f>
        <v>0</v>
      </c>
      <c r="BA161" s="395">
        <f ca="1">IF($E$329=0,0,IF(SUM($G161:AZ161)=$B161,0,IF(SUM(BA160:$EJ160)=0%,$B161,0%)))</f>
        <v>0</v>
      </c>
      <c r="BB161" s="395">
        <f ca="1">IF($E$329=0,0,IF(SUM($G161:BA161)=$B161,0,IF(SUM(BB160:$EJ160)=0%,$B161,0%)))</f>
        <v>0</v>
      </c>
      <c r="BC161" s="395">
        <f ca="1">IF($E$329=0,0,IF(SUM($G161:BB161)=$B161,0,IF(SUM(BC160:$EJ160)=0%,$B161,0%)))</f>
        <v>0</v>
      </c>
      <c r="BD161" s="395">
        <f ca="1">IF($E$329=0,0,IF(SUM($G161:BC161)=$B161,0,IF(SUM(BD160:$EJ160)=0%,$B161,0%)))</f>
        <v>0</v>
      </c>
      <c r="BE161" s="395">
        <f ca="1">IF($E$329=0,0,IF(SUM($G161:BD161)=$B161,0,IF(SUM(BE160:$EJ160)=0%,$B161,0%)))</f>
        <v>0</v>
      </c>
      <c r="BF161" s="395">
        <f ca="1">IF($E$329=0,0,IF(SUM($G161:BE161)=$B161,0,IF(SUM(BF160:$EJ160)=0%,$B161,0%)))</f>
        <v>0</v>
      </c>
      <c r="BG161" s="395">
        <f ca="1">IF($E$329=0,0,IF(SUM($G161:BF161)=$B161,0,IF(SUM(BG160:$EJ160)=0%,$B161,0%)))</f>
        <v>0</v>
      </c>
      <c r="BH161" s="395">
        <f ca="1">IF($E$329=0,0,IF(SUM($G161:BG161)=$B161,0,IF(SUM(BH160:$EJ160)=0%,$B161,0%)))</f>
        <v>0</v>
      </c>
      <c r="BI161" s="395">
        <f ca="1">IF($E$329=0,0,IF(SUM($G161:BH161)=$B161,0,IF(SUM(BI160:$EJ160)=0%,$B161,0%)))</f>
        <v>2.5000000000000001E-2</v>
      </c>
      <c r="BJ161" s="395">
        <f ca="1">IF($E$329=0,0,IF(SUM($G161:BI161)=$B161,0,IF(SUM(BJ160:$EJ160)=0%,$B161,0%)))</f>
        <v>0</v>
      </c>
      <c r="BK161" s="395">
        <f ca="1">IF($E$329=0,0,IF(SUM($G161:BJ161)=$B161,0,IF(SUM(BK160:$EJ160)=0%,$B161,0%)))</f>
        <v>0</v>
      </c>
      <c r="BL161" s="395">
        <f ca="1">IF($E$329=0,0,IF(SUM($G161:BK161)=$B161,0,IF(SUM(BL160:$EJ160)=0%,$B161,0%)))</f>
        <v>0</v>
      </c>
      <c r="BM161" s="395">
        <f ca="1">IF($E$329=0,0,IF(SUM($G161:BL161)=$B161,0,IF(SUM(BM160:$EJ160)=0%,$B161,0%)))</f>
        <v>0</v>
      </c>
      <c r="BN161" s="395">
        <f ca="1">IF($E$329=0,0,IF(SUM($G161:BM161)=$B161,0,IF(SUM(BN160:$EJ160)=0%,$B161,0%)))</f>
        <v>0</v>
      </c>
      <c r="BO161" s="395">
        <f ca="1">IF($E$329=0,0,IF(SUM($G161:BN161)=$B161,0,IF(SUM(BO160:$EJ160)=0%,$B161,0%)))</f>
        <v>0</v>
      </c>
      <c r="BP161" s="395">
        <f ca="1">IF($E$329=0,0,IF(SUM($G161:BO161)=$B161,0,IF(SUM(BP160:$EJ160)=0%,$B161,0%)))</f>
        <v>0</v>
      </c>
      <c r="BQ161" s="395">
        <f ca="1">IF($E$329=0,0,IF(SUM($G161:BP161)=$B161,0,IF(SUM(BQ160:$EJ160)=0%,$B161,0%)))</f>
        <v>0</v>
      </c>
      <c r="BR161" s="395">
        <f ca="1">IF($E$329=0,0,IF(SUM($G161:BQ161)=$B161,0,IF(SUM(BR160:$EJ160)=0%,$B161,0%)))</f>
        <v>0</v>
      </c>
      <c r="BS161" s="395">
        <f ca="1">IF($E$329=0,0,IF(SUM($G161:BR161)=$B161,0,IF(SUM(BS160:$EJ160)=0%,$B161,0%)))</f>
        <v>0</v>
      </c>
      <c r="BT161" s="395">
        <f ca="1">IF($E$329=0,0,IF(SUM($G161:BS161)=$B161,0,IF(SUM(BT160:$EJ160)=0%,$B161,0%)))</f>
        <v>0</v>
      </c>
      <c r="BU161" s="395">
        <f ca="1">IF($E$329=0,0,IF(SUM($G161:BT161)=$B161,0,IF(SUM(BU160:$EJ160)=0%,$B161,0%)))</f>
        <v>0</v>
      </c>
      <c r="BV161" s="395">
        <f ca="1">IF($E$329=0,0,IF(SUM($G161:BU161)=$B161,0,IF(SUM(BV160:$EJ160)=0%,$B161,0%)))</f>
        <v>0</v>
      </c>
      <c r="BW161" s="395">
        <f ca="1">IF($E$329=0,0,IF(SUM($G161:BV161)=$B161,0,IF(SUM(BW160:$EJ160)=0%,$B161,0%)))</f>
        <v>0</v>
      </c>
      <c r="BX161" s="395">
        <f ca="1">IF($E$329=0,0,IF(SUM($G161:BW161)=$B161,0,IF(SUM(BX160:$EJ160)=0%,$B161,0%)))</f>
        <v>0</v>
      </c>
      <c r="BY161" s="395">
        <f ca="1">IF($E$329=0,0,IF(SUM($G161:BX161)=$B161,0,IF(SUM(BY160:$EJ160)=0%,$B161,0%)))</f>
        <v>0</v>
      </c>
      <c r="BZ161" s="395">
        <f ca="1">IF($E$329=0,0,IF(SUM($G161:BY161)=$B161,0,IF(SUM(BZ160:$EJ160)=0%,$B161,0%)))</f>
        <v>0</v>
      </c>
      <c r="CA161" s="395">
        <f ca="1">IF($E$329=0,0,IF(SUM($G161:BZ161)=$B161,0,IF(SUM(CA160:$EJ160)=0%,$B161,0%)))</f>
        <v>0</v>
      </c>
      <c r="CB161" s="395">
        <f ca="1">IF($E$329=0,0,IF(SUM($G161:CA161)=$B161,0,IF(SUM(CB160:$EJ160)=0%,$B161,0%)))</f>
        <v>0</v>
      </c>
      <c r="CC161" s="395">
        <f ca="1">IF($E$329=0,0,IF(SUM($G161:CB161)=$B161,0,IF(SUM(CC160:$EJ160)=0%,$B161,0%)))</f>
        <v>0</v>
      </c>
      <c r="CD161" s="395">
        <f ca="1">IF($E$329=0,0,IF(SUM($G161:CC161)=$B161,0,IF(SUM(CD160:$EJ160)=0%,$B161,0%)))</f>
        <v>0</v>
      </c>
      <c r="CE161" s="395">
        <f ca="1">IF($E$329=0,0,IF(SUM($G161:CD161)=$B161,0,IF(SUM(CE160:$EJ160)=0%,$B161,0%)))</f>
        <v>0</v>
      </c>
      <c r="CF161" s="395">
        <f ca="1">IF($E$329=0,0,IF(SUM($G161:CE161)=$B161,0,IF(SUM(CF160:$EJ160)=0%,$B161,0%)))</f>
        <v>0</v>
      </c>
      <c r="CG161" s="395">
        <f ca="1">IF($E$329=0,0,IF(SUM($G161:CF161)=$B161,0,IF(SUM(CG160:$EJ160)=0%,$B161,0%)))</f>
        <v>0</v>
      </c>
      <c r="CH161" s="395">
        <f ca="1">IF($E$329=0,0,IF(SUM($G161:CG161)=$B161,0,IF(SUM(CH160:$EJ160)=0%,$B161,0%)))</f>
        <v>0</v>
      </c>
      <c r="CI161" s="395">
        <f ca="1">IF($E$329=0,0,IF(SUM($G161:CH161)=$B161,0,IF(SUM(CI160:$EJ160)=0%,$B161,0%)))</f>
        <v>0</v>
      </c>
      <c r="CJ161" s="395">
        <f ca="1">IF($E$329=0,0,IF(SUM($G161:CI161)=$B161,0,IF(SUM(CJ160:$EJ160)=0%,$B161,0%)))</f>
        <v>0</v>
      </c>
      <c r="CK161" s="395">
        <f ca="1">IF($E$329=0,0,IF(SUM($G161:CJ161)=$B161,0,IF(SUM(CK160:$EJ160)=0%,$B161,0%)))</f>
        <v>0</v>
      </c>
      <c r="CL161" s="395">
        <f ca="1">IF($E$329=0,0,IF(SUM($G161:CK161)=$B161,0,IF(SUM(CL160:$EJ160)=0%,$B161,0%)))</f>
        <v>0</v>
      </c>
      <c r="CM161" s="395">
        <f ca="1">IF($E$329=0,0,IF(SUM($G161:CL161)=$B161,0,IF(SUM(CM160:$EJ160)=0%,$B161,0%)))</f>
        <v>0</v>
      </c>
      <c r="CN161" s="395">
        <f ca="1">IF($E$329=0,0,IF(SUM($G161:CM161)=$B161,0,IF(SUM(CN160:$EJ160)=0%,$B161,0%)))</f>
        <v>0</v>
      </c>
      <c r="CO161" s="395">
        <f ca="1">IF($E$329=0,0,IF(SUM($G161:CN161)=$B161,0,IF(SUM(CO160:$EJ160)=0%,$B161,0%)))</f>
        <v>0</v>
      </c>
      <c r="CP161" s="395">
        <f ca="1">IF($E$329=0,0,IF(SUM($G161:CO161)=$B161,0,IF(SUM(CP160:$EJ160)=0%,$B161,0%)))</f>
        <v>0</v>
      </c>
      <c r="CQ161" s="395">
        <f ca="1">IF($E$329=0,0,IF(SUM($G161:CP161)=$B161,0,IF(SUM(CQ160:$EJ160)=0%,$B161,0%)))</f>
        <v>0</v>
      </c>
      <c r="CR161" s="395">
        <f ca="1">IF($E$329=0,0,IF(SUM($G161:CQ161)=$B161,0,IF(SUM(CR160:$EJ160)=0%,$B161,0%)))</f>
        <v>0</v>
      </c>
      <c r="CS161" s="395">
        <f ca="1">IF($E$329=0,0,IF(SUM($G161:CR161)=$B161,0,IF(SUM(CS160:$EJ160)=0%,$B161,0%)))</f>
        <v>0</v>
      </c>
      <c r="CT161" s="395">
        <f ca="1">IF($E$329=0,0,IF(SUM($G161:CS161)=$B161,0,IF(SUM(CT160:$EJ160)=0%,$B161,0%)))</f>
        <v>0</v>
      </c>
      <c r="CU161" s="395">
        <f ca="1">IF($E$329=0,0,IF(SUM($G161:CT161)=$B161,0,IF(SUM(CU160:$EJ160)=0%,$B161,0%)))</f>
        <v>0</v>
      </c>
      <c r="CV161" s="395">
        <f ca="1">IF($E$329=0,0,IF(SUM($G161:CU161)=$B161,0,IF(SUM(CV160:$EJ160)=0%,$B161,0%)))</f>
        <v>0</v>
      </c>
      <c r="CW161" s="395">
        <f ca="1">IF($E$329=0,0,IF(SUM($G161:CV161)=$B161,0,IF(SUM(CW160:$EJ160)=0%,$B161,0%)))</f>
        <v>0</v>
      </c>
      <c r="CX161" s="395">
        <f ca="1">IF($E$329=0,0,IF(SUM($G161:CW161)=$B161,0,IF(SUM(CX160:$EJ160)=0%,$B161,0%)))</f>
        <v>0</v>
      </c>
      <c r="CY161" s="395">
        <f ca="1">IF($E$329=0,0,IF(SUM($G161:CX161)=$B161,0,IF(SUM(CY160:$EJ160)=0%,$B161,0%)))</f>
        <v>0</v>
      </c>
      <c r="CZ161" s="395">
        <f ca="1">IF($E$329=0,0,IF(SUM($G161:CY161)=$B161,0,IF(SUM(CZ160:$EJ160)=0%,$B161,0%)))</f>
        <v>0</v>
      </c>
      <c r="DA161" s="395">
        <f ca="1">IF($E$329=0,0,IF(SUM($G161:CZ161)=$B161,0,IF(SUM(DA160:$EJ160)=0%,$B161,0%)))</f>
        <v>0</v>
      </c>
      <c r="DB161" s="395">
        <f ca="1">IF($E$329=0,0,IF(SUM($G161:DA161)=$B161,0,IF(SUM(DB160:$EJ160)=0%,$B161,0%)))</f>
        <v>0</v>
      </c>
      <c r="DC161" s="395">
        <f ca="1">IF($E$329=0,0,IF(SUM($G161:DB161)=$B161,0,IF(SUM(DC160:$EJ160)=0%,$B161,0%)))</f>
        <v>0</v>
      </c>
      <c r="DD161" s="395">
        <f ca="1">IF($E$329=0,0,IF(SUM($G161:DC161)=$B161,0,IF(SUM(DD160:$EJ160)=0%,$B161,0%)))</f>
        <v>0</v>
      </c>
      <c r="DE161" s="395">
        <f ca="1">IF($E$329=0,0,IF(SUM($G161:DD161)=$B161,0,IF(SUM(DE160:$EJ160)=0%,$B161,0%)))</f>
        <v>0</v>
      </c>
      <c r="DF161" s="395">
        <f ca="1">IF($E$329=0,0,IF(SUM($G161:DE161)=$B161,0,IF(SUM(DF160:$EJ160)=0%,$B161,0%)))</f>
        <v>0</v>
      </c>
      <c r="DG161" s="395">
        <f ca="1">IF($E$329=0,0,IF(SUM($G161:DF161)=$B161,0,IF(SUM(DG160:$EJ160)=0%,$B161,0%)))</f>
        <v>0</v>
      </c>
      <c r="DH161" s="395">
        <f ca="1">IF($E$329=0,0,IF(SUM($G161:DG161)=$B161,0,IF(SUM(DH160:$EJ160)=0%,$B161,0%)))</f>
        <v>0</v>
      </c>
      <c r="DI161" s="395">
        <f ca="1">IF($E$329=0,0,IF(SUM($G161:DH161)=$B161,0,IF(SUM(DI160:$EJ160)=0%,$B161,0%)))</f>
        <v>0</v>
      </c>
      <c r="DJ161" s="395">
        <f ca="1">IF($E$329=0,0,IF(SUM($G161:DI161)=$B161,0,IF(SUM(DJ160:$EJ160)=0%,$B161,0%)))</f>
        <v>0</v>
      </c>
      <c r="DK161" s="395">
        <f ca="1">IF($E$329=0,0,IF(SUM($G161:DJ161)=$B161,0,IF(SUM(DK160:$EJ160)=0%,$B161,0%)))</f>
        <v>0</v>
      </c>
      <c r="DL161" s="395">
        <f ca="1">IF($E$329=0,0,IF(SUM($G161:DK161)=$B161,0,IF(SUM(DL160:$EJ160)=0%,$B161,0%)))</f>
        <v>0</v>
      </c>
      <c r="DM161" s="395">
        <f ca="1">IF($E$329=0,0,IF(SUM($G161:DL161)=$B161,0,IF(SUM(DM160:$EJ160)=0%,$B161,0%)))</f>
        <v>0</v>
      </c>
      <c r="DN161" s="395">
        <f ca="1">IF($E$329=0,0,IF(SUM($G161:DM161)=$B161,0,IF(SUM(DN160:$EJ160)=0%,$B161,0%)))</f>
        <v>0</v>
      </c>
      <c r="DO161" s="395">
        <f ca="1">IF($E$329=0,0,IF(SUM($G161:DN161)=$B161,0,IF(SUM(DO160:$EJ160)=0%,$B161,0%)))</f>
        <v>0</v>
      </c>
      <c r="DP161" s="395">
        <f ca="1">IF($E$329=0,0,IF(SUM($G161:DO161)=$B161,0,IF(SUM(DP160:$EJ160)=0%,$B161,0%)))</f>
        <v>0</v>
      </c>
      <c r="DQ161" s="395">
        <f ca="1">IF($E$329=0,0,IF(SUM($G161:DP161)=$B161,0,IF(SUM(DQ160:$EJ160)=0%,$B161,0%)))</f>
        <v>0</v>
      </c>
      <c r="DR161" s="395">
        <f ca="1">IF($E$329=0,0,IF(SUM($G161:DQ161)=$B161,0,IF(SUM(DR160:$EJ160)=0%,$B161,0%)))</f>
        <v>0</v>
      </c>
      <c r="DS161" s="395">
        <f ca="1">IF($E$329=0,0,IF(SUM($G161:DR161)=$B161,0,IF(SUM(DS160:$EJ160)=0%,$B161,0%)))</f>
        <v>0</v>
      </c>
      <c r="DT161" s="395">
        <f ca="1">IF($E$329=0,0,IF(SUM($G161:DS161)=$B161,0,IF(SUM(DT160:$EJ160)=0%,$B161,0%)))</f>
        <v>0</v>
      </c>
      <c r="DU161" s="395">
        <f ca="1">IF($E$329=0,0,IF(SUM($G161:DT161)=$B161,0,IF(SUM(DU160:$EJ160)=0%,$B161,0%)))</f>
        <v>0</v>
      </c>
      <c r="DV161" s="395">
        <f ca="1">IF($E$329=0,0,IF(SUM($G161:DU161)=$B161,0,IF(SUM(DV160:$EJ160)=0%,$B161,0%)))</f>
        <v>0</v>
      </c>
      <c r="DW161" s="395">
        <f ca="1">IF($E$329=0,0,IF(SUM($G161:DV161)=$B161,0,IF(SUM(DW160:$EJ160)=0%,$B161,0%)))</f>
        <v>0</v>
      </c>
      <c r="DX161" s="395">
        <f ca="1">IF($E$329=0,0,IF(SUM($G161:DW161)=$B161,0,IF(SUM(DX160:$EJ160)=0%,$B161,0%)))</f>
        <v>0</v>
      </c>
      <c r="DY161" s="395">
        <f ca="1">IF($E$329=0,0,IF(SUM($G161:DX161)=$B161,0,IF(SUM(DY160:$EJ160)=0%,$B161,0%)))</f>
        <v>0</v>
      </c>
      <c r="DZ161" s="395">
        <f ca="1">IF($E$329=0,0,IF(SUM($G161:DY161)=$B161,0,IF(SUM(DZ160:$EJ160)=0%,$B161,0%)))</f>
        <v>0</v>
      </c>
      <c r="EA161" s="395">
        <f ca="1">IF($E$329=0,0,IF(SUM($G161:DZ161)=$B161,0,IF(SUM(EA160:$EJ160)=0%,$B161,0%)))</f>
        <v>0</v>
      </c>
      <c r="EB161" s="395">
        <f ca="1">IF($E$329=0,0,IF(SUM($G161:EA161)=$B161,0,IF(SUM(EB160:$EJ160)=0%,$B161,0%)))</f>
        <v>0</v>
      </c>
      <c r="EC161" s="395">
        <f ca="1">IF($E$329=0,0,IF(SUM($G161:EB161)=$B161,0,IF(SUM(EC160:$EJ160)=0%,$B161,0%)))</f>
        <v>0</v>
      </c>
      <c r="ED161" s="395">
        <f ca="1">IF($E$329=0,0,IF(SUM($G161:EC161)=$B161,0,IF(SUM(ED160:$EJ160)=0%,$B161,0%)))</f>
        <v>0</v>
      </c>
      <c r="EE161" s="395">
        <f ca="1">IF($E$329=0,0,IF(SUM($G161:ED161)=$B161,0,IF(SUM(EE160:$EJ160)=0%,$B161,0%)))</f>
        <v>0</v>
      </c>
      <c r="EF161" s="395">
        <f ca="1">IF($E$329=0,0,IF(SUM($G161:EE161)=$B161,0,IF(SUM(EF160:$EJ160)=0%,$B161,0%)))</f>
        <v>0</v>
      </c>
      <c r="EG161" s="395">
        <f ca="1">IF($E$329=0,0,IF(SUM($G161:EF161)=$B161,0,IF(SUM(EG160:$EJ160)=0%,$B161,0%)))</f>
        <v>0</v>
      </c>
      <c r="EH161" s="395">
        <f ca="1">IF($E$329=0,0,IF(SUM($G161:EG161)=$B161,0,IF(SUM(EH160:$EJ160)=0%,$B161,0%)))</f>
        <v>0</v>
      </c>
      <c r="EI161" s="395">
        <f ca="1">IF($E$329=0,0,IF(SUM($G161:EH161)=$B161,0,IF(SUM(EI160:$EJ160)=0%,$B161,0%)))</f>
        <v>0</v>
      </c>
      <c r="EJ161" s="398"/>
      <c r="EK161" s="313"/>
    </row>
    <row r="162" spans="1:141" hidden="1" outlineLevel="2">
      <c r="A162" s="332"/>
      <c r="B162" s="548">
        <f t="shared" si="379"/>
        <v>2.5000000000000001E-2</v>
      </c>
      <c r="C162" s="317"/>
      <c r="D162" s="317" t="s">
        <v>640</v>
      </c>
      <c r="E162" s="318">
        <f t="shared" ca="1" si="378"/>
        <v>0</v>
      </c>
      <c r="F162" s="397">
        <f ca="1">SUM(G162:EJ162)</f>
        <v>2.5000000000000001E-2</v>
      </c>
      <c r="G162" s="395"/>
      <c r="H162" s="395"/>
      <c r="I162" s="395"/>
      <c r="J162" s="395"/>
      <c r="K162" s="395"/>
      <c r="L162" s="395"/>
      <c r="M162" s="395"/>
      <c r="N162" s="395"/>
      <c r="O162" s="395"/>
      <c r="P162" s="395"/>
      <c r="Q162" s="395"/>
      <c r="R162" s="395"/>
      <c r="S162" s="395"/>
      <c r="T162" s="395"/>
      <c r="U162" s="395"/>
      <c r="V162" s="395"/>
      <c r="W162" s="395"/>
      <c r="X162" s="395"/>
      <c r="Y162" s="395"/>
      <c r="Z162" s="395"/>
      <c r="AA162" s="395"/>
      <c r="AB162" s="395"/>
      <c r="AC162" s="395"/>
      <c r="AD162" s="395">
        <f ca="1">IF($E$329=0,0,IF(SUM($G162:AC162)=$B162,0,IF(SUM($G161:G161)=$B161,$B162,0%)))</f>
        <v>0</v>
      </c>
      <c r="AE162" s="395">
        <f ca="1">IF($E$329=0,0,IF(SUM($G162:AD162)=$B162,0,IF(SUM($G161:H161)=$B161,$B162,0%)))</f>
        <v>0</v>
      </c>
      <c r="AF162" s="395">
        <f ca="1">IF($E$329=0,0,IF(SUM($G162:AE162)=$B162,0,IF(SUM($G161:I161)=$B161,$B162,0%)))</f>
        <v>0</v>
      </c>
      <c r="AG162" s="395">
        <f ca="1">IF($E$329=0,0,IF(SUM($G162:AF162)=$B162,0,IF(SUM($G161:J161)=$B161,$B162,0%)))</f>
        <v>0</v>
      </c>
      <c r="AH162" s="395">
        <f ca="1">IF($E$329=0,0,IF(SUM($G162:AG162)=$B162,0,IF(SUM($G161:K161)=$B161,$B162,0%)))</f>
        <v>0</v>
      </c>
      <c r="AI162" s="395">
        <f ca="1">IF($E$329=0,0,IF(SUM($G162:AH162)=$B162,0,IF(SUM($G161:L161)=$B161,$B162,0%)))</f>
        <v>0</v>
      </c>
      <c r="AJ162" s="395">
        <f ca="1">IF($E$329=0,0,IF(SUM($G162:AI162)=$B162,0,IF(SUM($G161:M161)=$B161,$B162,0%)))</f>
        <v>0</v>
      </c>
      <c r="AK162" s="395">
        <f ca="1">IF($E$329=0,0,IF(SUM($G162:AJ162)=$B162,0,IF(SUM($G161:N161)=$B161,$B162,0%)))</f>
        <v>0</v>
      </c>
      <c r="AL162" s="395">
        <f ca="1">IF($E$329=0,0,IF(SUM($G162:AK162)=$B162,0,IF(SUM($G161:O161)=$B161,$B162,0%)))</f>
        <v>0</v>
      </c>
      <c r="AM162" s="395">
        <f ca="1">IF($E$329=0,0,IF(SUM($G162:AL162)=$B162,0,IF(SUM($G161:P161)=$B161,$B162,0%)))</f>
        <v>0</v>
      </c>
      <c r="AN162" s="395">
        <f ca="1">IF($E$329=0,0,IF(SUM($G162:AM162)=$B162,0,IF(SUM($G161:Q161)=$B161,$B162,0%)))</f>
        <v>0</v>
      </c>
      <c r="AO162" s="395">
        <f ca="1">IF($E$329=0,0,IF(SUM($G162:AN162)=$B162,0,IF(SUM($G161:R161)=$B161,$B162,0%)))</f>
        <v>0</v>
      </c>
      <c r="AP162" s="395">
        <f ca="1">IF($E$329=0,0,IF(SUM($G162:AO162)=$B162,0,IF(SUM($G161:S161)=$B161,$B162,0%)))</f>
        <v>0</v>
      </c>
      <c r="AQ162" s="395">
        <f ca="1">IF($E$329=0,0,IF(SUM($G162:AP162)=$B162,0,IF(SUM($G161:T161)=$B161,$B162,0%)))</f>
        <v>0</v>
      </c>
      <c r="AR162" s="395">
        <f ca="1">IF($E$329=0,0,IF(SUM($G162:AQ162)=$B162,0,IF(SUM($G161:U161)=$B161,$B162,0%)))</f>
        <v>0</v>
      </c>
      <c r="AS162" s="395">
        <f ca="1">IF($E$329=0,0,IF(SUM($G162:AR162)=$B162,0,IF(SUM($G161:V161)=$B161,$B162,0%)))</f>
        <v>0</v>
      </c>
      <c r="AT162" s="395">
        <f ca="1">IF($E$329=0,0,IF(SUM($G162:AS162)=$B162,0,IF(SUM($G161:W161)=$B161,$B162,0%)))</f>
        <v>0</v>
      </c>
      <c r="AU162" s="395">
        <f ca="1">IF($E$329=0,0,IF(SUM($G162:AT162)=$B162,0,IF(SUM($G161:X161)=$B161,$B162,0%)))</f>
        <v>0</v>
      </c>
      <c r="AV162" s="395">
        <f ca="1">IF($E$329=0,0,IF(SUM($G162:AU162)=$B162,0,IF(SUM($G161:Y161)=$B161,$B162,0%)))</f>
        <v>0</v>
      </c>
      <c r="AW162" s="395">
        <f ca="1">IF($E$329=0,0,IF(SUM($G162:AV162)=$B162,0,IF(SUM($G161:Z161)=$B161,$B162,0%)))</f>
        <v>0</v>
      </c>
      <c r="AX162" s="395">
        <f ca="1">IF($E$329=0,0,IF(SUM($G162:AW162)=$B162,0,IF(SUM($G161:AA161)=$B161,$B162,0%)))</f>
        <v>0</v>
      </c>
      <c r="AY162" s="395">
        <f ca="1">IF($E$329=0,0,IF(SUM($G162:AX162)=$B162,0,IF(SUM($G161:AB161)=$B161,$B162,0%)))</f>
        <v>0</v>
      </c>
      <c r="AZ162" s="395">
        <f ca="1">IF($E$329=0,0,IF(SUM($G162:AY162)=$B162,0,IF(SUM($G161:AC161)=$B161,$B162,0%)))</f>
        <v>0</v>
      </c>
      <c r="BA162" s="395">
        <f ca="1">IF($E$329=0,0,IF(SUM($G162:AZ162)=$B162,0,IF(SUM($G161:AD161)=$B161,$B162,0%)))</f>
        <v>0</v>
      </c>
      <c r="BB162" s="395">
        <f ca="1">IF($E$329=0,0,IF(SUM($G162:BA162)=$B162,0,IF(SUM($G161:AE161)=$B161,$B162,0%)))</f>
        <v>0</v>
      </c>
      <c r="BC162" s="395">
        <f ca="1">IF($E$329=0,0,IF(SUM($G162:BB162)=$B162,0,IF(SUM($G161:AF161)=$B161,$B162,0%)))</f>
        <v>0</v>
      </c>
      <c r="BD162" s="395">
        <f ca="1">IF($E$329=0,0,IF(SUM($G162:BC162)=$B162,0,IF(SUM($G161:AG161)=$B161,$B162,0%)))</f>
        <v>0</v>
      </c>
      <c r="BE162" s="395">
        <f ca="1">IF($E$329=0,0,IF(SUM($G162:BD162)=$B162,0,IF(SUM($G161:AH161)=$B161,$B162,0%)))</f>
        <v>0</v>
      </c>
      <c r="BF162" s="395">
        <f ca="1">IF($E$329=0,0,IF(SUM($G162:BE162)=$B162,0,IF(SUM($G161:AI161)=$B161,$B162,0%)))</f>
        <v>0</v>
      </c>
      <c r="BG162" s="395">
        <f ca="1">IF($E$329=0,0,IF(SUM($G162:BF162)=$B162,0,IF(SUM($G161:AJ161)=$B161,$B162,0%)))</f>
        <v>0</v>
      </c>
      <c r="BH162" s="395">
        <f ca="1">IF($E$329=0,0,IF(SUM($G162:BG162)=$B162,0,IF(SUM($G161:AK161)=$B161,$B162,0%)))</f>
        <v>0</v>
      </c>
      <c r="BI162" s="395">
        <f ca="1">IF($E$329=0,0,IF(SUM($G162:BH162)=$B162,0,IF(SUM($G161:AL161)=$B161,$B162,0%)))</f>
        <v>0</v>
      </c>
      <c r="BJ162" s="395">
        <f ca="1">IF($E$329=0,0,IF(SUM($G162:BI162)=$B162,0,IF(SUM($G161:AM161)=$B161,$B162,0%)))</f>
        <v>0</v>
      </c>
      <c r="BK162" s="395">
        <f ca="1">IF($E$329=0,0,IF(SUM($G162:BJ162)=$B162,0,IF(SUM($G161:AN161)=$B161,$B162,0%)))</f>
        <v>0</v>
      </c>
      <c r="BL162" s="395">
        <f ca="1">IF($E$329=0,0,IF(SUM($G162:BK162)=$B162,0,IF(SUM($G161:AO161)=$B161,$B162,0%)))</f>
        <v>0</v>
      </c>
      <c r="BM162" s="395">
        <f ca="1">IF($E$329=0,0,IF(SUM($G162:BL162)=$B162,0,IF(SUM($G161:AP161)=$B161,$B162,0%)))</f>
        <v>0</v>
      </c>
      <c r="BN162" s="395">
        <f ca="1">IF($E$329=0,0,IF(SUM($G162:BM162)=$B162,0,IF(SUM($G161:AQ161)=$B161,$B162,0%)))</f>
        <v>0</v>
      </c>
      <c r="BO162" s="395">
        <f ca="1">IF($E$329=0,0,IF(SUM($G162:BN162)=$B162,0,IF(SUM($G161:AR161)=$B161,$B162,0%)))</f>
        <v>0</v>
      </c>
      <c r="BP162" s="395">
        <f ca="1">IF($E$329=0,0,IF(SUM($G162:BO162)=$B162,0,IF(SUM($G161:AS161)=$B161,$B162,0%)))</f>
        <v>0</v>
      </c>
      <c r="BQ162" s="395">
        <f ca="1">IF($E$329=0,0,IF(SUM($G162:BP162)=$B162,0,IF(SUM($G161:AT161)=$B161,$B162,0%)))</f>
        <v>0</v>
      </c>
      <c r="BR162" s="395">
        <f ca="1">IF($E$329=0,0,IF(SUM($G162:BQ162)=$B162,0,IF(SUM($G161:AU161)=$B161,$B162,0%)))</f>
        <v>0</v>
      </c>
      <c r="BS162" s="395">
        <f ca="1">IF($E$329=0,0,IF(SUM($G162:BR162)=$B162,0,IF(SUM($G161:AV161)=$B161,$B162,0%)))</f>
        <v>0</v>
      </c>
      <c r="BT162" s="395">
        <f ca="1">IF($E$329=0,0,IF(SUM($G162:BS162)=$B162,0,IF(SUM($G161:AW161)=$B161,$B162,0%)))</f>
        <v>0</v>
      </c>
      <c r="BU162" s="395">
        <f ca="1">IF($E$329=0,0,IF(SUM($G162:BT162)=$B162,0,IF(SUM($G161:AX161)=$B161,$B162,0%)))</f>
        <v>0</v>
      </c>
      <c r="BV162" s="395">
        <f ca="1">IF($E$329=0,0,IF(SUM($G162:BU162)=$B162,0,IF(SUM($G161:AY161)=$B161,$B162,0%)))</f>
        <v>0</v>
      </c>
      <c r="BW162" s="395">
        <f ca="1">IF($E$329=0,0,IF(SUM($G162:BV162)=$B162,0,IF(SUM($G161:AZ161)=$B161,$B162,0%)))</f>
        <v>0</v>
      </c>
      <c r="BX162" s="395">
        <f ca="1">IF($E$329=0,0,IF(SUM($G162:BW162)=$B162,0,IF(SUM($G161:BA161)=$B161,$B162,0%)))</f>
        <v>0</v>
      </c>
      <c r="BY162" s="395">
        <f ca="1">IF($E$329=0,0,IF(SUM($G162:BX162)=$B162,0,IF(SUM($G161:BB161)=$B161,$B162,0%)))</f>
        <v>0</v>
      </c>
      <c r="BZ162" s="395">
        <f ca="1">IF($E$329=0,0,IF(SUM($G162:BY162)=$B162,0,IF(SUM($G161:BC161)=$B161,$B162,0%)))</f>
        <v>0</v>
      </c>
      <c r="CA162" s="395">
        <f ca="1">IF($E$329=0,0,IF(SUM($G162:BZ162)=$B162,0,IF(SUM($G161:BD161)=$B161,$B162,0%)))</f>
        <v>0</v>
      </c>
      <c r="CB162" s="395">
        <f ca="1">IF($E$329=0,0,IF(SUM($G162:CA162)=$B162,0,IF(SUM($G161:BE161)=$B161,$B162,0%)))</f>
        <v>0</v>
      </c>
      <c r="CC162" s="395">
        <f ca="1">IF($E$329=0,0,IF(SUM($G162:CB162)=$B162,0,IF(SUM($G161:BF161)=$B161,$B162,0%)))</f>
        <v>0</v>
      </c>
      <c r="CD162" s="395">
        <f ca="1">IF($E$329=0,0,IF(SUM($G162:CC162)=$B162,0,IF(SUM($G161:BG161)=$B161,$B162,0%)))</f>
        <v>0</v>
      </c>
      <c r="CE162" s="395">
        <f ca="1">IF($E$329=0,0,IF(SUM($G162:CD162)=$B162,0,IF(SUM($G161:BH161)=$B161,$B162,0%)))</f>
        <v>0</v>
      </c>
      <c r="CF162" s="395">
        <f ca="1">IF($E$329=0,0,IF(SUM($G162:CE162)=$B162,0,IF(SUM($G161:BI161)=$B161,$B162,0%)))</f>
        <v>2.5000000000000001E-2</v>
      </c>
      <c r="CG162" s="395">
        <f ca="1">IF($E$329=0,0,IF(SUM($G162:CF162)=$B162,0,IF(SUM($G161:BJ161)=$B161,$B162,0%)))</f>
        <v>0</v>
      </c>
      <c r="CH162" s="395">
        <f ca="1">IF($E$329=0,0,IF(SUM($G162:CG162)=$B162,0,IF(SUM($G161:BK161)=$B161,$B162,0%)))</f>
        <v>0</v>
      </c>
      <c r="CI162" s="395">
        <f ca="1">IF($E$329=0,0,IF(SUM($G162:CH162)=$B162,0,IF(SUM($G161:BL161)=$B161,$B162,0%)))</f>
        <v>0</v>
      </c>
      <c r="CJ162" s="395">
        <f ca="1">IF($E$329=0,0,IF(SUM($G162:CI162)=$B162,0,IF(SUM($G161:BM161)=$B161,$B162,0%)))</f>
        <v>0</v>
      </c>
      <c r="CK162" s="395">
        <f ca="1">IF($E$329=0,0,IF(SUM($G162:CJ162)=$B162,0,IF(SUM($G161:BN161)=$B161,$B162,0%)))</f>
        <v>0</v>
      </c>
      <c r="CL162" s="395">
        <f ca="1">IF($E$329=0,0,IF(SUM($G162:CK162)=$B162,0,IF(SUM($G161:BO161)=$B161,$B162,0%)))</f>
        <v>0</v>
      </c>
      <c r="CM162" s="395">
        <f ca="1">IF($E$329=0,0,IF(SUM($G162:CL162)=$B162,0,IF(SUM($G161:BP161)=$B161,$B162,0%)))</f>
        <v>0</v>
      </c>
      <c r="CN162" s="395">
        <f ca="1">IF($E$329=0,0,IF(SUM($G162:CM162)=$B162,0,IF(SUM($G161:BQ161)=$B161,$B162,0%)))</f>
        <v>0</v>
      </c>
      <c r="CO162" s="395">
        <f ca="1">IF($E$329=0,0,IF(SUM($G162:CN162)=$B162,0,IF(SUM($G161:BR161)=$B161,$B162,0%)))</f>
        <v>0</v>
      </c>
      <c r="CP162" s="395">
        <f ca="1">IF($E$329=0,0,IF(SUM($G162:CO162)=$B162,0,IF(SUM($G161:BS161)=$B161,$B162,0%)))</f>
        <v>0</v>
      </c>
      <c r="CQ162" s="395">
        <f ca="1">IF($E$329=0,0,IF(SUM($G162:CP162)=$B162,0,IF(SUM($G161:BT161)=$B161,$B162,0%)))</f>
        <v>0</v>
      </c>
      <c r="CR162" s="395">
        <f ca="1">IF($E$329=0,0,IF(SUM($G162:CQ162)=$B162,0,IF(SUM($G161:BU161)=$B161,$B162,0%)))</f>
        <v>0</v>
      </c>
      <c r="CS162" s="395">
        <f ca="1">IF($E$329=0,0,IF(SUM($G162:CR162)=$B162,0,IF(SUM($G161:BV161)=$B161,$B162,0%)))</f>
        <v>0</v>
      </c>
      <c r="CT162" s="395">
        <f ca="1">IF($E$329=0,0,IF(SUM($G162:CS162)=$B162,0,IF(SUM($G161:BW161)=$B161,$B162,0%)))</f>
        <v>0</v>
      </c>
      <c r="CU162" s="395">
        <f ca="1">IF($E$329=0,0,IF(SUM($G162:CT162)=$B162,0,IF(SUM($G161:BX161)=$B161,$B162,0%)))</f>
        <v>0</v>
      </c>
      <c r="CV162" s="395">
        <f ca="1">IF($E$329=0,0,IF(SUM($G162:CU162)=$B162,0,IF(SUM($G161:BY161)=$B161,$B162,0%)))</f>
        <v>0</v>
      </c>
      <c r="CW162" s="395">
        <f ca="1">IF($E$329=0,0,IF(SUM($G162:CV162)=$B162,0,IF(SUM($G161:BZ161)=$B161,$B162,0%)))</f>
        <v>0</v>
      </c>
      <c r="CX162" s="395">
        <f ca="1">IF($E$329=0,0,IF(SUM($G162:CW162)=$B162,0,IF(SUM($G161:CA161)=$B161,$B162,0%)))</f>
        <v>0</v>
      </c>
      <c r="CY162" s="395">
        <f ca="1">IF($E$329=0,0,IF(SUM($G162:CX162)=$B162,0,IF(SUM($G161:CB161)=$B161,$B162,0%)))</f>
        <v>0</v>
      </c>
      <c r="CZ162" s="395">
        <f ca="1">IF($E$329=0,0,IF(SUM($G162:CY162)=$B162,0,IF(SUM($G161:CC161)=$B161,$B162,0%)))</f>
        <v>0</v>
      </c>
      <c r="DA162" s="395">
        <f ca="1">IF($E$329=0,0,IF(SUM($G162:CZ162)=$B162,0,IF(SUM($G161:CD161)=$B161,$B162,0%)))</f>
        <v>0</v>
      </c>
      <c r="DB162" s="395">
        <f ca="1">IF($E$329=0,0,IF(SUM($G162:DA162)=$B162,0,IF(SUM($G161:CE161)=$B161,$B162,0%)))</f>
        <v>0</v>
      </c>
      <c r="DC162" s="395">
        <f ca="1">IF($E$329=0,0,IF(SUM($G162:DB162)=$B162,0,IF(SUM($G161:CF161)=$B161,$B162,0%)))</f>
        <v>0</v>
      </c>
      <c r="DD162" s="395">
        <f ca="1">IF($E$329=0,0,IF(SUM($G162:DC162)=$B162,0,IF(SUM($G161:CG161)=$B161,$B162,0%)))</f>
        <v>0</v>
      </c>
      <c r="DE162" s="395">
        <f ca="1">IF($E$329=0,0,IF(SUM($G162:DD162)=$B162,0,IF(SUM($G161:CH161)=$B161,$B162,0%)))</f>
        <v>0</v>
      </c>
      <c r="DF162" s="395">
        <f ca="1">IF($E$329=0,0,IF(SUM($G162:DE162)=$B162,0,IF(SUM($G161:CI161)=$B161,$B162,0%)))</f>
        <v>0</v>
      </c>
      <c r="DG162" s="395">
        <f ca="1">IF($E$329=0,0,IF(SUM($G162:DF162)=$B162,0,IF(SUM($G161:CJ161)=$B161,$B162,0%)))</f>
        <v>0</v>
      </c>
      <c r="DH162" s="395">
        <f ca="1">IF($E$329=0,0,IF(SUM($G162:DG162)=$B162,0,IF(SUM($G161:CK161)=$B161,$B162,0%)))</f>
        <v>0</v>
      </c>
      <c r="DI162" s="395">
        <f ca="1">IF($E$329=0,0,IF(SUM($G162:DH162)=$B162,0,IF(SUM($G161:CL161)=$B161,$B162,0%)))</f>
        <v>0</v>
      </c>
      <c r="DJ162" s="395">
        <f ca="1">IF($E$329=0,0,IF(SUM($G162:DI162)=$B162,0,IF(SUM($G161:CM161)=$B161,$B162,0%)))</f>
        <v>0</v>
      </c>
      <c r="DK162" s="395">
        <f ca="1">IF($E$329=0,0,IF(SUM($G162:DJ162)=$B162,0,IF(SUM($G161:CN161)=$B161,$B162,0%)))</f>
        <v>0</v>
      </c>
      <c r="DL162" s="395">
        <f ca="1">IF($E$329=0,0,IF(SUM($G162:DK162)=$B162,0,IF(SUM($G161:CO161)=$B161,$B162,0%)))</f>
        <v>0</v>
      </c>
      <c r="DM162" s="395">
        <f ca="1">IF($E$329=0,0,IF(SUM($G162:DL162)=$B162,0,IF(SUM($G161:CP161)=$B161,$B162,0%)))</f>
        <v>0</v>
      </c>
      <c r="DN162" s="395">
        <f ca="1">IF($E$329=0,0,IF(SUM($G162:DM162)=$B162,0,IF(SUM($G161:CQ161)=$B161,$B162,0%)))</f>
        <v>0</v>
      </c>
      <c r="DO162" s="395">
        <f ca="1">IF($E$329=0,0,IF(SUM($G162:DN162)=$B162,0,IF(SUM($G161:CR161)=$B161,$B162,0%)))</f>
        <v>0</v>
      </c>
      <c r="DP162" s="395">
        <f ca="1">IF($E$329=0,0,IF(SUM($G162:DO162)=$B162,0,IF(SUM($G161:CS161)=$B161,$B162,0%)))</f>
        <v>0</v>
      </c>
      <c r="DQ162" s="395">
        <f ca="1">IF($E$329=0,0,IF(SUM($G162:DP162)=$B162,0,IF(SUM($G161:CT161)=$B161,$B162,0%)))</f>
        <v>0</v>
      </c>
      <c r="DR162" s="395">
        <f ca="1">IF($E$329=0,0,IF(SUM($G162:DQ162)=$B162,0,IF(SUM($G161:CU161)=$B161,$B162,0%)))</f>
        <v>0</v>
      </c>
      <c r="DS162" s="395">
        <f ca="1">IF($E$329=0,0,IF(SUM($G162:DR162)=$B162,0,IF(SUM($G161:CV161)=$B161,$B162,0%)))</f>
        <v>0</v>
      </c>
      <c r="DT162" s="395">
        <f ca="1">IF($E$329=0,0,IF(SUM($G162:DS162)=$B162,0,IF(SUM($G161:CW161)=$B161,$B162,0%)))</f>
        <v>0</v>
      </c>
      <c r="DU162" s="395">
        <f ca="1">IF($E$329=0,0,IF(SUM($G162:DT162)=$B162,0,IF(SUM($G161:CX161)=$B161,$B162,0%)))</f>
        <v>0</v>
      </c>
      <c r="DV162" s="395">
        <f ca="1">IF($E$329=0,0,IF(SUM($G162:DU162)=$B162,0,IF(SUM($G161:CY161)=$B161,$B162,0%)))</f>
        <v>0</v>
      </c>
      <c r="DW162" s="395">
        <f ca="1">IF($E$329=0,0,IF(SUM($G162:DV162)=$B162,0,IF(SUM($G161:CZ161)=$B161,$B162,0%)))</f>
        <v>0</v>
      </c>
      <c r="DX162" s="395">
        <f ca="1">IF($E$329=0,0,IF(SUM($G162:DW162)=$B162,0,IF(SUM($G161:DA161)=$B161,$B162,0%)))</f>
        <v>0</v>
      </c>
      <c r="DY162" s="395">
        <f ca="1">IF($E$329=0,0,IF(SUM($G162:DX162)=$B162,0,IF(SUM($G161:DB161)=$B161,$B162,0%)))</f>
        <v>0</v>
      </c>
      <c r="DZ162" s="395">
        <f ca="1">IF($E$329=0,0,IF(SUM($G162:DY162)=$B162,0,IF(SUM($G161:DC161)=$B161,$B162,0%)))</f>
        <v>0</v>
      </c>
      <c r="EA162" s="395">
        <f ca="1">IF($E$329=0,0,IF(SUM($G162:DZ162)=$B162,0,IF(SUM($G161:DD161)=$B161,$B162,0%)))</f>
        <v>0</v>
      </c>
      <c r="EB162" s="395">
        <f ca="1">IF($E$329=0,0,IF(SUM($G162:EA162)=$B162,0,IF(SUM($G161:DE161)=$B161,$B162,0%)))</f>
        <v>0</v>
      </c>
      <c r="EC162" s="395">
        <f ca="1">IF($E$329=0,0,IF(SUM($G162:EB162)=$B162,0,IF(SUM($G161:DF161)=$B161,$B162,0%)))</f>
        <v>0</v>
      </c>
      <c r="ED162" s="395">
        <f ca="1">IF($E$329=0,0,IF(SUM($G162:EC162)=$B162,0,IF(SUM($G161:DG161)=$B161,$B162,0%)))</f>
        <v>0</v>
      </c>
      <c r="EE162" s="395">
        <f ca="1">IF($E$329=0,0,IF(SUM($G162:ED162)=$B162,0,IF(SUM($G161:DH161)=$B161,$B162,0%)))</f>
        <v>0</v>
      </c>
      <c r="EF162" s="395">
        <f ca="1">IF($E$329=0,0,IF(SUM($G162:EE162)=$B162,0,IF(SUM($G161:DI161)=$B161,$B162,0%)))</f>
        <v>0</v>
      </c>
      <c r="EG162" s="395">
        <f ca="1">IF($E$329=0,0,IF(SUM($G162:EF162)=$B162,0,IF(SUM($G161:DJ161)=$B161,$B162,0%)))</f>
        <v>0</v>
      </c>
      <c r="EH162" s="395">
        <f ca="1">IF($E$329=0,0,IF(SUM($G162:EG162)=$B162,0,IF(SUM($G161:DK161)=$B161,$B162,0%)))</f>
        <v>0</v>
      </c>
      <c r="EI162" s="395">
        <f ca="1">IF($E$329=0,0,IF(SUM($G162:EH162)=$B162,0,IF(SUM($G161:DL161)=$B161,$B162,0%)))</f>
        <v>0</v>
      </c>
      <c r="EJ162" s="398"/>
      <c r="EK162" s="313"/>
    </row>
    <row r="163" spans="1:141" hidden="1" outlineLevel="1" collapsed="1">
      <c r="A163" s="332"/>
      <c r="B163" s="313"/>
      <c r="C163" s="392" t="s">
        <v>91</v>
      </c>
      <c r="D163" s="392" t="str">
        <f>D334</f>
        <v>Внутренняя отделка - паркинга</v>
      </c>
      <c r="E163" s="393">
        <f ca="1">ROUND(IF(F163=0,0,100%-F163),0)</f>
        <v>0</v>
      </c>
      <c r="F163" s="394">
        <f t="shared" ref="F163:F165" ca="1" si="380">SUM(G163:EJ163)</f>
        <v>1</v>
      </c>
      <c r="G163" s="395">
        <f>SUM(G164:G167)</f>
        <v>0</v>
      </c>
      <c r="H163" s="395">
        <f ca="1">SUM(H164:H167)</f>
        <v>0</v>
      </c>
      <c r="I163" s="395">
        <f t="shared" ref="I163:BT163" ca="1" si="381">SUM(I164:I167)</f>
        <v>0</v>
      </c>
      <c r="J163" s="395">
        <f t="shared" ca="1" si="381"/>
        <v>0</v>
      </c>
      <c r="K163" s="395">
        <f t="shared" ca="1" si="381"/>
        <v>0</v>
      </c>
      <c r="L163" s="395">
        <f t="shared" ca="1" si="381"/>
        <v>0</v>
      </c>
      <c r="M163" s="395">
        <f t="shared" ca="1" si="381"/>
        <v>0</v>
      </c>
      <c r="N163" s="395">
        <f t="shared" ca="1" si="381"/>
        <v>0</v>
      </c>
      <c r="O163" s="395">
        <f t="shared" ca="1" si="381"/>
        <v>0</v>
      </c>
      <c r="P163" s="395">
        <f t="shared" ca="1" si="381"/>
        <v>0</v>
      </c>
      <c r="Q163" s="395">
        <f t="shared" ca="1" si="381"/>
        <v>0</v>
      </c>
      <c r="R163" s="395">
        <f t="shared" ca="1" si="381"/>
        <v>0</v>
      </c>
      <c r="S163" s="395">
        <f t="shared" ca="1" si="381"/>
        <v>0</v>
      </c>
      <c r="T163" s="395">
        <f t="shared" ca="1" si="381"/>
        <v>0</v>
      </c>
      <c r="U163" s="395">
        <f t="shared" ca="1" si="381"/>
        <v>0</v>
      </c>
      <c r="V163" s="395">
        <f t="shared" ca="1" si="381"/>
        <v>0</v>
      </c>
      <c r="W163" s="395">
        <f t="shared" ca="1" si="381"/>
        <v>0</v>
      </c>
      <c r="X163" s="395">
        <f t="shared" ca="1" si="381"/>
        <v>0</v>
      </c>
      <c r="Y163" s="395">
        <f t="shared" ca="1" si="381"/>
        <v>0</v>
      </c>
      <c r="Z163" s="395">
        <f t="shared" ca="1" si="381"/>
        <v>0</v>
      </c>
      <c r="AA163" s="395">
        <f t="shared" ca="1" si="381"/>
        <v>0</v>
      </c>
      <c r="AB163" s="395">
        <f t="shared" ca="1" si="381"/>
        <v>0</v>
      </c>
      <c r="AC163" s="395">
        <f t="shared" ca="1" si="381"/>
        <v>0</v>
      </c>
      <c r="AD163" s="395">
        <f t="shared" ca="1" si="381"/>
        <v>0</v>
      </c>
      <c r="AE163" s="395">
        <f t="shared" ca="1" si="381"/>
        <v>0</v>
      </c>
      <c r="AF163" s="395">
        <f t="shared" ca="1" si="381"/>
        <v>0</v>
      </c>
      <c r="AG163" s="395">
        <f t="shared" ca="1" si="381"/>
        <v>0</v>
      </c>
      <c r="AH163" s="395">
        <f t="shared" ca="1" si="381"/>
        <v>0</v>
      </c>
      <c r="AI163" s="395">
        <f t="shared" ca="1" si="381"/>
        <v>0</v>
      </c>
      <c r="AJ163" s="395">
        <f t="shared" ca="1" si="381"/>
        <v>0</v>
      </c>
      <c r="AK163" s="395">
        <f t="shared" ca="1" si="381"/>
        <v>0</v>
      </c>
      <c r="AL163" s="395">
        <f t="shared" ca="1" si="381"/>
        <v>0</v>
      </c>
      <c r="AM163" s="395">
        <f t="shared" ca="1" si="381"/>
        <v>0</v>
      </c>
      <c r="AN163" s="395">
        <f t="shared" ca="1" si="381"/>
        <v>0</v>
      </c>
      <c r="AO163" s="395">
        <f t="shared" ca="1" si="381"/>
        <v>0</v>
      </c>
      <c r="AP163" s="395">
        <f t="shared" ca="1" si="381"/>
        <v>0</v>
      </c>
      <c r="AQ163" s="395">
        <f t="shared" ca="1" si="381"/>
        <v>0</v>
      </c>
      <c r="AR163" s="395">
        <f t="shared" ca="1" si="381"/>
        <v>0</v>
      </c>
      <c r="AS163" s="395">
        <f t="shared" ca="1" si="381"/>
        <v>0</v>
      </c>
      <c r="AT163" s="395">
        <f t="shared" ca="1" si="381"/>
        <v>0</v>
      </c>
      <c r="AU163" s="395">
        <f t="shared" ca="1" si="381"/>
        <v>0</v>
      </c>
      <c r="AV163" s="395">
        <f t="shared" ca="1" si="381"/>
        <v>0.3</v>
      </c>
      <c r="AW163" s="395">
        <f t="shared" ca="1" si="381"/>
        <v>0</v>
      </c>
      <c r="AX163" s="395">
        <f t="shared" ca="1" si="381"/>
        <v>9.682890855457248E-3</v>
      </c>
      <c r="AY163" s="395">
        <f t="shared" ca="1" si="381"/>
        <v>5.9439528023598816E-2</v>
      </c>
      <c r="AZ163" s="395">
        <f t="shared" ca="1" si="381"/>
        <v>5.7522123893805302E-2</v>
      </c>
      <c r="BA163" s="395">
        <f t="shared" ca="1" si="381"/>
        <v>5.9439528023598816E-2</v>
      </c>
      <c r="BB163" s="395">
        <f t="shared" ca="1" si="381"/>
        <v>5.9439528023598816E-2</v>
      </c>
      <c r="BC163" s="395">
        <f t="shared" ca="1" si="381"/>
        <v>5.3687315634218281E-2</v>
      </c>
      <c r="BD163" s="395">
        <f t="shared" ca="1" si="381"/>
        <v>5.9439528023598816E-2</v>
      </c>
      <c r="BE163" s="395">
        <f t="shared" ca="1" si="381"/>
        <v>5.7522123893805302E-2</v>
      </c>
      <c r="BF163" s="395">
        <f t="shared" ca="1" si="381"/>
        <v>5.9439528023598816E-2</v>
      </c>
      <c r="BG163" s="395">
        <f t="shared" ca="1" si="381"/>
        <v>5.7522123893805302E-2</v>
      </c>
      <c r="BH163" s="395">
        <f t="shared" ca="1" si="381"/>
        <v>5.9439528023598816E-2</v>
      </c>
      <c r="BI163" s="395">
        <f t="shared" ca="1" si="381"/>
        <v>5.7426253687315604E-2</v>
      </c>
      <c r="BJ163" s="395">
        <f t="shared" ca="1" si="381"/>
        <v>2.5000000000000001E-2</v>
      </c>
      <c r="BK163" s="395">
        <f t="shared" ca="1" si="381"/>
        <v>0</v>
      </c>
      <c r="BL163" s="395">
        <f t="shared" ca="1" si="381"/>
        <v>0</v>
      </c>
      <c r="BM163" s="395">
        <f t="shared" ca="1" si="381"/>
        <v>0</v>
      </c>
      <c r="BN163" s="395">
        <f t="shared" ca="1" si="381"/>
        <v>0</v>
      </c>
      <c r="BO163" s="395">
        <f t="shared" ca="1" si="381"/>
        <v>0</v>
      </c>
      <c r="BP163" s="395">
        <f t="shared" ca="1" si="381"/>
        <v>0</v>
      </c>
      <c r="BQ163" s="395">
        <f t="shared" ca="1" si="381"/>
        <v>0</v>
      </c>
      <c r="BR163" s="395">
        <f t="shared" ca="1" si="381"/>
        <v>0</v>
      </c>
      <c r="BS163" s="395">
        <f t="shared" ca="1" si="381"/>
        <v>0</v>
      </c>
      <c r="BT163" s="395">
        <f t="shared" ca="1" si="381"/>
        <v>0</v>
      </c>
      <c r="BU163" s="395">
        <f t="shared" ref="BU163:EF163" ca="1" si="382">SUM(BU164:BU167)</f>
        <v>0</v>
      </c>
      <c r="BV163" s="395">
        <f t="shared" ca="1" si="382"/>
        <v>0</v>
      </c>
      <c r="BW163" s="395">
        <f t="shared" ca="1" si="382"/>
        <v>0</v>
      </c>
      <c r="BX163" s="395">
        <f t="shared" ca="1" si="382"/>
        <v>0</v>
      </c>
      <c r="BY163" s="395">
        <f t="shared" ca="1" si="382"/>
        <v>0</v>
      </c>
      <c r="BZ163" s="395">
        <f t="shared" ca="1" si="382"/>
        <v>0</v>
      </c>
      <c r="CA163" s="395">
        <f t="shared" ca="1" si="382"/>
        <v>0</v>
      </c>
      <c r="CB163" s="395">
        <f t="shared" ca="1" si="382"/>
        <v>0</v>
      </c>
      <c r="CC163" s="395">
        <f t="shared" ca="1" si="382"/>
        <v>0</v>
      </c>
      <c r="CD163" s="395">
        <f t="shared" ca="1" si="382"/>
        <v>0</v>
      </c>
      <c r="CE163" s="395">
        <f t="shared" ca="1" si="382"/>
        <v>0</v>
      </c>
      <c r="CF163" s="395">
        <f t="shared" ca="1" si="382"/>
        <v>0</v>
      </c>
      <c r="CG163" s="395">
        <f t="shared" ca="1" si="382"/>
        <v>2.5000000000000001E-2</v>
      </c>
      <c r="CH163" s="395">
        <f t="shared" ca="1" si="382"/>
        <v>0</v>
      </c>
      <c r="CI163" s="395">
        <f t="shared" ca="1" si="382"/>
        <v>0</v>
      </c>
      <c r="CJ163" s="395">
        <f t="shared" ca="1" si="382"/>
        <v>0</v>
      </c>
      <c r="CK163" s="395">
        <f t="shared" ca="1" si="382"/>
        <v>0</v>
      </c>
      <c r="CL163" s="395">
        <f t="shared" ca="1" si="382"/>
        <v>0</v>
      </c>
      <c r="CM163" s="395">
        <f t="shared" ca="1" si="382"/>
        <v>0</v>
      </c>
      <c r="CN163" s="395">
        <f t="shared" ca="1" si="382"/>
        <v>0</v>
      </c>
      <c r="CO163" s="395">
        <f t="shared" ca="1" si="382"/>
        <v>0</v>
      </c>
      <c r="CP163" s="395">
        <f t="shared" ca="1" si="382"/>
        <v>0</v>
      </c>
      <c r="CQ163" s="395">
        <f t="shared" ca="1" si="382"/>
        <v>0</v>
      </c>
      <c r="CR163" s="395">
        <f t="shared" ca="1" si="382"/>
        <v>0</v>
      </c>
      <c r="CS163" s="395">
        <f t="shared" ca="1" si="382"/>
        <v>0</v>
      </c>
      <c r="CT163" s="395">
        <f t="shared" ca="1" si="382"/>
        <v>0</v>
      </c>
      <c r="CU163" s="395">
        <f t="shared" ca="1" si="382"/>
        <v>0</v>
      </c>
      <c r="CV163" s="395">
        <f t="shared" ca="1" si="382"/>
        <v>0</v>
      </c>
      <c r="CW163" s="395">
        <f t="shared" ca="1" si="382"/>
        <v>0</v>
      </c>
      <c r="CX163" s="395">
        <f t="shared" ca="1" si="382"/>
        <v>0</v>
      </c>
      <c r="CY163" s="395">
        <f t="shared" ca="1" si="382"/>
        <v>0</v>
      </c>
      <c r="CZ163" s="395">
        <f t="shared" ca="1" si="382"/>
        <v>0</v>
      </c>
      <c r="DA163" s="395">
        <f t="shared" ca="1" si="382"/>
        <v>0</v>
      </c>
      <c r="DB163" s="395">
        <f t="shared" ca="1" si="382"/>
        <v>0</v>
      </c>
      <c r="DC163" s="395">
        <f t="shared" ca="1" si="382"/>
        <v>0</v>
      </c>
      <c r="DD163" s="395">
        <f t="shared" ca="1" si="382"/>
        <v>0</v>
      </c>
      <c r="DE163" s="395">
        <f t="shared" ca="1" si="382"/>
        <v>0</v>
      </c>
      <c r="DF163" s="395">
        <f t="shared" ca="1" si="382"/>
        <v>0</v>
      </c>
      <c r="DG163" s="395">
        <f t="shared" ca="1" si="382"/>
        <v>0</v>
      </c>
      <c r="DH163" s="395">
        <f t="shared" ca="1" si="382"/>
        <v>0</v>
      </c>
      <c r="DI163" s="395">
        <f t="shared" ca="1" si="382"/>
        <v>0</v>
      </c>
      <c r="DJ163" s="395">
        <f t="shared" ca="1" si="382"/>
        <v>0</v>
      </c>
      <c r="DK163" s="395">
        <f t="shared" ca="1" si="382"/>
        <v>0</v>
      </c>
      <c r="DL163" s="395">
        <f t="shared" ca="1" si="382"/>
        <v>0</v>
      </c>
      <c r="DM163" s="395">
        <f t="shared" ca="1" si="382"/>
        <v>0</v>
      </c>
      <c r="DN163" s="395">
        <f t="shared" ca="1" si="382"/>
        <v>0</v>
      </c>
      <c r="DO163" s="395">
        <f t="shared" ca="1" si="382"/>
        <v>0</v>
      </c>
      <c r="DP163" s="395">
        <f t="shared" ca="1" si="382"/>
        <v>0</v>
      </c>
      <c r="DQ163" s="395">
        <f t="shared" ca="1" si="382"/>
        <v>0</v>
      </c>
      <c r="DR163" s="395">
        <f t="shared" ca="1" si="382"/>
        <v>0</v>
      </c>
      <c r="DS163" s="395">
        <f t="shared" ca="1" si="382"/>
        <v>0</v>
      </c>
      <c r="DT163" s="395">
        <f t="shared" ca="1" si="382"/>
        <v>0</v>
      </c>
      <c r="DU163" s="395">
        <f t="shared" ca="1" si="382"/>
        <v>0</v>
      </c>
      <c r="DV163" s="395">
        <f t="shared" ca="1" si="382"/>
        <v>0</v>
      </c>
      <c r="DW163" s="395">
        <f t="shared" ca="1" si="382"/>
        <v>0</v>
      </c>
      <c r="DX163" s="395">
        <f t="shared" ca="1" si="382"/>
        <v>0</v>
      </c>
      <c r="DY163" s="395">
        <f t="shared" ca="1" si="382"/>
        <v>0</v>
      </c>
      <c r="DZ163" s="395">
        <f t="shared" ca="1" si="382"/>
        <v>0</v>
      </c>
      <c r="EA163" s="395">
        <f t="shared" ca="1" si="382"/>
        <v>0</v>
      </c>
      <c r="EB163" s="395">
        <f t="shared" ca="1" si="382"/>
        <v>0</v>
      </c>
      <c r="EC163" s="395">
        <f t="shared" ca="1" si="382"/>
        <v>0</v>
      </c>
      <c r="ED163" s="395">
        <f t="shared" ca="1" si="382"/>
        <v>0</v>
      </c>
      <c r="EE163" s="395">
        <f t="shared" ca="1" si="382"/>
        <v>0</v>
      </c>
      <c r="EF163" s="395">
        <f t="shared" ca="1" si="382"/>
        <v>0</v>
      </c>
      <c r="EG163" s="395">
        <f t="shared" ref="EG163:EI163" ca="1" si="383">SUM(EG164:EG167)</f>
        <v>0</v>
      </c>
      <c r="EH163" s="395">
        <f t="shared" ca="1" si="383"/>
        <v>0</v>
      </c>
      <c r="EI163" s="395">
        <f t="shared" ca="1" si="383"/>
        <v>0</v>
      </c>
      <c r="EJ163" s="398"/>
      <c r="EK163" s="313"/>
    </row>
    <row r="164" spans="1:141" hidden="1" outlineLevel="2">
      <c r="A164" s="332"/>
      <c r="B164" s="548">
        <f>B144</f>
        <v>0.3</v>
      </c>
      <c r="C164" s="317"/>
      <c r="D164" s="317" t="s">
        <v>664</v>
      </c>
      <c r="E164" s="318">
        <f t="shared" ref="E164:E167" ca="1" si="384">IF(F164=0,0,B164-F164)</f>
        <v>0</v>
      </c>
      <c r="F164" s="397">
        <f t="shared" ca="1" si="380"/>
        <v>0.3</v>
      </c>
      <c r="G164" s="395"/>
      <c r="H164" s="395">
        <f ca="1">IF(SUM($G164:G164)=$B164,0,IF(J165&gt;0%,$B164,0%))</f>
        <v>0</v>
      </c>
      <c r="I164" s="395">
        <f ca="1">IF(SUM($G164:H164)=$B164,0,IF(K165&gt;0%,$B164,0%))</f>
        <v>0</v>
      </c>
      <c r="J164" s="395">
        <f ca="1">IF(SUM($G164:I164)=$B164,0,IF(L165&gt;0%,$B164,0%))</f>
        <v>0</v>
      </c>
      <c r="K164" s="395">
        <f ca="1">IF(SUM($G164:J164)=$B164,0,IF(M165&gt;0%,$B164,0%))</f>
        <v>0</v>
      </c>
      <c r="L164" s="395">
        <f ca="1">IF(SUM($G164:K164)=$B164,0,IF(N165&gt;0%,$B164,0%))</f>
        <v>0</v>
      </c>
      <c r="M164" s="395">
        <f ca="1">IF(SUM($G164:L164)=$B164,0,IF(O165&gt;0%,$B164,0%))</f>
        <v>0</v>
      </c>
      <c r="N164" s="395">
        <f ca="1">IF(SUM($G164:M164)=$B164,0,IF(P165&gt;0%,$B164,0%))</f>
        <v>0</v>
      </c>
      <c r="O164" s="395">
        <f ca="1">IF(SUM($G164:N164)=$B164,0,IF(Q165&gt;0%,$B164,0%))</f>
        <v>0</v>
      </c>
      <c r="P164" s="395">
        <f ca="1">IF(SUM($G164:O164)=$B164,0,IF(R165&gt;0%,$B164,0%))</f>
        <v>0</v>
      </c>
      <c r="Q164" s="395">
        <f ca="1">IF(SUM($G164:P164)=$B164,0,IF(S165&gt;0%,$B164,0%))</f>
        <v>0</v>
      </c>
      <c r="R164" s="395">
        <f ca="1">IF(SUM($G164:Q164)=$B164,0,IF(T165&gt;0%,$B164,0%))</f>
        <v>0</v>
      </c>
      <c r="S164" s="395">
        <f ca="1">IF(SUM($G164:R164)=$B164,0,IF(U165&gt;0%,$B164,0%))</f>
        <v>0</v>
      </c>
      <c r="T164" s="395">
        <f ca="1">IF(SUM($G164:S164)=$B164,0,IF(V165&gt;0%,$B164,0%))</f>
        <v>0</v>
      </c>
      <c r="U164" s="395">
        <f ca="1">IF(SUM($G164:T164)=$B164,0,IF(W165&gt;0%,$B164,0%))</f>
        <v>0</v>
      </c>
      <c r="V164" s="395">
        <f ca="1">IF(SUM($G164:U164)=$B164,0,IF(X165&gt;0%,$B164,0%))</f>
        <v>0</v>
      </c>
      <c r="W164" s="395">
        <f ca="1">IF(SUM($G164:V164)=$B164,0,IF(Y165&gt;0%,$B164,0%))</f>
        <v>0</v>
      </c>
      <c r="X164" s="395">
        <f ca="1">IF(SUM($G164:W164)=$B164,0,IF(Z165&gt;0%,$B164,0%))</f>
        <v>0</v>
      </c>
      <c r="Y164" s="395">
        <f ca="1">IF(SUM($G164:X164)=$B164,0,IF(AA165&gt;0%,$B164,0%))</f>
        <v>0</v>
      </c>
      <c r="Z164" s="395">
        <f ca="1">IF(SUM($G164:Y164)=$B164,0,IF(AB165&gt;0%,$B164,0%))</f>
        <v>0</v>
      </c>
      <c r="AA164" s="395">
        <f ca="1">IF(SUM($G164:Z164)=$B164,0,IF(AC165&gt;0%,$B164,0%))</f>
        <v>0</v>
      </c>
      <c r="AB164" s="395">
        <f ca="1">IF(SUM($G164:AA164)=$B164,0,IF(AD165&gt;0%,$B164,0%))</f>
        <v>0</v>
      </c>
      <c r="AC164" s="395">
        <f ca="1">IF(SUM($G164:AB164)=$B164,0,IF(AE165&gt;0%,$B164,0%))</f>
        <v>0</v>
      </c>
      <c r="AD164" s="395">
        <f ca="1">IF(SUM($G164:AC164)=$B164,0,IF(AF165&gt;0%,$B164,0%))</f>
        <v>0</v>
      </c>
      <c r="AE164" s="395">
        <f ca="1">IF(SUM($G164:AD164)=$B164,0,IF(AG165&gt;0%,$B164,0%))</f>
        <v>0</v>
      </c>
      <c r="AF164" s="395">
        <f ca="1">IF(SUM($G164:AE164)=$B164,0,IF(AH165&gt;0%,$B164,0%))</f>
        <v>0</v>
      </c>
      <c r="AG164" s="395">
        <f ca="1">IF(SUM($G164:AF164)=$B164,0,IF(AI165&gt;0%,$B164,0%))</f>
        <v>0</v>
      </c>
      <c r="AH164" s="395">
        <f ca="1">IF(SUM($G164:AG164)=$B164,0,IF(AJ165&gt;0%,$B164,0%))</f>
        <v>0</v>
      </c>
      <c r="AI164" s="395">
        <f ca="1">IF(SUM($G164:AH164)=$B164,0,IF(AK165&gt;0%,$B164,0%))</f>
        <v>0</v>
      </c>
      <c r="AJ164" s="395">
        <f ca="1">IF(SUM($G164:AI164)=$B164,0,IF(AL165&gt;0%,$B164,0%))</f>
        <v>0</v>
      </c>
      <c r="AK164" s="395">
        <f ca="1">IF(SUM($G164:AJ164)=$B164,0,IF(AM165&gt;0%,$B164,0%))</f>
        <v>0</v>
      </c>
      <c r="AL164" s="395">
        <f ca="1">IF(SUM($G164:AK164)=$B164,0,IF(AN165&gt;0%,$B164,0%))</f>
        <v>0</v>
      </c>
      <c r="AM164" s="395">
        <f ca="1">IF(SUM($G164:AL164)=$B164,0,IF(AO165&gt;0%,$B164,0%))</f>
        <v>0</v>
      </c>
      <c r="AN164" s="395">
        <f ca="1">IF(SUM($G164:AM164)=$B164,0,IF(AP165&gt;0%,$B164,0%))</f>
        <v>0</v>
      </c>
      <c r="AO164" s="395">
        <f ca="1">IF(SUM($G164:AN164)=$B164,0,IF(AQ165&gt;0%,$B164,0%))</f>
        <v>0</v>
      </c>
      <c r="AP164" s="395">
        <f ca="1">IF(SUM($G164:AO164)=$B164,0,IF(AR165&gt;0%,$B164,0%))</f>
        <v>0</v>
      </c>
      <c r="AQ164" s="395">
        <f ca="1">IF(SUM($G164:AP164)=$B164,0,IF(AS165&gt;0%,$B164,0%))</f>
        <v>0</v>
      </c>
      <c r="AR164" s="395">
        <f ca="1">IF(SUM($G164:AQ164)=$B164,0,IF(AT165&gt;0%,$B164,0%))</f>
        <v>0</v>
      </c>
      <c r="AS164" s="395">
        <f ca="1">IF(SUM($G164:AR164)=$B164,0,IF(AU165&gt;0%,$B164,0%))</f>
        <v>0</v>
      </c>
      <c r="AT164" s="395">
        <f ca="1">IF(SUM($G164:AS164)=$B164,0,IF(AV165&gt;0%,$B164,0%))</f>
        <v>0</v>
      </c>
      <c r="AU164" s="395">
        <f ca="1">IF(SUM($G164:AT164)=$B164,0,IF(AW165&gt;0%,$B164,0%))</f>
        <v>0</v>
      </c>
      <c r="AV164" s="395">
        <f ca="1">IF(SUM($G164:AU164)=$B164,0,IF(AX165&gt;0%,$B164,0%))</f>
        <v>0.3</v>
      </c>
      <c r="AW164" s="395">
        <f ca="1">IF(SUM($G164:AV164)=$B164,0,IF(AY165&gt;0%,$B164,0%))</f>
        <v>0</v>
      </c>
      <c r="AX164" s="395">
        <f ca="1">IF(SUM($G164:AW164)=$B164,0,IF(AZ165&gt;0%,$B164,0%))</f>
        <v>0</v>
      </c>
      <c r="AY164" s="395">
        <f ca="1">IF(SUM($G164:AX164)=$B164,0,IF(BA165&gt;0%,$B164,0%))</f>
        <v>0</v>
      </c>
      <c r="AZ164" s="395">
        <f ca="1">IF(SUM($G164:AY164)=$B164,0,IF(BB165&gt;0%,$B164,0%))</f>
        <v>0</v>
      </c>
      <c r="BA164" s="395">
        <f ca="1">IF(SUM($G164:AZ164)=$B164,0,IF(BC165&gt;0%,$B164,0%))</f>
        <v>0</v>
      </c>
      <c r="BB164" s="395">
        <f ca="1">IF(SUM($G164:BA164)=$B164,0,IF(BD165&gt;0%,$B164,0%))</f>
        <v>0</v>
      </c>
      <c r="BC164" s="395">
        <f ca="1">IF(SUM($G164:BB164)=$B164,0,IF(BE165&gt;0%,$B164,0%))</f>
        <v>0</v>
      </c>
      <c r="BD164" s="395">
        <f ca="1">IF(SUM($G164:BC164)=$B164,0,IF(BF165&gt;0%,$B164,0%))</f>
        <v>0</v>
      </c>
      <c r="BE164" s="395">
        <f ca="1">IF(SUM($G164:BD164)=$B164,0,IF(BG165&gt;0%,$B164,0%))</f>
        <v>0</v>
      </c>
      <c r="BF164" s="395">
        <f ca="1">IF(SUM($G164:BE164)=$B164,0,IF(BH165&gt;0%,$B164,0%))</f>
        <v>0</v>
      </c>
      <c r="BG164" s="395">
        <f ca="1">IF(SUM($G164:BF164)=$B164,0,IF(BI165&gt;0%,$B164,0%))</f>
        <v>0</v>
      </c>
      <c r="BH164" s="395">
        <f ca="1">IF(SUM($G164:BG164)=$B164,0,IF(BJ165&gt;0%,$B164,0%))</f>
        <v>0</v>
      </c>
      <c r="BI164" s="395">
        <f ca="1">IF(SUM($G164:BH164)=$B164,0,IF(BK165&gt;0%,$B164,0%))</f>
        <v>0</v>
      </c>
      <c r="BJ164" s="395">
        <f ca="1">IF(SUM($G164:BI164)=$B164,0,IF(BL165&gt;0%,$B164,0%))</f>
        <v>0</v>
      </c>
      <c r="BK164" s="395">
        <f ca="1">IF(SUM($G164:BJ164)=$B164,0,IF(BM165&gt;0%,$B164,0%))</f>
        <v>0</v>
      </c>
      <c r="BL164" s="395">
        <f ca="1">IF(SUM($G164:BK164)=$B164,0,IF(BN165&gt;0%,$B164,0%))</f>
        <v>0</v>
      </c>
      <c r="BM164" s="395">
        <f ca="1">IF(SUM($G164:BL164)=$B164,0,IF(BO165&gt;0%,$B164,0%))</f>
        <v>0</v>
      </c>
      <c r="BN164" s="395">
        <f ca="1">IF(SUM($G164:BM164)=$B164,0,IF(BP165&gt;0%,$B164,0%))</f>
        <v>0</v>
      </c>
      <c r="BO164" s="395">
        <f ca="1">IF(SUM($G164:BN164)=$B164,0,IF(BQ165&gt;0%,$B164,0%))</f>
        <v>0</v>
      </c>
      <c r="BP164" s="395">
        <f ca="1">IF(SUM($G164:BO164)=$B164,0,IF(BR165&gt;0%,$B164,0%))</f>
        <v>0</v>
      </c>
      <c r="BQ164" s="395">
        <f ca="1">IF(SUM($G164:BP164)=$B164,0,IF(BS165&gt;0%,$B164,0%))</f>
        <v>0</v>
      </c>
      <c r="BR164" s="395">
        <f ca="1">IF(SUM($G164:BQ164)=$B164,0,IF(BT165&gt;0%,$B164,0%))</f>
        <v>0</v>
      </c>
      <c r="BS164" s="395">
        <f ca="1">IF(SUM($G164:BR164)=$B164,0,IF(BU165&gt;0%,$B164,0%))</f>
        <v>0</v>
      </c>
      <c r="BT164" s="395">
        <f ca="1">IF(SUM($G164:BS164)=$B164,0,IF(BV165&gt;0%,$B164,0%))</f>
        <v>0</v>
      </c>
      <c r="BU164" s="395">
        <f ca="1">IF(SUM($G164:BT164)=$B164,0,IF(BW165&gt;0%,$B164,0%))</f>
        <v>0</v>
      </c>
      <c r="BV164" s="395">
        <f ca="1">IF(SUM($G164:BU164)=$B164,0,IF(BX165&gt;0%,$B164,0%))</f>
        <v>0</v>
      </c>
      <c r="BW164" s="395">
        <f ca="1">IF(SUM($G164:BV164)=$B164,0,IF(BY165&gt;0%,$B164,0%))</f>
        <v>0</v>
      </c>
      <c r="BX164" s="395">
        <f ca="1">IF(SUM($G164:BW164)=$B164,0,IF(BZ165&gt;0%,$B164,0%))</f>
        <v>0</v>
      </c>
      <c r="BY164" s="395">
        <f ca="1">IF(SUM($G164:BX164)=$B164,0,IF(CA165&gt;0%,$B164,0%))</f>
        <v>0</v>
      </c>
      <c r="BZ164" s="395">
        <f ca="1">IF(SUM($G164:BY164)=$B164,0,IF(CB165&gt;0%,$B164,0%))</f>
        <v>0</v>
      </c>
      <c r="CA164" s="395">
        <f ca="1">IF(SUM($G164:BZ164)=$B164,0,IF(CC165&gt;0%,$B164,0%))</f>
        <v>0</v>
      </c>
      <c r="CB164" s="395">
        <f ca="1">IF(SUM($G164:CA164)=$B164,0,IF(CD165&gt;0%,$B164,0%))</f>
        <v>0</v>
      </c>
      <c r="CC164" s="395">
        <f ca="1">IF(SUM($G164:CB164)=$B164,0,IF(CE165&gt;0%,$B164,0%))</f>
        <v>0</v>
      </c>
      <c r="CD164" s="395">
        <f ca="1">IF(SUM($G164:CC164)=$B164,0,IF(CF165&gt;0%,$B164,0%))</f>
        <v>0</v>
      </c>
      <c r="CE164" s="395">
        <f ca="1">IF(SUM($G164:CD164)=$B164,0,IF(CG165&gt;0%,$B164,0%))</f>
        <v>0</v>
      </c>
      <c r="CF164" s="395">
        <f ca="1">IF(SUM($G164:CE164)=$B164,0,IF(CH165&gt;0%,$B164,0%))</f>
        <v>0</v>
      </c>
      <c r="CG164" s="395">
        <f ca="1">IF(SUM($G164:CF164)=$B164,0,IF(CI165&gt;0%,$B164,0%))</f>
        <v>0</v>
      </c>
      <c r="CH164" s="395">
        <f ca="1">IF(SUM($G164:CG164)=$B164,0,IF(CJ165&gt;0%,$B164,0%))</f>
        <v>0</v>
      </c>
      <c r="CI164" s="395">
        <f ca="1">IF(SUM($G164:CH164)=$B164,0,IF(CK165&gt;0%,$B164,0%))</f>
        <v>0</v>
      </c>
      <c r="CJ164" s="395">
        <f ca="1">IF(SUM($G164:CI164)=$B164,0,IF(CL165&gt;0%,$B164,0%))</f>
        <v>0</v>
      </c>
      <c r="CK164" s="395">
        <f ca="1">IF(SUM($G164:CJ164)=$B164,0,IF(CM165&gt;0%,$B164,0%))</f>
        <v>0</v>
      </c>
      <c r="CL164" s="395">
        <f ca="1">IF(SUM($G164:CK164)=$B164,0,IF(CN165&gt;0%,$B164,0%))</f>
        <v>0</v>
      </c>
      <c r="CM164" s="395">
        <f ca="1">IF(SUM($G164:CL164)=$B164,0,IF(CO165&gt;0%,$B164,0%))</f>
        <v>0</v>
      </c>
      <c r="CN164" s="395">
        <f ca="1">IF(SUM($G164:CM164)=$B164,0,IF(CP165&gt;0%,$B164,0%))</f>
        <v>0</v>
      </c>
      <c r="CO164" s="395">
        <f ca="1">IF(SUM($G164:CN164)=$B164,0,IF(CQ165&gt;0%,$B164,0%))</f>
        <v>0</v>
      </c>
      <c r="CP164" s="395">
        <f ca="1">IF(SUM($G164:CO164)=$B164,0,IF(CR165&gt;0%,$B164,0%))</f>
        <v>0</v>
      </c>
      <c r="CQ164" s="395">
        <f ca="1">IF(SUM($G164:CP164)=$B164,0,IF(CS165&gt;0%,$B164,0%))</f>
        <v>0</v>
      </c>
      <c r="CR164" s="395">
        <f ca="1">IF(SUM($G164:CQ164)=$B164,0,IF(CT165&gt;0%,$B164,0%))</f>
        <v>0</v>
      </c>
      <c r="CS164" s="395">
        <f ca="1">IF(SUM($G164:CR164)=$B164,0,IF(CU165&gt;0%,$B164,0%))</f>
        <v>0</v>
      </c>
      <c r="CT164" s="395">
        <f ca="1">IF(SUM($G164:CS164)=$B164,0,IF(CV165&gt;0%,$B164,0%))</f>
        <v>0</v>
      </c>
      <c r="CU164" s="395">
        <f ca="1">IF(SUM($G164:CT164)=$B164,0,IF(CW165&gt;0%,$B164,0%))</f>
        <v>0</v>
      </c>
      <c r="CV164" s="395">
        <f ca="1">IF(SUM($G164:CU164)=$B164,0,IF(CX165&gt;0%,$B164,0%))</f>
        <v>0</v>
      </c>
      <c r="CW164" s="395">
        <f ca="1">IF(SUM($G164:CV164)=$B164,0,IF(CY165&gt;0%,$B164,0%))</f>
        <v>0</v>
      </c>
      <c r="CX164" s="395">
        <f ca="1">IF(SUM($G164:CW164)=$B164,0,IF(CZ165&gt;0%,$B164,0%))</f>
        <v>0</v>
      </c>
      <c r="CY164" s="395">
        <f ca="1">IF(SUM($G164:CX164)=$B164,0,IF(DA165&gt;0%,$B164,0%))</f>
        <v>0</v>
      </c>
      <c r="CZ164" s="395">
        <f ca="1">IF(SUM($G164:CY164)=$B164,0,IF(DB165&gt;0%,$B164,0%))</f>
        <v>0</v>
      </c>
      <c r="DA164" s="395">
        <f ca="1">IF(SUM($G164:CZ164)=$B164,0,IF(DC165&gt;0%,$B164,0%))</f>
        <v>0</v>
      </c>
      <c r="DB164" s="395">
        <f ca="1">IF(SUM($G164:DA164)=$B164,0,IF(DD165&gt;0%,$B164,0%))</f>
        <v>0</v>
      </c>
      <c r="DC164" s="395">
        <f ca="1">IF(SUM($G164:DB164)=$B164,0,IF(DE165&gt;0%,$B164,0%))</f>
        <v>0</v>
      </c>
      <c r="DD164" s="395">
        <f ca="1">IF(SUM($G164:DC164)=$B164,0,IF(DF165&gt;0%,$B164,0%))</f>
        <v>0</v>
      </c>
      <c r="DE164" s="395">
        <f ca="1">IF(SUM($G164:DD164)=$B164,0,IF(DG165&gt;0%,$B164,0%))</f>
        <v>0</v>
      </c>
      <c r="DF164" s="395">
        <f ca="1">IF(SUM($G164:DE164)=$B164,0,IF(DH165&gt;0%,$B164,0%))</f>
        <v>0</v>
      </c>
      <c r="DG164" s="395">
        <f ca="1">IF(SUM($G164:DF164)=$B164,0,IF(DI165&gt;0%,$B164,0%))</f>
        <v>0</v>
      </c>
      <c r="DH164" s="395">
        <f ca="1">IF(SUM($G164:DG164)=$B164,0,IF(DJ165&gt;0%,$B164,0%))</f>
        <v>0</v>
      </c>
      <c r="DI164" s="395">
        <f ca="1">IF(SUM($G164:DH164)=$B164,0,IF(DK165&gt;0%,$B164,0%))</f>
        <v>0</v>
      </c>
      <c r="DJ164" s="395">
        <f ca="1">IF(SUM($G164:DI164)=$B164,0,IF(DL165&gt;0%,$B164,0%))</f>
        <v>0</v>
      </c>
      <c r="DK164" s="395">
        <f ca="1">IF(SUM($G164:DJ164)=$B164,0,IF(DM165&gt;0%,$B164,0%))</f>
        <v>0</v>
      </c>
      <c r="DL164" s="395">
        <f ca="1">IF(SUM($G164:DK164)=$B164,0,IF(DN165&gt;0%,$B164,0%))</f>
        <v>0</v>
      </c>
      <c r="DM164" s="395">
        <f ca="1">IF(SUM($G164:DL164)=$B164,0,IF(DO165&gt;0%,$B164,0%))</f>
        <v>0</v>
      </c>
      <c r="DN164" s="395">
        <f ca="1">IF(SUM($G164:DM164)=$B164,0,IF(DP165&gt;0%,$B164,0%))</f>
        <v>0</v>
      </c>
      <c r="DO164" s="395">
        <f ca="1">IF(SUM($G164:DN164)=$B164,0,IF(DQ165&gt;0%,$B164,0%))</f>
        <v>0</v>
      </c>
      <c r="DP164" s="395">
        <f ca="1">IF(SUM($G164:DO164)=$B164,0,IF(DR165&gt;0%,$B164,0%))</f>
        <v>0</v>
      </c>
      <c r="DQ164" s="395">
        <f ca="1">IF(SUM($G164:DP164)=$B164,0,IF(DS165&gt;0%,$B164,0%))</f>
        <v>0</v>
      </c>
      <c r="DR164" s="395">
        <f ca="1">IF(SUM($G164:DQ164)=$B164,0,IF(DT165&gt;0%,$B164,0%))</f>
        <v>0</v>
      </c>
      <c r="DS164" s="395">
        <f ca="1">IF(SUM($G164:DR164)=$B164,0,IF(DU165&gt;0%,$B164,0%))</f>
        <v>0</v>
      </c>
      <c r="DT164" s="395">
        <f ca="1">IF(SUM($G164:DS164)=$B164,0,IF(DV165&gt;0%,$B164,0%))</f>
        <v>0</v>
      </c>
      <c r="DU164" s="395">
        <f ca="1">IF(SUM($G164:DT164)=$B164,0,IF(DW165&gt;0%,$B164,0%))</f>
        <v>0</v>
      </c>
      <c r="DV164" s="395">
        <f ca="1">IF(SUM($G164:DU164)=$B164,0,IF(DX165&gt;0%,$B164,0%))</f>
        <v>0</v>
      </c>
      <c r="DW164" s="395">
        <f ca="1">IF(SUM($G164:DV164)=$B164,0,IF(DY165&gt;0%,$B164,0%))</f>
        <v>0</v>
      </c>
      <c r="DX164" s="395">
        <f ca="1">IF(SUM($G164:DW164)=$B164,0,IF(DZ165&gt;0%,$B164,0%))</f>
        <v>0</v>
      </c>
      <c r="DY164" s="395">
        <f ca="1">IF(SUM($G164:DX164)=$B164,0,IF(EA165&gt;0%,$B164,0%))</f>
        <v>0</v>
      </c>
      <c r="DZ164" s="395">
        <f ca="1">IF(SUM($G164:DY164)=$B164,0,IF(EB165&gt;0%,$B164,0%))</f>
        <v>0</v>
      </c>
      <c r="EA164" s="395">
        <f ca="1">IF(SUM($G164:DZ164)=$B164,0,IF(EC165&gt;0%,$B164,0%))</f>
        <v>0</v>
      </c>
      <c r="EB164" s="395">
        <f ca="1">IF(SUM($G164:EA164)=$B164,0,IF(ED165&gt;0%,$B164,0%))</f>
        <v>0</v>
      </c>
      <c r="EC164" s="395">
        <f ca="1">IF(SUM($G164:EB164)=$B164,0,IF(EE165&gt;0%,$B164,0%))</f>
        <v>0</v>
      </c>
      <c r="ED164" s="395">
        <f ca="1">IF(SUM($G164:EC164)=$B164,0,IF(EF165&gt;0%,$B164,0%))</f>
        <v>0</v>
      </c>
      <c r="EE164" s="395">
        <f ca="1">IF(SUM($G164:ED164)=$B164,0,IF(EG165&gt;0%,$B164,0%))</f>
        <v>0</v>
      </c>
      <c r="EF164" s="395">
        <f ca="1">IF(SUM($G164:EE164)=$B164,0,IF(EH165&gt;0%,$B164,0%))</f>
        <v>0</v>
      </c>
      <c r="EG164" s="395">
        <f ca="1">IF(SUM($G164:EF164)=$B164,0,IF(EI165&gt;0%,$B164,0%))</f>
        <v>0</v>
      </c>
      <c r="EH164" s="395">
        <f ca="1">IF(SUM($G164:EG164)=$B164,0,IF(EJ165&gt;0%,$B164,0%))</f>
        <v>0</v>
      </c>
      <c r="EI164" s="395">
        <f ca="1">IF(SUM($G164:EH164)=$B164,0,IF(EK165&gt;0%,$B164,0%))</f>
        <v>0</v>
      </c>
      <c r="EJ164" s="398"/>
      <c r="EK164" s="313"/>
    </row>
    <row r="165" spans="1:141" hidden="1" outlineLevel="2">
      <c r="A165" s="332"/>
      <c r="B165" s="548">
        <f t="shared" ref="B165:B167" si="385">B145</f>
        <v>0.64999999999999991</v>
      </c>
      <c r="C165" s="317"/>
      <c r="D165" s="317" t="s">
        <v>663</v>
      </c>
      <c r="E165" s="550">
        <f ca="1">ROUND(IF(F165=0,0,B165-F165),4)</f>
        <v>0</v>
      </c>
      <c r="F165" s="397">
        <f t="shared" ca="1" si="380"/>
        <v>0.64999999999999991</v>
      </c>
      <c r="G165" s="395"/>
      <c r="H165" s="395"/>
      <c r="I165" s="395">
        <f ca="1">IF($E$334=0,0,IF(SUM($G165:H165)=$B165,0,IF(SUM($G334:H334)&gt;=$E334,($B165/$E334)*($E334-SUM($G334:G334)),($B165/$E334)*H334)))</f>
        <v>0</v>
      </c>
      <c r="J165" s="395">
        <f ca="1">IF($E$334=0,0,IF(SUM($G165:I165)=$B165,0,IF(SUM($G334:I334)&gt;=$E334,($B165/$E334)*($E334-SUM($G334:H334)),($B165/$E334)*I334)))</f>
        <v>0</v>
      </c>
      <c r="K165" s="395">
        <f ca="1">IF($E$334=0,0,IF(SUM($G165:J165)=$B165,0,IF(SUM($G334:J334)&gt;=$E334,($B165/$E334)*($E334-SUM($G334:I334)),($B165/$E334)*J334)))</f>
        <v>0</v>
      </c>
      <c r="L165" s="395">
        <f ca="1">IF($E$334=0,0,IF(SUM($G165:K165)=$B165,0,IF(SUM($G334:K334)&gt;=$E334,($B165/$E334)*($E334-SUM($G334:J334)),($B165/$E334)*K334)))</f>
        <v>0</v>
      </c>
      <c r="M165" s="395">
        <f ca="1">IF($E$334=0,0,IF(SUM($G165:L165)=$B165,0,IF(SUM($G334:L334)&gt;=$E334,($B165/$E334)*($E334-SUM($G334:K334)),($B165/$E334)*L334)))</f>
        <v>0</v>
      </c>
      <c r="N165" s="395">
        <f ca="1">IF($E$334=0,0,IF(SUM($G165:M165)=$B165,0,IF(SUM($G334:M334)&gt;=$E334,($B165/$E334)*($E334-SUM($G334:L334)),($B165/$E334)*M334)))</f>
        <v>0</v>
      </c>
      <c r="O165" s="395">
        <f ca="1">IF($E$334=0,0,IF(SUM($G165:N165)=$B165,0,IF(SUM($G334:N334)&gt;=$E334,($B165/$E334)*($E334-SUM($G334:M334)),($B165/$E334)*N334)))</f>
        <v>0</v>
      </c>
      <c r="P165" s="395">
        <f ca="1">IF($E$334=0,0,IF(SUM($G165:O165)=$B165,0,IF(SUM($G334:O334)&gt;=$E334,($B165/$E334)*($E334-SUM($G334:N334)),($B165/$E334)*O334)))</f>
        <v>0</v>
      </c>
      <c r="Q165" s="395">
        <f ca="1">IF($E$334=0,0,IF(SUM($G165:P165)=$B165,0,IF(SUM($G334:P334)&gt;=$E334,($B165/$E334)*($E334-SUM($G334:O334)),($B165/$E334)*P334)))</f>
        <v>0</v>
      </c>
      <c r="R165" s="395">
        <f ca="1">IF($E$334=0,0,IF(SUM($G165:Q165)=$B165,0,IF(SUM($G334:Q334)&gt;=$E334,($B165/$E334)*($E334-SUM($G334:P334)),($B165/$E334)*Q334)))</f>
        <v>0</v>
      </c>
      <c r="S165" s="395">
        <f ca="1">IF($E$334=0,0,IF(SUM($G165:R165)=$B165,0,IF(SUM($G334:R334)&gt;=$E334,($B165/$E334)*($E334-SUM($G334:Q334)),($B165/$E334)*R334)))</f>
        <v>0</v>
      </c>
      <c r="T165" s="395">
        <f ca="1">IF($E$334=0,0,IF(SUM($G165:S165)=$B165,0,IF(SUM($G334:S334)&gt;=$E334,($B165/$E334)*($E334-SUM($G334:R334)),($B165/$E334)*S334)))</f>
        <v>0</v>
      </c>
      <c r="U165" s="395">
        <f ca="1">IF($E$334=0,0,IF(SUM($G165:T165)=$B165,0,IF(SUM($G334:T334)&gt;=$E334,($B165/$E334)*($E334-SUM($G334:S334)),($B165/$E334)*T334)))</f>
        <v>0</v>
      </c>
      <c r="V165" s="395">
        <f ca="1">IF($E$334=0,0,IF(SUM($G165:U165)=$B165,0,IF(SUM($G334:U334)&gt;=$E334,($B165/$E334)*($E334-SUM($G334:T334)),($B165/$E334)*U334)))</f>
        <v>0</v>
      </c>
      <c r="W165" s="395">
        <f ca="1">IF($E$334=0,0,IF(SUM($G165:V165)=$B165,0,IF(SUM($G334:V334)&gt;=$E334,($B165/$E334)*($E334-SUM($G334:U334)),($B165/$E334)*V334)))</f>
        <v>0</v>
      </c>
      <c r="X165" s="395">
        <f ca="1">IF($E$334=0,0,IF(SUM($G165:W165)=$B165,0,IF(SUM($G334:W334)&gt;=$E334,($B165/$E334)*($E334-SUM($G334:V334)),($B165/$E334)*W334)))</f>
        <v>0</v>
      </c>
      <c r="Y165" s="395">
        <f ca="1">IF($E$334=0,0,IF(SUM($G165:X165)=$B165,0,IF(SUM($G334:X334)&gt;=$E334,($B165/$E334)*($E334-SUM($G334:W334)),($B165/$E334)*X334)))</f>
        <v>0</v>
      </c>
      <c r="Z165" s="395">
        <f ca="1">IF($E$334=0,0,IF(SUM($G165:Y165)=$B165,0,IF(SUM($G334:Y334)&gt;=$E334,($B165/$E334)*($E334-SUM($G334:X334)),($B165/$E334)*Y334)))</f>
        <v>0</v>
      </c>
      <c r="AA165" s="395">
        <f ca="1">IF($E$334=0,0,IF(SUM($G165:Z165)=$B165,0,IF(SUM($G334:Z334)&gt;=$E334,($B165/$E334)*($E334-SUM($G334:Y334)),($B165/$E334)*Z334)))</f>
        <v>0</v>
      </c>
      <c r="AB165" s="395">
        <f ca="1">IF($E$334=0,0,IF(SUM($G165:AA165)=$B165,0,IF(SUM($G334:AA334)&gt;=$E334,($B165/$E334)*($E334-SUM($G334:Z334)),($B165/$E334)*AA334)))</f>
        <v>0</v>
      </c>
      <c r="AC165" s="395">
        <f ca="1">IF($E$334=0,0,IF(SUM($G165:AB165)=$B165,0,IF(SUM($G334:AB334)&gt;=$E334,($B165/$E334)*($E334-SUM($G334:AA334)),($B165/$E334)*AB334)))</f>
        <v>0</v>
      </c>
      <c r="AD165" s="395">
        <f ca="1">IF($E$334=0,0,IF(SUM($G165:AC165)=$B165,0,IF(SUM($G334:AC334)&gt;=$E334,($B165/$E334)*($E334-SUM($G334:AB334)),($B165/$E334)*AC334)))</f>
        <v>0</v>
      </c>
      <c r="AE165" s="395">
        <f ca="1">IF($E$334=0,0,IF(SUM($G165:AD165)=$B165,0,IF(SUM($G334:AD334)&gt;=$E334,($B165/$E334)*($E334-SUM($G334:AC334)),($B165/$E334)*AD334)))</f>
        <v>0</v>
      </c>
      <c r="AF165" s="395">
        <f ca="1">IF($E$334=0,0,IF(SUM($G165:AE165)=$B165,0,IF(SUM($G334:AE334)&gt;=$E334,($B165/$E334)*($E334-SUM($G334:AD334)),($B165/$E334)*AE334)))</f>
        <v>0</v>
      </c>
      <c r="AG165" s="395">
        <f ca="1">IF($E$334=0,0,IF(SUM($G165:AF165)=$B165,0,IF(SUM($G334:AF334)&gt;=$E334,($B165/$E334)*($E334-SUM($G334:AE334)),($B165/$E334)*AF334)))</f>
        <v>0</v>
      </c>
      <c r="AH165" s="395">
        <f ca="1">IF($E$334=0,0,IF(SUM($G165:AG165)=$B165,0,IF(SUM($G334:AG334)&gt;=$E334,($B165/$E334)*($E334-SUM($G334:AF334)),($B165/$E334)*AG334)))</f>
        <v>0</v>
      </c>
      <c r="AI165" s="395">
        <f ca="1">IF($E$334=0,0,IF(SUM($G165:AH165)=$B165,0,IF(SUM($G334:AH334)&gt;=$E334,($B165/$E334)*($E334-SUM($G334:AG334)),($B165/$E334)*AH334)))</f>
        <v>0</v>
      </c>
      <c r="AJ165" s="395">
        <f ca="1">IF($E$334=0,0,IF(SUM($G165:AI165)=$B165,0,IF(SUM($G334:AI334)&gt;=$E334,($B165/$E334)*($E334-SUM($G334:AH334)),($B165/$E334)*AI334)))</f>
        <v>0</v>
      </c>
      <c r="AK165" s="395">
        <f ca="1">IF($E$334=0,0,IF(SUM($G165:AJ165)=$B165,0,IF(SUM($G334:AJ334)&gt;=$E334,($B165/$E334)*($E334-SUM($G334:AI334)),($B165/$E334)*AJ334)))</f>
        <v>0</v>
      </c>
      <c r="AL165" s="395">
        <f ca="1">IF($E$334=0,0,IF(SUM($G165:AK165)=$B165,0,IF(SUM($G334:AK334)&gt;=$E334,($B165/$E334)*($E334-SUM($G334:AJ334)),($B165/$E334)*AK334)))</f>
        <v>0</v>
      </c>
      <c r="AM165" s="395">
        <f ca="1">IF($E$334=0,0,IF(SUM($G165:AL165)=$B165,0,IF(SUM($G334:AL334)&gt;=$E334,($B165/$E334)*($E334-SUM($G334:AK334)),($B165/$E334)*AL334)))</f>
        <v>0</v>
      </c>
      <c r="AN165" s="395">
        <f ca="1">IF($E$334=0,0,IF(SUM($G165:AM165)=$B165,0,IF(SUM($G334:AM334)&gt;=$E334,($B165/$E334)*($E334-SUM($G334:AL334)),($B165/$E334)*AM334)))</f>
        <v>0</v>
      </c>
      <c r="AO165" s="395">
        <f ca="1">IF($E$334=0,0,IF(SUM($G165:AN165)=$B165,0,IF(SUM($G334:AN334)&gt;=$E334,($B165/$E334)*($E334-SUM($G334:AM334)),($B165/$E334)*AN334)))</f>
        <v>0</v>
      </c>
      <c r="AP165" s="395">
        <f ca="1">IF($E$334=0,0,IF(SUM($G165:AO165)=$B165,0,IF(SUM($G334:AO334)&gt;=$E334,($B165/$E334)*($E334-SUM($G334:AN334)),($B165/$E334)*AO334)))</f>
        <v>0</v>
      </c>
      <c r="AQ165" s="395">
        <f ca="1">IF($E$334=0,0,IF(SUM($G165:AP165)=$B165,0,IF(SUM($G334:AP334)&gt;=$E334,($B165/$E334)*($E334-SUM($G334:AO334)),($B165/$E334)*AP334)))</f>
        <v>0</v>
      </c>
      <c r="AR165" s="395">
        <f ca="1">IF($E$334=0,0,IF(SUM($G165:AQ165)=$B165,0,IF(SUM($G334:AQ334)&gt;=$E334,($B165/$E334)*($E334-SUM($G334:AP334)),($B165/$E334)*AQ334)))</f>
        <v>0</v>
      </c>
      <c r="AS165" s="395">
        <f ca="1">IF($E$334=0,0,IF(SUM($G165:AR165)=$B165,0,IF(SUM($G334:AR334)&gt;=$E334,($B165/$E334)*($E334-SUM($G334:AQ334)),($B165/$E334)*AR334)))</f>
        <v>0</v>
      </c>
      <c r="AT165" s="395">
        <f ca="1">IF($E$334=0,0,IF(SUM($G165:AS165)=$B165,0,IF(SUM($G334:AS334)&gt;=$E334,($B165/$E334)*($E334-SUM($G334:AR334)),($B165/$E334)*AS334)))</f>
        <v>0</v>
      </c>
      <c r="AU165" s="395">
        <f ca="1">IF($E$334=0,0,IF(SUM($G165:AT165)=$B165,0,IF(SUM($G334:AT334)&gt;=$E334,($B165/$E334)*($E334-SUM($G334:AS334)),($B165/$E334)*AT334)))</f>
        <v>0</v>
      </c>
      <c r="AV165" s="395">
        <f ca="1">IF($E$334=0,0,IF(SUM($G165:AU165)=$B165,0,IF(SUM($G334:AU334)&gt;=$E334,($B165/$E334)*($E334-SUM($G334:AT334)),($B165/$E334)*AU334)))</f>
        <v>0</v>
      </c>
      <c r="AW165" s="395">
        <f ca="1">IF($E$334=0,0,IF(SUM($G165:AV165)=$B165,0,IF(SUM($G334:AV334)&gt;=$E334,($B165/$E334)*($E334-SUM($G334:AU334)),($B165/$E334)*AV334)))</f>
        <v>0</v>
      </c>
      <c r="AX165" s="395">
        <f ca="1">IF($E$334=0,0,IF(SUM($G165:AW165)=$B165,0,IF(SUM($G334:AW334)&gt;=$E334,($B165/$E334)*($E334-SUM($G334:AV334)),($B165/$E334)*AW334)))</f>
        <v>9.682890855457248E-3</v>
      </c>
      <c r="AY165" s="395">
        <f ca="1">IF($E$334=0,0,IF(SUM($G165:AX165)=$B165,0,IF(SUM($G334:AX334)&gt;=$E334,($B165/$E334)*($E334-SUM($G334:AW334)),($B165/$E334)*AX334)))</f>
        <v>5.9439528023598816E-2</v>
      </c>
      <c r="AZ165" s="395">
        <f ca="1">IF($E$334=0,0,IF(SUM($G165:AY165)=$B165,0,IF(SUM($G334:AY334)&gt;=$E334,($B165/$E334)*($E334-SUM($G334:AX334)),($B165/$E334)*AY334)))</f>
        <v>5.7522123893805302E-2</v>
      </c>
      <c r="BA165" s="395">
        <f ca="1">IF($E$334=0,0,IF(SUM($G165:AZ165)=$B165,0,IF(SUM($G334:AZ334)&gt;=$E334,($B165/$E334)*($E334-SUM($G334:AY334)),($B165/$E334)*AZ334)))</f>
        <v>5.9439528023598816E-2</v>
      </c>
      <c r="BB165" s="395">
        <f ca="1">IF($E$334=0,0,IF(SUM($G165:BA165)=$B165,0,IF(SUM($G334:BA334)&gt;=$E334,($B165/$E334)*($E334-SUM($G334:AZ334)),($B165/$E334)*BA334)))</f>
        <v>5.9439528023598816E-2</v>
      </c>
      <c r="BC165" s="395">
        <f ca="1">IF($E$334=0,0,IF(SUM($G165:BB165)=$B165,0,IF(SUM($G334:BB334)&gt;=$E334,($B165/$E334)*($E334-SUM($G334:BA334)),($B165/$E334)*BB334)))</f>
        <v>5.3687315634218281E-2</v>
      </c>
      <c r="BD165" s="395">
        <f ca="1">IF($E$334=0,0,IF(SUM($G165:BC165)=$B165,0,IF(SUM($G334:BC334)&gt;=$E334,($B165/$E334)*($E334-SUM($G334:BB334)),($B165/$E334)*BC334)))</f>
        <v>5.9439528023598816E-2</v>
      </c>
      <c r="BE165" s="395">
        <f ca="1">IF($E$334=0,0,IF(SUM($G165:BD165)=$B165,0,IF(SUM($G334:BD334)&gt;=$E334,($B165/$E334)*($E334-SUM($G334:BC334)),($B165/$E334)*BD334)))</f>
        <v>5.7522123893805302E-2</v>
      </c>
      <c r="BF165" s="395">
        <f ca="1">IF($E$334=0,0,IF(SUM($G165:BE165)=$B165,0,IF(SUM($G334:BE334)&gt;=$E334,($B165/$E334)*($E334-SUM($G334:BD334)),($B165/$E334)*BE334)))</f>
        <v>5.9439528023598816E-2</v>
      </c>
      <c r="BG165" s="395">
        <f ca="1">IF($E$334=0,0,IF(SUM($G165:BF165)=$B165,0,IF(SUM($G334:BF334)&gt;=$E334,($B165/$E334)*($E334-SUM($G334:BE334)),($B165/$E334)*BF334)))</f>
        <v>5.7522123893805302E-2</v>
      </c>
      <c r="BH165" s="395">
        <f ca="1">IF($E$334=0,0,IF(SUM($G165:BG165)=$B165,0,IF(SUM($G334:BG334)&gt;=$E334,($B165/$E334)*($E334-SUM($G334:BF334)),($B165/$E334)*BG334)))</f>
        <v>5.9439528023598816E-2</v>
      </c>
      <c r="BI165" s="395">
        <f ca="1">IF($E$334=0,0,IF(SUM($G165:BH165)=$B165,0,IF(SUM($G334:BH334)&gt;=$E334,($B165/$E334)*($E334-SUM($G334:BG334)),($B165/$E334)*BH334)))</f>
        <v>5.7426253687315604E-2</v>
      </c>
      <c r="BJ165" s="395">
        <f ca="1">IF($E$334=0,0,IF(SUM($G165:BI165)=$B165,0,IF(SUM($G334:BI334)&gt;=$E334,($B165/$E334)*($E334-SUM($G334:BH334)),($B165/$E334)*BI334)))</f>
        <v>0</v>
      </c>
      <c r="BK165" s="395">
        <f ca="1">IF($E$334=0,0,IF(SUM($G165:BJ165)=$B165,0,IF(SUM($G334:BJ334)&gt;=$E334,($B165/$E334)*($E334-SUM($G334:BI334)),($B165/$E334)*BJ334)))</f>
        <v>0</v>
      </c>
      <c r="BL165" s="395">
        <f ca="1">IF($E$334=0,0,IF(SUM($G165:BK165)=$B165,0,IF(SUM($G334:BK334)&gt;=$E334,($B165/$E334)*($E334-SUM($G334:BJ334)),($B165/$E334)*BK334)))</f>
        <v>0</v>
      </c>
      <c r="BM165" s="395">
        <f ca="1">IF($E$334=0,0,IF(SUM($G165:BL165)=$B165,0,IF(SUM($G334:BL334)&gt;=$E334,($B165/$E334)*($E334-SUM($G334:BK334)),($B165/$E334)*BL334)))</f>
        <v>0</v>
      </c>
      <c r="BN165" s="395">
        <f ca="1">IF($E$334=0,0,IF(SUM($G165:BM165)=$B165,0,IF(SUM($G334:BM334)&gt;=$E334,($B165/$E334)*($E334-SUM($G334:BL334)),($B165/$E334)*BM334)))</f>
        <v>0</v>
      </c>
      <c r="BO165" s="395">
        <f ca="1">IF($E$334=0,0,IF(SUM($G165:BN165)=$B165,0,IF(SUM($G334:BN334)&gt;=$E334,($B165/$E334)*($E334-SUM($G334:BM334)),($B165/$E334)*BN334)))</f>
        <v>0</v>
      </c>
      <c r="BP165" s="395">
        <f ca="1">IF($E$334=0,0,IF(SUM($G165:BO165)=$B165,0,IF(SUM($G334:BO334)&gt;=$E334,($B165/$E334)*($E334-SUM($G334:BN334)),($B165/$E334)*BO334)))</f>
        <v>0</v>
      </c>
      <c r="BQ165" s="395">
        <f ca="1">IF($E$334=0,0,IF(SUM($G165:BP165)=$B165,0,IF(SUM($G334:BP334)&gt;=$E334,($B165/$E334)*($E334-SUM($G334:BO334)),($B165/$E334)*BP334)))</f>
        <v>0</v>
      </c>
      <c r="BR165" s="395">
        <f ca="1">IF($E$334=0,0,IF(SUM($G165:BQ165)=$B165,0,IF(SUM($G334:BQ334)&gt;=$E334,($B165/$E334)*($E334-SUM($G334:BP334)),($B165/$E334)*BQ334)))</f>
        <v>0</v>
      </c>
      <c r="BS165" s="395">
        <f ca="1">IF($E$334=0,0,IF(SUM($G165:BR165)=$B165,0,IF(SUM($G334:BR334)&gt;=$E334,($B165/$E334)*($E334-SUM($G334:BQ334)),($B165/$E334)*BR334)))</f>
        <v>0</v>
      </c>
      <c r="BT165" s="395">
        <f ca="1">IF($E$334=0,0,IF(SUM($G165:BS165)=$B165,0,IF(SUM($G334:BS334)&gt;=$E334,($B165/$E334)*($E334-SUM($G334:BR334)),($B165/$E334)*BS334)))</f>
        <v>0</v>
      </c>
      <c r="BU165" s="395">
        <f ca="1">IF($E$334=0,0,IF(SUM($G165:BT165)=$B165,0,IF(SUM($G334:BT334)&gt;=$E334,($B165/$E334)*($E334-SUM($G334:BS334)),($B165/$E334)*BT334)))</f>
        <v>0</v>
      </c>
      <c r="BV165" s="395">
        <f ca="1">IF($E$334=0,0,IF(SUM($G165:BU165)=$B165,0,IF(SUM($G334:BU334)&gt;=$E334,($B165/$E334)*($E334-SUM($G334:BT334)),($B165/$E334)*BU334)))</f>
        <v>0</v>
      </c>
      <c r="BW165" s="395">
        <f ca="1">IF($E$334=0,0,IF(SUM($G165:BV165)=$B165,0,IF(SUM($G334:BV334)&gt;=$E334,($B165/$E334)*($E334-SUM($G334:BU334)),($B165/$E334)*BV334)))</f>
        <v>0</v>
      </c>
      <c r="BX165" s="395">
        <f ca="1">IF($E$334=0,0,IF(SUM($G165:BW165)=$B165,0,IF(SUM($G334:BW334)&gt;=$E334,($B165/$E334)*($E334-SUM($G334:BV334)),($B165/$E334)*BW334)))</f>
        <v>0</v>
      </c>
      <c r="BY165" s="395">
        <f ca="1">IF($E$334=0,0,IF(SUM($G165:BX165)=$B165,0,IF(SUM($G334:BX334)&gt;=$E334,($B165/$E334)*($E334-SUM($G334:BW334)),($B165/$E334)*BX334)))</f>
        <v>0</v>
      </c>
      <c r="BZ165" s="395">
        <f ca="1">IF($E$334=0,0,IF(SUM($G165:BY165)=$B165,0,IF(SUM($G334:BY334)&gt;=$E334,($B165/$E334)*($E334-SUM($G334:BX334)),($B165/$E334)*BY334)))</f>
        <v>0</v>
      </c>
      <c r="CA165" s="395">
        <f ca="1">IF($E$334=0,0,IF(SUM($G165:BZ165)=$B165,0,IF(SUM($G334:BZ334)&gt;=$E334,($B165/$E334)*($E334-SUM($G334:BY334)),($B165/$E334)*BZ334)))</f>
        <v>0</v>
      </c>
      <c r="CB165" s="395">
        <f ca="1">IF($E$334=0,0,IF(SUM($G165:CA165)=$B165,0,IF(SUM($G334:CA334)&gt;=$E334,($B165/$E334)*($E334-SUM($G334:BZ334)),($B165/$E334)*CA334)))</f>
        <v>0</v>
      </c>
      <c r="CC165" s="395">
        <f ca="1">IF($E$334=0,0,IF(SUM($G165:CB165)=$B165,0,IF(SUM($G334:CB334)&gt;=$E334,($B165/$E334)*($E334-SUM($G334:CA334)),($B165/$E334)*CB334)))</f>
        <v>0</v>
      </c>
      <c r="CD165" s="395">
        <f ca="1">IF($E$334=0,0,IF(SUM($G165:CC165)=$B165,0,IF(SUM($G334:CC334)&gt;=$E334,($B165/$E334)*($E334-SUM($G334:CB334)),($B165/$E334)*CC334)))</f>
        <v>0</v>
      </c>
      <c r="CE165" s="395">
        <f ca="1">IF($E$334=0,0,IF(SUM($G165:CD165)=$B165,0,IF(SUM($G334:CD334)&gt;=$E334,($B165/$E334)*($E334-SUM($G334:CC334)),($B165/$E334)*CD334)))</f>
        <v>0</v>
      </c>
      <c r="CF165" s="395">
        <f ca="1">IF($E$334=0,0,IF(SUM($G165:CE165)=$B165,0,IF(SUM($G334:CE334)&gt;=$E334,($B165/$E334)*($E334-SUM($G334:CD334)),($B165/$E334)*CE334)))</f>
        <v>0</v>
      </c>
      <c r="CG165" s="395">
        <f ca="1">IF($E$334=0,0,IF(SUM($G165:CF165)=$B165,0,IF(SUM($G334:CF334)&gt;=$E334,($B165/$E334)*($E334-SUM($G334:CE334)),($B165/$E334)*CF334)))</f>
        <v>0</v>
      </c>
      <c r="CH165" s="395">
        <f ca="1">IF($E$334=0,0,IF(SUM($G165:CG165)=$B165,0,IF(SUM($G334:CG334)&gt;=$E334,($B165/$E334)*($E334-SUM($G334:CF334)),($B165/$E334)*CG334)))</f>
        <v>0</v>
      </c>
      <c r="CI165" s="395">
        <f ca="1">IF($E$334=0,0,IF(SUM($G165:CH165)=$B165,0,IF(SUM($G334:CH334)&gt;=$E334,($B165/$E334)*($E334-SUM($G334:CG334)),($B165/$E334)*CH334)))</f>
        <v>0</v>
      </c>
      <c r="CJ165" s="395">
        <f ca="1">IF($E$334=0,0,IF(SUM($G165:CI165)=$B165,0,IF(SUM($G334:CI334)&gt;=$E334,($B165/$E334)*($E334-SUM($G334:CH334)),($B165/$E334)*CI334)))</f>
        <v>0</v>
      </c>
      <c r="CK165" s="395">
        <f ca="1">IF($E$334=0,0,IF(SUM($G165:CJ165)=$B165,0,IF(SUM($G334:CJ334)&gt;=$E334,($B165/$E334)*($E334-SUM($G334:CI334)),($B165/$E334)*CJ334)))</f>
        <v>0</v>
      </c>
      <c r="CL165" s="395">
        <f ca="1">IF($E$334=0,0,IF(SUM($G165:CK165)=$B165,0,IF(SUM($G334:CK334)&gt;=$E334,($B165/$E334)*($E334-SUM($G334:CJ334)),($B165/$E334)*CK334)))</f>
        <v>0</v>
      </c>
      <c r="CM165" s="395">
        <f ca="1">IF($E$334=0,0,IF(SUM($G165:CL165)=$B165,0,IF(SUM($G334:CL334)&gt;=$E334,($B165/$E334)*($E334-SUM($G334:CK334)),($B165/$E334)*CL334)))</f>
        <v>0</v>
      </c>
      <c r="CN165" s="395">
        <f ca="1">IF($E$334=0,0,IF(SUM($G165:CM165)=$B165,0,IF(SUM($G334:CM334)&gt;=$E334,($B165/$E334)*($E334-SUM($G334:CL334)),($B165/$E334)*CM334)))</f>
        <v>0</v>
      </c>
      <c r="CO165" s="395">
        <f ca="1">IF($E$334=0,0,IF(SUM($G165:CN165)=$B165,0,IF(SUM($G334:CN334)&gt;=$E334,($B165/$E334)*($E334-SUM($G334:CM334)),($B165/$E334)*CN334)))</f>
        <v>0</v>
      </c>
      <c r="CP165" s="395">
        <f ca="1">IF($E$334=0,0,IF(SUM($G165:CO165)=$B165,0,IF(SUM($G334:CO334)&gt;=$E334,($B165/$E334)*($E334-SUM($G334:CN334)),($B165/$E334)*CO334)))</f>
        <v>0</v>
      </c>
      <c r="CQ165" s="395">
        <f ca="1">IF($E$334=0,0,IF(SUM($G165:CP165)=$B165,0,IF(SUM($G334:CP334)&gt;=$E334,($B165/$E334)*($E334-SUM($G334:CO334)),($B165/$E334)*CP334)))</f>
        <v>0</v>
      </c>
      <c r="CR165" s="395">
        <f ca="1">IF($E$334=0,0,IF(SUM($G165:CQ165)=$B165,0,IF(SUM($G334:CQ334)&gt;=$E334,($B165/$E334)*($E334-SUM($G334:CP334)),($B165/$E334)*CQ334)))</f>
        <v>0</v>
      </c>
      <c r="CS165" s="395">
        <f ca="1">IF($E$334=0,0,IF(SUM($G165:CR165)=$B165,0,IF(SUM($G334:CR334)&gt;=$E334,($B165/$E334)*($E334-SUM($G334:CQ334)),($B165/$E334)*CR334)))</f>
        <v>0</v>
      </c>
      <c r="CT165" s="395">
        <f ca="1">IF($E$334=0,0,IF(SUM($G165:CS165)=$B165,0,IF(SUM($G334:CS334)&gt;=$E334,($B165/$E334)*($E334-SUM($G334:CR334)),($B165/$E334)*CS334)))</f>
        <v>0</v>
      </c>
      <c r="CU165" s="395">
        <f ca="1">IF($E$334=0,0,IF(SUM($G165:CT165)=$B165,0,IF(SUM($G334:CT334)&gt;=$E334,($B165/$E334)*($E334-SUM($G334:CS334)),($B165/$E334)*CT334)))</f>
        <v>0</v>
      </c>
      <c r="CV165" s="395">
        <f ca="1">IF($E$334=0,0,IF(SUM($G165:CU165)=$B165,0,IF(SUM($G334:CU334)&gt;=$E334,($B165/$E334)*($E334-SUM($G334:CT334)),($B165/$E334)*CU334)))</f>
        <v>0</v>
      </c>
      <c r="CW165" s="395">
        <f ca="1">IF($E$334=0,0,IF(SUM($G165:CV165)=$B165,0,IF(SUM($G334:CV334)&gt;=$E334,($B165/$E334)*($E334-SUM($G334:CU334)),($B165/$E334)*CV334)))</f>
        <v>0</v>
      </c>
      <c r="CX165" s="395">
        <f ca="1">IF($E$334=0,0,IF(SUM($G165:CW165)=$B165,0,IF(SUM($G334:CW334)&gt;=$E334,($B165/$E334)*($E334-SUM($G334:CV334)),($B165/$E334)*CW334)))</f>
        <v>0</v>
      </c>
      <c r="CY165" s="395">
        <f ca="1">IF($E$334=0,0,IF(SUM($G165:CX165)=$B165,0,IF(SUM($G334:CX334)&gt;=$E334,($B165/$E334)*($E334-SUM($G334:CW334)),($B165/$E334)*CX334)))</f>
        <v>0</v>
      </c>
      <c r="CZ165" s="395">
        <f ca="1">IF($E$334=0,0,IF(SUM($G165:CY165)=$B165,0,IF(SUM($G334:CY334)&gt;=$E334,($B165/$E334)*($E334-SUM($G334:CX334)),($B165/$E334)*CY334)))</f>
        <v>0</v>
      </c>
      <c r="DA165" s="395">
        <f ca="1">IF($E$334=0,0,IF(SUM($G165:CZ165)=$B165,0,IF(SUM($G334:CZ334)&gt;=$E334,($B165/$E334)*($E334-SUM($G334:CY334)),($B165/$E334)*CZ334)))</f>
        <v>0</v>
      </c>
      <c r="DB165" s="395">
        <f ca="1">IF($E$334=0,0,IF(SUM($G165:DA165)=$B165,0,IF(SUM($G334:DA334)&gt;=$E334,($B165/$E334)*($E334-SUM($G334:CZ334)),($B165/$E334)*DA334)))</f>
        <v>0</v>
      </c>
      <c r="DC165" s="395">
        <f ca="1">IF($E$334=0,0,IF(SUM($G165:DB165)=$B165,0,IF(SUM($G334:DB334)&gt;=$E334,($B165/$E334)*($E334-SUM($G334:DA334)),($B165/$E334)*DB334)))</f>
        <v>0</v>
      </c>
      <c r="DD165" s="395">
        <f ca="1">IF($E$334=0,0,IF(SUM($G165:DC165)=$B165,0,IF(SUM($G334:DC334)&gt;=$E334,($B165/$E334)*($E334-SUM($G334:DB334)),($B165/$E334)*DC334)))</f>
        <v>0</v>
      </c>
      <c r="DE165" s="395">
        <f ca="1">IF($E$334=0,0,IF(SUM($G165:DD165)=$B165,0,IF(SUM($G334:DD334)&gt;=$E334,($B165/$E334)*($E334-SUM($G334:DC334)),($B165/$E334)*DD334)))</f>
        <v>0</v>
      </c>
      <c r="DF165" s="395">
        <f ca="1">IF($E$334=0,0,IF(SUM($G165:DE165)=$B165,0,IF(SUM($G334:DE334)&gt;=$E334,($B165/$E334)*($E334-SUM($G334:DD334)),($B165/$E334)*DE334)))</f>
        <v>0</v>
      </c>
      <c r="DG165" s="395">
        <f ca="1">IF($E$334=0,0,IF(SUM($G165:DF165)=$B165,0,IF(SUM($G334:DF334)&gt;=$E334,($B165/$E334)*($E334-SUM($G334:DE334)),($B165/$E334)*DF334)))</f>
        <v>0</v>
      </c>
      <c r="DH165" s="395">
        <f ca="1">IF($E$334=0,0,IF(SUM($G165:DG165)=$B165,0,IF(SUM($G334:DG334)&gt;=$E334,($B165/$E334)*($E334-SUM($G334:DF334)),($B165/$E334)*DG334)))</f>
        <v>0</v>
      </c>
      <c r="DI165" s="395">
        <f ca="1">IF($E$334=0,0,IF(SUM($G165:DH165)=$B165,0,IF(SUM($G334:DH334)&gt;=$E334,($B165/$E334)*($E334-SUM($G334:DG334)),($B165/$E334)*DH334)))</f>
        <v>0</v>
      </c>
      <c r="DJ165" s="395">
        <f ca="1">IF($E$334=0,0,IF(SUM($G165:DI165)=$B165,0,IF(SUM($G334:DI334)&gt;=$E334,($B165/$E334)*($E334-SUM($G334:DH334)),($B165/$E334)*DI334)))</f>
        <v>0</v>
      </c>
      <c r="DK165" s="395">
        <f ca="1">IF($E$334=0,0,IF(SUM($G165:DJ165)=$B165,0,IF(SUM($G334:DJ334)&gt;=$E334,($B165/$E334)*($E334-SUM($G334:DI334)),($B165/$E334)*DJ334)))</f>
        <v>0</v>
      </c>
      <c r="DL165" s="395">
        <f ca="1">IF($E$334=0,0,IF(SUM($G165:DK165)=$B165,0,IF(SUM($G334:DK334)&gt;=$E334,($B165/$E334)*($E334-SUM($G334:DJ334)),($B165/$E334)*DK334)))</f>
        <v>0</v>
      </c>
      <c r="DM165" s="395">
        <f ca="1">IF($E$334=0,0,IF(SUM($G165:DL165)=$B165,0,IF(SUM($G334:DL334)&gt;=$E334,($B165/$E334)*($E334-SUM($G334:DK334)),($B165/$E334)*DL334)))</f>
        <v>0</v>
      </c>
      <c r="DN165" s="395">
        <f ca="1">IF($E$334=0,0,IF(SUM($G165:DM165)=$B165,0,IF(SUM($G334:DM334)&gt;=$E334,($B165/$E334)*($E334-SUM($G334:DL334)),($B165/$E334)*DM334)))</f>
        <v>0</v>
      </c>
      <c r="DO165" s="395">
        <f ca="1">IF($E$334=0,0,IF(SUM($G165:DN165)=$B165,0,IF(SUM($G334:DN334)&gt;=$E334,($B165/$E334)*($E334-SUM($G334:DM334)),($B165/$E334)*DN334)))</f>
        <v>0</v>
      </c>
      <c r="DP165" s="395">
        <f ca="1">IF($E$334=0,0,IF(SUM($G165:DO165)=$B165,0,IF(SUM($G334:DO334)&gt;=$E334,($B165/$E334)*($E334-SUM($G334:DN334)),($B165/$E334)*DO334)))</f>
        <v>0</v>
      </c>
      <c r="DQ165" s="395">
        <f ca="1">IF($E$334=0,0,IF(SUM($G165:DP165)=$B165,0,IF(SUM($G334:DP334)&gt;=$E334,($B165/$E334)*($E334-SUM($G334:DO334)),($B165/$E334)*DP334)))</f>
        <v>0</v>
      </c>
      <c r="DR165" s="395">
        <f ca="1">IF($E$334=0,0,IF(SUM($G165:DQ165)=$B165,0,IF(SUM($G334:DQ334)&gt;=$E334,($B165/$E334)*($E334-SUM($G334:DP334)),($B165/$E334)*DQ334)))</f>
        <v>0</v>
      </c>
      <c r="DS165" s="395">
        <f ca="1">IF($E$334=0,0,IF(SUM($G165:DR165)=$B165,0,IF(SUM($G334:DR334)&gt;=$E334,($B165/$E334)*($E334-SUM($G334:DQ334)),($B165/$E334)*DR334)))</f>
        <v>0</v>
      </c>
      <c r="DT165" s="395">
        <f ca="1">IF($E$334=0,0,IF(SUM($G165:DS165)=$B165,0,IF(SUM($G334:DS334)&gt;=$E334,($B165/$E334)*($E334-SUM($G334:DR334)),($B165/$E334)*DS334)))</f>
        <v>0</v>
      </c>
      <c r="DU165" s="395">
        <f ca="1">IF($E$334=0,0,IF(SUM($G165:DT165)=$B165,0,IF(SUM($G334:DT334)&gt;=$E334,($B165/$E334)*($E334-SUM($G334:DS334)),($B165/$E334)*DT334)))</f>
        <v>0</v>
      </c>
      <c r="DV165" s="395">
        <f ca="1">IF($E$334=0,0,IF(SUM($G165:DU165)=$B165,0,IF(SUM($G334:DU334)&gt;=$E334,($B165/$E334)*($E334-SUM($G334:DT334)),($B165/$E334)*DU334)))</f>
        <v>0</v>
      </c>
      <c r="DW165" s="395">
        <f ca="1">IF($E$334=0,0,IF(SUM($G165:DV165)=$B165,0,IF(SUM($G334:DV334)&gt;=$E334,($B165/$E334)*($E334-SUM($G334:DU334)),($B165/$E334)*DV334)))</f>
        <v>0</v>
      </c>
      <c r="DX165" s="395">
        <f ca="1">IF($E$334=0,0,IF(SUM($G165:DW165)=$B165,0,IF(SUM($G334:DW334)&gt;=$E334,($B165/$E334)*($E334-SUM($G334:DV334)),($B165/$E334)*DW334)))</f>
        <v>0</v>
      </c>
      <c r="DY165" s="395">
        <f ca="1">IF($E$334=0,0,IF(SUM($G165:DX165)=$B165,0,IF(SUM($G334:DX334)&gt;=$E334,($B165/$E334)*($E334-SUM($G334:DW334)),($B165/$E334)*DX334)))</f>
        <v>0</v>
      </c>
      <c r="DZ165" s="395">
        <f ca="1">IF($E$334=0,0,IF(SUM($G165:DY165)=$B165,0,IF(SUM($G334:DY334)&gt;=$E334,($B165/$E334)*($E334-SUM($G334:DX334)),($B165/$E334)*DY334)))</f>
        <v>0</v>
      </c>
      <c r="EA165" s="395">
        <f ca="1">IF($E$334=0,0,IF(SUM($G165:DZ165)=$B165,0,IF(SUM($G334:DZ334)&gt;=$E334,($B165/$E334)*($E334-SUM($G334:DY334)),($B165/$E334)*DZ334)))</f>
        <v>0</v>
      </c>
      <c r="EB165" s="395">
        <f ca="1">IF($E$334=0,0,IF(SUM($G165:EA165)=$B165,0,IF(SUM($G334:EA334)&gt;=$E334,($B165/$E334)*($E334-SUM($G334:DZ334)),($B165/$E334)*EA334)))</f>
        <v>0</v>
      </c>
      <c r="EC165" s="395">
        <f ca="1">IF($E$334=0,0,IF(SUM($G165:EB165)=$B165,0,IF(SUM($G334:EB334)&gt;=$E334,($B165/$E334)*($E334-SUM($G334:EA334)),($B165/$E334)*EB334)))</f>
        <v>0</v>
      </c>
      <c r="ED165" s="395">
        <f ca="1">IF($E$334=0,0,IF(SUM($G165:EC165)=$B165,0,IF(SUM($G334:EC334)&gt;=$E334,($B165/$E334)*($E334-SUM($G334:EB334)),($B165/$E334)*EC334)))</f>
        <v>0</v>
      </c>
      <c r="EE165" s="395">
        <f ca="1">IF($E$334=0,0,IF(SUM($G165:ED165)=$B165,0,IF(SUM($G334:ED334)&gt;=$E334,($B165/$E334)*($E334-SUM($G334:EC334)),($B165/$E334)*ED334)))</f>
        <v>0</v>
      </c>
      <c r="EF165" s="395">
        <f ca="1">IF($E$334=0,0,IF(SUM($G165:EE165)=$B165,0,IF(SUM($G334:EE334)&gt;=$E334,($B165/$E334)*($E334-SUM($G334:ED334)),($B165/$E334)*EE334)))</f>
        <v>0</v>
      </c>
      <c r="EG165" s="395">
        <f ca="1">IF($E$334=0,0,IF(SUM($G165:EF165)=$B165,0,IF(SUM($G334:EF334)&gt;=$E334,($B165/$E334)*($E334-SUM($G334:EE334)),($B165/$E334)*EF334)))</f>
        <v>0</v>
      </c>
      <c r="EH165" s="395">
        <f ca="1">IF($E$334=0,0,IF(SUM($G165:EG165)=$B165,0,IF(SUM($G334:EG334)&gt;=$E334,($B165/$E334)*($E334-SUM($G334:EF334)),($B165/$E334)*EG334)))</f>
        <v>0</v>
      </c>
      <c r="EI165" s="395">
        <f ca="1">IF($E$334=0,0,IF(SUM($G165:EH165)=$B165,0,IF(SUM($G334:EH334)&gt;=$E334,($B165/$E334)*($E334-SUM($G334:EG334)),($B165/$E334)*EH334)))</f>
        <v>0</v>
      </c>
      <c r="EJ165" s="398"/>
      <c r="EK165" s="313"/>
    </row>
    <row r="166" spans="1:141" hidden="1" outlineLevel="2">
      <c r="A166" s="332"/>
      <c r="B166" s="548">
        <f t="shared" si="385"/>
        <v>2.5000000000000001E-2</v>
      </c>
      <c r="C166" s="317"/>
      <c r="D166" s="317" t="s">
        <v>638</v>
      </c>
      <c r="E166" s="318">
        <f t="shared" ca="1" si="384"/>
        <v>0</v>
      </c>
      <c r="F166" s="397">
        <f ca="1">SUM(G166:EJ166)</f>
        <v>2.5000000000000001E-2</v>
      </c>
      <c r="G166" s="395"/>
      <c r="H166" s="395">
        <f ca="1">IF($E$334=0,0,IF(SUM($G166:G166)=$B166,0,IF(SUM(H165:$EJ165)=0%,$B166,0%)))</f>
        <v>0</v>
      </c>
      <c r="I166" s="395">
        <f ca="1">IF($E$334=0,0,IF(SUM($G166:H166)=$B166,0,IF(SUM(I165:$EJ165)=0%,$B166,0%)))</f>
        <v>0</v>
      </c>
      <c r="J166" s="395">
        <f ca="1">IF($E$334=0,0,IF(SUM($G166:I166)=$B166,0,IF(SUM(J165:$EJ165)=0%,$B166,0%)))</f>
        <v>0</v>
      </c>
      <c r="K166" s="395">
        <f ca="1">IF($E$334=0,0,IF(SUM($G166:J166)=$B166,0,IF(SUM(K165:$EJ165)=0%,$B166,0%)))</f>
        <v>0</v>
      </c>
      <c r="L166" s="395">
        <f ca="1">IF($E$334=0,0,IF(SUM($G166:K166)=$B166,0,IF(SUM(L165:$EJ165)=0%,$B166,0%)))</f>
        <v>0</v>
      </c>
      <c r="M166" s="395">
        <f ca="1">IF($E$334=0,0,IF(SUM($G166:L166)=$B166,0,IF(SUM(M165:$EJ165)=0%,$B166,0%)))</f>
        <v>0</v>
      </c>
      <c r="N166" s="395">
        <f ca="1">IF($E$334=0,0,IF(SUM($G166:M166)=$B166,0,IF(SUM(N165:$EJ165)=0%,$B166,0%)))</f>
        <v>0</v>
      </c>
      <c r="O166" s="395">
        <f ca="1">IF($E$334=0,0,IF(SUM($G166:N166)=$B166,0,IF(SUM(O165:$EJ165)=0%,$B166,0%)))</f>
        <v>0</v>
      </c>
      <c r="P166" s="395">
        <f ca="1">IF($E$334=0,0,IF(SUM($G166:O166)=$B166,0,IF(SUM(P165:$EJ165)=0%,$B166,0%)))</f>
        <v>0</v>
      </c>
      <c r="Q166" s="395">
        <f ca="1">IF($E$334=0,0,IF(SUM($G166:P166)=$B166,0,IF(SUM(Q165:$EJ165)=0%,$B166,0%)))</f>
        <v>0</v>
      </c>
      <c r="R166" s="395">
        <f ca="1">IF($E$334=0,0,IF(SUM($G166:Q166)=$B166,0,IF(SUM(R165:$EJ165)=0%,$B166,0%)))</f>
        <v>0</v>
      </c>
      <c r="S166" s="395">
        <f ca="1">IF($E$334=0,0,IF(SUM($G166:R166)=$B166,0,IF(SUM(S165:$EJ165)=0%,$B166,0%)))</f>
        <v>0</v>
      </c>
      <c r="T166" s="395">
        <f ca="1">IF($E$334=0,0,IF(SUM($G166:S166)=$B166,0,IF(SUM(T165:$EJ165)=0%,$B166,0%)))</f>
        <v>0</v>
      </c>
      <c r="U166" s="395">
        <f ca="1">IF($E$334=0,0,IF(SUM($G166:T166)=$B166,0,IF(SUM(U165:$EJ165)=0%,$B166,0%)))</f>
        <v>0</v>
      </c>
      <c r="V166" s="395">
        <f ca="1">IF($E$334=0,0,IF(SUM($G166:U166)=$B166,0,IF(SUM(V165:$EJ165)=0%,$B166,0%)))</f>
        <v>0</v>
      </c>
      <c r="W166" s="395">
        <f ca="1">IF($E$334=0,0,IF(SUM($G166:V166)=$B166,0,IF(SUM(W165:$EJ165)=0%,$B166,0%)))</f>
        <v>0</v>
      </c>
      <c r="X166" s="395">
        <f ca="1">IF($E$334=0,0,IF(SUM($G166:W166)=$B166,0,IF(SUM(X165:$EJ165)=0%,$B166,0%)))</f>
        <v>0</v>
      </c>
      <c r="Y166" s="395">
        <f ca="1">IF($E$334=0,0,IF(SUM($G166:X166)=$B166,0,IF(SUM(Y165:$EJ165)=0%,$B166,0%)))</f>
        <v>0</v>
      </c>
      <c r="Z166" s="395">
        <f ca="1">IF($E$334=0,0,IF(SUM($G166:Y166)=$B166,0,IF(SUM(Z165:$EJ165)=0%,$B166,0%)))</f>
        <v>0</v>
      </c>
      <c r="AA166" s="395">
        <f ca="1">IF($E$334=0,0,IF(SUM($G166:Z166)=$B166,0,IF(SUM(AA165:$EJ165)=0%,$B166,0%)))</f>
        <v>0</v>
      </c>
      <c r="AB166" s="395">
        <f ca="1">IF($E$334=0,0,IF(SUM($G166:AA166)=$B166,0,IF(SUM(AB165:$EJ165)=0%,$B166,0%)))</f>
        <v>0</v>
      </c>
      <c r="AC166" s="395">
        <f ca="1">IF($E$334=0,0,IF(SUM($G166:AB166)=$B166,0,IF(SUM(AC165:$EJ165)=0%,$B166,0%)))</f>
        <v>0</v>
      </c>
      <c r="AD166" s="395">
        <f ca="1">IF($E$334=0,0,IF(SUM($G166:AC166)=$B166,0,IF(SUM(AD165:$EJ165)=0%,$B166,0%)))</f>
        <v>0</v>
      </c>
      <c r="AE166" s="395">
        <f ca="1">IF($E$334=0,0,IF(SUM($G166:AD166)=$B166,0,IF(SUM(AE165:$EJ165)=0%,$B166,0%)))</f>
        <v>0</v>
      </c>
      <c r="AF166" s="395">
        <f ca="1">IF($E$334=0,0,IF(SUM($G166:AE166)=$B166,0,IF(SUM(AF165:$EJ165)=0%,$B166,0%)))</f>
        <v>0</v>
      </c>
      <c r="AG166" s="395">
        <f ca="1">IF($E$334=0,0,IF(SUM($G166:AF166)=$B166,0,IF(SUM(AG165:$EJ165)=0%,$B166,0%)))</f>
        <v>0</v>
      </c>
      <c r="AH166" s="395">
        <f ca="1">IF($E$334=0,0,IF(SUM($G166:AG166)=$B166,0,IF(SUM(AH165:$EJ165)=0%,$B166,0%)))</f>
        <v>0</v>
      </c>
      <c r="AI166" s="395">
        <f ca="1">IF($E$334=0,0,IF(SUM($G166:AH166)=$B166,0,IF(SUM(AI165:$EJ165)=0%,$B166,0%)))</f>
        <v>0</v>
      </c>
      <c r="AJ166" s="395">
        <f ca="1">IF($E$334=0,0,IF(SUM($G166:AI166)=$B166,0,IF(SUM(AJ165:$EJ165)=0%,$B166,0%)))</f>
        <v>0</v>
      </c>
      <c r="AK166" s="395">
        <f ca="1">IF($E$334=0,0,IF(SUM($G166:AJ166)=$B166,0,IF(SUM(AK165:$EJ165)=0%,$B166,0%)))</f>
        <v>0</v>
      </c>
      <c r="AL166" s="395">
        <f ca="1">IF($E$334=0,0,IF(SUM($G166:AK166)=$B166,0,IF(SUM(AL165:$EJ165)=0%,$B166,0%)))</f>
        <v>0</v>
      </c>
      <c r="AM166" s="395">
        <f ca="1">IF($E$334=0,0,IF(SUM($G166:AL166)=$B166,0,IF(SUM(AM165:$EJ165)=0%,$B166,0%)))</f>
        <v>0</v>
      </c>
      <c r="AN166" s="395">
        <f ca="1">IF($E$334=0,0,IF(SUM($G166:AM166)=$B166,0,IF(SUM(AN165:$EJ165)=0%,$B166,0%)))</f>
        <v>0</v>
      </c>
      <c r="AO166" s="395">
        <f ca="1">IF($E$334=0,0,IF(SUM($G166:AN166)=$B166,0,IF(SUM(AO165:$EJ165)=0%,$B166,0%)))</f>
        <v>0</v>
      </c>
      <c r="AP166" s="395">
        <f ca="1">IF($E$334=0,0,IF(SUM($G166:AO166)=$B166,0,IF(SUM(AP165:$EJ165)=0%,$B166,0%)))</f>
        <v>0</v>
      </c>
      <c r="AQ166" s="395">
        <f ca="1">IF($E$334=0,0,IF(SUM($G166:AP166)=$B166,0,IF(SUM(AQ165:$EJ165)=0%,$B166,0%)))</f>
        <v>0</v>
      </c>
      <c r="AR166" s="395">
        <f ca="1">IF($E$334=0,0,IF(SUM($G166:AQ166)=$B166,0,IF(SUM(AR165:$EJ165)=0%,$B166,0%)))</f>
        <v>0</v>
      </c>
      <c r="AS166" s="395">
        <f ca="1">IF($E$334=0,0,IF(SUM($G166:AR166)=$B166,0,IF(SUM(AS165:$EJ165)=0%,$B166,0%)))</f>
        <v>0</v>
      </c>
      <c r="AT166" s="395">
        <f ca="1">IF($E$334=0,0,IF(SUM($G166:AS166)=$B166,0,IF(SUM(AT165:$EJ165)=0%,$B166,0%)))</f>
        <v>0</v>
      </c>
      <c r="AU166" s="395">
        <f ca="1">IF($E$334=0,0,IF(SUM($G166:AT166)=$B166,0,IF(SUM(AU165:$EJ165)=0%,$B166,0%)))</f>
        <v>0</v>
      </c>
      <c r="AV166" s="395">
        <f ca="1">IF($E$334=0,0,IF(SUM($G166:AU166)=$B166,0,IF(SUM(AV165:$EJ165)=0%,$B166,0%)))</f>
        <v>0</v>
      </c>
      <c r="AW166" s="395">
        <f ca="1">IF($E$334=0,0,IF(SUM($G166:AV166)=$B166,0,IF(SUM(AW165:$EJ165)=0%,$B166,0%)))</f>
        <v>0</v>
      </c>
      <c r="AX166" s="395">
        <f ca="1">IF($E$334=0,0,IF(SUM($G166:AW166)=$B166,0,IF(SUM(AX165:$EJ165)=0%,$B166,0%)))</f>
        <v>0</v>
      </c>
      <c r="AY166" s="395">
        <f ca="1">IF($E$334=0,0,IF(SUM($G166:AX166)=$B166,0,IF(SUM(AY165:$EJ165)=0%,$B166,0%)))</f>
        <v>0</v>
      </c>
      <c r="AZ166" s="395">
        <f ca="1">IF($E$334=0,0,IF(SUM($G166:AY166)=$B166,0,IF(SUM(AZ165:$EJ165)=0%,$B166,0%)))</f>
        <v>0</v>
      </c>
      <c r="BA166" s="395">
        <f ca="1">IF($E$334=0,0,IF(SUM($G166:AZ166)=$B166,0,IF(SUM(BA165:$EJ165)=0%,$B166,0%)))</f>
        <v>0</v>
      </c>
      <c r="BB166" s="395">
        <f ca="1">IF($E$334=0,0,IF(SUM($G166:BA166)=$B166,0,IF(SUM(BB165:$EJ165)=0%,$B166,0%)))</f>
        <v>0</v>
      </c>
      <c r="BC166" s="395">
        <f ca="1">IF($E$334=0,0,IF(SUM($G166:BB166)=$B166,0,IF(SUM(BC165:$EJ165)=0%,$B166,0%)))</f>
        <v>0</v>
      </c>
      <c r="BD166" s="395">
        <f ca="1">IF($E$334=0,0,IF(SUM($G166:BC166)=$B166,0,IF(SUM(BD165:$EJ165)=0%,$B166,0%)))</f>
        <v>0</v>
      </c>
      <c r="BE166" s="395">
        <f ca="1">IF($E$334=0,0,IF(SUM($G166:BD166)=$B166,0,IF(SUM(BE165:$EJ165)=0%,$B166,0%)))</f>
        <v>0</v>
      </c>
      <c r="BF166" s="395">
        <f ca="1">IF($E$334=0,0,IF(SUM($G166:BE166)=$B166,0,IF(SUM(BF165:$EJ165)=0%,$B166,0%)))</f>
        <v>0</v>
      </c>
      <c r="BG166" s="395">
        <f ca="1">IF($E$334=0,0,IF(SUM($G166:BF166)=$B166,0,IF(SUM(BG165:$EJ165)=0%,$B166,0%)))</f>
        <v>0</v>
      </c>
      <c r="BH166" s="395">
        <f ca="1">IF($E$334=0,0,IF(SUM($G166:BG166)=$B166,0,IF(SUM(BH165:$EJ165)=0%,$B166,0%)))</f>
        <v>0</v>
      </c>
      <c r="BI166" s="395">
        <f ca="1">IF($E$334=0,0,IF(SUM($G166:BH166)=$B166,0,IF(SUM(BI165:$EJ165)=0%,$B166,0%)))</f>
        <v>0</v>
      </c>
      <c r="BJ166" s="395">
        <f ca="1">IF($E$334=0,0,IF(SUM($G166:BI166)=$B166,0,IF(SUM(BJ165:$EJ165)=0%,$B166,0%)))</f>
        <v>2.5000000000000001E-2</v>
      </c>
      <c r="BK166" s="395">
        <f ca="1">IF($E$334=0,0,IF(SUM($G166:BJ166)=$B166,0,IF(SUM(BK165:$EJ165)=0%,$B166,0%)))</f>
        <v>0</v>
      </c>
      <c r="BL166" s="395">
        <f ca="1">IF($E$334=0,0,IF(SUM($G166:BK166)=$B166,0,IF(SUM(BL165:$EJ165)=0%,$B166,0%)))</f>
        <v>0</v>
      </c>
      <c r="BM166" s="395">
        <f ca="1">IF($E$334=0,0,IF(SUM($G166:BL166)=$B166,0,IF(SUM(BM165:$EJ165)=0%,$B166,0%)))</f>
        <v>0</v>
      </c>
      <c r="BN166" s="395">
        <f ca="1">IF($E$334=0,0,IF(SUM($G166:BM166)=$B166,0,IF(SUM(BN165:$EJ165)=0%,$B166,0%)))</f>
        <v>0</v>
      </c>
      <c r="BO166" s="395">
        <f ca="1">IF($E$334=0,0,IF(SUM($G166:BN166)=$B166,0,IF(SUM(BO165:$EJ165)=0%,$B166,0%)))</f>
        <v>0</v>
      </c>
      <c r="BP166" s="395">
        <f ca="1">IF($E$334=0,0,IF(SUM($G166:BO166)=$B166,0,IF(SUM(BP165:$EJ165)=0%,$B166,0%)))</f>
        <v>0</v>
      </c>
      <c r="BQ166" s="395">
        <f ca="1">IF($E$334=0,0,IF(SUM($G166:BP166)=$B166,0,IF(SUM(BQ165:$EJ165)=0%,$B166,0%)))</f>
        <v>0</v>
      </c>
      <c r="BR166" s="395">
        <f ca="1">IF($E$334=0,0,IF(SUM($G166:BQ166)=$B166,0,IF(SUM(BR165:$EJ165)=0%,$B166,0%)))</f>
        <v>0</v>
      </c>
      <c r="BS166" s="395">
        <f ca="1">IF($E$334=0,0,IF(SUM($G166:BR166)=$B166,0,IF(SUM(BS165:$EJ165)=0%,$B166,0%)))</f>
        <v>0</v>
      </c>
      <c r="BT166" s="395">
        <f ca="1">IF($E$334=0,0,IF(SUM($G166:BS166)=$B166,0,IF(SUM(BT165:$EJ165)=0%,$B166,0%)))</f>
        <v>0</v>
      </c>
      <c r="BU166" s="395">
        <f ca="1">IF($E$334=0,0,IF(SUM($G166:BT166)=$B166,0,IF(SUM(BU165:$EJ165)=0%,$B166,0%)))</f>
        <v>0</v>
      </c>
      <c r="BV166" s="395">
        <f ca="1">IF($E$334=0,0,IF(SUM($G166:BU166)=$B166,0,IF(SUM(BV165:$EJ165)=0%,$B166,0%)))</f>
        <v>0</v>
      </c>
      <c r="BW166" s="395">
        <f ca="1">IF($E$334=0,0,IF(SUM($G166:BV166)=$B166,0,IF(SUM(BW165:$EJ165)=0%,$B166,0%)))</f>
        <v>0</v>
      </c>
      <c r="BX166" s="395">
        <f ca="1">IF($E$334=0,0,IF(SUM($G166:BW166)=$B166,0,IF(SUM(BX165:$EJ165)=0%,$B166,0%)))</f>
        <v>0</v>
      </c>
      <c r="BY166" s="395">
        <f ca="1">IF($E$334=0,0,IF(SUM($G166:BX166)=$B166,0,IF(SUM(BY165:$EJ165)=0%,$B166,0%)))</f>
        <v>0</v>
      </c>
      <c r="BZ166" s="395">
        <f ca="1">IF($E$334=0,0,IF(SUM($G166:BY166)=$B166,0,IF(SUM(BZ165:$EJ165)=0%,$B166,0%)))</f>
        <v>0</v>
      </c>
      <c r="CA166" s="395">
        <f ca="1">IF($E$334=0,0,IF(SUM($G166:BZ166)=$B166,0,IF(SUM(CA165:$EJ165)=0%,$B166,0%)))</f>
        <v>0</v>
      </c>
      <c r="CB166" s="395">
        <f ca="1">IF($E$334=0,0,IF(SUM($G166:CA166)=$B166,0,IF(SUM(CB165:$EJ165)=0%,$B166,0%)))</f>
        <v>0</v>
      </c>
      <c r="CC166" s="395">
        <f ca="1">IF($E$334=0,0,IF(SUM($G166:CB166)=$B166,0,IF(SUM(CC165:$EJ165)=0%,$B166,0%)))</f>
        <v>0</v>
      </c>
      <c r="CD166" s="395">
        <f ca="1">IF($E$334=0,0,IF(SUM($G166:CC166)=$B166,0,IF(SUM(CD165:$EJ165)=0%,$B166,0%)))</f>
        <v>0</v>
      </c>
      <c r="CE166" s="395">
        <f ca="1">IF($E$334=0,0,IF(SUM($G166:CD166)=$B166,0,IF(SUM(CE165:$EJ165)=0%,$B166,0%)))</f>
        <v>0</v>
      </c>
      <c r="CF166" s="395">
        <f ca="1">IF($E$334=0,0,IF(SUM($G166:CE166)=$B166,0,IF(SUM(CF165:$EJ165)=0%,$B166,0%)))</f>
        <v>0</v>
      </c>
      <c r="CG166" s="395">
        <f ca="1">IF($E$334=0,0,IF(SUM($G166:CF166)=$B166,0,IF(SUM(CG165:$EJ165)=0%,$B166,0%)))</f>
        <v>0</v>
      </c>
      <c r="CH166" s="395">
        <f ca="1">IF($E$334=0,0,IF(SUM($G166:CG166)=$B166,0,IF(SUM(CH165:$EJ165)=0%,$B166,0%)))</f>
        <v>0</v>
      </c>
      <c r="CI166" s="395">
        <f ca="1">IF($E$334=0,0,IF(SUM($G166:CH166)=$B166,0,IF(SUM(CI165:$EJ165)=0%,$B166,0%)))</f>
        <v>0</v>
      </c>
      <c r="CJ166" s="395">
        <f ca="1">IF($E$334=0,0,IF(SUM($G166:CI166)=$B166,0,IF(SUM(CJ165:$EJ165)=0%,$B166,0%)))</f>
        <v>0</v>
      </c>
      <c r="CK166" s="395">
        <f ca="1">IF($E$334=0,0,IF(SUM($G166:CJ166)=$B166,0,IF(SUM(CK165:$EJ165)=0%,$B166,0%)))</f>
        <v>0</v>
      </c>
      <c r="CL166" s="395">
        <f ca="1">IF($E$334=0,0,IF(SUM($G166:CK166)=$B166,0,IF(SUM(CL165:$EJ165)=0%,$B166,0%)))</f>
        <v>0</v>
      </c>
      <c r="CM166" s="395">
        <f ca="1">IF($E$334=0,0,IF(SUM($G166:CL166)=$B166,0,IF(SUM(CM165:$EJ165)=0%,$B166,0%)))</f>
        <v>0</v>
      </c>
      <c r="CN166" s="395">
        <f ca="1">IF($E$334=0,0,IF(SUM($G166:CM166)=$B166,0,IF(SUM(CN165:$EJ165)=0%,$B166,0%)))</f>
        <v>0</v>
      </c>
      <c r="CO166" s="395">
        <f ca="1">IF($E$334=0,0,IF(SUM($G166:CN166)=$B166,0,IF(SUM(CO165:$EJ165)=0%,$B166,0%)))</f>
        <v>0</v>
      </c>
      <c r="CP166" s="395">
        <f ca="1">IF($E$334=0,0,IF(SUM($G166:CO166)=$B166,0,IF(SUM(CP165:$EJ165)=0%,$B166,0%)))</f>
        <v>0</v>
      </c>
      <c r="CQ166" s="395">
        <f ca="1">IF($E$334=0,0,IF(SUM($G166:CP166)=$B166,0,IF(SUM(CQ165:$EJ165)=0%,$B166,0%)))</f>
        <v>0</v>
      </c>
      <c r="CR166" s="395">
        <f ca="1">IF($E$334=0,0,IF(SUM($G166:CQ166)=$B166,0,IF(SUM(CR165:$EJ165)=0%,$B166,0%)))</f>
        <v>0</v>
      </c>
      <c r="CS166" s="395">
        <f ca="1">IF($E$334=0,0,IF(SUM($G166:CR166)=$B166,0,IF(SUM(CS165:$EJ165)=0%,$B166,0%)))</f>
        <v>0</v>
      </c>
      <c r="CT166" s="395">
        <f ca="1">IF($E$334=0,0,IF(SUM($G166:CS166)=$B166,0,IF(SUM(CT165:$EJ165)=0%,$B166,0%)))</f>
        <v>0</v>
      </c>
      <c r="CU166" s="395">
        <f ca="1">IF($E$334=0,0,IF(SUM($G166:CT166)=$B166,0,IF(SUM(CU165:$EJ165)=0%,$B166,0%)))</f>
        <v>0</v>
      </c>
      <c r="CV166" s="395">
        <f ca="1">IF($E$334=0,0,IF(SUM($G166:CU166)=$B166,0,IF(SUM(CV165:$EJ165)=0%,$B166,0%)))</f>
        <v>0</v>
      </c>
      <c r="CW166" s="395">
        <f ca="1">IF($E$334=0,0,IF(SUM($G166:CV166)=$B166,0,IF(SUM(CW165:$EJ165)=0%,$B166,0%)))</f>
        <v>0</v>
      </c>
      <c r="CX166" s="395">
        <f ca="1">IF($E$334=0,0,IF(SUM($G166:CW166)=$B166,0,IF(SUM(CX165:$EJ165)=0%,$B166,0%)))</f>
        <v>0</v>
      </c>
      <c r="CY166" s="395">
        <f ca="1">IF($E$334=0,0,IF(SUM($G166:CX166)=$B166,0,IF(SUM(CY165:$EJ165)=0%,$B166,0%)))</f>
        <v>0</v>
      </c>
      <c r="CZ166" s="395">
        <f ca="1">IF($E$334=0,0,IF(SUM($G166:CY166)=$B166,0,IF(SUM(CZ165:$EJ165)=0%,$B166,0%)))</f>
        <v>0</v>
      </c>
      <c r="DA166" s="395">
        <f ca="1">IF($E$334=0,0,IF(SUM($G166:CZ166)=$B166,0,IF(SUM(DA165:$EJ165)=0%,$B166,0%)))</f>
        <v>0</v>
      </c>
      <c r="DB166" s="395">
        <f ca="1">IF($E$334=0,0,IF(SUM($G166:DA166)=$B166,0,IF(SUM(DB165:$EJ165)=0%,$B166,0%)))</f>
        <v>0</v>
      </c>
      <c r="DC166" s="395">
        <f ca="1">IF($E$334=0,0,IF(SUM($G166:DB166)=$B166,0,IF(SUM(DC165:$EJ165)=0%,$B166,0%)))</f>
        <v>0</v>
      </c>
      <c r="DD166" s="395">
        <f ca="1">IF($E$334=0,0,IF(SUM($G166:DC166)=$B166,0,IF(SUM(DD165:$EJ165)=0%,$B166,0%)))</f>
        <v>0</v>
      </c>
      <c r="DE166" s="395">
        <f ca="1">IF($E$334=0,0,IF(SUM($G166:DD166)=$B166,0,IF(SUM(DE165:$EJ165)=0%,$B166,0%)))</f>
        <v>0</v>
      </c>
      <c r="DF166" s="395">
        <f ca="1">IF($E$334=0,0,IF(SUM($G166:DE166)=$B166,0,IF(SUM(DF165:$EJ165)=0%,$B166,0%)))</f>
        <v>0</v>
      </c>
      <c r="DG166" s="395">
        <f ca="1">IF($E$334=0,0,IF(SUM($G166:DF166)=$B166,0,IF(SUM(DG165:$EJ165)=0%,$B166,0%)))</f>
        <v>0</v>
      </c>
      <c r="DH166" s="395">
        <f ca="1">IF($E$334=0,0,IF(SUM($G166:DG166)=$B166,0,IF(SUM(DH165:$EJ165)=0%,$B166,0%)))</f>
        <v>0</v>
      </c>
      <c r="DI166" s="395">
        <f ca="1">IF($E$334=0,0,IF(SUM($G166:DH166)=$B166,0,IF(SUM(DI165:$EJ165)=0%,$B166,0%)))</f>
        <v>0</v>
      </c>
      <c r="DJ166" s="395">
        <f ca="1">IF($E$334=0,0,IF(SUM($G166:DI166)=$B166,0,IF(SUM(DJ165:$EJ165)=0%,$B166,0%)))</f>
        <v>0</v>
      </c>
      <c r="DK166" s="395">
        <f ca="1">IF($E$334=0,0,IF(SUM($G166:DJ166)=$B166,0,IF(SUM(DK165:$EJ165)=0%,$B166,0%)))</f>
        <v>0</v>
      </c>
      <c r="DL166" s="395">
        <f ca="1">IF($E$334=0,0,IF(SUM($G166:DK166)=$B166,0,IF(SUM(DL165:$EJ165)=0%,$B166,0%)))</f>
        <v>0</v>
      </c>
      <c r="DM166" s="395">
        <f ca="1">IF($E$334=0,0,IF(SUM($G166:DL166)=$B166,0,IF(SUM(DM165:$EJ165)=0%,$B166,0%)))</f>
        <v>0</v>
      </c>
      <c r="DN166" s="395">
        <f ca="1">IF($E$334=0,0,IF(SUM($G166:DM166)=$B166,0,IF(SUM(DN165:$EJ165)=0%,$B166,0%)))</f>
        <v>0</v>
      </c>
      <c r="DO166" s="395">
        <f ca="1">IF($E$334=0,0,IF(SUM($G166:DN166)=$B166,0,IF(SUM(DO165:$EJ165)=0%,$B166,0%)))</f>
        <v>0</v>
      </c>
      <c r="DP166" s="395">
        <f ca="1">IF($E$334=0,0,IF(SUM($G166:DO166)=$B166,0,IF(SUM(DP165:$EJ165)=0%,$B166,0%)))</f>
        <v>0</v>
      </c>
      <c r="DQ166" s="395">
        <f ca="1">IF($E$334=0,0,IF(SUM($G166:DP166)=$B166,0,IF(SUM(DQ165:$EJ165)=0%,$B166,0%)))</f>
        <v>0</v>
      </c>
      <c r="DR166" s="395">
        <f ca="1">IF($E$334=0,0,IF(SUM($G166:DQ166)=$B166,0,IF(SUM(DR165:$EJ165)=0%,$B166,0%)))</f>
        <v>0</v>
      </c>
      <c r="DS166" s="395">
        <f ca="1">IF($E$334=0,0,IF(SUM($G166:DR166)=$B166,0,IF(SUM(DS165:$EJ165)=0%,$B166,0%)))</f>
        <v>0</v>
      </c>
      <c r="DT166" s="395">
        <f ca="1">IF($E$334=0,0,IF(SUM($G166:DS166)=$B166,0,IF(SUM(DT165:$EJ165)=0%,$B166,0%)))</f>
        <v>0</v>
      </c>
      <c r="DU166" s="395">
        <f ca="1">IF($E$334=0,0,IF(SUM($G166:DT166)=$B166,0,IF(SUM(DU165:$EJ165)=0%,$B166,0%)))</f>
        <v>0</v>
      </c>
      <c r="DV166" s="395">
        <f ca="1">IF($E$334=0,0,IF(SUM($G166:DU166)=$B166,0,IF(SUM(DV165:$EJ165)=0%,$B166,0%)))</f>
        <v>0</v>
      </c>
      <c r="DW166" s="395">
        <f ca="1">IF($E$334=0,0,IF(SUM($G166:DV166)=$B166,0,IF(SUM(DW165:$EJ165)=0%,$B166,0%)))</f>
        <v>0</v>
      </c>
      <c r="DX166" s="395">
        <f ca="1">IF($E$334=0,0,IF(SUM($G166:DW166)=$B166,0,IF(SUM(DX165:$EJ165)=0%,$B166,0%)))</f>
        <v>0</v>
      </c>
      <c r="DY166" s="395">
        <f ca="1">IF($E$334=0,0,IF(SUM($G166:DX166)=$B166,0,IF(SUM(DY165:$EJ165)=0%,$B166,0%)))</f>
        <v>0</v>
      </c>
      <c r="DZ166" s="395">
        <f ca="1">IF($E$334=0,0,IF(SUM($G166:DY166)=$B166,0,IF(SUM(DZ165:$EJ165)=0%,$B166,0%)))</f>
        <v>0</v>
      </c>
      <c r="EA166" s="395">
        <f ca="1">IF($E$334=0,0,IF(SUM($G166:DZ166)=$B166,0,IF(SUM(EA165:$EJ165)=0%,$B166,0%)))</f>
        <v>0</v>
      </c>
      <c r="EB166" s="395">
        <f ca="1">IF($E$334=0,0,IF(SUM($G166:EA166)=$B166,0,IF(SUM(EB165:$EJ165)=0%,$B166,0%)))</f>
        <v>0</v>
      </c>
      <c r="EC166" s="395">
        <f ca="1">IF($E$334=0,0,IF(SUM($G166:EB166)=$B166,0,IF(SUM(EC165:$EJ165)=0%,$B166,0%)))</f>
        <v>0</v>
      </c>
      <c r="ED166" s="395">
        <f ca="1">IF($E$334=0,0,IF(SUM($G166:EC166)=$B166,0,IF(SUM(ED165:$EJ165)=0%,$B166,0%)))</f>
        <v>0</v>
      </c>
      <c r="EE166" s="395">
        <f ca="1">IF($E$334=0,0,IF(SUM($G166:ED166)=$B166,0,IF(SUM(EE165:$EJ165)=0%,$B166,0%)))</f>
        <v>0</v>
      </c>
      <c r="EF166" s="395">
        <f ca="1">IF($E$334=0,0,IF(SUM($G166:EE166)=$B166,0,IF(SUM(EF165:$EJ165)=0%,$B166,0%)))</f>
        <v>0</v>
      </c>
      <c r="EG166" s="395">
        <f ca="1">IF($E$334=0,0,IF(SUM($G166:EF166)=$B166,0,IF(SUM(EG165:$EJ165)=0%,$B166,0%)))</f>
        <v>0</v>
      </c>
      <c r="EH166" s="395">
        <f ca="1">IF($E$334=0,0,IF(SUM($G166:EG166)=$B166,0,IF(SUM(EH165:$EJ165)=0%,$B166,0%)))</f>
        <v>0</v>
      </c>
      <c r="EI166" s="395">
        <f ca="1">IF($E$334=0,0,IF(SUM($G166:EH166)=$B166,0,IF(SUM(EI165:$EJ165)=0%,$B166,0%)))</f>
        <v>0</v>
      </c>
      <c r="EJ166" s="398"/>
      <c r="EK166" s="313"/>
    </row>
    <row r="167" spans="1:141" hidden="1" outlineLevel="2">
      <c r="A167" s="332"/>
      <c r="B167" s="548">
        <f t="shared" si="385"/>
        <v>2.5000000000000001E-2</v>
      </c>
      <c r="C167" s="317"/>
      <c r="D167" s="317" t="s">
        <v>640</v>
      </c>
      <c r="E167" s="318">
        <f t="shared" ca="1" si="384"/>
        <v>0</v>
      </c>
      <c r="F167" s="397">
        <f ca="1">SUM(G167:EJ167)</f>
        <v>2.5000000000000001E-2</v>
      </c>
      <c r="G167" s="395"/>
      <c r="H167" s="395"/>
      <c r="I167" s="395"/>
      <c r="J167" s="395"/>
      <c r="K167" s="395"/>
      <c r="L167" s="395"/>
      <c r="M167" s="395"/>
      <c r="N167" s="395"/>
      <c r="O167" s="395"/>
      <c r="P167" s="395"/>
      <c r="Q167" s="395"/>
      <c r="R167" s="395"/>
      <c r="S167" s="395"/>
      <c r="T167" s="395"/>
      <c r="U167" s="395"/>
      <c r="V167" s="395"/>
      <c r="W167" s="395"/>
      <c r="X167" s="395"/>
      <c r="Y167" s="395"/>
      <c r="Z167" s="395"/>
      <c r="AA167" s="395"/>
      <c r="AB167" s="395"/>
      <c r="AC167" s="395"/>
      <c r="AD167" s="395">
        <f ca="1">IF($E$334=0,0,IF(SUM($G167:AC167)=$B167,0,IF(SUM($G166:G166)=$B166,$B167,0%)))</f>
        <v>0</v>
      </c>
      <c r="AE167" s="395">
        <f ca="1">IF($E$334=0,0,IF(SUM($G167:AD167)=$B167,0,IF(SUM($G166:H166)=$B166,$B167,0%)))</f>
        <v>0</v>
      </c>
      <c r="AF167" s="395">
        <f ca="1">IF($E$334=0,0,IF(SUM($G167:AE167)=$B167,0,IF(SUM($G166:I166)=$B166,$B167,0%)))</f>
        <v>0</v>
      </c>
      <c r="AG167" s="395">
        <f ca="1">IF($E$334=0,0,IF(SUM($G167:AF167)=$B167,0,IF(SUM($G166:J166)=$B166,$B167,0%)))</f>
        <v>0</v>
      </c>
      <c r="AH167" s="395">
        <f ca="1">IF($E$334=0,0,IF(SUM($G167:AG167)=$B167,0,IF(SUM($G166:K166)=$B166,$B167,0%)))</f>
        <v>0</v>
      </c>
      <c r="AI167" s="395">
        <f ca="1">IF($E$334=0,0,IF(SUM($G167:AH167)=$B167,0,IF(SUM($G166:L166)=$B166,$B167,0%)))</f>
        <v>0</v>
      </c>
      <c r="AJ167" s="395">
        <f ca="1">IF($E$334=0,0,IF(SUM($G167:AI167)=$B167,0,IF(SUM($G166:M166)=$B166,$B167,0%)))</f>
        <v>0</v>
      </c>
      <c r="AK167" s="395">
        <f ca="1">IF($E$334=0,0,IF(SUM($G167:AJ167)=$B167,0,IF(SUM($G166:N166)=$B166,$B167,0%)))</f>
        <v>0</v>
      </c>
      <c r="AL167" s="395">
        <f ca="1">IF($E$334=0,0,IF(SUM($G167:AK167)=$B167,0,IF(SUM($G166:O166)=$B166,$B167,0%)))</f>
        <v>0</v>
      </c>
      <c r="AM167" s="395">
        <f ca="1">IF($E$334=0,0,IF(SUM($G167:AL167)=$B167,0,IF(SUM($G166:P166)=$B166,$B167,0%)))</f>
        <v>0</v>
      </c>
      <c r="AN167" s="395">
        <f ca="1">IF($E$334=0,0,IF(SUM($G167:AM167)=$B167,0,IF(SUM($G166:Q166)=$B166,$B167,0%)))</f>
        <v>0</v>
      </c>
      <c r="AO167" s="395">
        <f ca="1">IF($E$334=0,0,IF(SUM($G167:AN167)=$B167,0,IF(SUM($G166:R166)=$B166,$B167,0%)))</f>
        <v>0</v>
      </c>
      <c r="AP167" s="395">
        <f ca="1">IF($E$334=0,0,IF(SUM($G167:AO167)=$B167,0,IF(SUM($G166:S166)=$B166,$B167,0%)))</f>
        <v>0</v>
      </c>
      <c r="AQ167" s="395">
        <f ca="1">IF($E$334=0,0,IF(SUM($G167:AP167)=$B167,0,IF(SUM($G166:T166)=$B166,$B167,0%)))</f>
        <v>0</v>
      </c>
      <c r="AR167" s="395">
        <f ca="1">IF($E$334=0,0,IF(SUM($G167:AQ167)=$B167,0,IF(SUM($G166:U166)=$B166,$B167,0%)))</f>
        <v>0</v>
      </c>
      <c r="AS167" s="395">
        <f ca="1">IF($E$334=0,0,IF(SUM($G167:AR167)=$B167,0,IF(SUM($G166:V166)=$B166,$B167,0%)))</f>
        <v>0</v>
      </c>
      <c r="AT167" s="395">
        <f ca="1">IF($E$334=0,0,IF(SUM($G167:AS167)=$B167,0,IF(SUM($G166:W166)=$B166,$B167,0%)))</f>
        <v>0</v>
      </c>
      <c r="AU167" s="395">
        <f ca="1">IF($E$334=0,0,IF(SUM($G167:AT167)=$B167,0,IF(SUM($G166:X166)=$B166,$B167,0%)))</f>
        <v>0</v>
      </c>
      <c r="AV167" s="395">
        <f ca="1">IF($E$334=0,0,IF(SUM($G167:AU167)=$B167,0,IF(SUM($G166:Y166)=$B166,$B167,0%)))</f>
        <v>0</v>
      </c>
      <c r="AW167" s="395">
        <f ca="1">IF($E$334=0,0,IF(SUM($G167:AV167)=$B167,0,IF(SUM($G166:Z166)=$B166,$B167,0%)))</f>
        <v>0</v>
      </c>
      <c r="AX167" s="395">
        <f ca="1">IF($E$334=0,0,IF(SUM($G167:AW167)=$B167,0,IF(SUM($G166:AA166)=$B166,$B167,0%)))</f>
        <v>0</v>
      </c>
      <c r="AY167" s="395">
        <f ca="1">IF($E$334=0,0,IF(SUM($G167:AX167)=$B167,0,IF(SUM($G166:AB166)=$B166,$B167,0%)))</f>
        <v>0</v>
      </c>
      <c r="AZ167" s="395">
        <f ca="1">IF($E$334=0,0,IF(SUM($G167:AY167)=$B167,0,IF(SUM($G166:AC166)=$B166,$B167,0%)))</f>
        <v>0</v>
      </c>
      <c r="BA167" s="395">
        <f ca="1">IF($E$334=0,0,IF(SUM($G167:AZ167)=$B167,0,IF(SUM($G166:AD166)=$B166,$B167,0%)))</f>
        <v>0</v>
      </c>
      <c r="BB167" s="395">
        <f ca="1">IF($E$334=0,0,IF(SUM($G167:BA167)=$B167,0,IF(SUM($G166:AE166)=$B166,$B167,0%)))</f>
        <v>0</v>
      </c>
      <c r="BC167" s="395">
        <f ca="1">IF($E$334=0,0,IF(SUM($G167:BB167)=$B167,0,IF(SUM($G166:AF166)=$B166,$B167,0%)))</f>
        <v>0</v>
      </c>
      <c r="BD167" s="395">
        <f ca="1">IF($E$334=0,0,IF(SUM($G167:BC167)=$B167,0,IF(SUM($G166:AG166)=$B166,$B167,0%)))</f>
        <v>0</v>
      </c>
      <c r="BE167" s="395">
        <f ca="1">IF($E$334=0,0,IF(SUM($G167:BD167)=$B167,0,IF(SUM($G166:AH166)=$B166,$B167,0%)))</f>
        <v>0</v>
      </c>
      <c r="BF167" s="395">
        <f ca="1">IF($E$334=0,0,IF(SUM($G167:BE167)=$B167,0,IF(SUM($G166:AI166)=$B166,$B167,0%)))</f>
        <v>0</v>
      </c>
      <c r="BG167" s="395">
        <f ca="1">IF($E$334=0,0,IF(SUM($G167:BF167)=$B167,0,IF(SUM($G166:AJ166)=$B166,$B167,0%)))</f>
        <v>0</v>
      </c>
      <c r="BH167" s="395">
        <f ca="1">IF($E$334=0,0,IF(SUM($G167:BG167)=$B167,0,IF(SUM($G166:AK166)=$B166,$B167,0%)))</f>
        <v>0</v>
      </c>
      <c r="BI167" s="395">
        <f ca="1">IF($E$334=0,0,IF(SUM($G167:BH167)=$B167,0,IF(SUM($G166:AL166)=$B166,$B167,0%)))</f>
        <v>0</v>
      </c>
      <c r="BJ167" s="395">
        <f ca="1">IF($E$334=0,0,IF(SUM($G167:BI167)=$B167,0,IF(SUM($G166:AM166)=$B166,$B167,0%)))</f>
        <v>0</v>
      </c>
      <c r="BK167" s="395">
        <f ca="1">IF($E$334=0,0,IF(SUM($G167:BJ167)=$B167,0,IF(SUM($G166:AN166)=$B166,$B167,0%)))</f>
        <v>0</v>
      </c>
      <c r="BL167" s="395">
        <f ca="1">IF($E$334=0,0,IF(SUM($G167:BK167)=$B167,0,IF(SUM($G166:AO166)=$B166,$B167,0%)))</f>
        <v>0</v>
      </c>
      <c r="BM167" s="395">
        <f ca="1">IF($E$334=0,0,IF(SUM($G167:BL167)=$B167,0,IF(SUM($G166:AP166)=$B166,$B167,0%)))</f>
        <v>0</v>
      </c>
      <c r="BN167" s="395">
        <f ca="1">IF($E$334=0,0,IF(SUM($G167:BM167)=$B167,0,IF(SUM($G166:AQ166)=$B166,$B167,0%)))</f>
        <v>0</v>
      </c>
      <c r="BO167" s="395">
        <f ca="1">IF($E$334=0,0,IF(SUM($G167:BN167)=$B167,0,IF(SUM($G166:AR166)=$B166,$B167,0%)))</f>
        <v>0</v>
      </c>
      <c r="BP167" s="395">
        <f ca="1">IF($E$334=0,0,IF(SUM($G167:BO167)=$B167,0,IF(SUM($G166:AS166)=$B166,$B167,0%)))</f>
        <v>0</v>
      </c>
      <c r="BQ167" s="395">
        <f ca="1">IF($E$334=0,0,IF(SUM($G167:BP167)=$B167,0,IF(SUM($G166:AT166)=$B166,$B167,0%)))</f>
        <v>0</v>
      </c>
      <c r="BR167" s="395">
        <f ca="1">IF($E$334=0,0,IF(SUM($G167:BQ167)=$B167,0,IF(SUM($G166:AU166)=$B166,$B167,0%)))</f>
        <v>0</v>
      </c>
      <c r="BS167" s="395">
        <f ca="1">IF($E$334=0,0,IF(SUM($G167:BR167)=$B167,0,IF(SUM($G166:AV166)=$B166,$B167,0%)))</f>
        <v>0</v>
      </c>
      <c r="BT167" s="395">
        <f ca="1">IF($E$334=0,0,IF(SUM($G167:BS167)=$B167,0,IF(SUM($G166:AW166)=$B166,$B167,0%)))</f>
        <v>0</v>
      </c>
      <c r="BU167" s="395">
        <f ca="1">IF($E$334=0,0,IF(SUM($G167:BT167)=$B167,0,IF(SUM($G166:AX166)=$B166,$B167,0%)))</f>
        <v>0</v>
      </c>
      <c r="BV167" s="395">
        <f ca="1">IF($E$334=0,0,IF(SUM($G167:BU167)=$B167,0,IF(SUM($G166:AY166)=$B166,$B167,0%)))</f>
        <v>0</v>
      </c>
      <c r="BW167" s="395">
        <f ca="1">IF($E$334=0,0,IF(SUM($G167:BV167)=$B167,0,IF(SUM($G166:AZ166)=$B166,$B167,0%)))</f>
        <v>0</v>
      </c>
      <c r="BX167" s="395">
        <f ca="1">IF($E$334=0,0,IF(SUM($G167:BW167)=$B167,0,IF(SUM($G166:BA166)=$B166,$B167,0%)))</f>
        <v>0</v>
      </c>
      <c r="BY167" s="395">
        <f ca="1">IF($E$334=0,0,IF(SUM($G167:BX167)=$B167,0,IF(SUM($G166:BB166)=$B166,$B167,0%)))</f>
        <v>0</v>
      </c>
      <c r="BZ167" s="395">
        <f ca="1">IF($E$334=0,0,IF(SUM($G167:BY167)=$B167,0,IF(SUM($G166:BC166)=$B166,$B167,0%)))</f>
        <v>0</v>
      </c>
      <c r="CA167" s="395">
        <f ca="1">IF($E$334=0,0,IF(SUM($G167:BZ167)=$B167,0,IF(SUM($G166:BD166)=$B166,$B167,0%)))</f>
        <v>0</v>
      </c>
      <c r="CB167" s="395">
        <f ca="1">IF($E$334=0,0,IF(SUM($G167:CA167)=$B167,0,IF(SUM($G166:BE166)=$B166,$B167,0%)))</f>
        <v>0</v>
      </c>
      <c r="CC167" s="395">
        <f ca="1">IF($E$334=0,0,IF(SUM($G167:CB167)=$B167,0,IF(SUM($G166:BF166)=$B166,$B167,0%)))</f>
        <v>0</v>
      </c>
      <c r="CD167" s="395">
        <f ca="1">IF($E$334=0,0,IF(SUM($G167:CC167)=$B167,0,IF(SUM($G166:BG166)=$B166,$B167,0%)))</f>
        <v>0</v>
      </c>
      <c r="CE167" s="395">
        <f ca="1">IF($E$334=0,0,IF(SUM($G167:CD167)=$B167,0,IF(SUM($G166:BH166)=$B166,$B167,0%)))</f>
        <v>0</v>
      </c>
      <c r="CF167" s="395">
        <f ca="1">IF($E$334=0,0,IF(SUM($G167:CE167)=$B167,0,IF(SUM($G166:BI166)=$B166,$B167,0%)))</f>
        <v>0</v>
      </c>
      <c r="CG167" s="395">
        <f ca="1">IF($E$334=0,0,IF(SUM($G167:CF167)=$B167,0,IF(SUM($G166:BJ166)=$B166,$B167,0%)))</f>
        <v>2.5000000000000001E-2</v>
      </c>
      <c r="CH167" s="395">
        <f ca="1">IF($E$334=0,0,IF(SUM($G167:CG167)=$B167,0,IF(SUM($G166:BK166)=$B166,$B167,0%)))</f>
        <v>0</v>
      </c>
      <c r="CI167" s="395">
        <f ca="1">IF($E$334=0,0,IF(SUM($G167:CH167)=$B167,0,IF(SUM($G166:BL166)=$B166,$B167,0%)))</f>
        <v>0</v>
      </c>
      <c r="CJ167" s="395">
        <f ca="1">IF($E$334=0,0,IF(SUM($G167:CI167)=$B167,0,IF(SUM($G166:BM166)=$B166,$B167,0%)))</f>
        <v>0</v>
      </c>
      <c r="CK167" s="395">
        <f ca="1">IF($E$334=0,0,IF(SUM($G167:CJ167)=$B167,0,IF(SUM($G166:BN166)=$B166,$B167,0%)))</f>
        <v>0</v>
      </c>
      <c r="CL167" s="395">
        <f ca="1">IF($E$334=0,0,IF(SUM($G167:CK167)=$B167,0,IF(SUM($G166:BO166)=$B166,$B167,0%)))</f>
        <v>0</v>
      </c>
      <c r="CM167" s="395">
        <f ca="1">IF($E$334=0,0,IF(SUM($G167:CL167)=$B167,0,IF(SUM($G166:BP166)=$B166,$B167,0%)))</f>
        <v>0</v>
      </c>
      <c r="CN167" s="395">
        <f ca="1">IF($E$334=0,0,IF(SUM($G167:CM167)=$B167,0,IF(SUM($G166:BQ166)=$B166,$B167,0%)))</f>
        <v>0</v>
      </c>
      <c r="CO167" s="395">
        <f ca="1">IF($E$334=0,0,IF(SUM($G167:CN167)=$B167,0,IF(SUM($G166:BR166)=$B166,$B167,0%)))</f>
        <v>0</v>
      </c>
      <c r="CP167" s="395">
        <f ca="1">IF($E$334=0,0,IF(SUM($G167:CO167)=$B167,0,IF(SUM($G166:BS166)=$B166,$B167,0%)))</f>
        <v>0</v>
      </c>
      <c r="CQ167" s="395">
        <f ca="1">IF($E$334=0,0,IF(SUM($G167:CP167)=$B167,0,IF(SUM($G166:BT166)=$B166,$B167,0%)))</f>
        <v>0</v>
      </c>
      <c r="CR167" s="395">
        <f ca="1">IF($E$334=0,0,IF(SUM($G167:CQ167)=$B167,0,IF(SUM($G166:BU166)=$B166,$B167,0%)))</f>
        <v>0</v>
      </c>
      <c r="CS167" s="395">
        <f ca="1">IF($E$334=0,0,IF(SUM($G167:CR167)=$B167,0,IF(SUM($G166:BV166)=$B166,$B167,0%)))</f>
        <v>0</v>
      </c>
      <c r="CT167" s="395">
        <f ca="1">IF($E$334=0,0,IF(SUM($G167:CS167)=$B167,0,IF(SUM($G166:BW166)=$B166,$B167,0%)))</f>
        <v>0</v>
      </c>
      <c r="CU167" s="395">
        <f ca="1">IF($E$334=0,0,IF(SUM($G167:CT167)=$B167,0,IF(SUM($G166:BX166)=$B166,$B167,0%)))</f>
        <v>0</v>
      </c>
      <c r="CV167" s="395">
        <f ca="1">IF($E$334=0,0,IF(SUM($G167:CU167)=$B167,0,IF(SUM($G166:BY166)=$B166,$B167,0%)))</f>
        <v>0</v>
      </c>
      <c r="CW167" s="395">
        <f ca="1">IF($E$334=0,0,IF(SUM($G167:CV167)=$B167,0,IF(SUM($G166:BZ166)=$B166,$B167,0%)))</f>
        <v>0</v>
      </c>
      <c r="CX167" s="395">
        <f ca="1">IF($E$334=0,0,IF(SUM($G167:CW167)=$B167,0,IF(SUM($G166:CA166)=$B166,$B167,0%)))</f>
        <v>0</v>
      </c>
      <c r="CY167" s="395">
        <f ca="1">IF($E$334=0,0,IF(SUM($G167:CX167)=$B167,0,IF(SUM($G166:CB166)=$B166,$B167,0%)))</f>
        <v>0</v>
      </c>
      <c r="CZ167" s="395">
        <f ca="1">IF($E$334=0,0,IF(SUM($G167:CY167)=$B167,0,IF(SUM($G166:CC166)=$B166,$B167,0%)))</f>
        <v>0</v>
      </c>
      <c r="DA167" s="395">
        <f ca="1">IF($E$334=0,0,IF(SUM($G167:CZ167)=$B167,0,IF(SUM($G166:CD166)=$B166,$B167,0%)))</f>
        <v>0</v>
      </c>
      <c r="DB167" s="395">
        <f ca="1">IF($E$334=0,0,IF(SUM($G167:DA167)=$B167,0,IF(SUM($G166:CE166)=$B166,$B167,0%)))</f>
        <v>0</v>
      </c>
      <c r="DC167" s="395">
        <f ca="1">IF($E$334=0,0,IF(SUM($G167:DB167)=$B167,0,IF(SUM($G166:CF166)=$B166,$B167,0%)))</f>
        <v>0</v>
      </c>
      <c r="DD167" s="395">
        <f ca="1">IF($E$334=0,0,IF(SUM($G167:DC167)=$B167,0,IF(SUM($G166:CG166)=$B166,$B167,0%)))</f>
        <v>0</v>
      </c>
      <c r="DE167" s="395">
        <f ca="1">IF($E$334=0,0,IF(SUM($G167:DD167)=$B167,0,IF(SUM($G166:CH166)=$B166,$B167,0%)))</f>
        <v>0</v>
      </c>
      <c r="DF167" s="395">
        <f ca="1">IF($E$334=0,0,IF(SUM($G167:DE167)=$B167,0,IF(SUM($G166:CI166)=$B166,$B167,0%)))</f>
        <v>0</v>
      </c>
      <c r="DG167" s="395">
        <f ca="1">IF($E$334=0,0,IF(SUM($G167:DF167)=$B167,0,IF(SUM($G166:CJ166)=$B166,$B167,0%)))</f>
        <v>0</v>
      </c>
      <c r="DH167" s="395">
        <f ca="1">IF($E$334=0,0,IF(SUM($G167:DG167)=$B167,0,IF(SUM($G166:CK166)=$B166,$B167,0%)))</f>
        <v>0</v>
      </c>
      <c r="DI167" s="395">
        <f ca="1">IF($E$334=0,0,IF(SUM($G167:DH167)=$B167,0,IF(SUM($G166:CL166)=$B166,$B167,0%)))</f>
        <v>0</v>
      </c>
      <c r="DJ167" s="395">
        <f ca="1">IF($E$334=0,0,IF(SUM($G167:DI167)=$B167,0,IF(SUM($G166:CM166)=$B166,$B167,0%)))</f>
        <v>0</v>
      </c>
      <c r="DK167" s="395">
        <f ca="1">IF($E$334=0,0,IF(SUM($G167:DJ167)=$B167,0,IF(SUM($G166:CN166)=$B166,$B167,0%)))</f>
        <v>0</v>
      </c>
      <c r="DL167" s="395">
        <f ca="1">IF($E$334=0,0,IF(SUM($G167:DK167)=$B167,0,IF(SUM($G166:CO166)=$B166,$B167,0%)))</f>
        <v>0</v>
      </c>
      <c r="DM167" s="395">
        <f ca="1">IF($E$334=0,0,IF(SUM($G167:DL167)=$B167,0,IF(SUM($G166:CP166)=$B166,$B167,0%)))</f>
        <v>0</v>
      </c>
      <c r="DN167" s="395">
        <f ca="1">IF($E$334=0,0,IF(SUM($G167:DM167)=$B167,0,IF(SUM($G166:CQ166)=$B166,$B167,0%)))</f>
        <v>0</v>
      </c>
      <c r="DO167" s="395">
        <f ca="1">IF($E$334=0,0,IF(SUM($G167:DN167)=$B167,0,IF(SUM($G166:CR166)=$B166,$B167,0%)))</f>
        <v>0</v>
      </c>
      <c r="DP167" s="395">
        <f ca="1">IF($E$334=0,0,IF(SUM($G167:DO167)=$B167,0,IF(SUM($G166:CS166)=$B166,$B167,0%)))</f>
        <v>0</v>
      </c>
      <c r="DQ167" s="395">
        <f ca="1">IF($E$334=0,0,IF(SUM($G167:DP167)=$B167,0,IF(SUM($G166:CT166)=$B166,$B167,0%)))</f>
        <v>0</v>
      </c>
      <c r="DR167" s="395">
        <f ca="1">IF($E$334=0,0,IF(SUM($G167:DQ167)=$B167,0,IF(SUM($G166:CU166)=$B166,$B167,0%)))</f>
        <v>0</v>
      </c>
      <c r="DS167" s="395">
        <f ca="1">IF($E$334=0,0,IF(SUM($G167:DR167)=$B167,0,IF(SUM($G166:CV166)=$B166,$B167,0%)))</f>
        <v>0</v>
      </c>
      <c r="DT167" s="395">
        <f ca="1">IF($E$334=0,0,IF(SUM($G167:DS167)=$B167,0,IF(SUM($G166:CW166)=$B166,$B167,0%)))</f>
        <v>0</v>
      </c>
      <c r="DU167" s="395">
        <f ca="1">IF($E$334=0,0,IF(SUM($G167:DT167)=$B167,0,IF(SUM($G166:CX166)=$B166,$B167,0%)))</f>
        <v>0</v>
      </c>
      <c r="DV167" s="395">
        <f ca="1">IF($E$334=0,0,IF(SUM($G167:DU167)=$B167,0,IF(SUM($G166:CY166)=$B166,$B167,0%)))</f>
        <v>0</v>
      </c>
      <c r="DW167" s="395">
        <f ca="1">IF($E$334=0,0,IF(SUM($G167:DV167)=$B167,0,IF(SUM($G166:CZ166)=$B166,$B167,0%)))</f>
        <v>0</v>
      </c>
      <c r="DX167" s="395">
        <f ca="1">IF($E$334=0,0,IF(SUM($G167:DW167)=$B167,0,IF(SUM($G166:DA166)=$B166,$B167,0%)))</f>
        <v>0</v>
      </c>
      <c r="DY167" s="395">
        <f ca="1">IF($E$334=0,0,IF(SUM($G167:DX167)=$B167,0,IF(SUM($G166:DB166)=$B166,$B167,0%)))</f>
        <v>0</v>
      </c>
      <c r="DZ167" s="395">
        <f ca="1">IF($E$334=0,0,IF(SUM($G167:DY167)=$B167,0,IF(SUM($G166:DC166)=$B166,$B167,0%)))</f>
        <v>0</v>
      </c>
      <c r="EA167" s="395">
        <f ca="1">IF($E$334=0,0,IF(SUM($G167:DZ167)=$B167,0,IF(SUM($G166:DD166)=$B166,$B167,0%)))</f>
        <v>0</v>
      </c>
      <c r="EB167" s="395">
        <f ca="1">IF($E$334=0,0,IF(SUM($G167:EA167)=$B167,0,IF(SUM($G166:DE166)=$B166,$B167,0%)))</f>
        <v>0</v>
      </c>
      <c r="EC167" s="395">
        <f ca="1">IF($E$334=0,0,IF(SUM($G167:EB167)=$B167,0,IF(SUM($G166:DF166)=$B166,$B167,0%)))</f>
        <v>0</v>
      </c>
      <c r="ED167" s="395">
        <f ca="1">IF($E$334=0,0,IF(SUM($G167:EC167)=$B167,0,IF(SUM($G166:DG166)=$B166,$B167,0%)))</f>
        <v>0</v>
      </c>
      <c r="EE167" s="395">
        <f ca="1">IF($E$334=0,0,IF(SUM($G167:ED167)=$B167,0,IF(SUM($G166:DH166)=$B166,$B167,0%)))</f>
        <v>0</v>
      </c>
      <c r="EF167" s="395">
        <f ca="1">IF($E$334=0,0,IF(SUM($G167:EE167)=$B167,0,IF(SUM($G166:DI166)=$B166,$B167,0%)))</f>
        <v>0</v>
      </c>
      <c r="EG167" s="395">
        <f ca="1">IF($E$334=0,0,IF(SUM($G167:EF167)=$B167,0,IF(SUM($G166:DJ166)=$B166,$B167,0%)))</f>
        <v>0</v>
      </c>
      <c r="EH167" s="395">
        <f ca="1">IF($E$334=0,0,IF(SUM($G167:EG167)=$B167,0,IF(SUM($G166:DK166)=$B166,$B167,0%)))</f>
        <v>0</v>
      </c>
      <c r="EI167" s="395">
        <f ca="1">IF($E$334=0,0,IF(SUM($G167:EH167)=$B167,0,IF(SUM($G166:DL166)=$B166,$B167,0%)))</f>
        <v>0</v>
      </c>
      <c r="EJ167" s="398"/>
      <c r="EK167" s="313"/>
    </row>
    <row r="168" spans="1:141" hidden="1" outlineLevel="1" collapsed="1">
      <c r="A168" s="332"/>
      <c r="B168" s="313"/>
      <c r="C168" s="392" t="s">
        <v>91</v>
      </c>
      <c r="D168" s="392" t="str">
        <f>D339</f>
        <v>Внутренняя отделка - возвр. Перегородок</v>
      </c>
      <c r="E168" s="393">
        <f ca="1">ROUND(IF(F168=0,0,100%-F168),0)</f>
        <v>0</v>
      </c>
      <c r="F168" s="394">
        <f t="shared" ref="F168:F170" ca="1" si="386">SUM(G168:EJ168)</f>
        <v>0.99999999999999978</v>
      </c>
      <c r="G168" s="395">
        <f>SUM(G169:G172)</f>
        <v>0</v>
      </c>
      <c r="H168" s="395">
        <f ca="1">SUM(H169:H172)</f>
        <v>0</v>
      </c>
      <c r="I168" s="395">
        <f t="shared" ref="I168:BT168" ca="1" si="387">SUM(I169:I172)</f>
        <v>0</v>
      </c>
      <c r="J168" s="395">
        <f t="shared" ca="1" si="387"/>
        <v>0</v>
      </c>
      <c r="K168" s="395">
        <f t="shared" ca="1" si="387"/>
        <v>0</v>
      </c>
      <c r="L168" s="395">
        <f t="shared" ca="1" si="387"/>
        <v>0</v>
      </c>
      <c r="M168" s="395">
        <f t="shared" ca="1" si="387"/>
        <v>0</v>
      </c>
      <c r="N168" s="395">
        <f t="shared" ca="1" si="387"/>
        <v>0</v>
      </c>
      <c r="O168" s="395">
        <f t="shared" ca="1" si="387"/>
        <v>0</v>
      </c>
      <c r="P168" s="395">
        <f t="shared" ca="1" si="387"/>
        <v>0</v>
      </c>
      <c r="Q168" s="395">
        <f t="shared" ca="1" si="387"/>
        <v>0</v>
      </c>
      <c r="R168" s="395">
        <f t="shared" ca="1" si="387"/>
        <v>0</v>
      </c>
      <c r="S168" s="395">
        <f t="shared" ca="1" si="387"/>
        <v>0</v>
      </c>
      <c r="T168" s="395">
        <f t="shared" ca="1" si="387"/>
        <v>0</v>
      </c>
      <c r="U168" s="395">
        <f t="shared" ca="1" si="387"/>
        <v>0</v>
      </c>
      <c r="V168" s="395">
        <f t="shared" ca="1" si="387"/>
        <v>0</v>
      </c>
      <c r="W168" s="395">
        <f t="shared" ca="1" si="387"/>
        <v>0</v>
      </c>
      <c r="X168" s="395">
        <f t="shared" ca="1" si="387"/>
        <v>0</v>
      </c>
      <c r="Y168" s="395">
        <f t="shared" ca="1" si="387"/>
        <v>0</v>
      </c>
      <c r="Z168" s="395">
        <f t="shared" ca="1" si="387"/>
        <v>0</v>
      </c>
      <c r="AA168" s="395">
        <f t="shared" ca="1" si="387"/>
        <v>0</v>
      </c>
      <c r="AB168" s="395">
        <f t="shared" ca="1" si="387"/>
        <v>0</v>
      </c>
      <c r="AC168" s="395">
        <f t="shared" ca="1" si="387"/>
        <v>0</v>
      </c>
      <c r="AD168" s="395">
        <f t="shared" ca="1" si="387"/>
        <v>0</v>
      </c>
      <c r="AE168" s="395">
        <f t="shared" ca="1" si="387"/>
        <v>0</v>
      </c>
      <c r="AF168" s="395">
        <f t="shared" ca="1" si="387"/>
        <v>0</v>
      </c>
      <c r="AG168" s="395">
        <f t="shared" ca="1" si="387"/>
        <v>0</v>
      </c>
      <c r="AH168" s="395">
        <f t="shared" ca="1" si="387"/>
        <v>0</v>
      </c>
      <c r="AI168" s="395">
        <f t="shared" ca="1" si="387"/>
        <v>0</v>
      </c>
      <c r="AJ168" s="395">
        <f t="shared" ca="1" si="387"/>
        <v>0</v>
      </c>
      <c r="AK168" s="395">
        <f t="shared" ca="1" si="387"/>
        <v>0</v>
      </c>
      <c r="AL168" s="395">
        <f t="shared" ca="1" si="387"/>
        <v>0</v>
      </c>
      <c r="AM168" s="395">
        <f t="shared" ca="1" si="387"/>
        <v>0</v>
      </c>
      <c r="AN168" s="395">
        <f t="shared" ca="1" si="387"/>
        <v>0</v>
      </c>
      <c r="AO168" s="395">
        <f t="shared" ca="1" si="387"/>
        <v>0</v>
      </c>
      <c r="AP168" s="395">
        <f t="shared" ca="1" si="387"/>
        <v>0</v>
      </c>
      <c r="AQ168" s="395">
        <f t="shared" ca="1" si="387"/>
        <v>0</v>
      </c>
      <c r="AR168" s="395">
        <f t="shared" ca="1" si="387"/>
        <v>0</v>
      </c>
      <c r="AS168" s="395">
        <f t="shared" ca="1" si="387"/>
        <v>0</v>
      </c>
      <c r="AT168" s="395">
        <f t="shared" ca="1" si="387"/>
        <v>0</v>
      </c>
      <c r="AU168" s="395">
        <f t="shared" ca="1" si="387"/>
        <v>0</v>
      </c>
      <c r="AV168" s="395">
        <f t="shared" ca="1" si="387"/>
        <v>0.3</v>
      </c>
      <c r="AW168" s="395">
        <f t="shared" ca="1" si="387"/>
        <v>0</v>
      </c>
      <c r="AX168" s="395">
        <f t="shared" ca="1" si="387"/>
        <v>1.8236111111111151E-2</v>
      </c>
      <c r="AY168" s="395">
        <f t="shared" ca="1" si="387"/>
        <v>0.11194444444444443</v>
      </c>
      <c r="AZ168" s="395">
        <f t="shared" ca="1" si="387"/>
        <v>0.10833333333333331</v>
      </c>
      <c r="BA168" s="395">
        <f t="shared" ca="1" si="387"/>
        <v>0.11194444444444443</v>
      </c>
      <c r="BB168" s="395">
        <f t="shared" ca="1" si="387"/>
        <v>0.11194444444444443</v>
      </c>
      <c r="BC168" s="395">
        <f t="shared" ca="1" si="387"/>
        <v>0.1011111111111111</v>
      </c>
      <c r="BD168" s="395">
        <f t="shared" ca="1" si="387"/>
        <v>8.6486111111111055E-2</v>
      </c>
      <c r="BE168" s="395">
        <f t="shared" ca="1" si="387"/>
        <v>2.5000000000000001E-2</v>
      </c>
      <c r="BF168" s="395">
        <f t="shared" ca="1" si="387"/>
        <v>0</v>
      </c>
      <c r="BG168" s="395">
        <f t="shared" ca="1" si="387"/>
        <v>0</v>
      </c>
      <c r="BH168" s="395">
        <f t="shared" ca="1" si="387"/>
        <v>0</v>
      </c>
      <c r="BI168" s="395">
        <f t="shared" ca="1" si="387"/>
        <v>0</v>
      </c>
      <c r="BJ168" s="395">
        <f t="shared" ca="1" si="387"/>
        <v>0</v>
      </c>
      <c r="BK168" s="395">
        <f t="shared" ca="1" si="387"/>
        <v>0</v>
      </c>
      <c r="BL168" s="395">
        <f t="shared" ca="1" si="387"/>
        <v>0</v>
      </c>
      <c r="BM168" s="395">
        <f t="shared" ca="1" si="387"/>
        <v>0</v>
      </c>
      <c r="BN168" s="395">
        <f t="shared" ca="1" si="387"/>
        <v>0</v>
      </c>
      <c r="BO168" s="395">
        <f t="shared" ca="1" si="387"/>
        <v>0</v>
      </c>
      <c r="BP168" s="395">
        <f t="shared" ca="1" si="387"/>
        <v>0</v>
      </c>
      <c r="BQ168" s="395">
        <f t="shared" ca="1" si="387"/>
        <v>0</v>
      </c>
      <c r="BR168" s="395">
        <f t="shared" ca="1" si="387"/>
        <v>0</v>
      </c>
      <c r="BS168" s="395">
        <f t="shared" ca="1" si="387"/>
        <v>0</v>
      </c>
      <c r="BT168" s="395">
        <f t="shared" ca="1" si="387"/>
        <v>0</v>
      </c>
      <c r="BU168" s="395">
        <f t="shared" ref="BU168:EF168" ca="1" si="388">SUM(BU169:BU172)</f>
        <v>0</v>
      </c>
      <c r="BV168" s="395">
        <f t="shared" ca="1" si="388"/>
        <v>0</v>
      </c>
      <c r="BW168" s="395">
        <f t="shared" ca="1" si="388"/>
        <v>0</v>
      </c>
      <c r="BX168" s="395">
        <f t="shared" ca="1" si="388"/>
        <v>0</v>
      </c>
      <c r="BY168" s="395">
        <f t="shared" ca="1" si="388"/>
        <v>0</v>
      </c>
      <c r="BZ168" s="395">
        <f t="shared" ca="1" si="388"/>
        <v>0</v>
      </c>
      <c r="CA168" s="395">
        <f t="shared" ca="1" si="388"/>
        <v>0</v>
      </c>
      <c r="CB168" s="395">
        <f t="shared" ca="1" si="388"/>
        <v>2.5000000000000001E-2</v>
      </c>
      <c r="CC168" s="395">
        <f t="shared" ca="1" si="388"/>
        <v>0</v>
      </c>
      <c r="CD168" s="395">
        <f t="shared" ca="1" si="388"/>
        <v>0</v>
      </c>
      <c r="CE168" s="395">
        <f t="shared" ca="1" si="388"/>
        <v>0</v>
      </c>
      <c r="CF168" s="395">
        <f t="shared" ca="1" si="388"/>
        <v>0</v>
      </c>
      <c r="CG168" s="395">
        <f t="shared" ca="1" si="388"/>
        <v>0</v>
      </c>
      <c r="CH168" s="395">
        <f t="shared" ca="1" si="388"/>
        <v>0</v>
      </c>
      <c r="CI168" s="395">
        <f t="shared" ca="1" si="388"/>
        <v>0</v>
      </c>
      <c r="CJ168" s="395">
        <f t="shared" ca="1" si="388"/>
        <v>0</v>
      </c>
      <c r="CK168" s="395">
        <f t="shared" ca="1" si="388"/>
        <v>0</v>
      </c>
      <c r="CL168" s="395">
        <f t="shared" ca="1" si="388"/>
        <v>0</v>
      </c>
      <c r="CM168" s="395">
        <f t="shared" ca="1" si="388"/>
        <v>0</v>
      </c>
      <c r="CN168" s="395">
        <f t="shared" ca="1" si="388"/>
        <v>0</v>
      </c>
      <c r="CO168" s="395">
        <f t="shared" ca="1" si="388"/>
        <v>0</v>
      </c>
      <c r="CP168" s="395">
        <f t="shared" ca="1" si="388"/>
        <v>0</v>
      </c>
      <c r="CQ168" s="395">
        <f t="shared" ca="1" si="388"/>
        <v>0</v>
      </c>
      <c r="CR168" s="395">
        <f t="shared" ca="1" si="388"/>
        <v>0</v>
      </c>
      <c r="CS168" s="395">
        <f t="shared" ca="1" si="388"/>
        <v>0</v>
      </c>
      <c r="CT168" s="395">
        <f t="shared" ca="1" si="388"/>
        <v>0</v>
      </c>
      <c r="CU168" s="395">
        <f t="shared" ca="1" si="388"/>
        <v>0</v>
      </c>
      <c r="CV168" s="395">
        <f t="shared" ca="1" si="388"/>
        <v>0</v>
      </c>
      <c r="CW168" s="395">
        <f t="shared" ca="1" si="388"/>
        <v>0</v>
      </c>
      <c r="CX168" s="395">
        <f t="shared" ca="1" si="388"/>
        <v>0</v>
      </c>
      <c r="CY168" s="395">
        <f t="shared" ca="1" si="388"/>
        <v>0</v>
      </c>
      <c r="CZ168" s="395">
        <f t="shared" ca="1" si="388"/>
        <v>0</v>
      </c>
      <c r="DA168" s="395">
        <f t="shared" ca="1" si="388"/>
        <v>0</v>
      </c>
      <c r="DB168" s="395">
        <f t="shared" ca="1" si="388"/>
        <v>0</v>
      </c>
      <c r="DC168" s="395">
        <f t="shared" ca="1" si="388"/>
        <v>0</v>
      </c>
      <c r="DD168" s="395">
        <f t="shared" ca="1" si="388"/>
        <v>0</v>
      </c>
      <c r="DE168" s="395">
        <f t="shared" ca="1" si="388"/>
        <v>0</v>
      </c>
      <c r="DF168" s="395">
        <f t="shared" ca="1" si="388"/>
        <v>0</v>
      </c>
      <c r="DG168" s="395">
        <f t="shared" ca="1" si="388"/>
        <v>0</v>
      </c>
      <c r="DH168" s="395">
        <f t="shared" ca="1" si="388"/>
        <v>0</v>
      </c>
      <c r="DI168" s="395">
        <f t="shared" ca="1" si="388"/>
        <v>0</v>
      </c>
      <c r="DJ168" s="395">
        <f t="shared" ca="1" si="388"/>
        <v>0</v>
      </c>
      <c r="DK168" s="395">
        <f t="shared" ca="1" si="388"/>
        <v>0</v>
      </c>
      <c r="DL168" s="395">
        <f t="shared" ca="1" si="388"/>
        <v>0</v>
      </c>
      <c r="DM168" s="395">
        <f t="shared" ca="1" si="388"/>
        <v>0</v>
      </c>
      <c r="DN168" s="395">
        <f t="shared" ca="1" si="388"/>
        <v>0</v>
      </c>
      <c r="DO168" s="395">
        <f t="shared" ca="1" si="388"/>
        <v>0</v>
      </c>
      <c r="DP168" s="395">
        <f t="shared" ca="1" si="388"/>
        <v>0</v>
      </c>
      <c r="DQ168" s="395">
        <f t="shared" ca="1" si="388"/>
        <v>0</v>
      </c>
      <c r="DR168" s="395">
        <f t="shared" ca="1" si="388"/>
        <v>0</v>
      </c>
      <c r="DS168" s="395">
        <f t="shared" ca="1" si="388"/>
        <v>0</v>
      </c>
      <c r="DT168" s="395">
        <f t="shared" ca="1" si="388"/>
        <v>0</v>
      </c>
      <c r="DU168" s="395">
        <f t="shared" ca="1" si="388"/>
        <v>0</v>
      </c>
      <c r="DV168" s="395">
        <f t="shared" ca="1" si="388"/>
        <v>0</v>
      </c>
      <c r="DW168" s="395">
        <f t="shared" ca="1" si="388"/>
        <v>0</v>
      </c>
      <c r="DX168" s="395">
        <f t="shared" ca="1" si="388"/>
        <v>0</v>
      </c>
      <c r="DY168" s="395">
        <f t="shared" ca="1" si="388"/>
        <v>0</v>
      </c>
      <c r="DZ168" s="395">
        <f t="shared" ca="1" si="388"/>
        <v>0</v>
      </c>
      <c r="EA168" s="395">
        <f t="shared" ca="1" si="388"/>
        <v>0</v>
      </c>
      <c r="EB168" s="395">
        <f t="shared" ca="1" si="388"/>
        <v>0</v>
      </c>
      <c r="EC168" s="395">
        <f t="shared" ca="1" si="388"/>
        <v>0</v>
      </c>
      <c r="ED168" s="395">
        <f t="shared" ca="1" si="388"/>
        <v>0</v>
      </c>
      <c r="EE168" s="395">
        <f t="shared" ca="1" si="388"/>
        <v>0</v>
      </c>
      <c r="EF168" s="395">
        <f t="shared" ca="1" si="388"/>
        <v>0</v>
      </c>
      <c r="EG168" s="395">
        <f t="shared" ref="EG168:EI168" ca="1" si="389">SUM(EG169:EG172)</f>
        <v>0</v>
      </c>
      <c r="EH168" s="395">
        <f t="shared" ca="1" si="389"/>
        <v>0</v>
      </c>
      <c r="EI168" s="395">
        <f t="shared" ca="1" si="389"/>
        <v>0</v>
      </c>
      <c r="EJ168" s="398"/>
      <c r="EK168" s="313"/>
    </row>
    <row r="169" spans="1:141" hidden="1" outlineLevel="2">
      <c r="A169" s="332"/>
      <c r="B169" s="548">
        <f>B144</f>
        <v>0.3</v>
      </c>
      <c r="C169" s="317"/>
      <c r="D169" s="317" t="s">
        <v>664</v>
      </c>
      <c r="E169" s="318">
        <f t="shared" ref="E169:E172" ca="1" si="390">IF(F169=0,0,B169-F169)</f>
        <v>0</v>
      </c>
      <c r="F169" s="397">
        <f t="shared" ca="1" si="386"/>
        <v>0.3</v>
      </c>
      <c r="G169" s="395"/>
      <c r="H169" s="395">
        <f ca="1">IF(SUM($G169:G169)=$B169,0,IF(J170&gt;0%,$B169,0%))</f>
        <v>0</v>
      </c>
      <c r="I169" s="395">
        <f ca="1">IF(SUM($G169:H169)=$B169,0,IF(K170&gt;0%,$B169,0%))</f>
        <v>0</v>
      </c>
      <c r="J169" s="395">
        <f ca="1">IF(SUM($G169:I169)=$B169,0,IF(L170&gt;0%,$B169,0%))</f>
        <v>0</v>
      </c>
      <c r="K169" s="395">
        <f ca="1">IF(SUM($G169:J169)=$B169,0,IF(M170&gt;0%,$B169,0%))</f>
        <v>0</v>
      </c>
      <c r="L169" s="395">
        <f ca="1">IF(SUM($G169:K169)=$B169,0,IF(N170&gt;0%,$B169,0%))</f>
        <v>0</v>
      </c>
      <c r="M169" s="395">
        <f ca="1">IF(SUM($G169:L169)=$B169,0,IF(O170&gt;0%,$B169,0%))</f>
        <v>0</v>
      </c>
      <c r="N169" s="395">
        <f ca="1">IF(SUM($G169:M169)=$B169,0,IF(P170&gt;0%,$B169,0%))</f>
        <v>0</v>
      </c>
      <c r="O169" s="395">
        <f ca="1">IF(SUM($G169:N169)=$B169,0,IF(Q170&gt;0%,$B169,0%))</f>
        <v>0</v>
      </c>
      <c r="P169" s="395">
        <f ca="1">IF(SUM($G169:O169)=$B169,0,IF(R170&gt;0%,$B169,0%))</f>
        <v>0</v>
      </c>
      <c r="Q169" s="395">
        <f ca="1">IF(SUM($G169:P169)=$B169,0,IF(S170&gt;0%,$B169,0%))</f>
        <v>0</v>
      </c>
      <c r="R169" s="395">
        <f ca="1">IF(SUM($G169:Q169)=$B169,0,IF(T170&gt;0%,$B169,0%))</f>
        <v>0</v>
      </c>
      <c r="S169" s="395">
        <f ca="1">IF(SUM($G169:R169)=$B169,0,IF(U170&gt;0%,$B169,0%))</f>
        <v>0</v>
      </c>
      <c r="T169" s="395">
        <f ca="1">IF(SUM($G169:S169)=$B169,0,IF(V170&gt;0%,$B169,0%))</f>
        <v>0</v>
      </c>
      <c r="U169" s="395">
        <f ca="1">IF(SUM($G169:T169)=$B169,0,IF(W170&gt;0%,$B169,0%))</f>
        <v>0</v>
      </c>
      <c r="V169" s="395">
        <f ca="1">IF(SUM($G169:U169)=$B169,0,IF(X170&gt;0%,$B169,0%))</f>
        <v>0</v>
      </c>
      <c r="W169" s="395">
        <f ca="1">IF(SUM($G169:V169)=$B169,0,IF(Y170&gt;0%,$B169,0%))</f>
        <v>0</v>
      </c>
      <c r="X169" s="395">
        <f ca="1">IF(SUM($G169:W169)=$B169,0,IF(Z170&gt;0%,$B169,0%))</f>
        <v>0</v>
      </c>
      <c r="Y169" s="395">
        <f ca="1">IF(SUM($G169:X169)=$B169,0,IF(AA170&gt;0%,$B169,0%))</f>
        <v>0</v>
      </c>
      <c r="Z169" s="395">
        <f ca="1">IF(SUM($G169:Y169)=$B169,0,IF(AB170&gt;0%,$B169,0%))</f>
        <v>0</v>
      </c>
      <c r="AA169" s="395">
        <f ca="1">IF(SUM($G169:Z169)=$B169,0,IF(AC170&gt;0%,$B169,0%))</f>
        <v>0</v>
      </c>
      <c r="AB169" s="395">
        <f ca="1">IF(SUM($G169:AA169)=$B169,0,IF(AD170&gt;0%,$B169,0%))</f>
        <v>0</v>
      </c>
      <c r="AC169" s="395">
        <f ca="1">IF(SUM($G169:AB169)=$B169,0,IF(AE170&gt;0%,$B169,0%))</f>
        <v>0</v>
      </c>
      <c r="AD169" s="395">
        <f ca="1">IF(SUM($G169:AC169)=$B169,0,IF(AF170&gt;0%,$B169,0%))</f>
        <v>0</v>
      </c>
      <c r="AE169" s="395">
        <f ca="1">IF(SUM($G169:AD169)=$B169,0,IF(AG170&gt;0%,$B169,0%))</f>
        <v>0</v>
      </c>
      <c r="AF169" s="395">
        <f ca="1">IF(SUM($G169:AE169)=$B169,0,IF(AH170&gt;0%,$B169,0%))</f>
        <v>0</v>
      </c>
      <c r="AG169" s="395">
        <f ca="1">IF(SUM($G169:AF169)=$B169,0,IF(AI170&gt;0%,$B169,0%))</f>
        <v>0</v>
      </c>
      <c r="AH169" s="395">
        <f ca="1">IF(SUM($G169:AG169)=$B169,0,IF(AJ170&gt;0%,$B169,0%))</f>
        <v>0</v>
      </c>
      <c r="AI169" s="395">
        <f ca="1">IF(SUM($G169:AH169)=$B169,0,IF(AK170&gt;0%,$B169,0%))</f>
        <v>0</v>
      </c>
      <c r="AJ169" s="395">
        <f ca="1">IF(SUM($G169:AI169)=$B169,0,IF(AL170&gt;0%,$B169,0%))</f>
        <v>0</v>
      </c>
      <c r="AK169" s="395">
        <f ca="1">IF(SUM($G169:AJ169)=$B169,0,IF(AM170&gt;0%,$B169,0%))</f>
        <v>0</v>
      </c>
      <c r="AL169" s="395">
        <f ca="1">IF(SUM($G169:AK169)=$B169,0,IF(AN170&gt;0%,$B169,0%))</f>
        <v>0</v>
      </c>
      <c r="AM169" s="395">
        <f ca="1">IF(SUM($G169:AL169)=$B169,0,IF(AO170&gt;0%,$B169,0%))</f>
        <v>0</v>
      </c>
      <c r="AN169" s="395">
        <f ca="1">IF(SUM($G169:AM169)=$B169,0,IF(AP170&gt;0%,$B169,0%))</f>
        <v>0</v>
      </c>
      <c r="AO169" s="395">
        <f ca="1">IF(SUM($G169:AN169)=$B169,0,IF(AQ170&gt;0%,$B169,0%))</f>
        <v>0</v>
      </c>
      <c r="AP169" s="395">
        <f ca="1">IF(SUM($G169:AO169)=$B169,0,IF(AR170&gt;0%,$B169,0%))</f>
        <v>0</v>
      </c>
      <c r="AQ169" s="395">
        <f ca="1">IF(SUM($G169:AP169)=$B169,0,IF(AS170&gt;0%,$B169,0%))</f>
        <v>0</v>
      </c>
      <c r="AR169" s="395">
        <f ca="1">IF(SUM($G169:AQ169)=$B169,0,IF(AT170&gt;0%,$B169,0%))</f>
        <v>0</v>
      </c>
      <c r="AS169" s="395">
        <f ca="1">IF(SUM($G169:AR169)=$B169,0,IF(AU170&gt;0%,$B169,0%))</f>
        <v>0</v>
      </c>
      <c r="AT169" s="395">
        <f ca="1">IF(SUM($G169:AS169)=$B169,0,IF(AV170&gt;0%,$B169,0%))</f>
        <v>0</v>
      </c>
      <c r="AU169" s="395">
        <f ca="1">IF(SUM($G169:AT169)=$B169,0,IF(AW170&gt;0%,$B169,0%))</f>
        <v>0</v>
      </c>
      <c r="AV169" s="395">
        <f ca="1">IF(SUM($G169:AU169)=$B169,0,IF(AX170&gt;0%,$B169,0%))</f>
        <v>0.3</v>
      </c>
      <c r="AW169" s="395">
        <f ca="1">IF(SUM($G169:AV169)=$B169,0,IF(AY170&gt;0%,$B169,0%))</f>
        <v>0</v>
      </c>
      <c r="AX169" s="395">
        <f ca="1">IF(SUM($G169:AW169)=$B169,0,IF(AZ170&gt;0%,$B169,0%))</f>
        <v>0</v>
      </c>
      <c r="AY169" s="395">
        <f ca="1">IF(SUM($G169:AX169)=$B169,0,IF(BA170&gt;0%,$B169,0%))</f>
        <v>0</v>
      </c>
      <c r="AZ169" s="395">
        <f ca="1">IF(SUM($G169:AY169)=$B169,0,IF(BB170&gt;0%,$B169,0%))</f>
        <v>0</v>
      </c>
      <c r="BA169" s="395">
        <f ca="1">IF(SUM($G169:AZ169)=$B169,0,IF(BC170&gt;0%,$B169,0%))</f>
        <v>0</v>
      </c>
      <c r="BB169" s="395">
        <f ca="1">IF(SUM($G169:BA169)=$B169,0,IF(BD170&gt;0%,$B169,0%))</f>
        <v>0</v>
      </c>
      <c r="BC169" s="395">
        <f ca="1">IF(SUM($G169:BB169)=$B169,0,IF(BE170&gt;0%,$B169,0%))</f>
        <v>0</v>
      </c>
      <c r="BD169" s="395">
        <f ca="1">IF(SUM($G169:BC169)=$B169,0,IF(BF170&gt;0%,$B169,0%))</f>
        <v>0</v>
      </c>
      <c r="BE169" s="395">
        <f ca="1">IF(SUM($G169:BD169)=$B169,0,IF(BG170&gt;0%,$B169,0%))</f>
        <v>0</v>
      </c>
      <c r="BF169" s="395">
        <f ca="1">IF(SUM($G169:BE169)=$B169,0,IF(BH170&gt;0%,$B169,0%))</f>
        <v>0</v>
      </c>
      <c r="BG169" s="395">
        <f ca="1">IF(SUM($G169:BF169)=$B169,0,IF(BI170&gt;0%,$B169,0%))</f>
        <v>0</v>
      </c>
      <c r="BH169" s="395">
        <f ca="1">IF(SUM($G169:BG169)=$B169,0,IF(BJ170&gt;0%,$B169,0%))</f>
        <v>0</v>
      </c>
      <c r="BI169" s="395">
        <f ca="1">IF(SUM($G169:BH169)=$B169,0,IF(BK170&gt;0%,$B169,0%))</f>
        <v>0</v>
      </c>
      <c r="BJ169" s="395">
        <f ca="1">IF(SUM($G169:BI169)=$B169,0,IF(BL170&gt;0%,$B169,0%))</f>
        <v>0</v>
      </c>
      <c r="BK169" s="395">
        <f ca="1">IF(SUM($G169:BJ169)=$B169,0,IF(BM170&gt;0%,$B169,0%))</f>
        <v>0</v>
      </c>
      <c r="BL169" s="395">
        <f ca="1">IF(SUM($G169:BK169)=$B169,0,IF(BN170&gt;0%,$B169,0%))</f>
        <v>0</v>
      </c>
      <c r="BM169" s="395">
        <f ca="1">IF(SUM($G169:BL169)=$B169,0,IF(BO170&gt;0%,$B169,0%))</f>
        <v>0</v>
      </c>
      <c r="BN169" s="395">
        <f ca="1">IF(SUM($G169:BM169)=$B169,0,IF(BP170&gt;0%,$B169,0%))</f>
        <v>0</v>
      </c>
      <c r="BO169" s="395">
        <f ca="1">IF(SUM($G169:BN169)=$B169,0,IF(BQ170&gt;0%,$B169,0%))</f>
        <v>0</v>
      </c>
      <c r="BP169" s="395">
        <f ca="1">IF(SUM($G169:BO169)=$B169,0,IF(BR170&gt;0%,$B169,0%))</f>
        <v>0</v>
      </c>
      <c r="BQ169" s="395">
        <f ca="1">IF(SUM($G169:BP169)=$B169,0,IF(BS170&gt;0%,$B169,0%))</f>
        <v>0</v>
      </c>
      <c r="BR169" s="395">
        <f ca="1">IF(SUM($G169:BQ169)=$B169,0,IF(BT170&gt;0%,$B169,0%))</f>
        <v>0</v>
      </c>
      <c r="BS169" s="395">
        <f ca="1">IF(SUM($G169:BR169)=$B169,0,IF(BU170&gt;0%,$B169,0%))</f>
        <v>0</v>
      </c>
      <c r="BT169" s="395">
        <f ca="1">IF(SUM($G169:BS169)=$B169,0,IF(BV170&gt;0%,$B169,0%))</f>
        <v>0</v>
      </c>
      <c r="BU169" s="395">
        <f ca="1">IF(SUM($G169:BT169)=$B169,0,IF(BW170&gt;0%,$B169,0%))</f>
        <v>0</v>
      </c>
      <c r="BV169" s="395">
        <f ca="1">IF(SUM($G169:BU169)=$B169,0,IF(BX170&gt;0%,$B169,0%))</f>
        <v>0</v>
      </c>
      <c r="BW169" s="395">
        <f ca="1">IF(SUM($G169:BV169)=$B169,0,IF(BY170&gt;0%,$B169,0%))</f>
        <v>0</v>
      </c>
      <c r="BX169" s="395">
        <f ca="1">IF(SUM($G169:BW169)=$B169,0,IF(BZ170&gt;0%,$B169,0%))</f>
        <v>0</v>
      </c>
      <c r="BY169" s="395">
        <f ca="1">IF(SUM($G169:BX169)=$B169,0,IF(CA170&gt;0%,$B169,0%))</f>
        <v>0</v>
      </c>
      <c r="BZ169" s="395">
        <f ca="1">IF(SUM($G169:BY169)=$B169,0,IF(CB170&gt;0%,$B169,0%))</f>
        <v>0</v>
      </c>
      <c r="CA169" s="395">
        <f ca="1">IF(SUM($G169:BZ169)=$B169,0,IF(CC170&gt;0%,$B169,0%))</f>
        <v>0</v>
      </c>
      <c r="CB169" s="395">
        <f ca="1">IF(SUM($G169:CA169)=$B169,0,IF(CD170&gt;0%,$B169,0%))</f>
        <v>0</v>
      </c>
      <c r="CC169" s="395">
        <f ca="1">IF(SUM($G169:CB169)=$B169,0,IF(CE170&gt;0%,$B169,0%))</f>
        <v>0</v>
      </c>
      <c r="CD169" s="395">
        <f ca="1">IF(SUM($G169:CC169)=$B169,0,IF(CF170&gt;0%,$B169,0%))</f>
        <v>0</v>
      </c>
      <c r="CE169" s="395">
        <f ca="1">IF(SUM($G169:CD169)=$B169,0,IF(CG170&gt;0%,$B169,0%))</f>
        <v>0</v>
      </c>
      <c r="CF169" s="395">
        <f ca="1">IF(SUM($G169:CE169)=$B169,0,IF(CH170&gt;0%,$B169,0%))</f>
        <v>0</v>
      </c>
      <c r="CG169" s="395">
        <f ca="1">IF(SUM($G169:CF169)=$B169,0,IF(CI170&gt;0%,$B169,0%))</f>
        <v>0</v>
      </c>
      <c r="CH169" s="395">
        <f ca="1">IF(SUM($G169:CG169)=$B169,0,IF(CJ170&gt;0%,$B169,0%))</f>
        <v>0</v>
      </c>
      <c r="CI169" s="395">
        <f ca="1">IF(SUM($G169:CH169)=$B169,0,IF(CK170&gt;0%,$B169,0%))</f>
        <v>0</v>
      </c>
      <c r="CJ169" s="395">
        <f ca="1">IF(SUM($G169:CI169)=$B169,0,IF(CL170&gt;0%,$B169,0%))</f>
        <v>0</v>
      </c>
      <c r="CK169" s="395">
        <f ca="1">IF(SUM($G169:CJ169)=$B169,0,IF(CM170&gt;0%,$B169,0%))</f>
        <v>0</v>
      </c>
      <c r="CL169" s="395">
        <f ca="1">IF(SUM($G169:CK169)=$B169,0,IF(CN170&gt;0%,$B169,0%))</f>
        <v>0</v>
      </c>
      <c r="CM169" s="395">
        <f ca="1">IF(SUM($G169:CL169)=$B169,0,IF(CO170&gt;0%,$B169,0%))</f>
        <v>0</v>
      </c>
      <c r="CN169" s="395">
        <f ca="1">IF(SUM($G169:CM169)=$B169,0,IF(CP170&gt;0%,$B169,0%))</f>
        <v>0</v>
      </c>
      <c r="CO169" s="395">
        <f ca="1">IF(SUM($G169:CN169)=$B169,0,IF(CQ170&gt;0%,$B169,0%))</f>
        <v>0</v>
      </c>
      <c r="CP169" s="395">
        <f ca="1">IF(SUM($G169:CO169)=$B169,0,IF(CR170&gt;0%,$B169,0%))</f>
        <v>0</v>
      </c>
      <c r="CQ169" s="395">
        <f ca="1">IF(SUM($G169:CP169)=$B169,0,IF(CS170&gt;0%,$B169,0%))</f>
        <v>0</v>
      </c>
      <c r="CR169" s="395">
        <f ca="1">IF(SUM($G169:CQ169)=$B169,0,IF(CT170&gt;0%,$B169,0%))</f>
        <v>0</v>
      </c>
      <c r="CS169" s="395">
        <f ca="1">IF(SUM($G169:CR169)=$B169,0,IF(CU170&gt;0%,$B169,0%))</f>
        <v>0</v>
      </c>
      <c r="CT169" s="395">
        <f ca="1">IF(SUM($G169:CS169)=$B169,0,IF(CV170&gt;0%,$B169,0%))</f>
        <v>0</v>
      </c>
      <c r="CU169" s="395">
        <f ca="1">IF(SUM($G169:CT169)=$B169,0,IF(CW170&gt;0%,$B169,0%))</f>
        <v>0</v>
      </c>
      <c r="CV169" s="395">
        <f ca="1">IF(SUM($G169:CU169)=$B169,0,IF(CX170&gt;0%,$B169,0%))</f>
        <v>0</v>
      </c>
      <c r="CW169" s="395">
        <f ca="1">IF(SUM($G169:CV169)=$B169,0,IF(CY170&gt;0%,$B169,0%))</f>
        <v>0</v>
      </c>
      <c r="CX169" s="395">
        <f ca="1">IF(SUM($G169:CW169)=$B169,0,IF(CZ170&gt;0%,$B169,0%))</f>
        <v>0</v>
      </c>
      <c r="CY169" s="395">
        <f ca="1">IF(SUM($G169:CX169)=$B169,0,IF(DA170&gt;0%,$B169,0%))</f>
        <v>0</v>
      </c>
      <c r="CZ169" s="395">
        <f ca="1">IF(SUM($G169:CY169)=$B169,0,IF(DB170&gt;0%,$B169,0%))</f>
        <v>0</v>
      </c>
      <c r="DA169" s="395">
        <f ca="1">IF(SUM($G169:CZ169)=$B169,0,IF(DC170&gt;0%,$B169,0%))</f>
        <v>0</v>
      </c>
      <c r="DB169" s="395">
        <f ca="1">IF(SUM($G169:DA169)=$B169,0,IF(DD170&gt;0%,$B169,0%))</f>
        <v>0</v>
      </c>
      <c r="DC169" s="395">
        <f ca="1">IF(SUM($G169:DB169)=$B169,0,IF(DE170&gt;0%,$B169,0%))</f>
        <v>0</v>
      </c>
      <c r="DD169" s="395">
        <f ca="1">IF(SUM($G169:DC169)=$B169,0,IF(DF170&gt;0%,$B169,0%))</f>
        <v>0</v>
      </c>
      <c r="DE169" s="395">
        <f ca="1">IF(SUM($G169:DD169)=$B169,0,IF(DG170&gt;0%,$B169,0%))</f>
        <v>0</v>
      </c>
      <c r="DF169" s="395">
        <f ca="1">IF(SUM($G169:DE169)=$B169,0,IF(DH170&gt;0%,$B169,0%))</f>
        <v>0</v>
      </c>
      <c r="DG169" s="395">
        <f ca="1">IF(SUM($G169:DF169)=$B169,0,IF(DI170&gt;0%,$B169,0%))</f>
        <v>0</v>
      </c>
      <c r="DH169" s="395">
        <f ca="1">IF(SUM($G169:DG169)=$B169,0,IF(DJ170&gt;0%,$B169,0%))</f>
        <v>0</v>
      </c>
      <c r="DI169" s="395">
        <f ca="1">IF(SUM($G169:DH169)=$B169,0,IF(DK170&gt;0%,$B169,0%))</f>
        <v>0</v>
      </c>
      <c r="DJ169" s="395">
        <f ca="1">IF(SUM($G169:DI169)=$B169,0,IF(DL170&gt;0%,$B169,0%))</f>
        <v>0</v>
      </c>
      <c r="DK169" s="395">
        <f ca="1">IF(SUM($G169:DJ169)=$B169,0,IF(DM170&gt;0%,$B169,0%))</f>
        <v>0</v>
      </c>
      <c r="DL169" s="395">
        <f ca="1">IF(SUM($G169:DK169)=$B169,0,IF(DN170&gt;0%,$B169,0%))</f>
        <v>0</v>
      </c>
      <c r="DM169" s="395">
        <f ca="1">IF(SUM($G169:DL169)=$B169,0,IF(DO170&gt;0%,$B169,0%))</f>
        <v>0</v>
      </c>
      <c r="DN169" s="395">
        <f ca="1">IF(SUM($G169:DM169)=$B169,0,IF(DP170&gt;0%,$B169,0%))</f>
        <v>0</v>
      </c>
      <c r="DO169" s="395">
        <f ca="1">IF(SUM($G169:DN169)=$B169,0,IF(DQ170&gt;0%,$B169,0%))</f>
        <v>0</v>
      </c>
      <c r="DP169" s="395">
        <f ca="1">IF(SUM($G169:DO169)=$B169,0,IF(DR170&gt;0%,$B169,0%))</f>
        <v>0</v>
      </c>
      <c r="DQ169" s="395">
        <f ca="1">IF(SUM($G169:DP169)=$B169,0,IF(DS170&gt;0%,$B169,0%))</f>
        <v>0</v>
      </c>
      <c r="DR169" s="395">
        <f ca="1">IF(SUM($G169:DQ169)=$B169,0,IF(DT170&gt;0%,$B169,0%))</f>
        <v>0</v>
      </c>
      <c r="DS169" s="395">
        <f ca="1">IF(SUM($G169:DR169)=$B169,0,IF(DU170&gt;0%,$B169,0%))</f>
        <v>0</v>
      </c>
      <c r="DT169" s="395">
        <f ca="1">IF(SUM($G169:DS169)=$B169,0,IF(DV170&gt;0%,$B169,0%))</f>
        <v>0</v>
      </c>
      <c r="DU169" s="395">
        <f ca="1">IF(SUM($G169:DT169)=$B169,0,IF(DW170&gt;0%,$B169,0%))</f>
        <v>0</v>
      </c>
      <c r="DV169" s="395">
        <f ca="1">IF(SUM($G169:DU169)=$B169,0,IF(DX170&gt;0%,$B169,0%))</f>
        <v>0</v>
      </c>
      <c r="DW169" s="395">
        <f ca="1">IF(SUM($G169:DV169)=$B169,0,IF(DY170&gt;0%,$B169,0%))</f>
        <v>0</v>
      </c>
      <c r="DX169" s="395">
        <f ca="1">IF(SUM($G169:DW169)=$B169,0,IF(DZ170&gt;0%,$B169,0%))</f>
        <v>0</v>
      </c>
      <c r="DY169" s="395">
        <f ca="1">IF(SUM($G169:DX169)=$B169,0,IF(EA170&gt;0%,$B169,0%))</f>
        <v>0</v>
      </c>
      <c r="DZ169" s="395">
        <f ca="1">IF(SUM($G169:DY169)=$B169,0,IF(EB170&gt;0%,$B169,0%))</f>
        <v>0</v>
      </c>
      <c r="EA169" s="395">
        <f ca="1">IF(SUM($G169:DZ169)=$B169,0,IF(EC170&gt;0%,$B169,0%))</f>
        <v>0</v>
      </c>
      <c r="EB169" s="395">
        <f ca="1">IF(SUM($G169:EA169)=$B169,0,IF(ED170&gt;0%,$B169,0%))</f>
        <v>0</v>
      </c>
      <c r="EC169" s="395">
        <f ca="1">IF(SUM($G169:EB169)=$B169,0,IF(EE170&gt;0%,$B169,0%))</f>
        <v>0</v>
      </c>
      <c r="ED169" s="395">
        <f ca="1">IF(SUM($G169:EC169)=$B169,0,IF(EF170&gt;0%,$B169,0%))</f>
        <v>0</v>
      </c>
      <c r="EE169" s="395">
        <f ca="1">IF(SUM($G169:ED169)=$B169,0,IF(EG170&gt;0%,$B169,0%))</f>
        <v>0</v>
      </c>
      <c r="EF169" s="395">
        <f ca="1">IF(SUM($G169:EE169)=$B169,0,IF(EH170&gt;0%,$B169,0%))</f>
        <v>0</v>
      </c>
      <c r="EG169" s="395">
        <f ca="1">IF(SUM($G169:EF169)=$B169,0,IF(EI170&gt;0%,$B169,0%))</f>
        <v>0</v>
      </c>
      <c r="EH169" s="395">
        <f ca="1">IF(SUM($G169:EG169)=$B169,0,IF(EJ170&gt;0%,$B169,0%))</f>
        <v>0</v>
      </c>
      <c r="EI169" s="395">
        <f ca="1">IF(SUM($G169:EH169)=$B169,0,IF(EK170&gt;0%,$B169,0%))</f>
        <v>0</v>
      </c>
      <c r="EJ169" s="398"/>
      <c r="EK169" s="313"/>
    </row>
    <row r="170" spans="1:141" hidden="1" outlineLevel="2">
      <c r="A170" s="332"/>
      <c r="B170" s="548">
        <f t="shared" ref="B170:B172" si="391">B145</f>
        <v>0.64999999999999991</v>
      </c>
      <c r="C170" s="317"/>
      <c r="D170" s="317" t="s">
        <v>663</v>
      </c>
      <c r="E170" s="550">
        <f ca="1">ROUND(IF(F170=0,0,B170-F170),4)</f>
        <v>0</v>
      </c>
      <c r="F170" s="397">
        <f t="shared" ca="1" si="386"/>
        <v>0.64999999999999991</v>
      </c>
      <c r="G170" s="395"/>
      <c r="H170" s="395"/>
      <c r="I170" s="395">
        <f ca="1">IF($E$339=0,0,IF(SUM($G170:H170)=$B170,0,IF(SUM($G339:H339)&gt;=$E339,($B170/$E339)*($E339-SUM($G339:G339)),($B170/$E339)*H339)))</f>
        <v>0</v>
      </c>
      <c r="J170" s="395">
        <f ca="1">IF($E$339=0,0,IF(SUM($G170:I170)=$B170,0,IF(SUM($G339:I339)&gt;=$E339,($B170/$E339)*($E339-SUM($G339:H339)),($B170/$E339)*I339)))</f>
        <v>0</v>
      </c>
      <c r="K170" s="395">
        <f ca="1">IF($E$339=0,0,IF(SUM($G170:J170)=$B170,0,IF(SUM($G339:J339)&gt;=$E339,($B170/$E339)*($E339-SUM($G339:I339)),($B170/$E339)*J339)))</f>
        <v>0</v>
      </c>
      <c r="L170" s="395">
        <f ca="1">IF($E$339=0,0,IF(SUM($G170:K170)=$B170,0,IF(SUM($G339:K339)&gt;=$E339,($B170/$E339)*($E339-SUM($G339:J339)),($B170/$E339)*K339)))</f>
        <v>0</v>
      </c>
      <c r="M170" s="395">
        <f ca="1">IF($E$339=0,0,IF(SUM($G170:L170)=$B170,0,IF(SUM($G339:L339)&gt;=$E339,($B170/$E339)*($E339-SUM($G339:K339)),($B170/$E339)*L339)))</f>
        <v>0</v>
      </c>
      <c r="N170" s="395">
        <f ca="1">IF($E$339=0,0,IF(SUM($G170:M170)=$B170,0,IF(SUM($G339:M339)&gt;=$E339,($B170/$E339)*($E339-SUM($G339:L339)),($B170/$E339)*M339)))</f>
        <v>0</v>
      </c>
      <c r="O170" s="395">
        <f ca="1">IF($E$339=0,0,IF(SUM($G170:N170)=$B170,0,IF(SUM($G339:N339)&gt;=$E339,($B170/$E339)*($E339-SUM($G339:M339)),($B170/$E339)*N339)))</f>
        <v>0</v>
      </c>
      <c r="P170" s="395">
        <f ca="1">IF($E$339=0,0,IF(SUM($G170:O170)=$B170,0,IF(SUM($G339:O339)&gt;=$E339,($B170/$E339)*($E339-SUM($G339:N339)),($B170/$E339)*O339)))</f>
        <v>0</v>
      </c>
      <c r="Q170" s="395">
        <f ca="1">IF($E$339=0,0,IF(SUM($G170:P170)=$B170,0,IF(SUM($G339:P339)&gt;=$E339,($B170/$E339)*($E339-SUM($G339:O339)),($B170/$E339)*P339)))</f>
        <v>0</v>
      </c>
      <c r="R170" s="395">
        <f ca="1">IF($E$339=0,0,IF(SUM($G170:Q170)=$B170,0,IF(SUM($G339:Q339)&gt;=$E339,($B170/$E339)*($E339-SUM($G339:P339)),($B170/$E339)*Q339)))</f>
        <v>0</v>
      </c>
      <c r="S170" s="395">
        <f ca="1">IF($E$339=0,0,IF(SUM($G170:R170)=$B170,0,IF(SUM($G339:R339)&gt;=$E339,($B170/$E339)*($E339-SUM($G339:Q339)),($B170/$E339)*R339)))</f>
        <v>0</v>
      </c>
      <c r="T170" s="395">
        <f ca="1">IF($E$339=0,0,IF(SUM($G170:S170)=$B170,0,IF(SUM($G339:S339)&gt;=$E339,($B170/$E339)*($E339-SUM($G339:R339)),($B170/$E339)*S339)))</f>
        <v>0</v>
      </c>
      <c r="U170" s="395">
        <f ca="1">IF($E$339=0,0,IF(SUM($G170:T170)=$B170,0,IF(SUM($G339:T339)&gt;=$E339,($B170/$E339)*($E339-SUM($G339:S339)),($B170/$E339)*T339)))</f>
        <v>0</v>
      </c>
      <c r="V170" s="395">
        <f ca="1">IF($E$339=0,0,IF(SUM($G170:U170)=$B170,0,IF(SUM($G339:U339)&gt;=$E339,($B170/$E339)*($E339-SUM($G339:T339)),($B170/$E339)*U339)))</f>
        <v>0</v>
      </c>
      <c r="W170" s="395">
        <f ca="1">IF($E$339=0,0,IF(SUM($G170:V170)=$B170,0,IF(SUM($G339:V339)&gt;=$E339,($B170/$E339)*($E339-SUM($G339:U339)),($B170/$E339)*V339)))</f>
        <v>0</v>
      </c>
      <c r="X170" s="395">
        <f ca="1">IF($E$339=0,0,IF(SUM($G170:W170)=$B170,0,IF(SUM($G339:W339)&gt;=$E339,($B170/$E339)*($E339-SUM($G339:V339)),($B170/$E339)*W339)))</f>
        <v>0</v>
      </c>
      <c r="Y170" s="395">
        <f ca="1">IF($E$339=0,0,IF(SUM($G170:X170)=$B170,0,IF(SUM($G339:X339)&gt;=$E339,($B170/$E339)*($E339-SUM($G339:W339)),($B170/$E339)*X339)))</f>
        <v>0</v>
      </c>
      <c r="Z170" s="395">
        <f ca="1">IF($E$339=0,0,IF(SUM($G170:Y170)=$B170,0,IF(SUM($G339:Y339)&gt;=$E339,($B170/$E339)*($E339-SUM($G339:X339)),($B170/$E339)*Y339)))</f>
        <v>0</v>
      </c>
      <c r="AA170" s="395">
        <f ca="1">IF($E$339=0,0,IF(SUM($G170:Z170)=$B170,0,IF(SUM($G339:Z339)&gt;=$E339,($B170/$E339)*($E339-SUM($G339:Y339)),($B170/$E339)*Z339)))</f>
        <v>0</v>
      </c>
      <c r="AB170" s="395">
        <f ca="1">IF($E$339=0,0,IF(SUM($G170:AA170)=$B170,0,IF(SUM($G339:AA339)&gt;=$E339,($B170/$E339)*($E339-SUM($G339:Z339)),($B170/$E339)*AA339)))</f>
        <v>0</v>
      </c>
      <c r="AC170" s="395">
        <f ca="1">IF($E$339=0,0,IF(SUM($G170:AB170)=$B170,0,IF(SUM($G339:AB339)&gt;=$E339,($B170/$E339)*($E339-SUM($G339:AA339)),($B170/$E339)*AB339)))</f>
        <v>0</v>
      </c>
      <c r="AD170" s="395">
        <f ca="1">IF($E$339=0,0,IF(SUM($G170:AC170)=$B170,0,IF(SUM($G339:AC339)&gt;=$E339,($B170/$E339)*($E339-SUM($G339:AB339)),($B170/$E339)*AC339)))</f>
        <v>0</v>
      </c>
      <c r="AE170" s="395">
        <f ca="1">IF($E$339=0,0,IF(SUM($G170:AD170)=$B170,0,IF(SUM($G339:AD339)&gt;=$E339,($B170/$E339)*($E339-SUM($G339:AC339)),($B170/$E339)*AD339)))</f>
        <v>0</v>
      </c>
      <c r="AF170" s="395">
        <f ca="1">IF($E$339=0,0,IF(SUM($G170:AE170)=$B170,0,IF(SUM($G339:AE339)&gt;=$E339,($B170/$E339)*($E339-SUM($G339:AD339)),($B170/$E339)*AE339)))</f>
        <v>0</v>
      </c>
      <c r="AG170" s="395">
        <f ca="1">IF($E$339=0,0,IF(SUM($G170:AF170)=$B170,0,IF(SUM($G339:AF339)&gt;=$E339,($B170/$E339)*($E339-SUM($G339:AE339)),($B170/$E339)*AF339)))</f>
        <v>0</v>
      </c>
      <c r="AH170" s="395">
        <f ca="1">IF($E$339=0,0,IF(SUM($G170:AG170)=$B170,0,IF(SUM($G339:AG339)&gt;=$E339,($B170/$E339)*($E339-SUM($G339:AF339)),($B170/$E339)*AG339)))</f>
        <v>0</v>
      </c>
      <c r="AI170" s="395">
        <f ca="1">IF($E$339=0,0,IF(SUM($G170:AH170)=$B170,0,IF(SUM($G339:AH339)&gt;=$E339,($B170/$E339)*($E339-SUM($G339:AG339)),($B170/$E339)*AH339)))</f>
        <v>0</v>
      </c>
      <c r="AJ170" s="395">
        <f ca="1">IF($E$339=0,0,IF(SUM($G170:AI170)=$B170,0,IF(SUM($G339:AI339)&gt;=$E339,($B170/$E339)*($E339-SUM($G339:AH339)),($B170/$E339)*AI339)))</f>
        <v>0</v>
      </c>
      <c r="AK170" s="395">
        <f ca="1">IF($E$339=0,0,IF(SUM($G170:AJ170)=$B170,0,IF(SUM($G339:AJ339)&gt;=$E339,($B170/$E339)*($E339-SUM($G339:AI339)),($B170/$E339)*AJ339)))</f>
        <v>0</v>
      </c>
      <c r="AL170" s="395">
        <f ca="1">IF($E$339=0,0,IF(SUM($G170:AK170)=$B170,0,IF(SUM($G339:AK339)&gt;=$E339,($B170/$E339)*($E339-SUM($G339:AJ339)),($B170/$E339)*AK339)))</f>
        <v>0</v>
      </c>
      <c r="AM170" s="395">
        <f ca="1">IF($E$339=0,0,IF(SUM($G170:AL170)=$B170,0,IF(SUM($G339:AL339)&gt;=$E339,($B170/$E339)*($E339-SUM($G339:AK339)),($B170/$E339)*AL339)))</f>
        <v>0</v>
      </c>
      <c r="AN170" s="395">
        <f ca="1">IF($E$339=0,0,IF(SUM($G170:AM170)=$B170,0,IF(SUM($G339:AM339)&gt;=$E339,($B170/$E339)*($E339-SUM($G339:AL339)),($B170/$E339)*AM339)))</f>
        <v>0</v>
      </c>
      <c r="AO170" s="395">
        <f ca="1">IF($E$339=0,0,IF(SUM($G170:AN170)=$B170,0,IF(SUM($G339:AN339)&gt;=$E339,($B170/$E339)*($E339-SUM($G339:AM339)),($B170/$E339)*AN339)))</f>
        <v>0</v>
      </c>
      <c r="AP170" s="395">
        <f ca="1">IF($E$339=0,0,IF(SUM($G170:AO170)=$B170,0,IF(SUM($G339:AO339)&gt;=$E339,($B170/$E339)*($E339-SUM($G339:AN339)),($B170/$E339)*AO339)))</f>
        <v>0</v>
      </c>
      <c r="AQ170" s="395">
        <f ca="1">IF($E$339=0,0,IF(SUM($G170:AP170)=$B170,0,IF(SUM($G339:AP339)&gt;=$E339,($B170/$E339)*($E339-SUM($G339:AO339)),($B170/$E339)*AP339)))</f>
        <v>0</v>
      </c>
      <c r="AR170" s="395">
        <f ca="1">IF($E$339=0,0,IF(SUM($G170:AQ170)=$B170,0,IF(SUM($G339:AQ339)&gt;=$E339,($B170/$E339)*($E339-SUM($G339:AP339)),($B170/$E339)*AQ339)))</f>
        <v>0</v>
      </c>
      <c r="AS170" s="395">
        <f ca="1">IF($E$339=0,0,IF(SUM($G170:AR170)=$B170,0,IF(SUM($G339:AR339)&gt;=$E339,($B170/$E339)*($E339-SUM($G339:AQ339)),($B170/$E339)*AR339)))</f>
        <v>0</v>
      </c>
      <c r="AT170" s="395">
        <f ca="1">IF($E$339=0,0,IF(SUM($G170:AS170)=$B170,0,IF(SUM($G339:AS339)&gt;=$E339,($B170/$E339)*($E339-SUM($G339:AR339)),($B170/$E339)*AS339)))</f>
        <v>0</v>
      </c>
      <c r="AU170" s="395">
        <f ca="1">IF($E$339=0,0,IF(SUM($G170:AT170)=$B170,0,IF(SUM($G339:AT339)&gt;=$E339,($B170/$E339)*($E339-SUM($G339:AS339)),($B170/$E339)*AT339)))</f>
        <v>0</v>
      </c>
      <c r="AV170" s="395">
        <f ca="1">IF($E$339=0,0,IF(SUM($G170:AU170)=$B170,0,IF(SUM($G339:AU339)&gt;=$E339,($B170/$E339)*($E339-SUM($G339:AT339)),($B170/$E339)*AU339)))</f>
        <v>0</v>
      </c>
      <c r="AW170" s="395">
        <f ca="1">IF($E$339=0,0,IF(SUM($G170:AV170)=$B170,0,IF(SUM($G339:AV339)&gt;=$E339,($B170/$E339)*($E339-SUM($G339:AU339)),($B170/$E339)*AV339)))</f>
        <v>0</v>
      </c>
      <c r="AX170" s="395">
        <f ca="1">IF($E$339=0,0,IF(SUM($G170:AW170)=$B170,0,IF(SUM($G339:AW339)&gt;=$E339,($B170/$E339)*($E339-SUM($G339:AV339)),($B170/$E339)*AW339)))</f>
        <v>1.8236111111111151E-2</v>
      </c>
      <c r="AY170" s="395">
        <f ca="1">IF($E$339=0,0,IF(SUM($G170:AX170)=$B170,0,IF(SUM($G339:AX339)&gt;=$E339,($B170/$E339)*($E339-SUM($G339:AW339)),($B170/$E339)*AX339)))</f>
        <v>0.11194444444444443</v>
      </c>
      <c r="AZ170" s="395">
        <f ca="1">IF($E$339=0,0,IF(SUM($G170:AY170)=$B170,0,IF(SUM($G339:AY339)&gt;=$E339,($B170/$E339)*($E339-SUM($G339:AX339)),($B170/$E339)*AY339)))</f>
        <v>0.10833333333333331</v>
      </c>
      <c r="BA170" s="395">
        <f ca="1">IF($E$339=0,0,IF(SUM($G170:AZ170)=$B170,0,IF(SUM($G339:AZ339)&gt;=$E339,($B170/$E339)*($E339-SUM($G339:AY339)),($B170/$E339)*AZ339)))</f>
        <v>0.11194444444444443</v>
      </c>
      <c r="BB170" s="395">
        <f ca="1">IF($E$339=0,0,IF(SUM($G170:BA170)=$B170,0,IF(SUM($G339:BA339)&gt;=$E339,($B170/$E339)*($E339-SUM($G339:AZ339)),($B170/$E339)*BA339)))</f>
        <v>0.11194444444444443</v>
      </c>
      <c r="BC170" s="395">
        <f ca="1">IF($E$339=0,0,IF(SUM($G170:BB170)=$B170,0,IF(SUM($G339:BB339)&gt;=$E339,($B170/$E339)*($E339-SUM($G339:BA339)),($B170/$E339)*BB339)))</f>
        <v>0.1011111111111111</v>
      </c>
      <c r="BD170" s="395">
        <f ca="1">IF($E$339=0,0,IF(SUM($G170:BC170)=$B170,0,IF(SUM($G339:BC339)&gt;=$E339,($B170/$E339)*($E339-SUM($G339:BB339)),($B170/$E339)*BC339)))</f>
        <v>8.6486111111111055E-2</v>
      </c>
      <c r="BE170" s="395">
        <f ca="1">IF($E$339=0,0,IF(SUM($G170:BD170)=$B170,0,IF(SUM($G339:BD339)&gt;=$E339,($B170/$E339)*($E339-SUM($G339:BC339)),($B170/$E339)*BD339)))</f>
        <v>0</v>
      </c>
      <c r="BF170" s="395">
        <f ca="1">IF($E$339=0,0,IF(SUM($G170:BE170)=$B170,0,IF(SUM($G339:BE339)&gt;=$E339,($B170/$E339)*($E339-SUM($G339:BD339)),($B170/$E339)*BE339)))</f>
        <v>0</v>
      </c>
      <c r="BG170" s="395">
        <f ca="1">IF($E$339=0,0,IF(SUM($G170:BF170)=$B170,0,IF(SUM($G339:BF339)&gt;=$E339,($B170/$E339)*($E339-SUM($G339:BE339)),($B170/$E339)*BF339)))</f>
        <v>0</v>
      </c>
      <c r="BH170" s="395">
        <f ca="1">IF($E$339=0,0,IF(SUM($G170:BG170)=$B170,0,IF(SUM($G339:BG339)&gt;=$E339,($B170/$E339)*($E339-SUM($G339:BF339)),($B170/$E339)*BG339)))</f>
        <v>0</v>
      </c>
      <c r="BI170" s="395">
        <f ca="1">IF($E$339=0,0,IF(SUM($G170:BH170)=$B170,0,IF(SUM($G339:BH339)&gt;=$E339,($B170/$E339)*($E339-SUM($G339:BG339)),($B170/$E339)*BH339)))</f>
        <v>0</v>
      </c>
      <c r="BJ170" s="395">
        <f ca="1">IF($E$339=0,0,IF(SUM($G170:BI170)=$B170,0,IF(SUM($G339:BI339)&gt;=$E339,($B170/$E339)*($E339-SUM($G339:BH339)),($B170/$E339)*BI339)))</f>
        <v>0</v>
      </c>
      <c r="BK170" s="395">
        <f ca="1">IF($E$339=0,0,IF(SUM($G170:BJ170)=$B170,0,IF(SUM($G339:BJ339)&gt;=$E339,($B170/$E339)*($E339-SUM($G339:BI339)),($B170/$E339)*BJ339)))</f>
        <v>0</v>
      </c>
      <c r="BL170" s="395">
        <f ca="1">IF($E$339=0,0,IF(SUM($G170:BK170)=$B170,0,IF(SUM($G339:BK339)&gt;=$E339,($B170/$E339)*($E339-SUM($G339:BJ339)),($B170/$E339)*BK339)))</f>
        <v>0</v>
      </c>
      <c r="BM170" s="395">
        <f ca="1">IF($E$339=0,0,IF(SUM($G170:BL170)=$B170,0,IF(SUM($G339:BL339)&gt;=$E339,($B170/$E339)*($E339-SUM($G339:BK339)),($B170/$E339)*BL339)))</f>
        <v>0</v>
      </c>
      <c r="BN170" s="395">
        <f ca="1">IF($E$339=0,0,IF(SUM($G170:BM170)=$B170,0,IF(SUM($G339:BM339)&gt;=$E339,($B170/$E339)*($E339-SUM($G339:BL339)),($B170/$E339)*BM339)))</f>
        <v>0</v>
      </c>
      <c r="BO170" s="395">
        <f ca="1">IF($E$339=0,0,IF(SUM($G170:BN170)=$B170,0,IF(SUM($G339:BN339)&gt;=$E339,($B170/$E339)*($E339-SUM($G339:BM339)),($B170/$E339)*BN339)))</f>
        <v>0</v>
      </c>
      <c r="BP170" s="395">
        <f ca="1">IF($E$339=0,0,IF(SUM($G170:BO170)=$B170,0,IF(SUM($G339:BO339)&gt;=$E339,($B170/$E339)*($E339-SUM($G339:BN339)),($B170/$E339)*BO339)))</f>
        <v>0</v>
      </c>
      <c r="BQ170" s="395">
        <f ca="1">IF($E$339=0,0,IF(SUM($G170:BP170)=$B170,0,IF(SUM($G339:BP339)&gt;=$E339,($B170/$E339)*($E339-SUM($G339:BO339)),($B170/$E339)*BP339)))</f>
        <v>0</v>
      </c>
      <c r="BR170" s="395">
        <f ca="1">IF($E$339=0,0,IF(SUM($G170:BQ170)=$B170,0,IF(SUM($G339:BQ339)&gt;=$E339,($B170/$E339)*($E339-SUM($G339:BP339)),($B170/$E339)*BQ339)))</f>
        <v>0</v>
      </c>
      <c r="BS170" s="395">
        <f ca="1">IF($E$339=0,0,IF(SUM($G170:BR170)=$B170,0,IF(SUM($G339:BR339)&gt;=$E339,($B170/$E339)*($E339-SUM($G339:BQ339)),($B170/$E339)*BR339)))</f>
        <v>0</v>
      </c>
      <c r="BT170" s="395">
        <f ca="1">IF($E$339=0,0,IF(SUM($G170:BS170)=$B170,0,IF(SUM($G339:BS339)&gt;=$E339,($B170/$E339)*($E339-SUM($G339:BR339)),($B170/$E339)*BS339)))</f>
        <v>0</v>
      </c>
      <c r="BU170" s="395">
        <f ca="1">IF($E$339=0,0,IF(SUM($G170:BT170)=$B170,0,IF(SUM($G339:BT339)&gt;=$E339,($B170/$E339)*($E339-SUM($G339:BS339)),($B170/$E339)*BT339)))</f>
        <v>0</v>
      </c>
      <c r="BV170" s="395">
        <f ca="1">IF($E$339=0,0,IF(SUM($G170:BU170)=$B170,0,IF(SUM($G339:BU339)&gt;=$E339,($B170/$E339)*($E339-SUM($G339:BT339)),($B170/$E339)*BU339)))</f>
        <v>0</v>
      </c>
      <c r="BW170" s="395">
        <f ca="1">IF($E$339=0,0,IF(SUM($G170:BV170)=$B170,0,IF(SUM($G339:BV339)&gt;=$E339,($B170/$E339)*($E339-SUM($G339:BU339)),($B170/$E339)*BV339)))</f>
        <v>0</v>
      </c>
      <c r="BX170" s="395">
        <f ca="1">IF($E$339=0,0,IF(SUM($G170:BW170)=$B170,0,IF(SUM($G339:BW339)&gt;=$E339,($B170/$E339)*($E339-SUM($G339:BV339)),($B170/$E339)*BW339)))</f>
        <v>0</v>
      </c>
      <c r="BY170" s="395">
        <f ca="1">IF($E$339=0,0,IF(SUM($G170:BX170)=$B170,0,IF(SUM($G339:BX339)&gt;=$E339,($B170/$E339)*($E339-SUM($G339:BW339)),($B170/$E339)*BX339)))</f>
        <v>0</v>
      </c>
      <c r="BZ170" s="395">
        <f ca="1">IF($E$339=0,0,IF(SUM($G170:BY170)=$B170,0,IF(SUM($G339:BY339)&gt;=$E339,($B170/$E339)*($E339-SUM($G339:BX339)),($B170/$E339)*BY339)))</f>
        <v>0</v>
      </c>
      <c r="CA170" s="395">
        <f ca="1">IF($E$339=0,0,IF(SUM($G170:BZ170)=$B170,0,IF(SUM($G339:BZ339)&gt;=$E339,($B170/$E339)*($E339-SUM($G339:BY339)),($B170/$E339)*BZ339)))</f>
        <v>0</v>
      </c>
      <c r="CB170" s="395">
        <f ca="1">IF($E$339=0,0,IF(SUM($G170:CA170)=$B170,0,IF(SUM($G339:CA339)&gt;=$E339,($B170/$E339)*($E339-SUM($G339:BZ339)),($B170/$E339)*CA339)))</f>
        <v>0</v>
      </c>
      <c r="CC170" s="395">
        <f ca="1">IF($E$339=0,0,IF(SUM($G170:CB170)=$B170,0,IF(SUM($G339:CB339)&gt;=$E339,($B170/$E339)*($E339-SUM($G339:CA339)),($B170/$E339)*CB339)))</f>
        <v>0</v>
      </c>
      <c r="CD170" s="395">
        <f ca="1">IF($E$339=0,0,IF(SUM($G170:CC170)=$B170,0,IF(SUM($G339:CC339)&gt;=$E339,($B170/$E339)*($E339-SUM($G339:CB339)),($B170/$E339)*CC339)))</f>
        <v>0</v>
      </c>
      <c r="CE170" s="395">
        <f ca="1">IF($E$339=0,0,IF(SUM($G170:CD170)=$B170,0,IF(SUM($G339:CD339)&gt;=$E339,($B170/$E339)*($E339-SUM($G339:CC339)),($B170/$E339)*CD339)))</f>
        <v>0</v>
      </c>
      <c r="CF170" s="395">
        <f ca="1">IF($E$339=0,0,IF(SUM($G170:CE170)=$B170,0,IF(SUM($G339:CE339)&gt;=$E339,($B170/$E339)*($E339-SUM($G339:CD339)),($B170/$E339)*CE339)))</f>
        <v>0</v>
      </c>
      <c r="CG170" s="395">
        <f ca="1">IF($E$339=0,0,IF(SUM($G170:CF170)=$B170,0,IF(SUM($G339:CF339)&gt;=$E339,($B170/$E339)*($E339-SUM($G339:CE339)),($B170/$E339)*CF339)))</f>
        <v>0</v>
      </c>
      <c r="CH170" s="395">
        <f ca="1">IF($E$339=0,0,IF(SUM($G170:CG170)=$B170,0,IF(SUM($G339:CG339)&gt;=$E339,($B170/$E339)*($E339-SUM($G339:CF339)),($B170/$E339)*CG339)))</f>
        <v>0</v>
      </c>
      <c r="CI170" s="395">
        <f ca="1">IF($E$339=0,0,IF(SUM($G170:CH170)=$B170,0,IF(SUM($G339:CH339)&gt;=$E339,($B170/$E339)*($E339-SUM($G339:CG339)),($B170/$E339)*CH339)))</f>
        <v>0</v>
      </c>
      <c r="CJ170" s="395">
        <f ca="1">IF($E$339=0,0,IF(SUM($G170:CI170)=$B170,0,IF(SUM($G339:CI339)&gt;=$E339,($B170/$E339)*($E339-SUM($G339:CH339)),($B170/$E339)*CI339)))</f>
        <v>0</v>
      </c>
      <c r="CK170" s="395">
        <f ca="1">IF($E$339=0,0,IF(SUM($G170:CJ170)=$B170,0,IF(SUM($G339:CJ339)&gt;=$E339,($B170/$E339)*($E339-SUM($G339:CI339)),($B170/$E339)*CJ339)))</f>
        <v>0</v>
      </c>
      <c r="CL170" s="395">
        <f ca="1">IF($E$339=0,0,IF(SUM($G170:CK170)=$B170,0,IF(SUM($G339:CK339)&gt;=$E339,($B170/$E339)*($E339-SUM($G339:CJ339)),($B170/$E339)*CK339)))</f>
        <v>0</v>
      </c>
      <c r="CM170" s="395">
        <f ca="1">IF($E$339=0,0,IF(SUM($G170:CL170)=$B170,0,IF(SUM($G339:CL339)&gt;=$E339,($B170/$E339)*($E339-SUM($G339:CK339)),($B170/$E339)*CL339)))</f>
        <v>0</v>
      </c>
      <c r="CN170" s="395">
        <f ca="1">IF($E$339=0,0,IF(SUM($G170:CM170)=$B170,0,IF(SUM($G339:CM339)&gt;=$E339,($B170/$E339)*($E339-SUM($G339:CL339)),($B170/$E339)*CM339)))</f>
        <v>0</v>
      </c>
      <c r="CO170" s="395">
        <f ca="1">IF($E$339=0,0,IF(SUM($G170:CN170)=$B170,0,IF(SUM($G339:CN339)&gt;=$E339,($B170/$E339)*($E339-SUM($G339:CM339)),($B170/$E339)*CN339)))</f>
        <v>0</v>
      </c>
      <c r="CP170" s="395">
        <f ca="1">IF($E$339=0,0,IF(SUM($G170:CO170)=$B170,0,IF(SUM($G339:CO339)&gt;=$E339,($B170/$E339)*($E339-SUM($G339:CN339)),($B170/$E339)*CO339)))</f>
        <v>0</v>
      </c>
      <c r="CQ170" s="395">
        <f ca="1">IF($E$339=0,0,IF(SUM($G170:CP170)=$B170,0,IF(SUM($G339:CP339)&gt;=$E339,($B170/$E339)*($E339-SUM($G339:CO339)),($B170/$E339)*CP339)))</f>
        <v>0</v>
      </c>
      <c r="CR170" s="395">
        <f ca="1">IF($E$339=0,0,IF(SUM($G170:CQ170)=$B170,0,IF(SUM($G339:CQ339)&gt;=$E339,($B170/$E339)*($E339-SUM($G339:CP339)),($B170/$E339)*CQ339)))</f>
        <v>0</v>
      </c>
      <c r="CS170" s="395">
        <f ca="1">IF($E$339=0,0,IF(SUM($G170:CR170)=$B170,0,IF(SUM($G339:CR339)&gt;=$E339,($B170/$E339)*($E339-SUM($G339:CQ339)),($B170/$E339)*CR339)))</f>
        <v>0</v>
      </c>
      <c r="CT170" s="395">
        <f ca="1">IF($E$339=0,0,IF(SUM($G170:CS170)=$B170,0,IF(SUM($G339:CS339)&gt;=$E339,($B170/$E339)*($E339-SUM($G339:CR339)),($B170/$E339)*CS339)))</f>
        <v>0</v>
      </c>
      <c r="CU170" s="395">
        <f ca="1">IF($E$339=0,0,IF(SUM($G170:CT170)=$B170,0,IF(SUM($G339:CT339)&gt;=$E339,($B170/$E339)*($E339-SUM($G339:CS339)),($B170/$E339)*CT339)))</f>
        <v>0</v>
      </c>
      <c r="CV170" s="395">
        <f ca="1">IF($E$339=0,0,IF(SUM($G170:CU170)=$B170,0,IF(SUM($G339:CU339)&gt;=$E339,($B170/$E339)*($E339-SUM($G339:CT339)),($B170/$E339)*CU339)))</f>
        <v>0</v>
      </c>
      <c r="CW170" s="395">
        <f ca="1">IF($E$339=0,0,IF(SUM($G170:CV170)=$B170,0,IF(SUM($G339:CV339)&gt;=$E339,($B170/$E339)*($E339-SUM($G339:CU339)),($B170/$E339)*CV339)))</f>
        <v>0</v>
      </c>
      <c r="CX170" s="395">
        <f ca="1">IF($E$339=0,0,IF(SUM($G170:CW170)=$B170,0,IF(SUM($G339:CW339)&gt;=$E339,($B170/$E339)*($E339-SUM($G339:CV339)),($B170/$E339)*CW339)))</f>
        <v>0</v>
      </c>
      <c r="CY170" s="395">
        <f ca="1">IF($E$339=0,0,IF(SUM($G170:CX170)=$B170,0,IF(SUM($G339:CX339)&gt;=$E339,($B170/$E339)*($E339-SUM($G339:CW339)),($B170/$E339)*CX339)))</f>
        <v>0</v>
      </c>
      <c r="CZ170" s="395">
        <f ca="1">IF($E$339=0,0,IF(SUM($G170:CY170)=$B170,0,IF(SUM($G339:CY339)&gt;=$E339,($B170/$E339)*($E339-SUM($G339:CX339)),($B170/$E339)*CY339)))</f>
        <v>0</v>
      </c>
      <c r="DA170" s="395">
        <f ca="1">IF($E$339=0,0,IF(SUM($G170:CZ170)=$B170,0,IF(SUM($G339:CZ339)&gt;=$E339,($B170/$E339)*($E339-SUM($G339:CY339)),($B170/$E339)*CZ339)))</f>
        <v>0</v>
      </c>
      <c r="DB170" s="395">
        <f ca="1">IF($E$339=0,0,IF(SUM($G170:DA170)=$B170,0,IF(SUM($G339:DA339)&gt;=$E339,($B170/$E339)*($E339-SUM($G339:CZ339)),($B170/$E339)*DA339)))</f>
        <v>0</v>
      </c>
      <c r="DC170" s="395">
        <f ca="1">IF($E$339=0,0,IF(SUM($G170:DB170)=$B170,0,IF(SUM($G339:DB339)&gt;=$E339,($B170/$E339)*($E339-SUM($G339:DA339)),($B170/$E339)*DB339)))</f>
        <v>0</v>
      </c>
      <c r="DD170" s="395">
        <f ca="1">IF($E$339=0,0,IF(SUM($G170:DC170)=$B170,0,IF(SUM($G339:DC339)&gt;=$E339,($B170/$E339)*($E339-SUM($G339:DB339)),($B170/$E339)*DC339)))</f>
        <v>0</v>
      </c>
      <c r="DE170" s="395">
        <f ca="1">IF($E$339=0,0,IF(SUM($G170:DD170)=$B170,0,IF(SUM($G339:DD339)&gt;=$E339,($B170/$E339)*($E339-SUM($G339:DC339)),($B170/$E339)*DD339)))</f>
        <v>0</v>
      </c>
      <c r="DF170" s="395">
        <f ca="1">IF($E$339=0,0,IF(SUM($G170:DE170)=$B170,0,IF(SUM($G339:DE339)&gt;=$E339,($B170/$E339)*($E339-SUM($G339:DD339)),($B170/$E339)*DE339)))</f>
        <v>0</v>
      </c>
      <c r="DG170" s="395">
        <f ca="1">IF($E$339=0,0,IF(SUM($G170:DF170)=$B170,0,IF(SUM($G339:DF339)&gt;=$E339,($B170/$E339)*($E339-SUM($G339:DE339)),($B170/$E339)*DF339)))</f>
        <v>0</v>
      </c>
      <c r="DH170" s="395">
        <f ca="1">IF($E$339=0,0,IF(SUM($G170:DG170)=$B170,0,IF(SUM($G339:DG339)&gt;=$E339,($B170/$E339)*($E339-SUM($G339:DF339)),($B170/$E339)*DG339)))</f>
        <v>0</v>
      </c>
      <c r="DI170" s="395">
        <f ca="1">IF($E$339=0,0,IF(SUM($G170:DH170)=$B170,0,IF(SUM($G339:DH339)&gt;=$E339,($B170/$E339)*($E339-SUM($G339:DG339)),($B170/$E339)*DH339)))</f>
        <v>0</v>
      </c>
      <c r="DJ170" s="395">
        <f ca="1">IF($E$339=0,0,IF(SUM($G170:DI170)=$B170,0,IF(SUM($G339:DI339)&gt;=$E339,($B170/$E339)*($E339-SUM($G339:DH339)),($B170/$E339)*DI339)))</f>
        <v>0</v>
      </c>
      <c r="DK170" s="395">
        <f ca="1">IF($E$339=0,0,IF(SUM($G170:DJ170)=$B170,0,IF(SUM($G339:DJ339)&gt;=$E339,($B170/$E339)*($E339-SUM($G339:DI339)),($B170/$E339)*DJ339)))</f>
        <v>0</v>
      </c>
      <c r="DL170" s="395">
        <f ca="1">IF($E$339=0,0,IF(SUM($G170:DK170)=$B170,0,IF(SUM($G339:DK339)&gt;=$E339,($B170/$E339)*($E339-SUM($G339:DJ339)),($B170/$E339)*DK339)))</f>
        <v>0</v>
      </c>
      <c r="DM170" s="395">
        <f ca="1">IF($E$339=0,0,IF(SUM($G170:DL170)=$B170,0,IF(SUM($G339:DL339)&gt;=$E339,($B170/$E339)*($E339-SUM($G339:DK339)),($B170/$E339)*DL339)))</f>
        <v>0</v>
      </c>
      <c r="DN170" s="395">
        <f ca="1">IF($E$339=0,0,IF(SUM($G170:DM170)=$B170,0,IF(SUM($G339:DM339)&gt;=$E339,($B170/$E339)*($E339-SUM($G339:DL339)),($B170/$E339)*DM339)))</f>
        <v>0</v>
      </c>
      <c r="DO170" s="395">
        <f ca="1">IF($E$339=0,0,IF(SUM($G170:DN170)=$B170,0,IF(SUM($G339:DN339)&gt;=$E339,($B170/$E339)*($E339-SUM($G339:DM339)),($B170/$E339)*DN339)))</f>
        <v>0</v>
      </c>
      <c r="DP170" s="395">
        <f ca="1">IF($E$339=0,0,IF(SUM($G170:DO170)=$B170,0,IF(SUM($G339:DO339)&gt;=$E339,($B170/$E339)*($E339-SUM($G339:DN339)),($B170/$E339)*DO339)))</f>
        <v>0</v>
      </c>
      <c r="DQ170" s="395">
        <f ca="1">IF($E$339=0,0,IF(SUM($G170:DP170)=$B170,0,IF(SUM($G339:DP339)&gt;=$E339,($B170/$E339)*($E339-SUM($G339:DO339)),($B170/$E339)*DP339)))</f>
        <v>0</v>
      </c>
      <c r="DR170" s="395">
        <f ca="1">IF($E$339=0,0,IF(SUM($G170:DQ170)=$B170,0,IF(SUM($G339:DQ339)&gt;=$E339,($B170/$E339)*($E339-SUM($G339:DP339)),($B170/$E339)*DQ339)))</f>
        <v>0</v>
      </c>
      <c r="DS170" s="395">
        <f ca="1">IF($E$339=0,0,IF(SUM($G170:DR170)=$B170,0,IF(SUM($G339:DR339)&gt;=$E339,($B170/$E339)*($E339-SUM($G339:DQ339)),($B170/$E339)*DR339)))</f>
        <v>0</v>
      </c>
      <c r="DT170" s="395">
        <f ca="1">IF($E$339=0,0,IF(SUM($G170:DS170)=$B170,0,IF(SUM($G339:DS339)&gt;=$E339,($B170/$E339)*($E339-SUM($G339:DR339)),($B170/$E339)*DS339)))</f>
        <v>0</v>
      </c>
      <c r="DU170" s="395">
        <f ca="1">IF($E$339=0,0,IF(SUM($G170:DT170)=$B170,0,IF(SUM($G339:DT339)&gt;=$E339,($B170/$E339)*($E339-SUM($G339:DS339)),($B170/$E339)*DT339)))</f>
        <v>0</v>
      </c>
      <c r="DV170" s="395">
        <f ca="1">IF($E$339=0,0,IF(SUM($G170:DU170)=$B170,0,IF(SUM($G339:DU339)&gt;=$E339,($B170/$E339)*($E339-SUM($G339:DT339)),($B170/$E339)*DU339)))</f>
        <v>0</v>
      </c>
      <c r="DW170" s="395">
        <f ca="1">IF($E$339=0,0,IF(SUM($G170:DV170)=$B170,0,IF(SUM($G339:DV339)&gt;=$E339,($B170/$E339)*($E339-SUM($G339:DU339)),($B170/$E339)*DV339)))</f>
        <v>0</v>
      </c>
      <c r="DX170" s="395">
        <f ca="1">IF($E$339=0,0,IF(SUM($G170:DW170)=$B170,0,IF(SUM($G339:DW339)&gt;=$E339,($B170/$E339)*($E339-SUM($G339:DV339)),($B170/$E339)*DW339)))</f>
        <v>0</v>
      </c>
      <c r="DY170" s="395">
        <f ca="1">IF($E$339=0,0,IF(SUM($G170:DX170)=$B170,0,IF(SUM($G339:DX339)&gt;=$E339,($B170/$E339)*($E339-SUM($G339:DW339)),($B170/$E339)*DX339)))</f>
        <v>0</v>
      </c>
      <c r="DZ170" s="395">
        <f ca="1">IF($E$339=0,0,IF(SUM($G170:DY170)=$B170,0,IF(SUM($G339:DY339)&gt;=$E339,($B170/$E339)*($E339-SUM($G339:DX339)),($B170/$E339)*DY339)))</f>
        <v>0</v>
      </c>
      <c r="EA170" s="395">
        <f ca="1">IF($E$339=0,0,IF(SUM($G170:DZ170)=$B170,0,IF(SUM($G339:DZ339)&gt;=$E339,($B170/$E339)*($E339-SUM($G339:DY339)),($B170/$E339)*DZ339)))</f>
        <v>0</v>
      </c>
      <c r="EB170" s="395">
        <f ca="1">IF($E$339=0,0,IF(SUM($G170:EA170)=$B170,0,IF(SUM($G339:EA339)&gt;=$E339,($B170/$E339)*($E339-SUM($G339:DZ339)),($B170/$E339)*EA339)))</f>
        <v>0</v>
      </c>
      <c r="EC170" s="395">
        <f ca="1">IF($E$339=0,0,IF(SUM($G170:EB170)=$B170,0,IF(SUM($G339:EB339)&gt;=$E339,($B170/$E339)*($E339-SUM($G339:EA339)),($B170/$E339)*EB339)))</f>
        <v>0</v>
      </c>
      <c r="ED170" s="395">
        <f ca="1">IF($E$339=0,0,IF(SUM($G170:EC170)=$B170,0,IF(SUM($G339:EC339)&gt;=$E339,($B170/$E339)*($E339-SUM($G339:EB339)),($B170/$E339)*EC339)))</f>
        <v>0</v>
      </c>
      <c r="EE170" s="395">
        <f ca="1">IF($E$339=0,0,IF(SUM($G170:ED170)=$B170,0,IF(SUM($G339:ED339)&gt;=$E339,($B170/$E339)*($E339-SUM($G339:EC339)),($B170/$E339)*ED339)))</f>
        <v>0</v>
      </c>
      <c r="EF170" s="395">
        <f ca="1">IF($E$339=0,0,IF(SUM($G170:EE170)=$B170,0,IF(SUM($G339:EE339)&gt;=$E339,($B170/$E339)*($E339-SUM($G339:ED339)),($B170/$E339)*EE339)))</f>
        <v>0</v>
      </c>
      <c r="EG170" s="395">
        <f ca="1">IF($E$339=0,0,IF(SUM($G170:EF170)=$B170,0,IF(SUM($G339:EF339)&gt;=$E339,($B170/$E339)*($E339-SUM($G339:EE339)),($B170/$E339)*EF339)))</f>
        <v>0</v>
      </c>
      <c r="EH170" s="395">
        <f ca="1">IF($E$339=0,0,IF(SUM($G170:EG170)=$B170,0,IF(SUM($G339:EG339)&gt;=$E339,($B170/$E339)*($E339-SUM($G339:EF339)),($B170/$E339)*EG339)))</f>
        <v>0</v>
      </c>
      <c r="EI170" s="395">
        <f ca="1">IF($E$339=0,0,IF(SUM($G170:EH170)=$B170,0,IF(SUM($G339:EH339)&gt;=$E339,($B170/$E339)*($E339-SUM($G339:EG339)),($B170/$E339)*EH339)))</f>
        <v>0</v>
      </c>
      <c r="EJ170" s="398"/>
      <c r="EK170" s="313"/>
    </row>
    <row r="171" spans="1:141" hidden="1" outlineLevel="2">
      <c r="A171" s="332"/>
      <c r="B171" s="548">
        <f t="shared" si="391"/>
        <v>2.5000000000000001E-2</v>
      </c>
      <c r="C171" s="317"/>
      <c r="D171" s="317" t="s">
        <v>638</v>
      </c>
      <c r="E171" s="318">
        <f t="shared" ca="1" si="390"/>
        <v>0</v>
      </c>
      <c r="F171" s="397">
        <f ca="1">SUM(G171:EJ171)</f>
        <v>2.5000000000000001E-2</v>
      </c>
      <c r="G171" s="395"/>
      <c r="H171" s="395">
        <f ca="1">IF($E$339=0,0,IF(SUM($G171:G171)=$B171,0,IF(SUM(H170:$EJ170)=0%,$B171,0%)))</f>
        <v>0</v>
      </c>
      <c r="I171" s="395">
        <f ca="1">IF($E$339=0,0,IF(SUM($G171:H171)=$B171,0,IF(SUM(I170:$EJ170)=0%,$B171,0%)))</f>
        <v>0</v>
      </c>
      <c r="J171" s="395">
        <f ca="1">IF($E$339=0,0,IF(SUM($G171:I171)=$B171,0,IF(SUM(J170:$EJ170)=0%,$B171,0%)))</f>
        <v>0</v>
      </c>
      <c r="K171" s="395">
        <f ca="1">IF($E$339=0,0,IF(SUM($G171:J171)=$B171,0,IF(SUM(K170:$EJ170)=0%,$B171,0%)))</f>
        <v>0</v>
      </c>
      <c r="L171" s="395">
        <f ca="1">IF($E$339=0,0,IF(SUM($G171:K171)=$B171,0,IF(SUM(L170:$EJ170)=0%,$B171,0%)))</f>
        <v>0</v>
      </c>
      <c r="M171" s="395">
        <f ca="1">IF($E$339=0,0,IF(SUM($G171:L171)=$B171,0,IF(SUM(M170:$EJ170)=0%,$B171,0%)))</f>
        <v>0</v>
      </c>
      <c r="N171" s="395">
        <f ca="1">IF($E$339=0,0,IF(SUM($G171:M171)=$B171,0,IF(SUM(N170:$EJ170)=0%,$B171,0%)))</f>
        <v>0</v>
      </c>
      <c r="O171" s="395">
        <f ca="1">IF($E$339=0,0,IF(SUM($G171:N171)=$B171,0,IF(SUM(O170:$EJ170)=0%,$B171,0%)))</f>
        <v>0</v>
      </c>
      <c r="P171" s="395">
        <f ca="1">IF($E$339=0,0,IF(SUM($G171:O171)=$B171,0,IF(SUM(P170:$EJ170)=0%,$B171,0%)))</f>
        <v>0</v>
      </c>
      <c r="Q171" s="395">
        <f ca="1">IF($E$339=0,0,IF(SUM($G171:P171)=$B171,0,IF(SUM(Q170:$EJ170)=0%,$B171,0%)))</f>
        <v>0</v>
      </c>
      <c r="R171" s="395">
        <f ca="1">IF($E$339=0,0,IF(SUM($G171:Q171)=$B171,0,IF(SUM(R170:$EJ170)=0%,$B171,0%)))</f>
        <v>0</v>
      </c>
      <c r="S171" s="395">
        <f ca="1">IF($E$339=0,0,IF(SUM($G171:R171)=$B171,0,IF(SUM(S170:$EJ170)=0%,$B171,0%)))</f>
        <v>0</v>
      </c>
      <c r="T171" s="395">
        <f ca="1">IF($E$339=0,0,IF(SUM($G171:S171)=$B171,0,IF(SUM(T170:$EJ170)=0%,$B171,0%)))</f>
        <v>0</v>
      </c>
      <c r="U171" s="395">
        <f ca="1">IF($E$339=0,0,IF(SUM($G171:T171)=$B171,0,IF(SUM(U170:$EJ170)=0%,$B171,0%)))</f>
        <v>0</v>
      </c>
      <c r="V171" s="395">
        <f ca="1">IF($E$339=0,0,IF(SUM($G171:U171)=$B171,0,IF(SUM(V170:$EJ170)=0%,$B171,0%)))</f>
        <v>0</v>
      </c>
      <c r="W171" s="395">
        <f ca="1">IF($E$339=0,0,IF(SUM($G171:V171)=$B171,0,IF(SUM(W170:$EJ170)=0%,$B171,0%)))</f>
        <v>0</v>
      </c>
      <c r="X171" s="395">
        <f ca="1">IF($E$339=0,0,IF(SUM($G171:W171)=$B171,0,IF(SUM(X170:$EJ170)=0%,$B171,0%)))</f>
        <v>0</v>
      </c>
      <c r="Y171" s="395">
        <f ca="1">IF($E$339=0,0,IF(SUM($G171:X171)=$B171,0,IF(SUM(Y170:$EJ170)=0%,$B171,0%)))</f>
        <v>0</v>
      </c>
      <c r="Z171" s="395">
        <f ca="1">IF($E$339=0,0,IF(SUM($G171:Y171)=$B171,0,IF(SUM(Z170:$EJ170)=0%,$B171,0%)))</f>
        <v>0</v>
      </c>
      <c r="AA171" s="395">
        <f ca="1">IF($E$339=0,0,IF(SUM($G171:Z171)=$B171,0,IF(SUM(AA170:$EJ170)=0%,$B171,0%)))</f>
        <v>0</v>
      </c>
      <c r="AB171" s="395">
        <f ca="1">IF($E$339=0,0,IF(SUM($G171:AA171)=$B171,0,IF(SUM(AB170:$EJ170)=0%,$B171,0%)))</f>
        <v>0</v>
      </c>
      <c r="AC171" s="395">
        <f ca="1">IF($E$339=0,0,IF(SUM($G171:AB171)=$B171,0,IF(SUM(AC170:$EJ170)=0%,$B171,0%)))</f>
        <v>0</v>
      </c>
      <c r="AD171" s="395">
        <f ca="1">IF($E$339=0,0,IF(SUM($G171:AC171)=$B171,0,IF(SUM(AD170:$EJ170)=0%,$B171,0%)))</f>
        <v>0</v>
      </c>
      <c r="AE171" s="395">
        <f ca="1">IF($E$339=0,0,IF(SUM($G171:AD171)=$B171,0,IF(SUM(AE170:$EJ170)=0%,$B171,0%)))</f>
        <v>0</v>
      </c>
      <c r="AF171" s="395">
        <f ca="1">IF($E$339=0,0,IF(SUM($G171:AE171)=$B171,0,IF(SUM(AF170:$EJ170)=0%,$B171,0%)))</f>
        <v>0</v>
      </c>
      <c r="AG171" s="395">
        <f ca="1">IF($E$339=0,0,IF(SUM($G171:AF171)=$B171,0,IF(SUM(AG170:$EJ170)=0%,$B171,0%)))</f>
        <v>0</v>
      </c>
      <c r="AH171" s="395">
        <f ca="1">IF($E$339=0,0,IF(SUM($G171:AG171)=$B171,0,IF(SUM(AH170:$EJ170)=0%,$B171,0%)))</f>
        <v>0</v>
      </c>
      <c r="AI171" s="395">
        <f ca="1">IF($E$339=0,0,IF(SUM($G171:AH171)=$B171,0,IF(SUM(AI170:$EJ170)=0%,$B171,0%)))</f>
        <v>0</v>
      </c>
      <c r="AJ171" s="395">
        <f ca="1">IF($E$339=0,0,IF(SUM($G171:AI171)=$B171,0,IF(SUM(AJ170:$EJ170)=0%,$B171,0%)))</f>
        <v>0</v>
      </c>
      <c r="AK171" s="395">
        <f ca="1">IF($E$339=0,0,IF(SUM($G171:AJ171)=$B171,0,IF(SUM(AK170:$EJ170)=0%,$B171,0%)))</f>
        <v>0</v>
      </c>
      <c r="AL171" s="395">
        <f ca="1">IF($E$339=0,0,IF(SUM($G171:AK171)=$B171,0,IF(SUM(AL170:$EJ170)=0%,$B171,0%)))</f>
        <v>0</v>
      </c>
      <c r="AM171" s="395">
        <f ca="1">IF($E$339=0,0,IF(SUM($G171:AL171)=$B171,0,IF(SUM(AM170:$EJ170)=0%,$B171,0%)))</f>
        <v>0</v>
      </c>
      <c r="AN171" s="395">
        <f ca="1">IF($E$339=0,0,IF(SUM($G171:AM171)=$B171,0,IF(SUM(AN170:$EJ170)=0%,$B171,0%)))</f>
        <v>0</v>
      </c>
      <c r="AO171" s="395">
        <f ca="1">IF($E$339=0,0,IF(SUM($G171:AN171)=$B171,0,IF(SUM(AO170:$EJ170)=0%,$B171,0%)))</f>
        <v>0</v>
      </c>
      <c r="AP171" s="395">
        <f ca="1">IF($E$339=0,0,IF(SUM($G171:AO171)=$B171,0,IF(SUM(AP170:$EJ170)=0%,$B171,0%)))</f>
        <v>0</v>
      </c>
      <c r="AQ171" s="395">
        <f ca="1">IF($E$339=0,0,IF(SUM($G171:AP171)=$B171,0,IF(SUM(AQ170:$EJ170)=0%,$B171,0%)))</f>
        <v>0</v>
      </c>
      <c r="AR171" s="395">
        <f ca="1">IF($E$339=0,0,IF(SUM($G171:AQ171)=$B171,0,IF(SUM(AR170:$EJ170)=0%,$B171,0%)))</f>
        <v>0</v>
      </c>
      <c r="AS171" s="395">
        <f ca="1">IF($E$339=0,0,IF(SUM($G171:AR171)=$B171,0,IF(SUM(AS170:$EJ170)=0%,$B171,0%)))</f>
        <v>0</v>
      </c>
      <c r="AT171" s="395">
        <f ca="1">IF($E$339=0,0,IF(SUM($G171:AS171)=$B171,0,IF(SUM(AT170:$EJ170)=0%,$B171,0%)))</f>
        <v>0</v>
      </c>
      <c r="AU171" s="395">
        <f ca="1">IF($E$339=0,0,IF(SUM($G171:AT171)=$B171,0,IF(SUM(AU170:$EJ170)=0%,$B171,0%)))</f>
        <v>0</v>
      </c>
      <c r="AV171" s="395">
        <f ca="1">IF($E$339=0,0,IF(SUM($G171:AU171)=$B171,0,IF(SUM(AV170:$EJ170)=0%,$B171,0%)))</f>
        <v>0</v>
      </c>
      <c r="AW171" s="395">
        <f ca="1">IF($E$339=0,0,IF(SUM($G171:AV171)=$B171,0,IF(SUM(AW170:$EJ170)=0%,$B171,0%)))</f>
        <v>0</v>
      </c>
      <c r="AX171" s="395">
        <f ca="1">IF($E$339=0,0,IF(SUM($G171:AW171)=$B171,0,IF(SUM(AX170:$EJ170)=0%,$B171,0%)))</f>
        <v>0</v>
      </c>
      <c r="AY171" s="395">
        <f ca="1">IF($E$339=0,0,IF(SUM($G171:AX171)=$B171,0,IF(SUM(AY170:$EJ170)=0%,$B171,0%)))</f>
        <v>0</v>
      </c>
      <c r="AZ171" s="395">
        <f ca="1">IF($E$339=0,0,IF(SUM($G171:AY171)=$B171,0,IF(SUM(AZ170:$EJ170)=0%,$B171,0%)))</f>
        <v>0</v>
      </c>
      <c r="BA171" s="395">
        <f ca="1">IF($E$339=0,0,IF(SUM($G171:AZ171)=$B171,0,IF(SUM(BA170:$EJ170)=0%,$B171,0%)))</f>
        <v>0</v>
      </c>
      <c r="BB171" s="395">
        <f ca="1">IF($E$339=0,0,IF(SUM($G171:BA171)=$B171,0,IF(SUM(BB170:$EJ170)=0%,$B171,0%)))</f>
        <v>0</v>
      </c>
      <c r="BC171" s="395">
        <f ca="1">IF($E$339=0,0,IF(SUM($G171:BB171)=$B171,0,IF(SUM(BC170:$EJ170)=0%,$B171,0%)))</f>
        <v>0</v>
      </c>
      <c r="BD171" s="395">
        <f ca="1">IF($E$339=0,0,IF(SUM($G171:BC171)=$B171,0,IF(SUM(BD170:$EJ170)=0%,$B171,0%)))</f>
        <v>0</v>
      </c>
      <c r="BE171" s="395">
        <f ca="1">IF($E$339=0,0,IF(SUM($G171:BD171)=$B171,0,IF(SUM(BE170:$EJ170)=0%,$B171,0%)))</f>
        <v>2.5000000000000001E-2</v>
      </c>
      <c r="BF171" s="395">
        <f ca="1">IF($E$339=0,0,IF(SUM($G171:BE171)=$B171,0,IF(SUM(BF170:$EJ170)=0%,$B171,0%)))</f>
        <v>0</v>
      </c>
      <c r="BG171" s="395">
        <f ca="1">IF($E$339=0,0,IF(SUM($G171:BF171)=$B171,0,IF(SUM(BG170:$EJ170)=0%,$B171,0%)))</f>
        <v>0</v>
      </c>
      <c r="BH171" s="395">
        <f ca="1">IF($E$339=0,0,IF(SUM($G171:BG171)=$B171,0,IF(SUM(BH170:$EJ170)=0%,$B171,0%)))</f>
        <v>0</v>
      </c>
      <c r="BI171" s="395">
        <f ca="1">IF($E$339=0,0,IF(SUM($G171:BH171)=$B171,0,IF(SUM(BI170:$EJ170)=0%,$B171,0%)))</f>
        <v>0</v>
      </c>
      <c r="BJ171" s="395">
        <f ca="1">IF($E$339=0,0,IF(SUM($G171:BI171)=$B171,0,IF(SUM(BJ170:$EJ170)=0%,$B171,0%)))</f>
        <v>0</v>
      </c>
      <c r="BK171" s="395">
        <f ca="1">IF($E$339=0,0,IF(SUM($G171:BJ171)=$B171,0,IF(SUM(BK170:$EJ170)=0%,$B171,0%)))</f>
        <v>0</v>
      </c>
      <c r="BL171" s="395">
        <f ca="1">IF($E$339=0,0,IF(SUM($G171:BK171)=$B171,0,IF(SUM(BL170:$EJ170)=0%,$B171,0%)))</f>
        <v>0</v>
      </c>
      <c r="BM171" s="395">
        <f ca="1">IF($E$339=0,0,IF(SUM($G171:BL171)=$B171,0,IF(SUM(BM170:$EJ170)=0%,$B171,0%)))</f>
        <v>0</v>
      </c>
      <c r="BN171" s="395">
        <f ca="1">IF($E$339=0,0,IF(SUM($G171:BM171)=$B171,0,IF(SUM(BN170:$EJ170)=0%,$B171,0%)))</f>
        <v>0</v>
      </c>
      <c r="BO171" s="395">
        <f ca="1">IF($E$339=0,0,IF(SUM($G171:BN171)=$B171,0,IF(SUM(BO170:$EJ170)=0%,$B171,0%)))</f>
        <v>0</v>
      </c>
      <c r="BP171" s="395">
        <f ca="1">IF($E$339=0,0,IF(SUM($G171:BO171)=$B171,0,IF(SUM(BP170:$EJ170)=0%,$B171,0%)))</f>
        <v>0</v>
      </c>
      <c r="BQ171" s="395">
        <f ca="1">IF($E$339=0,0,IF(SUM($G171:BP171)=$B171,0,IF(SUM(BQ170:$EJ170)=0%,$B171,0%)))</f>
        <v>0</v>
      </c>
      <c r="BR171" s="395">
        <f ca="1">IF($E$339=0,0,IF(SUM($G171:BQ171)=$B171,0,IF(SUM(BR170:$EJ170)=0%,$B171,0%)))</f>
        <v>0</v>
      </c>
      <c r="BS171" s="395">
        <f ca="1">IF($E$339=0,0,IF(SUM($G171:BR171)=$B171,0,IF(SUM(BS170:$EJ170)=0%,$B171,0%)))</f>
        <v>0</v>
      </c>
      <c r="BT171" s="395">
        <f ca="1">IF($E$339=0,0,IF(SUM($G171:BS171)=$B171,0,IF(SUM(BT170:$EJ170)=0%,$B171,0%)))</f>
        <v>0</v>
      </c>
      <c r="BU171" s="395">
        <f ca="1">IF($E$339=0,0,IF(SUM($G171:BT171)=$B171,0,IF(SUM(BU170:$EJ170)=0%,$B171,0%)))</f>
        <v>0</v>
      </c>
      <c r="BV171" s="395">
        <f ca="1">IF($E$339=0,0,IF(SUM($G171:BU171)=$B171,0,IF(SUM(BV170:$EJ170)=0%,$B171,0%)))</f>
        <v>0</v>
      </c>
      <c r="BW171" s="395">
        <f ca="1">IF($E$339=0,0,IF(SUM($G171:BV171)=$B171,0,IF(SUM(BW170:$EJ170)=0%,$B171,0%)))</f>
        <v>0</v>
      </c>
      <c r="BX171" s="395">
        <f ca="1">IF($E$339=0,0,IF(SUM($G171:BW171)=$B171,0,IF(SUM(BX170:$EJ170)=0%,$B171,0%)))</f>
        <v>0</v>
      </c>
      <c r="BY171" s="395">
        <f ca="1">IF($E$339=0,0,IF(SUM($G171:BX171)=$B171,0,IF(SUM(BY170:$EJ170)=0%,$B171,0%)))</f>
        <v>0</v>
      </c>
      <c r="BZ171" s="395">
        <f ca="1">IF($E$339=0,0,IF(SUM($G171:BY171)=$B171,0,IF(SUM(BZ170:$EJ170)=0%,$B171,0%)))</f>
        <v>0</v>
      </c>
      <c r="CA171" s="395">
        <f ca="1">IF($E$339=0,0,IF(SUM($G171:BZ171)=$B171,0,IF(SUM(CA170:$EJ170)=0%,$B171,0%)))</f>
        <v>0</v>
      </c>
      <c r="CB171" s="395">
        <f ca="1">IF($E$339=0,0,IF(SUM($G171:CA171)=$B171,0,IF(SUM(CB170:$EJ170)=0%,$B171,0%)))</f>
        <v>0</v>
      </c>
      <c r="CC171" s="395">
        <f ca="1">IF($E$339=0,0,IF(SUM($G171:CB171)=$B171,0,IF(SUM(CC170:$EJ170)=0%,$B171,0%)))</f>
        <v>0</v>
      </c>
      <c r="CD171" s="395">
        <f ca="1">IF($E$339=0,0,IF(SUM($G171:CC171)=$B171,0,IF(SUM(CD170:$EJ170)=0%,$B171,0%)))</f>
        <v>0</v>
      </c>
      <c r="CE171" s="395">
        <f ca="1">IF($E$339=0,0,IF(SUM($G171:CD171)=$B171,0,IF(SUM(CE170:$EJ170)=0%,$B171,0%)))</f>
        <v>0</v>
      </c>
      <c r="CF171" s="395">
        <f ca="1">IF($E$339=0,0,IF(SUM($G171:CE171)=$B171,0,IF(SUM(CF170:$EJ170)=0%,$B171,0%)))</f>
        <v>0</v>
      </c>
      <c r="CG171" s="395">
        <f ca="1">IF($E$339=0,0,IF(SUM($G171:CF171)=$B171,0,IF(SUM(CG170:$EJ170)=0%,$B171,0%)))</f>
        <v>0</v>
      </c>
      <c r="CH171" s="395">
        <f ca="1">IF($E$339=0,0,IF(SUM($G171:CG171)=$B171,0,IF(SUM(CH170:$EJ170)=0%,$B171,0%)))</f>
        <v>0</v>
      </c>
      <c r="CI171" s="395">
        <f ca="1">IF($E$339=0,0,IF(SUM($G171:CH171)=$B171,0,IF(SUM(CI170:$EJ170)=0%,$B171,0%)))</f>
        <v>0</v>
      </c>
      <c r="CJ171" s="395">
        <f ca="1">IF($E$339=0,0,IF(SUM($G171:CI171)=$B171,0,IF(SUM(CJ170:$EJ170)=0%,$B171,0%)))</f>
        <v>0</v>
      </c>
      <c r="CK171" s="395">
        <f ca="1">IF($E$339=0,0,IF(SUM($G171:CJ171)=$B171,0,IF(SUM(CK170:$EJ170)=0%,$B171,0%)))</f>
        <v>0</v>
      </c>
      <c r="CL171" s="395">
        <f ca="1">IF($E$339=0,0,IF(SUM($G171:CK171)=$B171,0,IF(SUM(CL170:$EJ170)=0%,$B171,0%)))</f>
        <v>0</v>
      </c>
      <c r="CM171" s="395">
        <f ca="1">IF($E$339=0,0,IF(SUM($G171:CL171)=$B171,0,IF(SUM(CM170:$EJ170)=0%,$B171,0%)))</f>
        <v>0</v>
      </c>
      <c r="CN171" s="395">
        <f ca="1">IF($E$339=0,0,IF(SUM($G171:CM171)=$B171,0,IF(SUM(CN170:$EJ170)=0%,$B171,0%)))</f>
        <v>0</v>
      </c>
      <c r="CO171" s="395">
        <f ca="1">IF($E$339=0,0,IF(SUM($G171:CN171)=$B171,0,IF(SUM(CO170:$EJ170)=0%,$B171,0%)))</f>
        <v>0</v>
      </c>
      <c r="CP171" s="395">
        <f ca="1">IF($E$339=0,0,IF(SUM($G171:CO171)=$B171,0,IF(SUM(CP170:$EJ170)=0%,$B171,0%)))</f>
        <v>0</v>
      </c>
      <c r="CQ171" s="395">
        <f ca="1">IF($E$339=0,0,IF(SUM($G171:CP171)=$B171,0,IF(SUM(CQ170:$EJ170)=0%,$B171,0%)))</f>
        <v>0</v>
      </c>
      <c r="CR171" s="395">
        <f ca="1">IF($E$339=0,0,IF(SUM($G171:CQ171)=$B171,0,IF(SUM(CR170:$EJ170)=0%,$B171,0%)))</f>
        <v>0</v>
      </c>
      <c r="CS171" s="395">
        <f ca="1">IF($E$339=0,0,IF(SUM($G171:CR171)=$B171,0,IF(SUM(CS170:$EJ170)=0%,$B171,0%)))</f>
        <v>0</v>
      </c>
      <c r="CT171" s="395">
        <f ca="1">IF($E$339=0,0,IF(SUM($G171:CS171)=$B171,0,IF(SUM(CT170:$EJ170)=0%,$B171,0%)))</f>
        <v>0</v>
      </c>
      <c r="CU171" s="395">
        <f ca="1">IF($E$339=0,0,IF(SUM($G171:CT171)=$B171,0,IF(SUM(CU170:$EJ170)=0%,$B171,0%)))</f>
        <v>0</v>
      </c>
      <c r="CV171" s="395">
        <f ca="1">IF($E$339=0,0,IF(SUM($G171:CU171)=$B171,0,IF(SUM(CV170:$EJ170)=0%,$B171,0%)))</f>
        <v>0</v>
      </c>
      <c r="CW171" s="395">
        <f ca="1">IF($E$339=0,0,IF(SUM($G171:CV171)=$B171,0,IF(SUM(CW170:$EJ170)=0%,$B171,0%)))</f>
        <v>0</v>
      </c>
      <c r="CX171" s="395">
        <f ca="1">IF($E$339=0,0,IF(SUM($G171:CW171)=$B171,0,IF(SUM(CX170:$EJ170)=0%,$B171,0%)))</f>
        <v>0</v>
      </c>
      <c r="CY171" s="395">
        <f ca="1">IF($E$339=0,0,IF(SUM($G171:CX171)=$B171,0,IF(SUM(CY170:$EJ170)=0%,$B171,0%)))</f>
        <v>0</v>
      </c>
      <c r="CZ171" s="395">
        <f ca="1">IF($E$339=0,0,IF(SUM($G171:CY171)=$B171,0,IF(SUM(CZ170:$EJ170)=0%,$B171,0%)))</f>
        <v>0</v>
      </c>
      <c r="DA171" s="395">
        <f ca="1">IF($E$339=0,0,IF(SUM($G171:CZ171)=$B171,0,IF(SUM(DA170:$EJ170)=0%,$B171,0%)))</f>
        <v>0</v>
      </c>
      <c r="DB171" s="395">
        <f ca="1">IF($E$339=0,0,IF(SUM($G171:DA171)=$B171,0,IF(SUM(DB170:$EJ170)=0%,$B171,0%)))</f>
        <v>0</v>
      </c>
      <c r="DC171" s="395">
        <f ca="1">IF($E$339=0,0,IF(SUM($G171:DB171)=$B171,0,IF(SUM(DC170:$EJ170)=0%,$B171,0%)))</f>
        <v>0</v>
      </c>
      <c r="DD171" s="395">
        <f ca="1">IF($E$339=0,0,IF(SUM($G171:DC171)=$B171,0,IF(SUM(DD170:$EJ170)=0%,$B171,0%)))</f>
        <v>0</v>
      </c>
      <c r="DE171" s="395">
        <f ca="1">IF($E$339=0,0,IF(SUM($G171:DD171)=$B171,0,IF(SUM(DE170:$EJ170)=0%,$B171,0%)))</f>
        <v>0</v>
      </c>
      <c r="DF171" s="395">
        <f ca="1">IF($E$339=0,0,IF(SUM($G171:DE171)=$B171,0,IF(SUM(DF170:$EJ170)=0%,$B171,0%)))</f>
        <v>0</v>
      </c>
      <c r="DG171" s="395">
        <f ca="1">IF($E$339=0,0,IF(SUM($G171:DF171)=$B171,0,IF(SUM(DG170:$EJ170)=0%,$B171,0%)))</f>
        <v>0</v>
      </c>
      <c r="DH171" s="395">
        <f ca="1">IF($E$339=0,0,IF(SUM($G171:DG171)=$B171,0,IF(SUM(DH170:$EJ170)=0%,$B171,0%)))</f>
        <v>0</v>
      </c>
      <c r="DI171" s="395">
        <f ca="1">IF($E$339=0,0,IF(SUM($G171:DH171)=$B171,0,IF(SUM(DI170:$EJ170)=0%,$B171,0%)))</f>
        <v>0</v>
      </c>
      <c r="DJ171" s="395">
        <f ca="1">IF($E$339=0,0,IF(SUM($G171:DI171)=$B171,0,IF(SUM(DJ170:$EJ170)=0%,$B171,0%)))</f>
        <v>0</v>
      </c>
      <c r="DK171" s="395">
        <f ca="1">IF($E$339=0,0,IF(SUM($G171:DJ171)=$B171,0,IF(SUM(DK170:$EJ170)=0%,$B171,0%)))</f>
        <v>0</v>
      </c>
      <c r="DL171" s="395">
        <f ca="1">IF($E$339=0,0,IF(SUM($G171:DK171)=$B171,0,IF(SUM(DL170:$EJ170)=0%,$B171,0%)))</f>
        <v>0</v>
      </c>
      <c r="DM171" s="395">
        <f ca="1">IF($E$339=0,0,IF(SUM($G171:DL171)=$B171,0,IF(SUM(DM170:$EJ170)=0%,$B171,0%)))</f>
        <v>0</v>
      </c>
      <c r="DN171" s="395">
        <f ca="1">IF($E$339=0,0,IF(SUM($G171:DM171)=$B171,0,IF(SUM(DN170:$EJ170)=0%,$B171,0%)))</f>
        <v>0</v>
      </c>
      <c r="DO171" s="395">
        <f ca="1">IF($E$339=0,0,IF(SUM($G171:DN171)=$B171,0,IF(SUM(DO170:$EJ170)=0%,$B171,0%)))</f>
        <v>0</v>
      </c>
      <c r="DP171" s="395">
        <f ca="1">IF($E$339=0,0,IF(SUM($G171:DO171)=$B171,0,IF(SUM(DP170:$EJ170)=0%,$B171,0%)))</f>
        <v>0</v>
      </c>
      <c r="DQ171" s="395">
        <f ca="1">IF($E$339=0,0,IF(SUM($G171:DP171)=$B171,0,IF(SUM(DQ170:$EJ170)=0%,$B171,0%)))</f>
        <v>0</v>
      </c>
      <c r="DR171" s="395">
        <f ca="1">IF($E$339=0,0,IF(SUM($G171:DQ171)=$B171,0,IF(SUM(DR170:$EJ170)=0%,$B171,0%)))</f>
        <v>0</v>
      </c>
      <c r="DS171" s="395">
        <f ca="1">IF($E$339=0,0,IF(SUM($G171:DR171)=$B171,0,IF(SUM(DS170:$EJ170)=0%,$B171,0%)))</f>
        <v>0</v>
      </c>
      <c r="DT171" s="395">
        <f ca="1">IF($E$339=0,0,IF(SUM($G171:DS171)=$B171,0,IF(SUM(DT170:$EJ170)=0%,$B171,0%)))</f>
        <v>0</v>
      </c>
      <c r="DU171" s="395">
        <f ca="1">IF($E$339=0,0,IF(SUM($G171:DT171)=$B171,0,IF(SUM(DU170:$EJ170)=0%,$B171,0%)))</f>
        <v>0</v>
      </c>
      <c r="DV171" s="395">
        <f ca="1">IF($E$339=0,0,IF(SUM($G171:DU171)=$B171,0,IF(SUM(DV170:$EJ170)=0%,$B171,0%)))</f>
        <v>0</v>
      </c>
      <c r="DW171" s="395">
        <f ca="1">IF($E$339=0,0,IF(SUM($G171:DV171)=$B171,0,IF(SUM(DW170:$EJ170)=0%,$B171,0%)))</f>
        <v>0</v>
      </c>
      <c r="DX171" s="395">
        <f ca="1">IF($E$339=0,0,IF(SUM($G171:DW171)=$B171,0,IF(SUM(DX170:$EJ170)=0%,$B171,0%)))</f>
        <v>0</v>
      </c>
      <c r="DY171" s="395">
        <f ca="1">IF($E$339=0,0,IF(SUM($G171:DX171)=$B171,0,IF(SUM(DY170:$EJ170)=0%,$B171,0%)))</f>
        <v>0</v>
      </c>
      <c r="DZ171" s="395">
        <f ca="1">IF($E$339=0,0,IF(SUM($G171:DY171)=$B171,0,IF(SUM(DZ170:$EJ170)=0%,$B171,0%)))</f>
        <v>0</v>
      </c>
      <c r="EA171" s="395">
        <f ca="1">IF($E$339=0,0,IF(SUM($G171:DZ171)=$B171,0,IF(SUM(EA170:$EJ170)=0%,$B171,0%)))</f>
        <v>0</v>
      </c>
      <c r="EB171" s="395">
        <f ca="1">IF($E$339=0,0,IF(SUM($G171:EA171)=$B171,0,IF(SUM(EB170:$EJ170)=0%,$B171,0%)))</f>
        <v>0</v>
      </c>
      <c r="EC171" s="395">
        <f ca="1">IF($E$339=0,0,IF(SUM($G171:EB171)=$B171,0,IF(SUM(EC170:$EJ170)=0%,$B171,0%)))</f>
        <v>0</v>
      </c>
      <c r="ED171" s="395">
        <f ca="1">IF($E$339=0,0,IF(SUM($G171:EC171)=$B171,0,IF(SUM(ED170:$EJ170)=0%,$B171,0%)))</f>
        <v>0</v>
      </c>
      <c r="EE171" s="395">
        <f ca="1">IF($E$339=0,0,IF(SUM($G171:ED171)=$B171,0,IF(SUM(EE170:$EJ170)=0%,$B171,0%)))</f>
        <v>0</v>
      </c>
      <c r="EF171" s="395">
        <f ca="1">IF($E$339=0,0,IF(SUM($G171:EE171)=$B171,0,IF(SUM(EF170:$EJ170)=0%,$B171,0%)))</f>
        <v>0</v>
      </c>
      <c r="EG171" s="395">
        <f ca="1">IF($E$339=0,0,IF(SUM($G171:EF171)=$B171,0,IF(SUM(EG170:$EJ170)=0%,$B171,0%)))</f>
        <v>0</v>
      </c>
      <c r="EH171" s="395">
        <f ca="1">IF($E$339=0,0,IF(SUM($G171:EG171)=$B171,0,IF(SUM(EH170:$EJ170)=0%,$B171,0%)))</f>
        <v>0</v>
      </c>
      <c r="EI171" s="395">
        <f ca="1">IF($E$339=0,0,IF(SUM($G171:EH171)=$B171,0,IF(SUM(EI170:$EJ170)=0%,$B171,0%)))</f>
        <v>0</v>
      </c>
      <c r="EJ171" s="398"/>
      <c r="EK171" s="313"/>
    </row>
    <row r="172" spans="1:141" hidden="1" outlineLevel="2">
      <c r="A172" s="332"/>
      <c r="B172" s="548">
        <f t="shared" si="391"/>
        <v>2.5000000000000001E-2</v>
      </c>
      <c r="C172" s="317"/>
      <c r="D172" s="317" t="s">
        <v>640</v>
      </c>
      <c r="E172" s="318">
        <f t="shared" ca="1" si="390"/>
        <v>0</v>
      </c>
      <c r="F172" s="397">
        <f ca="1">SUM(G172:EJ172)</f>
        <v>2.5000000000000001E-2</v>
      </c>
      <c r="G172" s="395"/>
      <c r="H172" s="395"/>
      <c r="I172" s="395"/>
      <c r="J172" s="395"/>
      <c r="K172" s="395"/>
      <c r="L172" s="395"/>
      <c r="M172" s="395"/>
      <c r="N172" s="395"/>
      <c r="O172" s="395"/>
      <c r="P172" s="395"/>
      <c r="Q172" s="395"/>
      <c r="R172" s="395"/>
      <c r="S172" s="395"/>
      <c r="T172" s="395"/>
      <c r="U172" s="395"/>
      <c r="V172" s="395"/>
      <c r="W172" s="395"/>
      <c r="X172" s="395"/>
      <c r="Y172" s="395"/>
      <c r="Z172" s="395"/>
      <c r="AA172" s="395"/>
      <c r="AB172" s="395"/>
      <c r="AC172" s="395"/>
      <c r="AD172" s="395">
        <f ca="1">IF($E$339=0,0,IF(SUM($G172:AC172)=$B172,0,IF(SUM($G171:G171)=$B171,$B172,0%)))</f>
        <v>0</v>
      </c>
      <c r="AE172" s="395">
        <f ca="1">IF($E$339=0,0,IF(SUM($G172:AD172)=$B172,0,IF(SUM($G171:H171)=$B171,$B172,0%)))</f>
        <v>0</v>
      </c>
      <c r="AF172" s="395">
        <f ca="1">IF($E$339=0,0,IF(SUM($G172:AE172)=$B172,0,IF(SUM($G171:I171)=$B171,$B172,0%)))</f>
        <v>0</v>
      </c>
      <c r="AG172" s="395">
        <f ca="1">IF($E$339=0,0,IF(SUM($G172:AF172)=$B172,0,IF(SUM($G171:J171)=$B171,$B172,0%)))</f>
        <v>0</v>
      </c>
      <c r="AH172" s="395">
        <f ca="1">IF($E$339=0,0,IF(SUM($G172:AG172)=$B172,0,IF(SUM($G171:K171)=$B171,$B172,0%)))</f>
        <v>0</v>
      </c>
      <c r="AI172" s="395">
        <f ca="1">IF($E$339=0,0,IF(SUM($G172:AH172)=$B172,0,IF(SUM($G171:L171)=$B171,$B172,0%)))</f>
        <v>0</v>
      </c>
      <c r="AJ172" s="395">
        <f ca="1">IF($E$339=0,0,IF(SUM($G172:AI172)=$B172,0,IF(SUM($G171:M171)=$B171,$B172,0%)))</f>
        <v>0</v>
      </c>
      <c r="AK172" s="395">
        <f ca="1">IF($E$339=0,0,IF(SUM($G172:AJ172)=$B172,0,IF(SUM($G171:N171)=$B171,$B172,0%)))</f>
        <v>0</v>
      </c>
      <c r="AL172" s="395">
        <f ca="1">IF($E$339=0,0,IF(SUM($G172:AK172)=$B172,0,IF(SUM($G171:O171)=$B171,$B172,0%)))</f>
        <v>0</v>
      </c>
      <c r="AM172" s="395">
        <f ca="1">IF($E$339=0,0,IF(SUM($G172:AL172)=$B172,0,IF(SUM($G171:P171)=$B171,$B172,0%)))</f>
        <v>0</v>
      </c>
      <c r="AN172" s="395">
        <f ca="1">IF($E$339=0,0,IF(SUM($G172:AM172)=$B172,0,IF(SUM($G171:Q171)=$B171,$B172,0%)))</f>
        <v>0</v>
      </c>
      <c r="AO172" s="395">
        <f ca="1">IF($E$339=0,0,IF(SUM($G172:AN172)=$B172,0,IF(SUM($G171:R171)=$B171,$B172,0%)))</f>
        <v>0</v>
      </c>
      <c r="AP172" s="395">
        <f ca="1">IF($E$339=0,0,IF(SUM($G172:AO172)=$B172,0,IF(SUM($G171:S171)=$B171,$B172,0%)))</f>
        <v>0</v>
      </c>
      <c r="AQ172" s="395">
        <f ca="1">IF($E$339=0,0,IF(SUM($G172:AP172)=$B172,0,IF(SUM($G171:T171)=$B171,$B172,0%)))</f>
        <v>0</v>
      </c>
      <c r="AR172" s="395">
        <f ca="1">IF($E$339=0,0,IF(SUM($G172:AQ172)=$B172,0,IF(SUM($G171:U171)=$B171,$B172,0%)))</f>
        <v>0</v>
      </c>
      <c r="AS172" s="395">
        <f ca="1">IF($E$339=0,0,IF(SUM($G172:AR172)=$B172,0,IF(SUM($G171:V171)=$B171,$B172,0%)))</f>
        <v>0</v>
      </c>
      <c r="AT172" s="395">
        <f ca="1">IF($E$339=0,0,IF(SUM($G172:AS172)=$B172,0,IF(SUM($G171:W171)=$B171,$B172,0%)))</f>
        <v>0</v>
      </c>
      <c r="AU172" s="395">
        <f ca="1">IF($E$339=0,0,IF(SUM($G172:AT172)=$B172,0,IF(SUM($G171:X171)=$B171,$B172,0%)))</f>
        <v>0</v>
      </c>
      <c r="AV172" s="395">
        <f ca="1">IF($E$339=0,0,IF(SUM($G172:AU172)=$B172,0,IF(SUM($G171:Y171)=$B171,$B172,0%)))</f>
        <v>0</v>
      </c>
      <c r="AW172" s="395">
        <f ca="1">IF($E$339=0,0,IF(SUM($G172:AV172)=$B172,0,IF(SUM($G171:Z171)=$B171,$B172,0%)))</f>
        <v>0</v>
      </c>
      <c r="AX172" s="395">
        <f ca="1">IF($E$339=0,0,IF(SUM($G172:AW172)=$B172,0,IF(SUM($G171:AA171)=$B171,$B172,0%)))</f>
        <v>0</v>
      </c>
      <c r="AY172" s="395">
        <f ca="1">IF($E$339=0,0,IF(SUM($G172:AX172)=$B172,0,IF(SUM($G171:AB171)=$B171,$B172,0%)))</f>
        <v>0</v>
      </c>
      <c r="AZ172" s="395">
        <f ca="1">IF($E$339=0,0,IF(SUM($G172:AY172)=$B172,0,IF(SUM($G171:AC171)=$B171,$B172,0%)))</f>
        <v>0</v>
      </c>
      <c r="BA172" s="395">
        <f ca="1">IF($E$339=0,0,IF(SUM($G172:AZ172)=$B172,0,IF(SUM($G171:AD171)=$B171,$B172,0%)))</f>
        <v>0</v>
      </c>
      <c r="BB172" s="395">
        <f ca="1">IF($E$339=0,0,IF(SUM($G172:BA172)=$B172,0,IF(SUM($G171:AE171)=$B171,$B172,0%)))</f>
        <v>0</v>
      </c>
      <c r="BC172" s="395">
        <f ca="1">IF($E$339=0,0,IF(SUM($G172:BB172)=$B172,0,IF(SUM($G171:AF171)=$B171,$B172,0%)))</f>
        <v>0</v>
      </c>
      <c r="BD172" s="395">
        <f ca="1">IF($E$339=0,0,IF(SUM($G172:BC172)=$B172,0,IF(SUM($G171:AG171)=$B171,$B172,0%)))</f>
        <v>0</v>
      </c>
      <c r="BE172" s="395">
        <f ca="1">IF($E$339=0,0,IF(SUM($G172:BD172)=$B172,0,IF(SUM($G171:AH171)=$B171,$B172,0%)))</f>
        <v>0</v>
      </c>
      <c r="BF172" s="395">
        <f ca="1">IF($E$339=0,0,IF(SUM($G172:BE172)=$B172,0,IF(SUM($G171:AI171)=$B171,$B172,0%)))</f>
        <v>0</v>
      </c>
      <c r="BG172" s="395">
        <f ca="1">IF($E$339=0,0,IF(SUM($G172:BF172)=$B172,0,IF(SUM($G171:AJ171)=$B171,$B172,0%)))</f>
        <v>0</v>
      </c>
      <c r="BH172" s="395">
        <f ca="1">IF($E$339=0,0,IF(SUM($G172:BG172)=$B172,0,IF(SUM($G171:AK171)=$B171,$B172,0%)))</f>
        <v>0</v>
      </c>
      <c r="BI172" s="395">
        <f ca="1">IF($E$339=0,0,IF(SUM($G172:BH172)=$B172,0,IF(SUM($G171:AL171)=$B171,$B172,0%)))</f>
        <v>0</v>
      </c>
      <c r="BJ172" s="395">
        <f ca="1">IF($E$339=0,0,IF(SUM($G172:BI172)=$B172,0,IF(SUM($G171:AM171)=$B171,$B172,0%)))</f>
        <v>0</v>
      </c>
      <c r="BK172" s="395">
        <f ca="1">IF($E$339=0,0,IF(SUM($G172:BJ172)=$B172,0,IF(SUM($G171:AN171)=$B171,$B172,0%)))</f>
        <v>0</v>
      </c>
      <c r="BL172" s="395">
        <f ca="1">IF($E$339=0,0,IF(SUM($G172:BK172)=$B172,0,IF(SUM($G171:AO171)=$B171,$B172,0%)))</f>
        <v>0</v>
      </c>
      <c r="BM172" s="395">
        <f ca="1">IF($E$339=0,0,IF(SUM($G172:BL172)=$B172,0,IF(SUM($G171:AP171)=$B171,$B172,0%)))</f>
        <v>0</v>
      </c>
      <c r="BN172" s="395">
        <f ca="1">IF($E$339=0,0,IF(SUM($G172:BM172)=$B172,0,IF(SUM($G171:AQ171)=$B171,$B172,0%)))</f>
        <v>0</v>
      </c>
      <c r="BO172" s="395">
        <f ca="1">IF($E$339=0,0,IF(SUM($G172:BN172)=$B172,0,IF(SUM($G171:AR171)=$B171,$B172,0%)))</f>
        <v>0</v>
      </c>
      <c r="BP172" s="395">
        <f ca="1">IF($E$339=0,0,IF(SUM($G172:BO172)=$B172,0,IF(SUM($G171:AS171)=$B171,$B172,0%)))</f>
        <v>0</v>
      </c>
      <c r="BQ172" s="395">
        <f ca="1">IF($E$339=0,0,IF(SUM($G172:BP172)=$B172,0,IF(SUM($G171:AT171)=$B171,$B172,0%)))</f>
        <v>0</v>
      </c>
      <c r="BR172" s="395">
        <f ca="1">IF($E$339=0,0,IF(SUM($G172:BQ172)=$B172,0,IF(SUM($G171:AU171)=$B171,$B172,0%)))</f>
        <v>0</v>
      </c>
      <c r="BS172" s="395">
        <f ca="1">IF($E$339=0,0,IF(SUM($G172:BR172)=$B172,0,IF(SUM($G171:AV171)=$B171,$B172,0%)))</f>
        <v>0</v>
      </c>
      <c r="BT172" s="395">
        <f ca="1">IF($E$339=0,0,IF(SUM($G172:BS172)=$B172,0,IF(SUM($G171:AW171)=$B171,$B172,0%)))</f>
        <v>0</v>
      </c>
      <c r="BU172" s="395">
        <f ca="1">IF($E$339=0,0,IF(SUM($G172:BT172)=$B172,0,IF(SUM($G171:AX171)=$B171,$B172,0%)))</f>
        <v>0</v>
      </c>
      <c r="BV172" s="395">
        <f ca="1">IF($E$339=0,0,IF(SUM($G172:BU172)=$B172,0,IF(SUM($G171:AY171)=$B171,$B172,0%)))</f>
        <v>0</v>
      </c>
      <c r="BW172" s="395">
        <f ca="1">IF($E$339=0,0,IF(SUM($G172:BV172)=$B172,0,IF(SUM($G171:AZ171)=$B171,$B172,0%)))</f>
        <v>0</v>
      </c>
      <c r="BX172" s="395">
        <f ca="1">IF($E$339=0,0,IF(SUM($G172:BW172)=$B172,0,IF(SUM($G171:BA171)=$B171,$B172,0%)))</f>
        <v>0</v>
      </c>
      <c r="BY172" s="395">
        <f ca="1">IF($E$339=0,0,IF(SUM($G172:BX172)=$B172,0,IF(SUM($G171:BB171)=$B171,$B172,0%)))</f>
        <v>0</v>
      </c>
      <c r="BZ172" s="395">
        <f ca="1">IF($E$339=0,0,IF(SUM($G172:BY172)=$B172,0,IF(SUM($G171:BC171)=$B171,$B172,0%)))</f>
        <v>0</v>
      </c>
      <c r="CA172" s="395">
        <f ca="1">IF($E$339=0,0,IF(SUM($G172:BZ172)=$B172,0,IF(SUM($G171:BD171)=$B171,$B172,0%)))</f>
        <v>0</v>
      </c>
      <c r="CB172" s="395">
        <f ca="1">IF($E$339=0,0,IF(SUM($G172:CA172)=$B172,0,IF(SUM($G171:BE171)=$B171,$B172,0%)))</f>
        <v>2.5000000000000001E-2</v>
      </c>
      <c r="CC172" s="395">
        <f ca="1">IF($E$339=0,0,IF(SUM($G172:CB172)=$B172,0,IF(SUM($G171:BF171)=$B171,$B172,0%)))</f>
        <v>0</v>
      </c>
      <c r="CD172" s="395">
        <f ca="1">IF($E$339=0,0,IF(SUM($G172:CC172)=$B172,0,IF(SUM($G171:BG171)=$B171,$B172,0%)))</f>
        <v>0</v>
      </c>
      <c r="CE172" s="395">
        <f ca="1">IF($E$339=0,0,IF(SUM($G172:CD172)=$B172,0,IF(SUM($G171:BH171)=$B171,$B172,0%)))</f>
        <v>0</v>
      </c>
      <c r="CF172" s="395">
        <f ca="1">IF($E$339=0,0,IF(SUM($G172:CE172)=$B172,0,IF(SUM($G171:BI171)=$B171,$B172,0%)))</f>
        <v>0</v>
      </c>
      <c r="CG172" s="395">
        <f ca="1">IF($E$339=0,0,IF(SUM($G172:CF172)=$B172,0,IF(SUM($G171:BJ171)=$B171,$B172,0%)))</f>
        <v>0</v>
      </c>
      <c r="CH172" s="395">
        <f ca="1">IF($E$339=0,0,IF(SUM($G172:CG172)=$B172,0,IF(SUM($G171:BK171)=$B171,$B172,0%)))</f>
        <v>0</v>
      </c>
      <c r="CI172" s="395">
        <f ca="1">IF($E$339=0,0,IF(SUM($G172:CH172)=$B172,0,IF(SUM($G171:BL171)=$B171,$B172,0%)))</f>
        <v>0</v>
      </c>
      <c r="CJ172" s="395">
        <f ca="1">IF($E$339=0,0,IF(SUM($G172:CI172)=$B172,0,IF(SUM($G171:BM171)=$B171,$B172,0%)))</f>
        <v>0</v>
      </c>
      <c r="CK172" s="395">
        <f ca="1">IF($E$339=0,0,IF(SUM($G172:CJ172)=$B172,0,IF(SUM($G171:BN171)=$B171,$B172,0%)))</f>
        <v>0</v>
      </c>
      <c r="CL172" s="395">
        <f ca="1">IF($E$339=0,0,IF(SUM($G172:CK172)=$B172,0,IF(SUM($G171:BO171)=$B171,$B172,0%)))</f>
        <v>0</v>
      </c>
      <c r="CM172" s="395">
        <f ca="1">IF($E$339=0,0,IF(SUM($G172:CL172)=$B172,0,IF(SUM($G171:BP171)=$B171,$B172,0%)))</f>
        <v>0</v>
      </c>
      <c r="CN172" s="395">
        <f ca="1">IF($E$339=0,0,IF(SUM($G172:CM172)=$B172,0,IF(SUM($G171:BQ171)=$B171,$B172,0%)))</f>
        <v>0</v>
      </c>
      <c r="CO172" s="395">
        <f ca="1">IF($E$339=0,0,IF(SUM($G172:CN172)=$B172,0,IF(SUM($G171:BR171)=$B171,$B172,0%)))</f>
        <v>0</v>
      </c>
      <c r="CP172" s="395">
        <f ca="1">IF($E$339=0,0,IF(SUM($G172:CO172)=$B172,0,IF(SUM($G171:BS171)=$B171,$B172,0%)))</f>
        <v>0</v>
      </c>
      <c r="CQ172" s="395">
        <f ca="1">IF($E$339=0,0,IF(SUM($G172:CP172)=$B172,0,IF(SUM($G171:BT171)=$B171,$B172,0%)))</f>
        <v>0</v>
      </c>
      <c r="CR172" s="395">
        <f ca="1">IF($E$339=0,0,IF(SUM($G172:CQ172)=$B172,0,IF(SUM($G171:BU171)=$B171,$B172,0%)))</f>
        <v>0</v>
      </c>
      <c r="CS172" s="395">
        <f ca="1">IF($E$339=0,0,IF(SUM($G172:CR172)=$B172,0,IF(SUM($G171:BV171)=$B171,$B172,0%)))</f>
        <v>0</v>
      </c>
      <c r="CT172" s="395">
        <f ca="1">IF($E$339=0,0,IF(SUM($G172:CS172)=$B172,0,IF(SUM($G171:BW171)=$B171,$B172,0%)))</f>
        <v>0</v>
      </c>
      <c r="CU172" s="395">
        <f ca="1">IF($E$339=0,0,IF(SUM($G172:CT172)=$B172,0,IF(SUM($G171:BX171)=$B171,$B172,0%)))</f>
        <v>0</v>
      </c>
      <c r="CV172" s="395">
        <f ca="1">IF($E$339=0,0,IF(SUM($G172:CU172)=$B172,0,IF(SUM($G171:BY171)=$B171,$B172,0%)))</f>
        <v>0</v>
      </c>
      <c r="CW172" s="395">
        <f ca="1">IF($E$339=0,0,IF(SUM($G172:CV172)=$B172,0,IF(SUM($G171:BZ171)=$B171,$B172,0%)))</f>
        <v>0</v>
      </c>
      <c r="CX172" s="395">
        <f ca="1">IF($E$339=0,0,IF(SUM($G172:CW172)=$B172,0,IF(SUM($G171:CA171)=$B171,$B172,0%)))</f>
        <v>0</v>
      </c>
      <c r="CY172" s="395">
        <f ca="1">IF($E$339=0,0,IF(SUM($G172:CX172)=$B172,0,IF(SUM($G171:CB171)=$B171,$B172,0%)))</f>
        <v>0</v>
      </c>
      <c r="CZ172" s="395">
        <f ca="1">IF($E$339=0,0,IF(SUM($G172:CY172)=$B172,0,IF(SUM($G171:CC171)=$B171,$B172,0%)))</f>
        <v>0</v>
      </c>
      <c r="DA172" s="395">
        <f ca="1">IF($E$339=0,0,IF(SUM($G172:CZ172)=$B172,0,IF(SUM($G171:CD171)=$B171,$B172,0%)))</f>
        <v>0</v>
      </c>
      <c r="DB172" s="395">
        <f ca="1">IF($E$339=0,0,IF(SUM($G172:DA172)=$B172,0,IF(SUM($G171:CE171)=$B171,$B172,0%)))</f>
        <v>0</v>
      </c>
      <c r="DC172" s="395">
        <f ca="1">IF($E$339=0,0,IF(SUM($G172:DB172)=$B172,0,IF(SUM($G171:CF171)=$B171,$B172,0%)))</f>
        <v>0</v>
      </c>
      <c r="DD172" s="395">
        <f ca="1">IF($E$339=0,0,IF(SUM($G172:DC172)=$B172,0,IF(SUM($G171:CG171)=$B171,$B172,0%)))</f>
        <v>0</v>
      </c>
      <c r="DE172" s="395">
        <f ca="1">IF($E$339=0,0,IF(SUM($G172:DD172)=$B172,0,IF(SUM($G171:CH171)=$B171,$B172,0%)))</f>
        <v>0</v>
      </c>
      <c r="DF172" s="395">
        <f ca="1">IF($E$339=0,0,IF(SUM($G172:DE172)=$B172,0,IF(SUM($G171:CI171)=$B171,$B172,0%)))</f>
        <v>0</v>
      </c>
      <c r="DG172" s="395">
        <f ca="1">IF($E$339=0,0,IF(SUM($G172:DF172)=$B172,0,IF(SUM($G171:CJ171)=$B171,$B172,0%)))</f>
        <v>0</v>
      </c>
      <c r="DH172" s="395">
        <f ca="1">IF($E$339=0,0,IF(SUM($G172:DG172)=$B172,0,IF(SUM($G171:CK171)=$B171,$B172,0%)))</f>
        <v>0</v>
      </c>
      <c r="DI172" s="395">
        <f ca="1">IF($E$339=0,0,IF(SUM($G172:DH172)=$B172,0,IF(SUM($G171:CL171)=$B171,$B172,0%)))</f>
        <v>0</v>
      </c>
      <c r="DJ172" s="395">
        <f ca="1">IF($E$339=0,0,IF(SUM($G172:DI172)=$B172,0,IF(SUM($G171:CM171)=$B171,$B172,0%)))</f>
        <v>0</v>
      </c>
      <c r="DK172" s="395">
        <f ca="1">IF($E$339=0,0,IF(SUM($G172:DJ172)=$B172,0,IF(SUM($G171:CN171)=$B171,$B172,0%)))</f>
        <v>0</v>
      </c>
      <c r="DL172" s="395">
        <f ca="1">IF($E$339=0,0,IF(SUM($G172:DK172)=$B172,0,IF(SUM($G171:CO171)=$B171,$B172,0%)))</f>
        <v>0</v>
      </c>
      <c r="DM172" s="395">
        <f ca="1">IF($E$339=0,0,IF(SUM($G172:DL172)=$B172,0,IF(SUM($G171:CP171)=$B171,$B172,0%)))</f>
        <v>0</v>
      </c>
      <c r="DN172" s="395">
        <f ca="1">IF($E$339=0,0,IF(SUM($G172:DM172)=$B172,0,IF(SUM($G171:CQ171)=$B171,$B172,0%)))</f>
        <v>0</v>
      </c>
      <c r="DO172" s="395">
        <f ca="1">IF($E$339=0,0,IF(SUM($G172:DN172)=$B172,0,IF(SUM($G171:CR171)=$B171,$B172,0%)))</f>
        <v>0</v>
      </c>
      <c r="DP172" s="395">
        <f ca="1">IF($E$339=0,0,IF(SUM($G172:DO172)=$B172,0,IF(SUM($G171:CS171)=$B171,$B172,0%)))</f>
        <v>0</v>
      </c>
      <c r="DQ172" s="395">
        <f ca="1">IF($E$339=0,0,IF(SUM($G172:DP172)=$B172,0,IF(SUM($G171:CT171)=$B171,$B172,0%)))</f>
        <v>0</v>
      </c>
      <c r="DR172" s="395">
        <f ca="1">IF($E$339=0,0,IF(SUM($G172:DQ172)=$B172,0,IF(SUM($G171:CU171)=$B171,$B172,0%)))</f>
        <v>0</v>
      </c>
      <c r="DS172" s="395">
        <f ca="1">IF($E$339=0,0,IF(SUM($G172:DR172)=$B172,0,IF(SUM($G171:CV171)=$B171,$B172,0%)))</f>
        <v>0</v>
      </c>
      <c r="DT172" s="395">
        <f ca="1">IF($E$339=0,0,IF(SUM($G172:DS172)=$B172,0,IF(SUM($G171:CW171)=$B171,$B172,0%)))</f>
        <v>0</v>
      </c>
      <c r="DU172" s="395">
        <f ca="1">IF($E$339=0,0,IF(SUM($G172:DT172)=$B172,0,IF(SUM($G171:CX171)=$B171,$B172,0%)))</f>
        <v>0</v>
      </c>
      <c r="DV172" s="395">
        <f ca="1">IF($E$339=0,0,IF(SUM($G172:DU172)=$B172,0,IF(SUM($G171:CY171)=$B171,$B172,0%)))</f>
        <v>0</v>
      </c>
      <c r="DW172" s="395">
        <f ca="1">IF($E$339=0,0,IF(SUM($G172:DV172)=$B172,0,IF(SUM($G171:CZ171)=$B171,$B172,0%)))</f>
        <v>0</v>
      </c>
      <c r="DX172" s="395">
        <f ca="1">IF($E$339=0,0,IF(SUM($G172:DW172)=$B172,0,IF(SUM($G171:DA171)=$B171,$B172,0%)))</f>
        <v>0</v>
      </c>
      <c r="DY172" s="395">
        <f ca="1">IF($E$339=0,0,IF(SUM($G172:DX172)=$B172,0,IF(SUM($G171:DB171)=$B171,$B172,0%)))</f>
        <v>0</v>
      </c>
      <c r="DZ172" s="395">
        <f ca="1">IF($E$339=0,0,IF(SUM($G172:DY172)=$B172,0,IF(SUM($G171:DC171)=$B171,$B172,0%)))</f>
        <v>0</v>
      </c>
      <c r="EA172" s="395">
        <f ca="1">IF($E$339=0,0,IF(SUM($G172:DZ172)=$B172,0,IF(SUM($G171:DD171)=$B171,$B172,0%)))</f>
        <v>0</v>
      </c>
      <c r="EB172" s="395">
        <f ca="1">IF($E$339=0,0,IF(SUM($G172:EA172)=$B172,0,IF(SUM($G171:DE171)=$B171,$B172,0%)))</f>
        <v>0</v>
      </c>
      <c r="EC172" s="395">
        <f ca="1">IF($E$339=0,0,IF(SUM($G172:EB172)=$B172,0,IF(SUM($G171:DF171)=$B171,$B172,0%)))</f>
        <v>0</v>
      </c>
      <c r="ED172" s="395">
        <f ca="1">IF($E$339=0,0,IF(SUM($G172:EC172)=$B172,0,IF(SUM($G171:DG171)=$B171,$B172,0%)))</f>
        <v>0</v>
      </c>
      <c r="EE172" s="395">
        <f ca="1">IF($E$339=0,0,IF(SUM($G172:ED172)=$B172,0,IF(SUM($G171:DH171)=$B171,$B172,0%)))</f>
        <v>0</v>
      </c>
      <c r="EF172" s="395">
        <f ca="1">IF($E$339=0,0,IF(SUM($G172:EE172)=$B172,0,IF(SUM($G171:DI171)=$B171,$B172,0%)))</f>
        <v>0</v>
      </c>
      <c r="EG172" s="395">
        <f ca="1">IF($E$339=0,0,IF(SUM($G172:EF172)=$B172,0,IF(SUM($G171:DJ171)=$B171,$B172,0%)))</f>
        <v>0</v>
      </c>
      <c r="EH172" s="395">
        <f ca="1">IF($E$339=0,0,IF(SUM($G172:EG172)=$B172,0,IF(SUM($G171:DK171)=$B171,$B172,0%)))</f>
        <v>0</v>
      </c>
      <c r="EI172" s="395">
        <f ca="1">IF($E$339=0,0,IF(SUM($G172:EH172)=$B172,0,IF(SUM($G171:DL171)=$B171,$B172,0%)))</f>
        <v>0</v>
      </c>
      <c r="EJ172" s="398"/>
      <c r="EK172" s="313"/>
    </row>
    <row r="173" spans="1:141" hidden="1" outlineLevel="1" collapsed="1">
      <c r="A173" s="332"/>
      <c r="B173" s="313"/>
      <c r="C173" s="392" t="s">
        <v>97</v>
      </c>
      <c r="D173" s="392" t="s">
        <v>98</v>
      </c>
      <c r="E173" s="393">
        <f ca="1">ROUND(IF(F173=0,0,100%-F173),0)</f>
        <v>0</v>
      </c>
      <c r="F173" s="394">
        <f t="shared" ca="1" si="283"/>
        <v>0.99999999999999989</v>
      </c>
      <c r="G173" s="395">
        <f>SUM(G174:G175)</f>
        <v>0</v>
      </c>
      <c r="H173" s="395">
        <f t="shared" ref="H173:BS173" ca="1" si="392">SUM(H174:H175)</f>
        <v>0</v>
      </c>
      <c r="I173" s="395">
        <f t="shared" ca="1" si="392"/>
        <v>0</v>
      </c>
      <c r="J173" s="395">
        <f t="shared" ca="1" si="392"/>
        <v>0</v>
      </c>
      <c r="K173" s="395">
        <f t="shared" ca="1" si="392"/>
        <v>0</v>
      </c>
      <c r="L173" s="395">
        <f t="shared" ca="1" si="392"/>
        <v>0</v>
      </c>
      <c r="M173" s="395">
        <f t="shared" ca="1" si="392"/>
        <v>0</v>
      </c>
      <c r="N173" s="395">
        <f t="shared" ca="1" si="392"/>
        <v>0</v>
      </c>
      <c r="O173" s="395">
        <f t="shared" ca="1" si="392"/>
        <v>0</v>
      </c>
      <c r="P173" s="395">
        <f t="shared" ca="1" si="392"/>
        <v>0</v>
      </c>
      <c r="Q173" s="395">
        <f t="shared" ca="1" si="392"/>
        <v>0</v>
      </c>
      <c r="R173" s="395">
        <f t="shared" ca="1" si="392"/>
        <v>0</v>
      </c>
      <c r="S173" s="395">
        <f t="shared" ca="1" si="392"/>
        <v>0</v>
      </c>
      <c r="T173" s="395">
        <f t="shared" ca="1" si="392"/>
        <v>0</v>
      </c>
      <c r="U173" s="395">
        <f t="shared" ca="1" si="392"/>
        <v>0</v>
      </c>
      <c r="V173" s="395">
        <f t="shared" ca="1" si="392"/>
        <v>0</v>
      </c>
      <c r="W173" s="395">
        <f t="shared" ca="1" si="392"/>
        <v>0</v>
      </c>
      <c r="X173" s="395">
        <f t="shared" ca="1" si="392"/>
        <v>0</v>
      </c>
      <c r="Y173" s="395">
        <f t="shared" ca="1" si="392"/>
        <v>0</v>
      </c>
      <c r="Z173" s="395">
        <f t="shared" ca="1" si="392"/>
        <v>0</v>
      </c>
      <c r="AA173" s="395">
        <f t="shared" ca="1" si="392"/>
        <v>0</v>
      </c>
      <c r="AB173" s="395">
        <f t="shared" ca="1" si="392"/>
        <v>0</v>
      </c>
      <c r="AC173" s="395">
        <f t="shared" ca="1" si="392"/>
        <v>0</v>
      </c>
      <c r="AD173" s="395">
        <f t="shared" ca="1" si="392"/>
        <v>0</v>
      </c>
      <c r="AE173" s="395">
        <f t="shared" ca="1" si="392"/>
        <v>0</v>
      </c>
      <c r="AF173" s="395">
        <f t="shared" ca="1" si="392"/>
        <v>0</v>
      </c>
      <c r="AG173" s="395">
        <f t="shared" ca="1" si="392"/>
        <v>0</v>
      </c>
      <c r="AH173" s="395">
        <f t="shared" ca="1" si="392"/>
        <v>0</v>
      </c>
      <c r="AI173" s="395">
        <f t="shared" ca="1" si="392"/>
        <v>0</v>
      </c>
      <c r="AJ173" s="395">
        <f t="shared" ca="1" si="392"/>
        <v>0</v>
      </c>
      <c r="AK173" s="395">
        <f t="shared" ca="1" si="392"/>
        <v>0</v>
      </c>
      <c r="AL173" s="395">
        <f t="shared" ca="1" si="392"/>
        <v>0</v>
      </c>
      <c r="AM173" s="395">
        <f t="shared" ca="1" si="392"/>
        <v>0</v>
      </c>
      <c r="AN173" s="395">
        <f t="shared" ca="1" si="392"/>
        <v>0</v>
      </c>
      <c r="AO173" s="395">
        <f t="shared" ca="1" si="392"/>
        <v>0</v>
      </c>
      <c r="AP173" s="395">
        <f t="shared" ca="1" si="392"/>
        <v>0</v>
      </c>
      <c r="AQ173" s="395">
        <f t="shared" ca="1" si="392"/>
        <v>0</v>
      </c>
      <c r="AR173" s="395">
        <f t="shared" ca="1" si="392"/>
        <v>0</v>
      </c>
      <c r="AS173" s="395">
        <f t="shared" ca="1" si="392"/>
        <v>0</v>
      </c>
      <c r="AT173" s="395">
        <f t="shared" ca="1" si="392"/>
        <v>0</v>
      </c>
      <c r="AU173" s="395">
        <f t="shared" ca="1" si="392"/>
        <v>0</v>
      </c>
      <c r="AV173" s="395">
        <f t="shared" ca="1" si="392"/>
        <v>0</v>
      </c>
      <c r="AW173" s="395">
        <f t="shared" ca="1" si="392"/>
        <v>0</v>
      </c>
      <c r="AX173" s="395">
        <f t="shared" ca="1" si="392"/>
        <v>0</v>
      </c>
      <c r="AY173" s="395">
        <f t="shared" ca="1" si="392"/>
        <v>0</v>
      </c>
      <c r="AZ173" s="395">
        <f t="shared" ca="1" si="392"/>
        <v>0</v>
      </c>
      <c r="BA173" s="395">
        <f t="shared" ca="1" si="392"/>
        <v>0</v>
      </c>
      <c r="BB173" s="395">
        <f t="shared" ca="1" si="392"/>
        <v>0</v>
      </c>
      <c r="BC173" s="395">
        <f t="shared" ca="1" si="392"/>
        <v>0</v>
      </c>
      <c r="BD173" s="395">
        <f t="shared" ca="1" si="392"/>
        <v>0.3</v>
      </c>
      <c r="BE173" s="395">
        <f t="shared" ca="1" si="392"/>
        <v>0</v>
      </c>
      <c r="BF173" s="395">
        <f t="shared" ca="1" si="392"/>
        <v>0.33016666666666677</v>
      </c>
      <c r="BG173" s="395">
        <f t="shared" ca="1" si="392"/>
        <v>0.35</v>
      </c>
      <c r="BH173" s="395">
        <f t="shared" ca="1" si="392"/>
        <v>1.9833333333333199E-2</v>
      </c>
      <c r="BI173" s="395">
        <f t="shared" ca="1" si="392"/>
        <v>0</v>
      </c>
      <c r="BJ173" s="395">
        <f t="shared" ca="1" si="392"/>
        <v>0</v>
      </c>
      <c r="BK173" s="395">
        <f t="shared" ca="1" si="392"/>
        <v>0</v>
      </c>
      <c r="BL173" s="395">
        <f t="shared" ca="1" si="392"/>
        <v>0</v>
      </c>
      <c r="BM173" s="395">
        <f t="shared" ca="1" si="392"/>
        <v>0</v>
      </c>
      <c r="BN173" s="395">
        <f t="shared" ca="1" si="392"/>
        <v>0</v>
      </c>
      <c r="BO173" s="395">
        <f t="shared" ca="1" si="392"/>
        <v>0</v>
      </c>
      <c r="BP173" s="395">
        <f t="shared" ca="1" si="392"/>
        <v>0</v>
      </c>
      <c r="BQ173" s="395">
        <f t="shared" ca="1" si="392"/>
        <v>0</v>
      </c>
      <c r="BR173" s="395">
        <f t="shared" ca="1" si="392"/>
        <v>0</v>
      </c>
      <c r="BS173" s="395">
        <f t="shared" ca="1" si="392"/>
        <v>0</v>
      </c>
      <c r="BT173" s="395">
        <f t="shared" ref="BT173:EE173" ca="1" si="393">SUM(BT174:BT175)</f>
        <v>0</v>
      </c>
      <c r="BU173" s="395">
        <f t="shared" ca="1" si="393"/>
        <v>0</v>
      </c>
      <c r="BV173" s="395">
        <f t="shared" ca="1" si="393"/>
        <v>0</v>
      </c>
      <c r="BW173" s="395">
        <f t="shared" ca="1" si="393"/>
        <v>0</v>
      </c>
      <c r="BX173" s="395">
        <f t="shared" ca="1" si="393"/>
        <v>0</v>
      </c>
      <c r="BY173" s="395">
        <f t="shared" ca="1" si="393"/>
        <v>0</v>
      </c>
      <c r="BZ173" s="395">
        <f t="shared" ca="1" si="393"/>
        <v>0</v>
      </c>
      <c r="CA173" s="395">
        <f t="shared" ca="1" si="393"/>
        <v>0</v>
      </c>
      <c r="CB173" s="395">
        <f t="shared" ca="1" si="393"/>
        <v>0</v>
      </c>
      <c r="CC173" s="395">
        <f t="shared" ca="1" si="393"/>
        <v>0</v>
      </c>
      <c r="CD173" s="395">
        <f t="shared" ca="1" si="393"/>
        <v>0</v>
      </c>
      <c r="CE173" s="395">
        <f t="shared" ca="1" si="393"/>
        <v>0</v>
      </c>
      <c r="CF173" s="395">
        <f t="shared" ca="1" si="393"/>
        <v>0</v>
      </c>
      <c r="CG173" s="395">
        <f t="shared" ca="1" si="393"/>
        <v>0</v>
      </c>
      <c r="CH173" s="395">
        <f t="shared" ca="1" si="393"/>
        <v>0</v>
      </c>
      <c r="CI173" s="395">
        <f t="shared" ca="1" si="393"/>
        <v>0</v>
      </c>
      <c r="CJ173" s="395">
        <f t="shared" ca="1" si="393"/>
        <v>0</v>
      </c>
      <c r="CK173" s="395">
        <f t="shared" ca="1" si="393"/>
        <v>0</v>
      </c>
      <c r="CL173" s="395">
        <f t="shared" ca="1" si="393"/>
        <v>0</v>
      </c>
      <c r="CM173" s="395">
        <f t="shared" ca="1" si="393"/>
        <v>0</v>
      </c>
      <c r="CN173" s="395">
        <f t="shared" ca="1" si="393"/>
        <v>0</v>
      </c>
      <c r="CO173" s="395">
        <f t="shared" ca="1" si="393"/>
        <v>0</v>
      </c>
      <c r="CP173" s="395">
        <f t="shared" ca="1" si="393"/>
        <v>0</v>
      </c>
      <c r="CQ173" s="395">
        <f t="shared" ca="1" si="393"/>
        <v>0</v>
      </c>
      <c r="CR173" s="395">
        <f t="shared" ca="1" si="393"/>
        <v>0</v>
      </c>
      <c r="CS173" s="395">
        <f t="shared" ca="1" si="393"/>
        <v>0</v>
      </c>
      <c r="CT173" s="395">
        <f t="shared" ca="1" si="393"/>
        <v>0</v>
      </c>
      <c r="CU173" s="395">
        <f t="shared" ca="1" si="393"/>
        <v>0</v>
      </c>
      <c r="CV173" s="395">
        <f t="shared" ca="1" si="393"/>
        <v>0</v>
      </c>
      <c r="CW173" s="395">
        <f t="shared" ca="1" si="393"/>
        <v>0</v>
      </c>
      <c r="CX173" s="395">
        <f t="shared" ca="1" si="393"/>
        <v>0</v>
      </c>
      <c r="CY173" s="395">
        <f t="shared" ca="1" si="393"/>
        <v>0</v>
      </c>
      <c r="CZ173" s="395">
        <f t="shared" ca="1" si="393"/>
        <v>0</v>
      </c>
      <c r="DA173" s="395">
        <f t="shared" ca="1" si="393"/>
        <v>0</v>
      </c>
      <c r="DB173" s="395">
        <f t="shared" ca="1" si="393"/>
        <v>0</v>
      </c>
      <c r="DC173" s="395">
        <f t="shared" ca="1" si="393"/>
        <v>0</v>
      </c>
      <c r="DD173" s="395">
        <f t="shared" ca="1" si="393"/>
        <v>0</v>
      </c>
      <c r="DE173" s="395">
        <f t="shared" ca="1" si="393"/>
        <v>0</v>
      </c>
      <c r="DF173" s="395">
        <f t="shared" ca="1" si="393"/>
        <v>0</v>
      </c>
      <c r="DG173" s="395">
        <f t="shared" ca="1" si="393"/>
        <v>0</v>
      </c>
      <c r="DH173" s="395">
        <f t="shared" ca="1" si="393"/>
        <v>0</v>
      </c>
      <c r="DI173" s="395">
        <f t="shared" ca="1" si="393"/>
        <v>0</v>
      </c>
      <c r="DJ173" s="395">
        <f t="shared" ca="1" si="393"/>
        <v>0</v>
      </c>
      <c r="DK173" s="395">
        <f t="shared" ca="1" si="393"/>
        <v>0</v>
      </c>
      <c r="DL173" s="395">
        <f t="shared" ca="1" si="393"/>
        <v>0</v>
      </c>
      <c r="DM173" s="395">
        <f t="shared" ca="1" si="393"/>
        <v>0</v>
      </c>
      <c r="DN173" s="395">
        <f t="shared" ca="1" si="393"/>
        <v>0</v>
      </c>
      <c r="DO173" s="395">
        <f t="shared" ca="1" si="393"/>
        <v>0</v>
      </c>
      <c r="DP173" s="395">
        <f t="shared" ca="1" si="393"/>
        <v>0</v>
      </c>
      <c r="DQ173" s="395">
        <f t="shared" ca="1" si="393"/>
        <v>0</v>
      </c>
      <c r="DR173" s="395">
        <f t="shared" ca="1" si="393"/>
        <v>0</v>
      </c>
      <c r="DS173" s="395">
        <f t="shared" ca="1" si="393"/>
        <v>0</v>
      </c>
      <c r="DT173" s="395">
        <f t="shared" ca="1" si="393"/>
        <v>0</v>
      </c>
      <c r="DU173" s="395">
        <f t="shared" ca="1" si="393"/>
        <v>0</v>
      </c>
      <c r="DV173" s="395">
        <f t="shared" ca="1" si="393"/>
        <v>0</v>
      </c>
      <c r="DW173" s="395">
        <f t="shared" ca="1" si="393"/>
        <v>0</v>
      </c>
      <c r="DX173" s="395">
        <f t="shared" ca="1" si="393"/>
        <v>0</v>
      </c>
      <c r="DY173" s="395">
        <f t="shared" ca="1" si="393"/>
        <v>0</v>
      </c>
      <c r="DZ173" s="395">
        <f t="shared" ca="1" si="393"/>
        <v>0</v>
      </c>
      <c r="EA173" s="395">
        <f t="shared" ca="1" si="393"/>
        <v>0</v>
      </c>
      <c r="EB173" s="395">
        <f t="shared" ca="1" si="393"/>
        <v>0</v>
      </c>
      <c r="EC173" s="395">
        <f t="shared" ca="1" si="393"/>
        <v>0</v>
      </c>
      <c r="ED173" s="395">
        <f t="shared" ca="1" si="393"/>
        <v>0</v>
      </c>
      <c r="EE173" s="395">
        <f t="shared" ca="1" si="393"/>
        <v>0</v>
      </c>
      <c r="EF173" s="395">
        <f t="shared" ref="EF173:EI173" ca="1" si="394">SUM(EF174:EF175)</f>
        <v>0</v>
      </c>
      <c r="EG173" s="395">
        <f t="shared" ca="1" si="394"/>
        <v>0</v>
      </c>
      <c r="EH173" s="395">
        <f t="shared" ca="1" si="394"/>
        <v>0</v>
      </c>
      <c r="EI173" s="395">
        <f t="shared" ca="1" si="394"/>
        <v>0</v>
      </c>
      <c r="EJ173" s="398"/>
      <c r="EK173" s="313"/>
    </row>
    <row r="174" spans="1:141" hidden="1" outlineLevel="2">
      <c r="A174" s="332"/>
      <c r="B174" s="549">
        <f>длительность!B191</f>
        <v>0.3</v>
      </c>
      <c r="C174" s="317"/>
      <c r="D174" s="317" t="s">
        <v>664</v>
      </c>
      <c r="E174" s="318">
        <f ca="1">IF(F174=0,0,B174-F174)</f>
        <v>0</v>
      </c>
      <c r="F174" s="397">
        <f t="shared" ca="1" si="283"/>
        <v>0.3</v>
      </c>
      <c r="G174" s="395"/>
      <c r="H174" s="395">
        <f ca="1">IF(SUM($G174:G174)=$B174,0,IF(J175&gt;0%,$B174,0%))</f>
        <v>0</v>
      </c>
      <c r="I174" s="395">
        <f ca="1">IF(SUM($G174:H174)=$B174,0,IF(K175&gt;0%,$B174,0%))</f>
        <v>0</v>
      </c>
      <c r="J174" s="395">
        <f ca="1">IF(SUM($G174:I174)=$B174,0,IF(L175&gt;0%,$B174,0%))</f>
        <v>0</v>
      </c>
      <c r="K174" s="395">
        <f ca="1">IF(SUM($G174:J174)=$B174,0,IF(M175&gt;0%,$B174,0%))</f>
        <v>0</v>
      </c>
      <c r="L174" s="395">
        <f ca="1">IF(SUM($G174:K174)=$B174,0,IF(N175&gt;0%,$B174,0%))</f>
        <v>0</v>
      </c>
      <c r="M174" s="395">
        <f ca="1">IF(SUM($G174:L174)=$B174,0,IF(O175&gt;0%,$B174,0%))</f>
        <v>0</v>
      </c>
      <c r="N174" s="395">
        <f ca="1">IF(SUM($G174:M174)=$B174,0,IF(P175&gt;0%,$B174,0%))</f>
        <v>0</v>
      </c>
      <c r="O174" s="395">
        <f ca="1">IF(SUM($G174:N174)=$B174,0,IF(Q175&gt;0%,$B174,0%))</f>
        <v>0</v>
      </c>
      <c r="P174" s="395">
        <f ca="1">IF(SUM($G174:O174)=$B174,0,IF(R175&gt;0%,$B174,0%))</f>
        <v>0</v>
      </c>
      <c r="Q174" s="395">
        <f ca="1">IF(SUM($G174:P174)=$B174,0,IF(S175&gt;0%,$B174,0%))</f>
        <v>0</v>
      </c>
      <c r="R174" s="395">
        <f ca="1">IF(SUM($G174:Q174)=$B174,0,IF(T175&gt;0%,$B174,0%))</f>
        <v>0</v>
      </c>
      <c r="S174" s="395">
        <f ca="1">IF(SUM($G174:R174)=$B174,0,IF(U175&gt;0%,$B174,0%))</f>
        <v>0</v>
      </c>
      <c r="T174" s="395">
        <f ca="1">IF(SUM($G174:S174)=$B174,0,IF(V175&gt;0%,$B174,0%))</f>
        <v>0</v>
      </c>
      <c r="U174" s="395">
        <f ca="1">IF(SUM($G174:T174)=$B174,0,IF(W175&gt;0%,$B174,0%))</f>
        <v>0</v>
      </c>
      <c r="V174" s="395">
        <f ca="1">IF(SUM($G174:U174)=$B174,0,IF(X175&gt;0%,$B174,0%))</f>
        <v>0</v>
      </c>
      <c r="W174" s="395">
        <f ca="1">IF(SUM($G174:V174)=$B174,0,IF(Y175&gt;0%,$B174,0%))</f>
        <v>0</v>
      </c>
      <c r="X174" s="395">
        <f ca="1">IF(SUM($G174:W174)=$B174,0,IF(Z175&gt;0%,$B174,0%))</f>
        <v>0</v>
      </c>
      <c r="Y174" s="395">
        <f ca="1">IF(SUM($G174:X174)=$B174,0,IF(AA175&gt;0%,$B174,0%))</f>
        <v>0</v>
      </c>
      <c r="Z174" s="395">
        <f ca="1">IF(SUM($G174:Y174)=$B174,0,IF(AB175&gt;0%,$B174,0%))</f>
        <v>0</v>
      </c>
      <c r="AA174" s="395">
        <f ca="1">IF(SUM($G174:Z174)=$B174,0,IF(AC175&gt;0%,$B174,0%))</f>
        <v>0</v>
      </c>
      <c r="AB174" s="395">
        <f ca="1">IF(SUM($G174:AA174)=$B174,0,IF(AD175&gt;0%,$B174,0%))</f>
        <v>0</v>
      </c>
      <c r="AC174" s="395">
        <f ca="1">IF(SUM($G174:AB174)=$B174,0,IF(AE175&gt;0%,$B174,0%))</f>
        <v>0</v>
      </c>
      <c r="AD174" s="395">
        <f ca="1">IF(SUM($G174:AC174)=$B174,0,IF(AF175&gt;0%,$B174,0%))</f>
        <v>0</v>
      </c>
      <c r="AE174" s="395">
        <f ca="1">IF(SUM($G174:AD174)=$B174,0,IF(AG175&gt;0%,$B174,0%))</f>
        <v>0</v>
      </c>
      <c r="AF174" s="395">
        <f ca="1">IF(SUM($G174:AE174)=$B174,0,IF(AH175&gt;0%,$B174,0%))</f>
        <v>0</v>
      </c>
      <c r="AG174" s="395">
        <f ca="1">IF(SUM($G174:AF174)=$B174,0,IF(AI175&gt;0%,$B174,0%))</f>
        <v>0</v>
      </c>
      <c r="AH174" s="395">
        <f ca="1">IF(SUM($G174:AG174)=$B174,0,IF(AJ175&gt;0%,$B174,0%))</f>
        <v>0</v>
      </c>
      <c r="AI174" s="395">
        <f ca="1">IF(SUM($G174:AH174)=$B174,0,IF(AK175&gt;0%,$B174,0%))</f>
        <v>0</v>
      </c>
      <c r="AJ174" s="395">
        <f ca="1">IF(SUM($G174:AI174)=$B174,0,IF(AL175&gt;0%,$B174,0%))</f>
        <v>0</v>
      </c>
      <c r="AK174" s="395">
        <f ca="1">IF(SUM($G174:AJ174)=$B174,0,IF(AM175&gt;0%,$B174,0%))</f>
        <v>0</v>
      </c>
      <c r="AL174" s="395">
        <f ca="1">IF(SUM($G174:AK174)=$B174,0,IF(AN175&gt;0%,$B174,0%))</f>
        <v>0</v>
      </c>
      <c r="AM174" s="395">
        <f ca="1">IF(SUM($G174:AL174)=$B174,0,IF(AO175&gt;0%,$B174,0%))</f>
        <v>0</v>
      </c>
      <c r="AN174" s="395">
        <f ca="1">IF(SUM($G174:AM174)=$B174,0,IF(AP175&gt;0%,$B174,0%))</f>
        <v>0</v>
      </c>
      <c r="AO174" s="395">
        <f ca="1">IF(SUM($G174:AN174)=$B174,0,IF(AQ175&gt;0%,$B174,0%))</f>
        <v>0</v>
      </c>
      <c r="AP174" s="395">
        <f ca="1">IF(SUM($G174:AO174)=$B174,0,IF(AR175&gt;0%,$B174,0%))</f>
        <v>0</v>
      </c>
      <c r="AQ174" s="395">
        <f ca="1">IF(SUM($G174:AP174)=$B174,0,IF(AS175&gt;0%,$B174,0%))</f>
        <v>0</v>
      </c>
      <c r="AR174" s="395">
        <f ca="1">IF(SUM($G174:AQ174)=$B174,0,IF(AT175&gt;0%,$B174,0%))</f>
        <v>0</v>
      </c>
      <c r="AS174" s="395">
        <f ca="1">IF(SUM($G174:AR174)=$B174,0,IF(AU175&gt;0%,$B174,0%))</f>
        <v>0</v>
      </c>
      <c r="AT174" s="395">
        <f ca="1">IF(SUM($G174:AS174)=$B174,0,IF(AV175&gt;0%,$B174,0%))</f>
        <v>0</v>
      </c>
      <c r="AU174" s="395">
        <f ca="1">IF(SUM($G174:AT174)=$B174,0,IF(AW175&gt;0%,$B174,0%))</f>
        <v>0</v>
      </c>
      <c r="AV174" s="395">
        <f ca="1">IF(SUM($G174:AU174)=$B174,0,IF(AX175&gt;0%,$B174,0%))</f>
        <v>0</v>
      </c>
      <c r="AW174" s="395">
        <f ca="1">IF(SUM($G174:AV174)=$B174,0,IF(AY175&gt;0%,$B174,0%))</f>
        <v>0</v>
      </c>
      <c r="AX174" s="395">
        <f ca="1">IF(SUM($G174:AW174)=$B174,0,IF(AZ175&gt;0%,$B174,0%))</f>
        <v>0</v>
      </c>
      <c r="AY174" s="395">
        <f ca="1">IF(SUM($G174:AX174)=$B174,0,IF(BA175&gt;0%,$B174,0%))</f>
        <v>0</v>
      </c>
      <c r="AZ174" s="395">
        <f ca="1">IF(SUM($G174:AY174)=$B174,0,IF(BB175&gt;0%,$B174,0%))</f>
        <v>0</v>
      </c>
      <c r="BA174" s="395">
        <f ca="1">IF(SUM($G174:AZ174)=$B174,0,IF(BC175&gt;0%,$B174,0%))</f>
        <v>0</v>
      </c>
      <c r="BB174" s="395">
        <f ca="1">IF(SUM($G174:BA174)=$B174,0,IF(BD175&gt;0%,$B174,0%))</f>
        <v>0</v>
      </c>
      <c r="BC174" s="395">
        <f ca="1">IF(SUM($G174:BB174)=$B174,0,IF(BE175&gt;0%,$B174,0%))</f>
        <v>0</v>
      </c>
      <c r="BD174" s="395">
        <f ca="1">IF(SUM($G174:BC174)=$B174,0,IF(BF175&gt;0%,$B174,0%))</f>
        <v>0.3</v>
      </c>
      <c r="BE174" s="395">
        <f ca="1">IF(SUM($G174:BD174)=$B174,0,IF(BG175&gt;0%,$B174,0%))</f>
        <v>0</v>
      </c>
      <c r="BF174" s="395">
        <f ca="1">IF(SUM($G174:BE174)=$B174,0,IF(BH175&gt;0%,$B174,0%))</f>
        <v>0</v>
      </c>
      <c r="BG174" s="395">
        <f ca="1">IF(SUM($G174:BF174)=$B174,0,IF(BI175&gt;0%,$B174,0%))</f>
        <v>0</v>
      </c>
      <c r="BH174" s="395">
        <f ca="1">IF(SUM($G174:BG174)=$B174,0,IF(BJ175&gt;0%,$B174,0%))</f>
        <v>0</v>
      </c>
      <c r="BI174" s="395">
        <f ca="1">IF(SUM($G174:BH174)=$B174,0,IF(BK175&gt;0%,$B174,0%))</f>
        <v>0</v>
      </c>
      <c r="BJ174" s="395">
        <f ca="1">IF(SUM($G174:BI174)=$B174,0,IF(BL175&gt;0%,$B174,0%))</f>
        <v>0</v>
      </c>
      <c r="BK174" s="395">
        <f ca="1">IF(SUM($G174:BJ174)=$B174,0,IF(BM175&gt;0%,$B174,0%))</f>
        <v>0</v>
      </c>
      <c r="BL174" s="395">
        <f ca="1">IF(SUM($G174:BK174)=$B174,0,IF(BN175&gt;0%,$B174,0%))</f>
        <v>0</v>
      </c>
      <c r="BM174" s="395">
        <f ca="1">IF(SUM($G174:BL174)=$B174,0,IF(BO175&gt;0%,$B174,0%))</f>
        <v>0</v>
      </c>
      <c r="BN174" s="395">
        <f ca="1">IF(SUM($G174:BM174)=$B174,0,IF(BP175&gt;0%,$B174,0%))</f>
        <v>0</v>
      </c>
      <c r="BO174" s="395">
        <f ca="1">IF(SUM($G174:BN174)=$B174,0,IF(BQ175&gt;0%,$B174,0%))</f>
        <v>0</v>
      </c>
      <c r="BP174" s="395">
        <f ca="1">IF(SUM($G174:BO174)=$B174,0,IF(BR175&gt;0%,$B174,0%))</f>
        <v>0</v>
      </c>
      <c r="BQ174" s="395">
        <f ca="1">IF(SUM($G174:BP174)=$B174,0,IF(BS175&gt;0%,$B174,0%))</f>
        <v>0</v>
      </c>
      <c r="BR174" s="395">
        <f ca="1">IF(SUM($G174:BQ174)=$B174,0,IF(BT175&gt;0%,$B174,0%))</f>
        <v>0</v>
      </c>
      <c r="BS174" s="395">
        <f ca="1">IF(SUM($G174:BR174)=$B174,0,IF(BU175&gt;0%,$B174,0%))</f>
        <v>0</v>
      </c>
      <c r="BT174" s="395">
        <f ca="1">IF(SUM($G174:BS174)=$B174,0,IF(BV175&gt;0%,$B174,0%))</f>
        <v>0</v>
      </c>
      <c r="BU174" s="395">
        <f ca="1">IF(SUM($G174:BT174)=$B174,0,IF(BW175&gt;0%,$B174,0%))</f>
        <v>0</v>
      </c>
      <c r="BV174" s="395">
        <f ca="1">IF(SUM($G174:BU174)=$B174,0,IF(BX175&gt;0%,$B174,0%))</f>
        <v>0</v>
      </c>
      <c r="BW174" s="395">
        <f ca="1">IF(SUM($G174:BV174)=$B174,0,IF(BY175&gt;0%,$B174,0%))</f>
        <v>0</v>
      </c>
      <c r="BX174" s="395">
        <f ca="1">IF(SUM($G174:BW174)=$B174,0,IF(BZ175&gt;0%,$B174,0%))</f>
        <v>0</v>
      </c>
      <c r="BY174" s="395">
        <f ca="1">IF(SUM($G174:BX174)=$B174,0,IF(CA175&gt;0%,$B174,0%))</f>
        <v>0</v>
      </c>
      <c r="BZ174" s="395">
        <f ca="1">IF(SUM($G174:BY174)=$B174,0,IF(CB175&gt;0%,$B174,0%))</f>
        <v>0</v>
      </c>
      <c r="CA174" s="395">
        <f ca="1">IF(SUM($G174:BZ174)=$B174,0,IF(CC175&gt;0%,$B174,0%))</f>
        <v>0</v>
      </c>
      <c r="CB174" s="395">
        <f ca="1">IF(SUM($G174:CA174)=$B174,0,IF(CD175&gt;0%,$B174,0%))</f>
        <v>0</v>
      </c>
      <c r="CC174" s="395">
        <f ca="1">IF(SUM($G174:CB174)=$B174,0,IF(CE175&gt;0%,$B174,0%))</f>
        <v>0</v>
      </c>
      <c r="CD174" s="395">
        <f ca="1">IF(SUM($G174:CC174)=$B174,0,IF(CF175&gt;0%,$B174,0%))</f>
        <v>0</v>
      </c>
      <c r="CE174" s="395">
        <f ca="1">IF(SUM($G174:CD174)=$B174,0,IF(CG175&gt;0%,$B174,0%))</f>
        <v>0</v>
      </c>
      <c r="CF174" s="395">
        <f ca="1">IF(SUM($G174:CE174)=$B174,0,IF(CH175&gt;0%,$B174,0%))</f>
        <v>0</v>
      </c>
      <c r="CG174" s="395">
        <f ca="1">IF(SUM($G174:CF174)=$B174,0,IF(CI175&gt;0%,$B174,0%))</f>
        <v>0</v>
      </c>
      <c r="CH174" s="395">
        <f ca="1">IF(SUM($G174:CG174)=$B174,0,IF(CJ175&gt;0%,$B174,0%))</f>
        <v>0</v>
      </c>
      <c r="CI174" s="395">
        <f ca="1">IF(SUM($G174:CH174)=$B174,0,IF(CK175&gt;0%,$B174,0%))</f>
        <v>0</v>
      </c>
      <c r="CJ174" s="395">
        <f ca="1">IF(SUM($G174:CI174)=$B174,0,IF(CL175&gt;0%,$B174,0%))</f>
        <v>0</v>
      </c>
      <c r="CK174" s="395">
        <f ca="1">IF(SUM($G174:CJ174)=$B174,0,IF(CM175&gt;0%,$B174,0%))</f>
        <v>0</v>
      </c>
      <c r="CL174" s="395">
        <f ca="1">IF(SUM($G174:CK174)=$B174,0,IF(CN175&gt;0%,$B174,0%))</f>
        <v>0</v>
      </c>
      <c r="CM174" s="395">
        <f ca="1">IF(SUM($G174:CL174)=$B174,0,IF(CO175&gt;0%,$B174,0%))</f>
        <v>0</v>
      </c>
      <c r="CN174" s="395">
        <f ca="1">IF(SUM($G174:CM174)=$B174,0,IF(CP175&gt;0%,$B174,0%))</f>
        <v>0</v>
      </c>
      <c r="CO174" s="395">
        <f ca="1">IF(SUM($G174:CN174)=$B174,0,IF(CQ175&gt;0%,$B174,0%))</f>
        <v>0</v>
      </c>
      <c r="CP174" s="395">
        <f ca="1">IF(SUM($G174:CO174)=$B174,0,IF(CR175&gt;0%,$B174,0%))</f>
        <v>0</v>
      </c>
      <c r="CQ174" s="395">
        <f ca="1">IF(SUM($G174:CP174)=$B174,0,IF(CS175&gt;0%,$B174,0%))</f>
        <v>0</v>
      </c>
      <c r="CR174" s="395">
        <f ca="1">IF(SUM($G174:CQ174)=$B174,0,IF(CT175&gt;0%,$B174,0%))</f>
        <v>0</v>
      </c>
      <c r="CS174" s="395">
        <f ca="1">IF(SUM($G174:CR174)=$B174,0,IF(CU175&gt;0%,$B174,0%))</f>
        <v>0</v>
      </c>
      <c r="CT174" s="395">
        <f ca="1">IF(SUM($G174:CS174)=$B174,0,IF(CV175&gt;0%,$B174,0%))</f>
        <v>0</v>
      </c>
      <c r="CU174" s="395">
        <f ca="1">IF(SUM($G174:CT174)=$B174,0,IF(CW175&gt;0%,$B174,0%))</f>
        <v>0</v>
      </c>
      <c r="CV174" s="395">
        <f ca="1">IF(SUM($G174:CU174)=$B174,0,IF(CX175&gt;0%,$B174,0%))</f>
        <v>0</v>
      </c>
      <c r="CW174" s="395">
        <f ca="1">IF(SUM($G174:CV174)=$B174,0,IF(CY175&gt;0%,$B174,0%))</f>
        <v>0</v>
      </c>
      <c r="CX174" s="395">
        <f ca="1">IF(SUM($G174:CW174)=$B174,0,IF(CZ175&gt;0%,$B174,0%))</f>
        <v>0</v>
      </c>
      <c r="CY174" s="395">
        <f ca="1">IF(SUM($G174:CX174)=$B174,0,IF(DA175&gt;0%,$B174,0%))</f>
        <v>0</v>
      </c>
      <c r="CZ174" s="395">
        <f ca="1">IF(SUM($G174:CY174)=$B174,0,IF(DB175&gt;0%,$B174,0%))</f>
        <v>0</v>
      </c>
      <c r="DA174" s="395">
        <f ca="1">IF(SUM($G174:CZ174)=$B174,0,IF(DC175&gt;0%,$B174,0%))</f>
        <v>0</v>
      </c>
      <c r="DB174" s="395">
        <f ca="1">IF(SUM($G174:DA174)=$B174,0,IF(DD175&gt;0%,$B174,0%))</f>
        <v>0</v>
      </c>
      <c r="DC174" s="395">
        <f ca="1">IF(SUM($G174:DB174)=$B174,0,IF(DE175&gt;0%,$B174,0%))</f>
        <v>0</v>
      </c>
      <c r="DD174" s="395">
        <f ca="1">IF(SUM($G174:DC174)=$B174,0,IF(DF175&gt;0%,$B174,0%))</f>
        <v>0</v>
      </c>
      <c r="DE174" s="395">
        <f ca="1">IF(SUM($G174:DD174)=$B174,0,IF(DG175&gt;0%,$B174,0%))</f>
        <v>0</v>
      </c>
      <c r="DF174" s="395">
        <f ca="1">IF(SUM($G174:DE174)=$B174,0,IF(DH175&gt;0%,$B174,0%))</f>
        <v>0</v>
      </c>
      <c r="DG174" s="395">
        <f ca="1">IF(SUM($G174:DF174)=$B174,0,IF(DI175&gt;0%,$B174,0%))</f>
        <v>0</v>
      </c>
      <c r="DH174" s="395">
        <f ca="1">IF(SUM($G174:DG174)=$B174,0,IF(DJ175&gt;0%,$B174,0%))</f>
        <v>0</v>
      </c>
      <c r="DI174" s="395">
        <f ca="1">IF(SUM($G174:DH174)=$B174,0,IF(DK175&gt;0%,$B174,0%))</f>
        <v>0</v>
      </c>
      <c r="DJ174" s="395">
        <f ca="1">IF(SUM($G174:DI174)=$B174,0,IF(DL175&gt;0%,$B174,0%))</f>
        <v>0</v>
      </c>
      <c r="DK174" s="395">
        <f ca="1">IF(SUM($G174:DJ174)=$B174,0,IF(DM175&gt;0%,$B174,0%))</f>
        <v>0</v>
      </c>
      <c r="DL174" s="395">
        <f ca="1">IF(SUM($G174:DK174)=$B174,0,IF(DN175&gt;0%,$B174,0%))</f>
        <v>0</v>
      </c>
      <c r="DM174" s="395">
        <f ca="1">IF(SUM($G174:DL174)=$B174,0,IF(DO175&gt;0%,$B174,0%))</f>
        <v>0</v>
      </c>
      <c r="DN174" s="395">
        <f ca="1">IF(SUM($G174:DM174)=$B174,0,IF(DP175&gt;0%,$B174,0%))</f>
        <v>0</v>
      </c>
      <c r="DO174" s="395">
        <f ca="1">IF(SUM($G174:DN174)=$B174,0,IF(DQ175&gt;0%,$B174,0%))</f>
        <v>0</v>
      </c>
      <c r="DP174" s="395">
        <f ca="1">IF(SUM($G174:DO174)=$B174,0,IF(DR175&gt;0%,$B174,0%))</f>
        <v>0</v>
      </c>
      <c r="DQ174" s="395">
        <f ca="1">IF(SUM($G174:DP174)=$B174,0,IF(DS175&gt;0%,$B174,0%))</f>
        <v>0</v>
      </c>
      <c r="DR174" s="395">
        <f ca="1">IF(SUM($G174:DQ174)=$B174,0,IF(DT175&gt;0%,$B174,0%))</f>
        <v>0</v>
      </c>
      <c r="DS174" s="395">
        <f ca="1">IF(SUM($G174:DR174)=$B174,0,IF(DU175&gt;0%,$B174,0%))</f>
        <v>0</v>
      </c>
      <c r="DT174" s="395">
        <f ca="1">IF(SUM($G174:DS174)=$B174,0,IF(DV175&gt;0%,$B174,0%))</f>
        <v>0</v>
      </c>
      <c r="DU174" s="395">
        <f ca="1">IF(SUM($G174:DT174)=$B174,0,IF(DW175&gt;0%,$B174,0%))</f>
        <v>0</v>
      </c>
      <c r="DV174" s="395">
        <f ca="1">IF(SUM($G174:DU174)=$B174,0,IF(DX175&gt;0%,$B174,0%))</f>
        <v>0</v>
      </c>
      <c r="DW174" s="395">
        <f ca="1">IF(SUM($G174:DV174)=$B174,0,IF(DY175&gt;0%,$B174,0%))</f>
        <v>0</v>
      </c>
      <c r="DX174" s="395">
        <f ca="1">IF(SUM($G174:DW174)=$B174,0,IF(DZ175&gt;0%,$B174,0%))</f>
        <v>0</v>
      </c>
      <c r="DY174" s="395">
        <f ca="1">IF(SUM($G174:DX174)=$B174,0,IF(EA175&gt;0%,$B174,0%))</f>
        <v>0</v>
      </c>
      <c r="DZ174" s="395">
        <f ca="1">IF(SUM($G174:DY174)=$B174,0,IF(EB175&gt;0%,$B174,0%))</f>
        <v>0</v>
      </c>
      <c r="EA174" s="395">
        <f ca="1">IF(SUM($G174:DZ174)=$B174,0,IF(EC175&gt;0%,$B174,0%))</f>
        <v>0</v>
      </c>
      <c r="EB174" s="395">
        <f ca="1">IF(SUM($G174:EA174)=$B174,0,IF(ED175&gt;0%,$B174,0%))</f>
        <v>0</v>
      </c>
      <c r="EC174" s="395">
        <f ca="1">IF(SUM($G174:EB174)=$B174,0,IF(EE175&gt;0%,$B174,0%))</f>
        <v>0</v>
      </c>
      <c r="ED174" s="395">
        <f ca="1">IF(SUM($G174:EC174)=$B174,0,IF(EF175&gt;0%,$B174,0%))</f>
        <v>0</v>
      </c>
      <c r="EE174" s="395">
        <f ca="1">IF(SUM($G174:ED174)=$B174,0,IF(EG175&gt;0%,$B174,0%))</f>
        <v>0</v>
      </c>
      <c r="EF174" s="395">
        <f ca="1">IF(SUM($G174:EE174)=$B174,0,IF(EH175&gt;0%,$B174,0%))</f>
        <v>0</v>
      </c>
      <c r="EG174" s="395">
        <f ca="1">IF(SUM($G174:EF174)=$B174,0,IF(EI175&gt;0%,$B174,0%))</f>
        <v>0</v>
      </c>
      <c r="EH174" s="395">
        <f ca="1">IF(SUM($G174:EG174)=$B174,0,IF(EJ175&gt;0%,$B174,0%))</f>
        <v>0</v>
      </c>
      <c r="EI174" s="395">
        <f ca="1">IF(SUM($G174:EH174)=$B174,0,IF(EK175&gt;0%,$B174,0%))</f>
        <v>0</v>
      </c>
      <c r="EJ174" s="398"/>
      <c r="EK174" s="313"/>
    </row>
    <row r="175" spans="1:141" hidden="1" outlineLevel="2">
      <c r="A175" s="332"/>
      <c r="B175" s="549">
        <f>длительность!C191</f>
        <v>0.7</v>
      </c>
      <c r="C175" s="317"/>
      <c r="D175" s="317" t="s">
        <v>663</v>
      </c>
      <c r="E175" s="550">
        <f ca="1">ROUND(IF(F175=0,0,B175-F175),4)</f>
        <v>0</v>
      </c>
      <c r="F175" s="397">
        <f t="shared" ca="1" si="283"/>
        <v>0.7</v>
      </c>
      <c r="G175" s="395"/>
      <c r="H175" s="395"/>
      <c r="I175" s="395">
        <f ca="1">IF($E$345=0,0,IF(SUM($G175:H175)=$B175,0,IF(SUM($G345:H345)&gt;=$E345,($B175/$E345)*($E345-SUM($G345:G345)),($B175/$E345)*H345)))</f>
        <v>0</v>
      </c>
      <c r="J175" s="395">
        <f ca="1">IF($E$345=0,0,IF(SUM($G175:I175)=$B175,0,IF(SUM($G345:I345)&gt;=$E345,($B175/$E345)*($E345-SUM($G345:H345)),($B175/$E345)*I345)))</f>
        <v>0</v>
      </c>
      <c r="K175" s="395">
        <f ca="1">IF($E$345=0,0,IF(SUM($G175:J175)=$B175,0,IF(SUM($G345:J345)&gt;=$E345,($B175/$E345)*($E345-SUM($G345:I345)),($B175/$E345)*J345)))</f>
        <v>0</v>
      </c>
      <c r="L175" s="395">
        <f ca="1">IF($E$345=0,0,IF(SUM($G175:K175)=$B175,0,IF(SUM($G345:K345)&gt;=$E345,($B175/$E345)*($E345-SUM($G345:J345)),($B175/$E345)*K345)))</f>
        <v>0</v>
      </c>
      <c r="M175" s="395">
        <f ca="1">IF($E$345=0,0,IF(SUM($G175:L175)=$B175,0,IF(SUM($G345:L345)&gt;=$E345,($B175/$E345)*($E345-SUM($G345:K345)),($B175/$E345)*L345)))</f>
        <v>0</v>
      </c>
      <c r="N175" s="395">
        <f ca="1">IF($E$345=0,0,IF(SUM($G175:M175)=$B175,0,IF(SUM($G345:M345)&gt;=$E345,($B175/$E345)*($E345-SUM($G345:L345)),($B175/$E345)*M345)))</f>
        <v>0</v>
      </c>
      <c r="O175" s="395">
        <f ca="1">IF($E$345=0,0,IF(SUM($G175:N175)=$B175,0,IF(SUM($G345:N345)&gt;=$E345,($B175/$E345)*($E345-SUM($G345:M345)),($B175/$E345)*N345)))</f>
        <v>0</v>
      </c>
      <c r="P175" s="395">
        <f ca="1">IF($E$345=0,0,IF(SUM($G175:O175)=$B175,0,IF(SUM($G345:O345)&gt;=$E345,($B175/$E345)*($E345-SUM($G345:N345)),($B175/$E345)*O345)))</f>
        <v>0</v>
      </c>
      <c r="Q175" s="395">
        <f ca="1">IF($E$345=0,0,IF(SUM($G175:P175)=$B175,0,IF(SUM($G345:P345)&gt;=$E345,($B175/$E345)*($E345-SUM($G345:O345)),($B175/$E345)*P345)))</f>
        <v>0</v>
      </c>
      <c r="R175" s="395">
        <f ca="1">IF($E$345=0,0,IF(SUM($G175:Q175)=$B175,0,IF(SUM($G345:Q345)&gt;=$E345,($B175/$E345)*($E345-SUM($G345:P345)),($B175/$E345)*Q345)))</f>
        <v>0</v>
      </c>
      <c r="S175" s="395">
        <f ca="1">IF($E$345=0,0,IF(SUM($G175:R175)=$B175,0,IF(SUM($G345:R345)&gt;=$E345,($B175/$E345)*($E345-SUM($G345:Q345)),($B175/$E345)*R345)))</f>
        <v>0</v>
      </c>
      <c r="T175" s="395">
        <f ca="1">IF($E$345=0,0,IF(SUM($G175:S175)=$B175,0,IF(SUM($G345:S345)&gt;=$E345,($B175/$E345)*($E345-SUM($G345:R345)),($B175/$E345)*S345)))</f>
        <v>0</v>
      </c>
      <c r="U175" s="395">
        <f ca="1">IF($E$345=0,0,IF(SUM($G175:T175)=$B175,0,IF(SUM($G345:T345)&gt;=$E345,($B175/$E345)*($E345-SUM($G345:S345)),($B175/$E345)*T345)))</f>
        <v>0</v>
      </c>
      <c r="V175" s="395">
        <f ca="1">IF($E$345=0,0,IF(SUM($G175:U175)=$B175,0,IF(SUM($G345:U345)&gt;=$E345,($B175/$E345)*($E345-SUM($G345:T345)),($B175/$E345)*U345)))</f>
        <v>0</v>
      </c>
      <c r="W175" s="395">
        <f ca="1">IF($E$345=0,0,IF(SUM($G175:V175)=$B175,0,IF(SUM($G345:V345)&gt;=$E345,($B175/$E345)*($E345-SUM($G345:U345)),($B175/$E345)*V345)))</f>
        <v>0</v>
      </c>
      <c r="X175" s="395">
        <f ca="1">IF($E$345=0,0,IF(SUM($G175:W175)=$B175,0,IF(SUM($G345:W345)&gt;=$E345,($B175/$E345)*($E345-SUM($G345:V345)),($B175/$E345)*W345)))</f>
        <v>0</v>
      </c>
      <c r="Y175" s="395">
        <f ca="1">IF($E$345=0,0,IF(SUM($G175:X175)=$B175,0,IF(SUM($G345:X345)&gt;=$E345,($B175/$E345)*($E345-SUM($G345:W345)),($B175/$E345)*X345)))</f>
        <v>0</v>
      </c>
      <c r="Z175" s="395">
        <f ca="1">IF($E$345=0,0,IF(SUM($G175:Y175)=$B175,0,IF(SUM($G345:Y345)&gt;=$E345,($B175/$E345)*($E345-SUM($G345:X345)),($B175/$E345)*Y345)))</f>
        <v>0</v>
      </c>
      <c r="AA175" s="395">
        <f ca="1">IF($E$345=0,0,IF(SUM($G175:Z175)=$B175,0,IF(SUM($G345:Z345)&gt;=$E345,($B175/$E345)*($E345-SUM($G345:Y345)),($B175/$E345)*Z345)))</f>
        <v>0</v>
      </c>
      <c r="AB175" s="395">
        <f ca="1">IF($E$345=0,0,IF(SUM($G175:AA175)=$B175,0,IF(SUM($G345:AA345)&gt;=$E345,($B175/$E345)*($E345-SUM($G345:Z345)),($B175/$E345)*AA345)))</f>
        <v>0</v>
      </c>
      <c r="AC175" s="395">
        <f ca="1">IF($E$345=0,0,IF(SUM($G175:AB175)=$B175,0,IF(SUM($G345:AB345)&gt;=$E345,($B175/$E345)*($E345-SUM($G345:AA345)),($B175/$E345)*AB345)))</f>
        <v>0</v>
      </c>
      <c r="AD175" s="395">
        <f ca="1">IF($E$345=0,0,IF(SUM($G175:AC175)=$B175,0,IF(SUM($G345:AC345)&gt;=$E345,($B175/$E345)*($E345-SUM($G345:AB345)),($B175/$E345)*AC345)))</f>
        <v>0</v>
      </c>
      <c r="AE175" s="395">
        <f ca="1">IF($E$345=0,0,IF(SUM($G175:AD175)=$B175,0,IF(SUM($G345:AD345)&gt;=$E345,($B175/$E345)*($E345-SUM($G345:AC345)),($B175/$E345)*AD345)))</f>
        <v>0</v>
      </c>
      <c r="AF175" s="395">
        <f ca="1">IF($E$345=0,0,IF(SUM($G175:AE175)=$B175,0,IF(SUM($G345:AE345)&gt;=$E345,($B175/$E345)*($E345-SUM($G345:AD345)),($B175/$E345)*AE345)))</f>
        <v>0</v>
      </c>
      <c r="AG175" s="395">
        <f ca="1">IF($E$345=0,0,IF(SUM($G175:AF175)=$B175,0,IF(SUM($G345:AF345)&gt;=$E345,($B175/$E345)*($E345-SUM($G345:AE345)),($B175/$E345)*AF345)))</f>
        <v>0</v>
      </c>
      <c r="AH175" s="395">
        <f ca="1">IF($E$345=0,0,IF(SUM($G175:AG175)=$B175,0,IF(SUM($G345:AG345)&gt;=$E345,($B175/$E345)*($E345-SUM($G345:AF345)),($B175/$E345)*AG345)))</f>
        <v>0</v>
      </c>
      <c r="AI175" s="395">
        <f ca="1">IF($E$345=0,0,IF(SUM($G175:AH175)=$B175,0,IF(SUM($G345:AH345)&gt;=$E345,($B175/$E345)*($E345-SUM($G345:AG345)),($B175/$E345)*AH345)))</f>
        <v>0</v>
      </c>
      <c r="AJ175" s="395">
        <f ca="1">IF($E$345=0,0,IF(SUM($G175:AI175)=$B175,0,IF(SUM($G345:AI345)&gt;=$E345,($B175/$E345)*($E345-SUM($G345:AH345)),($B175/$E345)*AI345)))</f>
        <v>0</v>
      </c>
      <c r="AK175" s="395">
        <f ca="1">IF($E$345=0,0,IF(SUM($G175:AJ175)=$B175,0,IF(SUM($G345:AJ345)&gt;=$E345,($B175/$E345)*($E345-SUM($G345:AI345)),($B175/$E345)*AJ345)))</f>
        <v>0</v>
      </c>
      <c r="AL175" s="395">
        <f ca="1">IF($E$345=0,0,IF(SUM($G175:AK175)=$B175,0,IF(SUM($G345:AK345)&gt;=$E345,($B175/$E345)*($E345-SUM($G345:AJ345)),($B175/$E345)*AK345)))</f>
        <v>0</v>
      </c>
      <c r="AM175" s="395">
        <f ca="1">IF($E$345=0,0,IF(SUM($G175:AL175)=$B175,0,IF(SUM($G345:AL345)&gt;=$E345,($B175/$E345)*($E345-SUM($G345:AK345)),($B175/$E345)*AL345)))</f>
        <v>0</v>
      </c>
      <c r="AN175" s="395">
        <f ca="1">IF($E$345=0,0,IF(SUM($G175:AM175)=$B175,0,IF(SUM($G345:AM345)&gt;=$E345,($B175/$E345)*($E345-SUM($G345:AL345)),($B175/$E345)*AM345)))</f>
        <v>0</v>
      </c>
      <c r="AO175" s="395">
        <f ca="1">IF($E$345=0,0,IF(SUM($G175:AN175)=$B175,0,IF(SUM($G345:AN345)&gt;=$E345,($B175/$E345)*($E345-SUM($G345:AM345)),($B175/$E345)*AN345)))</f>
        <v>0</v>
      </c>
      <c r="AP175" s="395">
        <f ca="1">IF($E$345=0,0,IF(SUM($G175:AO175)=$B175,0,IF(SUM($G345:AO345)&gt;=$E345,($B175/$E345)*($E345-SUM($G345:AN345)),($B175/$E345)*AO345)))</f>
        <v>0</v>
      </c>
      <c r="AQ175" s="395">
        <f ca="1">IF($E$345=0,0,IF(SUM($G175:AP175)=$B175,0,IF(SUM($G345:AP345)&gt;=$E345,($B175/$E345)*($E345-SUM($G345:AO345)),($B175/$E345)*AP345)))</f>
        <v>0</v>
      </c>
      <c r="AR175" s="395">
        <f ca="1">IF($E$345=0,0,IF(SUM($G175:AQ175)=$B175,0,IF(SUM($G345:AQ345)&gt;=$E345,($B175/$E345)*($E345-SUM($G345:AP345)),($B175/$E345)*AQ345)))</f>
        <v>0</v>
      </c>
      <c r="AS175" s="395">
        <f ca="1">IF($E$345=0,0,IF(SUM($G175:AR175)=$B175,0,IF(SUM($G345:AR345)&gt;=$E345,($B175/$E345)*($E345-SUM($G345:AQ345)),($B175/$E345)*AR345)))</f>
        <v>0</v>
      </c>
      <c r="AT175" s="395">
        <f ca="1">IF($E$345=0,0,IF(SUM($G175:AS175)=$B175,0,IF(SUM($G345:AS345)&gt;=$E345,($B175/$E345)*($E345-SUM($G345:AR345)),($B175/$E345)*AS345)))</f>
        <v>0</v>
      </c>
      <c r="AU175" s="395">
        <f ca="1">IF($E$345=0,0,IF(SUM($G175:AT175)=$B175,0,IF(SUM($G345:AT345)&gt;=$E345,($B175/$E345)*($E345-SUM($G345:AS345)),($B175/$E345)*AT345)))</f>
        <v>0</v>
      </c>
      <c r="AV175" s="395">
        <f ca="1">IF($E$345=0,0,IF(SUM($G175:AU175)=$B175,0,IF(SUM($G345:AU345)&gt;=$E345,($B175/$E345)*($E345-SUM($G345:AT345)),($B175/$E345)*AU345)))</f>
        <v>0</v>
      </c>
      <c r="AW175" s="395">
        <f ca="1">IF($E$345=0,0,IF(SUM($G175:AV175)=$B175,0,IF(SUM($G345:AV345)&gt;=$E345,($B175/$E345)*($E345-SUM($G345:AU345)),($B175/$E345)*AV345)))</f>
        <v>0</v>
      </c>
      <c r="AX175" s="395">
        <f ca="1">IF($E$345=0,0,IF(SUM($G175:AW175)=$B175,0,IF(SUM($G345:AW345)&gt;=$E345,($B175/$E345)*($E345-SUM($G345:AV345)),($B175/$E345)*AW345)))</f>
        <v>0</v>
      </c>
      <c r="AY175" s="395">
        <f ca="1">IF($E$345=0,0,IF(SUM($G175:AX175)=$B175,0,IF(SUM($G345:AX345)&gt;=$E345,($B175/$E345)*($E345-SUM($G345:AW345)),($B175/$E345)*AX345)))</f>
        <v>0</v>
      </c>
      <c r="AZ175" s="395">
        <f ca="1">IF($E$345=0,0,IF(SUM($G175:AY175)=$B175,0,IF(SUM($G345:AY345)&gt;=$E345,($B175/$E345)*($E345-SUM($G345:AX345)),($B175/$E345)*AY345)))</f>
        <v>0</v>
      </c>
      <c r="BA175" s="395">
        <f ca="1">IF($E$345=0,0,IF(SUM($G175:AZ175)=$B175,0,IF(SUM($G345:AZ345)&gt;=$E345,($B175/$E345)*($E345-SUM($G345:AY345)),($B175/$E345)*AZ345)))</f>
        <v>0</v>
      </c>
      <c r="BB175" s="395">
        <f ca="1">IF($E$345=0,0,IF(SUM($G175:BA175)=$B175,0,IF(SUM($G345:BA345)&gt;=$E345,($B175/$E345)*($E345-SUM($G345:AZ345)),($B175/$E345)*BA345)))</f>
        <v>0</v>
      </c>
      <c r="BC175" s="395">
        <f ca="1">IF($E$345=0,0,IF(SUM($G175:BB175)=$B175,0,IF(SUM($G345:BB345)&gt;=$E345,($B175/$E345)*($E345-SUM($G345:BA345)),($B175/$E345)*BB345)))</f>
        <v>0</v>
      </c>
      <c r="BD175" s="395">
        <f ca="1">IF($E$345=0,0,IF(SUM($G175:BC175)=$B175,0,IF(SUM($G345:BC345)&gt;=$E345,($B175/$E345)*($E345-SUM($G345:BB345)),($B175/$E345)*BC345)))</f>
        <v>0</v>
      </c>
      <c r="BE175" s="395">
        <f ca="1">IF($E$345=0,0,IF(SUM($G175:BD175)=$B175,0,IF(SUM($G345:BD345)&gt;=$E345,($B175/$E345)*($E345-SUM($G345:BC345)),($B175/$E345)*BD345)))</f>
        <v>0</v>
      </c>
      <c r="BF175" s="395">
        <f ca="1">IF($E$345=0,0,IF(SUM($G175:BE175)=$B175,0,IF(SUM($G345:BE345)&gt;=$E345,($B175/$E345)*($E345-SUM($G345:BD345)),($B175/$E345)*BE345)))</f>
        <v>0.33016666666666677</v>
      </c>
      <c r="BG175" s="395">
        <f ca="1">IF($E$345=0,0,IF(SUM($G175:BF175)=$B175,0,IF(SUM($G345:BF345)&gt;=$E345,($B175/$E345)*($E345-SUM($G345:BE345)),($B175/$E345)*BF345)))</f>
        <v>0.35</v>
      </c>
      <c r="BH175" s="395">
        <f ca="1">IF($E$345=0,0,IF(SUM($G175:BG175)=$B175,0,IF(SUM($G345:BG345)&gt;=$E345,($B175/$E345)*($E345-SUM($G345:BF345)),($B175/$E345)*BG345)))</f>
        <v>1.9833333333333199E-2</v>
      </c>
      <c r="BI175" s="395">
        <f ca="1">IF($E$345=0,0,IF(SUM($G175:BH175)=$B175,0,IF(SUM($G345:BH345)&gt;=$E345,($B175/$E345)*($E345-SUM($G345:BG345)),($B175/$E345)*BH345)))</f>
        <v>0</v>
      </c>
      <c r="BJ175" s="395">
        <f ca="1">IF($E$345=0,0,IF(SUM($G175:BI175)=$B175,0,IF(SUM($G345:BI345)&gt;=$E345,($B175/$E345)*($E345-SUM($G345:BH345)),($B175/$E345)*BI345)))</f>
        <v>0</v>
      </c>
      <c r="BK175" s="395">
        <f ca="1">IF($E$345=0,0,IF(SUM($G175:BJ175)=$B175,0,IF(SUM($G345:BJ345)&gt;=$E345,($B175/$E345)*($E345-SUM($G345:BI345)),($B175/$E345)*BJ345)))</f>
        <v>0</v>
      </c>
      <c r="BL175" s="395">
        <f ca="1">IF($E$345=0,0,IF(SUM($G175:BK175)=$B175,0,IF(SUM($G345:BK345)&gt;=$E345,($B175/$E345)*($E345-SUM($G345:BJ345)),($B175/$E345)*BK345)))</f>
        <v>0</v>
      </c>
      <c r="BM175" s="395">
        <f ca="1">IF($E$345=0,0,IF(SUM($G175:BL175)=$B175,0,IF(SUM($G345:BL345)&gt;=$E345,($B175/$E345)*($E345-SUM($G345:BK345)),($B175/$E345)*BL345)))</f>
        <v>0</v>
      </c>
      <c r="BN175" s="395">
        <f ca="1">IF($E$345=0,0,IF(SUM($G175:BM175)=$B175,0,IF(SUM($G345:BM345)&gt;=$E345,($B175/$E345)*($E345-SUM($G345:BL345)),($B175/$E345)*BM345)))</f>
        <v>0</v>
      </c>
      <c r="BO175" s="395">
        <f ca="1">IF($E$345=0,0,IF(SUM($G175:BN175)=$B175,0,IF(SUM($G345:BN345)&gt;=$E345,($B175/$E345)*($E345-SUM($G345:BM345)),($B175/$E345)*BN345)))</f>
        <v>0</v>
      </c>
      <c r="BP175" s="395">
        <f ca="1">IF($E$345=0,0,IF(SUM($G175:BO175)=$B175,0,IF(SUM($G345:BO345)&gt;=$E345,($B175/$E345)*($E345-SUM($G345:BN345)),($B175/$E345)*BO345)))</f>
        <v>0</v>
      </c>
      <c r="BQ175" s="395">
        <f ca="1">IF($E$345=0,0,IF(SUM($G175:BP175)=$B175,0,IF(SUM($G345:BP345)&gt;=$E345,($B175/$E345)*($E345-SUM($G345:BO345)),($B175/$E345)*BP345)))</f>
        <v>0</v>
      </c>
      <c r="BR175" s="395">
        <f ca="1">IF($E$345=0,0,IF(SUM($G175:BQ175)=$B175,0,IF(SUM($G345:BQ345)&gt;=$E345,($B175/$E345)*($E345-SUM($G345:BP345)),($B175/$E345)*BQ345)))</f>
        <v>0</v>
      </c>
      <c r="BS175" s="395">
        <f ca="1">IF($E$345=0,0,IF(SUM($G175:BR175)=$B175,0,IF(SUM($G345:BR345)&gt;=$E345,($B175/$E345)*($E345-SUM($G345:BQ345)),($B175/$E345)*BR345)))</f>
        <v>0</v>
      </c>
      <c r="BT175" s="395">
        <f ca="1">IF($E$345=0,0,IF(SUM($G175:BS175)=$B175,0,IF(SUM($G345:BS345)&gt;=$E345,($B175/$E345)*($E345-SUM($G345:BR345)),($B175/$E345)*BS345)))</f>
        <v>0</v>
      </c>
      <c r="BU175" s="395">
        <f ca="1">IF($E$345=0,0,IF(SUM($G175:BT175)=$B175,0,IF(SUM($G345:BT345)&gt;=$E345,($B175/$E345)*($E345-SUM($G345:BS345)),($B175/$E345)*BT345)))</f>
        <v>0</v>
      </c>
      <c r="BV175" s="395">
        <f ca="1">IF($E$345=0,0,IF(SUM($G175:BU175)=$B175,0,IF(SUM($G345:BU345)&gt;=$E345,($B175/$E345)*($E345-SUM($G345:BT345)),($B175/$E345)*BU345)))</f>
        <v>0</v>
      </c>
      <c r="BW175" s="395">
        <f ca="1">IF($E$345=0,0,IF(SUM($G175:BV175)=$B175,0,IF(SUM($G345:BV345)&gt;=$E345,($B175/$E345)*($E345-SUM($G345:BU345)),($B175/$E345)*BV345)))</f>
        <v>0</v>
      </c>
      <c r="BX175" s="395">
        <f ca="1">IF($E$345=0,0,IF(SUM($G175:BW175)=$B175,0,IF(SUM($G345:BW345)&gt;=$E345,($B175/$E345)*($E345-SUM($G345:BV345)),($B175/$E345)*BW345)))</f>
        <v>0</v>
      </c>
      <c r="BY175" s="395">
        <f ca="1">IF($E$345=0,0,IF(SUM($G175:BX175)=$B175,0,IF(SUM($G345:BX345)&gt;=$E345,($B175/$E345)*($E345-SUM($G345:BW345)),($B175/$E345)*BX345)))</f>
        <v>0</v>
      </c>
      <c r="BZ175" s="395">
        <f ca="1">IF($E$345=0,0,IF(SUM($G175:BY175)=$B175,0,IF(SUM($G345:BY345)&gt;=$E345,($B175/$E345)*($E345-SUM($G345:BX345)),($B175/$E345)*BY345)))</f>
        <v>0</v>
      </c>
      <c r="CA175" s="395">
        <f ca="1">IF($E$345=0,0,IF(SUM($G175:BZ175)=$B175,0,IF(SUM($G345:BZ345)&gt;=$E345,($B175/$E345)*($E345-SUM($G345:BY345)),($B175/$E345)*BZ345)))</f>
        <v>0</v>
      </c>
      <c r="CB175" s="395">
        <f ca="1">IF($E$345=0,0,IF(SUM($G175:CA175)=$B175,0,IF(SUM($G345:CA345)&gt;=$E345,($B175/$E345)*($E345-SUM($G345:BZ345)),($B175/$E345)*CA345)))</f>
        <v>0</v>
      </c>
      <c r="CC175" s="395">
        <f ca="1">IF($E$345=0,0,IF(SUM($G175:CB175)=$B175,0,IF(SUM($G345:CB345)&gt;=$E345,($B175/$E345)*($E345-SUM($G345:CA345)),($B175/$E345)*CB345)))</f>
        <v>0</v>
      </c>
      <c r="CD175" s="395">
        <f ca="1">IF($E$345=0,0,IF(SUM($G175:CC175)=$B175,0,IF(SUM($G345:CC345)&gt;=$E345,($B175/$E345)*($E345-SUM($G345:CB345)),($B175/$E345)*CC345)))</f>
        <v>0</v>
      </c>
      <c r="CE175" s="395">
        <f ca="1">IF($E$345=0,0,IF(SUM($G175:CD175)=$B175,0,IF(SUM($G345:CD345)&gt;=$E345,($B175/$E345)*($E345-SUM($G345:CC345)),($B175/$E345)*CD345)))</f>
        <v>0</v>
      </c>
      <c r="CF175" s="395">
        <f ca="1">IF($E$345=0,0,IF(SUM($G175:CE175)=$B175,0,IF(SUM($G345:CE345)&gt;=$E345,($B175/$E345)*($E345-SUM($G345:CD345)),($B175/$E345)*CE345)))</f>
        <v>0</v>
      </c>
      <c r="CG175" s="395">
        <f ca="1">IF($E$345=0,0,IF(SUM($G175:CF175)=$B175,0,IF(SUM($G345:CF345)&gt;=$E345,($B175/$E345)*($E345-SUM($G345:CE345)),($B175/$E345)*CF345)))</f>
        <v>0</v>
      </c>
      <c r="CH175" s="395">
        <f ca="1">IF($E$345=0,0,IF(SUM($G175:CG175)=$B175,0,IF(SUM($G345:CG345)&gt;=$E345,($B175/$E345)*($E345-SUM($G345:CF345)),($B175/$E345)*CG345)))</f>
        <v>0</v>
      </c>
      <c r="CI175" s="395">
        <f ca="1">IF($E$345=0,0,IF(SUM($G175:CH175)=$B175,0,IF(SUM($G345:CH345)&gt;=$E345,($B175/$E345)*($E345-SUM($G345:CG345)),($B175/$E345)*CH345)))</f>
        <v>0</v>
      </c>
      <c r="CJ175" s="395">
        <f ca="1">IF($E$345=0,0,IF(SUM($G175:CI175)=$B175,0,IF(SUM($G345:CI345)&gt;=$E345,($B175/$E345)*($E345-SUM($G345:CH345)),($B175/$E345)*CI345)))</f>
        <v>0</v>
      </c>
      <c r="CK175" s="395">
        <f ca="1">IF($E$345=0,0,IF(SUM($G175:CJ175)=$B175,0,IF(SUM($G345:CJ345)&gt;=$E345,($B175/$E345)*($E345-SUM($G345:CI345)),($B175/$E345)*CJ345)))</f>
        <v>0</v>
      </c>
      <c r="CL175" s="395">
        <f ca="1">IF($E$345=0,0,IF(SUM($G175:CK175)=$B175,0,IF(SUM($G345:CK345)&gt;=$E345,($B175/$E345)*($E345-SUM($G345:CJ345)),($B175/$E345)*CK345)))</f>
        <v>0</v>
      </c>
      <c r="CM175" s="395">
        <f ca="1">IF($E$345=0,0,IF(SUM($G175:CL175)=$B175,0,IF(SUM($G345:CL345)&gt;=$E345,($B175/$E345)*($E345-SUM($G345:CK345)),($B175/$E345)*CL345)))</f>
        <v>0</v>
      </c>
      <c r="CN175" s="395">
        <f ca="1">IF($E$345=0,0,IF(SUM($G175:CM175)=$B175,0,IF(SUM($G345:CM345)&gt;=$E345,($B175/$E345)*($E345-SUM($G345:CL345)),($B175/$E345)*CM345)))</f>
        <v>0</v>
      </c>
      <c r="CO175" s="395">
        <f ca="1">IF($E$345=0,0,IF(SUM($G175:CN175)=$B175,0,IF(SUM($G345:CN345)&gt;=$E345,($B175/$E345)*($E345-SUM($G345:CM345)),($B175/$E345)*CN345)))</f>
        <v>0</v>
      </c>
      <c r="CP175" s="395">
        <f ca="1">IF($E$345=0,0,IF(SUM($G175:CO175)=$B175,0,IF(SUM($G345:CO345)&gt;=$E345,($B175/$E345)*($E345-SUM($G345:CN345)),($B175/$E345)*CO345)))</f>
        <v>0</v>
      </c>
      <c r="CQ175" s="395">
        <f ca="1">IF($E$345=0,0,IF(SUM($G175:CP175)=$B175,0,IF(SUM($G345:CP345)&gt;=$E345,($B175/$E345)*($E345-SUM($G345:CO345)),($B175/$E345)*CP345)))</f>
        <v>0</v>
      </c>
      <c r="CR175" s="395">
        <f ca="1">IF($E$345=0,0,IF(SUM($G175:CQ175)=$B175,0,IF(SUM($G345:CQ345)&gt;=$E345,($B175/$E345)*($E345-SUM($G345:CP345)),($B175/$E345)*CQ345)))</f>
        <v>0</v>
      </c>
      <c r="CS175" s="395">
        <f ca="1">IF($E$345=0,0,IF(SUM($G175:CR175)=$B175,0,IF(SUM($G345:CR345)&gt;=$E345,($B175/$E345)*($E345-SUM($G345:CQ345)),($B175/$E345)*CR345)))</f>
        <v>0</v>
      </c>
      <c r="CT175" s="395">
        <f ca="1">IF($E$345=0,0,IF(SUM($G175:CS175)=$B175,0,IF(SUM($G345:CS345)&gt;=$E345,($B175/$E345)*($E345-SUM($G345:CR345)),($B175/$E345)*CS345)))</f>
        <v>0</v>
      </c>
      <c r="CU175" s="395">
        <f ca="1">IF($E$345=0,0,IF(SUM($G175:CT175)=$B175,0,IF(SUM($G345:CT345)&gt;=$E345,($B175/$E345)*($E345-SUM($G345:CS345)),($B175/$E345)*CT345)))</f>
        <v>0</v>
      </c>
      <c r="CV175" s="395">
        <f ca="1">IF($E$345=0,0,IF(SUM($G175:CU175)=$B175,0,IF(SUM($G345:CU345)&gt;=$E345,($B175/$E345)*($E345-SUM($G345:CT345)),($B175/$E345)*CU345)))</f>
        <v>0</v>
      </c>
      <c r="CW175" s="395">
        <f ca="1">IF($E$345=0,0,IF(SUM($G175:CV175)=$B175,0,IF(SUM($G345:CV345)&gt;=$E345,($B175/$E345)*($E345-SUM($G345:CU345)),($B175/$E345)*CV345)))</f>
        <v>0</v>
      </c>
      <c r="CX175" s="395">
        <f ca="1">IF($E$345=0,0,IF(SUM($G175:CW175)=$B175,0,IF(SUM($G345:CW345)&gt;=$E345,($B175/$E345)*($E345-SUM($G345:CV345)),($B175/$E345)*CW345)))</f>
        <v>0</v>
      </c>
      <c r="CY175" s="395">
        <f ca="1">IF($E$345=0,0,IF(SUM($G175:CX175)=$B175,0,IF(SUM($G345:CX345)&gt;=$E345,($B175/$E345)*($E345-SUM($G345:CW345)),($B175/$E345)*CX345)))</f>
        <v>0</v>
      </c>
      <c r="CZ175" s="395">
        <f ca="1">IF($E$345=0,0,IF(SUM($G175:CY175)=$B175,0,IF(SUM($G345:CY345)&gt;=$E345,($B175/$E345)*($E345-SUM($G345:CX345)),($B175/$E345)*CY345)))</f>
        <v>0</v>
      </c>
      <c r="DA175" s="395">
        <f ca="1">IF($E$345=0,0,IF(SUM($G175:CZ175)=$B175,0,IF(SUM($G345:CZ345)&gt;=$E345,($B175/$E345)*($E345-SUM($G345:CY345)),($B175/$E345)*CZ345)))</f>
        <v>0</v>
      </c>
      <c r="DB175" s="395">
        <f ca="1">IF($E$345=0,0,IF(SUM($G175:DA175)=$B175,0,IF(SUM($G345:DA345)&gt;=$E345,($B175/$E345)*($E345-SUM($G345:CZ345)),($B175/$E345)*DA345)))</f>
        <v>0</v>
      </c>
      <c r="DC175" s="395">
        <f ca="1">IF($E$345=0,0,IF(SUM($G175:DB175)=$B175,0,IF(SUM($G345:DB345)&gt;=$E345,($B175/$E345)*($E345-SUM($G345:DA345)),($B175/$E345)*DB345)))</f>
        <v>0</v>
      </c>
      <c r="DD175" s="395">
        <f ca="1">IF($E$345=0,0,IF(SUM($G175:DC175)=$B175,0,IF(SUM($G345:DC345)&gt;=$E345,($B175/$E345)*($E345-SUM($G345:DB345)),($B175/$E345)*DC345)))</f>
        <v>0</v>
      </c>
      <c r="DE175" s="395">
        <f ca="1">IF($E$345=0,0,IF(SUM($G175:DD175)=$B175,0,IF(SUM($G345:DD345)&gt;=$E345,($B175/$E345)*($E345-SUM($G345:DC345)),($B175/$E345)*DD345)))</f>
        <v>0</v>
      </c>
      <c r="DF175" s="395">
        <f ca="1">IF($E$345=0,0,IF(SUM($G175:DE175)=$B175,0,IF(SUM($G345:DE345)&gt;=$E345,($B175/$E345)*($E345-SUM($G345:DD345)),($B175/$E345)*DE345)))</f>
        <v>0</v>
      </c>
      <c r="DG175" s="395">
        <f ca="1">IF($E$345=0,0,IF(SUM($G175:DF175)=$B175,0,IF(SUM($G345:DF345)&gt;=$E345,($B175/$E345)*($E345-SUM($G345:DE345)),($B175/$E345)*DF345)))</f>
        <v>0</v>
      </c>
      <c r="DH175" s="395">
        <f ca="1">IF($E$345=0,0,IF(SUM($G175:DG175)=$B175,0,IF(SUM($G345:DG345)&gt;=$E345,($B175/$E345)*($E345-SUM($G345:DF345)),($B175/$E345)*DG345)))</f>
        <v>0</v>
      </c>
      <c r="DI175" s="395">
        <f ca="1">IF($E$345=0,0,IF(SUM($G175:DH175)=$B175,0,IF(SUM($G345:DH345)&gt;=$E345,($B175/$E345)*($E345-SUM($G345:DG345)),($B175/$E345)*DH345)))</f>
        <v>0</v>
      </c>
      <c r="DJ175" s="395">
        <f ca="1">IF($E$345=0,0,IF(SUM($G175:DI175)=$B175,0,IF(SUM($G345:DI345)&gt;=$E345,($B175/$E345)*($E345-SUM($G345:DH345)),($B175/$E345)*DI345)))</f>
        <v>0</v>
      </c>
      <c r="DK175" s="395">
        <f ca="1">IF($E$345=0,0,IF(SUM($G175:DJ175)=$B175,0,IF(SUM($G345:DJ345)&gt;=$E345,($B175/$E345)*($E345-SUM($G345:DI345)),($B175/$E345)*DJ345)))</f>
        <v>0</v>
      </c>
      <c r="DL175" s="395">
        <f ca="1">IF($E$345=0,0,IF(SUM($G175:DK175)=$B175,0,IF(SUM($G345:DK345)&gt;=$E345,($B175/$E345)*($E345-SUM($G345:DJ345)),($B175/$E345)*DK345)))</f>
        <v>0</v>
      </c>
      <c r="DM175" s="395">
        <f ca="1">IF($E$345=0,0,IF(SUM($G175:DL175)=$B175,0,IF(SUM($G345:DL345)&gt;=$E345,($B175/$E345)*($E345-SUM($G345:DK345)),($B175/$E345)*DL345)))</f>
        <v>0</v>
      </c>
      <c r="DN175" s="395">
        <f ca="1">IF($E$345=0,0,IF(SUM($G175:DM175)=$B175,0,IF(SUM($G345:DM345)&gt;=$E345,($B175/$E345)*($E345-SUM($G345:DL345)),($B175/$E345)*DM345)))</f>
        <v>0</v>
      </c>
      <c r="DO175" s="395">
        <f ca="1">IF($E$345=0,0,IF(SUM($G175:DN175)=$B175,0,IF(SUM($G345:DN345)&gt;=$E345,($B175/$E345)*($E345-SUM($G345:DM345)),($B175/$E345)*DN345)))</f>
        <v>0</v>
      </c>
      <c r="DP175" s="395">
        <f ca="1">IF($E$345=0,0,IF(SUM($G175:DO175)=$B175,0,IF(SUM($G345:DO345)&gt;=$E345,($B175/$E345)*($E345-SUM($G345:DN345)),($B175/$E345)*DO345)))</f>
        <v>0</v>
      </c>
      <c r="DQ175" s="395">
        <f ca="1">IF($E$345=0,0,IF(SUM($G175:DP175)=$B175,0,IF(SUM($G345:DP345)&gt;=$E345,($B175/$E345)*($E345-SUM($G345:DO345)),($B175/$E345)*DP345)))</f>
        <v>0</v>
      </c>
      <c r="DR175" s="395">
        <f ca="1">IF($E$345=0,0,IF(SUM($G175:DQ175)=$B175,0,IF(SUM($G345:DQ345)&gt;=$E345,($B175/$E345)*($E345-SUM($G345:DP345)),($B175/$E345)*DQ345)))</f>
        <v>0</v>
      </c>
      <c r="DS175" s="395">
        <f ca="1">IF($E$345=0,0,IF(SUM($G175:DR175)=$B175,0,IF(SUM($G345:DR345)&gt;=$E345,($B175/$E345)*($E345-SUM($G345:DQ345)),($B175/$E345)*DR345)))</f>
        <v>0</v>
      </c>
      <c r="DT175" s="395">
        <f ca="1">IF($E$345=0,0,IF(SUM($G175:DS175)=$B175,0,IF(SUM($G345:DS345)&gt;=$E345,($B175/$E345)*($E345-SUM($G345:DR345)),($B175/$E345)*DS345)))</f>
        <v>0</v>
      </c>
      <c r="DU175" s="395">
        <f ca="1">IF($E$345=0,0,IF(SUM($G175:DT175)=$B175,0,IF(SUM($G345:DT345)&gt;=$E345,($B175/$E345)*($E345-SUM($G345:DS345)),($B175/$E345)*DT345)))</f>
        <v>0</v>
      </c>
      <c r="DV175" s="395">
        <f ca="1">IF($E$345=0,0,IF(SUM($G175:DU175)=$B175,0,IF(SUM($G345:DU345)&gt;=$E345,($B175/$E345)*($E345-SUM($G345:DT345)),($B175/$E345)*DU345)))</f>
        <v>0</v>
      </c>
      <c r="DW175" s="395">
        <f ca="1">IF($E$345=0,0,IF(SUM($G175:DV175)=$B175,0,IF(SUM($G345:DV345)&gt;=$E345,($B175/$E345)*($E345-SUM($G345:DU345)),($B175/$E345)*DV345)))</f>
        <v>0</v>
      </c>
      <c r="DX175" s="395">
        <f ca="1">IF($E$345=0,0,IF(SUM($G175:DW175)=$B175,0,IF(SUM($G345:DW345)&gt;=$E345,($B175/$E345)*($E345-SUM($G345:DV345)),($B175/$E345)*DW345)))</f>
        <v>0</v>
      </c>
      <c r="DY175" s="395">
        <f ca="1">IF($E$345=0,0,IF(SUM($G175:DX175)=$B175,0,IF(SUM($G345:DX345)&gt;=$E345,($B175/$E345)*($E345-SUM($G345:DW345)),($B175/$E345)*DX345)))</f>
        <v>0</v>
      </c>
      <c r="DZ175" s="395">
        <f ca="1">IF($E$345=0,0,IF(SUM($G175:DY175)=$B175,0,IF(SUM($G345:DY345)&gt;=$E345,($B175/$E345)*($E345-SUM($G345:DX345)),($B175/$E345)*DY345)))</f>
        <v>0</v>
      </c>
      <c r="EA175" s="395">
        <f ca="1">IF($E$345=0,0,IF(SUM($G175:DZ175)=$B175,0,IF(SUM($G345:DZ345)&gt;=$E345,($B175/$E345)*($E345-SUM($G345:DY345)),($B175/$E345)*DZ345)))</f>
        <v>0</v>
      </c>
      <c r="EB175" s="395">
        <f ca="1">IF($E$345=0,0,IF(SUM($G175:EA175)=$B175,0,IF(SUM($G345:EA345)&gt;=$E345,($B175/$E345)*($E345-SUM($G345:DZ345)),($B175/$E345)*EA345)))</f>
        <v>0</v>
      </c>
      <c r="EC175" s="395">
        <f ca="1">IF($E$345=0,0,IF(SUM($G175:EB175)=$B175,0,IF(SUM($G345:EB345)&gt;=$E345,($B175/$E345)*($E345-SUM($G345:EA345)),($B175/$E345)*EB345)))</f>
        <v>0</v>
      </c>
      <c r="ED175" s="395">
        <f ca="1">IF($E$345=0,0,IF(SUM($G175:EC175)=$B175,0,IF(SUM($G345:EC345)&gt;=$E345,($B175/$E345)*($E345-SUM($G345:EB345)),($B175/$E345)*EC345)))</f>
        <v>0</v>
      </c>
      <c r="EE175" s="395">
        <f ca="1">IF($E$345=0,0,IF(SUM($G175:ED175)=$B175,0,IF(SUM($G345:ED345)&gt;=$E345,($B175/$E345)*($E345-SUM($G345:EC345)),($B175/$E345)*ED345)))</f>
        <v>0</v>
      </c>
      <c r="EF175" s="395">
        <f ca="1">IF($E$345=0,0,IF(SUM($G175:EE175)=$B175,0,IF(SUM($G345:EE345)&gt;=$E345,($B175/$E345)*($E345-SUM($G345:ED345)),($B175/$E345)*EE345)))</f>
        <v>0</v>
      </c>
      <c r="EG175" s="395">
        <f ca="1">IF($E$345=0,0,IF(SUM($G175:EF175)=$B175,0,IF(SUM($G345:EF345)&gt;=$E345,($B175/$E345)*($E345-SUM($G345:EE345)),($B175/$E345)*EF345)))</f>
        <v>0</v>
      </c>
      <c r="EH175" s="395">
        <f ca="1">IF($E$345=0,0,IF(SUM($G175:EG175)=$B175,0,IF(SUM($G345:EG345)&gt;=$E345,($B175/$E345)*($E345-SUM($G345:EF345)),($B175/$E345)*EG345)))</f>
        <v>0</v>
      </c>
      <c r="EI175" s="395">
        <f ca="1">IF($E$345=0,0,IF(SUM($G175:EH175)=$B175,0,IF(SUM($G345:EH345)&gt;=$E345,($B175/$E345)*($E345-SUM($G345:EG345)),($B175/$E345)*EH345)))</f>
        <v>0</v>
      </c>
      <c r="EJ175" s="398"/>
      <c r="EK175" s="313"/>
    </row>
    <row r="176" spans="1:141" hidden="1" outlineLevel="1" collapsed="1">
      <c r="A176" s="332"/>
      <c r="B176" s="313"/>
      <c r="C176" s="392" t="s">
        <v>99</v>
      </c>
      <c r="D176" s="392" t="s">
        <v>100</v>
      </c>
      <c r="E176" s="393">
        <f ca="1">ROUND(IF(F176=0,0,100%-F176),0)</f>
        <v>0</v>
      </c>
      <c r="F176" s="394">
        <f ca="1">SUM(G176:EJ176)</f>
        <v>0.99999999999999989</v>
      </c>
      <c r="G176" s="395">
        <f>SUM(G177:G180)</f>
        <v>0</v>
      </c>
      <c r="H176" s="395">
        <f t="shared" ref="H176:BS176" ca="1" si="395">SUM(H177:H180)</f>
        <v>0</v>
      </c>
      <c r="I176" s="395">
        <f t="shared" ca="1" si="395"/>
        <v>0</v>
      </c>
      <c r="J176" s="395">
        <f t="shared" ca="1" si="395"/>
        <v>0</v>
      </c>
      <c r="K176" s="395">
        <f t="shared" ca="1" si="395"/>
        <v>0</v>
      </c>
      <c r="L176" s="395">
        <f t="shared" ca="1" si="395"/>
        <v>0</v>
      </c>
      <c r="M176" s="395">
        <f t="shared" ca="1" si="395"/>
        <v>0</v>
      </c>
      <c r="N176" s="395">
        <f t="shared" ca="1" si="395"/>
        <v>0</v>
      </c>
      <c r="O176" s="395">
        <f t="shared" ca="1" si="395"/>
        <v>0</v>
      </c>
      <c r="P176" s="395">
        <f t="shared" ca="1" si="395"/>
        <v>0</v>
      </c>
      <c r="Q176" s="395">
        <f t="shared" ca="1" si="395"/>
        <v>0</v>
      </c>
      <c r="R176" s="395">
        <f t="shared" ca="1" si="395"/>
        <v>0</v>
      </c>
      <c r="S176" s="395">
        <f t="shared" ca="1" si="395"/>
        <v>0</v>
      </c>
      <c r="T176" s="395">
        <f t="shared" ca="1" si="395"/>
        <v>0</v>
      </c>
      <c r="U176" s="395">
        <f t="shared" ca="1" si="395"/>
        <v>0</v>
      </c>
      <c r="V176" s="395">
        <f t="shared" ca="1" si="395"/>
        <v>0</v>
      </c>
      <c r="W176" s="395">
        <f t="shared" ca="1" si="395"/>
        <v>0</v>
      </c>
      <c r="X176" s="395">
        <f t="shared" ca="1" si="395"/>
        <v>0</v>
      </c>
      <c r="Y176" s="395">
        <f t="shared" ca="1" si="395"/>
        <v>0</v>
      </c>
      <c r="Z176" s="395">
        <f t="shared" ca="1" si="395"/>
        <v>0</v>
      </c>
      <c r="AA176" s="395">
        <f t="shared" ca="1" si="395"/>
        <v>0</v>
      </c>
      <c r="AB176" s="395">
        <f t="shared" ca="1" si="395"/>
        <v>0</v>
      </c>
      <c r="AC176" s="395">
        <f t="shared" ca="1" si="395"/>
        <v>0</v>
      </c>
      <c r="AD176" s="395">
        <f t="shared" ca="1" si="395"/>
        <v>0</v>
      </c>
      <c r="AE176" s="395">
        <f t="shared" ca="1" si="395"/>
        <v>0</v>
      </c>
      <c r="AF176" s="395">
        <f t="shared" ca="1" si="395"/>
        <v>0</v>
      </c>
      <c r="AG176" s="395">
        <f t="shared" ca="1" si="395"/>
        <v>0</v>
      </c>
      <c r="AH176" s="395">
        <f t="shared" ca="1" si="395"/>
        <v>0</v>
      </c>
      <c r="AI176" s="395">
        <f t="shared" ca="1" si="395"/>
        <v>0</v>
      </c>
      <c r="AJ176" s="395">
        <f t="shared" ca="1" si="395"/>
        <v>0</v>
      </c>
      <c r="AK176" s="395">
        <f t="shared" ca="1" si="395"/>
        <v>0</v>
      </c>
      <c r="AL176" s="395">
        <f t="shared" ca="1" si="395"/>
        <v>0</v>
      </c>
      <c r="AM176" s="395">
        <f t="shared" ca="1" si="395"/>
        <v>0</v>
      </c>
      <c r="AN176" s="395">
        <f t="shared" ca="1" si="395"/>
        <v>0</v>
      </c>
      <c r="AO176" s="395">
        <f t="shared" ca="1" si="395"/>
        <v>0</v>
      </c>
      <c r="AP176" s="395">
        <f t="shared" ca="1" si="395"/>
        <v>0</v>
      </c>
      <c r="AQ176" s="395">
        <f t="shared" ca="1" si="395"/>
        <v>0</v>
      </c>
      <c r="AR176" s="395">
        <f t="shared" ca="1" si="395"/>
        <v>0</v>
      </c>
      <c r="AS176" s="395">
        <f t="shared" ca="1" si="395"/>
        <v>0</v>
      </c>
      <c r="AT176" s="395">
        <f t="shared" ca="1" si="395"/>
        <v>0</v>
      </c>
      <c r="AU176" s="395">
        <f t="shared" ca="1" si="395"/>
        <v>0.1</v>
      </c>
      <c r="AV176" s="395">
        <f t="shared" ca="1" si="395"/>
        <v>0</v>
      </c>
      <c r="AW176" s="395">
        <f t="shared" ca="1" si="395"/>
        <v>1.0199999999999983E-2</v>
      </c>
      <c r="AX176" s="395">
        <f t="shared" ca="1" si="395"/>
        <v>8.4999999999999992E-2</v>
      </c>
      <c r="AY176" s="395">
        <f t="shared" ca="1" si="395"/>
        <v>8.7833333333333333E-2</v>
      </c>
      <c r="AZ176" s="395">
        <f t="shared" ca="1" si="395"/>
        <v>8.4999999999999992E-2</v>
      </c>
      <c r="BA176" s="395">
        <f t="shared" ca="1" si="395"/>
        <v>8.7833333333333333E-2</v>
      </c>
      <c r="BB176" s="395">
        <f t="shared" ca="1" si="395"/>
        <v>8.7833333333333333E-2</v>
      </c>
      <c r="BC176" s="395">
        <f t="shared" ca="1" si="395"/>
        <v>7.9333333333333325E-2</v>
      </c>
      <c r="BD176" s="395">
        <f t="shared" ca="1" si="395"/>
        <v>8.7833333333333333E-2</v>
      </c>
      <c r="BE176" s="395">
        <f t="shared" ca="1" si="395"/>
        <v>8.4999999999999992E-2</v>
      </c>
      <c r="BF176" s="395">
        <f t="shared" ca="1" si="395"/>
        <v>8.7833333333333333E-2</v>
      </c>
      <c r="BG176" s="395">
        <f t="shared" ca="1" si="395"/>
        <v>6.6299999999999928E-2</v>
      </c>
      <c r="BH176" s="395">
        <f t="shared" ca="1" si="395"/>
        <v>2.5000000000000001E-2</v>
      </c>
      <c r="BI176" s="395">
        <f t="shared" ca="1" si="395"/>
        <v>0</v>
      </c>
      <c r="BJ176" s="395">
        <f t="shared" ca="1" si="395"/>
        <v>0</v>
      </c>
      <c r="BK176" s="395">
        <f t="shared" ca="1" si="395"/>
        <v>0</v>
      </c>
      <c r="BL176" s="395">
        <f t="shared" ca="1" si="395"/>
        <v>0</v>
      </c>
      <c r="BM176" s="395">
        <f t="shared" ca="1" si="395"/>
        <v>0</v>
      </c>
      <c r="BN176" s="395">
        <f t="shared" ca="1" si="395"/>
        <v>0</v>
      </c>
      <c r="BO176" s="395">
        <f t="shared" ca="1" si="395"/>
        <v>0</v>
      </c>
      <c r="BP176" s="395">
        <f t="shared" ca="1" si="395"/>
        <v>0</v>
      </c>
      <c r="BQ176" s="395">
        <f t="shared" ca="1" si="395"/>
        <v>0</v>
      </c>
      <c r="BR176" s="395">
        <f t="shared" ca="1" si="395"/>
        <v>0</v>
      </c>
      <c r="BS176" s="395">
        <f t="shared" ca="1" si="395"/>
        <v>0</v>
      </c>
      <c r="BT176" s="395">
        <f t="shared" ref="BT176:EE176" ca="1" si="396">SUM(BT177:BT180)</f>
        <v>0</v>
      </c>
      <c r="BU176" s="395">
        <f t="shared" ca="1" si="396"/>
        <v>0</v>
      </c>
      <c r="BV176" s="395">
        <f t="shared" ca="1" si="396"/>
        <v>0</v>
      </c>
      <c r="BW176" s="395">
        <f t="shared" ca="1" si="396"/>
        <v>0</v>
      </c>
      <c r="BX176" s="395">
        <f t="shared" ca="1" si="396"/>
        <v>0</v>
      </c>
      <c r="BY176" s="395">
        <f t="shared" ca="1" si="396"/>
        <v>0</v>
      </c>
      <c r="BZ176" s="395">
        <f t="shared" ca="1" si="396"/>
        <v>0</v>
      </c>
      <c r="CA176" s="395">
        <f t="shared" ca="1" si="396"/>
        <v>0</v>
      </c>
      <c r="CB176" s="395">
        <f t="shared" ca="1" si="396"/>
        <v>0</v>
      </c>
      <c r="CC176" s="395">
        <f t="shared" ca="1" si="396"/>
        <v>0</v>
      </c>
      <c r="CD176" s="395">
        <f t="shared" ca="1" si="396"/>
        <v>0</v>
      </c>
      <c r="CE176" s="395">
        <f t="shared" ca="1" si="396"/>
        <v>2.5000000000000001E-2</v>
      </c>
      <c r="CF176" s="395">
        <f t="shared" ca="1" si="396"/>
        <v>0</v>
      </c>
      <c r="CG176" s="395">
        <f t="shared" ca="1" si="396"/>
        <v>0</v>
      </c>
      <c r="CH176" s="395">
        <f t="shared" ca="1" si="396"/>
        <v>0</v>
      </c>
      <c r="CI176" s="395">
        <f t="shared" ca="1" si="396"/>
        <v>0</v>
      </c>
      <c r="CJ176" s="395">
        <f t="shared" ca="1" si="396"/>
        <v>0</v>
      </c>
      <c r="CK176" s="395">
        <f t="shared" ca="1" si="396"/>
        <v>0</v>
      </c>
      <c r="CL176" s="395">
        <f t="shared" ca="1" si="396"/>
        <v>0</v>
      </c>
      <c r="CM176" s="395">
        <f t="shared" ca="1" si="396"/>
        <v>0</v>
      </c>
      <c r="CN176" s="395">
        <f t="shared" ca="1" si="396"/>
        <v>0</v>
      </c>
      <c r="CO176" s="395">
        <f t="shared" ca="1" si="396"/>
        <v>0</v>
      </c>
      <c r="CP176" s="395">
        <f t="shared" ca="1" si="396"/>
        <v>0</v>
      </c>
      <c r="CQ176" s="395">
        <f t="shared" ca="1" si="396"/>
        <v>0</v>
      </c>
      <c r="CR176" s="395">
        <f t="shared" ca="1" si="396"/>
        <v>0</v>
      </c>
      <c r="CS176" s="395">
        <f t="shared" ca="1" si="396"/>
        <v>0</v>
      </c>
      <c r="CT176" s="395">
        <f t="shared" ca="1" si="396"/>
        <v>0</v>
      </c>
      <c r="CU176" s="395">
        <f t="shared" ca="1" si="396"/>
        <v>0</v>
      </c>
      <c r="CV176" s="395">
        <f t="shared" ca="1" si="396"/>
        <v>0</v>
      </c>
      <c r="CW176" s="395">
        <f t="shared" ca="1" si="396"/>
        <v>0</v>
      </c>
      <c r="CX176" s="395">
        <f t="shared" ca="1" si="396"/>
        <v>0</v>
      </c>
      <c r="CY176" s="395">
        <f t="shared" ca="1" si="396"/>
        <v>0</v>
      </c>
      <c r="CZ176" s="395">
        <f t="shared" ca="1" si="396"/>
        <v>0</v>
      </c>
      <c r="DA176" s="395">
        <f t="shared" ca="1" si="396"/>
        <v>0</v>
      </c>
      <c r="DB176" s="395">
        <f t="shared" ca="1" si="396"/>
        <v>0</v>
      </c>
      <c r="DC176" s="395">
        <f t="shared" ca="1" si="396"/>
        <v>0</v>
      </c>
      <c r="DD176" s="395">
        <f t="shared" ca="1" si="396"/>
        <v>0</v>
      </c>
      <c r="DE176" s="395">
        <f t="shared" ca="1" si="396"/>
        <v>0</v>
      </c>
      <c r="DF176" s="395">
        <f t="shared" ca="1" si="396"/>
        <v>0</v>
      </c>
      <c r="DG176" s="395">
        <f t="shared" ca="1" si="396"/>
        <v>0</v>
      </c>
      <c r="DH176" s="395">
        <f t="shared" ca="1" si="396"/>
        <v>0</v>
      </c>
      <c r="DI176" s="395">
        <f t="shared" ca="1" si="396"/>
        <v>0</v>
      </c>
      <c r="DJ176" s="395">
        <f t="shared" ca="1" si="396"/>
        <v>0</v>
      </c>
      <c r="DK176" s="395">
        <f t="shared" ca="1" si="396"/>
        <v>0</v>
      </c>
      <c r="DL176" s="395">
        <f t="shared" ca="1" si="396"/>
        <v>0</v>
      </c>
      <c r="DM176" s="395">
        <f t="shared" ca="1" si="396"/>
        <v>0</v>
      </c>
      <c r="DN176" s="395">
        <f t="shared" ca="1" si="396"/>
        <v>0</v>
      </c>
      <c r="DO176" s="395">
        <f t="shared" ca="1" si="396"/>
        <v>0</v>
      </c>
      <c r="DP176" s="395">
        <f t="shared" ca="1" si="396"/>
        <v>0</v>
      </c>
      <c r="DQ176" s="395">
        <f t="shared" ca="1" si="396"/>
        <v>0</v>
      </c>
      <c r="DR176" s="395">
        <f t="shared" ca="1" si="396"/>
        <v>0</v>
      </c>
      <c r="DS176" s="395">
        <f t="shared" ca="1" si="396"/>
        <v>0</v>
      </c>
      <c r="DT176" s="395">
        <f t="shared" ca="1" si="396"/>
        <v>0</v>
      </c>
      <c r="DU176" s="395">
        <f t="shared" ca="1" si="396"/>
        <v>0</v>
      </c>
      <c r="DV176" s="395">
        <f t="shared" ca="1" si="396"/>
        <v>0</v>
      </c>
      <c r="DW176" s="395">
        <f t="shared" ca="1" si="396"/>
        <v>0</v>
      </c>
      <c r="DX176" s="395">
        <f t="shared" ca="1" si="396"/>
        <v>0</v>
      </c>
      <c r="DY176" s="395">
        <f t="shared" ca="1" si="396"/>
        <v>0</v>
      </c>
      <c r="DZ176" s="395">
        <f t="shared" ca="1" si="396"/>
        <v>0</v>
      </c>
      <c r="EA176" s="395">
        <f t="shared" ca="1" si="396"/>
        <v>0</v>
      </c>
      <c r="EB176" s="395">
        <f t="shared" ca="1" si="396"/>
        <v>0</v>
      </c>
      <c r="EC176" s="395">
        <f t="shared" ca="1" si="396"/>
        <v>0</v>
      </c>
      <c r="ED176" s="395">
        <f t="shared" ca="1" si="396"/>
        <v>0</v>
      </c>
      <c r="EE176" s="395">
        <f t="shared" ca="1" si="396"/>
        <v>0</v>
      </c>
      <c r="EF176" s="395">
        <f t="shared" ref="EF176:EI176" ca="1" si="397">SUM(EF177:EF180)</f>
        <v>0</v>
      </c>
      <c r="EG176" s="395">
        <f t="shared" ca="1" si="397"/>
        <v>0</v>
      </c>
      <c r="EH176" s="395">
        <f t="shared" ca="1" si="397"/>
        <v>0</v>
      </c>
      <c r="EI176" s="395">
        <f t="shared" ca="1" si="397"/>
        <v>0</v>
      </c>
      <c r="EJ176" s="398"/>
      <c r="EK176" s="313"/>
    </row>
    <row r="177" spans="1:141" hidden="1" outlineLevel="2">
      <c r="A177" s="332"/>
      <c r="B177" s="549">
        <f>длительность!B192</f>
        <v>0.1</v>
      </c>
      <c r="C177" s="317"/>
      <c r="D177" s="317" t="s">
        <v>664</v>
      </c>
      <c r="E177" s="318">
        <f t="shared" ref="E177:E180" ca="1" si="398">IF(F177=0,0,B177-F177)</f>
        <v>0</v>
      </c>
      <c r="F177" s="397">
        <f t="shared" ca="1" si="283"/>
        <v>0.1</v>
      </c>
      <c r="G177" s="395"/>
      <c r="H177" s="395">
        <f ca="1">IF(SUM($G177:G177)=$B177,0,IF(J178&gt;0%,$B177,0%))</f>
        <v>0</v>
      </c>
      <c r="I177" s="395">
        <f ca="1">IF(SUM($G177:H177)=$B177,0,IF(K178&gt;0%,$B177,0%))</f>
        <v>0</v>
      </c>
      <c r="J177" s="395">
        <f ca="1">IF(SUM($G177:I177)=$B177,0,IF(L178&gt;0%,$B177,0%))</f>
        <v>0</v>
      </c>
      <c r="K177" s="395">
        <f ca="1">IF(SUM($G177:J177)=$B177,0,IF(M178&gt;0%,$B177,0%))</f>
        <v>0</v>
      </c>
      <c r="L177" s="395">
        <f ca="1">IF(SUM($G177:K177)=$B177,0,IF(N178&gt;0%,$B177,0%))</f>
        <v>0</v>
      </c>
      <c r="M177" s="395">
        <f ca="1">IF(SUM($G177:L177)=$B177,0,IF(O178&gt;0%,$B177,0%))</f>
        <v>0</v>
      </c>
      <c r="N177" s="395">
        <f ca="1">IF(SUM($G177:M177)=$B177,0,IF(P178&gt;0%,$B177,0%))</f>
        <v>0</v>
      </c>
      <c r="O177" s="395">
        <f ca="1">IF(SUM($G177:N177)=$B177,0,IF(Q178&gt;0%,$B177,0%))</f>
        <v>0</v>
      </c>
      <c r="P177" s="395">
        <f ca="1">IF(SUM($G177:O177)=$B177,0,IF(R178&gt;0%,$B177,0%))</f>
        <v>0</v>
      </c>
      <c r="Q177" s="395">
        <f ca="1">IF(SUM($G177:P177)=$B177,0,IF(S178&gt;0%,$B177,0%))</f>
        <v>0</v>
      </c>
      <c r="R177" s="395">
        <f ca="1">IF(SUM($G177:Q177)=$B177,0,IF(T178&gt;0%,$B177,0%))</f>
        <v>0</v>
      </c>
      <c r="S177" s="395">
        <f ca="1">IF(SUM($G177:R177)=$B177,0,IF(U178&gt;0%,$B177,0%))</f>
        <v>0</v>
      </c>
      <c r="T177" s="395">
        <f ca="1">IF(SUM($G177:S177)=$B177,0,IF(V178&gt;0%,$B177,0%))</f>
        <v>0</v>
      </c>
      <c r="U177" s="395">
        <f ca="1">IF(SUM($G177:T177)=$B177,0,IF(W178&gt;0%,$B177,0%))</f>
        <v>0</v>
      </c>
      <c r="V177" s="395">
        <f ca="1">IF(SUM($G177:U177)=$B177,0,IF(X178&gt;0%,$B177,0%))</f>
        <v>0</v>
      </c>
      <c r="W177" s="395">
        <f ca="1">IF(SUM($G177:V177)=$B177,0,IF(Y178&gt;0%,$B177,0%))</f>
        <v>0</v>
      </c>
      <c r="X177" s="395">
        <f ca="1">IF(SUM($G177:W177)=$B177,0,IF(Z178&gt;0%,$B177,0%))</f>
        <v>0</v>
      </c>
      <c r="Y177" s="395">
        <f ca="1">IF(SUM($G177:X177)=$B177,0,IF(AA178&gt;0%,$B177,0%))</f>
        <v>0</v>
      </c>
      <c r="Z177" s="395">
        <f ca="1">IF(SUM($G177:Y177)=$B177,0,IF(AB178&gt;0%,$B177,0%))</f>
        <v>0</v>
      </c>
      <c r="AA177" s="395">
        <f ca="1">IF(SUM($G177:Z177)=$B177,0,IF(AC178&gt;0%,$B177,0%))</f>
        <v>0</v>
      </c>
      <c r="AB177" s="395">
        <f ca="1">IF(SUM($G177:AA177)=$B177,0,IF(AD178&gt;0%,$B177,0%))</f>
        <v>0</v>
      </c>
      <c r="AC177" s="395">
        <f ca="1">IF(SUM($G177:AB177)=$B177,0,IF(AE178&gt;0%,$B177,0%))</f>
        <v>0</v>
      </c>
      <c r="AD177" s="395">
        <f ca="1">IF(SUM($G177:AC177)=$B177,0,IF(AF178&gt;0%,$B177,0%))</f>
        <v>0</v>
      </c>
      <c r="AE177" s="395">
        <f ca="1">IF(SUM($G177:AD177)=$B177,0,IF(AG178&gt;0%,$B177,0%))</f>
        <v>0</v>
      </c>
      <c r="AF177" s="395">
        <f ca="1">IF(SUM($G177:AE177)=$B177,0,IF(AH178&gt;0%,$B177,0%))</f>
        <v>0</v>
      </c>
      <c r="AG177" s="395">
        <f ca="1">IF(SUM($G177:AF177)=$B177,0,IF(AI178&gt;0%,$B177,0%))</f>
        <v>0</v>
      </c>
      <c r="AH177" s="395">
        <f ca="1">IF(SUM($G177:AG177)=$B177,0,IF(AJ178&gt;0%,$B177,0%))</f>
        <v>0</v>
      </c>
      <c r="AI177" s="395">
        <f ca="1">IF(SUM($G177:AH177)=$B177,0,IF(AK178&gt;0%,$B177,0%))</f>
        <v>0</v>
      </c>
      <c r="AJ177" s="395">
        <f ca="1">IF(SUM($G177:AI177)=$B177,0,IF(AL178&gt;0%,$B177,0%))</f>
        <v>0</v>
      </c>
      <c r="AK177" s="395">
        <f ca="1">IF(SUM($G177:AJ177)=$B177,0,IF(AM178&gt;0%,$B177,0%))</f>
        <v>0</v>
      </c>
      <c r="AL177" s="395">
        <f ca="1">IF(SUM($G177:AK177)=$B177,0,IF(AN178&gt;0%,$B177,0%))</f>
        <v>0</v>
      </c>
      <c r="AM177" s="395">
        <f ca="1">IF(SUM($G177:AL177)=$B177,0,IF(AO178&gt;0%,$B177,0%))</f>
        <v>0</v>
      </c>
      <c r="AN177" s="395">
        <f ca="1">IF(SUM($G177:AM177)=$B177,0,IF(AP178&gt;0%,$B177,0%))</f>
        <v>0</v>
      </c>
      <c r="AO177" s="395">
        <f ca="1">IF(SUM($G177:AN177)=$B177,0,IF(AQ178&gt;0%,$B177,0%))</f>
        <v>0</v>
      </c>
      <c r="AP177" s="395">
        <f ca="1">IF(SUM($G177:AO177)=$B177,0,IF(AR178&gt;0%,$B177,0%))</f>
        <v>0</v>
      </c>
      <c r="AQ177" s="395">
        <f ca="1">IF(SUM($G177:AP177)=$B177,0,IF(AS178&gt;0%,$B177,0%))</f>
        <v>0</v>
      </c>
      <c r="AR177" s="395">
        <f ca="1">IF(SUM($G177:AQ177)=$B177,0,IF(AT178&gt;0%,$B177,0%))</f>
        <v>0</v>
      </c>
      <c r="AS177" s="395">
        <f ca="1">IF(SUM($G177:AR177)=$B177,0,IF(AU178&gt;0%,$B177,0%))</f>
        <v>0</v>
      </c>
      <c r="AT177" s="395">
        <f ca="1">IF(SUM($G177:AS177)=$B177,0,IF(AV178&gt;0%,$B177,0%))</f>
        <v>0</v>
      </c>
      <c r="AU177" s="395">
        <f ca="1">IF(SUM($G177:AT177)=$B177,0,IF(AW178&gt;0%,$B177,0%))</f>
        <v>0.1</v>
      </c>
      <c r="AV177" s="395">
        <f ca="1">IF(SUM($G177:AU177)=$B177,0,IF(AX178&gt;0%,$B177,0%))</f>
        <v>0</v>
      </c>
      <c r="AW177" s="395">
        <f ca="1">IF(SUM($G177:AV177)=$B177,0,IF(AY178&gt;0%,$B177,0%))</f>
        <v>0</v>
      </c>
      <c r="AX177" s="395">
        <f ca="1">IF(SUM($G177:AW177)=$B177,0,IF(AZ178&gt;0%,$B177,0%))</f>
        <v>0</v>
      </c>
      <c r="AY177" s="395">
        <f ca="1">IF(SUM($G177:AX177)=$B177,0,IF(BA178&gt;0%,$B177,0%))</f>
        <v>0</v>
      </c>
      <c r="AZ177" s="395">
        <f ca="1">IF(SUM($G177:AY177)=$B177,0,IF(BB178&gt;0%,$B177,0%))</f>
        <v>0</v>
      </c>
      <c r="BA177" s="395">
        <f ca="1">IF(SUM($G177:AZ177)=$B177,0,IF(BC178&gt;0%,$B177,0%))</f>
        <v>0</v>
      </c>
      <c r="BB177" s="395">
        <f ca="1">IF(SUM($G177:BA177)=$B177,0,IF(BD178&gt;0%,$B177,0%))</f>
        <v>0</v>
      </c>
      <c r="BC177" s="395">
        <f ca="1">IF(SUM($G177:BB177)=$B177,0,IF(BE178&gt;0%,$B177,0%))</f>
        <v>0</v>
      </c>
      <c r="BD177" s="395">
        <f ca="1">IF(SUM($G177:BC177)=$B177,0,IF(BF178&gt;0%,$B177,0%))</f>
        <v>0</v>
      </c>
      <c r="BE177" s="395">
        <f ca="1">IF(SUM($G177:BD177)=$B177,0,IF(BG178&gt;0%,$B177,0%))</f>
        <v>0</v>
      </c>
      <c r="BF177" s="395">
        <f ca="1">IF(SUM($G177:BE177)=$B177,0,IF(BH178&gt;0%,$B177,0%))</f>
        <v>0</v>
      </c>
      <c r="BG177" s="395">
        <f ca="1">IF(SUM($G177:BF177)=$B177,0,IF(BI178&gt;0%,$B177,0%))</f>
        <v>0</v>
      </c>
      <c r="BH177" s="395">
        <f ca="1">IF(SUM($G177:BG177)=$B177,0,IF(BJ178&gt;0%,$B177,0%))</f>
        <v>0</v>
      </c>
      <c r="BI177" s="395">
        <f ca="1">IF(SUM($G177:BH177)=$B177,0,IF(BK178&gt;0%,$B177,0%))</f>
        <v>0</v>
      </c>
      <c r="BJ177" s="395">
        <f ca="1">IF(SUM($G177:BI177)=$B177,0,IF(BL178&gt;0%,$B177,0%))</f>
        <v>0</v>
      </c>
      <c r="BK177" s="395">
        <f ca="1">IF(SUM($G177:BJ177)=$B177,0,IF(BM178&gt;0%,$B177,0%))</f>
        <v>0</v>
      </c>
      <c r="BL177" s="395">
        <f ca="1">IF(SUM($G177:BK177)=$B177,0,IF(BN178&gt;0%,$B177,0%))</f>
        <v>0</v>
      </c>
      <c r="BM177" s="395">
        <f ca="1">IF(SUM($G177:BL177)=$B177,0,IF(BO178&gt;0%,$B177,0%))</f>
        <v>0</v>
      </c>
      <c r="BN177" s="395">
        <f ca="1">IF(SUM($G177:BM177)=$B177,0,IF(BP178&gt;0%,$B177,0%))</f>
        <v>0</v>
      </c>
      <c r="BO177" s="395">
        <f ca="1">IF(SUM($G177:BN177)=$B177,0,IF(BQ178&gt;0%,$B177,0%))</f>
        <v>0</v>
      </c>
      <c r="BP177" s="395">
        <f ca="1">IF(SUM($G177:BO177)=$B177,0,IF(BR178&gt;0%,$B177,0%))</f>
        <v>0</v>
      </c>
      <c r="BQ177" s="395">
        <f ca="1">IF(SUM($G177:BP177)=$B177,0,IF(BS178&gt;0%,$B177,0%))</f>
        <v>0</v>
      </c>
      <c r="BR177" s="395">
        <f ca="1">IF(SUM($G177:BQ177)=$B177,0,IF(BT178&gt;0%,$B177,0%))</f>
        <v>0</v>
      </c>
      <c r="BS177" s="395">
        <f ca="1">IF(SUM($G177:BR177)=$B177,0,IF(BU178&gt;0%,$B177,0%))</f>
        <v>0</v>
      </c>
      <c r="BT177" s="395">
        <f ca="1">IF(SUM($G177:BS177)=$B177,0,IF(BV178&gt;0%,$B177,0%))</f>
        <v>0</v>
      </c>
      <c r="BU177" s="395">
        <f ca="1">IF(SUM($G177:BT177)=$B177,0,IF(BW178&gt;0%,$B177,0%))</f>
        <v>0</v>
      </c>
      <c r="BV177" s="395">
        <f ca="1">IF(SUM($G177:BU177)=$B177,0,IF(BX178&gt;0%,$B177,0%))</f>
        <v>0</v>
      </c>
      <c r="BW177" s="395">
        <f ca="1">IF(SUM($G177:BV177)=$B177,0,IF(BY178&gt;0%,$B177,0%))</f>
        <v>0</v>
      </c>
      <c r="BX177" s="395">
        <f ca="1">IF(SUM($G177:BW177)=$B177,0,IF(BZ178&gt;0%,$B177,0%))</f>
        <v>0</v>
      </c>
      <c r="BY177" s="395">
        <f ca="1">IF(SUM($G177:BX177)=$B177,0,IF(CA178&gt;0%,$B177,0%))</f>
        <v>0</v>
      </c>
      <c r="BZ177" s="395">
        <f ca="1">IF(SUM($G177:BY177)=$B177,0,IF(CB178&gt;0%,$B177,0%))</f>
        <v>0</v>
      </c>
      <c r="CA177" s="395">
        <f ca="1">IF(SUM($G177:BZ177)=$B177,0,IF(CC178&gt;0%,$B177,0%))</f>
        <v>0</v>
      </c>
      <c r="CB177" s="395">
        <f ca="1">IF(SUM($G177:CA177)=$B177,0,IF(CD178&gt;0%,$B177,0%))</f>
        <v>0</v>
      </c>
      <c r="CC177" s="395">
        <f ca="1">IF(SUM($G177:CB177)=$B177,0,IF(CE178&gt;0%,$B177,0%))</f>
        <v>0</v>
      </c>
      <c r="CD177" s="395">
        <f ca="1">IF(SUM($G177:CC177)=$B177,0,IF(CF178&gt;0%,$B177,0%))</f>
        <v>0</v>
      </c>
      <c r="CE177" s="395">
        <f ca="1">IF(SUM($G177:CD177)=$B177,0,IF(CG178&gt;0%,$B177,0%))</f>
        <v>0</v>
      </c>
      <c r="CF177" s="395">
        <f ca="1">IF(SUM($G177:CE177)=$B177,0,IF(CH178&gt;0%,$B177,0%))</f>
        <v>0</v>
      </c>
      <c r="CG177" s="395">
        <f ca="1">IF(SUM($G177:CF177)=$B177,0,IF(CI178&gt;0%,$B177,0%))</f>
        <v>0</v>
      </c>
      <c r="CH177" s="395">
        <f ca="1">IF(SUM($G177:CG177)=$B177,0,IF(CJ178&gt;0%,$B177,0%))</f>
        <v>0</v>
      </c>
      <c r="CI177" s="395">
        <f ca="1">IF(SUM($G177:CH177)=$B177,0,IF(CK178&gt;0%,$B177,0%))</f>
        <v>0</v>
      </c>
      <c r="CJ177" s="395">
        <f ca="1">IF(SUM($G177:CI177)=$B177,0,IF(CL178&gt;0%,$B177,0%))</f>
        <v>0</v>
      </c>
      <c r="CK177" s="395">
        <f ca="1">IF(SUM($G177:CJ177)=$B177,0,IF(CM178&gt;0%,$B177,0%))</f>
        <v>0</v>
      </c>
      <c r="CL177" s="395">
        <f ca="1">IF(SUM($G177:CK177)=$B177,0,IF(CN178&gt;0%,$B177,0%))</f>
        <v>0</v>
      </c>
      <c r="CM177" s="395">
        <f ca="1">IF(SUM($G177:CL177)=$B177,0,IF(CO178&gt;0%,$B177,0%))</f>
        <v>0</v>
      </c>
      <c r="CN177" s="395">
        <f ca="1">IF(SUM($G177:CM177)=$B177,0,IF(CP178&gt;0%,$B177,0%))</f>
        <v>0</v>
      </c>
      <c r="CO177" s="395">
        <f ca="1">IF(SUM($G177:CN177)=$B177,0,IF(CQ178&gt;0%,$B177,0%))</f>
        <v>0</v>
      </c>
      <c r="CP177" s="395">
        <f ca="1">IF(SUM($G177:CO177)=$B177,0,IF(CR178&gt;0%,$B177,0%))</f>
        <v>0</v>
      </c>
      <c r="CQ177" s="395">
        <f ca="1">IF(SUM($G177:CP177)=$B177,0,IF(CS178&gt;0%,$B177,0%))</f>
        <v>0</v>
      </c>
      <c r="CR177" s="395">
        <f ca="1">IF(SUM($G177:CQ177)=$B177,0,IF(CT178&gt;0%,$B177,0%))</f>
        <v>0</v>
      </c>
      <c r="CS177" s="395">
        <f ca="1">IF(SUM($G177:CR177)=$B177,0,IF(CU178&gt;0%,$B177,0%))</f>
        <v>0</v>
      </c>
      <c r="CT177" s="395">
        <f ca="1">IF(SUM($G177:CS177)=$B177,0,IF(CV178&gt;0%,$B177,0%))</f>
        <v>0</v>
      </c>
      <c r="CU177" s="395">
        <f ca="1">IF(SUM($G177:CT177)=$B177,0,IF(CW178&gt;0%,$B177,0%))</f>
        <v>0</v>
      </c>
      <c r="CV177" s="395">
        <f ca="1">IF(SUM($G177:CU177)=$B177,0,IF(CX178&gt;0%,$B177,0%))</f>
        <v>0</v>
      </c>
      <c r="CW177" s="395">
        <f ca="1">IF(SUM($G177:CV177)=$B177,0,IF(CY178&gt;0%,$B177,0%))</f>
        <v>0</v>
      </c>
      <c r="CX177" s="395">
        <f ca="1">IF(SUM($G177:CW177)=$B177,0,IF(CZ178&gt;0%,$B177,0%))</f>
        <v>0</v>
      </c>
      <c r="CY177" s="395">
        <f ca="1">IF(SUM($G177:CX177)=$B177,0,IF(DA178&gt;0%,$B177,0%))</f>
        <v>0</v>
      </c>
      <c r="CZ177" s="395">
        <f ca="1">IF(SUM($G177:CY177)=$B177,0,IF(DB178&gt;0%,$B177,0%))</f>
        <v>0</v>
      </c>
      <c r="DA177" s="395">
        <f ca="1">IF(SUM($G177:CZ177)=$B177,0,IF(DC178&gt;0%,$B177,0%))</f>
        <v>0</v>
      </c>
      <c r="DB177" s="395">
        <f ca="1">IF(SUM($G177:DA177)=$B177,0,IF(DD178&gt;0%,$B177,0%))</f>
        <v>0</v>
      </c>
      <c r="DC177" s="395">
        <f ca="1">IF(SUM($G177:DB177)=$B177,0,IF(DE178&gt;0%,$B177,0%))</f>
        <v>0</v>
      </c>
      <c r="DD177" s="395">
        <f ca="1">IF(SUM($G177:DC177)=$B177,0,IF(DF178&gt;0%,$B177,0%))</f>
        <v>0</v>
      </c>
      <c r="DE177" s="395">
        <f ca="1">IF(SUM($G177:DD177)=$B177,0,IF(DG178&gt;0%,$B177,0%))</f>
        <v>0</v>
      </c>
      <c r="DF177" s="395">
        <f ca="1">IF(SUM($G177:DE177)=$B177,0,IF(DH178&gt;0%,$B177,0%))</f>
        <v>0</v>
      </c>
      <c r="DG177" s="395">
        <f ca="1">IF(SUM($G177:DF177)=$B177,0,IF(DI178&gt;0%,$B177,0%))</f>
        <v>0</v>
      </c>
      <c r="DH177" s="395">
        <f ca="1">IF(SUM($G177:DG177)=$B177,0,IF(DJ178&gt;0%,$B177,0%))</f>
        <v>0</v>
      </c>
      <c r="DI177" s="395">
        <f ca="1">IF(SUM($G177:DH177)=$B177,0,IF(DK178&gt;0%,$B177,0%))</f>
        <v>0</v>
      </c>
      <c r="DJ177" s="395">
        <f ca="1">IF(SUM($G177:DI177)=$B177,0,IF(DL178&gt;0%,$B177,0%))</f>
        <v>0</v>
      </c>
      <c r="DK177" s="395">
        <f ca="1">IF(SUM($G177:DJ177)=$B177,0,IF(DM178&gt;0%,$B177,0%))</f>
        <v>0</v>
      </c>
      <c r="DL177" s="395">
        <f ca="1">IF(SUM($G177:DK177)=$B177,0,IF(DN178&gt;0%,$B177,0%))</f>
        <v>0</v>
      </c>
      <c r="DM177" s="395">
        <f ca="1">IF(SUM($G177:DL177)=$B177,0,IF(DO178&gt;0%,$B177,0%))</f>
        <v>0</v>
      </c>
      <c r="DN177" s="395">
        <f ca="1">IF(SUM($G177:DM177)=$B177,0,IF(DP178&gt;0%,$B177,0%))</f>
        <v>0</v>
      </c>
      <c r="DO177" s="395">
        <f ca="1">IF(SUM($G177:DN177)=$B177,0,IF(DQ178&gt;0%,$B177,0%))</f>
        <v>0</v>
      </c>
      <c r="DP177" s="395">
        <f ca="1">IF(SUM($G177:DO177)=$B177,0,IF(DR178&gt;0%,$B177,0%))</f>
        <v>0</v>
      </c>
      <c r="DQ177" s="395">
        <f ca="1">IF(SUM($G177:DP177)=$B177,0,IF(DS178&gt;0%,$B177,0%))</f>
        <v>0</v>
      </c>
      <c r="DR177" s="395">
        <f ca="1">IF(SUM($G177:DQ177)=$B177,0,IF(DT178&gt;0%,$B177,0%))</f>
        <v>0</v>
      </c>
      <c r="DS177" s="395">
        <f ca="1">IF(SUM($G177:DR177)=$B177,0,IF(DU178&gt;0%,$B177,0%))</f>
        <v>0</v>
      </c>
      <c r="DT177" s="395">
        <f ca="1">IF(SUM($G177:DS177)=$B177,0,IF(DV178&gt;0%,$B177,0%))</f>
        <v>0</v>
      </c>
      <c r="DU177" s="395">
        <f ca="1">IF(SUM($G177:DT177)=$B177,0,IF(DW178&gt;0%,$B177,0%))</f>
        <v>0</v>
      </c>
      <c r="DV177" s="395">
        <f ca="1">IF(SUM($G177:DU177)=$B177,0,IF(DX178&gt;0%,$B177,0%))</f>
        <v>0</v>
      </c>
      <c r="DW177" s="395">
        <f ca="1">IF(SUM($G177:DV177)=$B177,0,IF(DY178&gt;0%,$B177,0%))</f>
        <v>0</v>
      </c>
      <c r="DX177" s="395">
        <f ca="1">IF(SUM($G177:DW177)=$B177,0,IF(DZ178&gt;0%,$B177,0%))</f>
        <v>0</v>
      </c>
      <c r="DY177" s="395">
        <f ca="1">IF(SUM($G177:DX177)=$B177,0,IF(EA178&gt;0%,$B177,0%))</f>
        <v>0</v>
      </c>
      <c r="DZ177" s="395">
        <f ca="1">IF(SUM($G177:DY177)=$B177,0,IF(EB178&gt;0%,$B177,0%))</f>
        <v>0</v>
      </c>
      <c r="EA177" s="395">
        <f ca="1">IF(SUM($G177:DZ177)=$B177,0,IF(EC178&gt;0%,$B177,0%))</f>
        <v>0</v>
      </c>
      <c r="EB177" s="395">
        <f ca="1">IF(SUM($G177:EA177)=$B177,0,IF(ED178&gt;0%,$B177,0%))</f>
        <v>0</v>
      </c>
      <c r="EC177" s="395">
        <f ca="1">IF(SUM($G177:EB177)=$B177,0,IF(EE178&gt;0%,$B177,0%))</f>
        <v>0</v>
      </c>
      <c r="ED177" s="395">
        <f ca="1">IF(SUM($G177:EC177)=$B177,0,IF(EF178&gt;0%,$B177,0%))</f>
        <v>0</v>
      </c>
      <c r="EE177" s="395">
        <f ca="1">IF(SUM($G177:ED177)=$B177,0,IF(EG178&gt;0%,$B177,0%))</f>
        <v>0</v>
      </c>
      <c r="EF177" s="395">
        <f ca="1">IF(SUM($G177:EE177)=$B177,0,IF(EH178&gt;0%,$B177,0%))</f>
        <v>0</v>
      </c>
      <c r="EG177" s="395">
        <f ca="1">IF(SUM($G177:EF177)=$B177,0,IF(EI178&gt;0%,$B177,0%))</f>
        <v>0</v>
      </c>
      <c r="EH177" s="395">
        <f ca="1">IF(SUM($G177:EG177)=$B177,0,IF(EJ178&gt;0%,$B177,0%))</f>
        <v>0</v>
      </c>
      <c r="EI177" s="395">
        <f ca="1">IF(SUM($G177:EH177)=$B177,0,IF(EK178&gt;0%,$B177,0%))</f>
        <v>0</v>
      </c>
      <c r="EJ177" s="398"/>
      <c r="EK177" s="313"/>
    </row>
    <row r="178" spans="1:141" hidden="1" outlineLevel="2">
      <c r="A178" s="332"/>
      <c r="B178" s="549">
        <f>длительность!C192</f>
        <v>0.85</v>
      </c>
      <c r="C178" s="317"/>
      <c r="D178" s="317" t="s">
        <v>663</v>
      </c>
      <c r="E178" s="318">
        <f t="shared" ca="1" si="398"/>
        <v>1.1102230246251565E-16</v>
      </c>
      <c r="F178" s="397">
        <f t="shared" ca="1" si="283"/>
        <v>0.84999999999999987</v>
      </c>
      <c r="G178" s="395"/>
      <c r="H178" s="395"/>
      <c r="I178" s="395">
        <f ca="1">IF($E$350=0,0,IF(SUM($G178:H178)=$B178,0,IF(SUM($G350:H350)&gt;=$E350,($B178/$E350)*($E350-SUM($G350:G350)),($B178/$E350)*H350)))</f>
        <v>0</v>
      </c>
      <c r="J178" s="395">
        <f ca="1">IF($E$350=0,0,IF(SUM($G178:I178)=$B178,0,IF(SUM($G350:I350)&gt;=$E350,($B178/$E350)*($E350-SUM($G350:H350)),($B178/$E350)*I350)))</f>
        <v>0</v>
      </c>
      <c r="K178" s="395">
        <f ca="1">IF($E$350=0,0,IF(SUM($G178:J178)=$B178,0,IF(SUM($G350:J350)&gt;=$E350,($B178/$E350)*($E350-SUM($G350:I350)),($B178/$E350)*J350)))</f>
        <v>0</v>
      </c>
      <c r="L178" s="395">
        <f ca="1">IF($E$350=0,0,IF(SUM($G178:K178)=$B178,0,IF(SUM($G350:K350)&gt;=$E350,($B178/$E350)*($E350-SUM($G350:J350)),($B178/$E350)*K350)))</f>
        <v>0</v>
      </c>
      <c r="M178" s="395">
        <f ca="1">IF($E$350=0,0,IF(SUM($G178:L178)=$B178,0,IF(SUM($G350:L350)&gt;=$E350,($B178/$E350)*($E350-SUM($G350:K350)),($B178/$E350)*L350)))</f>
        <v>0</v>
      </c>
      <c r="N178" s="395">
        <f ca="1">IF($E$350=0,0,IF(SUM($G178:M178)=$B178,0,IF(SUM($G350:M350)&gt;=$E350,($B178/$E350)*($E350-SUM($G350:L350)),($B178/$E350)*M350)))</f>
        <v>0</v>
      </c>
      <c r="O178" s="395">
        <f ca="1">IF($E$350=0,0,IF(SUM($G178:N178)=$B178,0,IF(SUM($G350:N350)&gt;=$E350,($B178/$E350)*($E350-SUM($G350:M350)),($B178/$E350)*N350)))</f>
        <v>0</v>
      </c>
      <c r="P178" s="395">
        <f ca="1">IF($E$350=0,0,IF(SUM($G178:O178)=$B178,0,IF(SUM($G350:O350)&gt;=$E350,($B178/$E350)*($E350-SUM($G350:N350)),($B178/$E350)*O350)))</f>
        <v>0</v>
      </c>
      <c r="Q178" s="395">
        <f ca="1">IF($E$350=0,0,IF(SUM($G178:P178)=$B178,0,IF(SUM($G350:P350)&gt;=$E350,($B178/$E350)*($E350-SUM($G350:O350)),($B178/$E350)*P350)))</f>
        <v>0</v>
      </c>
      <c r="R178" s="395">
        <f ca="1">IF($E$350=0,0,IF(SUM($G178:Q178)=$B178,0,IF(SUM($G350:Q350)&gt;=$E350,($B178/$E350)*($E350-SUM($G350:P350)),($B178/$E350)*Q350)))</f>
        <v>0</v>
      </c>
      <c r="S178" s="395">
        <f ca="1">IF($E$350=0,0,IF(SUM($G178:R178)=$B178,0,IF(SUM($G350:R350)&gt;=$E350,($B178/$E350)*($E350-SUM($G350:Q350)),($B178/$E350)*R350)))</f>
        <v>0</v>
      </c>
      <c r="T178" s="395">
        <f ca="1">IF($E$350=0,0,IF(SUM($G178:S178)=$B178,0,IF(SUM($G350:S350)&gt;=$E350,($B178/$E350)*($E350-SUM($G350:R350)),($B178/$E350)*S350)))</f>
        <v>0</v>
      </c>
      <c r="U178" s="395">
        <f ca="1">IF($E$350=0,0,IF(SUM($G178:T178)=$B178,0,IF(SUM($G350:T350)&gt;=$E350,($B178/$E350)*($E350-SUM($G350:S350)),($B178/$E350)*T350)))</f>
        <v>0</v>
      </c>
      <c r="V178" s="395">
        <f ca="1">IF($E$350=0,0,IF(SUM($G178:U178)=$B178,0,IF(SUM($G350:U350)&gt;=$E350,($B178/$E350)*($E350-SUM($G350:T350)),($B178/$E350)*U350)))</f>
        <v>0</v>
      </c>
      <c r="W178" s="395">
        <f ca="1">IF($E$350=0,0,IF(SUM($G178:V178)=$B178,0,IF(SUM($G350:V350)&gt;=$E350,($B178/$E350)*($E350-SUM($G350:U350)),($B178/$E350)*V350)))</f>
        <v>0</v>
      </c>
      <c r="X178" s="395">
        <f ca="1">IF($E$350=0,0,IF(SUM($G178:W178)=$B178,0,IF(SUM($G350:W350)&gt;=$E350,($B178/$E350)*($E350-SUM($G350:V350)),($B178/$E350)*W350)))</f>
        <v>0</v>
      </c>
      <c r="Y178" s="395">
        <f ca="1">IF($E$350=0,0,IF(SUM($G178:X178)=$B178,0,IF(SUM($G350:X350)&gt;=$E350,($B178/$E350)*($E350-SUM($G350:W350)),($B178/$E350)*X350)))</f>
        <v>0</v>
      </c>
      <c r="Z178" s="395">
        <f ca="1">IF($E$350=0,0,IF(SUM($G178:Y178)=$B178,0,IF(SUM($G350:Y350)&gt;=$E350,($B178/$E350)*($E350-SUM($G350:X350)),($B178/$E350)*Y350)))</f>
        <v>0</v>
      </c>
      <c r="AA178" s="395">
        <f ca="1">IF($E$350=0,0,IF(SUM($G178:Z178)=$B178,0,IF(SUM($G350:Z350)&gt;=$E350,($B178/$E350)*($E350-SUM($G350:Y350)),($B178/$E350)*Z350)))</f>
        <v>0</v>
      </c>
      <c r="AB178" s="395">
        <f ca="1">IF($E$350=0,0,IF(SUM($G178:AA178)=$B178,0,IF(SUM($G350:AA350)&gt;=$E350,($B178/$E350)*($E350-SUM($G350:Z350)),($B178/$E350)*AA350)))</f>
        <v>0</v>
      </c>
      <c r="AC178" s="395">
        <f ca="1">IF($E$350=0,0,IF(SUM($G178:AB178)=$B178,0,IF(SUM($G350:AB350)&gt;=$E350,($B178/$E350)*($E350-SUM($G350:AA350)),($B178/$E350)*AB350)))</f>
        <v>0</v>
      </c>
      <c r="AD178" s="395">
        <f ca="1">IF($E$350=0,0,IF(SUM($G178:AC178)=$B178,0,IF(SUM($G350:AC350)&gt;=$E350,($B178/$E350)*($E350-SUM($G350:AB350)),($B178/$E350)*AC350)))</f>
        <v>0</v>
      </c>
      <c r="AE178" s="395">
        <f ca="1">IF($E$350=0,0,IF(SUM($G178:AD178)=$B178,0,IF(SUM($G350:AD350)&gt;=$E350,($B178/$E350)*($E350-SUM($G350:AC350)),($B178/$E350)*AD350)))</f>
        <v>0</v>
      </c>
      <c r="AF178" s="395">
        <f ca="1">IF($E$350=0,0,IF(SUM($G178:AE178)=$B178,0,IF(SUM($G350:AE350)&gt;=$E350,($B178/$E350)*($E350-SUM($G350:AD350)),($B178/$E350)*AE350)))</f>
        <v>0</v>
      </c>
      <c r="AG178" s="395">
        <f ca="1">IF($E$350=0,0,IF(SUM($G178:AF178)=$B178,0,IF(SUM($G350:AF350)&gt;=$E350,($B178/$E350)*($E350-SUM($G350:AE350)),($B178/$E350)*AF350)))</f>
        <v>0</v>
      </c>
      <c r="AH178" s="395">
        <f ca="1">IF($E$350=0,0,IF(SUM($G178:AG178)=$B178,0,IF(SUM($G350:AG350)&gt;=$E350,($B178/$E350)*($E350-SUM($G350:AF350)),($B178/$E350)*AG350)))</f>
        <v>0</v>
      </c>
      <c r="AI178" s="395">
        <f ca="1">IF($E$350=0,0,IF(SUM($G178:AH178)=$B178,0,IF(SUM($G350:AH350)&gt;=$E350,($B178/$E350)*($E350-SUM($G350:AG350)),($B178/$E350)*AH350)))</f>
        <v>0</v>
      </c>
      <c r="AJ178" s="395">
        <f ca="1">IF($E$350=0,0,IF(SUM($G178:AI178)=$B178,0,IF(SUM($G350:AI350)&gt;=$E350,($B178/$E350)*($E350-SUM($G350:AH350)),($B178/$E350)*AI350)))</f>
        <v>0</v>
      </c>
      <c r="AK178" s="395">
        <f ca="1">IF($E$350=0,0,IF(SUM($G178:AJ178)=$B178,0,IF(SUM($G350:AJ350)&gt;=$E350,($B178/$E350)*($E350-SUM($G350:AI350)),($B178/$E350)*AJ350)))</f>
        <v>0</v>
      </c>
      <c r="AL178" s="395">
        <f ca="1">IF($E$350=0,0,IF(SUM($G178:AK178)=$B178,0,IF(SUM($G350:AK350)&gt;=$E350,($B178/$E350)*($E350-SUM($G350:AJ350)),($B178/$E350)*AK350)))</f>
        <v>0</v>
      </c>
      <c r="AM178" s="395">
        <f ca="1">IF($E$350=0,0,IF(SUM($G178:AL178)=$B178,0,IF(SUM($G350:AL350)&gt;=$E350,($B178/$E350)*($E350-SUM($G350:AK350)),($B178/$E350)*AL350)))</f>
        <v>0</v>
      </c>
      <c r="AN178" s="395">
        <f ca="1">IF($E$350=0,0,IF(SUM($G178:AM178)=$B178,0,IF(SUM($G350:AM350)&gt;=$E350,($B178/$E350)*($E350-SUM($G350:AL350)),($B178/$E350)*AM350)))</f>
        <v>0</v>
      </c>
      <c r="AO178" s="395">
        <f ca="1">IF($E$350=0,0,IF(SUM($G178:AN178)=$B178,0,IF(SUM($G350:AN350)&gt;=$E350,($B178/$E350)*($E350-SUM($G350:AM350)),($B178/$E350)*AN350)))</f>
        <v>0</v>
      </c>
      <c r="AP178" s="395">
        <f ca="1">IF($E$350=0,0,IF(SUM($G178:AO178)=$B178,0,IF(SUM($G350:AO350)&gt;=$E350,($B178/$E350)*($E350-SUM($G350:AN350)),($B178/$E350)*AO350)))</f>
        <v>0</v>
      </c>
      <c r="AQ178" s="395">
        <f ca="1">IF($E$350=0,0,IF(SUM($G178:AP178)=$B178,0,IF(SUM($G350:AP350)&gt;=$E350,($B178/$E350)*($E350-SUM($G350:AO350)),($B178/$E350)*AP350)))</f>
        <v>0</v>
      </c>
      <c r="AR178" s="395">
        <f ca="1">IF($E$350=0,0,IF(SUM($G178:AQ178)=$B178,0,IF(SUM($G350:AQ350)&gt;=$E350,($B178/$E350)*($E350-SUM($G350:AP350)),($B178/$E350)*AQ350)))</f>
        <v>0</v>
      </c>
      <c r="AS178" s="395">
        <f ca="1">IF($E$350=0,0,IF(SUM($G178:AR178)=$B178,0,IF(SUM($G350:AR350)&gt;=$E350,($B178/$E350)*($E350-SUM($G350:AQ350)),($B178/$E350)*AR350)))</f>
        <v>0</v>
      </c>
      <c r="AT178" s="395">
        <f ca="1">IF($E$350=0,0,IF(SUM($G178:AS178)=$B178,0,IF(SUM($G350:AS350)&gt;=$E350,($B178/$E350)*($E350-SUM($G350:AR350)),($B178/$E350)*AS350)))</f>
        <v>0</v>
      </c>
      <c r="AU178" s="395">
        <f ca="1">IF($E$350=0,0,IF(SUM($G178:AT178)=$B178,0,IF(SUM($G350:AT350)&gt;=$E350,($B178/$E350)*($E350-SUM($G350:AS350)),($B178/$E350)*AT350)))</f>
        <v>0</v>
      </c>
      <c r="AV178" s="395">
        <f ca="1">IF($E$350=0,0,IF(SUM($G178:AU178)=$B178,0,IF(SUM($G350:AU350)&gt;=$E350,($B178/$E350)*($E350-SUM($G350:AT350)),($B178/$E350)*AU350)))</f>
        <v>0</v>
      </c>
      <c r="AW178" s="395">
        <f ca="1">IF($E$350=0,0,IF(SUM($G178:AV178)=$B178,0,IF(SUM($G350:AV350)&gt;=$E350,($B178/$E350)*($E350-SUM($G350:AU350)),($B178/$E350)*AV350)))</f>
        <v>1.0199999999999983E-2</v>
      </c>
      <c r="AX178" s="395">
        <f ca="1">IF($E$350=0,0,IF(SUM($G178:AW178)=$B178,0,IF(SUM($G350:AW350)&gt;=$E350,($B178/$E350)*($E350-SUM($G350:AV350)),($B178/$E350)*AW350)))</f>
        <v>8.4999999999999992E-2</v>
      </c>
      <c r="AY178" s="395">
        <f ca="1">IF($E$350=0,0,IF(SUM($G178:AX178)=$B178,0,IF(SUM($G350:AX350)&gt;=$E350,($B178/$E350)*($E350-SUM($G350:AW350)),($B178/$E350)*AX350)))</f>
        <v>8.7833333333333333E-2</v>
      </c>
      <c r="AZ178" s="395">
        <f ca="1">IF($E$350=0,0,IF(SUM($G178:AY178)=$B178,0,IF(SUM($G350:AY350)&gt;=$E350,($B178/$E350)*($E350-SUM($G350:AX350)),($B178/$E350)*AY350)))</f>
        <v>8.4999999999999992E-2</v>
      </c>
      <c r="BA178" s="395">
        <f ca="1">IF($E$350=0,0,IF(SUM($G178:AZ178)=$B178,0,IF(SUM($G350:AZ350)&gt;=$E350,($B178/$E350)*($E350-SUM($G350:AY350)),($B178/$E350)*AZ350)))</f>
        <v>8.7833333333333333E-2</v>
      </c>
      <c r="BB178" s="395">
        <f ca="1">IF($E$350=0,0,IF(SUM($G178:BA178)=$B178,0,IF(SUM($G350:BA350)&gt;=$E350,($B178/$E350)*($E350-SUM($G350:AZ350)),($B178/$E350)*BA350)))</f>
        <v>8.7833333333333333E-2</v>
      </c>
      <c r="BC178" s="395">
        <f ca="1">IF($E$350=0,0,IF(SUM($G178:BB178)=$B178,0,IF(SUM($G350:BB350)&gt;=$E350,($B178/$E350)*($E350-SUM($G350:BA350)),($B178/$E350)*BB350)))</f>
        <v>7.9333333333333325E-2</v>
      </c>
      <c r="BD178" s="395">
        <f ca="1">IF($E$350=0,0,IF(SUM($G178:BC178)=$B178,0,IF(SUM($G350:BC350)&gt;=$E350,($B178/$E350)*($E350-SUM($G350:BB350)),($B178/$E350)*BC350)))</f>
        <v>8.7833333333333333E-2</v>
      </c>
      <c r="BE178" s="395">
        <f ca="1">IF($E$350=0,0,IF(SUM($G178:BD178)=$B178,0,IF(SUM($G350:BD350)&gt;=$E350,($B178/$E350)*($E350-SUM($G350:BC350)),($B178/$E350)*BD350)))</f>
        <v>8.4999999999999992E-2</v>
      </c>
      <c r="BF178" s="395">
        <f ca="1">IF($E$350=0,0,IF(SUM($G178:BE178)=$B178,0,IF(SUM($G350:BE350)&gt;=$E350,($B178/$E350)*($E350-SUM($G350:BD350)),($B178/$E350)*BE350)))</f>
        <v>8.7833333333333333E-2</v>
      </c>
      <c r="BG178" s="395">
        <f ca="1">IF($E$350=0,0,IF(SUM($G178:BF178)=$B178,0,IF(SUM($G350:BF350)&gt;=$E350,($B178/$E350)*($E350-SUM($G350:BE350)),($B178/$E350)*BF350)))</f>
        <v>6.6299999999999928E-2</v>
      </c>
      <c r="BH178" s="395">
        <f ca="1">IF($E$350=0,0,IF(SUM($G178:BG178)=$B178,0,IF(SUM($G350:BG350)&gt;=$E350,($B178/$E350)*($E350-SUM($G350:BF350)),($B178/$E350)*BG350)))</f>
        <v>0</v>
      </c>
      <c r="BI178" s="395">
        <f ca="1">IF($E$350=0,0,IF(SUM($G178:BH178)=$B178,0,IF(SUM($G350:BH350)&gt;=$E350,($B178/$E350)*($E350-SUM($G350:BG350)),($B178/$E350)*BH350)))</f>
        <v>0</v>
      </c>
      <c r="BJ178" s="395">
        <f ca="1">IF($E$350=0,0,IF(SUM($G178:BI178)=$B178,0,IF(SUM($G350:BI350)&gt;=$E350,($B178/$E350)*($E350-SUM($G350:BH350)),($B178/$E350)*BI350)))</f>
        <v>0</v>
      </c>
      <c r="BK178" s="395">
        <f ca="1">IF($E$350=0,0,IF(SUM($G178:BJ178)=$B178,0,IF(SUM($G350:BJ350)&gt;=$E350,($B178/$E350)*($E350-SUM($G350:BI350)),($B178/$E350)*BJ350)))</f>
        <v>0</v>
      </c>
      <c r="BL178" s="395">
        <f ca="1">IF($E$350=0,0,IF(SUM($G178:BK178)=$B178,0,IF(SUM($G350:BK350)&gt;=$E350,($B178/$E350)*($E350-SUM($G350:BJ350)),($B178/$E350)*BK350)))</f>
        <v>0</v>
      </c>
      <c r="BM178" s="395">
        <f ca="1">IF($E$350=0,0,IF(SUM($G178:BL178)=$B178,0,IF(SUM($G350:BL350)&gt;=$E350,($B178/$E350)*($E350-SUM($G350:BK350)),($B178/$E350)*BL350)))</f>
        <v>0</v>
      </c>
      <c r="BN178" s="395">
        <f ca="1">IF($E$350=0,0,IF(SUM($G178:BM178)=$B178,0,IF(SUM($G350:BM350)&gt;=$E350,($B178/$E350)*($E350-SUM($G350:BL350)),($B178/$E350)*BM350)))</f>
        <v>0</v>
      </c>
      <c r="BO178" s="395">
        <f ca="1">IF($E$350=0,0,IF(SUM($G178:BN178)=$B178,0,IF(SUM($G350:BN350)&gt;=$E350,($B178/$E350)*($E350-SUM($G350:BM350)),($B178/$E350)*BN350)))</f>
        <v>0</v>
      </c>
      <c r="BP178" s="395">
        <f ca="1">IF($E$350=0,0,IF(SUM($G178:BO178)=$B178,0,IF(SUM($G350:BO350)&gt;=$E350,($B178/$E350)*($E350-SUM($G350:BN350)),($B178/$E350)*BO350)))</f>
        <v>0</v>
      </c>
      <c r="BQ178" s="395">
        <f ca="1">IF($E$350=0,0,IF(SUM($G178:BP178)=$B178,0,IF(SUM($G350:BP350)&gt;=$E350,($B178/$E350)*($E350-SUM($G350:BO350)),($B178/$E350)*BP350)))</f>
        <v>0</v>
      </c>
      <c r="BR178" s="395">
        <f ca="1">IF($E$350=0,0,IF(SUM($G178:BQ178)=$B178,0,IF(SUM($G350:BQ350)&gt;=$E350,($B178/$E350)*($E350-SUM($G350:BP350)),($B178/$E350)*BQ350)))</f>
        <v>0</v>
      </c>
      <c r="BS178" s="395">
        <f ca="1">IF($E$350=0,0,IF(SUM($G178:BR178)=$B178,0,IF(SUM($G350:BR350)&gt;=$E350,($B178/$E350)*($E350-SUM($G350:BQ350)),($B178/$E350)*BR350)))</f>
        <v>0</v>
      </c>
      <c r="BT178" s="395">
        <f ca="1">IF($E$350=0,0,IF(SUM($G178:BS178)=$B178,0,IF(SUM($G350:BS350)&gt;=$E350,($B178/$E350)*($E350-SUM($G350:BR350)),($B178/$E350)*BS350)))</f>
        <v>0</v>
      </c>
      <c r="BU178" s="395">
        <f ca="1">IF($E$350=0,0,IF(SUM($G178:BT178)=$B178,0,IF(SUM($G350:BT350)&gt;=$E350,($B178/$E350)*($E350-SUM($G350:BS350)),($B178/$E350)*BT350)))</f>
        <v>0</v>
      </c>
      <c r="BV178" s="395">
        <f ca="1">IF($E$350=0,0,IF(SUM($G178:BU178)=$B178,0,IF(SUM($G350:BU350)&gt;=$E350,($B178/$E350)*($E350-SUM($G350:BT350)),($B178/$E350)*BU350)))</f>
        <v>0</v>
      </c>
      <c r="BW178" s="395">
        <f ca="1">IF($E$350=0,0,IF(SUM($G178:BV178)=$B178,0,IF(SUM($G350:BV350)&gt;=$E350,($B178/$E350)*($E350-SUM($G350:BU350)),($B178/$E350)*BV350)))</f>
        <v>0</v>
      </c>
      <c r="BX178" s="395">
        <f ca="1">IF($E$350=0,0,IF(SUM($G178:BW178)=$B178,0,IF(SUM($G350:BW350)&gt;=$E350,($B178/$E350)*($E350-SUM($G350:BV350)),($B178/$E350)*BW350)))</f>
        <v>0</v>
      </c>
      <c r="BY178" s="395">
        <f ca="1">IF($E$350=0,0,IF(SUM($G178:BX178)=$B178,0,IF(SUM($G350:BX350)&gt;=$E350,($B178/$E350)*($E350-SUM($G350:BW350)),($B178/$E350)*BX350)))</f>
        <v>0</v>
      </c>
      <c r="BZ178" s="395">
        <f ca="1">IF($E$350=0,0,IF(SUM($G178:BY178)=$B178,0,IF(SUM($G350:BY350)&gt;=$E350,($B178/$E350)*($E350-SUM($G350:BX350)),($B178/$E350)*BY350)))</f>
        <v>0</v>
      </c>
      <c r="CA178" s="395">
        <f ca="1">IF($E$350=0,0,IF(SUM($G178:BZ178)=$B178,0,IF(SUM($G350:BZ350)&gt;=$E350,($B178/$E350)*($E350-SUM($G350:BY350)),($B178/$E350)*BZ350)))</f>
        <v>0</v>
      </c>
      <c r="CB178" s="395">
        <f ca="1">IF($E$350=0,0,IF(SUM($G178:CA178)=$B178,0,IF(SUM($G350:CA350)&gt;=$E350,($B178/$E350)*($E350-SUM($G350:BZ350)),($B178/$E350)*CA350)))</f>
        <v>0</v>
      </c>
      <c r="CC178" s="395">
        <f ca="1">IF($E$350=0,0,IF(SUM($G178:CB178)=$B178,0,IF(SUM($G350:CB350)&gt;=$E350,($B178/$E350)*($E350-SUM($G350:CA350)),($B178/$E350)*CB350)))</f>
        <v>0</v>
      </c>
      <c r="CD178" s="395">
        <f ca="1">IF($E$350=0,0,IF(SUM($G178:CC178)=$B178,0,IF(SUM($G350:CC350)&gt;=$E350,($B178/$E350)*($E350-SUM($G350:CB350)),($B178/$E350)*CC350)))</f>
        <v>0</v>
      </c>
      <c r="CE178" s="395">
        <f ca="1">IF($E$350=0,0,IF(SUM($G178:CD178)=$B178,0,IF(SUM($G350:CD350)&gt;=$E350,($B178/$E350)*($E350-SUM($G350:CC350)),($B178/$E350)*CD350)))</f>
        <v>0</v>
      </c>
      <c r="CF178" s="395">
        <f ca="1">IF($E$350=0,0,IF(SUM($G178:CE178)=$B178,0,IF(SUM($G350:CE350)&gt;=$E350,($B178/$E350)*($E350-SUM($G350:CD350)),($B178/$E350)*CE350)))</f>
        <v>0</v>
      </c>
      <c r="CG178" s="395">
        <f ca="1">IF($E$350=0,0,IF(SUM($G178:CF178)=$B178,0,IF(SUM($G350:CF350)&gt;=$E350,($B178/$E350)*($E350-SUM($G350:CE350)),($B178/$E350)*CF350)))</f>
        <v>0</v>
      </c>
      <c r="CH178" s="395">
        <f ca="1">IF($E$350=0,0,IF(SUM($G178:CG178)=$B178,0,IF(SUM($G350:CG350)&gt;=$E350,($B178/$E350)*($E350-SUM($G350:CF350)),($B178/$E350)*CG350)))</f>
        <v>0</v>
      </c>
      <c r="CI178" s="395">
        <f ca="1">IF($E$350=0,0,IF(SUM($G178:CH178)=$B178,0,IF(SUM($G350:CH350)&gt;=$E350,($B178/$E350)*($E350-SUM($G350:CG350)),($B178/$E350)*CH350)))</f>
        <v>0</v>
      </c>
      <c r="CJ178" s="395">
        <f ca="1">IF($E$350=0,0,IF(SUM($G178:CI178)=$B178,0,IF(SUM($G350:CI350)&gt;=$E350,($B178/$E350)*($E350-SUM($G350:CH350)),($B178/$E350)*CI350)))</f>
        <v>0</v>
      </c>
      <c r="CK178" s="395">
        <f ca="1">IF($E$350=0,0,IF(SUM($G178:CJ178)=$B178,0,IF(SUM($G350:CJ350)&gt;=$E350,($B178/$E350)*($E350-SUM($G350:CI350)),($B178/$E350)*CJ350)))</f>
        <v>0</v>
      </c>
      <c r="CL178" s="395">
        <f ca="1">IF($E$350=0,0,IF(SUM($G178:CK178)=$B178,0,IF(SUM($G350:CK350)&gt;=$E350,($B178/$E350)*($E350-SUM($G350:CJ350)),($B178/$E350)*CK350)))</f>
        <v>0</v>
      </c>
      <c r="CM178" s="395">
        <f ca="1">IF($E$350=0,0,IF(SUM($G178:CL178)=$B178,0,IF(SUM($G350:CL350)&gt;=$E350,($B178/$E350)*($E350-SUM($G350:CK350)),($B178/$E350)*CL350)))</f>
        <v>0</v>
      </c>
      <c r="CN178" s="395">
        <f ca="1">IF($E$350=0,0,IF(SUM($G178:CM178)=$B178,0,IF(SUM($G350:CM350)&gt;=$E350,($B178/$E350)*($E350-SUM($G350:CL350)),($B178/$E350)*CM350)))</f>
        <v>0</v>
      </c>
      <c r="CO178" s="395">
        <f ca="1">IF($E$350=0,0,IF(SUM($G178:CN178)=$B178,0,IF(SUM($G350:CN350)&gt;=$E350,($B178/$E350)*($E350-SUM($G350:CM350)),($B178/$E350)*CN350)))</f>
        <v>0</v>
      </c>
      <c r="CP178" s="395">
        <f ca="1">IF($E$350=0,0,IF(SUM($G178:CO178)=$B178,0,IF(SUM($G350:CO350)&gt;=$E350,($B178/$E350)*($E350-SUM($G350:CN350)),($B178/$E350)*CO350)))</f>
        <v>0</v>
      </c>
      <c r="CQ178" s="395">
        <f ca="1">IF($E$350=0,0,IF(SUM($G178:CP178)=$B178,0,IF(SUM($G350:CP350)&gt;=$E350,($B178/$E350)*($E350-SUM($G350:CO350)),($B178/$E350)*CP350)))</f>
        <v>0</v>
      </c>
      <c r="CR178" s="395">
        <f ca="1">IF($E$350=0,0,IF(SUM($G178:CQ178)=$B178,0,IF(SUM($G350:CQ350)&gt;=$E350,($B178/$E350)*($E350-SUM($G350:CP350)),($B178/$E350)*CQ350)))</f>
        <v>0</v>
      </c>
      <c r="CS178" s="395">
        <f ca="1">IF($E$350=0,0,IF(SUM($G178:CR178)=$B178,0,IF(SUM($G350:CR350)&gt;=$E350,($B178/$E350)*($E350-SUM($G350:CQ350)),($B178/$E350)*CR350)))</f>
        <v>0</v>
      </c>
      <c r="CT178" s="395">
        <f ca="1">IF($E$350=0,0,IF(SUM($G178:CS178)=$B178,0,IF(SUM($G350:CS350)&gt;=$E350,($B178/$E350)*($E350-SUM($G350:CR350)),($B178/$E350)*CS350)))</f>
        <v>0</v>
      </c>
      <c r="CU178" s="395">
        <f ca="1">IF($E$350=0,0,IF(SUM($G178:CT178)=$B178,0,IF(SUM($G350:CT350)&gt;=$E350,($B178/$E350)*($E350-SUM($G350:CS350)),($B178/$E350)*CT350)))</f>
        <v>0</v>
      </c>
      <c r="CV178" s="395">
        <f ca="1">IF($E$350=0,0,IF(SUM($G178:CU178)=$B178,0,IF(SUM($G350:CU350)&gt;=$E350,($B178/$E350)*($E350-SUM($G350:CT350)),($B178/$E350)*CU350)))</f>
        <v>0</v>
      </c>
      <c r="CW178" s="395">
        <f ca="1">IF($E$350=0,0,IF(SUM($G178:CV178)=$B178,0,IF(SUM($G350:CV350)&gt;=$E350,($B178/$E350)*($E350-SUM($G350:CU350)),($B178/$E350)*CV350)))</f>
        <v>0</v>
      </c>
      <c r="CX178" s="395">
        <f ca="1">IF($E$350=0,0,IF(SUM($G178:CW178)=$B178,0,IF(SUM($G350:CW350)&gt;=$E350,($B178/$E350)*($E350-SUM($G350:CV350)),($B178/$E350)*CW350)))</f>
        <v>0</v>
      </c>
      <c r="CY178" s="395">
        <f ca="1">IF($E$350=0,0,IF(SUM($G178:CX178)=$B178,0,IF(SUM($G350:CX350)&gt;=$E350,($B178/$E350)*($E350-SUM($G350:CW350)),($B178/$E350)*CX350)))</f>
        <v>0</v>
      </c>
      <c r="CZ178" s="395">
        <f ca="1">IF($E$350=0,0,IF(SUM($G178:CY178)=$B178,0,IF(SUM($G350:CY350)&gt;=$E350,($B178/$E350)*($E350-SUM($G350:CX350)),($B178/$E350)*CY350)))</f>
        <v>0</v>
      </c>
      <c r="DA178" s="395">
        <f ca="1">IF($E$350=0,0,IF(SUM($G178:CZ178)=$B178,0,IF(SUM($G350:CZ350)&gt;=$E350,($B178/$E350)*($E350-SUM($G350:CY350)),($B178/$E350)*CZ350)))</f>
        <v>0</v>
      </c>
      <c r="DB178" s="395">
        <f ca="1">IF($E$350=0,0,IF(SUM($G178:DA178)=$B178,0,IF(SUM($G350:DA350)&gt;=$E350,($B178/$E350)*($E350-SUM($G350:CZ350)),($B178/$E350)*DA350)))</f>
        <v>0</v>
      </c>
      <c r="DC178" s="395">
        <f ca="1">IF($E$350=0,0,IF(SUM($G178:DB178)=$B178,0,IF(SUM($G350:DB350)&gt;=$E350,($B178/$E350)*($E350-SUM($G350:DA350)),($B178/$E350)*DB350)))</f>
        <v>0</v>
      </c>
      <c r="DD178" s="395">
        <f ca="1">IF($E$350=0,0,IF(SUM($G178:DC178)=$B178,0,IF(SUM($G350:DC350)&gt;=$E350,($B178/$E350)*($E350-SUM($G350:DB350)),($B178/$E350)*DC350)))</f>
        <v>0</v>
      </c>
      <c r="DE178" s="395">
        <f ca="1">IF($E$350=0,0,IF(SUM($G178:DD178)=$B178,0,IF(SUM($G350:DD350)&gt;=$E350,($B178/$E350)*($E350-SUM($G350:DC350)),($B178/$E350)*DD350)))</f>
        <v>0</v>
      </c>
      <c r="DF178" s="395">
        <f ca="1">IF($E$350=0,0,IF(SUM($G178:DE178)=$B178,0,IF(SUM($G350:DE350)&gt;=$E350,($B178/$E350)*($E350-SUM($G350:DD350)),($B178/$E350)*DE350)))</f>
        <v>0</v>
      </c>
      <c r="DG178" s="395">
        <f ca="1">IF($E$350=0,0,IF(SUM($G178:DF178)=$B178,0,IF(SUM($G350:DF350)&gt;=$E350,($B178/$E350)*($E350-SUM($G350:DE350)),($B178/$E350)*DF350)))</f>
        <v>0</v>
      </c>
      <c r="DH178" s="395">
        <f ca="1">IF($E$350=0,0,IF(SUM($G178:DG178)=$B178,0,IF(SUM($G350:DG350)&gt;=$E350,($B178/$E350)*($E350-SUM($G350:DF350)),($B178/$E350)*DG350)))</f>
        <v>0</v>
      </c>
      <c r="DI178" s="395">
        <f ca="1">IF($E$350=0,0,IF(SUM($G178:DH178)=$B178,0,IF(SUM($G350:DH350)&gt;=$E350,($B178/$E350)*($E350-SUM($G350:DG350)),($B178/$E350)*DH350)))</f>
        <v>0</v>
      </c>
      <c r="DJ178" s="395">
        <f ca="1">IF($E$350=0,0,IF(SUM($G178:DI178)=$B178,0,IF(SUM($G350:DI350)&gt;=$E350,($B178/$E350)*($E350-SUM($G350:DH350)),($B178/$E350)*DI350)))</f>
        <v>0</v>
      </c>
      <c r="DK178" s="395">
        <f ca="1">IF($E$350=0,0,IF(SUM($G178:DJ178)=$B178,0,IF(SUM($G350:DJ350)&gt;=$E350,($B178/$E350)*($E350-SUM($G350:DI350)),($B178/$E350)*DJ350)))</f>
        <v>0</v>
      </c>
      <c r="DL178" s="395">
        <f ca="1">IF($E$350=0,0,IF(SUM($G178:DK178)=$B178,0,IF(SUM($G350:DK350)&gt;=$E350,($B178/$E350)*($E350-SUM($G350:DJ350)),($B178/$E350)*DK350)))</f>
        <v>0</v>
      </c>
      <c r="DM178" s="395">
        <f ca="1">IF($E$350=0,0,IF(SUM($G178:DL178)=$B178,0,IF(SUM($G350:DL350)&gt;=$E350,($B178/$E350)*($E350-SUM($G350:DK350)),($B178/$E350)*DL350)))</f>
        <v>0</v>
      </c>
      <c r="DN178" s="395">
        <f ca="1">IF($E$350=0,0,IF(SUM($G178:DM178)=$B178,0,IF(SUM($G350:DM350)&gt;=$E350,($B178/$E350)*($E350-SUM($G350:DL350)),($B178/$E350)*DM350)))</f>
        <v>0</v>
      </c>
      <c r="DO178" s="395">
        <f ca="1">IF($E$350=0,0,IF(SUM($G178:DN178)=$B178,0,IF(SUM($G350:DN350)&gt;=$E350,($B178/$E350)*($E350-SUM($G350:DM350)),($B178/$E350)*DN350)))</f>
        <v>0</v>
      </c>
      <c r="DP178" s="395">
        <f ca="1">IF($E$350=0,0,IF(SUM($G178:DO178)=$B178,0,IF(SUM($G350:DO350)&gt;=$E350,($B178/$E350)*($E350-SUM($G350:DN350)),($B178/$E350)*DO350)))</f>
        <v>0</v>
      </c>
      <c r="DQ178" s="395">
        <f ca="1">IF($E$350=0,0,IF(SUM($G178:DP178)=$B178,0,IF(SUM($G350:DP350)&gt;=$E350,($B178/$E350)*($E350-SUM($G350:DO350)),($B178/$E350)*DP350)))</f>
        <v>0</v>
      </c>
      <c r="DR178" s="395">
        <f ca="1">IF($E$350=0,0,IF(SUM($G178:DQ178)=$B178,0,IF(SUM($G350:DQ350)&gt;=$E350,($B178/$E350)*($E350-SUM($G350:DP350)),($B178/$E350)*DQ350)))</f>
        <v>0</v>
      </c>
      <c r="DS178" s="395">
        <f ca="1">IF($E$350=0,0,IF(SUM($G178:DR178)=$B178,0,IF(SUM($G350:DR350)&gt;=$E350,($B178/$E350)*($E350-SUM($G350:DQ350)),($B178/$E350)*DR350)))</f>
        <v>0</v>
      </c>
      <c r="DT178" s="395">
        <f ca="1">IF($E$350=0,0,IF(SUM($G178:DS178)=$B178,0,IF(SUM($G350:DS350)&gt;=$E350,($B178/$E350)*($E350-SUM($G350:DR350)),($B178/$E350)*DS350)))</f>
        <v>0</v>
      </c>
      <c r="DU178" s="395">
        <f ca="1">IF($E$350=0,0,IF(SUM($G178:DT178)=$B178,0,IF(SUM($G350:DT350)&gt;=$E350,($B178/$E350)*($E350-SUM($G350:DS350)),($B178/$E350)*DT350)))</f>
        <v>0</v>
      </c>
      <c r="DV178" s="395">
        <f ca="1">IF($E$350=0,0,IF(SUM($G178:DU178)=$B178,0,IF(SUM($G350:DU350)&gt;=$E350,($B178/$E350)*($E350-SUM($G350:DT350)),($B178/$E350)*DU350)))</f>
        <v>0</v>
      </c>
      <c r="DW178" s="395">
        <f ca="1">IF($E$350=0,0,IF(SUM($G178:DV178)=$B178,0,IF(SUM($G350:DV350)&gt;=$E350,($B178/$E350)*($E350-SUM($G350:DU350)),($B178/$E350)*DV350)))</f>
        <v>0</v>
      </c>
      <c r="DX178" s="395">
        <f ca="1">IF($E$350=0,0,IF(SUM($G178:DW178)=$B178,0,IF(SUM($G350:DW350)&gt;=$E350,($B178/$E350)*($E350-SUM($G350:DV350)),($B178/$E350)*DW350)))</f>
        <v>0</v>
      </c>
      <c r="DY178" s="395">
        <f ca="1">IF($E$350=0,0,IF(SUM($G178:DX178)=$B178,0,IF(SUM($G350:DX350)&gt;=$E350,($B178/$E350)*($E350-SUM($G350:DW350)),($B178/$E350)*DX350)))</f>
        <v>0</v>
      </c>
      <c r="DZ178" s="395">
        <f ca="1">IF($E$350=0,0,IF(SUM($G178:DY178)=$B178,0,IF(SUM($G350:DY350)&gt;=$E350,($B178/$E350)*($E350-SUM($G350:DX350)),($B178/$E350)*DY350)))</f>
        <v>0</v>
      </c>
      <c r="EA178" s="395">
        <f ca="1">IF($E$350=0,0,IF(SUM($G178:DZ178)=$B178,0,IF(SUM($G350:DZ350)&gt;=$E350,($B178/$E350)*($E350-SUM($G350:DY350)),($B178/$E350)*DZ350)))</f>
        <v>0</v>
      </c>
      <c r="EB178" s="395">
        <f ca="1">IF($E$350=0,0,IF(SUM($G178:EA178)=$B178,0,IF(SUM($G350:EA350)&gt;=$E350,($B178/$E350)*($E350-SUM($G350:DZ350)),($B178/$E350)*EA350)))</f>
        <v>0</v>
      </c>
      <c r="EC178" s="395">
        <f ca="1">IF($E$350=0,0,IF(SUM($G178:EB178)=$B178,0,IF(SUM($G350:EB350)&gt;=$E350,($B178/$E350)*($E350-SUM($G350:EA350)),($B178/$E350)*EB350)))</f>
        <v>0</v>
      </c>
      <c r="ED178" s="395">
        <f ca="1">IF($E$350=0,0,IF(SUM($G178:EC178)=$B178,0,IF(SUM($G350:EC350)&gt;=$E350,($B178/$E350)*($E350-SUM($G350:EB350)),($B178/$E350)*EC350)))</f>
        <v>0</v>
      </c>
      <c r="EE178" s="395">
        <f ca="1">IF($E$350=0,0,IF(SUM($G178:ED178)=$B178,0,IF(SUM($G350:ED350)&gt;=$E350,($B178/$E350)*($E350-SUM($G350:EC350)),($B178/$E350)*ED350)))</f>
        <v>0</v>
      </c>
      <c r="EF178" s="395">
        <f ca="1">IF($E$350=0,0,IF(SUM($G178:EE178)=$B178,0,IF(SUM($G350:EE350)&gt;=$E350,($B178/$E350)*($E350-SUM($G350:ED350)),($B178/$E350)*EE350)))</f>
        <v>0</v>
      </c>
      <c r="EG178" s="395">
        <f ca="1">IF($E$350=0,0,IF(SUM($G178:EF178)=$B178,0,IF(SUM($G350:EF350)&gt;=$E350,($B178/$E350)*($E350-SUM($G350:EE350)),($B178/$E350)*EF350)))</f>
        <v>0</v>
      </c>
      <c r="EH178" s="395">
        <f ca="1">IF($E$350=0,0,IF(SUM($G178:EG178)=$B178,0,IF(SUM($G350:EG350)&gt;=$E350,($B178/$E350)*($E350-SUM($G350:EF350)),($B178/$E350)*EG350)))</f>
        <v>0</v>
      </c>
      <c r="EI178" s="395">
        <f ca="1">IF($E$350=0,0,IF(SUM($G178:EH178)=$B178,0,IF(SUM($G350:EH350)&gt;=$E350,($B178/$E350)*($E350-SUM($G350:EG350)),($B178/$E350)*EH350)))</f>
        <v>0</v>
      </c>
      <c r="EJ178" s="398"/>
      <c r="EK178" s="313"/>
    </row>
    <row r="179" spans="1:141" hidden="1" outlineLevel="2">
      <c r="A179" s="332"/>
      <c r="B179" s="549">
        <f>длительность!D192</f>
        <v>2.5000000000000001E-2</v>
      </c>
      <c r="C179" s="317"/>
      <c r="D179" s="317" t="s">
        <v>638</v>
      </c>
      <c r="E179" s="318">
        <f t="shared" ca="1" si="398"/>
        <v>0</v>
      </c>
      <c r="F179" s="397">
        <f ca="1">SUM(G179:EJ179)</f>
        <v>2.5000000000000001E-2</v>
      </c>
      <c r="G179" s="395"/>
      <c r="H179" s="395">
        <f ca="1">IF($E$350=0,0,IF(SUM($G179:G179)=$B179,0,IF(SUM(H178:$EJ178)=0%,$B179,0%)))</f>
        <v>0</v>
      </c>
      <c r="I179" s="395">
        <f ca="1">IF($E$350=0,0,IF(SUM($G179:H179)=$B179,0,IF(SUM(I178:$EJ178)=0%,$B179,0%)))</f>
        <v>0</v>
      </c>
      <c r="J179" s="395">
        <f ca="1">IF($E$350=0,0,IF(SUM($G179:I179)=$B179,0,IF(SUM(J178:$EJ178)=0%,$B179,0%)))</f>
        <v>0</v>
      </c>
      <c r="K179" s="395">
        <f ca="1">IF($E$350=0,0,IF(SUM($G179:J179)=$B179,0,IF(SUM(K178:$EJ178)=0%,$B179,0%)))</f>
        <v>0</v>
      </c>
      <c r="L179" s="395">
        <f ca="1">IF($E$350=0,0,IF(SUM($G179:K179)=$B179,0,IF(SUM(L178:$EJ178)=0%,$B179,0%)))</f>
        <v>0</v>
      </c>
      <c r="M179" s="395">
        <f ca="1">IF($E$350=0,0,IF(SUM($G179:L179)=$B179,0,IF(SUM(M178:$EJ178)=0%,$B179,0%)))</f>
        <v>0</v>
      </c>
      <c r="N179" s="395">
        <f ca="1">IF($E$350=0,0,IF(SUM($G179:M179)=$B179,0,IF(SUM(N178:$EJ178)=0%,$B179,0%)))</f>
        <v>0</v>
      </c>
      <c r="O179" s="395">
        <f ca="1">IF($E$350=0,0,IF(SUM($G179:N179)=$B179,0,IF(SUM(O178:$EJ178)=0%,$B179,0%)))</f>
        <v>0</v>
      </c>
      <c r="P179" s="395">
        <f ca="1">IF($E$350=0,0,IF(SUM($G179:O179)=$B179,0,IF(SUM(P178:$EJ178)=0%,$B179,0%)))</f>
        <v>0</v>
      </c>
      <c r="Q179" s="395">
        <f ca="1">IF($E$350=0,0,IF(SUM($G179:P179)=$B179,0,IF(SUM(Q178:$EJ178)=0%,$B179,0%)))</f>
        <v>0</v>
      </c>
      <c r="R179" s="395">
        <f ca="1">IF($E$350=0,0,IF(SUM($G179:Q179)=$B179,0,IF(SUM(R178:$EJ178)=0%,$B179,0%)))</f>
        <v>0</v>
      </c>
      <c r="S179" s="395">
        <f ca="1">IF($E$350=0,0,IF(SUM($G179:R179)=$B179,0,IF(SUM(S178:$EJ178)=0%,$B179,0%)))</f>
        <v>0</v>
      </c>
      <c r="T179" s="395">
        <f ca="1">IF($E$350=0,0,IF(SUM($G179:S179)=$B179,0,IF(SUM(T178:$EJ178)=0%,$B179,0%)))</f>
        <v>0</v>
      </c>
      <c r="U179" s="395">
        <f ca="1">IF($E$350=0,0,IF(SUM($G179:T179)=$B179,0,IF(SUM(U178:$EJ178)=0%,$B179,0%)))</f>
        <v>0</v>
      </c>
      <c r="V179" s="395">
        <f ca="1">IF($E$350=0,0,IF(SUM($G179:U179)=$B179,0,IF(SUM(V178:$EJ178)=0%,$B179,0%)))</f>
        <v>0</v>
      </c>
      <c r="W179" s="395">
        <f ca="1">IF($E$350=0,0,IF(SUM($G179:V179)=$B179,0,IF(SUM(W178:$EJ178)=0%,$B179,0%)))</f>
        <v>0</v>
      </c>
      <c r="X179" s="395">
        <f ca="1">IF($E$350=0,0,IF(SUM($G179:W179)=$B179,0,IF(SUM(X178:$EJ178)=0%,$B179,0%)))</f>
        <v>0</v>
      </c>
      <c r="Y179" s="395">
        <f ca="1">IF($E$350=0,0,IF(SUM($G179:X179)=$B179,0,IF(SUM(Y178:$EJ178)=0%,$B179,0%)))</f>
        <v>0</v>
      </c>
      <c r="Z179" s="395">
        <f ca="1">IF($E$350=0,0,IF(SUM($G179:Y179)=$B179,0,IF(SUM(Z178:$EJ178)=0%,$B179,0%)))</f>
        <v>0</v>
      </c>
      <c r="AA179" s="395">
        <f ca="1">IF($E$350=0,0,IF(SUM($G179:Z179)=$B179,0,IF(SUM(AA178:$EJ178)=0%,$B179,0%)))</f>
        <v>0</v>
      </c>
      <c r="AB179" s="395">
        <f ca="1">IF($E$350=0,0,IF(SUM($G179:AA179)=$B179,0,IF(SUM(AB178:$EJ178)=0%,$B179,0%)))</f>
        <v>0</v>
      </c>
      <c r="AC179" s="395">
        <f ca="1">IF($E$350=0,0,IF(SUM($G179:AB179)=$B179,0,IF(SUM(AC178:$EJ178)=0%,$B179,0%)))</f>
        <v>0</v>
      </c>
      <c r="AD179" s="395">
        <f ca="1">IF($E$350=0,0,IF(SUM($G179:AC179)=$B179,0,IF(SUM(AD178:$EJ178)=0%,$B179,0%)))</f>
        <v>0</v>
      </c>
      <c r="AE179" s="395">
        <f ca="1">IF($E$350=0,0,IF(SUM($G179:AD179)=$B179,0,IF(SUM(AE178:$EJ178)=0%,$B179,0%)))</f>
        <v>0</v>
      </c>
      <c r="AF179" s="395">
        <f ca="1">IF($E$350=0,0,IF(SUM($G179:AE179)=$B179,0,IF(SUM(AF178:$EJ178)=0%,$B179,0%)))</f>
        <v>0</v>
      </c>
      <c r="AG179" s="395">
        <f ca="1">IF($E$350=0,0,IF(SUM($G179:AF179)=$B179,0,IF(SUM(AG178:$EJ178)=0%,$B179,0%)))</f>
        <v>0</v>
      </c>
      <c r="AH179" s="395">
        <f ca="1">IF($E$350=0,0,IF(SUM($G179:AG179)=$B179,0,IF(SUM(AH178:$EJ178)=0%,$B179,0%)))</f>
        <v>0</v>
      </c>
      <c r="AI179" s="395">
        <f ca="1">IF($E$350=0,0,IF(SUM($G179:AH179)=$B179,0,IF(SUM(AI178:$EJ178)=0%,$B179,0%)))</f>
        <v>0</v>
      </c>
      <c r="AJ179" s="395">
        <f ca="1">IF($E$350=0,0,IF(SUM($G179:AI179)=$B179,0,IF(SUM(AJ178:$EJ178)=0%,$B179,0%)))</f>
        <v>0</v>
      </c>
      <c r="AK179" s="395">
        <f ca="1">IF($E$350=0,0,IF(SUM($G179:AJ179)=$B179,0,IF(SUM(AK178:$EJ178)=0%,$B179,0%)))</f>
        <v>0</v>
      </c>
      <c r="AL179" s="395">
        <f ca="1">IF($E$350=0,0,IF(SUM($G179:AK179)=$B179,0,IF(SUM(AL178:$EJ178)=0%,$B179,0%)))</f>
        <v>0</v>
      </c>
      <c r="AM179" s="395">
        <f ca="1">IF($E$350=0,0,IF(SUM($G179:AL179)=$B179,0,IF(SUM(AM178:$EJ178)=0%,$B179,0%)))</f>
        <v>0</v>
      </c>
      <c r="AN179" s="395">
        <f ca="1">IF($E$350=0,0,IF(SUM($G179:AM179)=$B179,0,IF(SUM(AN178:$EJ178)=0%,$B179,0%)))</f>
        <v>0</v>
      </c>
      <c r="AO179" s="395">
        <f ca="1">IF($E$350=0,0,IF(SUM($G179:AN179)=$B179,0,IF(SUM(AO178:$EJ178)=0%,$B179,0%)))</f>
        <v>0</v>
      </c>
      <c r="AP179" s="395">
        <f ca="1">IF($E$350=0,0,IF(SUM($G179:AO179)=$B179,0,IF(SUM(AP178:$EJ178)=0%,$B179,0%)))</f>
        <v>0</v>
      </c>
      <c r="AQ179" s="395">
        <f ca="1">IF($E$350=0,0,IF(SUM($G179:AP179)=$B179,0,IF(SUM(AQ178:$EJ178)=0%,$B179,0%)))</f>
        <v>0</v>
      </c>
      <c r="AR179" s="395">
        <f ca="1">IF($E$350=0,0,IF(SUM($G179:AQ179)=$B179,0,IF(SUM(AR178:$EJ178)=0%,$B179,0%)))</f>
        <v>0</v>
      </c>
      <c r="AS179" s="395">
        <f ca="1">IF($E$350=0,0,IF(SUM($G179:AR179)=$B179,0,IF(SUM(AS178:$EJ178)=0%,$B179,0%)))</f>
        <v>0</v>
      </c>
      <c r="AT179" s="395">
        <f ca="1">IF($E$350=0,0,IF(SUM($G179:AS179)=$B179,0,IF(SUM(AT178:$EJ178)=0%,$B179,0%)))</f>
        <v>0</v>
      </c>
      <c r="AU179" s="395">
        <f ca="1">IF($E$350=0,0,IF(SUM($G179:AT179)=$B179,0,IF(SUM(AU178:$EJ178)=0%,$B179,0%)))</f>
        <v>0</v>
      </c>
      <c r="AV179" s="395">
        <f ca="1">IF($E$350=0,0,IF(SUM($G179:AU179)=$B179,0,IF(SUM(AV178:$EJ178)=0%,$B179,0%)))</f>
        <v>0</v>
      </c>
      <c r="AW179" s="395">
        <f ca="1">IF($E$350=0,0,IF(SUM($G179:AV179)=$B179,0,IF(SUM(AW178:$EJ178)=0%,$B179,0%)))</f>
        <v>0</v>
      </c>
      <c r="AX179" s="395">
        <f ca="1">IF($E$350=0,0,IF(SUM($G179:AW179)=$B179,0,IF(SUM(AX178:$EJ178)=0%,$B179,0%)))</f>
        <v>0</v>
      </c>
      <c r="AY179" s="395">
        <f ca="1">IF($E$350=0,0,IF(SUM($G179:AX179)=$B179,0,IF(SUM(AY178:$EJ178)=0%,$B179,0%)))</f>
        <v>0</v>
      </c>
      <c r="AZ179" s="395">
        <f ca="1">IF($E$350=0,0,IF(SUM($G179:AY179)=$B179,0,IF(SUM(AZ178:$EJ178)=0%,$B179,0%)))</f>
        <v>0</v>
      </c>
      <c r="BA179" s="395">
        <f ca="1">IF($E$350=0,0,IF(SUM($G179:AZ179)=$B179,0,IF(SUM(BA178:$EJ178)=0%,$B179,0%)))</f>
        <v>0</v>
      </c>
      <c r="BB179" s="395">
        <f ca="1">IF($E$350=0,0,IF(SUM($G179:BA179)=$B179,0,IF(SUM(BB178:$EJ178)=0%,$B179,0%)))</f>
        <v>0</v>
      </c>
      <c r="BC179" s="395">
        <f ca="1">IF($E$350=0,0,IF(SUM($G179:BB179)=$B179,0,IF(SUM(BC178:$EJ178)=0%,$B179,0%)))</f>
        <v>0</v>
      </c>
      <c r="BD179" s="395">
        <f ca="1">IF($E$350=0,0,IF(SUM($G179:BC179)=$B179,0,IF(SUM(BD178:$EJ178)=0%,$B179,0%)))</f>
        <v>0</v>
      </c>
      <c r="BE179" s="395">
        <f ca="1">IF($E$350=0,0,IF(SUM($G179:BD179)=$B179,0,IF(SUM(BE178:$EJ178)=0%,$B179,0%)))</f>
        <v>0</v>
      </c>
      <c r="BF179" s="395">
        <f ca="1">IF($E$350=0,0,IF(SUM($G179:BE179)=$B179,0,IF(SUM(BF178:$EJ178)=0%,$B179,0%)))</f>
        <v>0</v>
      </c>
      <c r="BG179" s="395">
        <f ca="1">IF($E$350=0,0,IF(SUM($G179:BF179)=$B179,0,IF(SUM(BG178:$EJ178)=0%,$B179,0%)))</f>
        <v>0</v>
      </c>
      <c r="BH179" s="395">
        <f ca="1">IF($E$350=0,0,IF(SUM($G179:BG179)=$B179,0,IF(SUM(BH178:$EJ178)=0%,$B179,0%)))</f>
        <v>2.5000000000000001E-2</v>
      </c>
      <c r="BI179" s="395">
        <f ca="1">IF($E$350=0,0,IF(SUM($G179:BH179)=$B179,0,IF(SUM(BI178:$EJ178)=0%,$B179,0%)))</f>
        <v>0</v>
      </c>
      <c r="BJ179" s="395">
        <f ca="1">IF($E$350=0,0,IF(SUM($G179:BI179)=$B179,0,IF(SUM(BJ178:$EJ178)=0%,$B179,0%)))</f>
        <v>0</v>
      </c>
      <c r="BK179" s="395">
        <f ca="1">IF($E$350=0,0,IF(SUM($G179:BJ179)=$B179,0,IF(SUM(BK178:$EJ178)=0%,$B179,0%)))</f>
        <v>0</v>
      </c>
      <c r="BL179" s="395">
        <f ca="1">IF($E$350=0,0,IF(SUM($G179:BK179)=$B179,0,IF(SUM(BL178:$EJ178)=0%,$B179,0%)))</f>
        <v>0</v>
      </c>
      <c r="BM179" s="395">
        <f ca="1">IF($E$350=0,0,IF(SUM($G179:BL179)=$B179,0,IF(SUM(BM178:$EJ178)=0%,$B179,0%)))</f>
        <v>0</v>
      </c>
      <c r="BN179" s="395">
        <f ca="1">IF($E$350=0,0,IF(SUM($G179:BM179)=$B179,0,IF(SUM(BN178:$EJ178)=0%,$B179,0%)))</f>
        <v>0</v>
      </c>
      <c r="BO179" s="395">
        <f ca="1">IF($E$350=0,0,IF(SUM($G179:BN179)=$B179,0,IF(SUM(BO178:$EJ178)=0%,$B179,0%)))</f>
        <v>0</v>
      </c>
      <c r="BP179" s="395">
        <f ca="1">IF($E$350=0,0,IF(SUM($G179:BO179)=$B179,0,IF(SUM(BP178:$EJ178)=0%,$B179,0%)))</f>
        <v>0</v>
      </c>
      <c r="BQ179" s="395">
        <f ca="1">IF($E$350=0,0,IF(SUM($G179:BP179)=$B179,0,IF(SUM(BQ178:$EJ178)=0%,$B179,0%)))</f>
        <v>0</v>
      </c>
      <c r="BR179" s="395">
        <f ca="1">IF($E$350=0,0,IF(SUM($G179:BQ179)=$B179,0,IF(SUM(BR178:$EJ178)=0%,$B179,0%)))</f>
        <v>0</v>
      </c>
      <c r="BS179" s="395">
        <f ca="1">IF($E$350=0,0,IF(SUM($G179:BR179)=$B179,0,IF(SUM(BS178:$EJ178)=0%,$B179,0%)))</f>
        <v>0</v>
      </c>
      <c r="BT179" s="395">
        <f ca="1">IF($E$350=0,0,IF(SUM($G179:BS179)=$B179,0,IF(SUM(BT178:$EJ178)=0%,$B179,0%)))</f>
        <v>0</v>
      </c>
      <c r="BU179" s="395">
        <f ca="1">IF($E$350=0,0,IF(SUM($G179:BT179)=$B179,0,IF(SUM(BU178:$EJ178)=0%,$B179,0%)))</f>
        <v>0</v>
      </c>
      <c r="BV179" s="395">
        <f ca="1">IF($E$350=0,0,IF(SUM($G179:BU179)=$B179,0,IF(SUM(BV178:$EJ178)=0%,$B179,0%)))</f>
        <v>0</v>
      </c>
      <c r="BW179" s="395">
        <f ca="1">IF($E$350=0,0,IF(SUM($G179:BV179)=$B179,0,IF(SUM(BW178:$EJ178)=0%,$B179,0%)))</f>
        <v>0</v>
      </c>
      <c r="BX179" s="395">
        <f ca="1">IF($E$350=0,0,IF(SUM($G179:BW179)=$B179,0,IF(SUM(BX178:$EJ178)=0%,$B179,0%)))</f>
        <v>0</v>
      </c>
      <c r="BY179" s="395">
        <f ca="1">IF($E$350=0,0,IF(SUM($G179:BX179)=$B179,0,IF(SUM(BY178:$EJ178)=0%,$B179,0%)))</f>
        <v>0</v>
      </c>
      <c r="BZ179" s="395">
        <f ca="1">IF($E$350=0,0,IF(SUM($G179:BY179)=$B179,0,IF(SUM(BZ178:$EJ178)=0%,$B179,0%)))</f>
        <v>0</v>
      </c>
      <c r="CA179" s="395">
        <f ca="1">IF($E$350=0,0,IF(SUM($G179:BZ179)=$B179,0,IF(SUM(CA178:$EJ178)=0%,$B179,0%)))</f>
        <v>0</v>
      </c>
      <c r="CB179" s="395">
        <f ca="1">IF($E$350=0,0,IF(SUM($G179:CA179)=$B179,0,IF(SUM(CB178:$EJ178)=0%,$B179,0%)))</f>
        <v>0</v>
      </c>
      <c r="CC179" s="395">
        <f ca="1">IF($E$350=0,0,IF(SUM($G179:CB179)=$B179,0,IF(SUM(CC178:$EJ178)=0%,$B179,0%)))</f>
        <v>0</v>
      </c>
      <c r="CD179" s="395">
        <f ca="1">IF($E$350=0,0,IF(SUM($G179:CC179)=$B179,0,IF(SUM(CD178:$EJ178)=0%,$B179,0%)))</f>
        <v>0</v>
      </c>
      <c r="CE179" s="395">
        <f ca="1">IF($E$350=0,0,IF(SUM($G179:CD179)=$B179,0,IF(SUM(CE178:$EJ178)=0%,$B179,0%)))</f>
        <v>0</v>
      </c>
      <c r="CF179" s="395">
        <f ca="1">IF($E$350=0,0,IF(SUM($G179:CE179)=$B179,0,IF(SUM(CF178:$EJ178)=0%,$B179,0%)))</f>
        <v>0</v>
      </c>
      <c r="CG179" s="395">
        <f ca="1">IF($E$350=0,0,IF(SUM($G179:CF179)=$B179,0,IF(SUM(CG178:$EJ178)=0%,$B179,0%)))</f>
        <v>0</v>
      </c>
      <c r="CH179" s="395">
        <f ca="1">IF($E$350=0,0,IF(SUM($G179:CG179)=$B179,0,IF(SUM(CH178:$EJ178)=0%,$B179,0%)))</f>
        <v>0</v>
      </c>
      <c r="CI179" s="395">
        <f ca="1">IF($E$350=0,0,IF(SUM($G179:CH179)=$B179,0,IF(SUM(CI178:$EJ178)=0%,$B179,0%)))</f>
        <v>0</v>
      </c>
      <c r="CJ179" s="395">
        <f ca="1">IF($E$350=0,0,IF(SUM($G179:CI179)=$B179,0,IF(SUM(CJ178:$EJ178)=0%,$B179,0%)))</f>
        <v>0</v>
      </c>
      <c r="CK179" s="395">
        <f ca="1">IF($E$350=0,0,IF(SUM($G179:CJ179)=$B179,0,IF(SUM(CK178:$EJ178)=0%,$B179,0%)))</f>
        <v>0</v>
      </c>
      <c r="CL179" s="395">
        <f ca="1">IF($E$350=0,0,IF(SUM($G179:CK179)=$B179,0,IF(SUM(CL178:$EJ178)=0%,$B179,0%)))</f>
        <v>0</v>
      </c>
      <c r="CM179" s="395">
        <f ca="1">IF($E$350=0,0,IF(SUM($G179:CL179)=$B179,0,IF(SUM(CM178:$EJ178)=0%,$B179,0%)))</f>
        <v>0</v>
      </c>
      <c r="CN179" s="395">
        <f ca="1">IF($E$350=0,0,IF(SUM($G179:CM179)=$B179,0,IF(SUM(CN178:$EJ178)=0%,$B179,0%)))</f>
        <v>0</v>
      </c>
      <c r="CO179" s="395">
        <f ca="1">IF($E$350=0,0,IF(SUM($G179:CN179)=$B179,0,IF(SUM(CO178:$EJ178)=0%,$B179,0%)))</f>
        <v>0</v>
      </c>
      <c r="CP179" s="395">
        <f ca="1">IF($E$350=0,0,IF(SUM($G179:CO179)=$B179,0,IF(SUM(CP178:$EJ178)=0%,$B179,0%)))</f>
        <v>0</v>
      </c>
      <c r="CQ179" s="395">
        <f ca="1">IF($E$350=0,0,IF(SUM($G179:CP179)=$B179,0,IF(SUM(CQ178:$EJ178)=0%,$B179,0%)))</f>
        <v>0</v>
      </c>
      <c r="CR179" s="395">
        <f ca="1">IF($E$350=0,0,IF(SUM($G179:CQ179)=$B179,0,IF(SUM(CR178:$EJ178)=0%,$B179,0%)))</f>
        <v>0</v>
      </c>
      <c r="CS179" s="395">
        <f ca="1">IF($E$350=0,0,IF(SUM($G179:CR179)=$B179,0,IF(SUM(CS178:$EJ178)=0%,$B179,0%)))</f>
        <v>0</v>
      </c>
      <c r="CT179" s="395">
        <f ca="1">IF($E$350=0,0,IF(SUM($G179:CS179)=$B179,0,IF(SUM(CT178:$EJ178)=0%,$B179,0%)))</f>
        <v>0</v>
      </c>
      <c r="CU179" s="395">
        <f ca="1">IF($E$350=0,0,IF(SUM($G179:CT179)=$B179,0,IF(SUM(CU178:$EJ178)=0%,$B179,0%)))</f>
        <v>0</v>
      </c>
      <c r="CV179" s="395">
        <f ca="1">IF($E$350=0,0,IF(SUM($G179:CU179)=$B179,0,IF(SUM(CV178:$EJ178)=0%,$B179,0%)))</f>
        <v>0</v>
      </c>
      <c r="CW179" s="395">
        <f ca="1">IF($E$350=0,0,IF(SUM($G179:CV179)=$B179,0,IF(SUM(CW178:$EJ178)=0%,$B179,0%)))</f>
        <v>0</v>
      </c>
      <c r="CX179" s="395">
        <f ca="1">IF($E$350=0,0,IF(SUM($G179:CW179)=$B179,0,IF(SUM(CX178:$EJ178)=0%,$B179,0%)))</f>
        <v>0</v>
      </c>
      <c r="CY179" s="395">
        <f ca="1">IF($E$350=0,0,IF(SUM($G179:CX179)=$B179,0,IF(SUM(CY178:$EJ178)=0%,$B179,0%)))</f>
        <v>0</v>
      </c>
      <c r="CZ179" s="395">
        <f ca="1">IF($E$350=0,0,IF(SUM($G179:CY179)=$B179,0,IF(SUM(CZ178:$EJ178)=0%,$B179,0%)))</f>
        <v>0</v>
      </c>
      <c r="DA179" s="395">
        <f ca="1">IF($E$350=0,0,IF(SUM($G179:CZ179)=$B179,0,IF(SUM(DA178:$EJ178)=0%,$B179,0%)))</f>
        <v>0</v>
      </c>
      <c r="DB179" s="395">
        <f ca="1">IF($E$350=0,0,IF(SUM($G179:DA179)=$B179,0,IF(SUM(DB178:$EJ178)=0%,$B179,0%)))</f>
        <v>0</v>
      </c>
      <c r="DC179" s="395">
        <f ca="1">IF($E$350=0,0,IF(SUM($G179:DB179)=$B179,0,IF(SUM(DC178:$EJ178)=0%,$B179,0%)))</f>
        <v>0</v>
      </c>
      <c r="DD179" s="395">
        <f ca="1">IF($E$350=0,0,IF(SUM($G179:DC179)=$B179,0,IF(SUM(DD178:$EJ178)=0%,$B179,0%)))</f>
        <v>0</v>
      </c>
      <c r="DE179" s="395">
        <f ca="1">IF($E$350=0,0,IF(SUM($G179:DD179)=$B179,0,IF(SUM(DE178:$EJ178)=0%,$B179,0%)))</f>
        <v>0</v>
      </c>
      <c r="DF179" s="395">
        <f ca="1">IF($E$350=0,0,IF(SUM($G179:DE179)=$B179,0,IF(SUM(DF178:$EJ178)=0%,$B179,0%)))</f>
        <v>0</v>
      </c>
      <c r="DG179" s="395">
        <f ca="1">IF($E$350=0,0,IF(SUM($G179:DF179)=$B179,0,IF(SUM(DG178:$EJ178)=0%,$B179,0%)))</f>
        <v>0</v>
      </c>
      <c r="DH179" s="395">
        <f ca="1">IF($E$350=0,0,IF(SUM($G179:DG179)=$B179,0,IF(SUM(DH178:$EJ178)=0%,$B179,0%)))</f>
        <v>0</v>
      </c>
      <c r="DI179" s="395">
        <f ca="1">IF($E$350=0,0,IF(SUM($G179:DH179)=$B179,0,IF(SUM(DI178:$EJ178)=0%,$B179,0%)))</f>
        <v>0</v>
      </c>
      <c r="DJ179" s="395">
        <f ca="1">IF($E$350=0,0,IF(SUM($G179:DI179)=$B179,0,IF(SUM(DJ178:$EJ178)=0%,$B179,0%)))</f>
        <v>0</v>
      </c>
      <c r="DK179" s="395">
        <f ca="1">IF($E$350=0,0,IF(SUM($G179:DJ179)=$B179,0,IF(SUM(DK178:$EJ178)=0%,$B179,0%)))</f>
        <v>0</v>
      </c>
      <c r="DL179" s="395">
        <f ca="1">IF($E$350=0,0,IF(SUM($G179:DK179)=$B179,0,IF(SUM(DL178:$EJ178)=0%,$B179,0%)))</f>
        <v>0</v>
      </c>
      <c r="DM179" s="395">
        <f ca="1">IF($E$350=0,0,IF(SUM($G179:DL179)=$B179,0,IF(SUM(DM178:$EJ178)=0%,$B179,0%)))</f>
        <v>0</v>
      </c>
      <c r="DN179" s="395">
        <f ca="1">IF($E$350=0,0,IF(SUM($G179:DM179)=$B179,0,IF(SUM(DN178:$EJ178)=0%,$B179,0%)))</f>
        <v>0</v>
      </c>
      <c r="DO179" s="395">
        <f ca="1">IF($E$350=0,0,IF(SUM($G179:DN179)=$B179,0,IF(SUM(DO178:$EJ178)=0%,$B179,0%)))</f>
        <v>0</v>
      </c>
      <c r="DP179" s="395">
        <f ca="1">IF($E$350=0,0,IF(SUM($G179:DO179)=$B179,0,IF(SUM(DP178:$EJ178)=0%,$B179,0%)))</f>
        <v>0</v>
      </c>
      <c r="DQ179" s="395">
        <f ca="1">IF($E$350=0,0,IF(SUM($G179:DP179)=$B179,0,IF(SUM(DQ178:$EJ178)=0%,$B179,0%)))</f>
        <v>0</v>
      </c>
      <c r="DR179" s="395">
        <f ca="1">IF($E$350=0,0,IF(SUM($G179:DQ179)=$B179,0,IF(SUM(DR178:$EJ178)=0%,$B179,0%)))</f>
        <v>0</v>
      </c>
      <c r="DS179" s="395">
        <f ca="1">IF($E$350=0,0,IF(SUM($G179:DR179)=$B179,0,IF(SUM(DS178:$EJ178)=0%,$B179,0%)))</f>
        <v>0</v>
      </c>
      <c r="DT179" s="395">
        <f ca="1">IF($E$350=0,0,IF(SUM($G179:DS179)=$B179,0,IF(SUM(DT178:$EJ178)=0%,$B179,0%)))</f>
        <v>0</v>
      </c>
      <c r="DU179" s="395">
        <f ca="1">IF($E$350=0,0,IF(SUM($G179:DT179)=$B179,0,IF(SUM(DU178:$EJ178)=0%,$B179,0%)))</f>
        <v>0</v>
      </c>
      <c r="DV179" s="395">
        <f ca="1">IF($E$350=0,0,IF(SUM($G179:DU179)=$B179,0,IF(SUM(DV178:$EJ178)=0%,$B179,0%)))</f>
        <v>0</v>
      </c>
      <c r="DW179" s="395">
        <f ca="1">IF($E$350=0,0,IF(SUM($G179:DV179)=$B179,0,IF(SUM(DW178:$EJ178)=0%,$B179,0%)))</f>
        <v>0</v>
      </c>
      <c r="DX179" s="395">
        <f ca="1">IF($E$350=0,0,IF(SUM($G179:DW179)=$B179,0,IF(SUM(DX178:$EJ178)=0%,$B179,0%)))</f>
        <v>0</v>
      </c>
      <c r="DY179" s="395">
        <f ca="1">IF($E$350=0,0,IF(SUM($G179:DX179)=$B179,0,IF(SUM(DY178:$EJ178)=0%,$B179,0%)))</f>
        <v>0</v>
      </c>
      <c r="DZ179" s="395">
        <f ca="1">IF($E$350=0,0,IF(SUM($G179:DY179)=$B179,0,IF(SUM(DZ178:$EJ178)=0%,$B179,0%)))</f>
        <v>0</v>
      </c>
      <c r="EA179" s="395">
        <f ca="1">IF($E$350=0,0,IF(SUM($G179:DZ179)=$B179,0,IF(SUM(EA178:$EJ178)=0%,$B179,0%)))</f>
        <v>0</v>
      </c>
      <c r="EB179" s="395">
        <f ca="1">IF($E$350=0,0,IF(SUM($G179:EA179)=$B179,0,IF(SUM(EB178:$EJ178)=0%,$B179,0%)))</f>
        <v>0</v>
      </c>
      <c r="EC179" s="395">
        <f ca="1">IF($E$350=0,0,IF(SUM($G179:EB179)=$B179,0,IF(SUM(EC178:$EJ178)=0%,$B179,0%)))</f>
        <v>0</v>
      </c>
      <c r="ED179" s="395">
        <f ca="1">IF($E$350=0,0,IF(SUM($G179:EC179)=$B179,0,IF(SUM(ED178:$EJ178)=0%,$B179,0%)))</f>
        <v>0</v>
      </c>
      <c r="EE179" s="395">
        <f ca="1">IF($E$350=0,0,IF(SUM($G179:ED179)=$B179,0,IF(SUM(EE178:$EJ178)=0%,$B179,0%)))</f>
        <v>0</v>
      </c>
      <c r="EF179" s="395">
        <f ca="1">IF($E$350=0,0,IF(SUM($G179:EE179)=$B179,0,IF(SUM(EF178:$EJ178)=0%,$B179,0%)))</f>
        <v>0</v>
      </c>
      <c r="EG179" s="395">
        <f ca="1">IF($E$350=0,0,IF(SUM($G179:EF179)=$B179,0,IF(SUM(EG178:$EJ178)=0%,$B179,0%)))</f>
        <v>0</v>
      </c>
      <c r="EH179" s="395">
        <f ca="1">IF($E$350=0,0,IF(SUM($G179:EG179)=$B179,0,IF(SUM(EH178:$EJ178)=0%,$B179,0%)))</f>
        <v>0</v>
      </c>
      <c r="EI179" s="395">
        <f ca="1">IF($E$350=0,0,IF(SUM($G179:EH179)=$B179,0,IF(SUM(EI178:$EJ178)=0%,$B179,0%)))</f>
        <v>0</v>
      </c>
      <c r="EJ179" s="398"/>
      <c r="EK179" s="313"/>
    </row>
    <row r="180" spans="1:141" hidden="1" outlineLevel="2">
      <c r="A180" s="332"/>
      <c r="B180" s="549">
        <f>длительность!F192</f>
        <v>2.5000000000000001E-2</v>
      </c>
      <c r="C180" s="317"/>
      <c r="D180" s="317" t="s">
        <v>640</v>
      </c>
      <c r="E180" s="318">
        <f t="shared" ca="1" si="398"/>
        <v>0</v>
      </c>
      <c r="F180" s="397">
        <f ca="1">SUM(G180:EJ180)</f>
        <v>2.5000000000000001E-2</v>
      </c>
      <c r="G180" s="395"/>
      <c r="H180" s="395"/>
      <c r="I180" s="395"/>
      <c r="J180" s="395"/>
      <c r="K180" s="395"/>
      <c r="L180" s="395"/>
      <c r="M180" s="395"/>
      <c r="N180" s="395"/>
      <c r="O180" s="395"/>
      <c r="P180" s="395"/>
      <c r="Q180" s="395"/>
      <c r="R180" s="395"/>
      <c r="S180" s="395"/>
      <c r="T180" s="395"/>
      <c r="U180" s="395"/>
      <c r="V180" s="395"/>
      <c r="W180" s="395"/>
      <c r="X180" s="395"/>
      <c r="Y180" s="395"/>
      <c r="Z180" s="395"/>
      <c r="AA180" s="395"/>
      <c r="AB180" s="395"/>
      <c r="AC180" s="395"/>
      <c r="AD180" s="395">
        <f ca="1">IF($E$350=0,0,IF(SUM($G180:AC180)=$B180,0,IF(SUM($G179:G179)=$B179,$B180,0%)))</f>
        <v>0</v>
      </c>
      <c r="AE180" s="395">
        <f ca="1">IF($E$350=0,0,IF(SUM($G180:AD180)=$B180,0,IF(SUM($G179:H179)=$B179,$B180,0%)))</f>
        <v>0</v>
      </c>
      <c r="AF180" s="395">
        <f ca="1">IF($E$350=0,0,IF(SUM($G180:AE180)=$B180,0,IF(SUM($G179:I179)=$B179,$B180,0%)))</f>
        <v>0</v>
      </c>
      <c r="AG180" s="395">
        <f ca="1">IF($E$350=0,0,IF(SUM($G180:AF180)=$B180,0,IF(SUM($G179:J179)=$B179,$B180,0%)))</f>
        <v>0</v>
      </c>
      <c r="AH180" s="395">
        <f ca="1">IF($E$350=0,0,IF(SUM($G180:AG180)=$B180,0,IF(SUM($G179:K179)=$B179,$B180,0%)))</f>
        <v>0</v>
      </c>
      <c r="AI180" s="395">
        <f ca="1">IF($E$350=0,0,IF(SUM($G180:AH180)=$B180,0,IF(SUM($G179:L179)=$B179,$B180,0%)))</f>
        <v>0</v>
      </c>
      <c r="AJ180" s="395">
        <f ca="1">IF($E$350=0,0,IF(SUM($G180:AI180)=$B180,0,IF(SUM($G179:M179)=$B179,$B180,0%)))</f>
        <v>0</v>
      </c>
      <c r="AK180" s="395">
        <f ca="1">IF($E$350=0,0,IF(SUM($G180:AJ180)=$B180,0,IF(SUM($G179:N179)=$B179,$B180,0%)))</f>
        <v>0</v>
      </c>
      <c r="AL180" s="395">
        <f ca="1">IF($E$350=0,0,IF(SUM($G180:AK180)=$B180,0,IF(SUM($G179:O179)=$B179,$B180,0%)))</f>
        <v>0</v>
      </c>
      <c r="AM180" s="395">
        <f ca="1">IF($E$350=0,0,IF(SUM($G180:AL180)=$B180,0,IF(SUM($G179:P179)=$B179,$B180,0%)))</f>
        <v>0</v>
      </c>
      <c r="AN180" s="395">
        <f ca="1">IF($E$350=0,0,IF(SUM($G180:AM180)=$B180,0,IF(SUM($G179:Q179)=$B179,$B180,0%)))</f>
        <v>0</v>
      </c>
      <c r="AO180" s="395">
        <f ca="1">IF($E$350=0,0,IF(SUM($G180:AN180)=$B180,0,IF(SUM($G179:R179)=$B179,$B180,0%)))</f>
        <v>0</v>
      </c>
      <c r="AP180" s="395">
        <f ca="1">IF($E$350=0,0,IF(SUM($G180:AO180)=$B180,0,IF(SUM($G179:S179)=$B179,$B180,0%)))</f>
        <v>0</v>
      </c>
      <c r="AQ180" s="395">
        <f ca="1">IF($E$350=0,0,IF(SUM($G180:AP180)=$B180,0,IF(SUM($G179:T179)=$B179,$B180,0%)))</f>
        <v>0</v>
      </c>
      <c r="AR180" s="395">
        <f ca="1">IF($E$350=0,0,IF(SUM($G180:AQ180)=$B180,0,IF(SUM($G179:U179)=$B179,$B180,0%)))</f>
        <v>0</v>
      </c>
      <c r="AS180" s="395">
        <f ca="1">IF($E$350=0,0,IF(SUM($G180:AR180)=$B180,0,IF(SUM($G179:V179)=$B179,$B180,0%)))</f>
        <v>0</v>
      </c>
      <c r="AT180" s="395">
        <f ca="1">IF($E$350=0,0,IF(SUM($G180:AS180)=$B180,0,IF(SUM($G179:W179)=$B179,$B180,0%)))</f>
        <v>0</v>
      </c>
      <c r="AU180" s="395">
        <f ca="1">IF($E$350=0,0,IF(SUM($G180:AT180)=$B180,0,IF(SUM($G179:X179)=$B179,$B180,0%)))</f>
        <v>0</v>
      </c>
      <c r="AV180" s="395">
        <f ca="1">IF($E$350=0,0,IF(SUM($G180:AU180)=$B180,0,IF(SUM($G179:Y179)=$B179,$B180,0%)))</f>
        <v>0</v>
      </c>
      <c r="AW180" s="395">
        <f ca="1">IF($E$350=0,0,IF(SUM($G180:AV180)=$B180,0,IF(SUM($G179:Z179)=$B179,$B180,0%)))</f>
        <v>0</v>
      </c>
      <c r="AX180" s="395">
        <f ca="1">IF($E$350=0,0,IF(SUM($G180:AW180)=$B180,0,IF(SUM($G179:AA179)=$B179,$B180,0%)))</f>
        <v>0</v>
      </c>
      <c r="AY180" s="395">
        <f ca="1">IF($E$350=0,0,IF(SUM($G180:AX180)=$B180,0,IF(SUM($G179:AB179)=$B179,$B180,0%)))</f>
        <v>0</v>
      </c>
      <c r="AZ180" s="395">
        <f ca="1">IF($E$350=0,0,IF(SUM($G180:AY180)=$B180,0,IF(SUM($G179:AC179)=$B179,$B180,0%)))</f>
        <v>0</v>
      </c>
      <c r="BA180" s="395">
        <f ca="1">IF($E$350=0,0,IF(SUM($G180:AZ180)=$B180,0,IF(SUM($G179:AD179)=$B179,$B180,0%)))</f>
        <v>0</v>
      </c>
      <c r="BB180" s="395">
        <f ca="1">IF($E$350=0,0,IF(SUM($G180:BA180)=$B180,0,IF(SUM($G179:AE179)=$B179,$B180,0%)))</f>
        <v>0</v>
      </c>
      <c r="BC180" s="395">
        <f ca="1">IF($E$350=0,0,IF(SUM($G180:BB180)=$B180,0,IF(SUM($G179:AF179)=$B179,$B180,0%)))</f>
        <v>0</v>
      </c>
      <c r="BD180" s="395">
        <f ca="1">IF($E$350=0,0,IF(SUM($G180:BC180)=$B180,0,IF(SUM($G179:AG179)=$B179,$B180,0%)))</f>
        <v>0</v>
      </c>
      <c r="BE180" s="395">
        <f ca="1">IF($E$350=0,0,IF(SUM($G180:BD180)=$B180,0,IF(SUM($G179:AH179)=$B179,$B180,0%)))</f>
        <v>0</v>
      </c>
      <c r="BF180" s="395">
        <f ca="1">IF($E$350=0,0,IF(SUM($G180:BE180)=$B180,0,IF(SUM($G179:AI179)=$B179,$B180,0%)))</f>
        <v>0</v>
      </c>
      <c r="BG180" s="395">
        <f ca="1">IF($E$350=0,0,IF(SUM($G180:BF180)=$B180,0,IF(SUM($G179:AJ179)=$B179,$B180,0%)))</f>
        <v>0</v>
      </c>
      <c r="BH180" s="395">
        <f ca="1">IF($E$350=0,0,IF(SUM($G180:BG180)=$B180,0,IF(SUM($G179:AK179)=$B179,$B180,0%)))</f>
        <v>0</v>
      </c>
      <c r="BI180" s="395">
        <f ca="1">IF($E$350=0,0,IF(SUM($G180:BH180)=$B180,0,IF(SUM($G179:AL179)=$B179,$B180,0%)))</f>
        <v>0</v>
      </c>
      <c r="BJ180" s="395">
        <f ca="1">IF($E$350=0,0,IF(SUM($G180:BI180)=$B180,0,IF(SUM($G179:AM179)=$B179,$B180,0%)))</f>
        <v>0</v>
      </c>
      <c r="BK180" s="395">
        <f ca="1">IF($E$350=0,0,IF(SUM($G180:BJ180)=$B180,0,IF(SUM($G179:AN179)=$B179,$B180,0%)))</f>
        <v>0</v>
      </c>
      <c r="BL180" s="395">
        <f ca="1">IF($E$350=0,0,IF(SUM($G180:BK180)=$B180,0,IF(SUM($G179:AO179)=$B179,$B180,0%)))</f>
        <v>0</v>
      </c>
      <c r="BM180" s="395">
        <f ca="1">IF($E$350=0,0,IF(SUM($G180:BL180)=$B180,0,IF(SUM($G179:AP179)=$B179,$B180,0%)))</f>
        <v>0</v>
      </c>
      <c r="BN180" s="395">
        <f ca="1">IF($E$350=0,0,IF(SUM($G180:BM180)=$B180,0,IF(SUM($G179:AQ179)=$B179,$B180,0%)))</f>
        <v>0</v>
      </c>
      <c r="BO180" s="395">
        <f ca="1">IF($E$350=0,0,IF(SUM($G180:BN180)=$B180,0,IF(SUM($G179:AR179)=$B179,$B180,0%)))</f>
        <v>0</v>
      </c>
      <c r="BP180" s="395">
        <f ca="1">IF($E$350=0,0,IF(SUM($G180:BO180)=$B180,0,IF(SUM($G179:AS179)=$B179,$B180,0%)))</f>
        <v>0</v>
      </c>
      <c r="BQ180" s="395">
        <f ca="1">IF($E$350=0,0,IF(SUM($G180:BP180)=$B180,0,IF(SUM($G179:AT179)=$B179,$B180,0%)))</f>
        <v>0</v>
      </c>
      <c r="BR180" s="395">
        <f ca="1">IF($E$350=0,0,IF(SUM($G180:BQ180)=$B180,0,IF(SUM($G179:AU179)=$B179,$B180,0%)))</f>
        <v>0</v>
      </c>
      <c r="BS180" s="395">
        <f ca="1">IF($E$350=0,0,IF(SUM($G180:BR180)=$B180,0,IF(SUM($G179:AV179)=$B179,$B180,0%)))</f>
        <v>0</v>
      </c>
      <c r="BT180" s="395">
        <f ca="1">IF($E$350=0,0,IF(SUM($G180:BS180)=$B180,0,IF(SUM($G179:AW179)=$B179,$B180,0%)))</f>
        <v>0</v>
      </c>
      <c r="BU180" s="395">
        <f ca="1">IF($E$350=0,0,IF(SUM($G180:BT180)=$B180,0,IF(SUM($G179:AX179)=$B179,$B180,0%)))</f>
        <v>0</v>
      </c>
      <c r="BV180" s="395">
        <f ca="1">IF($E$350=0,0,IF(SUM($G180:BU180)=$B180,0,IF(SUM($G179:AY179)=$B179,$B180,0%)))</f>
        <v>0</v>
      </c>
      <c r="BW180" s="395">
        <f ca="1">IF($E$350=0,0,IF(SUM($G180:BV180)=$B180,0,IF(SUM($G179:AZ179)=$B179,$B180,0%)))</f>
        <v>0</v>
      </c>
      <c r="BX180" s="395">
        <f ca="1">IF($E$350=0,0,IF(SUM($G180:BW180)=$B180,0,IF(SUM($G179:BA179)=$B179,$B180,0%)))</f>
        <v>0</v>
      </c>
      <c r="BY180" s="395">
        <f ca="1">IF($E$350=0,0,IF(SUM($G180:BX180)=$B180,0,IF(SUM($G179:BB179)=$B179,$B180,0%)))</f>
        <v>0</v>
      </c>
      <c r="BZ180" s="395">
        <f ca="1">IF($E$350=0,0,IF(SUM($G180:BY180)=$B180,0,IF(SUM($G179:BC179)=$B179,$B180,0%)))</f>
        <v>0</v>
      </c>
      <c r="CA180" s="395">
        <f ca="1">IF($E$350=0,0,IF(SUM($G180:BZ180)=$B180,0,IF(SUM($G179:BD179)=$B179,$B180,0%)))</f>
        <v>0</v>
      </c>
      <c r="CB180" s="395">
        <f ca="1">IF($E$350=0,0,IF(SUM($G180:CA180)=$B180,0,IF(SUM($G179:BE179)=$B179,$B180,0%)))</f>
        <v>0</v>
      </c>
      <c r="CC180" s="395">
        <f ca="1">IF($E$350=0,0,IF(SUM($G180:CB180)=$B180,0,IF(SUM($G179:BF179)=$B179,$B180,0%)))</f>
        <v>0</v>
      </c>
      <c r="CD180" s="395">
        <f ca="1">IF($E$350=0,0,IF(SUM($G180:CC180)=$B180,0,IF(SUM($G179:BG179)=$B179,$B180,0%)))</f>
        <v>0</v>
      </c>
      <c r="CE180" s="395">
        <f ca="1">IF($E$350=0,0,IF(SUM($G180:CD180)=$B180,0,IF(SUM($G179:BH179)=$B179,$B180,0%)))</f>
        <v>2.5000000000000001E-2</v>
      </c>
      <c r="CF180" s="395">
        <f ca="1">IF($E$350=0,0,IF(SUM($G180:CE180)=$B180,0,IF(SUM($G179:BI179)=$B179,$B180,0%)))</f>
        <v>0</v>
      </c>
      <c r="CG180" s="395">
        <f ca="1">IF($E$350=0,0,IF(SUM($G180:CF180)=$B180,0,IF(SUM($G179:BJ179)=$B179,$B180,0%)))</f>
        <v>0</v>
      </c>
      <c r="CH180" s="395">
        <f ca="1">IF($E$350=0,0,IF(SUM($G180:CG180)=$B180,0,IF(SUM($G179:BK179)=$B179,$B180,0%)))</f>
        <v>0</v>
      </c>
      <c r="CI180" s="395">
        <f ca="1">IF($E$350=0,0,IF(SUM($G180:CH180)=$B180,0,IF(SUM($G179:BL179)=$B179,$B180,0%)))</f>
        <v>0</v>
      </c>
      <c r="CJ180" s="395">
        <f ca="1">IF($E$350=0,0,IF(SUM($G180:CI180)=$B180,0,IF(SUM($G179:BM179)=$B179,$B180,0%)))</f>
        <v>0</v>
      </c>
      <c r="CK180" s="395">
        <f ca="1">IF($E$350=0,0,IF(SUM($G180:CJ180)=$B180,0,IF(SUM($G179:BN179)=$B179,$B180,0%)))</f>
        <v>0</v>
      </c>
      <c r="CL180" s="395">
        <f ca="1">IF($E$350=0,0,IF(SUM($G180:CK180)=$B180,0,IF(SUM($G179:BO179)=$B179,$B180,0%)))</f>
        <v>0</v>
      </c>
      <c r="CM180" s="395">
        <f ca="1">IF($E$350=0,0,IF(SUM($G180:CL180)=$B180,0,IF(SUM($G179:BP179)=$B179,$B180,0%)))</f>
        <v>0</v>
      </c>
      <c r="CN180" s="395">
        <f ca="1">IF($E$350=0,0,IF(SUM($G180:CM180)=$B180,0,IF(SUM($G179:BQ179)=$B179,$B180,0%)))</f>
        <v>0</v>
      </c>
      <c r="CO180" s="395">
        <f ca="1">IF($E$350=0,0,IF(SUM($G180:CN180)=$B180,0,IF(SUM($G179:BR179)=$B179,$B180,0%)))</f>
        <v>0</v>
      </c>
      <c r="CP180" s="395">
        <f ca="1">IF($E$350=0,0,IF(SUM($G180:CO180)=$B180,0,IF(SUM($G179:BS179)=$B179,$B180,0%)))</f>
        <v>0</v>
      </c>
      <c r="CQ180" s="395">
        <f ca="1">IF($E$350=0,0,IF(SUM($G180:CP180)=$B180,0,IF(SUM($G179:BT179)=$B179,$B180,0%)))</f>
        <v>0</v>
      </c>
      <c r="CR180" s="395">
        <f ca="1">IF($E$350=0,0,IF(SUM($G180:CQ180)=$B180,0,IF(SUM($G179:BU179)=$B179,$B180,0%)))</f>
        <v>0</v>
      </c>
      <c r="CS180" s="395">
        <f ca="1">IF($E$350=0,0,IF(SUM($G180:CR180)=$B180,0,IF(SUM($G179:BV179)=$B179,$B180,0%)))</f>
        <v>0</v>
      </c>
      <c r="CT180" s="395">
        <f ca="1">IF($E$350=0,0,IF(SUM($G180:CS180)=$B180,0,IF(SUM($G179:BW179)=$B179,$B180,0%)))</f>
        <v>0</v>
      </c>
      <c r="CU180" s="395">
        <f ca="1">IF($E$350=0,0,IF(SUM($G180:CT180)=$B180,0,IF(SUM($G179:BX179)=$B179,$B180,0%)))</f>
        <v>0</v>
      </c>
      <c r="CV180" s="395">
        <f ca="1">IF($E$350=0,0,IF(SUM($G180:CU180)=$B180,0,IF(SUM($G179:BY179)=$B179,$B180,0%)))</f>
        <v>0</v>
      </c>
      <c r="CW180" s="395">
        <f ca="1">IF($E$350=0,0,IF(SUM($G180:CV180)=$B180,0,IF(SUM($G179:BZ179)=$B179,$B180,0%)))</f>
        <v>0</v>
      </c>
      <c r="CX180" s="395">
        <f ca="1">IF($E$350=0,0,IF(SUM($G180:CW180)=$B180,0,IF(SUM($G179:CA179)=$B179,$B180,0%)))</f>
        <v>0</v>
      </c>
      <c r="CY180" s="395">
        <f ca="1">IF($E$350=0,0,IF(SUM($G180:CX180)=$B180,0,IF(SUM($G179:CB179)=$B179,$B180,0%)))</f>
        <v>0</v>
      </c>
      <c r="CZ180" s="395">
        <f ca="1">IF($E$350=0,0,IF(SUM($G180:CY180)=$B180,0,IF(SUM($G179:CC179)=$B179,$B180,0%)))</f>
        <v>0</v>
      </c>
      <c r="DA180" s="395">
        <f ca="1">IF($E$350=0,0,IF(SUM($G180:CZ180)=$B180,0,IF(SUM($G179:CD179)=$B179,$B180,0%)))</f>
        <v>0</v>
      </c>
      <c r="DB180" s="395">
        <f ca="1">IF($E$350=0,0,IF(SUM($G180:DA180)=$B180,0,IF(SUM($G179:CE179)=$B179,$B180,0%)))</f>
        <v>0</v>
      </c>
      <c r="DC180" s="395">
        <f ca="1">IF($E$350=0,0,IF(SUM($G180:DB180)=$B180,0,IF(SUM($G179:CF179)=$B179,$B180,0%)))</f>
        <v>0</v>
      </c>
      <c r="DD180" s="395">
        <f ca="1">IF($E$350=0,0,IF(SUM($G180:DC180)=$B180,0,IF(SUM($G179:CG179)=$B179,$B180,0%)))</f>
        <v>0</v>
      </c>
      <c r="DE180" s="395">
        <f ca="1">IF($E$350=0,0,IF(SUM($G180:DD180)=$B180,0,IF(SUM($G179:CH179)=$B179,$B180,0%)))</f>
        <v>0</v>
      </c>
      <c r="DF180" s="395">
        <f ca="1">IF($E$350=0,0,IF(SUM($G180:DE180)=$B180,0,IF(SUM($G179:CI179)=$B179,$B180,0%)))</f>
        <v>0</v>
      </c>
      <c r="DG180" s="395">
        <f ca="1">IF($E$350=0,0,IF(SUM($G180:DF180)=$B180,0,IF(SUM($G179:CJ179)=$B179,$B180,0%)))</f>
        <v>0</v>
      </c>
      <c r="DH180" s="395">
        <f ca="1">IF($E$350=0,0,IF(SUM($G180:DG180)=$B180,0,IF(SUM($G179:CK179)=$B179,$B180,0%)))</f>
        <v>0</v>
      </c>
      <c r="DI180" s="395">
        <f ca="1">IF($E$350=0,0,IF(SUM($G180:DH180)=$B180,0,IF(SUM($G179:CL179)=$B179,$B180,0%)))</f>
        <v>0</v>
      </c>
      <c r="DJ180" s="395">
        <f ca="1">IF($E$350=0,0,IF(SUM($G180:DI180)=$B180,0,IF(SUM($G179:CM179)=$B179,$B180,0%)))</f>
        <v>0</v>
      </c>
      <c r="DK180" s="395">
        <f ca="1">IF($E$350=0,0,IF(SUM($G180:DJ180)=$B180,0,IF(SUM($G179:CN179)=$B179,$B180,0%)))</f>
        <v>0</v>
      </c>
      <c r="DL180" s="395">
        <f ca="1">IF($E$350=0,0,IF(SUM($G180:DK180)=$B180,0,IF(SUM($G179:CO179)=$B179,$B180,0%)))</f>
        <v>0</v>
      </c>
      <c r="DM180" s="395">
        <f ca="1">IF($E$350=0,0,IF(SUM($G180:DL180)=$B180,0,IF(SUM($G179:CP179)=$B179,$B180,0%)))</f>
        <v>0</v>
      </c>
      <c r="DN180" s="395">
        <f ca="1">IF($E$350=0,0,IF(SUM($G180:DM180)=$B180,0,IF(SUM($G179:CQ179)=$B179,$B180,0%)))</f>
        <v>0</v>
      </c>
      <c r="DO180" s="395">
        <f ca="1">IF($E$350=0,0,IF(SUM($G180:DN180)=$B180,0,IF(SUM($G179:CR179)=$B179,$B180,0%)))</f>
        <v>0</v>
      </c>
      <c r="DP180" s="395">
        <f ca="1">IF($E$350=0,0,IF(SUM($G180:DO180)=$B180,0,IF(SUM($G179:CS179)=$B179,$B180,0%)))</f>
        <v>0</v>
      </c>
      <c r="DQ180" s="395">
        <f ca="1">IF($E$350=0,0,IF(SUM($G180:DP180)=$B180,0,IF(SUM($G179:CT179)=$B179,$B180,0%)))</f>
        <v>0</v>
      </c>
      <c r="DR180" s="395">
        <f ca="1">IF($E$350=0,0,IF(SUM($G180:DQ180)=$B180,0,IF(SUM($G179:CU179)=$B179,$B180,0%)))</f>
        <v>0</v>
      </c>
      <c r="DS180" s="395">
        <f ca="1">IF($E$350=0,0,IF(SUM($G180:DR180)=$B180,0,IF(SUM($G179:CV179)=$B179,$B180,0%)))</f>
        <v>0</v>
      </c>
      <c r="DT180" s="395">
        <f ca="1">IF($E$350=0,0,IF(SUM($G180:DS180)=$B180,0,IF(SUM($G179:CW179)=$B179,$B180,0%)))</f>
        <v>0</v>
      </c>
      <c r="DU180" s="395">
        <f ca="1">IF($E$350=0,0,IF(SUM($G180:DT180)=$B180,0,IF(SUM($G179:CX179)=$B179,$B180,0%)))</f>
        <v>0</v>
      </c>
      <c r="DV180" s="395">
        <f ca="1">IF($E$350=0,0,IF(SUM($G180:DU180)=$B180,0,IF(SUM($G179:CY179)=$B179,$B180,0%)))</f>
        <v>0</v>
      </c>
      <c r="DW180" s="395">
        <f ca="1">IF($E$350=0,0,IF(SUM($G180:DV180)=$B180,0,IF(SUM($G179:CZ179)=$B179,$B180,0%)))</f>
        <v>0</v>
      </c>
      <c r="DX180" s="395">
        <f ca="1">IF($E$350=0,0,IF(SUM($G180:DW180)=$B180,0,IF(SUM($G179:DA179)=$B179,$B180,0%)))</f>
        <v>0</v>
      </c>
      <c r="DY180" s="395">
        <f ca="1">IF($E$350=0,0,IF(SUM($G180:DX180)=$B180,0,IF(SUM($G179:DB179)=$B179,$B180,0%)))</f>
        <v>0</v>
      </c>
      <c r="DZ180" s="395">
        <f ca="1">IF($E$350=0,0,IF(SUM($G180:DY180)=$B180,0,IF(SUM($G179:DC179)=$B179,$B180,0%)))</f>
        <v>0</v>
      </c>
      <c r="EA180" s="395">
        <f ca="1">IF($E$350=0,0,IF(SUM($G180:DZ180)=$B180,0,IF(SUM($G179:DD179)=$B179,$B180,0%)))</f>
        <v>0</v>
      </c>
      <c r="EB180" s="395">
        <f ca="1">IF($E$350=0,0,IF(SUM($G180:EA180)=$B180,0,IF(SUM($G179:DE179)=$B179,$B180,0%)))</f>
        <v>0</v>
      </c>
      <c r="EC180" s="395">
        <f ca="1">IF($E$350=0,0,IF(SUM($G180:EB180)=$B180,0,IF(SUM($G179:DF179)=$B179,$B180,0%)))</f>
        <v>0</v>
      </c>
      <c r="ED180" s="395">
        <f ca="1">IF($E$350=0,0,IF(SUM($G180:EC180)=$B180,0,IF(SUM($G179:DG179)=$B179,$B180,0%)))</f>
        <v>0</v>
      </c>
      <c r="EE180" s="395">
        <f ca="1">IF($E$350=0,0,IF(SUM($G180:ED180)=$B180,0,IF(SUM($G179:DH179)=$B179,$B180,0%)))</f>
        <v>0</v>
      </c>
      <c r="EF180" s="395">
        <f ca="1">IF($E$350=0,0,IF(SUM($G180:EE180)=$B180,0,IF(SUM($G179:DI179)=$B179,$B180,0%)))</f>
        <v>0</v>
      </c>
      <c r="EG180" s="395">
        <f ca="1">IF($E$350=0,0,IF(SUM($G180:EF180)=$B180,0,IF(SUM($G179:DJ179)=$B179,$B180,0%)))</f>
        <v>0</v>
      </c>
      <c r="EH180" s="395">
        <f ca="1">IF($E$350=0,0,IF(SUM($G180:EG180)=$B180,0,IF(SUM($G179:DK179)=$B179,$B180,0%)))</f>
        <v>0</v>
      </c>
      <c r="EI180" s="395">
        <f ca="1">IF($E$350=0,0,IF(SUM($G180:EH180)=$B180,0,IF(SUM($G179:DL179)=$B179,$B180,0%)))</f>
        <v>0</v>
      </c>
      <c r="EJ180" s="398"/>
      <c r="EK180" s="313"/>
    </row>
    <row r="181" spans="1:141" hidden="1" outlineLevel="1" collapsed="1">
      <c r="A181" s="332"/>
      <c r="B181" s="313"/>
      <c r="C181" s="392" t="s">
        <v>109</v>
      </c>
      <c r="D181" s="392" t="s">
        <v>19</v>
      </c>
      <c r="E181" s="393">
        <f ca="1">ROUND(IF(F181=0,0,100%-F181),0)</f>
        <v>0</v>
      </c>
      <c r="F181" s="394">
        <f t="shared" ca="1" si="283"/>
        <v>0.99999999999999989</v>
      </c>
      <c r="G181" s="395">
        <f>SUM(G182:G185)</f>
        <v>0</v>
      </c>
      <c r="H181" s="395">
        <f t="shared" ref="H181:BS181" ca="1" si="399">SUM(H182:H185)</f>
        <v>0</v>
      </c>
      <c r="I181" s="395">
        <f t="shared" ca="1" si="399"/>
        <v>0</v>
      </c>
      <c r="J181" s="395">
        <f t="shared" ca="1" si="399"/>
        <v>0</v>
      </c>
      <c r="K181" s="395">
        <f t="shared" ca="1" si="399"/>
        <v>0</v>
      </c>
      <c r="L181" s="395">
        <f t="shared" ca="1" si="399"/>
        <v>0</v>
      </c>
      <c r="M181" s="395">
        <f t="shared" ca="1" si="399"/>
        <v>0</v>
      </c>
      <c r="N181" s="395">
        <f t="shared" ca="1" si="399"/>
        <v>0</v>
      </c>
      <c r="O181" s="395">
        <f t="shared" ca="1" si="399"/>
        <v>0</v>
      </c>
      <c r="P181" s="395">
        <f t="shared" ca="1" si="399"/>
        <v>0</v>
      </c>
      <c r="Q181" s="395">
        <f t="shared" ca="1" si="399"/>
        <v>0</v>
      </c>
      <c r="R181" s="395">
        <f t="shared" ca="1" si="399"/>
        <v>0</v>
      </c>
      <c r="S181" s="395">
        <f t="shared" ca="1" si="399"/>
        <v>0</v>
      </c>
      <c r="T181" s="395">
        <f t="shared" ca="1" si="399"/>
        <v>0</v>
      </c>
      <c r="U181" s="395">
        <f t="shared" ca="1" si="399"/>
        <v>0</v>
      </c>
      <c r="V181" s="395">
        <f t="shared" ca="1" si="399"/>
        <v>0</v>
      </c>
      <c r="W181" s="395">
        <f t="shared" ca="1" si="399"/>
        <v>0</v>
      </c>
      <c r="X181" s="395">
        <f t="shared" ca="1" si="399"/>
        <v>0</v>
      </c>
      <c r="Y181" s="395">
        <f t="shared" ca="1" si="399"/>
        <v>0</v>
      </c>
      <c r="Z181" s="395">
        <f t="shared" ca="1" si="399"/>
        <v>0</v>
      </c>
      <c r="AA181" s="395">
        <f t="shared" ca="1" si="399"/>
        <v>0</v>
      </c>
      <c r="AB181" s="395">
        <f t="shared" ca="1" si="399"/>
        <v>0</v>
      </c>
      <c r="AC181" s="395">
        <f t="shared" ca="1" si="399"/>
        <v>0</v>
      </c>
      <c r="AD181" s="395">
        <f t="shared" ca="1" si="399"/>
        <v>0</v>
      </c>
      <c r="AE181" s="395">
        <f t="shared" ca="1" si="399"/>
        <v>0</v>
      </c>
      <c r="AF181" s="395">
        <f t="shared" ca="1" si="399"/>
        <v>0</v>
      </c>
      <c r="AG181" s="395">
        <f t="shared" ca="1" si="399"/>
        <v>0</v>
      </c>
      <c r="AH181" s="395">
        <f t="shared" ca="1" si="399"/>
        <v>0</v>
      </c>
      <c r="AI181" s="395">
        <f t="shared" ca="1" si="399"/>
        <v>0</v>
      </c>
      <c r="AJ181" s="395">
        <f t="shared" ca="1" si="399"/>
        <v>0</v>
      </c>
      <c r="AK181" s="395">
        <f t="shared" ca="1" si="399"/>
        <v>0</v>
      </c>
      <c r="AL181" s="395">
        <f t="shared" ca="1" si="399"/>
        <v>0</v>
      </c>
      <c r="AM181" s="395">
        <f t="shared" ca="1" si="399"/>
        <v>0</v>
      </c>
      <c r="AN181" s="395">
        <f t="shared" ca="1" si="399"/>
        <v>0</v>
      </c>
      <c r="AO181" s="395">
        <f t="shared" ca="1" si="399"/>
        <v>0</v>
      </c>
      <c r="AP181" s="395">
        <f t="shared" ca="1" si="399"/>
        <v>0</v>
      </c>
      <c r="AQ181" s="395">
        <f t="shared" ca="1" si="399"/>
        <v>0</v>
      </c>
      <c r="AR181" s="395">
        <f t="shared" ca="1" si="399"/>
        <v>0</v>
      </c>
      <c r="AS181" s="395">
        <f t="shared" ca="1" si="399"/>
        <v>0</v>
      </c>
      <c r="AT181" s="395">
        <f t="shared" ca="1" si="399"/>
        <v>0</v>
      </c>
      <c r="AU181" s="395">
        <f t="shared" ca="1" si="399"/>
        <v>0</v>
      </c>
      <c r="AV181" s="395">
        <f t="shared" ca="1" si="399"/>
        <v>0</v>
      </c>
      <c r="AW181" s="395">
        <f t="shared" ca="1" si="399"/>
        <v>0</v>
      </c>
      <c r="AX181" s="395">
        <f t="shared" ca="1" si="399"/>
        <v>0</v>
      </c>
      <c r="AY181" s="395">
        <f t="shared" ca="1" si="399"/>
        <v>0</v>
      </c>
      <c r="AZ181" s="395">
        <f t="shared" ca="1" si="399"/>
        <v>0.18749999999999994</v>
      </c>
      <c r="BA181" s="395">
        <f t="shared" ca="1" si="399"/>
        <v>0</v>
      </c>
      <c r="BB181" s="395">
        <f t="shared" ca="1" si="399"/>
        <v>2.7958333333333307E-2</v>
      </c>
      <c r="BC181" s="395">
        <f t="shared" ca="1" si="399"/>
        <v>0.1186111111111111</v>
      </c>
      <c r="BD181" s="395">
        <f t="shared" ca="1" si="399"/>
        <v>0.13131944444444443</v>
      </c>
      <c r="BE181" s="395">
        <f t="shared" ca="1" si="399"/>
        <v>0.12708333333333333</v>
      </c>
      <c r="BF181" s="395">
        <f t="shared" ca="1" si="399"/>
        <v>0.13131944444444443</v>
      </c>
      <c r="BG181" s="395">
        <f t="shared" ca="1" si="399"/>
        <v>0.12708333333333333</v>
      </c>
      <c r="BH181" s="395">
        <f t="shared" ca="1" si="399"/>
        <v>9.9125000000000019E-2</v>
      </c>
      <c r="BI181" s="395">
        <f t="shared" ca="1" si="399"/>
        <v>2.5000000000000001E-2</v>
      </c>
      <c r="BJ181" s="395">
        <f t="shared" ca="1" si="399"/>
        <v>0</v>
      </c>
      <c r="BK181" s="395">
        <f t="shared" ca="1" si="399"/>
        <v>0</v>
      </c>
      <c r="BL181" s="395">
        <f t="shared" ca="1" si="399"/>
        <v>0</v>
      </c>
      <c r="BM181" s="395">
        <f t="shared" ca="1" si="399"/>
        <v>0</v>
      </c>
      <c r="BN181" s="395">
        <f t="shared" ca="1" si="399"/>
        <v>0</v>
      </c>
      <c r="BO181" s="395">
        <f t="shared" ca="1" si="399"/>
        <v>0</v>
      </c>
      <c r="BP181" s="395">
        <f t="shared" ca="1" si="399"/>
        <v>0</v>
      </c>
      <c r="BQ181" s="395">
        <f t="shared" ca="1" si="399"/>
        <v>0</v>
      </c>
      <c r="BR181" s="395">
        <f t="shared" ca="1" si="399"/>
        <v>0</v>
      </c>
      <c r="BS181" s="395">
        <f t="shared" ca="1" si="399"/>
        <v>0</v>
      </c>
      <c r="BT181" s="395">
        <f t="shared" ref="BT181:EE181" ca="1" si="400">SUM(BT182:BT185)</f>
        <v>0</v>
      </c>
      <c r="BU181" s="395">
        <f t="shared" ca="1" si="400"/>
        <v>0</v>
      </c>
      <c r="BV181" s="395">
        <f t="shared" ca="1" si="400"/>
        <v>0</v>
      </c>
      <c r="BW181" s="395">
        <f t="shared" ca="1" si="400"/>
        <v>0</v>
      </c>
      <c r="BX181" s="395">
        <f t="shared" ca="1" si="400"/>
        <v>0</v>
      </c>
      <c r="BY181" s="395">
        <f t="shared" ca="1" si="400"/>
        <v>0</v>
      </c>
      <c r="BZ181" s="395">
        <f t="shared" ca="1" si="400"/>
        <v>0</v>
      </c>
      <c r="CA181" s="395">
        <f t="shared" ca="1" si="400"/>
        <v>0</v>
      </c>
      <c r="CB181" s="395">
        <f t="shared" ca="1" si="400"/>
        <v>0</v>
      </c>
      <c r="CC181" s="395">
        <f t="shared" ca="1" si="400"/>
        <v>0</v>
      </c>
      <c r="CD181" s="395">
        <f t="shared" ca="1" si="400"/>
        <v>0</v>
      </c>
      <c r="CE181" s="395">
        <f t="shared" ca="1" si="400"/>
        <v>0</v>
      </c>
      <c r="CF181" s="395">
        <f t="shared" ca="1" si="400"/>
        <v>2.5000000000000001E-2</v>
      </c>
      <c r="CG181" s="395">
        <f t="shared" ca="1" si="400"/>
        <v>0</v>
      </c>
      <c r="CH181" s="395">
        <f t="shared" ca="1" si="400"/>
        <v>0</v>
      </c>
      <c r="CI181" s="395">
        <f t="shared" ca="1" si="400"/>
        <v>0</v>
      </c>
      <c r="CJ181" s="395">
        <f t="shared" ca="1" si="400"/>
        <v>0</v>
      </c>
      <c r="CK181" s="395">
        <f t="shared" ca="1" si="400"/>
        <v>0</v>
      </c>
      <c r="CL181" s="395">
        <f t="shared" ca="1" si="400"/>
        <v>0</v>
      </c>
      <c r="CM181" s="395">
        <f t="shared" ca="1" si="400"/>
        <v>0</v>
      </c>
      <c r="CN181" s="395">
        <f t="shared" ca="1" si="400"/>
        <v>0</v>
      </c>
      <c r="CO181" s="395">
        <f t="shared" ca="1" si="400"/>
        <v>0</v>
      </c>
      <c r="CP181" s="395">
        <f t="shared" ca="1" si="400"/>
        <v>0</v>
      </c>
      <c r="CQ181" s="395">
        <f t="shared" ca="1" si="400"/>
        <v>0</v>
      </c>
      <c r="CR181" s="395">
        <f t="shared" ca="1" si="400"/>
        <v>0</v>
      </c>
      <c r="CS181" s="395">
        <f t="shared" ca="1" si="400"/>
        <v>0</v>
      </c>
      <c r="CT181" s="395">
        <f t="shared" ca="1" si="400"/>
        <v>0</v>
      </c>
      <c r="CU181" s="395">
        <f t="shared" ca="1" si="400"/>
        <v>0</v>
      </c>
      <c r="CV181" s="395">
        <f t="shared" ca="1" si="400"/>
        <v>0</v>
      </c>
      <c r="CW181" s="395">
        <f t="shared" ca="1" si="400"/>
        <v>0</v>
      </c>
      <c r="CX181" s="395">
        <f t="shared" ca="1" si="400"/>
        <v>0</v>
      </c>
      <c r="CY181" s="395">
        <f t="shared" ca="1" si="400"/>
        <v>0</v>
      </c>
      <c r="CZ181" s="395">
        <f t="shared" ca="1" si="400"/>
        <v>0</v>
      </c>
      <c r="DA181" s="395">
        <f t="shared" ca="1" si="400"/>
        <v>0</v>
      </c>
      <c r="DB181" s="395">
        <f t="shared" ca="1" si="400"/>
        <v>0</v>
      </c>
      <c r="DC181" s="395">
        <f t="shared" ca="1" si="400"/>
        <v>0</v>
      </c>
      <c r="DD181" s="395">
        <f t="shared" ca="1" si="400"/>
        <v>0</v>
      </c>
      <c r="DE181" s="395">
        <f t="shared" ca="1" si="400"/>
        <v>0</v>
      </c>
      <c r="DF181" s="395">
        <f t="shared" ca="1" si="400"/>
        <v>0</v>
      </c>
      <c r="DG181" s="395">
        <f t="shared" ca="1" si="400"/>
        <v>0</v>
      </c>
      <c r="DH181" s="395">
        <f t="shared" ca="1" si="400"/>
        <v>0</v>
      </c>
      <c r="DI181" s="395">
        <f t="shared" ca="1" si="400"/>
        <v>0</v>
      </c>
      <c r="DJ181" s="395">
        <f t="shared" ca="1" si="400"/>
        <v>0</v>
      </c>
      <c r="DK181" s="395">
        <f t="shared" ca="1" si="400"/>
        <v>0</v>
      </c>
      <c r="DL181" s="395">
        <f t="shared" ca="1" si="400"/>
        <v>0</v>
      </c>
      <c r="DM181" s="395">
        <f t="shared" ca="1" si="400"/>
        <v>0</v>
      </c>
      <c r="DN181" s="395">
        <f t="shared" ca="1" si="400"/>
        <v>0</v>
      </c>
      <c r="DO181" s="395">
        <f t="shared" ca="1" si="400"/>
        <v>0</v>
      </c>
      <c r="DP181" s="395">
        <f t="shared" ca="1" si="400"/>
        <v>0</v>
      </c>
      <c r="DQ181" s="395">
        <f t="shared" ca="1" si="400"/>
        <v>0</v>
      </c>
      <c r="DR181" s="395">
        <f t="shared" ca="1" si="400"/>
        <v>0</v>
      </c>
      <c r="DS181" s="395">
        <f t="shared" ca="1" si="400"/>
        <v>0</v>
      </c>
      <c r="DT181" s="395">
        <f t="shared" ca="1" si="400"/>
        <v>0</v>
      </c>
      <c r="DU181" s="395">
        <f t="shared" ca="1" si="400"/>
        <v>0</v>
      </c>
      <c r="DV181" s="395">
        <f t="shared" ca="1" si="400"/>
        <v>0</v>
      </c>
      <c r="DW181" s="395">
        <f t="shared" ca="1" si="400"/>
        <v>0</v>
      </c>
      <c r="DX181" s="395">
        <f t="shared" ca="1" si="400"/>
        <v>0</v>
      </c>
      <c r="DY181" s="395">
        <f t="shared" ca="1" si="400"/>
        <v>0</v>
      </c>
      <c r="DZ181" s="395">
        <f t="shared" ca="1" si="400"/>
        <v>0</v>
      </c>
      <c r="EA181" s="395">
        <f t="shared" ca="1" si="400"/>
        <v>0</v>
      </c>
      <c r="EB181" s="395">
        <f t="shared" ca="1" si="400"/>
        <v>0</v>
      </c>
      <c r="EC181" s="395">
        <f t="shared" ca="1" si="400"/>
        <v>0</v>
      </c>
      <c r="ED181" s="395">
        <f t="shared" ca="1" si="400"/>
        <v>0</v>
      </c>
      <c r="EE181" s="395">
        <f t="shared" ca="1" si="400"/>
        <v>0</v>
      </c>
      <c r="EF181" s="395">
        <f t="shared" ref="EF181:EI181" ca="1" si="401">SUM(EF182:EF185)</f>
        <v>0</v>
      </c>
      <c r="EG181" s="395">
        <f t="shared" ca="1" si="401"/>
        <v>0</v>
      </c>
      <c r="EH181" s="395">
        <f t="shared" ca="1" si="401"/>
        <v>0</v>
      </c>
      <c r="EI181" s="395">
        <f t="shared" ca="1" si="401"/>
        <v>0</v>
      </c>
      <c r="EJ181" s="398"/>
      <c r="EK181" s="313"/>
    </row>
    <row r="182" spans="1:141" hidden="1" outlineLevel="2">
      <c r="A182" s="332"/>
      <c r="B182" s="549">
        <f>длительность!B193</f>
        <v>0.18749999999999994</v>
      </c>
      <c r="C182" s="317"/>
      <c r="D182" s="317" t="s">
        <v>664</v>
      </c>
      <c r="E182" s="318">
        <f t="shared" ref="E182:E185" ca="1" si="402">IF(F182=0,0,B182-F182)</f>
        <v>0</v>
      </c>
      <c r="F182" s="397">
        <f t="shared" ca="1" si="283"/>
        <v>0.18749999999999994</v>
      </c>
      <c r="G182" s="395"/>
      <c r="H182" s="395">
        <f ca="1">IF(SUM($G182:G182)=$B182,0,IF(J183&gt;0%,$B182,0%))</f>
        <v>0</v>
      </c>
      <c r="I182" s="395">
        <f ca="1">IF(SUM($G182:H182)=$B182,0,IF(K183&gt;0%,$B182,0%))</f>
        <v>0</v>
      </c>
      <c r="J182" s="395">
        <f ca="1">IF(SUM($G182:I182)=$B182,0,IF(L183&gt;0%,$B182,0%))</f>
        <v>0</v>
      </c>
      <c r="K182" s="395">
        <f ca="1">IF(SUM($G182:J182)=$B182,0,IF(M183&gt;0%,$B182,0%))</f>
        <v>0</v>
      </c>
      <c r="L182" s="395">
        <f ca="1">IF(SUM($G182:K182)=$B182,0,IF(N183&gt;0%,$B182,0%))</f>
        <v>0</v>
      </c>
      <c r="M182" s="395">
        <f ca="1">IF(SUM($G182:L182)=$B182,0,IF(O183&gt;0%,$B182,0%))</f>
        <v>0</v>
      </c>
      <c r="N182" s="395">
        <f ca="1">IF(SUM($G182:M182)=$B182,0,IF(P183&gt;0%,$B182,0%))</f>
        <v>0</v>
      </c>
      <c r="O182" s="395">
        <f ca="1">IF(SUM($G182:N182)=$B182,0,IF(Q183&gt;0%,$B182,0%))</f>
        <v>0</v>
      </c>
      <c r="P182" s="395">
        <f ca="1">IF(SUM($G182:O182)=$B182,0,IF(R183&gt;0%,$B182,0%))</f>
        <v>0</v>
      </c>
      <c r="Q182" s="395">
        <f ca="1">IF(SUM($G182:P182)=$B182,0,IF(S183&gt;0%,$B182,0%))</f>
        <v>0</v>
      </c>
      <c r="R182" s="395">
        <f ca="1">IF(SUM($G182:Q182)=$B182,0,IF(T183&gt;0%,$B182,0%))</f>
        <v>0</v>
      </c>
      <c r="S182" s="395">
        <f ca="1">IF(SUM($G182:R182)=$B182,0,IF(U183&gt;0%,$B182,0%))</f>
        <v>0</v>
      </c>
      <c r="T182" s="395">
        <f ca="1">IF(SUM($G182:S182)=$B182,0,IF(V183&gt;0%,$B182,0%))</f>
        <v>0</v>
      </c>
      <c r="U182" s="395">
        <f ca="1">IF(SUM($G182:T182)=$B182,0,IF(W183&gt;0%,$B182,0%))</f>
        <v>0</v>
      </c>
      <c r="V182" s="395">
        <f ca="1">IF(SUM($G182:U182)=$B182,0,IF(X183&gt;0%,$B182,0%))</f>
        <v>0</v>
      </c>
      <c r="W182" s="395">
        <f ca="1">IF(SUM($G182:V182)=$B182,0,IF(Y183&gt;0%,$B182,0%))</f>
        <v>0</v>
      </c>
      <c r="X182" s="395">
        <f ca="1">IF(SUM($G182:W182)=$B182,0,IF(Z183&gt;0%,$B182,0%))</f>
        <v>0</v>
      </c>
      <c r="Y182" s="395">
        <f ca="1">IF(SUM($G182:X182)=$B182,0,IF(AA183&gt;0%,$B182,0%))</f>
        <v>0</v>
      </c>
      <c r="Z182" s="395">
        <f ca="1">IF(SUM($G182:Y182)=$B182,0,IF(AB183&gt;0%,$B182,0%))</f>
        <v>0</v>
      </c>
      <c r="AA182" s="395">
        <f ca="1">IF(SUM($G182:Z182)=$B182,0,IF(AC183&gt;0%,$B182,0%))</f>
        <v>0</v>
      </c>
      <c r="AB182" s="395">
        <f ca="1">IF(SUM($G182:AA182)=$B182,0,IF(AD183&gt;0%,$B182,0%))</f>
        <v>0</v>
      </c>
      <c r="AC182" s="395">
        <f ca="1">IF(SUM($G182:AB182)=$B182,0,IF(AE183&gt;0%,$B182,0%))</f>
        <v>0</v>
      </c>
      <c r="AD182" s="395">
        <f ca="1">IF(SUM($G182:AC182)=$B182,0,IF(AF183&gt;0%,$B182,0%))</f>
        <v>0</v>
      </c>
      <c r="AE182" s="395">
        <f ca="1">IF(SUM($G182:AD182)=$B182,0,IF(AG183&gt;0%,$B182,0%))</f>
        <v>0</v>
      </c>
      <c r="AF182" s="395">
        <f ca="1">IF(SUM($G182:AE182)=$B182,0,IF(AH183&gt;0%,$B182,0%))</f>
        <v>0</v>
      </c>
      <c r="AG182" s="395">
        <f ca="1">IF(SUM($G182:AF182)=$B182,0,IF(AI183&gt;0%,$B182,0%))</f>
        <v>0</v>
      </c>
      <c r="AH182" s="395">
        <f ca="1">IF(SUM($G182:AG182)=$B182,0,IF(AJ183&gt;0%,$B182,0%))</f>
        <v>0</v>
      </c>
      <c r="AI182" s="395">
        <f ca="1">IF(SUM($G182:AH182)=$B182,0,IF(AK183&gt;0%,$B182,0%))</f>
        <v>0</v>
      </c>
      <c r="AJ182" s="395">
        <f ca="1">IF(SUM($G182:AI182)=$B182,0,IF(AL183&gt;0%,$B182,0%))</f>
        <v>0</v>
      </c>
      <c r="AK182" s="395">
        <f ca="1">IF(SUM($G182:AJ182)=$B182,0,IF(AM183&gt;0%,$B182,0%))</f>
        <v>0</v>
      </c>
      <c r="AL182" s="395">
        <f ca="1">IF(SUM($G182:AK182)=$B182,0,IF(AN183&gt;0%,$B182,0%))</f>
        <v>0</v>
      </c>
      <c r="AM182" s="395">
        <f ca="1">IF(SUM($G182:AL182)=$B182,0,IF(AO183&gt;0%,$B182,0%))</f>
        <v>0</v>
      </c>
      <c r="AN182" s="395">
        <f ca="1">IF(SUM($G182:AM182)=$B182,0,IF(AP183&gt;0%,$B182,0%))</f>
        <v>0</v>
      </c>
      <c r="AO182" s="395">
        <f ca="1">IF(SUM($G182:AN182)=$B182,0,IF(AQ183&gt;0%,$B182,0%))</f>
        <v>0</v>
      </c>
      <c r="AP182" s="395">
        <f ca="1">IF(SUM($G182:AO182)=$B182,0,IF(AR183&gt;0%,$B182,0%))</f>
        <v>0</v>
      </c>
      <c r="AQ182" s="395">
        <f ca="1">IF(SUM($G182:AP182)=$B182,0,IF(AS183&gt;0%,$B182,0%))</f>
        <v>0</v>
      </c>
      <c r="AR182" s="395">
        <f ca="1">IF(SUM($G182:AQ182)=$B182,0,IF(AT183&gt;0%,$B182,0%))</f>
        <v>0</v>
      </c>
      <c r="AS182" s="395">
        <f ca="1">IF(SUM($G182:AR182)=$B182,0,IF(AU183&gt;0%,$B182,0%))</f>
        <v>0</v>
      </c>
      <c r="AT182" s="395">
        <f ca="1">IF(SUM($G182:AS182)=$B182,0,IF(AV183&gt;0%,$B182,0%))</f>
        <v>0</v>
      </c>
      <c r="AU182" s="395">
        <f ca="1">IF(SUM($G182:AT182)=$B182,0,IF(AW183&gt;0%,$B182,0%))</f>
        <v>0</v>
      </c>
      <c r="AV182" s="395">
        <f ca="1">IF(SUM($G182:AU182)=$B182,0,IF(AX183&gt;0%,$B182,0%))</f>
        <v>0</v>
      </c>
      <c r="AW182" s="395">
        <f ca="1">IF(SUM($G182:AV182)=$B182,0,IF(AY183&gt;0%,$B182,0%))</f>
        <v>0</v>
      </c>
      <c r="AX182" s="395">
        <f ca="1">IF(SUM($G182:AW182)=$B182,0,IF(AZ183&gt;0%,$B182,0%))</f>
        <v>0</v>
      </c>
      <c r="AY182" s="395">
        <f ca="1">IF(SUM($G182:AX182)=$B182,0,IF(BA183&gt;0%,$B182,0%))</f>
        <v>0</v>
      </c>
      <c r="AZ182" s="395">
        <f ca="1">IF(SUM($G182:AY182)=$B182,0,IF(BB183&gt;0%,$B182,0%))</f>
        <v>0.18749999999999994</v>
      </c>
      <c r="BA182" s="395">
        <f ca="1">IF(SUM($G182:AZ182)=$B182,0,IF(BC183&gt;0%,$B182,0%))</f>
        <v>0</v>
      </c>
      <c r="BB182" s="395">
        <f ca="1">IF(SUM($G182:BA182)=$B182,0,IF(BD183&gt;0%,$B182,0%))</f>
        <v>0</v>
      </c>
      <c r="BC182" s="395">
        <f ca="1">IF(SUM($G182:BB182)=$B182,0,IF(BE183&gt;0%,$B182,0%))</f>
        <v>0</v>
      </c>
      <c r="BD182" s="395">
        <f ca="1">IF(SUM($G182:BC182)=$B182,0,IF(BF183&gt;0%,$B182,0%))</f>
        <v>0</v>
      </c>
      <c r="BE182" s="395">
        <f ca="1">IF(SUM($G182:BD182)=$B182,0,IF(BG183&gt;0%,$B182,0%))</f>
        <v>0</v>
      </c>
      <c r="BF182" s="395">
        <f ca="1">IF(SUM($G182:BE182)=$B182,0,IF(BH183&gt;0%,$B182,0%))</f>
        <v>0</v>
      </c>
      <c r="BG182" s="395">
        <f ca="1">IF(SUM($G182:BF182)=$B182,0,IF(BI183&gt;0%,$B182,0%))</f>
        <v>0</v>
      </c>
      <c r="BH182" s="395">
        <f ca="1">IF(SUM($G182:BG182)=$B182,0,IF(BJ183&gt;0%,$B182,0%))</f>
        <v>0</v>
      </c>
      <c r="BI182" s="395">
        <f ca="1">IF(SUM($G182:BH182)=$B182,0,IF(BK183&gt;0%,$B182,0%))</f>
        <v>0</v>
      </c>
      <c r="BJ182" s="395">
        <f ca="1">IF(SUM($G182:BI182)=$B182,0,IF(BL183&gt;0%,$B182,0%))</f>
        <v>0</v>
      </c>
      <c r="BK182" s="395">
        <f ca="1">IF(SUM($G182:BJ182)=$B182,0,IF(BM183&gt;0%,$B182,0%))</f>
        <v>0</v>
      </c>
      <c r="BL182" s="395">
        <f ca="1">IF(SUM($G182:BK182)=$B182,0,IF(BN183&gt;0%,$B182,0%))</f>
        <v>0</v>
      </c>
      <c r="BM182" s="395">
        <f ca="1">IF(SUM($G182:BL182)=$B182,0,IF(BO183&gt;0%,$B182,0%))</f>
        <v>0</v>
      </c>
      <c r="BN182" s="395">
        <f ca="1">IF(SUM($G182:BM182)=$B182,0,IF(BP183&gt;0%,$B182,0%))</f>
        <v>0</v>
      </c>
      <c r="BO182" s="395">
        <f ca="1">IF(SUM($G182:BN182)=$B182,0,IF(BQ183&gt;0%,$B182,0%))</f>
        <v>0</v>
      </c>
      <c r="BP182" s="395">
        <f ca="1">IF(SUM($G182:BO182)=$B182,0,IF(BR183&gt;0%,$B182,0%))</f>
        <v>0</v>
      </c>
      <c r="BQ182" s="395">
        <f ca="1">IF(SUM($G182:BP182)=$B182,0,IF(BS183&gt;0%,$B182,0%))</f>
        <v>0</v>
      </c>
      <c r="BR182" s="395">
        <f ca="1">IF(SUM($G182:BQ182)=$B182,0,IF(BT183&gt;0%,$B182,0%))</f>
        <v>0</v>
      </c>
      <c r="BS182" s="395">
        <f ca="1">IF(SUM($G182:BR182)=$B182,0,IF(BU183&gt;0%,$B182,0%))</f>
        <v>0</v>
      </c>
      <c r="BT182" s="395">
        <f ca="1">IF(SUM($G182:BS182)=$B182,0,IF(BV183&gt;0%,$B182,0%))</f>
        <v>0</v>
      </c>
      <c r="BU182" s="395">
        <f ca="1">IF(SUM($G182:BT182)=$B182,0,IF(BW183&gt;0%,$B182,0%))</f>
        <v>0</v>
      </c>
      <c r="BV182" s="395">
        <f ca="1">IF(SUM($G182:BU182)=$B182,0,IF(BX183&gt;0%,$B182,0%))</f>
        <v>0</v>
      </c>
      <c r="BW182" s="395">
        <f ca="1">IF(SUM($G182:BV182)=$B182,0,IF(BY183&gt;0%,$B182,0%))</f>
        <v>0</v>
      </c>
      <c r="BX182" s="395">
        <f ca="1">IF(SUM($G182:BW182)=$B182,0,IF(BZ183&gt;0%,$B182,0%))</f>
        <v>0</v>
      </c>
      <c r="BY182" s="395">
        <f ca="1">IF(SUM($G182:BX182)=$B182,0,IF(CA183&gt;0%,$B182,0%))</f>
        <v>0</v>
      </c>
      <c r="BZ182" s="395">
        <f ca="1">IF(SUM($G182:BY182)=$B182,0,IF(CB183&gt;0%,$B182,0%))</f>
        <v>0</v>
      </c>
      <c r="CA182" s="395">
        <f ca="1">IF(SUM($G182:BZ182)=$B182,0,IF(CC183&gt;0%,$B182,0%))</f>
        <v>0</v>
      </c>
      <c r="CB182" s="395">
        <f ca="1">IF(SUM($G182:CA182)=$B182,0,IF(CD183&gt;0%,$B182,0%))</f>
        <v>0</v>
      </c>
      <c r="CC182" s="395">
        <f ca="1">IF(SUM($G182:CB182)=$B182,0,IF(CE183&gt;0%,$B182,0%))</f>
        <v>0</v>
      </c>
      <c r="CD182" s="395">
        <f ca="1">IF(SUM($G182:CC182)=$B182,0,IF(CF183&gt;0%,$B182,0%))</f>
        <v>0</v>
      </c>
      <c r="CE182" s="395">
        <f ca="1">IF(SUM($G182:CD182)=$B182,0,IF(CG183&gt;0%,$B182,0%))</f>
        <v>0</v>
      </c>
      <c r="CF182" s="395">
        <f ca="1">IF(SUM($G182:CE182)=$B182,0,IF(CH183&gt;0%,$B182,0%))</f>
        <v>0</v>
      </c>
      <c r="CG182" s="395">
        <f ca="1">IF(SUM($G182:CF182)=$B182,0,IF(CI183&gt;0%,$B182,0%))</f>
        <v>0</v>
      </c>
      <c r="CH182" s="395">
        <f ca="1">IF(SUM($G182:CG182)=$B182,0,IF(CJ183&gt;0%,$B182,0%))</f>
        <v>0</v>
      </c>
      <c r="CI182" s="395">
        <f ca="1">IF(SUM($G182:CH182)=$B182,0,IF(CK183&gt;0%,$B182,0%))</f>
        <v>0</v>
      </c>
      <c r="CJ182" s="395">
        <f ca="1">IF(SUM($G182:CI182)=$B182,0,IF(CL183&gt;0%,$B182,0%))</f>
        <v>0</v>
      </c>
      <c r="CK182" s="395">
        <f ca="1">IF(SUM($G182:CJ182)=$B182,0,IF(CM183&gt;0%,$B182,0%))</f>
        <v>0</v>
      </c>
      <c r="CL182" s="395">
        <f ca="1">IF(SUM($G182:CK182)=$B182,0,IF(CN183&gt;0%,$B182,0%))</f>
        <v>0</v>
      </c>
      <c r="CM182" s="395">
        <f ca="1">IF(SUM($G182:CL182)=$B182,0,IF(CO183&gt;0%,$B182,0%))</f>
        <v>0</v>
      </c>
      <c r="CN182" s="395">
        <f ca="1">IF(SUM($G182:CM182)=$B182,0,IF(CP183&gt;0%,$B182,0%))</f>
        <v>0</v>
      </c>
      <c r="CO182" s="395">
        <f ca="1">IF(SUM($G182:CN182)=$B182,0,IF(CQ183&gt;0%,$B182,0%))</f>
        <v>0</v>
      </c>
      <c r="CP182" s="395">
        <f ca="1">IF(SUM($G182:CO182)=$B182,0,IF(CR183&gt;0%,$B182,0%))</f>
        <v>0</v>
      </c>
      <c r="CQ182" s="395">
        <f ca="1">IF(SUM($G182:CP182)=$B182,0,IF(CS183&gt;0%,$B182,0%))</f>
        <v>0</v>
      </c>
      <c r="CR182" s="395">
        <f ca="1">IF(SUM($G182:CQ182)=$B182,0,IF(CT183&gt;0%,$B182,0%))</f>
        <v>0</v>
      </c>
      <c r="CS182" s="395">
        <f ca="1">IF(SUM($G182:CR182)=$B182,0,IF(CU183&gt;0%,$B182,0%))</f>
        <v>0</v>
      </c>
      <c r="CT182" s="395">
        <f ca="1">IF(SUM($G182:CS182)=$B182,0,IF(CV183&gt;0%,$B182,0%))</f>
        <v>0</v>
      </c>
      <c r="CU182" s="395">
        <f ca="1">IF(SUM($G182:CT182)=$B182,0,IF(CW183&gt;0%,$B182,0%))</f>
        <v>0</v>
      </c>
      <c r="CV182" s="395">
        <f ca="1">IF(SUM($G182:CU182)=$B182,0,IF(CX183&gt;0%,$B182,0%))</f>
        <v>0</v>
      </c>
      <c r="CW182" s="395">
        <f ca="1">IF(SUM($G182:CV182)=$B182,0,IF(CY183&gt;0%,$B182,0%))</f>
        <v>0</v>
      </c>
      <c r="CX182" s="395">
        <f ca="1">IF(SUM($G182:CW182)=$B182,0,IF(CZ183&gt;0%,$B182,0%))</f>
        <v>0</v>
      </c>
      <c r="CY182" s="395">
        <f ca="1">IF(SUM($G182:CX182)=$B182,0,IF(DA183&gt;0%,$B182,0%))</f>
        <v>0</v>
      </c>
      <c r="CZ182" s="395">
        <f ca="1">IF(SUM($G182:CY182)=$B182,0,IF(DB183&gt;0%,$B182,0%))</f>
        <v>0</v>
      </c>
      <c r="DA182" s="395">
        <f ca="1">IF(SUM($G182:CZ182)=$B182,0,IF(DC183&gt;0%,$B182,0%))</f>
        <v>0</v>
      </c>
      <c r="DB182" s="395">
        <f ca="1">IF(SUM($G182:DA182)=$B182,0,IF(DD183&gt;0%,$B182,0%))</f>
        <v>0</v>
      </c>
      <c r="DC182" s="395">
        <f ca="1">IF(SUM($G182:DB182)=$B182,0,IF(DE183&gt;0%,$B182,0%))</f>
        <v>0</v>
      </c>
      <c r="DD182" s="395">
        <f ca="1">IF(SUM($G182:DC182)=$B182,0,IF(DF183&gt;0%,$B182,0%))</f>
        <v>0</v>
      </c>
      <c r="DE182" s="395">
        <f ca="1">IF(SUM($G182:DD182)=$B182,0,IF(DG183&gt;0%,$B182,0%))</f>
        <v>0</v>
      </c>
      <c r="DF182" s="395">
        <f ca="1">IF(SUM($G182:DE182)=$B182,0,IF(DH183&gt;0%,$B182,0%))</f>
        <v>0</v>
      </c>
      <c r="DG182" s="395">
        <f ca="1">IF(SUM($G182:DF182)=$B182,0,IF(DI183&gt;0%,$B182,0%))</f>
        <v>0</v>
      </c>
      <c r="DH182" s="395">
        <f ca="1">IF(SUM($G182:DG182)=$B182,0,IF(DJ183&gt;0%,$B182,0%))</f>
        <v>0</v>
      </c>
      <c r="DI182" s="395">
        <f ca="1">IF(SUM($G182:DH182)=$B182,0,IF(DK183&gt;0%,$B182,0%))</f>
        <v>0</v>
      </c>
      <c r="DJ182" s="395">
        <f ca="1">IF(SUM($G182:DI182)=$B182,0,IF(DL183&gt;0%,$B182,0%))</f>
        <v>0</v>
      </c>
      <c r="DK182" s="395">
        <f ca="1">IF(SUM($G182:DJ182)=$B182,0,IF(DM183&gt;0%,$B182,0%))</f>
        <v>0</v>
      </c>
      <c r="DL182" s="395">
        <f ca="1">IF(SUM($G182:DK182)=$B182,0,IF(DN183&gt;0%,$B182,0%))</f>
        <v>0</v>
      </c>
      <c r="DM182" s="395">
        <f ca="1">IF(SUM($G182:DL182)=$B182,0,IF(DO183&gt;0%,$B182,0%))</f>
        <v>0</v>
      </c>
      <c r="DN182" s="395">
        <f ca="1">IF(SUM($G182:DM182)=$B182,0,IF(DP183&gt;0%,$B182,0%))</f>
        <v>0</v>
      </c>
      <c r="DO182" s="395">
        <f ca="1">IF(SUM($G182:DN182)=$B182,0,IF(DQ183&gt;0%,$B182,0%))</f>
        <v>0</v>
      </c>
      <c r="DP182" s="395">
        <f ca="1">IF(SUM($G182:DO182)=$B182,0,IF(DR183&gt;0%,$B182,0%))</f>
        <v>0</v>
      </c>
      <c r="DQ182" s="395">
        <f ca="1">IF(SUM($G182:DP182)=$B182,0,IF(DS183&gt;0%,$B182,0%))</f>
        <v>0</v>
      </c>
      <c r="DR182" s="395">
        <f ca="1">IF(SUM($G182:DQ182)=$B182,0,IF(DT183&gt;0%,$B182,0%))</f>
        <v>0</v>
      </c>
      <c r="DS182" s="395">
        <f ca="1">IF(SUM($G182:DR182)=$B182,0,IF(DU183&gt;0%,$B182,0%))</f>
        <v>0</v>
      </c>
      <c r="DT182" s="395">
        <f ca="1">IF(SUM($G182:DS182)=$B182,0,IF(DV183&gt;0%,$B182,0%))</f>
        <v>0</v>
      </c>
      <c r="DU182" s="395">
        <f ca="1">IF(SUM($G182:DT182)=$B182,0,IF(DW183&gt;0%,$B182,0%))</f>
        <v>0</v>
      </c>
      <c r="DV182" s="395">
        <f ca="1">IF(SUM($G182:DU182)=$B182,0,IF(DX183&gt;0%,$B182,0%))</f>
        <v>0</v>
      </c>
      <c r="DW182" s="395">
        <f ca="1">IF(SUM($G182:DV182)=$B182,0,IF(DY183&gt;0%,$B182,0%))</f>
        <v>0</v>
      </c>
      <c r="DX182" s="395">
        <f ca="1">IF(SUM($G182:DW182)=$B182,0,IF(DZ183&gt;0%,$B182,0%))</f>
        <v>0</v>
      </c>
      <c r="DY182" s="395">
        <f ca="1">IF(SUM($G182:DX182)=$B182,0,IF(EA183&gt;0%,$B182,0%))</f>
        <v>0</v>
      </c>
      <c r="DZ182" s="395">
        <f ca="1">IF(SUM($G182:DY182)=$B182,0,IF(EB183&gt;0%,$B182,0%))</f>
        <v>0</v>
      </c>
      <c r="EA182" s="395">
        <f ca="1">IF(SUM($G182:DZ182)=$B182,0,IF(EC183&gt;0%,$B182,0%))</f>
        <v>0</v>
      </c>
      <c r="EB182" s="395">
        <f ca="1">IF(SUM($G182:EA182)=$B182,0,IF(ED183&gt;0%,$B182,0%))</f>
        <v>0</v>
      </c>
      <c r="EC182" s="395">
        <f ca="1">IF(SUM($G182:EB182)=$B182,0,IF(EE183&gt;0%,$B182,0%))</f>
        <v>0</v>
      </c>
      <c r="ED182" s="395">
        <f ca="1">IF(SUM($G182:EC182)=$B182,0,IF(EF183&gt;0%,$B182,0%))</f>
        <v>0</v>
      </c>
      <c r="EE182" s="395">
        <f ca="1">IF(SUM($G182:ED182)=$B182,0,IF(EG183&gt;0%,$B182,0%))</f>
        <v>0</v>
      </c>
      <c r="EF182" s="395">
        <f ca="1">IF(SUM($G182:EE182)=$B182,0,IF(EH183&gt;0%,$B182,0%))</f>
        <v>0</v>
      </c>
      <c r="EG182" s="395">
        <f ca="1">IF(SUM($G182:EF182)=$B182,0,IF(EI183&gt;0%,$B182,0%))</f>
        <v>0</v>
      </c>
      <c r="EH182" s="395">
        <f ca="1">IF(SUM($G182:EG182)=$B182,0,IF(EJ183&gt;0%,$B182,0%))</f>
        <v>0</v>
      </c>
      <c r="EI182" s="395">
        <f ca="1">IF(SUM($G182:EH182)=$B182,0,IF(EK183&gt;0%,$B182,0%))</f>
        <v>0</v>
      </c>
      <c r="EJ182" s="398"/>
      <c r="EK182" s="313"/>
    </row>
    <row r="183" spans="1:141" hidden="1" outlineLevel="2">
      <c r="A183" s="332"/>
      <c r="B183" s="549">
        <f>длительность!C193</f>
        <v>0.76249999999999996</v>
      </c>
      <c r="C183" s="317"/>
      <c r="D183" s="317" t="s">
        <v>663</v>
      </c>
      <c r="E183" s="318">
        <f t="shared" ca="1" si="402"/>
        <v>0</v>
      </c>
      <c r="F183" s="397">
        <f t="shared" ca="1" si="283"/>
        <v>0.76249999999999996</v>
      </c>
      <c r="G183" s="395"/>
      <c r="H183" s="395"/>
      <c r="I183" s="395">
        <f ca="1">IF($E$355=0,0,IF(SUM($G183:H183)=$B183,0,IF(SUM($G355:H355)&gt;=$E355,($B183/$E355)*($E355-SUM($G355:G355)),($B183/$E355)*H355)))</f>
        <v>0</v>
      </c>
      <c r="J183" s="395">
        <f ca="1">IF($E$355=0,0,IF(SUM($G183:I183)=$B183,0,IF(SUM($G355:I355)&gt;=$E355,($B183/$E355)*($E355-SUM($G355:H355)),($B183/$E355)*I355)))</f>
        <v>0</v>
      </c>
      <c r="K183" s="395">
        <f ca="1">IF($E$355=0,0,IF(SUM($G183:J183)=$B183,0,IF(SUM($G355:J355)&gt;=$E355,($B183/$E355)*($E355-SUM($G355:I355)),($B183/$E355)*J355)))</f>
        <v>0</v>
      </c>
      <c r="L183" s="395">
        <f ca="1">IF($E$355=0,0,IF(SUM($G183:K183)=$B183,0,IF(SUM($G355:K355)&gt;=$E355,($B183/$E355)*($E355-SUM($G355:J355)),($B183/$E355)*K355)))</f>
        <v>0</v>
      </c>
      <c r="M183" s="395">
        <f ca="1">IF($E$355=0,0,IF(SUM($G183:L183)=$B183,0,IF(SUM($G355:L355)&gt;=$E355,($B183/$E355)*($E355-SUM($G355:K355)),($B183/$E355)*L355)))</f>
        <v>0</v>
      </c>
      <c r="N183" s="395">
        <f ca="1">IF($E$355=0,0,IF(SUM($G183:M183)=$B183,0,IF(SUM($G355:M355)&gt;=$E355,($B183/$E355)*($E355-SUM($G355:L355)),($B183/$E355)*M355)))</f>
        <v>0</v>
      </c>
      <c r="O183" s="395">
        <f ca="1">IF($E$355=0,0,IF(SUM($G183:N183)=$B183,0,IF(SUM($G355:N355)&gt;=$E355,($B183/$E355)*($E355-SUM($G355:M355)),($B183/$E355)*N355)))</f>
        <v>0</v>
      </c>
      <c r="P183" s="395">
        <f ca="1">IF($E$355=0,0,IF(SUM($G183:O183)=$B183,0,IF(SUM($G355:O355)&gt;=$E355,($B183/$E355)*($E355-SUM($G355:N355)),($B183/$E355)*O355)))</f>
        <v>0</v>
      </c>
      <c r="Q183" s="395">
        <f ca="1">IF($E$355=0,0,IF(SUM($G183:P183)=$B183,0,IF(SUM($G355:P355)&gt;=$E355,($B183/$E355)*($E355-SUM($G355:O355)),($B183/$E355)*P355)))</f>
        <v>0</v>
      </c>
      <c r="R183" s="395">
        <f ca="1">IF($E$355=0,0,IF(SUM($G183:Q183)=$B183,0,IF(SUM($G355:Q355)&gt;=$E355,($B183/$E355)*($E355-SUM($G355:P355)),($B183/$E355)*Q355)))</f>
        <v>0</v>
      </c>
      <c r="S183" s="395">
        <f ca="1">IF($E$355=0,0,IF(SUM($G183:R183)=$B183,0,IF(SUM($G355:R355)&gt;=$E355,($B183/$E355)*($E355-SUM($G355:Q355)),($B183/$E355)*R355)))</f>
        <v>0</v>
      </c>
      <c r="T183" s="395">
        <f ca="1">IF($E$355=0,0,IF(SUM($G183:S183)=$B183,0,IF(SUM($G355:S355)&gt;=$E355,($B183/$E355)*($E355-SUM($G355:R355)),($B183/$E355)*S355)))</f>
        <v>0</v>
      </c>
      <c r="U183" s="395">
        <f ca="1">IF($E$355=0,0,IF(SUM($G183:T183)=$B183,0,IF(SUM($G355:T355)&gt;=$E355,($B183/$E355)*($E355-SUM($G355:S355)),($B183/$E355)*T355)))</f>
        <v>0</v>
      </c>
      <c r="V183" s="395">
        <f ca="1">IF($E$355=0,0,IF(SUM($G183:U183)=$B183,0,IF(SUM($G355:U355)&gt;=$E355,($B183/$E355)*($E355-SUM($G355:T355)),($B183/$E355)*U355)))</f>
        <v>0</v>
      </c>
      <c r="W183" s="395">
        <f ca="1">IF($E$355=0,0,IF(SUM($G183:V183)=$B183,0,IF(SUM($G355:V355)&gt;=$E355,($B183/$E355)*($E355-SUM($G355:U355)),($B183/$E355)*V355)))</f>
        <v>0</v>
      </c>
      <c r="X183" s="395">
        <f ca="1">IF($E$355=0,0,IF(SUM($G183:W183)=$B183,0,IF(SUM($G355:W355)&gt;=$E355,($B183/$E355)*($E355-SUM($G355:V355)),($B183/$E355)*W355)))</f>
        <v>0</v>
      </c>
      <c r="Y183" s="395">
        <f ca="1">IF($E$355=0,0,IF(SUM($G183:X183)=$B183,0,IF(SUM($G355:X355)&gt;=$E355,($B183/$E355)*($E355-SUM($G355:W355)),($B183/$E355)*X355)))</f>
        <v>0</v>
      </c>
      <c r="Z183" s="395">
        <f ca="1">IF($E$355=0,0,IF(SUM($G183:Y183)=$B183,0,IF(SUM($G355:Y355)&gt;=$E355,($B183/$E355)*($E355-SUM($G355:X355)),($B183/$E355)*Y355)))</f>
        <v>0</v>
      </c>
      <c r="AA183" s="395">
        <f ca="1">IF($E$355=0,0,IF(SUM($G183:Z183)=$B183,0,IF(SUM($G355:Z355)&gt;=$E355,($B183/$E355)*($E355-SUM($G355:Y355)),($B183/$E355)*Z355)))</f>
        <v>0</v>
      </c>
      <c r="AB183" s="395">
        <f ca="1">IF($E$355=0,0,IF(SUM($G183:AA183)=$B183,0,IF(SUM($G355:AA355)&gt;=$E355,($B183/$E355)*($E355-SUM($G355:Z355)),($B183/$E355)*AA355)))</f>
        <v>0</v>
      </c>
      <c r="AC183" s="395">
        <f ca="1">IF($E$355=0,0,IF(SUM($G183:AB183)=$B183,0,IF(SUM($G355:AB355)&gt;=$E355,($B183/$E355)*($E355-SUM($G355:AA355)),($B183/$E355)*AB355)))</f>
        <v>0</v>
      </c>
      <c r="AD183" s="395">
        <f ca="1">IF($E$355=0,0,IF(SUM($G183:AC183)=$B183,0,IF(SUM($G355:AC355)&gt;=$E355,($B183/$E355)*($E355-SUM($G355:AB355)),($B183/$E355)*AC355)))</f>
        <v>0</v>
      </c>
      <c r="AE183" s="395">
        <f ca="1">IF($E$355=0,0,IF(SUM($G183:AD183)=$B183,0,IF(SUM($G355:AD355)&gt;=$E355,($B183/$E355)*($E355-SUM($G355:AC355)),($B183/$E355)*AD355)))</f>
        <v>0</v>
      </c>
      <c r="AF183" s="395">
        <f ca="1">IF($E$355=0,0,IF(SUM($G183:AE183)=$B183,0,IF(SUM($G355:AE355)&gt;=$E355,($B183/$E355)*($E355-SUM($G355:AD355)),($B183/$E355)*AE355)))</f>
        <v>0</v>
      </c>
      <c r="AG183" s="395">
        <f ca="1">IF($E$355=0,0,IF(SUM($G183:AF183)=$B183,0,IF(SUM($G355:AF355)&gt;=$E355,($B183/$E355)*($E355-SUM($G355:AE355)),($B183/$E355)*AF355)))</f>
        <v>0</v>
      </c>
      <c r="AH183" s="395">
        <f ca="1">IF($E$355=0,0,IF(SUM($G183:AG183)=$B183,0,IF(SUM($G355:AG355)&gt;=$E355,($B183/$E355)*($E355-SUM($G355:AF355)),($B183/$E355)*AG355)))</f>
        <v>0</v>
      </c>
      <c r="AI183" s="395">
        <f ca="1">IF($E$355=0,0,IF(SUM($G183:AH183)=$B183,0,IF(SUM($G355:AH355)&gt;=$E355,($B183/$E355)*($E355-SUM($G355:AG355)),($B183/$E355)*AH355)))</f>
        <v>0</v>
      </c>
      <c r="AJ183" s="395">
        <f ca="1">IF($E$355=0,0,IF(SUM($G183:AI183)=$B183,0,IF(SUM($G355:AI355)&gt;=$E355,($B183/$E355)*($E355-SUM($G355:AH355)),($B183/$E355)*AI355)))</f>
        <v>0</v>
      </c>
      <c r="AK183" s="395">
        <f ca="1">IF($E$355=0,0,IF(SUM($G183:AJ183)=$B183,0,IF(SUM($G355:AJ355)&gt;=$E355,($B183/$E355)*($E355-SUM($G355:AI355)),($B183/$E355)*AJ355)))</f>
        <v>0</v>
      </c>
      <c r="AL183" s="395">
        <f ca="1">IF($E$355=0,0,IF(SUM($G183:AK183)=$B183,0,IF(SUM($G355:AK355)&gt;=$E355,($B183/$E355)*($E355-SUM($G355:AJ355)),($B183/$E355)*AK355)))</f>
        <v>0</v>
      </c>
      <c r="AM183" s="395">
        <f ca="1">IF($E$355=0,0,IF(SUM($G183:AL183)=$B183,0,IF(SUM($G355:AL355)&gt;=$E355,($B183/$E355)*($E355-SUM($G355:AK355)),($B183/$E355)*AL355)))</f>
        <v>0</v>
      </c>
      <c r="AN183" s="395">
        <f ca="1">IF($E$355=0,0,IF(SUM($G183:AM183)=$B183,0,IF(SUM($G355:AM355)&gt;=$E355,($B183/$E355)*($E355-SUM($G355:AL355)),($B183/$E355)*AM355)))</f>
        <v>0</v>
      </c>
      <c r="AO183" s="395">
        <f ca="1">IF($E$355=0,0,IF(SUM($G183:AN183)=$B183,0,IF(SUM($G355:AN355)&gt;=$E355,($B183/$E355)*($E355-SUM($G355:AM355)),($B183/$E355)*AN355)))</f>
        <v>0</v>
      </c>
      <c r="AP183" s="395">
        <f ca="1">IF($E$355=0,0,IF(SUM($G183:AO183)=$B183,0,IF(SUM($G355:AO355)&gt;=$E355,($B183/$E355)*($E355-SUM($G355:AN355)),($B183/$E355)*AO355)))</f>
        <v>0</v>
      </c>
      <c r="AQ183" s="395">
        <f ca="1">IF($E$355=0,0,IF(SUM($G183:AP183)=$B183,0,IF(SUM($G355:AP355)&gt;=$E355,($B183/$E355)*($E355-SUM($G355:AO355)),($B183/$E355)*AP355)))</f>
        <v>0</v>
      </c>
      <c r="AR183" s="395">
        <f ca="1">IF($E$355=0,0,IF(SUM($G183:AQ183)=$B183,0,IF(SUM($G355:AQ355)&gt;=$E355,($B183/$E355)*($E355-SUM($G355:AP355)),($B183/$E355)*AQ355)))</f>
        <v>0</v>
      </c>
      <c r="AS183" s="395">
        <f ca="1">IF($E$355=0,0,IF(SUM($G183:AR183)=$B183,0,IF(SUM($G355:AR355)&gt;=$E355,($B183/$E355)*($E355-SUM($G355:AQ355)),($B183/$E355)*AR355)))</f>
        <v>0</v>
      </c>
      <c r="AT183" s="395">
        <f ca="1">IF($E$355=0,0,IF(SUM($G183:AS183)=$B183,0,IF(SUM($G355:AS355)&gt;=$E355,($B183/$E355)*($E355-SUM($G355:AR355)),($B183/$E355)*AS355)))</f>
        <v>0</v>
      </c>
      <c r="AU183" s="395">
        <f ca="1">IF($E$355=0,0,IF(SUM($G183:AT183)=$B183,0,IF(SUM($G355:AT355)&gt;=$E355,($B183/$E355)*($E355-SUM($G355:AS355)),($B183/$E355)*AT355)))</f>
        <v>0</v>
      </c>
      <c r="AV183" s="395">
        <f ca="1">IF($E$355=0,0,IF(SUM($G183:AU183)=$B183,0,IF(SUM($G355:AU355)&gt;=$E355,($B183/$E355)*($E355-SUM($G355:AT355)),($B183/$E355)*AU355)))</f>
        <v>0</v>
      </c>
      <c r="AW183" s="395">
        <f ca="1">IF($E$355=0,0,IF(SUM($G183:AV183)=$B183,0,IF(SUM($G355:AV355)&gt;=$E355,($B183/$E355)*($E355-SUM($G355:AU355)),($B183/$E355)*AV355)))</f>
        <v>0</v>
      </c>
      <c r="AX183" s="395">
        <f ca="1">IF($E$355=0,0,IF(SUM($G183:AW183)=$B183,0,IF(SUM($G355:AW355)&gt;=$E355,($B183/$E355)*($E355-SUM($G355:AV355)),($B183/$E355)*AW355)))</f>
        <v>0</v>
      </c>
      <c r="AY183" s="395">
        <f ca="1">IF($E$355=0,0,IF(SUM($G183:AX183)=$B183,0,IF(SUM($G355:AX355)&gt;=$E355,($B183/$E355)*($E355-SUM($G355:AW355)),($B183/$E355)*AX355)))</f>
        <v>0</v>
      </c>
      <c r="AZ183" s="395">
        <f ca="1">IF($E$355=0,0,IF(SUM($G183:AY183)=$B183,0,IF(SUM($G355:AY355)&gt;=$E355,($B183/$E355)*($E355-SUM($G355:AX355)),($B183/$E355)*AY355)))</f>
        <v>0</v>
      </c>
      <c r="BA183" s="395">
        <f ca="1">IF($E$355=0,0,IF(SUM($G183:AZ183)=$B183,0,IF(SUM($G355:AZ355)&gt;=$E355,($B183/$E355)*($E355-SUM($G355:AY355)),($B183/$E355)*AZ355)))</f>
        <v>0</v>
      </c>
      <c r="BB183" s="395">
        <f ca="1">IF($E$355=0,0,IF(SUM($G183:BA183)=$B183,0,IF(SUM($G355:BA355)&gt;=$E355,($B183/$E355)*($E355-SUM($G355:AZ355)),($B183/$E355)*BA355)))</f>
        <v>2.7958333333333307E-2</v>
      </c>
      <c r="BC183" s="395">
        <f ca="1">IF($E$355=0,0,IF(SUM($G183:BB183)=$B183,0,IF(SUM($G355:BB355)&gt;=$E355,($B183/$E355)*($E355-SUM($G355:BA355)),($B183/$E355)*BB355)))</f>
        <v>0.1186111111111111</v>
      </c>
      <c r="BD183" s="395">
        <f ca="1">IF($E$355=0,0,IF(SUM($G183:BC183)=$B183,0,IF(SUM($G355:BC355)&gt;=$E355,($B183/$E355)*($E355-SUM($G355:BB355)),($B183/$E355)*BC355)))</f>
        <v>0.13131944444444443</v>
      </c>
      <c r="BE183" s="395">
        <f ca="1">IF($E$355=0,0,IF(SUM($G183:BD183)=$B183,0,IF(SUM($G355:BD355)&gt;=$E355,($B183/$E355)*($E355-SUM($G355:BC355)),($B183/$E355)*BD355)))</f>
        <v>0.12708333333333333</v>
      </c>
      <c r="BF183" s="395">
        <f ca="1">IF($E$355=0,0,IF(SUM($G183:BE183)=$B183,0,IF(SUM($G355:BE355)&gt;=$E355,($B183/$E355)*($E355-SUM($G355:BD355)),($B183/$E355)*BE355)))</f>
        <v>0.13131944444444443</v>
      </c>
      <c r="BG183" s="395">
        <f ca="1">IF($E$355=0,0,IF(SUM($G183:BF183)=$B183,0,IF(SUM($G355:BF355)&gt;=$E355,($B183/$E355)*($E355-SUM($G355:BE355)),($B183/$E355)*BF355)))</f>
        <v>0.12708333333333333</v>
      </c>
      <c r="BH183" s="395">
        <f ca="1">IF($E$355=0,0,IF(SUM($G183:BG183)=$B183,0,IF(SUM($G355:BG355)&gt;=$E355,($B183/$E355)*($E355-SUM($G355:BF355)),($B183/$E355)*BG355)))</f>
        <v>9.9125000000000019E-2</v>
      </c>
      <c r="BI183" s="395">
        <f ca="1">IF($E$355=0,0,IF(SUM($G183:BH183)=$B183,0,IF(SUM($G355:BH355)&gt;=$E355,($B183/$E355)*($E355-SUM($G355:BG355)),($B183/$E355)*BH355)))</f>
        <v>0</v>
      </c>
      <c r="BJ183" s="395">
        <f ca="1">IF($E$355=0,0,IF(SUM($G183:BI183)=$B183,0,IF(SUM($G355:BI355)&gt;=$E355,($B183/$E355)*($E355-SUM($G355:BH355)),($B183/$E355)*BI355)))</f>
        <v>0</v>
      </c>
      <c r="BK183" s="395">
        <f ca="1">IF($E$355=0,0,IF(SUM($G183:BJ183)=$B183,0,IF(SUM($G355:BJ355)&gt;=$E355,($B183/$E355)*($E355-SUM($G355:BI355)),($B183/$E355)*BJ355)))</f>
        <v>0</v>
      </c>
      <c r="BL183" s="395">
        <f ca="1">IF($E$355=0,0,IF(SUM($G183:BK183)=$B183,0,IF(SUM($G355:BK355)&gt;=$E355,($B183/$E355)*($E355-SUM($G355:BJ355)),($B183/$E355)*BK355)))</f>
        <v>0</v>
      </c>
      <c r="BM183" s="395">
        <f ca="1">IF($E$355=0,0,IF(SUM($G183:BL183)=$B183,0,IF(SUM($G355:BL355)&gt;=$E355,($B183/$E355)*($E355-SUM($G355:BK355)),($B183/$E355)*BL355)))</f>
        <v>0</v>
      </c>
      <c r="BN183" s="395">
        <f ca="1">IF($E$355=0,0,IF(SUM($G183:BM183)=$B183,0,IF(SUM($G355:BM355)&gt;=$E355,($B183/$E355)*($E355-SUM($G355:BL355)),($B183/$E355)*BM355)))</f>
        <v>0</v>
      </c>
      <c r="BO183" s="395">
        <f ca="1">IF($E$355=0,0,IF(SUM($G183:BN183)=$B183,0,IF(SUM($G355:BN355)&gt;=$E355,($B183/$E355)*($E355-SUM($G355:BM355)),($B183/$E355)*BN355)))</f>
        <v>0</v>
      </c>
      <c r="BP183" s="395">
        <f ca="1">IF($E$355=0,0,IF(SUM($G183:BO183)=$B183,0,IF(SUM($G355:BO355)&gt;=$E355,($B183/$E355)*($E355-SUM($G355:BN355)),($B183/$E355)*BO355)))</f>
        <v>0</v>
      </c>
      <c r="BQ183" s="395">
        <f ca="1">IF($E$355=0,0,IF(SUM($G183:BP183)=$B183,0,IF(SUM($G355:BP355)&gt;=$E355,($B183/$E355)*($E355-SUM($G355:BO355)),($B183/$E355)*BP355)))</f>
        <v>0</v>
      </c>
      <c r="BR183" s="395">
        <f ca="1">IF($E$355=0,0,IF(SUM($G183:BQ183)=$B183,0,IF(SUM($G355:BQ355)&gt;=$E355,($B183/$E355)*($E355-SUM($G355:BP355)),($B183/$E355)*BQ355)))</f>
        <v>0</v>
      </c>
      <c r="BS183" s="395">
        <f ca="1">IF($E$355=0,0,IF(SUM($G183:BR183)=$B183,0,IF(SUM($G355:BR355)&gt;=$E355,($B183/$E355)*($E355-SUM($G355:BQ355)),($B183/$E355)*BR355)))</f>
        <v>0</v>
      </c>
      <c r="BT183" s="395">
        <f ca="1">IF($E$355=0,0,IF(SUM($G183:BS183)=$B183,0,IF(SUM($G355:BS355)&gt;=$E355,($B183/$E355)*($E355-SUM($G355:BR355)),($B183/$E355)*BS355)))</f>
        <v>0</v>
      </c>
      <c r="BU183" s="395">
        <f ca="1">IF($E$355=0,0,IF(SUM($G183:BT183)=$B183,0,IF(SUM($G355:BT355)&gt;=$E355,($B183/$E355)*($E355-SUM($G355:BS355)),($B183/$E355)*BT355)))</f>
        <v>0</v>
      </c>
      <c r="BV183" s="395">
        <f ca="1">IF($E$355=0,0,IF(SUM($G183:BU183)=$B183,0,IF(SUM($G355:BU355)&gt;=$E355,($B183/$E355)*($E355-SUM($G355:BT355)),($B183/$E355)*BU355)))</f>
        <v>0</v>
      </c>
      <c r="BW183" s="395">
        <f ca="1">IF($E$355=0,0,IF(SUM($G183:BV183)=$B183,0,IF(SUM($G355:BV355)&gt;=$E355,($B183/$E355)*($E355-SUM($G355:BU355)),($B183/$E355)*BV355)))</f>
        <v>0</v>
      </c>
      <c r="BX183" s="395">
        <f ca="1">IF($E$355=0,0,IF(SUM($G183:BW183)=$B183,0,IF(SUM($G355:BW355)&gt;=$E355,($B183/$E355)*($E355-SUM($G355:BV355)),($B183/$E355)*BW355)))</f>
        <v>0</v>
      </c>
      <c r="BY183" s="395">
        <f ca="1">IF($E$355=0,0,IF(SUM($G183:BX183)=$B183,0,IF(SUM($G355:BX355)&gt;=$E355,($B183/$E355)*($E355-SUM($G355:BW355)),($B183/$E355)*BX355)))</f>
        <v>0</v>
      </c>
      <c r="BZ183" s="395">
        <f ca="1">IF($E$355=0,0,IF(SUM($G183:BY183)=$B183,0,IF(SUM($G355:BY355)&gt;=$E355,($B183/$E355)*($E355-SUM($G355:BX355)),($B183/$E355)*BY355)))</f>
        <v>0</v>
      </c>
      <c r="CA183" s="395">
        <f ca="1">IF($E$355=0,0,IF(SUM($G183:BZ183)=$B183,0,IF(SUM($G355:BZ355)&gt;=$E355,($B183/$E355)*($E355-SUM($G355:BY355)),($B183/$E355)*BZ355)))</f>
        <v>0</v>
      </c>
      <c r="CB183" s="395">
        <f ca="1">IF($E$355=0,0,IF(SUM($G183:CA183)=$B183,0,IF(SUM($G355:CA355)&gt;=$E355,($B183/$E355)*($E355-SUM($G355:BZ355)),($B183/$E355)*CA355)))</f>
        <v>0</v>
      </c>
      <c r="CC183" s="395">
        <f ca="1">IF($E$355=0,0,IF(SUM($G183:CB183)=$B183,0,IF(SUM($G355:CB355)&gt;=$E355,($B183/$E355)*($E355-SUM($G355:CA355)),($B183/$E355)*CB355)))</f>
        <v>0</v>
      </c>
      <c r="CD183" s="395">
        <f ca="1">IF($E$355=0,0,IF(SUM($G183:CC183)=$B183,0,IF(SUM($G355:CC355)&gt;=$E355,($B183/$E355)*($E355-SUM($G355:CB355)),($B183/$E355)*CC355)))</f>
        <v>0</v>
      </c>
      <c r="CE183" s="395">
        <f ca="1">IF($E$355=0,0,IF(SUM($G183:CD183)=$B183,0,IF(SUM($G355:CD355)&gt;=$E355,($B183/$E355)*($E355-SUM($G355:CC355)),($B183/$E355)*CD355)))</f>
        <v>0</v>
      </c>
      <c r="CF183" s="395">
        <f ca="1">IF($E$355=0,0,IF(SUM($G183:CE183)=$B183,0,IF(SUM($G355:CE355)&gt;=$E355,($B183/$E355)*($E355-SUM($G355:CD355)),($B183/$E355)*CE355)))</f>
        <v>0</v>
      </c>
      <c r="CG183" s="395">
        <f ca="1">IF($E$355=0,0,IF(SUM($G183:CF183)=$B183,0,IF(SUM($G355:CF355)&gt;=$E355,($B183/$E355)*($E355-SUM($G355:CE355)),($B183/$E355)*CF355)))</f>
        <v>0</v>
      </c>
      <c r="CH183" s="395">
        <f ca="1">IF($E$355=0,0,IF(SUM($G183:CG183)=$B183,0,IF(SUM($G355:CG355)&gt;=$E355,($B183/$E355)*($E355-SUM($G355:CF355)),($B183/$E355)*CG355)))</f>
        <v>0</v>
      </c>
      <c r="CI183" s="395">
        <f ca="1">IF($E$355=0,0,IF(SUM($G183:CH183)=$B183,0,IF(SUM($G355:CH355)&gt;=$E355,($B183/$E355)*($E355-SUM($G355:CG355)),($B183/$E355)*CH355)))</f>
        <v>0</v>
      </c>
      <c r="CJ183" s="395">
        <f ca="1">IF($E$355=0,0,IF(SUM($G183:CI183)=$B183,0,IF(SUM($G355:CI355)&gt;=$E355,($B183/$E355)*($E355-SUM($G355:CH355)),($B183/$E355)*CI355)))</f>
        <v>0</v>
      </c>
      <c r="CK183" s="395">
        <f ca="1">IF($E$355=0,0,IF(SUM($G183:CJ183)=$B183,0,IF(SUM($G355:CJ355)&gt;=$E355,($B183/$E355)*($E355-SUM($G355:CI355)),($B183/$E355)*CJ355)))</f>
        <v>0</v>
      </c>
      <c r="CL183" s="395">
        <f ca="1">IF($E$355=0,0,IF(SUM($G183:CK183)=$B183,0,IF(SUM($G355:CK355)&gt;=$E355,($B183/$E355)*($E355-SUM($G355:CJ355)),($B183/$E355)*CK355)))</f>
        <v>0</v>
      </c>
      <c r="CM183" s="395">
        <f ca="1">IF($E$355=0,0,IF(SUM($G183:CL183)=$B183,0,IF(SUM($G355:CL355)&gt;=$E355,($B183/$E355)*($E355-SUM($G355:CK355)),($B183/$E355)*CL355)))</f>
        <v>0</v>
      </c>
      <c r="CN183" s="395">
        <f ca="1">IF($E$355=0,0,IF(SUM($G183:CM183)=$B183,0,IF(SUM($G355:CM355)&gt;=$E355,($B183/$E355)*($E355-SUM($G355:CL355)),($B183/$E355)*CM355)))</f>
        <v>0</v>
      </c>
      <c r="CO183" s="395">
        <f ca="1">IF($E$355=0,0,IF(SUM($G183:CN183)=$B183,0,IF(SUM($G355:CN355)&gt;=$E355,($B183/$E355)*($E355-SUM($G355:CM355)),($B183/$E355)*CN355)))</f>
        <v>0</v>
      </c>
      <c r="CP183" s="395">
        <f ca="1">IF($E$355=0,0,IF(SUM($G183:CO183)=$B183,0,IF(SUM($G355:CO355)&gt;=$E355,($B183/$E355)*($E355-SUM($G355:CN355)),($B183/$E355)*CO355)))</f>
        <v>0</v>
      </c>
      <c r="CQ183" s="395">
        <f ca="1">IF($E$355=0,0,IF(SUM($G183:CP183)=$B183,0,IF(SUM($G355:CP355)&gt;=$E355,($B183/$E355)*($E355-SUM($G355:CO355)),($B183/$E355)*CP355)))</f>
        <v>0</v>
      </c>
      <c r="CR183" s="395">
        <f ca="1">IF($E$355=0,0,IF(SUM($G183:CQ183)=$B183,0,IF(SUM($G355:CQ355)&gt;=$E355,($B183/$E355)*($E355-SUM($G355:CP355)),($B183/$E355)*CQ355)))</f>
        <v>0</v>
      </c>
      <c r="CS183" s="395">
        <f ca="1">IF($E$355=0,0,IF(SUM($G183:CR183)=$B183,0,IF(SUM($G355:CR355)&gt;=$E355,($B183/$E355)*($E355-SUM($G355:CQ355)),($B183/$E355)*CR355)))</f>
        <v>0</v>
      </c>
      <c r="CT183" s="395">
        <f ca="1">IF($E$355=0,0,IF(SUM($G183:CS183)=$B183,0,IF(SUM($G355:CS355)&gt;=$E355,($B183/$E355)*($E355-SUM($G355:CR355)),($B183/$E355)*CS355)))</f>
        <v>0</v>
      </c>
      <c r="CU183" s="395">
        <f ca="1">IF($E$355=0,0,IF(SUM($G183:CT183)=$B183,0,IF(SUM($G355:CT355)&gt;=$E355,($B183/$E355)*($E355-SUM($G355:CS355)),($B183/$E355)*CT355)))</f>
        <v>0</v>
      </c>
      <c r="CV183" s="395">
        <f ca="1">IF($E$355=0,0,IF(SUM($G183:CU183)=$B183,0,IF(SUM($G355:CU355)&gt;=$E355,($B183/$E355)*($E355-SUM($G355:CT355)),($B183/$E355)*CU355)))</f>
        <v>0</v>
      </c>
      <c r="CW183" s="395">
        <f ca="1">IF($E$355=0,0,IF(SUM($G183:CV183)=$B183,0,IF(SUM($G355:CV355)&gt;=$E355,($B183/$E355)*($E355-SUM($G355:CU355)),($B183/$E355)*CV355)))</f>
        <v>0</v>
      </c>
      <c r="CX183" s="395">
        <f ca="1">IF($E$355=0,0,IF(SUM($G183:CW183)=$B183,0,IF(SUM($G355:CW355)&gt;=$E355,($B183/$E355)*($E355-SUM($G355:CV355)),($B183/$E355)*CW355)))</f>
        <v>0</v>
      </c>
      <c r="CY183" s="395">
        <f ca="1">IF($E$355=0,0,IF(SUM($G183:CX183)=$B183,0,IF(SUM($G355:CX355)&gt;=$E355,($B183/$E355)*($E355-SUM($G355:CW355)),($B183/$E355)*CX355)))</f>
        <v>0</v>
      </c>
      <c r="CZ183" s="395">
        <f ca="1">IF($E$355=0,0,IF(SUM($G183:CY183)=$B183,0,IF(SUM($G355:CY355)&gt;=$E355,($B183/$E355)*($E355-SUM($G355:CX355)),($B183/$E355)*CY355)))</f>
        <v>0</v>
      </c>
      <c r="DA183" s="395">
        <f ca="1">IF($E$355=0,0,IF(SUM($G183:CZ183)=$B183,0,IF(SUM($G355:CZ355)&gt;=$E355,($B183/$E355)*($E355-SUM($G355:CY355)),($B183/$E355)*CZ355)))</f>
        <v>0</v>
      </c>
      <c r="DB183" s="395">
        <f ca="1">IF($E$355=0,0,IF(SUM($G183:DA183)=$B183,0,IF(SUM($G355:DA355)&gt;=$E355,($B183/$E355)*($E355-SUM($G355:CZ355)),($B183/$E355)*DA355)))</f>
        <v>0</v>
      </c>
      <c r="DC183" s="395">
        <f ca="1">IF($E$355=0,0,IF(SUM($G183:DB183)=$B183,0,IF(SUM($G355:DB355)&gt;=$E355,($B183/$E355)*($E355-SUM($G355:DA355)),($B183/$E355)*DB355)))</f>
        <v>0</v>
      </c>
      <c r="DD183" s="395">
        <f ca="1">IF($E$355=0,0,IF(SUM($G183:DC183)=$B183,0,IF(SUM($G355:DC355)&gt;=$E355,($B183/$E355)*($E355-SUM($G355:DB355)),($B183/$E355)*DC355)))</f>
        <v>0</v>
      </c>
      <c r="DE183" s="395">
        <f ca="1">IF($E$355=0,0,IF(SUM($G183:DD183)=$B183,0,IF(SUM($G355:DD355)&gt;=$E355,($B183/$E355)*($E355-SUM($G355:DC355)),($B183/$E355)*DD355)))</f>
        <v>0</v>
      </c>
      <c r="DF183" s="395">
        <f ca="1">IF($E$355=0,0,IF(SUM($G183:DE183)=$B183,0,IF(SUM($G355:DE355)&gt;=$E355,($B183/$E355)*($E355-SUM($G355:DD355)),($B183/$E355)*DE355)))</f>
        <v>0</v>
      </c>
      <c r="DG183" s="395">
        <f ca="1">IF($E$355=0,0,IF(SUM($G183:DF183)=$B183,0,IF(SUM($G355:DF355)&gt;=$E355,($B183/$E355)*($E355-SUM($G355:DE355)),($B183/$E355)*DF355)))</f>
        <v>0</v>
      </c>
      <c r="DH183" s="395">
        <f ca="1">IF($E$355=0,0,IF(SUM($G183:DG183)=$B183,0,IF(SUM($G355:DG355)&gt;=$E355,($B183/$E355)*($E355-SUM($G355:DF355)),($B183/$E355)*DG355)))</f>
        <v>0</v>
      </c>
      <c r="DI183" s="395">
        <f ca="1">IF($E$355=0,0,IF(SUM($G183:DH183)=$B183,0,IF(SUM($G355:DH355)&gt;=$E355,($B183/$E355)*($E355-SUM($G355:DG355)),($B183/$E355)*DH355)))</f>
        <v>0</v>
      </c>
      <c r="DJ183" s="395">
        <f ca="1">IF($E$355=0,0,IF(SUM($G183:DI183)=$B183,0,IF(SUM($G355:DI355)&gt;=$E355,($B183/$E355)*($E355-SUM($G355:DH355)),($B183/$E355)*DI355)))</f>
        <v>0</v>
      </c>
      <c r="DK183" s="395">
        <f ca="1">IF($E$355=0,0,IF(SUM($G183:DJ183)=$B183,0,IF(SUM($G355:DJ355)&gt;=$E355,($B183/$E355)*($E355-SUM($G355:DI355)),($B183/$E355)*DJ355)))</f>
        <v>0</v>
      </c>
      <c r="DL183" s="395">
        <f ca="1">IF($E$355=0,0,IF(SUM($G183:DK183)=$B183,0,IF(SUM($G355:DK355)&gt;=$E355,($B183/$E355)*($E355-SUM($G355:DJ355)),($B183/$E355)*DK355)))</f>
        <v>0</v>
      </c>
      <c r="DM183" s="395">
        <f ca="1">IF($E$355=0,0,IF(SUM($G183:DL183)=$B183,0,IF(SUM($G355:DL355)&gt;=$E355,($B183/$E355)*($E355-SUM($G355:DK355)),($B183/$E355)*DL355)))</f>
        <v>0</v>
      </c>
      <c r="DN183" s="395">
        <f ca="1">IF($E$355=0,0,IF(SUM($G183:DM183)=$B183,0,IF(SUM($G355:DM355)&gt;=$E355,($B183/$E355)*($E355-SUM($G355:DL355)),($B183/$E355)*DM355)))</f>
        <v>0</v>
      </c>
      <c r="DO183" s="395">
        <f ca="1">IF($E$355=0,0,IF(SUM($G183:DN183)=$B183,0,IF(SUM($G355:DN355)&gt;=$E355,($B183/$E355)*($E355-SUM($G355:DM355)),($B183/$E355)*DN355)))</f>
        <v>0</v>
      </c>
      <c r="DP183" s="395">
        <f ca="1">IF($E$355=0,0,IF(SUM($G183:DO183)=$B183,0,IF(SUM($G355:DO355)&gt;=$E355,($B183/$E355)*($E355-SUM($G355:DN355)),($B183/$E355)*DO355)))</f>
        <v>0</v>
      </c>
      <c r="DQ183" s="395">
        <f ca="1">IF($E$355=0,0,IF(SUM($G183:DP183)=$B183,0,IF(SUM($G355:DP355)&gt;=$E355,($B183/$E355)*($E355-SUM($G355:DO355)),($B183/$E355)*DP355)))</f>
        <v>0</v>
      </c>
      <c r="DR183" s="395">
        <f ca="1">IF($E$355=0,0,IF(SUM($G183:DQ183)=$B183,0,IF(SUM($G355:DQ355)&gt;=$E355,($B183/$E355)*($E355-SUM($G355:DP355)),($B183/$E355)*DQ355)))</f>
        <v>0</v>
      </c>
      <c r="DS183" s="395">
        <f ca="1">IF($E$355=0,0,IF(SUM($G183:DR183)=$B183,0,IF(SUM($G355:DR355)&gt;=$E355,($B183/$E355)*($E355-SUM($G355:DQ355)),($B183/$E355)*DR355)))</f>
        <v>0</v>
      </c>
      <c r="DT183" s="395">
        <f ca="1">IF($E$355=0,0,IF(SUM($G183:DS183)=$B183,0,IF(SUM($G355:DS355)&gt;=$E355,($B183/$E355)*($E355-SUM($G355:DR355)),($B183/$E355)*DS355)))</f>
        <v>0</v>
      </c>
      <c r="DU183" s="395">
        <f ca="1">IF($E$355=0,0,IF(SUM($G183:DT183)=$B183,0,IF(SUM($G355:DT355)&gt;=$E355,($B183/$E355)*($E355-SUM($G355:DS355)),($B183/$E355)*DT355)))</f>
        <v>0</v>
      </c>
      <c r="DV183" s="395">
        <f ca="1">IF($E$355=0,0,IF(SUM($G183:DU183)=$B183,0,IF(SUM($G355:DU355)&gt;=$E355,($B183/$E355)*($E355-SUM($G355:DT355)),($B183/$E355)*DU355)))</f>
        <v>0</v>
      </c>
      <c r="DW183" s="395">
        <f ca="1">IF($E$355=0,0,IF(SUM($G183:DV183)=$B183,0,IF(SUM($G355:DV355)&gt;=$E355,($B183/$E355)*($E355-SUM($G355:DU355)),($B183/$E355)*DV355)))</f>
        <v>0</v>
      </c>
      <c r="DX183" s="395">
        <f ca="1">IF($E$355=0,0,IF(SUM($G183:DW183)=$B183,0,IF(SUM($G355:DW355)&gt;=$E355,($B183/$E355)*($E355-SUM($G355:DV355)),($B183/$E355)*DW355)))</f>
        <v>0</v>
      </c>
      <c r="DY183" s="395">
        <f ca="1">IF($E$355=0,0,IF(SUM($G183:DX183)=$B183,0,IF(SUM($G355:DX355)&gt;=$E355,($B183/$E355)*($E355-SUM($G355:DW355)),($B183/$E355)*DX355)))</f>
        <v>0</v>
      </c>
      <c r="DZ183" s="395">
        <f ca="1">IF($E$355=0,0,IF(SUM($G183:DY183)=$B183,0,IF(SUM($G355:DY355)&gt;=$E355,($B183/$E355)*($E355-SUM($G355:DX355)),($B183/$E355)*DY355)))</f>
        <v>0</v>
      </c>
      <c r="EA183" s="395">
        <f ca="1">IF($E$355=0,0,IF(SUM($G183:DZ183)=$B183,0,IF(SUM($G355:DZ355)&gt;=$E355,($B183/$E355)*($E355-SUM($G355:DY355)),($B183/$E355)*DZ355)))</f>
        <v>0</v>
      </c>
      <c r="EB183" s="395">
        <f ca="1">IF($E$355=0,0,IF(SUM($G183:EA183)=$B183,0,IF(SUM($G355:EA355)&gt;=$E355,($B183/$E355)*($E355-SUM($G355:DZ355)),($B183/$E355)*EA355)))</f>
        <v>0</v>
      </c>
      <c r="EC183" s="395">
        <f ca="1">IF($E$355=0,0,IF(SUM($G183:EB183)=$B183,0,IF(SUM($G355:EB355)&gt;=$E355,($B183/$E355)*($E355-SUM($G355:EA355)),($B183/$E355)*EB355)))</f>
        <v>0</v>
      </c>
      <c r="ED183" s="395">
        <f ca="1">IF($E$355=0,0,IF(SUM($G183:EC183)=$B183,0,IF(SUM($G355:EC355)&gt;=$E355,($B183/$E355)*($E355-SUM($G355:EB355)),($B183/$E355)*EC355)))</f>
        <v>0</v>
      </c>
      <c r="EE183" s="395">
        <f ca="1">IF($E$355=0,0,IF(SUM($G183:ED183)=$B183,0,IF(SUM($G355:ED355)&gt;=$E355,($B183/$E355)*($E355-SUM($G355:EC355)),($B183/$E355)*ED355)))</f>
        <v>0</v>
      </c>
      <c r="EF183" s="395">
        <f ca="1">IF($E$355=0,0,IF(SUM($G183:EE183)=$B183,0,IF(SUM($G355:EE355)&gt;=$E355,($B183/$E355)*($E355-SUM($G355:ED355)),($B183/$E355)*EE355)))</f>
        <v>0</v>
      </c>
      <c r="EG183" s="395">
        <f ca="1">IF($E$355=0,0,IF(SUM($G183:EF183)=$B183,0,IF(SUM($G355:EF355)&gt;=$E355,($B183/$E355)*($E355-SUM($G355:EE355)),($B183/$E355)*EF355)))</f>
        <v>0</v>
      </c>
      <c r="EH183" s="395">
        <f ca="1">IF($E$355=0,0,IF(SUM($G183:EG183)=$B183,0,IF(SUM($G355:EG355)&gt;=$E355,($B183/$E355)*($E355-SUM($G355:EF355)),($B183/$E355)*EG355)))</f>
        <v>0</v>
      </c>
      <c r="EI183" s="395">
        <f ca="1">IF($E$355=0,0,IF(SUM($G183:EH183)=$B183,0,IF(SUM($G355:EH355)&gt;=$E355,($B183/$E355)*($E355-SUM($G355:EG355)),($B183/$E355)*EH355)))</f>
        <v>0</v>
      </c>
      <c r="EJ183" s="398"/>
      <c r="EK183" s="313"/>
    </row>
    <row r="184" spans="1:141" hidden="1" outlineLevel="2">
      <c r="A184" s="332"/>
      <c r="B184" s="549">
        <f>длительность!D193</f>
        <v>2.5000000000000001E-2</v>
      </c>
      <c r="C184" s="317"/>
      <c r="D184" s="317" t="s">
        <v>638</v>
      </c>
      <c r="E184" s="318">
        <f t="shared" ca="1" si="402"/>
        <v>0</v>
      </c>
      <c r="F184" s="397">
        <f ca="1">SUM(G184:EJ184)</f>
        <v>2.5000000000000001E-2</v>
      </c>
      <c r="G184" s="395"/>
      <c r="H184" s="395">
        <f ca="1">IF($E$355=0,0,IF(SUM($G184:G184)=$B184,0,IF(SUM(H183:$EJ183)=0%,$B184,0%)))</f>
        <v>0</v>
      </c>
      <c r="I184" s="395">
        <f ca="1">IF($E$355=0,0,IF(SUM($G184:H184)=$B184,0,IF(SUM(I183:$EJ183)=0%,$B184,0%)))</f>
        <v>0</v>
      </c>
      <c r="J184" s="395">
        <f ca="1">IF($E$355=0,0,IF(SUM($G184:I184)=$B184,0,IF(SUM(J183:$EJ183)=0%,$B184,0%)))</f>
        <v>0</v>
      </c>
      <c r="K184" s="395">
        <f ca="1">IF($E$355=0,0,IF(SUM($G184:J184)=$B184,0,IF(SUM(K183:$EJ183)=0%,$B184,0%)))</f>
        <v>0</v>
      </c>
      <c r="L184" s="395">
        <f ca="1">IF($E$355=0,0,IF(SUM($G184:K184)=$B184,0,IF(SUM(L183:$EJ183)=0%,$B184,0%)))</f>
        <v>0</v>
      </c>
      <c r="M184" s="395">
        <f ca="1">IF($E$355=0,0,IF(SUM($G184:L184)=$B184,0,IF(SUM(M183:$EJ183)=0%,$B184,0%)))</f>
        <v>0</v>
      </c>
      <c r="N184" s="395">
        <f ca="1">IF($E$355=0,0,IF(SUM($G184:M184)=$B184,0,IF(SUM(N183:$EJ183)=0%,$B184,0%)))</f>
        <v>0</v>
      </c>
      <c r="O184" s="395">
        <f ca="1">IF($E$355=0,0,IF(SUM($G184:N184)=$B184,0,IF(SUM(O183:$EJ183)=0%,$B184,0%)))</f>
        <v>0</v>
      </c>
      <c r="P184" s="395">
        <f ca="1">IF($E$355=0,0,IF(SUM($G184:O184)=$B184,0,IF(SUM(P183:$EJ183)=0%,$B184,0%)))</f>
        <v>0</v>
      </c>
      <c r="Q184" s="395">
        <f ca="1">IF($E$355=0,0,IF(SUM($G184:P184)=$B184,0,IF(SUM(Q183:$EJ183)=0%,$B184,0%)))</f>
        <v>0</v>
      </c>
      <c r="R184" s="395">
        <f ca="1">IF($E$355=0,0,IF(SUM($G184:Q184)=$B184,0,IF(SUM(R183:$EJ183)=0%,$B184,0%)))</f>
        <v>0</v>
      </c>
      <c r="S184" s="395">
        <f ca="1">IF($E$355=0,0,IF(SUM($G184:R184)=$B184,0,IF(SUM(S183:$EJ183)=0%,$B184,0%)))</f>
        <v>0</v>
      </c>
      <c r="T184" s="395">
        <f ca="1">IF($E$355=0,0,IF(SUM($G184:S184)=$B184,0,IF(SUM(T183:$EJ183)=0%,$B184,0%)))</f>
        <v>0</v>
      </c>
      <c r="U184" s="395">
        <f ca="1">IF($E$355=0,0,IF(SUM($G184:T184)=$B184,0,IF(SUM(U183:$EJ183)=0%,$B184,0%)))</f>
        <v>0</v>
      </c>
      <c r="V184" s="395">
        <f ca="1">IF($E$355=0,0,IF(SUM($G184:U184)=$B184,0,IF(SUM(V183:$EJ183)=0%,$B184,0%)))</f>
        <v>0</v>
      </c>
      <c r="W184" s="395">
        <f ca="1">IF($E$355=0,0,IF(SUM($G184:V184)=$B184,0,IF(SUM(W183:$EJ183)=0%,$B184,0%)))</f>
        <v>0</v>
      </c>
      <c r="X184" s="395">
        <f ca="1">IF($E$355=0,0,IF(SUM($G184:W184)=$B184,0,IF(SUM(X183:$EJ183)=0%,$B184,0%)))</f>
        <v>0</v>
      </c>
      <c r="Y184" s="395">
        <f ca="1">IF($E$355=0,0,IF(SUM($G184:X184)=$B184,0,IF(SUM(Y183:$EJ183)=0%,$B184,0%)))</f>
        <v>0</v>
      </c>
      <c r="Z184" s="395">
        <f ca="1">IF($E$355=0,0,IF(SUM($G184:Y184)=$B184,0,IF(SUM(Z183:$EJ183)=0%,$B184,0%)))</f>
        <v>0</v>
      </c>
      <c r="AA184" s="395">
        <f ca="1">IF($E$355=0,0,IF(SUM($G184:Z184)=$B184,0,IF(SUM(AA183:$EJ183)=0%,$B184,0%)))</f>
        <v>0</v>
      </c>
      <c r="AB184" s="395">
        <f ca="1">IF($E$355=0,0,IF(SUM($G184:AA184)=$B184,0,IF(SUM(AB183:$EJ183)=0%,$B184,0%)))</f>
        <v>0</v>
      </c>
      <c r="AC184" s="395">
        <f ca="1">IF($E$355=0,0,IF(SUM($G184:AB184)=$B184,0,IF(SUM(AC183:$EJ183)=0%,$B184,0%)))</f>
        <v>0</v>
      </c>
      <c r="AD184" s="395">
        <f ca="1">IF($E$355=0,0,IF(SUM($G184:AC184)=$B184,0,IF(SUM(AD183:$EJ183)=0%,$B184,0%)))</f>
        <v>0</v>
      </c>
      <c r="AE184" s="395">
        <f ca="1">IF($E$355=0,0,IF(SUM($G184:AD184)=$B184,0,IF(SUM(AE183:$EJ183)=0%,$B184,0%)))</f>
        <v>0</v>
      </c>
      <c r="AF184" s="395">
        <f ca="1">IF($E$355=0,0,IF(SUM($G184:AE184)=$B184,0,IF(SUM(AF183:$EJ183)=0%,$B184,0%)))</f>
        <v>0</v>
      </c>
      <c r="AG184" s="395">
        <f ca="1">IF($E$355=0,0,IF(SUM($G184:AF184)=$B184,0,IF(SUM(AG183:$EJ183)=0%,$B184,0%)))</f>
        <v>0</v>
      </c>
      <c r="AH184" s="395">
        <f ca="1">IF($E$355=0,0,IF(SUM($G184:AG184)=$B184,0,IF(SUM(AH183:$EJ183)=0%,$B184,0%)))</f>
        <v>0</v>
      </c>
      <c r="AI184" s="395">
        <f ca="1">IF($E$355=0,0,IF(SUM($G184:AH184)=$B184,0,IF(SUM(AI183:$EJ183)=0%,$B184,0%)))</f>
        <v>0</v>
      </c>
      <c r="AJ184" s="395">
        <f ca="1">IF($E$355=0,0,IF(SUM($G184:AI184)=$B184,0,IF(SUM(AJ183:$EJ183)=0%,$B184,0%)))</f>
        <v>0</v>
      </c>
      <c r="AK184" s="395">
        <f ca="1">IF($E$355=0,0,IF(SUM($G184:AJ184)=$B184,0,IF(SUM(AK183:$EJ183)=0%,$B184,0%)))</f>
        <v>0</v>
      </c>
      <c r="AL184" s="395">
        <f ca="1">IF($E$355=0,0,IF(SUM($G184:AK184)=$B184,0,IF(SUM(AL183:$EJ183)=0%,$B184,0%)))</f>
        <v>0</v>
      </c>
      <c r="AM184" s="395">
        <f ca="1">IF($E$355=0,0,IF(SUM($G184:AL184)=$B184,0,IF(SUM(AM183:$EJ183)=0%,$B184,0%)))</f>
        <v>0</v>
      </c>
      <c r="AN184" s="395">
        <f ca="1">IF($E$355=0,0,IF(SUM($G184:AM184)=$B184,0,IF(SUM(AN183:$EJ183)=0%,$B184,0%)))</f>
        <v>0</v>
      </c>
      <c r="AO184" s="395">
        <f ca="1">IF($E$355=0,0,IF(SUM($G184:AN184)=$B184,0,IF(SUM(AO183:$EJ183)=0%,$B184,0%)))</f>
        <v>0</v>
      </c>
      <c r="AP184" s="395">
        <f ca="1">IF($E$355=0,0,IF(SUM($G184:AO184)=$B184,0,IF(SUM(AP183:$EJ183)=0%,$B184,0%)))</f>
        <v>0</v>
      </c>
      <c r="AQ184" s="395">
        <f ca="1">IF($E$355=0,0,IF(SUM($G184:AP184)=$B184,0,IF(SUM(AQ183:$EJ183)=0%,$B184,0%)))</f>
        <v>0</v>
      </c>
      <c r="AR184" s="395">
        <f ca="1">IF($E$355=0,0,IF(SUM($G184:AQ184)=$B184,0,IF(SUM(AR183:$EJ183)=0%,$B184,0%)))</f>
        <v>0</v>
      </c>
      <c r="AS184" s="395">
        <f ca="1">IF($E$355=0,0,IF(SUM($G184:AR184)=$B184,0,IF(SUM(AS183:$EJ183)=0%,$B184,0%)))</f>
        <v>0</v>
      </c>
      <c r="AT184" s="395">
        <f ca="1">IF($E$355=0,0,IF(SUM($G184:AS184)=$B184,0,IF(SUM(AT183:$EJ183)=0%,$B184,0%)))</f>
        <v>0</v>
      </c>
      <c r="AU184" s="395">
        <f ca="1">IF($E$355=0,0,IF(SUM($G184:AT184)=$B184,0,IF(SUM(AU183:$EJ183)=0%,$B184,0%)))</f>
        <v>0</v>
      </c>
      <c r="AV184" s="395">
        <f ca="1">IF($E$355=0,0,IF(SUM($G184:AU184)=$B184,0,IF(SUM(AV183:$EJ183)=0%,$B184,0%)))</f>
        <v>0</v>
      </c>
      <c r="AW184" s="395">
        <f ca="1">IF($E$355=0,0,IF(SUM($G184:AV184)=$B184,0,IF(SUM(AW183:$EJ183)=0%,$B184,0%)))</f>
        <v>0</v>
      </c>
      <c r="AX184" s="395">
        <f ca="1">IF($E$355=0,0,IF(SUM($G184:AW184)=$B184,0,IF(SUM(AX183:$EJ183)=0%,$B184,0%)))</f>
        <v>0</v>
      </c>
      <c r="AY184" s="395">
        <f ca="1">IF($E$355=0,0,IF(SUM($G184:AX184)=$B184,0,IF(SUM(AY183:$EJ183)=0%,$B184,0%)))</f>
        <v>0</v>
      </c>
      <c r="AZ184" s="395">
        <f ca="1">IF($E$355=0,0,IF(SUM($G184:AY184)=$B184,0,IF(SUM(AZ183:$EJ183)=0%,$B184,0%)))</f>
        <v>0</v>
      </c>
      <c r="BA184" s="395">
        <f ca="1">IF($E$355=0,0,IF(SUM($G184:AZ184)=$B184,0,IF(SUM(BA183:$EJ183)=0%,$B184,0%)))</f>
        <v>0</v>
      </c>
      <c r="BB184" s="395">
        <f ca="1">IF($E$355=0,0,IF(SUM($G184:BA184)=$B184,0,IF(SUM(BB183:$EJ183)=0%,$B184,0%)))</f>
        <v>0</v>
      </c>
      <c r="BC184" s="395">
        <f ca="1">IF($E$355=0,0,IF(SUM($G184:BB184)=$B184,0,IF(SUM(BC183:$EJ183)=0%,$B184,0%)))</f>
        <v>0</v>
      </c>
      <c r="BD184" s="395">
        <f ca="1">IF($E$355=0,0,IF(SUM($G184:BC184)=$B184,0,IF(SUM(BD183:$EJ183)=0%,$B184,0%)))</f>
        <v>0</v>
      </c>
      <c r="BE184" s="395">
        <f ca="1">IF($E$355=0,0,IF(SUM($G184:BD184)=$B184,0,IF(SUM(BE183:$EJ183)=0%,$B184,0%)))</f>
        <v>0</v>
      </c>
      <c r="BF184" s="395">
        <f ca="1">IF($E$355=0,0,IF(SUM($G184:BE184)=$B184,0,IF(SUM(BF183:$EJ183)=0%,$B184,0%)))</f>
        <v>0</v>
      </c>
      <c r="BG184" s="395">
        <f ca="1">IF($E$355=0,0,IF(SUM($G184:BF184)=$B184,0,IF(SUM(BG183:$EJ183)=0%,$B184,0%)))</f>
        <v>0</v>
      </c>
      <c r="BH184" s="395">
        <f ca="1">IF($E$355=0,0,IF(SUM($G184:BG184)=$B184,0,IF(SUM(BH183:$EJ183)=0%,$B184,0%)))</f>
        <v>0</v>
      </c>
      <c r="BI184" s="395">
        <f ca="1">IF($E$355=0,0,IF(SUM($G184:BH184)=$B184,0,IF(SUM(BI183:$EJ183)=0%,$B184,0%)))</f>
        <v>2.5000000000000001E-2</v>
      </c>
      <c r="BJ184" s="395">
        <f ca="1">IF($E$355=0,0,IF(SUM($G184:BI184)=$B184,0,IF(SUM(BJ183:$EJ183)=0%,$B184,0%)))</f>
        <v>0</v>
      </c>
      <c r="BK184" s="395">
        <f ca="1">IF($E$355=0,0,IF(SUM($G184:BJ184)=$B184,0,IF(SUM(BK183:$EJ183)=0%,$B184,0%)))</f>
        <v>0</v>
      </c>
      <c r="BL184" s="395">
        <f ca="1">IF($E$355=0,0,IF(SUM($G184:BK184)=$B184,0,IF(SUM(BL183:$EJ183)=0%,$B184,0%)))</f>
        <v>0</v>
      </c>
      <c r="BM184" s="395">
        <f ca="1">IF($E$355=0,0,IF(SUM($G184:BL184)=$B184,0,IF(SUM(BM183:$EJ183)=0%,$B184,0%)))</f>
        <v>0</v>
      </c>
      <c r="BN184" s="395">
        <f ca="1">IF($E$355=0,0,IF(SUM($G184:BM184)=$B184,0,IF(SUM(BN183:$EJ183)=0%,$B184,0%)))</f>
        <v>0</v>
      </c>
      <c r="BO184" s="395">
        <f ca="1">IF($E$355=0,0,IF(SUM($G184:BN184)=$B184,0,IF(SUM(BO183:$EJ183)=0%,$B184,0%)))</f>
        <v>0</v>
      </c>
      <c r="BP184" s="395">
        <f ca="1">IF($E$355=0,0,IF(SUM($G184:BO184)=$B184,0,IF(SUM(BP183:$EJ183)=0%,$B184,0%)))</f>
        <v>0</v>
      </c>
      <c r="BQ184" s="395">
        <f ca="1">IF($E$355=0,0,IF(SUM($G184:BP184)=$B184,0,IF(SUM(BQ183:$EJ183)=0%,$B184,0%)))</f>
        <v>0</v>
      </c>
      <c r="BR184" s="395">
        <f ca="1">IF($E$355=0,0,IF(SUM($G184:BQ184)=$B184,0,IF(SUM(BR183:$EJ183)=0%,$B184,0%)))</f>
        <v>0</v>
      </c>
      <c r="BS184" s="395">
        <f ca="1">IF($E$355=0,0,IF(SUM($G184:BR184)=$B184,0,IF(SUM(BS183:$EJ183)=0%,$B184,0%)))</f>
        <v>0</v>
      </c>
      <c r="BT184" s="395">
        <f ca="1">IF($E$355=0,0,IF(SUM($G184:BS184)=$B184,0,IF(SUM(BT183:$EJ183)=0%,$B184,0%)))</f>
        <v>0</v>
      </c>
      <c r="BU184" s="395">
        <f ca="1">IF($E$355=0,0,IF(SUM($G184:BT184)=$B184,0,IF(SUM(BU183:$EJ183)=0%,$B184,0%)))</f>
        <v>0</v>
      </c>
      <c r="BV184" s="395">
        <f ca="1">IF($E$355=0,0,IF(SUM($G184:BU184)=$B184,0,IF(SUM(BV183:$EJ183)=0%,$B184,0%)))</f>
        <v>0</v>
      </c>
      <c r="BW184" s="395">
        <f ca="1">IF($E$355=0,0,IF(SUM($G184:BV184)=$B184,0,IF(SUM(BW183:$EJ183)=0%,$B184,0%)))</f>
        <v>0</v>
      </c>
      <c r="BX184" s="395">
        <f ca="1">IF($E$355=0,0,IF(SUM($G184:BW184)=$B184,0,IF(SUM(BX183:$EJ183)=0%,$B184,0%)))</f>
        <v>0</v>
      </c>
      <c r="BY184" s="395">
        <f ca="1">IF($E$355=0,0,IF(SUM($G184:BX184)=$B184,0,IF(SUM(BY183:$EJ183)=0%,$B184,0%)))</f>
        <v>0</v>
      </c>
      <c r="BZ184" s="395">
        <f ca="1">IF($E$355=0,0,IF(SUM($G184:BY184)=$B184,0,IF(SUM(BZ183:$EJ183)=0%,$B184,0%)))</f>
        <v>0</v>
      </c>
      <c r="CA184" s="395">
        <f ca="1">IF($E$355=0,0,IF(SUM($G184:BZ184)=$B184,0,IF(SUM(CA183:$EJ183)=0%,$B184,0%)))</f>
        <v>0</v>
      </c>
      <c r="CB184" s="395">
        <f ca="1">IF($E$355=0,0,IF(SUM($G184:CA184)=$B184,0,IF(SUM(CB183:$EJ183)=0%,$B184,0%)))</f>
        <v>0</v>
      </c>
      <c r="CC184" s="395">
        <f ca="1">IF($E$355=0,0,IF(SUM($G184:CB184)=$B184,0,IF(SUM(CC183:$EJ183)=0%,$B184,0%)))</f>
        <v>0</v>
      </c>
      <c r="CD184" s="395">
        <f ca="1">IF($E$355=0,0,IF(SUM($G184:CC184)=$B184,0,IF(SUM(CD183:$EJ183)=0%,$B184,0%)))</f>
        <v>0</v>
      </c>
      <c r="CE184" s="395">
        <f ca="1">IF($E$355=0,0,IF(SUM($G184:CD184)=$B184,0,IF(SUM(CE183:$EJ183)=0%,$B184,0%)))</f>
        <v>0</v>
      </c>
      <c r="CF184" s="395">
        <f ca="1">IF($E$355=0,0,IF(SUM($G184:CE184)=$B184,0,IF(SUM(CF183:$EJ183)=0%,$B184,0%)))</f>
        <v>0</v>
      </c>
      <c r="CG184" s="395">
        <f ca="1">IF($E$355=0,0,IF(SUM($G184:CF184)=$B184,0,IF(SUM(CG183:$EJ183)=0%,$B184,0%)))</f>
        <v>0</v>
      </c>
      <c r="CH184" s="395">
        <f ca="1">IF($E$355=0,0,IF(SUM($G184:CG184)=$B184,0,IF(SUM(CH183:$EJ183)=0%,$B184,0%)))</f>
        <v>0</v>
      </c>
      <c r="CI184" s="395">
        <f ca="1">IF($E$355=0,0,IF(SUM($G184:CH184)=$B184,0,IF(SUM(CI183:$EJ183)=0%,$B184,0%)))</f>
        <v>0</v>
      </c>
      <c r="CJ184" s="395">
        <f ca="1">IF($E$355=0,0,IF(SUM($G184:CI184)=$B184,0,IF(SUM(CJ183:$EJ183)=0%,$B184,0%)))</f>
        <v>0</v>
      </c>
      <c r="CK184" s="395">
        <f ca="1">IF($E$355=0,0,IF(SUM($G184:CJ184)=$B184,0,IF(SUM(CK183:$EJ183)=0%,$B184,0%)))</f>
        <v>0</v>
      </c>
      <c r="CL184" s="395">
        <f ca="1">IF($E$355=0,0,IF(SUM($G184:CK184)=$B184,0,IF(SUM(CL183:$EJ183)=0%,$B184,0%)))</f>
        <v>0</v>
      </c>
      <c r="CM184" s="395">
        <f ca="1">IF($E$355=0,0,IF(SUM($G184:CL184)=$B184,0,IF(SUM(CM183:$EJ183)=0%,$B184,0%)))</f>
        <v>0</v>
      </c>
      <c r="CN184" s="395">
        <f ca="1">IF($E$355=0,0,IF(SUM($G184:CM184)=$B184,0,IF(SUM(CN183:$EJ183)=0%,$B184,0%)))</f>
        <v>0</v>
      </c>
      <c r="CO184" s="395">
        <f ca="1">IF($E$355=0,0,IF(SUM($G184:CN184)=$B184,0,IF(SUM(CO183:$EJ183)=0%,$B184,0%)))</f>
        <v>0</v>
      </c>
      <c r="CP184" s="395">
        <f ca="1">IF($E$355=0,0,IF(SUM($G184:CO184)=$B184,0,IF(SUM(CP183:$EJ183)=0%,$B184,0%)))</f>
        <v>0</v>
      </c>
      <c r="CQ184" s="395">
        <f ca="1">IF($E$355=0,0,IF(SUM($G184:CP184)=$B184,0,IF(SUM(CQ183:$EJ183)=0%,$B184,0%)))</f>
        <v>0</v>
      </c>
      <c r="CR184" s="395">
        <f ca="1">IF($E$355=0,0,IF(SUM($G184:CQ184)=$B184,0,IF(SUM(CR183:$EJ183)=0%,$B184,0%)))</f>
        <v>0</v>
      </c>
      <c r="CS184" s="395">
        <f ca="1">IF($E$355=0,0,IF(SUM($G184:CR184)=$B184,0,IF(SUM(CS183:$EJ183)=0%,$B184,0%)))</f>
        <v>0</v>
      </c>
      <c r="CT184" s="395">
        <f ca="1">IF($E$355=0,0,IF(SUM($G184:CS184)=$B184,0,IF(SUM(CT183:$EJ183)=0%,$B184,0%)))</f>
        <v>0</v>
      </c>
      <c r="CU184" s="395">
        <f ca="1">IF($E$355=0,0,IF(SUM($G184:CT184)=$B184,0,IF(SUM(CU183:$EJ183)=0%,$B184,0%)))</f>
        <v>0</v>
      </c>
      <c r="CV184" s="395">
        <f ca="1">IF($E$355=0,0,IF(SUM($G184:CU184)=$B184,0,IF(SUM(CV183:$EJ183)=0%,$B184,0%)))</f>
        <v>0</v>
      </c>
      <c r="CW184" s="395">
        <f ca="1">IF($E$355=0,0,IF(SUM($G184:CV184)=$B184,0,IF(SUM(CW183:$EJ183)=0%,$B184,0%)))</f>
        <v>0</v>
      </c>
      <c r="CX184" s="395">
        <f ca="1">IF($E$355=0,0,IF(SUM($G184:CW184)=$B184,0,IF(SUM(CX183:$EJ183)=0%,$B184,0%)))</f>
        <v>0</v>
      </c>
      <c r="CY184" s="395">
        <f ca="1">IF($E$355=0,0,IF(SUM($G184:CX184)=$B184,0,IF(SUM(CY183:$EJ183)=0%,$B184,0%)))</f>
        <v>0</v>
      </c>
      <c r="CZ184" s="395">
        <f ca="1">IF($E$355=0,0,IF(SUM($G184:CY184)=$B184,0,IF(SUM(CZ183:$EJ183)=0%,$B184,0%)))</f>
        <v>0</v>
      </c>
      <c r="DA184" s="395">
        <f ca="1">IF($E$355=0,0,IF(SUM($G184:CZ184)=$B184,0,IF(SUM(DA183:$EJ183)=0%,$B184,0%)))</f>
        <v>0</v>
      </c>
      <c r="DB184" s="395">
        <f ca="1">IF($E$355=0,0,IF(SUM($G184:DA184)=$B184,0,IF(SUM(DB183:$EJ183)=0%,$B184,0%)))</f>
        <v>0</v>
      </c>
      <c r="DC184" s="395">
        <f ca="1">IF($E$355=0,0,IF(SUM($G184:DB184)=$B184,0,IF(SUM(DC183:$EJ183)=0%,$B184,0%)))</f>
        <v>0</v>
      </c>
      <c r="DD184" s="395">
        <f ca="1">IF($E$355=0,0,IF(SUM($G184:DC184)=$B184,0,IF(SUM(DD183:$EJ183)=0%,$B184,0%)))</f>
        <v>0</v>
      </c>
      <c r="DE184" s="395">
        <f ca="1">IF($E$355=0,0,IF(SUM($G184:DD184)=$B184,0,IF(SUM(DE183:$EJ183)=0%,$B184,0%)))</f>
        <v>0</v>
      </c>
      <c r="DF184" s="395">
        <f ca="1">IF($E$355=0,0,IF(SUM($G184:DE184)=$B184,0,IF(SUM(DF183:$EJ183)=0%,$B184,0%)))</f>
        <v>0</v>
      </c>
      <c r="DG184" s="395">
        <f ca="1">IF($E$355=0,0,IF(SUM($G184:DF184)=$B184,0,IF(SUM(DG183:$EJ183)=0%,$B184,0%)))</f>
        <v>0</v>
      </c>
      <c r="DH184" s="395">
        <f ca="1">IF($E$355=0,0,IF(SUM($G184:DG184)=$B184,0,IF(SUM(DH183:$EJ183)=0%,$B184,0%)))</f>
        <v>0</v>
      </c>
      <c r="DI184" s="395">
        <f ca="1">IF($E$355=0,0,IF(SUM($G184:DH184)=$B184,0,IF(SUM(DI183:$EJ183)=0%,$B184,0%)))</f>
        <v>0</v>
      </c>
      <c r="DJ184" s="395">
        <f ca="1">IF($E$355=0,0,IF(SUM($G184:DI184)=$B184,0,IF(SUM(DJ183:$EJ183)=0%,$B184,0%)))</f>
        <v>0</v>
      </c>
      <c r="DK184" s="395">
        <f ca="1">IF($E$355=0,0,IF(SUM($G184:DJ184)=$B184,0,IF(SUM(DK183:$EJ183)=0%,$B184,0%)))</f>
        <v>0</v>
      </c>
      <c r="DL184" s="395">
        <f ca="1">IF($E$355=0,0,IF(SUM($G184:DK184)=$B184,0,IF(SUM(DL183:$EJ183)=0%,$B184,0%)))</f>
        <v>0</v>
      </c>
      <c r="DM184" s="395">
        <f ca="1">IF($E$355=0,0,IF(SUM($G184:DL184)=$B184,0,IF(SUM(DM183:$EJ183)=0%,$B184,0%)))</f>
        <v>0</v>
      </c>
      <c r="DN184" s="395">
        <f ca="1">IF($E$355=0,0,IF(SUM($G184:DM184)=$B184,0,IF(SUM(DN183:$EJ183)=0%,$B184,0%)))</f>
        <v>0</v>
      </c>
      <c r="DO184" s="395">
        <f ca="1">IF($E$355=0,0,IF(SUM($G184:DN184)=$B184,0,IF(SUM(DO183:$EJ183)=0%,$B184,0%)))</f>
        <v>0</v>
      </c>
      <c r="DP184" s="395">
        <f ca="1">IF($E$355=0,0,IF(SUM($G184:DO184)=$B184,0,IF(SUM(DP183:$EJ183)=0%,$B184,0%)))</f>
        <v>0</v>
      </c>
      <c r="DQ184" s="395">
        <f ca="1">IF($E$355=0,0,IF(SUM($G184:DP184)=$B184,0,IF(SUM(DQ183:$EJ183)=0%,$B184,0%)))</f>
        <v>0</v>
      </c>
      <c r="DR184" s="395">
        <f ca="1">IF($E$355=0,0,IF(SUM($G184:DQ184)=$B184,0,IF(SUM(DR183:$EJ183)=0%,$B184,0%)))</f>
        <v>0</v>
      </c>
      <c r="DS184" s="395">
        <f ca="1">IF($E$355=0,0,IF(SUM($G184:DR184)=$B184,0,IF(SUM(DS183:$EJ183)=0%,$B184,0%)))</f>
        <v>0</v>
      </c>
      <c r="DT184" s="395">
        <f ca="1">IF($E$355=0,0,IF(SUM($G184:DS184)=$B184,0,IF(SUM(DT183:$EJ183)=0%,$B184,0%)))</f>
        <v>0</v>
      </c>
      <c r="DU184" s="395">
        <f ca="1">IF($E$355=0,0,IF(SUM($G184:DT184)=$B184,0,IF(SUM(DU183:$EJ183)=0%,$B184,0%)))</f>
        <v>0</v>
      </c>
      <c r="DV184" s="395">
        <f ca="1">IF($E$355=0,0,IF(SUM($G184:DU184)=$B184,0,IF(SUM(DV183:$EJ183)=0%,$B184,0%)))</f>
        <v>0</v>
      </c>
      <c r="DW184" s="395">
        <f ca="1">IF($E$355=0,0,IF(SUM($G184:DV184)=$B184,0,IF(SUM(DW183:$EJ183)=0%,$B184,0%)))</f>
        <v>0</v>
      </c>
      <c r="DX184" s="395">
        <f ca="1">IF($E$355=0,0,IF(SUM($G184:DW184)=$B184,0,IF(SUM(DX183:$EJ183)=0%,$B184,0%)))</f>
        <v>0</v>
      </c>
      <c r="DY184" s="395">
        <f ca="1">IF($E$355=0,0,IF(SUM($G184:DX184)=$B184,0,IF(SUM(DY183:$EJ183)=0%,$B184,0%)))</f>
        <v>0</v>
      </c>
      <c r="DZ184" s="395">
        <f ca="1">IF($E$355=0,0,IF(SUM($G184:DY184)=$B184,0,IF(SUM(DZ183:$EJ183)=0%,$B184,0%)))</f>
        <v>0</v>
      </c>
      <c r="EA184" s="395">
        <f ca="1">IF($E$355=0,0,IF(SUM($G184:DZ184)=$B184,0,IF(SUM(EA183:$EJ183)=0%,$B184,0%)))</f>
        <v>0</v>
      </c>
      <c r="EB184" s="395">
        <f ca="1">IF($E$355=0,0,IF(SUM($G184:EA184)=$B184,0,IF(SUM(EB183:$EJ183)=0%,$B184,0%)))</f>
        <v>0</v>
      </c>
      <c r="EC184" s="395">
        <f ca="1">IF($E$355=0,0,IF(SUM($G184:EB184)=$B184,0,IF(SUM(EC183:$EJ183)=0%,$B184,0%)))</f>
        <v>0</v>
      </c>
      <c r="ED184" s="395">
        <f ca="1">IF($E$355=0,0,IF(SUM($G184:EC184)=$B184,0,IF(SUM(ED183:$EJ183)=0%,$B184,0%)))</f>
        <v>0</v>
      </c>
      <c r="EE184" s="395">
        <f ca="1">IF($E$355=0,0,IF(SUM($G184:ED184)=$B184,0,IF(SUM(EE183:$EJ183)=0%,$B184,0%)))</f>
        <v>0</v>
      </c>
      <c r="EF184" s="395">
        <f ca="1">IF($E$355=0,0,IF(SUM($G184:EE184)=$B184,0,IF(SUM(EF183:$EJ183)=0%,$B184,0%)))</f>
        <v>0</v>
      </c>
      <c r="EG184" s="395">
        <f ca="1">IF($E$355=0,0,IF(SUM($G184:EF184)=$B184,0,IF(SUM(EG183:$EJ183)=0%,$B184,0%)))</f>
        <v>0</v>
      </c>
      <c r="EH184" s="395">
        <f ca="1">IF($E$355=0,0,IF(SUM($G184:EG184)=$B184,0,IF(SUM(EH183:$EJ183)=0%,$B184,0%)))</f>
        <v>0</v>
      </c>
      <c r="EI184" s="395">
        <f ca="1">IF($E$355=0,0,IF(SUM($G184:EH184)=$B184,0,IF(SUM(EI183:$EJ183)=0%,$B184,0%)))</f>
        <v>0</v>
      </c>
      <c r="EJ184" s="398"/>
      <c r="EK184" s="313"/>
    </row>
    <row r="185" spans="1:141" hidden="1" outlineLevel="2">
      <c r="A185" s="332"/>
      <c r="B185" s="549">
        <f>длительность!F193</f>
        <v>2.5000000000000001E-2</v>
      </c>
      <c r="C185" s="317"/>
      <c r="D185" s="317" t="s">
        <v>640</v>
      </c>
      <c r="E185" s="318">
        <f t="shared" ca="1" si="402"/>
        <v>0</v>
      </c>
      <c r="F185" s="397">
        <f ca="1">SUM(G185:EJ185)</f>
        <v>2.5000000000000001E-2</v>
      </c>
      <c r="G185" s="395"/>
      <c r="H185" s="395"/>
      <c r="I185" s="395"/>
      <c r="J185" s="395"/>
      <c r="K185" s="395"/>
      <c r="L185" s="395"/>
      <c r="M185" s="395"/>
      <c r="N185" s="395"/>
      <c r="O185" s="395"/>
      <c r="P185" s="395"/>
      <c r="Q185" s="395"/>
      <c r="R185" s="395"/>
      <c r="S185" s="395"/>
      <c r="T185" s="395"/>
      <c r="U185" s="395"/>
      <c r="V185" s="395"/>
      <c r="W185" s="395"/>
      <c r="X185" s="395"/>
      <c r="Y185" s="395"/>
      <c r="Z185" s="395"/>
      <c r="AA185" s="395"/>
      <c r="AB185" s="395"/>
      <c r="AC185" s="395"/>
      <c r="AD185" s="395">
        <f ca="1">IF($E$355=0,0,IF(SUM($G185:AC185)=$B185,0,IF(SUM($G184:G184)=$B184,$B185,0%)))</f>
        <v>0</v>
      </c>
      <c r="AE185" s="395">
        <f ca="1">IF($E$355=0,0,IF(SUM($G185:AD185)=$B185,0,IF(SUM($G184:H184)=$B184,$B185,0%)))</f>
        <v>0</v>
      </c>
      <c r="AF185" s="395">
        <f ca="1">IF($E$355=0,0,IF(SUM($G185:AE185)=$B185,0,IF(SUM($G184:I184)=$B184,$B185,0%)))</f>
        <v>0</v>
      </c>
      <c r="AG185" s="395">
        <f ca="1">IF($E$355=0,0,IF(SUM($G185:AF185)=$B185,0,IF(SUM($G184:J184)=$B184,$B185,0%)))</f>
        <v>0</v>
      </c>
      <c r="AH185" s="395">
        <f ca="1">IF($E$355=0,0,IF(SUM($G185:AG185)=$B185,0,IF(SUM($G184:K184)=$B184,$B185,0%)))</f>
        <v>0</v>
      </c>
      <c r="AI185" s="395">
        <f ca="1">IF($E$355=0,0,IF(SUM($G185:AH185)=$B185,0,IF(SUM($G184:L184)=$B184,$B185,0%)))</f>
        <v>0</v>
      </c>
      <c r="AJ185" s="395">
        <f ca="1">IF($E$355=0,0,IF(SUM($G185:AI185)=$B185,0,IF(SUM($G184:M184)=$B184,$B185,0%)))</f>
        <v>0</v>
      </c>
      <c r="AK185" s="395">
        <f ca="1">IF($E$355=0,0,IF(SUM($G185:AJ185)=$B185,0,IF(SUM($G184:N184)=$B184,$B185,0%)))</f>
        <v>0</v>
      </c>
      <c r="AL185" s="395">
        <f ca="1">IF($E$355=0,0,IF(SUM($G185:AK185)=$B185,0,IF(SUM($G184:O184)=$B184,$B185,0%)))</f>
        <v>0</v>
      </c>
      <c r="AM185" s="395">
        <f ca="1">IF($E$355=0,0,IF(SUM($G185:AL185)=$B185,0,IF(SUM($G184:P184)=$B184,$B185,0%)))</f>
        <v>0</v>
      </c>
      <c r="AN185" s="395">
        <f ca="1">IF($E$355=0,0,IF(SUM($G185:AM185)=$B185,0,IF(SUM($G184:Q184)=$B184,$B185,0%)))</f>
        <v>0</v>
      </c>
      <c r="AO185" s="395">
        <f ca="1">IF($E$355=0,0,IF(SUM($G185:AN185)=$B185,0,IF(SUM($G184:R184)=$B184,$B185,0%)))</f>
        <v>0</v>
      </c>
      <c r="AP185" s="395">
        <f ca="1">IF($E$355=0,0,IF(SUM($G185:AO185)=$B185,0,IF(SUM($G184:S184)=$B184,$B185,0%)))</f>
        <v>0</v>
      </c>
      <c r="AQ185" s="395">
        <f ca="1">IF($E$355=0,0,IF(SUM($G185:AP185)=$B185,0,IF(SUM($G184:T184)=$B184,$B185,0%)))</f>
        <v>0</v>
      </c>
      <c r="AR185" s="395">
        <f ca="1">IF($E$355=0,0,IF(SUM($G185:AQ185)=$B185,0,IF(SUM($G184:U184)=$B184,$B185,0%)))</f>
        <v>0</v>
      </c>
      <c r="AS185" s="395">
        <f ca="1">IF($E$355=0,0,IF(SUM($G185:AR185)=$B185,0,IF(SUM($G184:V184)=$B184,$B185,0%)))</f>
        <v>0</v>
      </c>
      <c r="AT185" s="395">
        <f ca="1">IF($E$355=0,0,IF(SUM($G185:AS185)=$B185,0,IF(SUM($G184:W184)=$B184,$B185,0%)))</f>
        <v>0</v>
      </c>
      <c r="AU185" s="395">
        <f ca="1">IF($E$355=0,0,IF(SUM($G185:AT185)=$B185,0,IF(SUM($G184:X184)=$B184,$B185,0%)))</f>
        <v>0</v>
      </c>
      <c r="AV185" s="395">
        <f ca="1">IF($E$355=0,0,IF(SUM($G185:AU185)=$B185,0,IF(SUM($G184:Y184)=$B184,$B185,0%)))</f>
        <v>0</v>
      </c>
      <c r="AW185" s="395">
        <f ca="1">IF($E$355=0,0,IF(SUM($G185:AV185)=$B185,0,IF(SUM($G184:Z184)=$B184,$B185,0%)))</f>
        <v>0</v>
      </c>
      <c r="AX185" s="395">
        <f ca="1">IF($E$355=0,0,IF(SUM($G185:AW185)=$B185,0,IF(SUM($G184:AA184)=$B184,$B185,0%)))</f>
        <v>0</v>
      </c>
      <c r="AY185" s="395">
        <f ca="1">IF($E$355=0,0,IF(SUM($G185:AX185)=$B185,0,IF(SUM($G184:AB184)=$B184,$B185,0%)))</f>
        <v>0</v>
      </c>
      <c r="AZ185" s="395">
        <f ca="1">IF($E$355=0,0,IF(SUM($G185:AY185)=$B185,0,IF(SUM($G184:AC184)=$B184,$B185,0%)))</f>
        <v>0</v>
      </c>
      <c r="BA185" s="395">
        <f ca="1">IF($E$355=0,0,IF(SUM($G185:AZ185)=$B185,0,IF(SUM($G184:AD184)=$B184,$B185,0%)))</f>
        <v>0</v>
      </c>
      <c r="BB185" s="395">
        <f ca="1">IF($E$355=0,0,IF(SUM($G185:BA185)=$B185,0,IF(SUM($G184:AE184)=$B184,$B185,0%)))</f>
        <v>0</v>
      </c>
      <c r="BC185" s="395">
        <f ca="1">IF($E$355=0,0,IF(SUM($G185:BB185)=$B185,0,IF(SUM($G184:AF184)=$B184,$B185,0%)))</f>
        <v>0</v>
      </c>
      <c r="BD185" s="395">
        <f ca="1">IF($E$355=0,0,IF(SUM($G185:BC185)=$B185,0,IF(SUM($G184:AG184)=$B184,$B185,0%)))</f>
        <v>0</v>
      </c>
      <c r="BE185" s="395">
        <f ca="1">IF($E$355=0,0,IF(SUM($G185:BD185)=$B185,0,IF(SUM($G184:AH184)=$B184,$B185,0%)))</f>
        <v>0</v>
      </c>
      <c r="BF185" s="395">
        <f ca="1">IF($E$355=0,0,IF(SUM($G185:BE185)=$B185,0,IF(SUM($G184:AI184)=$B184,$B185,0%)))</f>
        <v>0</v>
      </c>
      <c r="BG185" s="395">
        <f ca="1">IF($E$355=0,0,IF(SUM($G185:BF185)=$B185,0,IF(SUM($G184:AJ184)=$B184,$B185,0%)))</f>
        <v>0</v>
      </c>
      <c r="BH185" s="395">
        <f ca="1">IF($E$355=0,0,IF(SUM($G185:BG185)=$B185,0,IF(SUM($G184:AK184)=$B184,$B185,0%)))</f>
        <v>0</v>
      </c>
      <c r="BI185" s="395">
        <f ca="1">IF($E$355=0,0,IF(SUM($G185:BH185)=$B185,0,IF(SUM($G184:AL184)=$B184,$B185,0%)))</f>
        <v>0</v>
      </c>
      <c r="BJ185" s="395">
        <f ca="1">IF($E$355=0,0,IF(SUM($G185:BI185)=$B185,0,IF(SUM($G184:AM184)=$B184,$B185,0%)))</f>
        <v>0</v>
      </c>
      <c r="BK185" s="395">
        <f ca="1">IF($E$355=0,0,IF(SUM($G185:BJ185)=$B185,0,IF(SUM($G184:AN184)=$B184,$B185,0%)))</f>
        <v>0</v>
      </c>
      <c r="BL185" s="395">
        <f ca="1">IF($E$355=0,0,IF(SUM($G185:BK185)=$B185,0,IF(SUM($G184:AO184)=$B184,$B185,0%)))</f>
        <v>0</v>
      </c>
      <c r="BM185" s="395">
        <f ca="1">IF($E$355=0,0,IF(SUM($G185:BL185)=$B185,0,IF(SUM($G184:AP184)=$B184,$B185,0%)))</f>
        <v>0</v>
      </c>
      <c r="BN185" s="395">
        <f ca="1">IF($E$355=0,0,IF(SUM($G185:BM185)=$B185,0,IF(SUM($G184:AQ184)=$B184,$B185,0%)))</f>
        <v>0</v>
      </c>
      <c r="BO185" s="395">
        <f ca="1">IF($E$355=0,0,IF(SUM($G185:BN185)=$B185,0,IF(SUM($G184:AR184)=$B184,$B185,0%)))</f>
        <v>0</v>
      </c>
      <c r="BP185" s="395">
        <f ca="1">IF($E$355=0,0,IF(SUM($G185:BO185)=$B185,0,IF(SUM($G184:AS184)=$B184,$B185,0%)))</f>
        <v>0</v>
      </c>
      <c r="BQ185" s="395">
        <f ca="1">IF($E$355=0,0,IF(SUM($G185:BP185)=$B185,0,IF(SUM($G184:AT184)=$B184,$B185,0%)))</f>
        <v>0</v>
      </c>
      <c r="BR185" s="395">
        <f ca="1">IF($E$355=0,0,IF(SUM($G185:BQ185)=$B185,0,IF(SUM($G184:AU184)=$B184,$B185,0%)))</f>
        <v>0</v>
      </c>
      <c r="BS185" s="395">
        <f ca="1">IF($E$355=0,0,IF(SUM($G185:BR185)=$B185,0,IF(SUM($G184:AV184)=$B184,$B185,0%)))</f>
        <v>0</v>
      </c>
      <c r="BT185" s="395">
        <f ca="1">IF($E$355=0,0,IF(SUM($G185:BS185)=$B185,0,IF(SUM($G184:AW184)=$B184,$B185,0%)))</f>
        <v>0</v>
      </c>
      <c r="BU185" s="395">
        <f ca="1">IF($E$355=0,0,IF(SUM($G185:BT185)=$B185,0,IF(SUM($G184:AX184)=$B184,$B185,0%)))</f>
        <v>0</v>
      </c>
      <c r="BV185" s="395">
        <f ca="1">IF($E$355=0,0,IF(SUM($G185:BU185)=$B185,0,IF(SUM($G184:AY184)=$B184,$B185,0%)))</f>
        <v>0</v>
      </c>
      <c r="BW185" s="395">
        <f ca="1">IF($E$355=0,0,IF(SUM($G185:BV185)=$B185,0,IF(SUM($G184:AZ184)=$B184,$B185,0%)))</f>
        <v>0</v>
      </c>
      <c r="BX185" s="395">
        <f ca="1">IF($E$355=0,0,IF(SUM($G185:BW185)=$B185,0,IF(SUM($G184:BA184)=$B184,$B185,0%)))</f>
        <v>0</v>
      </c>
      <c r="BY185" s="395">
        <f ca="1">IF($E$355=0,0,IF(SUM($G185:BX185)=$B185,0,IF(SUM($G184:BB184)=$B184,$B185,0%)))</f>
        <v>0</v>
      </c>
      <c r="BZ185" s="395">
        <f ca="1">IF($E$355=0,0,IF(SUM($G185:BY185)=$B185,0,IF(SUM($G184:BC184)=$B184,$B185,0%)))</f>
        <v>0</v>
      </c>
      <c r="CA185" s="395">
        <f ca="1">IF($E$355=0,0,IF(SUM($G185:BZ185)=$B185,0,IF(SUM($G184:BD184)=$B184,$B185,0%)))</f>
        <v>0</v>
      </c>
      <c r="CB185" s="395">
        <f ca="1">IF($E$355=0,0,IF(SUM($G185:CA185)=$B185,0,IF(SUM($G184:BE184)=$B184,$B185,0%)))</f>
        <v>0</v>
      </c>
      <c r="CC185" s="395">
        <f ca="1">IF($E$355=0,0,IF(SUM($G185:CB185)=$B185,0,IF(SUM($G184:BF184)=$B184,$B185,0%)))</f>
        <v>0</v>
      </c>
      <c r="CD185" s="395">
        <f ca="1">IF($E$355=0,0,IF(SUM($G185:CC185)=$B185,0,IF(SUM($G184:BG184)=$B184,$B185,0%)))</f>
        <v>0</v>
      </c>
      <c r="CE185" s="395">
        <f ca="1">IF($E$355=0,0,IF(SUM($G185:CD185)=$B185,0,IF(SUM($G184:BH184)=$B184,$B185,0%)))</f>
        <v>0</v>
      </c>
      <c r="CF185" s="395">
        <f ca="1">IF($E$355=0,0,IF(SUM($G185:CE185)=$B185,0,IF(SUM($G184:BI184)=$B184,$B185,0%)))</f>
        <v>2.5000000000000001E-2</v>
      </c>
      <c r="CG185" s="395">
        <f ca="1">IF($E$355=0,0,IF(SUM($G185:CF185)=$B185,0,IF(SUM($G184:BJ184)=$B184,$B185,0%)))</f>
        <v>0</v>
      </c>
      <c r="CH185" s="395">
        <f ca="1">IF($E$355=0,0,IF(SUM($G185:CG185)=$B185,0,IF(SUM($G184:BK184)=$B184,$B185,0%)))</f>
        <v>0</v>
      </c>
      <c r="CI185" s="395">
        <f ca="1">IF($E$355=0,0,IF(SUM($G185:CH185)=$B185,0,IF(SUM($G184:BL184)=$B184,$B185,0%)))</f>
        <v>0</v>
      </c>
      <c r="CJ185" s="395">
        <f ca="1">IF($E$355=0,0,IF(SUM($G185:CI185)=$B185,0,IF(SUM($G184:BM184)=$B184,$B185,0%)))</f>
        <v>0</v>
      </c>
      <c r="CK185" s="395">
        <f ca="1">IF($E$355=0,0,IF(SUM($G185:CJ185)=$B185,0,IF(SUM($G184:BN184)=$B184,$B185,0%)))</f>
        <v>0</v>
      </c>
      <c r="CL185" s="395">
        <f ca="1">IF($E$355=0,0,IF(SUM($G185:CK185)=$B185,0,IF(SUM($G184:BO184)=$B184,$B185,0%)))</f>
        <v>0</v>
      </c>
      <c r="CM185" s="395">
        <f ca="1">IF($E$355=0,0,IF(SUM($G185:CL185)=$B185,0,IF(SUM($G184:BP184)=$B184,$B185,0%)))</f>
        <v>0</v>
      </c>
      <c r="CN185" s="395">
        <f ca="1">IF($E$355=0,0,IF(SUM($G185:CM185)=$B185,0,IF(SUM($G184:BQ184)=$B184,$B185,0%)))</f>
        <v>0</v>
      </c>
      <c r="CO185" s="395">
        <f ca="1">IF($E$355=0,0,IF(SUM($G185:CN185)=$B185,0,IF(SUM($G184:BR184)=$B184,$B185,0%)))</f>
        <v>0</v>
      </c>
      <c r="CP185" s="395">
        <f ca="1">IF($E$355=0,0,IF(SUM($G185:CO185)=$B185,0,IF(SUM($G184:BS184)=$B184,$B185,0%)))</f>
        <v>0</v>
      </c>
      <c r="CQ185" s="395">
        <f ca="1">IF($E$355=0,0,IF(SUM($G185:CP185)=$B185,0,IF(SUM($G184:BT184)=$B184,$B185,0%)))</f>
        <v>0</v>
      </c>
      <c r="CR185" s="395">
        <f ca="1">IF($E$355=0,0,IF(SUM($G185:CQ185)=$B185,0,IF(SUM($G184:BU184)=$B184,$B185,0%)))</f>
        <v>0</v>
      </c>
      <c r="CS185" s="395">
        <f ca="1">IF($E$355=0,0,IF(SUM($G185:CR185)=$B185,0,IF(SUM($G184:BV184)=$B184,$B185,0%)))</f>
        <v>0</v>
      </c>
      <c r="CT185" s="395">
        <f ca="1">IF($E$355=0,0,IF(SUM($G185:CS185)=$B185,0,IF(SUM($G184:BW184)=$B184,$B185,0%)))</f>
        <v>0</v>
      </c>
      <c r="CU185" s="395">
        <f ca="1">IF($E$355=0,0,IF(SUM($G185:CT185)=$B185,0,IF(SUM($G184:BX184)=$B184,$B185,0%)))</f>
        <v>0</v>
      </c>
      <c r="CV185" s="395">
        <f ca="1">IF($E$355=0,0,IF(SUM($G185:CU185)=$B185,0,IF(SUM($G184:BY184)=$B184,$B185,0%)))</f>
        <v>0</v>
      </c>
      <c r="CW185" s="395">
        <f ca="1">IF($E$355=0,0,IF(SUM($G185:CV185)=$B185,0,IF(SUM($G184:BZ184)=$B184,$B185,0%)))</f>
        <v>0</v>
      </c>
      <c r="CX185" s="395">
        <f ca="1">IF($E$355=0,0,IF(SUM($G185:CW185)=$B185,0,IF(SUM($G184:CA184)=$B184,$B185,0%)))</f>
        <v>0</v>
      </c>
      <c r="CY185" s="395">
        <f ca="1">IF($E$355=0,0,IF(SUM($G185:CX185)=$B185,0,IF(SUM($G184:CB184)=$B184,$B185,0%)))</f>
        <v>0</v>
      </c>
      <c r="CZ185" s="395">
        <f ca="1">IF($E$355=0,0,IF(SUM($G185:CY185)=$B185,0,IF(SUM($G184:CC184)=$B184,$B185,0%)))</f>
        <v>0</v>
      </c>
      <c r="DA185" s="395">
        <f ca="1">IF($E$355=0,0,IF(SUM($G185:CZ185)=$B185,0,IF(SUM($G184:CD184)=$B184,$B185,0%)))</f>
        <v>0</v>
      </c>
      <c r="DB185" s="395">
        <f ca="1">IF($E$355=0,0,IF(SUM($G185:DA185)=$B185,0,IF(SUM($G184:CE184)=$B184,$B185,0%)))</f>
        <v>0</v>
      </c>
      <c r="DC185" s="395">
        <f ca="1">IF($E$355=0,0,IF(SUM($G185:DB185)=$B185,0,IF(SUM($G184:CF184)=$B184,$B185,0%)))</f>
        <v>0</v>
      </c>
      <c r="DD185" s="395">
        <f ca="1">IF($E$355=0,0,IF(SUM($G185:DC185)=$B185,0,IF(SUM($G184:CG184)=$B184,$B185,0%)))</f>
        <v>0</v>
      </c>
      <c r="DE185" s="395">
        <f ca="1">IF($E$355=0,0,IF(SUM($G185:DD185)=$B185,0,IF(SUM($G184:CH184)=$B184,$B185,0%)))</f>
        <v>0</v>
      </c>
      <c r="DF185" s="395">
        <f ca="1">IF($E$355=0,0,IF(SUM($G185:DE185)=$B185,0,IF(SUM($G184:CI184)=$B184,$B185,0%)))</f>
        <v>0</v>
      </c>
      <c r="DG185" s="395">
        <f ca="1">IF($E$355=0,0,IF(SUM($G185:DF185)=$B185,0,IF(SUM($G184:CJ184)=$B184,$B185,0%)))</f>
        <v>0</v>
      </c>
      <c r="DH185" s="395">
        <f ca="1">IF($E$355=0,0,IF(SUM($G185:DG185)=$B185,0,IF(SUM($G184:CK184)=$B184,$B185,0%)))</f>
        <v>0</v>
      </c>
      <c r="DI185" s="395">
        <f ca="1">IF($E$355=0,0,IF(SUM($G185:DH185)=$B185,0,IF(SUM($G184:CL184)=$B184,$B185,0%)))</f>
        <v>0</v>
      </c>
      <c r="DJ185" s="395">
        <f ca="1">IF($E$355=0,0,IF(SUM($G185:DI185)=$B185,0,IF(SUM($G184:CM184)=$B184,$B185,0%)))</f>
        <v>0</v>
      </c>
      <c r="DK185" s="395">
        <f ca="1">IF($E$355=0,0,IF(SUM($G185:DJ185)=$B185,0,IF(SUM($G184:CN184)=$B184,$B185,0%)))</f>
        <v>0</v>
      </c>
      <c r="DL185" s="395">
        <f ca="1">IF($E$355=0,0,IF(SUM($G185:DK185)=$B185,0,IF(SUM($G184:CO184)=$B184,$B185,0%)))</f>
        <v>0</v>
      </c>
      <c r="DM185" s="395">
        <f ca="1">IF($E$355=0,0,IF(SUM($G185:DL185)=$B185,0,IF(SUM($G184:CP184)=$B184,$B185,0%)))</f>
        <v>0</v>
      </c>
      <c r="DN185" s="395">
        <f ca="1">IF($E$355=0,0,IF(SUM($G185:DM185)=$B185,0,IF(SUM($G184:CQ184)=$B184,$B185,0%)))</f>
        <v>0</v>
      </c>
      <c r="DO185" s="395">
        <f ca="1">IF($E$355=0,0,IF(SUM($G185:DN185)=$B185,0,IF(SUM($G184:CR184)=$B184,$B185,0%)))</f>
        <v>0</v>
      </c>
      <c r="DP185" s="395">
        <f ca="1">IF($E$355=0,0,IF(SUM($G185:DO185)=$B185,0,IF(SUM($G184:CS184)=$B184,$B185,0%)))</f>
        <v>0</v>
      </c>
      <c r="DQ185" s="395">
        <f ca="1">IF($E$355=0,0,IF(SUM($G185:DP185)=$B185,0,IF(SUM($G184:CT184)=$B184,$B185,0%)))</f>
        <v>0</v>
      </c>
      <c r="DR185" s="395">
        <f ca="1">IF($E$355=0,0,IF(SUM($G185:DQ185)=$B185,0,IF(SUM($G184:CU184)=$B184,$B185,0%)))</f>
        <v>0</v>
      </c>
      <c r="DS185" s="395">
        <f ca="1">IF($E$355=0,0,IF(SUM($G185:DR185)=$B185,0,IF(SUM($G184:CV184)=$B184,$B185,0%)))</f>
        <v>0</v>
      </c>
      <c r="DT185" s="395">
        <f ca="1">IF($E$355=0,0,IF(SUM($G185:DS185)=$B185,0,IF(SUM($G184:CW184)=$B184,$B185,0%)))</f>
        <v>0</v>
      </c>
      <c r="DU185" s="395">
        <f ca="1">IF($E$355=0,0,IF(SUM($G185:DT185)=$B185,0,IF(SUM($G184:CX184)=$B184,$B185,0%)))</f>
        <v>0</v>
      </c>
      <c r="DV185" s="395">
        <f ca="1">IF($E$355=0,0,IF(SUM($G185:DU185)=$B185,0,IF(SUM($G184:CY184)=$B184,$B185,0%)))</f>
        <v>0</v>
      </c>
      <c r="DW185" s="395">
        <f ca="1">IF($E$355=0,0,IF(SUM($G185:DV185)=$B185,0,IF(SUM($G184:CZ184)=$B184,$B185,0%)))</f>
        <v>0</v>
      </c>
      <c r="DX185" s="395">
        <f ca="1">IF($E$355=0,0,IF(SUM($G185:DW185)=$B185,0,IF(SUM($G184:DA184)=$B184,$B185,0%)))</f>
        <v>0</v>
      </c>
      <c r="DY185" s="395">
        <f ca="1">IF($E$355=0,0,IF(SUM($G185:DX185)=$B185,0,IF(SUM($G184:DB184)=$B184,$B185,0%)))</f>
        <v>0</v>
      </c>
      <c r="DZ185" s="395">
        <f ca="1">IF($E$355=0,0,IF(SUM($G185:DY185)=$B185,0,IF(SUM($G184:DC184)=$B184,$B185,0%)))</f>
        <v>0</v>
      </c>
      <c r="EA185" s="395">
        <f ca="1">IF($E$355=0,0,IF(SUM($G185:DZ185)=$B185,0,IF(SUM($G184:DD184)=$B184,$B185,0%)))</f>
        <v>0</v>
      </c>
      <c r="EB185" s="395">
        <f ca="1">IF($E$355=0,0,IF(SUM($G185:EA185)=$B185,0,IF(SUM($G184:DE184)=$B184,$B185,0%)))</f>
        <v>0</v>
      </c>
      <c r="EC185" s="395">
        <f ca="1">IF($E$355=0,0,IF(SUM($G185:EB185)=$B185,0,IF(SUM($G184:DF184)=$B184,$B185,0%)))</f>
        <v>0</v>
      </c>
      <c r="ED185" s="395">
        <f ca="1">IF($E$355=0,0,IF(SUM($G185:EC185)=$B185,0,IF(SUM($G184:DG184)=$B184,$B185,0%)))</f>
        <v>0</v>
      </c>
      <c r="EE185" s="395">
        <f ca="1">IF($E$355=0,0,IF(SUM($G185:ED185)=$B185,0,IF(SUM($G184:DH184)=$B184,$B185,0%)))</f>
        <v>0</v>
      </c>
      <c r="EF185" s="395">
        <f ca="1">IF($E$355=0,0,IF(SUM($G185:EE185)=$B185,0,IF(SUM($G184:DI184)=$B184,$B185,0%)))</f>
        <v>0</v>
      </c>
      <c r="EG185" s="395">
        <f ca="1">IF($E$355=0,0,IF(SUM($G185:EF185)=$B185,0,IF(SUM($G184:DJ184)=$B184,$B185,0%)))</f>
        <v>0</v>
      </c>
      <c r="EH185" s="395">
        <f ca="1">IF($E$355=0,0,IF(SUM($G185:EG185)=$B185,0,IF(SUM($G184:DK184)=$B184,$B185,0%)))</f>
        <v>0</v>
      </c>
      <c r="EI185" s="395">
        <f ca="1">IF($E$355=0,0,IF(SUM($G185:EH185)=$B185,0,IF(SUM($G184:DL184)=$B184,$B185,0%)))</f>
        <v>0</v>
      </c>
      <c r="EJ185" s="398"/>
      <c r="EK185" s="313"/>
    </row>
    <row r="186" spans="1:141" hidden="1" outlineLevel="1" collapsed="1">
      <c r="A186" s="332"/>
      <c r="B186" s="313"/>
      <c r="C186" s="392" t="s">
        <v>113</v>
      </c>
      <c r="D186" s="392" t="s">
        <v>114</v>
      </c>
      <c r="E186" s="393">
        <f ca="1">ROUND(IF(F186=0,0,100%-F186),0)</f>
        <v>0</v>
      </c>
      <c r="F186" s="394">
        <f ca="1">SUM(G186:EJ186)</f>
        <v>0</v>
      </c>
      <c r="G186" s="395">
        <f>SUM(G187:G190)</f>
        <v>0</v>
      </c>
      <c r="H186" s="395">
        <f ca="1">SUM(H187:H190)</f>
        <v>0</v>
      </c>
      <c r="I186" s="395">
        <f t="shared" ref="I186:BS186" ca="1" si="403">SUM(I187:I190)</f>
        <v>0</v>
      </c>
      <c r="J186" s="395">
        <f t="shared" ca="1" si="403"/>
        <v>0</v>
      </c>
      <c r="K186" s="395">
        <f t="shared" ca="1" si="403"/>
        <v>0</v>
      </c>
      <c r="L186" s="395">
        <f t="shared" ca="1" si="403"/>
        <v>0</v>
      </c>
      <c r="M186" s="395">
        <f t="shared" ca="1" si="403"/>
        <v>0</v>
      </c>
      <c r="N186" s="395">
        <f t="shared" ca="1" si="403"/>
        <v>0</v>
      </c>
      <c r="O186" s="395">
        <f t="shared" ca="1" si="403"/>
        <v>0</v>
      </c>
      <c r="P186" s="395">
        <f t="shared" ca="1" si="403"/>
        <v>0</v>
      </c>
      <c r="Q186" s="395">
        <f t="shared" ca="1" si="403"/>
        <v>0</v>
      </c>
      <c r="R186" s="395">
        <f t="shared" ca="1" si="403"/>
        <v>0</v>
      </c>
      <c r="S186" s="395">
        <f t="shared" ca="1" si="403"/>
        <v>0</v>
      </c>
      <c r="T186" s="395">
        <f t="shared" ca="1" si="403"/>
        <v>0</v>
      </c>
      <c r="U186" s="395">
        <f t="shared" ca="1" si="403"/>
        <v>0</v>
      </c>
      <c r="V186" s="395">
        <f t="shared" ca="1" si="403"/>
        <v>0</v>
      </c>
      <c r="W186" s="395">
        <f t="shared" ca="1" si="403"/>
        <v>0</v>
      </c>
      <c r="X186" s="395">
        <f t="shared" ca="1" si="403"/>
        <v>0</v>
      </c>
      <c r="Y186" s="395">
        <f t="shared" ca="1" si="403"/>
        <v>0</v>
      </c>
      <c r="Z186" s="395">
        <f t="shared" ca="1" si="403"/>
        <v>0</v>
      </c>
      <c r="AA186" s="395">
        <f t="shared" ca="1" si="403"/>
        <v>0</v>
      </c>
      <c r="AB186" s="395">
        <f t="shared" ca="1" si="403"/>
        <v>0</v>
      </c>
      <c r="AC186" s="395">
        <f t="shared" ca="1" si="403"/>
        <v>0</v>
      </c>
      <c r="AD186" s="395">
        <f t="shared" ca="1" si="403"/>
        <v>0</v>
      </c>
      <c r="AE186" s="395">
        <f t="shared" ca="1" si="403"/>
        <v>0</v>
      </c>
      <c r="AF186" s="395">
        <f t="shared" ca="1" si="403"/>
        <v>0</v>
      </c>
      <c r="AG186" s="395">
        <f t="shared" ca="1" si="403"/>
        <v>0</v>
      </c>
      <c r="AH186" s="395">
        <f t="shared" ca="1" si="403"/>
        <v>0</v>
      </c>
      <c r="AI186" s="395">
        <f t="shared" ca="1" si="403"/>
        <v>0</v>
      </c>
      <c r="AJ186" s="395">
        <f t="shared" ca="1" si="403"/>
        <v>0</v>
      </c>
      <c r="AK186" s="395">
        <f t="shared" ca="1" si="403"/>
        <v>0</v>
      </c>
      <c r="AL186" s="395">
        <f t="shared" ca="1" si="403"/>
        <v>0</v>
      </c>
      <c r="AM186" s="395">
        <f t="shared" ca="1" si="403"/>
        <v>0</v>
      </c>
      <c r="AN186" s="395">
        <f t="shared" ca="1" si="403"/>
        <v>0</v>
      </c>
      <c r="AO186" s="395">
        <f t="shared" ca="1" si="403"/>
        <v>0</v>
      </c>
      <c r="AP186" s="395">
        <f t="shared" ca="1" si="403"/>
        <v>0</v>
      </c>
      <c r="AQ186" s="395">
        <f t="shared" ca="1" si="403"/>
        <v>0</v>
      </c>
      <c r="AR186" s="395">
        <f t="shared" ca="1" si="403"/>
        <v>0</v>
      </c>
      <c r="AS186" s="395">
        <f t="shared" ca="1" si="403"/>
        <v>0</v>
      </c>
      <c r="AT186" s="395">
        <f t="shared" ca="1" si="403"/>
        <v>0</v>
      </c>
      <c r="AU186" s="395">
        <f t="shared" ca="1" si="403"/>
        <v>0</v>
      </c>
      <c r="AV186" s="395">
        <f t="shared" ca="1" si="403"/>
        <v>0</v>
      </c>
      <c r="AW186" s="395">
        <f t="shared" ca="1" si="403"/>
        <v>0</v>
      </c>
      <c r="AX186" s="395">
        <f t="shared" ca="1" si="403"/>
        <v>0</v>
      </c>
      <c r="AY186" s="395">
        <f t="shared" ca="1" si="403"/>
        <v>0</v>
      </c>
      <c r="AZ186" s="395">
        <f t="shared" ca="1" si="403"/>
        <v>0</v>
      </c>
      <c r="BA186" s="395">
        <f t="shared" ca="1" si="403"/>
        <v>0</v>
      </c>
      <c r="BB186" s="395">
        <f t="shared" ca="1" si="403"/>
        <v>0</v>
      </c>
      <c r="BC186" s="395">
        <f t="shared" ca="1" si="403"/>
        <v>0</v>
      </c>
      <c r="BD186" s="395">
        <f t="shared" ca="1" si="403"/>
        <v>0</v>
      </c>
      <c r="BE186" s="395">
        <f t="shared" ca="1" si="403"/>
        <v>0</v>
      </c>
      <c r="BF186" s="395">
        <f t="shared" ca="1" si="403"/>
        <v>0</v>
      </c>
      <c r="BG186" s="395">
        <f t="shared" ca="1" si="403"/>
        <v>0</v>
      </c>
      <c r="BH186" s="395">
        <f t="shared" ca="1" si="403"/>
        <v>0</v>
      </c>
      <c r="BI186" s="395">
        <f t="shared" ca="1" si="403"/>
        <v>0</v>
      </c>
      <c r="BJ186" s="395">
        <f t="shared" ca="1" si="403"/>
        <v>0</v>
      </c>
      <c r="BK186" s="395">
        <f t="shared" ca="1" si="403"/>
        <v>0</v>
      </c>
      <c r="BL186" s="395">
        <f t="shared" ca="1" si="403"/>
        <v>0</v>
      </c>
      <c r="BM186" s="395">
        <f t="shared" ca="1" si="403"/>
        <v>0</v>
      </c>
      <c r="BN186" s="395">
        <f t="shared" ca="1" si="403"/>
        <v>0</v>
      </c>
      <c r="BO186" s="395">
        <f t="shared" ca="1" si="403"/>
        <v>0</v>
      </c>
      <c r="BP186" s="395">
        <f t="shared" ca="1" si="403"/>
        <v>0</v>
      </c>
      <c r="BQ186" s="395">
        <f t="shared" ca="1" si="403"/>
        <v>0</v>
      </c>
      <c r="BR186" s="395">
        <f t="shared" ca="1" si="403"/>
        <v>0</v>
      </c>
      <c r="BS186" s="395">
        <f t="shared" ca="1" si="403"/>
        <v>0</v>
      </c>
      <c r="BT186" s="395">
        <f t="shared" ref="BT186:EE186" ca="1" si="404">SUM(BT187:BT190)</f>
        <v>0</v>
      </c>
      <c r="BU186" s="395">
        <f t="shared" ca="1" si="404"/>
        <v>0</v>
      </c>
      <c r="BV186" s="395">
        <f t="shared" ca="1" si="404"/>
        <v>0</v>
      </c>
      <c r="BW186" s="395">
        <f t="shared" ca="1" si="404"/>
        <v>0</v>
      </c>
      <c r="BX186" s="395">
        <f t="shared" ca="1" si="404"/>
        <v>0</v>
      </c>
      <c r="BY186" s="395">
        <f t="shared" ca="1" si="404"/>
        <v>0</v>
      </c>
      <c r="BZ186" s="395">
        <f t="shared" ca="1" si="404"/>
        <v>0</v>
      </c>
      <c r="CA186" s="395">
        <f t="shared" ca="1" si="404"/>
        <v>0</v>
      </c>
      <c r="CB186" s="395">
        <f t="shared" ca="1" si="404"/>
        <v>0</v>
      </c>
      <c r="CC186" s="395">
        <f t="shared" ca="1" si="404"/>
        <v>0</v>
      </c>
      <c r="CD186" s="395">
        <f t="shared" ca="1" si="404"/>
        <v>0</v>
      </c>
      <c r="CE186" s="395">
        <f t="shared" ca="1" si="404"/>
        <v>0</v>
      </c>
      <c r="CF186" s="395">
        <f t="shared" ca="1" si="404"/>
        <v>0</v>
      </c>
      <c r="CG186" s="395">
        <f t="shared" ca="1" si="404"/>
        <v>0</v>
      </c>
      <c r="CH186" s="395">
        <f t="shared" ca="1" si="404"/>
        <v>0</v>
      </c>
      <c r="CI186" s="395">
        <f t="shared" ca="1" si="404"/>
        <v>0</v>
      </c>
      <c r="CJ186" s="395">
        <f t="shared" ca="1" si="404"/>
        <v>0</v>
      </c>
      <c r="CK186" s="395">
        <f t="shared" ca="1" si="404"/>
        <v>0</v>
      </c>
      <c r="CL186" s="395">
        <f t="shared" ca="1" si="404"/>
        <v>0</v>
      </c>
      <c r="CM186" s="395">
        <f t="shared" ca="1" si="404"/>
        <v>0</v>
      </c>
      <c r="CN186" s="395">
        <f t="shared" ca="1" si="404"/>
        <v>0</v>
      </c>
      <c r="CO186" s="395">
        <f t="shared" ca="1" si="404"/>
        <v>0</v>
      </c>
      <c r="CP186" s="395">
        <f t="shared" ca="1" si="404"/>
        <v>0</v>
      </c>
      <c r="CQ186" s="395">
        <f t="shared" ca="1" si="404"/>
        <v>0</v>
      </c>
      <c r="CR186" s="395">
        <f t="shared" ca="1" si="404"/>
        <v>0</v>
      </c>
      <c r="CS186" s="395">
        <f t="shared" ca="1" si="404"/>
        <v>0</v>
      </c>
      <c r="CT186" s="395">
        <f t="shared" ca="1" si="404"/>
        <v>0</v>
      </c>
      <c r="CU186" s="395">
        <f t="shared" ca="1" si="404"/>
        <v>0</v>
      </c>
      <c r="CV186" s="395">
        <f t="shared" ca="1" si="404"/>
        <v>0</v>
      </c>
      <c r="CW186" s="395">
        <f t="shared" ca="1" si="404"/>
        <v>0</v>
      </c>
      <c r="CX186" s="395">
        <f t="shared" ca="1" si="404"/>
        <v>0</v>
      </c>
      <c r="CY186" s="395">
        <f t="shared" ca="1" si="404"/>
        <v>0</v>
      </c>
      <c r="CZ186" s="395">
        <f t="shared" ca="1" si="404"/>
        <v>0</v>
      </c>
      <c r="DA186" s="395">
        <f t="shared" ca="1" si="404"/>
        <v>0</v>
      </c>
      <c r="DB186" s="395">
        <f t="shared" ca="1" si="404"/>
        <v>0</v>
      </c>
      <c r="DC186" s="395">
        <f t="shared" ca="1" si="404"/>
        <v>0</v>
      </c>
      <c r="DD186" s="395">
        <f t="shared" ca="1" si="404"/>
        <v>0</v>
      </c>
      <c r="DE186" s="395">
        <f t="shared" ca="1" si="404"/>
        <v>0</v>
      </c>
      <c r="DF186" s="395">
        <f t="shared" ca="1" si="404"/>
        <v>0</v>
      </c>
      <c r="DG186" s="395">
        <f t="shared" ca="1" si="404"/>
        <v>0</v>
      </c>
      <c r="DH186" s="395">
        <f t="shared" ca="1" si="404"/>
        <v>0</v>
      </c>
      <c r="DI186" s="395">
        <f t="shared" ca="1" si="404"/>
        <v>0</v>
      </c>
      <c r="DJ186" s="395">
        <f t="shared" ca="1" si="404"/>
        <v>0</v>
      </c>
      <c r="DK186" s="395">
        <f t="shared" ca="1" si="404"/>
        <v>0</v>
      </c>
      <c r="DL186" s="395">
        <f t="shared" ca="1" si="404"/>
        <v>0</v>
      </c>
      <c r="DM186" s="395">
        <f t="shared" ca="1" si="404"/>
        <v>0</v>
      </c>
      <c r="DN186" s="395">
        <f t="shared" ca="1" si="404"/>
        <v>0</v>
      </c>
      <c r="DO186" s="395">
        <f t="shared" ca="1" si="404"/>
        <v>0</v>
      </c>
      <c r="DP186" s="395">
        <f t="shared" ca="1" si="404"/>
        <v>0</v>
      </c>
      <c r="DQ186" s="395">
        <f t="shared" ca="1" si="404"/>
        <v>0</v>
      </c>
      <c r="DR186" s="395">
        <f t="shared" ca="1" si="404"/>
        <v>0</v>
      </c>
      <c r="DS186" s="395">
        <f t="shared" ca="1" si="404"/>
        <v>0</v>
      </c>
      <c r="DT186" s="395">
        <f t="shared" ca="1" si="404"/>
        <v>0</v>
      </c>
      <c r="DU186" s="395">
        <f t="shared" ca="1" si="404"/>
        <v>0</v>
      </c>
      <c r="DV186" s="395">
        <f t="shared" ca="1" si="404"/>
        <v>0</v>
      </c>
      <c r="DW186" s="395">
        <f t="shared" ca="1" si="404"/>
        <v>0</v>
      </c>
      <c r="DX186" s="395">
        <f t="shared" ca="1" si="404"/>
        <v>0</v>
      </c>
      <c r="DY186" s="395">
        <f t="shared" ca="1" si="404"/>
        <v>0</v>
      </c>
      <c r="DZ186" s="395">
        <f t="shared" ca="1" si="404"/>
        <v>0</v>
      </c>
      <c r="EA186" s="395">
        <f t="shared" ca="1" si="404"/>
        <v>0</v>
      </c>
      <c r="EB186" s="395">
        <f t="shared" ca="1" si="404"/>
        <v>0</v>
      </c>
      <c r="EC186" s="395">
        <f t="shared" ca="1" si="404"/>
        <v>0</v>
      </c>
      <c r="ED186" s="395">
        <f t="shared" ca="1" si="404"/>
        <v>0</v>
      </c>
      <c r="EE186" s="395">
        <f t="shared" ca="1" si="404"/>
        <v>0</v>
      </c>
      <c r="EF186" s="395">
        <f t="shared" ref="EF186:EI186" ca="1" si="405">SUM(EF187:EF190)</f>
        <v>0</v>
      </c>
      <c r="EG186" s="395">
        <f t="shared" ca="1" si="405"/>
        <v>0</v>
      </c>
      <c r="EH186" s="395">
        <f t="shared" ca="1" si="405"/>
        <v>0</v>
      </c>
      <c r="EI186" s="395">
        <f t="shared" ca="1" si="405"/>
        <v>0</v>
      </c>
      <c r="EJ186" s="398"/>
      <c r="EK186" s="313"/>
    </row>
    <row r="187" spans="1:141" hidden="1" outlineLevel="2">
      <c r="A187" s="332"/>
      <c r="B187" s="549">
        <f>длительность!B194</f>
        <v>0.1</v>
      </c>
      <c r="C187" s="317"/>
      <c r="D187" s="317" t="s">
        <v>664</v>
      </c>
      <c r="E187" s="318">
        <f t="shared" ref="E187" ca="1" si="406">IF(F187=0,0,B187-F187)</f>
        <v>0</v>
      </c>
      <c r="F187" s="397">
        <f t="shared" ca="1" si="283"/>
        <v>0</v>
      </c>
      <c r="G187" s="395"/>
      <c r="H187" s="395">
        <f ca="1">IF(SUM($G187:G187)=$B187,0,IF(J188&gt;0%,$B187,0%))</f>
        <v>0</v>
      </c>
      <c r="I187" s="395">
        <f ca="1">IF(SUM($G187:H187)=$B187,0,IF(K188&gt;0%,$B187,0%))</f>
        <v>0</v>
      </c>
      <c r="J187" s="395">
        <f ca="1">IF(SUM($G187:I187)=$B187,0,IF(L188&gt;0%,$B187,0%))</f>
        <v>0</v>
      </c>
      <c r="K187" s="395">
        <f ca="1">IF(SUM($G187:J187)=$B187,0,IF(M188&gt;0%,$B187,0%))</f>
        <v>0</v>
      </c>
      <c r="L187" s="395">
        <f ca="1">IF(SUM($G187:K187)=$B187,0,IF(N188&gt;0%,$B187,0%))</f>
        <v>0</v>
      </c>
      <c r="M187" s="395">
        <f ca="1">IF(SUM($G187:L187)=$B187,0,IF(O188&gt;0%,$B187,0%))</f>
        <v>0</v>
      </c>
      <c r="N187" s="395">
        <f ca="1">IF(SUM($G187:M187)=$B187,0,IF(P188&gt;0%,$B187,0%))</f>
        <v>0</v>
      </c>
      <c r="O187" s="395">
        <f ca="1">IF(SUM($G187:N187)=$B187,0,IF(Q188&gt;0%,$B187,0%))</f>
        <v>0</v>
      </c>
      <c r="P187" s="395">
        <f ca="1">IF(SUM($G187:O187)=$B187,0,IF(R188&gt;0%,$B187,0%))</f>
        <v>0</v>
      </c>
      <c r="Q187" s="395">
        <f ca="1">IF(SUM($G187:P187)=$B187,0,IF(S188&gt;0%,$B187,0%))</f>
        <v>0</v>
      </c>
      <c r="R187" s="395">
        <f ca="1">IF(SUM($G187:Q187)=$B187,0,IF(T188&gt;0%,$B187,0%))</f>
        <v>0</v>
      </c>
      <c r="S187" s="395">
        <f ca="1">IF(SUM($G187:R187)=$B187,0,IF(U188&gt;0%,$B187,0%))</f>
        <v>0</v>
      </c>
      <c r="T187" s="395">
        <f ca="1">IF(SUM($G187:S187)=$B187,0,IF(V188&gt;0%,$B187,0%))</f>
        <v>0</v>
      </c>
      <c r="U187" s="395">
        <f ca="1">IF(SUM($G187:T187)=$B187,0,IF(W188&gt;0%,$B187,0%))</f>
        <v>0</v>
      </c>
      <c r="V187" s="395">
        <f ca="1">IF(SUM($G187:U187)=$B187,0,IF(X188&gt;0%,$B187,0%))</f>
        <v>0</v>
      </c>
      <c r="W187" s="395">
        <f ca="1">IF(SUM($G187:V187)=$B187,0,IF(Y188&gt;0%,$B187,0%))</f>
        <v>0</v>
      </c>
      <c r="X187" s="395">
        <f ca="1">IF(SUM($G187:W187)=$B187,0,IF(Z188&gt;0%,$B187,0%))</f>
        <v>0</v>
      </c>
      <c r="Y187" s="395">
        <f ca="1">IF(SUM($G187:X187)=$B187,0,IF(AA188&gt;0%,$B187,0%))</f>
        <v>0</v>
      </c>
      <c r="Z187" s="395">
        <f ca="1">IF(SUM($G187:Y187)=$B187,0,IF(AB188&gt;0%,$B187,0%))</f>
        <v>0</v>
      </c>
      <c r="AA187" s="395">
        <f ca="1">IF(SUM($G187:Z187)=$B187,0,IF(AC188&gt;0%,$B187,0%))</f>
        <v>0</v>
      </c>
      <c r="AB187" s="395">
        <f ca="1">IF(SUM($G187:AA187)=$B187,0,IF(AD188&gt;0%,$B187,0%))</f>
        <v>0</v>
      </c>
      <c r="AC187" s="395">
        <f ca="1">IF(SUM($G187:AB187)=$B187,0,IF(AE188&gt;0%,$B187,0%))</f>
        <v>0</v>
      </c>
      <c r="AD187" s="395">
        <f ca="1">IF(SUM($G187:AC187)=$B187,0,IF(AF188&gt;0%,$B187,0%))</f>
        <v>0</v>
      </c>
      <c r="AE187" s="395">
        <f ca="1">IF(SUM($G187:AD187)=$B187,0,IF(AG188&gt;0%,$B187,0%))</f>
        <v>0</v>
      </c>
      <c r="AF187" s="395">
        <f ca="1">IF(SUM($G187:AE187)=$B187,0,IF(AH188&gt;0%,$B187,0%))</f>
        <v>0</v>
      </c>
      <c r="AG187" s="395">
        <f ca="1">IF(SUM($G187:AF187)=$B187,0,IF(AI188&gt;0%,$B187,0%))</f>
        <v>0</v>
      </c>
      <c r="AH187" s="395">
        <f ca="1">IF(SUM($G187:AG187)=$B187,0,IF(AJ188&gt;0%,$B187,0%))</f>
        <v>0</v>
      </c>
      <c r="AI187" s="395">
        <f ca="1">IF(SUM($G187:AH187)=$B187,0,IF(AK188&gt;0%,$B187,0%))</f>
        <v>0</v>
      </c>
      <c r="AJ187" s="395">
        <f ca="1">IF(SUM($G187:AI187)=$B187,0,IF(AL188&gt;0%,$B187,0%))</f>
        <v>0</v>
      </c>
      <c r="AK187" s="395">
        <f ca="1">IF(SUM($G187:AJ187)=$B187,0,IF(AM188&gt;0%,$B187,0%))</f>
        <v>0</v>
      </c>
      <c r="AL187" s="395">
        <f ca="1">IF(SUM($G187:AK187)=$B187,0,IF(AN188&gt;0%,$B187,0%))</f>
        <v>0</v>
      </c>
      <c r="AM187" s="395">
        <f ca="1">IF(SUM($G187:AL187)=$B187,0,IF(AO188&gt;0%,$B187,0%))</f>
        <v>0</v>
      </c>
      <c r="AN187" s="395">
        <f ca="1">IF(SUM($G187:AM187)=$B187,0,IF(AP188&gt;0%,$B187,0%))</f>
        <v>0</v>
      </c>
      <c r="AO187" s="395">
        <f ca="1">IF(SUM($G187:AN187)=$B187,0,IF(AQ188&gt;0%,$B187,0%))</f>
        <v>0</v>
      </c>
      <c r="AP187" s="395">
        <f ca="1">IF(SUM($G187:AO187)=$B187,0,IF(AR188&gt;0%,$B187,0%))</f>
        <v>0</v>
      </c>
      <c r="AQ187" s="395">
        <f ca="1">IF(SUM($G187:AP187)=$B187,0,IF(AS188&gt;0%,$B187,0%))</f>
        <v>0</v>
      </c>
      <c r="AR187" s="395">
        <f ca="1">IF(SUM($G187:AQ187)=$B187,0,IF(AT188&gt;0%,$B187,0%))</f>
        <v>0</v>
      </c>
      <c r="AS187" s="395">
        <f ca="1">IF(SUM($G187:AR187)=$B187,0,IF(AU188&gt;0%,$B187,0%))</f>
        <v>0</v>
      </c>
      <c r="AT187" s="395">
        <f ca="1">IF(SUM($G187:AS187)=$B187,0,IF(AV188&gt;0%,$B187,0%))</f>
        <v>0</v>
      </c>
      <c r="AU187" s="395">
        <f ca="1">IF(SUM($G187:AT187)=$B187,0,IF(AW188&gt;0%,$B187,0%))</f>
        <v>0</v>
      </c>
      <c r="AV187" s="395">
        <f ca="1">IF(SUM($G187:AU187)=$B187,0,IF(AX188&gt;0%,$B187,0%))</f>
        <v>0</v>
      </c>
      <c r="AW187" s="395">
        <f ca="1">IF(SUM($G187:AV187)=$B187,0,IF(AY188&gt;0%,$B187,0%))</f>
        <v>0</v>
      </c>
      <c r="AX187" s="395">
        <f ca="1">IF(SUM($G187:AW187)=$B187,0,IF(AZ188&gt;0%,$B187,0%))</f>
        <v>0</v>
      </c>
      <c r="AY187" s="395">
        <f ca="1">IF(SUM($G187:AX187)=$B187,0,IF(BA188&gt;0%,$B187,0%))</f>
        <v>0</v>
      </c>
      <c r="AZ187" s="395">
        <f ca="1">IF(SUM($G187:AY187)=$B187,0,IF(BB188&gt;0%,$B187,0%))</f>
        <v>0</v>
      </c>
      <c r="BA187" s="395">
        <f ca="1">IF(SUM($G187:AZ187)=$B187,0,IF(BC188&gt;0%,$B187,0%))</f>
        <v>0</v>
      </c>
      <c r="BB187" s="395">
        <f ca="1">IF(SUM($G187:BA187)=$B187,0,IF(BD188&gt;0%,$B187,0%))</f>
        <v>0</v>
      </c>
      <c r="BC187" s="395">
        <f ca="1">IF(SUM($G187:BB187)=$B187,0,IF(BE188&gt;0%,$B187,0%))</f>
        <v>0</v>
      </c>
      <c r="BD187" s="395">
        <f ca="1">IF(SUM($G187:BC187)=$B187,0,IF(BF188&gt;0%,$B187,0%))</f>
        <v>0</v>
      </c>
      <c r="BE187" s="395">
        <f ca="1">IF(SUM($G187:BD187)=$B187,0,IF(BG188&gt;0%,$B187,0%))</f>
        <v>0</v>
      </c>
      <c r="BF187" s="395">
        <f ca="1">IF(SUM($G187:BE187)=$B187,0,IF(BH188&gt;0%,$B187,0%))</f>
        <v>0</v>
      </c>
      <c r="BG187" s="395">
        <f ca="1">IF(SUM($G187:BF187)=$B187,0,IF(BI188&gt;0%,$B187,0%))</f>
        <v>0</v>
      </c>
      <c r="BH187" s="395">
        <f ca="1">IF(SUM($G187:BG187)=$B187,0,IF(BJ188&gt;0%,$B187,0%))</f>
        <v>0</v>
      </c>
      <c r="BI187" s="395">
        <f ca="1">IF(SUM($G187:BH187)=$B187,0,IF(BK188&gt;0%,$B187,0%))</f>
        <v>0</v>
      </c>
      <c r="BJ187" s="395">
        <f ca="1">IF(SUM($G187:BI187)=$B187,0,IF(BL188&gt;0%,$B187,0%))</f>
        <v>0</v>
      </c>
      <c r="BK187" s="395">
        <f ca="1">IF(SUM($G187:BJ187)=$B187,0,IF(BM188&gt;0%,$B187,0%))</f>
        <v>0</v>
      </c>
      <c r="BL187" s="395">
        <f ca="1">IF(SUM($G187:BK187)=$B187,0,IF(BN188&gt;0%,$B187,0%))</f>
        <v>0</v>
      </c>
      <c r="BM187" s="395">
        <f ca="1">IF(SUM($G187:BL187)=$B187,0,IF(BO188&gt;0%,$B187,0%))</f>
        <v>0</v>
      </c>
      <c r="BN187" s="395">
        <f ca="1">IF(SUM($G187:BM187)=$B187,0,IF(BP188&gt;0%,$B187,0%))</f>
        <v>0</v>
      </c>
      <c r="BO187" s="395">
        <f ca="1">IF(SUM($G187:BN187)=$B187,0,IF(BQ188&gt;0%,$B187,0%))</f>
        <v>0</v>
      </c>
      <c r="BP187" s="395">
        <f ca="1">IF(SUM($G187:BO187)=$B187,0,IF(BR188&gt;0%,$B187,0%))</f>
        <v>0</v>
      </c>
      <c r="BQ187" s="395">
        <f ca="1">IF(SUM($G187:BP187)=$B187,0,IF(BS188&gt;0%,$B187,0%))</f>
        <v>0</v>
      </c>
      <c r="BR187" s="395">
        <f ca="1">IF(SUM($G187:BQ187)=$B187,0,IF(BT188&gt;0%,$B187,0%))</f>
        <v>0</v>
      </c>
      <c r="BS187" s="395">
        <f ca="1">IF(SUM($G187:BR187)=$B187,0,IF(BU188&gt;0%,$B187,0%))</f>
        <v>0</v>
      </c>
      <c r="BT187" s="395">
        <f ca="1">IF(SUM($G187:BS187)=$B187,0,IF(BV188&gt;0%,$B187,0%))</f>
        <v>0</v>
      </c>
      <c r="BU187" s="395">
        <f ca="1">IF(SUM($G187:BT187)=$B187,0,IF(BW188&gt;0%,$B187,0%))</f>
        <v>0</v>
      </c>
      <c r="BV187" s="395">
        <f ca="1">IF(SUM($G187:BU187)=$B187,0,IF(BX188&gt;0%,$B187,0%))</f>
        <v>0</v>
      </c>
      <c r="BW187" s="395">
        <f ca="1">IF(SUM($G187:BV187)=$B187,0,IF(BY188&gt;0%,$B187,0%))</f>
        <v>0</v>
      </c>
      <c r="BX187" s="395">
        <f ca="1">IF(SUM($G187:BW187)=$B187,0,IF(BZ188&gt;0%,$B187,0%))</f>
        <v>0</v>
      </c>
      <c r="BY187" s="395">
        <f ca="1">IF(SUM($G187:BX187)=$B187,0,IF(CA188&gt;0%,$B187,0%))</f>
        <v>0</v>
      </c>
      <c r="BZ187" s="395">
        <f ca="1">IF(SUM($G187:BY187)=$B187,0,IF(CB188&gt;0%,$B187,0%))</f>
        <v>0</v>
      </c>
      <c r="CA187" s="395">
        <f ca="1">IF(SUM($G187:BZ187)=$B187,0,IF(CC188&gt;0%,$B187,0%))</f>
        <v>0</v>
      </c>
      <c r="CB187" s="395">
        <f ca="1">IF(SUM($G187:CA187)=$B187,0,IF(CD188&gt;0%,$B187,0%))</f>
        <v>0</v>
      </c>
      <c r="CC187" s="395">
        <f ca="1">IF(SUM($G187:CB187)=$B187,0,IF(CE188&gt;0%,$B187,0%))</f>
        <v>0</v>
      </c>
      <c r="CD187" s="395">
        <f ca="1">IF(SUM($G187:CC187)=$B187,0,IF(CF188&gt;0%,$B187,0%))</f>
        <v>0</v>
      </c>
      <c r="CE187" s="395">
        <f ca="1">IF(SUM($G187:CD187)=$B187,0,IF(CG188&gt;0%,$B187,0%))</f>
        <v>0</v>
      </c>
      <c r="CF187" s="395">
        <f ca="1">IF(SUM($G187:CE187)=$B187,0,IF(CH188&gt;0%,$B187,0%))</f>
        <v>0</v>
      </c>
      <c r="CG187" s="395">
        <f ca="1">IF(SUM($G187:CF187)=$B187,0,IF(CI188&gt;0%,$B187,0%))</f>
        <v>0</v>
      </c>
      <c r="CH187" s="395">
        <f ca="1">IF(SUM($G187:CG187)=$B187,0,IF(CJ188&gt;0%,$B187,0%))</f>
        <v>0</v>
      </c>
      <c r="CI187" s="395">
        <f ca="1">IF(SUM($G187:CH187)=$B187,0,IF(CK188&gt;0%,$B187,0%))</f>
        <v>0</v>
      </c>
      <c r="CJ187" s="395">
        <f ca="1">IF(SUM($G187:CI187)=$B187,0,IF(CL188&gt;0%,$B187,0%))</f>
        <v>0</v>
      </c>
      <c r="CK187" s="395">
        <f ca="1">IF(SUM($G187:CJ187)=$B187,0,IF(CM188&gt;0%,$B187,0%))</f>
        <v>0</v>
      </c>
      <c r="CL187" s="395">
        <f ca="1">IF(SUM($G187:CK187)=$B187,0,IF(CN188&gt;0%,$B187,0%))</f>
        <v>0</v>
      </c>
      <c r="CM187" s="395">
        <f ca="1">IF(SUM($G187:CL187)=$B187,0,IF(CO188&gt;0%,$B187,0%))</f>
        <v>0</v>
      </c>
      <c r="CN187" s="395">
        <f ca="1">IF(SUM($G187:CM187)=$B187,0,IF(CP188&gt;0%,$B187,0%))</f>
        <v>0</v>
      </c>
      <c r="CO187" s="395">
        <f ca="1">IF(SUM($G187:CN187)=$B187,0,IF(CQ188&gt;0%,$B187,0%))</f>
        <v>0</v>
      </c>
      <c r="CP187" s="395">
        <f ca="1">IF(SUM($G187:CO187)=$B187,0,IF(CR188&gt;0%,$B187,0%))</f>
        <v>0</v>
      </c>
      <c r="CQ187" s="395">
        <f ca="1">IF(SUM($G187:CP187)=$B187,0,IF(CS188&gt;0%,$B187,0%))</f>
        <v>0</v>
      </c>
      <c r="CR187" s="395">
        <f ca="1">IF(SUM($G187:CQ187)=$B187,0,IF(CT188&gt;0%,$B187,0%))</f>
        <v>0</v>
      </c>
      <c r="CS187" s="395">
        <f ca="1">IF(SUM($G187:CR187)=$B187,0,IF(CU188&gt;0%,$B187,0%))</f>
        <v>0</v>
      </c>
      <c r="CT187" s="395">
        <f ca="1">IF(SUM($G187:CS187)=$B187,0,IF(CV188&gt;0%,$B187,0%))</f>
        <v>0</v>
      </c>
      <c r="CU187" s="395">
        <f ca="1">IF(SUM($G187:CT187)=$B187,0,IF(CW188&gt;0%,$B187,0%))</f>
        <v>0</v>
      </c>
      <c r="CV187" s="395">
        <f ca="1">IF(SUM($G187:CU187)=$B187,0,IF(CX188&gt;0%,$B187,0%))</f>
        <v>0</v>
      </c>
      <c r="CW187" s="395">
        <f ca="1">IF(SUM($G187:CV187)=$B187,0,IF(CY188&gt;0%,$B187,0%))</f>
        <v>0</v>
      </c>
      <c r="CX187" s="395">
        <f ca="1">IF(SUM($G187:CW187)=$B187,0,IF(CZ188&gt;0%,$B187,0%))</f>
        <v>0</v>
      </c>
      <c r="CY187" s="395">
        <f ca="1">IF(SUM($G187:CX187)=$B187,0,IF(DA188&gt;0%,$B187,0%))</f>
        <v>0</v>
      </c>
      <c r="CZ187" s="395">
        <f ca="1">IF(SUM($G187:CY187)=$B187,0,IF(DB188&gt;0%,$B187,0%))</f>
        <v>0</v>
      </c>
      <c r="DA187" s="395">
        <f ca="1">IF(SUM($G187:CZ187)=$B187,0,IF(DC188&gt;0%,$B187,0%))</f>
        <v>0</v>
      </c>
      <c r="DB187" s="395">
        <f ca="1">IF(SUM($G187:DA187)=$B187,0,IF(DD188&gt;0%,$B187,0%))</f>
        <v>0</v>
      </c>
      <c r="DC187" s="395">
        <f ca="1">IF(SUM($G187:DB187)=$B187,0,IF(DE188&gt;0%,$B187,0%))</f>
        <v>0</v>
      </c>
      <c r="DD187" s="395">
        <f ca="1">IF(SUM($G187:DC187)=$B187,0,IF(DF188&gt;0%,$B187,0%))</f>
        <v>0</v>
      </c>
      <c r="DE187" s="395">
        <f ca="1">IF(SUM($G187:DD187)=$B187,0,IF(DG188&gt;0%,$B187,0%))</f>
        <v>0</v>
      </c>
      <c r="DF187" s="395">
        <f ca="1">IF(SUM($G187:DE187)=$B187,0,IF(DH188&gt;0%,$B187,0%))</f>
        <v>0</v>
      </c>
      <c r="DG187" s="395">
        <f ca="1">IF(SUM($G187:DF187)=$B187,0,IF(DI188&gt;0%,$B187,0%))</f>
        <v>0</v>
      </c>
      <c r="DH187" s="395">
        <f ca="1">IF(SUM($G187:DG187)=$B187,0,IF(DJ188&gt;0%,$B187,0%))</f>
        <v>0</v>
      </c>
      <c r="DI187" s="395">
        <f ca="1">IF(SUM($G187:DH187)=$B187,0,IF(DK188&gt;0%,$B187,0%))</f>
        <v>0</v>
      </c>
      <c r="DJ187" s="395">
        <f ca="1">IF(SUM($G187:DI187)=$B187,0,IF(DL188&gt;0%,$B187,0%))</f>
        <v>0</v>
      </c>
      <c r="DK187" s="395">
        <f ca="1">IF(SUM($G187:DJ187)=$B187,0,IF(DM188&gt;0%,$B187,0%))</f>
        <v>0</v>
      </c>
      <c r="DL187" s="395">
        <f ca="1">IF(SUM($G187:DK187)=$B187,0,IF(DN188&gt;0%,$B187,0%))</f>
        <v>0</v>
      </c>
      <c r="DM187" s="395">
        <f ca="1">IF(SUM($G187:DL187)=$B187,0,IF(DO188&gt;0%,$B187,0%))</f>
        <v>0</v>
      </c>
      <c r="DN187" s="395">
        <f ca="1">IF(SUM($G187:DM187)=$B187,0,IF(DP188&gt;0%,$B187,0%))</f>
        <v>0</v>
      </c>
      <c r="DO187" s="395">
        <f ca="1">IF(SUM($G187:DN187)=$B187,0,IF(DQ188&gt;0%,$B187,0%))</f>
        <v>0</v>
      </c>
      <c r="DP187" s="395">
        <f ca="1">IF(SUM($G187:DO187)=$B187,0,IF(DR188&gt;0%,$B187,0%))</f>
        <v>0</v>
      </c>
      <c r="DQ187" s="395">
        <f ca="1">IF(SUM($G187:DP187)=$B187,0,IF(DS188&gt;0%,$B187,0%))</f>
        <v>0</v>
      </c>
      <c r="DR187" s="395">
        <f ca="1">IF(SUM($G187:DQ187)=$B187,0,IF(DT188&gt;0%,$B187,0%))</f>
        <v>0</v>
      </c>
      <c r="DS187" s="395">
        <f ca="1">IF(SUM($G187:DR187)=$B187,0,IF(DU188&gt;0%,$B187,0%))</f>
        <v>0</v>
      </c>
      <c r="DT187" s="395">
        <f ca="1">IF(SUM($G187:DS187)=$B187,0,IF(DV188&gt;0%,$B187,0%))</f>
        <v>0</v>
      </c>
      <c r="DU187" s="395">
        <f ca="1">IF(SUM($G187:DT187)=$B187,0,IF(DW188&gt;0%,$B187,0%))</f>
        <v>0</v>
      </c>
      <c r="DV187" s="395">
        <f ca="1">IF(SUM($G187:DU187)=$B187,0,IF(DX188&gt;0%,$B187,0%))</f>
        <v>0</v>
      </c>
      <c r="DW187" s="395">
        <f ca="1">IF(SUM($G187:DV187)=$B187,0,IF(DY188&gt;0%,$B187,0%))</f>
        <v>0</v>
      </c>
      <c r="DX187" s="395">
        <f ca="1">IF(SUM($G187:DW187)=$B187,0,IF(DZ188&gt;0%,$B187,0%))</f>
        <v>0</v>
      </c>
      <c r="DY187" s="395">
        <f ca="1">IF(SUM($G187:DX187)=$B187,0,IF(EA188&gt;0%,$B187,0%))</f>
        <v>0</v>
      </c>
      <c r="DZ187" s="395">
        <f ca="1">IF(SUM($G187:DY187)=$B187,0,IF(EB188&gt;0%,$B187,0%))</f>
        <v>0</v>
      </c>
      <c r="EA187" s="395">
        <f ca="1">IF(SUM($G187:DZ187)=$B187,0,IF(EC188&gt;0%,$B187,0%))</f>
        <v>0</v>
      </c>
      <c r="EB187" s="395">
        <f ca="1">IF(SUM($G187:EA187)=$B187,0,IF(ED188&gt;0%,$B187,0%))</f>
        <v>0</v>
      </c>
      <c r="EC187" s="395">
        <f ca="1">IF(SUM($G187:EB187)=$B187,0,IF(EE188&gt;0%,$B187,0%))</f>
        <v>0</v>
      </c>
      <c r="ED187" s="395">
        <f ca="1">IF(SUM($G187:EC187)=$B187,0,IF(EF188&gt;0%,$B187,0%))</f>
        <v>0</v>
      </c>
      <c r="EE187" s="395">
        <f ca="1">IF(SUM($G187:ED187)=$B187,0,IF(EG188&gt;0%,$B187,0%))</f>
        <v>0</v>
      </c>
      <c r="EF187" s="395">
        <f ca="1">IF(SUM($G187:EE187)=$B187,0,IF(EH188&gt;0%,$B187,0%))</f>
        <v>0</v>
      </c>
      <c r="EG187" s="395">
        <f ca="1">IF(SUM($G187:EF187)=$B187,0,IF(EI188&gt;0%,$B187,0%))</f>
        <v>0</v>
      </c>
      <c r="EH187" s="395">
        <f ca="1">IF(SUM($G187:EG187)=$B187,0,IF(EJ188&gt;0%,$B187,0%))</f>
        <v>0</v>
      </c>
      <c r="EI187" s="395">
        <f ca="1">IF(SUM($G187:EH187)=$B187,0,IF(EK188&gt;0%,$B187,0%))</f>
        <v>0</v>
      </c>
      <c r="EJ187" s="398"/>
      <c r="EK187" s="313"/>
    </row>
    <row r="188" spans="1:141" hidden="1" outlineLevel="2">
      <c r="A188" s="332"/>
      <c r="B188" s="549">
        <f>длительность!C194</f>
        <v>0.85</v>
      </c>
      <c r="C188" s="317"/>
      <c r="D188" s="317" t="s">
        <v>663</v>
      </c>
      <c r="E188" s="318">
        <f ca="1">ROUND(IF(F188=0,0,B188-F188),3)</f>
        <v>0</v>
      </c>
      <c r="F188" s="397">
        <f ca="1">SUM(G188:EJ188)</f>
        <v>0</v>
      </c>
      <c r="G188" s="395"/>
      <c r="H188" s="395"/>
      <c r="I188" s="395">
        <f ca="1">IF($E$360=0,0,IF(SUM($G188:H188)=$B188,0,IF(SUM($G360:H360)&gt;=$E360,($B188/$E360)*($E360-SUM($G360:G360)),($B188/$E360)*H360)))</f>
        <v>0</v>
      </c>
      <c r="J188" s="395">
        <f ca="1">IF($E$360=0,0,IF(SUM($G188:I188)=$B188,0,IF(SUM($G360:I360)&gt;=$E360,($B188/$E360)*($E360-SUM($G360:H360)),($B188/$E360)*I360)))</f>
        <v>0</v>
      </c>
      <c r="K188" s="395">
        <f ca="1">IF($E$360=0,0,IF(SUM($G188:J188)=$B188,0,IF(SUM($G360:J360)&gt;=$E360,($B188/$E360)*($E360-SUM($G360:I360)),($B188/$E360)*J360)))</f>
        <v>0</v>
      </c>
      <c r="L188" s="395">
        <f ca="1">IF($E$360=0,0,IF(SUM($G188:K188)=$B188,0,IF(SUM($G360:K360)&gt;=$E360,($B188/$E360)*($E360-SUM($G360:J360)),($B188/$E360)*K360)))</f>
        <v>0</v>
      </c>
      <c r="M188" s="395">
        <f ca="1">IF($E$360=0,0,IF(SUM($G188:L188)=$B188,0,IF(SUM($G360:L360)&gt;=$E360,($B188/$E360)*($E360-SUM($G360:K360)),($B188/$E360)*L360)))</f>
        <v>0</v>
      </c>
      <c r="N188" s="395">
        <f ca="1">IF($E$360=0,0,IF(SUM($G188:M188)=$B188,0,IF(SUM($G360:M360)&gt;=$E360,($B188/$E360)*($E360-SUM($G360:L360)),($B188/$E360)*M360)))</f>
        <v>0</v>
      </c>
      <c r="O188" s="395">
        <f ca="1">IF($E$360=0,0,IF(SUM($G188:N188)=$B188,0,IF(SUM($G360:N360)&gt;=$E360,($B188/$E360)*($E360-SUM($G360:M360)),($B188/$E360)*N360)))</f>
        <v>0</v>
      </c>
      <c r="P188" s="395">
        <f ca="1">IF($E$360=0,0,IF(SUM($G188:O188)=$B188,0,IF(SUM($G360:O360)&gt;=$E360,($B188/$E360)*($E360-SUM($G360:N360)),($B188/$E360)*O360)))</f>
        <v>0</v>
      </c>
      <c r="Q188" s="395">
        <f ca="1">IF($E$360=0,0,IF(SUM($G188:P188)=$B188,0,IF(SUM($G360:P360)&gt;=$E360,($B188/$E360)*($E360-SUM($G360:O360)),($B188/$E360)*P360)))</f>
        <v>0</v>
      </c>
      <c r="R188" s="395">
        <f ca="1">IF($E$360=0,0,IF(SUM($G188:Q188)=$B188,0,IF(SUM($G360:Q360)&gt;=$E360,($B188/$E360)*($E360-SUM($G360:P360)),($B188/$E360)*Q360)))</f>
        <v>0</v>
      </c>
      <c r="S188" s="395">
        <f ca="1">IF($E$360=0,0,IF(SUM($G188:R188)=$B188,0,IF(SUM($G360:R360)&gt;=$E360,($B188/$E360)*($E360-SUM($G360:Q360)),($B188/$E360)*R360)))</f>
        <v>0</v>
      </c>
      <c r="T188" s="395">
        <f ca="1">IF($E$360=0,0,IF(SUM($G188:S188)=$B188,0,IF(SUM($G360:S360)&gt;=$E360,($B188/$E360)*($E360-SUM($G360:R360)),($B188/$E360)*S360)))</f>
        <v>0</v>
      </c>
      <c r="U188" s="395">
        <f ca="1">IF($E$360=0,0,IF(SUM($G188:T188)=$B188,0,IF(SUM($G360:T360)&gt;=$E360,($B188/$E360)*($E360-SUM($G360:S360)),($B188/$E360)*T360)))</f>
        <v>0</v>
      </c>
      <c r="V188" s="395">
        <f ca="1">IF($E$360=0,0,IF(SUM($G188:U188)=$B188,0,IF(SUM($G360:U360)&gt;=$E360,($B188/$E360)*($E360-SUM($G360:T360)),($B188/$E360)*U360)))</f>
        <v>0</v>
      </c>
      <c r="W188" s="395">
        <f ca="1">IF($E$360=0,0,IF(SUM($G188:V188)=$B188,0,IF(SUM($G360:V360)&gt;=$E360,($B188/$E360)*($E360-SUM($G360:U360)),($B188/$E360)*V360)))</f>
        <v>0</v>
      </c>
      <c r="X188" s="395">
        <f ca="1">IF($E$360=0,0,IF(SUM($G188:W188)=$B188,0,IF(SUM($G360:W360)&gt;=$E360,($B188/$E360)*($E360-SUM($G360:V360)),($B188/$E360)*W360)))</f>
        <v>0</v>
      </c>
      <c r="Y188" s="395">
        <f ca="1">IF($E$360=0,0,IF(SUM($G188:X188)=$B188,0,IF(SUM($G360:X360)&gt;=$E360,($B188/$E360)*($E360-SUM($G360:W360)),($B188/$E360)*X360)))</f>
        <v>0</v>
      </c>
      <c r="Z188" s="395">
        <f ca="1">IF($E$360=0,0,IF(SUM($G188:Y188)=$B188,0,IF(SUM($G360:Y360)&gt;=$E360,($B188/$E360)*($E360-SUM($G360:X360)),($B188/$E360)*Y360)))</f>
        <v>0</v>
      </c>
      <c r="AA188" s="395">
        <f ca="1">IF($E$360=0,0,IF(SUM($G188:Z188)=$B188,0,IF(SUM($G360:Z360)&gt;=$E360,($B188/$E360)*($E360-SUM($G360:Y360)),($B188/$E360)*Z360)))</f>
        <v>0</v>
      </c>
      <c r="AB188" s="395">
        <f ca="1">IF($E$360=0,0,IF(SUM($G188:AA188)=$B188,0,IF(SUM($G360:AA360)&gt;=$E360,($B188/$E360)*($E360-SUM($G360:Z360)),($B188/$E360)*AA360)))</f>
        <v>0</v>
      </c>
      <c r="AC188" s="395">
        <f ca="1">IF($E$360=0,0,IF(SUM($G188:AB188)=$B188,0,IF(SUM($G360:AB360)&gt;=$E360,($B188/$E360)*($E360-SUM($G360:AA360)),($B188/$E360)*AB360)))</f>
        <v>0</v>
      </c>
      <c r="AD188" s="395">
        <f ca="1">IF($E$360=0,0,IF(SUM($G188:AC188)=$B188,0,IF(SUM($G360:AC360)&gt;=$E360,($B188/$E360)*($E360-SUM($G360:AB360)),($B188/$E360)*AC360)))</f>
        <v>0</v>
      </c>
      <c r="AE188" s="395">
        <f ca="1">IF($E$360=0,0,IF(SUM($G188:AD188)=$B188,0,IF(SUM($G360:AD360)&gt;=$E360,($B188/$E360)*($E360-SUM($G360:AC360)),($B188/$E360)*AD360)))</f>
        <v>0</v>
      </c>
      <c r="AF188" s="395">
        <f ca="1">IF($E$360=0,0,IF(SUM($G188:AE188)=$B188,0,IF(SUM($G360:AE360)&gt;=$E360,($B188/$E360)*($E360-SUM($G360:AD360)),($B188/$E360)*AE360)))</f>
        <v>0</v>
      </c>
      <c r="AG188" s="395">
        <f ca="1">IF($E$360=0,0,IF(SUM($G188:AF188)=$B188,0,IF(SUM($G360:AF360)&gt;=$E360,($B188/$E360)*($E360-SUM($G360:AE360)),($B188/$E360)*AF360)))</f>
        <v>0</v>
      </c>
      <c r="AH188" s="395">
        <f ca="1">IF($E$360=0,0,IF(SUM($G188:AG188)=$B188,0,IF(SUM($G360:AG360)&gt;=$E360,($B188/$E360)*($E360-SUM($G360:AF360)),($B188/$E360)*AG360)))</f>
        <v>0</v>
      </c>
      <c r="AI188" s="395">
        <f ca="1">IF($E$360=0,0,IF(SUM($G188:AH188)=$B188,0,IF(SUM($G360:AH360)&gt;=$E360,($B188/$E360)*($E360-SUM($G360:AG360)),($B188/$E360)*AH360)))</f>
        <v>0</v>
      </c>
      <c r="AJ188" s="395">
        <f ca="1">IF($E$360=0,0,IF(SUM($G188:AI188)=$B188,0,IF(SUM($G360:AI360)&gt;=$E360,($B188/$E360)*($E360-SUM($G360:AH360)),($B188/$E360)*AI360)))</f>
        <v>0</v>
      </c>
      <c r="AK188" s="395">
        <f ca="1">IF($E$360=0,0,IF(SUM($G188:AJ188)=$B188,0,IF(SUM($G360:AJ360)&gt;=$E360,($B188/$E360)*($E360-SUM($G360:AI360)),($B188/$E360)*AJ360)))</f>
        <v>0</v>
      </c>
      <c r="AL188" s="395">
        <f ca="1">IF($E$360=0,0,IF(SUM($G188:AK188)=$B188,0,IF(SUM($G360:AK360)&gt;=$E360,($B188/$E360)*($E360-SUM($G360:AJ360)),($B188/$E360)*AK360)))</f>
        <v>0</v>
      </c>
      <c r="AM188" s="395">
        <f ca="1">IF($E$360=0,0,IF(SUM($G188:AL188)=$B188,0,IF(SUM($G360:AL360)&gt;=$E360,($B188/$E360)*($E360-SUM($G360:AK360)),($B188/$E360)*AL360)))</f>
        <v>0</v>
      </c>
      <c r="AN188" s="395">
        <f ca="1">IF($E$360=0,0,IF(SUM($G188:AM188)=$B188,0,IF(SUM($G360:AM360)&gt;=$E360,($B188/$E360)*($E360-SUM($G360:AL360)),($B188/$E360)*AM360)))</f>
        <v>0</v>
      </c>
      <c r="AO188" s="395">
        <f ca="1">IF($E$360=0,0,IF(SUM($G188:AN188)=$B188,0,IF(SUM($G360:AN360)&gt;=$E360,($B188/$E360)*($E360-SUM($G360:AM360)),($B188/$E360)*AN360)))</f>
        <v>0</v>
      </c>
      <c r="AP188" s="395">
        <f ca="1">IF($E$360=0,0,IF(SUM($G188:AO188)=$B188,0,IF(SUM($G360:AO360)&gt;=$E360,($B188/$E360)*($E360-SUM($G360:AN360)),($B188/$E360)*AO360)))</f>
        <v>0</v>
      </c>
      <c r="AQ188" s="395">
        <f ca="1">IF($E$360=0,0,IF(SUM($G188:AP188)=$B188,0,IF(SUM($G360:AP360)&gt;=$E360,($B188/$E360)*($E360-SUM($G360:AO360)),($B188/$E360)*AP360)))</f>
        <v>0</v>
      </c>
      <c r="AR188" s="395">
        <f ca="1">IF($E$360=0,0,IF(SUM($G188:AQ188)=$B188,0,IF(SUM($G360:AQ360)&gt;=$E360,($B188/$E360)*($E360-SUM($G360:AP360)),($B188/$E360)*AQ360)))</f>
        <v>0</v>
      </c>
      <c r="AS188" s="395">
        <f ca="1">IF($E$360=0,0,IF(SUM($G188:AR188)=$B188,0,IF(SUM($G360:AR360)&gt;=$E360,($B188/$E360)*($E360-SUM($G360:AQ360)),($B188/$E360)*AR360)))</f>
        <v>0</v>
      </c>
      <c r="AT188" s="395">
        <f ca="1">IF($E$360=0,0,IF(SUM($G188:AS188)=$B188,0,IF(SUM($G360:AS360)&gt;=$E360,($B188/$E360)*($E360-SUM($G360:AR360)),($B188/$E360)*AS360)))</f>
        <v>0</v>
      </c>
      <c r="AU188" s="395">
        <f ca="1">IF($E$360=0,0,IF(SUM($G188:AT188)=$B188,0,IF(SUM($G360:AT360)&gt;=$E360,($B188/$E360)*($E360-SUM($G360:AS360)),($B188/$E360)*AT360)))</f>
        <v>0</v>
      </c>
      <c r="AV188" s="395">
        <f ca="1">IF($E$360=0,0,IF(SUM($G188:AU188)=$B188,0,IF(SUM($G360:AU360)&gt;=$E360,($B188/$E360)*($E360-SUM($G360:AT360)),($B188/$E360)*AU360)))</f>
        <v>0</v>
      </c>
      <c r="AW188" s="395">
        <f ca="1">IF($E$360=0,0,IF(SUM($G188:AV188)=$B188,0,IF(SUM($G360:AV360)&gt;=$E360,($B188/$E360)*($E360-SUM($G360:AU360)),($B188/$E360)*AV360)))</f>
        <v>0</v>
      </c>
      <c r="AX188" s="395">
        <f ca="1">IF($E$360=0,0,IF(SUM($G188:AW188)=$B188,0,IF(SUM($G360:AW360)&gt;=$E360,($B188/$E360)*($E360-SUM($G360:AV360)),($B188/$E360)*AW360)))</f>
        <v>0</v>
      </c>
      <c r="AY188" s="395">
        <f ca="1">IF($E$360=0,0,IF(SUM($G188:AX188)=$B188,0,IF(SUM($G360:AX360)&gt;=$E360,($B188/$E360)*($E360-SUM($G360:AW360)),($B188/$E360)*AX360)))</f>
        <v>0</v>
      </c>
      <c r="AZ188" s="395">
        <f ca="1">IF($E$360=0,0,IF(SUM($G188:AY188)=$B188,0,IF(SUM($G360:AY360)&gt;=$E360,($B188/$E360)*($E360-SUM($G360:AX360)),($B188/$E360)*AY360)))</f>
        <v>0</v>
      </c>
      <c r="BA188" s="395">
        <f ca="1">IF($E$360=0,0,IF(SUM($G188:AZ188)=$B188,0,IF(SUM($G360:AZ360)&gt;=$E360,($B188/$E360)*($E360-SUM($G360:AY360)),($B188/$E360)*AZ360)))</f>
        <v>0</v>
      </c>
      <c r="BB188" s="395">
        <f ca="1">IF($E$360=0,0,IF(SUM($G188:BA188)=$B188,0,IF(SUM($G360:BA360)&gt;=$E360,($B188/$E360)*($E360-SUM($G360:AZ360)),($B188/$E360)*BA360)))</f>
        <v>0</v>
      </c>
      <c r="BC188" s="395">
        <f ca="1">IF($E$360=0,0,IF(SUM($G188:BB188)=$B188,0,IF(SUM($G360:BB360)&gt;=$E360,($B188/$E360)*($E360-SUM($G360:BA360)),($B188/$E360)*BB360)))</f>
        <v>0</v>
      </c>
      <c r="BD188" s="395">
        <f ca="1">IF($E$360=0,0,IF(SUM($G188:BC188)=$B188,0,IF(SUM($G360:BC360)&gt;=$E360,($B188/$E360)*($E360-SUM($G360:BB360)),($B188/$E360)*BC360)))</f>
        <v>0</v>
      </c>
      <c r="BE188" s="395">
        <f ca="1">IF($E$360=0,0,IF(SUM($G188:BD188)=$B188,0,IF(SUM($G360:BD360)&gt;=$E360,($B188/$E360)*($E360-SUM($G360:BC360)),($B188/$E360)*BD360)))</f>
        <v>0</v>
      </c>
      <c r="BF188" s="395">
        <f ca="1">IF($E$360=0,0,IF(SUM($G188:BE188)=$B188,0,IF(SUM($G360:BE360)&gt;=$E360,($B188/$E360)*($E360-SUM($G360:BD360)),($B188/$E360)*BE360)))</f>
        <v>0</v>
      </c>
      <c r="BG188" s="395">
        <f ca="1">IF($E$360=0,0,IF(SUM($G188:BF188)=$B188,0,IF(SUM($G360:BF360)&gt;=$E360,($B188/$E360)*($E360-SUM($G360:BE360)),($B188/$E360)*BF360)))</f>
        <v>0</v>
      </c>
      <c r="BH188" s="395">
        <f ca="1">IF($E$360=0,0,IF(SUM($G188:BG188)=$B188,0,IF(SUM($G360:BG360)&gt;=$E360,($B188/$E360)*($E360-SUM($G360:BF360)),($B188/$E360)*BG360)))</f>
        <v>0</v>
      </c>
      <c r="BI188" s="395">
        <f ca="1">IF($E$360=0,0,IF(SUM($G188:BH188)=$B188,0,IF(SUM($G360:BH360)&gt;=$E360,($B188/$E360)*($E360-SUM($G360:BG360)),($B188/$E360)*BH360)))</f>
        <v>0</v>
      </c>
      <c r="BJ188" s="395">
        <f ca="1">IF($E$360=0,0,IF(SUM($G188:BI188)=$B188,0,IF(SUM($G360:BI360)&gt;=$E360,($B188/$E360)*($E360-SUM($G360:BH360)),($B188/$E360)*BI360)))</f>
        <v>0</v>
      </c>
      <c r="BK188" s="395">
        <f ca="1">IF($E$360=0,0,IF(SUM($G188:BJ188)=$B188,0,IF(SUM($G360:BJ360)&gt;=$E360,($B188/$E360)*($E360-SUM($G360:BI360)),($B188/$E360)*BJ360)))</f>
        <v>0</v>
      </c>
      <c r="BL188" s="395">
        <f ca="1">IF($E$360=0,0,IF(SUM($G188:BK188)=$B188,0,IF(SUM($G360:BK360)&gt;=$E360,($B188/$E360)*($E360-SUM($G360:BJ360)),($B188/$E360)*BK360)))</f>
        <v>0</v>
      </c>
      <c r="BM188" s="395">
        <f ca="1">IF($E$360=0,0,IF(SUM($G188:BL188)=$B188,0,IF(SUM($G360:BL360)&gt;=$E360,($B188/$E360)*($E360-SUM($G360:BK360)),($B188/$E360)*BL360)))</f>
        <v>0</v>
      </c>
      <c r="BN188" s="395">
        <f ca="1">IF($E$360=0,0,IF(SUM($G188:BM188)=$B188,0,IF(SUM($G360:BM360)&gt;=$E360,($B188/$E360)*($E360-SUM($G360:BL360)),($B188/$E360)*BM360)))</f>
        <v>0</v>
      </c>
      <c r="BO188" s="395">
        <f ca="1">IF($E$360=0,0,IF(SUM($G188:BN188)=$B188,0,IF(SUM($G360:BN360)&gt;=$E360,($B188/$E360)*($E360-SUM($G360:BM360)),($B188/$E360)*BN360)))</f>
        <v>0</v>
      </c>
      <c r="BP188" s="395">
        <f ca="1">IF($E$360=0,0,IF(SUM($G188:BO188)=$B188,0,IF(SUM($G360:BO360)&gt;=$E360,($B188/$E360)*($E360-SUM($G360:BN360)),($B188/$E360)*BO360)))</f>
        <v>0</v>
      </c>
      <c r="BQ188" s="395">
        <f ca="1">IF($E$360=0,0,IF(SUM($G188:BP188)=$B188,0,IF(SUM($G360:BP360)&gt;=$E360,($B188/$E360)*($E360-SUM($G360:BO360)),($B188/$E360)*BP360)))</f>
        <v>0</v>
      </c>
      <c r="BR188" s="395">
        <f ca="1">IF($E$360=0,0,IF(SUM($G188:BQ188)=$B188,0,IF(SUM($G360:BQ360)&gt;=$E360,($B188/$E360)*($E360-SUM($G360:BP360)),($B188/$E360)*BQ360)))</f>
        <v>0</v>
      </c>
      <c r="BS188" s="395">
        <f ca="1">IF($E$360=0,0,IF(SUM($G188:BR188)=$B188,0,IF(SUM($G360:BR360)&gt;=$E360,($B188/$E360)*($E360-SUM($G360:BQ360)),($B188/$E360)*BR360)))</f>
        <v>0</v>
      </c>
      <c r="BT188" s="395">
        <f ca="1">IF($E$360=0,0,IF(SUM($G188:BS188)=$B188,0,IF(SUM($G360:BS360)&gt;=$E360,($B188/$E360)*($E360-SUM($G360:BR360)),($B188/$E360)*BS360)))</f>
        <v>0</v>
      </c>
      <c r="BU188" s="395">
        <f ca="1">IF($E$360=0,0,IF(SUM($G188:BT188)=$B188,0,IF(SUM($G360:BT360)&gt;=$E360,($B188/$E360)*($E360-SUM($G360:BS360)),($B188/$E360)*BT360)))</f>
        <v>0</v>
      </c>
      <c r="BV188" s="395">
        <f ca="1">IF($E$360=0,0,IF(SUM($G188:BU188)=$B188,0,IF(SUM($G360:BU360)&gt;=$E360,($B188/$E360)*($E360-SUM($G360:BT360)),($B188/$E360)*BU360)))</f>
        <v>0</v>
      </c>
      <c r="BW188" s="395">
        <f ca="1">IF($E$360=0,0,IF(SUM($G188:BV188)=$B188,0,IF(SUM($G360:BV360)&gt;=$E360,($B188/$E360)*($E360-SUM($G360:BU360)),($B188/$E360)*BV360)))</f>
        <v>0</v>
      </c>
      <c r="BX188" s="395">
        <f ca="1">IF($E$360=0,0,IF(SUM($G188:BW188)=$B188,0,IF(SUM($G360:BW360)&gt;=$E360,($B188/$E360)*($E360-SUM($G360:BV360)),($B188/$E360)*BW360)))</f>
        <v>0</v>
      </c>
      <c r="BY188" s="395">
        <f ca="1">IF($E$360=0,0,IF(SUM($G188:BX188)=$B188,0,IF(SUM($G360:BX360)&gt;=$E360,($B188/$E360)*($E360-SUM($G360:BW360)),($B188/$E360)*BX360)))</f>
        <v>0</v>
      </c>
      <c r="BZ188" s="395">
        <f ca="1">IF($E$360=0,0,IF(SUM($G188:BY188)=$B188,0,IF(SUM($G360:BY360)&gt;=$E360,($B188/$E360)*($E360-SUM($G360:BX360)),($B188/$E360)*BY360)))</f>
        <v>0</v>
      </c>
      <c r="CA188" s="395">
        <f ca="1">IF($E$360=0,0,IF(SUM($G188:BZ188)=$B188,0,IF(SUM($G360:BZ360)&gt;=$E360,($B188/$E360)*($E360-SUM($G360:BY360)),($B188/$E360)*BZ360)))</f>
        <v>0</v>
      </c>
      <c r="CB188" s="395">
        <f ca="1">IF($E$360=0,0,IF(SUM($G188:CA188)=$B188,0,IF(SUM($G360:CA360)&gt;=$E360,($B188/$E360)*($E360-SUM($G360:BZ360)),($B188/$E360)*CA360)))</f>
        <v>0</v>
      </c>
      <c r="CC188" s="395">
        <f ca="1">IF($E$360=0,0,IF(SUM($G188:CB188)=$B188,0,IF(SUM($G360:CB360)&gt;=$E360,($B188/$E360)*($E360-SUM($G360:CA360)),($B188/$E360)*CB360)))</f>
        <v>0</v>
      </c>
      <c r="CD188" s="395">
        <f ca="1">IF($E$360=0,0,IF(SUM($G188:CC188)=$B188,0,IF(SUM($G360:CC360)&gt;=$E360,($B188/$E360)*($E360-SUM($G360:CB360)),($B188/$E360)*CC360)))</f>
        <v>0</v>
      </c>
      <c r="CE188" s="395">
        <f ca="1">IF($E$360=0,0,IF(SUM($G188:CD188)=$B188,0,IF(SUM($G360:CD360)&gt;=$E360,($B188/$E360)*($E360-SUM($G360:CC360)),($B188/$E360)*CD360)))</f>
        <v>0</v>
      </c>
      <c r="CF188" s="395">
        <f ca="1">IF($E$360=0,0,IF(SUM($G188:CE188)=$B188,0,IF(SUM($G360:CE360)&gt;=$E360,($B188/$E360)*($E360-SUM($G360:CD360)),($B188/$E360)*CE360)))</f>
        <v>0</v>
      </c>
      <c r="CG188" s="395">
        <f ca="1">IF($E$360=0,0,IF(SUM($G188:CF188)=$B188,0,IF(SUM($G360:CF360)&gt;=$E360,($B188/$E360)*($E360-SUM($G360:CE360)),($B188/$E360)*CF360)))</f>
        <v>0</v>
      </c>
      <c r="CH188" s="395">
        <f ca="1">IF($E$360=0,0,IF(SUM($G188:CG188)=$B188,0,IF(SUM($G360:CG360)&gt;=$E360,($B188/$E360)*($E360-SUM($G360:CF360)),($B188/$E360)*CG360)))</f>
        <v>0</v>
      </c>
      <c r="CI188" s="395">
        <f ca="1">IF($E$360=0,0,IF(SUM($G188:CH188)=$B188,0,IF(SUM($G360:CH360)&gt;=$E360,($B188/$E360)*($E360-SUM($G360:CG360)),($B188/$E360)*CH360)))</f>
        <v>0</v>
      </c>
      <c r="CJ188" s="395">
        <f ca="1">IF($E$360=0,0,IF(SUM($G188:CI188)=$B188,0,IF(SUM($G360:CI360)&gt;=$E360,($B188/$E360)*($E360-SUM($G360:CH360)),($B188/$E360)*CI360)))</f>
        <v>0</v>
      </c>
      <c r="CK188" s="395">
        <f ca="1">IF($E$360=0,0,IF(SUM($G188:CJ188)=$B188,0,IF(SUM($G360:CJ360)&gt;=$E360,($B188/$E360)*($E360-SUM($G360:CI360)),($B188/$E360)*CJ360)))</f>
        <v>0</v>
      </c>
      <c r="CL188" s="395">
        <f ca="1">IF($E$360=0,0,IF(SUM($G188:CK188)=$B188,0,IF(SUM($G360:CK360)&gt;=$E360,($B188/$E360)*($E360-SUM($G360:CJ360)),($B188/$E360)*CK360)))</f>
        <v>0</v>
      </c>
      <c r="CM188" s="395">
        <f ca="1">IF($E$360=0,0,IF(SUM($G188:CL188)=$B188,0,IF(SUM($G360:CL360)&gt;=$E360,($B188/$E360)*($E360-SUM($G360:CK360)),($B188/$E360)*CL360)))</f>
        <v>0</v>
      </c>
      <c r="CN188" s="395">
        <f ca="1">IF($E$360=0,0,IF(SUM($G188:CM188)=$B188,0,IF(SUM($G360:CM360)&gt;=$E360,($B188/$E360)*($E360-SUM($G360:CL360)),($B188/$E360)*CM360)))</f>
        <v>0</v>
      </c>
      <c r="CO188" s="395">
        <f ca="1">IF($E$360=0,0,IF(SUM($G188:CN188)=$B188,0,IF(SUM($G360:CN360)&gt;=$E360,($B188/$E360)*($E360-SUM($G360:CM360)),($B188/$E360)*CN360)))</f>
        <v>0</v>
      </c>
      <c r="CP188" s="395">
        <f ca="1">IF($E$360=0,0,IF(SUM($G188:CO188)=$B188,0,IF(SUM($G360:CO360)&gt;=$E360,($B188/$E360)*($E360-SUM($G360:CN360)),($B188/$E360)*CO360)))</f>
        <v>0</v>
      </c>
      <c r="CQ188" s="395">
        <f ca="1">IF($E$360=0,0,IF(SUM($G188:CP188)=$B188,0,IF(SUM($G360:CP360)&gt;=$E360,($B188/$E360)*($E360-SUM($G360:CO360)),($B188/$E360)*CP360)))</f>
        <v>0</v>
      </c>
      <c r="CR188" s="395">
        <f ca="1">IF($E$360=0,0,IF(SUM($G188:CQ188)=$B188,0,IF(SUM($G360:CQ360)&gt;=$E360,($B188/$E360)*($E360-SUM($G360:CP360)),($B188/$E360)*CQ360)))</f>
        <v>0</v>
      </c>
      <c r="CS188" s="395">
        <f ca="1">IF($E$360=0,0,IF(SUM($G188:CR188)=$B188,0,IF(SUM($G360:CR360)&gt;=$E360,($B188/$E360)*($E360-SUM($G360:CQ360)),($B188/$E360)*CR360)))</f>
        <v>0</v>
      </c>
      <c r="CT188" s="395">
        <f ca="1">IF($E$360=0,0,IF(SUM($G188:CS188)=$B188,0,IF(SUM($G360:CS360)&gt;=$E360,($B188/$E360)*($E360-SUM($G360:CR360)),($B188/$E360)*CS360)))</f>
        <v>0</v>
      </c>
      <c r="CU188" s="395">
        <f ca="1">IF($E$360=0,0,IF(SUM($G188:CT188)=$B188,0,IF(SUM($G360:CT360)&gt;=$E360,($B188/$E360)*($E360-SUM($G360:CS360)),($B188/$E360)*CT360)))</f>
        <v>0</v>
      </c>
      <c r="CV188" s="395">
        <f ca="1">IF($E$360=0,0,IF(SUM($G188:CU188)=$B188,0,IF(SUM($G360:CU360)&gt;=$E360,($B188/$E360)*($E360-SUM($G360:CT360)),($B188/$E360)*CU360)))</f>
        <v>0</v>
      </c>
      <c r="CW188" s="395">
        <f ca="1">IF($E$360=0,0,IF(SUM($G188:CV188)=$B188,0,IF(SUM($G360:CV360)&gt;=$E360,($B188/$E360)*($E360-SUM($G360:CU360)),($B188/$E360)*CV360)))</f>
        <v>0</v>
      </c>
      <c r="CX188" s="395">
        <f ca="1">IF($E$360=0,0,IF(SUM($G188:CW188)=$B188,0,IF(SUM($G360:CW360)&gt;=$E360,($B188/$E360)*($E360-SUM($G360:CV360)),($B188/$E360)*CW360)))</f>
        <v>0</v>
      </c>
      <c r="CY188" s="395">
        <f ca="1">IF($E$360=0,0,IF(SUM($G188:CX188)=$B188,0,IF(SUM($G360:CX360)&gt;=$E360,($B188/$E360)*($E360-SUM($G360:CW360)),($B188/$E360)*CX360)))</f>
        <v>0</v>
      </c>
      <c r="CZ188" s="395">
        <f ca="1">IF($E$360=0,0,IF(SUM($G188:CY188)=$B188,0,IF(SUM($G360:CY360)&gt;=$E360,($B188/$E360)*($E360-SUM($G360:CX360)),($B188/$E360)*CY360)))</f>
        <v>0</v>
      </c>
      <c r="DA188" s="395">
        <f ca="1">IF($E$360=0,0,IF(SUM($G188:CZ188)=$B188,0,IF(SUM($G360:CZ360)&gt;=$E360,($B188/$E360)*($E360-SUM($G360:CY360)),($B188/$E360)*CZ360)))</f>
        <v>0</v>
      </c>
      <c r="DB188" s="395">
        <f ca="1">IF($E$360=0,0,IF(SUM($G188:DA188)=$B188,0,IF(SUM($G360:DA360)&gt;=$E360,($B188/$E360)*($E360-SUM($G360:CZ360)),($B188/$E360)*DA360)))</f>
        <v>0</v>
      </c>
      <c r="DC188" s="395">
        <f ca="1">IF($E$360=0,0,IF(SUM($G188:DB188)=$B188,0,IF(SUM($G360:DB360)&gt;=$E360,($B188/$E360)*($E360-SUM($G360:DA360)),($B188/$E360)*DB360)))</f>
        <v>0</v>
      </c>
      <c r="DD188" s="395">
        <f ca="1">IF($E$360=0,0,IF(SUM($G188:DC188)=$B188,0,IF(SUM($G360:DC360)&gt;=$E360,($B188/$E360)*($E360-SUM($G360:DB360)),($B188/$E360)*DC360)))</f>
        <v>0</v>
      </c>
      <c r="DE188" s="395">
        <f ca="1">IF($E$360=0,0,IF(SUM($G188:DD188)=$B188,0,IF(SUM($G360:DD360)&gt;=$E360,($B188/$E360)*($E360-SUM($G360:DC360)),($B188/$E360)*DD360)))</f>
        <v>0</v>
      </c>
      <c r="DF188" s="395">
        <f ca="1">IF($E$360=0,0,IF(SUM($G188:DE188)=$B188,0,IF(SUM($G360:DE360)&gt;=$E360,($B188/$E360)*($E360-SUM($G360:DD360)),($B188/$E360)*DE360)))</f>
        <v>0</v>
      </c>
      <c r="DG188" s="395">
        <f ca="1">IF($E$360=0,0,IF(SUM($G188:DF188)=$B188,0,IF(SUM($G360:DF360)&gt;=$E360,($B188/$E360)*($E360-SUM($G360:DE360)),($B188/$E360)*DF360)))</f>
        <v>0</v>
      </c>
      <c r="DH188" s="395">
        <f ca="1">IF($E$360=0,0,IF(SUM($G188:DG188)=$B188,0,IF(SUM($G360:DG360)&gt;=$E360,($B188/$E360)*($E360-SUM($G360:DF360)),($B188/$E360)*DG360)))</f>
        <v>0</v>
      </c>
      <c r="DI188" s="395">
        <f ca="1">IF($E$360=0,0,IF(SUM($G188:DH188)=$B188,0,IF(SUM($G360:DH360)&gt;=$E360,($B188/$E360)*($E360-SUM($G360:DG360)),($B188/$E360)*DH360)))</f>
        <v>0</v>
      </c>
      <c r="DJ188" s="395">
        <f ca="1">IF($E$360=0,0,IF(SUM($G188:DI188)=$B188,0,IF(SUM($G360:DI360)&gt;=$E360,($B188/$E360)*($E360-SUM($G360:DH360)),($B188/$E360)*DI360)))</f>
        <v>0</v>
      </c>
      <c r="DK188" s="395">
        <f ca="1">IF($E$360=0,0,IF(SUM($G188:DJ188)=$B188,0,IF(SUM($G360:DJ360)&gt;=$E360,($B188/$E360)*($E360-SUM($G360:DI360)),($B188/$E360)*DJ360)))</f>
        <v>0</v>
      </c>
      <c r="DL188" s="395">
        <f ca="1">IF($E$360=0,0,IF(SUM($G188:DK188)=$B188,0,IF(SUM($G360:DK360)&gt;=$E360,($B188/$E360)*($E360-SUM($G360:DJ360)),($B188/$E360)*DK360)))</f>
        <v>0</v>
      </c>
      <c r="DM188" s="395">
        <f ca="1">IF($E$360=0,0,IF(SUM($G188:DL188)=$B188,0,IF(SUM($G360:DL360)&gt;=$E360,($B188/$E360)*($E360-SUM($G360:DK360)),($B188/$E360)*DL360)))</f>
        <v>0</v>
      </c>
      <c r="DN188" s="395">
        <f ca="1">IF($E$360=0,0,IF(SUM($G188:DM188)=$B188,0,IF(SUM($G360:DM360)&gt;=$E360,($B188/$E360)*($E360-SUM($G360:DL360)),($B188/$E360)*DM360)))</f>
        <v>0</v>
      </c>
      <c r="DO188" s="395">
        <f ca="1">IF($E$360=0,0,IF(SUM($G188:DN188)=$B188,0,IF(SUM($G360:DN360)&gt;=$E360,($B188/$E360)*($E360-SUM($G360:DM360)),($B188/$E360)*DN360)))</f>
        <v>0</v>
      </c>
      <c r="DP188" s="395">
        <f ca="1">IF($E$360=0,0,IF(SUM($G188:DO188)=$B188,0,IF(SUM($G360:DO360)&gt;=$E360,($B188/$E360)*($E360-SUM($G360:DN360)),($B188/$E360)*DO360)))</f>
        <v>0</v>
      </c>
      <c r="DQ188" s="395">
        <f ca="1">IF($E$360=0,0,IF(SUM($G188:DP188)=$B188,0,IF(SUM($G360:DP360)&gt;=$E360,($B188/$E360)*($E360-SUM($G360:DO360)),($B188/$E360)*DP360)))</f>
        <v>0</v>
      </c>
      <c r="DR188" s="395">
        <f ca="1">IF($E$360=0,0,IF(SUM($G188:DQ188)=$B188,0,IF(SUM($G360:DQ360)&gt;=$E360,($B188/$E360)*($E360-SUM($G360:DP360)),($B188/$E360)*DQ360)))</f>
        <v>0</v>
      </c>
      <c r="DS188" s="395">
        <f ca="1">IF($E$360=0,0,IF(SUM($G188:DR188)=$B188,0,IF(SUM($G360:DR360)&gt;=$E360,($B188/$E360)*($E360-SUM($G360:DQ360)),($B188/$E360)*DR360)))</f>
        <v>0</v>
      </c>
      <c r="DT188" s="395">
        <f ca="1">IF($E$360=0,0,IF(SUM($G188:DS188)=$B188,0,IF(SUM($G360:DS360)&gt;=$E360,($B188/$E360)*($E360-SUM($G360:DR360)),($B188/$E360)*DS360)))</f>
        <v>0</v>
      </c>
      <c r="DU188" s="395">
        <f ca="1">IF($E$360=0,0,IF(SUM($G188:DT188)=$B188,0,IF(SUM($G360:DT360)&gt;=$E360,($B188/$E360)*($E360-SUM($G360:DS360)),($B188/$E360)*DT360)))</f>
        <v>0</v>
      </c>
      <c r="DV188" s="395">
        <f ca="1">IF($E$360=0,0,IF(SUM($G188:DU188)=$B188,0,IF(SUM($G360:DU360)&gt;=$E360,($B188/$E360)*($E360-SUM($G360:DT360)),($B188/$E360)*DU360)))</f>
        <v>0</v>
      </c>
      <c r="DW188" s="395">
        <f ca="1">IF($E$360=0,0,IF(SUM($G188:DV188)=$B188,0,IF(SUM($G360:DV360)&gt;=$E360,($B188/$E360)*($E360-SUM($G360:DU360)),($B188/$E360)*DV360)))</f>
        <v>0</v>
      </c>
      <c r="DX188" s="395">
        <f ca="1">IF($E$360=0,0,IF(SUM($G188:DW188)=$B188,0,IF(SUM($G360:DW360)&gt;=$E360,($B188/$E360)*($E360-SUM($G360:DV360)),($B188/$E360)*DW360)))</f>
        <v>0</v>
      </c>
      <c r="DY188" s="395">
        <f ca="1">IF($E$360=0,0,IF(SUM($G188:DX188)=$B188,0,IF(SUM($G360:DX360)&gt;=$E360,($B188/$E360)*($E360-SUM($G360:DW360)),($B188/$E360)*DX360)))</f>
        <v>0</v>
      </c>
      <c r="DZ188" s="395">
        <f ca="1">IF($E$360=0,0,IF(SUM($G188:DY188)=$B188,0,IF(SUM($G360:DY360)&gt;=$E360,($B188/$E360)*($E360-SUM($G360:DX360)),($B188/$E360)*DY360)))</f>
        <v>0</v>
      </c>
      <c r="EA188" s="395">
        <f ca="1">IF($E$360=0,0,IF(SUM($G188:DZ188)=$B188,0,IF(SUM($G360:DZ360)&gt;=$E360,($B188/$E360)*($E360-SUM($G360:DY360)),($B188/$E360)*DZ360)))</f>
        <v>0</v>
      </c>
      <c r="EB188" s="395">
        <f ca="1">IF($E$360=0,0,IF(SUM($G188:EA188)=$B188,0,IF(SUM($G360:EA360)&gt;=$E360,($B188/$E360)*($E360-SUM($G360:DZ360)),($B188/$E360)*EA360)))</f>
        <v>0</v>
      </c>
      <c r="EC188" s="395">
        <f ca="1">IF($E$360=0,0,IF(SUM($G188:EB188)=$B188,0,IF(SUM($G360:EB360)&gt;=$E360,($B188/$E360)*($E360-SUM($G360:EA360)),($B188/$E360)*EB360)))</f>
        <v>0</v>
      </c>
      <c r="ED188" s="395">
        <f ca="1">IF($E$360=0,0,IF(SUM($G188:EC188)=$B188,0,IF(SUM($G360:EC360)&gt;=$E360,($B188/$E360)*($E360-SUM($G360:EB360)),($B188/$E360)*EC360)))</f>
        <v>0</v>
      </c>
      <c r="EE188" s="395">
        <f ca="1">IF($E$360=0,0,IF(SUM($G188:ED188)=$B188,0,IF(SUM($G360:ED360)&gt;=$E360,($B188/$E360)*($E360-SUM($G360:EC360)),($B188/$E360)*ED360)))</f>
        <v>0</v>
      </c>
      <c r="EF188" s="395">
        <f ca="1">IF($E$360=0,0,IF(SUM($G188:EE188)=$B188,0,IF(SUM($G360:EE360)&gt;=$E360,($B188/$E360)*($E360-SUM($G360:ED360)),($B188/$E360)*EE360)))</f>
        <v>0</v>
      </c>
      <c r="EG188" s="395">
        <f ca="1">IF($E$360=0,0,IF(SUM($G188:EF188)=$B188,0,IF(SUM($G360:EF360)&gt;=$E360,($B188/$E360)*($E360-SUM($G360:EE360)),($B188/$E360)*EF360)))</f>
        <v>0</v>
      </c>
      <c r="EH188" s="395">
        <f ca="1">IF($E$360=0,0,IF(SUM($G188:EG188)=$B188,0,IF(SUM($G360:EG360)&gt;=$E360,($B188/$E360)*($E360-SUM($G360:EF360)),($B188/$E360)*EG360)))</f>
        <v>0</v>
      </c>
      <c r="EI188" s="395">
        <f ca="1">IF($E$360=0,0,IF(SUM($G188:EH188)=$B188,0,IF(SUM($G360:EH360)&gt;=$E360,($B188/$E360)*($E360-SUM($G360:EG360)),($B188/$E360)*EH360)))</f>
        <v>0</v>
      </c>
      <c r="EJ188" s="398"/>
      <c r="EK188" s="313"/>
    </row>
    <row r="189" spans="1:141" s="321" customFormat="1" hidden="1" outlineLevel="2">
      <c r="A189" s="332"/>
      <c r="B189" s="549">
        <f>длительность!D194</f>
        <v>2.5000000000000001E-2</v>
      </c>
      <c r="C189" s="317"/>
      <c r="D189" s="317" t="s">
        <v>638</v>
      </c>
      <c r="E189" s="318">
        <f t="shared" ref="E189:E190" ca="1" si="407">IF(F189=0,0,B189-F189)</f>
        <v>0</v>
      </c>
      <c r="F189" s="397">
        <f ca="1">SUM(G189:EJ189)</f>
        <v>0</v>
      </c>
      <c r="G189" s="395"/>
      <c r="H189" s="395"/>
      <c r="I189" s="608">
        <f ca="1">IF($E$360=0,0,IF(SUM($G189:H189)=$B189,0,IF(SUM(I188:$EJ188)=0%,$B189,0%)))</f>
        <v>0</v>
      </c>
      <c r="J189" s="608">
        <f ca="1">IF($E$360=0,0,IF(SUM($G189:I189)=$B189,0,IF(SUM(J188:$EJ188)=0%,$B189,0%)))</f>
        <v>0</v>
      </c>
      <c r="K189" s="608">
        <f ca="1">IF($E$360=0,0,IF(SUM($G189:J189)=$B189,0,IF(SUM(K188:$EJ188)=0%,$B189,0%)))</f>
        <v>0</v>
      </c>
      <c r="L189" s="608">
        <f ca="1">IF($E$360=0,0,IF(SUM($G189:K189)=$B189,0,IF(SUM(L188:$EJ188)=0%,$B189,0%)))</f>
        <v>0</v>
      </c>
      <c r="M189" s="608">
        <f ca="1">IF($E$360=0,0,IF(SUM($G189:L189)=$B189,0,IF(SUM(M188:$EJ188)=0%,$B189,0%)))</f>
        <v>0</v>
      </c>
      <c r="N189" s="608">
        <f ca="1">IF($E$360=0,0,IF(SUM($G189:M189)=$B189,0,IF(SUM(N188:$EJ188)=0%,$B189,0%)))</f>
        <v>0</v>
      </c>
      <c r="O189" s="608">
        <f ca="1">IF($E$360=0,0,IF(SUM($G189:N189)=$B189,0,IF(SUM(O188:$EJ188)=0%,$B189,0%)))</f>
        <v>0</v>
      </c>
      <c r="P189" s="608">
        <f ca="1">IF($E$360=0,0,IF(SUM($G189:O189)=$B189,0,IF(SUM(P188:$EJ188)=0%,$B189,0%)))</f>
        <v>0</v>
      </c>
      <c r="Q189" s="608">
        <f ca="1">IF($E$360=0,0,IF(SUM($G189:P189)=$B189,0,IF(SUM(Q188:$EJ188)=0%,$B189,0%)))</f>
        <v>0</v>
      </c>
      <c r="R189" s="608">
        <f ca="1">IF($E$360=0,0,IF(SUM($G189:Q189)=$B189,0,IF(SUM(R188:$EJ188)=0%,$B189,0%)))</f>
        <v>0</v>
      </c>
      <c r="S189" s="608">
        <f ca="1">IF($E$360=0,0,IF(SUM($G189:R189)=$B189,0,IF(SUM(S188:$EJ188)=0%,$B189,0%)))</f>
        <v>0</v>
      </c>
      <c r="T189" s="608">
        <f ca="1">IF($E$360=0,0,IF(SUM($G189:S189)=$B189,0,IF(SUM(T188:$EJ188)=0%,$B189,0%)))</f>
        <v>0</v>
      </c>
      <c r="U189" s="608">
        <f ca="1">IF($E$360=0,0,IF(SUM($G189:T189)=$B189,0,IF(SUM(U188:$EJ188)=0%,$B189,0%)))</f>
        <v>0</v>
      </c>
      <c r="V189" s="608">
        <f ca="1">IF($E$360=0,0,IF(SUM($G189:U189)=$B189,0,IF(SUM(V188:$EJ188)=0%,$B189,0%)))</f>
        <v>0</v>
      </c>
      <c r="W189" s="608">
        <f ca="1">IF($E$360=0,0,IF(SUM($G189:V189)=$B189,0,IF(SUM(W188:$EJ188)=0%,$B189,0%)))</f>
        <v>0</v>
      </c>
      <c r="X189" s="608">
        <f ca="1">IF($E$360=0,0,IF(SUM($G189:W189)=$B189,0,IF(SUM(X188:$EJ188)=0%,$B189,0%)))</f>
        <v>0</v>
      </c>
      <c r="Y189" s="608">
        <f ca="1">IF($E$360=0,0,IF(SUM($G189:X189)=$B189,0,IF(SUM(Y188:$EJ188)=0%,$B189,0%)))</f>
        <v>0</v>
      </c>
      <c r="Z189" s="608">
        <f ca="1">IF($E$360=0,0,IF(SUM($G189:Y189)=$B189,0,IF(SUM(Z188:$EJ188)=0%,$B189,0%)))</f>
        <v>0</v>
      </c>
      <c r="AA189" s="608">
        <f ca="1">IF($E$360=0,0,IF(SUM($G189:Z189)=$B189,0,IF(SUM(AA188:$EJ188)=0%,$B189,0%)))</f>
        <v>0</v>
      </c>
      <c r="AB189" s="608">
        <f ca="1">IF($E$360=0,0,IF(SUM($G189:AA189)=$B189,0,IF(SUM(AB188:$EJ188)=0%,$B189,0%)))</f>
        <v>0</v>
      </c>
      <c r="AC189" s="608">
        <f ca="1">IF($E$360=0,0,IF(SUM($G189:AB189)=$B189,0,IF(SUM(AC188:$EJ188)=0%,$B189,0%)))</f>
        <v>0</v>
      </c>
      <c r="AD189" s="608">
        <f ca="1">IF($E$360=0,0,IF(SUM($G189:AC189)=$B189,0,IF(SUM(AD188:$EJ188)=0%,$B189,0%)))</f>
        <v>0</v>
      </c>
      <c r="AE189" s="608">
        <f ca="1">IF($E$360=0,0,IF(SUM($G189:AD189)=$B189,0,IF(SUM(AE188:$EJ188)=0%,$B189,0%)))</f>
        <v>0</v>
      </c>
      <c r="AF189" s="608">
        <f ca="1">IF($E$360=0,0,IF(SUM($G189:AE189)=$B189,0,IF(SUM(AF188:$EJ188)=0%,$B189,0%)))</f>
        <v>0</v>
      </c>
      <c r="AG189" s="608">
        <f ca="1">IF($E$360=0,0,IF(SUM($G189:AF189)=$B189,0,IF(SUM(AG188:$EJ188)=0%,$B189,0%)))</f>
        <v>0</v>
      </c>
      <c r="AH189" s="608">
        <f ca="1">IF($E$360=0,0,IF(SUM($G189:AG189)=$B189,0,IF(SUM(AH188:$EJ188)=0%,$B189,0%)))</f>
        <v>0</v>
      </c>
      <c r="AI189" s="608">
        <f ca="1">IF($E$360=0,0,IF(SUM($G189:AH189)=$B189,0,IF(SUM(AI188:$EJ188)=0%,$B189,0%)))</f>
        <v>0</v>
      </c>
      <c r="AJ189" s="608">
        <f ca="1">IF($E$360=0,0,IF(SUM($G189:AI189)=$B189,0,IF(SUM(AJ188:$EJ188)=0%,$B189,0%)))</f>
        <v>0</v>
      </c>
      <c r="AK189" s="608">
        <f ca="1">IF($E$360=0,0,IF(SUM($G189:AJ189)=$B189,0,IF(SUM(AK188:$EJ188)=0%,$B189,0%)))</f>
        <v>0</v>
      </c>
      <c r="AL189" s="608">
        <f ca="1">IF($E$360=0,0,IF(SUM($G189:AK189)=$B189,0,IF(SUM(AL188:$EJ188)=0%,$B189,0%)))</f>
        <v>0</v>
      </c>
      <c r="AM189" s="608">
        <f ca="1">IF($E$360=0,0,IF(SUM($G189:AL189)=$B189,0,IF(SUM(AM188:$EJ188)=0%,$B189,0%)))</f>
        <v>0</v>
      </c>
      <c r="AN189" s="608">
        <f ca="1">IF($E$360=0,0,IF(SUM($G189:AM189)=$B189,0,IF(SUM(AN188:$EJ188)=0%,$B189,0%)))</f>
        <v>0</v>
      </c>
      <c r="AO189" s="608">
        <f ca="1">IF($E$360=0,0,IF(SUM($G189:AN189)=$B189,0,IF(SUM(AO188:$EJ188)=0%,$B189,0%)))</f>
        <v>0</v>
      </c>
      <c r="AP189" s="608">
        <f ca="1">IF($E$360=0,0,IF(SUM($G189:AO189)=$B189,0,IF(SUM(AP188:$EJ188)=0%,$B189,0%)))</f>
        <v>0</v>
      </c>
      <c r="AQ189" s="608">
        <f ca="1">IF($E$360=0,0,IF(SUM($G189:AP189)=$B189,0,IF(SUM(AQ188:$EJ188)=0%,$B189,0%)))</f>
        <v>0</v>
      </c>
      <c r="AR189" s="608">
        <f ca="1">IF($E$360=0,0,IF(SUM($G189:AQ189)=$B189,0,IF(SUM(AR188:$EJ188)=0%,$B189,0%)))</f>
        <v>0</v>
      </c>
      <c r="AS189" s="608">
        <f ca="1">IF($E$360=0,0,IF(SUM($G189:AR189)=$B189,0,IF(SUM(AS188:$EJ188)=0%,$B189,0%)))</f>
        <v>0</v>
      </c>
      <c r="AT189" s="608">
        <f ca="1">IF($E$360=0,0,IF(SUM($G189:AS189)=$B189,0,IF(SUM(AT188:$EJ188)=0%,$B189,0%)))</f>
        <v>0</v>
      </c>
      <c r="AU189" s="608">
        <f ca="1">IF($E$360=0,0,IF(SUM($G189:AT189)=$B189,0,IF(SUM(AU188:$EJ188)=0%,$B189,0%)))</f>
        <v>0</v>
      </c>
      <c r="AV189" s="608">
        <f ca="1">IF($E$360=0,0,IF(SUM($G189:AU189)=$B189,0,IF(SUM(AV188:$EJ188)=0%,$B189,0%)))</f>
        <v>0</v>
      </c>
      <c r="AW189" s="608">
        <f ca="1">IF($E$360=0,0,IF(SUM($G189:AV189)=$B189,0,IF(SUM(AW188:$EJ188)=0%,$B189,0%)))</f>
        <v>0</v>
      </c>
      <c r="AX189" s="608">
        <f ca="1">IF($E$360=0,0,IF(SUM($G189:AW189)=$B189,0,IF(SUM(AX188:$EJ188)=0%,$B189,0%)))</f>
        <v>0</v>
      </c>
      <c r="AY189" s="608">
        <f ca="1">IF($E$360=0,0,IF(SUM($G189:AX189)=$B189,0,IF(SUM(AY188:$EJ188)=0%,$B189,0%)))</f>
        <v>0</v>
      </c>
      <c r="AZ189" s="608">
        <f ca="1">IF($E$360=0,0,IF(SUM($G189:AY189)=$B189,0,IF(SUM(AZ188:$EJ188)=0%,$B189,0%)))</f>
        <v>0</v>
      </c>
      <c r="BA189" s="608">
        <f ca="1">IF($E$360=0,0,IF(SUM($G189:AZ189)=$B189,0,IF(SUM(BA188:$EJ188)=0%,$B189,0%)))</f>
        <v>0</v>
      </c>
      <c r="BB189" s="608">
        <f ca="1">IF($E$360=0,0,IF(SUM($G189:BA189)=$B189,0,IF(SUM(BB188:$EJ188)=0%,$B189,0%)))</f>
        <v>0</v>
      </c>
      <c r="BC189" s="608">
        <f ca="1">IF($E$360=0,0,IF(SUM($G189:BB189)=$B189,0,IF(SUM(BC188:$EJ188)=0%,$B189,0%)))</f>
        <v>0</v>
      </c>
      <c r="BD189" s="608">
        <f ca="1">IF($E$360=0,0,IF(SUM($G189:BC189)=$B189,0,IF(SUM(BD188:$EJ188)=0%,$B189,0%)))</f>
        <v>0</v>
      </c>
      <c r="BE189" s="608">
        <f ca="1">IF($E$360=0,0,IF(SUM($G189:BD189)=$B189,0,IF(SUM(BE188:$EJ188)=0%,$B189,0%)))</f>
        <v>0</v>
      </c>
      <c r="BF189" s="608">
        <f ca="1">IF($E$360=0,0,IF(SUM($G189:BE189)=$B189,0,IF(SUM(BF188:$EJ188)=0%,$B189,0%)))</f>
        <v>0</v>
      </c>
      <c r="BG189" s="608">
        <f ca="1">IF($E$360=0,0,IF(SUM($G189:BF189)=$B189,0,IF(SUM(BG188:$EJ188)=0%,$B189,0%)))</f>
        <v>0</v>
      </c>
      <c r="BH189" s="608">
        <f ca="1">IF($E$360=0,0,IF(SUM($G189:BG189)=$B189,0,IF(SUM(BH188:$EJ188)=0%,$B189,0%)))</f>
        <v>0</v>
      </c>
      <c r="BI189" s="608">
        <f ca="1">IF($E$360=0,0,IF(SUM($G189:BH189)=$B189,0,IF(SUM(BI188:$EJ188)=0%,$B189,0%)))</f>
        <v>0</v>
      </c>
      <c r="BJ189" s="608">
        <f ca="1">IF($E$360=0,0,IF(SUM($G189:BI189)=$B189,0,IF(SUM(BJ188:$EJ188)=0%,$B189,0%)))</f>
        <v>0</v>
      </c>
      <c r="BK189" s="608">
        <f ca="1">IF($E$360=0,0,IF(SUM($G189:BJ189)=$B189,0,IF(SUM(BK188:$EJ188)=0%,$B189,0%)))</f>
        <v>0</v>
      </c>
      <c r="BL189" s="608">
        <f ca="1">IF($E$360=0,0,IF(SUM($G189:BK189)=$B189,0,IF(SUM(BL188:$EJ188)=0%,$B189,0%)))</f>
        <v>0</v>
      </c>
      <c r="BM189" s="608">
        <f ca="1">IF($E$360=0,0,IF(SUM($G189:BL189)=$B189,0,IF(SUM(BM188:$EJ188)=0%,$B189,0%)))</f>
        <v>0</v>
      </c>
      <c r="BN189" s="608">
        <f ca="1">IF($E$360=0,0,IF(SUM($G189:BM189)=$B189,0,IF(SUM(BN188:$EJ188)=0%,$B189,0%)))</f>
        <v>0</v>
      </c>
      <c r="BO189" s="608">
        <f ca="1">IF($E$360=0,0,IF(SUM($G189:BN189)=$B189,0,IF(SUM(BO188:$EJ188)=0%,$B189,0%)))</f>
        <v>0</v>
      </c>
      <c r="BP189" s="608">
        <f ca="1">IF($E$360=0,0,IF(SUM($G189:BO189)=$B189,0,IF(SUM(BP188:$EJ188)=0%,$B189,0%)))</f>
        <v>0</v>
      </c>
      <c r="BQ189" s="608">
        <f ca="1">IF($E$360=0,0,IF(SUM($G189:BP189)=$B189,0,IF(SUM(BQ188:$EJ188)=0%,$B189,0%)))</f>
        <v>0</v>
      </c>
      <c r="BR189" s="608">
        <f ca="1">IF($E$360=0,0,IF(SUM($G189:BQ189)=$B189,0,IF(SUM(BR188:$EJ188)=0%,$B189,0%)))</f>
        <v>0</v>
      </c>
      <c r="BS189" s="608">
        <f ca="1">IF($E$360=0,0,IF(SUM($G189:BR189)=$B189,0,IF(SUM(BS188:$EJ188)=0%,$B189,0%)))</f>
        <v>0</v>
      </c>
      <c r="BT189" s="608">
        <f ca="1">IF($E$360=0,0,IF(SUM($G189:BS189)=$B189,0,IF(SUM(BT188:$EJ188)=0%,$B189,0%)))</f>
        <v>0</v>
      </c>
      <c r="BU189" s="608">
        <f ca="1">IF($E$360=0,0,IF(SUM($G189:BT189)=$B189,0,IF(SUM(BU188:$EJ188)=0%,$B189,0%)))</f>
        <v>0</v>
      </c>
      <c r="BV189" s="608">
        <f ca="1">IF($E$360=0,0,IF(SUM($G189:BU189)=$B189,0,IF(SUM(BV188:$EJ188)=0%,$B189,0%)))</f>
        <v>0</v>
      </c>
      <c r="BW189" s="608">
        <f ca="1">IF($E$360=0,0,IF(SUM($G189:BV189)=$B189,0,IF(SUM(BW188:$EJ188)=0%,$B189,0%)))</f>
        <v>0</v>
      </c>
      <c r="BX189" s="608">
        <f ca="1">IF($E$360=0,0,IF(SUM($G189:BW189)=$B189,0,IF(SUM(BX188:$EJ188)=0%,$B189,0%)))</f>
        <v>0</v>
      </c>
      <c r="BY189" s="608">
        <f ca="1">IF($E$360=0,0,IF(SUM($G189:BX189)=$B189,0,IF(SUM(BY188:$EJ188)=0%,$B189,0%)))</f>
        <v>0</v>
      </c>
      <c r="BZ189" s="608">
        <f ca="1">IF($E$360=0,0,IF(SUM($G189:BY189)=$B189,0,IF(SUM(BZ188:$EJ188)=0%,$B189,0%)))</f>
        <v>0</v>
      </c>
      <c r="CA189" s="608">
        <f ca="1">IF($E$360=0,0,IF(SUM($G189:BZ189)=$B189,0,IF(SUM(CA188:$EJ188)=0%,$B189,0%)))</f>
        <v>0</v>
      </c>
      <c r="CB189" s="608">
        <f ca="1">IF($E$360=0,0,IF(SUM($G189:CA189)=$B189,0,IF(SUM(CB188:$EJ188)=0%,$B189,0%)))</f>
        <v>0</v>
      </c>
      <c r="CC189" s="608">
        <f ca="1">IF($E$360=0,0,IF(SUM($G189:CB189)=$B189,0,IF(SUM(CC188:$EJ188)=0%,$B189,0%)))</f>
        <v>0</v>
      </c>
      <c r="CD189" s="608">
        <f ca="1">IF($E$360=0,0,IF(SUM($G189:CC189)=$B189,0,IF(SUM(CD188:$EJ188)=0%,$B189,0%)))</f>
        <v>0</v>
      </c>
      <c r="CE189" s="608">
        <f ca="1">IF($E$360=0,0,IF(SUM($G189:CD189)=$B189,0,IF(SUM(CE188:$EJ188)=0%,$B189,0%)))</f>
        <v>0</v>
      </c>
      <c r="CF189" s="608">
        <f ca="1">IF($E$360=0,0,IF(SUM($G189:CE189)=$B189,0,IF(SUM(CF188:$EJ188)=0%,$B189,0%)))</f>
        <v>0</v>
      </c>
      <c r="CG189" s="608">
        <f ca="1">IF($E$360=0,0,IF(SUM($G189:CF189)=$B189,0,IF(SUM(CG188:$EJ188)=0%,$B189,0%)))</f>
        <v>0</v>
      </c>
      <c r="CH189" s="608">
        <f ca="1">IF($E$360=0,0,IF(SUM($G189:CG189)=$B189,0,IF(SUM(CH188:$EJ188)=0%,$B189,0%)))</f>
        <v>0</v>
      </c>
      <c r="CI189" s="608">
        <f ca="1">IF($E$360=0,0,IF(SUM($G189:CH189)=$B189,0,IF(SUM(CI188:$EJ188)=0%,$B189,0%)))</f>
        <v>0</v>
      </c>
      <c r="CJ189" s="608">
        <f ca="1">IF($E$360=0,0,IF(SUM($G189:CI189)=$B189,0,IF(SUM(CJ188:$EJ188)=0%,$B189,0%)))</f>
        <v>0</v>
      </c>
      <c r="CK189" s="608">
        <f ca="1">IF($E$360=0,0,IF(SUM($G189:CJ189)=$B189,0,IF(SUM(CK188:$EJ188)=0%,$B189,0%)))</f>
        <v>0</v>
      </c>
      <c r="CL189" s="608">
        <f ca="1">IF($E$360=0,0,IF(SUM($G189:CK189)=$B189,0,IF(SUM(CL188:$EJ188)=0%,$B189,0%)))</f>
        <v>0</v>
      </c>
      <c r="CM189" s="608">
        <f ca="1">IF($E$360=0,0,IF(SUM($G189:CL189)=$B189,0,IF(SUM(CM188:$EJ188)=0%,$B189,0%)))</f>
        <v>0</v>
      </c>
      <c r="CN189" s="608">
        <f ca="1">IF($E$360=0,0,IF(SUM($G189:CM189)=$B189,0,IF(SUM(CN188:$EJ188)=0%,$B189,0%)))</f>
        <v>0</v>
      </c>
      <c r="CO189" s="608">
        <f ca="1">IF($E$360=0,0,IF(SUM($G189:CN189)=$B189,0,IF(SUM(CO188:$EJ188)=0%,$B189,0%)))</f>
        <v>0</v>
      </c>
      <c r="CP189" s="608">
        <f ca="1">IF($E$360=0,0,IF(SUM($G189:CO189)=$B189,0,IF(SUM(CP188:$EJ188)=0%,$B189,0%)))</f>
        <v>0</v>
      </c>
      <c r="CQ189" s="608">
        <f ca="1">IF($E$360=0,0,IF(SUM($G189:CP189)=$B189,0,IF(SUM(CQ188:$EJ188)=0%,$B189,0%)))</f>
        <v>0</v>
      </c>
      <c r="CR189" s="608">
        <f ca="1">IF($E$360=0,0,IF(SUM($G189:CQ189)=$B189,0,IF(SUM(CR188:$EJ188)=0%,$B189,0%)))</f>
        <v>0</v>
      </c>
      <c r="CS189" s="608">
        <f ca="1">IF($E$360=0,0,IF(SUM($G189:CR189)=$B189,0,IF(SUM(CS188:$EJ188)=0%,$B189,0%)))</f>
        <v>0</v>
      </c>
      <c r="CT189" s="608">
        <f ca="1">IF($E$360=0,0,IF(SUM($G189:CS189)=$B189,0,IF(SUM(CT188:$EJ188)=0%,$B189,0%)))</f>
        <v>0</v>
      </c>
      <c r="CU189" s="608">
        <f ca="1">IF($E$360=0,0,IF(SUM($G189:CT189)=$B189,0,IF(SUM(CU188:$EJ188)=0%,$B189,0%)))</f>
        <v>0</v>
      </c>
      <c r="CV189" s="608">
        <f ca="1">IF($E$360=0,0,IF(SUM($G189:CU189)=$B189,0,IF(SUM(CV188:$EJ188)=0%,$B189,0%)))</f>
        <v>0</v>
      </c>
      <c r="CW189" s="608">
        <f ca="1">IF($E$360=0,0,IF(SUM($G189:CV189)=$B189,0,IF(SUM(CW188:$EJ188)=0%,$B189,0%)))</f>
        <v>0</v>
      </c>
      <c r="CX189" s="608">
        <f ca="1">IF($E$360=0,0,IF(SUM($G189:CW189)=$B189,0,IF(SUM(CX188:$EJ188)=0%,$B189,0%)))</f>
        <v>0</v>
      </c>
      <c r="CY189" s="608">
        <f ca="1">IF($E$360=0,0,IF(SUM($G189:CX189)=$B189,0,IF(SUM(CY188:$EJ188)=0%,$B189,0%)))</f>
        <v>0</v>
      </c>
      <c r="CZ189" s="608">
        <f ca="1">IF($E$360=0,0,IF(SUM($G189:CY189)=$B189,0,IF(SUM(CZ188:$EJ188)=0%,$B189,0%)))</f>
        <v>0</v>
      </c>
      <c r="DA189" s="608">
        <f ca="1">IF($E$360=0,0,IF(SUM($G189:CZ189)=$B189,0,IF(SUM(DA188:$EJ188)=0%,$B189,0%)))</f>
        <v>0</v>
      </c>
      <c r="DB189" s="608">
        <f ca="1">IF($E$360=0,0,IF(SUM($G189:DA189)=$B189,0,IF(SUM(DB188:$EJ188)=0%,$B189,0%)))</f>
        <v>0</v>
      </c>
      <c r="DC189" s="608">
        <f ca="1">IF($E$360=0,0,IF(SUM($G189:DB189)=$B189,0,IF(SUM(DC188:$EJ188)=0%,$B189,0%)))</f>
        <v>0</v>
      </c>
      <c r="DD189" s="608">
        <f ca="1">IF($E$360=0,0,IF(SUM($G189:DC189)=$B189,0,IF(SUM(DD188:$EJ188)=0%,$B189,0%)))</f>
        <v>0</v>
      </c>
      <c r="DE189" s="608">
        <f ca="1">IF($E$360=0,0,IF(SUM($G189:DD189)=$B189,0,IF(SUM(DE188:$EJ188)=0%,$B189,0%)))</f>
        <v>0</v>
      </c>
      <c r="DF189" s="608">
        <f ca="1">IF($E$360=0,0,IF(SUM($G189:DE189)=$B189,0,IF(SUM(DF188:$EJ188)=0%,$B189,0%)))</f>
        <v>0</v>
      </c>
      <c r="DG189" s="608">
        <f ca="1">IF($E$360=0,0,IF(SUM($G189:DF189)=$B189,0,IF(SUM(DG188:$EJ188)=0%,$B189,0%)))</f>
        <v>0</v>
      </c>
      <c r="DH189" s="608">
        <f ca="1">IF($E$360=0,0,IF(SUM($G189:DG189)=$B189,0,IF(SUM(DH188:$EJ188)=0%,$B189,0%)))</f>
        <v>0</v>
      </c>
      <c r="DI189" s="608">
        <f ca="1">IF($E$360=0,0,IF(SUM($G189:DH189)=$B189,0,IF(SUM(DI188:$EJ188)=0%,$B189,0%)))</f>
        <v>0</v>
      </c>
      <c r="DJ189" s="608">
        <f ca="1">IF($E$360=0,0,IF(SUM($G189:DI189)=$B189,0,IF(SUM(DJ188:$EJ188)=0%,$B189,0%)))</f>
        <v>0</v>
      </c>
      <c r="DK189" s="608">
        <f ca="1">IF($E$360=0,0,IF(SUM($G189:DJ189)=$B189,0,IF(SUM(DK188:$EJ188)=0%,$B189,0%)))</f>
        <v>0</v>
      </c>
      <c r="DL189" s="608">
        <f ca="1">IF($E$360=0,0,IF(SUM($G189:DK189)=$B189,0,IF(SUM(DL188:$EJ188)=0%,$B189,0%)))</f>
        <v>0</v>
      </c>
      <c r="DM189" s="608">
        <f ca="1">IF($E$360=0,0,IF(SUM($G189:DL189)=$B189,0,IF(SUM(DM188:$EJ188)=0%,$B189,0%)))</f>
        <v>0</v>
      </c>
      <c r="DN189" s="608">
        <f ca="1">IF($E$360=0,0,IF(SUM($G189:DM189)=$B189,0,IF(SUM(DN188:$EJ188)=0%,$B189,0%)))</f>
        <v>0</v>
      </c>
      <c r="DO189" s="608">
        <f ca="1">IF($E$360=0,0,IF(SUM($G189:DN189)=$B189,0,IF(SUM(DO188:$EJ188)=0%,$B189,0%)))</f>
        <v>0</v>
      </c>
      <c r="DP189" s="608">
        <f ca="1">IF($E$360=0,0,IF(SUM($G189:DO189)=$B189,0,IF(SUM(DP188:$EJ188)=0%,$B189,0%)))</f>
        <v>0</v>
      </c>
      <c r="DQ189" s="608">
        <f ca="1">IF($E$360=0,0,IF(SUM($G189:DP189)=$B189,0,IF(SUM(DQ188:$EJ188)=0%,$B189,0%)))</f>
        <v>0</v>
      </c>
      <c r="DR189" s="608">
        <f ca="1">IF($E$360=0,0,IF(SUM($G189:DQ189)=$B189,0,IF(SUM(DR188:$EJ188)=0%,$B189,0%)))</f>
        <v>0</v>
      </c>
      <c r="DS189" s="608">
        <f ca="1">IF($E$360=0,0,IF(SUM($G189:DR189)=$B189,0,IF(SUM(DS188:$EJ188)=0%,$B189,0%)))</f>
        <v>0</v>
      </c>
      <c r="DT189" s="608">
        <f ca="1">IF($E$360=0,0,IF(SUM($G189:DS189)=$B189,0,IF(SUM(DT188:$EJ188)=0%,$B189,0%)))</f>
        <v>0</v>
      </c>
      <c r="DU189" s="608">
        <f ca="1">IF($E$360=0,0,IF(SUM($G189:DT189)=$B189,0,IF(SUM(DU188:$EJ188)=0%,$B189,0%)))</f>
        <v>0</v>
      </c>
      <c r="DV189" s="608">
        <f ca="1">IF($E$360=0,0,IF(SUM($G189:DU189)=$B189,0,IF(SUM(DV188:$EJ188)=0%,$B189,0%)))</f>
        <v>0</v>
      </c>
      <c r="DW189" s="608">
        <f ca="1">IF($E$360=0,0,IF(SUM($G189:DV189)=$B189,0,IF(SUM(DW188:$EJ188)=0%,$B189,0%)))</f>
        <v>0</v>
      </c>
      <c r="DX189" s="608">
        <f ca="1">IF($E$360=0,0,IF(SUM($G189:DW189)=$B189,0,IF(SUM(DX188:$EJ188)=0%,$B189,0%)))</f>
        <v>0</v>
      </c>
      <c r="DY189" s="608">
        <f ca="1">IF($E$360=0,0,IF(SUM($G189:DX189)=$B189,0,IF(SUM(DY188:$EJ188)=0%,$B189,0%)))</f>
        <v>0</v>
      </c>
      <c r="DZ189" s="608">
        <f ca="1">IF($E$360=0,0,IF(SUM($G189:DY189)=$B189,0,IF(SUM(DZ188:$EJ188)=0%,$B189,0%)))</f>
        <v>0</v>
      </c>
      <c r="EA189" s="608">
        <f ca="1">IF($E$360=0,0,IF(SUM($G189:DZ189)=$B189,0,IF(SUM(EA188:$EJ188)=0%,$B189,0%)))</f>
        <v>0</v>
      </c>
      <c r="EB189" s="608">
        <f ca="1">IF($E$360=0,0,IF(SUM($G189:EA189)=$B189,0,IF(SUM(EB188:$EJ188)=0%,$B189,0%)))</f>
        <v>0</v>
      </c>
      <c r="EC189" s="608">
        <f ca="1">IF($E$360=0,0,IF(SUM($G189:EB189)=$B189,0,IF(SUM(EC188:$EJ188)=0%,$B189,0%)))</f>
        <v>0</v>
      </c>
      <c r="ED189" s="608">
        <f ca="1">IF($E$360=0,0,IF(SUM($G189:EC189)=$B189,0,IF(SUM(ED188:$EJ188)=0%,$B189,0%)))</f>
        <v>0</v>
      </c>
      <c r="EE189" s="608">
        <f ca="1">IF($E$360=0,0,IF(SUM($G189:ED189)=$B189,0,IF(SUM(EE188:$EJ188)=0%,$B189,0%)))</f>
        <v>0</v>
      </c>
      <c r="EF189" s="608">
        <f ca="1">IF($E$360=0,0,IF(SUM($G189:EE189)=$B189,0,IF(SUM(EF188:$EJ188)=0%,$B189,0%)))</f>
        <v>0</v>
      </c>
      <c r="EG189" s="608">
        <f ca="1">IF($E$360=0,0,IF(SUM($G189:EF189)=$B189,0,IF(SUM(EG188:$EJ188)=0%,$B189,0%)))</f>
        <v>0</v>
      </c>
      <c r="EH189" s="608">
        <f ca="1">IF($E$360=0,0,IF(SUM($G189:EG189)=$B189,0,IF(SUM(EH188:$EJ188)=0%,$B189,0%)))</f>
        <v>0</v>
      </c>
      <c r="EI189" s="608">
        <f ca="1">IF($E$360=0,0,IF(SUM($G189:EH189)=$B189,0,IF(SUM(EI188:$EJ188)=0%,$B189,0%)))</f>
        <v>0</v>
      </c>
      <c r="EJ189" s="398"/>
      <c r="EK189" s="332"/>
    </row>
    <row r="190" spans="1:141" s="321" customFormat="1" hidden="1" outlineLevel="2">
      <c r="A190" s="332"/>
      <c r="B190" s="549">
        <f>длительность!F194</f>
        <v>2.5000000000000001E-2</v>
      </c>
      <c r="C190" s="317"/>
      <c r="D190" s="317" t="s">
        <v>640</v>
      </c>
      <c r="E190" s="318">
        <f t="shared" ca="1" si="407"/>
        <v>0</v>
      </c>
      <c r="F190" s="397">
        <f ca="1">SUM(G190:EJ190)</f>
        <v>0</v>
      </c>
      <c r="G190" s="395"/>
      <c r="H190" s="395"/>
      <c r="I190" s="608"/>
      <c r="J190" s="608"/>
      <c r="K190" s="608"/>
      <c r="L190" s="608"/>
      <c r="M190" s="608"/>
      <c r="N190" s="608"/>
      <c r="O190" s="608"/>
      <c r="P190" s="608"/>
      <c r="Q190" s="608"/>
      <c r="R190" s="608"/>
      <c r="S190" s="608"/>
      <c r="T190" s="608"/>
      <c r="U190" s="608"/>
      <c r="V190" s="608"/>
      <c r="W190" s="608"/>
      <c r="X190" s="608"/>
      <c r="Y190" s="608"/>
      <c r="Z190" s="608"/>
      <c r="AA190" s="608"/>
      <c r="AB190" s="608"/>
      <c r="AC190" s="608"/>
      <c r="AD190" s="395">
        <f ca="1">IF($E$355=0,0,IF(SUM($G190:AC190)=$B190,0,IF(SUM($G189:G189)=$B189,$B190,0%)))</f>
        <v>0</v>
      </c>
      <c r="AE190" s="608">
        <f ca="1">IF($E$355=0,0,IF(SUM($G190:AD190)=$B190,0,IF(SUM($G189:H189)=$B189,$B190,0%)))</f>
        <v>0</v>
      </c>
      <c r="AF190" s="608">
        <f ca="1">IF($E$355=0,0,IF(SUM($G190:AE190)=$B190,0,IF(SUM($G189:I189)=$B189,$B190,0%)))</f>
        <v>0</v>
      </c>
      <c r="AG190" s="608">
        <f ca="1">IF($E$355=0,0,IF(SUM($G190:AF190)=$B190,0,IF(SUM($G189:J189)=$B189,$B190,0%)))</f>
        <v>0</v>
      </c>
      <c r="AH190" s="608">
        <f ca="1">IF($E$355=0,0,IF(SUM($G190:AG190)=$B190,0,IF(SUM($G189:K189)=$B189,$B190,0%)))</f>
        <v>0</v>
      </c>
      <c r="AI190" s="608">
        <f ca="1">IF($E$355=0,0,IF(SUM($G190:AH190)=$B190,0,IF(SUM($G189:L189)=$B189,$B190,0%)))</f>
        <v>0</v>
      </c>
      <c r="AJ190" s="608">
        <f ca="1">IF($E$355=0,0,IF(SUM($G190:AI190)=$B190,0,IF(SUM($G189:M189)=$B189,$B190,0%)))</f>
        <v>0</v>
      </c>
      <c r="AK190" s="608">
        <f ca="1">IF($E$355=0,0,IF(SUM($G190:AJ190)=$B190,0,IF(SUM($G189:N189)=$B189,$B190,0%)))</f>
        <v>0</v>
      </c>
      <c r="AL190" s="608">
        <f ca="1">IF($E$355=0,0,IF(SUM($G190:AK190)=$B190,0,IF(SUM($G189:O189)=$B189,$B190,0%)))</f>
        <v>0</v>
      </c>
      <c r="AM190" s="608">
        <f ca="1">IF($E$355=0,0,IF(SUM($G190:AL190)=$B190,0,IF(SUM($G189:P189)=$B189,$B190,0%)))</f>
        <v>0</v>
      </c>
      <c r="AN190" s="608">
        <f ca="1">IF($E$355=0,0,IF(SUM($G190:AM190)=$B190,0,IF(SUM($G189:Q189)=$B189,$B190,0%)))</f>
        <v>0</v>
      </c>
      <c r="AO190" s="608">
        <f ca="1">IF($E$355=0,0,IF(SUM($G190:AN190)=$B190,0,IF(SUM($G189:R189)=$B189,$B190,0%)))</f>
        <v>0</v>
      </c>
      <c r="AP190" s="608">
        <f ca="1">IF($E$355=0,0,IF(SUM($G190:AO190)=$B190,0,IF(SUM($G189:S189)=$B189,$B190,0%)))</f>
        <v>0</v>
      </c>
      <c r="AQ190" s="608">
        <f ca="1">IF($E$355=0,0,IF(SUM($G190:AP190)=$B190,0,IF(SUM($G189:T189)=$B189,$B190,0%)))</f>
        <v>0</v>
      </c>
      <c r="AR190" s="608">
        <f ca="1">IF($E$355=0,0,IF(SUM($G190:AQ190)=$B190,0,IF(SUM($G189:U189)=$B189,$B190,0%)))</f>
        <v>0</v>
      </c>
      <c r="AS190" s="608">
        <f ca="1">IF($E$355=0,0,IF(SUM($G190:AR190)=$B190,0,IF(SUM($G189:V189)=$B189,$B190,0%)))</f>
        <v>0</v>
      </c>
      <c r="AT190" s="608">
        <f ca="1">IF($E$355=0,0,IF(SUM($G190:AS190)=$B190,0,IF(SUM($G189:W189)=$B189,$B190,0%)))</f>
        <v>0</v>
      </c>
      <c r="AU190" s="608">
        <f ca="1">IF($E$355=0,0,IF(SUM($G190:AT190)=$B190,0,IF(SUM($G189:X189)=$B189,$B190,0%)))</f>
        <v>0</v>
      </c>
      <c r="AV190" s="608">
        <f ca="1">IF($E$355=0,0,IF(SUM($G190:AU190)=$B190,0,IF(SUM($G189:Y189)=$B189,$B190,0%)))</f>
        <v>0</v>
      </c>
      <c r="AW190" s="608">
        <f ca="1">IF($E$355=0,0,IF(SUM($G190:AV190)=$B190,0,IF(SUM($G189:Z189)=$B189,$B190,0%)))</f>
        <v>0</v>
      </c>
      <c r="AX190" s="608">
        <f ca="1">IF($E$355=0,0,IF(SUM($G190:AW190)=$B190,0,IF(SUM($G189:AA189)=$B189,$B190,0%)))</f>
        <v>0</v>
      </c>
      <c r="AY190" s="608">
        <f ca="1">IF($E$355=0,0,IF(SUM($G190:AX190)=$B190,0,IF(SUM($G189:AB189)=$B189,$B190,0%)))</f>
        <v>0</v>
      </c>
      <c r="AZ190" s="608">
        <f ca="1">IF($E$355=0,0,IF(SUM($G190:AY190)=$B190,0,IF(SUM($G189:AC189)=$B189,$B190,0%)))</f>
        <v>0</v>
      </c>
      <c r="BA190" s="608">
        <f ca="1">IF($E$355=0,0,IF(SUM($G190:AZ190)=$B190,0,IF(SUM($G189:AD189)=$B189,$B190,0%)))</f>
        <v>0</v>
      </c>
      <c r="BB190" s="608">
        <f ca="1">IF($E$355=0,0,IF(SUM($G190:BA190)=$B190,0,IF(SUM($G189:AE189)=$B189,$B190,0%)))</f>
        <v>0</v>
      </c>
      <c r="BC190" s="608">
        <f ca="1">IF($E$355=0,0,IF(SUM($G190:BB190)=$B190,0,IF(SUM($G189:AF189)=$B189,$B190,0%)))</f>
        <v>0</v>
      </c>
      <c r="BD190" s="608">
        <f ca="1">IF($E$355=0,0,IF(SUM($G190:BC190)=$B190,0,IF(SUM($G189:AG189)=$B189,$B190,0%)))</f>
        <v>0</v>
      </c>
      <c r="BE190" s="608">
        <f ca="1">IF($E$355=0,0,IF(SUM($G190:BD190)=$B190,0,IF(SUM($G189:AH189)=$B189,$B190,0%)))</f>
        <v>0</v>
      </c>
      <c r="BF190" s="608">
        <f ca="1">IF($E$355=0,0,IF(SUM($G190:BE190)=$B190,0,IF(SUM($G189:AI189)=$B189,$B190,0%)))</f>
        <v>0</v>
      </c>
      <c r="BG190" s="608">
        <f ca="1">IF($E$355=0,0,IF(SUM($G190:BF190)=$B190,0,IF(SUM($G189:AJ189)=$B189,$B190,0%)))</f>
        <v>0</v>
      </c>
      <c r="BH190" s="608">
        <f ca="1">IF($E$355=0,0,IF(SUM($G190:BG190)=$B190,0,IF(SUM($G189:AK189)=$B189,$B190,0%)))</f>
        <v>0</v>
      </c>
      <c r="BI190" s="608">
        <f ca="1">IF($E$355=0,0,IF(SUM($G190:BH190)=$B190,0,IF(SUM($G189:AL189)=$B189,$B190,0%)))</f>
        <v>0</v>
      </c>
      <c r="BJ190" s="608">
        <f ca="1">IF($E$355=0,0,IF(SUM($G190:BI190)=$B190,0,IF(SUM($G189:AM189)=$B189,$B190,0%)))</f>
        <v>0</v>
      </c>
      <c r="BK190" s="608">
        <f ca="1">IF($E$355=0,0,IF(SUM($G190:BJ190)=$B190,0,IF(SUM($G189:AN189)=$B189,$B190,0%)))</f>
        <v>0</v>
      </c>
      <c r="BL190" s="608">
        <f ca="1">IF($E$355=0,0,IF(SUM($G190:BK190)=$B190,0,IF(SUM($G189:AO189)=$B189,$B190,0%)))</f>
        <v>0</v>
      </c>
      <c r="BM190" s="608">
        <f ca="1">IF($E$355=0,0,IF(SUM($G190:BL190)=$B190,0,IF(SUM($G189:AP189)=$B189,$B190,0%)))</f>
        <v>0</v>
      </c>
      <c r="BN190" s="608">
        <f ca="1">IF($E$355=0,0,IF(SUM($G190:BM190)=$B190,0,IF(SUM($G189:AQ189)=$B189,$B190,0%)))</f>
        <v>0</v>
      </c>
      <c r="BO190" s="608">
        <f ca="1">IF($E$355=0,0,IF(SUM($G190:BN190)=$B190,0,IF(SUM($G189:AR189)=$B189,$B190,0%)))</f>
        <v>0</v>
      </c>
      <c r="BP190" s="608">
        <f ca="1">IF($E$355=0,0,IF(SUM($G190:BO190)=$B190,0,IF(SUM($G189:AS189)=$B189,$B190,0%)))</f>
        <v>0</v>
      </c>
      <c r="BQ190" s="608">
        <f ca="1">IF($E$355=0,0,IF(SUM($G190:BP190)=$B190,0,IF(SUM($G189:AT189)=$B189,$B190,0%)))</f>
        <v>0</v>
      </c>
      <c r="BR190" s="608">
        <f ca="1">IF($E$355=0,0,IF(SUM($G190:BQ190)=$B190,0,IF(SUM($G189:AU189)=$B189,$B190,0%)))</f>
        <v>0</v>
      </c>
      <c r="BS190" s="608">
        <f ca="1">IF($E$355=0,0,IF(SUM($G190:BR190)=$B190,0,IF(SUM($G189:AV189)=$B189,$B190,0%)))</f>
        <v>0</v>
      </c>
      <c r="BT190" s="608">
        <f ca="1">IF($E$355=0,0,IF(SUM($G190:BS190)=$B190,0,IF(SUM($G189:AW189)=$B189,$B190,0%)))</f>
        <v>0</v>
      </c>
      <c r="BU190" s="608">
        <f ca="1">IF($E$355=0,0,IF(SUM($G190:BT190)=$B190,0,IF(SUM($G189:AX189)=$B189,$B190,0%)))</f>
        <v>0</v>
      </c>
      <c r="BV190" s="608">
        <f ca="1">IF($E$355=0,0,IF(SUM($G190:BU190)=$B190,0,IF(SUM($G189:AY189)=$B189,$B190,0%)))</f>
        <v>0</v>
      </c>
      <c r="BW190" s="608">
        <f ca="1">IF($E$355=0,0,IF(SUM($G190:BV190)=$B190,0,IF(SUM($G189:AZ189)=$B189,$B190,0%)))</f>
        <v>0</v>
      </c>
      <c r="BX190" s="608">
        <f ca="1">IF($E$355=0,0,IF(SUM($G190:BW190)=$B190,0,IF(SUM($G189:BA189)=$B189,$B190,0%)))</f>
        <v>0</v>
      </c>
      <c r="BY190" s="608">
        <f ca="1">IF($E$355=0,0,IF(SUM($G190:BX190)=$B190,0,IF(SUM($G189:BB189)=$B189,$B190,0%)))</f>
        <v>0</v>
      </c>
      <c r="BZ190" s="608">
        <f ca="1">IF($E$355=0,0,IF(SUM($G190:BY190)=$B190,0,IF(SUM($G189:BC189)=$B189,$B190,0%)))</f>
        <v>0</v>
      </c>
      <c r="CA190" s="608">
        <f ca="1">IF($E$355=0,0,IF(SUM($G190:BZ190)=$B190,0,IF(SUM($G189:BD189)=$B189,$B190,0%)))</f>
        <v>0</v>
      </c>
      <c r="CB190" s="608">
        <f ca="1">IF($E$355=0,0,IF(SUM($G190:CA190)=$B190,0,IF(SUM($G189:BE189)=$B189,$B190,0%)))</f>
        <v>0</v>
      </c>
      <c r="CC190" s="608">
        <f ca="1">IF($E$355=0,0,IF(SUM($G190:CB190)=$B190,0,IF(SUM($G189:BF189)=$B189,$B190,0%)))</f>
        <v>0</v>
      </c>
      <c r="CD190" s="608">
        <f ca="1">IF($E$355=0,0,IF(SUM($G190:CC190)=$B190,0,IF(SUM($G189:BG189)=$B189,$B190,0%)))</f>
        <v>0</v>
      </c>
      <c r="CE190" s="608">
        <f ca="1">IF($E$355=0,0,IF(SUM($G190:CD190)=$B190,0,IF(SUM($G189:BH189)=$B189,$B190,0%)))</f>
        <v>0</v>
      </c>
      <c r="CF190" s="608">
        <f ca="1">IF($E$355=0,0,IF(SUM($G190:CE190)=$B190,0,IF(SUM($G189:BI189)=$B189,$B190,0%)))</f>
        <v>0</v>
      </c>
      <c r="CG190" s="608">
        <f ca="1">IF($E$355=0,0,IF(SUM($G190:CF190)=$B190,0,IF(SUM($G189:BJ189)=$B189,$B190,0%)))</f>
        <v>0</v>
      </c>
      <c r="CH190" s="608">
        <f ca="1">IF($E$355=0,0,IF(SUM($G190:CG190)=$B190,0,IF(SUM($G189:BK189)=$B189,$B190,0%)))</f>
        <v>0</v>
      </c>
      <c r="CI190" s="608">
        <f ca="1">IF($E$355=0,0,IF(SUM($G190:CH190)=$B190,0,IF(SUM($G189:BL189)=$B189,$B190,0%)))</f>
        <v>0</v>
      </c>
      <c r="CJ190" s="608">
        <f ca="1">IF($E$355=0,0,IF(SUM($G190:CI190)=$B190,0,IF(SUM($G189:BM189)=$B189,$B190,0%)))</f>
        <v>0</v>
      </c>
      <c r="CK190" s="608">
        <f ca="1">IF($E$355=0,0,IF(SUM($G190:CJ190)=$B190,0,IF(SUM($G189:BN189)=$B189,$B190,0%)))</f>
        <v>0</v>
      </c>
      <c r="CL190" s="608">
        <f ca="1">IF($E$355=0,0,IF(SUM($G190:CK190)=$B190,0,IF(SUM($G189:BO189)=$B189,$B190,0%)))</f>
        <v>0</v>
      </c>
      <c r="CM190" s="608">
        <f ca="1">IF($E$355=0,0,IF(SUM($G190:CL190)=$B190,0,IF(SUM($G189:BP189)=$B189,$B190,0%)))</f>
        <v>0</v>
      </c>
      <c r="CN190" s="608">
        <f ca="1">IF($E$355=0,0,IF(SUM($G190:CM190)=$B190,0,IF(SUM($G189:BQ189)=$B189,$B190,0%)))</f>
        <v>0</v>
      </c>
      <c r="CO190" s="608">
        <f ca="1">IF($E$355=0,0,IF(SUM($G190:CN190)=$B190,0,IF(SUM($G189:BR189)=$B189,$B190,0%)))</f>
        <v>0</v>
      </c>
      <c r="CP190" s="608">
        <f ca="1">IF($E$355=0,0,IF(SUM($G190:CO190)=$B190,0,IF(SUM($G189:BS189)=$B189,$B190,0%)))</f>
        <v>0</v>
      </c>
      <c r="CQ190" s="608">
        <f ca="1">IF($E$355=0,0,IF(SUM($G190:CP190)=$B190,0,IF(SUM($G189:BT189)=$B189,$B190,0%)))</f>
        <v>0</v>
      </c>
      <c r="CR190" s="608">
        <f ca="1">IF($E$355=0,0,IF(SUM($G190:CQ190)=$B190,0,IF(SUM($G189:BU189)=$B189,$B190,0%)))</f>
        <v>0</v>
      </c>
      <c r="CS190" s="608">
        <f ca="1">IF($E$355=0,0,IF(SUM($G190:CR190)=$B190,0,IF(SUM($G189:BV189)=$B189,$B190,0%)))</f>
        <v>0</v>
      </c>
      <c r="CT190" s="608">
        <f ca="1">IF($E$355=0,0,IF(SUM($G190:CS190)=$B190,0,IF(SUM($G189:BW189)=$B189,$B190,0%)))</f>
        <v>0</v>
      </c>
      <c r="CU190" s="608">
        <f ca="1">IF($E$355=0,0,IF(SUM($G190:CT190)=$B190,0,IF(SUM($G189:BX189)=$B189,$B190,0%)))</f>
        <v>0</v>
      </c>
      <c r="CV190" s="608">
        <f ca="1">IF($E$355=0,0,IF(SUM($G190:CU190)=$B190,0,IF(SUM($G189:BY189)=$B189,$B190,0%)))</f>
        <v>0</v>
      </c>
      <c r="CW190" s="608">
        <f ca="1">IF($E$355=0,0,IF(SUM($G190:CV190)=$B190,0,IF(SUM($G189:BZ189)=$B189,$B190,0%)))</f>
        <v>0</v>
      </c>
      <c r="CX190" s="608">
        <f ca="1">IF($E$355=0,0,IF(SUM($G190:CW190)=$B190,0,IF(SUM($G189:CA189)=$B189,$B190,0%)))</f>
        <v>0</v>
      </c>
      <c r="CY190" s="608">
        <f ca="1">IF($E$355=0,0,IF(SUM($G190:CX190)=$B190,0,IF(SUM($G189:CB189)=$B189,$B190,0%)))</f>
        <v>0</v>
      </c>
      <c r="CZ190" s="608">
        <f ca="1">IF($E$355=0,0,IF(SUM($G190:CY190)=$B190,0,IF(SUM($G189:CC189)=$B189,$B190,0%)))</f>
        <v>0</v>
      </c>
      <c r="DA190" s="608">
        <f ca="1">IF($E$355=0,0,IF(SUM($G190:CZ190)=$B190,0,IF(SUM($G189:CD189)=$B189,$B190,0%)))</f>
        <v>0</v>
      </c>
      <c r="DB190" s="608">
        <f ca="1">IF($E$355=0,0,IF(SUM($G190:DA190)=$B190,0,IF(SUM($G189:CE189)=$B189,$B190,0%)))</f>
        <v>0</v>
      </c>
      <c r="DC190" s="608">
        <f ca="1">IF($E$355=0,0,IF(SUM($G190:DB190)=$B190,0,IF(SUM($G189:CF189)=$B189,$B190,0%)))</f>
        <v>0</v>
      </c>
      <c r="DD190" s="608">
        <f ca="1">IF($E$355=0,0,IF(SUM($G190:DC190)=$B190,0,IF(SUM($G189:CG189)=$B189,$B190,0%)))</f>
        <v>0</v>
      </c>
      <c r="DE190" s="608">
        <f ca="1">IF($E$355=0,0,IF(SUM($G190:DD190)=$B190,0,IF(SUM($G189:CH189)=$B189,$B190,0%)))</f>
        <v>0</v>
      </c>
      <c r="DF190" s="608">
        <f ca="1">IF($E$355=0,0,IF(SUM($G190:DE190)=$B190,0,IF(SUM($G189:CI189)=$B189,$B190,0%)))</f>
        <v>0</v>
      </c>
      <c r="DG190" s="608">
        <f ca="1">IF($E$355=0,0,IF(SUM($G190:DF190)=$B190,0,IF(SUM($G189:CJ189)=$B189,$B190,0%)))</f>
        <v>0</v>
      </c>
      <c r="DH190" s="608">
        <f ca="1">IF($E$355=0,0,IF(SUM($G190:DG190)=$B190,0,IF(SUM($G189:CK189)=$B189,$B190,0%)))</f>
        <v>0</v>
      </c>
      <c r="DI190" s="608">
        <f ca="1">IF($E$355=0,0,IF(SUM($G190:DH190)=$B190,0,IF(SUM($G189:CL189)=$B189,$B190,0%)))</f>
        <v>0</v>
      </c>
      <c r="DJ190" s="608">
        <f ca="1">IF($E$355=0,0,IF(SUM($G190:DI190)=$B190,0,IF(SUM($G189:CM189)=$B189,$B190,0%)))</f>
        <v>0</v>
      </c>
      <c r="DK190" s="608">
        <f ca="1">IF($E$355=0,0,IF(SUM($G190:DJ190)=$B190,0,IF(SUM($G189:CN189)=$B189,$B190,0%)))</f>
        <v>0</v>
      </c>
      <c r="DL190" s="608">
        <f ca="1">IF($E$355=0,0,IF(SUM($G190:DK190)=$B190,0,IF(SUM($G189:CO189)=$B189,$B190,0%)))</f>
        <v>0</v>
      </c>
      <c r="DM190" s="608">
        <f ca="1">IF($E$355=0,0,IF(SUM($G190:DL190)=$B190,0,IF(SUM($G189:CP189)=$B189,$B190,0%)))</f>
        <v>0</v>
      </c>
      <c r="DN190" s="608">
        <f ca="1">IF($E$355=0,0,IF(SUM($G190:DM190)=$B190,0,IF(SUM($G189:CQ189)=$B189,$B190,0%)))</f>
        <v>0</v>
      </c>
      <c r="DO190" s="608">
        <f ca="1">IF($E$355=0,0,IF(SUM($G190:DN190)=$B190,0,IF(SUM($G189:CR189)=$B189,$B190,0%)))</f>
        <v>0</v>
      </c>
      <c r="DP190" s="608">
        <f ca="1">IF($E$355=0,0,IF(SUM($G190:DO190)=$B190,0,IF(SUM($G189:CS189)=$B189,$B190,0%)))</f>
        <v>0</v>
      </c>
      <c r="DQ190" s="608">
        <f ca="1">IF($E$355=0,0,IF(SUM($G190:DP190)=$B190,0,IF(SUM($G189:CT189)=$B189,$B190,0%)))</f>
        <v>0</v>
      </c>
      <c r="DR190" s="608">
        <f ca="1">IF($E$355=0,0,IF(SUM($G190:DQ190)=$B190,0,IF(SUM($G189:CU189)=$B189,$B190,0%)))</f>
        <v>0</v>
      </c>
      <c r="DS190" s="608">
        <f ca="1">IF($E$355=0,0,IF(SUM($G190:DR190)=$B190,0,IF(SUM($G189:CV189)=$B189,$B190,0%)))</f>
        <v>0</v>
      </c>
      <c r="DT190" s="608">
        <f ca="1">IF($E$355=0,0,IF(SUM($G190:DS190)=$B190,0,IF(SUM($G189:CW189)=$B189,$B190,0%)))</f>
        <v>0</v>
      </c>
      <c r="DU190" s="608">
        <f ca="1">IF($E$355=0,0,IF(SUM($G190:DT190)=$B190,0,IF(SUM($G189:CX189)=$B189,$B190,0%)))</f>
        <v>0</v>
      </c>
      <c r="DV190" s="608">
        <f ca="1">IF($E$355=0,0,IF(SUM($G190:DU190)=$B190,0,IF(SUM($G189:CY189)=$B189,$B190,0%)))</f>
        <v>0</v>
      </c>
      <c r="DW190" s="608">
        <f ca="1">IF($E$355=0,0,IF(SUM($G190:DV190)=$B190,0,IF(SUM($G189:CZ189)=$B189,$B190,0%)))</f>
        <v>0</v>
      </c>
      <c r="DX190" s="608">
        <f ca="1">IF($E$355=0,0,IF(SUM($G190:DW190)=$B190,0,IF(SUM($G189:DA189)=$B189,$B190,0%)))</f>
        <v>0</v>
      </c>
      <c r="DY190" s="608">
        <f ca="1">IF($E$355=0,0,IF(SUM($G190:DX190)=$B190,0,IF(SUM($G189:DB189)=$B189,$B190,0%)))</f>
        <v>0</v>
      </c>
      <c r="DZ190" s="608">
        <f ca="1">IF($E$355=0,0,IF(SUM($G190:DY190)=$B190,0,IF(SUM($G189:DC189)=$B189,$B190,0%)))</f>
        <v>0</v>
      </c>
      <c r="EA190" s="608">
        <f ca="1">IF($E$355=0,0,IF(SUM($G190:DZ190)=$B190,0,IF(SUM($G189:DD189)=$B189,$B190,0%)))</f>
        <v>0</v>
      </c>
      <c r="EB190" s="608">
        <f ca="1">IF($E$355=0,0,IF(SUM($G190:EA190)=$B190,0,IF(SUM($G189:DE189)=$B189,$B190,0%)))</f>
        <v>0</v>
      </c>
      <c r="EC190" s="608">
        <f ca="1">IF($E$355=0,0,IF(SUM($G190:EB190)=$B190,0,IF(SUM($G189:DF189)=$B189,$B190,0%)))</f>
        <v>0</v>
      </c>
      <c r="ED190" s="608">
        <f ca="1">IF($E$355=0,0,IF(SUM($G190:EC190)=$B190,0,IF(SUM($G189:DG189)=$B189,$B190,0%)))</f>
        <v>0</v>
      </c>
      <c r="EE190" s="608">
        <f ca="1">IF($E$355=0,0,IF(SUM($G190:ED190)=$B190,0,IF(SUM($G189:DH189)=$B189,$B190,0%)))</f>
        <v>0</v>
      </c>
      <c r="EF190" s="608">
        <f ca="1">IF($E$355=0,0,IF(SUM($G190:EE190)=$B190,0,IF(SUM($G189:DI189)=$B189,$B190,0%)))</f>
        <v>0</v>
      </c>
      <c r="EG190" s="608">
        <f ca="1">IF($E$355=0,0,IF(SUM($G190:EF190)=$B190,0,IF(SUM($G189:DJ189)=$B189,$B190,0%)))</f>
        <v>0</v>
      </c>
      <c r="EH190" s="608">
        <f ca="1">IF($E$355=0,0,IF(SUM($G190:EG190)=$B190,0,IF(SUM($G189:DK189)=$B189,$B190,0%)))</f>
        <v>0</v>
      </c>
      <c r="EI190" s="608">
        <f ca="1">IF($E$355=0,0,IF(SUM($G190:EH190)=$B190,0,IF(SUM($G189:DL189)=$B189,$B190,0%)))</f>
        <v>0</v>
      </c>
      <c r="EJ190" s="398"/>
      <c r="EK190" s="332"/>
    </row>
    <row r="191" spans="1:141" hidden="1" outlineLevel="1" collapsed="1">
      <c r="A191" s="332"/>
      <c r="B191" s="313"/>
      <c r="C191" s="392" t="s">
        <v>118</v>
      </c>
      <c r="D191" s="392" t="s">
        <v>119</v>
      </c>
      <c r="E191" s="393">
        <f ca="1">ROUND(IF(F191=0,0,100%-F191),0)</f>
        <v>0</v>
      </c>
      <c r="F191" s="394">
        <f t="shared" ca="1" si="283"/>
        <v>0.99999999999999989</v>
      </c>
      <c r="G191" s="395">
        <f>SUM(G192:G195)</f>
        <v>0</v>
      </c>
      <c r="H191" s="395">
        <f t="shared" ref="H191:BS191" ca="1" si="408">SUM(H192:H195)</f>
        <v>0</v>
      </c>
      <c r="I191" s="395">
        <f t="shared" ca="1" si="408"/>
        <v>0</v>
      </c>
      <c r="J191" s="395">
        <f t="shared" ca="1" si="408"/>
        <v>0</v>
      </c>
      <c r="K191" s="395">
        <f t="shared" ca="1" si="408"/>
        <v>0</v>
      </c>
      <c r="L191" s="395">
        <f t="shared" ca="1" si="408"/>
        <v>0</v>
      </c>
      <c r="M191" s="395">
        <f t="shared" ca="1" si="408"/>
        <v>0</v>
      </c>
      <c r="N191" s="395">
        <f t="shared" ca="1" si="408"/>
        <v>0</v>
      </c>
      <c r="O191" s="395">
        <f t="shared" ca="1" si="408"/>
        <v>0</v>
      </c>
      <c r="P191" s="395">
        <f t="shared" ca="1" si="408"/>
        <v>0</v>
      </c>
      <c r="Q191" s="395">
        <f t="shared" ca="1" si="408"/>
        <v>0.3</v>
      </c>
      <c r="R191" s="395">
        <f t="shared" ca="1" si="408"/>
        <v>0</v>
      </c>
      <c r="S191" s="395">
        <f t="shared" ca="1" si="408"/>
        <v>0.11131249999999988</v>
      </c>
      <c r="T191" s="395">
        <f t="shared" ca="1" si="408"/>
        <v>0.50374999999999992</v>
      </c>
      <c r="U191" s="395">
        <f t="shared" ca="1" si="408"/>
        <v>3.4937500000000087E-2</v>
      </c>
      <c r="V191" s="395">
        <f t="shared" ca="1" si="408"/>
        <v>2.5000000000000001E-2</v>
      </c>
      <c r="W191" s="395">
        <f t="shared" ca="1" si="408"/>
        <v>0</v>
      </c>
      <c r="X191" s="395">
        <f t="shared" ca="1" si="408"/>
        <v>0</v>
      </c>
      <c r="Y191" s="395">
        <f t="shared" ca="1" si="408"/>
        <v>0</v>
      </c>
      <c r="Z191" s="395">
        <f t="shared" ca="1" si="408"/>
        <v>0</v>
      </c>
      <c r="AA191" s="395">
        <f t="shared" ca="1" si="408"/>
        <v>0</v>
      </c>
      <c r="AB191" s="395">
        <f t="shared" ca="1" si="408"/>
        <v>0</v>
      </c>
      <c r="AC191" s="395">
        <f t="shared" ca="1" si="408"/>
        <v>0</v>
      </c>
      <c r="AD191" s="395">
        <f t="shared" ca="1" si="408"/>
        <v>0</v>
      </c>
      <c r="AE191" s="395">
        <f t="shared" ca="1" si="408"/>
        <v>0</v>
      </c>
      <c r="AF191" s="395">
        <f t="shared" ca="1" si="408"/>
        <v>0</v>
      </c>
      <c r="AG191" s="395">
        <f t="shared" ca="1" si="408"/>
        <v>0</v>
      </c>
      <c r="AH191" s="395">
        <f t="shared" ca="1" si="408"/>
        <v>0</v>
      </c>
      <c r="AI191" s="395">
        <f t="shared" ca="1" si="408"/>
        <v>0</v>
      </c>
      <c r="AJ191" s="395">
        <f t="shared" ca="1" si="408"/>
        <v>0</v>
      </c>
      <c r="AK191" s="395">
        <f t="shared" ca="1" si="408"/>
        <v>0</v>
      </c>
      <c r="AL191" s="395">
        <f t="shared" ca="1" si="408"/>
        <v>0</v>
      </c>
      <c r="AM191" s="395">
        <f t="shared" ca="1" si="408"/>
        <v>0</v>
      </c>
      <c r="AN191" s="395">
        <f t="shared" ca="1" si="408"/>
        <v>0</v>
      </c>
      <c r="AO191" s="395">
        <f t="shared" ca="1" si="408"/>
        <v>0</v>
      </c>
      <c r="AP191" s="395">
        <f t="shared" ca="1" si="408"/>
        <v>0</v>
      </c>
      <c r="AQ191" s="395">
        <f t="shared" ca="1" si="408"/>
        <v>0</v>
      </c>
      <c r="AR191" s="395">
        <f t="shared" ca="1" si="408"/>
        <v>0</v>
      </c>
      <c r="AS191" s="395">
        <f t="shared" ca="1" si="408"/>
        <v>2.5000000000000001E-2</v>
      </c>
      <c r="AT191" s="395">
        <f t="shared" ca="1" si="408"/>
        <v>0</v>
      </c>
      <c r="AU191" s="395">
        <f t="shared" ca="1" si="408"/>
        <v>0</v>
      </c>
      <c r="AV191" s="395">
        <f t="shared" ca="1" si="408"/>
        <v>0</v>
      </c>
      <c r="AW191" s="395">
        <f t="shared" ca="1" si="408"/>
        <v>0</v>
      </c>
      <c r="AX191" s="395">
        <f t="shared" ca="1" si="408"/>
        <v>0</v>
      </c>
      <c r="AY191" s="395">
        <f t="shared" ca="1" si="408"/>
        <v>0</v>
      </c>
      <c r="AZ191" s="395">
        <f t="shared" ca="1" si="408"/>
        <v>0</v>
      </c>
      <c r="BA191" s="395">
        <f t="shared" ca="1" si="408"/>
        <v>0</v>
      </c>
      <c r="BB191" s="395">
        <f t="shared" ca="1" si="408"/>
        <v>0</v>
      </c>
      <c r="BC191" s="395">
        <f t="shared" ca="1" si="408"/>
        <v>0</v>
      </c>
      <c r="BD191" s="395">
        <f t="shared" ca="1" si="408"/>
        <v>0</v>
      </c>
      <c r="BE191" s="395">
        <f t="shared" ca="1" si="408"/>
        <v>0</v>
      </c>
      <c r="BF191" s="395">
        <f t="shared" ca="1" si="408"/>
        <v>0</v>
      </c>
      <c r="BG191" s="395">
        <f t="shared" ca="1" si="408"/>
        <v>0</v>
      </c>
      <c r="BH191" s="395">
        <f t="shared" ca="1" si="408"/>
        <v>0</v>
      </c>
      <c r="BI191" s="395">
        <f t="shared" ca="1" si="408"/>
        <v>0</v>
      </c>
      <c r="BJ191" s="395">
        <f t="shared" ca="1" si="408"/>
        <v>0</v>
      </c>
      <c r="BK191" s="395">
        <f t="shared" ca="1" si="408"/>
        <v>0</v>
      </c>
      <c r="BL191" s="395">
        <f t="shared" ca="1" si="408"/>
        <v>0</v>
      </c>
      <c r="BM191" s="395">
        <f t="shared" ca="1" si="408"/>
        <v>0</v>
      </c>
      <c r="BN191" s="395">
        <f t="shared" ca="1" si="408"/>
        <v>0</v>
      </c>
      <c r="BO191" s="395">
        <f t="shared" ca="1" si="408"/>
        <v>0</v>
      </c>
      <c r="BP191" s="395">
        <f t="shared" ca="1" si="408"/>
        <v>0</v>
      </c>
      <c r="BQ191" s="395">
        <f t="shared" ca="1" si="408"/>
        <v>0</v>
      </c>
      <c r="BR191" s="395">
        <f t="shared" ca="1" si="408"/>
        <v>0</v>
      </c>
      <c r="BS191" s="395">
        <f t="shared" ca="1" si="408"/>
        <v>0</v>
      </c>
      <c r="BT191" s="395">
        <f t="shared" ref="BT191:EE191" ca="1" si="409">SUM(BT192:BT195)</f>
        <v>0</v>
      </c>
      <c r="BU191" s="395">
        <f t="shared" ca="1" si="409"/>
        <v>0</v>
      </c>
      <c r="BV191" s="395">
        <f t="shared" ca="1" si="409"/>
        <v>0</v>
      </c>
      <c r="BW191" s="395">
        <f t="shared" ca="1" si="409"/>
        <v>0</v>
      </c>
      <c r="BX191" s="395">
        <f t="shared" ca="1" si="409"/>
        <v>0</v>
      </c>
      <c r="BY191" s="395">
        <f t="shared" ca="1" si="409"/>
        <v>0</v>
      </c>
      <c r="BZ191" s="395">
        <f t="shared" ca="1" si="409"/>
        <v>0</v>
      </c>
      <c r="CA191" s="395">
        <f t="shared" ca="1" si="409"/>
        <v>0</v>
      </c>
      <c r="CB191" s="395">
        <f t="shared" ca="1" si="409"/>
        <v>0</v>
      </c>
      <c r="CC191" s="395">
        <f t="shared" ca="1" si="409"/>
        <v>0</v>
      </c>
      <c r="CD191" s="395">
        <f t="shared" ca="1" si="409"/>
        <v>0</v>
      </c>
      <c r="CE191" s="395">
        <f t="shared" ca="1" si="409"/>
        <v>0</v>
      </c>
      <c r="CF191" s="395">
        <f t="shared" ca="1" si="409"/>
        <v>0</v>
      </c>
      <c r="CG191" s="395">
        <f t="shared" ca="1" si="409"/>
        <v>0</v>
      </c>
      <c r="CH191" s="395">
        <f t="shared" ca="1" si="409"/>
        <v>0</v>
      </c>
      <c r="CI191" s="395">
        <f t="shared" ca="1" si="409"/>
        <v>0</v>
      </c>
      <c r="CJ191" s="395">
        <f t="shared" ca="1" si="409"/>
        <v>0</v>
      </c>
      <c r="CK191" s="395">
        <f t="shared" ca="1" si="409"/>
        <v>0</v>
      </c>
      <c r="CL191" s="395">
        <f t="shared" ca="1" si="409"/>
        <v>0</v>
      </c>
      <c r="CM191" s="395">
        <f t="shared" ca="1" si="409"/>
        <v>0</v>
      </c>
      <c r="CN191" s="395">
        <f t="shared" ca="1" si="409"/>
        <v>0</v>
      </c>
      <c r="CO191" s="395">
        <f t="shared" ca="1" si="409"/>
        <v>0</v>
      </c>
      <c r="CP191" s="395">
        <f t="shared" ca="1" si="409"/>
        <v>0</v>
      </c>
      <c r="CQ191" s="395">
        <f t="shared" ca="1" si="409"/>
        <v>0</v>
      </c>
      <c r="CR191" s="395">
        <f t="shared" ca="1" si="409"/>
        <v>0</v>
      </c>
      <c r="CS191" s="395">
        <f t="shared" ca="1" si="409"/>
        <v>0</v>
      </c>
      <c r="CT191" s="395">
        <f t="shared" ca="1" si="409"/>
        <v>0</v>
      </c>
      <c r="CU191" s="395">
        <f t="shared" ca="1" si="409"/>
        <v>0</v>
      </c>
      <c r="CV191" s="395">
        <f t="shared" ca="1" si="409"/>
        <v>0</v>
      </c>
      <c r="CW191" s="395">
        <f t="shared" ca="1" si="409"/>
        <v>0</v>
      </c>
      <c r="CX191" s="395">
        <f t="shared" ca="1" si="409"/>
        <v>0</v>
      </c>
      <c r="CY191" s="395">
        <f t="shared" ca="1" si="409"/>
        <v>0</v>
      </c>
      <c r="CZ191" s="395">
        <f t="shared" ca="1" si="409"/>
        <v>0</v>
      </c>
      <c r="DA191" s="395">
        <f t="shared" ca="1" si="409"/>
        <v>0</v>
      </c>
      <c r="DB191" s="395">
        <f t="shared" ca="1" si="409"/>
        <v>0</v>
      </c>
      <c r="DC191" s="395">
        <f t="shared" ca="1" si="409"/>
        <v>0</v>
      </c>
      <c r="DD191" s="395">
        <f t="shared" ca="1" si="409"/>
        <v>0</v>
      </c>
      <c r="DE191" s="395">
        <f t="shared" ca="1" si="409"/>
        <v>0</v>
      </c>
      <c r="DF191" s="395">
        <f t="shared" ca="1" si="409"/>
        <v>0</v>
      </c>
      <c r="DG191" s="395">
        <f t="shared" ca="1" si="409"/>
        <v>0</v>
      </c>
      <c r="DH191" s="395">
        <f t="shared" ca="1" si="409"/>
        <v>0</v>
      </c>
      <c r="DI191" s="395">
        <f t="shared" ca="1" si="409"/>
        <v>0</v>
      </c>
      <c r="DJ191" s="395">
        <f t="shared" ca="1" si="409"/>
        <v>0</v>
      </c>
      <c r="DK191" s="395">
        <f t="shared" ca="1" si="409"/>
        <v>0</v>
      </c>
      <c r="DL191" s="395">
        <f t="shared" ca="1" si="409"/>
        <v>0</v>
      </c>
      <c r="DM191" s="395">
        <f t="shared" ca="1" si="409"/>
        <v>0</v>
      </c>
      <c r="DN191" s="395">
        <f t="shared" ca="1" si="409"/>
        <v>0</v>
      </c>
      <c r="DO191" s="395">
        <f t="shared" ca="1" si="409"/>
        <v>0</v>
      </c>
      <c r="DP191" s="395">
        <f t="shared" ca="1" si="409"/>
        <v>0</v>
      </c>
      <c r="DQ191" s="395">
        <f t="shared" ca="1" si="409"/>
        <v>0</v>
      </c>
      <c r="DR191" s="395">
        <f t="shared" ca="1" si="409"/>
        <v>0</v>
      </c>
      <c r="DS191" s="395">
        <f t="shared" ca="1" si="409"/>
        <v>0</v>
      </c>
      <c r="DT191" s="395">
        <f t="shared" ca="1" si="409"/>
        <v>0</v>
      </c>
      <c r="DU191" s="395">
        <f t="shared" ca="1" si="409"/>
        <v>0</v>
      </c>
      <c r="DV191" s="395">
        <f t="shared" ca="1" si="409"/>
        <v>0</v>
      </c>
      <c r="DW191" s="395">
        <f t="shared" ca="1" si="409"/>
        <v>0</v>
      </c>
      <c r="DX191" s="395">
        <f t="shared" ca="1" si="409"/>
        <v>0</v>
      </c>
      <c r="DY191" s="395">
        <f t="shared" ca="1" si="409"/>
        <v>0</v>
      </c>
      <c r="DZ191" s="395">
        <f t="shared" ca="1" si="409"/>
        <v>0</v>
      </c>
      <c r="EA191" s="395">
        <f t="shared" ca="1" si="409"/>
        <v>0</v>
      </c>
      <c r="EB191" s="395">
        <f t="shared" ca="1" si="409"/>
        <v>0</v>
      </c>
      <c r="EC191" s="395">
        <f t="shared" ca="1" si="409"/>
        <v>0</v>
      </c>
      <c r="ED191" s="395">
        <f t="shared" ca="1" si="409"/>
        <v>0</v>
      </c>
      <c r="EE191" s="395">
        <f t="shared" ca="1" si="409"/>
        <v>0</v>
      </c>
      <c r="EF191" s="395">
        <f t="shared" ref="EF191:EI191" ca="1" si="410">SUM(EF192:EF195)</f>
        <v>0</v>
      </c>
      <c r="EG191" s="395">
        <f t="shared" ca="1" si="410"/>
        <v>0</v>
      </c>
      <c r="EH191" s="395">
        <f t="shared" ca="1" si="410"/>
        <v>0</v>
      </c>
      <c r="EI191" s="395">
        <f t="shared" ca="1" si="410"/>
        <v>0</v>
      </c>
      <c r="EJ191" s="398"/>
      <c r="EK191" s="313"/>
    </row>
    <row r="192" spans="1:141" hidden="1" outlineLevel="2">
      <c r="A192" s="332"/>
      <c r="B192" s="549">
        <f>длительность!B195</f>
        <v>0.3</v>
      </c>
      <c r="C192" s="317"/>
      <c r="D192" s="317" t="s">
        <v>664</v>
      </c>
      <c r="E192" s="318">
        <f t="shared" ref="E192" ca="1" si="411">IF(F192=0,0,B192-F192)</f>
        <v>0</v>
      </c>
      <c r="F192" s="397">
        <f t="shared" ca="1" si="283"/>
        <v>0.3</v>
      </c>
      <c r="G192" s="395"/>
      <c r="H192" s="395">
        <f ca="1">IF(SUM($G192:G192)=$B192,0,IF(J193&gt;0%,$B192,0%))</f>
        <v>0</v>
      </c>
      <c r="I192" s="395">
        <f ca="1">IF(SUM($G192:H192)=$B192,0,IF(K193&gt;0%,$B192,0%))</f>
        <v>0</v>
      </c>
      <c r="J192" s="395">
        <f ca="1">IF(SUM($G192:I192)=$B192,0,IF(L193&gt;0%,$B192,0%))</f>
        <v>0</v>
      </c>
      <c r="K192" s="395">
        <f ca="1">IF(SUM($G192:J192)=$B192,0,IF(M193&gt;0%,$B192,0%))</f>
        <v>0</v>
      </c>
      <c r="L192" s="395">
        <f ca="1">IF(SUM($G192:K192)=$B192,0,IF(N193&gt;0%,$B192,0%))</f>
        <v>0</v>
      </c>
      <c r="M192" s="395">
        <f ca="1">IF(SUM($G192:L192)=$B192,0,IF(O193&gt;0%,$B192,0%))</f>
        <v>0</v>
      </c>
      <c r="N192" s="395">
        <f ca="1">IF(SUM($G192:M192)=$B192,0,IF(P193&gt;0%,$B192,0%))</f>
        <v>0</v>
      </c>
      <c r="O192" s="395">
        <f ca="1">IF(SUM($G192:N192)=$B192,0,IF(Q193&gt;0%,$B192,0%))</f>
        <v>0</v>
      </c>
      <c r="P192" s="395">
        <f ca="1">IF(SUM($G192:O192)=$B192,0,IF(R193&gt;0%,$B192,0%))</f>
        <v>0</v>
      </c>
      <c r="Q192" s="395">
        <f ca="1">IF(SUM($G192:P192)=$B192,0,IF(S193&gt;0%,$B192,0%))</f>
        <v>0.3</v>
      </c>
      <c r="R192" s="395">
        <f ca="1">IF(SUM($G192:Q192)=$B192,0,IF(T193&gt;0%,$B192,0%))</f>
        <v>0</v>
      </c>
      <c r="S192" s="395">
        <f ca="1">IF(SUM($G192:R192)=$B192,0,IF(U193&gt;0%,$B192,0%))</f>
        <v>0</v>
      </c>
      <c r="T192" s="395">
        <f ca="1">IF(SUM($G192:S192)=$B192,0,IF(V193&gt;0%,$B192,0%))</f>
        <v>0</v>
      </c>
      <c r="U192" s="395">
        <f ca="1">IF(SUM($G192:T192)=$B192,0,IF(W193&gt;0%,$B192,0%))</f>
        <v>0</v>
      </c>
      <c r="V192" s="395">
        <f ca="1">IF(SUM($G192:U192)=$B192,0,IF(X193&gt;0%,$B192,0%))</f>
        <v>0</v>
      </c>
      <c r="W192" s="395">
        <f ca="1">IF(SUM($G192:V192)=$B192,0,IF(Y193&gt;0%,$B192,0%))</f>
        <v>0</v>
      </c>
      <c r="X192" s="395">
        <f ca="1">IF(SUM($G192:W192)=$B192,0,IF(Z193&gt;0%,$B192,0%))</f>
        <v>0</v>
      </c>
      <c r="Y192" s="395">
        <f ca="1">IF(SUM($G192:X192)=$B192,0,IF(AA193&gt;0%,$B192,0%))</f>
        <v>0</v>
      </c>
      <c r="Z192" s="395">
        <f ca="1">IF(SUM($G192:Y192)=$B192,0,IF(AB193&gt;0%,$B192,0%))</f>
        <v>0</v>
      </c>
      <c r="AA192" s="395">
        <f ca="1">IF(SUM($G192:Z192)=$B192,0,IF(AC193&gt;0%,$B192,0%))</f>
        <v>0</v>
      </c>
      <c r="AB192" s="395">
        <f ca="1">IF(SUM($G192:AA192)=$B192,0,IF(AD193&gt;0%,$B192,0%))</f>
        <v>0</v>
      </c>
      <c r="AC192" s="395">
        <f ca="1">IF(SUM($G192:AB192)=$B192,0,IF(AE193&gt;0%,$B192,0%))</f>
        <v>0</v>
      </c>
      <c r="AD192" s="395">
        <f ca="1">IF(SUM($G192:AC192)=$B192,0,IF(AF193&gt;0%,$B192,0%))</f>
        <v>0</v>
      </c>
      <c r="AE192" s="395">
        <f ca="1">IF(SUM($G192:AD192)=$B192,0,IF(AG193&gt;0%,$B192,0%))</f>
        <v>0</v>
      </c>
      <c r="AF192" s="395">
        <f ca="1">IF(SUM($G192:AE192)=$B192,0,IF(AH193&gt;0%,$B192,0%))</f>
        <v>0</v>
      </c>
      <c r="AG192" s="395">
        <f ca="1">IF(SUM($G192:AF192)=$B192,0,IF(AI193&gt;0%,$B192,0%))</f>
        <v>0</v>
      </c>
      <c r="AH192" s="395">
        <f ca="1">IF(SUM($G192:AG192)=$B192,0,IF(AJ193&gt;0%,$B192,0%))</f>
        <v>0</v>
      </c>
      <c r="AI192" s="395">
        <f ca="1">IF(SUM($G192:AH192)=$B192,0,IF(AK193&gt;0%,$B192,0%))</f>
        <v>0</v>
      </c>
      <c r="AJ192" s="395">
        <f ca="1">IF(SUM($G192:AI192)=$B192,0,IF(AL193&gt;0%,$B192,0%))</f>
        <v>0</v>
      </c>
      <c r="AK192" s="395">
        <f ca="1">IF(SUM($G192:AJ192)=$B192,0,IF(AM193&gt;0%,$B192,0%))</f>
        <v>0</v>
      </c>
      <c r="AL192" s="395">
        <f ca="1">IF(SUM($G192:AK192)=$B192,0,IF(AN193&gt;0%,$B192,0%))</f>
        <v>0</v>
      </c>
      <c r="AM192" s="395">
        <f ca="1">IF(SUM($G192:AL192)=$B192,0,IF(AO193&gt;0%,$B192,0%))</f>
        <v>0</v>
      </c>
      <c r="AN192" s="395">
        <f ca="1">IF(SUM($G192:AM192)=$B192,0,IF(AP193&gt;0%,$B192,0%))</f>
        <v>0</v>
      </c>
      <c r="AO192" s="395">
        <f ca="1">IF(SUM($G192:AN192)=$B192,0,IF(AQ193&gt;0%,$B192,0%))</f>
        <v>0</v>
      </c>
      <c r="AP192" s="395">
        <f ca="1">IF(SUM($G192:AO192)=$B192,0,IF(AR193&gt;0%,$B192,0%))</f>
        <v>0</v>
      </c>
      <c r="AQ192" s="395">
        <f ca="1">IF(SUM($G192:AP192)=$B192,0,IF(AS193&gt;0%,$B192,0%))</f>
        <v>0</v>
      </c>
      <c r="AR192" s="395">
        <f ca="1">IF(SUM($G192:AQ192)=$B192,0,IF(AT193&gt;0%,$B192,0%))</f>
        <v>0</v>
      </c>
      <c r="AS192" s="395">
        <f ca="1">IF(SUM($G192:AR192)=$B192,0,IF(AU193&gt;0%,$B192,0%))</f>
        <v>0</v>
      </c>
      <c r="AT192" s="395">
        <f ca="1">IF(SUM($G192:AS192)=$B192,0,IF(AV193&gt;0%,$B192,0%))</f>
        <v>0</v>
      </c>
      <c r="AU192" s="395">
        <f ca="1">IF(SUM($G192:AT192)=$B192,0,IF(AW193&gt;0%,$B192,0%))</f>
        <v>0</v>
      </c>
      <c r="AV192" s="395">
        <f ca="1">IF(SUM($G192:AU192)=$B192,0,IF(AX193&gt;0%,$B192,0%))</f>
        <v>0</v>
      </c>
      <c r="AW192" s="395">
        <f ca="1">IF(SUM($G192:AV192)=$B192,0,IF(AY193&gt;0%,$B192,0%))</f>
        <v>0</v>
      </c>
      <c r="AX192" s="395">
        <f ca="1">IF(SUM($G192:AW192)=$B192,0,IF(AZ193&gt;0%,$B192,0%))</f>
        <v>0</v>
      </c>
      <c r="AY192" s="395">
        <f ca="1">IF(SUM($G192:AX192)=$B192,0,IF(BA193&gt;0%,$B192,0%))</f>
        <v>0</v>
      </c>
      <c r="AZ192" s="395">
        <f ca="1">IF(SUM($G192:AY192)=$B192,0,IF(BB193&gt;0%,$B192,0%))</f>
        <v>0</v>
      </c>
      <c r="BA192" s="395">
        <f ca="1">IF(SUM($G192:AZ192)=$B192,0,IF(BC193&gt;0%,$B192,0%))</f>
        <v>0</v>
      </c>
      <c r="BB192" s="395">
        <f ca="1">IF(SUM($G192:BA192)=$B192,0,IF(BD193&gt;0%,$B192,0%))</f>
        <v>0</v>
      </c>
      <c r="BC192" s="395">
        <f ca="1">IF(SUM($G192:BB192)=$B192,0,IF(BE193&gt;0%,$B192,0%))</f>
        <v>0</v>
      </c>
      <c r="BD192" s="395">
        <f ca="1">IF(SUM($G192:BC192)=$B192,0,IF(BF193&gt;0%,$B192,0%))</f>
        <v>0</v>
      </c>
      <c r="BE192" s="395">
        <f ca="1">IF(SUM($G192:BD192)=$B192,0,IF(BG193&gt;0%,$B192,0%))</f>
        <v>0</v>
      </c>
      <c r="BF192" s="395">
        <f ca="1">IF(SUM($G192:BE192)=$B192,0,IF(BH193&gt;0%,$B192,0%))</f>
        <v>0</v>
      </c>
      <c r="BG192" s="395">
        <f ca="1">IF(SUM($G192:BF192)=$B192,0,IF(BI193&gt;0%,$B192,0%))</f>
        <v>0</v>
      </c>
      <c r="BH192" s="395">
        <f ca="1">IF(SUM($G192:BG192)=$B192,0,IF(BJ193&gt;0%,$B192,0%))</f>
        <v>0</v>
      </c>
      <c r="BI192" s="395">
        <f ca="1">IF(SUM($G192:BH192)=$B192,0,IF(BK193&gt;0%,$B192,0%))</f>
        <v>0</v>
      </c>
      <c r="BJ192" s="395">
        <f ca="1">IF(SUM($G192:BI192)=$B192,0,IF(BL193&gt;0%,$B192,0%))</f>
        <v>0</v>
      </c>
      <c r="BK192" s="395">
        <f ca="1">IF(SUM($G192:BJ192)=$B192,0,IF(BM193&gt;0%,$B192,0%))</f>
        <v>0</v>
      </c>
      <c r="BL192" s="395">
        <f ca="1">IF(SUM($G192:BK192)=$B192,0,IF(BN193&gt;0%,$B192,0%))</f>
        <v>0</v>
      </c>
      <c r="BM192" s="395">
        <f ca="1">IF(SUM($G192:BL192)=$B192,0,IF(BO193&gt;0%,$B192,0%))</f>
        <v>0</v>
      </c>
      <c r="BN192" s="395">
        <f ca="1">IF(SUM($G192:BM192)=$B192,0,IF(BP193&gt;0%,$B192,0%))</f>
        <v>0</v>
      </c>
      <c r="BO192" s="395">
        <f ca="1">IF(SUM($G192:BN192)=$B192,0,IF(BQ193&gt;0%,$B192,0%))</f>
        <v>0</v>
      </c>
      <c r="BP192" s="395">
        <f ca="1">IF(SUM($G192:BO192)=$B192,0,IF(BR193&gt;0%,$B192,0%))</f>
        <v>0</v>
      </c>
      <c r="BQ192" s="395">
        <f ca="1">IF(SUM($G192:BP192)=$B192,0,IF(BS193&gt;0%,$B192,0%))</f>
        <v>0</v>
      </c>
      <c r="BR192" s="395">
        <f ca="1">IF(SUM($G192:BQ192)=$B192,0,IF(BT193&gt;0%,$B192,0%))</f>
        <v>0</v>
      </c>
      <c r="BS192" s="395">
        <f ca="1">IF(SUM($G192:BR192)=$B192,0,IF(BU193&gt;0%,$B192,0%))</f>
        <v>0</v>
      </c>
      <c r="BT192" s="395">
        <f ca="1">IF(SUM($G192:BS192)=$B192,0,IF(BV193&gt;0%,$B192,0%))</f>
        <v>0</v>
      </c>
      <c r="BU192" s="395">
        <f ca="1">IF(SUM($G192:BT192)=$B192,0,IF(BW193&gt;0%,$B192,0%))</f>
        <v>0</v>
      </c>
      <c r="BV192" s="395">
        <f ca="1">IF(SUM($G192:BU192)=$B192,0,IF(BX193&gt;0%,$B192,0%))</f>
        <v>0</v>
      </c>
      <c r="BW192" s="395">
        <f ca="1">IF(SUM($G192:BV192)=$B192,0,IF(BY193&gt;0%,$B192,0%))</f>
        <v>0</v>
      </c>
      <c r="BX192" s="395">
        <f ca="1">IF(SUM($G192:BW192)=$B192,0,IF(BZ193&gt;0%,$B192,0%))</f>
        <v>0</v>
      </c>
      <c r="BY192" s="395">
        <f ca="1">IF(SUM($G192:BX192)=$B192,0,IF(CA193&gt;0%,$B192,0%))</f>
        <v>0</v>
      </c>
      <c r="BZ192" s="395">
        <f ca="1">IF(SUM($G192:BY192)=$B192,0,IF(CB193&gt;0%,$B192,0%))</f>
        <v>0</v>
      </c>
      <c r="CA192" s="395">
        <f ca="1">IF(SUM($G192:BZ192)=$B192,0,IF(CC193&gt;0%,$B192,0%))</f>
        <v>0</v>
      </c>
      <c r="CB192" s="395">
        <f ca="1">IF(SUM($G192:CA192)=$B192,0,IF(CD193&gt;0%,$B192,0%))</f>
        <v>0</v>
      </c>
      <c r="CC192" s="395">
        <f ca="1">IF(SUM($G192:CB192)=$B192,0,IF(CE193&gt;0%,$B192,0%))</f>
        <v>0</v>
      </c>
      <c r="CD192" s="395">
        <f ca="1">IF(SUM($G192:CC192)=$B192,0,IF(CF193&gt;0%,$B192,0%))</f>
        <v>0</v>
      </c>
      <c r="CE192" s="395">
        <f ca="1">IF(SUM($G192:CD192)=$B192,0,IF(CG193&gt;0%,$B192,0%))</f>
        <v>0</v>
      </c>
      <c r="CF192" s="395">
        <f ca="1">IF(SUM($G192:CE192)=$B192,0,IF(CH193&gt;0%,$B192,0%))</f>
        <v>0</v>
      </c>
      <c r="CG192" s="395">
        <f ca="1">IF(SUM($G192:CF192)=$B192,0,IF(CI193&gt;0%,$B192,0%))</f>
        <v>0</v>
      </c>
      <c r="CH192" s="395">
        <f ca="1">IF(SUM($G192:CG192)=$B192,0,IF(CJ193&gt;0%,$B192,0%))</f>
        <v>0</v>
      </c>
      <c r="CI192" s="395">
        <f ca="1">IF(SUM($G192:CH192)=$B192,0,IF(CK193&gt;0%,$B192,0%))</f>
        <v>0</v>
      </c>
      <c r="CJ192" s="395">
        <f ca="1">IF(SUM($G192:CI192)=$B192,0,IF(CL193&gt;0%,$B192,0%))</f>
        <v>0</v>
      </c>
      <c r="CK192" s="395">
        <f ca="1">IF(SUM($G192:CJ192)=$B192,0,IF(CM193&gt;0%,$B192,0%))</f>
        <v>0</v>
      </c>
      <c r="CL192" s="395">
        <f ca="1">IF(SUM($G192:CK192)=$B192,0,IF(CN193&gt;0%,$B192,0%))</f>
        <v>0</v>
      </c>
      <c r="CM192" s="395">
        <f ca="1">IF(SUM($G192:CL192)=$B192,0,IF(CO193&gt;0%,$B192,0%))</f>
        <v>0</v>
      </c>
      <c r="CN192" s="395">
        <f ca="1">IF(SUM($G192:CM192)=$B192,0,IF(CP193&gt;0%,$B192,0%))</f>
        <v>0</v>
      </c>
      <c r="CO192" s="395">
        <f ca="1">IF(SUM($G192:CN192)=$B192,0,IF(CQ193&gt;0%,$B192,0%))</f>
        <v>0</v>
      </c>
      <c r="CP192" s="395">
        <f ca="1">IF(SUM($G192:CO192)=$B192,0,IF(CR193&gt;0%,$B192,0%))</f>
        <v>0</v>
      </c>
      <c r="CQ192" s="395">
        <f ca="1">IF(SUM($G192:CP192)=$B192,0,IF(CS193&gt;0%,$B192,0%))</f>
        <v>0</v>
      </c>
      <c r="CR192" s="395">
        <f ca="1">IF(SUM($G192:CQ192)=$B192,0,IF(CT193&gt;0%,$B192,0%))</f>
        <v>0</v>
      </c>
      <c r="CS192" s="395">
        <f ca="1">IF(SUM($G192:CR192)=$B192,0,IF(CU193&gt;0%,$B192,0%))</f>
        <v>0</v>
      </c>
      <c r="CT192" s="395">
        <f ca="1">IF(SUM($G192:CS192)=$B192,0,IF(CV193&gt;0%,$B192,0%))</f>
        <v>0</v>
      </c>
      <c r="CU192" s="395">
        <f ca="1">IF(SUM($G192:CT192)=$B192,0,IF(CW193&gt;0%,$B192,0%))</f>
        <v>0</v>
      </c>
      <c r="CV192" s="395">
        <f ca="1">IF(SUM($G192:CU192)=$B192,0,IF(CX193&gt;0%,$B192,0%))</f>
        <v>0</v>
      </c>
      <c r="CW192" s="395">
        <f ca="1">IF(SUM($G192:CV192)=$B192,0,IF(CY193&gt;0%,$B192,0%))</f>
        <v>0</v>
      </c>
      <c r="CX192" s="395">
        <f ca="1">IF(SUM($G192:CW192)=$B192,0,IF(CZ193&gt;0%,$B192,0%))</f>
        <v>0</v>
      </c>
      <c r="CY192" s="395">
        <f ca="1">IF(SUM($G192:CX192)=$B192,0,IF(DA193&gt;0%,$B192,0%))</f>
        <v>0</v>
      </c>
      <c r="CZ192" s="395">
        <f ca="1">IF(SUM($G192:CY192)=$B192,0,IF(DB193&gt;0%,$B192,0%))</f>
        <v>0</v>
      </c>
      <c r="DA192" s="395">
        <f ca="1">IF(SUM($G192:CZ192)=$B192,0,IF(DC193&gt;0%,$B192,0%))</f>
        <v>0</v>
      </c>
      <c r="DB192" s="395">
        <f ca="1">IF(SUM($G192:DA192)=$B192,0,IF(DD193&gt;0%,$B192,0%))</f>
        <v>0</v>
      </c>
      <c r="DC192" s="395">
        <f ca="1">IF(SUM($G192:DB192)=$B192,0,IF(DE193&gt;0%,$B192,0%))</f>
        <v>0</v>
      </c>
      <c r="DD192" s="395">
        <f ca="1">IF(SUM($G192:DC192)=$B192,0,IF(DF193&gt;0%,$B192,0%))</f>
        <v>0</v>
      </c>
      <c r="DE192" s="395">
        <f ca="1">IF(SUM($G192:DD192)=$B192,0,IF(DG193&gt;0%,$B192,0%))</f>
        <v>0</v>
      </c>
      <c r="DF192" s="395">
        <f ca="1">IF(SUM($G192:DE192)=$B192,0,IF(DH193&gt;0%,$B192,0%))</f>
        <v>0</v>
      </c>
      <c r="DG192" s="395">
        <f ca="1">IF(SUM($G192:DF192)=$B192,0,IF(DI193&gt;0%,$B192,0%))</f>
        <v>0</v>
      </c>
      <c r="DH192" s="395">
        <f ca="1">IF(SUM($G192:DG192)=$B192,0,IF(DJ193&gt;0%,$B192,0%))</f>
        <v>0</v>
      </c>
      <c r="DI192" s="395">
        <f ca="1">IF(SUM($G192:DH192)=$B192,0,IF(DK193&gt;0%,$B192,0%))</f>
        <v>0</v>
      </c>
      <c r="DJ192" s="395">
        <f ca="1">IF(SUM($G192:DI192)=$B192,0,IF(DL193&gt;0%,$B192,0%))</f>
        <v>0</v>
      </c>
      <c r="DK192" s="395">
        <f ca="1">IF(SUM($G192:DJ192)=$B192,0,IF(DM193&gt;0%,$B192,0%))</f>
        <v>0</v>
      </c>
      <c r="DL192" s="395">
        <f ca="1">IF(SUM($G192:DK192)=$B192,0,IF(DN193&gt;0%,$B192,0%))</f>
        <v>0</v>
      </c>
      <c r="DM192" s="395">
        <f ca="1">IF(SUM($G192:DL192)=$B192,0,IF(DO193&gt;0%,$B192,0%))</f>
        <v>0</v>
      </c>
      <c r="DN192" s="395">
        <f ca="1">IF(SUM($G192:DM192)=$B192,0,IF(DP193&gt;0%,$B192,0%))</f>
        <v>0</v>
      </c>
      <c r="DO192" s="395">
        <f ca="1">IF(SUM($G192:DN192)=$B192,0,IF(DQ193&gt;0%,$B192,0%))</f>
        <v>0</v>
      </c>
      <c r="DP192" s="395">
        <f ca="1">IF(SUM($G192:DO192)=$B192,0,IF(DR193&gt;0%,$B192,0%))</f>
        <v>0</v>
      </c>
      <c r="DQ192" s="395">
        <f ca="1">IF(SUM($G192:DP192)=$B192,0,IF(DS193&gt;0%,$B192,0%))</f>
        <v>0</v>
      </c>
      <c r="DR192" s="395">
        <f ca="1">IF(SUM($G192:DQ192)=$B192,0,IF(DT193&gt;0%,$B192,0%))</f>
        <v>0</v>
      </c>
      <c r="DS192" s="395">
        <f ca="1">IF(SUM($G192:DR192)=$B192,0,IF(DU193&gt;0%,$B192,0%))</f>
        <v>0</v>
      </c>
      <c r="DT192" s="395">
        <f ca="1">IF(SUM($G192:DS192)=$B192,0,IF(DV193&gt;0%,$B192,0%))</f>
        <v>0</v>
      </c>
      <c r="DU192" s="395">
        <f ca="1">IF(SUM($G192:DT192)=$B192,0,IF(DW193&gt;0%,$B192,0%))</f>
        <v>0</v>
      </c>
      <c r="DV192" s="395">
        <f ca="1">IF(SUM($G192:DU192)=$B192,0,IF(DX193&gt;0%,$B192,0%))</f>
        <v>0</v>
      </c>
      <c r="DW192" s="395">
        <f ca="1">IF(SUM($G192:DV192)=$B192,0,IF(DY193&gt;0%,$B192,0%))</f>
        <v>0</v>
      </c>
      <c r="DX192" s="395">
        <f ca="1">IF(SUM($G192:DW192)=$B192,0,IF(DZ193&gt;0%,$B192,0%))</f>
        <v>0</v>
      </c>
      <c r="DY192" s="395">
        <f ca="1">IF(SUM($G192:DX192)=$B192,0,IF(EA193&gt;0%,$B192,0%))</f>
        <v>0</v>
      </c>
      <c r="DZ192" s="395">
        <f ca="1">IF(SUM($G192:DY192)=$B192,0,IF(EB193&gt;0%,$B192,0%))</f>
        <v>0</v>
      </c>
      <c r="EA192" s="395">
        <f ca="1">IF(SUM($G192:DZ192)=$B192,0,IF(EC193&gt;0%,$B192,0%))</f>
        <v>0</v>
      </c>
      <c r="EB192" s="395">
        <f ca="1">IF(SUM($G192:EA192)=$B192,0,IF(ED193&gt;0%,$B192,0%))</f>
        <v>0</v>
      </c>
      <c r="EC192" s="395">
        <f ca="1">IF(SUM($G192:EB192)=$B192,0,IF(EE193&gt;0%,$B192,0%))</f>
        <v>0</v>
      </c>
      <c r="ED192" s="395">
        <f ca="1">IF(SUM($G192:EC192)=$B192,0,IF(EF193&gt;0%,$B192,0%))</f>
        <v>0</v>
      </c>
      <c r="EE192" s="395">
        <f ca="1">IF(SUM($G192:ED192)=$B192,0,IF(EG193&gt;0%,$B192,0%))</f>
        <v>0</v>
      </c>
      <c r="EF192" s="395">
        <f ca="1">IF(SUM($G192:EE192)=$B192,0,IF(EH193&gt;0%,$B192,0%))</f>
        <v>0</v>
      </c>
      <c r="EG192" s="395">
        <f ca="1">IF(SUM($G192:EF192)=$B192,0,IF(EI193&gt;0%,$B192,0%))</f>
        <v>0</v>
      </c>
      <c r="EH192" s="395">
        <f ca="1">IF(SUM($G192:EG192)=$B192,0,IF(EJ193&gt;0%,$B192,0%))</f>
        <v>0</v>
      </c>
      <c r="EI192" s="395">
        <f ca="1">IF(SUM($G192:EH192)=$B192,0,IF(EK193&gt;0%,$B192,0%))</f>
        <v>0</v>
      </c>
      <c r="EJ192" s="398"/>
      <c r="EK192" s="313"/>
    </row>
    <row r="193" spans="1:141" hidden="1" outlineLevel="2">
      <c r="A193" s="332"/>
      <c r="B193" s="549">
        <f>длительность!C195</f>
        <v>0.64999999999999991</v>
      </c>
      <c r="C193" s="317"/>
      <c r="D193" s="317" t="s">
        <v>663</v>
      </c>
      <c r="E193" s="318">
        <f ca="1">ROUND(IF(F193=0,0,B193-F193),3)</f>
        <v>0</v>
      </c>
      <c r="F193" s="397">
        <f t="shared" ca="1" si="283"/>
        <v>0.64999999999999991</v>
      </c>
      <c r="G193" s="395"/>
      <c r="H193" s="395"/>
      <c r="I193" s="395">
        <f ca="1">IF($E$365=0,0,IF(SUM($G193:H193)=$B193,0,IF(SUM($G365:H365)&gt;=$E365,($B193/$E365)*($E365-SUM($G365:G365)),($B193/$E365)*H365)))</f>
        <v>0</v>
      </c>
      <c r="J193" s="395">
        <f ca="1">IF($E$365=0,0,IF(SUM($G193:I193)=$B193,0,IF(SUM($G365:I365)&gt;=$E365,($B193/$E365)*($E365-SUM($G365:H365)),($B193/$E365)*I365)))</f>
        <v>0</v>
      </c>
      <c r="K193" s="395">
        <f ca="1">IF($E$365=0,0,IF(SUM($G193:J193)=$B193,0,IF(SUM($G365:J365)&gt;=$E365,($B193/$E365)*($E365-SUM($G365:I365)),($B193/$E365)*J365)))</f>
        <v>0</v>
      </c>
      <c r="L193" s="395">
        <f ca="1">IF($E$365=0,0,IF(SUM($G193:K193)=$B193,0,IF(SUM($G365:K365)&gt;=$E365,($B193/$E365)*($E365-SUM($G365:J365)),($B193/$E365)*K365)))</f>
        <v>0</v>
      </c>
      <c r="M193" s="395">
        <f ca="1">IF($E$365=0,0,IF(SUM($G193:L193)=$B193,0,IF(SUM($G365:L365)&gt;=$E365,($B193/$E365)*($E365-SUM($G365:K365)),($B193/$E365)*L365)))</f>
        <v>0</v>
      </c>
      <c r="N193" s="395">
        <f ca="1">IF($E$365=0,0,IF(SUM($G193:M193)=$B193,0,IF(SUM($G365:M365)&gt;=$E365,($B193/$E365)*($E365-SUM($G365:L365)),($B193/$E365)*M365)))</f>
        <v>0</v>
      </c>
      <c r="O193" s="395">
        <f ca="1">IF($E$365=0,0,IF(SUM($G193:N193)=$B193,0,IF(SUM($G365:N365)&gt;=$E365,($B193/$E365)*($E365-SUM($G365:M365)),($B193/$E365)*N365)))</f>
        <v>0</v>
      </c>
      <c r="P193" s="395">
        <f ca="1">IF($E$365=0,0,IF(SUM($G193:O193)=$B193,0,IF(SUM($G365:O365)&gt;=$E365,($B193/$E365)*($E365-SUM($G365:N365)),($B193/$E365)*O365)))</f>
        <v>0</v>
      </c>
      <c r="Q193" s="395">
        <f ca="1">IF($E$365=0,0,IF(SUM($G193:P193)=$B193,0,IF(SUM($G365:P365)&gt;=$E365,($B193/$E365)*($E365-SUM($G365:O365)),($B193/$E365)*P365)))</f>
        <v>0</v>
      </c>
      <c r="R193" s="395">
        <f ca="1">IF($E$365=0,0,IF(SUM($G193:Q193)=$B193,0,IF(SUM($G365:Q365)&gt;=$E365,($B193/$E365)*($E365-SUM($G365:P365)),($B193/$E365)*Q365)))</f>
        <v>0</v>
      </c>
      <c r="S193" s="395">
        <f ca="1">IF($E$365=0,0,IF(SUM($G193:R193)=$B193,0,IF(SUM($G365:R365)&gt;=$E365,($B193/$E365)*($E365-SUM($G365:Q365)),($B193/$E365)*R365)))</f>
        <v>0.11131249999999988</v>
      </c>
      <c r="T193" s="395">
        <f ca="1">IF($E$365=0,0,IF(SUM($G193:S193)=$B193,0,IF(SUM($G365:S365)&gt;=$E365,($B193/$E365)*($E365-SUM($G365:R365)),($B193/$E365)*S365)))</f>
        <v>0.50374999999999992</v>
      </c>
      <c r="U193" s="395">
        <f ca="1">IF($E$365=0,0,IF(SUM($G193:T193)=$B193,0,IF(SUM($G365:T365)&gt;=$E365,($B193/$E365)*($E365-SUM($G365:S365)),($B193/$E365)*T365)))</f>
        <v>3.4937500000000087E-2</v>
      </c>
      <c r="V193" s="395">
        <f ca="1">IF($E$365=0,0,IF(SUM($G193:U193)=$B193,0,IF(SUM($G365:U365)&gt;=$E365,($B193/$E365)*($E365-SUM($G365:T365)),($B193/$E365)*U365)))</f>
        <v>0</v>
      </c>
      <c r="W193" s="395">
        <f ca="1">IF($E$365=0,0,IF(SUM($G193:V193)=$B193,0,IF(SUM($G365:V365)&gt;=$E365,($B193/$E365)*($E365-SUM($G365:U365)),($B193/$E365)*V365)))</f>
        <v>0</v>
      </c>
      <c r="X193" s="395">
        <f ca="1">IF($E$365=0,0,IF(SUM($G193:W193)=$B193,0,IF(SUM($G365:W365)&gt;=$E365,($B193/$E365)*($E365-SUM($G365:V365)),($B193/$E365)*W365)))</f>
        <v>0</v>
      </c>
      <c r="Y193" s="395">
        <f ca="1">IF($E$365=0,0,IF(SUM($G193:X193)=$B193,0,IF(SUM($G365:X365)&gt;=$E365,($B193/$E365)*($E365-SUM($G365:W365)),($B193/$E365)*X365)))</f>
        <v>0</v>
      </c>
      <c r="Z193" s="395">
        <f ca="1">IF($E$365=0,0,IF(SUM($G193:Y193)=$B193,0,IF(SUM($G365:Y365)&gt;=$E365,($B193/$E365)*($E365-SUM($G365:X365)),($B193/$E365)*Y365)))</f>
        <v>0</v>
      </c>
      <c r="AA193" s="395">
        <f ca="1">IF($E$365=0,0,IF(SUM($G193:Z193)=$B193,0,IF(SUM($G365:Z365)&gt;=$E365,($B193/$E365)*($E365-SUM($G365:Y365)),($B193/$E365)*Z365)))</f>
        <v>0</v>
      </c>
      <c r="AB193" s="395">
        <f ca="1">IF($E$365=0,0,IF(SUM($G193:AA193)=$B193,0,IF(SUM($G365:AA365)&gt;=$E365,($B193/$E365)*($E365-SUM($G365:Z365)),($B193/$E365)*AA365)))</f>
        <v>0</v>
      </c>
      <c r="AC193" s="395">
        <f ca="1">IF($E$365=0,0,IF(SUM($G193:AB193)=$B193,0,IF(SUM($G365:AB365)&gt;=$E365,($B193/$E365)*($E365-SUM($G365:AA365)),($B193/$E365)*AB365)))</f>
        <v>0</v>
      </c>
      <c r="AD193" s="395">
        <f ca="1">IF($E$365=0,0,IF(SUM($G193:AC193)=$B193,0,IF(SUM($G365:AC365)&gt;=$E365,($B193/$E365)*($E365-SUM($G365:AB365)),($B193/$E365)*AC365)))</f>
        <v>0</v>
      </c>
      <c r="AE193" s="395">
        <f ca="1">IF($E$365=0,0,IF(SUM($G193:AD193)=$B193,0,IF(SUM($G365:AD365)&gt;=$E365,($B193/$E365)*($E365-SUM($G365:AC365)),($B193/$E365)*AD365)))</f>
        <v>0</v>
      </c>
      <c r="AF193" s="395">
        <f ca="1">IF($E$365=0,0,IF(SUM($G193:AE193)=$B193,0,IF(SUM($G365:AE365)&gt;=$E365,($B193/$E365)*($E365-SUM($G365:AD365)),($B193/$E365)*AE365)))</f>
        <v>0</v>
      </c>
      <c r="AG193" s="395">
        <f ca="1">IF($E$365=0,0,IF(SUM($G193:AF193)=$B193,0,IF(SUM($G365:AF365)&gt;=$E365,($B193/$E365)*($E365-SUM($G365:AE365)),($B193/$E365)*AF365)))</f>
        <v>0</v>
      </c>
      <c r="AH193" s="395">
        <f ca="1">IF($E$365=0,0,IF(SUM($G193:AG193)=$B193,0,IF(SUM($G365:AG365)&gt;=$E365,($B193/$E365)*($E365-SUM($G365:AF365)),($B193/$E365)*AG365)))</f>
        <v>0</v>
      </c>
      <c r="AI193" s="395">
        <f ca="1">IF($E$365=0,0,IF(SUM($G193:AH193)=$B193,0,IF(SUM($G365:AH365)&gt;=$E365,($B193/$E365)*($E365-SUM($G365:AG365)),($B193/$E365)*AH365)))</f>
        <v>0</v>
      </c>
      <c r="AJ193" s="395">
        <f ca="1">IF($E$365=0,0,IF(SUM($G193:AI193)=$B193,0,IF(SUM($G365:AI365)&gt;=$E365,($B193/$E365)*($E365-SUM($G365:AH365)),($B193/$E365)*AI365)))</f>
        <v>0</v>
      </c>
      <c r="AK193" s="395">
        <f ca="1">IF($E$365=0,0,IF(SUM($G193:AJ193)=$B193,0,IF(SUM($G365:AJ365)&gt;=$E365,($B193/$E365)*($E365-SUM($G365:AI365)),($B193/$E365)*AJ365)))</f>
        <v>0</v>
      </c>
      <c r="AL193" s="395">
        <f ca="1">IF($E$365=0,0,IF(SUM($G193:AK193)=$B193,0,IF(SUM($G365:AK365)&gt;=$E365,($B193/$E365)*($E365-SUM($G365:AJ365)),($B193/$E365)*AK365)))</f>
        <v>0</v>
      </c>
      <c r="AM193" s="395">
        <f ca="1">IF($E$365=0,0,IF(SUM($G193:AL193)=$B193,0,IF(SUM($G365:AL365)&gt;=$E365,($B193/$E365)*($E365-SUM($G365:AK365)),($B193/$E365)*AL365)))</f>
        <v>0</v>
      </c>
      <c r="AN193" s="395">
        <f ca="1">IF($E$365=0,0,IF(SUM($G193:AM193)=$B193,0,IF(SUM($G365:AM365)&gt;=$E365,($B193/$E365)*($E365-SUM($G365:AL365)),($B193/$E365)*AM365)))</f>
        <v>0</v>
      </c>
      <c r="AO193" s="395">
        <f ca="1">IF($E$365=0,0,IF(SUM($G193:AN193)=$B193,0,IF(SUM($G365:AN365)&gt;=$E365,($B193/$E365)*($E365-SUM($G365:AM365)),($B193/$E365)*AN365)))</f>
        <v>0</v>
      </c>
      <c r="AP193" s="395">
        <f ca="1">IF($E$365=0,0,IF(SUM($G193:AO193)=$B193,0,IF(SUM($G365:AO365)&gt;=$E365,($B193/$E365)*($E365-SUM($G365:AN365)),($B193/$E365)*AO365)))</f>
        <v>0</v>
      </c>
      <c r="AQ193" s="395">
        <f ca="1">IF($E$365=0,0,IF(SUM($G193:AP193)=$B193,0,IF(SUM($G365:AP365)&gt;=$E365,($B193/$E365)*($E365-SUM($G365:AO365)),($B193/$E365)*AP365)))</f>
        <v>0</v>
      </c>
      <c r="AR193" s="395">
        <f ca="1">IF($E$365=0,0,IF(SUM($G193:AQ193)=$B193,0,IF(SUM($G365:AQ365)&gt;=$E365,($B193/$E365)*($E365-SUM($G365:AP365)),($B193/$E365)*AQ365)))</f>
        <v>0</v>
      </c>
      <c r="AS193" s="395">
        <f ca="1">IF($E$365=0,0,IF(SUM($G193:AR193)=$B193,0,IF(SUM($G365:AR365)&gt;=$E365,($B193/$E365)*($E365-SUM($G365:AQ365)),($B193/$E365)*AR365)))</f>
        <v>0</v>
      </c>
      <c r="AT193" s="395">
        <f ca="1">IF($E$365=0,0,IF(SUM($G193:AS193)=$B193,0,IF(SUM($G365:AS365)&gt;=$E365,($B193/$E365)*($E365-SUM($G365:AR365)),($B193/$E365)*AS365)))</f>
        <v>0</v>
      </c>
      <c r="AU193" s="395">
        <f ca="1">IF($E$365=0,0,IF(SUM($G193:AT193)=$B193,0,IF(SUM($G365:AT365)&gt;=$E365,($B193/$E365)*($E365-SUM($G365:AS365)),($B193/$E365)*AT365)))</f>
        <v>0</v>
      </c>
      <c r="AV193" s="395">
        <f ca="1">IF($E$365=0,0,IF(SUM($G193:AU193)=$B193,0,IF(SUM($G365:AU365)&gt;=$E365,($B193/$E365)*($E365-SUM($G365:AT365)),($B193/$E365)*AU365)))</f>
        <v>0</v>
      </c>
      <c r="AW193" s="395">
        <f ca="1">IF($E$365=0,0,IF(SUM($G193:AV193)=$B193,0,IF(SUM($G365:AV365)&gt;=$E365,($B193/$E365)*($E365-SUM($G365:AU365)),($B193/$E365)*AV365)))</f>
        <v>0</v>
      </c>
      <c r="AX193" s="395">
        <f ca="1">IF($E$365=0,0,IF(SUM($G193:AW193)=$B193,0,IF(SUM($G365:AW365)&gt;=$E365,($B193/$E365)*($E365-SUM($G365:AV365)),($B193/$E365)*AW365)))</f>
        <v>0</v>
      </c>
      <c r="AY193" s="395">
        <f ca="1">IF($E$365=0,0,IF(SUM($G193:AX193)=$B193,0,IF(SUM($G365:AX365)&gt;=$E365,($B193/$E365)*($E365-SUM($G365:AW365)),($B193/$E365)*AX365)))</f>
        <v>0</v>
      </c>
      <c r="AZ193" s="395">
        <f ca="1">IF($E$365=0,0,IF(SUM($G193:AY193)=$B193,0,IF(SUM($G365:AY365)&gt;=$E365,($B193/$E365)*($E365-SUM($G365:AX365)),($B193/$E365)*AY365)))</f>
        <v>0</v>
      </c>
      <c r="BA193" s="395">
        <f ca="1">IF($E$365=0,0,IF(SUM($G193:AZ193)=$B193,0,IF(SUM($G365:AZ365)&gt;=$E365,($B193/$E365)*($E365-SUM($G365:AY365)),($B193/$E365)*AZ365)))</f>
        <v>0</v>
      </c>
      <c r="BB193" s="395">
        <f ca="1">IF($E$365=0,0,IF(SUM($G193:BA193)=$B193,0,IF(SUM($G365:BA365)&gt;=$E365,($B193/$E365)*($E365-SUM($G365:AZ365)),($B193/$E365)*BA365)))</f>
        <v>0</v>
      </c>
      <c r="BC193" s="395">
        <f ca="1">IF($E$365=0,0,IF(SUM($G193:BB193)=$B193,0,IF(SUM($G365:BB365)&gt;=$E365,($B193/$E365)*($E365-SUM($G365:BA365)),($B193/$E365)*BB365)))</f>
        <v>0</v>
      </c>
      <c r="BD193" s="395">
        <f ca="1">IF($E$365=0,0,IF(SUM($G193:BC193)=$B193,0,IF(SUM($G365:BC365)&gt;=$E365,($B193/$E365)*($E365-SUM($G365:BB365)),($B193/$E365)*BC365)))</f>
        <v>0</v>
      </c>
      <c r="BE193" s="395">
        <f ca="1">IF($E$365=0,0,IF(SUM($G193:BD193)=$B193,0,IF(SUM($G365:BD365)&gt;=$E365,($B193/$E365)*($E365-SUM($G365:BC365)),($B193/$E365)*BD365)))</f>
        <v>0</v>
      </c>
      <c r="BF193" s="395">
        <f ca="1">IF($E$365=0,0,IF(SUM($G193:BE193)=$B193,0,IF(SUM($G365:BE365)&gt;=$E365,($B193/$E365)*($E365-SUM($G365:BD365)),($B193/$E365)*BE365)))</f>
        <v>0</v>
      </c>
      <c r="BG193" s="395">
        <f ca="1">IF($E$365=0,0,IF(SUM($G193:BF193)=$B193,0,IF(SUM($G365:BF365)&gt;=$E365,($B193/$E365)*($E365-SUM($G365:BE365)),($B193/$E365)*BF365)))</f>
        <v>0</v>
      </c>
      <c r="BH193" s="395">
        <f ca="1">IF($E$365=0,0,IF(SUM($G193:BG193)=$B193,0,IF(SUM($G365:BG365)&gt;=$E365,($B193/$E365)*($E365-SUM($G365:BF365)),($B193/$E365)*BG365)))</f>
        <v>0</v>
      </c>
      <c r="BI193" s="395">
        <f ca="1">IF($E$365=0,0,IF(SUM($G193:BH193)=$B193,0,IF(SUM($G365:BH365)&gt;=$E365,($B193/$E365)*($E365-SUM($G365:BG365)),($B193/$E365)*BH365)))</f>
        <v>0</v>
      </c>
      <c r="BJ193" s="395">
        <f ca="1">IF($E$365=0,0,IF(SUM($G193:BI193)=$B193,0,IF(SUM($G365:BI365)&gt;=$E365,($B193/$E365)*($E365-SUM($G365:BH365)),($B193/$E365)*BI365)))</f>
        <v>0</v>
      </c>
      <c r="BK193" s="395">
        <f ca="1">IF($E$365=0,0,IF(SUM($G193:BJ193)=$B193,0,IF(SUM($G365:BJ365)&gt;=$E365,($B193/$E365)*($E365-SUM($G365:BI365)),($B193/$E365)*BJ365)))</f>
        <v>0</v>
      </c>
      <c r="BL193" s="395">
        <f ca="1">IF($E$365=0,0,IF(SUM($G193:BK193)=$B193,0,IF(SUM($G365:BK365)&gt;=$E365,($B193/$E365)*($E365-SUM($G365:BJ365)),($B193/$E365)*BK365)))</f>
        <v>0</v>
      </c>
      <c r="BM193" s="395">
        <f ca="1">IF($E$365=0,0,IF(SUM($G193:BL193)=$B193,0,IF(SUM($G365:BL365)&gt;=$E365,($B193/$E365)*($E365-SUM($G365:BK365)),($B193/$E365)*BL365)))</f>
        <v>0</v>
      </c>
      <c r="BN193" s="395">
        <f ca="1">IF($E$365=0,0,IF(SUM($G193:BM193)=$B193,0,IF(SUM($G365:BM365)&gt;=$E365,($B193/$E365)*($E365-SUM($G365:BL365)),($B193/$E365)*BM365)))</f>
        <v>0</v>
      </c>
      <c r="BO193" s="395">
        <f ca="1">IF($E$365=0,0,IF(SUM($G193:BN193)=$B193,0,IF(SUM($G365:BN365)&gt;=$E365,($B193/$E365)*($E365-SUM($G365:BM365)),($B193/$E365)*BN365)))</f>
        <v>0</v>
      </c>
      <c r="BP193" s="395">
        <f ca="1">IF($E$365=0,0,IF(SUM($G193:BO193)=$B193,0,IF(SUM($G365:BO365)&gt;=$E365,($B193/$E365)*($E365-SUM($G365:BN365)),($B193/$E365)*BO365)))</f>
        <v>0</v>
      </c>
      <c r="BQ193" s="395">
        <f ca="1">IF($E$365=0,0,IF(SUM($G193:BP193)=$B193,0,IF(SUM($G365:BP365)&gt;=$E365,($B193/$E365)*($E365-SUM($G365:BO365)),($B193/$E365)*BP365)))</f>
        <v>0</v>
      </c>
      <c r="BR193" s="395">
        <f ca="1">IF($E$365=0,0,IF(SUM($G193:BQ193)=$B193,0,IF(SUM($G365:BQ365)&gt;=$E365,($B193/$E365)*($E365-SUM($G365:BP365)),($B193/$E365)*BQ365)))</f>
        <v>0</v>
      </c>
      <c r="BS193" s="395">
        <f ca="1">IF($E$365=0,0,IF(SUM($G193:BR193)=$B193,0,IF(SUM($G365:BR365)&gt;=$E365,($B193/$E365)*($E365-SUM($G365:BQ365)),($B193/$E365)*BR365)))</f>
        <v>0</v>
      </c>
      <c r="BT193" s="395">
        <f ca="1">IF($E$365=0,0,IF(SUM($G193:BS193)=$B193,0,IF(SUM($G365:BS365)&gt;=$E365,($B193/$E365)*($E365-SUM($G365:BR365)),($B193/$E365)*BS365)))</f>
        <v>0</v>
      </c>
      <c r="BU193" s="395">
        <f ca="1">IF($E$365=0,0,IF(SUM($G193:BT193)=$B193,0,IF(SUM($G365:BT365)&gt;=$E365,($B193/$E365)*($E365-SUM($G365:BS365)),($B193/$E365)*BT365)))</f>
        <v>0</v>
      </c>
      <c r="BV193" s="395">
        <f ca="1">IF($E$365=0,0,IF(SUM($G193:BU193)=$B193,0,IF(SUM($G365:BU365)&gt;=$E365,($B193/$E365)*($E365-SUM($G365:BT365)),($B193/$E365)*BU365)))</f>
        <v>0</v>
      </c>
      <c r="BW193" s="395">
        <f ca="1">IF($E$365=0,0,IF(SUM($G193:BV193)=$B193,0,IF(SUM($G365:BV365)&gt;=$E365,($B193/$E365)*($E365-SUM($G365:BU365)),($B193/$E365)*BV365)))</f>
        <v>0</v>
      </c>
      <c r="BX193" s="395">
        <f ca="1">IF($E$365=0,0,IF(SUM($G193:BW193)=$B193,0,IF(SUM($G365:BW365)&gt;=$E365,($B193/$E365)*($E365-SUM($G365:BV365)),($B193/$E365)*BW365)))</f>
        <v>0</v>
      </c>
      <c r="BY193" s="395">
        <f ca="1">IF($E$365=0,0,IF(SUM($G193:BX193)=$B193,0,IF(SUM($G365:BX365)&gt;=$E365,($B193/$E365)*($E365-SUM($G365:BW365)),($B193/$E365)*BX365)))</f>
        <v>0</v>
      </c>
      <c r="BZ193" s="395">
        <f ca="1">IF($E$365=0,0,IF(SUM($G193:BY193)=$B193,0,IF(SUM($G365:BY365)&gt;=$E365,($B193/$E365)*($E365-SUM($G365:BX365)),($B193/$E365)*BY365)))</f>
        <v>0</v>
      </c>
      <c r="CA193" s="395">
        <f ca="1">IF($E$365=0,0,IF(SUM($G193:BZ193)=$B193,0,IF(SUM($G365:BZ365)&gt;=$E365,($B193/$E365)*($E365-SUM($G365:BY365)),($B193/$E365)*BZ365)))</f>
        <v>0</v>
      </c>
      <c r="CB193" s="395">
        <f ca="1">IF($E$365=0,0,IF(SUM($G193:CA193)=$B193,0,IF(SUM($G365:CA365)&gt;=$E365,($B193/$E365)*($E365-SUM($G365:BZ365)),($B193/$E365)*CA365)))</f>
        <v>0</v>
      </c>
      <c r="CC193" s="395">
        <f ca="1">IF($E$365=0,0,IF(SUM($G193:CB193)=$B193,0,IF(SUM($G365:CB365)&gt;=$E365,($B193/$E365)*($E365-SUM($G365:CA365)),($B193/$E365)*CB365)))</f>
        <v>0</v>
      </c>
      <c r="CD193" s="395">
        <f ca="1">IF($E$365=0,0,IF(SUM($G193:CC193)=$B193,0,IF(SUM($G365:CC365)&gt;=$E365,($B193/$E365)*($E365-SUM($G365:CB365)),($B193/$E365)*CC365)))</f>
        <v>0</v>
      </c>
      <c r="CE193" s="395">
        <f ca="1">IF($E$365=0,0,IF(SUM($G193:CD193)=$B193,0,IF(SUM($G365:CD365)&gt;=$E365,($B193/$E365)*($E365-SUM($G365:CC365)),($B193/$E365)*CD365)))</f>
        <v>0</v>
      </c>
      <c r="CF193" s="395">
        <f ca="1">IF($E$365=0,0,IF(SUM($G193:CE193)=$B193,0,IF(SUM($G365:CE365)&gt;=$E365,($B193/$E365)*($E365-SUM($G365:CD365)),($B193/$E365)*CE365)))</f>
        <v>0</v>
      </c>
      <c r="CG193" s="395">
        <f ca="1">IF($E$365=0,0,IF(SUM($G193:CF193)=$B193,0,IF(SUM($G365:CF365)&gt;=$E365,($B193/$E365)*($E365-SUM($G365:CE365)),($B193/$E365)*CF365)))</f>
        <v>0</v>
      </c>
      <c r="CH193" s="395">
        <f ca="1">IF($E$365=0,0,IF(SUM($G193:CG193)=$B193,0,IF(SUM($G365:CG365)&gt;=$E365,($B193/$E365)*($E365-SUM($G365:CF365)),($B193/$E365)*CG365)))</f>
        <v>0</v>
      </c>
      <c r="CI193" s="395">
        <f ca="1">IF($E$365=0,0,IF(SUM($G193:CH193)=$B193,0,IF(SUM($G365:CH365)&gt;=$E365,($B193/$E365)*($E365-SUM($G365:CG365)),($B193/$E365)*CH365)))</f>
        <v>0</v>
      </c>
      <c r="CJ193" s="395">
        <f ca="1">IF($E$365=0,0,IF(SUM($G193:CI193)=$B193,0,IF(SUM($G365:CI365)&gt;=$E365,($B193/$E365)*($E365-SUM($G365:CH365)),($B193/$E365)*CI365)))</f>
        <v>0</v>
      </c>
      <c r="CK193" s="395">
        <f ca="1">IF($E$365=0,0,IF(SUM($G193:CJ193)=$B193,0,IF(SUM($G365:CJ365)&gt;=$E365,($B193/$E365)*($E365-SUM($G365:CI365)),($B193/$E365)*CJ365)))</f>
        <v>0</v>
      </c>
      <c r="CL193" s="395">
        <f ca="1">IF($E$365=0,0,IF(SUM($G193:CK193)=$B193,0,IF(SUM($G365:CK365)&gt;=$E365,($B193/$E365)*($E365-SUM($G365:CJ365)),($B193/$E365)*CK365)))</f>
        <v>0</v>
      </c>
      <c r="CM193" s="395">
        <f ca="1">IF($E$365=0,0,IF(SUM($G193:CL193)=$B193,0,IF(SUM($G365:CL365)&gt;=$E365,($B193/$E365)*($E365-SUM($G365:CK365)),($B193/$E365)*CL365)))</f>
        <v>0</v>
      </c>
      <c r="CN193" s="395">
        <f ca="1">IF($E$365=0,0,IF(SUM($G193:CM193)=$B193,0,IF(SUM($G365:CM365)&gt;=$E365,($B193/$E365)*($E365-SUM($G365:CL365)),($B193/$E365)*CM365)))</f>
        <v>0</v>
      </c>
      <c r="CO193" s="395">
        <f ca="1">IF($E$365=0,0,IF(SUM($G193:CN193)=$B193,0,IF(SUM($G365:CN365)&gt;=$E365,($B193/$E365)*($E365-SUM($G365:CM365)),($B193/$E365)*CN365)))</f>
        <v>0</v>
      </c>
      <c r="CP193" s="395">
        <f ca="1">IF($E$365=0,0,IF(SUM($G193:CO193)=$B193,0,IF(SUM($G365:CO365)&gt;=$E365,($B193/$E365)*($E365-SUM($G365:CN365)),($B193/$E365)*CO365)))</f>
        <v>0</v>
      </c>
      <c r="CQ193" s="395">
        <f ca="1">IF($E$365=0,0,IF(SUM($G193:CP193)=$B193,0,IF(SUM($G365:CP365)&gt;=$E365,($B193/$E365)*($E365-SUM($G365:CO365)),($B193/$E365)*CP365)))</f>
        <v>0</v>
      </c>
      <c r="CR193" s="395">
        <f ca="1">IF($E$365=0,0,IF(SUM($G193:CQ193)=$B193,0,IF(SUM($G365:CQ365)&gt;=$E365,($B193/$E365)*($E365-SUM($G365:CP365)),($B193/$E365)*CQ365)))</f>
        <v>0</v>
      </c>
      <c r="CS193" s="395">
        <f ca="1">IF($E$365=0,0,IF(SUM($G193:CR193)=$B193,0,IF(SUM($G365:CR365)&gt;=$E365,($B193/$E365)*($E365-SUM($G365:CQ365)),($B193/$E365)*CR365)))</f>
        <v>0</v>
      </c>
      <c r="CT193" s="395">
        <f ca="1">IF($E$365=0,0,IF(SUM($G193:CS193)=$B193,0,IF(SUM($G365:CS365)&gt;=$E365,($B193/$E365)*($E365-SUM($G365:CR365)),($B193/$E365)*CS365)))</f>
        <v>0</v>
      </c>
      <c r="CU193" s="395">
        <f ca="1">IF($E$365=0,0,IF(SUM($G193:CT193)=$B193,0,IF(SUM($G365:CT365)&gt;=$E365,($B193/$E365)*($E365-SUM($G365:CS365)),($B193/$E365)*CT365)))</f>
        <v>0</v>
      </c>
      <c r="CV193" s="395">
        <f ca="1">IF($E$365=0,0,IF(SUM($G193:CU193)=$B193,0,IF(SUM($G365:CU365)&gt;=$E365,($B193/$E365)*($E365-SUM($G365:CT365)),($B193/$E365)*CU365)))</f>
        <v>0</v>
      </c>
      <c r="CW193" s="395">
        <f ca="1">IF($E$365=0,0,IF(SUM($G193:CV193)=$B193,0,IF(SUM($G365:CV365)&gt;=$E365,($B193/$E365)*($E365-SUM($G365:CU365)),($B193/$E365)*CV365)))</f>
        <v>0</v>
      </c>
      <c r="CX193" s="395">
        <f ca="1">IF($E$365=0,0,IF(SUM($G193:CW193)=$B193,0,IF(SUM($G365:CW365)&gt;=$E365,($B193/$E365)*($E365-SUM($G365:CV365)),($B193/$E365)*CW365)))</f>
        <v>0</v>
      </c>
      <c r="CY193" s="395">
        <f ca="1">IF($E$365=0,0,IF(SUM($G193:CX193)=$B193,0,IF(SUM($G365:CX365)&gt;=$E365,($B193/$E365)*($E365-SUM($G365:CW365)),($B193/$E365)*CX365)))</f>
        <v>0</v>
      </c>
      <c r="CZ193" s="395">
        <f ca="1">IF($E$365=0,0,IF(SUM($G193:CY193)=$B193,0,IF(SUM($G365:CY365)&gt;=$E365,($B193/$E365)*($E365-SUM($G365:CX365)),($B193/$E365)*CY365)))</f>
        <v>0</v>
      </c>
      <c r="DA193" s="395">
        <f ca="1">IF($E$365=0,0,IF(SUM($G193:CZ193)=$B193,0,IF(SUM($G365:CZ365)&gt;=$E365,($B193/$E365)*($E365-SUM($G365:CY365)),($B193/$E365)*CZ365)))</f>
        <v>0</v>
      </c>
      <c r="DB193" s="395">
        <f ca="1">IF($E$365=0,0,IF(SUM($G193:DA193)=$B193,0,IF(SUM($G365:DA365)&gt;=$E365,($B193/$E365)*($E365-SUM($G365:CZ365)),($B193/$E365)*DA365)))</f>
        <v>0</v>
      </c>
      <c r="DC193" s="395">
        <f ca="1">IF($E$365=0,0,IF(SUM($G193:DB193)=$B193,0,IF(SUM($G365:DB365)&gt;=$E365,($B193/$E365)*($E365-SUM($G365:DA365)),($B193/$E365)*DB365)))</f>
        <v>0</v>
      </c>
      <c r="DD193" s="395">
        <f ca="1">IF($E$365=0,0,IF(SUM($G193:DC193)=$B193,0,IF(SUM($G365:DC365)&gt;=$E365,($B193/$E365)*($E365-SUM($G365:DB365)),($B193/$E365)*DC365)))</f>
        <v>0</v>
      </c>
      <c r="DE193" s="395">
        <f ca="1">IF($E$365=0,0,IF(SUM($G193:DD193)=$B193,0,IF(SUM($G365:DD365)&gt;=$E365,($B193/$E365)*($E365-SUM($G365:DC365)),($B193/$E365)*DD365)))</f>
        <v>0</v>
      </c>
      <c r="DF193" s="395">
        <f ca="1">IF($E$365=0,0,IF(SUM($G193:DE193)=$B193,0,IF(SUM($G365:DE365)&gt;=$E365,($B193/$E365)*($E365-SUM($G365:DD365)),($B193/$E365)*DE365)))</f>
        <v>0</v>
      </c>
      <c r="DG193" s="395">
        <f ca="1">IF($E$365=0,0,IF(SUM($G193:DF193)=$B193,0,IF(SUM($G365:DF365)&gt;=$E365,($B193/$E365)*($E365-SUM($G365:DE365)),($B193/$E365)*DF365)))</f>
        <v>0</v>
      </c>
      <c r="DH193" s="395">
        <f ca="1">IF($E$365=0,0,IF(SUM($G193:DG193)=$B193,0,IF(SUM($G365:DG365)&gt;=$E365,($B193/$E365)*($E365-SUM($G365:DF365)),($B193/$E365)*DG365)))</f>
        <v>0</v>
      </c>
      <c r="DI193" s="395">
        <f ca="1">IF($E$365=0,0,IF(SUM($G193:DH193)=$B193,0,IF(SUM($G365:DH365)&gt;=$E365,($B193/$E365)*($E365-SUM($G365:DG365)),($B193/$E365)*DH365)))</f>
        <v>0</v>
      </c>
      <c r="DJ193" s="395">
        <f ca="1">IF($E$365=0,0,IF(SUM($G193:DI193)=$B193,0,IF(SUM($G365:DI365)&gt;=$E365,($B193/$E365)*($E365-SUM($G365:DH365)),($B193/$E365)*DI365)))</f>
        <v>0</v>
      </c>
      <c r="DK193" s="395">
        <f ca="1">IF($E$365=0,0,IF(SUM($G193:DJ193)=$B193,0,IF(SUM($G365:DJ365)&gt;=$E365,($B193/$E365)*($E365-SUM($G365:DI365)),($B193/$E365)*DJ365)))</f>
        <v>0</v>
      </c>
      <c r="DL193" s="395">
        <f ca="1">IF($E$365=0,0,IF(SUM($G193:DK193)=$B193,0,IF(SUM($G365:DK365)&gt;=$E365,($B193/$E365)*($E365-SUM($G365:DJ365)),($B193/$E365)*DK365)))</f>
        <v>0</v>
      </c>
      <c r="DM193" s="395">
        <f ca="1">IF($E$365=0,0,IF(SUM($G193:DL193)=$B193,0,IF(SUM($G365:DL365)&gt;=$E365,($B193/$E365)*($E365-SUM($G365:DK365)),($B193/$E365)*DL365)))</f>
        <v>0</v>
      </c>
      <c r="DN193" s="395">
        <f ca="1">IF($E$365=0,0,IF(SUM($G193:DM193)=$B193,0,IF(SUM($G365:DM365)&gt;=$E365,($B193/$E365)*($E365-SUM($G365:DL365)),($B193/$E365)*DM365)))</f>
        <v>0</v>
      </c>
      <c r="DO193" s="395">
        <f ca="1">IF($E$365=0,0,IF(SUM($G193:DN193)=$B193,0,IF(SUM($G365:DN365)&gt;=$E365,($B193/$E365)*($E365-SUM($G365:DM365)),($B193/$E365)*DN365)))</f>
        <v>0</v>
      </c>
      <c r="DP193" s="395">
        <f ca="1">IF($E$365=0,0,IF(SUM($G193:DO193)=$B193,0,IF(SUM($G365:DO365)&gt;=$E365,($B193/$E365)*($E365-SUM($G365:DN365)),($B193/$E365)*DO365)))</f>
        <v>0</v>
      </c>
      <c r="DQ193" s="395">
        <f ca="1">IF($E$365=0,0,IF(SUM($G193:DP193)=$B193,0,IF(SUM($G365:DP365)&gt;=$E365,($B193/$E365)*($E365-SUM($G365:DO365)),($B193/$E365)*DP365)))</f>
        <v>0</v>
      </c>
      <c r="DR193" s="395">
        <f ca="1">IF($E$365=0,0,IF(SUM($G193:DQ193)=$B193,0,IF(SUM($G365:DQ365)&gt;=$E365,($B193/$E365)*($E365-SUM($G365:DP365)),($B193/$E365)*DQ365)))</f>
        <v>0</v>
      </c>
      <c r="DS193" s="395">
        <f ca="1">IF($E$365=0,0,IF(SUM($G193:DR193)=$B193,0,IF(SUM($G365:DR365)&gt;=$E365,($B193/$E365)*($E365-SUM($G365:DQ365)),($B193/$E365)*DR365)))</f>
        <v>0</v>
      </c>
      <c r="DT193" s="395">
        <f ca="1">IF($E$365=0,0,IF(SUM($G193:DS193)=$B193,0,IF(SUM($G365:DS365)&gt;=$E365,($B193/$E365)*($E365-SUM($G365:DR365)),($B193/$E365)*DS365)))</f>
        <v>0</v>
      </c>
      <c r="DU193" s="395">
        <f ca="1">IF($E$365=0,0,IF(SUM($G193:DT193)=$B193,0,IF(SUM($G365:DT365)&gt;=$E365,($B193/$E365)*($E365-SUM($G365:DS365)),($B193/$E365)*DT365)))</f>
        <v>0</v>
      </c>
      <c r="DV193" s="395">
        <f ca="1">IF($E$365=0,0,IF(SUM($G193:DU193)=$B193,0,IF(SUM($G365:DU365)&gt;=$E365,($B193/$E365)*($E365-SUM($G365:DT365)),($B193/$E365)*DU365)))</f>
        <v>0</v>
      </c>
      <c r="DW193" s="395">
        <f ca="1">IF($E$365=0,0,IF(SUM($G193:DV193)=$B193,0,IF(SUM($G365:DV365)&gt;=$E365,($B193/$E365)*($E365-SUM($G365:DU365)),($B193/$E365)*DV365)))</f>
        <v>0</v>
      </c>
      <c r="DX193" s="395">
        <f ca="1">IF($E$365=0,0,IF(SUM($G193:DW193)=$B193,0,IF(SUM($G365:DW365)&gt;=$E365,($B193/$E365)*($E365-SUM($G365:DV365)),($B193/$E365)*DW365)))</f>
        <v>0</v>
      </c>
      <c r="DY193" s="395">
        <f ca="1">IF($E$365=0,0,IF(SUM($G193:DX193)=$B193,0,IF(SUM($G365:DX365)&gt;=$E365,($B193/$E365)*($E365-SUM($G365:DW365)),($B193/$E365)*DX365)))</f>
        <v>0</v>
      </c>
      <c r="DZ193" s="395">
        <f ca="1">IF($E$365=0,0,IF(SUM($G193:DY193)=$B193,0,IF(SUM($G365:DY365)&gt;=$E365,($B193/$E365)*($E365-SUM($G365:DX365)),($B193/$E365)*DY365)))</f>
        <v>0</v>
      </c>
      <c r="EA193" s="395">
        <f ca="1">IF($E$365=0,0,IF(SUM($G193:DZ193)=$B193,0,IF(SUM($G365:DZ365)&gt;=$E365,($B193/$E365)*($E365-SUM($G365:DY365)),($B193/$E365)*DZ365)))</f>
        <v>0</v>
      </c>
      <c r="EB193" s="395">
        <f ca="1">IF($E$365=0,0,IF(SUM($G193:EA193)=$B193,0,IF(SUM($G365:EA365)&gt;=$E365,($B193/$E365)*($E365-SUM($G365:DZ365)),($B193/$E365)*EA365)))</f>
        <v>0</v>
      </c>
      <c r="EC193" s="395">
        <f ca="1">IF($E$365=0,0,IF(SUM($G193:EB193)=$B193,0,IF(SUM($G365:EB365)&gt;=$E365,($B193/$E365)*($E365-SUM($G365:EA365)),($B193/$E365)*EB365)))</f>
        <v>0</v>
      </c>
      <c r="ED193" s="395">
        <f ca="1">IF($E$365=0,0,IF(SUM($G193:EC193)=$B193,0,IF(SUM($G365:EC365)&gt;=$E365,($B193/$E365)*($E365-SUM($G365:EB365)),($B193/$E365)*EC365)))</f>
        <v>0</v>
      </c>
      <c r="EE193" s="395">
        <f ca="1">IF($E$365=0,0,IF(SUM($G193:ED193)=$B193,0,IF(SUM($G365:ED365)&gt;=$E365,($B193/$E365)*($E365-SUM($G365:EC365)),($B193/$E365)*ED365)))</f>
        <v>0</v>
      </c>
      <c r="EF193" s="395">
        <f ca="1">IF($E$365=0,0,IF(SUM($G193:EE193)=$B193,0,IF(SUM($G365:EE365)&gt;=$E365,($B193/$E365)*($E365-SUM($G365:ED365)),($B193/$E365)*EE365)))</f>
        <v>0</v>
      </c>
      <c r="EG193" s="395">
        <f ca="1">IF($E$365=0,0,IF(SUM($G193:EF193)=$B193,0,IF(SUM($G365:EF365)&gt;=$E365,($B193/$E365)*($E365-SUM($G365:EE365)),($B193/$E365)*EF365)))</f>
        <v>0</v>
      </c>
      <c r="EH193" s="395">
        <f ca="1">IF($E$365=0,0,IF(SUM($G193:EG193)=$B193,0,IF(SUM($G365:EG365)&gt;=$E365,($B193/$E365)*($E365-SUM($G365:EF365)),($B193/$E365)*EG365)))</f>
        <v>0</v>
      </c>
      <c r="EI193" s="395">
        <f ca="1">IF($E$365=0,0,IF(SUM($G193:EH193)=$B193,0,IF(SUM($G365:EH365)&gt;=$E365,($B193/$E365)*($E365-SUM($G365:EG365)),($B193/$E365)*EH365)))</f>
        <v>0</v>
      </c>
      <c r="EJ193" s="398"/>
      <c r="EK193" s="313"/>
    </row>
    <row r="194" spans="1:141" s="321" customFormat="1" hidden="1" outlineLevel="2">
      <c r="A194" s="332"/>
      <c r="B194" s="549">
        <f>длительность!D195</f>
        <v>2.5000000000000001E-2</v>
      </c>
      <c r="C194" s="317"/>
      <c r="D194" s="317" t="s">
        <v>638</v>
      </c>
      <c r="E194" s="318">
        <f t="shared" ref="E194:E195" ca="1" si="412">IF(F194=0,0,B194-F194)</f>
        <v>0</v>
      </c>
      <c r="F194" s="397">
        <f ca="1">SUM(G194:EJ194)</f>
        <v>2.5000000000000001E-2</v>
      </c>
      <c r="G194" s="395"/>
      <c r="H194" s="395">
        <f ca="1">IF($E$355=0,0,IF(SUM($G194:G194)=$B194,0,IF(SUM(H193:$EJ193)=0%,$B194,0%)))</f>
        <v>0</v>
      </c>
      <c r="I194" s="395">
        <f ca="1">IF($E$355=0,0,IF(SUM($G194:H194)=$B194,0,IF(SUM(I193:$EJ193)=0%,$B194,0%)))</f>
        <v>0</v>
      </c>
      <c r="J194" s="395">
        <f ca="1">IF($E$355=0,0,IF(SUM($G194:I194)=$B194,0,IF(SUM(J193:$EJ193)=0%,$B194,0%)))</f>
        <v>0</v>
      </c>
      <c r="K194" s="395">
        <f ca="1">IF($E$355=0,0,IF(SUM($G194:J194)=$B194,0,IF(SUM(K193:$EJ193)=0%,$B194,0%)))</f>
        <v>0</v>
      </c>
      <c r="L194" s="395">
        <f ca="1">IF($E$355=0,0,IF(SUM($G194:K194)=$B194,0,IF(SUM(L193:$EJ193)=0%,$B194,0%)))</f>
        <v>0</v>
      </c>
      <c r="M194" s="395">
        <f ca="1">IF($E$355=0,0,IF(SUM($G194:L194)=$B194,0,IF(SUM(M193:$EJ193)=0%,$B194,0%)))</f>
        <v>0</v>
      </c>
      <c r="N194" s="395">
        <f ca="1">IF($E$355=0,0,IF(SUM($G194:M194)=$B194,0,IF(SUM(N193:$EJ193)=0%,$B194,0%)))</f>
        <v>0</v>
      </c>
      <c r="O194" s="395">
        <f ca="1">IF($E$355=0,0,IF(SUM($G194:N194)=$B194,0,IF(SUM(O193:$EJ193)=0%,$B194,0%)))</f>
        <v>0</v>
      </c>
      <c r="P194" s="395">
        <f ca="1">IF($E$355=0,0,IF(SUM($G194:O194)=$B194,0,IF(SUM(P193:$EJ193)=0%,$B194,0%)))</f>
        <v>0</v>
      </c>
      <c r="Q194" s="395">
        <f ca="1">IF($E$355=0,0,IF(SUM($G194:P194)=$B194,0,IF(SUM(Q193:$EJ193)=0%,$B194,0%)))</f>
        <v>0</v>
      </c>
      <c r="R194" s="395">
        <f ca="1">IF($E$355=0,0,IF(SUM($G194:Q194)=$B194,0,IF(SUM(R193:$EJ193)=0%,$B194,0%)))</f>
        <v>0</v>
      </c>
      <c r="S194" s="395">
        <f ca="1">IF($E$355=0,0,IF(SUM($G194:R194)=$B194,0,IF(SUM(S193:$EJ193)=0%,$B194,0%)))</f>
        <v>0</v>
      </c>
      <c r="T194" s="395">
        <f ca="1">IF($E$355=0,0,IF(SUM($G194:S194)=$B194,0,IF(SUM(T193:$EJ193)=0%,$B194,0%)))</f>
        <v>0</v>
      </c>
      <c r="U194" s="395">
        <f ca="1">IF($E$355=0,0,IF(SUM($G194:T194)=$B194,0,IF(SUM(U193:$EJ193)=0%,$B194,0%)))</f>
        <v>0</v>
      </c>
      <c r="V194" s="395">
        <f ca="1">IF($E$355=0,0,IF(SUM($G194:U194)=$B194,0,IF(SUM(V193:$EJ193)=0%,$B194,0%)))</f>
        <v>2.5000000000000001E-2</v>
      </c>
      <c r="W194" s="395">
        <f ca="1">IF($E$355=0,0,IF(SUM($G194:V194)=$B194,0,IF(SUM(W193:$EJ193)=0%,$B194,0%)))</f>
        <v>0</v>
      </c>
      <c r="X194" s="395">
        <f ca="1">IF($E$355=0,0,IF(SUM($G194:W194)=$B194,0,IF(SUM(X193:$EJ193)=0%,$B194,0%)))</f>
        <v>0</v>
      </c>
      <c r="Y194" s="395">
        <f ca="1">IF($E$355=0,0,IF(SUM($G194:X194)=$B194,0,IF(SUM(Y193:$EJ193)=0%,$B194,0%)))</f>
        <v>0</v>
      </c>
      <c r="Z194" s="395">
        <f ca="1">IF($E$355=0,0,IF(SUM($G194:Y194)=$B194,0,IF(SUM(Z193:$EJ193)=0%,$B194,0%)))</f>
        <v>0</v>
      </c>
      <c r="AA194" s="395">
        <f ca="1">IF($E$355=0,0,IF(SUM($G194:Z194)=$B194,0,IF(SUM(AA193:$EJ193)=0%,$B194,0%)))</f>
        <v>0</v>
      </c>
      <c r="AB194" s="395">
        <f ca="1">IF($E$355=0,0,IF(SUM($G194:AA194)=$B194,0,IF(SUM(AB193:$EJ193)=0%,$B194,0%)))</f>
        <v>0</v>
      </c>
      <c r="AC194" s="395">
        <f ca="1">IF($E$355=0,0,IF(SUM($G194:AB194)=$B194,0,IF(SUM(AC193:$EJ193)=0%,$B194,0%)))</f>
        <v>0</v>
      </c>
      <c r="AD194" s="395">
        <f ca="1">IF($E$355=0,0,IF(SUM($G194:AC194)=$B194,0,IF(SUM(AD193:$EJ193)=0%,$B194,0%)))</f>
        <v>0</v>
      </c>
      <c r="AE194" s="395">
        <f ca="1">IF($E$355=0,0,IF(SUM($G194:AD194)=$B194,0,IF(SUM(AE193:$EJ193)=0%,$B194,0%)))</f>
        <v>0</v>
      </c>
      <c r="AF194" s="395">
        <f ca="1">IF($E$355=0,0,IF(SUM($G194:AE194)=$B194,0,IF(SUM(AF193:$EJ193)=0%,$B194,0%)))</f>
        <v>0</v>
      </c>
      <c r="AG194" s="395">
        <f ca="1">IF($E$355=0,0,IF(SUM($G194:AF194)=$B194,0,IF(SUM(AG193:$EJ193)=0%,$B194,0%)))</f>
        <v>0</v>
      </c>
      <c r="AH194" s="395">
        <f ca="1">IF($E$355=0,0,IF(SUM($G194:AG194)=$B194,0,IF(SUM(AH193:$EJ193)=0%,$B194,0%)))</f>
        <v>0</v>
      </c>
      <c r="AI194" s="395">
        <f ca="1">IF($E$355=0,0,IF(SUM($G194:AH194)=$B194,0,IF(SUM(AI193:$EJ193)=0%,$B194,0%)))</f>
        <v>0</v>
      </c>
      <c r="AJ194" s="395">
        <f ca="1">IF($E$355=0,0,IF(SUM($G194:AI194)=$B194,0,IF(SUM(AJ193:$EJ193)=0%,$B194,0%)))</f>
        <v>0</v>
      </c>
      <c r="AK194" s="395">
        <f ca="1">IF($E$355=0,0,IF(SUM($G194:AJ194)=$B194,0,IF(SUM(AK193:$EJ193)=0%,$B194,0%)))</f>
        <v>0</v>
      </c>
      <c r="AL194" s="395">
        <f ca="1">IF($E$355=0,0,IF(SUM($G194:AK194)=$B194,0,IF(SUM(AL193:$EJ193)=0%,$B194,0%)))</f>
        <v>0</v>
      </c>
      <c r="AM194" s="395">
        <f ca="1">IF($E$355=0,0,IF(SUM($G194:AL194)=$B194,0,IF(SUM(AM193:$EJ193)=0%,$B194,0%)))</f>
        <v>0</v>
      </c>
      <c r="AN194" s="395">
        <f ca="1">IF($E$355=0,0,IF(SUM($G194:AM194)=$B194,0,IF(SUM(AN193:$EJ193)=0%,$B194,0%)))</f>
        <v>0</v>
      </c>
      <c r="AO194" s="395">
        <f ca="1">IF($E$355=0,0,IF(SUM($G194:AN194)=$B194,0,IF(SUM(AO193:$EJ193)=0%,$B194,0%)))</f>
        <v>0</v>
      </c>
      <c r="AP194" s="395">
        <f ca="1">IF($E$355=0,0,IF(SUM($G194:AO194)=$B194,0,IF(SUM(AP193:$EJ193)=0%,$B194,0%)))</f>
        <v>0</v>
      </c>
      <c r="AQ194" s="395">
        <f ca="1">IF($E$355=0,0,IF(SUM($G194:AP194)=$B194,0,IF(SUM(AQ193:$EJ193)=0%,$B194,0%)))</f>
        <v>0</v>
      </c>
      <c r="AR194" s="395">
        <f ca="1">IF($E$355=0,0,IF(SUM($G194:AQ194)=$B194,0,IF(SUM(AR193:$EJ193)=0%,$B194,0%)))</f>
        <v>0</v>
      </c>
      <c r="AS194" s="395">
        <f ca="1">IF($E$355=0,0,IF(SUM($G194:AR194)=$B194,0,IF(SUM(AS193:$EJ193)=0%,$B194,0%)))</f>
        <v>0</v>
      </c>
      <c r="AT194" s="395">
        <f ca="1">IF($E$355=0,0,IF(SUM($G194:AS194)=$B194,0,IF(SUM(AT193:$EJ193)=0%,$B194,0%)))</f>
        <v>0</v>
      </c>
      <c r="AU194" s="395">
        <f ca="1">IF($E$355=0,0,IF(SUM($G194:AT194)=$B194,0,IF(SUM(AU193:$EJ193)=0%,$B194,0%)))</f>
        <v>0</v>
      </c>
      <c r="AV194" s="395">
        <f ca="1">IF($E$355=0,0,IF(SUM($G194:AU194)=$B194,0,IF(SUM(AV193:$EJ193)=0%,$B194,0%)))</f>
        <v>0</v>
      </c>
      <c r="AW194" s="395">
        <f ca="1">IF($E$355=0,0,IF(SUM($G194:AV194)=$B194,0,IF(SUM(AW193:$EJ193)=0%,$B194,0%)))</f>
        <v>0</v>
      </c>
      <c r="AX194" s="395">
        <f ca="1">IF($E$355=0,0,IF(SUM($G194:AW194)=$B194,0,IF(SUM(AX193:$EJ193)=0%,$B194,0%)))</f>
        <v>0</v>
      </c>
      <c r="AY194" s="395">
        <f ca="1">IF($E$355=0,0,IF(SUM($G194:AX194)=$B194,0,IF(SUM(AY193:$EJ193)=0%,$B194,0%)))</f>
        <v>0</v>
      </c>
      <c r="AZ194" s="395">
        <f ca="1">IF($E$355=0,0,IF(SUM($G194:AY194)=$B194,0,IF(SUM(AZ193:$EJ193)=0%,$B194,0%)))</f>
        <v>0</v>
      </c>
      <c r="BA194" s="395">
        <f ca="1">IF($E$355=0,0,IF(SUM($G194:AZ194)=$B194,0,IF(SUM(BA193:$EJ193)=0%,$B194,0%)))</f>
        <v>0</v>
      </c>
      <c r="BB194" s="395">
        <f ca="1">IF($E$355=0,0,IF(SUM($G194:BA194)=$B194,0,IF(SUM(BB193:$EJ193)=0%,$B194,0%)))</f>
        <v>0</v>
      </c>
      <c r="BC194" s="395">
        <f ca="1">IF($E$355=0,0,IF(SUM($G194:BB194)=$B194,0,IF(SUM(BC193:$EJ193)=0%,$B194,0%)))</f>
        <v>0</v>
      </c>
      <c r="BD194" s="395">
        <f ca="1">IF($E$355=0,0,IF(SUM($G194:BC194)=$B194,0,IF(SUM(BD193:$EJ193)=0%,$B194,0%)))</f>
        <v>0</v>
      </c>
      <c r="BE194" s="395">
        <f ca="1">IF($E$355=0,0,IF(SUM($G194:BD194)=$B194,0,IF(SUM(BE193:$EJ193)=0%,$B194,0%)))</f>
        <v>0</v>
      </c>
      <c r="BF194" s="395">
        <f ca="1">IF($E$355=0,0,IF(SUM($G194:BE194)=$B194,0,IF(SUM(BF193:$EJ193)=0%,$B194,0%)))</f>
        <v>0</v>
      </c>
      <c r="BG194" s="395">
        <f ca="1">IF($E$355=0,0,IF(SUM($G194:BF194)=$B194,0,IF(SUM(BG193:$EJ193)=0%,$B194,0%)))</f>
        <v>0</v>
      </c>
      <c r="BH194" s="395">
        <f ca="1">IF($E$355=0,0,IF(SUM($G194:BG194)=$B194,0,IF(SUM(BH193:$EJ193)=0%,$B194,0%)))</f>
        <v>0</v>
      </c>
      <c r="BI194" s="395">
        <f ca="1">IF($E$355=0,0,IF(SUM($G194:BH194)=$B194,0,IF(SUM(BI193:$EJ193)=0%,$B194,0%)))</f>
        <v>0</v>
      </c>
      <c r="BJ194" s="395">
        <f ca="1">IF($E$355=0,0,IF(SUM($G194:BI194)=$B194,0,IF(SUM(BJ193:$EJ193)=0%,$B194,0%)))</f>
        <v>0</v>
      </c>
      <c r="BK194" s="395">
        <f ca="1">IF($E$355=0,0,IF(SUM($G194:BJ194)=$B194,0,IF(SUM(BK193:$EJ193)=0%,$B194,0%)))</f>
        <v>0</v>
      </c>
      <c r="BL194" s="395">
        <f ca="1">IF($E$355=0,0,IF(SUM($G194:BK194)=$B194,0,IF(SUM(BL193:$EJ193)=0%,$B194,0%)))</f>
        <v>0</v>
      </c>
      <c r="BM194" s="395">
        <f ca="1">IF($E$355=0,0,IF(SUM($G194:BL194)=$B194,0,IF(SUM(BM193:$EJ193)=0%,$B194,0%)))</f>
        <v>0</v>
      </c>
      <c r="BN194" s="395">
        <f ca="1">IF($E$355=0,0,IF(SUM($G194:BM194)=$B194,0,IF(SUM(BN193:$EJ193)=0%,$B194,0%)))</f>
        <v>0</v>
      </c>
      <c r="BO194" s="395">
        <f ca="1">IF($E$355=0,0,IF(SUM($G194:BN194)=$B194,0,IF(SUM(BO193:$EJ193)=0%,$B194,0%)))</f>
        <v>0</v>
      </c>
      <c r="BP194" s="395">
        <f ca="1">IF($E$355=0,0,IF(SUM($G194:BO194)=$B194,0,IF(SUM(BP193:$EJ193)=0%,$B194,0%)))</f>
        <v>0</v>
      </c>
      <c r="BQ194" s="395">
        <f ca="1">IF($E$355=0,0,IF(SUM($G194:BP194)=$B194,0,IF(SUM(BQ193:$EJ193)=0%,$B194,0%)))</f>
        <v>0</v>
      </c>
      <c r="BR194" s="395">
        <f ca="1">IF($E$355=0,0,IF(SUM($G194:BQ194)=$B194,0,IF(SUM(BR193:$EJ193)=0%,$B194,0%)))</f>
        <v>0</v>
      </c>
      <c r="BS194" s="395">
        <f ca="1">IF($E$355=0,0,IF(SUM($G194:BR194)=$B194,0,IF(SUM(BS193:$EJ193)=0%,$B194,0%)))</f>
        <v>0</v>
      </c>
      <c r="BT194" s="395">
        <f ca="1">IF($E$355=0,0,IF(SUM($G194:BS194)=$B194,0,IF(SUM(BT193:$EJ193)=0%,$B194,0%)))</f>
        <v>0</v>
      </c>
      <c r="BU194" s="395">
        <f ca="1">IF($E$355=0,0,IF(SUM($G194:BT194)=$B194,0,IF(SUM(BU193:$EJ193)=0%,$B194,0%)))</f>
        <v>0</v>
      </c>
      <c r="BV194" s="395">
        <f ca="1">IF($E$355=0,0,IF(SUM($G194:BU194)=$B194,0,IF(SUM(BV193:$EJ193)=0%,$B194,0%)))</f>
        <v>0</v>
      </c>
      <c r="BW194" s="395">
        <f ca="1">IF($E$355=0,0,IF(SUM($G194:BV194)=$B194,0,IF(SUM(BW193:$EJ193)=0%,$B194,0%)))</f>
        <v>0</v>
      </c>
      <c r="BX194" s="395">
        <f ca="1">IF($E$355=0,0,IF(SUM($G194:BW194)=$B194,0,IF(SUM(BX193:$EJ193)=0%,$B194,0%)))</f>
        <v>0</v>
      </c>
      <c r="BY194" s="395">
        <f ca="1">IF($E$355=0,0,IF(SUM($G194:BX194)=$B194,0,IF(SUM(BY193:$EJ193)=0%,$B194,0%)))</f>
        <v>0</v>
      </c>
      <c r="BZ194" s="395">
        <f ca="1">IF($E$355=0,0,IF(SUM($G194:BY194)=$B194,0,IF(SUM(BZ193:$EJ193)=0%,$B194,0%)))</f>
        <v>0</v>
      </c>
      <c r="CA194" s="395">
        <f ca="1">IF($E$355=0,0,IF(SUM($G194:BZ194)=$B194,0,IF(SUM(CA193:$EJ193)=0%,$B194,0%)))</f>
        <v>0</v>
      </c>
      <c r="CB194" s="395">
        <f ca="1">IF($E$355=0,0,IF(SUM($G194:CA194)=$B194,0,IF(SUM(CB193:$EJ193)=0%,$B194,0%)))</f>
        <v>0</v>
      </c>
      <c r="CC194" s="395">
        <f ca="1">IF($E$355=0,0,IF(SUM($G194:CB194)=$B194,0,IF(SUM(CC193:$EJ193)=0%,$B194,0%)))</f>
        <v>0</v>
      </c>
      <c r="CD194" s="395">
        <f ca="1">IF($E$355=0,0,IF(SUM($G194:CC194)=$B194,0,IF(SUM(CD193:$EJ193)=0%,$B194,0%)))</f>
        <v>0</v>
      </c>
      <c r="CE194" s="395">
        <f ca="1">IF($E$355=0,0,IF(SUM($G194:CD194)=$B194,0,IF(SUM(CE193:$EJ193)=0%,$B194,0%)))</f>
        <v>0</v>
      </c>
      <c r="CF194" s="395">
        <f ca="1">IF($E$355=0,0,IF(SUM($G194:CE194)=$B194,0,IF(SUM(CF193:$EJ193)=0%,$B194,0%)))</f>
        <v>0</v>
      </c>
      <c r="CG194" s="395">
        <f ca="1">IF($E$355=0,0,IF(SUM($G194:CF194)=$B194,0,IF(SUM(CG193:$EJ193)=0%,$B194,0%)))</f>
        <v>0</v>
      </c>
      <c r="CH194" s="395">
        <f ca="1">IF($E$355=0,0,IF(SUM($G194:CG194)=$B194,0,IF(SUM(CH193:$EJ193)=0%,$B194,0%)))</f>
        <v>0</v>
      </c>
      <c r="CI194" s="395">
        <f ca="1">IF($E$355=0,0,IF(SUM($G194:CH194)=$B194,0,IF(SUM(CI193:$EJ193)=0%,$B194,0%)))</f>
        <v>0</v>
      </c>
      <c r="CJ194" s="395">
        <f ca="1">IF($E$355=0,0,IF(SUM($G194:CI194)=$B194,0,IF(SUM(CJ193:$EJ193)=0%,$B194,0%)))</f>
        <v>0</v>
      </c>
      <c r="CK194" s="395">
        <f ca="1">IF($E$355=0,0,IF(SUM($G194:CJ194)=$B194,0,IF(SUM(CK193:$EJ193)=0%,$B194,0%)))</f>
        <v>0</v>
      </c>
      <c r="CL194" s="395">
        <f ca="1">IF($E$355=0,0,IF(SUM($G194:CK194)=$B194,0,IF(SUM(CL193:$EJ193)=0%,$B194,0%)))</f>
        <v>0</v>
      </c>
      <c r="CM194" s="395">
        <f ca="1">IF($E$355=0,0,IF(SUM($G194:CL194)=$B194,0,IF(SUM(CM193:$EJ193)=0%,$B194,0%)))</f>
        <v>0</v>
      </c>
      <c r="CN194" s="395">
        <f ca="1">IF($E$355=0,0,IF(SUM($G194:CM194)=$B194,0,IF(SUM(CN193:$EJ193)=0%,$B194,0%)))</f>
        <v>0</v>
      </c>
      <c r="CO194" s="395">
        <f ca="1">IF($E$355=0,0,IF(SUM($G194:CN194)=$B194,0,IF(SUM(CO193:$EJ193)=0%,$B194,0%)))</f>
        <v>0</v>
      </c>
      <c r="CP194" s="395">
        <f ca="1">IF($E$355=0,0,IF(SUM($G194:CO194)=$B194,0,IF(SUM(CP193:$EJ193)=0%,$B194,0%)))</f>
        <v>0</v>
      </c>
      <c r="CQ194" s="395">
        <f ca="1">IF($E$355=0,0,IF(SUM($G194:CP194)=$B194,0,IF(SUM(CQ193:$EJ193)=0%,$B194,0%)))</f>
        <v>0</v>
      </c>
      <c r="CR194" s="395">
        <f ca="1">IF($E$355=0,0,IF(SUM($G194:CQ194)=$B194,0,IF(SUM(CR193:$EJ193)=0%,$B194,0%)))</f>
        <v>0</v>
      </c>
      <c r="CS194" s="395">
        <f ca="1">IF($E$355=0,0,IF(SUM($G194:CR194)=$B194,0,IF(SUM(CS193:$EJ193)=0%,$B194,0%)))</f>
        <v>0</v>
      </c>
      <c r="CT194" s="395">
        <f ca="1">IF($E$355=0,0,IF(SUM($G194:CS194)=$B194,0,IF(SUM(CT193:$EJ193)=0%,$B194,0%)))</f>
        <v>0</v>
      </c>
      <c r="CU194" s="395">
        <f ca="1">IF($E$355=0,0,IF(SUM($G194:CT194)=$B194,0,IF(SUM(CU193:$EJ193)=0%,$B194,0%)))</f>
        <v>0</v>
      </c>
      <c r="CV194" s="395">
        <f ca="1">IF($E$355=0,0,IF(SUM($G194:CU194)=$B194,0,IF(SUM(CV193:$EJ193)=0%,$B194,0%)))</f>
        <v>0</v>
      </c>
      <c r="CW194" s="395">
        <f ca="1">IF($E$355=0,0,IF(SUM($G194:CV194)=$B194,0,IF(SUM(CW193:$EJ193)=0%,$B194,0%)))</f>
        <v>0</v>
      </c>
      <c r="CX194" s="395">
        <f ca="1">IF($E$355=0,0,IF(SUM($G194:CW194)=$B194,0,IF(SUM(CX193:$EJ193)=0%,$B194,0%)))</f>
        <v>0</v>
      </c>
      <c r="CY194" s="395">
        <f ca="1">IF($E$355=0,0,IF(SUM($G194:CX194)=$B194,0,IF(SUM(CY193:$EJ193)=0%,$B194,0%)))</f>
        <v>0</v>
      </c>
      <c r="CZ194" s="395">
        <f ca="1">IF($E$355=0,0,IF(SUM($G194:CY194)=$B194,0,IF(SUM(CZ193:$EJ193)=0%,$B194,0%)))</f>
        <v>0</v>
      </c>
      <c r="DA194" s="395">
        <f ca="1">IF($E$355=0,0,IF(SUM($G194:CZ194)=$B194,0,IF(SUM(DA193:$EJ193)=0%,$B194,0%)))</f>
        <v>0</v>
      </c>
      <c r="DB194" s="395">
        <f ca="1">IF($E$355=0,0,IF(SUM($G194:DA194)=$B194,0,IF(SUM(DB193:$EJ193)=0%,$B194,0%)))</f>
        <v>0</v>
      </c>
      <c r="DC194" s="395">
        <f ca="1">IF($E$355=0,0,IF(SUM($G194:DB194)=$B194,0,IF(SUM(DC193:$EJ193)=0%,$B194,0%)))</f>
        <v>0</v>
      </c>
      <c r="DD194" s="395">
        <f ca="1">IF($E$355=0,0,IF(SUM($G194:DC194)=$B194,0,IF(SUM(DD193:$EJ193)=0%,$B194,0%)))</f>
        <v>0</v>
      </c>
      <c r="DE194" s="395">
        <f ca="1">IF($E$355=0,0,IF(SUM($G194:DD194)=$B194,0,IF(SUM(DE193:$EJ193)=0%,$B194,0%)))</f>
        <v>0</v>
      </c>
      <c r="DF194" s="395">
        <f ca="1">IF($E$355=0,0,IF(SUM($G194:DE194)=$B194,0,IF(SUM(DF193:$EJ193)=0%,$B194,0%)))</f>
        <v>0</v>
      </c>
      <c r="DG194" s="395">
        <f ca="1">IF($E$355=0,0,IF(SUM($G194:DF194)=$B194,0,IF(SUM(DG193:$EJ193)=0%,$B194,0%)))</f>
        <v>0</v>
      </c>
      <c r="DH194" s="395">
        <f ca="1">IF($E$355=0,0,IF(SUM($G194:DG194)=$B194,0,IF(SUM(DH193:$EJ193)=0%,$B194,0%)))</f>
        <v>0</v>
      </c>
      <c r="DI194" s="395">
        <f ca="1">IF($E$355=0,0,IF(SUM($G194:DH194)=$B194,0,IF(SUM(DI193:$EJ193)=0%,$B194,0%)))</f>
        <v>0</v>
      </c>
      <c r="DJ194" s="395">
        <f ca="1">IF($E$355=0,0,IF(SUM($G194:DI194)=$B194,0,IF(SUM(DJ193:$EJ193)=0%,$B194,0%)))</f>
        <v>0</v>
      </c>
      <c r="DK194" s="395">
        <f ca="1">IF($E$355=0,0,IF(SUM($G194:DJ194)=$B194,0,IF(SUM(DK193:$EJ193)=0%,$B194,0%)))</f>
        <v>0</v>
      </c>
      <c r="DL194" s="395">
        <f ca="1">IF($E$355=0,0,IF(SUM($G194:DK194)=$B194,0,IF(SUM(DL193:$EJ193)=0%,$B194,0%)))</f>
        <v>0</v>
      </c>
      <c r="DM194" s="395">
        <f ca="1">IF($E$355=0,0,IF(SUM($G194:DL194)=$B194,0,IF(SUM(DM193:$EJ193)=0%,$B194,0%)))</f>
        <v>0</v>
      </c>
      <c r="DN194" s="395">
        <f ca="1">IF($E$355=0,0,IF(SUM($G194:DM194)=$B194,0,IF(SUM(DN193:$EJ193)=0%,$B194,0%)))</f>
        <v>0</v>
      </c>
      <c r="DO194" s="395">
        <f ca="1">IF($E$355=0,0,IF(SUM($G194:DN194)=$B194,0,IF(SUM(DO193:$EJ193)=0%,$B194,0%)))</f>
        <v>0</v>
      </c>
      <c r="DP194" s="395">
        <f ca="1">IF($E$355=0,0,IF(SUM($G194:DO194)=$B194,0,IF(SUM(DP193:$EJ193)=0%,$B194,0%)))</f>
        <v>0</v>
      </c>
      <c r="DQ194" s="395">
        <f ca="1">IF($E$355=0,0,IF(SUM($G194:DP194)=$B194,0,IF(SUM(DQ193:$EJ193)=0%,$B194,0%)))</f>
        <v>0</v>
      </c>
      <c r="DR194" s="395">
        <f ca="1">IF($E$355=0,0,IF(SUM($G194:DQ194)=$B194,0,IF(SUM(DR193:$EJ193)=0%,$B194,0%)))</f>
        <v>0</v>
      </c>
      <c r="DS194" s="395">
        <f ca="1">IF($E$355=0,0,IF(SUM($G194:DR194)=$B194,0,IF(SUM(DS193:$EJ193)=0%,$B194,0%)))</f>
        <v>0</v>
      </c>
      <c r="DT194" s="395">
        <f ca="1">IF($E$355=0,0,IF(SUM($G194:DS194)=$B194,0,IF(SUM(DT193:$EJ193)=0%,$B194,0%)))</f>
        <v>0</v>
      </c>
      <c r="DU194" s="395">
        <f ca="1">IF($E$355=0,0,IF(SUM($G194:DT194)=$B194,0,IF(SUM(DU193:$EJ193)=0%,$B194,0%)))</f>
        <v>0</v>
      </c>
      <c r="DV194" s="395">
        <f ca="1">IF($E$355=0,0,IF(SUM($G194:DU194)=$B194,0,IF(SUM(DV193:$EJ193)=0%,$B194,0%)))</f>
        <v>0</v>
      </c>
      <c r="DW194" s="395">
        <f ca="1">IF($E$355=0,0,IF(SUM($G194:DV194)=$B194,0,IF(SUM(DW193:$EJ193)=0%,$B194,0%)))</f>
        <v>0</v>
      </c>
      <c r="DX194" s="395">
        <f ca="1">IF($E$355=0,0,IF(SUM($G194:DW194)=$B194,0,IF(SUM(DX193:$EJ193)=0%,$B194,0%)))</f>
        <v>0</v>
      </c>
      <c r="DY194" s="395">
        <f ca="1">IF($E$355=0,0,IF(SUM($G194:DX194)=$B194,0,IF(SUM(DY193:$EJ193)=0%,$B194,0%)))</f>
        <v>0</v>
      </c>
      <c r="DZ194" s="395">
        <f ca="1">IF($E$355=0,0,IF(SUM($G194:DY194)=$B194,0,IF(SUM(DZ193:$EJ193)=0%,$B194,0%)))</f>
        <v>0</v>
      </c>
      <c r="EA194" s="395">
        <f ca="1">IF($E$355=0,0,IF(SUM($G194:DZ194)=$B194,0,IF(SUM(EA193:$EJ193)=0%,$B194,0%)))</f>
        <v>0</v>
      </c>
      <c r="EB194" s="395">
        <f ca="1">IF($E$355=0,0,IF(SUM($G194:EA194)=$B194,0,IF(SUM(EB193:$EJ193)=0%,$B194,0%)))</f>
        <v>0</v>
      </c>
      <c r="EC194" s="395">
        <f ca="1">IF($E$355=0,0,IF(SUM($G194:EB194)=$B194,0,IF(SUM(EC193:$EJ193)=0%,$B194,0%)))</f>
        <v>0</v>
      </c>
      <c r="ED194" s="395">
        <f ca="1">IF($E$355=0,0,IF(SUM($G194:EC194)=$B194,0,IF(SUM(ED193:$EJ193)=0%,$B194,0%)))</f>
        <v>0</v>
      </c>
      <c r="EE194" s="395">
        <f ca="1">IF($E$355=0,0,IF(SUM($G194:ED194)=$B194,0,IF(SUM(EE193:$EJ193)=0%,$B194,0%)))</f>
        <v>0</v>
      </c>
      <c r="EF194" s="395">
        <f ca="1">IF($E$355=0,0,IF(SUM($G194:EE194)=$B194,0,IF(SUM(EF193:$EJ193)=0%,$B194,0%)))</f>
        <v>0</v>
      </c>
      <c r="EG194" s="395">
        <f ca="1">IF($E$355=0,0,IF(SUM($G194:EF194)=$B194,0,IF(SUM(EG193:$EJ193)=0%,$B194,0%)))</f>
        <v>0</v>
      </c>
      <c r="EH194" s="395">
        <f ca="1">IF($E$355=0,0,IF(SUM($G194:EG194)=$B194,0,IF(SUM(EH193:$EJ193)=0%,$B194,0%)))</f>
        <v>0</v>
      </c>
      <c r="EI194" s="395">
        <f ca="1">IF($E$355=0,0,IF(SUM($G194:EH194)=$B194,0,IF(SUM(EI193:$EJ193)=0%,$B194,0%)))</f>
        <v>0</v>
      </c>
      <c r="EJ194" s="398"/>
      <c r="EK194" s="332"/>
    </row>
    <row r="195" spans="1:141" s="321" customFormat="1" hidden="1" outlineLevel="2">
      <c r="A195" s="332"/>
      <c r="B195" s="549">
        <f>длительность!F195</f>
        <v>2.5000000000000001E-2</v>
      </c>
      <c r="C195" s="317"/>
      <c r="D195" s="317" t="s">
        <v>640</v>
      </c>
      <c r="E195" s="318">
        <f t="shared" ca="1" si="412"/>
        <v>0</v>
      </c>
      <c r="F195" s="397">
        <f ca="1">SUM(G195:EJ195)</f>
        <v>2.5000000000000001E-2</v>
      </c>
      <c r="G195" s="395"/>
      <c r="H195" s="395"/>
      <c r="I195" s="395"/>
      <c r="J195" s="395"/>
      <c r="K195" s="395"/>
      <c r="L195" s="395"/>
      <c r="M195" s="395"/>
      <c r="N195" s="395"/>
      <c r="O195" s="395"/>
      <c r="P195" s="395"/>
      <c r="Q195" s="395"/>
      <c r="R195" s="395"/>
      <c r="S195" s="395"/>
      <c r="T195" s="395"/>
      <c r="U195" s="395"/>
      <c r="V195" s="395"/>
      <c r="W195" s="395"/>
      <c r="X195" s="395"/>
      <c r="Y195" s="395"/>
      <c r="Z195" s="395"/>
      <c r="AA195" s="395"/>
      <c r="AB195" s="395"/>
      <c r="AC195" s="395"/>
      <c r="AD195" s="395">
        <f ca="1">IF($E$355=0,0,IF(SUM($G195:AC195)=$B195,0,IF(SUM($G194:G194)=$B194,$B195,0%)))</f>
        <v>0</v>
      </c>
      <c r="AE195" s="395">
        <f ca="1">IF($E$355=0,0,IF(SUM($G195:AD195)=$B195,0,IF(SUM($G194:H194)=$B194,$B195,0%)))</f>
        <v>0</v>
      </c>
      <c r="AF195" s="395">
        <f ca="1">IF($E$355=0,0,IF(SUM($G195:AE195)=$B195,0,IF(SUM($G194:I194)=$B194,$B195,0%)))</f>
        <v>0</v>
      </c>
      <c r="AG195" s="395">
        <f ca="1">IF($E$355=0,0,IF(SUM($G195:AF195)=$B195,0,IF(SUM($G194:J194)=$B194,$B195,0%)))</f>
        <v>0</v>
      </c>
      <c r="AH195" s="395">
        <f ca="1">IF($E$355=0,0,IF(SUM($G195:AG195)=$B195,0,IF(SUM($G194:K194)=$B194,$B195,0%)))</f>
        <v>0</v>
      </c>
      <c r="AI195" s="395">
        <f ca="1">IF($E$355=0,0,IF(SUM($G195:AH195)=$B195,0,IF(SUM($G194:L194)=$B194,$B195,0%)))</f>
        <v>0</v>
      </c>
      <c r="AJ195" s="395">
        <f ca="1">IF($E$355=0,0,IF(SUM($G195:AI195)=$B195,0,IF(SUM($G194:M194)=$B194,$B195,0%)))</f>
        <v>0</v>
      </c>
      <c r="AK195" s="395">
        <f ca="1">IF($E$355=0,0,IF(SUM($G195:AJ195)=$B195,0,IF(SUM($G194:N194)=$B194,$B195,0%)))</f>
        <v>0</v>
      </c>
      <c r="AL195" s="395">
        <f ca="1">IF($E$355=0,0,IF(SUM($G195:AK195)=$B195,0,IF(SUM($G194:O194)=$B194,$B195,0%)))</f>
        <v>0</v>
      </c>
      <c r="AM195" s="395">
        <f ca="1">IF($E$355=0,0,IF(SUM($G195:AL195)=$B195,0,IF(SUM($G194:P194)=$B194,$B195,0%)))</f>
        <v>0</v>
      </c>
      <c r="AN195" s="395">
        <f ca="1">IF($E$355=0,0,IF(SUM($G195:AM195)=$B195,0,IF(SUM($G194:Q194)=$B194,$B195,0%)))</f>
        <v>0</v>
      </c>
      <c r="AO195" s="395">
        <f ca="1">IF($E$355=0,0,IF(SUM($G195:AN195)=$B195,0,IF(SUM($G194:R194)=$B194,$B195,0%)))</f>
        <v>0</v>
      </c>
      <c r="AP195" s="395">
        <f ca="1">IF($E$355=0,0,IF(SUM($G195:AO195)=$B195,0,IF(SUM($G194:S194)=$B194,$B195,0%)))</f>
        <v>0</v>
      </c>
      <c r="AQ195" s="395">
        <f ca="1">IF($E$355=0,0,IF(SUM($G195:AP195)=$B195,0,IF(SUM($G194:T194)=$B194,$B195,0%)))</f>
        <v>0</v>
      </c>
      <c r="AR195" s="395">
        <f ca="1">IF($E$355=0,0,IF(SUM($G195:AQ195)=$B195,0,IF(SUM($G194:U194)=$B194,$B195,0%)))</f>
        <v>0</v>
      </c>
      <c r="AS195" s="395">
        <f ca="1">IF($E$355=0,0,IF(SUM($G195:AR195)=$B195,0,IF(SUM($G194:V194)=$B194,$B195,0%)))</f>
        <v>2.5000000000000001E-2</v>
      </c>
      <c r="AT195" s="395">
        <f ca="1">IF($E$355=0,0,IF(SUM($G195:AS195)=$B195,0,IF(SUM($G194:W194)=$B194,$B195,0%)))</f>
        <v>0</v>
      </c>
      <c r="AU195" s="395">
        <f ca="1">IF($E$355=0,0,IF(SUM($G195:AT195)=$B195,0,IF(SUM($G194:X194)=$B194,$B195,0%)))</f>
        <v>0</v>
      </c>
      <c r="AV195" s="395">
        <f ca="1">IF($E$355=0,0,IF(SUM($G195:AU195)=$B195,0,IF(SUM($G194:Y194)=$B194,$B195,0%)))</f>
        <v>0</v>
      </c>
      <c r="AW195" s="395">
        <f ca="1">IF($E$355=0,0,IF(SUM($G195:AV195)=$B195,0,IF(SUM($G194:Z194)=$B194,$B195,0%)))</f>
        <v>0</v>
      </c>
      <c r="AX195" s="395">
        <f ca="1">IF($E$355=0,0,IF(SUM($G195:AW195)=$B195,0,IF(SUM($G194:AA194)=$B194,$B195,0%)))</f>
        <v>0</v>
      </c>
      <c r="AY195" s="395">
        <f ca="1">IF($E$355=0,0,IF(SUM($G195:AX195)=$B195,0,IF(SUM($G194:AB194)=$B194,$B195,0%)))</f>
        <v>0</v>
      </c>
      <c r="AZ195" s="395">
        <f ca="1">IF($E$355=0,0,IF(SUM($G195:AY195)=$B195,0,IF(SUM($G194:AC194)=$B194,$B195,0%)))</f>
        <v>0</v>
      </c>
      <c r="BA195" s="395">
        <f ca="1">IF($E$355=0,0,IF(SUM($G195:AZ195)=$B195,0,IF(SUM($G194:AD194)=$B194,$B195,0%)))</f>
        <v>0</v>
      </c>
      <c r="BB195" s="395">
        <f ca="1">IF($E$355=0,0,IF(SUM($G195:BA195)=$B195,0,IF(SUM($G194:AE194)=$B194,$B195,0%)))</f>
        <v>0</v>
      </c>
      <c r="BC195" s="395">
        <f ca="1">IF($E$355=0,0,IF(SUM($G195:BB195)=$B195,0,IF(SUM($G194:AF194)=$B194,$B195,0%)))</f>
        <v>0</v>
      </c>
      <c r="BD195" s="395">
        <f ca="1">IF($E$355=0,0,IF(SUM($G195:BC195)=$B195,0,IF(SUM($G194:AG194)=$B194,$B195,0%)))</f>
        <v>0</v>
      </c>
      <c r="BE195" s="395">
        <f ca="1">IF($E$355=0,0,IF(SUM($G195:BD195)=$B195,0,IF(SUM($G194:AH194)=$B194,$B195,0%)))</f>
        <v>0</v>
      </c>
      <c r="BF195" s="395">
        <f ca="1">IF($E$355=0,0,IF(SUM($G195:BE195)=$B195,0,IF(SUM($G194:AI194)=$B194,$B195,0%)))</f>
        <v>0</v>
      </c>
      <c r="BG195" s="395">
        <f ca="1">IF($E$355=0,0,IF(SUM($G195:BF195)=$B195,0,IF(SUM($G194:AJ194)=$B194,$B195,0%)))</f>
        <v>0</v>
      </c>
      <c r="BH195" s="395">
        <f ca="1">IF($E$355=0,0,IF(SUM($G195:BG195)=$B195,0,IF(SUM($G194:AK194)=$B194,$B195,0%)))</f>
        <v>0</v>
      </c>
      <c r="BI195" s="395">
        <f ca="1">IF($E$355=0,0,IF(SUM($G195:BH195)=$B195,0,IF(SUM($G194:AL194)=$B194,$B195,0%)))</f>
        <v>0</v>
      </c>
      <c r="BJ195" s="395">
        <f ca="1">IF($E$355=0,0,IF(SUM($G195:BI195)=$B195,0,IF(SUM($G194:AM194)=$B194,$B195,0%)))</f>
        <v>0</v>
      </c>
      <c r="BK195" s="395">
        <f ca="1">IF($E$355=0,0,IF(SUM($G195:BJ195)=$B195,0,IF(SUM($G194:AN194)=$B194,$B195,0%)))</f>
        <v>0</v>
      </c>
      <c r="BL195" s="395">
        <f ca="1">IF($E$355=0,0,IF(SUM($G195:BK195)=$B195,0,IF(SUM($G194:AO194)=$B194,$B195,0%)))</f>
        <v>0</v>
      </c>
      <c r="BM195" s="395">
        <f ca="1">IF($E$355=0,0,IF(SUM($G195:BL195)=$B195,0,IF(SUM($G194:AP194)=$B194,$B195,0%)))</f>
        <v>0</v>
      </c>
      <c r="BN195" s="395">
        <f ca="1">IF($E$355=0,0,IF(SUM($G195:BM195)=$B195,0,IF(SUM($G194:AQ194)=$B194,$B195,0%)))</f>
        <v>0</v>
      </c>
      <c r="BO195" s="395">
        <f ca="1">IF($E$355=0,0,IF(SUM($G195:BN195)=$B195,0,IF(SUM($G194:AR194)=$B194,$B195,0%)))</f>
        <v>0</v>
      </c>
      <c r="BP195" s="395">
        <f ca="1">IF($E$355=0,0,IF(SUM($G195:BO195)=$B195,0,IF(SUM($G194:AS194)=$B194,$B195,0%)))</f>
        <v>0</v>
      </c>
      <c r="BQ195" s="395">
        <f ca="1">IF($E$355=0,0,IF(SUM($G195:BP195)=$B195,0,IF(SUM($G194:AT194)=$B194,$B195,0%)))</f>
        <v>0</v>
      </c>
      <c r="BR195" s="395">
        <f ca="1">IF($E$355=0,0,IF(SUM($G195:BQ195)=$B195,0,IF(SUM($G194:AU194)=$B194,$B195,0%)))</f>
        <v>0</v>
      </c>
      <c r="BS195" s="395">
        <f ca="1">IF($E$355=0,0,IF(SUM($G195:BR195)=$B195,0,IF(SUM($G194:AV194)=$B194,$B195,0%)))</f>
        <v>0</v>
      </c>
      <c r="BT195" s="395">
        <f ca="1">IF($E$355=0,0,IF(SUM($G195:BS195)=$B195,0,IF(SUM($G194:AW194)=$B194,$B195,0%)))</f>
        <v>0</v>
      </c>
      <c r="BU195" s="395">
        <f ca="1">IF($E$355=0,0,IF(SUM($G195:BT195)=$B195,0,IF(SUM($G194:AX194)=$B194,$B195,0%)))</f>
        <v>0</v>
      </c>
      <c r="BV195" s="395">
        <f ca="1">IF($E$355=0,0,IF(SUM($G195:BU195)=$B195,0,IF(SUM($G194:AY194)=$B194,$B195,0%)))</f>
        <v>0</v>
      </c>
      <c r="BW195" s="395">
        <f ca="1">IF($E$355=0,0,IF(SUM($G195:BV195)=$B195,0,IF(SUM($G194:AZ194)=$B194,$B195,0%)))</f>
        <v>0</v>
      </c>
      <c r="BX195" s="395">
        <f ca="1">IF($E$355=0,0,IF(SUM($G195:BW195)=$B195,0,IF(SUM($G194:BA194)=$B194,$B195,0%)))</f>
        <v>0</v>
      </c>
      <c r="BY195" s="395">
        <f ca="1">IF($E$355=0,0,IF(SUM($G195:BX195)=$B195,0,IF(SUM($G194:BB194)=$B194,$B195,0%)))</f>
        <v>0</v>
      </c>
      <c r="BZ195" s="395">
        <f ca="1">IF($E$355=0,0,IF(SUM($G195:BY195)=$B195,0,IF(SUM($G194:BC194)=$B194,$B195,0%)))</f>
        <v>0</v>
      </c>
      <c r="CA195" s="395">
        <f ca="1">IF($E$355=0,0,IF(SUM($G195:BZ195)=$B195,0,IF(SUM($G194:BD194)=$B194,$B195,0%)))</f>
        <v>0</v>
      </c>
      <c r="CB195" s="395">
        <f ca="1">IF($E$355=0,0,IF(SUM($G195:CA195)=$B195,0,IF(SUM($G194:BE194)=$B194,$B195,0%)))</f>
        <v>0</v>
      </c>
      <c r="CC195" s="395">
        <f ca="1">IF($E$355=0,0,IF(SUM($G195:CB195)=$B195,0,IF(SUM($G194:BF194)=$B194,$B195,0%)))</f>
        <v>0</v>
      </c>
      <c r="CD195" s="395">
        <f ca="1">IF($E$355=0,0,IF(SUM($G195:CC195)=$B195,0,IF(SUM($G194:BG194)=$B194,$B195,0%)))</f>
        <v>0</v>
      </c>
      <c r="CE195" s="395">
        <f ca="1">IF($E$355=0,0,IF(SUM($G195:CD195)=$B195,0,IF(SUM($G194:BH194)=$B194,$B195,0%)))</f>
        <v>0</v>
      </c>
      <c r="CF195" s="395">
        <f ca="1">IF($E$355=0,0,IF(SUM($G195:CE195)=$B195,0,IF(SUM($G194:BI194)=$B194,$B195,0%)))</f>
        <v>0</v>
      </c>
      <c r="CG195" s="395">
        <f ca="1">IF($E$355=0,0,IF(SUM($G195:CF195)=$B195,0,IF(SUM($G194:BJ194)=$B194,$B195,0%)))</f>
        <v>0</v>
      </c>
      <c r="CH195" s="395">
        <f ca="1">IF($E$355=0,0,IF(SUM($G195:CG195)=$B195,0,IF(SUM($G194:BK194)=$B194,$B195,0%)))</f>
        <v>0</v>
      </c>
      <c r="CI195" s="395">
        <f ca="1">IF($E$355=0,0,IF(SUM($G195:CH195)=$B195,0,IF(SUM($G194:BL194)=$B194,$B195,0%)))</f>
        <v>0</v>
      </c>
      <c r="CJ195" s="395">
        <f ca="1">IF($E$355=0,0,IF(SUM($G195:CI195)=$B195,0,IF(SUM($G194:BM194)=$B194,$B195,0%)))</f>
        <v>0</v>
      </c>
      <c r="CK195" s="395">
        <f ca="1">IF($E$355=0,0,IF(SUM($G195:CJ195)=$B195,0,IF(SUM($G194:BN194)=$B194,$B195,0%)))</f>
        <v>0</v>
      </c>
      <c r="CL195" s="395">
        <f ca="1">IF($E$355=0,0,IF(SUM($G195:CK195)=$B195,0,IF(SUM($G194:BO194)=$B194,$B195,0%)))</f>
        <v>0</v>
      </c>
      <c r="CM195" s="395">
        <f ca="1">IF($E$355=0,0,IF(SUM($G195:CL195)=$B195,0,IF(SUM($G194:BP194)=$B194,$B195,0%)))</f>
        <v>0</v>
      </c>
      <c r="CN195" s="395">
        <f ca="1">IF($E$355=0,0,IF(SUM($G195:CM195)=$B195,0,IF(SUM($G194:BQ194)=$B194,$B195,0%)))</f>
        <v>0</v>
      </c>
      <c r="CO195" s="395">
        <f ca="1">IF($E$355=0,0,IF(SUM($G195:CN195)=$B195,0,IF(SUM($G194:BR194)=$B194,$B195,0%)))</f>
        <v>0</v>
      </c>
      <c r="CP195" s="395">
        <f ca="1">IF($E$355=0,0,IF(SUM($G195:CO195)=$B195,0,IF(SUM($G194:BS194)=$B194,$B195,0%)))</f>
        <v>0</v>
      </c>
      <c r="CQ195" s="395">
        <f ca="1">IF($E$355=0,0,IF(SUM($G195:CP195)=$B195,0,IF(SUM($G194:BT194)=$B194,$B195,0%)))</f>
        <v>0</v>
      </c>
      <c r="CR195" s="395">
        <f ca="1">IF($E$355=0,0,IF(SUM($G195:CQ195)=$B195,0,IF(SUM($G194:BU194)=$B194,$B195,0%)))</f>
        <v>0</v>
      </c>
      <c r="CS195" s="395">
        <f ca="1">IF($E$355=0,0,IF(SUM($G195:CR195)=$B195,0,IF(SUM($G194:BV194)=$B194,$B195,0%)))</f>
        <v>0</v>
      </c>
      <c r="CT195" s="395">
        <f ca="1">IF($E$355=0,0,IF(SUM($G195:CS195)=$B195,0,IF(SUM($G194:BW194)=$B194,$B195,0%)))</f>
        <v>0</v>
      </c>
      <c r="CU195" s="395">
        <f ca="1">IF($E$355=0,0,IF(SUM($G195:CT195)=$B195,0,IF(SUM($G194:BX194)=$B194,$B195,0%)))</f>
        <v>0</v>
      </c>
      <c r="CV195" s="395">
        <f ca="1">IF($E$355=0,0,IF(SUM($G195:CU195)=$B195,0,IF(SUM($G194:BY194)=$B194,$B195,0%)))</f>
        <v>0</v>
      </c>
      <c r="CW195" s="395">
        <f ca="1">IF($E$355=0,0,IF(SUM($G195:CV195)=$B195,0,IF(SUM($G194:BZ194)=$B194,$B195,0%)))</f>
        <v>0</v>
      </c>
      <c r="CX195" s="395">
        <f ca="1">IF($E$355=0,0,IF(SUM($G195:CW195)=$B195,0,IF(SUM($G194:CA194)=$B194,$B195,0%)))</f>
        <v>0</v>
      </c>
      <c r="CY195" s="395">
        <f ca="1">IF($E$355=0,0,IF(SUM($G195:CX195)=$B195,0,IF(SUM($G194:CB194)=$B194,$B195,0%)))</f>
        <v>0</v>
      </c>
      <c r="CZ195" s="395">
        <f ca="1">IF($E$355=0,0,IF(SUM($G195:CY195)=$B195,0,IF(SUM($G194:CC194)=$B194,$B195,0%)))</f>
        <v>0</v>
      </c>
      <c r="DA195" s="395">
        <f ca="1">IF($E$355=0,0,IF(SUM($G195:CZ195)=$B195,0,IF(SUM($G194:CD194)=$B194,$B195,0%)))</f>
        <v>0</v>
      </c>
      <c r="DB195" s="395">
        <f ca="1">IF($E$355=0,0,IF(SUM($G195:DA195)=$B195,0,IF(SUM($G194:CE194)=$B194,$B195,0%)))</f>
        <v>0</v>
      </c>
      <c r="DC195" s="395">
        <f ca="1">IF($E$355=0,0,IF(SUM($G195:DB195)=$B195,0,IF(SUM($G194:CF194)=$B194,$B195,0%)))</f>
        <v>0</v>
      </c>
      <c r="DD195" s="395">
        <f ca="1">IF($E$355=0,0,IF(SUM($G195:DC195)=$B195,0,IF(SUM($G194:CG194)=$B194,$B195,0%)))</f>
        <v>0</v>
      </c>
      <c r="DE195" s="395">
        <f ca="1">IF($E$355=0,0,IF(SUM($G195:DD195)=$B195,0,IF(SUM($G194:CH194)=$B194,$B195,0%)))</f>
        <v>0</v>
      </c>
      <c r="DF195" s="395">
        <f ca="1">IF($E$355=0,0,IF(SUM($G195:DE195)=$B195,0,IF(SUM($G194:CI194)=$B194,$B195,0%)))</f>
        <v>0</v>
      </c>
      <c r="DG195" s="395">
        <f ca="1">IF($E$355=0,0,IF(SUM($G195:DF195)=$B195,0,IF(SUM($G194:CJ194)=$B194,$B195,0%)))</f>
        <v>0</v>
      </c>
      <c r="DH195" s="395">
        <f ca="1">IF($E$355=0,0,IF(SUM($G195:DG195)=$B195,0,IF(SUM($G194:CK194)=$B194,$B195,0%)))</f>
        <v>0</v>
      </c>
      <c r="DI195" s="395">
        <f ca="1">IF($E$355=0,0,IF(SUM($G195:DH195)=$B195,0,IF(SUM($G194:CL194)=$B194,$B195,0%)))</f>
        <v>0</v>
      </c>
      <c r="DJ195" s="395">
        <f ca="1">IF($E$355=0,0,IF(SUM($G195:DI195)=$B195,0,IF(SUM($G194:CM194)=$B194,$B195,0%)))</f>
        <v>0</v>
      </c>
      <c r="DK195" s="395">
        <f ca="1">IF($E$355=0,0,IF(SUM($G195:DJ195)=$B195,0,IF(SUM($G194:CN194)=$B194,$B195,0%)))</f>
        <v>0</v>
      </c>
      <c r="DL195" s="395">
        <f ca="1">IF($E$355=0,0,IF(SUM($G195:DK195)=$B195,0,IF(SUM($G194:CO194)=$B194,$B195,0%)))</f>
        <v>0</v>
      </c>
      <c r="DM195" s="395">
        <f ca="1">IF($E$355=0,0,IF(SUM($G195:DL195)=$B195,0,IF(SUM($G194:CP194)=$B194,$B195,0%)))</f>
        <v>0</v>
      </c>
      <c r="DN195" s="395">
        <f ca="1">IF($E$355=0,0,IF(SUM($G195:DM195)=$B195,0,IF(SUM($G194:CQ194)=$B194,$B195,0%)))</f>
        <v>0</v>
      </c>
      <c r="DO195" s="395">
        <f ca="1">IF($E$355=0,0,IF(SUM($G195:DN195)=$B195,0,IF(SUM($G194:CR194)=$B194,$B195,0%)))</f>
        <v>0</v>
      </c>
      <c r="DP195" s="395">
        <f ca="1">IF($E$355=0,0,IF(SUM($G195:DO195)=$B195,0,IF(SUM($G194:CS194)=$B194,$B195,0%)))</f>
        <v>0</v>
      </c>
      <c r="DQ195" s="395">
        <f ca="1">IF($E$355=0,0,IF(SUM($G195:DP195)=$B195,0,IF(SUM($G194:CT194)=$B194,$B195,0%)))</f>
        <v>0</v>
      </c>
      <c r="DR195" s="395">
        <f ca="1">IF($E$355=0,0,IF(SUM($G195:DQ195)=$B195,0,IF(SUM($G194:CU194)=$B194,$B195,0%)))</f>
        <v>0</v>
      </c>
      <c r="DS195" s="395">
        <f ca="1">IF($E$355=0,0,IF(SUM($G195:DR195)=$B195,0,IF(SUM($G194:CV194)=$B194,$B195,0%)))</f>
        <v>0</v>
      </c>
      <c r="DT195" s="395">
        <f ca="1">IF($E$355=0,0,IF(SUM($G195:DS195)=$B195,0,IF(SUM($G194:CW194)=$B194,$B195,0%)))</f>
        <v>0</v>
      </c>
      <c r="DU195" s="395">
        <f ca="1">IF($E$355=0,0,IF(SUM($G195:DT195)=$B195,0,IF(SUM($G194:CX194)=$B194,$B195,0%)))</f>
        <v>0</v>
      </c>
      <c r="DV195" s="395">
        <f ca="1">IF($E$355=0,0,IF(SUM($G195:DU195)=$B195,0,IF(SUM($G194:CY194)=$B194,$B195,0%)))</f>
        <v>0</v>
      </c>
      <c r="DW195" s="395">
        <f ca="1">IF($E$355=0,0,IF(SUM($G195:DV195)=$B195,0,IF(SUM($G194:CZ194)=$B194,$B195,0%)))</f>
        <v>0</v>
      </c>
      <c r="DX195" s="395">
        <f ca="1">IF($E$355=0,0,IF(SUM($G195:DW195)=$B195,0,IF(SUM($G194:DA194)=$B194,$B195,0%)))</f>
        <v>0</v>
      </c>
      <c r="DY195" s="395">
        <f ca="1">IF($E$355=0,0,IF(SUM($G195:DX195)=$B195,0,IF(SUM($G194:DB194)=$B194,$B195,0%)))</f>
        <v>0</v>
      </c>
      <c r="DZ195" s="395">
        <f ca="1">IF($E$355=0,0,IF(SUM($G195:DY195)=$B195,0,IF(SUM($G194:DC194)=$B194,$B195,0%)))</f>
        <v>0</v>
      </c>
      <c r="EA195" s="395">
        <f ca="1">IF($E$355=0,0,IF(SUM($G195:DZ195)=$B195,0,IF(SUM($G194:DD194)=$B194,$B195,0%)))</f>
        <v>0</v>
      </c>
      <c r="EB195" s="395">
        <f ca="1">IF($E$355=0,0,IF(SUM($G195:EA195)=$B195,0,IF(SUM($G194:DE194)=$B194,$B195,0%)))</f>
        <v>0</v>
      </c>
      <c r="EC195" s="395">
        <f ca="1">IF($E$355=0,0,IF(SUM($G195:EB195)=$B195,0,IF(SUM($G194:DF194)=$B194,$B195,0%)))</f>
        <v>0</v>
      </c>
      <c r="ED195" s="395">
        <f ca="1">IF($E$355=0,0,IF(SUM($G195:EC195)=$B195,0,IF(SUM($G194:DG194)=$B194,$B195,0%)))</f>
        <v>0</v>
      </c>
      <c r="EE195" s="395">
        <f ca="1">IF($E$355=0,0,IF(SUM($G195:ED195)=$B195,0,IF(SUM($G194:DH194)=$B194,$B195,0%)))</f>
        <v>0</v>
      </c>
      <c r="EF195" s="395">
        <f ca="1">IF($E$355=0,0,IF(SUM($G195:EE195)=$B195,0,IF(SUM($G194:DI194)=$B194,$B195,0%)))</f>
        <v>0</v>
      </c>
      <c r="EG195" s="395">
        <f ca="1">IF($E$355=0,0,IF(SUM($G195:EF195)=$B195,0,IF(SUM($G194:DJ194)=$B194,$B195,0%)))</f>
        <v>0</v>
      </c>
      <c r="EH195" s="395">
        <f ca="1">IF($E$355=0,0,IF(SUM($G195:EG195)=$B195,0,IF(SUM($G194:DK194)=$B194,$B195,0%)))</f>
        <v>0</v>
      </c>
      <c r="EI195" s="395">
        <f ca="1">IF($E$355=0,0,IF(SUM($G195:EH195)=$B195,0,IF(SUM($G194:DL194)=$B194,$B195,0%)))</f>
        <v>0</v>
      </c>
      <c r="EJ195" s="398"/>
      <c r="EK195" s="332"/>
    </row>
    <row r="196" spans="1:141" s="321" customFormat="1" hidden="1" outlineLevel="1" collapsed="1">
      <c r="A196" s="332"/>
      <c r="B196" s="332"/>
      <c r="C196" s="392" t="s">
        <v>281</v>
      </c>
      <c r="D196" s="392" t="s">
        <v>1245</v>
      </c>
      <c r="E196" s="393">
        <f>ROUND(IF(F196=0,0,100%-F196),0)</f>
        <v>0</v>
      </c>
      <c r="F196" s="394">
        <f t="shared" ref="F196:F198" si="413">SUM(G196:EJ196)</f>
        <v>0</v>
      </c>
      <c r="G196" s="395">
        <f>SUM(G197:G198)</f>
        <v>0</v>
      </c>
      <c r="H196" s="395">
        <f>SUM(H197:H198)</f>
        <v>0</v>
      </c>
      <c r="I196" s="395">
        <f>SUM(I197:I198)</f>
        <v>0</v>
      </c>
      <c r="J196" s="395">
        <f t="shared" ref="J196:BT196" si="414">SUM(J197:J198)</f>
        <v>0</v>
      </c>
      <c r="K196" s="395">
        <f t="shared" si="414"/>
        <v>0</v>
      </c>
      <c r="L196" s="395">
        <f t="shared" si="414"/>
        <v>0</v>
      </c>
      <c r="M196" s="395">
        <f t="shared" si="414"/>
        <v>0</v>
      </c>
      <c r="N196" s="395">
        <f t="shared" si="414"/>
        <v>0</v>
      </c>
      <c r="O196" s="395">
        <f t="shared" si="414"/>
        <v>0</v>
      </c>
      <c r="P196" s="395">
        <f t="shared" si="414"/>
        <v>0</v>
      </c>
      <c r="Q196" s="395">
        <f t="shared" si="414"/>
        <v>0</v>
      </c>
      <c r="R196" s="395">
        <f t="shared" si="414"/>
        <v>0</v>
      </c>
      <c r="S196" s="395">
        <f t="shared" si="414"/>
        <v>0</v>
      </c>
      <c r="T196" s="395">
        <f t="shared" si="414"/>
        <v>0</v>
      </c>
      <c r="U196" s="395">
        <f t="shared" si="414"/>
        <v>0</v>
      </c>
      <c r="V196" s="395">
        <f t="shared" si="414"/>
        <v>0</v>
      </c>
      <c r="W196" s="395">
        <f t="shared" si="414"/>
        <v>0</v>
      </c>
      <c r="X196" s="395">
        <f t="shared" si="414"/>
        <v>0</v>
      </c>
      <c r="Y196" s="395">
        <f t="shared" si="414"/>
        <v>0</v>
      </c>
      <c r="Z196" s="395">
        <f t="shared" si="414"/>
        <v>0</v>
      </c>
      <c r="AA196" s="395">
        <f t="shared" si="414"/>
        <v>0</v>
      </c>
      <c r="AB196" s="395">
        <f t="shared" si="414"/>
        <v>0</v>
      </c>
      <c r="AC196" s="395">
        <f t="shared" si="414"/>
        <v>0</v>
      </c>
      <c r="AD196" s="395">
        <f t="shared" si="414"/>
        <v>0</v>
      </c>
      <c r="AE196" s="395">
        <f t="shared" si="414"/>
        <v>0</v>
      </c>
      <c r="AF196" s="395">
        <f t="shared" si="414"/>
        <v>0</v>
      </c>
      <c r="AG196" s="395">
        <f t="shared" si="414"/>
        <v>0</v>
      </c>
      <c r="AH196" s="395">
        <f t="shared" si="414"/>
        <v>0</v>
      </c>
      <c r="AI196" s="395">
        <f t="shared" si="414"/>
        <v>0</v>
      </c>
      <c r="AJ196" s="395">
        <f t="shared" si="414"/>
        <v>0</v>
      </c>
      <c r="AK196" s="395">
        <f t="shared" si="414"/>
        <v>0</v>
      </c>
      <c r="AL196" s="395">
        <f t="shared" si="414"/>
        <v>0</v>
      </c>
      <c r="AM196" s="395">
        <f t="shared" si="414"/>
        <v>0</v>
      </c>
      <c r="AN196" s="395">
        <f t="shared" si="414"/>
        <v>0</v>
      </c>
      <c r="AO196" s="395">
        <f t="shared" si="414"/>
        <v>0</v>
      </c>
      <c r="AP196" s="395">
        <f t="shared" si="414"/>
        <v>0</v>
      </c>
      <c r="AQ196" s="395">
        <f t="shared" si="414"/>
        <v>0</v>
      </c>
      <c r="AR196" s="395">
        <f t="shared" si="414"/>
        <v>0</v>
      </c>
      <c r="AS196" s="395">
        <f t="shared" si="414"/>
        <v>0</v>
      </c>
      <c r="AT196" s="395">
        <f t="shared" si="414"/>
        <v>0</v>
      </c>
      <c r="AU196" s="395">
        <f t="shared" si="414"/>
        <v>0</v>
      </c>
      <c r="AV196" s="395">
        <f t="shared" si="414"/>
        <v>0</v>
      </c>
      <c r="AW196" s="395">
        <f t="shared" si="414"/>
        <v>0</v>
      </c>
      <c r="AX196" s="395">
        <f t="shared" si="414"/>
        <v>0</v>
      </c>
      <c r="AY196" s="395">
        <f t="shared" si="414"/>
        <v>0</v>
      </c>
      <c r="AZ196" s="395">
        <f t="shared" si="414"/>
        <v>0</v>
      </c>
      <c r="BA196" s="395">
        <f t="shared" si="414"/>
        <v>0</v>
      </c>
      <c r="BB196" s="395">
        <f t="shared" si="414"/>
        <v>0</v>
      </c>
      <c r="BC196" s="395">
        <f t="shared" si="414"/>
        <v>0</v>
      </c>
      <c r="BD196" s="395">
        <f t="shared" si="414"/>
        <v>0</v>
      </c>
      <c r="BE196" s="395">
        <f t="shared" si="414"/>
        <v>0</v>
      </c>
      <c r="BF196" s="395">
        <f t="shared" si="414"/>
        <v>0</v>
      </c>
      <c r="BG196" s="395">
        <f t="shared" si="414"/>
        <v>0</v>
      </c>
      <c r="BH196" s="395">
        <f t="shared" si="414"/>
        <v>0</v>
      </c>
      <c r="BI196" s="395">
        <f t="shared" si="414"/>
        <v>0</v>
      </c>
      <c r="BJ196" s="395">
        <f t="shared" si="414"/>
        <v>0</v>
      </c>
      <c r="BK196" s="395">
        <f t="shared" si="414"/>
        <v>0</v>
      </c>
      <c r="BL196" s="395">
        <f t="shared" si="414"/>
        <v>0</v>
      </c>
      <c r="BM196" s="395">
        <f t="shared" si="414"/>
        <v>0</v>
      </c>
      <c r="BN196" s="395">
        <f t="shared" si="414"/>
        <v>0</v>
      </c>
      <c r="BO196" s="395">
        <f t="shared" si="414"/>
        <v>0</v>
      </c>
      <c r="BP196" s="395">
        <f t="shared" si="414"/>
        <v>0</v>
      </c>
      <c r="BQ196" s="395">
        <f t="shared" si="414"/>
        <v>0</v>
      </c>
      <c r="BR196" s="395">
        <f t="shared" si="414"/>
        <v>0</v>
      </c>
      <c r="BS196" s="395">
        <f t="shared" si="414"/>
        <v>0</v>
      </c>
      <c r="BT196" s="395">
        <f t="shared" si="414"/>
        <v>0</v>
      </c>
      <c r="BU196" s="395">
        <f t="shared" ref="BU196:EF196" si="415">SUM(BU197:BU198)</f>
        <v>0</v>
      </c>
      <c r="BV196" s="395">
        <f t="shared" si="415"/>
        <v>0</v>
      </c>
      <c r="BW196" s="395">
        <f t="shared" si="415"/>
        <v>0</v>
      </c>
      <c r="BX196" s="395">
        <f t="shared" si="415"/>
        <v>0</v>
      </c>
      <c r="BY196" s="395">
        <f t="shared" si="415"/>
        <v>0</v>
      </c>
      <c r="BZ196" s="395">
        <f t="shared" si="415"/>
        <v>0</v>
      </c>
      <c r="CA196" s="395">
        <f t="shared" si="415"/>
        <v>0</v>
      </c>
      <c r="CB196" s="395">
        <f t="shared" si="415"/>
        <v>0</v>
      </c>
      <c r="CC196" s="395">
        <f t="shared" si="415"/>
        <v>0</v>
      </c>
      <c r="CD196" s="395">
        <f t="shared" si="415"/>
        <v>0</v>
      </c>
      <c r="CE196" s="395">
        <f t="shared" si="415"/>
        <v>0</v>
      </c>
      <c r="CF196" s="395">
        <f t="shared" si="415"/>
        <v>0</v>
      </c>
      <c r="CG196" s="395">
        <f t="shared" si="415"/>
        <v>0</v>
      </c>
      <c r="CH196" s="395">
        <f t="shared" si="415"/>
        <v>0</v>
      </c>
      <c r="CI196" s="395">
        <f t="shared" si="415"/>
        <v>0</v>
      </c>
      <c r="CJ196" s="395">
        <f t="shared" si="415"/>
        <v>0</v>
      </c>
      <c r="CK196" s="395">
        <f t="shared" si="415"/>
        <v>0</v>
      </c>
      <c r="CL196" s="395">
        <f t="shared" si="415"/>
        <v>0</v>
      </c>
      <c r="CM196" s="395">
        <f t="shared" si="415"/>
        <v>0</v>
      </c>
      <c r="CN196" s="395">
        <f t="shared" si="415"/>
        <v>0</v>
      </c>
      <c r="CO196" s="395">
        <f t="shared" si="415"/>
        <v>0</v>
      </c>
      <c r="CP196" s="395">
        <f t="shared" si="415"/>
        <v>0</v>
      </c>
      <c r="CQ196" s="395">
        <f t="shared" si="415"/>
        <v>0</v>
      </c>
      <c r="CR196" s="395">
        <f t="shared" si="415"/>
        <v>0</v>
      </c>
      <c r="CS196" s="395">
        <f t="shared" si="415"/>
        <v>0</v>
      </c>
      <c r="CT196" s="395">
        <f t="shared" si="415"/>
        <v>0</v>
      </c>
      <c r="CU196" s="395">
        <f t="shared" si="415"/>
        <v>0</v>
      </c>
      <c r="CV196" s="395">
        <f t="shared" si="415"/>
        <v>0</v>
      </c>
      <c r="CW196" s="395">
        <f t="shared" si="415"/>
        <v>0</v>
      </c>
      <c r="CX196" s="395">
        <f t="shared" si="415"/>
        <v>0</v>
      </c>
      <c r="CY196" s="395">
        <f t="shared" si="415"/>
        <v>0</v>
      </c>
      <c r="CZ196" s="395">
        <f t="shared" si="415"/>
        <v>0</v>
      </c>
      <c r="DA196" s="395">
        <f t="shared" si="415"/>
        <v>0</v>
      </c>
      <c r="DB196" s="395">
        <f t="shared" si="415"/>
        <v>0</v>
      </c>
      <c r="DC196" s="395">
        <f t="shared" si="415"/>
        <v>0</v>
      </c>
      <c r="DD196" s="395">
        <f t="shared" si="415"/>
        <v>0</v>
      </c>
      <c r="DE196" s="395">
        <f t="shared" si="415"/>
        <v>0</v>
      </c>
      <c r="DF196" s="395">
        <f t="shared" si="415"/>
        <v>0</v>
      </c>
      <c r="DG196" s="395">
        <f t="shared" si="415"/>
        <v>0</v>
      </c>
      <c r="DH196" s="395">
        <f t="shared" si="415"/>
        <v>0</v>
      </c>
      <c r="DI196" s="395">
        <f t="shared" si="415"/>
        <v>0</v>
      </c>
      <c r="DJ196" s="395">
        <f t="shared" si="415"/>
        <v>0</v>
      </c>
      <c r="DK196" s="395">
        <f t="shared" si="415"/>
        <v>0</v>
      </c>
      <c r="DL196" s="395">
        <f t="shared" si="415"/>
        <v>0</v>
      </c>
      <c r="DM196" s="395">
        <f t="shared" si="415"/>
        <v>0</v>
      </c>
      <c r="DN196" s="395">
        <f t="shared" si="415"/>
        <v>0</v>
      </c>
      <c r="DO196" s="395">
        <f t="shared" si="415"/>
        <v>0</v>
      </c>
      <c r="DP196" s="395">
        <f t="shared" si="415"/>
        <v>0</v>
      </c>
      <c r="DQ196" s="395">
        <f t="shared" si="415"/>
        <v>0</v>
      </c>
      <c r="DR196" s="395">
        <f t="shared" si="415"/>
        <v>0</v>
      </c>
      <c r="DS196" s="395">
        <f t="shared" si="415"/>
        <v>0</v>
      </c>
      <c r="DT196" s="395">
        <f t="shared" si="415"/>
        <v>0</v>
      </c>
      <c r="DU196" s="395">
        <f t="shared" si="415"/>
        <v>0</v>
      </c>
      <c r="DV196" s="395">
        <f t="shared" si="415"/>
        <v>0</v>
      </c>
      <c r="DW196" s="395">
        <f t="shared" si="415"/>
        <v>0</v>
      </c>
      <c r="DX196" s="395">
        <f t="shared" si="415"/>
        <v>0</v>
      </c>
      <c r="DY196" s="395">
        <f t="shared" si="415"/>
        <v>0</v>
      </c>
      <c r="DZ196" s="395">
        <f t="shared" si="415"/>
        <v>0</v>
      </c>
      <c r="EA196" s="395">
        <f t="shared" si="415"/>
        <v>0</v>
      </c>
      <c r="EB196" s="395">
        <f t="shared" si="415"/>
        <v>0</v>
      </c>
      <c r="EC196" s="395">
        <f t="shared" si="415"/>
        <v>0</v>
      </c>
      <c r="ED196" s="395">
        <f t="shared" si="415"/>
        <v>0</v>
      </c>
      <c r="EE196" s="395">
        <f t="shared" si="415"/>
        <v>0</v>
      </c>
      <c r="EF196" s="395">
        <f t="shared" si="415"/>
        <v>0</v>
      </c>
      <c r="EG196" s="395">
        <f t="shared" ref="EG196:EI196" si="416">SUM(EG197:EG198)</f>
        <v>0</v>
      </c>
      <c r="EH196" s="395">
        <f t="shared" si="416"/>
        <v>0</v>
      </c>
      <c r="EI196" s="395">
        <f t="shared" si="416"/>
        <v>0</v>
      </c>
      <c r="EJ196" s="398"/>
      <c r="EK196" s="332"/>
    </row>
    <row r="197" spans="1:141" s="321" customFormat="1" hidden="1" outlineLevel="2">
      <c r="A197" s="332"/>
      <c r="B197" s="332"/>
      <c r="C197" s="317"/>
      <c r="D197" s="317" t="s">
        <v>664</v>
      </c>
      <c r="E197" s="318">
        <f>IF(F197=0,0,30%-F197)</f>
        <v>0</v>
      </c>
      <c r="F197" s="397">
        <f t="shared" si="413"/>
        <v>0</v>
      </c>
      <c r="G197" s="395"/>
      <c r="H197" s="395">
        <f>IF(SUM($G197:G197)=30%,0,IF(J198&gt;0%,30%,0%))</f>
        <v>0</v>
      </c>
      <c r="I197" s="395">
        <f>IF(SUM($G197:H197)=30%,0,IF(K198&gt;0%,30%,0%))</f>
        <v>0</v>
      </c>
      <c r="J197" s="395">
        <f>IF(SUM($G197:I197)=30%,0,IF(L198&gt;0%,30%,0%))</f>
        <v>0</v>
      </c>
      <c r="K197" s="395">
        <f>IF(SUM($G197:J197)=30%,0,IF(M198&gt;0%,30%,0%))</f>
        <v>0</v>
      </c>
      <c r="L197" s="395">
        <f>IF(SUM($G197:K197)=30%,0,IF(N198&gt;0%,30%,0%))</f>
        <v>0</v>
      </c>
      <c r="M197" s="395">
        <f>IF(SUM($G197:L197)=30%,0,IF(O198&gt;0%,30%,0%))</f>
        <v>0</v>
      </c>
      <c r="N197" s="395">
        <f>IF(SUM($G197:M197)=30%,0,IF(P198&gt;0%,30%,0%))</f>
        <v>0</v>
      </c>
      <c r="O197" s="395">
        <f>IF(SUM($G197:N197)=30%,0,IF(Q198&gt;0%,30%,0%))</f>
        <v>0</v>
      </c>
      <c r="P197" s="395">
        <f>IF(SUM($G197:O197)=30%,0,IF(R198&gt;0%,30%,0%))</f>
        <v>0</v>
      </c>
      <c r="Q197" s="395">
        <f>IF(SUM($G197:P197)=30%,0,IF(S198&gt;0%,30%,0%))</f>
        <v>0</v>
      </c>
      <c r="R197" s="395">
        <f>IF(SUM($G197:Q197)=30%,0,IF(T198&gt;0%,30%,0%))</f>
        <v>0</v>
      </c>
      <c r="S197" s="395">
        <f>IF(SUM($G197:R197)=30%,0,IF(U198&gt;0%,30%,0%))</f>
        <v>0</v>
      </c>
      <c r="T197" s="395">
        <f>IF(SUM($G197:S197)=30%,0,IF(V198&gt;0%,30%,0%))</f>
        <v>0</v>
      </c>
      <c r="U197" s="395">
        <f>IF(SUM($G197:T197)=30%,0,IF(W198&gt;0%,30%,0%))</f>
        <v>0</v>
      </c>
      <c r="V197" s="395">
        <f>IF(SUM($G197:U197)=30%,0,IF(X198&gt;0%,30%,0%))</f>
        <v>0</v>
      </c>
      <c r="W197" s="395">
        <f>IF(SUM($G197:V197)=30%,0,IF(Y198&gt;0%,30%,0%))</f>
        <v>0</v>
      </c>
      <c r="X197" s="395">
        <f>IF(SUM($G197:W197)=30%,0,IF(Z198&gt;0%,30%,0%))</f>
        <v>0</v>
      </c>
      <c r="Y197" s="395">
        <f>IF(SUM($G197:X197)=30%,0,IF(AA198&gt;0%,30%,0%))</f>
        <v>0</v>
      </c>
      <c r="Z197" s="395">
        <f>IF(SUM($G197:Y197)=30%,0,IF(AB198&gt;0%,30%,0%))</f>
        <v>0</v>
      </c>
      <c r="AA197" s="395">
        <f>IF(SUM($G197:Z197)=30%,0,IF(AC198&gt;0%,30%,0%))</f>
        <v>0</v>
      </c>
      <c r="AB197" s="395">
        <f>IF(SUM($G197:AA197)=30%,0,IF(AD198&gt;0%,30%,0%))</f>
        <v>0</v>
      </c>
      <c r="AC197" s="395">
        <f>IF(SUM($G197:AB197)=30%,0,IF(AE198&gt;0%,30%,0%))</f>
        <v>0</v>
      </c>
      <c r="AD197" s="395">
        <f>IF(SUM($G197:AC197)=30%,0,IF(AF198&gt;0%,30%,0%))</f>
        <v>0</v>
      </c>
      <c r="AE197" s="395">
        <f>IF(SUM($G197:AD197)=30%,0,IF(AG198&gt;0%,30%,0%))</f>
        <v>0</v>
      </c>
      <c r="AF197" s="395">
        <f>IF(SUM($G197:AE197)=30%,0,IF(AH198&gt;0%,30%,0%))</f>
        <v>0</v>
      </c>
      <c r="AG197" s="395">
        <f>IF(SUM($G197:AF197)=30%,0,IF(AI198&gt;0%,30%,0%))</f>
        <v>0</v>
      </c>
      <c r="AH197" s="395">
        <f>IF(SUM($G197:AG197)=30%,0,IF(AJ198&gt;0%,30%,0%))</f>
        <v>0</v>
      </c>
      <c r="AI197" s="395">
        <f>IF(SUM($G197:AH197)=30%,0,IF(AK198&gt;0%,30%,0%))</f>
        <v>0</v>
      </c>
      <c r="AJ197" s="395">
        <f>IF(SUM($G197:AI197)=30%,0,IF(AL198&gt;0%,30%,0%))</f>
        <v>0</v>
      </c>
      <c r="AK197" s="395">
        <f>IF(SUM($G197:AJ197)=30%,0,IF(AM198&gt;0%,30%,0%))</f>
        <v>0</v>
      </c>
      <c r="AL197" s="395">
        <f>IF(SUM($G197:AK197)=30%,0,IF(AN198&gt;0%,30%,0%))</f>
        <v>0</v>
      </c>
      <c r="AM197" s="395">
        <f>IF(SUM($G197:AL197)=30%,0,IF(AO198&gt;0%,30%,0%))</f>
        <v>0</v>
      </c>
      <c r="AN197" s="395">
        <f>IF(SUM($G197:AM197)=30%,0,IF(AP198&gt;0%,30%,0%))</f>
        <v>0</v>
      </c>
      <c r="AO197" s="395">
        <f>IF(SUM($G197:AN197)=30%,0,IF(AQ198&gt;0%,30%,0%))</f>
        <v>0</v>
      </c>
      <c r="AP197" s="395">
        <f>IF(SUM($G197:AO197)=30%,0,IF(AR198&gt;0%,30%,0%))</f>
        <v>0</v>
      </c>
      <c r="AQ197" s="395">
        <f>IF(SUM($G197:AP197)=30%,0,IF(AS198&gt;0%,30%,0%))</f>
        <v>0</v>
      </c>
      <c r="AR197" s="395">
        <f>IF(SUM($G197:AQ197)=30%,0,IF(AT198&gt;0%,30%,0%))</f>
        <v>0</v>
      </c>
      <c r="AS197" s="395">
        <f>IF(SUM($G197:AR197)=30%,0,IF(AU198&gt;0%,30%,0%))</f>
        <v>0</v>
      </c>
      <c r="AT197" s="395">
        <f>IF(SUM($G197:AS197)=30%,0,IF(AV198&gt;0%,30%,0%))</f>
        <v>0</v>
      </c>
      <c r="AU197" s="395">
        <f>IF(SUM($G197:AT197)=30%,0,IF(AW198&gt;0%,30%,0%))</f>
        <v>0</v>
      </c>
      <c r="AV197" s="395">
        <f>IF(SUM($G197:AU197)=30%,0,IF(AX198&gt;0%,30%,0%))</f>
        <v>0</v>
      </c>
      <c r="AW197" s="395">
        <f>IF(SUM($G197:AV197)=30%,0,IF(AY198&gt;0%,30%,0%))</f>
        <v>0</v>
      </c>
      <c r="AX197" s="395">
        <f>IF(SUM($G197:AW197)=30%,0,IF(AZ198&gt;0%,30%,0%))</f>
        <v>0</v>
      </c>
      <c r="AY197" s="395">
        <f>IF(SUM($G197:AX197)=30%,0,IF(BA198&gt;0%,30%,0%))</f>
        <v>0</v>
      </c>
      <c r="AZ197" s="395">
        <f>IF(SUM($G197:AY197)=30%,0,IF(BB198&gt;0%,30%,0%))</f>
        <v>0</v>
      </c>
      <c r="BA197" s="395">
        <f>IF(SUM($G197:AZ197)=30%,0,IF(BC198&gt;0%,30%,0%))</f>
        <v>0</v>
      </c>
      <c r="BB197" s="395">
        <f>IF(SUM($G197:BA197)=30%,0,IF(BD198&gt;0%,30%,0%))</f>
        <v>0</v>
      </c>
      <c r="BC197" s="395">
        <f>IF(SUM($G197:BB197)=30%,0,IF(BE198&gt;0%,30%,0%))</f>
        <v>0</v>
      </c>
      <c r="BD197" s="395">
        <f>IF(SUM($G197:BC197)=30%,0,IF(BF198&gt;0%,30%,0%))</f>
        <v>0</v>
      </c>
      <c r="BE197" s="395">
        <f>IF(SUM($G197:BD197)=30%,0,IF(BG198&gt;0%,30%,0%))</f>
        <v>0</v>
      </c>
      <c r="BF197" s="395">
        <f>IF(SUM($G197:BE197)=30%,0,IF(BH198&gt;0%,30%,0%))</f>
        <v>0</v>
      </c>
      <c r="BG197" s="395">
        <f>IF(SUM($G197:BF197)=30%,0,IF(BI198&gt;0%,30%,0%))</f>
        <v>0</v>
      </c>
      <c r="BH197" s="395">
        <f>IF(SUM($G197:BG197)=30%,0,IF(BJ198&gt;0%,30%,0%))</f>
        <v>0</v>
      </c>
      <c r="BI197" s="395">
        <f>IF(SUM($G197:BH197)=30%,0,IF(BK198&gt;0%,30%,0%))</f>
        <v>0</v>
      </c>
      <c r="BJ197" s="395">
        <f>IF(SUM($G197:BI197)=30%,0,IF(BL198&gt;0%,30%,0%))</f>
        <v>0</v>
      </c>
      <c r="BK197" s="395">
        <f>IF(SUM($G197:BJ197)=30%,0,IF(BM198&gt;0%,30%,0%))</f>
        <v>0</v>
      </c>
      <c r="BL197" s="395">
        <f>IF(SUM($G197:BK197)=30%,0,IF(BN198&gt;0%,30%,0%))</f>
        <v>0</v>
      </c>
      <c r="BM197" s="395">
        <f>IF(SUM($G197:BL197)=30%,0,IF(BO198&gt;0%,30%,0%))</f>
        <v>0</v>
      </c>
      <c r="BN197" s="395">
        <f>IF(SUM($G197:BM197)=30%,0,IF(BP198&gt;0%,30%,0%))</f>
        <v>0</v>
      </c>
      <c r="BO197" s="395">
        <f>IF(SUM($G197:BN197)=30%,0,IF(BQ198&gt;0%,30%,0%))</f>
        <v>0</v>
      </c>
      <c r="BP197" s="395">
        <f>IF(SUM($G197:BO197)=30%,0,IF(BR198&gt;0%,30%,0%))</f>
        <v>0</v>
      </c>
      <c r="BQ197" s="395">
        <f>IF(SUM($G197:BP197)=30%,0,IF(BS198&gt;0%,30%,0%))</f>
        <v>0</v>
      </c>
      <c r="BR197" s="395">
        <f>IF(SUM($G197:BQ197)=30%,0,IF(BT198&gt;0%,30%,0%))</f>
        <v>0</v>
      </c>
      <c r="BS197" s="395">
        <f>IF(SUM($G197:BR197)=30%,0,IF(BU198&gt;0%,30%,0%))</f>
        <v>0</v>
      </c>
      <c r="BT197" s="395">
        <f>IF(SUM($G197:BS197)=30%,0,IF(BV198&gt;0%,30%,0%))</f>
        <v>0</v>
      </c>
      <c r="BU197" s="395">
        <f>IF(SUM($G197:BT197)=30%,0,IF(BW198&gt;0%,30%,0%))</f>
        <v>0</v>
      </c>
      <c r="BV197" s="395">
        <f>IF(SUM($G197:BU197)=30%,0,IF(BX198&gt;0%,30%,0%))</f>
        <v>0</v>
      </c>
      <c r="BW197" s="395">
        <f>IF(SUM($G197:BV197)=30%,0,IF(BY198&gt;0%,30%,0%))</f>
        <v>0</v>
      </c>
      <c r="BX197" s="395">
        <f>IF(SUM($G197:BW197)=30%,0,IF(BZ198&gt;0%,30%,0%))</f>
        <v>0</v>
      </c>
      <c r="BY197" s="395">
        <f>IF(SUM($G197:BX197)=30%,0,IF(CA198&gt;0%,30%,0%))</f>
        <v>0</v>
      </c>
      <c r="BZ197" s="395">
        <f>IF(SUM($G197:BY197)=30%,0,IF(CB198&gt;0%,30%,0%))</f>
        <v>0</v>
      </c>
      <c r="CA197" s="395">
        <f>IF(SUM($G197:BZ197)=30%,0,IF(CC198&gt;0%,30%,0%))</f>
        <v>0</v>
      </c>
      <c r="CB197" s="395">
        <f>IF(SUM($G197:CA197)=30%,0,IF(CD198&gt;0%,30%,0%))</f>
        <v>0</v>
      </c>
      <c r="CC197" s="395">
        <f>IF(SUM($G197:CB197)=30%,0,IF(CE198&gt;0%,30%,0%))</f>
        <v>0</v>
      </c>
      <c r="CD197" s="395">
        <f>IF(SUM($G197:CC197)=30%,0,IF(CF198&gt;0%,30%,0%))</f>
        <v>0</v>
      </c>
      <c r="CE197" s="395">
        <f>IF(SUM($G197:CD197)=30%,0,IF(CG198&gt;0%,30%,0%))</f>
        <v>0</v>
      </c>
      <c r="CF197" s="395">
        <f>IF(SUM($G197:CE197)=30%,0,IF(CH198&gt;0%,30%,0%))</f>
        <v>0</v>
      </c>
      <c r="CG197" s="395">
        <f>IF(SUM($G197:CF197)=30%,0,IF(CI198&gt;0%,30%,0%))</f>
        <v>0</v>
      </c>
      <c r="CH197" s="395">
        <f>IF(SUM($G197:CG197)=30%,0,IF(CJ198&gt;0%,30%,0%))</f>
        <v>0</v>
      </c>
      <c r="CI197" s="395">
        <f>IF(SUM($G197:CH197)=30%,0,IF(CK198&gt;0%,30%,0%))</f>
        <v>0</v>
      </c>
      <c r="CJ197" s="395">
        <f>IF(SUM($G197:CI197)=30%,0,IF(CL198&gt;0%,30%,0%))</f>
        <v>0</v>
      </c>
      <c r="CK197" s="395">
        <f>IF(SUM($G197:CJ197)=30%,0,IF(CM198&gt;0%,30%,0%))</f>
        <v>0</v>
      </c>
      <c r="CL197" s="395">
        <f>IF(SUM($G197:CK197)=30%,0,IF(CN198&gt;0%,30%,0%))</f>
        <v>0</v>
      </c>
      <c r="CM197" s="395">
        <f>IF(SUM($G197:CL197)=30%,0,IF(CO198&gt;0%,30%,0%))</f>
        <v>0</v>
      </c>
      <c r="CN197" s="395">
        <f>IF(SUM($G197:CM197)=30%,0,IF(CP198&gt;0%,30%,0%))</f>
        <v>0</v>
      </c>
      <c r="CO197" s="395">
        <f>IF(SUM($G197:CN197)=30%,0,IF(CQ198&gt;0%,30%,0%))</f>
        <v>0</v>
      </c>
      <c r="CP197" s="395">
        <f>IF(SUM($G197:CO197)=30%,0,IF(CR198&gt;0%,30%,0%))</f>
        <v>0</v>
      </c>
      <c r="CQ197" s="395">
        <f>IF(SUM($G197:CP197)=30%,0,IF(CS198&gt;0%,30%,0%))</f>
        <v>0</v>
      </c>
      <c r="CR197" s="395">
        <f>IF(SUM($G197:CQ197)=30%,0,IF(CT198&gt;0%,30%,0%))</f>
        <v>0</v>
      </c>
      <c r="CS197" s="395">
        <f>IF(SUM($G197:CR197)=30%,0,IF(CU198&gt;0%,30%,0%))</f>
        <v>0</v>
      </c>
      <c r="CT197" s="395">
        <f>IF(SUM($G197:CS197)=30%,0,IF(CV198&gt;0%,30%,0%))</f>
        <v>0</v>
      </c>
      <c r="CU197" s="395">
        <f>IF(SUM($G197:CT197)=30%,0,IF(CW198&gt;0%,30%,0%))</f>
        <v>0</v>
      </c>
      <c r="CV197" s="395">
        <f>IF(SUM($G197:CU197)=30%,0,IF(CX198&gt;0%,30%,0%))</f>
        <v>0</v>
      </c>
      <c r="CW197" s="395">
        <f>IF(SUM($G197:CV197)=30%,0,IF(CY198&gt;0%,30%,0%))</f>
        <v>0</v>
      </c>
      <c r="CX197" s="395">
        <f>IF(SUM($G197:CW197)=30%,0,IF(CZ198&gt;0%,30%,0%))</f>
        <v>0</v>
      </c>
      <c r="CY197" s="395">
        <f>IF(SUM($G197:CX197)=30%,0,IF(DA198&gt;0%,30%,0%))</f>
        <v>0</v>
      </c>
      <c r="CZ197" s="395">
        <f>IF(SUM($G197:CY197)=30%,0,IF(DB198&gt;0%,30%,0%))</f>
        <v>0</v>
      </c>
      <c r="DA197" s="395">
        <f>IF(SUM($G197:CZ197)=30%,0,IF(DC198&gt;0%,30%,0%))</f>
        <v>0</v>
      </c>
      <c r="DB197" s="395">
        <f>IF(SUM($G197:DA197)=30%,0,IF(DD198&gt;0%,30%,0%))</f>
        <v>0</v>
      </c>
      <c r="DC197" s="395">
        <f>IF(SUM($G197:DB197)=30%,0,IF(DE198&gt;0%,30%,0%))</f>
        <v>0</v>
      </c>
      <c r="DD197" s="395">
        <f>IF(SUM($G197:DC197)=30%,0,IF(DF198&gt;0%,30%,0%))</f>
        <v>0</v>
      </c>
      <c r="DE197" s="395">
        <f>IF(SUM($G197:DD197)=30%,0,IF(DG198&gt;0%,30%,0%))</f>
        <v>0</v>
      </c>
      <c r="DF197" s="395">
        <f>IF(SUM($G197:DE197)=30%,0,IF(DH198&gt;0%,30%,0%))</f>
        <v>0</v>
      </c>
      <c r="DG197" s="395">
        <f>IF(SUM($G197:DF197)=30%,0,IF(DI198&gt;0%,30%,0%))</f>
        <v>0</v>
      </c>
      <c r="DH197" s="395">
        <f>IF(SUM($G197:DG197)=30%,0,IF(DJ198&gt;0%,30%,0%))</f>
        <v>0</v>
      </c>
      <c r="DI197" s="395">
        <f>IF(SUM($G197:DH197)=30%,0,IF(DK198&gt;0%,30%,0%))</f>
        <v>0</v>
      </c>
      <c r="DJ197" s="395">
        <f>IF(SUM($G197:DI197)=30%,0,IF(DL198&gt;0%,30%,0%))</f>
        <v>0</v>
      </c>
      <c r="DK197" s="395">
        <f>IF(SUM($G197:DJ197)=30%,0,IF(DM198&gt;0%,30%,0%))</f>
        <v>0</v>
      </c>
      <c r="DL197" s="395">
        <f>IF(SUM($G197:DK197)=30%,0,IF(DN198&gt;0%,30%,0%))</f>
        <v>0</v>
      </c>
      <c r="DM197" s="395">
        <f>IF(SUM($G197:DL197)=30%,0,IF(DO198&gt;0%,30%,0%))</f>
        <v>0</v>
      </c>
      <c r="DN197" s="395">
        <f>IF(SUM($G197:DM197)=30%,0,IF(DP198&gt;0%,30%,0%))</f>
        <v>0</v>
      </c>
      <c r="DO197" s="395">
        <f>IF(SUM($G197:DN197)=30%,0,IF(DQ198&gt;0%,30%,0%))</f>
        <v>0</v>
      </c>
      <c r="DP197" s="395">
        <f>IF(SUM($G197:DO197)=30%,0,IF(DR198&gt;0%,30%,0%))</f>
        <v>0</v>
      </c>
      <c r="DQ197" s="395">
        <f>IF(SUM($G197:DP197)=30%,0,IF(DS198&gt;0%,30%,0%))</f>
        <v>0</v>
      </c>
      <c r="DR197" s="395">
        <f>IF(SUM($G197:DQ197)=30%,0,IF(DT198&gt;0%,30%,0%))</f>
        <v>0</v>
      </c>
      <c r="DS197" s="395">
        <f>IF(SUM($G197:DR197)=30%,0,IF(DU198&gt;0%,30%,0%))</f>
        <v>0</v>
      </c>
      <c r="DT197" s="395">
        <f>IF(SUM($G197:DS197)=30%,0,IF(DV198&gt;0%,30%,0%))</f>
        <v>0</v>
      </c>
      <c r="DU197" s="395">
        <f>IF(SUM($G197:DT197)=30%,0,IF(DW198&gt;0%,30%,0%))</f>
        <v>0</v>
      </c>
      <c r="DV197" s="395">
        <f>IF(SUM($G197:DU197)=30%,0,IF(DX198&gt;0%,30%,0%))</f>
        <v>0</v>
      </c>
      <c r="DW197" s="395">
        <f>IF(SUM($G197:DV197)=30%,0,IF(DY198&gt;0%,30%,0%))</f>
        <v>0</v>
      </c>
      <c r="DX197" s="395">
        <f>IF(SUM($G197:DW197)=30%,0,IF(DZ198&gt;0%,30%,0%))</f>
        <v>0</v>
      </c>
      <c r="DY197" s="395">
        <f>IF(SUM($G197:DX197)=30%,0,IF(EA198&gt;0%,30%,0%))</f>
        <v>0</v>
      </c>
      <c r="DZ197" s="395">
        <f>IF(SUM($G197:DY197)=30%,0,IF(EB198&gt;0%,30%,0%))</f>
        <v>0</v>
      </c>
      <c r="EA197" s="395">
        <f>IF(SUM($G197:DZ197)=30%,0,IF(EC198&gt;0%,30%,0%))</f>
        <v>0</v>
      </c>
      <c r="EB197" s="395">
        <f>IF(SUM($G197:EA197)=30%,0,IF(ED198&gt;0%,30%,0%))</f>
        <v>0</v>
      </c>
      <c r="EC197" s="395">
        <f>IF(SUM($G197:EB197)=30%,0,IF(EE198&gt;0%,30%,0%))</f>
        <v>0</v>
      </c>
      <c r="ED197" s="395">
        <f>IF(SUM($G197:EC197)=30%,0,IF(EF198&gt;0%,30%,0%))</f>
        <v>0</v>
      </c>
      <c r="EE197" s="395">
        <f>IF(SUM($G197:ED197)=30%,0,IF(EG198&gt;0%,30%,0%))</f>
        <v>0</v>
      </c>
      <c r="EF197" s="395">
        <f>IF(SUM($G197:EE197)=30%,0,IF(EH198&gt;0%,30%,0%))</f>
        <v>0</v>
      </c>
      <c r="EG197" s="395">
        <f>IF(SUM($G197:EF197)=30%,0,IF(EI198&gt;0%,30%,0%))</f>
        <v>0</v>
      </c>
      <c r="EH197" s="395">
        <f>IF(SUM($G197:EG197)=30%,0,IF(EJ198&gt;0%,30%,0%))</f>
        <v>0</v>
      </c>
      <c r="EI197" s="395">
        <f>IF(SUM($G197:EH197)=30%,0,IF(EK198&gt;0%,30%,0%))</f>
        <v>0</v>
      </c>
      <c r="EJ197" s="398"/>
      <c r="EK197" s="332"/>
    </row>
    <row r="198" spans="1:141" s="321" customFormat="1" hidden="1" outlineLevel="2">
      <c r="A198" s="332"/>
      <c r="B198" s="332"/>
      <c r="C198" s="317"/>
      <c r="D198" s="317" t="s">
        <v>663</v>
      </c>
      <c r="E198" s="318">
        <f>ROUND(IF(F198=0,0,70%-F198),0)</f>
        <v>0</v>
      </c>
      <c r="F198" s="397">
        <f t="shared" si="413"/>
        <v>0</v>
      </c>
      <c r="G198" s="395"/>
      <c r="H198" s="395"/>
      <c r="I198" s="395">
        <f>IF($E$375=0,0,IF(SUM($G198:H198)=70%,0,IF(SUM($G375:H375)&gt;=$E375,(70%/$E375)*($E375-SUM($G375:G375)),(70%/$E375)*H375)))</f>
        <v>0</v>
      </c>
      <c r="J198" s="395">
        <f>IF($E$375=0,0,IF(SUM($G198:I198)=70%,0,IF(SUM($G375:I375)&gt;=$E375,(70%/$E375)*($E375-SUM($G375:H375)),(70%/$E375)*I375)))</f>
        <v>0</v>
      </c>
      <c r="K198" s="395">
        <f>IF($E$375=0,0,IF(SUM($G198:J198)=70%,0,IF(SUM($G375:J375)&gt;=$E375,(70%/$E375)*($E375-SUM($G375:I375)),(70%/$E375)*J375)))</f>
        <v>0</v>
      </c>
      <c r="L198" s="395">
        <f>IF($E$375=0,0,IF(SUM($G198:K198)=70%,0,IF(SUM($G375:K375)&gt;=$E375,(70%/$E375)*($E375-SUM($G375:J375)),(70%/$E375)*K375)))</f>
        <v>0</v>
      </c>
      <c r="M198" s="395">
        <f>IF($E$375=0,0,IF(SUM($G198:L198)=70%,0,IF(SUM($G375:L375)&gt;=$E375,(70%/$E375)*($E375-SUM($G375:K375)),(70%/$E375)*L375)))</f>
        <v>0</v>
      </c>
      <c r="N198" s="395">
        <f>IF($E$375=0,0,IF(SUM($G198:M198)=70%,0,IF(SUM($G375:M375)&gt;=$E375,(70%/$E375)*($E375-SUM($G375:L375)),(70%/$E375)*M375)))</f>
        <v>0</v>
      </c>
      <c r="O198" s="395">
        <f>IF($E$375=0,0,IF(SUM($G198:N198)=70%,0,IF(SUM($G375:N375)&gt;=$E375,(70%/$E375)*($E375-SUM($G375:M375)),(70%/$E375)*N375)))</f>
        <v>0</v>
      </c>
      <c r="P198" s="395">
        <f>IF($E$375=0,0,IF(SUM($G198:O198)=70%,0,IF(SUM($G375:O375)&gt;=$E375,(70%/$E375)*($E375-SUM($G375:N375)),(70%/$E375)*O375)))</f>
        <v>0</v>
      </c>
      <c r="Q198" s="395">
        <f>IF($E$375=0,0,IF(SUM($G198:P198)=70%,0,IF(SUM($G375:P375)&gt;=$E375,(70%/$E375)*($E375-SUM($G375:O375)),(70%/$E375)*P375)))</f>
        <v>0</v>
      </c>
      <c r="R198" s="395">
        <f>IF($E$375=0,0,IF(SUM($G198:Q198)=70%,0,IF(SUM($G375:Q375)&gt;=$E375,(70%/$E375)*($E375-SUM($G375:P375)),(70%/$E375)*Q375)))</f>
        <v>0</v>
      </c>
      <c r="S198" s="395">
        <f>IF($E$375=0,0,IF(SUM($G198:R198)=70%,0,IF(SUM($G375:R375)&gt;=$E375,(70%/$E375)*($E375-SUM($G375:Q375)),(70%/$E375)*R375)))</f>
        <v>0</v>
      </c>
      <c r="T198" s="395">
        <f>IF($E$375=0,0,IF(SUM($G198:S198)=70%,0,IF(SUM($G375:S375)&gt;=$E375,(70%/$E375)*($E375-SUM($G375:R375)),(70%/$E375)*S375)))</f>
        <v>0</v>
      </c>
      <c r="U198" s="395">
        <f>IF($E$375=0,0,IF(SUM($G198:T198)=70%,0,IF(SUM($G375:T375)&gt;=$E375,(70%/$E375)*($E375-SUM($G375:S375)),(70%/$E375)*T375)))</f>
        <v>0</v>
      </c>
      <c r="V198" s="395">
        <f>IF($E$375=0,0,IF(SUM($G198:U198)=70%,0,IF(SUM($G375:U375)&gt;=$E375,(70%/$E375)*($E375-SUM($G375:T375)),(70%/$E375)*U375)))</f>
        <v>0</v>
      </c>
      <c r="W198" s="395">
        <f>IF($E$375=0,0,IF(SUM($G198:V198)=70%,0,IF(SUM($G375:V375)&gt;=$E375,(70%/$E375)*($E375-SUM($G375:U375)),(70%/$E375)*V375)))</f>
        <v>0</v>
      </c>
      <c r="X198" s="395">
        <f>IF($E$375=0,0,IF(SUM($G198:W198)=70%,0,IF(SUM($G375:W375)&gt;=$E375,(70%/$E375)*($E375-SUM($G375:V375)),(70%/$E375)*W375)))</f>
        <v>0</v>
      </c>
      <c r="Y198" s="395">
        <f>IF($E$375=0,0,IF(SUM($G198:X198)=70%,0,IF(SUM($G375:X375)&gt;=$E375,(70%/$E375)*($E375-SUM($G375:W375)),(70%/$E375)*X375)))</f>
        <v>0</v>
      </c>
      <c r="Z198" s="395">
        <f>IF($E$375=0,0,IF(SUM($G198:Y198)=70%,0,IF(SUM($G375:Y375)&gt;=$E375,(70%/$E375)*($E375-SUM($G375:X375)),(70%/$E375)*Y375)))</f>
        <v>0</v>
      </c>
      <c r="AA198" s="395">
        <f>IF($E$375=0,0,IF(SUM($G198:Z198)=70%,0,IF(SUM($G375:Z375)&gt;=$E375,(70%/$E375)*($E375-SUM($G375:Y375)),(70%/$E375)*Z375)))</f>
        <v>0</v>
      </c>
      <c r="AB198" s="395">
        <f>IF($E$375=0,0,IF(SUM($G198:AA198)=70%,0,IF(SUM($G375:AA375)&gt;=$E375,(70%/$E375)*($E375-SUM($G375:Z375)),(70%/$E375)*AA375)))</f>
        <v>0</v>
      </c>
      <c r="AC198" s="395">
        <f>IF($E$375=0,0,IF(SUM($G198:AB198)=70%,0,IF(SUM($G375:AB375)&gt;=$E375,(70%/$E375)*($E375-SUM($G375:AA375)),(70%/$E375)*AB375)))</f>
        <v>0</v>
      </c>
      <c r="AD198" s="395">
        <f>IF($E$375=0,0,IF(SUM($G198:AC198)=70%,0,IF(SUM($G375:AC375)&gt;=$E375,(70%/$E375)*($E375-SUM($G375:AB375)),(70%/$E375)*AC375)))</f>
        <v>0</v>
      </c>
      <c r="AE198" s="395">
        <f>IF($E$375=0,0,IF(SUM($G198:AD198)=70%,0,IF(SUM($G375:AD375)&gt;=$E375,(70%/$E375)*($E375-SUM($G375:AC375)),(70%/$E375)*AD375)))</f>
        <v>0</v>
      </c>
      <c r="AF198" s="395">
        <f>IF($E$375=0,0,IF(SUM($G198:AE198)=70%,0,IF(SUM($G375:AE375)&gt;=$E375,(70%/$E375)*($E375-SUM($G375:AD375)),(70%/$E375)*AE375)))</f>
        <v>0</v>
      </c>
      <c r="AG198" s="395">
        <f>IF($E$375=0,0,IF(SUM($G198:AF198)=70%,0,IF(SUM($G375:AF375)&gt;=$E375,(70%/$E375)*($E375-SUM($G375:AE375)),(70%/$E375)*AF375)))</f>
        <v>0</v>
      </c>
      <c r="AH198" s="395">
        <f>IF($E$375=0,0,IF(SUM($G198:AG198)=70%,0,IF(SUM($G375:AG375)&gt;=$E375,(70%/$E375)*($E375-SUM($G375:AF375)),(70%/$E375)*AG375)))</f>
        <v>0</v>
      </c>
      <c r="AI198" s="395">
        <f>IF($E$375=0,0,IF(SUM($G198:AH198)=70%,0,IF(SUM($G375:AH375)&gt;=$E375,(70%/$E375)*($E375-SUM($G375:AG375)),(70%/$E375)*AH375)))</f>
        <v>0</v>
      </c>
      <c r="AJ198" s="395">
        <f>IF($E$375=0,0,IF(SUM($G198:AI198)=70%,0,IF(SUM($G375:AI375)&gt;=$E375,(70%/$E375)*($E375-SUM($G375:AH375)),(70%/$E375)*AI375)))</f>
        <v>0</v>
      </c>
      <c r="AK198" s="395">
        <f>IF($E$375=0,0,IF(SUM($G198:AJ198)=70%,0,IF(SUM($G375:AJ375)&gt;=$E375,(70%/$E375)*($E375-SUM($G375:AI375)),(70%/$E375)*AJ375)))</f>
        <v>0</v>
      </c>
      <c r="AL198" s="395">
        <f>IF($E$375=0,0,IF(SUM($G198:AK198)=70%,0,IF(SUM($G375:AK375)&gt;=$E375,(70%/$E375)*($E375-SUM($G375:AJ375)),(70%/$E375)*AK375)))</f>
        <v>0</v>
      </c>
      <c r="AM198" s="395">
        <f>IF($E$375=0,0,IF(SUM($G198:AL198)=70%,0,IF(SUM($G375:AL375)&gt;=$E375,(70%/$E375)*($E375-SUM($G375:AK375)),(70%/$E375)*AL375)))</f>
        <v>0</v>
      </c>
      <c r="AN198" s="395">
        <f>IF($E$375=0,0,IF(SUM($G198:AM198)=70%,0,IF(SUM($G375:AM375)&gt;=$E375,(70%/$E375)*($E375-SUM($G375:AL375)),(70%/$E375)*AM375)))</f>
        <v>0</v>
      </c>
      <c r="AO198" s="395">
        <f>IF($E$375=0,0,IF(SUM($G198:AN198)=70%,0,IF(SUM($G375:AN375)&gt;=$E375,(70%/$E375)*($E375-SUM($G375:AM375)),(70%/$E375)*AN375)))</f>
        <v>0</v>
      </c>
      <c r="AP198" s="395">
        <f>IF($E$375=0,0,IF(SUM($G198:AO198)=70%,0,IF(SUM($G375:AO375)&gt;=$E375,(70%/$E375)*($E375-SUM($G375:AN375)),(70%/$E375)*AO375)))</f>
        <v>0</v>
      </c>
      <c r="AQ198" s="395">
        <f>IF($E$375=0,0,IF(SUM($G198:AP198)=70%,0,IF(SUM($G375:AP375)&gt;=$E375,(70%/$E375)*($E375-SUM($G375:AO375)),(70%/$E375)*AP375)))</f>
        <v>0</v>
      </c>
      <c r="AR198" s="395">
        <f>IF($E$375=0,0,IF(SUM($G198:AQ198)=70%,0,IF(SUM($G375:AQ375)&gt;=$E375,(70%/$E375)*($E375-SUM($G375:AP375)),(70%/$E375)*AQ375)))</f>
        <v>0</v>
      </c>
      <c r="AS198" s="395">
        <f>IF($E$375=0,0,IF(SUM($G198:AR198)=70%,0,IF(SUM($G375:AR375)&gt;=$E375,(70%/$E375)*($E375-SUM($G375:AQ375)),(70%/$E375)*AR375)))</f>
        <v>0</v>
      </c>
      <c r="AT198" s="395">
        <f>IF($E$375=0,0,IF(SUM($G198:AS198)=70%,0,IF(SUM($G375:AS375)&gt;=$E375,(70%/$E375)*($E375-SUM($G375:AR375)),(70%/$E375)*AS375)))</f>
        <v>0</v>
      </c>
      <c r="AU198" s="395">
        <f>IF($E$375=0,0,IF(SUM($G198:AT198)=70%,0,IF(SUM($G375:AT375)&gt;=$E375,(70%/$E375)*($E375-SUM($G375:AS375)),(70%/$E375)*AT375)))</f>
        <v>0</v>
      </c>
      <c r="AV198" s="395">
        <f>IF($E$375=0,0,IF(SUM($G198:AU198)=70%,0,IF(SUM($G375:AU375)&gt;=$E375,(70%/$E375)*($E375-SUM($G375:AT375)),(70%/$E375)*AU375)))</f>
        <v>0</v>
      </c>
      <c r="AW198" s="395">
        <f>IF($E$375=0,0,IF(SUM($G198:AV198)=70%,0,IF(SUM($G375:AV375)&gt;=$E375,(70%/$E375)*($E375-SUM($G375:AU375)),(70%/$E375)*AV375)))</f>
        <v>0</v>
      </c>
      <c r="AX198" s="395">
        <f>IF($E$375=0,0,IF(SUM($G198:AW198)=70%,0,IF(SUM($G375:AW375)&gt;=$E375,(70%/$E375)*($E375-SUM($G375:AV375)),(70%/$E375)*AW375)))</f>
        <v>0</v>
      </c>
      <c r="AY198" s="395">
        <f>IF($E$375=0,0,IF(SUM($G198:AX198)=70%,0,IF(SUM($G375:AX375)&gt;=$E375,(70%/$E375)*($E375-SUM($G375:AW375)),(70%/$E375)*AX375)))</f>
        <v>0</v>
      </c>
      <c r="AZ198" s="395">
        <f>IF($E$375=0,0,IF(SUM($G198:AY198)=70%,0,IF(SUM($G375:AY375)&gt;=$E375,(70%/$E375)*($E375-SUM($G375:AX375)),(70%/$E375)*AY375)))</f>
        <v>0</v>
      </c>
      <c r="BA198" s="395">
        <f>IF($E$375=0,0,IF(SUM($G198:AZ198)=70%,0,IF(SUM($G375:AZ375)&gt;=$E375,(70%/$E375)*($E375-SUM($G375:AY375)),(70%/$E375)*AZ375)))</f>
        <v>0</v>
      </c>
      <c r="BB198" s="395">
        <f>IF($E$375=0,0,IF(SUM($G198:BA198)=70%,0,IF(SUM($G375:BA375)&gt;=$E375,(70%/$E375)*($E375-SUM($G375:AZ375)),(70%/$E375)*BA375)))</f>
        <v>0</v>
      </c>
      <c r="BC198" s="395">
        <f>IF($E$375=0,0,IF(SUM($G198:BB198)=70%,0,IF(SUM($G375:BB375)&gt;=$E375,(70%/$E375)*($E375-SUM($G375:BA375)),(70%/$E375)*BB375)))</f>
        <v>0</v>
      </c>
      <c r="BD198" s="395">
        <f>IF($E$375=0,0,IF(SUM($G198:BC198)=70%,0,IF(SUM($G375:BC375)&gt;=$E375,(70%/$E375)*($E375-SUM($G375:BB375)),(70%/$E375)*BC375)))</f>
        <v>0</v>
      </c>
      <c r="BE198" s="395">
        <f>IF($E$375=0,0,IF(SUM($G198:BD198)=70%,0,IF(SUM($G375:BD375)&gt;=$E375,(70%/$E375)*($E375-SUM($G375:BC375)),(70%/$E375)*BD375)))</f>
        <v>0</v>
      </c>
      <c r="BF198" s="395">
        <f>IF($E$375=0,0,IF(SUM($G198:BE198)=70%,0,IF(SUM($G375:BE375)&gt;=$E375,(70%/$E375)*($E375-SUM($G375:BD375)),(70%/$E375)*BE375)))</f>
        <v>0</v>
      </c>
      <c r="BG198" s="395">
        <f>IF($E$375=0,0,IF(SUM($G198:BF198)=70%,0,IF(SUM($G375:BF375)&gt;=$E375,(70%/$E375)*($E375-SUM($G375:BE375)),(70%/$E375)*BF375)))</f>
        <v>0</v>
      </c>
      <c r="BH198" s="395">
        <f>IF($E$375=0,0,IF(SUM($G198:BG198)=70%,0,IF(SUM($G375:BG375)&gt;=$E375,(70%/$E375)*($E375-SUM($G375:BF375)),(70%/$E375)*BG375)))</f>
        <v>0</v>
      </c>
      <c r="BI198" s="395">
        <f>IF($E$375=0,0,IF(SUM($G198:BH198)=70%,0,IF(SUM($G375:BH375)&gt;=$E375,(70%/$E375)*($E375-SUM($G375:BG375)),(70%/$E375)*BH375)))</f>
        <v>0</v>
      </c>
      <c r="BJ198" s="395">
        <f>IF($E$375=0,0,IF(SUM($G198:BI198)=70%,0,IF(SUM($G375:BI375)&gt;=$E375,(70%/$E375)*($E375-SUM($G375:BH375)),(70%/$E375)*BI375)))</f>
        <v>0</v>
      </c>
      <c r="BK198" s="395">
        <f>IF($E$375=0,0,IF(SUM($G198:BJ198)=70%,0,IF(SUM($G375:BJ375)&gt;=$E375,(70%/$E375)*($E375-SUM($G375:BI375)),(70%/$E375)*BJ375)))</f>
        <v>0</v>
      </c>
      <c r="BL198" s="395">
        <f>IF($E$375=0,0,IF(SUM($G198:BK198)=70%,0,IF(SUM($G375:BK375)&gt;=$E375,(70%/$E375)*($E375-SUM($G375:BJ375)),(70%/$E375)*BK375)))</f>
        <v>0</v>
      </c>
      <c r="BM198" s="395">
        <f>IF($E$375=0,0,IF(SUM($G198:BL198)=70%,0,IF(SUM($G375:BL375)&gt;=$E375,(70%/$E375)*($E375-SUM($G375:BK375)),(70%/$E375)*BL375)))</f>
        <v>0</v>
      </c>
      <c r="BN198" s="395">
        <f>IF($E$375=0,0,IF(SUM($G198:BM198)=70%,0,IF(SUM($G375:BM375)&gt;=$E375,(70%/$E375)*($E375-SUM($G375:BL375)),(70%/$E375)*BM375)))</f>
        <v>0</v>
      </c>
      <c r="BO198" s="395">
        <f>IF($E$375=0,0,IF(SUM($G198:BN198)=70%,0,IF(SUM($G375:BN375)&gt;=$E375,(70%/$E375)*($E375-SUM($G375:BM375)),(70%/$E375)*BN375)))</f>
        <v>0</v>
      </c>
      <c r="BP198" s="395">
        <f>IF($E$375=0,0,IF(SUM($G198:BO198)=70%,0,IF(SUM($G375:BO375)&gt;=$E375,(70%/$E375)*($E375-SUM($G375:BN375)),(70%/$E375)*BO375)))</f>
        <v>0</v>
      </c>
      <c r="BQ198" s="395">
        <f>IF($E$375=0,0,IF(SUM($G198:BP198)=70%,0,IF(SUM($G375:BP375)&gt;=$E375,(70%/$E375)*($E375-SUM($G375:BO375)),(70%/$E375)*BP375)))</f>
        <v>0</v>
      </c>
      <c r="BR198" s="395">
        <f>IF($E$375=0,0,IF(SUM($G198:BQ198)=70%,0,IF(SUM($G375:BQ375)&gt;=$E375,(70%/$E375)*($E375-SUM($G375:BP375)),(70%/$E375)*BQ375)))</f>
        <v>0</v>
      </c>
      <c r="BS198" s="395">
        <f>IF($E$375=0,0,IF(SUM($G198:BR198)=70%,0,IF(SUM($G375:BR375)&gt;=$E375,(70%/$E375)*($E375-SUM($G375:BQ375)),(70%/$E375)*BR375)))</f>
        <v>0</v>
      </c>
      <c r="BT198" s="395">
        <f>IF($E$375=0,0,IF(SUM($G198:BS198)=70%,0,IF(SUM($G375:BS375)&gt;=$E375,(70%/$E375)*($E375-SUM($G375:BR375)),(70%/$E375)*BS375)))</f>
        <v>0</v>
      </c>
      <c r="BU198" s="395">
        <f>IF($E$375=0,0,IF(SUM($G198:BT198)=70%,0,IF(SUM($G375:BT375)&gt;=$E375,(70%/$E375)*($E375-SUM($G375:BS375)),(70%/$E375)*BT375)))</f>
        <v>0</v>
      </c>
      <c r="BV198" s="395">
        <f>IF($E$375=0,0,IF(SUM($G198:BU198)=70%,0,IF(SUM($G375:BU375)&gt;=$E375,(70%/$E375)*($E375-SUM($G375:BT375)),(70%/$E375)*BU375)))</f>
        <v>0</v>
      </c>
      <c r="BW198" s="395">
        <f>IF($E$375=0,0,IF(SUM($G198:BV198)=70%,0,IF(SUM($G375:BV375)&gt;=$E375,(70%/$E375)*($E375-SUM($G375:BU375)),(70%/$E375)*BV375)))</f>
        <v>0</v>
      </c>
      <c r="BX198" s="395">
        <f>IF($E$375=0,0,IF(SUM($G198:BW198)=70%,0,IF(SUM($G375:BW375)&gt;=$E375,(70%/$E375)*($E375-SUM($G375:BV375)),(70%/$E375)*BW375)))</f>
        <v>0</v>
      </c>
      <c r="BY198" s="395">
        <f>IF($E$375=0,0,IF(SUM($G198:BX198)=70%,0,IF(SUM($G375:BX375)&gt;=$E375,(70%/$E375)*($E375-SUM($G375:BW375)),(70%/$E375)*BX375)))</f>
        <v>0</v>
      </c>
      <c r="BZ198" s="395">
        <f>IF($E$375=0,0,IF(SUM($G198:BY198)=70%,0,IF(SUM($G375:BY375)&gt;=$E375,(70%/$E375)*($E375-SUM($G375:BX375)),(70%/$E375)*BY375)))</f>
        <v>0</v>
      </c>
      <c r="CA198" s="395">
        <f>IF($E$375=0,0,IF(SUM($G198:BZ198)=70%,0,IF(SUM($G375:BZ375)&gt;=$E375,(70%/$E375)*($E375-SUM($G375:BY375)),(70%/$E375)*BZ375)))</f>
        <v>0</v>
      </c>
      <c r="CB198" s="395">
        <f>IF($E$375=0,0,IF(SUM($G198:CA198)=70%,0,IF(SUM($G375:CA375)&gt;=$E375,(70%/$E375)*($E375-SUM($G375:BZ375)),(70%/$E375)*CA375)))</f>
        <v>0</v>
      </c>
      <c r="CC198" s="395">
        <f>IF($E$375=0,0,IF(SUM($G198:CB198)=70%,0,IF(SUM($G375:CB375)&gt;=$E375,(70%/$E375)*($E375-SUM($G375:CA375)),(70%/$E375)*CB375)))</f>
        <v>0</v>
      </c>
      <c r="CD198" s="395">
        <f>IF($E$375=0,0,IF(SUM($G198:CC198)=70%,0,IF(SUM($G375:CC375)&gt;=$E375,(70%/$E375)*($E375-SUM($G375:CB375)),(70%/$E375)*CC375)))</f>
        <v>0</v>
      </c>
      <c r="CE198" s="395">
        <f>IF($E$375=0,0,IF(SUM($G198:CD198)=70%,0,IF(SUM($G375:CD375)&gt;=$E375,(70%/$E375)*($E375-SUM($G375:CC375)),(70%/$E375)*CD375)))</f>
        <v>0</v>
      </c>
      <c r="CF198" s="395">
        <f>IF($E$375=0,0,IF(SUM($G198:CE198)=70%,0,IF(SUM($G375:CE375)&gt;=$E375,(70%/$E375)*($E375-SUM($G375:CD375)),(70%/$E375)*CE375)))</f>
        <v>0</v>
      </c>
      <c r="CG198" s="395">
        <f>IF($E$375=0,0,IF(SUM($G198:CF198)=70%,0,IF(SUM($G375:CF375)&gt;=$E375,(70%/$E375)*($E375-SUM($G375:CE375)),(70%/$E375)*CF375)))</f>
        <v>0</v>
      </c>
      <c r="CH198" s="395">
        <f>IF($E$375=0,0,IF(SUM($G198:CG198)=70%,0,IF(SUM($G375:CG375)&gt;=$E375,(70%/$E375)*($E375-SUM($G375:CF375)),(70%/$E375)*CG375)))</f>
        <v>0</v>
      </c>
      <c r="CI198" s="395">
        <f>IF($E$375=0,0,IF(SUM($G198:CH198)=70%,0,IF(SUM($G375:CH375)&gt;=$E375,(70%/$E375)*($E375-SUM($G375:CG375)),(70%/$E375)*CH375)))</f>
        <v>0</v>
      </c>
      <c r="CJ198" s="395">
        <f>IF($E$375=0,0,IF(SUM($G198:CI198)=70%,0,IF(SUM($G375:CI375)&gt;=$E375,(70%/$E375)*($E375-SUM($G375:CH375)),(70%/$E375)*CI375)))</f>
        <v>0</v>
      </c>
      <c r="CK198" s="395">
        <f>IF($E$375=0,0,IF(SUM($G198:CJ198)=70%,0,IF(SUM($G375:CJ375)&gt;=$E375,(70%/$E375)*($E375-SUM($G375:CI375)),(70%/$E375)*CJ375)))</f>
        <v>0</v>
      </c>
      <c r="CL198" s="395">
        <f>IF($E$375=0,0,IF(SUM($G198:CK198)=70%,0,IF(SUM($G375:CK375)&gt;=$E375,(70%/$E375)*($E375-SUM($G375:CJ375)),(70%/$E375)*CK375)))</f>
        <v>0</v>
      </c>
      <c r="CM198" s="395">
        <f>IF($E$375=0,0,IF(SUM($G198:CL198)=70%,0,IF(SUM($G375:CL375)&gt;=$E375,(70%/$E375)*($E375-SUM($G375:CK375)),(70%/$E375)*CL375)))</f>
        <v>0</v>
      </c>
      <c r="CN198" s="395">
        <f>IF($E$375=0,0,IF(SUM($G198:CM198)=70%,0,IF(SUM($G375:CM375)&gt;=$E375,(70%/$E375)*($E375-SUM($G375:CL375)),(70%/$E375)*CM375)))</f>
        <v>0</v>
      </c>
      <c r="CO198" s="395">
        <f>IF($E$375=0,0,IF(SUM($G198:CN198)=70%,0,IF(SUM($G375:CN375)&gt;=$E375,(70%/$E375)*($E375-SUM($G375:CM375)),(70%/$E375)*CN375)))</f>
        <v>0</v>
      </c>
      <c r="CP198" s="395">
        <f>IF($E$375=0,0,IF(SUM($G198:CO198)=70%,0,IF(SUM($G375:CO375)&gt;=$E375,(70%/$E375)*($E375-SUM($G375:CN375)),(70%/$E375)*CO375)))</f>
        <v>0</v>
      </c>
      <c r="CQ198" s="395">
        <f>IF($E$375=0,0,IF(SUM($G198:CP198)=70%,0,IF(SUM($G375:CP375)&gt;=$E375,(70%/$E375)*($E375-SUM($G375:CO375)),(70%/$E375)*CP375)))</f>
        <v>0</v>
      </c>
      <c r="CR198" s="395">
        <f>IF($E$375=0,0,IF(SUM($G198:CQ198)=70%,0,IF(SUM($G375:CQ375)&gt;=$E375,(70%/$E375)*($E375-SUM($G375:CP375)),(70%/$E375)*CQ375)))</f>
        <v>0</v>
      </c>
      <c r="CS198" s="395">
        <f>IF($E$375=0,0,IF(SUM($G198:CR198)=70%,0,IF(SUM($G375:CR375)&gt;=$E375,(70%/$E375)*($E375-SUM($G375:CQ375)),(70%/$E375)*CR375)))</f>
        <v>0</v>
      </c>
      <c r="CT198" s="395">
        <f>IF($E$375=0,0,IF(SUM($G198:CS198)=70%,0,IF(SUM($G375:CS375)&gt;=$E375,(70%/$E375)*($E375-SUM($G375:CR375)),(70%/$E375)*CS375)))</f>
        <v>0</v>
      </c>
      <c r="CU198" s="395">
        <f>IF($E$375=0,0,IF(SUM($G198:CT198)=70%,0,IF(SUM($G375:CT375)&gt;=$E375,(70%/$E375)*($E375-SUM($G375:CS375)),(70%/$E375)*CT375)))</f>
        <v>0</v>
      </c>
      <c r="CV198" s="395">
        <f>IF($E$375=0,0,IF(SUM($G198:CU198)=70%,0,IF(SUM($G375:CU375)&gt;=$E375,(70%/$E375)*($E375-SUM($G375:CT375)),(70%/$E375)*CU375)))</f>
        <v>0</v>
      </c>
      <c r="CW198" s="395">
        <f>IF($E$375=0,0,IF(SUM($G198:CV198)=70%,0,IF(SUM($G375:CV375)&gt;=$E375,(70%/$E375)*($E375-SUM($G375:CU375)),(70%/$E375)*CV375)))</f>
        <v>0</v>
      </c>
      <c r="CX198" s="395">
        <f>IF($E$375=0,0,IF(SUM($G198:CW198)=70%,0,IF(SUM($G375:CW375)&gt;=$E375,(70%/$E375)*($E375-SUM($G375:CV375)),(70%/$E375)*CW375)))</f>
        <v>0</v>
      </c>
      <c r="CY198" s="395">
        <f>IF($E$375=0,0,IF(SUM($G198:CX198)=70%,0,IF(SUM($G375:CX375)&gt;=$E375,(70%/$E375)*($E375-SUM($G375:CW375)),(70%/$E375)*CX375)))</f>
        <v>0</v>
      </c>
      <c r="CZ198" s="395">
        <f>IF($E$375=0,0,IF(SUM($G198:CY198)=70%,0,IF(SUM($G375:CY375)&gt;=$E375,(70%/$E375)*($E375-SUM($G375:CX375)),(70%/$E375)*CY375)))</f>
        <v>0</v>
      </c>
      <c r="DA198" s="395">
        <f>IF($E$375=0,0,IF(SUM($G198:CZ198)=70%,0,IF(SUM($G375:CZ375)&gt;=$E375,(70%/$E375)*($E375-SUM($G375:CY375)),(70%/$E375)*CZ375)))</f>
        <v>0</v>
      </c>
      <c r="DB198" s="395">
        <f>IF($E$375=0,0,IF(SUM($G198:DA198)=70%,0,IF(SUM($G375:DA375)&gt;=$E375,(70%/$E375)*($E375-SUM($G375:CZ375)),(70%/$E375)*DA375)))</f>
        <v>0</v>
      </c>
      <c r="DC198" s="395">
        <f>IF($E$375=0,0,IF(SUM($G198:DB198)=70%,0,IF(SUM($G375:DB375)&gt;=$E375,(70%/$E375)*($E375-SUM($G375:DA375)),(70%/$E375)*DB375)))</f>
        <v>0</v>
      </c>
      <c r="DD198" s="395">
        <f>IF($E$375=0,0,IF(SUM($G198:DC198)=70%,0,IF(SUM($G375:DC375)&gt;=$E375,(70%/$E375)*($E375-SUM($G375:DB375)),(70%/$E375)*DC375)))</f>
        <v>0</v>
      </c>
      <c r="DE198" s="395">
        <f>IF($E$375=0,0,IF(SUM($G198:DD198)=70%,0,IF(SUM($G375:DD375)&gt;=$E375,(70%/$E375)*($E375-SUM($G375:DC375)),(70%/$E375)*DD375)))</f>
        <v>0</v>
      </c>
      <c r="DF198" s="395">
        <f>IF($E$375=0,0,IF(SUM($G198:DE198)=70%,0,IF(SUM($G375:DE375)&gt;=$E375,(70%/$E375)*($E375-SUM($G375:DD375)),(70%/$E375)*DE375)))</f>
        <v>0</v>
      </c>
      <c r="DG198" s="395">
        <f>IF($E$375=0,0,IF(SUM($G198:DF198)=70%,0,IF(SUM($G375:DF375)&gt;=$E375,(70%/$E375)*($E375-SUM($G375:DE375)),(70%/$E375)*DF375)))</f>
        <v>0</v>
      </c>
      <c r="DH198" s="395">
        <f>IF($E$375=0,0,IF(SUM($G198:DG198)=70%,0,IF(SUM($G375:DG375)&gt;=$E375,(70%/$E375)*($E375-SUM($G375:DF375)),(70%/$E375)*DG375)))</f>
        <v>0</v>
      </c>
      <c r="DI198" s="395">
        <f>IF($E$375=0,0,IF(SUM($G198:DH198)=70%,0,IF(SUM($G375:DH375)&gt;=$E375,(70%/$E375)*($E375-SUM($G375:DG375)),(70%/$E375)*DH375)))</f>
        <v>0</v>
      </c>
      <c r="DJ198" s="395">
        <f>IF($E$375=0,0,IF(SUM($G198:DI198)=70%,0,IF(SUM($G375:DI375)&gt;=$E375,(70%/$E375)*($E375-SUM($G375:DH375)),(70%/$E375)*DI375)))</f>
        <v>0</v>
      </c>
      <c r="DK198" s="395">
        <f>IF($E$375=0,0,IF(SUM($G198:DJ198)=70%,0,IF(SUM($G375:DJ375)&gt;=$E375,(70%/$E375)*($E375-SUM($G375:DI375)),(70%/$E375)*DJ375)))</f>
        <v>0</v>
      </c>
      <c r="DL198" s="395">
        <f>IF($E$375=0,0,IF(SUM($G198:DK198)=70%,0,IF(SUM($G375:DK375)&gt;=$E375,(70%/$E375)*($E375-SUM($G375:DJ375)),(70%/$E375)*DK375)))</f>
        <v>0</v>
      </c>
      <c r="DM198" s="395">
        <f>IF($E$375=0,0,IF(SUM($G198:DL198)=70%,0,IF(SUM($G375:DL375)&gt;=$E375,(70%/$E375)*($E375-SUM($G375:DK375)),(70%/$E375)*DL375)))</f>
        <v>0</v>
      </c>
      <c r="DN198" s="395">
        <f>IF($E$375=0,0,IF(SUM($G198:DM198)=70%,0,IF(SUM($G375:DM375)&gt;=$E375,(70%/$E375)*($E375-SUM($G375:DL375)),(70%/$E375)*DM375)))</f>
        <v>0</v>
      </c>
      <c r="DO198" s="395">
        <f>IF($E$375=0,0,IF(SUM($G198:DN198)=70%,0,IF(SUM($G375:DN375)&gt;=$E375,(70%/$E375)*($E375-SUM($G375:DM375)),(70%/$E375)*DN375)))</f>
        <v>0</v>
      </c>
      <c r="DP198" s="395">
        <f>IF($E$375=0,0,IF(SUM($G198:DO198)=70%,0,IF(SUM($G375:DO375)&gt;=$E375,(70%/$E375)*($E375-SUM($G375:DN375)),(70%/$E375)*DO375)))</f>
        <v>0</v>
      </c>
      <c r="DQ198" s="395">
        <f>IF($E$375=0,0,IF(SUM($G198:DP198)=70%,0,IF(SUM($G375:DP375)&gt;=$E375,(70%/$E375)*($E375-SUM($G375:DO375)),(70%/$E375)*DP375)))</f>
        <v>0</v>
      </c>
      <c r="DR198" s="395">
        <f>IF($E$375=0,0,IF(SUM($G198:DQ198)=70%,0,IF(SUM($G375:DQ375)&gt;=$E375,(70%/$E375)*($E375-SUM($G375:DP375)),(70%/$E375)*DQ375)))</f>
        <v>0</v>
      </c>
      <c r="DS198" s="395">
        <f>IF($E$375=0,0,IF(SUM($G198:DR198)=70%,0,IF(SUM($G375:DR375)&gt;=$E375,(70%/$E375)*($E375-SUM($G375:DQ375)),(70%/$E375)*DR375)))</f>
        <v>0</v>
      </c>
      <c r="DT198" s="395">
        <f>IF($E$375=0,0,IF(SUM($G198:DS198)=70%,0,IF(SUM($G375:DS375)&gt;=$E375,(70%/$E375)*($E375-SUM($G375:DR375)),(70%/$E375)*DS375)))</f>
        <v>0</v>
      </c>
      <c r="DU198" s="395">
        <f>IF($E$375=0,0,IF(SUM($G198:DT198)=70%,0,IF(SUM($G375:DT375)&gt;=$E375,(70%/$E375)*($E375-SUM($G375:DS375)),(70%/$E375)*DT375)))</f>
        <v>0</v>
      </c>
      <c r="DV198" s="395">
        <f>IF($E$375=0,0,IF(SUM($G198:DU198)=70%,0,IF(SUM($G375:DU375)&gt;=$E375,(70%/$E375)*($E375-SUM($G375:DT375)),(70%/$E375)*DU375)))</f>
        <v>0</v>
      </c>
      <c r="DW198" s="395">
        <f>IF($E$375=0,0,IF(SUM($G198:DV198)=70%,0,IF(SUM($G375:DV375)&gt;=$E375,(70%/$E375)*($E375-SUM($G375:DU375)),(70%/$E375)*DV375)))</f>
        <v>0</v>
      </c>
      <c r="DX198" s="395">
        <f>IF($E$375=0,0,IF(SUM($G198:DW198)=70%,0,IF(SUM($G375:DW375)&gt;=$E375,(70%/$E375)*($E375-SUM($G375:DV375)),(70%/$E375)*DW375)))</f>
        <v>0</v>
      </c>
      <c r="DY198" s="395">
        <f>IF($E$375=0,0,IF(SUM($G198:DX198)=70%,0,IF(SUM($G375:DX375)&gt;=$E375,(70%/$E375)*($E375-SUM($G375:DW375)),(70%/$E375)*DX375)))</f>
        <v>0</v>
      </c>
      <c r="DZ198" s="395">
        <f>IF($E$375=0,0,IF(SUM($G198:DY198)=70%,0,IF(SUM($G375:DY375)&gt;=$E375,(70%/$E375)*($E375-SUM($G375:DX375)),(70%/$E375)*DY375)))</f>
        <v>0</v>
      </c>
      <c r="EA198" s="395">
        <f>IF($E$375=0,0,IF(SUM($G198:DZ198)=70%,0,IF(SUM($G375:DZ375)&gt;=$E375,(70%/$E375)*($E375-SUM($G375:DY375)),(70%/$E375)*DZ375)))</f>
        <v>0</v>
      </c>
      <c r="EB198" s="395">
        <f>IF($E$375=0,0,IF(SUM($G198:EA198)=70%,0,IF(SUM($G375:EA375)&gt;=$E375,(70%/$E375)*($E375-SUM($G375:DZ375)),(70%/$E375)*EA375)))</f>
        <v>0</v>
      </c>
      <c r="EC198" s="395">
        <f>IF($E$375=0,0,IF(SUM($G198:EB198)=70%,0,IF(SUM($G375:EB375)&gt;=$E375,(70%/$E375)*($E375-SUM($G375:EA375)),(70%/$E375)*EB375)))</f>
        <v>0</v>
      </c>
      <c r="ED198" s="395">
        <f>IF($E$375=0,0,IF(SUM($G198:EC198)=70%,0,IF(SUM($G375:EC375)&gt;=$E375,(70%/$E375)*($E375-SUM($G375:EB375)),(70%/$E375)*EC375)))</f>
        <v>0</v>
      </c>
      <c r="EE198" s="395">
        <f>IF($E$375=0,0,IF(SUM($G198:ED198)=70%,0,IF(SUM($G375:ED375)&gt;=$E375,(70%/$E375)*($E375-SUM($G375:EC375)),(70%/$E375)*ED375)))</f>
        <v>0</v>
      </c>
      <c r="EF198" s="395">
        <f>IF($E$375=0,0,IF(SUM($G198:EE198)=70%,0,IF(SUM($G375:EE375)&gt;=$E375,(70%/$E375)*($E375-SUM($G375:ED375)),(70%/$E375)*EE375)))</f>
        <v>0</v>
      </c>
      <c r="EG198" s="395">
        <f>IF($E$375=0,0,IF(SUM($G198:EF198)=70%,0,IF(SUM($G375:EF375)&gt;=$E375,(70%/$E375)*($E375-SUM($G375:EE375)),(70%/$E375)*EF375)))</f>
        <v>0</v>
      </c>
      <c r="EH198" s="395">
        <f>IF($E$375=0,0,IF(SUM($G198:EG198)=70%,0,IF(SUM($G375:EG375)&gt;=$E375,(70%/$E375)*($E375-SUM($G375:EF375)),(70%/$E375)*EG375)))</f>
        <v>0</v>
      </c>
      <c r="EI198" s="395">
        <f>IF($E$375=0,0,IF(SUM($G198:EH198)=70%,0,IF(SUM($G375:EH375)&gt;=$E375,(70%/$E375)*($E375-SUM($G375:EG375)),(70%/$E375)*EH375)))</f>
        <v>0</v>
      </c>
      <c r="EJ198" s="398"/>
      <c r="EK198" s="332"/>
    </row>
    <row r="199" spans="1:141" hidden="1" outlineLevel="1" collapsed="1">
      <c r="A199" s="332"/>
      <c r="B199" s="313"/>
      <c r="C199" s="392" t="s">
        <v>281</v>
      </c>
      <c r="D199" s="392" t="str">
        <f>D370</f>
        <v>Социальная инфраструктура - школа</v>
      </c>
      <c r="E199" s="393">
        <f ca="1">ROUND(IF(F199=0,0,100%-F199),0)</f>
        <v>0</v>
      </c>
      <c r="F199" s="394">
        <f t="shared" ca="1" si="283"/>
        <v>1.0000000000000002</v>
      </c>
      <c r="G199" s="395">
        <f>SUM(G200:G201)</f>
        <v>0</v>
      </c>
      <c r="H199" s="395">
        <f ca="1">SUM(H200:H201)</f>
        <v>0</v>
      </c>
      <c r="I199" s="395">
        <f t="shared" ref="I199:BT199" ca="1" si="417">SUM(I200:I201)</f>
        <v>0</v>
      </c>
      <c r="J199" s="395">
        <f t="shared" ca="1" si="417"/>
        <v>0</v>
      </c>
      <c r="K199" s="395">
        <f t="shared" ca="1" si="417"/>
        <v>0</v>
      </c>
      <c r="L199" s="395">
        <f t="shared" ca="1" si="417"/>
        <v>0</v>
      </c>
      <c r="M199" s="395">
        <f t="shared" ca="1" si="417"/>
        <v>0</v>
      </c>
      <c r="N199" s="395">
        <f t="shared" ca="1" si="417"/>
        <v>0</v>
      </c>
      <c r="O199" s="395">
        <f t="shared" ca="1" si="417"/>
        <v>0</v>
      </c>
      <c r="P199" s="395">
        <f t="shared" ca="1" si="417"/>
        <v>0</v>
      </c>
      <c r="Q199" s="395">
        <f t="shared" ca="1" si="417"/>
        <v>0</v>
      </c>
      <c r="R199" s="395">
        <f t="shared" ca="1" si="417"/>
        <v>0</v>
      </c>
      <c r="S199" s="395">
        <f t="shared" ca="1" si="417"/>
        <v>0</v>
      </c>
      <c r="T199" s="395">
        <f t="shared" ca="1" si="417"/>
        <v>0</v>
      </c>
      <c r="U199" s="395">
        <f t="shared" ca="1" si="417"/>
        <v>0</v>
      </c>
      <c r="V199" s="395">
        <f t="shared" ca="1" si="417"/>
        <v>0</v>
      </c>
      <c r="W199" s="395">
        <f t="shared" ca="1" si="417"/>
        <v>0</v>
      </c>
      <c r="X199" s="395">
        <f t="shared" ca="1" si="417"/>
        <v>0</v>
      </c>
      <c r="Y199" s="395">
        <f t="shared" ca="1" si="417"/>
        <v>0</v>
      </c>
      <c r="Z199" s="395">
        <f t="shared" ca="1" si="417"/>
        <v>0</v>
      </c>
      <c r="AA199" s="395">
        <f t="shared" ca="1" si="417"/>
        <v>0</v>
      </c>
      <c r="AB199" s="395">
        <f t="shared" ca="1" si="417"/>
        <v>0</v>
      </c>
      <c r="AC199" s="395">
        <f t="shared" ca="1" si="417"/>
        <v>0</v>
      </c>
      <c r="AD199" s="395">
        <f t="shared" ca="1" si="417"/>
        <v>0</v>
      </c>
      <c r="AE199" s="395">
        <f t="shared" ca="1" si="417"/>
        <v>0</v>
      </c>
      <c r="AF199" s="395">
        <f t="shared" ca="1" si="417"/>
        <v>0</v>
      </c>
      <c r="AG199" s="395">
        <f t="shared" ca="1" si="417"/>
        <v>0</v>
      </c>
      <c r="AH199" s="395">
        <f t="shared" ca="1" si="417"/>
        <v>0</v>
      </c>
      <c r="AI199" s="395">
        <f t="shared" ca="1" si="417"/>
        <v>0</v>
      </c>
      <c r="AJ199" s="395">
        <f t="shared" ca="1" si="417"/>
        <v>0</v>
      </c>
      <c r="AK199" s="395">
        <f t="shared" ca="1" si="417"/>
        <v>0</v>
      </c>
      <c r="AL199" s="395">
        <f t="shared" ca="1" si="417"/>
        <v>0</v>
      </c>
      <c r="AM199" s="395">
        <f t="shared" ca="1" si="417"/>
        <v>0</v>
      </c>
      <c r="AN199" s="395">
        <f t="shared" ca="1" si="417"/>
        <v>0</v>
      </c>
      <c r="AO199" s="395">
        <f t="shared" ca="1" si="417"/>
        <v>0</v>
      </c>
      <c r="AP199" s="395">
        <f t="shared" ca="1" si="417"/>
        <v>0</v>
      </c>
      <c r="AQ199" s="395">
        <f t="shared" ca="1" si="417"/>
        <v>0</v>
      </c>
      <c r="AR199" s="395">
        <f t="shared" ca="1" si="417"/>
        <v>0</v>
      </c>
      <c r="AS199" s="395">
        <f t="shared" ca="1" si="417"/>
        <v>0</v>
      </c>
      <c r="AT199" s="395">
        <f t="shared" ca="1" si="417"/>
        <v>0</v>
      </c>
      <c r="AU199" s="395">
        <f t="shared" ca="1" si="417"/>
        <v>0</v>
      </c>
      <c r="AV199" s="395">
        <f t="shared" ca="1" si="417"/>
        <v>0</v>
      </c>
      <c r="AW199" s="395">
        <f t="shared" ca="1" si="417"/>
        <v>0</v>
      </c>
      <c r="AX199" s="395">
        <f t="shared" ca="1" si="417"/>
        <v>0</v>
      </c>
      <c r="AY199" s="395">
        <f t="shared" ca="1" si="417"/>
        <v>0</v>
      </c>
      <c r="AZ199" s="395">
        <f t="shared" ca="1" si="417"/>
        <v>0.3</v>
      </c>
      <c r="BA199" s="395">
        <f t="shared" ca="1" si="417"/>
        <v>0</v>
      </c>
      <c r="BB199" s="395">
        <f t="shared" ca="1" si="417"/>
        <v>4.7945205479452057E-3</v>
      </c>
      <c r="BC199" s="395">
        <f t="shared" ca="1" si="417"/>
        <v>2.6849315068493151E-2</v>
      </c>
      <c r="BD199" s="395">
        <f t="shared" ca="1" si="417"/>
        <v>2.9726027397260272E-2</v>
      </c>
      <c r="BE199" s="395">
        <f t="shared" ca="1" si="417"/>
        <v>2.8767123287671233E-2</v>
      </c>
      <c r="BF199" s="395">
        <f t="shared" ca="1" si="417"/>
        <v>2.9726027397260272E-2</v>
      </c>
      <c r="BG199" s="395">
        <f t="shared" ca="1" si="417"/>
        <v>2.8767123287671233E-2</v>
      </c>
      <c r="BH199" s="395">
        <f t="shared" ca="1" si="417"/>
        <v>2.9726027397260272E-2</v>
      </c>
      <c r="BI199" s="395">
        <f t="shared" ca="1" si="417"/>
        <v>2.9726027397260272E-2</v>
      </c>
      <c r="BJ199" s="395">
        <f t="shared" ca="1" si="417"/>
        <v>2.8767123287671233E-2</v>
      </c>
      <c r="BK199" s="395">
        <f t="shared" ca="1" si="417"/>
        <v>2.9726027397260272E-2</v>
      </c>
      <c r="BL199" s="395">
        <f t="shared" ca="1" si="417"/>
        <v>2.8767123287671233E-2</v>
      </c>
      <c r="BM199" s="395">
        <f t="shared" ca="1" si="417"/>
        <v>2.9726027397260272E-2</v>
      </c>
      <c r="BN199" s="395">
        <f t="shared" ca="1" si="417"/>
        <v>2.9726027397260272E-2</v>
      </c>
      <c r="BO199" s="395">
        <f t="shared" ca="1" si="417"/>
        <v>2.780821917808219E-2</v>
      </c>
      <c r="BP199" s="395">
        <f t="shared" ca="1" si="417"/>
        <v>2.9726027397260272E-2</v>
      </c>
      <c r="BQ199" s="395">
        <f t="shared" ca="1" si="417"/>
        <v>2.8767123287671233E-2</v>
      </c>
      <c r="BR199" s="395">
        <f t="shared" ca="1" si="417"/>
        <v>2.9726027397260272E-2</v>
      </c>
      <c r="BS199" s="395">
        <f t="shared" ca="1" si="417"/>
        <v>2.8767123287671233E-2</v>
      </c>
      <c r="BT199" s="395">
        <f t="shared" ca="1" si="417"/>
        <v>2.9726027397260272E-2</v>
      </c>
      <c r="BU199" s="395">
        <f t="shared" ref="BU199:EF199" ca="1" si="418">SUM(BU200:BU201)</f>
        <v>2.9726027397260272E-2</v>
      </c>
      <c r="BV199" s="395">
        <f t="shared" ca="1" si="418"/>
        <v>2.8767123287671233E-2</v>
      </c>
      <c r="BW199" s="395">
        <f t="shared" ca="1" si="418"/>
        <v>2.9726027397260272E-2</v>
      </c>
      <c r="BX199" s="395">
        <f t="shared" ca="1" si="418"/>
        <v>2.8767123287671233E-2</v>
      </c>
      <c r="BY199" s="395">
        <f t="shared" ca="1" si="418"/>
        <v>2.9726027397260272E-2</v>
      </c>
      <c r="BZ199" s="395">
        <f t="shared" ca="1" si="418"/>
        <v>2.3972602739726026E-2</v>
      </c>
      <c r="CA199" s="395">
        <f t="shared" ca="1" si="418"/>
        <v>0</v>
      </c>
      <c r="CB199" s="395">
        <f t="shared" ca="1" si="418"/>
        <v>0</v>
      </c>
      <c r="CC199" s="395">
        <f t="shared" ca="1" si="418"/>
        <v>0</v>
      </c>
      <c r="CD199" s="395">
        <f t="shared" ca="1" si="418"/>
        <v>0</v>
      </c>
      <c r="CE199" s="395">
        <f t="shared" ca="1" si="418"/>
        <v>0</v>
      </c>
      <c r="CF199" s="395">
        <f t="shared" ca="1" si="418"/>
        <v>0</v>
      </c>
      <c r="CG199" s="395">
        <f t="shared" ca="1" si="418"/>
        <v>0</v>
      </c>
      <c r="CH199" s="395">
        <f t="shared" ca="1" si="418"/>
        <v>0</v>
      </c>
      <c r="CI199" s="395">
        <f t="shared" ca="1" si="418"/>
        <v>0</v>
      </c>
      <c r="CJ199" s="395">
        <f t="shared" ca="1" si="418"/>
        <v>0</v>
      </c>
      <c r="CK199" s="395">
        <f t="shared" ca="1" si="418"/>
        <v>0</v>
      </c>
      <c r="CL199" s="395">
        <f t="shared" ca="1" si="418"/>
        <v>0</v>
      </c>
      <c r="CM199" s="395">
        <f t="shared" ca="1" si="418"/>
        <v>0</v>
      </c>
      <c r="CN199" s="395">
        <f t="shared" ca="1" si="418"/>
        <v>0</v>
      </c>
      <c r="CO199" s="395">
        <f t="shared" ca="1" si="418"/>
        <v>0</v>
      </c>
      <c r="CP199" s="395">
        <f t="shared" ca="1" si="418"/>
        <v>0</v>
      </c>
      <c r="CQ199" s="395">
        <f t="shared" ca="1" si="418"/>
        <v>0</v>
      </c>
      <c r="CR199" s="395">
        <f t="shared" ca="1" si="418"/>
        <v>0</v>
      </c>
      <c r="CS199" s="395">
        <f t="shared" ca="1" si="418"/>
        <v>0</v>
      </c>
      <c r="CT199" s="395">
        <f t="shared" ca="1" si="418"/>
        <v>0</v>
      </c>
      <c r="CU199" s="395">
        <f t="shared" ca="1" si="418"/>
        <v>0</v>
      </c>
      <c r="CV199" s="395">
        <f t="shared" ca="1" si="418"/>
        <v>0</v>
      </c>
      <c r="CW199" s="395">
        <f t="shared" ca="1" si="418"/>
        <v>0</v>
      </c>
      <c r="CX199" s="395">
        <f t="shared" ca="1" si="418"/>
        <v>0</v>
      </c>
      <c r="CY199" s="395">
        <f t="shared" ca="1" si="418"/>
        <v>0</v>
      </c>
      <c r="CZ199" s="395">
        <f t="shared" ca="1" si="418"/>
        <v>0</v>
      </c>
      <c r="DA199" s="395">
        <f t="shared" ca="1" si="418"/>
        <v>0</v>
      </c>
      <c r="DB199" s="395">
        <f t="shared" ca="1" si="418"/>
        <v>0</v>
      </c>
      <c r="DC199" s="395">
        <f t="shared" ca="1" si="418"/>
        <v>0</v>
      </c>
      <c r="DD199" s="395">
        <f t="shared" ca="1" si="418"/>
        <v>0</v>
      </c>
      <c r="DE199" s="395">
        <f t="shared" ca="1" si="418"/>
        <v>0</v>
      </c>
      <c r="DF199" s="395">
        <f t="shared" ca="1" si="418"/>
        <v>0</v>
      </c>
      <c r="DG199" s="395">
        <f t="shared" ca="1" si="418"/>
        <v>0</v>
      </c>
      <c r="DH199" s="395">
        <f t="shared" ca="1" si="418"/>
        <v>0</v>
      </c>
      <c r="DI199" s="395">
        <f t="shared" ca="1" si="418"/>
        <v>0</v>
      </c>
      <c r="DJ199" s="395">
        <f t="shared" ca="1" si="418"/>
        <v>0</v>
      </c>
      <c r="DK199" s="395">
        <f t="shared" ca="1" si="418"/>
        <v>0</v>
      </c>
      <c r="DL199" s="395">
        <f t="shared" ca="1" si="418"/>
        <v>0</v>
      </c>
      <c r="DM199" s="395">
        <f t="shared" ca="1" si="418"/>
        <v>0</v>
      </c>
      <c r="DN199" s="395">
        <f t="shared" ca="1" si="418"/>
        <v>0</v>
      </c>
      <c r="DO199" s="395">
        <f t="shared" ca="1" si="418"/>
        <v>0</v>
      </c>
      <c r="DP199" s="395">
        <f t="shared" ca="1" si="418"/>
        <v>0</v>
      </c>
      <c r="DQ199" s="395">
        <f t="shared" ca="1" si="418"/>
        <v>0</v>
      </c>
      <c r="DR199" s="395">
        <f t="shared" ca="1" si="418"/>
        <v>0</v>
      </c>
      <c r="DS199" s="395">
        <f t="shared" ca="1" si="418"/>
        <v>0</v>
      </c>
      <c r="DT199" s="395">
        <f t="shared" ca="1" si="418"/>
        <v>0</v>
      </c>
      <c r="DU199" s="395">
        <f t="shared" ca="1" si="418"/>
        <v>0</v>
      </c>
      <c r="DV199" s="395">
        <f t="shared" ca="1" si="418"/>
        <v>0</v>
      </c>
      <c r="DW199" s="395">
        <f t="shared" ca="1" si="418"/>
        <v>0</v>
      </c>
      <c r="DX199" s="395">
        <f t="shared" ca="1" si="418"/>
        <v>0</v>
      </c>
      <c r="DY199" s="395">
        <f t="shared" ca="1" si="418"/>
        <v>0</v>
      </c>
      <c r="DZ199" s="395">
        <f t="shared" ca="1" si="418"/>
        <v>0</v>
      </c>
      <c r="EA199" s="395">
        <f t="shared" ca="1" si="418"/>
        <v>0</v>
      </c>
      <c r="EB199" s="395">
        <f t="shared" ca="1" si="418"/>
        <v>0</v>
      </c>
      <c r="EC199" s="395">
        <f t="shared" ca="1" si="418"/>
        <v>0</v>
      </c>
      <c r="ED199" s="395">
        <f t="shared" ca="1" si="418"/>
        <v>0</v>
      </c>
      <c r="EE199" s="395">
        <f t="shared" ca="1" si="418"/>
        <v>0</v>
      </c>
      <c r="EF199" s="395">
        <f t="shared" ca="1" si="418"/>
        <v>0</v>
      </c>
      <c r="EG199" s="395">
        <f t="shared" ref="EG199:EI199" ca="1" si="419">SUM(EG200:EG201)</f>
        <v>0</v>
      </c>
      <c r="EH199" s="395">
        <f t="shared" ca="1" si="419"/>
        <v>0</v>
      </c>
      <c r="EI199" s="395">
        <f t="shared" ca="1" si="419"/>
        <v>0</v>
      </c>
      <c r="EJ199" s="398"/>
      <c r="EK199" s="313"/>
    </row>
    <row r="200" spans="1:141" hidden="1" outlineLevel="2">
      <c r="A200" s="332"/>
      <c r="B200" s="313"/>
      <c r="C200" s="317"/>
      <c r="D200" s="317" t="s">
        <v>664</v>
      </c>
      <c r="E200" s="318">
        <f ca="1">IF(F200=0,0,30%-F200)</f>
        <v>0</v>
      </c>
      <c r="F200" s="397">
        <f t="shared" ca="1" si="283"/>
        <v>0.3</v>
      </c>
      <c r="G200" s="395"/>
      <c r="H200" s="395">
        <f ca="1">IF(SUM($G200:G200)=30%,0,IF(J201&gt;0%,30%,0%))</f>
        <v>0</v>
      </c>
      <c r="I200" s="395">
        <f ca="1">IF(SUM($G200:H200)=30%,0,IF(K201&gt;0%,30%,0%))</f>
        <v>0</v>
      </c>
      <c r="J200" s="395">
        <f ca="1">IF(SUM($G200:I200)=30%,0,IF(L201&gt;0%,30%,0%))</f>
        <v>0</v>
      </c>
      <c r="K200" s="395">
        <f ca="1">IF(SUM($G200:J200)=30%,0,IF(M201&gt;0%,30%,0%))</f>
        <v>0</v>
      </c>
      <c r="L200" s="395">
        <f ca="1">IF(SUM($G200:K200)=30%,0,IF(N201&gt;0%,30%,0%))</f>
        <v>0</v>
      </c>
      <c r="M200" s="395">
        <f ca="1">IF(SUM($G200:L200)=30%,0,IF(O201&gt;0%,30%,0%))</f>
        <v>0</v>
      </c>
      <c r="N200" s="395">
        <f ca="1">IF(SUM($G200:M200)=30%,0,IF(P201&gt;0%,30%,0%))</f>
        <v>0</v>
      </c>
      <c r="O200" s="395">
        <f ca="1">IF(SUM($G200:N200)=30%,0,IF(Q201&gt;0%,30%,0%))</f>
        <v>0</v>
      </c>
      <c r="P200" s="395">
        <f ca="1">IF(SUM($G200:O200)=30%,0,IF(R201&gt;0%,30%,0%))</f>
        <v>0</v>
      </c>
      <c r="Q200" s="395">
        <f ca="1">IF(SUM($G200:P200)=30%,0,IF(S201&gt;0%,30%,0%))</f>
        <v>0</v>
      </c>
      <c r="R200" s="395">
        <f ca="1">IF(SUM($G200:Q200)=30%,0,IF(T201&gt;0%,30%,0%))</f>
        <v>0</v>
      </c>
      <c r="S200" s="395">
        <f ca="1">IF(SUM($G200:R200)=30%,0,IF(U201&gt;0%,30%,0%))</f>
        <v>0</v>
      </c>
      <c r="T200" s="395">
        <f ca="1">IF(SUM($G200:S200)=30%,0,IF(V201&gt;0%,30%,0%))</f>
        <v>0</v>
      </c>
      <c r="U200" s="395">
        <f ca="1">IF(SUM($G200:T200)=30%,0,IF(W201&gt;0%,30%,0%))</f>
        <v>0</v>
      </c>
      <c r="V200" s="395">
        <f ca="1">IF(SUM($G200:U200)=30%,0,IF(X201&gt;0%,30%,0%))</f>
        <v>0</v>
      </c>
      <c r="W200" s="395">
        <f ca="1">IF(SUM($G200:V200)=30%,0,IF(Y201&gt;0%,30%,0%))</f>
        <v>0</v>
      </c>
      <c r="X200" s="395">
        <f ca="1">IF(SUM($G200:W200)=30%,0,IF(Z201&gt;0%,30%,0%))</f>
        <v>0</v>
      </c>
      <c r="Y200" s="395">
        <f ca="1">IF(SUM($G200:X200)=30%,0,IF(AA201&gt;0%,30%,0%))</f>
        <v>0</v>
      </c>
      <c r="Z200" s="395">
        <f ca="1">IF(SUM($G200:Y200)=30%,0,IF(AB201&gt;0%,30%,0%))</f>
        <v>0</v>
      </c>
      <c r="AA200" s="395">
        <f ca="1">IF(SUM($G200:Z200)=30%,0,IF(AC201&gt;0%,30%,0%))</f>
        <v>0</v>
      </c>
      <c r="AB200" s="395">
        <f ca="1">IF(SUM($G200:AA200)=30%,0,IF(AD201&gt;0%,30%,0%))</f>
        <v>0</v>
      </c>
      <c r="AC200" s="395">
        <f ca="1">IF(SUM($G200:AB200)=30%,0,IF(AE201&gt;0%,30%,0%))</f>
        <v>0</v>
      </c>
      <c r="AD200" s="395">
        <f ca="1">IF(SUM($G200:AC200)=30%,0,IF(AF201&gt;0%,30%,0%))</f>
        <v>0</v>
      </c>
      <c r="AE200" s="395">
        <f ca="1">IF(SUM($G200:AD200)=30%,0,IF(AG201&gt;0%,30%,0%))</f>
        <v>0</v>
      </c>
      <c r="AF200" s="395">
        <f ca="1">IF(SUM($G200:AE200)=30%,0,IF(AH201&gt;0%,30%,0%))</f>
        <v>0</v>
      </c>
      <c r="AG200" s="395">
        <f ca="1">IF(SUM($G200:AF200)=30%,0,IF(AI201&gt;0%,30%,0%))</f>
        <v>0</v>
      </c>
      <c r="AH200" s="395">
        <f ca="1">IF(SUM($G200:AG200)=30%,0,IF(AJ201&gt;0%,30%,0%))</f>
        <v>0</v>
      </c>
      <c r="AI200" s="395">
        <f ca="1">IF(SUM($G200:AH200)=30%,0,IF(AK201&gt;0%,30%,0%))</f>
        <v>0</v>
      </c>
      <c r="AJ200" s="395">
        <f ca="1">IF(SUM($G200:AI200)=30%,0,IF(AL201&gt;0%,30%,0%))</f>
        <v>0</v>
      </c>
      <c r="AK200" s="395">
        <f ca="1">IF(SUM($G200:AJ200)=30%,0,IF(AM201&gt;0%,30%,0%))</f>
        <v>0</v>
      </c>
      <c r="AL200" s="395">
        <f ca="1">IF(SUM($G200:AK200)=30%,0,IF(AN201&gt;0%,30%,0%))</f>
        <v>0</v>
      </c>
      <c r="AM200" s="395">
        <f ca="1">IF(SUM($G200:AL200)=30%,0,IF(AO201&gt;0%,30%,0%))</f>
        <v>0</v>
      </c>
      <c r="AN200" s="395">
        <f ca="1">IF(SUM($G200:AM200)=30%,0,IF(AP201&gt;0%,30%,0%))</f>
        <v>0</v>
      </c>
      <c r="AO200" s="395">
        <f ca="1">IF(SUM($G200:AN200)=30%,0,IF(AQ201&gt;0%,30%,0%))</f>
        <v>0</v>
      </c>
      <c r="AP200" s="395">
        <f ca="1">IF(SUM($G200:AO200)=30%,0,IF(AR201&gt;0%,30%,0%))</f>
        <v>0</v>
      </c>
      <c r="AQ200" s="395">
        <f ca="1">IF(SUM($G200:AP200)=30%,0,IF(AS201&gt;0%,30%,0%))</f>
        <v>0</v>
      </c>
      <c r="AR200" s="395">
        <f ca="1">IF(SUM($G200:AQ200)=30%,0,IF(AT201&gt;0%,30%,0%))</f>
        <v>0</v>
      </c>
      <c r="AS200" s="395">
        <f ca="1">IF(SUM($G200:AR200)=30%,0,IF(AU201&gt;0%,30%,0%))</f>
        <v>0</v>
      </c>
      <c r="AT200" s="395">
        <f ca="1">IF(SUM($G200:AS200)=30%,0,IF(AV201&gt;0%,30%,0%))</f>
        <v>0</v>
      </c>
      <c r="AU200" s="395">
        <f ca="1">IF(SUM($G200:AT200)=30%,0,IF(AW201&gt;0%,30%,0%))</f>
        <v>0</v>
      </c>
      <c r="AV200" s="395">
        <f ca="1">IF(SUM($G200:AU200)=30%,0,IF(AX201&gt;0%,30%,0%))</f>
        <v>0</v>
      </c>
      <c r="AW200" s="395">
        <f ca="1">IF(SUM($G200:AV200)=30%,0,IF(AY201&gt;0%,30%,0%))</f>
        <v>0</v>
      </c>
      <c r="AX200" s="395">
        <f ca="1">IF(SUM($G200:AW200)=30%,0,IF(AZ201&gt;0%,30%,0%))</f>
        <v>0</v>
      </c>
      <c r="AY200" s="395">
        <f ca="1">IF(SUM($G200:AX200)=30%,0,IF(BA201&gt;0%,30%,0%))</f>
        <v>0</v>
      </c>
      <c r="AZ200" s="395">
        <f ca="1">IF(SUM($G200:AY200)=30%,0,IF(BB201&gt;0%,30%,0%))</f>
        <v>0.3</v>
      </c>
      <c r="BA200" s="395">
        <f ca="1">IF(SUM($G200:AZ200)=30%,0,IF(BC201&gt;0%,30%,0%))</f>
        <v>0</v>
      </c>
      <c r="BB200" s="395">
        <f ca="1">IF(SUM($G200:BA200)=30%,0,IF(BD201&gt;0%,30%,0%))</f>
        <v>0</v>
      </c>
      <c r="BC200" s="395">
        <f ca="1">IF(SUM($G200:BB200)=30%,0,IF(BE201&gt;0%,30%,0%))</f>
        <v>0</v>
      </c>
      <c r="BD200" s="395">
        <f ca="1">IF(SUM($G200:BC200)=30%,0,IF(BF201&gt;0%,30%,0%))</f>
        <v>0</v>
      </c>
      <c r="BE200" s="395">
        <f ca="1">IF(SUM($G200:BD200)=30%,0,IF(BG201&gt;0%,30%,0%))</f>
        <v>0</v>
      </c>
      <c r="BF200" s="395">
        <f ca="1">IF(SUM($G200:BE200)=30%,0,IF(BH201&gt;0%,30%,0%))</f>
        <v>0</v>
      </c>
      <c r="BG200" s="395">
        <f ca="1">IF(SUM($G200:BF200)=30%,0,IF(BI201&gt;0%,30%,0%))</f>
        <v>0</v>
      </c>
      <c r="BH200" s="395">
        <f ca="1">IF(SUM($G200:BG200)=30%,0,IF(BJ201&gt;0%,30%,0%))</f>
        <v>0</v>
      </c>
      <c r="BI200" s="395">
        <f ca="1">IF(SUM($G200:BH200)=30%,0,IF(BK201&gt;0%,30%,0%))</f>
        <v>0</v>
      </c>
      <c r="BJ200" s="395">
        <f ca="1">IF(SUM($G200:BI200)=30%,0,IF(BL201&gt;0%,30%,0%))</f>
        <v>0</v>
      </c>
      <c r="BK200" s="395">
        <f ca="1">IF(SUM($G200:BJ200)=30%,0,IF(BM201&gt;0%,30%,0%))</f>
        <v>0</v>
      </c>
      <c r="BL200" s="395">
        <f ca="1">IF(SUM($G200:BK200)=30%,0,IF(BN201&gt;0%,30%,0%))</f>
        <v>0</v>
      </c>
      <c r="BM200" s="395">
        <f ca="1">IF(SUM($G200:BL200)=30%,0,IF(BO201&gt;0%,30%,0%))</f>
        <v>0</v>
      </c>
      <c r="BN200" s="395">
        <f ca="1">IF(SUM($G200:BM200)=30%,0,IF(BP201&gt;0%,30%,0%))</f>
        <v>0</v>
      </c>
      <c r="BO200" s="395">
        <f ca="1">IF(SUM($G200:BN200)=30%,0,IF(BQ201&gt;0%,30%,0%))</f>
        <v>0</v>
      </c>
      <c r="BP200" s="395">
        <f ca="1">IF(SUM($G200:BO200)=30%,0,IF(BR201&gt;0%,30%,0%))</f>
        <v>0</v>
      </c>
      <c r="BQ200" s="395">
        <f ca="1">IF(SUM($G200:BP200)=30%,0,IF(BS201&gt;0%,30%,0%))</f>
        <v>0</v>
      </c>
      <c r="BR200" s="395">
        <f ca="1">IF(SUM($G200:BQ200)=30%,0,IF(BT201&gt;0%,30%,0%))</f>
        <v>0</v>
      </c>
      <c r="BS200" s="395">
        <f ca="1">IF(SUM($G200:BR200)=30%,0,IF(BU201&gt;0%,30%,0%))</f>
        <v>0</v>
      </c>
      <c r="BT200" s="395">
        <f ca="1">IF(SUM($G200:BS200)=30%,0,IF(BV201&gt;0%,30%,0%))</f>
        <v>0</v>
      </c>
      <c r="BU200" s="395">
        <f ca="1">IF(SUM($G200:BT200)=30%,0,IF(BW201&gt;0%,30%,0%))</f>
        <v>0</v>
      </c>
      <c r="BV200" s="395">
        <f ca="1">IF(SUM($G200:BU200)=30%,0,IF(BX201&gt;0%,30%,0%))</f>
        <v>0</v>
      </c>
      <c r="BW200" s="395">
        <f ca="1">IF(SUM($G200:BV200)=30%,0,IF(BY201&gt;0%,30%,0%))</f>
        <v>0</v>
      </c>
      <c r="BX200" s="395">
        <f ca="1">IF(SUM($G200:BW200)=30%,0,IF(BZ201&gt;0%,30%,0%))</f>
        <v>0</v>
      </c>
      <c r="BY200" s="395">
        <f ca="1">IF(SUM($G200:BX200)=30%,0,IF(CA201&gt;0%,30%,0%))</f>
        <v>0</v>
      </c>
      <c r="BZ200" s="395">
        <f ca="1">IF(SUM($G200:BY200)=30%,0,IF(CB201&gt;0%,30%,0%))</f>
        <v>0</v>
      </c>
      <c r="CA200" s="395">
        <f ca="1">IF(SUM($G200:BZ200)=30%,0,IF(CC201&gt;0%,30%,0%))</f>
        <v>0</v>
      </c>
      <c r="CB200" s="395">
        <f ca="1">IF(SUM($G200:CA200)=30%,0,IF(CD201&gt;0%,30%,0%))</f>
        <v>0</v>
      </c>
      <c r="CC200" s="395">
        <f ca="1">IF(SUM($G200:CB200)=30%,0,IF(CE201&gt;0%,30%,0%))</f>
        <v>0</v>
      </c>
      <c r="CD200" s="395">
        <f ca="1">IF(SUM($G200:CC200)=30%,0,IF(CF201&gt;0%,30%,0%))</f>
        <v>0</v>
      </c>
      <c r="CE200" s="395">
        <f ca="1">IF(SUM($G200:CD200)=30%,0,IF(CG201&gt;0%,30%,0%))</f>
        <v>0</v>
      </c>
      <c r="CF200" s="395">
        <f ca="1">IF(SUM($G200:CE200)=30%,0,IF(CH201&gt;0%,30%,0%))</f>
        <v>0</v>
      </c>
      <c r="CG200" s="395">
        <f ca="1">IF(SUM($G200:CF200)=30%,0,IF(CI201&gt;0%,30%,0%))</f>
        <v>0</v>
      </c>
      <c r="CH200" s="395">
        <f ca="1">IF(SUM($G200:CG200)=30%,0,IF(CJ201&gt;0%,30%,0%))</f>
        <v>0</v>
      </c>
      <c r="CI200" s="395">
        <f ca="1">IF(SUM($G200:CH200)=30%,0,IF(CK201&gt;0%,30%,0%))</f>
        <v>0</v>
      </c>
      <c r="CJ200" s="395">
        <f ca="1">IF(SUM($G200:CI200)=30%,0,IF(CL201&gt;0%,30%,0%))</f>
        <v>0</v>
      </c>
      <c r="CK200" s="395">
        <f ca="1">IF(SUM($G200:CJ200)=30%,0,IF(CM201&gt;0%,30%,0%))</f>
        <v>0</v>
      </c>
      <c r="CL200" s="395">
        <f ca="1">IF(SUM($G200:CK200)=30%,0,IF(CN201&gt;0%,30%,0%))</f>
        <v>0</v>
      </c>
      <c r="CM200" s="395">
        <f ca="1">IF(SUM($G200:CL200)=30%,0,IF(CO201&gt;0%,30%,0%))</f>
        <v>0</v>
      </c>
      <c r="CN200" s="395">
        <f ca="1">IF(SUM($G200:CM200)=30%,0,IF(CP201&gt;0%,30%,0%))</f>
        <v>0</v>
      </c>
      <c r="CO200" s="395">
        <f ca="1">IF(SUM($G200:CN200)=30%,0,IF(CQ201&gt;0%,30%,0%))</f>
        <v>0</v>
      </c>
      <c r="CP200" s="395">
        <f ca="1">IF(SUM($G200:CO200)=30%,0,IF(CR201&gt;0%,30%,0%))</f>
        <v>0</v>
      </c>
      <c r="CQ200" s="395">
        <f ca="1">IF(SUM($G200:CP200)=30%,0,IF(CS201&gt;0%,30%,0%))</f>
        <v>0</v>
      </c>
      <c r="CR200" s="395">
        <f ca="1">IF(SUM($G200:CQ200)=30%,0,IF(CT201&gt;0%,30%,0%))</f>
        <v>0</v>
      </c>
      <c r="CS200" s="395">
        <f ca="1">IF(SUM($G200:CR200)=30%,0,IF(CU201&gt;0%,30%,0%))</f>
        <v>0</v>
      </c>
      <c r="CT200" s="395">
        <f ca="1">IF(SUM($G200:CS200)=30%,0,IF(CV201&gt;0%,30%,0%))</f>
        <v>0</v>
      </c>
      <c r="CU200" s="395">
        <f ca="1">IF(SUM($G200:CT200)=30%,0,IF(CW201&gt;0%,30%,0%))</f>
        <v>0</v>
      </c>
      <c r="CV200" s="395">
        <f ca="1">IF(SUM($G200:CU200)=30%,0,IF(CX201&gt;0%,30%,0%))</f>
        <v>0</v>
      </c>
      <c r="CW200" s="395">
        <f ca="1">IF(SUM($G200:CV200)=30%,0,IF(CY201&gt;0%,30%,0%))</f>
        <v>0</v>
      </c>
      <c r="CX200" s="395">
        <f ca="1">IF(SUM($G200:CW200)=30%,0,IF(CZ201&gt;0%,30%,0%))</f>
        <v>0</v>
      </c>
      <c r="CY200" s="395">
        <f ca="1">IF(SUM($G200:CX200)=30%,0,IF(DA201&gt;0%,30%,0%))</f>
        <v>0</v>
      </c>
      <c r="CZ200" s="395">
        <f ca="1">IF(SUM($G200:CY200)=30%,0,IF(DB201&gt;0%,30%,0%))</f>
        <v>0</v>
      </c>
      <c r="DA200" s="395">
        <f ca="1">IF(SUM($G200:CZ200)=30%,0,IF(DC201&gt;0%,30%,0%))</f>
        <v>0</v>
      </c>
      <c r="DB200" s="395">
        <f ca="1">IF(SUM($G200:DA200)=30%,0,IF(DD201&gt;0%,30%,0%))</f>
        <v>0</v>
      </c>
      <c r="DC200" s="395">
        <f ca="1">IF(SUM($G200:DB200)=30%,0,IF(DE201&gt;0%,30%,0%))</f>
        <v>0</v>
      </c>
      <c r="DD200" s="395">
        <f ca="1">IF(SUM($G200:DC200)=30%,0,IF(DF201&gt;0%,30%,0%))</f>
        <v>0</v>
      </c>
      <c r="DE200" s="395">
        <f ca="1">IF(SUM($G200:DD200)=30%,0,IF(DG201&gt;0%,30%,0%))</f>
        <v>0</v>
      </c>
      <c r="DF200" s="395">
        <f ca="1">IF(SUM($G200:DE200)=30%,0,IF(DH201&gt;0%,30%,0%))</f>
        <v>0</v>
      </c>
      <c r="DG200" s="395">
        <f ca="1">IF(SUM($G200:DF200)=30%,0,IF(DI201&gt;0%,30%,0%))</f>
        <v>0</v>
      </c>
      <c r="DH200" s="395">
        <f ca="1">IF(SUM($G200:DG200)=30%,0,IF(DJ201&gt;0%,30%,0%))</f>
        <v>0</v>
      </c>
      <c r="DI200" s="395">
        <f ca="1">IF(SUM($G200:DH200)=30%,0,IF(DK201&gt;0%,30%,0%))</f>
        <v>0</v>
      </c>
      <c r="DJ200" s="395">
        <f ca="1">IF(SUM($G200:DI200)=30%,0,IF(DL201&gt;0%,30%,0%))</f>
        <v>0</v>
      </c>
      <c r="DK200" s="395">
        <f ca="1">IF(SUM($G200:DJ200)=30%,0,IF(DM201&gt;0%,30%,0%))</f>
        <v>0</v>
      </c>
      <c r="DL200" s="395">
        <f ca="1">IF(SUM($G200:DK200)=30%,0,IF(DN201&gt;0%,30%,0%))</f>
        <v>0</v>
      </c>
      <c r="DM200" s="395">
        <f ca="1">IF(SUM($G200:DL200)=30%,0,IF(DO201&gt;0%,30%,0%))</f>
        <v>0</v>
      </c>
      <c r="DN200" s="395">
        <f ca="1">IF(SUM($G200:DM200)=30%,0,IF(DP201&gt;0%,30%,0%))</f>
        <v>0</v>
      </c>
      <c r="DO200" s="395">
        <f ca="1">IF(SUM($G200:DN200)=30%,0,IF(DQ201&gt;0%,30%,0%))</f>
        <v>0</v>
      </c>
      <c r="DP200" s="395">
        <f ca="1">IF(SUM($G200:DO200)=30%,0,IF(DR201&gt;0%,30%,0%))</f>
        <v>0</v>
      </c>
      <c r="DQ200" s="395">
        <f ca="1">IF(SUM($G200:DP200)=30%,0,IF(DS201&gt;0%,30%,0%))</f>
        <v>0</v>
      </c>
      <c r="DR200" s="395">
        <f ca="1">IF(SUM($G200:DQ200)=30%,0,IF(DT201&gt;0%,30%,0%))</f>
        <v>0</v>
      </c>
      <c r="DS200" s="395">
        <f ca="1">IF(SUM($G200:DR200)=30%,0,IF(DU201&gt;0%,30%,0%))</f>
        <v>0</v>
      </c>
      <c r="DT200" s="395">
        <f ca="1">IF(SUM($G200:DS200)=30%,0,IF(DV201&gt;0%,30%,0%))</f>
        <v>0</v>
      </c>
      <c r="DU200" s="395">
        <f ca="1">IF(SUM($G200:DT200)=30%,0,IF(DW201&gt;0%,30%,0%))</f>
        <v>0</v>
      </c>
      <c r="DV200" s="395">
        <f ca="1">IF(SUM($G200:DU200)=30%,0,IF(DX201&gt;0%,30%,0%))</f>
        <v>0</v>
      </c>
      <c r="DW200" s="395">
        <f ca="1">IF(SUM($G200:DV200)=30%,0,IF(DY201&gt;0%,30%,0%))</f>
        <v>0</v>
      </c>
      <c r="DX200" s="395">
        <f ca="1">IF(SUM($G200:DW200)=30%,0,IF(DZ201&gt;0%,30%,0%))</f>
        <v>0</v>
      </c>
      <c r="DY200" s="395">
        <f ca="1">IF(SUM($G200:DX200)=30%,0,IF(EA201&gt;0%,30%,0%))</f>
        <v>0</v>
      </c>
      <c r="DZ200" s="395">
        <f ca="1">IF(SUM($G200:DY200)=30%,0,IF(EB201&gt;0%,30%,0%))</f>
        <v>0</v>
      </c>
      <c r="EA200" s="395">
        <f ca="1">IF(SUM($G200:DZ200)=30%,0,IF(EC201&gt;0%,30%,0%))</f>
        <v>0</v>
      </c>
      <c r="EB200" s="395">
        <f ca="1">IF(SUM($G200:EA200)=30%,0,IF(ED201&gt;0%,30%,0%))</f>
        <v>0</v>
      </c>
      <c r="EC200" s="395">
        <f ca="1">IF(SUM($G200:EB200)=30%,0,IF(EE201&gt;0%,30%,0%))</f>
        <v>0</v>
      </c>
      <c r="ED200" s="395">
        <f ca="1">IF(SUM($G200:EC200)=30%,0,IF(EF201&gt;0%,30%,0%))</f>
        <v>0</v>
      </c>
      <c r="EE200" s="395">
        <f ca="1">IF(SUM($G200:ED200)=30%,0,IF(EG201&gt;0%,30%,0%))</f>
        <v>0</v>
      </c>
      <c r="EF200" s="395">
        <f ca="1">IF(SUM($G200:EE200)=30%,0,IF(EH201&gt;0%,30%,0%))</f>
        <v>0</v>
      </c>
      <c r="EG200" s="395">
        <f ca="1">IF(SUM($G200:EF200)=30%,0,IF(EI201&gt;0%,30%,0%))</f>
        <v>0</v>
      </c>
      <c r="EH200" s="395">
        <f ca="1">IF(SUM($G200:EG200)=30%,0,IF(EJ201&gt;0%,30%,0%))</f>
        <v>0</v>
      </c>
      <c r="EI200" s="395">
        <f ca="1">IF(SUM($G200:EH200)=30%,0,IF(EK201&gt;0%,30%,0%))</f>
        <v>0</v>
      </c>
      <c r="EJ200" s="398"/>
      <c r="EK200" s="313"/>
    </row>
    <row r="201" spans="1:141" hidden="1" outlineLevel="2">
      <c r="A201" s="332"/>
      <c r="B201" s="313"/>
      <c r="C201" s="317"/>
      <c r="D201" s="317" t="s">
        <v>663</v>
      </c>
      <c r="E201" s="318">
        <f ca="1">ROUND(IF(F201=0,0,70%-F201),0)</f>
        <v>0</v>
      </c>
      <c r="F201" s="397">
        <f t="shared" ca="1" si="283"/>
        <v>0.7</v>
      </c>
      <c r="G201" s="395"/>
      <c r="H201" s="395"/>
      <c r="I201" s="395">
        <f ca="1">IF($E$370=0,0,IF(SUM($G201:H201)=70%,0,IF(SUM($G370:H370)&gt;=$E370,(70%/$E370)*($E370-SUM($G370:G370)),(70%/$E370)*H370)))</f>
        <v>0</v>
      </c>
      <c r="J201" s="395">
        <f ca="1">IF($E$370=0,0,IF(SUM($G201:I201)=70%,0,IF(SUM($G370:I370)&gt;=$E370,(70%/$E370)*($E370-SUM($G370:H370)),(70%/$E370)*I370)))</f>
        <v>0</v>
      </c>
      <c r="K201" s="395">
        <f ca="1">IF($E$370=0,0,IF(SUM($G201:J201)=70%,0,IF(SUM($G370:J370)&gt;=$E370,(70%/$E370)*($E370-SUM($G370:I370)),(70%/$E370)*J370)))</f>
        <v>0</v>
      </c>
      <c r="L201" s="395">
        <f ca="1">IF($E$370=0,0,IF(SUM($G201:K201)=70%,0,IF(SUM($G370:K370)&gt;=$E370,(70%/$E370)*($E370-SUM($G370:J370)),(70%/$E370)*K370)))</f>
        <v>0</v>
      </c>
      <c r="M201" s="395">
        <f ca="1">IF($E$370=0,0,IF(SUM($G201:L201)=70%,0,IF(SUM($G370:L370)&gt;=$E370,(70%/$E370)*($E370-SUM($G370:K370)),(70%/$E370)*L370)))</f>
        <v>0</v>
      </c>
      <c r="N201" s="395">
        <f ca="1">IF($E$370=0,0,IF(SUM($G201:M201)=70%,0,IF(SUM($G370:M370)&gt;=$E370,(70%/$E370)*($E370-SUM($G370:L370)),(70%/$E370)*M370)))</f>
        <v>0</v>
      </c>
      <c r="O201" s="395">
        <f ca="1">IF($E$370=0,0,IF(SUM($G201:N201)=70%,0,IF(SUM($G370:N370)&gt;=$E370,(70%/$E370)*($E370-SUM($G370:M370)),(70%/$E370)*N370)))</f>
        <v>0</v>
      </c>
      <c r="P201" s="395">
        <f ca="1">IF($E$370=0,0,IF(SUM($G201:O201)=70%,0,IF(SUM($G370:O370)&gt;=$E370,(70%/$E370)*($E370-SUM($G370:N370)),(70%/$E370)*O370)))</f>
        <v>0</v>
      </c>
      <c r="Q201" s="395">
        <f ca="1">IF($E$370=0,0,IF(SUM($G201:P201)=70%,0,IF(SUM($G370:P370)&gt;=$E370,(70%/$E370)*($E370-SUM($G370:O370)),(70%/$E370)*P370)))</f>
        <v>0</v>
      </c>
      <c r="R201" s="395">
        <f ca="1">IF($E$370=0,0,IF(SUM($G201:Q201)=70%,0,IF(SUM($G370:Q370)&gt;=$E370,(70%/$E370)*($E370-SUM($G370:P370)),(70%/$E370)*Q370)))</f>
        <v>0</v>
      </c>
      <c r="S201" s="395">
        <f ca="1">IF($E$370=0,0,IF(SUM($G201:R201)=70%,0,IF(SUM($G370:R370)&gt;=$E370,(70%/$E370)*($E370-SUM($G370:Q370)),(70%/$E370)*R370)))</f>
        <v>0</v>
      </c>
      <c r="T201" s="395">
        <f ca="1">IF($E$370=0,0,IF(SUM($G201:S201)=70%,0,IF(SUM($G370:S370)&gt;=$E370,(70%/$E370)*($E370-SUM($G370:R370)),(70%/$E370)*S370)))</f>
        <v>0</v>
      </c>
      <c r="U201" s="395">
        <f ca="1">IF($E$370=0,0,IF(SUM($G201:T201)=70%,0,IF(SUM($G370:T370)&gt;=$E370,(70%/$E370)*($E370-SUM($G370:S370)),(70%/$E370)*T370)))</f>
        <v>0</v>
      </c>
      <c r="V201" s="395">
        <f ca="1">IF($E$370=0,0,IF(SUM($G201:U201)=70%,0,IF(SUM($G370:U370)&gt;=$E370,(70%/$E370)*($E370-SUM($G370:T370)),(70%/$E370)*U370)))</f>
        <v>0</v>
      </c>
      <c r="W201" s="395">
        <f ca="1">IF($E$370=0,0,IF(SUM($G201:V201)=70%,0,IF(SUM($G370:V370)&gt;=$E370,(70%/$E370)*($E370-SUM($G370:U370)),(70%/$E370)*V370)))</f>
        <v>0</v>
      </c>
      <c r="X201" s="395">
        <f ca="1">IF($E$370=0,0,IF(SUM($G201:W201)=70%,0,IF(SUM($G370:W370)&gt;=$E370,(70%/$E370)*($E370-SUM($G370:V370)),(70%/$E370)*W370)))</f>
        <v>0</v>
      </c>
      <c r="Y201" s="395">
        <f ca="1">IF($E$370=0,0,IF(SUM($G201:X201)=70%,0,IF(SUM($G370:X370)&gt;=$E370,(70%/$E370)*($E370-SUM($G370:W370)),(70%/$E370)*X370)))</f>
        <v>0</v>
      </c>
      <c r="Z201" s="395">
        <f ca="1">IF($E$370=0,0,IF(SUM($G201:Y201)=70%,0,IF(SUM($G370:Y370)&gt;=$E370,(70%/$E370)*($E370-SUM($G370:X370)),(70%/$E370)*Y370)))</f>
        <v>0</v>
      </c>
      <c r="AA201" s="395">
        <f ca="1">IF($E$370=0,0,IF(SUM($G201:Z201)=70%,0,IF(SUM($G370:Z370)&gt;=$E370,(70%/$E370)*($E370-SUM($G370:Y370)),(70%/$E370)*Z370)))</f>
        <v>0</v>
      </c>
      <c r="AB201" s="395">
        <f ca="1">IF($E$370=0,0,IF(SUM($G201:AA201)=70%,0,IF(SUM($G370:AA370)&gt;=$E370,(70%/$E370)*($E370-SUM($G370:Z370)),(70%/$E370)*AA370)))</f>
        <v>0</v>
      </c>
      <c r="AC201" s="395">
        <f ca="1">IF($E$370=0,0,IF(SUM($G201:AB201)=70%,0,IF(SUM($G370:AB370)&gt;=$E370,(70%/$E370)*($E370-SUM($G370:AA370)),(70%/$E370)*AB370)))</f>
        <v>0</v>
      </c>
      <c r="AD201" s="395">
        <f ca="1">IF($E$370=0,0,IF(SUM($G201:AC201)=70%,0,IF(SUM($G370:AC370)&gt;=$E370,(70%/$E370)*($E370-SUM($G370:AB370)),(70%/$E370)*AC370)))</f>
        <v>0</v>
      </c>
      <c r="AE201" s="395">
        <f ca="1">IF($E$370=0,0,IF(SUM($G201:AD201)=70%,0,IF(SUM($G370:AD370)&gt;=$E370,(70%/$E370)*($E370-SUM($G370:AC370)),(70%/$E370)*AD370)))</f>
        <v>0</v>
      </c>
      <c r="AF201" s="395">
        <f ca="1">IF($E$370=0,0,IF(SUM($G201:AE201)=70%,0,IF(SUM($G370:AE370)&gt;=$E370,(70%/$E370)*($E370-SUM($G370:AD370)),(70%/$E370)*AE370)))</f>
        <v>0</v>
      </c>
      <c r="AG201" s="395">
        <f ca="1">IF($E$370=0,0,IF(SUM($G201:AF201)=70%,0,IF(SUM($G370:AF370)&gt;=$E370,(70%/$E370)*($E370-SUM($G370:AE370)),(70%/$E370)*AF370)))</f>
        <v>0</v>
      </c>
      <c r="AH201" s="395">
        <f ca="1">IF($E$370=0,0,IF(SUM($G201:AG201)=70%,0,IF(SUM($G370:AG370)&gt;=$E370,(70%/$E370)*($E370-SUM($G370:AF370)),(70%/$E370)*AG370)))</f>
        <v>0</v>
      </c>
      <c r="AI201" s="395">
        <f ca="1">IF($E$370=0,0,IF(SUM($G201:AH201)=70%,0,IF(SUM($G370:AH370)&gt;=$E370,(70%/$E370)*($E370-SUM($G370:AG370)),(70%/$E370)*AH370)))</f>
        <v>0</v>
      </c>
      <c r="AJ201" s="395">
        <f ca="1">IF($E$370=0,0,IF(SUM($G201:AI201)=70%,0,IF(SUM($G370:AI370)&gt;=$E370,(70%/$E370)*($E370-SUM($G370:AH370)),(70%/$E370)*AI370)))</f>
        <v>0</v>
      </c>
      <c r="AK201" s="395">
        <f ca="1">IF($E$370=0,0,IF(SUM($G201:AJ201)=70%,0,IF(SUM($G370:AJ370)&gt;=$E370,(70%/$E370)*($E370-SUM($G370:AI370)),(70%/$E370)*AJ370)))</f>
        <v>0</v>
      </c>
      <c r="AL201" s="395">
        <f ca="1">IF($E$370=0,0,IF(SUM($G201:AK201)=70%,0,IF(SUM($G370:AK370)&gt;=$E370,(70%/$E370)*($E370-SUM($G370:AJ370)),(70%/$E370)*AK370)))</f>
        <v>0</v>
      </c>
      <c r="AM201" s="395">
        <f ca="1">IF($E$370=0,0,IF(SUM($G201:AL201)=70%,0,IF(SUM($G370:AL370)&gt;=$E370,(70%/$E370)*($E370-SUM($G370:AK370)),(70%/$E370)*AL370)))</f>
        <v>0</v>
      </c>
      <c r="AN201" s="395">
        <f ca="1">IF($E$370=0,0,IF(SUM($G201:AM201)=70%,0,IF(SUM($G370:AM370)&gt;=$E370,(70%/$E370)*($E370-SUM($G370:AL370)),(70%/$E370)*AM370)))</f>
        <v>0</v>
      </c>
      <c r="AO201" s="395">
        <f ca="1">IF($E$370=0,0,IF(SUM($G201:AN201)=70%,0,IF(SUM($G370:AN370)&gt;=$E370,(70%/$E370)*($E370-SUM($G370:AM370)),(70%/$E370)*AN370)))</f>
        <v>0</v>
      </c>
      <c r="AP201" s="395">
        <f ca="1">IF($E$370=0,0,IF(SUM($G201:AO201)=70%,0,IF(SUM($G370:AO370)&gt;=$E370,(70%/$E370)*($E370-SUM($G370:AN370)),(70%/$E370)*AO370)))</f>
        <v>0</v>
      </c>
      <c r="AQ201" s="395">
        <f ca="1">IF($E$370=0,0,IF(SUM($G201:AP201)=70%,0,IF(SUM($G370:AP370)&gt;=$E370,(70%/$E370)*($E370-SUM($G370:AO370)),(70%/$E370)*AP370)))</f>
        <v>0</v>
      </c>
      <c r="AR201" s="395">
        <f ca="1">IF($E$370=0,0,IF(SUM($G201:AQ201)=70%,0,IF(SUM($G370:AQ370)&gt;=$E370,(70%/$E370)*($E370-SUM($G370:AP370)),(70%/$E370)*AQ370)))</f>
        <v>0</v>
      </c>
      <c r="AS201" s="395">
        <f ca="1">IF($E$370=0,0,IF(SUM($G201:AR201)=70%,0,IF(SUM($G370:AR370)&gt;=$E370,(70%/$E370)*($E370-SUM($G370:AQ370)),(70%/$E370)*AR370)))</f>
        <v>0</v>
      </c>
      <c r="AT201" s="395">
        <f ca="1">IF($E$370=0,0,IF(SUM($G201:AS201)=70%,0,IF(SUM($G370:AS370)&gt;=$E370,(70%/$E370)*($E370-SUM($G370:AR370)),(70%/$E370)*AS370)))</f>
        <v>0</v>
      </c>
      <c r="AU201" s="395">
        <f ca="1">IF($E$370=0,0,IF(SUM($G201:AT201)=70%,0,IF(SUM($G370:AT370)&gt;=$E370,(70%/$E370)*($E370-SUM($G370:AS370)),(70%/$E370)*AT370)))</f>
        <v>0</v>
      </c>
      <c r="AV201" s="395">
        <f ca="1">IF($E$370=0,0,IF(SUM($G201:AU201)=70%,0,IF(SUM($G370:AU370)&gt;=$E370,(70%/$E370)*($E370-SUM($G370:AT370)),(70%/$E370)*AU370)))</f>
        <v>0</v>
      </c>
      <c r="AW201" s="395">
        <f ca="1">IF($E$370=0,0,IF(SUM($G201:AV201)=70%,0,IF(SUM($G370:AV370)&gt;=$E370,(70%/$E370)*($E370-SUM($G370:AU370)),(70%/$E370)*AV370)))</f>
        <v>0</v>
      </c>
      <c r="AX201" s="395">
        <f ca="1">IF($E$370=0,0,IF(SUM($G201:AW201)=70%,0,IF(SUM($G370:AW370)&gt;=$E370,(70%/$E370)*($E370-SUM($G370:AV370)),(70%/$E370)*AW370)))</f>
        <v>0</v>
      </c>
      <c r="AY201" s="395">
        <f ca="1">IF($E$370=0,0,IF(SUM($G201:AX201)=70%,0,IF(SUM($G370:AX370)&gt;=$E370,(70%/$E370)*($E370-SUM($G370:AW370)),(70%/$E370)*AX370)))</f>
        <v>0</v>
      </c>
      <c r="AZ201" s="395">
        <f ca="1">IF($E$370=0,0,IF(SUM($G201:AY201)=70%,0,IF(SUM($G370:AY370)&gt;=$E370,(70%/$E370)*($E370-SUM($G370:AX370)),(70%/$E370)*AY370)))</f>
        <v>0</v>
      </c>
      <c r="BA201" s="395">
        <f ca="1">IF($E$370=0,0,IF(SUM($G201:AZ201)=70%,0,IF(SUM($G370:AZ370)&gt;=$E370,(70%/$E370)*($E370-SUM($G370:AY370)),(70%/$E370)*AZ370)))</f>
        <v>0</v>
      </c>
      <c r="BB201" s="395">
        <f ca="1">IF($E$370=0,0,IF(SUM($G201:BA201)=70%,0,IF(SUM($G370:BA370)&gt;=$E370,(70%/$E370)*($E370-SUM($G370:AZ370)),(70%/$E370)*BA370)))</f>
        <v>4.7945205479452057E-3</v>
      </c>
      <c r="BC201" s="395">
        <f ca="1">IF($E$370=0,0,IF(SUM($G201:BB201)=70%,0,IF(SUM($G370:BB370)&gt;=$E370,(70%/$E370)*($E370-SUM($G370:BA370)),(70%/$E370)*BB370)))</f>
        <v>2.6849315068493151E-2</v>
      </c>
      <c r="BD201" s="395">
        <f ca="1">IF($E$370=0,0,IF(SUM($G201:BC201)=70%,0,IF(SUM($G370:BC370)&gt;=$E370,(70%/$E370)*($E370-SUM($G370:BB370)),(70%/$E370)*BC370)))</f>
        <v>2.9726027397260272E-2</v>
      </c>
      <c r="BE201" s="395">
        <f ca="1">IF($E$370=0,0,IF(SUM($G201:BD201)=70%,0,IF(SUM($G370:BD370)&gt;=$E370,(70%/$E370)*($E370-SUM($G370:BC370)),(70%/$E370)*BD370)))</f>
        <v>2.8767123287671233E-2</v>
      </c>
      <c r="BF201" s="395">
        <f ca="1">IF($E$370=0,0,IF(SUM($G201:BE201)=70%,0,IF(SUM($G370:BE370)&gt;=$E370,(70%/$E370)*($E370-SUM($G370:BD370)),(70%/$E370)*BE370)))</f>
        <v>2.9726027397260272E-2</v>
      </c>
      <c r="BG201" s="395">
        <f ca="1">IF($E$370=0,0,IF(SUM($G201:BF201)=70%,0,IF(SUM($G370:BF370)&gt;=$E370,(70%/$E370)*($E370-SUM($G370:BE370)),(70%/$E370)*BF370)))</f>
        <v>2.8767123287671233E-2</v>
      </c>
      <c r="BH201" s="395">
        <f ca="1">IF($E$370=0,0,IF(SUM($G201:BG201)=70%,0,IF(SUM($G370:BG370)&gt;=$E370,(70%/$E370)*($E370-SUM($G370:BF370)),(70%/$E370)*BG370)))</f>
        <v>2.9726027397260272E-2</v>
      </c>
      <c r="BI201" s="395">
        <f ca="1">IF($E$370=0,0,IF(SUM($G201:BH201)=70%,0,IF(SUM($G370:BH370)&gt;=$E370,(70%/$E370)*($E370-SUM($G370:BG370)),(70%/$E370)*BH370)))</f>
        <v>2.9726027397260272E-2</v>
      </c>
      <c r="BJ201" s="395">
        <f ca="1">IF($E$370=0,0,IF(SUM($G201:BI201)=70%,0,IF(SUM($G370:BI370)&gt;=$E370,(70%/$E370)*($E370-SUM($G370:BH370)),(70%/$E370)*BI370)))</f>
        <v>2.8767123287671233E-2</v>
      </c>
      <c r="BK201" s="395">
        <f ca="1">IF($E$370=0,0,IF(SUM($G201:BJ201)=70%,0,IF(SUM($G370:BJ370)&gt;=$E370,(70%/$E370)*($E370-SUM($G370:BI370)),(70%/$E370)*BJ370)))</f>
        <v>2.9726027397260272E-2</v>
      </c>
      <c r="BL201" s="395">
        <f ca="1">IF($E$370=0,0,IF(SUM($G201:BK201)=70%,0,IF(SUM($G370:BK370)&gt;=$E370,(70%/$E370)*($E370-SUM($G370:BJ370)),(70%/$E370)*BK370)))</f>
        <v>2.8767123287671233E-2</v>
      </c>
      <c r="BM201" s="395">
        <f ca="1">IF($E$370=0,0,IF(SUM($G201:BL201)=70%,0,IF(SUM($G370:BL370)&gt;=$E370,(70%/$E370)*($E370-SUM($G370:BK370)),(70%/$E370)*BL370)))</f>
        <v>2.9726027397260272E-2</v>
      </c>
      <c r="BN201" s="395">
        <f ca="1">IF($E$370=0,0,IF(SUM($G201:BM201)=70%,0,IF(SUM($G370:BM370)&gt;=$E370,(70%/$E370)*($E370-SUM($G370:BL370)),(70%/$E370)*BM370)))</f>
        <v>2.9726027397260272E-2</v>
      </c>
      <c r="BO201" s="395">
        <f ca="1">IF($E$370=0,0,IF(SUM($G201:BN201)=70%,0,IF(SUM($G370:BN370)&gt;=$E370,(70%/$E370)*($E370-SUM($G370:BM370)),(70%/$E370)*BN370)))</f>
        <v>2.780821917808219E-2</v>
      </c>
      <c r="BP201" s="395">
        <f ca="1">IF($E$370=0,0,IF(SUM($G201:BO201)=70%,0,IF(SUM($G370:BO370)&gt;=$E370,(70%/$E370)*($E370-SUM($G370:BN370)),(70%/$E370)*BO370)))</f>
        <v>2.9726027397260272E-2</v>
      </c>
      <c r="BQ201" s="395">
        <f ca="1">IF($E$370=0,0,IF(SUM($G201:BP201)=70%,0,IF(SUM($G370:BP370)&gt;=$E370,(70%/$E370)*($E370-SUM($G370:BO370)),(70%/$E370)*BP370)))</f>
        <v>2.8767123287671233E-2</v>
      </c>
      <c r="BR201" s="395">
        <f ca="1">IF($E$370=0,0,IF(SUM($G201:BQ201)=70%,0,IF(SUM($G370:BQ370)&gt;=$E370,(70%/$E370)*($E370-SUM($G370:BP370)),(70%/$E370)*BQ370)))</f>
        <v>2.9726027397260272E-2</v>
      </c>
      <c r="BS201" s="395">
        <f ca="1">IF($E$370=0,0,IF(SUM($G201:BR201)=70%,0,IF(SUM($G370:BR370)&gt;=$E370,(70%/$E370)*($E370-SUM($G370:BQ370)),(70%/$E370)*BR370)))</f>
        <v>2.8767123287671233E-2</v>
      </c>
      <c r="BT201" s="395">
        <f ca="1">IF($E$370=0,0,IF(SUM($G201:BS201)=70%,0,IF(SUM($G370:BS370)&gt;=$E370,(70%/$E370)*($E370-SUM($G370:BR370)),(70%/$E370)*BS370)))</f>
        <v>2.9726027397260272E-2</v>
      </c>
      <c r="BU201" s="395">
        <f ca="1">IF($E$370=0,0,IF(SUM($G201:BT201)=70%,0,IF(SUM($G370:BT370)&gt;=$E370,(70%/$E370)*($E370-SUM($G370:BS370)),(70%/$E370)*BT370)))</f>
        <v>2.9726027397260272E-2</v>
      </c>
      <c r="BV201" s="395">
        <f ca="1">IF($E$370=0,0,IF(SUM($G201:BU201)=70%,0,IF(SUM($G370:BU370)&gt;=$E370,(70%/$E370)*($E370-SUM($G370:BT370)),(70%/$E370)*BU370)))</f>
        <v>2.8767123287671233E-2</v>
      </c>
      <c r="BW201" s="395">
        <f ca="1">IF($E$370=0,0,IF(SUM($G201:BV201)=70%,0,IF(SUM($G370:BV370)&gt;=$E370,(70%/$E370)*($E370-SUM($G370:BU370)),(70%/$E370)*BV370)))</f>
        <v>2.9726027397260272E-2</v>
      </c>
      <c r="BX201" s="395">
        <f ca="1">IF($E$370=0,0,IF(SUM($G201:BW201)=70%,0,IF(SUM($G370:BW370)&gt;=$E370,(70%/$E370)*($E370-SUM($G370:BV370)),(70%/$E370)*BW370)))</f>
        <v>2.8767123287671233E-2</v>
      </c>
      <c r="BY201" s="395">
        <f ca="1">IF($E$370=0,0,IF(SUM($G201:BX201)=70%,0,IF(SUM($G370:BX370)&gt;=$E370,(70%/$E370)*($E370-SUM($G370:BW370)),(70%/$E370)*BX370)))</f>
        <v>2.9726027397260272E-2</v>
      </c>
      <c r="BZ201" s="395">
        <f ca="1">IF($E$370=0,0,IF(SUM($G201:BY201)=70%,0,IF(SUM($G370:BY370)&gt;=$E370,(70%/$E370)*($E370-SUM($G370:BX370)),(70%/$E370)*BY370)))</f>
        <v>2.3972602739726026E-2</v>
      </c>
      <c r="CA201" s="395">
        <f ca="1">IF($E$370=0,0,IF(SUM($G201:BZ201)=70%,0,IF(SUM($G370:BZ370)&gt;=$E370,(70%/$E370)*($E370-SUM($G370:BY370)),(70%/$E370)*BZ370)))</f>
        <v>0</v>
      </c>
      <c r="CB201" s="395">
        <f ca="1">IF($E$370=0,0,IF(SUM($G201:CA201)=70%,0,IF(SUM($G370:CA370)&gt;=$E370,(70%/$E370)*($E370-SUM($G370:BZ370)),(70%/$E370)*CA370)))</f>
        <v>0</v>
      </c>
      <c r="CC201" s="395">
        <f ca="1">IF($E$370=0,0,IF(SUM($G201:CB201)=70%,0,IF(SUM($G370:CB370)&gt;=$E370,(70%/$E370)*($E370-SUM($G370:CA370)),(70%/$E370)*CB370)))</f>
        <v>0</v>
      </c>
      <c r="CD201" s="395">
        <f ca="1">IF($E$370=0,0,IF(SUM($G201:CC201)=70%,0,IF(SUM($G370:CC370)&gt;=$E370,(70%/$E370)*($E370-SUM($G370:CB370)),(70%/$E370)*CC370)))</f>
        <v>0</v>
      </c>
      <c r="CE201" s="395">
        <f ca="1">IF($E$370=0,0,IF(SUM($G201:CD201)=70%,0,IF(SUM($G370:CD370)&gt;=$E370,(70%/$E370)*($E370-SUM($G370:CC370)),(70%/$E370)*CD370)))</f>
        <v>0</v>
      </c>
      <c r="CF201" s="395">
        <f ca="1">IF($E$370=0,0,IF(SUM($G201:CE201)=70%,0,IF(SUM($G370:CE370)&gt;=$E370,(70%/$E370)*($E370-SUM($G370:CD370)),(70%/$E370)*CE370)))</f>
        <v>0</v>
      </c>
      <c r="CG201" s="395">
        <f ca="1">IF($E$370=0,0,IF(SUM($G201:CF201)=70%,0,IF(SUM($G370:CF370)&gt;=$E370,(70%/$E370)*($E370-SUM($G370:CE370)),(70%/$E370)*CF370)))</f>
        <v>0</v>
      </c>
      <c r="CH201" s="395">
        <f ca="1">IF($E$370=0,0,IF(SUM($G201:CG201)=70%,0,IF(SUM($G370:CG370)&gt;=$E370,(70%/$E370)*($E370-SUM($G370:CF370)),(70%/$E370)*CG370)))</f>
        <v>0</v>
      </c>
      <c r="CI201" s="395">
        <f ca="1">IF($E$370=0,0,IF(SUM($G201:CH201)=70%,0,IF(SUM($G370:CH370)&gt;=$E370,(70%/$E370)*($E370-SUM($G370:CG370)),(70%/$E370)*CH370)))</f>
        <v>0</v>
      </c>
      <c r="CJ201" s="395">
        <f ca="1">IF($E$370=0,0,IF(SUM($G201:CI201)=70%,0,IF(SUM($G370:CI370)&gt;=$E370,(70%/$E370)*($E370-SUM($G370:CH370)),(70%/$E370)*CI370)))</f>
        <v>0</v>
      </c>
      <c r="CK201" s="395">
        <f ca="1">IF($E$370=0,0,IF(SUM($G201:CJ201)=70%,0,IF(SUM($G370:CJ370)&gt;=$E370,(70%/$E370)*($E370-SUM($G370:CI370)),(70%/$E370)*CJ370)))</f>
        <v>0</v>
      </c>
      <c r="CL201" s="395">
        <f ca="1">IF($E$370=0,0,IF(SUM($G201:CK201)=70%,0,IF(SUM($G370:CK370)&gt;=$E370,(70%/$E370)*($E370-SUM($G370:CJ370)),(70%/$E370)*CK370)))</f>
        <v>0</v>
      </c>
      <c r="CM201" s="395">
        <f ca="1">IF($E$370=0,0,IF(SUM($G201:CL201)=70%,0,IF(SUM($G370:CL370)&gt;=$E370,(70%/$E370)*($E370-SUM($G370:CK370)),(70%/$E370)*CL370)))</f>
        <v>0</v>
      </c>
      <c r="CN201" s="395">
        <f ca="1">IF($E$370=0,0,IF(SUM($G201:CM201)=70%,0,IF(SUM($G370:CM370)&gt;=$E370,(70%/$E370)*($E370-SUM($G370:CL370)),(70%/$E370)*CM370)))</f>
        <v>0</v>
      </c>
      <c r="CO201" s="395">
        <f ca="1">IF($E$370=0,0,IF(SUM($G201:CN201)=70%,0,IF(SUM($G370:CN370)&gt;=$E370,(70%/$E370)*($E370-SUM($G370:CM370)),(70%/$E370)*CN370)))</f>
        <v>0</v>
      </c>
      <c r="CP201" s="395">
        <f ca="1">IF($E$370=0,0,IF(SUM($G201:CO201)=70%,0,IF(SUM($G370:CO370)&gt;=$E370,(70%/$E370)*($E370-SUM($G370:CN370)),(70%/$E370)*CO370)))</f>
        <v>0</v>
      </c>
      <c r="CQ201" s="395">
        <f ca="1">IF($E$370=0,0,IF(SUM($G201:CP201)=70%,0,IF(SUM($G370:CP370)&gt;=$E370,(70%/$E370)*($E370-SUM($G370:CO370)),(70%/$E370)*CP370)))</f>
        <v>0</v>
      </c>
      <c r="CR201" s="395">
        <f ca="1">IF($E$370=0,0,IF(SUM($G201:CQ201)=70%,0,IF(SUM($G370:CQ370)&gt;=$E370,(70%/$E370)*($E370-SUM($G370:CP370)),(70%/$E370)*CQ370)))</f>
        <v>0</v>
      </c>
      <c r="CS201" s="395">
        <f ca="1">IF($E$370=0,0,IF(SUM($G201:CR201)=70%,0,IF(SUM($G370:CR370)&gt;=$E370,(70%/$E370)*($E370-SUM($G370:CQ370)),(70%/$E370)*CR370)))</f>
        <v>0</v>
      </c>
      <c r="CT201" s="395">
        <f ca="1">IF($E$370=0,0,IF(SUM($G201:CS201)=70%,0,IF(SUM($G370:CS370)&gt;=$E370,(70%/$E370)*($E370-SUM($G370:CR370)),(70%/$E370)*CS370)))</f>
        <v>0</v>
      </c>
      <c r="CU201" s="395">
        <f ca="1">IF($E$370=0,0,IF(SUM($G201:CT201)=70%,0,IF(SUM($G370:CT370)&gt;=$E370,(70%/$E370)*($E370-SUM($G370:CS370)),(70%/$E370)*CT370)))</f>
        <v>0</v>
      </c>
      <c r="CV201" s="395">
        <f ca="1">IF($E$370=0,0,IF(SUM($G201:CU201)=70%,0,IF(SUM($G370:CU370)&gt;=$E370,(70%/$E370)*($E370-SUM($G370:CT370)),(70%/$E370)*CU370)))</f>
        <v>0</v>
      </c>
      <c r="CW201" s="395">
        <f ca="1">IF($E$370=0,0,IF(SUM($G201:CV201)=70%,0,IF(SUM($G370:CV370)&gt;=$E370,(70%/$E370)*($E370-SUM($G370:CU370)),(70%/$E370)*CV370)))</f>
        <v>0</v>
      </c>
      <c r="CX201" s="395">
        <f ca="1">IF($E$370=0,0,IF(SUM($G201:CW201)=70%,0,IF(SUM($G370:CW370)&gt;=$E370,(70%/$E370)*($E370-SUM($G370:CV370)),(70%/$E370)*CW370)))</f>
        <v>0</v>
      </c>
      <c r="CY201" s="395">
        <f ca="1">IF($E$370=0,0,IF(SUM($G201:CX201)=70%,0,IF(SUM($G370:CX370)&gt;=$E370,(70%/$E370)*($E370-SUM($G370:CW370)),(70%/$E370)*CX370)))</f>
        <v>0</v>
      </c>
      <c r="CZ201" s="395">
        <f ca="1">IF($E$370=0,0,IF(SUM($G201:CY201)=70%,0,IF(SUM($G370:CY370)&gt;=$E370,(70%/$E370)*($E370-SUM($G370:CX370)),(70%/$E370)*CY370)))</f>
        <v>0</v>
      </c>
      <c r="DA201" s="395">
        <f ca="1">IF($E$370=0,0,IF(SUM($G201:CZ201)=70%,0,IF(SUM($G370:CZ370)&gt;=$E370,(70%/$E370)*($E370-SUM($G370:CY370)),(70%/$E370)*CZ370)))</f>
        <v>0</v>
      </c>
      <c r="DB201" s="395">
        <f ca="1">IF($E$370=0,0,IF(SUM($G201:DA201)=70%,0,IF(SUM($G370:DA370)&gt;=$E370,(70%/$E370)*($E370-SUM($G370:CZ370)),(70%/$E370)*DA370)))</f>
        <v>0</v>
      </c>
      <c r="DC201" s="395">
        <f ca="1">IF($E$370=0,0,IF(SUM($G201:DB201)=70%,0,IF(SUM($G370:DB370)&gt;=$E370,(70%/$E370)*($E370-SUM($G370:DA370)),(70%/$E370)*DB370)))</f>
        <v>0</v>
      </c>
      <c r="DD201" s="395">
        <f ca="1">IF($E$370=0,0,IF(SUM($G201:DC201)=70%,0,IF(SUM($G370:DC370)&gt;=$E370,(70%/$E370)*($E370-SUM($G370:DB370)),(70%/$E370)*DC370)))</f>
        <v>0</v>
      </c>
      <c r="DE201" s="395">
        <f ca="1">IF($E$370=0,0,IF(SUM($G201:DD201)=70%,0,IF(SUM($G370:DD370)&gt;=$E370,(70%/$E370)*($E370-SUM($G370:DC370)),(70%/$E370)*DD370)))</f>
        <v>0</v>
      </c>
      <c r="DF201" s="395">
        <f ca="1">IF($E$370=0,0,IF(SUM($G201:DE201)=70%,0,IF(SUM($G370:DE370)&gt;=$E370,(70%/$E370)*($E370-SUM($G370:DD370)),(70%/$E370)*DE370)))</f>
        <v>0</v>
      </c>
      <c r="DG201" s="395">
        <f ca="1">IF($E$370=0,0,IF(SUM($G201:DF201)=70%,0,IF(SUM($G370:DF370)&gt;=$E370,(70%/$E370)*($E370-SUM($G370:DE370)),(70%/$E370)*DF370)))</f>
        <v>0</v>
      </c>
      <c r="DH201" s="395">
        <f ca="1">IF($E$370=0,0,IF(SUM($G201:DG201)=70%,0,IF(SUM($G370:DG370)&gt;=$E370,(70%/$E370)*($E370-SUM($G370:DF370)),(70%/$E370)*DG370)))</f>
        <v>0</v>
      </c>
      <c r="DI201" s="395">
        <f ca="1">IF($E$370=0,0,IF(SUM($G201:DH201)=70%,0,IF(SUM($G370:DH370)&gt;=$E370,(70%/$E370)*($E370-SUM($G370:DG370)),(70%/$E370)*DH370)))</f>
        <v>0</v>
      </c>
      <c r="DJ201" s="395">
        <f ca="1">IF($E$370=0,0,IF(SUM($G201:DI201)=70%,0,IF(SUM($G370:DI370)&gt;=$E370,(70%/$E370)*($E370-SUM($G370:DH370)),(70%/$E370)*DI370)))</f>
        <v>0</v>
      </c>
      <c r="DK201" s="395">
        <f ca="1">IF($E$370=0,0,IF(SUM($G201:DJ201)=70%,0,IF(SUM($G370:DJ370)&gt;=$E370,(70%/$E370)*($E370-SUM($G370:DI370)),(70%/$E370)*DJ370)))</f>
        <v>0</v>
      </c>
      <c r="DL201" s="395">
        <f ca="1">IF($E$370=0,0,IF(SUM($G201:DK201)=70%,0,IF(SUM($G370:DK370)&gt;=$E370,(70%/$E370)*($E370-SUM($G370:DJ370)),(70%/$E370)*DK370)))</f>
        <v>0</v>
      </c>
      <c r="DM201" s="395">
        <f ca="1">IF($E$370=0,0,IF(SUM($G201:DL201)=70%,0,IF(SUM($G370:DL370)&gt;=$E370,(70%/$E370)*($E370-SUM($G370:DK370)),(70%/$E370)*DL370)))</f>
        <v>0</v>
      </c>
      <c r="DN201" s="395">
        <f ca="1">IF($E$370=0,0,IF(SUM($G201:DM201)=70%,0,IF(SUM($G370:DM370)&gt;=$E370,(70%/$E370)*($E370-SUM($G370:DL370)),(70%/$E370)*DM370)))</f>
        <v>0</v>
      </c>
      <c r="DO201" s="395">
        <f ca="1">IF($E$370=0,0,IF(SUM($G201:DN201)=70%,0,IF(SUM($G370:DN370)&gt;=$E370,(70%/$E370)*($E370-SUM($G370:DM370)),(70%/$E370)*DN370)))</f>
        <v>0</v>
      </c>
      <c r="DP201" s="395">
        <f ca="1">IF($E$370=0,0,IF(SUM($G201:DO201)=70%,0,IF(SUM($G370:DO370)&gt;=$E370,(70%/$E370)*($E370-SUM($G370:DN370)),(70%/$E370)*DO370)))</f>
        <v>0</v>
      </c>
      <c r="DQ201" s="395">
        <f ca="1">IF($E$370=0,0,IF(SUM($G201:DP201)=70%,0,IF(SUM($G370:DP370)&gt;=$E370,(70%/$E370)*($E370-SUM($G370:DO370)),(70%/$E370)*DP370)))</f>
        <v>0</v>
      </c>
      <c r="DR201" s="395">
        <f ca="1">IF($E$370=0,0,IF(SUM($G201:DQ201)=70%,0,IF(SUM($G370:DQ370)&gt;=$E370,(70%/$E370)*($E370-SUM($G370:DP370)),(70%/$E370)*DQ370)))</f>
        <v>0</v>
      </c>
      <c r="DS201" s="395">
        <f ca="1">IF($E$370=0,0,IF(SUM($G201:DR201)=70%,0,IF(SUM($G370:DR370)&gt;=$E370,(70%/$E370)*($E370-SUM($G370:DQ370)),(70%/$E370)*DR370)))</f>
        <v>0</v>
      </c>
      <c r="DT201" s="395">
        <f ca="1">IF($E$370=0,0,IF(SUM($G201:DS201)=70%,0,IF(SUM($G370:DS370)&gt;=$E370,(70%/$E370)*($E370-SUM($G370:DR370)),(70%/$E370)*DS370)))</f>
        <v>0</v>
      </c>
      <c r="DU201" s="395">
        <f ca="1">IF($E$370=0,0,IF(SUM($G201:DT201)=70%,0,IF(SUM($G370:DT370)&gt;=$E370,(70%/$E370)*($E370-SUM($G370:DS370)),(70%/$E370)*DT370)))</f>
        <v>0</v>
      </c>
      <c r="DV201" s="395">
        <f ca="1">IF($E$370=0,0,IF(SUM($G201:DU201)=70%,0,IF(SUM($G370:DU370)&gt;=$E370,(70%/$E370)*($E370-SUM($G370:DT370)),(70%/$E370)*DU370)))</f>
        <v>0</v>
      </c>
      <c r="DW201" s="395">
        <f ca="1">IF($E$370=0,0,IF(SUM($G201:DV201)=70%,0,IF(SUM($G370:DV370)&gt;=$E370,(70%/$E370)*($E370-SUM($G370:DU370)),(70%/$E370)*DV370)))</f>
        <v>0</v>
      </c>
      <c r="DX201" s="395">
        <f ca="1">IF($E$370=0,0,IF(SUM($G201:DW201)=70%,0,IF(SUM($G370:DW370)&gt;=$E370,(70%/$E370)*($E370-SUM($G370:DV370)),(70%/$E370)*DW370)))</f>
        <v>0</v>
      </c>
      <c r="DY201" s="395">
        <f ca="1">IF($E$370=0,0,IF(SUM($G201:DX201)=70%,0,IF(SUM($G370:DX370)&gt;=$E370,(70%/$E370)*($E370-SUM($G370:DW370)),(70%/$E370)*DX370)))</f>
        <v>0</v>
      </c>
      <c r="DZ201" s="395">
        <f ca="1">IF($E$370=0,0,IF(SUM($G201:DY201)=70%,0,IF(SUM($G370:DY370)&gt;=$E370,(70%/$E370)*($E370-SUM($G370:DX370)),(70%/$E370)*DY370)))</f>
        <v>0</v>
      </c>
      <c r="EA201" s="395">
        <f ca="1">IF($E$370=0,0,IF(SUM($G201:DZ201)=70%,0,IF(SUM($G370:DZ370)&gt;=$E370,(70%/$E370)*($E370-SUM($G370:DY370)),(70%/$E370)*DZ370)))</f>
        <v>0</v>
      </c>
      <c r="EB201" s="395">
        <f ca="1">IF($E$370=0,0,IF(SUM($G201:EA201)=70%,0,IF(SUM($G370:EA370)&gt;=$E370,(70%/$E370)*($E370-SUM($G370:DZ370)),(70%/$E370)*EA370)))</f>
        <v>0</v>
      </c>
      <c r="EC201" s="395">
        <f ca="1">IF($E$370=0,0,IF(SUM($G201:EB201)=70%,0,IF(SUM($G370:EB370)&gt;=$E370,(70%/$E370)*($E370-SUM($G370:EA370)),(70%/$E370)*EB370)))</f>
        <v>0</v>
      </c>
      <c r="ED201" s="395">
        <f ca="1">IF($E$370=0,0,IF(SUM($G201:EC201)=70%,0,IF(SUM($G370:EC370)&gt;=$E370,(70%/$E370)*($E370-SUM($G370:EB370)),(70%/$E370)*EC370)))</f>
        <v>0</v>
      </c>
      <c r="EE201" s="395">
        <f ca="1">IF($E$370=0,0,IF(SUM($G201:ED201)=70%,0,IF(SUM($G370:ED370)&gt;=$E370,(70%/$E370)*($E370-SUM($G370:EC370)),(70%/$E370)*ED370)))</f>
        <v>0</v>
      </c>
      <c r="EF201" s="395">
        <f ca="1">IF($E$370=0,0,IF(SUM($G201:EE201)=70%,0,IF(SUM($G370:EE370)&gt;=$E370,(70%/$E370)*($E370-SUM($G370:ED370)),(70%/$E370)*EE370)))</f>
        <v>0</v>
      </c>
      <c r="EG201" s="395">
        <f ca="1">IF($E$370=0,0,IF(SUM($G201:EF201)=70%,0,IF(SUM($G370:EF370)&gt;=$E370,(70%/$E370)*($E370-SUM($G370:EE370)),(70%/$E370)*EF370)))</f>
        <v>0</v>
      </c>
      <c r="EH201" s="395">
        <f ca="1">IF($E$370=0,0,IF(SUM($G201:EG201)=70%,0,IF(SUM($G370:EG370)&gt;=$E370,(70%/$E370)*($E370-SUM($G370:EF370)),(70%/$E370)*EG370)))</f>
        <v>0</v>
      </c>
      <c r="EI201" s="395">
        <f ca="1">IF($E$370=0,0,IF(SUM($G201:EH201)=70%,0,IF(SUM($G370:EH370)&gt;=$E370,(70%/$E370)*($E370-SUM($G370:EG370)),(70%/$E370)*EH370)))</f>
        <v>0</v>
      </c>
      <c r="EJ201" s="398"/>
      <c r="EK201" s="313"/>
    </row>
    <row r="202" spans="1:141" hidden="1" outlineLevel="1" collapsed="1">
      <c r="A202" s="332"/>
      <c r="B202" s="313"/>
      <c r="C202" s="392" t="s">
        <v>281</v>
      </c>
      <c r="D202" s="392" t="str">
        <f>D380</f>
        <v>Социальная инфраструктура - школа с басс</v>
      </c>
      <c r="E202" s="393">
        <f ca="1">ROUND(IF(F202=0,0,100%-F202),0)</f>
        <v>0</v>
      </c>
      <c r="F202" s="394">
        <f t="shared" ca="1" si="283"/>
        <v>0</v>
      </c>
      <c r="G202" s="395">
        <f>SUM(G203:G204)</f>
        <v>0</v>
      </c>
      <c r="H202" s="395">
        <f ca="1">SUM(H203:H204)</f>
        <v>0</v>
      </c>
      <c r="I202" s="395">
        <f t="shared" ref="I202:BT202" ca="1" si="420">SUM(I203:I204)</f>
        <v>0</v>
      </c>
      <c r="J202" s="395">
        <f t="shared" ca="1" si="420"/>
        <v>0</v>
      </c>
      <c r="K202" s="395">
        <f t="shared" ca="1" si="420"/>
        <v>0</v>
      </c>
      <c r="L202" s="395">
        <f t="shared" ca="1" si="420"/>
        <v>0</v>
      </c>
      <c r="M202" s="395">
        <f t="shared" ca="1" si="420"/>
        <v>0</v>
      </c>
      <c r="N202" s="395">
        <f t="shared" ca="1" si="420"/>
        <v>0</v>
      </c>
      <c r="O202" s="395">
        <f t="shared" ca="1" si="420"/>
        <v>0</v>
      </c>
      <c r="P202" s="395">
        <f t="shared" ca="1" si="420"/>
        <v>0</v>
      </c>
      <c r="Q202" s="395">
        <f t="shared" ca="1" si="420"/>
        <v>0</v>
      </c>
      <c r="R202" s="395">
        <f t="shared" ca="1" si="420"/>
        <v>0</v>
      </c>
      <c r="S202" s="395">
        <f t="shared" ca="1" si="420"/>
        <v>0</v>
      </c>
      <c r="T202" s="395">
        <f t="shared" ca="1" si="420"/>
        <v>0</v>
      </c>
      <c r="U202" s="395">
        <f t="shared" ca="1" si="420"/>
        <v>0</v>
      </c>
      <c r="V202" s="395">
        <f t="shared" ca="1" si="420"/>
        <v>0</v>
      </c>
      <c r="W202" s="395">
        <f t="shared" ca="1" si="420"/>
        <v>0</v>
      </c>
      <c r="X202" s="395">
        <f t="shared" ca="1" si="420"/>
        <v>0</v>
      </c>
      <c r="Y202" s="395">
        <f t="shared" ca="1" si="420"/>
        <v>0</v>
      </c>
      <c r="Z202" s="395">
        <f t="shared" ca="1" si="420"/>
        <v>0</v>
      </c>
      <c r="AA202" s="395">
        <f t="shared" ca="1" si="420"/>
        <v>0</v>
      </c>
      <c r="AB202" s="395">
        <f t="shared" ca="1" si="420"/>
        <v>0</v>
      </c>
      <c r="AC202" s="395">
        <f t="shared" ca="1" si="420"/>
        <v>0</v>
      </c>
      <c r="AD202" s="395">
        <f t="shared" ca="1" si="420"/>
        <v>0</v>
      </c>
      <c r="AE202" s="395">
        <f t="shared" ca="1" si="420"/>
        <v>0</v>
      </c>
      <c r="AF202" s="395">
        <f t="shared" ca="1" si="420"/>
        <v>0</v>
      </c>
      <c r="AG202" s="395">
        <f t="shared" ca="1" si="420"/>
        <v>0</v>
      </c>
      <c r="AH202" s="395">
        <f t="shared" ca="1" si="420"/>
        <v>0</v>
      </c>
      <c r="AI202" s="395">
        <f t="shared" ca="1" si="420"/>
        <v>0</v>
      </c>
      <c r="AJ202" s="395">
        <f t="shared" ca="1" si="420"/>
        <v>0</v>
      </c>
      <c r="AK202" s="395">
        <f t="shared" ca="1" si="420"/>
        <v>0</v>
      </c>
      <c r="AL202" s="395">
        <f t="shared" ca="1" si="420"/>
        <v>0</v>
      </c>
      <c r="AM202" s="395">
        <f t="shared" ca="1" si="420"/>
        <v>0</v>
      </c>
      <c r="AN202" s="395">
        <f t="shared" ca="1" si="420"/>
        <v>0</v>
      </c>
      <c r="AO202" s="395">
        <f t="shared" ca="1" si="420"/>
        <v>0</v>
      </c>
      <c r="AP202" s="395">
        <f t="shared" ca="1" si="420"/>
        <v>0</v>
      </c>
      <c r="AQ202" s="395">
        <f t="shared" ca="1" si="420"/>
        <v>0</v>
      </c>
      <c r="AR202" s="395">
        <f t="shared" ca="1" si="420"/>
        <v>0</v>
      </c>
      <c r="AS202" s="395">
        <f t="shared" ca="1" si="420"/>
        <v>0</v>
      </c>
      <c r="AT202" s="395">
        <f t="shared" ca="1" si="420"/>
        <v>0</v>
      </c>
      <c r="AU202" s="395">
        <f t="shared" ca="1" si="420"/>
        <v>0</v>
      </c>
      <c r="AV202" s="395">
        <f t="shared" ca="1" si="420"/>
        <v>0</v>
      </c>
      <c r="AW202" s="395">
        <f t="shared" ca="1" si="420"/>
        <v>0</v>
      </c>
      <c r="AX202" s="395">
        <f t="shared" ca="1" si="420"/>
        <v>0</v>
      </c>
      <c r="AY202" s="395">
        <f t="shared" ca="1" si="420"/>
        <v>0</v>
      </c>
      <c r="AZ202" s="395">
        <f t="shared" ca="1" si="420"/>
        <v>0</v>
      </c>
      <c r="BA202" s="395">
        <f t="shared" ca="1" si="420"/>
        <v>0</v>
      </c>
      <c r="BB202" s="395">
        <f t="shared" ca="1" si="420"/>
        <v>0</v>
      </c>
      <c r="BC202" s="395">
        <f t="shared" ca="1" si="420"/>
        <v>0</v>
      </c>
      <c r="BD202" s="395">
        <f t="shared" ca="1" si="420"/>
        <v>0</v>
      </c>
      <c r="BE202" s="395">
        <f t="shared" ca="1" si="420"/>
        <v>0</v>
      </c>
      <c r="BF202" s="395">
        <f t="shared" ca="1" si="420"/>
        <v>0</v>
      </c>
      <c r="BG202" s="395">
        <f t="shared" ca="1" si="420"/>
        <v>0</v>
      </c>
      <c r="BH202" s="395">
        <f t="shared" ca="1" si="420"/>
        <v>0</v>
      </c>
      <c r="BI202" s="395">
        <f t="shared" ca="1" si="420"/>
        <v>0</v>
      </c>
      <c r="BJ202" s="395">
        <f t="shared" ca="1" si="420"/>
        <v>0</v>
      </c>
      <c r="BK202" s="395">
        <f t="shared" ca="1" si="420"/>
        <v>0</v>
      </c>
      <c r="BL202" s="395">
        <f t="shared" ca="1" si="420"/>
        <v>0</v>
      </c>
      <c r="BM202" s="395">
        <f t="shared" ca="1" si="420"/>
        <v>0</v>
      </c>
      <c r="BN202" s="395">
        <f t="shared" ca="1" si="420"/>
        <v>0</v>
      </c>
      <c r="BO202" s="395">
        <f t="shared" ca="1" si="420"/>
        <v>0</v>
      </c>
      <c r="BP202" s="395">
        <f t="shared" ca="1" si="420"/>
        <v>0</v>
      </c>
      <c r="BQ202" s="395">
        <f t="shared" ca="1" si="420"/>
        <v>0</v>
      </c>
      <c r="BR202" s="395">
        <f t="shared" ca="1" si="420"/>
        <v>0</v>
      </c>
      <c r="BS202" s="395">
        <f t="shared" ca="1" si="420"/>
        <v>0</v>
      </c>
      <c r="BT202" s="395">
        <f t="shared" ca="1" si="420"/>
        <v>0</v>
      </c>
      <c r="BU202" s="395">
        <f t="shared" ref="BU202:EF202" ca="1" si="421">SUM(BU203:BU204)</f>
        <v>0</v>
      </c>
      <c r="BV202" s="395">
        <f t="shared" ca="1" si="421"/>
        <v>0</v>
      </c>
      <c r="BW202" s="395">
        <f t="shared" ca="1" si="421"/>
        <v>0</v>
      </c>
      <c r="BX202" s="395">
        <f t="shared" ca="1" si="421"/>
        <v>0</v>
      </c>
      <c r="BY202" s="395">
        <f t="shared" ca="1" si="421"/>
        <v>0</v>
      </c>
      <c r="BZ202" s="395">
        <f t="shared" ca="1" si="421"/>
        <v>0</v>
      </c>
      <c r="CA202" s="395">
        <f t="shared" ca="1" si="421"/>
        <v>0</v>
      </c>
      <c r="CB202" s="395">
        <f t="shared" ca="1" si="421"/>
        <v>0</v>
      </c>
      <c r="CC202" s="395">
        <f t="shared" ca="1" si="421"/>
        <v>0</v>
      </c>
      <c r="CD202" s="395">
        <f t="shared" ca="1" si="421"/>
        <v>0</v>
      </c>
      <c r="CE202" s="395">
        <f t="shared" ca="1" si="421"/>
        <v>0</v>
      </c>
      <c r="CF202" s="395">
        <f t="shared" ca="1" si="421"/>
        <v>0</v>
      </c>
      <c r="CG202" s="395">
        <f t="shared" ca="1" si="421"/>
        <v>0</v>
      </c>
      <c r="CH202" s="395">
        <f t="shared" ca="1" si="421"/>
        <v>0</v>
      </c>
      <c r="CI202" s="395">
        <f t="shared" ca="1" si="421"/>
        <v>0</v>
      </c>
      <c r="CJ202" s="395">
        <f t="shared" ca="1" si="421"/>
        <v>0</v>
      </c>
      <c r="CK202" s="395">
        <f t="shared" ca="1" si="421"/>
        <v>0</v>
      </c>
      <c r="CL202" s="395">
        <f t="shared" ca="1" si="421"/>
        <v>0</v>
      </c>
      <c r="CM202" s="395">
        <f t="shared" ca="1" si="421"/>
        <v>0</v>
      </c>
      <c r="CN202" s="395">
        <f t="shared" ca="1" si="421"/>
        <v>0</v>
      </c>
      <c r="CO202" s="395">
        <f t="shared" ca="1" si="421"/>
        <v>0</v>
      </c>
      <c r="CP202" s="395">
        <f t="shared" ca="1" si="421"/>
        <v>0</v>
      </c>
      <c r="CQ202" s="395">
        <f t="shared" ca="1" si="421"/>
        <v>0</v>
      </c>
      <c r="CR202" s="395">
        <f t="shared" ca="1" si="421"/>
        <v>0</v>
      </c>
      <c r="CS202" s="395">
        <f t="shared" ca="1" si="421"/>
        <v>0</v>
      </c>
      <c r="CT202" s="395">
        <f t="shared" ca="1" si="421"/>
        <v>0</v>
      </c>
      <c r="CU202" s="395">
        <f t="shared" ca="1" si="421"/>
        <v>0</v>
      </c>
      <c r="CV202" s="395">
        <f t="shared" ca="1" si="421"/>
        <v>0</v>
      </c>
      <c r="CW202" s="395">
        <f t="shared" ca="1" si="421"/>
        <v>0</v>
      </c>
      <c r="CX202" s="395">
        <f t="shared" ca="1" si="421"/>
        <v>0</v>
      </c>
      <c r="CY202" s="395">
        <f t="shared" ca="1" si="421"/>
        <v>0</v>
      </c>
      <c r="CZ202" s="395">
        <f t="shared" ca="1" si="421"/>
        <v>0</v>
      </c>
      <c r="DA202" s="395">
        <f t="shared" ca="1" si="421"/>
        <v>0</v>
      </c>
      <c r="DB202" s="395">
        <f t="shared" ca="1" si="421"/>
        <v>0</v>
      </c>
      <c r="DC202" s="395">
        <f t="shared" ca="1" si="421"/>
        <v>0</v>
      </c>
      <c r="DD202" s="395">
        <f t="shared" ca="1" si="421"/>
        <v>0</v>
      </c>
      <c r="DE202" s="395">
        <f t="shared" ca="1" si="421"/>
        <v>0</v>
      </c>
      <c r="DF202" s="395">
        <f t="shared" ca="1" si="421"/>
        <v>0</v>
      </c>
      <c r="DG202" s="395">
        <f t="shared" ca="1" si="421"/>
        <v>0</v>
      </c>
      <c r="DH202" s="395">
        <f t="shared" ca="1" si="421"/>
        <v>0</v>
      </c>
      <c r="DI202" s="395">
        <f t="shared" ca="1" si="421"/>
        <v>0</v>
      </c>
      <c r="DJ202" s="395">
        <f t="shared" ca="1" si="421"/>
        <v>0</v>
      </c>
      <c r="DK202" s="395">
        <f t="shared" ca="1" si="421"/>
        <v>0</v>
      </c>
      <c r="DL202" s="395">
        <f t="shared" ca="1" si="421"/>
        <v>0</v>
      </c>
      <c r="DM202" s="395">
        <f t="shared" ca="1" si="421"/>
        <v>0</v>
      </c>
      <c r="DN202" s="395">
        <f t="shared" ca="1" si="421"/>
        <v>0</v>
      </c>
      <c r="DO202" s="395">
        <f t="shared" ca="1" si="421"/>
        <v>0</v>
      </c>
      <c r="DP202" s="395">
        <f t="shared" ca="1" si="421"/>
        <v>0</v>
      </c>
      <c r="DQ202" s="395">
        <f t="shared" ca="1" si="421"/>
        <v>0</v>
      </c>
      <c r="DR202" s="395">
        <f t="shared" ca="1" si="421"/>
        <v>0</v>
      </c>
      <c r="DS202" s="395">
        <f t="shared" ca="1" si="421"/>
        <v>0</v>
      </c>
      <c r="DT202" s="395">
        <f t="shared" ca="1" si="421"/>
        <v>0</v>
      </c>
      <c r="DU202" s="395">
        <f t="shared" ca="1" si="421"/>
        <v>0</v>
      </c>
      <c r="DV202" s="395">
        <f t="shared" ca="1" si="421"/>
        <v>0</v>
      </c>
      <c r="DW202" s="395">
        <f t="shared" ca="1" si="421"/>
        <v>0</v>
      </c>
      <c r="DX202" s="395">
        <f t="shared" ca="1" si="421"/>
        <v>0</v>
      </c>
      <c r="DY202" s="395">
        <f t="shared" ca="1" si="421"/>
        <v>0</v>
      </c>
      <c r="DZ202" s="395">
        <f t="shared" ca="1" si="421"/>
        <v>0</v>
      </c>
      <c r="EA202" s="395">
        <f t="shared" ca="1" si="421"/>
        <v>0</v>
      </c>
      <c r="EB202" s="395">
        <f t="shared" ca="1" si="421"/>
        <v>0</v>
      </c>
      <c r="EC202" s="395">
        <f t="shared" ca="1" si="421"/>
        <v>0</v>
      </c>
      <c r="ED202" s="395">
        <f t="shared" ca="1" si="421"/>
        <v>0</v>
      </c>
      <c r="EE202" s="395">
        <f t="shared" ca="1" si="421"/>
        <v>0</v>
      </c>
      <c r="EF202" s="395">
        <f t="shared" ca="1" si="421"/>
        <v>0</v>
      </c>
      <c r="EG202" s="395">
        <f t="shared" ref="EG202:EI202" ca="1" si="422">SUM(EG203:EG204)</f>
        <v>0</v>
      </c>
      <c r="EH202" s="395">
        <f t="shared" ca="1" si="422"/>
        <v>0</v>
      </c>
      <c r="EI202" s="395">
        <f t="shared" ca="1" si="422"/>
        <v>0</v>
      </c>
      <c r="EJ202" s="398"/>
      <c r="EK202" s="313"/>
    </row>
    <row r="203" spans="1:141" hidden="1" outlineLevel="2">
      <c r="A203" s="332"/>
      <c r="B203" s="313"/>
      <c r="C203" s="317"/>
      <c r="D203" s="317" t="s">
        <v>664</v>
      </c>
      <c r="E203" s="318">
        <f ca="1">IF(F203=0,0,30%-F203)</f>
        <v>0</v>
      </c>
      <c r="F203" s="397">
        <f t="shared" ca="1" si="283"/>
        <v>0</v>
      </c>
      <c r="G203" s="395"/>
      <c r="H203" s="395">
        <f ca="1">IF(SUM($G203:G203)=30%,0,IF(J204&gt;0%,30%,0%))</f>
        <v>0</v>
      </c>
      <c r="I203" s="395">
        <f ca="1">IF(SUM($G203:H203)=30%,0,IF(K204&gt;0%,30%,0%))</f>
        <v>0</v>
      </c>
      <c r="J203" s="395">
        <f ca="1">IF(SUM($G203:I203)=30%,0,IF(L204&gt;0%,30%,0%))</f>
        <v>0</v>
      </c>
      <c r="K203" s="395">
        <f ca="1">IF(SUM($G203:J203)=30%,0,IF(M204&gt;0%,30%,0%))</f>
        <v>0</v>
      </c>
      <c r="L203" s="395">
        <f ca="1">IF(SUM($G203:K203)=30%,0,IF(N204&gt;0%,30%,0%))</f>
        <v>0</v>
      </c>
      <c r="M203" s="395">
        <f ca="1">IF(SUM($G203:L203)=30%,0,IF(O204&gt;0%,30%,0%))</f>
        <v>0</v>
      </c>
      <c r="N203" s="395">
        <f ca="1">IF(SUM($G203:M203)=30%,0,IF(P204&gt;0%,30%,0%))</f>
        <v>0</v>
      </c>
      <c r="O203" s="395">
        <f ca="1">IF(SUM($G203:N203)=30%,0,IF(Q204&gt;0%,30%,0%))</f>
        <v>0</v>
      </c>
      <c r="P203" s="395">
        <f ca="1">IF(SUM($G203:O203)=30%,0,IF(R204&gt;0%,30%,0%))</f>
        <v>0</v>
      </c>
      <c r="Q203" s="395">
        <f ca="1">IF(SUM($G203:P203)=30%,0,IF(S204&gt;0%,30%,0%))</f>
        <v>0</v>
      </c>
      <c r="R203" s="395">
        <f ca="1">IF(SUM($G203:Q203)=30%,0,IF(T204&gt;0%,30%,0%))</f>
        <v>0</v>
      </c>
      <c r="S203" s="395">
        <f ca="1">IF(SUM($G203:R203)=30%,0,IF(U204&gt;0%,30%,0%))</f>
        <v>0</v>
      </c>
      <c r="T203" s="395">
        <f ca="1">IF(SUM($G203:S203)=30%,0,IF(V204&gt;0%,30%,0%))</f>
        <v>0</v>
      </c>
      <c r="U203" s="395">
        <f ca="1">IF(SUM($G203:T203)=30%,0,IF(W204&gt;0%,30%,0%))</f>
        <v>0</v>
      </c>
      <c r="V203" s="395">
        <f ca="1">IF(SUM($G203:U203)=30%,0,IF(X204&gt;0%,30%,0%))</f>
        <v>0</v>
      </c>
      <c r="W203" s="395">
        <f ca="1">IF(SUM($G203:V203)=30%,0,IF(Y204&gt;0%,30%,0%))</f>
        <v>0</v>
      </c>
      <c r="X203" s="395">
        <f ca="1">IF(SUM($G203:W203)=30%,0,IF(Z204&gt;0%,30%,0%))</f>
        <v>0</v>
      </c>
      <c r="Y203" s="395">
        <f ca="1">IF(SUM($G203:X203)=30%,0,IF(AA204&gt;0%,30%,0%))</f>
        <v>0</v>
      </c>
      <c r="Z203" s="395">
        <f ca="1">IF(SUM($G203:Y203)=30%,0,IF(AB204&gt;0%,30%,0%))</f>
        <v>0</v>
      </c>
      <c r="AA203" s="395">
        <f ca="1">IF(SUM($G203:Z203)=30%,0,IF(AC204&gt;0%,30%,0%))</f>
        <v>0</v>
      </c>
      <c r="AB203" s="395">
        <f ca="1">IF(SUM($G203:AA203)=30%,0,IF(AD204&gt;0%,30%,0%))</f>
        <v>0</v>
      </c>
      <c r="AC203" s="395">
        <f ca="1">IF(SUM($G203:AB203)=30%,0,IF(AE204&gt;0%,30%,0%))</f>
        <v>0</v>
      </c>
      <c r="AD203" s="395">
        <f ca="1">IF(SUM($G203:AC203)=30%,0,IF(AF204&gt;0%,30%,0%))</f>
        <v>0</v>
      </c>
      <c r="AE203" s="395">
        <f ca="1">IF(SUM($G203:AD203)=30%,0,IF(AG204&gt;0%,30%,0%))</f>
        <v>0</v>
      </c>
      <c r="AF203" s="395">
        <f ca="1">IF(SUM($G203:AE203)=30%,0,IF(AH204&gt;0%,30%,0%))</f>
        <v>0</v>
      </c>
      <c r="AG203" s="395">
        <f ca="1">IF(SUM($G203:AF203)=30%,0,IF(AI204&gt;0%,30%,0%))</f>
        <v>0</v>
      </c>
      <c r="AH203" s="395">
        <f ca="1">IF(SUM($G203:AG203)=30%,0,IF(AJ204&gt;0%,30%,0%))</f>
        <v>0</v>
      </c>
      <c r="AI203" s="395">
        <f ca="1">IF(SUM($G203:AH203)=30%,0,IF(AK204&gt;0%,30%,0%))</f>
        <v>0</v>
      </c>
      <c r="AJ203" s="395">
        <f ca="1">IF(SUM($G203:AI203)=30%,0,IF(AL204&gt;0%,30%,0%))</f>
        <v>0</v>
      </c>
      <c r="AK203" s="395">
        <f ca="1">IF(SUM($G203:AJ203)=30%,0,IF(AM204&gt;0%,30%,0%))</f>
        <v>0</v>
      </c>
      <c r="AL203" s="395">
        <f ca="1">IF(SUM($G203:AK203)=30%,0,IF(AN204&gt;0%,30%,0%))</f>
        <v>0</v>
      </c>
      <c r="AM203" s="395">
        <f ca="1">IF(SUM($G203:AL203)=30%,0,IF(AO204&gt;0%,30%,0%))</f>
        <v>0</v>
      </c>
      <c r="AN203" s="395">
        <f ca="1">IF(SUM($G203:AM203)=30%,0,IF(AP204&gt;0%,30%,0%))</f>
        <v>0</v>
      </c>
      <c r="AO203" s="395">
        <f ca="1">IF(SUM($G203:AN203)=30%,0,IF(AQ204&gt;0%,30%,0%))</f>
        <v>0</v>
      </c>
      <c r="AP203" s="395">
        <f ca="1">IF(SUM($G203:AO203)=30%,0,IF(AR204&gt;0%,30%,0%))</f>
        <v>0</v>
      </c>
      <c r="AQ203" s="395">
        <f ca="1">IF(SUM($G203:AP203)=30%,0,IF(AS204&gt;0%,30%,0%))</f>
        <v>0</v>
      </c>
      <c r="AR203" s="395">
        <f ca="1">IF(SUM($G203:AQ203)=30%,0,IF(AT204&gt;0%,30%,0%))</f>
        <v>0</v>
      </c>
      <c r="AS203" s="395">
        <f ca="1">IF(SUM($G203:AR203)=30%,0,IF(AU204&gt;0%,30%,0%))</f>
        <v>0</v>
      </c>
      <c r="AT203" s="395">
        <f ca="1">IF(SUM($G203:AS203)=30%,0,IF(AV204&gt;0%,30%,0%))</f>
        <v>0</v>
      </c>
      <c r="AU203" s="395">
        <f ca="1">IF(SUM($G203:AT203)=30%,0,IF(AW204&gt;0%,30%,0%))</f>
        <v>0</v>
      </c>
      <c r="AV203" s="395">
        <f ca="1">IF(SUM($G203:AU203)=30%,0,IF(AX204&gt;0%,30%,0%))</f>
        <v>0</v>
      </c>
      <c r="AW203" s="395">
        <f ca="1">IF(SUM($G203:AV203)=30%,0,IF(AY204&gt;0%,30%,0%))</f>
        <v>0</v>
      </c>
      <c r="AX203" s="395">
        <f ca="1">IF(SUM($G203:AW203)=30%,0,IF(AZ204&gt;0%,30%,0%))</f>
        <v>0</v>
      </c>
      <c r="AY203" s="395">
        <f ca="1">IF(SUM($G203:AX203)=30%,0,IF(BA204&gt;0%,30%,0%))</f>
        <v>0</v>
      </c>
      <c r="AZ203" s="395">
        <f ca="1">IF(SUM($G203:AY203)=30%,0,IF(BB204&gt;0%,30%,0%))</f>
        <v>0</v>
      </c>
      <c r="BA203" s="395">
        <f ca="1">IF(SUM($G203:AZ203)=30%,0,IF(BC204&gt;0%,30%,0%))</f>
        <v>0</v>
      </c>
      <c r="BB203" s="395">
        <f ca="1">IF(SUM($G203:BA203)=30%,0,IF(BD204&gt;0%,30%,0%))</f>
        <v>0</v>
      </c>
      <c r="BC203" s="395">
        <f ca="1">IF(SUM($G203:BB203)=30%,0,IF(BE204&gt;0%,30%,0%))</f>
        <v>0</v>
      </c>
      <c r="BD203" s="395">
        <f ca="1">IF(SUM($G203:BC203)=30%,0,IF(BF204&gt;0%,30%,0%))</f>
        <v>0</v>
      </c>
      <c r="BE203" s="395">
        <f ca="1">IF(SUM($G203:BD203)=30%,0,IF(BG204&gt;0%,30%,0%))</f>
        <v>0</v>
      </c>
      <c r="BF203" s="395">
        <f ca="1">IF(SUM($G203:BE203)=30%,0,IF(BH204&gt;0%,30%,0%))</f>
        <v>0</v>
      </c>
      <c r="BG203" s="395">
        <f ca="1">IF(SUM($G203:BF203)=30%,0,IF(BI204&gt;0%,30%,0%))</f>
        <v>0</v>
      </c>
      <c r="BH203" s="395">
        <f ca="1">IF(SUM($G203:BG203)=30%,0,IF(BJ204&gt;0%,30%,0%))</f>
        <v>0</v>
      </c>
      <c r="BI203" s="395">
        <f ca="1">IF(SUM($G203:BH203)=30%,0,IF(BK204&gt;0%,30%,0%))</f>
        <v>0</v>
      </c>
      <c r="BJ203" s="395">
        <f ca="1">IF(SUM($G203:BI203)=30%,0,IF(BL204&gt;0%,30%,0%))</f>
        <v>0</v>
      </c>
      <c r="BK203" s="395">
        <f ca="1">IF(SUM($G203:BJ203)=30%,0,IF(BM204&gt;0%,30%,0%))</f>
        <v>0</v>
      </c>
      <c r="BL203" s="395">
        <f ca="1">IF(SUM($G203:BK203)=30%,0,IF(BN204&gt;0%,30%,0%))</f>
        <v>0</v>
      </c>
      <c r="BM203" s="395">
        <f ca="1">IF(SUM($G203:BL203)=30%,0,IF(BO204&gt;0%,30%,0%))</f>
        <v>0</v>
      </c>
      <c r="BN203" s="395">
        <f ca="1">IF(SUM($G203:BM203)=30%,0,IF(BP204&gt;0%,30%,0%))</f>
        <v>0</v>
      </c>
      <c r="BO203" s="395">
        <f ca="1">IF(SUM($G203:BN203)=30%,0,IF(BQ204&gt;0%,30%,0%))</f>
        <v>0</v>
      </c>
      <c r="BP203" s="395">
        <f ca="1">IF(SUM($G203:BO203)=30%,0,IF(BR204&gt;0%,30%,0%))</f>
        <v>0</v>
      </c>
      <c r="BQ203" s="395">
        <f ca="1">IF(SUM($G203:BP203)=30%,0,IF(BS204&gt;0%,30%,0%))</f>
        <v>0</v>
      </c>
      <c r="BR203" s="395">
        <f ca="1">IF(SUM($G203:BQ203)=30%,0,IF(BT204&gt;0%,30%,0%))</f>
        <v>0</v>
      </c>
      <c r="BS203" s="395">
        <f ca="1">IF(SUM($G203:BR203)=30%,0,IF(BU204&gt;0%,30%,0%))</f>
        <v>0</v>
      </c>
      <c r="BT203" s="395">
        <f ca="1">IF(SUM($G203:BS203)=30%,0,IF(BV204&gt;0%,30%,0%))</f>
        <v>0</v>
      </c>
      <c r="BU203" s="395">
        <f ca="1">IF(SUM($G203:BT203)=30%,0,IF(BW204&gt;0%,30%,0%))</f>
        <v>0</v>
      </c>
      <c r="BV203" s="395">
        <f ca="1">IF(SUM($G203:BU203)=30%,0,IF(BX204&gt;0%,30%,0%))</f>
        <v>0</v>
      </c>
      <c r="BW203" s="395">
        <f ca="1">IF(SUM($G203:BV203)=30%,0,IF(BY204&gt;0%,30%,0%))</f>
        <v>0</v>
      </c>
      <c r="BX203" s="395">
        <f ca="1">IF(SUM($G203:BW203)=30%,0,IF(BZ204&gt;0%,30%,0%))</f>
        <v>0</v>
      </c>
      <c r="BY203" s="395">
        <f ca="1">IF(SUM($G203:BX203)=30%,0,IF(CA204&gt;0%,30%,0%))</f>
        <v>0</v>
      </c>
      <c r="BZ203" s="395">
        <f ca="1">IF(SUM($G203:BY203)=30%,0,IF(CB204&gt;0%,30%,0%))</f>
        <v>0</v>
      </c>
      <c r="CA203" s="395">
        <f ca="1">IF(SUM($G203:BZ203)=30%,0,IF(CC204&gt;0%,30%,0%))</f>
        <v>0</v>
      </c>
      <c r="CB203" s="395">
        <f ca="1">IF(SUM($G203:CA203)=30%,0,IF(CD204&gt;0%,30%,0%))</f>
        <v>0</v>
      </c>
      <c r="CC203" s="395">
        <f ca="1">IF(SUM($G203:CB203)=30%,0,IF(CE204&gt;0%,30%,0%))</f>
        <v>0</v>
      </c>
      <c r="CD203" s="395">
        <f ca="1">IF(SUM($G203:CC203)=30%,0,IF(CF204&gt;0%,30%,0%))</f>
        <v>0</v>
      </c>
      <c r="CE203" s="395">
        <f ca="1">IF(SUM($G203:CD203)=30%,0,IF(CG204&gt;0%,30%,0%))</f>
        <v>0</v>
      </c>
      <c r="CF203" s="395">
        <f ca="1">IF(SUM($G203:CE203)=30%,0,IF(CH204&gt;0%,30%,0%))</f>
        <v>0</v>
      </c>
      <c r="CG203" s="395">
        <f ca="1">IF(SUM($G203:CF203)=30%,0,IF(CI204&gt;0%,30%,0%))</f>
        <v>0</v>
      </c>
      <c r="CH203" s="395">
        <f ca="1">IF(SUM($G203:CG203)=30%,0,IF(CJ204&gt;0%,30%,0%))</f>
        <v>0</v>
      </c>
      <c r="CI203" s="395">
        <f ca="1">IF(SUM($G203:CH203)=30%,0,IF(CK204&gt;0%,30%,0%))</f>
        <v>0</v>
      </c>
      <c r="CJ203" s="395">
        <f ca="1">IF(SUM($G203:CI203)=30%,0,IF(CL204&gt;0%,30%,0%))</f>
        <v>0</v>
      </c>
      <c r="CK203" s="395">
        <f ca="1">IF(SUM($G203:CJ203)=30%,0,IF(CM204&gt;0%,30%,0%))</f>
        <v>0</v>
      </c>
      <c r="CL203" s="395">
        <f ca="1">IF(SUM($G203:CK203)=30%,0,IF(CN204&gt;0%,30%,0%))</f>
        <v>0</v>
      </c>
      <c r="CM203" s="395">
        <f ca="1">IF(SUM($G203:CL203)=30%,0,IF(CO204&gt;0%,30%,0%))</f>
        <v>0</v>
      </c>
      <c r="CN203" s="395">
        <f ca="1">IF(SUM($G203:CM203)=30%,0,IF(CP204&gt;0%,30%,0%))</f>
        <v>0</v>
      </c>
      <c r="CO203" s="395">
        <f ca="1">IF(SUM($G203:CN203)=30%,0,IF(CQ204&gt;0%,30%,0%))</f>
        <v>0</v>
      </c>
      <c r="CP203" s="395">
        <f ca="1">IF(SUM($G203:CO203)=30%,0,IF(CR204&gt;0%,30%,0%))</f>
        <v>0</v>
      </c>
      <c r="CQ203" s="395">
        <f ca="1">IF(SUM($G203:CP203)=30%,0,IF(CS204&gt;0%,30%,0%))</f>
        <v>0</v>
      </c>
      <c r="CR203" s="395">
        <f ca="1">IF(SUM($G203:CQ203)=30%,0,IF(CT204&gt;0%,30%,0%))</f>
        <v>0</v>
      </c>
      <c r="CS203" s="395">
        <f ca="1">IF(SUM($G203:CR203)=30%,0,IF(CU204&gt;0%,30%,0%))</f>
        <v>0</v>
      </c>
      <c r="CT203" s="395">
        <f ca="1">IF(SUM($G203:CS203)=30%,0,IF(CV204&gt;0%,30%,0%))</f>
        <v>0</v>
      </c>
      <c r="CU203" s="395">
        <f ca="1">IF(SUM($G203:CT203)=30%,0,IF(CW204&gt;0%,30%,0%))</f>
        <v>0</v>
      </c>
      <c r="CV203" s="395">
        <f ca="1">IF(SUM($G203:CU203)=30%,0,IF(CX204&gt;0%,30%,0%))</f>
        <v>0</v>
      </c>
      <c r="CW203" s="395">
        <f ca="1">IF(SUM($G203:CV203)=30%,0,IF(CY204&gt;0%,30%,0%))</f>
        <v>0</v>
      </c>
      <c r="CX203" s="395">
        <f ca="1">IF(SUM($G203:CW203)=30%,0,IF(CZ204&gt;0%,30%,0%))</f>
        <v>0</v>
      </c>
      <c r="CY203" s="395">
        <f ca="1">IF(SUM($G203:CX203)=30%,0,IF(DA204&gt;0%,30%,0%))</f>
        <v>0</v>
      </c>
      <c r="CZ203" s="395">
        <f ca="1">IF(SUM($G203:CY203)=30%,0,IF(DB204&gt;0%,30%,0%))</f>
        <v>0</v>
      </c>
      <c r="DA203" s="395">
        <f ca="1">IF(SUM($G203:CZ203)=30%,0,IF(DC204&gt;0%,30%,0%))</f>
        <v>0</v>
      </c>
      <c r="DB203" s="395">
        <f ca="1">IF(SUM($G203:DA203)=30%,0,IF(DD204&gt;0%,30%,0%))</f>
        <v>0</v>
      </c>
      <c r="DC203" s="395">
        <f ca="1">IF(SUM($G203:DB203)=30%,0,IF(DE204&gt;0%,30%,0%))</f>
        <v>0</v>
      </c>
      <c r="DD203" s="395">
        <f ca="1">IF(SUM($G203:DC203)=30%,0,IF(DF204&gt;0%,30%,0%))</f>
        <v>0</v>
      </c>
      <c r="DE203" s="395">
        <f ca="1">IF(SUM($G203:DD203)=30%,0,IF(DG204&gt;0%,30%,0%))</f>
        <v>0</v>
      </c>
      <c r="DF203" s="395">
        <f ca="1">IF(SUM($G203:DE203)=30%,0,IF(DH204&gt;0%,30%,0%))</f>
        <v>0</v>
      </c>
      <c r="DG203" s="395">
        <f ca="1">IF(SUM($G203:DF203)=30%,0,IF(DI204&gt;0%,30%,0%))</f>
        <v>0</v>
      </c>
      <c r="DH203" s="395">
        <f ca="1">IF(SUM($G203:DG203)=30%,0,IF(DJ204&gt;0%,30%,0%))</f>
        <v>0</v>
      </c>
      <c r="DI203" s="395">
        <f ca="1">IF(SUM($G203:DH203)=30%,0,IF(DK204&gt;0%,30%,0%))</f>
        <v>0</v>
      </c>
      <c r="DJ203" s="395">
        <f ca="1">IF(SUM($G203:DI203)=30%,0,IF(DL204&gt;0%,30%,0%))</f>
        <v>0</v>
      </c>
      <c r="DK203" s="395">
        <f ca="1">IF(SUM($G203:DJ203)=30%,0,IF(DM204&gt;0%,30%,0%))</f>
        <v>0</v>
      </c>
      <c r="DL203" s="395">
        <f ca="1">IF(SUM($G203:DK203)=30%,0,IF(DN204&gt;0%,30%,0%))</f>
        <v>0</v>
      </c>
      <c r="DM203" s="395">
        <f ca="1">IF(SUM($G203:DL203)=30%,0,IF(DO204&gt;0%,30%,0%))</f>
        <v>0</v>
      </c>
      <c r="DN203" s="395">
        <f ca="1">IF(SUM($G203:DM203)=30%,0,IF(DP204&gt;0%,30%,0%))</f>
        <v>0</v>
      </c>
      <c r="DO203" s="395">
        <f ca="1">IF(SUM($G203:DN203)=30%,0,IF(DQ204&gt;0%,30%,0%))</f>
        <v>0</v>
      </c>
      <c r="DP203" s="395">
        <f ca="1">IF(SUM($G203:DO203)=30%,0,IF(DR204&gt;0%,30%,0%))</f>
        <v>0</v>
      </c>
      <c r="DQ203" s="395">
        <f ca="1">IF(SUM($G203:DP203)=30%,0,IF(DS204&gt;0%,30%,0%))</f>
        <v>0</v>
      </c>
      <c r="DR203" s="395">
        <f ca="1">IF(SUM($G203:DQ203)=30%,0,IF(DT204&gt;0%,30%,0%))</f>
        <v>0</v>
      </c>
      <c r="DS203" s="395">
        <f ca="1">IF(SUM($G203:DR203)=30%,0,IF(DU204&gt;0%,30%,0%))</f>
        <v>0</v>
      </c>
      <c r="DT203" s="395">
        <f ca="1">IF(SUM($G203:DS203)=30%,0,IF(DV204&gt;0%,30%,0%))</f>
        <v>0</v>
      </c>
      <c r="DU203" s="395">
        <f ca="1">IF(SUM($G203:DT203)=30%,0,IF(DW204&gt;0%,30%,0%))</f>
        <v>0</v>
      </c>
      <c r="DV203" s="395">
        <f ca="1">IF(SUM($G203:DU203)=30%,0,IF(DX204&gt;0%,30%,0%))</f>
        <v>0</v>
      </c>
      <c r="DW203" s="395">
        <f ca="1">IF(SUM($G203:DV203)=30%,0,IF(DY204&gt;0%,30%,0%))</f>
        <v>0</v>
      </c>
      <c r="DX203" s="395">
        <f ca="1">IF(SUM($G203:DW203)=30%,0,IF(DZ204&gt;0%,30%,0%))</f>
        <v>0</v>
      </c>
      <c r="DY203" s="395">
        <f ca="1">IF(SUM($G203:DX203)=30%,0,IF(EA204&gt;0%,30%,0%))</f>
        <v>0</v>
      </c>
      <c r="DZ203" s="395">
        <f ca="1">IF(SUM($G203:DY203)=30%,0,IF(EB204&gt;0%,30%,0%))</f>
        <v>0</v>
      </c>
      <c r="EA203" s="395">
        <f ca="1">IF(SUM($G203:DZ203)=30%,0,IF(EC204&gt;0%,30%,0%))</f>
        <v>0</v>
      </c>
      <c r="EB203" s="395">
        <f ca="1">IF(SUM($G203:EA203)=30%,0,IF(ED204&gt;0%,30%,0%))</f>
        <v>0</v>
      </c>
      <c r="EC203" s="395">
        <f ca="1">IF(SUM($G203:EB203)=30%,0,IF(EE204&gt;0%,30%,0%))</f>
        <v>0</v>
      </c>
      <c r="ED203" s="395">
        <f ca="1">IF(SUM($G203:EC203)=30%,0,IF(EF204&gt;0%,30%,0%))</f>
        <v>0</v>
      </c>
      <c r="EE203" s="395">
        <f ca="1">IF(SUM($G203:ED203)=30%,0,IF(EG204&gt;0%,30%,0%))</f>
        <v>0</v>
      </c>
      <c r="EF203" s="395">
        <f ca="1">IF(SUM($G203:EE203)=30%,0,IF(EH204&gt;0%,30%,0%))</f>
        <v>0</v>
      </c>
      <c r="EG203" s="395">
        <f ca="1">IF(SUM($G203:EF203)=30%,0,IF(EI204&gt;0%,30%,0%))</f>
        <v>0</v>
      </c>
      <c r="EH203" s="395">
        <f ca="1">IF(SUM($G203:EG203)=30%,0,IF(EJ204&gt;0%,30%,0%))</f>
        <v>0</v>
      </c>
      <c r="EI203" s="395">
        <f ca="1">IF(SUM($G203:EH203)=30%,0,IF(EK204&gt;0%,30%,0%))</f>
        <v>0</v>
      </c>
      <c r="EJ203" s="398"/>
      <c r="EK203" s="313"/>
    </row>
    <row r="204" spans="1:141" hidden="1" outlineLevel="2">
      <c r="A204" s="332"/>
      <c r="B204" s="313"/>
      <c r="C204" s="317"/>
      <c r="D204" s="317" t="s">
        <v>663</v>
      </c>
      <c r="E204" s="318">
        <f ca="1">ROUND(IF(F204=0,0,70%-F204),0)</f>
        <v>0</v>
      </c>
      <c r="F204" s="397">
        <f ca="1">SUM(G204:EJ204)</f>
        <v>0</v>
      </c>
      <c r="G204" s="395"/>
      <c r="H204" s="395"/>
      <c r="I204" s="395">
        <f ca="1">IF($E$380=0,0,IF(SUM($G204:H204)=70%,0,IF(SUM($G380:H380)&gt;=$E380,(70%/$E380)*($E380-SUM($G380:G380)),(70%/$E380)*H380)))</f>
        <v>0</v>
      </c>
      <c r="J204" s="395">
        <f ca="1">IF($E$380=0,0,IF(SUM($G204:I204)=70%,0,IF(SUM($G380:I380)&gt;=$E380,(70%/$E380)*($E380-SUM($G380:H380)),(70%/$E380)*I380)))</f>
        <v>0</v>
      </c>
      <c r="K204" s="395">
        <f ca="1">IF($E$380=0,0,IF(SUM($G204:J204)=70%,0,IF(SUM($G380:J380)&gt;=$E380,(70%/$E380)*($E380-SUM($G380:I380)),(70%/$E380)*J380)))</f>
        <v>0</v>
      </c>
      <c r="L204" s="395">
        <f ca="1">IF($E$380=0,0,IF(SUM($G204:K204)=70%,0,IF(SUM($G380:K380)&gt;=$E380,(70%/$E380)*($E380-SUM($G380:J380)),(70%/$E380)*K380)))</f>
        <v>0</v>
      </c>
      <c r="M204" s="395">
        <f ca="1">IF($E$380=0,0,IF(SUM($G204:L204)=70%,0,IF(SUM($G380:L380)&gt;=$E380,(70%/$E380)*($E380-SUM($G380:K380)),(70%/$E380)*L380)))</f>
        <v>0</v>
      </c>
      <c r="N204" s="395">
        <f ca="1">IF($E$380=0,0,IF(SUM($G204:M204)=70%,0,IF(SUM($G380:M380)&gt;=$E380,(70%/$E380)*($E380-SUM($G380:L380)),(70%/$E380)*M380)))</f>
        <v>0</v>
      </c>
      <c r="O204" s="395">
        <f ca="1">IF($E$380=0,0,IF(SUM($G204:N204)=70%,0,IF(SUM($G380:N380)&gt;=$E380,(70%/$E380)*($E380-SUM($G380:M380)),(70%/$E380)*N380)))</f>
        <v>0</v>
      </c>
      <c r="P204" s="395">
        <f ca="1">IF($E$380=0,0,IF(SUM($G204:O204)=70%,0,IF(SUM($G380:O380)&gt;=$E380,(70%/$E380)*($E380-SUM($G380:N380)),(70%/$E380)*O380)))</f>
        <v>0</v>
      </c>
      <c r="Q204" s="395">
        <f ca="1">IF($E$380=0,0,IF(SUM($G204:P204)=70%,0,IF(SUM($G380:P380)&gt;=$E380,(70%/$E380)*($E380-SUM($G380:O380)),(70%/$E380)*P380)))</f>
        <v>0</v>
      </c>
      <c r="R204" s="395">
        <f ca="1">IF($E$380=0,0,IF(SUM($G204:Q204)=70%,0,IF(SUM($G380:Q380)&gt;=$E380,(70%/$E380)*($E380-SUM($G380:P380)),(70%/$E380)*Q380)))</f>
        <v>0</v>
      </c>
      <c r="S204" s="395">
        <f ca="1">IF($E$380=0,0,IF(SUM($G204:R204)=70%,0,IF(SUM($G380:R380)&gt;=$E380,(70%/$E380)*($E380-SUM($G380:Q380)),(70%/$E380)*R380)))</f>
        <v>0</v>
      </c>
      <c r="T204" s="395">
        <f ca="1">IF($E$380=0,0,IF(SUM($G204:S204)=70%,0,IF(SUM($G380:S380)&gt;=$E380,(70%/$E380)*($E380-SUM($G380:R380)),(70%/$E380)*S380)))</f>
        <v>0</v>
      </c>
      <c r="U204" s="395">
        <f ca="1">IF($E$380=0,0,IF(SUM($G204:T204)=70%,0,IF(SUM($G380:T380)&gt;=$E380,(70%/$E380)*($E380-SUM($G380:S380)),(70%/$E380)*T380)))</f>
        <v>0</v>
      </c>
      <c r="V204" s="395">
        <f ca="1">IF($E$380=0,0,IF(SUM($G204:U204)=70%,0,IF(SUM($G380:U380)&gt;=$E380,(70%/$E380)*($E380-SUM($G380:T380)),(70%/$E380)*U380)))</f>
        <v>0</v>
      </c>
      <c r="W204" s="395">
        <f ca="1">IF($E$380=0,0,IF(SUM($G204:V204)=70%,0,IF(SUM($G380:V380)&gt;=$E380,(70%/$E380)*($E380-SUM($G380:U380)),(70%/$E380)*V380)))</f>
        <v>0</v>
      </c>
      <c r="X204" s="395">
        <f ca="1">IF($E$380=0,0,IF(SUM($G204:W204)=70%,0,IF(SUM($G380:W380)&gt;=$E380,(70%/$E380)*($E380-SUM($G380:V380)),(70%/$E380)*W380)))</f>
        <v>0</v>
      </c>
      <c r="Y204" s="395">
        <f ca="1">IF($E$380=0,0,IF(SUM($G204:X204)=70%,0,IF(SUM($G380:X380)&gt;=$E380,(70%/$E380)*($E380-SUM($G380:W380)),(70%/$E380)*X380)))</f>
        <v>0</v>
      </c>
      <c r="Z204" s="395">
        <f ca="1">IF($E$380=0,0,IF(SUM($G204:Y204)=70%,0,IF(SUM($G380:Y380)&gt;=$E380,(70%/$E380)*($E380-SUM($G380:X380)),(70%/$E380)*Y380)))</f>
        <v>0</v>
      </c>
      <c r="AA204" s="395">
        <f ca="1">IF($E$380=0,0,IF(SUM($G204:Z204)=70%,0,IF(SUM($G380:Z380)&gt;=$E380,(70%/$E380)*($E380-SUM($G380:Y380)),(70%/$E380)*Z380)))</f>
        <v>0</v>
      </c>
      <c r="AB204" s="395">
        <f ca="1">IF($E$380=0,0,IF(SUM($G204:AA204)=70%,0,IF(SUM($G380:AA380)&gt;=$E380,(70%/$E380)*($E380-SUM($G380:Z380)),(70%/$E380)*AA380)))</f>
        <v>0</v>
      </c>
      <c r="AC204" s="395">
        <f ca="1">IF($E$380=0,0,IF(SUM($G204:AB204)=70%,0,IF(SUM($G380:AB380)&gt;=$E380,(70%/$E380)*($E380-SUM($G380:AA380)),(70%/$E380)*AB380)))</f>
        <v>0</v>
      </c>
      <c r="AD204" s="395">
        <f ca="1">IF($E$380=0,0,IF(SUM($G204:AC204)=70%,0,IF(SUM($G380:AC380)&gt;=$E380,(70%/$E380)*($E380-SUM($G380:AB380)),(70%/$E380)*AC380)))</f>
        <v>0</v>
      </c>
      <c r="AE204" s="395">
        <f ca="1">IF($E$380=0,0,IF(SUM($G204:AD204)=70%,0,IF(SUM($G380:AD380)&gt;=$E380,(70%/$E380)*($E380-SUM($G380:AC380)),(70%/$E380)*AD380)))</f>
        <v>0</v>
      </c>
      <c r="AF204" s="395">
        <f ca="1">IF($E$380=0,0,IF(SUM($G204:AE204)=70%,0,IF(SUM($G380:AE380)&gt;=$E380,(70%/$E380)*($E380-SUM($G380:AD380)),(70%/$E380)*AE380)))</f>
        <v>0</v>
      </c>
      <c r="AG204" s="395">
        <f ca="1">IF($E$380=0,0,IF(SUM($G204:AF204)=70%,0,IF(SUM($G380:AF380)&gt;=$E380,(70%/$E380)*($E380-SUM($G380:AE380)),(70%/$E380)*AF380)))</f>
        <v>0</v>
      </c>
      <c r="AH204" s="395">
        <f ca="1">IF($E$380=0,0,IF(SUM($G204:AG204)=70%,0,IF(SUM($G380:AG380)&gt;=$E380,(70%/$E380)*($E380-SUM($G380:AF380)),(70%/$E380)*AG380)))</f>
        <v>0</v>
      </c>
      <c r="AI204" s="395">
        <f ca="1">IF($E$380=0,0,IF(SUM($G204:AH204)=70%,0,IF(SUM($G380:AH380)&gt;=$E380,(70%/$E380)*($E380-SUM($G380:AG380)),(70%/$E380)*AH380)))</f>
        <v>0</v>
      </c>
      <c r="AJ204" s="395">
        <f ca="1">IF($E$380=0,0,IF(SUM($G204:AI204)=70%,0,IF(SUM($G380:AI380)&gt;=$E380,(70%/$E380)*($E380-SUM($G380:AH380)),(70%/$E380)*AI380)))</f>
        <v>0</v>
      </c>
      <c r="AK204" s="395">
        <f ca="1">IF($E$380=0,0,IF(SUM($G204:AJ204)=70%,0,IF(SUM($G380:AJ380)&gt;=$E380,(70%/$E380)*($E380-SUM($G380:AI380)),(70%/$E380)*AJ380)))</f>
        <v>0</v>
      </c>
      <c r="AL204" s="395">
        <f ca="1">IF($E$380=0,0,IF(SUM($G204:AK204)=70%,0,IF(SUM($G380:AK380)&gt;=$E380,(70%/$E380)*($E380-SUM($G380:AJ380)),(70%/$E380)*AK380)))</f>
        <v>0</v>
      </c>
      <c r="AM204" s="395">
        <f ca="1">IF($E$380=0,0,IF(SUM($G204:AL204)=70%,0,IF(SUM($G380:AL380)&gt;=$E380,(70%/$E380)*($E380-SUM($G380:AK380)),(70%/$E380)*AL380)))</f>
        <v>0</v>
      </c>
      <c r="AN204" s="395">
        <f ca="1">IF($E$380=0,0,IF(SUM($G204:AM204)=70%,0,IF(SUM($G380:AM380)&gt;=$E380,(70%/$E380)*($E380-SUM($G380:AL380)),(70%/$E380)*AM380)))</f>
        <v>0</v>
      </c>
      <c r="AO204" s="395">
        <f ca="1">IF($E$380=0,0,IF(SUM($G204:AN204)=70%,0,IF(SUM($G380:AN380)&gt;=$E380,(70%/$E380)*($E380-SUM($G380:AM380)),(70%/$E380)*AN380)))</f>
        <v>0</v>
      </c>
      <c r="AP204" s="395">
        <f ca="1">IF($E$380=0,0,IF(SUM($G204:AO204)=70%,0,IF(SUM($G380:AO380)&gt;=$E380,(70%/$E380)*($E380-SUM($G380:AN380)),(70%/$E380)*AO380)))</f>
        <v>0</v>
      </c>
      <c r="AQ204" s="395">
        <f ca="1">IF($E$380=0,0,IF(SUM($G204:AP204)=70%,0,IF(SUM($G380:AP380)&gt;=$E380,(70%/$E380)*($E380-SUM($G380:AO380)),(70%/$E380)*AP380)))</f>
        <v>0</v>
      </c>
      <c r="AR204" s="395">
        <f ca="1">IF($E$380=0,0,IF(SUM($G204:AQ204)=70%,0,IF(SUM($G380:AQ380)&gt;=$E380,(70%/$E380)*($E380-SUM($G380:AP380)),(70%/$E380)*AQ380)))</f>
        <v>0</v>
      </c>
      <c r="AS204" s="395">
        <f ca="1">IF($E$380=0,0,IF(SUM($G204:AR204)=70%,0,IF(SUM($G380:AR380)&gt;=$E380,(70%/$E380)*($E380-SUM($G380:AQ380)),(70%/$E380)*AR380)))</f>
        <v>0</v>
      </c>
      <c r="AT204" s="395">
        <f ca="1">IF($E$380=0,0,IF(SUM($G204:AS204)=70%,0,IF(SUM($G380:AS380)&gt;=$E380,(70%/$E380)*($E380-SUM($G380:AR380)),(70%/$E380)*AS380)))</f>
        <v>0</v>
      </c>
      <c r="AU204" s="395">
        <f ca="1">IF($E$380=0,0,IF(SUM($G204:AT204)=70%,0,IF(SUM($G380:AT380)&gt;=$E380,(70%/$E380)*($E380-SUM($G380:AS380)),(70%/$E380)*AT380)))</f>
        <v>0</v>
      </c>
      <c r="AV204" s="395">
        <f ca="1">IF($E$380=0,0,IF(SUM($G204:AU204)=70%,0,IF(SUM($G380:AU380)&gt;=$E380,(70%/$E380)*($E380-SUM($G380:AT380)),(70%/$E380)*AU380)))</f>
        <v>0</v>
      </c>
      <c r="AW204" s="395">
        <f ca="1">IF($E$380=0,0,IF(SUM($G204:AV204)=70%,0,IF(SUM($G380:AV380)&gt;=$E380,(70%/$E380)*($E380-SUM($G380:AU380)),(70%/$E380)*AV380)))</f>
        <v>0</v>
      </c>
      <c r="AX204" s="395">
        <f ca="1">IF($E$380=0,0,IF(SUM($G204:AW204)=70%,0,IF(SUM($G380:AW380)&gt;=$E380,(70%/$E380)*($E380-SUM($G380:AV380)),(70%/$E380)*AW380)))</f>
        <v>0</v>
      </c>
      <c r="AY204" s="395">
        <f ca="1">IF($E$380=0,0,IF(SUM($G204:AX204)=70%,0,IF(SUM($G380:AX380)&gt;=$E380,(70%/$E380)*($E380-SUM($G380:AW380)),(70%/$E380)*AX380)))</f>
        <v>0</v>
      </c>
      <c r="AZ204" s="395">
        <f ca="1">IF($E$380=0,0,IF(SUM($G204:AY204)=70%,0,IF(SUM($G380:AY380)&gt;=$E380,(70%/$E380)*($E380-SUM($G380:AX380)),(70%/$E380)*AY380)))</f>
        <v>0</v>
      </c>
      <c r="BA204" s="395">
        <f ca="1">IF($E$380=0,0,IF(SUM($G204:AZ204)=70%,0,IF(SUM($G380:AZ380)&gt;=$E380,(70%/$E380)*($E380-SUM($G380:AY380)),(70%/$E380)*AZ380)))</f>
        <v>0</v>
      </c>
      <c r="BB204" s="395">
        <f ca="1">IF($E$380=0,0,IF(SUM($G204:BA204)=70%,0,IF(SUM($G380:BA380)&gt;=$E380,(70%/$E380)*($E380-SUM($G380:AZ380)),(70%/$E380)*BA380)))</f>
        <v>0</v>
      </c>
      <c r="BC204" s="395">
        <f ca="1">IF($E$380=0,0,IF(SUM($G204:BB204)=70%,0,IF(SUM($G380:BB380)&gt;=$E380,(70%/$E380)*($E380-SUM($G380:BA380)),(70%/$E380)*BB380)))</f>
        <v>0</v>
      </c>
      <c r="BD204" s="395">
        <f ca="1">IF($E$380=0,0,IF(SUM($G204:BC204)=70%,0,IF(SUM($G380:BC380)&gt;=$E380,(70%/$E380)*($E380-SUM($G380:BB380)),(70%/$E380)*BC380)))</f>
        <v>0</v>
      </c>
      <c r="BE204" s="395">
        <f ca="1">IF($E$380=0,0,IF(SUM($G204:BD204)=70%,0,IF(SUM($G380:BD380)&gt;=$E380,(70%/$E380)*($E380-SUM($G380:BC380)),(70%/$E380)*BD380)))</f>
        <v>0</v>
      </c>
      <c r="BF204" s="395">
        <f ca="1">IF($E$380=0,0,IF(SUM($G204:BE204)=70%,0,IF(SUM($G380:BE380)&gt;=$E380,(70%/$E380)*($E380-SUM($G380:BD380)),(70%/$E380)*BE380)))</f>
        <v>0</v>
      </c>
      <c r="BG204" s="395">
        <f ca="1">IF($E$380=0,0,IF(SUM($G204:BF204)=70%,0,IF(SUM($G380:BF380)&gt;=$E380,(70%/$E380)*($E380-SUM($G380:BE380)),(70%/$E380)*BF380)))</f>
        <v>0</v>
      </c>
      <c r="BH204" s="395">
        <f ca="1">IF($E$380=0,0,IF(SUM($G204:BG204)=70%,0,IF(SUM($G380:BG380)&gt;=$E380,(70%/$E380)*($E380-SUM($G380:BF380)),(70%/$E380)*BG380)))</f>
        <v>0</v>
      </c>
      <c r="BI204" s="395">
        <f ca="1">IF($E$380=0,0,IF(SUM($G204:BH204)=70%,0,IF(SUM($G380:BH380)&gt;=$E380,(70%/$E380)*($E380-SUM($G380:BG380)),(70%/$E380)*BH380)))</f>
        <v>0</v>
      </c>
      <c r="BJ204" s="395">
        <f ca="1">IF($E$380=0,0,IF(SUM($G204:BI204)=70%,0,IF(SUM($G380:BI380)&gt;=$E380,(70%/$E380)*($E380-SUM($G380:BH380)),(70%/$E380)*BI380)))</f>
        <v>0</v>
      </c>
      <c r="BK204" s="395">
        <f ca="1">IF($E$380=0,0,IF(SUM($G204:BJ204)=70%,0,IF(SUM($G380:BJ380)&gt;=$E380,(70%/$E380)*($E380-SUM($G380:BI380)),(70%/$E380)*BJ380)))</f>
        <v>0</v>
      </c>
      <c r="BL204" s="395">
        <f ca="1">IF($E$380=0,0,IF(SUM($G204:BK204)=70%,0,IF(SUM($G380:BK380)&gt;=$E380,(70%/$E380)*($E380-SUM($G380:BJ380)),(70%/$E380)*BK380)))</f>
        <v>0</v>
      </c>
      <c r="BM204" s="395">
        <f ca="1">IF($E$380=0,0,IF(SUM($G204:BL204)=70%,0,IF(SUM($G380:BL380)&gt;=$E380,(70%/$E380)*($E380-SUM($G380:BK380)),(70%/$E380)*BL380)))</f>
        <v>0</v>
      </c>
      <c r="BN204" s="395">
        <f ca="1">IF($E$380=0,0,IF(SUM($G204:BM204)=70%,0,IF(SUM($G380:BM380)&gt;=$E380,(70%/$E380)*($E380-SUM($G380:BL380)),(70%/$E380)*BM380)))</f>
        <v>0</v>
      </c>
      <c r="BO204" s="395">
        <f ca="1">IF($E$380=0,0,IF(SUM($G204:BN204)=70%,0,IF(SUM($G380:BN380)&gt;=$E380,(70%/$E380)*($E380-SUM($G380:BM380)),(70%/$E380)*BN380)))</f>
        <v>0</v>
      </c>
      <c r="BP204" s="395">
        <f ca="1">IF($E$380=0,0,IF(SUM($G204:BO204)=70%,0,IF(SUM($G380:BO380)&gt;=$E380,(70%/$E380)*($E380-SUM($G380:BN380)),(70%/$E380)*BO380)))</f>
        <v>0</v>
      </c>
      <c r="BQ204" s="395">
        <f ca="1">IF($E$380=0,0,IF(SUM($G204:BP204)=70%,0,IF(SUM($G380:BP380)&gt;=$E380,(70%/$E380)*($E380-SUM($G380:BO380)),(70%/$E380)*BP380)))</f>
        <v>0</v>
      </c>
      <c r="BR204" s="395">
        <f ca="1">IF($E$380=0,0,IF(SUM($G204:BQ204)=70%,0,IF(SUM($G380:BQ380)&gt;=$E380,(70%/$E380)*($E380-SUM($G380:BP380)),(70%/$E380)*BQ380)))</f>
        <v>0</v>
      </c>
      <c r="BS204" s="395">
        <f ca="1">IF($E$380=0,0,IF(SUM($G204:BR204)=70%,0,IF(SUM($G380:BR380)&gt;=$E380,(70%/$E380)*($E380-SUM($G380:BQ380)),(70%/$E380)*BR380)))</f>
        <v>0</v>
      </c>
      <c r="BT204" s="395">
        <f ca="1">IF($E$380=0,0,IF(SUM($G204:BS204)=70%,0,IF(SUM($G380:BS380)&gt;=$E380,(70%/$E380)*($E380-SUM($G380:BR380)),(70%/$E380)*BS380)))</f>
        <v>0</v>
      </c>
      <c r="BU204" s="395">
        <f ca="1">IF($E$380=0,0,IF(SUM($G204:BT204)=70%,0,IF(SUM($G380:BT380)&gt;=$E380,(70%/$E380)*($E380-SUM($G380:BS380)),(70%/$E380)*BT380)))</f>
        <v>0</v>
      </c>
      <c r="BV204" s="395">
        <f ca="1">IF($E$380=0,0,IF(SUM($G204:BU204)=70%,0,IF(SUM($G380:BU380)&gt;=$E380,(70%/$E380)*($E380-SUM($G380:BT380)),(70%/$E380)*BU380)))</f>
        <v>0</v>
      </c>
      <c r="BW204" s="395">
        <f ca="1">IF($E$380=0,0,IF(SUM($G204:BV204)=70%,0,IF(SUM($G380:BV380)&gt;=$E380,(70%/$E380)*($E380-SUM($G380:BU380)),(70%/$E380)*BV380)))</f>
        <v>0</v>
      </c>
      <c r="BX204" s="395">
        <f ca="1">IF($E$380=0,0,IF(SUM($G204:BW204)=70%,0,IF(SUM($G380:BW380)&gt;=$E380,(70%/$E380)*($E380-SUM($G380:BV380)),(70%/$E380)*BW380)))</f>
        <v>0</v>
      </c>
      <c r="BY204" s="395">
        <f ca="1">IF($E$380=0,0,IF(SUM($G204:BX204)=70%,0,IF(SUM($G380:BX380)&gt;=$E380,(70%/$E380)*($E380-SUM($G380:BW380)),(70%/$E380)*BX380)))</f>
        <v>0</v>
      </c>
      <c r="BZ204" s="395">
        <f ca="1">IF($E$380=0,0,IF(SUM($G204:BY204)=70%,0,IF(SUM($G380:BY380)&gt;=$E380,(70%/$E380)*($E380-SUM($G380:BX380)),(70%/$E380)*BY380)))</f>
        <v>0</v>
      </c>
      <c r="CA204" s="395">
        <f ca="1">IF($E$380=0,0,IF(SUM($G204:BZ204)=70%,0,IF(SUM($G380:BZ380)&gt;=$E380,(70%/$E380)*($E380-SUM($G380:BY380)),(70%/$E380)*BZ380)))</f>
        <v>0</v>
      </c>
      <c r="CB204" s="395">
        <f ca="1">IF($E$380=0,0,IF(SUM($G204:CA204)=70%,0,IF(SUM($G380:CA380)&gt;=$E380,(70%/$E380)*($E380-SUM($G380:BZ380)),(70%/$E380)*CA380)))</f>
        <v>0</v>
      </c>
      <c r="CC204" s="395">
        <f ca="1">IF($E$380=0,0,IF(SUM($G204:CB204)=70%,0,IF(SUM($G380:CB380)&gt;=$E380,(70%/$E380)*($E380-SUM($G380:CA380)),(70%/$E380)*CB380)))</f>
        <v>0</v>
      </c>
      <c r="CD204" s="395">
        <f ca="1">IF($E$380=0,0,IF(SUM($G204:CC204)=70%,0,IF(SUM($G380:CC380)&gt;=$E380,(70%/$E380)*($E380-SUM($G380:CB380)),(70%/$E380)*CC380)))</f>
        <v>0</v>
      </c>
      <c r="CE204" s="395">
        <f ca="1">IF($E$380=0,0,IF(SUM($G204:CD204)=70%,0,IF(SUM($G380:CD380)&gt;=$E380,(70%/$E380)*($E380-SUM($G380:CC380)),(70%/$E380)*CD380)))</f>
        <v>0</v>
      </c>
      <c r="CF204" s="395">
        <f ca="1">IF($E$380=0,0,IF(SUM($G204:CE204)=70%,0,IF(SUM($G380:CE380)&gt;=$E380,(70%/$E380)*($E380-SUM($G380:CD380)),(70%/$E380)*CE380)))</f>
        <v>0</v>
      </c>
      <c r="CG204" s="395">
        <f ca="1">IF($E$380=0,0,IF(SUM($G204:CF204)=70%,0,IF(SUM($G380:CF380)&gt;=$E380,(70%/$E380)*($E380-SUM($G380:CE380)),(70%/$E380)*CF380)))</f>
        <v>0</v>
      </c>
      <c r="CH204" s="395">
        <f ca="1">IF($E$380=0,0,IF(SUM($G204:CG204)=70%,0,IF(SUM($G380:CG380)&gt;=$E380,(70%/$E380)*($E380-SUM($G380:CF380)),(70%/$E380)*CG380)))</f>
        <v>0</v>
      </c>
      <c r="CI204" s="395">
        <f ca="1">IF($E$380=0,0,IF(SUM($G204:CH204)=70%,0,IF(SUM($G380:CH380)&gt;=$E380,(70%/$E380)*($E380-SUM($G380:CG380)),(70%/$E380)*CH380)))</f>
        <v>0</v>
      </c>
      <c r="CJ204" s="395">
        <f ca="1">IF($E$380=0,0,IF(SUM($G204:CI204)=70%,0,IF(SUM($G380:CI380)&gt;=$E380,(70%/$E380)*($E380-SUM($G380:CH380)),(70%/$E380)*CI380)))</f>
        <v>0</v>
      </c>
      <c r="CK204" s="395">
        <f ca="1">IF($E$380=0,0,IF(SUM($G204:CJ204)=70%,0,IF(SUM($G380:CJ380)&gt;=$E380,(70%/$E380)*($E380-SUM($G380:CI380)),(70%/$E380)*CJ380)))</f>
        <v>0</v>
      </c>
      <c r="CL204" s="395">
        <f ca="1">IF($E$380=0,0,IF(SUM($G204:CK204)=70%,0,IF(SUM($G380:CK380)&gt;=$E380,(70%/$E380)*($E380-SUM($G380:CJ380)),(70%/$E380)*CK380)))</f>
        <v>0</v>
      </c>
      <c r="CM204" s="395">
        <f ca="1">IF($E$380=0,0,IF(SUM($G204:CL204)=70%,0,IF(SUM($G380:CL380)&gt;=$E380,(70%/$E380)*($E380-SUM($G380:CK380)),(70%/$E380)*CL380)))</f>
        <v>0</v>
      </c>
      <c r="CN204" s="395">
        <f ca="1">IF($E$380=0,0,IF(SUM($G204:CM204)=70%,0,IF(SUM($G380:CM380)&gt;=$E380,(70%/$E380)*($E380-SUM($G380:CL380)),(70%/$E380)*CM380)))</f>
        <v>0</v>
      </c>
      <c r="CO204" s="395">
        <f ca="1">IF($E$380=0,0,IF(SUM($G204:CN204)=70%,0,IF(SUM($G380:CN380)&gt;=$E380,(70%/$E380)*($E380-SUM($G380:CM380)),(70%/$E380)*CN380)))</f>
        <v>0</v>
      </c>
      <c r="CP204" s="395">
        <f ca="1">IF($E$380=0,0,IF(SUM($G204:CO204)=70%,0,IF(SUM($G380:CO380)&gt;=$E380,(70%/$E380)*($E380-SUM($G380:CN380)),(70%/$E380)*CO380)))</f>
        <v>0</v>
      </c>
      <c r="CQ204" s="395">
        <f ca="1">IF($E$380=0,0,IF(SUM($G204:CP204)=70%,0,IF(SUM($G380:CP380)&gt;=$E380,(70%/$E380)*($E380-SUM($G380:CO380)),(70%/$E380)*CP380)))</f>
        <v>0</v>
      </c>
      <c r="CR204" s="395">
        <f ca="1">IF($E$380=0,0,IF(SUM($G204:CQ204)=70%,0,IF(SUM($G380:CQ380)&gt;=$E380,(70%/$E380)*($E380-SUM($G380:CP380)),(70%/$E380)*CQ380)))</f>
        <v>0</v>
      </c>
      <c r="CS204" s="395">
        <f ca="1">IF($E$380=0,0,IF(SUM($G204:CR204)=70%,0,IF(SUM($G380:CR380)&gt;=$E380,(70%/$E380)*($E380-SUM($G380:CQ380)),(70%/$E380)*CR380)))</f>
        <v>0</v>
      </c>
      <c r="CT204" s="395">
        <f ca="1">IF($E$380=0,0,IF(SUM($G204:CS204)=70%,0,IF(SUM($G380:CS380)&gt;=$E380,(70%/$E380)*($E380-SUM($G380:CR380)),(70%/$E380)*CS380)))</f>
        <v>0</v>
      </c>
      <c r="CU204" s="395">
        <f ca="1">IF($E$380=0,0,IF(SUM($G204:CT204)=70%,0,IF(SUM($G380:CT380)&gt;=$E380,(70%/$E380)*($E380-SUM($G380:CS380)),(70%/$E380)*CT380)))</f>
        <v>0</v>
      </c>
      <c r="CV204" s="395">
        <f ca="1">IF($E$380=0,0,IF(SUM($G204:CU204)=70%,0,IF(SUM($G380:CU380)&gt;=$E380,(70%/$E380)*($E380-SUM($G380:CT380)),(70%/$E380)*CU380)))</f>
        <v>0</v>
      </c>
      <c r="CW204" s="395">
        <f ca="1">IF($E$380=0,0,IF(SUM($G204:CV204)=70%,0,IF(SUM($G380:CV380)&gt;=$E380,(70%/$E380)*($E380-SUM($G380:CU380)),(70%/$E380)*CV380)))</f>
        <v>0</v>
      </c>
      <c r="CX204" s="395">
        <f ca="1">IF($E$380=0,0,IF(SUM($G204:CW204)=70%,0,IF(SUM($G380:CW380)&gt;=$E380,(70%/$E380)*($E380-SUM($G380:CV380)),(70%/$E380)*CW380)))</f>
        <v>0</v>
      </c>
      <c r="CY204" s="395">
        <f ca="1">IF($E$380=0,0,IF(SUM($G204:CX204)=70%,0,IF(SUM($G380:CX380)&gt;=$E380,(70%/$E380)*($E380-SUM($G380:CW380)),(70%/$E380)*CX380)))</f>
        <v>0</v>
      </c>
      <c r="CZ204" s="395">
        <f ca="1">IF($E$380=0,0,IF(SUM($G204:CY204)=70%,0,IF(SUM($G380:CY380)&gt;=$E380,(70%/$E380)*($E380-SUM($G380:CX380)),(70%/$E380)*CY380)))</f>
        <v>0</v>
      </c>
      <c r="DA204" s="395">
        <f ca="1">IF($E$380=0,0,IF(SUM($G204:CZ204)=70%,0,IF(SUM($G380:CZ380)&gt;=$E380,(70%/$E380)*($E380-SUM($G380:CY380)),(70%/$E380)*CZ380)))</f>
        <v>0</v>
      </c>
      <c r="DB204" s="395">
        <f ca="1">IF($E$380=0,0,IF(SUM($G204:DA204)=70%,0,IF(SUM($G380:DA380)&gt;=$E380,(70%/$E380)*($E380-SUM($G380:CZ380)),(70%/$E380)*DA380)))</f>
        <v>0</v>
      </c>
      <c r="DC204" s="395">
        <f ca="1">IF($E$380=0,0,IF(SUM($G204:DB204)=70%,0,IF(SUM($G380:DB380)&gt;=$E380,(70%/$E380)*($E380-SUM($G380:DA380)),(70%/$E380)*DB380)))</f>
        <v>0</v>
      </c>
      <c r="DD204" s="395">
        <f ca="1">IF($E$380=0,0,IF(SUM($G204:DC204)=70%,0,IF(SUM($G380:DC380)&gt;=$E380,(70%/$E380)*($E380-SUM($G380:DB380)),(70%/$E380)*DC380)))</f>
        <v>0</v>
      </c>
      <c r="DE204" s="395">
        <f ca="1">IF($E$380=0,0,IF(SUM($G204:DD204)=70%,0,IF(SUM($G380:DD380)&gt;=$E380,(70%/$E380)*($E380-SUM($G380:DC380)),(70%/$E380)*DD380)))</f>
        <v>0</v>
      </c>
      <c r="DF204" s="395">
        <f ca="1">IF($E$380=0,0,IF(SUM($G204:DE204)=70%,0,IF(SUM($G380:DE380)&gt;=$E380,(70%/$E380)*($E380-SUM($G380:DD380)),(70%/$E380)*DE380)))</f>
        <v>0</v>
      </c>
      <c r="DG204" s="395">
        <f ca="1">IF($E$380=0,0,IF(SUM($G204:DF204)=70%,0,IF(SUM($G380:DF380)&gt;=$E380,(70%/$E380)*($E380-SUM($G380:DE380)),(70%/$E380)*DF380)))</f>
        <v>0</v>
      </c>
      <c r="DH204" s="395">
        <f ca="1">IF($E$380=0,0,IF(SUM($G204:DG204)=70%,0,IF(SUM($G380:DG380)&gt;=$E380,(70%/$E380)*($E380-SUM($G380:DF380)),(70%/$E380)*DG380)))</f>
        <v>0</v>
      </c>
      <c r="DI204" s="395">
        <f ca="1">IF($E$380=0,0,IF(SUM($G204:DH204)=70%,0,IF(SUM($G380:DH380)&gt;=$E380,(70%/$E380)*($E380-SUM($G380:DG380)),(70%/$E380)*DH380)))</f>
        <v>0</v>
      </c>
      <c r="DJ204" s="395">
        <f ca="1">IF($E$380=0,0,IF(SUM($G204:DI204)=70%,0,IF(SUM($G380:DI380)&gt;=$E380,(70%/$E380)*($E380-SUM($G380:DH380)),(70%/$E380)*DI380)))</f>
        <v>0</v>
      </c>
      <c r="DK204" s="395">
        <f ca="1">IF($E$380=0,0,IF(SUM($G204:DJ204)=70%,0,IF(SUM($G380:DJ380)&gt;=$E380,(70%/$E380)*($E380-SUM($G380:DI380)),(70%/$E380)*DJ380)))</f>
        <v>0</v>
      </c>
      <c r="DL204" s="395">
        <f ca="1">IF($E$380=0,0,IF(SUM($G204:DK204)=70%,0,IF(SUM($G380:DK380)&gt;=$E380,(70%/$E380)*($E380-SUM($G380:DJ380)),(70%/$E380)*DK380)))</f>
        <v>0</v>
      </c>
      <c r="DM204" s="395">
        <f ca="1">IF($E$380=0,0,IF(SUM($G204:DL204)=70%,0,IF(SUM($G380:DL380)&gt;=$E380,(70%/$E380)*($E380-SUM($G380:DK380)),(70%/$E380)*DL380)))</f>
        <v>0</v>
      </c>
      <c r="DN204" s="395">
        <f ca="1">IF($E$380=0,0,IF(SUM($G204:DM204)=70%,0,IF(SUM($G380:DM380)&gt;=$E380,(70%/$E380)*($E380-SUM($G380:DL380)),(70%/$E380)*DM380)))</f>
        <v>0</v>
      </c>
      <c r="DO204" s="395">
        <f ca="1">IF($E$380=0,0,IF(SUM($G204:DN204)=70%,0,IF(SUM($G380:DN380)&gt;=$E380,(70%/$E380)*($E380-SUM($G380:DM380)),(70%/$E380)*DN380)))</f>
        <v>0</v>
      </c>
      <c r="DP204" s="395">
        <f ca="1">IF($E$380=0,0,IF(SUM($G204:DO204)=70%,0,IF(SUM($G380:DO380)&gt;=$E380,(70%/$E380)*($E380-SUM($G380:DN380)),(70%/$E380)*DO380)))</f>
        <v>0</v>
      </c>
      <c r="DQ204" s="395">
        <f ca="1">IF($E$380=0,0,IF(SUM($G204:DP204)=70%,0,IF(SUM($G380:DP380)&gt;=$E380,(70%/$E380)*($E380-SUM($G380:DO380)),(70%/$E380)*DP380)))</f>
        <v>0</v>
      </c>
      <c r="DR204" s="395">
        <f ca="1">IF($E$380=0,0,IF(SUM($G204:DQ204)=70%,0,IF(SUM($G380:DQ380)&gt;=$E380,(70%/$E380)*($E380-SUM($G380:DP380)),(70%/$E380)*DQ380)))</f>
        <v>0</v>
      </c>
      <c r="DS204" s="395">
        <f ca="1">IF($E$380=0,0,IF(SUM($G204:DR204)=70%,0,IF(SUM($G380:DR380)&gt;=$E380,(70%/$E380)*($E380-SUM($G380:DQ380)),(70%/$E380)*DR380)))</f>
        <v>0</v>
      </c>
      <c r="DT204" s="395">
        <f ca="1">IF($E$380=0,0,IF(SUM($G204:DS204)=70%,0,IF(SUM($G380:DS380)&gt;=$E380,(70%/$E380)*($E380-SUM($G380:DR380)),(70%/$E380)*DS380)))</f>
        <v>0</v>
      </c>
      <c r="DU204" s="395">
        <f ca="1">IF($E$380=0,0,IF(SUM($G204:DT204)=70%,0,IF(SUM($G380:DT380)&gt;=$E380,(70%/$E380)*($E380-SUM($G380:DS380)),(70%/$E380)*DT380)))</f>
        <v>0</v>
      </c>
      <c r="DV204" s="395">
        <f ca="1">IF($E$380=0,0,IF(SUM($G204:DU204)=70%,0,IF(SUM($G380:DU380)&gt;=$E380,(70%/$E380)*($E380-SUM($G380:DT380)),(70%/$E380)*DU380)))</f>
        <v>0</v>
      </c>
      <c r="DW204" s="395">
        <f ca="1">IF($E$380=0,0,IF(SUM($G204:DV204)=70%,0,IF(SUM($G380:DV380)&gt;=$E380,(70%/$E380)*($E380-SUM($G380:DU380)),(70%/$E380)*DV380)))</f>
        <v>0</v>
      </c>
      <c r="DX204" s="395">
        <f ca="1">IF($E$380=0,0,IF(SUM($G204:DW204)=70%,0,IF(SUM($G380:DW380)&gt;=$E380,(70%/$E380)*($E380-SUM($G380:DV380)),(70%/$E380)*DW380)))</f>
        <v>0</v>
      </c>
      <c r="DY204" s="395">
        <f ca="1">IF($E$380=0,0,IF(SUM($G204:DX204)=70%,0,IF(SUM($G380:DX380)&gt;=$E380,(70%/$E380)*($E380-SUM($G380:DW380)),(70%/$E380)*DX380)))</f>
        <v>0</v>
      </c>
      <c r="DZ204" s="395">
        <f ca="1">IF($E$380=0,0,IF(SUM($G204:DY204)=70%,0,IF(SUM($G380:DY380)&gt;=$E380,(70%/$E380)*($E380-SUM($G380:DX380)),(70%/$E380)*DY380)))</f>
        <v>0</v>
      </c>
      <c r="EA204" s="395">
        <f ca="1">IF($E$380=0,0,IF(SUM($G204:DZ204)=70%,0,IF(SUM($G380:DZ380)&gt;=$E380,(70%/$E380)*($E380-SUM($G380:DY380)),(70%/$E380)*DZ380)))</f>
        <v>0</v>
      </c>
      <c r="EB204" s="395">
        <f ca="1">IF($E$380=0,0,IF(SUM($G204:EA204)=70%,0,IF(SUM($G380:EA380)&gt;=$E380,(70%/$E380)*($E380-SUM($G380:DZ380)),(70%/$E380)*EA380)))</f>
        <v>0</v>
      </c>
      <c r="EC204" s="395">
        <f ca="1">IF($E$380=0,0,IF(SUM($G204:EB204)=70%,0,IF(SUM($G380:EB380)&gt;=$E380,(70%/$E380)*($E380-SUM($G380:EA380)),(70%/$E380)*EB380)))</f>
        <v>0</v>
      </c>
      <c r="ED204" s="395">
        <f ca="1">IF($E$380=0,0,IF(SUM($G204:EC204)=70%,0,IF(SUM($G380:EC380)&gt;=$E380,(70%/$E380)*($E380-SUM($G380:EB380)),(70%/$E380)*EC380)))</f>
        <v>0</v>
      </c>
      <c r="EE204" s="395">
        <f ca="1">IF($E$380=0,0,IF(SUM($G204:ED204)=70%,0,IF(SUM($G380:ED380)&gt;=$E380,(70%/$E380)*($E380-SUM($G380:EC380)),(70%/$E380)*ED380)))</f>
        <v>0</v>
      </c>
      <c r="EF204" s="395">
        <f ca="1">IF($E$380=0,0,IF(SUM($G204:EE204)=70%,0,IF(SUM($G380:EE380)&gt;=$E380,(70%/$E380)*($E380-SUM($G380:ED380)),(70%/$E380)*EE380)))</f>
        <v>0</v>
      </c>
      <c r="EG204" s="395">
        <f ca="1">IF($E$380=0,0,IF(SUM($G204:EF204)=70%,0,IF(SUM($G380:EF380)&gt;=$E380,(70%/$E380)*($E380-SUM($G380:EE380)),(70%/$E380)*EF380)))</f>
        <v>0</v>
      </c>
      <c r="EH204" s="395">
        <f ca="1">IF($E$380=0,0,IF(SUM($G204:EG204)=70%,0,IF(SUM($G380:EG380)&gt;=$E380,(70%/$E380)*($E380-SUM($G380:EF380)),(70%/$E380)*EG380)))</f>
        <v>0</v>
      </c>
      <c r="EI204" s="395">
        <f ca="1">IF($E$380=0,0,IF(SUM($G204:EH204)=70%,0,IF(SUM($G380:EH380)&gt;=$E380,(70%/$E380)*($E380-SUM($G380:EG380)),(70%/$E380)*EH380)))</f>
        <v>0</v>
      </c>
      <c r="EJ204" s="398"/>
      <c r="EK204" s="313"/>
    </row>
    <row r="205" spans="1:141" hidden="1" outlineLevel="1" collapsed="1">
      <c r="A205" s="332"/>
      <c r="B205" s="313"/>
      <c r="C205" s="392" t="s">
        <v>281</v>
      </c>
      <c r="D205" s="392" t="str">
        <f>D385</f>
        <v>Социальная инфраструктура - доу</v>
      </c>
      <c r="E205" s="393">
        <f ca="1">ROUND(IF(F205=0,0,100%-F205),0)</f>
        <v>0</v>
      </c>
      <c r="F205" s="394">
        <f t="shared" ca="1" si="283"/>
        <v>1.0000000000000002</v>
      </c>
      <c r="G205" s="395">
        <f>SUM(G206:G207)</f>
        <v>0</v>
      </c>
      <c r="H205" s="395">
        <f ca="1">SUM(H206:H207)</f>
        <v>0</v>
      </c>
      <c r="I205" s="395">
        <f t="shared" ref="I205:BT205" ca="1" si="423">SUM(I206:I207)</f>
        <v>0</v>
      </c>
      <c r="J205" s="395">
        <f t="shared" ca="1" si="423"/>
        <v>0</v>
      </c>
      <c r="K205" s="395">
        <f t="shared" ca="1" si="423"/>
        <v>0</v>
      </c>
      <c r="L205" s="395">
        <f t="shared" ca="1" si="423"/>
        <v>0</v>
      </c>
      <c r="M205" s="395">
        <f t="shared" ca="1" si="423"/>
        <v>0</v>
      </c>
      <c r="N205" s="395">
        <f t="shared" ca="1" si="423"/>
        <v>0</v>
      </c>
      <c r="O205" s="395">
        <f t="shared" ca="1" si="423"/>
        <v>0</v>
      </c>
      <c r="P205" s="395">
        <f t="shared" ca="1" si="423"/>
        <v>0</v>
      </c>
      <c r="Q205" s="395">
        <f t="shared" ca="1" si="423"/>
        <v>0</v>
      </c>
      <c r="R205" s="395">
        <f t="shared" ca="1" si="423"/>
        <v>0</v>
      </c>
      <c r="S205" s="395">
        <f t="shared" ca="1" si="423"/>
        <v>0</v>
      </c>
      <c r="T205" s="395">
        <f t="shared" ca="1" si="423"/>
        <v>0</v>
      </c>
      <c r="U205" s="395">
        <f t="shared" ca="1" si="423"/>
        <v>0</v>
      </c>
      <c r="V205" s="395">
        <f t="shared" ca="1" si="423"/>
        <v>0</v>
      </c>
      <c r="W205" s="395">
        <f t="shared" ca="1" si="423"/>
        <v>0</v>
      </c>
      <c r="X205" s="395">
        <f t="shared" ca="1" si="423"/>
        <v>0</v>
      </c>
      <c r="Y205" s="395">
        <f t="shared" ca="1" si="423"/>
        <v>0</v>
      </c>
      <c r="Z205" s="395">
        <f t="shared" ca="1" si="423"/>
        <v>0</v>
      </c>
      <c r="AA205" s="395">
        <f t="shared" ca="1" si="423"/>
        <v>0</v>
      </c>
      <c r="AB205" s="395">
        <f t="shared" ca="1" si="423"/>
        <v>0</v>
      </c>
      <c r="AC205" s="395">
        <f t="shared" ca="1" si="423"/>
        <v>0</v>
      </c>
      <c r="AD205" s="395">
        <f t="shared" ca="1" si="423"/>
        <v>0</v>
      </c>
      <c r="AE205" s="395">
        <f t="shared" ca="1" si="423"/>
        <v>0</v>
      </c>
      <c r="AF205" s="395">
        <f t="shared" ca="1" si="423"/>
        <v>0</v>
      </c>
      <c r="AG205" s="395">
        <f t="shared" ca="1" si="423"/>
        <v>0</v>
      </c>
      <c r="AH205" s="395">
        <f t="shared" ca="1" si="423"/>
        <v>0</v>
      </c>
      <c r="AI205" s="395">
        <f t="shared" ca="1" si="423"/>
        <v>0</v>
      </c>
      <c r="AJ205" s="395">
        <f t="shared" ca="1" si="423"/>
        <v>0</v>
      </c>
      <c r="AK205" s="395">
        <f t="shared" ca="1" si="423"/>
        <v>0</v>
      </c>
      <c r="AL205" s="395">
        <f t="shared" ca="1" si="423"/>
        <v>0</v>
      </c>
      <c r="AM205" s="395">
        <f t="shared" ca="1" si="423"/>
        <v>0</v>
      </c>
      <c r="AN205" s="395">
        <f t="shared" ca="1" si="423"/>
        <v>0</v>
      </c>
      <c r="AO205" s="395">
        <f t="shared" ca="1" si="423"/>
        <v>0</v>
      </c>
      <c r="AP205" s="395">
        <f t="shared" ca="1" si="423"/>
        <v>0</v>
      </c>
      <c r="AQ205" s="395">
        <f t="shared" ca="1" si="423"/>
        <v>0</v>
      </c>
      <c r="AR205" s="395">
        <f t="shared" ca="1" si="423"/>
        <v>0</v>
      </c>
      <c r="AS205" s="395">
        <f t="shared" ca="1" si="423"/>
        <v>0</v>
      </c>
      <c r="AT205" s="395">
        <f t="shared" ca="1" si="423"/>
        <v>0</v>
      </c>
      <c r="AU205" s="395">
        <f t="shared" ca="1" si="423"/>
        <v>0</v>
      </c>
      <c r="AV205" s="395">
        <f t="shared" ca="1" si="423"/>
        <v>0</v>
      </c>
      <c r="AW205" s="395">
        <f t="shared" ca="1" si="423"/>
        <v>0</v>
      </c>
      <c r="AX205" s="395">
        <f t="shared" ca="1" si="423"/>
        <v>0</v>
      </c>
      <c r="AY205" s="395">
        <f t="shared" ca="1" si="423"/>
        <v>0</v>
      </c>
      <c r="AZ205" s="395">
        <f t="shared" ca="1" si="423"/>
        <v>0.3</v>
      </c>
      <c r="BA205" s="395">
        <f t="shared" ca="1" si="423"/>
        <v>0</v>
      </c>
      <c r="BB205" s="395">
        <f t="shared" ca="1" si="423"/>
        <v>4.7945205479452057E-3</v>
      </c>
      <c r="BC205" s="395">
        <f t="shared" ca="1" si="423"/>
        <v>2.6849315068493151E-2</v>
      </c>
      <c r="BD205" s="395">
        <f t="shared" ca="1" si="423"/>
        <v>2.9726027397260272E-2</v>
      </c>
      <c r="BE205" s="395">
        <f t="shared" ca="1" si="423"/>
        <v>2.8767123287671233E-2</v>
      </c>
      <c r="BF205" s="395">
        <f t="shared" ca="1" si="423"/>
        <v>2.9726027397260272E-2</v>
      </c>
      <c r="BG205" s="395">
        <f t="shared" ca="1" si="423"/>
        <v>2.8767123287671233E-2</v>
      </c>
      <c r="BH205" s="395">
        <f t="shared" ca="1" si="423"/>
        <v>2.9726027397260272E-2</v>
      </c>
      <c r="BI205" s="395">
        <f t="shared" ca="1" si="423"/>
        <v>2.9726027397260272E-2</v>
      </c>
      <c r="BJ205" s="395">
        <f t="shared" ca="1" si="423"/>
        <v>2.8767123287671233E-2</v>
      </c>
      <c r="BK205" s="395">
        <f t="shared" ca="1" si="423"/>
        <v>2.9726027397260272E-2</v>
      </c>
      <c r="BL205" s="395">
        <f t="shared" ca="1" si="423"/>
        <v>2.8767123287671233E-2</v>
      </c>
      <c r="BM205" s="395">
        <f t="shared" ca="1" si="423"/>
        <v>2.9726027397260272E-2</v>
      </c>
      <c r="BN205" s="395">
        <f t="shared" ca="1" si="423"/>
        <v>2.9726027397260272E-2</v>
      </c>
      <c r="BO205" s="395">
        <f t="shared" ca="1" si="423"/>
        <v>2.780821917808219E-2</v>
      </c>
      <c r="BP205" s="395">
        <f t="shared" ca="1" si="423"/>
        <v>2.9726027397260272E-2</v>
      </c>
      <c r="BQ205" s="395">
        <f t="shared" ca="1" si="423"/>
        <v>2.8767123287671233E-2</v>
      </c>
      <c r="BR205" s="395">
        <f t="shared" ca="1" si="423"/>
        <v>2.9726027397260272E-2</v>
      </c>
      <c r="BS205" s="395">
        <f t="shared" ca="1" si="423"/>
        <v>2.8767123287671233E-2</v>
      </c>
      <c r="BT205" s="395">
        <f t="shared" ca="1" si="423"/>
        <v>2.9726027397260272E-2</v>
      </c>
      <c r="BU205" s="395">
        <f t="shared" ref="BU205:EF205" ca="1" si="424">SUM(BU206:BU207)</f>
        <v>2.9726027397260272E-2</v>
      </c>
      <c r="BV205" s="395">
        <f t="shared" ca="1" si="424"/>
        <v>2.8767123287671233E-2</v>
      </c>
      <c r="BW205" s="395">
        <f t="shared" ca="1" si="424"/>
        <v>2.9726027397260272E-2</v>
      </c>
      <c r="BX205" s="395">
        <f t="shared" ca="1" si="424"/>
        <v>2.8767123287671233E-2</v>
      </c>
      <c r="BY205" s="395">
        <f t="shared" ca="1" si="424"/>
        <v>2.9726027397260272E-2</v>
      </c>
      <c r="BZ205" s="395">
        <f t="shared" ca="1" si="424"/>
        <v>2.3972602739726026E-2</v>
      </c>
      <c r="CA205" s="395">
        <f t="shared" ca="1" si="424"/>
        <v>0</v>
      </c>
      <c r="CB205" s="395">
        <f t="shared" ca="1" si="424"/>
        <v>0</v>
      </c>
      <c r="CC205" s="395">
        <f t="shared" ca="1" si="424"/>
        <v>0</v>
      </c>
      <c r="CD205" s="395">
        <f t="shared" ca="1" si="424"/>
        <v>0</v>
      </c>
      <c r="CE205" s="395">
        <f t="shared" ca="1" si="424"/>
        <v>0</v>
      </c>
      <c r="CF205" s="395">
        <f t="shared" ca="1" si="424"/>
        <v>0</v>
      </c>
      <c r="CG205" s="395">
        <f t="shared" ca="1" si="424"/>
        <v>0</v>
      </c>
      <c r="CH205" s="395">
        <f t="shared" ca="1" si="424"/>
        <v>0</v>
      </c>
      <c r="CI205" s="395">
        <f t="shared" ca="1" si="424"/>
        <v>0</v>
      </c>
      <c r="CJ205" s="395">
        <f t="shared" ca="1" si="424"/>
        <v>0</v>
      </c>
      <c r="CK205" s="395">
        <f t="shared" ca="1" si="424"/>
        <v>0</v>
      </c>
      <c r="CL205" s="395">
        <f t="shared" ca="1" si="424"/>
        <v>0</v>
      </c>
      <c r="CM205" s="395">
        <f t="shared" ca="1" si="424"/>
        <v>0</v>
      </c>
      <c r="CN205" s="395">
        <f t="shared" ca="1" si="424"/>
        <v>0</v>
      </c>
      <c r="CO205" s="395">
        <f t="shared" ca="1" si="424"/>
        <v>0</v>
      </c>
      <c r="CP205" s="395">
        <f t="shared" ca="1" si="424"/>
        <v>0</v>
      </c>
      <c r="CQ205" s="395">
        <f t="shared" ca="1" si="424"/>
        <v>0</v>
      </c>
      <c r="CR205" s="395">
        <f t="shared" ca="1" si="424"/>
        <v>0</v>
      </c>
      <c r="CS205" s="395">
        <f t="shared" ca="1" si="424"/>
        <v>0</v>
      </c>
      <c r="CT205" s="395">
        <f t="shared" ca="1" si="424"/>
        <v>0</v>
      </c>
      <c r="CU205" s="395">
        <f t="shared" ca="1" si="424"/>
        <v>0</v>
      </c>
      <c r="CV205" s="395">
        <f t="shared" ca="1" si="424"/>
        <v>0</v>
      </c>
      <c r="CW205" s="395">
        <f t="shared" ca="1" si="424"/>
        <v>0</v>
      </c>
      <c r="CX205" s="395">
        <f t="shared" ca="1" si="424"/>
        <v>0</v>
      </c>
      <c r="CY205" s="395">
        <f t="shared" ca="1" si="424"/>
        <v>0</v>
      </c>
      <c r="CZ205" s="395">
        <f t="shared" ca="1" si="424"/>
        <v>0</v>
      </c>
      <c r="DA205" s="395">
        <f t="shared" ca="1" si="424"/>
        <v>0</v>
      </c>
      <c r="DB205" s="395">
        <f t="shared" ca="1" si="424"/>
        <v>0</v>
      </c>
      <c r="DC205" s="395">
        <f t="shared" ca="1" si="424"/>
        <v>0</v>
      </c>
      <c r="DD205" s="395">
        <f t="shared" ca="1" si="424"/>
        <v>0</v>
      </c>
      <c r="DE205" s="395">
        <f t="shared" ca="1" si="424"/>
        <v>0</v>
      </c>
      <c r="DF205" s="395">
        <f t="shared" ca="1" si="424"/>
        <v>0</v>
      </c>
      <c r="DG205" s="395">
        <f t="shared" ca="1" si="424"/>
        <v>0</v>
      </c>
      <c r="DH205" s="395">
        <f t="shared" ca="1" si="424"/>
        <v>0</v>
      </c>
      <c r="DI205" s="395">
        <f t="shared" ca="1" si="424"/>
        <v>0</v>
      </c>
      <c r="DJ205" s="395">
        <f t="shared" ca="1" si="424"/>
        <v>0</v>
      </c>
      <c r="DK205" s="395">
        <f t="shared" ca="1" si="424"/>
        <v>0</v>
      </c>
      <c r="DL205" s="395">
        <f t="shared" ca="1" si="424"/>
        <v>0</v>
      </c>
      <c r="DM205" s="395">
        <f t="shared" ca="1" si="424"/>
        <v>0</v>
      </c>
      <c r="DN205" s="395">
        <f t="shared" ca="1" si="424"/>
        <v>0</v>
      </c>
      <c r="DO205" s="395">
        <f t="shared" ca="1" si="424"/>
        <v>0</v>
      </c>
      <c r="DP205" s="395">
        <f t="shared" ca="1" si="424"/>
        <v>0</v>
      </c>
      <c r="DQ205" s="395">
        <f t="shared" ca="1" si="424"/>
        <v>0</v>
      </c>
      <c r="DR205" s="395">
        <f t="shared" ca="1" si="424"/>
        <v>0</v>
      </c>
      <c r="DS205" s="395">
        <f t="shared" ca="1" si="424"/>
        <v>0</v>
      </c>
      <c r="DT205" s="395">
        <f t="shared" ca="1" si="424"/>
        <v>0</v>
      </c>
      <c r="DU205" s="395">
        <f t="shared" ca="1" si="424"/>
        <v>0</v>
      </c>
      <c r="DV205" s="395">
        <f t="shared" ca="1" si="424"/>
        <v>0</v>
      </c>
      <c r="DW205" s="395">
        <f t="shared" ca="1" si="424"/>
        <v>0</v>
      </c>
      <c r="DX205" s="395">
        <f t="shared" ca="1" si="424"/>
        <v>0</v>
      </c>
      <c r="DY205" s="395">
        <f t="shared" ca="1" si="424"/>
        <v>0</v>
      </c>
      <c r="DZ205" s="395">
        <f t="shared" ca="1" si="424"/>
        <v>0</v>
      </c>
      <c r="EA205" s="395">
        <f t="shared" ca="1" si="424"/>
        <v>0</v>
      </c>
      <c r="EB205" s="395">
        <f t="shared" ca="1" si="424"/>
        <v>0</v>
      </c>
      <c r="EC205" s="395">
        <f t="shared" ca="1" si="424"/>
        <v>0</v>
      </c>
      <c r="ED205" s="395">
        <f t="shared" ca="1" si="424"/>
        <v>0</v>
      </c>
      <c r="EE205" s="395">
        <f t="shared" ca="1" si="424"/>
        <v>0</v>
      </c>
      <c r="EF205" s="395">
        <f t="shared" ca="1" si="424"/>
        <v>0</v>
      </c>
      <c r="EG205" s="395">
        <f t="shared" ref="EG205:EI205" ca="1" si="425">SUM(EG206:EG207)</f>
        <v>0</v>
      </c>
      <c r="EH205" s="395">
        <f t="shared" ca="1" si="425"/>
        <v>0</v>
      </c>
      <c r="EI205" s="395">
        <f t="shared" ca="1" si="425"/>
        <v>0</v>
      </c>
      <c r="EJ205" s="398"/>
      <c r="EK205" s="313"/>
    </row>
    <row r="206" spans="1:141" hidden="1" outlineLevel="2">
      <c r="A206" s="332"/>
      <c r="B206" s="313"/>
      <c r="C206" s="317"/>
      <c r="D206" s="317" t="s">
        <v>664</v>
      </c>
      <c r="E206" s="318">
        <f ca="1">IF(F206=0,0,30%-F206)</f>
        <v>0</v>
      </c>
      <c r="F206" s="397">
        <f t="shared" ca="1" si="283"/>
        <v>0.3</v>
      </c>
      <c r="G206" s="395"/>
      <c r="H206" s="395">
        <f ca="1">IF(SUM($G206:G206)=30%,0,IF(J207&gt;0%,30%,0%))</f>
        <v>0</v>
      </c>
      <c r="I206" s="395">
        <f ca="1">IF(SUM($G206:H206)=30%,0,IF(K207&gt;0%,30%,0%))</f>
        <v>0</v>
      </c>
      <c r="J206" s="395">
        <f ca="1">IF(SUM($G206:I206)=30%,0,IF(L207&gt;0%,30%,0%))</f>
        <v>0</v>
      </c>
      <c r="K206" s="395">
        <f ca="1">IF(SUM($G206:J206)=30%,0,IF(M207&gt;0%,30%,0%))</f>
        <v>0</v>
      </c>
      <c r="L206" s="395">
        <f ca="1">IF(SUM($G206:K206)=30%,0,IF(N207&gt;0%,30%,0%))</f>
        <v>0</v>
      </c>
      <c r="M206" s="395">
        <f ca="1">IF(SUM($G206:L206)=30%,0,IF(O207&gt;0%,30%,0%))</f>
        <v>0</v>
      </c>
      <c r="N206" s="395">
        <f ca="1">IF(SUM($G206:M206)=30%,0,IF(P207&gt;0%,30%,0%))</f>
        <v>0</v>
      </c>
      <c r="O206" s="395">
        <f ca="1">IF(SUM($G206:N206)=30%,0,IF(Q207&gt;0%,30%,0%))</f>
        <v>0</v>
      </c>
      <c r="P206" s="395">
        <f ca="1">IF(SUM($G206:O206)=30%,0,IF(R207&gt;0%,30%,0%))</f>
        <v>0</v>
      </c>
      <c r="Q206" s="395">
        <f ca="1">IF(SUM($G206:P206)=30%,0,IF(S207&gt;0%,30%,0%))</f>
        <v>0</v>
      </c>
      <c r="R206" s="395">
        <f ca="1">IF(SUM($G206:Q206)=30%,0,IF(T207&gt;0%,30%,0%))</f>
        <v>0</v>
      </c>
      <c r="S206" s="395">
        <f ca="1">IF(SUM($G206:R206)=30%,0,IF(U207&gt;0%,30%,0%))</f>
        <v>0</v>
      </c>
      <c r="T206" s="395">
        <f ca="1">IF(SUM($G206:S206)=30%,0,IF(V207&gt;0%,30%,0%))</f>
        <v>0</v>
      </c>
      <c r="U206" s="395">
        <f ca="1">IF(SUM($G206:T206)=30%,0,IF(W207&gt;0%,30%,0%))</f>
        <v>0</v>
      </c>
      <c r="V206" s="395">
        <f ca="1">IF(SUM($G206:U206)=30%,0,IF(X207&gt;0%,30%,0%))</f>
        <v>0</v>
      </c>
      <c r="W206" s="395">
        <f ca="1">IF(SUM($G206:V206)=30%,0,IF(Y207&gt;0%,30%,0%))</f>
        <v>0</v>
      </c>
      <c r="X206" s="395">
        <f ca="1">IF(SUM($G206:W206)=30%,0,IF(Z207&gt;0%,30%,0%))</f>
        <v>0</v>
      </c>
      <c r="Y206" s="395">
        <f ca="1">IF(SUM($G206:X206)=30%,0,IF(AA207&gt;0%,30%,0%))</f>
        <v>0</v>
      </c>
      <c r="Z206" s="395">
        <f ca="1">IF(SUM($G206:Y206)=30%,0,IF(AB207&gt;0%,30%,0%))</f>
        <v>0</v>
      </c>
      <c r="AA206" s="395">
        <f ca="1">IF(SUM($G206:Z206)=30%,0,IF(AC207&gt;0%,30%,0%))</f>
        <v>0</v>
      </c>
      <c r="AB206" s="395">
        <f ca="1">IF(SUM($G206:AA206)=30%,0,IF(AD207&gt;0%,30%,0%))</f>
        <v>0</v>
      </c>
      <c r="AC206" s="395">
        <f ca="1">IF(SUM($G206:AB206)=30%,0,IF(AE207&gt;0%,30%,0%))</f>
        <v>0</v>
      </c>
      <c r="AD206" s="395">
        <f ca="1">IF(SUM($G206:AC206)=30%,0,IF(AF207&gt;0%,30%,0%))</f>
        <v>0</v>
      </c>
      <c r="AE206" s="395">
        <f ca="1">IF(SUM($G206:AD206)=30%,0,IF(AG207&gt;0%,30%,0%))</f>
        <v>0</v>
      </c>
      <c r="AF206" s="395">
        <f ca="1">IF(SUM($G206:AE206)=30%,0,IF(AH207&gt;0%,30%,0%))</f>
        <v>0</v>
      </c>
      <c r="AG206" s="395">
        <f ca="1">IF(SUM($G206:AF206)=30%,0,IF(AI207&gt;0%,30%,0%))</f>
        <v>0</v>
      </c>
      <c r="AH206" s="395">
        <f ca="1">IF(SUM($G206:AG206)=30%,0,IF(AJ207&gt;0%,30%,0%))</f>
        <v>0</v>
      </c>
      <c r="AI206" s="395">
        <f ca="1">IF(SUM($G206:AH206)=30%,0,IF(AK207&gt;0%,30%,0%))</f>
        <v>0</v>
      </c>
      <c r="AJ206" s="395">
        <f ca="1">IF(SUM($G206:AI206)=30%,0,IF(AL207&gt;0%,30%,0%))</f>
        <v>0</v>
      </c>
      <c r="AK206" s="395">
        <f ca="1">IF(SUM($G206:AJ206)=30%,0,IF(AM207&gt;0%,30%,0%))</f>
        <v>0</v>
      </c>
      <c r="AL206" s="395">
        <f ca="1">IF(SUM($G206:AK206)=30%,0,IF(AN207&gt;0%,30%,0%))</f>
        <v>0</v>
      </c>
      <c r="AM206" s="395">
        <f ca="1">IF(SUM($G206:AL206)=30%,0,IF(AO207&gt;0%,30%,0%))</f>
        <v>0</v>
      </c>
      <c r="AN206" s="395">
        <f ca="1">IF(SUM($G206:AM206)=30%,0,IF(AP207&gt;0%,30%,0%))</f>
        <v>0</v>
      </c>
      <c r="AO206" s="395">
        <f ca="1">IF(SUM($G206:AN206)=30%,0,IF(AQ207&gt;0%,30%,0%))</f>
        <v>0</v>
      </c>
      <c r="AP206" s="395">
        <f ca="1">IF(SUM($G206:AO206)=30%,0,IF(AR207&gt;0%,30%,0%))</f>
        <v>0</v>
      </c>
      <c r="AQ206" s="395">
        <f ca="1">IF(SUM($G206:AP206)=30%,0,IF(AS207&gt;0%,30%,0%))</f>
        <v>0</v>
      </c>
      <c r="AR206" s="395">
        <f ca="1">IF(SUM($G206:AQ206)=30%,0,IF(AT207&gt;0%,30%,0%))</f>
        <v>0</v>
      </c>
      <c r="AS206" s="395">
        <f ca="1">IF(SUM($G206:AR206)=30%,0,IF(AU207&gt;0%,30%,0%))</f>
        <v>0</v>
      </c>
      <c r="AT206" s="395">
        <f ca="1">IF(SUM($G206:AS206)=30%,0,IF(AV207&gt;0%,30%,0%))</f>
        <v>0</v>
      </c>
      <c r="AU206" s="395">
        <f ca="1">IF(SUM($G206:AT206)=30%,0,IF(AW207&gt;0%,30%,0%))</f>
        <v>0</v>
      </c>
      <c r="AV206" s="395">
        <f ca="1">IF(SUM($G206:AU206)=30%,0,IF(AX207&gt;0%,30%,0%))</f>
        <v>0</v>
      </c>
      <c r="AW206" s="395">
        <f ca="1">IF(SUM($G206:AV206)=30%,0,IF(AY207&gt;0%,30%,0%))</f>
        <v>0</v>
      </c>
      <c r="AX206" s="395">
        <f ca="1">IF(SUM($G206:AW206)=30%,0,IF(AZ207&gt;0%,30%,0%))</f>
        <v>0</v>
      </c>
      <c r="AY206" s="395">
        <f ca="1">IF(SUM($G206:AX206)=30%,0,IF(BA207&gt;0%,30%,0%))</f>
        <v>0</v>
      </c>
      <c r="AZ206" s="395">
        <f ca="1">IF(SUM($G206:AY206)=30%,0,IF(BB207&gt;0%,30%,0%))</f>
        <v>0.3</v>
      </c>
      <c r="BA206" s="395">
        <f ca="1">IF(SUM($G206:AZ206)=30%,0,IF(BC207&gt;0%,30%,0%))</f>
        <v>0</v>
      </c>
      <c r="BB206" s="395">
        <f ca="1">IF(SUM($G206:BA206)=30%,0,IF(BD207&gt;0%,30%,0%))</f>
        <v>0</v>
      </c>
      <c r="BC206" s="395">
        <f ca="1">IF(SUM($G206:BB206)=30%,0,IF(BE207&gt;0%,30%,0%))</f>
        <v>0</v>
      </c>
      <c r="BD206" s="395">
        <f ca="1">IF(SUM($G206:BC206)=30%,0,IF(BF207&gt;0%,30%,0%))</f>
        <v>0</v>
      </c>
      <c r="BE206" s="395">
        <f ca="1">IF(SUM($G206:BD206)=30%,0,IF(BG207&gt;0%,30%,0%))</f>
        <v>0</v>
      </c>
      <c r="BF206" s="395">
        <f ca="1">IF(SUM($G206:BE206)=30%,0,IF(BH207&gt;0%,30%,0%))</f>
        <v>0</v>
      </c>
      <c r="BG206" s="395">
        <f ca="1">IF(SUM($G206:BF206)=30%,0,IF(BI207&gt;0%,30%,0%))</f>
        <v>0</v>
      </c>
      <c r="BH206" s="395">
        <f ca="1">IF(SUM($G206:BG206)=30%,0,IF(BJ207&gt;0%,30%,0%))</f>
        <v>0</v>
      </c>
      <c r="BI206" s="395">
        <f ca="1">IF(SUM($G206:BH206)=30%,0,IF(BK207&gt;0%,30%,0%))</f>
        <v>0</v>
      </c>
      <c r="BJ206" s="395">
        <f ca="1">IF(SUM($G206:BI206)=30%,0,IF(BL207&gt;0%,30%,0%))</f>
        <v>0</v>
      </c>
      <c r="BK206" s="395">
        <f ca="1">IF(SUM($G206:BJ206)=30%,0,IF(BM207&gt;0%,30%,0%))</f>
        <v>0</v>
      </c>
      <c r="BL206" s="395">
        <f ca="1">IF(SUM($G206:BK206)=30%,0,IF(BN207&gt;0%,30%,0%))</f>
        <v>0</v>
      </c>
      <c r="BM206" s="395">
        <f ca="1">IF(SUM($G206:BL206)=30%,0,IF(BO207&gt;0%,30%,0%))</f>
        <v>0</v>
      </c>
      <c r="BN206" s="395">
        <f ca="1">IF(SUM($G206:BM206)=30%,0,IF(BP207&gt;0%,30%,0%))</f>
        <v>0</v>
      </c>
      <c r="BO206" s="395">
        <f ca="1">IF(SUM($G206:BN206)=30%,0,IF(BQ207&gt;0%,30%,0%))</f>
        <v>0</v>
      </c>
      <c r="BP206" s="395">
        <f ca="1">IF(SUM($G206:BO206)=30%,0,IF(BR207&gt;0%,30%,0%))</f>
        <v>0</v>
      </c>
      <c r="BQ206" s="395">
        <f ca="1">IF(SUM($G206:BP206)=30%,0,IF(BS207&gt;0%,30%,0%))</f>
        <v>0</v>
      </c>
      <c r="BR206" s="395">
        <f ca="1">IF(SUM($G206:BQ206)=30%,0,IF(BT207&gt;0%,30%,0%))</f>
        <v>0</v>
      </c>
      <c r="BS206" s="395">
        <f ca="1">IF(SUM($G206:BR206)=30%,0,IF(BU207&gt;0%,30%,0%))</f>
        <v>0</v>
      </c>
      <c r="BT206" s="395">
        <f ca="1">IF(SUM($G206:BS206)=30%,0,IF(BV207&gt;0%,30%,0%))</f>
        <v>0</v>
      </c>
      <c r="BU206" s="395">
        <f ca="1">IF(SUM($G206:BT206)=30%,0,IF(BW207&gt;0%,30%,0%))</f>
        <v>0</v>
      </c>
      <c r="BV206" s="395">
        <f ca="1">IF(SUM($G206:BU206)=30%,0,IF(BX207&gt;0%,30%,0%))</f>
        <v>0</v>
      </c>
      <c r="BW206" s="395">
        <f ca="1">IF(SUM($G206:BV206)=30%,0,IF(BY207&gt;0%,30%,0%))</f>
        <v>0</v>
      </c>
      <c r="BX206" s="395">
        <f ca="1">IF(SUM($G206:BW206)=30%,0,IF(BZ207&gt;0%,30%,0%))</f>
        <v>0</v>
      </c>
      <c r="BY206" s="395">
        <f ca="1">IF(SUM($G206:BX206)=30%,0,IF(CA207&gt;0%,30%,0%))</f>
        <v>0</v>
      </c>
      <c r="BZ206" s="395">
        <f ca="1">IF(SUM($G206:BY206)=30%,0,IF(CB207&gt;0%,30%,0%))</f>
        <v>0</v>
      </c>
      <c r="CA206" s="395">
        <f ca="1">IF(SUM($G206:BZ206)=30%,0,IF(CC207&gt;0%,30%,0%))</f>
        <v>0</v>
      </c>
      <c r="CB206" s="395">
        <f ca="1">IF(SUM($G206:CA206)=30%,0,IF(CD207&gt;0%,30%,0%))</f>
        <v>0</v>
      </c>
      <c r="CC206" s="395">
        <f ca="1">IF(SUM($G206:CB206)=30%,0,IF(CE207&gt;0%,30%,0%))</f>
        <v>0</v>
      </c>
      <c r="CD206" s="395">
        <f ca="1">IF(SUM($G206:CC206)=30%,0,IF(CF207&gt;0%,30%,0%))</f>
        <v>0</v>
      </c>
      <c r="CE206" s="395">
        <f ca="1">IF(SUM($G206:CD206)=30%,0,IF(CG207&gt;0%,30%,0%))</f>
        <v>0</v>
      </c>
      <c r="CF206" s="395">
        <f ca="1">IF(SUM($G206:CE206)=30%,0,IF(CH207&gt;0%,30%,0%))</f>
        <v>0</v>
      </c>
      <c r="CG206" s="395">
        <f ca="1">IF(SUM($G206:CF206)=30%,0,IF(CI207&gt;0%,30%,0%))</f>
        <v>0</v>
      </c>
      <c r="CH206" s="395">
        <f ca="1">IF(SUM($G206:CG206)=30%,0,IF(CJ207&gt;0%,30%,0%))</f>
        <v>0</v>
      </c>
      <c r="CI206" s="395">
        <f ca="1">IF(SUM($G206:CH206)=30%,0,IF(CK207&gt;0%,30%,0%))</f>
        <v>0</v>
      </c>
      <c r="CJ206" s="395">
        <f ca="1">IF(SUM($G206:CI206)=30%,0,IF(CL207&gt;0%,30%,0%))</f>
        <v>0</v>
      </c>
      <c r="CK206" s="395">
        <f ca="1">IF(SUM($G206:CJ206)=30%,0,IF(CM207&gt;0%,30%,0%))</f>
        <v>0</v>
      </c>
      <c r="CL206" s="395">
        <f ca="1">IF(SUM($G206:CK206)=30%,0,IF(CN207&gt;0%,30%,0%))</f>
        <v>0</v>
      </c>
      <c r="CM206" s="395">
        <f ca="1">IF(SUM($G206:CL206)=30%,0,IF(CO207&gt;0%,30%,0%))</f>
        <v>0</v>
      </c>
      <c r="CN206" s="395">
        <f ca="1">IF(SUM($G206:CM206)=30%,0,IF(CP207&gt;0%,30%,0%))</f>
        <v>0</v>
      </c>
      <c r="CO206" s="395">
        <f ca="1">IF(SUM($G206:CN206)=30%,0,IF(CQ207&gt;0%,30%,0%))</f>
        <v>0</v>
      </c>
      <c r="CP206" s="395">
        <f ca="1">IF(SUM($G206:CO206)=30%,0,IF(CR207&gt;0%,30%,0%))</f>
        <v>0</v>
      </c>
      <c r="CQ206" s="395">
        <f ca="1">IF(SUM($G206:CP206)=30%,0,IF(CS207&gt;0%,30%,0%))</f>
        <v>0</v>
      </c>
      <c r="CR206" s="395">
        <f ca="1">IF(SUM($G206:CQ206)=30%,0,IF(CT207&gt;0%,30%,0%))</f>
        <v>0</v>
      </c>
      <c r="CS206" s="395">
        <f ca="1">IF(SUM($G206:CR206)=30%,0,IF(CU207&gt;0%,30%,0%))</f>
        <v>0</v>
      </c>
      <c r="CT206" s="395">
        <f ca="1">IF(SUM($G206:CS206)=30%,0,IF(CV207&gt;0%,30%,0%))</f>
        <v>0</v>
      </c>
      <c r="CU206" s="395">
        <f ca="1">IF(SUM($G206:CT206)=30%,0,IF(CW207&gt;0%,30%,0%))</f>
        <v>0</v>
      </c>
      <c r="CV206" s="395">
        <f ca="1">IF(SUM($G206:CU206)=30%,0,IF(CX207&gt;0%,30%,0%))</f>
        <v>0</v>
      </c>
      <c r="CW206" s="395">
        <f ca="1">IF(SUM($G206:CV206)=30%,0,IF(CY207&gt;0%,30%,0%))</f>
        <v>0</v>
      </c>
      <c r="CX206" s="395">
        <f ca="1">IF(SUM($G206:CW206)=30%,0,IF(CZ207&gt;0%,30%,0%))</f>
        <v>0</v>
      </c>
      <c r="CY206" s="395">
        <f ca="1">IF(SUM($G206:CX206)=30%,0,IF(DA207&gt;0%,30%,0%))</f>
        <v>0</v>
      </c>
      <c r="CZ206" s="395">
        <f ca="1">IF(SUM($G206:CY206)=30%,0,IF(DB207&gt;0%,30%,0%))</f>
        <v>0</v>
      </c>
      <c r="DA206" s="395">
        <f ca="1">IF(SUM($G206:CZ206)=30%,0,IF(DC207&gt;0%,30%,0%))</f>
        <v>0</v>
      </c>
      <c r="DB206" s="395">
        <f ca="1">IF(SUM($G206:DA206)=30%,0,IF(DD207&gt;0%,30%,0%))</f>
        <v>0</v>
      </c>
      <c r="DC206" s="395">
        <f ca="1">IF(SUM($G206:DB206)=30%,0,IF(DE207&gt;0%,30%,0%))</f>
        <v>0</v>
      </c>
      <c r="DD206" s="395">
        <f ca="1">IF(SUM($G206:DC206)=30%,0,IF(DF207&gt;0%,30%,0%))</f>
        <v>0</v>
      </c>
      <c r="DE206" s="395">
        <f ca="1">IF(SUM($G206:DD206)=30%,0,IF(DG207&gt;0%,30%,0%))</f>
        <v>0</v>
      </c>
      <c r="DF206" s="395">
        <f ca="1">IF(SUM($G206:DE206)=30%,0,IF(DH207&gt;0%,30%,0%))</f>
        <v>0</v>
      </c>
      <c r="DG206" s="395">
        <f ca="1">IF(SUM($G206:DF206)=30%,0,IF(DI207&gt;0%,30%,0%))</f>
        <v>0</v>
      </c>
      <c r="DH206" s="395">
        <f ca="1">IF(SUM($G206:DG206)=30%,0,IF(DJ207&gt;0%,30%,0%))</f>
        <v>0</v>
      </c>
      <c r="DI206" s="395">
        <f ca="1">IF(SUM($G206:DH206)=30%,0,IF(DK207&gt;0%,30%,0%))</f>
        <v>0</v>
      </c>
      <c r="DJ206" s="395">
        <f ca="1">IF(SUM($G206:DI206)=30%,0,IF(DL207&gt;0%,30%,0%))</f>
        <v>0</v>
      </c>
      <c r="DK206" s="395">
        <f ca="1">IF(SUM($G206:DJ206)=30%,0,IF(DM207&gt;0%,30%,0%))</f>
        <v>0</v>
      </c>
      <c r="DL206" s="395">
        <f ca="1">IF(SUM($G206:DK206)=30%,0,IF(DN207&gt;0%,30%,0%))</f>
        <v>0</v>
      </c>
      <c r="DM206" s="395">
        <f ca="1">IF(SUM($G206:DL206)=30%,0,IF(DO207&gt;0%,30%,0%))</f>
        <v>0</v>
      </c>
      <c r="DN206" s="395">
        <f ca="1">IF(SUM($G206:DM206)=30%,0,IF(DP207&gt;0%,30%,0%))</f>
        <v>0</v>
      </c>
      <c r="DO206" s="395">
        <f ca="1">IF(SUM($G206:DN206)=30%,0,IF(DQ207&gt;0%,30%,0%))</f>
        <v>0</v>
      </c>
      <c r="DP206" s="395">
        <f ca="1">IF(SUM($G206:DO206)=30%,0,IF(DR207&gt;0%,30%,0%))</f>
        <v>0</v>
      </c>
      <c r="DQ206" s="395">
        <f ca="1">IF(SUM($G206:DP206)=30%,0,IF(DS207&gt;0%,30%,0%))</f>
        <v>0</v>
      </c>
      <c r="DR206" s="395">
        <f ca="1">IF(SUM($G206:DQ206)=30%,0,IF(DT207&gt;0%,30%,0%))</f>
        <v>0</v>
      </c>
      <c r="DS206" s="395">
        <f ca="1">IF(SUM($G206:DR206)=30%,0,IF(DU207&gt;0%,30%,0%))</f>
        <v>0</v>
      </c>
      <c r="DT206" s="395">
        <f ca="1">IF(SUM($G206:DS206)=30%,0,IF(DV207&gt;0%,30%,0%))</f>
        <v>0</v>
      </c>
      <c r="DU206" s="395">
        <f ca="1">IF(SUM($G206:DT206)=30%,0,IF(DW207&gt;0%,30%,0%))</f>
        <v>0</v>
      </c>
      <c r="DV206" s="395">
        <f ca="1">IF(SUM($G206:DU206)=30%,0,IF(DX207&gt;0%,30%,0%))</f>
        <v>0</v>
      </c>
      <c r="DW206" s="395">
        <f ca="1">IF(SUM($G206:DV206)=30%,0,IF(DY207&gt;0%,30%,0%))</f>
        <v>0</v>
      </c>
      <c r="DX206" s="395">
        <f ca="1">IF(SUM($G206:DW206)=30%,0,IF(DZ207&gt;0%,30%,0%))</f>
        <v>0</v>
      </c>
      <c r="DY206" s="395">
        <f ca="1">IF(SUM($G206:DX206)=30%,0,IF(EA207&gt;0%,30%,0%))</f>
        <v>0</v>
      </c>
      <c r="DZ206" s="395">
        <f ca="1">IF(SUM($G206:DY206)=30%,0,IF(EB207&gt;0%,30%,0%))</f>
        <v>0</v>
      </c>
      <c r="EA206" s="395">
        <f ca="1">IF(SUM($G206:DZ206)=30%,0,IF(EC207&gt;0%,30%,0%))</f>
        <v>0</v>
      </c>
      <c r="EB206" s="395">
        <f ca="1">IF(SUM($G206:EA206)=30%,0,IF(ED207&gt;0%,30%,0%))</f>
        <v>0</v>
      </c>
      <c r="EC206" s="395">
        <f ca="1">IF(SUM($G206:EB206)=30%,0,IF(EE207&gt;0%,30%,0%))</f>
        <v>0</v>
      </c>
      <c r="ED206" s="395">
        <f ca="1">IF(SUM($G206:EC206)=30%,0,IF(EF207&gt;0%,30%,0%))</f>
        <v>0</v>
      </c>
      <c r="EE206" s="395">
        <f ca="1">IF(SUM($G206:ED206)=30%,0,IF(EG207&gt;0%,30%,0%))</f>
        <v>0</v>
      </c>
      <c r="EF206" s="395">
        <f ca="1">IF(SUM($G206:EE206)=30%,0,IF(EH207&gt;0%,30%,0%))</f>
        <v>0</v>
      </c>
      <c r="EG206" s="395">
        <f ca="1">IF(SUM($G206:EF206)=30%,0,IF(EI207&gt;0%,30%,0%))</f>
        <v>0</v>
      </c>
      <c r="EH206" s="395">
        <f ca="1">IF(SUM($G206:EG206)=30%,0,IF(EJ207&gt;0%,30%,0%))</f>
        <v>0</v>
      </c>
      <c r="EI206" s="395">
        <f ca="1">IF(SUM($G206:EH206)=30%,0,IF(EK207&gt;0%,30%,0%))</f>
        <v>0</v>
      </c>
      <c r="EJ206" s="398"/>
      <c r="EK206" s="313"/>
    </row>
    <row r="207" spans="1:141" hidden="1" outlineLevel="2">
      <c r="A207" s="332"/>
      <c r="B207" s="313"/>
      <c r="C207" s="317"/>
      <c r="D207" s="317" t="s">
        <v>663</v>
      </c>
      <c r="E207" s="318">
        <f ca="1">ROUND(IF(F207=0,0,70%-F207),0)</f>
        <v>0</v>
      </c>
      <c r="F207" s="397">
        <f t="shared" ca="1" si="283"/>
        <v>0.7</v>
      </c>
      <c r="G207" s="395"/>
      <c r="H207" s="395"/>
      <c r="I207" s="395">
        <f ca="1">IF($E$385=0,0,IF(SUM($G207:H207)=70%,0,IF(SUM($G385:H385)&gt;=$E385,(70%/$E385)*($E385-SUM($G385:G385)),(70%/$E385)*H385)))</f>
        <v>0</v>
      </c>
      <c r="J207" s="395">
        <f ca="1">IF($E$385=0,0,IF(SUM($G207:I207)=70%,0,IF(SUM($G385:I385)&gt;=$E385,(70%/$E385)*($E385-SUM($G385:H385)),(70%/$E385)*I385)))</f>
        <v>0</v>
      </c>
      <c r="K207" s="395">
        <f ca="1">IF($E$385=0,0,IF(SUM($G207:J207)=70%,0,IF(SUM($G385:J385)&gt;=$E385,(70%/$E385)*($E385-SUM($G385:I385)),(70%/$E385)*J385)))</f>
        <v>0</v>
      </c>
      <c r="L207" s="395">
        <f ca="1">IF($E$385=0,0,IF(SUM($G207:K207)=70%,0,IF(SUM($G385:K385)&gt;=$E385,(70%/$E385)*($E385-SUM($G385:J385)),(70%/$E385)*K385)))</f>
        <v>0</v>
      </c>
      <c r="M207" s="395">
        <f ca="1">IF($E$385=0,0,IF(SUM($G207:L207)=70%,0,IF(SUM($G385:L385)&gt;=$E385,(70%/$E385)*($E385-SUM($G385:K385)),(70%/$E385)*L385)))</f>
        <v>0</v>
      </c>
      <c r="N207" s="395">
        <f ca="1">IF($E$385=0,0,IF(SUM($G207:M207)=70%,0,IF(SUM($G385:M385)&gt;=$E385,(70%/$E385)*($E385-SUM($G385:L385)),(70%/$E385)*M385)))</f>
        <v>0</v>
      </c>
      <c r="O207" s="395">
        <f ca="1">IF($E$385=0,0,IF(SUM($G207:N207)=70%,0,IF(SUM($G385:N385)&gt;=$E385,(70%/$E385)*($E385-SUM($G385:M385)),(70%/$E385)*N385)))</f>
        <v>0</v>
      </c>
      <c r="P207" s="395">
        <f ca="1">IF($E$385=0,0,IF(SUM($G207:O207)=70%,0,IF(SUM($G385:O385)&gt;=$E385,(70%/$E385)*($E385-SUM($G385:N385)),(70%/$E385)*O385)))</f>
        <v>0</v>
      </c>
      <c r="Q207" s="395">
        <f ca="1">IF($E$385=0,0,IF(SUM($G207:P207)=70%,0,IF(SUM($G385:P385)&gt;=$E385,(70%/$E385)*($E385-SUM($G385:O385)),(70%/$E385)*P385)))</f>
        <v>0</v>
      </c>
      <c r="R207" s="395">
        <f ca="1">IF($E$385=0,0,IF(SUM($G207:Q207)=70%,0,IF(SUM($G385:Q385)&gt;=$E385,(70%/$E385)*($E385-SUM($G385:P385)),(70%/$E385)*Q385)))</f>
        <v>0</v>
      </c>
      <c r="S207" s="395">
        <f ca="1">IF($E$385=0,0,IF(SUM($G207:R207)=70%,0,IF(SUM($G385:R385)&gt;=$E385,(70%/$E385)*($E385-SUM($G385:Q385)),(70%/$E385)*R385)))</f>
        <v>0</v>
      </c>
      <c r="T207" s="395">
        <f ca="1">IF($E$385=0,0,IF(SUM($G207:S207)=70%,0,IF(SUM($G385:S385)&gt;=$E385,(70%/$E385)*($E385-SUM($G385:R385)),(70%/$E385)*S385)))</f>
        <v>0</v>
      </c>
      <c r="U207" s="395">
        <f ca="1">IF($E$385=0,0,IF(SUM($G207:T207)=70%,0,IF(SUM($G385:T385)&gt;=$E385,(70%/$E385)*($E385-SUM($G385:S385)),(70%/$E385)*T385)))</f>
        <v>0</v>
      </c>
      <c r="V207" s="395">
        <f ca="1">IF($E$385=0,0,IF(SUM($G207:U207)=70%,0,IF(SUM($G385:U385)&gt;=$E385,(70%/$E385)*($E385-SUM($G385:T385)),(70%/$E385)*U385)))</f>
        <v>0</v>
      </c>
      <c r="W207" s="395">
        <f ca="1">IF($E$385=0,0,IF(SUM($G207:V207)=70%,0,IF(SUM($G385:V385)&gt;=$E385,(70%/$E385)*($E385-SUM($G385:U385)),(70%/$E385)*V385)))</f>
        <v>0</v>
      </c>
      <c r="X207" s="395">
        <f ca="1">IF($E$385=0,0,IF(SUM($G207:W207)=70%,0,IF(SUM($G385:W385)&gt;=$E385,(70%/$E385)*($E385-SUM($G385:V385)),(70%/$E385)*W385)))</f>
        <v>0</v>
      </c>
      <c r="Y207" s="395">
        <f ca="1">IF($E$385=0,0,IF(SUM($G207:X207)=70%,0,IF(SUM($G385:X385)&gt;=$E385,(70%/$E385)*($E385-SUM($G385:W385)),(70%/$E385)*X385)))</f>
        <v>0</v>
      </c>
      <c r="Z207" s="395">
        <f ca="1">IF($E$385=0,0,IF(SUM($G207:Y207)=70%,0,IF(SUM($G385:Y385)&gt;=$E385,(70%/$E385)*($E385-SUM($G385:X385)),(70%/$E385)*Y385)))</f>
        <v>0</v>
      </c>
      <c r="AA207" s="395">
        <f ca="1">IF($E$385=0,0,IF(SUM($G207:Z207)=70%,0,IF(SUM($G385:Z385)&gt;=$E385,(70%/$E385)*($E385-SUM($G385:Y385)),(70%/$E385)*Z385)))</f>
        <v>0</v>
      </c>
      <c r="AB207" s="395">
        <f ca="1">IF($E$385=0,0,IF(SUM($G207:AA207)=70%,0,IF(SUM($G385:AA385)&gt;=$E385,(70%/$E385)*($E385-SUM($G385:Z385)),(70%/$E385)*AA385)))</f>
        <v>0</v>
      </c>
      <c r="AC207" s="395">
        <f ca="1">IF($E$385=0,0,IF(SUM($G207:AB207)=70%,0,IF(SUM($G385:AB385)&gt;=$E385,(70%/$E385)*($E385-SUM($G385:AA385)),(70%/$E385)*AB385)))</f>
        <v>0</v>
      </c>
      <c r="AD207" s="395">
        <f ca="1">IF($E$385=0,0,IF(SUM($G207:AC207)=70%,0,IF(SUM($G385:AC385)&gt;=$E385,(70%/$E385)*($E385-SUM($G385:AB385)),(70%/$E385)*AC385)))</f>
        <v>0</v>
      </c>
      <c r="AE207" s="395">
        <f ca="1">IF($E$385=0,0,IF(SUM($G207:AD207)=70%,0,IF(SUM($G385:AD385)&gt;=$E385,(70%/$E385)*($E385-SUM($G385:AC385)),(70%/$E385)*AD385)))</f>
        <v>0</v>
      </c>
      <c r="AF207" s="395">
        <f ca="1">IF($E$385=0,0,IF(SUM($G207:AE207)=70%,0,IF(SUM($G385:AE385)&gt;=$E385,(70%/$E385)*($E385-SUM($G385:AD385)),(70%/$E385)*AE385)))</f>
        <v>0</v>
      </c>
      <c r="AG207" s="395">
        <f ca="1">IF($E$385=0,0,IF(SUM($G207:AF207)=70%,0,IF(SUM($G385:AF385)&gt;=$E385,(70%/$E385)*($E385-SUM($G385:AE385)),(70%/$E385)*AF385)))</f>
        <v>0</v>
      </c>
      <c r="AH207" s="395">
        <f ca="1">IF($E$385=0,0,IF(SUM($G207:AG207)=70%,0,IF(SUM($G385:AG385)&gt;=$E385,(70%/$E385)*($E385-SUM($G385:AF385)),(70%/$E385)*AG385)))</f>
        <v>0</v>
      </c>
      <c r="AI207" s="395">
        <f ca="1">IF($E$385=0,0,IF(SUM($G207:AH207)=70%,0,IF(SUM($G385:AH385)&gt;=$E385,(70%/$E385)*($E385-SUM($G385:AG385)),(70%/$E385)*AH385)))</f>
        <v>0</v>
      </c>
      <c r="AJ207" s="395">
        <f ca="1">IF($E$385=0,0,IF(SUM($G207:AI207)=70%,0,IF(SUM($G385:AI385)&gt;=$E385,(70%/$E385)*($E385-SUM($G385:AH385)),(70%/$E385)*AI385)))</f>
        <v>0</v>
      </c>
      <c r="AK207" s="395">
        <f ca="1">IF($E$385=0,0,IF(SUM($G207:AJ207)=70%,0,IF(SUM($G385:AJ385)&gt;=$E385,(70%/$E385)*($E385-SUM($G385:AI385)),(70%/$E385)*AJ385)))</f>
        <v>0</v>
      </c>
      <c r="AL207" s="395">
        <f ca="1">IF($E$385=0,0,IF(SUM($G207:AK207)=70%,0,IF(SUM($G385:AK385)&gt;=$E385,(70%/$E385)*($E385-SUM($G385:AJ385)),(70%/$E385)*AK385)))</f>
        <v>0</v>
      </c>
      <c r="AM207" s="395">
        <f ca="1">IF($E$385=0,0,IF(SUM($G207:AL207)=70%,0,IF(SUM($G385:AL385)&gt;=$E385,(70%/$E385)*($E385-SUM($G385:AK385)),(70%/$E385)*AL385)))</f>
        <v>0</v>
      </c>
      <c r="AN207" s="395">
        <f ca="1">IF($E$385=0,0,IF(SUM($G207:AM207)=70%,0,IF(SUM($G385:AM385)&gt;=$E385,(70%/$E385)*($E385-SUM($G385:AL385)),(70%/$E385)*AM385)))</f>
        <v>0</v>
      </c>
      <c r="AO207" s="395">
        <f ca="1">IF($E$385=0,0,IF(SUM($G207:AN207)=70%,0,IF(SUM($G385:AN385)&gt;=$E385,(70%/$E385)*($E385-SUM($G385:AM385)),(70%/$E385)*AN385)))</f>
        <v>0</v>
      </c>
      <c r="AP207" s="395">
        <f ca="1">IF($E$385=0,0,IF(SUM($G207:AO207)=70%,0,IF(SUM($G385:AO385)&gt;=$E385,(70%/$E385)*($E385-SUM($G385:AN385)),(70%/$E385)*AO385)))</f>
        <v>0</v>
      </c>
      <c r="AQ207" s="395">
        <f ca="1">IF($E$385=0,0,IF(SUM($G207:AP207)=70%,0,IF(SUM($G385:AP385)&gt;=$E385,(70%/$E385)*($E385-SUM($G385:AO385)),(70%/$E385)*AP385)))</f>
        <v>0</v>
      </c>
      <c r="AR207" s="395">
        <f ca="1">IF($E$385=0,0,IF(SUM($G207:AQ207)=70%,0,IF(SUM($G385:AQ385)&gt;=$E385,(70%/$E385)*($E385-SUM($G385:AP385)),(70%/$E385)*AQ385)))</f>
        <v>0</v>
      </c>
      <c r="AS207" s="395">
        <f ca="1">IF($E$385=0,0,IF(SUM($G207:AR207)=70%,0,IF(SUM($G385:AR385)&gt;=$E385,(70%/$E385)*($E385-SUM($G385:AQ385)),(70%/$E385)*AR385)))</f>
        <v>0</v>
      </c>
      <c r="AT207" s="395">
        <f ca="1">IF($E$385=0,0,IF(SUM($G207:AS207)=70%,0,IF(SUM($G385:AS385)&gt;=$E385,(70%/$E385)*($E385-SUM($G385:AR385)),(70%/$E385)*AS385)))</f>
        <v>0</v>
      </c>
      <c r="AU207" s="395">
        <f ca="1">IF($E$385=0,0,IF(SUM($G207:AT207)=70%,0,IF(SUM($G385:AT385)&gt;=$E385,(70%/$E385)*($E385-SUM($G385:AS385)),(70%/$E385)*AT385)))</f>
        <v>0</v>
      </c>
      <c r="AV207" s="395">
        <f ca="1">IF($E$385=0,0,IF(SUM($G207:AU207)=70%,0,IF(SUM($G385:AU385)&gt;=$E385,(70%/$E385)*($E385-SUM($G385:AT385)),(70%/$E385)*AU385)))</f>
        <v>0</v>
      </c>
      <c r="AW207" s="395">
        <f ca="1">IF($E$385=0,0,IF(SUM($G207:AV207)=70%,0,IF(SUM($G385:AV385)&gt;=$E385,(70%/$E385)*($E385-SUM($G385:AU385)),(70%/$E385)*AV385)))</f>
        <v>0</v>
      </c>
      <c r="AX207" s="395">
        <f ca="1">IF($E$385=0,0,IF(SUM($G207:AW207)=70%,0,IF(SUM($G385:AW385)&gt;=$E385,(70%/$E385)*($E385-SUM($G385:AV385)),(70%/$E385)*AW385)))</f>
        <v>0</v>
      </c>
      <c r="AY207" s="395">
        <f ca="1">IF($E$385=0,0,IF(SUM($G207:AX207)=70%,0,IF(SUM($G385:AX385)&gt;=$E385,(70%/$E385)*($E385-SUM($G385:AW385)),(70%/$E385)*AX385)))</f>
        <v>0</v>
      </c>
      <c r="AZ207" s="395">
        <f ca="1">IF($E$385=0,0,IF(SUM($G207:AY207)=70%,0,IF(SUM($G385:AY385)&gt;=$E385,(70%/$E385)*($E385-SUM($G385:AX385)),(70%/$E385)*AY385)))</f>
        <v>0</v>
      </c>
      <c r="BA207" s="395">
        <f ca="1">IF($E$385=0,0,IF(SUM($G207:AZ207)=70%,0,IF(SUM($G385:AZ385)&gt;=$E385,(70%/$E385)*($E385-SUM($G385:AY385)),(70%/$E385)*AZ385)))</f>
        <v>0</v>
      </c>
      <c r="BB207" s="395">
        <f ca="1">IF($E$385=0,0,IF(SUM($G207:BA207)=70%,0,IF(SUM($G385:BA385)&gt;=$E385,(70%/$E385)*($E385-SUM($G385:AZ385)),(70%/$E385)*BA385)))</f>
        <v>4.7945205479452057E-3</v>
      </c>
      <c r="BC207" s="395">
        <f ca="1">IF($E$385=0,0,IF(SUM($G207:BB207)=70%,0,IF(SUM($G385:BB385)&gt;=$E385,(70%/$E385)*($E385-SUM($G385:BA385)),(70%/$E385)*BB385)))</f>
        <v>2.6849315068493151E-2</v>
      </c>
      <c r="BD207" s="395">
        <f ca="1">IF($E$385=0,0,IF(SUM($G207:BC207)=70%,0,IF(SUM($G385:BC385)&gt;=$E385,(70%/$E385)*($E385-SUM($G385:BB385)),(70%/$E385)*BC385)))</f>
        <v>2.9726027397260272E-2</v>
      </c>
      <c r="BE207" s="395">
        <f ca="1">IF($E$385=0,0,IF(SUM($G207:BD207)=70%,0,IF(SUM($G385:BD385)&gt;=$E385,(70%/$E385)*($E385-SUM($G385:BC385)),(70%/$E385)*BD385)))</f>
        <v>2.8767123287671233E-2</v>
      </c>
      <c r="BF207" s="395">
        <f ca="1">IF($E$385=0,0,IF(SUM($G207:BE207)=70%,0,IF(SUM($G385:BE385)&gt;=$E385,(70%/$E385)*($E385-SUM($G385:BD385)),(70%/$E385)*BE385)))</f>
        <v>2.9726027397260272E-2</v>
      </c>
      <c r="BG207" s="395">
        <f ca="1">IF($E$385=0,0,IF(SUM($G207:BF207)=70%,0,IF(SUM($G385:BF385)&gt;=$E385,(70%/$E385)*($E385-SUM($G385:BE385)),(70%/$E385)*BF385)))</f>
        <v>2.8767123287671233E-2</v>
      </c>
      <c r="BH207" s="395">
        <f ca="1">IF($E$385=0,0,IF(SUM($G207:BG207)=70%,0,IF(SUM($G385:BG385)&gt;=$E385,(70%/$E385)*($E385-SUM($G385:BF385)),(70%/$E385)*BG385)))</f>
        <v>2.9726027397260272E-2</v>
      </c>
      <c r="BI207" s="395">
        <f ca="1">IF($E$385=0,0,IF(SUM($G207:BH207)=70%,0,IF(SUM($G385:BH385)&gt;=$E385,(70%/$E385)*($E385-SUM($G385:BG385)),(70%/$E385)*BH385)))</f>
        <v>2.9726027397260272E-2</v>
      </c>
      <c r="BJ207" s="395">
        <f ca="1">IF($E$385=0,0,IF(SUM($G207:BI207)=70%,0,IF(SUM($G385:BI385)&gt;=$E385,(70%/$E385)*($E385-SUM($G385:BH385)),(70%/$E385)*BI385)))</f>
        <v>2.8767123287671233E-2</v>
      </c>
      <c r="BK207" s="395">
        <f ca="1">IF($E$385=0,0,IF(SUM($G207:BJ207)=70%,0,IF(SUM($G385:BJ385)&gt;=$E385,(70%/$E385)*($E385-SUM($G385:BI385)),(70%/$E385)*BJ385)))</f>
        <v>2.9726027397260272E-2</v>
      </c>
      <c r="BL207" s="395">
        <f ca="1">IF($E$385=0,0,IF(SUM($G207:BK207)=70%,0,IF(SUM($G385:BK385)&gt;=$E385,(70%/$E385)*($E385-SUM($G385:BJ385)),(70%/$E385)*BK385)))</f>
        <v>2.8767123287671233E-2</v>
      </c>
      <c r="BM207" s="395">
        <f ca="1">IF($E$385=0,0,IF(SUM($G207:BL207)=70%,0,IF(SUM($G385:BL385)&gt;=$E385,(70%/$E385)*($E385-SUM($G385:BK385)),(70%/$E385)*BL385)))</f>
        <v>2.9726027397260272E-2</v>
      </c>
      <c r="BN207" s="395">
        <f ca="1">IF($E$385=0,0,IF(SUM($G207:BM207)=70%,0,IF(SUM($G385:BM385)&gt;=$E385,(70%/$E385)*($E385-SUM($G385:BL385)),(70%/$E385)*BM385)))</f>
        <v>2.9726027397260272E-2</v>
      </c>
      <c r="BO207" s="395">
        <f ca="1">IF($E$385=0,0,IF(SUM($G207:BN207)=70%,0,IF(SUM($G385:BN385)&gt;=$E385,(70%/$E385)*($E385-SUM($G385:BM385)),(70%/$E385)*BN385)))</f>
        <v>2.780821917808219E-2</v>
      </c>
      <c r="BP207" s="395">
        <f ca="1">IF($E$385=0,0,IF(SUM($G207:BO207)=70%,0,IF(SUM($G385:BO385)&gt;=$E385,(70%/$E385)*($E385-SUM($G385:BN385)),(70%/$E385)*BO385)))</f>
        <v>2.9726027397260272E-2</v>
      </c>
      <c r="BQ207" s="395">
        <f ca="1">IF($E$385=0,0,IF(SUM($G207:BP207)=70%,0,IF(SUM($G385:BP385)&gt;=$E385,(70%/$E385)*($E385-SUM($G385:BO385)),(70%/$E385)*BP385)))</f>
        <v>2.8767123287671233E-2</v>
      </c>
      <c r="BR207" s="395">
        <f ca="1">IF($E$385=0,0,IF(SUM($G207:BQ207)=70%,0,IF(SUM($G385:BQ385)&gt;=$E385,(70%/$E385)*($E385-SUM($G385:BP385)),(70%/$E385)*BQ385)))</f>
        <v>2.9726027397260272E-2</v>
      </c>
      <c r="BS207" s="395">
        <f ca="1">IF($E$385=0,0,IF(SUM($G207:BR207)=70%,0,IF(SUM($G385:BR385)&gt;=$E385,(70%/$E385)*($E385-SUM($G385:BQ385)),(70%/$E385)*BR385)))</f>
        <v>2.8767123287671233E-2</v>
      </c>
      <c r="BT207" s="395">
        <f ca="1">IF($E$385=0,0,IF(SUM($G207:BS207)=70%,0,IF(SUM($G385:BS385)&gt;=$E385,(70%/$E385)*($E385-SUM($G385:BR385)),(70%/$E385)*BS385)))</f>
        <v>2.9726027397260272E-2</v>
      </c>
      <c r="BU207" s="395">
        <f ca="1">IF($E$385=0,0,IF(SUM($G207:BT207)=70%,0,IF(SUM($G385:BT385)&gt;=$E385,(70%/$E385)*($E385-SUM($G385:BS385)),(70%/$E385)*BT385)))</f>
        <v>2.9726027397260272E-2</v>
      </c>
      <c r="BV207" s="395">
        <f ca="1">IF($E$385=0,0,IF(SUM($G207:BU207)=70%,0,IF(SUM($G385:BU385)&gt;=$E385,(70%/$E385)*($E385-SUM($G385:BT385)),(70%/$E385)*BU385)))</f>
        <v>2.8767123287671233E-2</v>
      </c>
      <c r="BW207" s="395">
        <f ca="1">IF($E$385=0,0,IF(SUM($G207:BV207)=70%,0,IF(SUM($G385:BV385)&gt;=$E385,(70%/$E385)*($E385-SUM($G385:BU385)),(70%/$E385)*BV385)))</f>
        <v>2.9726027397260272E-2</v>
      </c>
      <c r="BX207" s="395">
        <f ca="1">IF($E$385=0,0,IF(SUM($G207:BW207)=70%,0,IF(SUM($G385:BW385)&gt;=$E385,(70%/$E385)*($E385-SUM($G385:BV385)),(70%/$E385)*BW385)))</f>
        <v>2.8767123287671233E-2</v>
      </c>
      <c r="BY207" s="395">
        <f ca="1">IF($E$385=0,0,IF(SUM($G207:BX207)=70%,0,IF(SUM($G385:BX385)&gt;=$E385,(70%/$E385)*($E385-SUM($G385:BW385)),(70%/$E385)*BX385)))</f>
        <v>2.9726027397260272E-2</v>
      </c>
      <c r="BZ207" s="395">
        <f ca="1">IF($E$385=0,0,IF(SUM($G207:BY207)=70%,0,IF(SUM($G385:BY385)&gt;=$E385,(70%/$E385)*($E385-SUM($G385:BX385)),(70%/$E385)*BY385)))</f>
        <v>2.3972602739726026E-2</v>
      </c>
      <c r="CA207" s="395">
        <f ca="1">IF($E$385=0,0,IF(SUM($G207:BZ207)=70%,0,IF(SUM($G385:BZ385)&gt;=$E385,(70%/$E385)*($E385-SUM($G385:BY385)),(70%/$E385)*BZ385)))</f>
        <v>0</v>
      </c>
      <c r="CB207" s="395">
        <f ca="1">IF($E$385=0,0,IF(SUM($G207:CA207)=70%,0,IF(SUM($G385:CA385)&gt;=$E385,(70%/$E385)*($E385-SUM($G385:BZ385)),(70%/$E385)*CA385)))</f>
        <v>0</v>
      </c>
      <c r="CC207" s="395">
        <f ca="1">IF($E$385=0,0,IF(SUM($G207:CB207)=70%,0,IF(SUM($G385:CB385)&gt;=$E385,(70%/$E385)*($E385-SUM($G385:CA385)),(70%/$E385)*CB385)))</f>
        <v>0</v>
      </c>
      <c r="CD207" s="395">
        <f ca="1">IF($E$385=0,0,IF(SUM($G207:CC207)=70%,0,IF(SUM($G385:CC385)&gt;=$E385,(70%/$E385)*($E385-SUM($G385:CB385)),(70%/$E385)*CC385)))</f>
        <v>0</v>
      </c>
      <c r="CE207" s="395">
        <f ca="1">IF($E$385=0,0,IF(SUM($G207:CD207)=70%,0,IF(SUM($G385:CD385)&gt;=$E385,(70%/$E385)*($E385-SUM($G385:CC385)),(70%/$E385)*CD385)))</f>
        <v>0</v>
      </c>
      <c r="CF207" s="395">
        <f ca="1">IF($E$385=0,0,IF(SUM($G207:CE207)=70%,0,IF(SUM($G385:CE385)&gt;=$E385,(70%/$E385)*($E385-SUM($G385:CD385)),(70%/$E385)*CE385)))</f>
        <v>0</v>
      </c>
      <c r="CG207" s="395">
        <f ca="1">IF($E$385=0,0,IF(SUM($G207:CF207)=70%,0,IF(SUM($G385:CF385)&gt;=$E385,(70%/$E385)*($E385-SUM($G385:CE385)),(70%/$E385)*CF385)))</f>
        <v>0</v>
      </c>
      <c r="CH207" s="395">
        <f ca="1">IF($E$385=0,0,IF(SUM($G207:CG207)=70%,0,IF(SUM($G385:CG385)&gt;=$E385,(70%/$E385)*($E385-SUM($G385:CF385)),(70%/$E385)*CG385)))</f>
        <v>0</v>
      </c>
      <c r="CI207" s="395">
        <f ca="1">IF($E$385=0,0,IF(SUM($G207:CH207)=70%,0,IF(SUM($G385:CH385)&gt;=$E385,(70%/$E385)*($E385-SUM($G385:CG385)),(70%/$E385)*CH385)))</f>
        <v>0</v>
      </c>
      <c r="CJ207" s="395">
        <f ca="1">IF($E$385=0,0,IF(SUM($G207:CI207)=70%,0,IF(SUM($G385:CI385)&gt;=$E385,(70%/$E385)*($E385-SUM($G385:CH385)),(70%/$E385)*CI385)))</f>
        <v>0</v>
      </c>
      <c r="CK207" s="395">
        <f ca="1">IF($E$385=0,0,IF(SUM($G207:CJ207)=70%,0,IF(SUM($G385:CJ385)&gt;=$E385,(70%/$E385)*($E385-SUM($G385:CI385)),(70%/$E385)*CJ385)))</f>
        <v>0</v>
      </c>
      <c r="CL207" s="395">
        <f ca="1">IF($E$385=0,0,IF(SUM($G207:CK207)=70%,0,IF(SUM($G385:CK385)&gt;=$E385,(70%/$E385)*($E385-SUM($G385:CJ385)),(70%/$E385)*CK385)))</f>
        <v>0</v>
      </c>
      <c r="CM207" s="395">
        <f ca="1">IF($E$385=0,0,IF(SUM($G207:CL207)=70%,0,IF(SUM($G385:CL385)&gt;=$E385,(70%/$E385)*($E385-SUM($G385:CK385)),(70%/$E385)*CL385)))</f>
        <v>0</v>
      </c>
      <c r="CN207" s="395">
        <f ca="1">IF($E$385=0,0,IF(SUM($G207:CM207)=70%,0,IF(SUM($G385:CM385)&gt;=$E385,(70%/$E385)*($E385-SUM($G385:CL385)),(70%/$E385)*CM385)))</f>
        <v>0</v>
      </c>
      <c r="CO207" s="395">
        <f ca="1">IF($E$385=0,0,IF(SUM($G207:CN207)=70%,0,IF(SUM($G385:CN385)&gt;=$E385,(70%/$E385)*($E385-SUM($G385:CM385)),(70%/$E385)*CN385)))</f>
        <v>0</v>
      </c>
      <c r="CP207" s="395">
        <f ca="1">IF($E$385=0,0,IF(SUM($G207:CO207)=70%,0,IF(SUM($G385:CO385)&gt;=$E385,(70%/$E385)*($E385-SUM($G385:CN385)),(70%/$E385)*CO385)))</f>
        <v>0</v>
      </c>
      <c r="CQ207" s="395">
        <f ca="1">IF($E$385=0,0,IF(SUM($G207:CP207)=70%,0,IF(SUM($G385:CP385)&gt;=$E385,(70%/$E385)*($E385-SUM($G385:CO385)),(70%/$E385)*CP385)))</f>
        <v>0</v>
      </c>
      <c r="CR207" s="395">
        <f ca="1">IF($E$385=0,0,IF(SUM($G207:CQ207)=70%,0,IF(SUM($G385:CQ385)&gt;=$E385,(70%/$E385)*($E385-SUM($G385:CP385)),(70%/$E385)*CQ385)))</f>
        <v>0</v>
      </c>
      <c r="CS207" s="395">
        <f ca="1">IF($E$385=0,0,IF(SUM($G207:CR207)=70%,0,IF(SUM($G385:CR385)&gt;=$E385,(70%/$E385)*($E385-SUM($G385:CQ385)),(70%/$E385)*CR385)))</f>
        <v>0</v>
      </c>
      <c r="CT207" s="395">
        <f ca="1">IF($E$385=0,0,IF(SUM($G207:CS207)=70%,0,IF(SUM($G385:CS385)&gt;=$E385,(70%/$E385)*($E385-SUM($G385:CR385)),(70%/$E385)*CS385)))</f>
        <v>0</v>
      </c>
      <c r="CU207" s="395">
        <f ca="1">IF($E$385=0,0,IF(SUM($G207:CT207)=70%,0,IF(SUM($G385:CT385)&gt;=$E385,(70%/$E385)*($E385-SUM($G385:CS385)),(70%/$E385)*CT385)))</f>
        <v>0</v>
      </c>
      <c r="CV207" s="395">
        <f ca="1">IF($E$385=0,0,IF(SUM($G207:CU207)=70%,0,IF(SUM($G385:CU385)&gt;=$E385,(70%/$E385)*($E385-SUM($G385:CT385)),(70%/$E385)*CU385)))</f>
        <v>0</v>
      </c>
      <c r="CW207" s="395">
        <f ca="1">IF($E$385=0,0,IF(SUM($G207:CV207)=70%,0,IF(SUM($G385:CV385)&gt;=$E385,(70%/$E385)*($E385-SUM($G385:CU385)),(70%/$E385)*CV385)))</f>
        <v>0</v>
      </c>
      <c r="CX207" s="395">
        <f ca="1">IF($E$385=0,0,IF(SUM($G207:CW207)=70%,0,IF(SUM($G385:CW385)&gt;=$E385,(70%/$E385)*($E385-SUM($G385:CV385)),(70%/$E385)*CW385)))</f>
        <v>0</v>
      </c>
      <c r="CY207" s="395">
        <f ca="1">IF($E$385=0,0,IF(SUM($G207:CX207)=70%,0,IF(SUM($G385:CX385)&gt;=$E385,(70%/$E385)*($E385-SUM($G385:CW385)),(70%/$E385)*CX385)))</f>
        <v>0</v>
      </c>
      <c r="CZ207" s="395">
        <f ca="1">IF($E$385=0,0,IF(SUM($G207:CY207)=70%,0,IF(SUM($G385:CY385)&gt;=$E385,(70%/$E385)*($E385-SUM($G385:CX385)),(70%/$E385)*CY385)))</f>
        <v>0</v>
      </c>
      <c r="DA207" s="395">
        <f ca="1">IF($E$385=0,0,IF(SUM($G207:CZ207)=70%,0,IF(SUM($G385:CZ385)&gt;=$E385,(70%/$E385)*($E385-SUM($G385:CY385)),(70%/$E385)*CZ385)))</f>
        <v>0</v>
      </c>
      <c r="DB207" s="395">
        <f ca="1">IF($E$385=0,0,IF(SUM($G207:DA207)=70%,0,IF(SUM($G385:DA385)&gt;=$E385,(70%/$E385)*($E385-SUM($G385:CZ385)),(70%/$E385)*DA385)))</f>
        <v>0</v>
      </c>
      <c r="DC207" s="395">
        <f ca="1">IF($E$385=0,0,IF(SUM($G207:DB207)=70%,0,IF(SUM($G385:DB385)&gt;=$E385,(70%/$E385)*($E385-SUM($G385:DA385)),(70%/$E385)*DB385)))</f>
        <v>0</v>
      </c>
      <c r="DD207" s="395">
        <f ca="1">IF($E$385=0,0,IF(SUM($G207:DC207)=70%,0,IF(SUM($G385:DC385)&gt;=$E385,(70%/$E385)*($E385-SUM($G385:DB385)),(70%/$E385)*DC385)))</f>
        <v>0</v>
      </c>
      <c r="DE207" s="395">
        <f ca="1">IF($E$385=0,0,IF(SUM($G207:DD207)=70%,0,IF(SUM($G385:DD385)&gt;=$E385,(70%/$E385)*($E385-SUM($G385:DC385)),(70%/$E385)*DD385)))</f>
        <v>0</v>
      </c>
      <c r="DF207" s="395">
        <f ca="1">IF($E$385=0,0,IF(SUM($G207:DE207)=70%,0,IF(SUM($G385:DE385)&gt;=$E385,(70%/$E385)*($E385-SUM($G385:DD385)),(70%/$E385)*DE385)))</f>
        <v>0</v>
      </c>
      <c r="DG207" s="395">
        <f ca="1">IF($E$385=0,0,IF(SUM($G207:DF207)=70%,0,IF(SUM($G385:DF385)&gt;=$E385,(70%/$E385)*($E385-SUM($G385:DE385)),(70%/$E385)*DF385)))</f>
        <v>0</v>
      </c>
      <c r="DH207" s="395">
        <f ca="1">IF($E$385=0,0,IF(SUM($G207:DG207)=70%,0,IF(SUM($G385:DG385)&gt;=$E385,(70%/$E385)*($E385-SUM($G385:DF385)),(70%/$E385)*DG385)))</f>
        <v>0</v>
      </c>
      <c r="DI207" s="395">
        <f ca="1">IF($E$385=0,0,IF(SUM($G207:DH207)=70%,0,IF(SUM($G385:DH385)&gt;=$E385,(70%/$E385)*($E385-SUM($G385:DG385)),(70%/$E385)*DH385)))</f>
        <v>0</v>
      </c>
      <c r="DJ207" s="395">
        <f ca="1">IF($E$385=0,0,IF(SUM($G207:DI207)=70%,0,IF(SUM($G385:DI385)&gt;=$E385,(70%/$E385)*($E385-SUM($G385:DH385)),(70%/$E385)*DI385)))</f>
        <v>0</v>
      </c>
      <c r="DK207" s="395">
        <f ca="1">IF($E$385=0,0,IF(SUM($G207:DJ207)=70%,0,IF(SUM($G385:DJ385)&gt;=$E385,(70%/$E385)*($E385-SUM($G385:DI385)),(70%/$E385)*DJ385)))</f>
        <v>0</v>
      </c>
      <c r="DL207" s="395">
        <f ca="1">IF($E$385=0,0,IF(SUM($G207:DK207)=70%,0,IF(SUM($G385:DK385)&gt;=$E385,(70%/$E385)*($E385-SUM($G385:DJ385)),(70%/$E385)*DK385)))</f>
        <v>0</v>
      </c>
      <c r="DM207" s="395">
        <f ca="1">IF($E$385=0,0,IF(SUM($G207:DL207)=70%,0,IF(SUM($G385:DL385)&gt;=$E385,(70%/$E385)*($E385-SUM($G385:DK385)),(70%/$E385)*DL385)))</f>
        <v>0</v>
      </c>
      <c r="DN207" s="395">
        <f ca="1">IF($E$385=0,0,IF(SUM($G207:DM207)=70%,0,IF(SUM($G385:DM385)&gt;=$E385,(70%/$E385)*($E385-SUM($G385:DL385)),(70%/$E385)*DM385)))</f>
        <v>0</v>
      </c>
      <c r="DO207" s="395">
        <f ca="1">IF($E$385=0,0,IF(SUM($G207:DN207)=70%,0,IF(SUM($G385:DN385)&gt;=$E385,(70%/$E385)*($E385-SUM($G385:DM385)),(70%/$E385)*DN385)))</f>
        <v>0</v>
      </c>
      <c r="DP207" s="395">
        <f ca="1">IF($E$385=0,0,IF(SUM($G207:DO207)=70%,0,IF(SUM($G385:DO385)&gt;=$E385,(70%/$E385)*($E385-SUM($G385:DN385)),(70%/$E385)*DO385)))</f>
        <v>0</v>
      </c>
      <c r="DQ207" s="395">
        <f ca="1">IF($E$385=0,0,IF(SUM($G207:DP207)=70%,0,IF(SUM($G385:DP385)&gt;=$E385,(70%/$E385)*($E385-SUM($G385:DO385)),(70%/$E385)*DP385)))</f>
        <v>0</v>
      </c>
      <c r="DR207" s="395">
        <f ca="1">IF($E$385=0,0,IF(SUM($G207:DQ207)=70%,0,IF(SUM($G385:DQ385)&gt;=$E385,(70%/$E385)*($E385-SUM($G385:DP385)),(70%/$E385)*DQ385)))</f>
        <v>0</v>
      </c>
      <c r="DS207" s="395">
        <f ca="1">IF($E$385=0,0,IF(SUM($G207:DR207)=70%,0,IF(SUM($G385:DR385)&gt;=$E385,(70%/$E385)*($E385-SUM($G385:DQ385)),(70%/$E385)*DR385)))</f>
        <v>0</v>
      </c>
      <c r="DT207" s="395">
        <f ca="1">IF($E$385=0,0,IF(SUM($G207:DS207)=70%,0,IF(SUM($G385:DS385)&gt;=$E385,(70%/$E385)*($E385-SUM($G385:DR385)),(70%/$E385)*DS385)))</f>
        <v>0</v>
      </c>
      <c r="DU207" s="395">
        <f ca="1">IF($E$385=0,0,IF(SUM($G207:DT207)=70%,0,IF(SUM($G385:DT385)&gt;=$E385,(70%/$E385)*($E385-SUM($G385:DS385)),(70%/$E385)*DT385)))</f>
        <v>0</v>
      </c>
      <c r="DV207" s="395">
        <f ca="1">IF($E$385=0,0,IF(SUM($G207:DU207)=70%,0,IF(SUM($G385:DU385)&gt;=$E385,(70%/$E385)*($E385-SUM($G385:DT385)),(70%/$E385)*DU385)))</f>
        <v>0</v>
      </c>
      <c r="DW207" s="395">
        <f ca="1">IF($E$385=0,0,IF(SUM($G207:DV207)=70%,0,IF(SUM($G385:DV385)&gt;=$E385,(70%/$E385)*($E385-SUM($G385:DU385)),(70%/$E385)*DV385)))</f>
        <v>0</v>
      </c>
      <c r="DX207" s="395">
        <f ca="1">IF($E$385=0,0,IF(SUM($G207:DW207)=70%,0,IF(SUM($G385:DW385)&gt;=$E385,(70%/$E385)*($E385-SUM($G385:DV385)),(70%/$E385)*DW385)))</f>
        <v>0</v>
      </c>
      <c r="DY207" s="395">
        <f ca="1">IF($E$385=0,0,IF(SUM($G207:DX207)=70%,0,IF(SUM($G385:DX385)&gt;=$E385,(70%/$E385)*($E385-SUM($G385:DW385)),(70%/$E385)*DX385)))</f>
        <v>0</v>
      </c>
      <c r="DZ207" s="395">
        <f ca="1">IF($E$385=0,0,IF(SUM($G207:DY207)=70%,0,IF(SUM($G385:DY385)&gt;=$E385,(70%/$E385)*($E385-SUM($G385:DX385)),(70%/$E385)*DY385)))</f>
        <v>0</v>
      </c>
      <c r="EA207" s="395">
        <f ca="1">IF($E$385=0,0,IF(SUM($G207:DZ207)=70%,0,IF(SUM($G385:DZ385)&gt;=$E385,(70%/$E385)*($E385-SUM($G385:DY385)),(70%/$E385)*DZ385)))</f>
        <v>0</v>
      </c>
      <c r="EB207" s="395">
        <f ca="1">IF($E$385=0,0,IF(SUM($G207:EA207)=70%,0,IF(SUM($G385:EA385)&gt;=$E385,(70%/$E385)*($E385-SUM($G385:DZ385)),(70%/$E385)*EA385)))</f>
        <v>0</v>
      </c>
      <c r="EC207" s="395">
        <f ca="1">IF($E$385=0,0,IF(SUM($G207:EB207)=70%,0,IF(SUM($G385:EB385)&gt;=$E385,(70%/$E385)*($E385-SUM($G385:EA385)),(70%/$E385)*EB385)))</f>
        <v>0</v>
      </c>
      <c r="ED207" s="395">
        <f ca="1">IF($E$385=0,0,IF(SUM($G207:EC207)=70%,0,IF(SUM($G385:EC385)&gt;=$E385,(70%/$E385)*($E385-SUM($G385:EB385)),(70%/$E385)*EC385)))</f>
        <v>0</v>
      </c>
      <c r="EE207" s="395">
        <f ca="1">IF($E$385=0,0,IF(SUM($G207:ED207)=70%,0,IF(SUM($G385:ED385)&gt;=$E385,(70%/$E385)*($E385-SUM($G385:EC385)),(70%/$E385)*ED385)))</f>
        <v>0</v>
      </c>
      <c r="EF207" s="395">
        <f ca="1">IF($E$385=0,0,IF(SUM($G207:EE207)=70%,0,IF(SUM($G385:EE385)&gt;=$E385,(70%/$E385)*($E385-SUM($G385:ED385)),(70%/$E385)*EE385)))</f>
        <v>0</v>
      </c>
      <c r="EG207" s="395">
        <f ca="1">IF($E$385=0,0,IF(SUM($G207:EF207)=70%,0,IF(SUM($G385:EF385)&gt;=$E385,(70%/$E385)*($E385-SUM($G385:EE385)),(70%/$E385)*EF385)))</f>
        <v>0</v>
      </c>
      <c r="EH207" s="395">
        <f ca="1">IF($E$385=0,0,IF(SUM($G207:EG207)=70%,0,IF(SUM($G385:EG385)&gt;=$E385,(70%/$E385)*($E385-SUM($G385:EF385)),(70%/$E385)*EG385)))</f>
        <v>0</v>
      </c>
      <c r="EI207" s="395">
        <f ca="1">IF($E$385=0,0,IF(SUM($G207:EH207)=70%,0,IF(SUM($G385:EH385)&gt;=$E385,(70%/$E385)*($E385-SUM($G385:EG385)),(70%/$E385)*EH385)))</f>
        <v>0</v>
      </c>
      <c r="EJ207" s="398"/>
      <c r="EK207" s="313"/>
    </row>
    <row r="208" spans="1:141" hidden="1" outlineLevel="1" collapsed="1">
      <c r="A208" s="332"/>
      <c r="B208" s="313"/>
      <c r="C208" s="392" t="s">
        <v>281</v>
      </c>
      <c r="D208" s="392" t="str">
        <f>D390</f>
        <v>Социальная инфраструктура - доу с басс</v>
      </c>
      <c r="E208" s="393">
        <f ca="1">ROUND(IF(F208=0,0,100%-F208),0)</f>
        <v>0</v>
      </c>
      <c r="F208" s="394">
        <f t="shared" ca="1" si="283"/>
        <v>0</v>
      </c>
      <c r="G208" s="395">
        <f>SUM(G209:G210)</f>
        <v>0</v>
      </c>
      <c r="H208" s="395">
        <f ca="1">SUM(H209:H210)</f>
        <v>0</v>
      </c>
      <c r="I208" s="395">
        <f t="shared" ref="I208:BT208" ca="1" si="426">SUM(I209:I210)</f>
        <v>0</v>
      </c>
      <c r="J208" s="395">
        <f t="shared" ca="1" si="426"/>
        <v>0</v>
      </c>
      <c r="K208" s="395">
        <f t="shared" ca="1" si="426"/>
        <v>0</v>
      </c>
      <c r="L208" s="395">
        <f t="shared" ca="1" si="426"/>
        <v>0</v>
      </c>
      <c r="M208" s="395">
        <f t="shared" ca="1" si="426"/>
        <v>0</v>
      </c>
      <c r="N208" s="395">
        <f t="shared" ca="1" si="426"/>
        <v>0</v>
      </c>
      <c r="O208" s="395">
        <f t="shared" ca="1" si="426"/>
        <v>0</v>
      </c>
      <c r="P208" s="395">
        <f t="shared" ca="1" si="426"/>
        <v>0</v>
      </c>
      <c r="Q208" s="395">
        <f t="shared" ca="1" si="426"/>
        <v>0</v>
      </c>
      <c r="R208" s="395">
        <f t="shared" ca="1" si="426"/>
        <v>0</v>
      </c>
      <c r="S208" s="395">
        <f t="shared" ca="1" si="426"/>
        <v>0</v>
      </c>
      <c r="T208" s="395">
        <f t="shared" ca="1" si="426"/>
        <v>0</v>
      </c>
      <c r="U208" s="395">
        <f t="shared" ca="1" si="426"/>
        <v>0</v>
      </c>
      <c r="V208" s="395">
        <f t="shared" ca="1" si="426"/>
        <v>0</v>
      </c>
      <c r="W208" s="395">
        <f t="shared" ca="1" si="426"/>
        <v>0</v>
      </c>
      <c r="X208" s="395">
        <f t="shared" ca="1" si="426"/>
        <v>0</v>
      </c>
      <c r="Y208" s="395">
        <f t="shared" ca="1" si="426"/>
        <v>0</v>
      </c>
      <c r="Z208" s="395">
        <f t="shared" ca="1" si="426"/>
        <v>0</v>
      </c>
      <c r="AA208" s="395">
        <f t="shared" ca="1" si="426"/>
        <v>0</v>
      </c>
      <c r="AB208" s="395">
        <f t="shared" ca="1" si="426"/>
        <v>0</v>
      </c>
      <c r="AC208" s="395">
        <f t="shared" ca="1" si="426"/>
        <v>0</v>
      </c>
      <c r="AD208" s="395">
        <f t="shared" ca="1" si="426"/>
        <v>0</v>
      </c>
      <c r="AE208" s="395">
        <f t="shared" ca="1" si="426"/>
        <v>0</v>
      </c>
      <c r="AF208" s="395">
        <f t="shared" ca="1" si="426"/>
        <v>0</v>
      </c>
      <c r="AG208" s="395">
        <f t="shared" ca="1" si="426"/>
        <v>0</v>
      </c>
      <c r="AH208" s="395">
        <f t="shared" ca="1" si="426"/>
        <v>0</v>
      </c>
      <c r="AI208" s="395">
        <f t="shared" ca="1" si="426"/>
        <v>0</v>
      </c>
      <c r="AJ208" s="395">
        <f t="shared" ca="1" si="426"/>
        <v>0</v>
      </c>
      <c r="AK208" s="395">
        <f t="shared" ca="1" si="426"/>
        <v>0</v>
      </c>
      <c r="AL208" s="395">
        <f t="shared" ca="1" si="426"/>
        <v>0</v>
      </c>
      <c r="AM208" s="395">
        <f t="shared" ca="1" si="426"/>
        <v>0</v>
      </c>
      <c r="AN208" s="395">
        <f t="shared" ca="1" si="426"/>
        <v>0</v>
      </c>
      <c r="AO208" s="395">
        <f t="shared" ca="1" si="426"/>
        <v>0</v>
      </c>
      <c r="AP208" s="395">
        <f t="shared" ca="1" si="426"/>
        <v>0</v>
      </c>
      <c r="AQ208" s="395">
        <f t="shared" ca="1" si="426"/>
        <v>0</v>
      </c>
      <c r="AR208" s="395">
        <f t="shared" ca="1" si="426"/>
        <v>0</v>
      </c>
      <c r="AS208" s="395">
        <f t="shared" ca="1" si="426"/>
        <v>0</v>
      </c>
      <c r="AT208" s="395">
        <f t="shared" ca="1" si="426"/>
        <v>0</v>
      </c>
      <c r="AU208" s="395">
        <f t="shared" ca="1" si="426"/>
        <v>0</v>
      </c>
      <c r="AV208" s="395">
        <f t="shared" ca="1" si="426"/>
        <v>0</v>
      </c>
      <c r="AW208" s="395">
        <f t="shared" ca="1" si="426"/>
        <v>0</v>
      </c>
      <c r="AX208" s="395">
        <f t="shared" ca="1" si="426"/>
        <v>0</v>
      </c>
      <c r="AY208" s="395">
        <f t="shared" ca="1" si="426"/>
        <v>0</v>
      </c>
      <c r="AZ208" s="395">
        <f t="shared" ca="1" si="426"/>
        <v>0</v>
      </c>
      <c r="BA208" s="395">
        <f t="shared" ca="1" si="426"/>
        <v>0</v>
      </c>
      <c r="BB208" s="395">
        <f t="shared" ca="1" si="426"/>
        <v>0</v>
      </c>
      <c r="BC208" s="395">
        <f t="shared" ca="1" si="426"/>
        <v>0</v>
      </c>
      <c r="BD208" s="395">
        <f t="shared" ca="1" si="426"/>
        <v>0</v>
      </c>
      <c r="BE208" s="395">
        <f t="shared" ca="1" si="426"/>
        <v>0</v>
      </c>
      <c r="BF208" s="395">
        <f t="shared" ca="1" si="426"/>
        <v>0</v>
      </c>
      <c r="BG208" s="395">
        <f t="shared" ca="1" si="426"/>
        <v>0</v>
      </c>
      <c r="BH208" s="395">
        <f t="shared" ca="1" si="426"/>
        <v>0</v>
      </c>
      <c r="BI208" s="395">
        <f t="shared" ca="1" si="426"/>
        <v>0</v>
      </c>
      <c r="BJ208" s="395">
        <f t="shared" ca="1" si="426"/>
        <v>0</v>
      </c>
      <c r="BK208" s="395">
        <f t="shared" ca="1" si="426"/>
        <v>0</v>
      </c>
      <c r="BL208" s="395">
        <f t="shared" ca="1" si="426"/>
        <v>0</v>
      </c>
      <c r="BM208" s="395">
        <f t="shared" ca="1" si="426"/>
        <v>0</v>
      </c>
      <c r="BN208" s="395">
        <f t="shared" ca="1" si="426"/>
        <v>0</v>
      </c>
      <c r="BO208" s="395">
        <f t="shared" ca="1" si="426"/>
        <v>0</v>
      </c>
      <c r="BP208" s="395">
        <f t="shared" ca="1" si="426"/>
        <v>0</v>
      </c>
      <c r="BQ208" s="395">
        <f t="shared" ca="1" si="426"/>
        <v>0</v>
      </c>
      <c r="BR208" s="395">
        <f t="shared" ca="1" si="426"/>
        <v>0</v>
      </c>
      <c r="BS208" s="395">
        <f t="shared" ca="1" si="426"/>
        <v>0</v>
      </c>
      <c r="BT208" s="395">
        <f t="shared" ca="1" si="426"/>
        <v>0</v>
      </c>
      <c r="BU208" s="395">
        <f t="shared" ref="BU208:EF208" ca="1" si="427">SUM(BU209:BU210)</f>
        <v>0</v>
      </c>
      <c r="BV208" s="395">
        <f t="shared" ca="1" si="427"/>
        <v>0</v>
      </c>
      <c r="BW208" s="395">
        <f t="shared" ca="1" si="427"/>
        <v>0</v>
      </c>
      <c r="BX208" s="395">
        <f t="shared" ca="1" si="427"/>
        <v>0</v>
      </c>
      <c r="BY208" s="395">
        <f t="shared" ca="1" si="427"/>
        <v>0</v>
      </c>
      <c r="BZ208" s="395">
        <f t="shared" ca="1" si="427"/>
        <v>0</v>
      </c>
      <c r="CA208" s="395">
        <f t="shared" ca="1" si="427"/>
        <v>0</v>
      </c>
      <c r="CB208" s="395">
        <f t="shared" ca="1" si="427"/>
        <v>0</v>
      </c>
      <c r="CC208" s="395">
        <f t="shared" ca="1" si="427"/>
        <v>0</v>
      </c>
      <c r="CD208" s="395">
        <f t="shared" ca="1" si="427"/>
        <v>0</v>
      </c>
      <c r="CE208" s="395">
        <f t="shared" ca="1" si="427"/>
        <v>0</v>
      </c>
      <c r="CF208" s="395">
        <f t="shared" ca="1" si="427"/>
        <v>0</v>
      </c>
      <c r="CG208" s="395">
        <f t="shared" ca="1" si="427"/>
        <v>0</v>
      </c>
      <c r="CH208" s="395">
        <f t="shared" ca="1" si="427"/>
        <v>0</v>
      </c>
      <c r="CI208" s="395">
        <f t="shared" ca="1" si="427"/>
        <v>0</v>
      </c>
      <c r="CJ208" s="395">
        <f t="shared" ca="1" si="427"/>
        <v>0</v>
      </c>
      <c r="CK208" s="395">
        <f t="shared" ca="1" si="427"/>
        <v>0</v>
      </c>
      <c r="CL208" s="395">
        <f t="shared" ca="1" si="427"/>
        <v>0</v>
      </c>
      <c r="CM208" s="395">
        <f t="shared" ca="1" si="427"/>
        <v>0</v>
      </c>
      <c r="CN208" s="395">
        <f t="shared" ca="1" si="427"/>
        <v>0</v>
      </c>
      <c r="CO208" s="395">
        <f t="shared" ca="1" si="427"/>
        <v>0</v>
      </c>
      <c r="CP208" s="395">
        <f t="shared" ca="1" si="427"/>
        <v>0</v>
      </c>
      <c r="CQ208" s="395">
        <f t="shared" ca="1" si="427"/>
        <v>0</v>
      </c>
      <c r="CR208" s="395">
        <f t="shared" ca="1" si="427"/>
        <v>0</v>
      </c>
      <c r="CS208" s="395">
        <f t="shared" ca="1" si="427"/>
        <v>0</v>
      </c>
      <c r="CT208" s="395">
        <f t="shared" ca="1" si="427"/>
        <v>0</v>
      </c>
      <c r="CU208" s="395">
        <f t="shared" ca="1" si="427"/>
        <v>0</v>
      </c>
      <c r="CV208" s="395">
        <f t="shared" ca="1" si="427"/>
        <v>0</v>
      </c>
      <c r="CW208" s="395">
        <f t="shared" ca="1" si="427"/>
        <v>0</v>
      </c>
      <c r="CX208" s="395">
        <f t="shared" ca="1" si="427"/>
        <v>0</v>
      </c>
      <c r="CY208" s="395">
        <f t="shared" ca="1" si="427"/>
        <v>0</v>
      </c>
      <c r="CZ208" s="395">
        <f t="shared" ca="1" si="427"/>
        <v>0</v>
      </c>
      <c r="DA208" s="395">
        <f t="shared" ca="1" si="427"/>
        <v>0</v>
      </c>
      <c r="DB208" s="395">
        <f t="shared" ca="1" si="427"/>
        <v>0</v>
      </c>
      <c r="DC208" s="395">
        <f t="shared" ca="1" si="427"/>
        <v>0</v>
      </c>
      <c r="DD208" s="395">
        <f t="shared" ca="1" si="427"/>
        <v>0</v>
      </c>
      <c r="DE208" s="395">
        <f t="shared" ca="1" si="427"/>
        <v>0</v>
      </c>
      <c r="DF208" s="395">
        <f t="shared" ca="1" si="427"/>
        <v>0</v>
      </c>
      <c r="DG208" s="395">
        <f t="shared" ca="1" si="427"/>
        <v>0</v>
      </c>
      <c r="DH208" s="395">
        <f t="shared" ca="1" si="427"/>
        <v>0</v>
      </c>
      <c r="DI208" s="395">
        <f t="shared" ca="1" si="427"/>
        <v>0</v>
      </c>
      <c r="DJ208" s="395">
        <f t="shared" ca="1" si="427"/>
        <v>0</v>
      </c>
      <c r="DK208" s="395">
        <f t="shared" ca="1" si="427"/>
        <v>0</v>
      </c>
      <c r="DL208" s="395">
        <f t="shared" ca="1" si="427"/>
        <v>0</v>
      </c>
      <c r="DM208" s="395">
        <f t="shared" ca="1" si="427"/>
        <v>0</v>
      </c>
      <c r="DN208" s="395">
        <f t="shared" ca="1" si="427"/>
        <v>0</v>
      </c>
      <c r="DO208" s="395">
        <f t="shared" ca="1" si="427"/>
        <v>0</v>
      </c>
      <c r="DP208" s="395">
        <f t="shared" ca="1" si="427"/>
        <v>0</v>
      </c>
      <c r="DQ208" s="395">
        <f t="shared" ca="1" si="427"/>
        <v>0</v>
      </c>
      <c r="DR208" s="395">
        <f t="shared" ca="1" si="427"/>
        <v>0</v>
      </c>
      <c r="DS208" s="395">
        <f t="shared" ca="1" si="427"/>
        <v>0</v>
      </c>
      <c r="DT208" s="395">
        <f t="shared" ca="1" si="427"/>
        <v>0</v>
      </c>
      <c r="DU208" s="395">
        <f t="shared" ca="1" si="427"/>
        <v>0</v>
      </c>
      <c r="DV208" s="395">
        <f t="shared" ca="1" si="427"/>
        <v>0</v>
      </c>
      <c r="DW208" s="395">
        <f t="shared" ca="1" si="427"/>
        <v>0</v>
      </c>
      <c r="DX208" s="395">
        <f t="shared" ca="1" si="427"/>
        <v>0</v>
      </c>
      <c r="DY208" s="395">
        <f t="shared" ca="1" si="427"/>
        <v>0</v>
      </c>
      <c r="DZ208" s="395">
        <f t="shared" ca="1" si="427"/>
        <v>0</v>
      </c>
      <c r="EA208" s="395">
        <f t="shared" ca="1" si="427"/>
        <v>0</v>
      </c>
      <c r="EB208" s="395">
        <f t="shared" ca="1" si="427"/>
        <v>0</v>
      </c>
      <c r="EC208" s="395">
        <f t="shared" ca="1" si="427"/>
        <v>0</v>
      </c>
      <c r="ED208" s="395">
        <f t="shared" ca="1" si="427"/>
        <v>0</v>
      </c>
      <c r="EE208" s="395">
        <f t="shared" ca="1" si="427"/>
        <v>0</v>
      </c>
      <c r="EF208" s="395">
        <f t="shared" ca="1" si="427"/>
        <v>0</v>
      </c>
      <c r="EG208" s="395">
        <f t="shared" ref="EG208:EI208" ca="1" si="428">SUM(EG209:EG210)</f>
        <v>0</v>
      </c>
      <c r="EH208" s="395">
        <f t="shared" ca="1" si="428"/>
        <v>0</v>
      </c>
      <c r="EI208" s="395">
        <f t="shared" ca="1" si="428"/>
        <v>0</v>
      </c>
      <c r="EJ208" s="398"/>
      <c r="EK208" s="313"/>
    </row>
    <row r="209" spans="1:141" hidden="1" outlineLevel="2">
      <c r="A209" s="332"/>
      <c r="B209" s="313"/>
      <c r="C209" s="317"/>
      <c r="D209" s="317" t="s">
        <v>664</v>
      </c>
      <c r="E209" s="318">
        <f ca="1">IF(F209=0,0,30%-F209)</f>
        <v>0</v>
      </c>
      <c r="F209" s="397">
        <f t="shared" ca="1" si="283"/>
        <v>0</v>
      </c>
      <c r="G209" s="395"/>
      <c r="H209" s="395">
        <f ca="1">IF(SUM($G209:G209)=30%,0,IF(J210&gt;0%,30%,0%))</f>
        <v>0</v>
      </c>
      <c r="I209" s="395">
        <f ca="1">IF(SUM($G209:H209)=30%,0,IF(K210&gt;0%,30%,0%))</f>
        <v>0</v>
      </c>
      <c r="J209" s="395">
        <f ca="1">IF(SUM($G209:I209)=30%,0,IF(L210&gt;0%,30%,0%))</f>
        <v>0</v>
      </c>
      <c r="K209" s="395">
        <f ca="1">IF(SUM($G209:J209)=30%,0,IF(M210&gt;0%,30%,0%))</f>
        <v>0</v>
      </c>
      <c r="L209" s="395">
        <f ca="1">IF(SUM($G209:K209)=30%,0,IF(N210&gt;0%,30%,0%))</f>
        <v>0</v>
      </c>
      <c r="M209" s="395">
        <f ca="1">IF(SUM($G209:L209)=30%,0,IF(O210&gt;0%,30%,0%))</f>
        <v>0</v>
      </c>
      <c r="N209" s="395">
        <f ca="1">IF(SUM($G209:M209)=30%,0,IF(P210&gt;0%,30%,0%))</f>
        <v>0</v>
      </c>
      <c r="O209" s="395">
        <f ca="1">IF(SUM($G209:N209)=30%,0,IF(Q210&gt;0%,30%,0%))</f>
        <v>0</v>
      </c>
      <c r="P209" s="395">
        <f ca="1">IF(SUM($G209:O209)=30%,0,IF(R210&gt;0%,30%,0%))</f>
        <v>0</v>
      </c>
      <c r="Q209" s="395">
        <f ca="1">IF(SUM($G209:P209)=30%,0,IF(S210&gt;0%,30%,0%))</f>
        <v>0</v>
      </c>
      <c r="R209" s="395">
        <f ca="1">IF(SUM($G209:Q209)=30%,0,IF(T210&gt;0%,30%,0%))</f>
        <v>0</v>
      </c>
      <c r="S209" s="395">
        <f ca="1">IF(SUM($G209:R209)=30%,0,IF(U210&gt;0%,30%,0%))</f>
        <v>0</v>
      </c>
      <c r="T209" s="395">
        <f ca="1">IF(SUM($G209:S209)=30%,0,IF(V210&gt;0%,30%,0%))</f>
        <v>0</v>
      </c>
      <c r="U209" s="395">
        <f ca="1">IF(SUM($G209:T209)=30%,0,IF(W210&gt;0%,30%,0%))</f>
        <v>0</v>
      </c>
      <c r="V209" s="395">
        <f ca="1">IF(SUM($G209:U209)=30%,0,IF(X210&gt;0%,30%,0%))</f>
        <v>0</v>
      </c>
      <c r="W209" s="395">
        <f ca="1">IF(SUM($G209:V209)=30%,0,IF(Y210&gt;0%,30%,0%))</f>
        <v>0</v>
      </c>
      <c r="X209" s="395">
        <f ca="1">IF(SUM($G209:W209)=30%,0,IF(Z210&gt;0%,30%,0%))</f>
        <v>0</v>
      </c>
      <c r="Y209" s="395">
        <f ca="1">IF(SUM($G209:X209)=30%,0,IF(AA210&gt;0%,30%,0%))</f>
        <v>0</v>
      </c>
      <c r="Z209" s="395">
        <f ca="1">IF(SUM($G209:Y209)=30%,0,IF(AB210&gt;0%,30%,0%))</f>
        <v>0</v>
      </c>
      <c r="AA209" s="395">
        <f ca="1">IF(SUM($G209:Z209)=30%,0,IF(AC210&gt;0%,30%,0%))</f>
        <v>0</v>
      </c>
      <c r="AB209" s="395">
        <f ca="1">IF(SUM($G209:AA209)=30%,0,IF(AD210&gt;0%,30%,0%))</f>
        <v>0</v>
      </c>
      <c r="AC209" s="395">
        <f ca="1">IF(SUM($G209:AB209)=30%,0,IF(AE210&gt;0%,30%,0%))</f>
        <v>0</v>
      </c>
      <c r="AD209" s="395">
        <f ca="1">IF(SUM($G209:AC209)=30%,0,IF(AF210&gt;0%,30%,0%))</f>
        <v>0</v>
      </c>
      <c r="AE209" s="395">
        <f ca="1">IF(SUM($G209:AD209)=30%,0,IF(AG210&gt;0%,30%,0%))</f>
        <v>0</v>
      </c>
      <c r="AF209" s="395">
        <f ca="1">IF(SUM($G209:AE209)=30%,0,IF(AH210&gt;0%,30%,0%))</f>
        <v>0</v>
      </c>
      <c r="AG209" s="395">
        <f ca="1">IF(SUM($G209:AF209)=30%,0,IF(AI210&gt;0%,30%,0%))</f>
        <v>0</v>
      </c>
      <c r="AH209" s="395">
        <f ca="1">IF(SUM($G209:AG209)=30%,0,IF(AJ210&gt;0%,30%,0%))</f>
        <v>0</v>
      </c>
      <c r="AI209" s="395">
        <f ca="1">IF(SUM($G209:AH209)=30%,0,IF(AK210&gt;0%,30%,0%))</f>
        <v>0</v>
      </c>
      <c r="AJ209" s="395">
        <f ca="1">IF(SUM($G209:AI209)=30%,0,IF(AL210&gt;0%,30%,0%))</f>
        <v>0</v>
      </c>
      <c r="AK209" s="395">
        <f ca="1">IF(SUM($G209:AJ209)=30%,0,IF(AM210&gt;0%,30%,0%))</f>
        <v>0</v>
      </c>
      <c r="AL209" s="395">
        <f ca="1">IF(SUM($G209:AK209)=30%,0,IF(AN210&gt;0%,30%,0%))</f>
        <v>0</v>
      </c>
      <c r="AM209" s="395">
        <f ca="1">IF(SUM($G209:AL209)=30%,0,IF(AO210&gt;0%,30%,0%))</f>
        <v>0</v>
      </c>
      <c r="AN209" s="395">
        <f ca="1">IF(SUM($G209:AM209)=30%,0,IF(AP210&gt;0%,30%,0%))</f>
        <v>0</v>
      </c>
      <c r="AO209" s="395">
        <f ca="1">IF(SUM($G209:AN209)=30%,0,IF(AQ210&gt;0%,30%,0%))</f>
        <v>0</v>
      </c>
      <c r="AP209" s="395">
        <f ca="1">IF(SUM($G209:AO209)=30%,0,IF(AR210&gt;0%,30%,0%))</f>
        <v>0</v>
      </c>
      <c r="AQ209" s="395">
        <f ca="1">IF(SUM($G209:AP209)=30%,0,IF(AS210&gt;0%,30%,0%))</f>
        <v>0</v>
      </c>
      <c r="AR209" s="395">
        <f ca="1">IF(SUM($G209:AQ209)=30%,0,IF(AT210&gt;0%,30%,0%))</f>
        <v>0</v>
      </c>
      <c r="AS209" s="395">
        <f ca="1">IF(SUM($G209:AR209)=30%,0,IF(AU210&gt;0%,30%,0%))</f>
        <v>0</v>
      </c>
      <c r="AT209" s="395">
        <f ca="1">IF(SUM($G209:AS209)=30%,0,IF(AV210&gt;0%,30%,0%))</f>
        <v>0</v>
      </c>
      <c r="AU209" s="395">
        <f ca="1">IF(SUM($G209:AT209)=30%,0,IF(AW210&gt;0%,30%,0%))</f>
        <v>0</v>
      </c>
      <c r="AV209" s="395">
        <f ca="1">IF(SUM($G209:AU209)=30%,0,IF(AX210&gt;0%,30%,0%))</f>
        <v>0</v>
      </c>
      <c r="AW209" s="395">
        <f ca="1">IF(SUM($G209:AV209)=30%,0,IF(AY210&gt;0%,30%,0%))</f>
        <v>0</v>
      </c>
      <c r="AX209" s="395">
        <f ca="1">IF(SUM($G209:AW209)=30%,0,IF(AZ210&gt;0%,30%,0%))</f>
        <v>0</v>
      </c>
      <c r="AY209" s="395">
        <f ca="1">IF(SUM($G209:AX209)=30%,0,IF(BA210&gt;0%,30%,0%))</f>
        <v>0</v>
      </c>
      <c r="AZ209" s="395">
        <f ca="1">IF(SUM($G209:AY209)=30%,0,IF(BB210&gt;0%,30%,0%))</f>
        <v>0</v>
      </c>
      <c r="BA209" s="395">
        <f ca="1">IF(SUM($G209:AZ209)=30%,0,IF(BC210&gt;0%,30%,0%))</f>
        <v>0</v>
      </c>
      <c r="BB209" s="395">
        <f ca="1">IF(SUM($G209:BA209)=30%,0,IF(BD210&gt;0%,30%,0%))</f>
        <v>0</v>
      </c>
      <c r="BC209" s="395">
        <f ca="1">IF(SUM($G209:BB209)=30%,0,IF(BE210&gt;0%,30%,0%))</f>
        <v>0</v>
      </c>
      <c r="BD209" s="395">
        <f ca="1">IF(SUM($G209:BC209)=30%,0,IF(BF210&gt;0%,30%,0%))</f>
        <v>0</v>
      </c>
      <c r="BE209" s="395">
        <f ca="1">IF(SUM($G209:BD209)=30%,0,IF(BG210&gt;0%,30%,0%))</f>
        <v>0</v>
      </c>
      <c r="BF209" s="395">
        <f ca="1">IF(SUM($G209:BE209)=30%,0,IF(BH210&gt;0%,30%,0%))</f>
        <v>0</v>
      </c>
      <c r="BG209" s="395">
        <f ca="1">IF(SUM($G209:BF209)=30%,0,IF(BI210&gt;0%,30%,0%))</f>
        <v>0</v>
      </c>
      <c r="BH209" s="395">
        <f ca="1">IF(SUM($G209:BG209)=30%,0,IF(BJ210&gt;0%,30%,0%))</f>
        <v>0</v>
      </c>
      <c r="BI209" s="395">
        <f ca="1">IF(SUM($G209:BH209)=30%,0,IF(BK210&gt;0%,30%,0%))</f>
        <v>0</v>
      </c>
      <c r="BJ209" s="395">
        <f ca="1">IF(SUM($G209:BI209)=30%,0,IF(BL210&gt;0%,30%,0%))</f>
        <v>0</v>
      </c>
      <c r="BK209" s="395">
        <f ca="1">IF(SUM($G209:BJ209)=30%,0,IF(BM210&gt;0%,30%,0%))</f>
        <v>0</v>
      </c>
      <c r="BL209" s="395">
        <f ca="1">IF(SUM($G209:BK209)=30%,0,IF(BN210&gt;0%,30%,0%))</f>
        <v>0</v>
      </c>
      <c r="BM209" s="395">
        <f ca="1">IF(SUM($G209:BL209)=30%,0,IF(BO210&gt;0%,30%,0%))</f>
        <v>0</v>
      </c>
      <c r="BN209" s="395">
        <f ca="1">IF(SUM($G209:BM209)=30%,0,IF(BP210&gt;0%,30%,0%))</f>
        <v>0</v>
      </c>
      <c r="BO209" s="395">
        <f ca="1">IF(SUM($G209:BN209)=30%,0,IF(BQ210&gt;0%,30%,0%))</f>
        <v>0</v>
      </c>
      <c r="BP209" s="395">
        <f ca="1">IF(SUM($G209:BO209)=30%,0,IF(BR210&gt;0%,30%,0%))</f>
        <v>0</v>
      </c>
      <c r="BQ209" s="395">
        <f ca="1">IF(SUM($G209:BP209)=30%,0,IF(BS210&gt;0%,30%,0%))</f>
        <v>0</v>
      </c>
      <c r="BR209" s="395">
        <f ca="1">IF(SUM($G209:BQ209)=30%,0,IF(BT210&gt;0%,30%,0%))</f>
        <v>0</v>
      </c>
      <c r="BS209" s="395">
        <f ca="1">IF(SUM($G209:BR209)=30%,0,IF(BU210&gt;0%,30%,0%))</f>
        <v>0</v>
      </c>
      <c r="BT209" s="395">
        <f ca="1">IF(SUM($G209:BS209)=30%,0,IF(BV210&gt;0%,30%,0%))</f>
        <v>0</v>
      </c>
      <c r="BU209" s="395">
        <f ca="1">IF(SUM($G209:BT209)=30%,0,IF(BW210&gt;0%,30%,0%))</f>
        <v>0</v>
      </c>
      <c r="BV209" s="395">
        <f ca="1">IF(SUM($G209:BU209)=30%,0,IF(BX210&gt;0%,30%,0%))</f>
        <v>0</v>
      </c>
      <c r="BW209" s="395">
        <f ca="1">IF(SUM($G209:BV209)=30%,0,IF(BY210&gt;0%,30%,0%))</f>
        <v>0</v>
      </c>
      <c r="BX209" s="395">
        <f ca="1">IF(SUM($G209:BW209)=30%,0,IF(BZ210&gt;0%,30%,0%))</f>
        <v>0</v>
      </c>
      <c r="BY209" s="395">
        <f ca="1">IF(SUM($G209:BX209)=30%,0,IF(CA210&gt;0%,30%,0%))</f>
        <v>0</v>
      </c>
      <c r="BZ209" s="395">
        <f ca="1">IF(SUM($G209:BY209)=30%,0,IF(CB210&gt;0%,30%,0%))</f>
        <v>0</v>
      </c>
      <c r="CA209" s="395">
        <f ca="1">IF(SUM($G209:BZ209)=30%,0,IF(CC210&gt;0%,30%,0%))</f>
        <v>0</v>
      </c>
      <c r="CB209" s="395">
        <f ca="1">IF(SUM($G209:CA209)=30%,0,IF(CD210&gt;0%,30%,0%))</f>
        <v>0</v>
      </c>
      <c r="CC209" s="395">
        <f ca="1">IF(SUM($G209:CB209)=30%,0,IF(CE210&gt;0%,30%,0%))</f>
        <v>0</v>
      </c>
      <c r="CD209" s="395">
        <f ca="1">IF(SUM($G209:CC209)=30%,0,IF(CF210&gt;0%,30%,0%))</f>
        <v>0</v>
      </c>
      <c r="CE209" s="395">
        <f ca="1">IF(SUM($G209:CD209)=30%,0,IF(CG210&gt;0%,30%,0%))</f>
        <v>0</v>
      </c>
      <c r="CF209" s="395">
        <f ca="1">IF(SUM($G209:CE209)=30%,0,IF(CH210&gt;0%,30%,0%))</f>
        <v>0</v>
      </c>
      <c r="CG209" s="395">
        <f ca="1">IF(SUM($G209:CF209)=30%,0,IF(CI210&gt;0%,30%,0%))</f>
        <v>0</v>
      </c>
      <c r="CH209" s="395">
        <f ca="1">IF(SUM($G209:CG209)=30%,0,IF(CJ210&gt;0%,30%,0%))</f>
        <v>0</v>
      </c>
      <c r="CI209" s="395">
        <f ca="1">IF(SUM($G209:CH209)=30%,0,IF(CK210&gt;0%,30%,0%))</f>
        <v>0</v>
      </c>
      <c r="CJ209" s="395">
        <f ca="1">IF(SUM($G209:CI209)=30%,0,IF(CL210&gt;0%,30%,0%))</f>
        <v>0</v>
      </c>
      <c r="CK209" s="395">
        <f ca="1">IF(SUM($G209:CJ209)=30%,0,IF(CM210&gt;0%,30%,0%))</f>
        <v>0</v>
      </c>
      <c r="CL209" s="395">
        <f ca="1">IF(SUM($G209:CK209)=30%,0,IF(CN210&gt;0%,30%,0%))</f>
        <v>0</v>
      </c>
      <c r="CM209" s="395">
        <f ca="1">IF(SUM($G209:CL209)=30%,0,IF(CO210&gt;0%,30%,0%))</f>
        <v>0</v>
      </c>
      <c r="CN209" s="395">
        <f ca="1">IF(SUM($G209:CM209)=30%,0,IF(CP210&gt;0%,30%,0%))</f>
        <v>0</v>
      </c>
      <c r="CO209" s="395">
        <f ca="1">IF(SUM($G209:CN209)=30%,0,IF(CQ210&gt;0%,30%,0%))</f>
        <v>0</v>
      </c>
      <c r="CP209" s="395">
        <f ca="1">IF(SUM($G209:CO209)=30%,0,IF(CR210&gt;0%,30%,0%))</f>
        <v>0</v>
      </c>
      <c r="CQ209" s="395">
        <f ca="1">IF(SUM($G209:CP209)=30%,0,IF(CS210&gt;0%,30%,0%))</f>
        <v>0</v>
      </c>
      <c r="CR209" s="395">
        <f ca="1">IF(SUM($G209:CQ209)=30%,0,IF(CT210&gt;0%,30%,0%))</f>
        <v>0</v>
      </c>
      <c r="CS209" s="395">
        <f ca="1">IF(SUM($G209:CR209)=30%,0,IF(CU210&gt;0%,30%,0%))</f>
        <v>0</v>
      </c>
      <c r="CT209" s="395">
        <f ca="1">IF(SUM($G209:CS209)=30%,0,IF(CV210&gt;0%,30%,0%))</f>
        <v>0</v>
      </c>
      <c r="CU209" s="395">
        <f ca="1">IF(SUM($G209:CT209)=30%,0,IF(CW210&gt;0%,30%,0%))</f>
        <v>0</v>
      </c>
      <c r="CV209" s="395">
        <f ca="1">IF(SUM($G209:CU209)=30%,0,IF(CX210&gt;0%,30%,0%))</f>
        <v>0</v>
      </c>
      <c r="CW209" s="395">
        <f ca="1">IF(SUM($G209:CV209)=30%,0,IF(CY210&gt;0%,30%,0%))</f>
        <v>0</v>
      </c>
      <c r="CX209" s="395">
        <f ca="1">IF(SUM($G209:CW209)=30%,0,IF(CZ210&gt;0%,30%,0%))</f>
        <v>0</v>
      </c>
      <c r="CY209" s="395">
        <f ca="1">IF(SUM($G209:CX209)=30%,0,IF(DA210&gt;0%,30%,0%))</f>
        <v>0</v>
      </c>
      <c r="CZ209" s="395">
        <f ca="1">IF(SUM($G209:CY209)=30%,0,IF(DB210&gt;0%,30%,0%))</f>
        <v>0</v>
      </c>
      <c r="DA209" s="395">
        <f ca="1">IF(SUM($G209:CZ209)=30%,0,IF(DC210&gt;0%,30%,0%))</f>
        <v>0</v>
      </c>
      <c r="DB209" s="395">
        <f ca="1">IF(SUM($G209:DA209)=30%,0,IF(DD210&gt;0%,30%,0%))</f>
        <v>0</v>
      </c>
      <c r="DC209" s="395">
        <f ca="1">IF(SUM($G209:DB209)=30%,0,IF(DE210&gt;0%,30%,0%))</f>
        <v>0</v>
      </c>
      <c r="DD209" s="395">
        <f ca="1">IF(SUM($G209:DC209)=30%,0,IF(DF210&gt;0%,30%,0%))</f>
        <v>0</v>
      </c>
      <c r="DE209" s="395">
        <f ca="1">IF(SUM($G209:DD209)=30%,0,IF(DG210&gt;0%,30%,0%))</f>
        <v>0</v>
      </c>
      <c r="DF209" s="395">
        <f ca="1">IF(SUM($G209:DE209)=30%,0,IF(DH210&gt;0%,30%,0%))</f>
        <v>0</v>
      </c>
      <c r="DG209" s="395">
        <f ca="1">IF(SUM($G209:DF209)=30%,0,IF(DI210&gt;0%,30%,0%))</f>
        <v>0</v>
      </c>
      <c r="DH209" s="395">
        <f ca="1">IF(SUM($G209:DG209)=30%,0,IF(DJ210&gt;0%,30%,0%))</f>
        <v>0</v>
      </c>
      <c r="DI209" s="395">
        <f ca="1">IF(SUM($G209:DH209)=30%,0,IF(DK210&gt;0%,30%,0%))</f>
        <v>0</v>
      </c>
      <c r="DJ209" s="395">
        <f ca="1">IF(SUM($G209:DI209)=30%,0,IF(DL210&gt;0%,30%,0%))</f>
        <v>0</v>
      </c>
      <c r="DK209" s="395">
        <f ca="1">IF(SUM($G209:DJ209)=30%,0,IF(DM210&gt;0%,30%,0%))</f>
        <v>0</v>
      </c>
      <c r="DL209" s="395">
        <f ca="1">IF(SUM($G209:DK209)=30%,0,IF(DN210&gt;0%,30%,0%))</f>
        <v>0</v>
      </c>
      <c r="DM209" s="395">
        <f ca="1">IF(SUM($G209:DL209)=30%,0,IF(DO210&gt;0%,30%,0%))</f>
        <v>0</v>
      </c>
      <c r="DN209" s="395">
        <f ca="1">IF(SUM($G209:DM209)=30%,0,IF(DP210&gt;0%,30%,0%))</f>
        <v>0</v>
      </c>
      <c r="DO209" s="395">
        <f ca="1">IF(SUM($G209:DN209)=30%,0,IF(DQ210&gt;0%,30%,0%))</f>
        <v>0</v>
      </c>
      <c r="DP209" s="395">
        <f ca="1">IF(SUM($G209:DO209)=30%,0,IF(DR210&gt;0%,30%,0%))</f>
        <v>0</v>
      </c>
      <c r="DQ209" s="395">
        <f ca="1">IF(SUM($G209:DP209)=30%,0,IF(DS210&gt;0%,30%,0%))</f>
        <v>0</v>
      </c>
      <c r="DR209" s="395">
        <f ca="1">IF(SUM($G209:DQ209)=30%,0,IF(DT210&gt;0%,30%,0%))</f>
        <v>0</v>
      </c>
      <c r="DS209" s="395">
        <f ca="1">IF(SUM($G209:DR209)=30%,0,IF(DU210&gt;0%,30%,0%))</f>
        <v>0</v>
      </c>
      <c r="DT209" s="395">
        <f ca="1">IF(SUM($G209:DS209)=30%,0,IF(DV210&gt;0%,30%,0%))</f>
        <v>0</v>
      </c>
      <c r="DU209" s="395">
        <f ca="1">IF(SUM($G209:DT209)=30%,0,IF(DW210&gt;0%,30%,0%))</f>
        <v>0</v>
      </c>
      <c r="DV209" s="395">
        <f ca="1">IF(SUM($G209:DU209)=30%,0,IF(DX210&gt;0%,30%,0%))</f>
        <v>0</v>
      </c>
      <c r="DW209" s="395">
        <f ca="1">IF(SUM($G209:DV209)=30%,0,IF(DY210&gt;0%,30%,0%))</f>
        <v>0</v>
      </c>
      <c r="DX209" s="395">
        <f ca="1">IF(SUM($G209:DW209)=30%,0,IF(DZ210&gt;0%,30%,0%))</f>
        <v>0</v>
      </c>
      <c r="DY209" s="395">
        <f ca="1">IF(SUM($G209:DX209)=30%,0,IF(EA210&gt;0%,30%,0%))</f>
        <v>0</v>
      </c>
      <c r="DZ209" s="395">
        <f ca="1">IF(SUM($G209:DY209)=30%,0,IF(EB210&gt;0%,30%,0%))</f>
        <v>0</v>
      </c>
      <c r="EA209" s="395">
        <f ca="1">IF(SUM($G209:DZ209)=30%,0,IF(EC210&gt;0%,30%,0%))</f>
        <v>0</v>
      </c>
      <c r="EB209" s="395">
        <f ca="1">IF(SUM($G209:EA209)=30%,0,IF(ED210&gt;0%,30%,0%))</f>
        <v>0</v>
      </c>
      <c r="EC209" s="395">
        <f ca="1">IF(SUM($G209:EB209)=30%,0,IF(EE210&gt;0%,30%,0%))</f>
        <v>0</v>
      </c>
      <c r="ED209" s="395">
        <f ca="1">IF(SUM($G209:EC209)=30%,0,IF(EF210&gt;0%,30%,0%))</f>
        <v>0</v>
      </c>
      <c r="EE209" s="395">
        <f ca="1">IF(SUM($G209:ED209)=30%,0,IF(EG210&gt;0%,30%,0%))</f>
        <v>0</v>
      </c>
      <c r="EF209" s="395">
        <f ca="1">IF(SUM($G209:EE209)=30%,0,IF(EH210&gt;0%,30%,0%))</f>
        <v>0</v>
      </c>
      <c r="EG209" s="395">
        <f ca="1">IF(SUM($G209:EF209)=30%,0,IF(EI210&gt;0%,30%,0%))</f>
        <v>0</v>
      </c>
      <c r="EH209" s="395">
        <f ca="1">IF(SUM($G209:EG209)=30%,0,IF(EJ210&gt;0%,30%,0%))</f>
        <v>0</v>
      </c>
      <c r="EI209" s="395">
        <f ca="1">IF(SUM($G209:EH209)=30%,0,IF(EK210&gt;0%,30%,0%))</f>
        <v>0</v>
      </c>
      <c r="EJ209" s="398"/>
      <c r="EK209" s="313"/>
    </row>
    <row r="210" spans="1:141" hidden="1" outlineLevel="2">
      <c r="A210" s="332"/>
      <c r="B210" s="313"/>
      <c r="C210" s="317"/>
      <c r="D210" s="317" t="s">
        <v>663</v>
      </c>
      <c r="E210" s="318">
        <f ca="1">ROUND(IF(F210=0,0,70%-F210),0)</f>
        <v>0</v>
      </c>
      <c r="F210" s="397">
        <f t="shared" ca="1" si="283"/>
        <v>0</v>
      </c>
      <c r="G210" s="395"/>
      <c r="H210" s="395"/>
      <c r="I210" s="395">
        <f ca="1">IF($E$390=0,0,IF(SUM($G210:H210)=70%,0,IF(SUM($G390:H390)&gt;=$E390,(70%/$E390)*($E390-SUM($G390:G390)),(70%/$E390)*H390)))</f>
        <v>0</v>
      </c>
      <c r="J210" s="395">
        <f ca="1">IF($E$390=0,0,IF(SUM($G210:I210)=70%,0,IF(SUM($G390:I390)&gt;=$E390,(70%/$E390)*($E390-SUM($G390:H390)),(70%/$E390)*I390)))</f>
        <v>0</v>
      </c>
      <c r="K210" s="395">
        <f ca="1">IF($E$390=0,0,IF(SUM($G210:J210)=70%,0,IF(SUM($G390:J390)&gt;=$E390,(70%/$E390)*($E390-SUM($G390:I390)),(70%/$E390)*J390)))</f>
        <v>0</v>
      </c>
      <c r="L210" s="395">
        <f ca="1">IF($E$390=0,0,IF(SUM($G210:K210)=70%,0,IF(SUM($G390:K390)&gt;=$E390,(70%/$E390)*($E390-SUM($G390:J390)),(70%/$E390)*K390)))</f>
        <v>0</v>
      </c>
      <c r="M210" s="395">
        <f ca="1">IF($E$390=0,0,IF(SUM($G210:L210)=70%,0,IF(SUM($G390:L390)&gt;=$E390,(70%/$E390)*($E390-SUM($G390:K390)),(70%/$E390)*L390)))</f>
        <v>0</v>
      </c>
      <c r="N210" s="395">
        <f ca="1">IF($E$390=0,0,IF(SUM($G210:M210)=70%,0,IF(SUM($G390:M390)&gt;=$E390,(70%/$E390)*($E390-SUM($G390:L390)),(70%/$E390)*M390)))</f>
        <v>0</v>
      </c>
      <c r="O210" s="395">
        <f ca="1">IF($E$390=0,0,IF(SUM($G210:N210)=70%,0,IF(SUM($G390:N390)&gt;=$E390,(70%/$E390)*($E390-SUM($G390:M390)),(70%/$E390)*N390)))</f>
        <v>0</v>
      </c>
      <c r="P210" s="395">
        <f ca="1">IF($E$390=0,0,IF(SUM($G210:O210)=70%,0,IF(SUM($G390:O390)&gt;=$E390,(70%/$E390)*($E390-SUM($G390:N390)),(70%/$E390)*O390)))</f>
        <v>0</v>
      </c>
      <c r="Q210" s="395">
        <f ca="1">IF($E$390=0,0,IF(SUM($G210:P210)=70%,0,IF(SUM($G390:P390)&gt;=$E390,(70%/$E390)*($E390-SUM($G390:O390)),(70%/$E390)*P390)))</f>
        <v>0</v>
      </c>
      <c r="R210" s="395">
        <f ca="1">IF($E$390=0,0,IF(SUM($G210:Q210)=70%,0,IF(SUM($G390:Q390)&gt;=$E390,(70%/$E390)*($E390-SUM($G390:P390)),(70%/$E390)*Q390)))</f>
        <v>0</v>
      </c>
      <c r="S210" s="395">
        <f ca="1">IF($E$390=0,0,IF(SUM($G210:R210)=70%,0,IF(SUM($G390:R390)&gt;=$E390,(70%/$E390)*($E390-SUM($G390:Q390)),(70%/$E390)*R390)))</f>
        <v>0</v>
      </c>
      <c r="T210" s="395">
        <f ca="1">IF($E$390=0,0,IF(SUM($G210:S210)=70%,0,IF(SUM($G390:S390)&gt;=$E390,(70%/$E390)*($E390-SUM($G390:R390)),(70%/$E390)*S390)))</f>
        <v>0</v>
      </c>
      <c r="U210" s="395">
        <f ca="1">IF($E$390=0,0,IF(SUM($G210:T210)=70%,0,IF(SUM($G390:T390)&gt;=$E390,(70%/$E390)*($E390-SUM($G390:S390)),(70%/$E390)*T390)))</f>
        <v>0</v>
      </c>
      <c r="V210" s="395">
        <f ca="1">IF($E$390=0,0,IF(SUM($G210:U210)=70%,0,IF(SUM($G390:U390)&gt;=$E390,(70%/$E390)*($E390-SUM($G390:T390)),(70%/$E390)*U390)))</f>
        <v>0</v>
      </c>
      <c r="W210" s="395">
        <f ca="1">IF($E$390=0,0,IF(SUM($G210:V210)=70%,0,IF(SUM($G390:V390)&gt;=$E390,(70%/$E390)*($E390-SUM($G390:U390)),(70%/$E390)*V390)))</f>
        <v>0</v>
      </c>
      <c r="X210" s="395">
        <f ca="1">IF($E$390=0,0,IF(SUM($G210:W210)=70%,0,IF(SUM($G390:W390)&gt;=$E390,(70%/$E390)*($E390-SUM($G390:V390)),(70%/$E390)*W390)))</f>
        <v>0</v>
      </c>
      <c r="Y210" s="395">
        <f ca="1">IF($E$390=0,0,IF(SUM($G210:X210)=70%,0,IF(SUM($G390:X390)&gt;=$E390,(70%/$E390)*($E390-SUM($G390:W390)),(70%/$E390)*X390)))</f>
        <v>0</v>
      </c>
      <c r="Z210" s="395">
        <f ca="1">IF($E$390=0,0,IF(SUM($G210:Y210)=70%,0,IF(SUM($G390:Y390)&gt;=$E390,(70%/$E390)*($E390-SUM($G390:X390)),(70%/$E390)*Y390)))</f>
        <v>0</v>
      </c>
      <c r="AA210" s="395">
        <f ca="1">IF($E$390=0,0,IF(SUM($G210:Z210)=70%,0,IF(SUM($G390:Z390)&gt;=$E390,(70%/$E390)*($E390-SUM($G390:Y390)),(70%/$E390)*Z390)))</f>
        <v>0</v>
      </c>
      <c r="AB210" s="395">
        <f ca="1">IF($E$390=0,0,IF(SUM($G210:AA210)=70%,0,IF(SUM($G390:AA390)&gt;=$E390,(70%/$E390)*($E390-SUM($G390:Z390)),(70%/$E390)*AA390)))</f>
        <v>0</v>
      </c>
      <c r="AC210" s="395">
        <f ca="1">IF($E$390=0,0,IF(SUM($G210:AB210)=70%,0,IF(SUM($G390:AB390)&gt;=$E390,(70%/$E390)*($E390-SUM($G390:AA390)),(70%/$E390)*AB390)))</f>
        <v>0</v>
      </c>
      <c r="AD210" s="395">
        <f ca="1">IF($E$390=0,0,IF(SUM($G210:AC210)=70%,0,IF(SUM($G390:AC390)&gt;=$E390,(70%/$E390)*($E390-SUM($G390:AB390)),(70%/$E390)*AC390)))</f>
        <v>0</v>
      </c>
      <c r="AE210" s="395">
        <f ca="1">IF($E$390=0,0,IF(SUM($G210:AD210)=70%,0,IF(SUM($G390:AD390)&gt;=$E390,(70%/$E390)*($E390-SUM($G390:AC390)),(70%/$E390)*AD390)))</f>
        <v>0</v>
      </c>
      <c r="AF210" s="395">
        <f ca="1">IF($E$390=0,0,IF(SUM($G210:AE210)=70%,0,IF(SUM($G390:AE390)&gt;=$E390,(70%/$E390)*($E390-SUM($G390:AD390)),(70%/$E390)*AE390)))</f>
        <v>0</v>
      </c>
      <c r="AG210" s="395">
        <f ca="1">IF($E$390=0,0,IF(SUM($G210:AF210)=70%,0,IF(SUM($G390:AF390)&gt;=$E390,(70%/$E390)*($E390-SUM($G390:AE390)),(70%/$E390)*AF390)))</f>
        <v>0</v>
      </c>
      <c r="AH210" s="395">
        <f ca="1">IF($E$390=0,0,IF(SUM($G210:AG210)=70%,0,IF(SUM($G390:AG390)&gt;=$E390,(70%/$E390)*($E390-SUM($G390:AF390)),(70%/$E390)*AG390)))</f>
        <v>0</v>
      </c>
      <c r="AI210" s="395">
        <f ca="1">IF($E$390=0,0,IF(SUM($G210:AH210)=70%,0,IF(SUM($G390:AH390)&gt;=$E390,(70%/$E390)*($E390-SUM($G390:AG390)),(70%/$E390)*AH390)))</f>
        <v>0</v>
      </c>
      <c r="AJ210" s="395">
        <f ca="1">IF($E$390=0,0,IF(SUM($G210:AI210)=70%,0,IF(SUM($G390:AI390)&gt;=$E390,(70%/$E390)*($E390-SUM($G390:AH390)),(70%/$E390)*AI390)))</f>
        <v>0</v>
      </c>
      <c r="AK210" s="395">
        <f ca="1">IF($E$390=0,0,IF(SUM($G210:AJ210)=70%,0,IF(SUM($G390:AJ390)&gt;=$E390,(70%/$E390)*($E390-SUM($G390:AI390)),(70%/$E390)*AJ390)))</f>
        <v>0</v>
      </c>
      <c r="AL210" s="395">
        <f ca="1">IF($E$390=0,0,IF(SUM($G210:AK210)=70%,0,IF(SUM($G390:AK390)&gt;=$E390,(70%/$E390)*($E390-SUM($G390:AJ390)),(70%/$E390)*AK390)))</f>
        <v>0</v>
      </c>
      <c r="AM210" s="395">
        <f ca="1">IF($E$390=0,0,IF(SUM($G210:AL210)=70%,0,IF(SUM($G390:AL390)&gt;=$E390,(70%/$E390)*($E390-SUM($G390:AK390)),(70%/$E390)*AL390)))</f>
        <v>0</v>
      </c>
      <c r="AN210" s="395">
        <f ca="1">IF($E$390=0,0,IF(SUM($G210:AM210)=70%,0,IF(SUM($G390:AM390)&gt;=$E390,(70%/$E390)*($E390-SUM($G390:AL390)),(70%/$E390)*AM390)))</f>
        <v>0</v>
      </c>
      <c r="AO210" s="395">
        <f ca="1">IF($E$390=0,0,IF(SUM($G210:AN210)=70%,0,IF(SUM($G390:AN390)&gt;=$E390,(70%/$E390)*($E390-SUM($G390:AM390)),(70%/$E390)*AN390)))</f>
        <v>0</v>
      </c>
      <c r="AP210" s="395">
        <f ca="1">IF($E$390=0,0,IF(SUM($G210:AO210)=70%,0,IF(SUM($G390:AO390)&gt;=$E390,(70%/$E390)*($E390-SUM($G390:AN390)),(70%/$E390)*AO390)))</f>
        <v>0</v>
      </c>
      <c r="AQ210" s="395">
        <f ca="1">IF($E$390=0,0,IF(SUM($G210:AP210)=70%,0,IF(SUM($G390:AP390)&gt;=$E390,(70%/$E390)*($E390-SUM($G390:AO390)),(70%/$E390)*AP390)))</f>
        <v>0</v>
      </c>
      <c r="AR210" s="395">
        <f ca="1">IF($E$390=0,0,IF(SUM($G210:AQ210)=70%,0,IF(SUM($G390:AQ390)&gt;=$E390,(70%/$E390)*($E390-SUM($G390:AP390)),(70%/$E390)*AQ390)))</f>
        <v>0</v>
      </c>
      <c r="AS210" s="395">
        <f ca="1">IF($E$390=0,0,IF(SUM($G210:AR210)=70%,0,IF(SUM($G390:AR390)&gt;=$E390,(70%/$E390)*($E390-SUM($G390:AQ390)),(70%/$E390)*AR390)))</f>
        <v>0</v>
      </c>
      <c r="AT210" s="395">
        <f ca="1">IF($E$390=0,0,IF(SUM($G210:AS210)=70%,0,IF(SUM($G390:AS390)&gt;=$E390,(70%/$E390)*($E390-SUM($G390:AR390)),(70%/$E390)*AS390)))</f>
        <v>0</v>
      </c>
      <c r="AU210" s="395">
        <f ca="1">IF($E$390=0,0,IF(SUM($G210:AT210)=70%,0,IF(SUM($G390:AT390)&gt;=$E390,(70%/$E390)*($E390-SUM($G390:AS390)),(70%/$E390)*AT390)))</f>
        <v>0</v>
      </c>
      <c r="AV210" s="395">
        <f ca="1">IF($E$390=0,0,IF(SUM($G210:AU210)=70%,0,IF(SUM($G390:AU390)&gt;=$E390,(70%/$E390)*($E390-SUM($G390:AT390)),(70%/$E390)*AU390)))</f>
        <v>0</v>
      </c>
      <c r="AW210" s="395">
        <f ca="1">IF($E$390=0,0,IF(SUM($G210:AV210)=70%,0,IF(SUM($G390:AV390)&gt;=$E390,(70%/$E390)*($E390-SUM($G390:AU390)),(70%/$E390)*AV390)))</f>
        <v>0</v>
      </c>
      <c r="AX210" s="395">
        <f ca="1">IF($E$390=0,0,IF(SUM($G210:AW210)=70%,0,IF(SUM($G390:AW390)&gt;=$E390,(70%/$E390)*($E390-SUM($G390:AV390)),(70%/$E390)*AW390)))</f>
        <v>0</v>
      </c>
      <c r="AY210" s="395">
        <f ca="1">IF($E$390=0,0,IF(SUM($G210:AX210)=70%,0,IF(SUM($G390:AX390)&gt;=$E390,(70%/$E390)*($E390-SUM($G390:AW390)),(70%/$E390)*AX390)))</f>
        <v>0</v>
      </c>
      <c r="AZ210" s="395">
        <f ca="1">IF($E$390=0,0,IF(SUM($G210:AY210)=70%,0,IF(SUM($G390:AY390)&gt;=$E390,(70%/$E390)*($E390-SUM($G390:AX390)),(70%/$E390)*AY390)))</f>
        <v>0</v>
      </c>
      <c r="BA210" s="395">
        <f ca="1">IF($E$390=0,0,IF(SUM($G210:AZ210)=70%,0,IF(SUM($G390:AZ390)&gt;=$E390,(70%/$E390)*($E390-SUM($G390:AY390)),(70%/$E390)*AZ390)))</f>
        <v>0</v>
      </c>
      <c r="BB210" s="395">
        <f ca="1">IF($E$390=0,0,IF(SUM($G210:BA210)=70%,0,IF(SUM($G390:BA390)&gt;=$E390,(70%/$E390)*($E390-SUM($G390:AZ390)),(70%/$E390)*BA390)))</f>
        <v>0</v>
      </c>
      <c r="BC210" s="395">
        <f ca="1">IF($E$390=0,0,IF(SUM($G210:BB210)=70%,0,IF(SUM($G390:BB390)&gt;=$E390,(70%/$E390)*($E390-SUM($G390:BA390)),(70%/$E390)*BB390)))</f>
        <v>0</v>
      </c>
      <c r="BD210" s="395">
        <f ca="1">IF($E$390=0,0,IF(SUM($G210:BC210)=70%,0,IF(SUM($G390:BC390)&gt;=$E390,(70%/$E390)*($E390-SUM($G390:BB390)),(70%/$E390)*BC390)))</f>
        <v>0</v>
      </c>
      <c r="BE210" s="395">
        <f ca="1">IF($E$390=0,0,IF(SUM($G210:BD210)=70%,0,IF(SUM($G390:BD390)&gt;=$E390,(70%/$E390)*($E390-SUM($G390:BC390)),(70%/$E390)*BD390)))</f>
        <v>0</v>
      </c>
      <c r="BF210" s="395">
        <f ca="1">IF($E$390=0,0,IF(SUM($G210:BE210)=70%,0,IF(SUM($G390:BE390)&gt;=$E390,(70%/$E390)*($E390-SUM($G390:BD390)),(70%/$E390)*BE390)))</f>
        <v>0</v>
      </c>
      <c r="BG210" s="395">
        <f ca="1">IF($E$390=0,0,IF(SUM($G210:BF210)=70%,0,IF(SUM($G390:BF390)&gt;=$E390,(70%/$E390)*($E390-SUM($G390:BE390)),(70%/$E390)*BF390)))</f>
        <v>0</v>
      </c>
      <c r="BH210" s="395">
        <f ca="1">IF($E$390=0,0,IF(SUM($G210:BG210)=70%,0,IF(SUM($G390:BG390)&gt;=$E390,(70%/$E390)*($E390-SUM($G390:BF390)),(70%/$E390)*BG390)))</f>
        <v>0</v>
      </c>
      <c r="BI210" s="395">
        <f ca="1">IF($E$390=0,0,IF(SUM($G210:BH210)=70%,0,IF(SUM($G390:BH390)&gt;=$E390,(70%/$E390)*($E390-SUM($G390:BG390)),(70%/$E390)*BH390)))</f>
        <v>0</v>
      </c>
      <c r="BJ210" s="395">
        <f ca="1">IF($E$390=0,0,IF(SUM($G210:BI210)=70%,0,IF(SUM($G390:BI390)&gt;=$E390,(70%/$E390)*($E390-SUM($G390:BH390)),(70%/$E390)*BI390)))</f>
        <v>0</v>
      </c>
      <c r="BK210" s="395">
        <f ca="1">IF($E$390=0,0,IF(SUM($G210:BJ210)=70%,0,IF(SUM($G390:BJ390)&gt;=$E390,(70%/$E390)*($E390-SUM($G390:BI390)),(70%/$E390)*BJ390)))</f>
        <v>0</v>
      </c>
      <c r="BL210" s="395">
        <f ca="1">IF($E$390=0,0,IF(SUM($G210:BK210)=70%,0,IF(SUM($G390:BK390)&gt;=$E390,(70%/$E390)*($E390-SUM($G390:BJ390)),(70%/$E390)*BK390)))</f>
        <v>0</v>
      </c>
      <c r="BM210" s="395">
        <f ca="1">IF($E$390=0,0,IF(SUM($G210:BL210)=70%,0,IF(SUM($G390:BL390)&gt;=$E390,(70%/$E390)*($E390-SUM($G390:BK390)),(70%/$E390)*BL390)))</f>
        <v>0</v>
      </c>
      <c r="BN210" s="395">
        <f ca="1">IF($E$390=0,0,IF(SUM($G210:BM210)=70%,0,IF(SUM($G390:BM390)&gt;=$E390,(70%/$E390)*($E390-SUM($G390:BL390)),(70%/$E390)*BM390)))</f>
        <v>0</v>
      </c>
      <c r="BO210" s="395">
        <f ca="1">IF($E$390=0,0,IF(SUM($G210:BN210)=70%,0,IF(SUM($G390:BN390)&gt;=$E390,(70%/$E390)*($E390-SUM($G390:BM390)),(70%/$E390)*BN390)))</f>
        <v>0</v>
      </c>
      <c r="BP210" s="395">
        <f ca="1">IF($E$390=0,0,IF(SUM($G210:BO210)=70%,0,IF(SUM($G390:BO390)&gt;=$E390,(70%/$E390)*($E390-SUM($G390:BN390)),(70%/$E390)*BO390)))</f>
        <v>0</v>
      </c>
      <c r="BQ210" s="395">
        <f ca="1">IF($E$390=0,0,IF(SUM($G210:BP210)=70%,0,IF(SUM($G390:BP390)&gt;=$E390,(70%/$E390)*($E390-SUM($G390:BO390)),(70%/$E390)*BP390)))</f>
        <v>0</v>
      </c>
      <c r="BR210" s="395">
        <f ca="1">IF($E$390=0,0,IF(SUM($G210:BQ210)=70%,0,IF(SUM($G390:BQ390)&gt;=$E390,(70%/$E390)*($E390-SUM($G390:BP390)),(70%/$E390)*BQ390)))</f>
        <v>0</v>
      </c>
      <c r="BS210" s="395">
        <f ca="1">IF($E$390=0,0,IF(SUM($G210:BR210)=70%,0,IF(SUM($G390:BR390)&gt;=$E390,(70%/$E390)*($E390-SUM($G390:BQ390)),(70%/$E390)*BR390)))</f>
        <v>0</v>
      </c>
      <c r="BT210" s="395">
        <f ca="1">IF($E$390=0,0,IF(SUM($G210:BS210)=70%,0,IF(SUM($G390:BS390)&gt;=$E390,(70%/$E390)*($E390-SUM($G390:BR390)),(70%/$E390)*BS390)))</f>
        <v>0</v>
      </c>
      <c r="BU210" s="395">
        <f ca="1">IF($E$390=0,0,IF(SUM($G210:BT210)=70%,0,IF(SUM($G390:BT390)&gt;=$E390,(70%/$E390)*($E390-SUM($G390:BS390)),(70%/$E390)*BT390)))</f>
        <v>0</v>
      </c>
      <c r="BV210" s="395">
        <f ca="1">IF($E$390=0,0,IF(SUM($G210:BU210)=70%,0,IF(SUM($G390:BU390)&gt;=$E390,(70%/$E390)*($E390-SUM($G390:BT390)),(70%/$E390)*BU390)))</f>
        <v>0</v>
      </c>
      <c r="BW210" s="395">
        <f ca="1">IF($E$390=0,0,IF(SUM($G210:BV210)=70%,0,IF(SUM($G390:BV390)&gt;=$E390,(70%/$E390)*($E390-SUM($G390:BU390)),(70%/$E390)*BV390)))</f>
        <v>0</v>
      </c>
      <c r="BX210" s="395">
        <f ca="1">IF($E$390=0,0,IF(SUM($G210:BW210)=70%,0,IF(SUM($G390:BW390)&gt;=$E390,(70%/$E390)*($E390-SUM($G390:BV390)),(70%/$E390)*BW390)))</f>
        <v>0</v>
      </c>
      <c r="BY210" s="395">
        <f ca="1">IF($E$390=0,0,IF(SUM($G210:BX210)=70%,0,IF(SUM($G390:BX390)&gt;=$E390,(70%/$E390)*($E390-SUM($G390:BW390)),(70%/$E390)*BX390)))</f>
        <v>0</v>
      </c>
      <c r="BZ210" s="395">
        <f ca="1">IF($E$390=0,0,IF(SUM($G210:BY210)=70%,0,IF(SUM($G390:BY390)&gt;=$E390,(70%/$E390)*($E390-SUM($G390:BX390)),(70%/$E390)*BY390)))</f>
        <v>0</v>
      </c>
      <c r="CA210" s="395">
        <f ca="1">IF($E$390=0,0,IF(SUM($G210:BZ210)=70%,0,IF(SUM($G390:BZ390)&gt;=$E390,(70%/$E390)*($E390-SUM($G390:BY390)),(70%/$E390)*BZ390)))</f>
        <v>0</v>
      </c>
      <c r="CB210" s="395">
        <f ca="1">IF($E$390=0,0,IF(SUM($G210:CA210)=70%,0,IF(SUM($G390:CA390)&gt;=$E390,(70%/$E390)*($E390-SUM($G390:BZ390)),(70%/$E390)*CA390)))</f>
        <v>0</v>
      </c>
      <c r="CC210" s="395">
        <f ca="1">IF($E$390=0,0,IF(SUM($G210:CB210)=70%,0,IF(SUM($G390:CB390)&gt;=$E390,(70%/$E390)*($E390-SUM($G390:CA390)),(70%/$E390)*CB390)))</f>
        <v>0</v>
      </c>
      <c r="CD210" s="395">
        <f ca="1">IF($E$390=0,0,IF(SUM($G210:CC210)=70%,0,IF(SUM($G390:CC390)&gt;=$E390,(70%/$E390)*($E390-SUM($G390:CB390)),(70%/$E390)*CC390)))</f>
        <v>0</v>
      </c>
      <c r="CE210" s="395">
        <f ca="1">IF($E$390=0,0,IF(SUM($G210:CD210)=70%,0,IF(SUM($G390:CD390)&gt;=$E390,(70%/$E390)*($E390-SUM($G390:CC390)),(70%/$E390)*CD390)))</f>
        <v>0</v>
      </c>
      <c r="CF210" s="395">
        <f ca="1">IF($E$390=0,0,IF(SUM($G210:CE210)=70%,0,IF(SUM($G390:CE390)&gt;=$E390,(70%/$E390)*($E390-SUM($G390:CD390)),(70%/$E390)*CE390)))</f>
        <v>0</v>
      </c>
      <c r="CG210" s="395">
        <f ca="1">IF($E$390=0,0,IF(SUM($G210:CF210)=70%,0,IF(SUM($G390:CF390)&gt;=$E390,(70%/$E390)*($E390-SUM($G390:CE390)),(70%/$E390)*CF390)))</f>
        <v>0</v>
      </c>
      <c r="CH210" s="395">
        <f ca="1">IF($E$390=0,0,IF(SUM($G210:CG210)=70%,0,IF(SUM($G390:CG390)&gt;=$E390,(70%/$E390)*($E390-SUM($G390:CF390)),(70%/$E390)*CG390)))</f>
        <v>0</v>
      </c>
      <c r="CI210" s="395">
        <f ca="1">IF($E$390=0,0,IF(SUM($G210:CH210)=70%,0,IF(SUM($G390:CH390)&gt;=$E390,(70%/$E390)*($E390-SUM($G390:CG390)),(70%/$E390)*CH390)))</f>
        <v>0</v>
      </c>
      <c r="CJ210" s="395">
        <f ca="1">IF($E$390=0,0,IF(SUM($G210:CI210)=70%,0,IF(SUM($G390:CI390)&gt;=$E390,(70%/$E390)*($E390-SUM($G390:CH390)),(70%/$E390)*CI390)))</f>
        <v>0</v>
      </c>
      <c r="CK210" s="395">
        <f ca="1">IF($E$390=0,0,IF(SUM($G210:CJ210)=70%,0,IF(SUM($G390:CJ390)&gt;=$E390,(70%/$E390)*($E390-SUM($G390:CI390)),(70%/$E390)*CJ390)))</f>
        <v>0</v>
      </c>
      <c r="CL210" s="395">
        <f ca="1">IF($E$390=0,0,IF(SUM($G210:CK210)=70%,0,IF(SUM($G390:CK390)&gt;=$E390,(70%/$E390)*($E390-SUM($G390:CJ390)),(70%/$E390)*CK390)))</f>
        <v>0</v>
      </c>
      <c r="CM210" s="395">
        <f ca="1">IF($E$390=0,0,IF(SUM($G210:CL210)=70%,0,IF(SUM($G390:CL390)&gt;=$E390,(70%/$E390)*($E390-SUM($G390:CK390)),(70%/$E390)*CL390)))</f>
        <v>0</v>
      </c>
      <c r="CN210" s="395">
        <f ca="1">IF($E$390=0,0,IF(SUM($G210:CM210)=70%,0,IF(SUM($G390:CM390)&gt;=$E390,(70%/$E390)*($E390-SUM($G390:CL390)),(70%/$E390)*CM390)))</f>
        <v>0</v>
      </c>
      <c r="CO210" s="395">
        <f ca="1">IF($E$390=0,0,IF(SUM($G210:CN210)=70%,0,IF(SUM($G390:CN390)&gt;=$E390,(70%/$E390)*($E390-SUM($G390:CM390)),(70%/$E390)*CN390)))</f>
        <v>0</v>
      </c>
      <c r="CP210" s="395">
        <f ca="1">IF($E$390=0,0,IF(SUM($G210:CO210)=70%,0,IF(SUM($G390:CO390)&gt;=$E390,(70%/$E390)*($E390-SUM($G390:CN390)),(70%/$E390)*CO390)))</f>
        <v>0</v>
      </c>
      <c r="CQ210" s="395">
        <f ca="1">IF($E$390=0,0,IF(SUM($G210:CP210)=70%,0,IF(SUM($G390:CP390)&gt;=$E390,(70%/$E390)*($E390-SUM($G390:CO390)),(70%/$E390)*CP390)))</f>
        <v>0</v>
      </c>
      <c r="CR210" s="395">
        <f ca="1">IF($E$390=0,0,IF(SUM($G210:CQ210)=70%,0,IF(SUM($G390:CQ390)&gt;=$E390,(70%/$E390)*($E390-SUM($G390:CP390)),(70%/$E390)*CQ390)))</f>
        <v>0</v>
      </c>
      <c r="CS210" s="395">
        <f ca="1">IF($E$390=0,0,IF(SUM($G210:CR210)=70%,0,IF(SUM($G390:CR390)&gt;=$E390,(70%/$E390)*($E390-SUM($G390:CQ390)),(70%/$E390)*CR390)))</f>
        <v>0</v>
      </c>
      <c r="CT210" s="395">
        <f ca="1">IF($E$390=0,0,IF(SUM($G210:CS210)=70%,0,IF(SUM($G390:CS390)&gt;=$E390,(70%/$E390)*($E390-SUM($G390:CR390)),(70%/$E390)*CS390)))</f>
        <v>0</v>
      </c>
      <c r="CU210" s="395">
        <f ca="1">IF($E$390=0,0,IF(SUM($G210:CT210)=70%,0,IF(SUM($G390:CT390)&gt;=$E390,(70%/$E390)*($E390-SUM($G390:CS390)),(70%/$E390)*CT390)))</f>
        <v>0</v>
      </c>
      <c r="CV210" s="395">
        <f ca="1">IF($E$390=0,0,IF(SUM($G210:CU210)=70%,0,IF(SUM($G390:CU390)&gt;=$E390,(70%/$E390)*($E390-SUM($G390:CT390)),(70%/$E390)*CU390)))</f>
        <v>0</v>
      </c>
      <c r="CW210" s="395">
        <f ca="1">IF($E$390=0,0,IF(SUM($G210:CV210)=70%,0,IF(SUM($G390:CV390)&gt;=$E390,(70%/$E390)*($E390-SUM($G390:CU390)),(70%/$E390)*CV390)))</f>
        <v>0</v>
      </c>
      <c r="CX210" s="395">
        <f ca="1">IF($E$390=0,0,IF(SUM($G210:CW210)=70%,0,IF(SUM($G390:CW390)&gt;=$E390,(70%/$E390)*($E390-SUM($G390:CV390)),(70%/$E390)*CW390)))</f>
        <v>0</v>
      </c>
      <c r="CY210" s="395">
        <f ca="1">IF($E$390=0,0,IF(SUM($G210:CX210)=70%,0,IF(SUM($G390:CX390)&gt;=$E390,(70%/$E390)*($E390-SUM($G390:CW390)),(70%/$E390)*CX390)))</f>
        <v>0</v>
      </c>
      <c r="CZ210" s="395">
        <f ca="1">IF($E$390=0,0,IF(SUM($G210:CY210)=70%,0,IF(SUM($G390:CY390)&gt;=$E390,(70%/$E390)*($E390-SUM($G390:CX390)),(70%/$E390)*CY390)))</f>
        <v>0</v>
      </c>
      <c r="DA210" s="395">
        <f ca="1">IF($E$390=0,0,IF(SUM($G210:CZ210)=70%,0,IF(SUM($G390:CZ390)&gt;=$E390,(70%/$E390)*($E390-SUM($G390:CY390)),(70%/$E390)*CZ390)))</f>
        <v>0</v>
      </c>
      <c r="DB210" s="395">
        <f ca="1">IF($E$390=0,0,IF(SUM($G210:DA210)=70%,0,IF(SUM($G390:DA390)&gt;=$E390,(70%/$E390)*($E390-SUM($G390:CZ390)),(70%/$E390)*DA390)))</f>
        <v>0</v>
      </c>
      <c r="DC210" s="395">
        <f ca="1">IF($E$390=0,0,IF(SUM($G210:DB210)=70%,0,IF(SUM($G390:DB390)&gt;=$E390,(70%/$E390)*($E390-SUM($G390:DA390)),(70%/$E390)*DB390)))</f>
        <v>0</v>
      </c>
      <c r="DD210" s="395">
        <f ca="1">IF($E$390=0,0,IF(SUM($G210:DC210)=70%,0,IF(SUM($G390:DC390)&gt;=$E390,(70%/$E390)*($E390-SUM($G390:DB390)),(70%/$E390)*DC390)))</f>
        <v>0</v>
      </c>
      <c r="DE210" s="395">
        <f ca="1">IF($E$390=0,0,IF(SUM($G210:DD210)=70%,0,IF(SUM($G390:DD390)&gt;=$E390,(70%/$E390)*($E390-SUM($G390:DC390)),(70%/$E390)*DD390)))</f>
        <v>0</v>
      </c>
      <c r="DF210" s="395">
        <f ca="1">IF($E$390=0,0,IF(SUM($G210:DE210)=70%,0,IF(SUM($G390:DE390)&gt;=$E390,(70%/$E390)*($E390-SUM($G390:DD390)),(70%/$E390)*DE390)))</f>
        <v>0</v>
      </c>
      <c r="DG210" s="395">
        <f ca="1">IF($E$390=0,0,IF(SUM($G210:DF210)=70%,0,IF(SUM($G390:DF390)&gt;=$E390,(70%/$E390)*($E390-SUM($G390:DE390)),(70%/$E390)*DF390)))</f>
        <v>0</v>
      </c>
      <c r="DH210" s="395">
        <f ca="1">IF($E$390=0,0,IF(SUM($G210:DG210)=70%,0,IF(SUM($G390:DG390)&gt;=$E390,(70%/$E390)*($E390-SUM($G390:DF390)),(70%/$E390)*DG390)))</f>
        <v>0</v>
      </c>
      <c r="DI210" s="395">
        <f ca="1">IF($E$390=0,0,IF(SUM($G210:DH210)=70%,0,IF(SUM($G390:DH390)&gt;=$E390,(70%/$E390)*($E390-SUM($G390:DG390)),(70%/$E390)*DH390)))</f>
        <v>0</v>
      </c>
      <c r="DJ210" s="395">
        <f ca="1">IF($E$390=0,0,IF(SUM($G210:DI210)=70%,0,IF(SUM($G390:DI390)&gt;=$E390,(70%/$E390)*($E390-SUM($G390:DH390)),(70%/$E390)*DI390)))</f>
        <v>0</v>
      </c>
      <c r="DK210" s="395">
        <f ca="1">IF($E$390=0,0,IF(SUM($G210:DJ210)=70%,0,IF(SUM($G390:DJ390)&gt;=$E390,(70%/$E390)*($E390-SUM($G390:DI390)),(70%/$E390)*DJ390)))</f>
        <v>0</v>
      </c>
      <c r="DL210" s="395">
        <f ca="1">IF($E$390=0,0,IF(SUM($G210:DK210)=70%,0,IF(SUM($G390:DK390)&gt;=$E390,(70%/$E390)*($E390-SUM($G390:DJ390)),(70%/$E390)*DK390)))</f>
        <v>0</v>
      </c>
      <c r="DM210" s="395">
        <f ca="1">IF($E$390=0,0,IF(SUM($G210:DL210)=70%,0,IF(SUM($G390:DL390)&gt;=$E390,(70%/$E390)*($E390-SUM($G390:DK390)),(70%/$E390)*DL390)))</f>
        <v>0</v>
      </c>
      <c r="DN210" s="395">
        <f ca="1">IF($E$390=0,0,IF(SUM($G210:DM210)=70%,0,IF(SUM($G390:DM390)&gt;=$E390,(70%/$E390)*($E390-SUM($G390:DL390)),(70%/$E390)*DM390)))</f>
        <v>0</v>
      </c>
      <c r="DO210" s="395">
        <f ca="1">IF($E$390=0,0,IF(SUM($G210:DN210)=70%,0,IF(SUM($G390:DN390)&gt;=$E390,(70%/$E390)*($E390-SUM($G390:DM390)),(70%/$E390)*DN390)))</f>
        <v>0</v>
      </c>
      <c r="DP210" s="395">
        <f ca="1">IF($E$390=0,0,IF(SUM($G210:DO210)=70%,0,IF(SUM($G390:DO390)&gt;=$E390,(70%/$E390)*($E390-SUM($G390:DN390)),(70%/$E390)*DO390)))</f>
        <v>0</v>
      </c>
      <c r="DQ210" s="395">
        <f ca="1">IF($E$390=0,0,IF(SUM($G210:DP210)=70%,0,IF(SUM($G390:DP390)&gt;=$E390,(70%/$E390)*($E390-SUM($G390:DO390)),(70%/$E390)*DP390)))</f>
        <v>0</v>
      </c>
      <c r="DR210" s="395">
        <f ca="1">IF($E$390=0,0,IF(SUM($G210:DQ210)=70%,0,IF(SUM($G390:DQ390)&gt;=$E390,(70%/$E390)*($E390-SUM($G390:DP390)),(70%/$E390)*DQ390)))</f>
        <v>0</v>
      </c>
      <c r="DS210" s="395">
        <f ca="1">IF($E$390=0,0,IF(SUM($G210:DR210)=70%,0,IF(SUM($G390:DR390)&gt;=$E390,(70%/$E390)*($E390-SUM($G390:DQ390)),(70%/$E390)*DR390)))</f>
        <v>0</v>
      </c>
      <c r="DT210" s="395">
        <f ca="1">IF($E$390=0,0,IF(SUM($G210:DS210)=70%,0,IF(SUM($G390:DS390)&gt;=$E390,(70%/$E390)*($E390-SUM($G390:DR390)),(70%/$E390)*DS390)))</f>
        <v>0</v>
      </c>
      <c r="DU210" s="395">
        <f ca="1">IF($E$390=0,0,IF(SUM($G210:DT210)=70%,0,IF(SUM($G390:DT390)&gt;=$E390,(70%/$E390)*($E390-SUM($G390:DS390)),(70%/$E390)*DT390)))</f>
        <v>0</v>
      </c>
      <c r="DV210" s="395">
        <f ca="1">IF($E$390=0,0,IF(SUM($G210:DU210)=70%,0,IF(SUM($G390:DU390)&gt;=$E390,(70%/$E390)*($E390-SUM($G390:DT390)),(70%/$E390)*DU390)))</f>
        <v>0</v>
      </c>
      <c r="DW210" s="395">
        <f ca="1">IF($E$390=0,0,IF(SUM($G210:DV210)=70%,0,IF(SUM($G390:DV390)&gt;=$E390,(70%/$E390)*($E390-SUM($G390:DU390)),(70%/$E390)*DV390)))</f>
        <v>0</v>
      </c>
      <c r="DX210" s="395">
        <f ca="1">IF($E$390=0,0,IF(SUM($G210:DW210)=70%,0,IF(SUM($G390:DW390)&gt;=$E390,(70%/$E390)*($E390-SUM($G390:DV390)),(70%/$E390)*DW390)))</f>
        <v>0</v>
      </c>
      <c r="DY210" s="395">
        <f ca="1">IF($E$390=0,0,IF(SUM($G210:DX210)=70%,0,IF(SUM($G390:DX390)&gt;=$E390,(70%/$E390)*($E390-SUM($G390:DW390)),(70%/$E390)*DX390)))</f>
        <v>0</v>
      </c>
      <c r="DZ210" s="395">
        <f ca="1">IF($E$390=0,0,IF(SUM($G210:DY210)=70%,0,IF(SUM($G390:DY390)&gt;=$E390,(70%/$E390)*($E390-SUM($G390:DX390)),(70%/$E390)*DY390)))</f>
        <v>0</v>
      </c>
      <c r="EA210" s="395">
        <f ca="1">IF($E$390=0,0,IF(SUM($G210:DZ210)=70%,0,IF(SUM($G390:DZ390)&gt;=$E390,(70%/$E390)*($E390-SUM($G390:DY390)),(70%/$E390)*DZ390)))</f>
        <v>0</v>
      </c>
      <c r="EB210" s="395">
        <f ca="1">IF($E$390=0,0,IF(SUM($G210:EA210)=70%,0,IF(SUM($G390:EA390)&gt;=$E390,(70%/$E390)*($E390-SUM($G390:DZ390)),(70%/$E390)*EA390)))</f>
        <v>0</v>
      </c>
      <c r="EC210" s="395">
        <f ca="1">IF($E$390=0,0,IF(SUM($G210:EB210)=70%,0,IF(SUM($G390:EB390)&gt;=$E390,(70%/$E390)*($E390-SUM($G390:EA390)),(70%/$E390)*EB390)))</f>
        <v>0</v>
      </c>
      <c r="ED210" s="395">
        <f ca="1">IF($E$390=0,0,IF(SUM($G210:EC210)=70%,0,IF(SUM($G390:EC390)&gt;=$E390,(70%/$E390)*($E390-SUM($G390:EB390)),(70%/$E390)*EC390)))</f>
        <v>0</v>
      </c>
      <c r="EE210" s="395">
        <f ca="1">IF($E$390=0,0,IF(SUM($G210:ED210)=70%,0,IF(SUM($G390:ED390)&gt;=$E390,(70%/$E390)*($E390-SUM($G390:EC390)),(70%/$E390)*ED390)))</f>
        <v>0</v>
      </c>
      <c r="EF210" s="395">
        <f ca="1">IF($E$390=0,0,IF(SUM($G210:EE210)=70%,0,IF(SUM($G390:EE390)&gt;=$E390,(70%/$E390)*($E390-SUM($G390:ED390)),(70%/$E390)*EE390)))</f>
        <v>0</v>
      </c>
      <c r="EG210" s="395">
        <f ca="1">IF($E$390=0,0,IF(SUM($G210:EF210)=70%,0,IF(SUM($G390:EF390)&gt;=$E390,(70%/$E390)*($E390-SUM($G390:EE390)),(70%/$E390)*EF390)))</f>
        <v>0</v>
      </c>
      <c r="EH210" s="395">
        <f ca="1">IF($E$390=0,0,IF(SUM($G210:EG210)=70%,0,IF(SUM($G390:EG390)&gt;=$E390,(70%/$E390)*($E390-SUM($G390:EF390)),(70%/$E390)*EG390)))</f>
        <v>0</v>
      </c>
      <c r="EI210" s="395">
        <f ca="1">IF($E$390=0,0,IF(SUM($G210:EH210)=70%,0,IF(SUM($G390:EH390)&gt;=$E390,(70%/$E390)*($E390-SUM($G390:EG390)),(70%/$E390)*EH390)))</f>
        <v>0</v>
      </c>
      <c r="EJ210" s="398"/>
      <c r="EK210" s="313"/>
    </row>
    <row r="211" spans="1:141" hidden="1" outlineLevel="1" collapsed="1">
      <c r="A211" s="332"/>
      <c r="B211" s="313"/>
      <c r="C211" s="392" t="s">
        <v>281</v>
      </c>
      <c r="D211" s="392" t="str">
        <f>D395</f>
        <v>Социальная инфраструктура - поликлиника</v>
      </c>
      <c r="E211" s="393">
        <f ca="1">ROUND(IF(F211=0,0,100%-F211),0)</f>
        <v>0</v>
      </c>
      <c r="F211" s="394">
        <f t="shared" ca="1" si="283"/>
        <v>0</v>
      </c>
      <c r="G211" s="395">
        <f>SUM(G212:G213)</f>
        <v>0</v>
      </c>
      <c r="H211" s="395">
        <f ca="1">SUM(H212:H213)</f>
        <v>0</v>
      </c>
      <c r="I211" s="395">
        <f t="shared" ref="I211:BT211" ca="1" si="429">SUM(I212:I213)</f>
        <v>0</v>
      </c>
      <c r="J211" s="395">
        <f t="shared" ca="1" si="429"/>
        <v>0</v>
      </c>
      <c r="K211" s="395">
        <f t="shared" ca="1" si="429"/>
        <v>0</v>
      </c>
      <c r="L211" s="395">
        <f t="shared" ca="1" si="429"/>
        <v>0</v>
      </c>
      <c r="M211" s="395">
        <f t="shared" ca="1" si="429"/>
        <v>0</v>
      </c>
      <c r="N211" s="395">
        <f t="shared" ca="1" si="429"/>
        <v>0</v>
      </c>
      <c r="O211" s="395">
        <f t="shared" ca="1" si="429"/>
        <v>0</v>
      </c>
      <c r="P211" s="395">
        <f t="shared" ca="1" si="429"/>
        <v>0</v>
      </c>
      <c r="Q211" s="395">
        <f t="shared" ca="1" si="429"/>
        <v>0</v>
      </c>
      <c r="R211" s="395">
        <f t="shared" ca="1" si="429"/>
        <v>0</v>
      </c>
      <c r="S211" s="395">
        <f t="shared" ca="1" si="429"/>
        <v>0</v>
      </c>
      <c r="T211" s="395">
        <f t="shared" ca="1" si="429"/>
        <v>0</v>
      </c>
      <c r="U211" s="395">
        <f t="shared" ca="1" si="429"/>
        <v>0</v>
      </c>
      <c r="V211" s="395">
        <f t="shared" ca="1" si="429"/>
        <v>0</v>
      </c>
      <c r="W211" s="395">
        <f t="shared" ca="1" si="429"/>
        <v>0</v>
      </c>
      <c r="X211" s="395">
        <f t="shared" ca="1" si="429"/>
        <v>0</v>
      </c>
      <c r="Y211" s="395">
        <f t="shared" ca="1" si="429"/>
        <v>0</v>
      </c>
      <c r="Z211" s="395">
        <f t="shared" ca="1" si="429"/>
        <v>0</v>
      </c>
      <c r="AA211" s="395">
        <f t="shared" ca="1" si="429"/>
        <v>0</v>
      </c>
      <c r="AB211" s="395">
        <f t="shared" ca="1" si="429"/>
        <v>0</v>
      </c>
      <c r="AC211" s="395">
        <f t="shared" ca="1" si="429"/>
        <v>0</v>
      </c>
      <c r="AD211" s="395">
        <f t="shared" ca="1" si="429"/>
        <v>0</v>
      </c>
      <c r="AE211" s="395">
        <f t="shared" ca="1" si="429"/>
        <v>0</v>
      </c>
      <c r="AF211" s="395">
        <f t="shared" ca="1" si="429"/>
        <v>0</v>
      </c>
      <c r="AG211" s="395">
        <f t="shared" ca="1" si="429"/>
        <v>0</v>
      </c>
      <c r="AH211" s="395">
        <f t="shared" ca="1" si="429"/>
        <v>0</v>
      </c>
      <c r="AI211" s="395">
        <f t="shared" ca="1" si="429"/>
        <v>0</v>
      </c>
      <c r="AJ211" s="395">
        <f t="shared" ca="1" si="429"/>
        <v>0</v>
      </c>
      <c r="AK211" s="395">
        <f t="shared" ca="1" si="429"/>
        <v>0</v>
      </c>
      <c r="AL211" s="395">
        <f t="shared" ca="1" si="429"/>
        <v>0</v>
      </c>
      <c r="AM211" s="395">
        <f t="shared" ca="1" si="429"/>
        <v>0</v>
      </c>
      <c r="AN211" s="395">
        <f t="shared" ca="1" si="429"/>
        <v>0</v>
      </c>
      <c r="AO211" s="395">
        <f t="shared" ca="1" si="429"/>
        <v>0</v>
      </c>
      <c r="AP211" s="395">
        <f t="shared" ca="1" si="429"/>
        <v>0</v>
      </c>
      <c r="AQ211" s="395">
        <f t="shared" ca="1" si="429"/>
        <v>0</v>
      </c>
      <c r="AR211" s="395">
        <f t="shared" ca="1" si="429"/>
        <v>0</v>
      </c>
      <c r="AS211" s="395">
        <f t="shared" ca="1" si="429"/>
        <v>0</v>
      </c>
      <c r="AT211" s="395">
        <f t="shared" ca="1" si="429"/>
        <v>0</v>
      </c>
      <c r="AU211" s="395">
        <f t="shared" ca="1" si="429"/>
        <v>0</v>
      </c>
      <c r="AV211" s="395">
        <f t="shared" ca="1" si="429"/>
        <v>0</v>
      </c>
      <c r="AW211" s="395">
        <f t="shared" ca="1" si="429"/>
        <v>0</v>
      </c>
      <c r="AX211" s="395">
        <f t="shared" ca="1" si="429"/>
        <v>0</v>
      </c>
      <c r="AY211" s="395">
        <f t="shared" ca="1" si="429"/>
        <v>0</v>
      </c>
      <c r="AZ211" s="395">
        <f t="shared" ca="1" si="429"/>
        <v>0</v>
      </c>
      <c r="BA211" s="395">
        <f t="shared" ca="1" si="429"/>
        <v>0</v>
      </c>
      <c r="BB211" s="395">
        <f t="shared" ca="1" si="429"/>
        <v>0</v>
      </c>
      <c r="BC211" s="395">
        <f t="shared" ca="1" si="429"/>
        <v>0</v>
      </c>
      <c r="BD211" s="395">
        <f t="shared" ca="1" si="429"/>
        <v>0</v>
      </c>
      <c r="BE211" s="395">
        <f t="shared" ca="1" si="429"/>
        <v>0</v>
      </c>
      <c r="BF211" s="395">
        <f t="shared" ca="1" si="429"/>
        <v>0</v>
      </c>
      <c r="BG211" s="395">
        <f t="shared" ca="1" si="429"/>
        <v>0</v>
      </c>
      <c r="BH211" s="395">
        <f t="shared" ca="1" si="429"/>
        <v>0</v>
      </c>
      <c r="BI211" s="395">
        <f t="shared" ca="1" si="429"/>
        <v>0</v>
      </c>
      <c r="BJ211" s="395">
        <f t="shared" ca="1" si="429"/>
        <v>0</v>
      </c>
      <c r="BK211" s="395">
        <f t="shared" ca="1" si="429"/>
        <v>0</v>
      </c>
      <c r="BL211" s="395">
        <f t="shared" ca="1" si="429"/>
        <v>0</v>
      </c>
      <c r="BM211" s="395">
        <f t="shared" ca="1" si="429"/>
        <v>0</v>
      </c>
      <c r="BN211" s="395">
        <f t="shared" ca="1" si="429"/>
        <v>0</v>
      </c>
      <c r="BO211" s="395">
        <f t="shared" ca="1" si="429"/>
        <v>0</v>
      </c>
      <c r="BP211" s="395">
        <f t="shared" ca="1" si="429"/>
        <v>0</v>
      </c>
      <c r="BQ211" s="395">
        <f t="shared" ca="1" si="429"/>
        <v>0</v>
      </c>
      <c r="BR211" s="395">
        <f t="shared" ca="1" si="429"/>
        <v>0</v>
      </c>
      <c r="BS211" s="395">
        <f t="shared" ca="1" si="429"/>
        <v>0</v>
      </c>
      <c r="BT211" s="395">
        <f t="shared" ca="1" si="429"/>
        <v>0</v>
      </c>
      <c r="BU211" s="395">
        <f t="shared" ref="BU211:EF211" ca="1" si="430">SUM(BU212:BU213)</f>
        <v>0</v>
      </c>
      <c r="BV211" s="395">
        <f t="shared" ca="1" si="430"/>
        <v>0</v>
      </c>
      <c r="BW211" s="395">
        <f t="shared" ca="1" si="430"/>
        <v>0</v>
      </c>
      <c r="BX211" s="395">
        <f t="shared" ca="1" si="430"/>
        <v>0</v>
      </c>
      <c r="BY211" s="395">
        <f t="shared" ca="1" si="430"/>
        <v>0</v>
      </c>
      <c r="BZ211" s="395">
        <f t="shared" ca="1" si="430"/>
        <v>0</v>
      </c>
      <c r="CA211" s="395">
        <f t="shared" ca="1" si="430"/>
        <v>0</v>
      </c>
      <c r="CB211" s="395">
        <f t="shared" ca="1" si="430"/>
        <v>0</v>
      </c>
      <c r="CC211" s="395">
        <f t="shared" ca="1" si="430"/>
        <v>0</v>
      </c>
      <c r="CD211" s="395">
        <f t="shared" ca="1" si="430"/>
        <v>0</v>
      </c>
      <c r="CE211" s="395">
        <f t="shared" ca="1" si="430"/>
        <v>0</v>
      </c>
      <c r="CF211" s="395">
        <f t="shared" ca="1" si="430"/>
        <v>0</v>
      </c>
      <c r="CG211" s="395">
        <f t="shared" ca="1" si="430"/>
        <v>0</v>
      </c>
      <c r="CH211" s="395">
        <f t="shared" ca="1" si="430"/>
        <v>0</v>
      </c>
      <c r="CI211" s="395">
        <f t="shared" ca="1" si="430"/>
        <v>0</v>
      </c>
      <c r="CJ211" s="395">
        <f t="shared" ca="1" si="430"/>
        <v>0</v>
      </c>
      <c r="CK211" s="395">
        <f t="shared" ca="1" si="430"/>
        <v>0</v>
      </c>
      <c r="CL211" s="395">
        <f t="shared" ca="1" si="430"/>
        <v>0</v>
      </c>
      <c r="CM211" s="395">
        <f t="shared" ca="1" si="430"/>
        <v>0</v>
      </c>
      <c r="CN211" s="395">
        <f t="shared" ca="1" si="430"/>
        <v>0</v>
      </c>
      <c r="CO211" s="395">
        <f t="shared" ca="1" si="430"/>
        <v>0</v>
      </c>
      <c r="CP211" s="395">
        <f t="shared" ca="1" si="430"/>
        <v>0</v>
      </c>
      <c r="CQ211" s="395">
        <f t="shared" ca="1" si="430"/>
        <v>0</v>
      </c>
      <c r="CR211" s="395">
        <f t="shared" ca="1" si="430"/>
        <v>0</v>
      </c>
      <c r="CS211" s="395">
        <f t="shared" ca="1" si="430"/>
        <v>0</v>
      </c>
      <c r="CT211" s="395">
        <f t="shared" ca="1" si="430"/>
        <v>0</v>
      </c>
      <c r="CU211" s="395">
        <f t="shared" ca="1" si="430"/>
        <v>0</v>
      </c>
      <c r="CV211" s="395">
        <f t="shared" ca="1" si="430"/>
        <v>0</v>
      </c>
      <c r="CW211" s="395">
        <f t="shared" ca="1" si="430"/>
        <v>0</v>
      </c>
      <c r="CX211" s="395">
        <f t="shared" ca="1" si="430"/>
        <v>0</v>
      </c>
      <c r="CY211" s="395">
        <f t="shared" ca="1" si="430"/>
        <v>0</v>
      </c>
      <c r="CZ211" s="395">
        <f t="shared" ca="1" si="430"/>
        <v>0</v>
      </c>
      <c r="DA211" s="395">
        <f t="shared" ca="1" si="430"/>
        <v>0</v>
      </c>
      <c r="DB211" s="395">
        <f t="shared" ca="1" si="430"/>
        <v>0</v>
      </c>
      <c r="DC211" s="395">
        <f t="shared" ca="1" si="430"/>
        <v>0</v>
      </c>
      <c r="DD211" s="395">
        <f t="shared" ca="1" si="430"/>
        <v>0</v>
      </c>
      <c r="DE211" s="395">
        <f t="shared" ca="1" si="430"/>
        <v>0</v>
      </c>
      <c r="DF211" s="395">
        <f t="shared" ca="1" si="430"/>
        <v>0</v>
      </c>
      <c r="DG211" s="395">
        <f t="shared" ca="1" si="430"/>
        <v>0</v>
      </c>
      <c r="DH211" s="395">
        <f t="shared" ca="1" si="430"/>
        <v>0</v>
      </c>
      <c r="DI211" s="395">
        <f t="shared" ca="1" si="430"/>
        <v>0</v>
      </c>
      <c r="DJ211" s="395">
        <f t="shared" ca="1" si="430"/>
        <v>0</v>
      </c>
      <c r="DK211" s="395">
        <f t="shared" ca="1" si="430"/>
        <v>0</v>
      </c>
      <c r="DL211" s="395">
        <f t="shared" ca="1" si="430"/>
        <v>0</v>
      </c>
      <c r="DM211" s="395">
        <f t="shared" ca="1" si="430"/>
        <v>0</v>
      </c>
      <c r="DN211" s="395">
        <f t="shared" ca="1" si="430"/>
        <v>0</v>
      </c>
      <c r="DO211" s="395">
        <f t="shared" ca="1" si="430"/>
        <v>0</v>
      </c>
      <c r="DP211" s="395">
        <f t="shared" ca="1" si="430"/>
        <v>0</v>
      </c>
      <c r="DQ211" s="395">
        <f t="shared" ca="1" si="430"/>
        <v>0</v>
      </c>
      <c r="DR211" s="395">
        <f t="shared" ca="1" si="430"/>
        <v>0</v>
      </c>
      <c r="DS211" s="395">
        <f t="shared" ca="1" si="430"/>
        <v>0</v>
      </c>
      <c r="DT211" s="395">
        <f t="shared" ca="1" si="430"/>
        <v>0</v>
      </c>
      <c r="DU211" s="395">
        <f t="shared" ca="1" si="430"/>
        <v>0</v>
      </c>
      <c r="DV211" s="395">
        <f t="shared" ca="1" si="430"/>
        <v>0</v>
      </c>
      <c r="DW211" s="395">
        <f t="shared" ca="1" si="430"/>
        <v>0</v>
      </c>
      <c r="DX211" s="395">
        <f t="shared" ca="1" si="430"/>
        <v>0</v>
      </c>
      <c r="DY211" s="395">
        <f t="shared" ca="1" si="430"/>
        <v>0</v>
      </c>
      <c r="DZ211" s="395">
        <f t="shared" ca="1" si="430"/>
        <v>0</v>
      </c>
      <c r="EA211" s="395">
        <f t="shared" ca="1" si="430"/>
        <v>0</v>
      </c>
      <c r="EB211" s="395">
        <f t="shared" ca="1" si="430"/>
        <v>0</v>
      </c>
      <c r="EC211" s="395">
        <f t="shared" ca="1" si="430"/>
        <v>0</v>
      </c>
      <c r="ED211" s="395">
        <f t="shared" ca="1" si="430"/>
        <v>0</v>
      </c>
      <c r="EE211" s="395">
        <f t="shared" ca="1" si="430"/>
        <v>0</v>
      </c>
      <c r="EF211" s="395">
        <f t="shared" ca="1" si="430"/>
        <v>0</v>
      </c>
      <c r="EG211" s="395">
        <f t="shared" ref="EG211:EI211" ca="1" si="431">SUM(EG212:EG213)</f>
        <v>0</v>
      </c>
      <c r="EH211" s="395">
        <f t="shared" ca="1" si="431"/>
        <v>0</v>
      </c>
      <c r="EI211" s="395">
        <f t="shared" ca="1" si="431"/>
        <v>0</v>
      </c>
      <c r="EJ211" s="398"/>
      <c r="EK211" s="313"/>
    </row>
    <row r="212" spans="1:141" hidden="1" outlineLevel="2">
      <c r="A212" s="332"/>
      <c r="B212" s="313"/>
      <c r="C212" s="317"/>
      <c r="D212" s="317" t="s">
        <v>664</v>
      </c>
      <c r="E212" s="318">
        <f ca="1">IF(F212=0,0,30%-F212)</f>
        <v>0</v>
      </c>
      <c r="F212" s="397">
        <f t="shared" ca="1" si="283"/>
        <v>0</v>
      </c>
      <c r="G212" s="395"/>
      <c r="H212" s="395">
        <f ca="1">IF(SUM($G212:G212)=30%,0,IF(J213&gt;0%,30%,0%))</f>
        <v>0</v>
      </c>
      <c r="I212" s="395">
        <f ca="1">IF(SUM($G212:H212)=30%,0,IF(K213&gt;0%,30%,0%))</f>
        <v>0</v>
      </c>
      <c r="J212" s="395">
        <f ca="1">IF(SUM($G212:I212)=30%,0,IF(L213&gt;0%,30%,0%))</f>
        <v>0</v>
      </c>
      <c r="K212" s="395">
        <f ca="1">IF(SUM($G212:J212)=30%,0,IF(M213&gt;0%,30%,0%))</f>
        <v>0</v>
      </c>
      <c r="L212" s="395">
        <f ca="1">IF(SUM($G212:K212)=30%,0,IF(N213&gt;0%,30%,0%))</f>
        <v>0</v>
      </c>
      <c r="M212" s="395">
        <f ca="1">IF(SUM($G212:L212)=30%,0,IF(O213&gt;0%,30%,0%))</f>
        <v>0</v>
      </c>
      <c r="N212" s="395">
        <f ca="1">IF(SUM($G212:M212)=30%,0,IF(P213&gt;0%,30%,0%))</f>
        <v>0</v>
      </c>
      <c r="O212" s="395">
        <f ca="1">IF(SUM($G212:N212)=30%,0,IF(Q213&gt;0%,30%,0%))</f>
        <v>0</v>
      </c>
      <c r="P212" s="395">
        <f ca="1">IF(SUM($G212:O212)=30%,0,IF(R213&gt;0%,30%,0%))</f>
        <v>0</v>
      </c>
      <c r="Q212" s="395">
        <f ca="1">IF(SUM($G212:P212)=30%,0,IF(S213&gt;0%,30%,0%))</f>
        <v>0</v>
      </c>
      <c r="R212" s="395">
        <f ca="1">IF(SUM($G212:Q212)=30%,0,IF(T213&gt;0%,30%,0%))</f>
        <v>0</v>
      </c>
      <c r="S212" s="395">
        <f ca="1">IF(SUM($G212:R212)=30%,0,IF(U213&gt;0%,30%,0%))</f>
        <v>0</v>
      </c>
      <c r="T212" s="395">
        <f ca="1">IF(SUM($G212:S212)=30%,0,IF(V213&gt;0%,30%,0%))</f>
        <v>0</v>
      </c>
      <c r="U212" s="395">
        <f ca="1">IF(SUM($G212:T212)=30%,0,IF(W213&gt;0%,30%,0%))</f>
        <v>0</v>
      </c>
      <c r="V212" s="395">
        <f ca="1">IF(SUM($G212:U212)=30%,0,IF(X213&gt;0%,30%,0%))</f>
        <v>0</v>
      </c>
      <c r="W212" s="395">
        <f ca="1">IF(SUM($G212:V212)=30%,0,IF(Y213&gt;0%,30%,0%))</f>
        <v>0</v>
      </c>
      <c r="X212" s="395">
        <f ca="1">IF(SUM($G212:W212)=30%,0,IF(Z213&gt;0%,30%,0%))</f>
        <v>0</v>
      </c>
      <c r="Y212" s="395">
        <f ca="1">IF(SUM($G212:X212)=30%,0,IF(AA213&gt;0%,30%,0%))</f>
        <v>0</v>
      </c>
      <c r="Z212" s="395">
        <f ca="1">IF(SUM($G212:Y212)=30%,0,IF(AB213&gt;0%,30%,0%))</f>
        <v>0</v>
      </c>
      <c r="AA212" s="395">
        <f ca="1">IF(SUM($G212:Z212)=30%,0,IF(AC213&gt;0%,30%,0%))</f>
        <v>0</v>
      </c>
      <c r="AB212" s="395">
        <f ca="1">IF(SUM($G212:AA212)=30%,0,IF(AD213&gt;0%,30%,0%))</f>
        <v>0</v>
      </c>
      <c r="AC212" s="395">
        <f ca="1">IF(SUM($G212:AB212)=30%,0,IF(AE213&gt;0%,30%,0%))</f>
        <v>0</v>
      </c>
      <c r="AD212" s="395">
        <f ca="1">IF(SUM($G212:AC212)=30%,0,IF(AF213&gt;0%,30%,0%))</f>
        <v>0</v>
      </c>
      <c r="AE212" s="395">
        <f ca="1">IF(SUM($G212:AD212)=30%,0,IF(AG213&gt;0%,30%,0%))</f>
        <v>0</v>
      </c>
      <c r="AF212" s="395">
        <f ca="1">IF(SUM($G212:AE212)=30%,0,IF(AH213&gt;0%,30%,0%))</f>
        <v>0</v>
      </c>
      <c r="AG212" s="395">
        <f ca="1">IF(SUM($G212:AF212)=30%,0,IF(AI213&gt;0%,30%,0%))</f>
        <v>0</v>
      </c>
      <c r="AH212" s="395">
        <f ca="1">IF(SUM($G212:AG212)=30%,0,IF(AJ213&gt;0%,30%,0%))</f>
        <v>0</v>
      </c>
      <c r="AI212" s="395">
        <f ca="1">IF(SUM($G212:AH212)=30%,0,IF(AK213&gt;0%,30%,0%))</f>
        <v>0</v>
      </c>
      <c r="AJ212" s="395">
        <f ca="1">IF(SUM($G212:AI212)=30%,0,IF(AL213&gt;0%,30%,0%))</f>
        <v>0</v>
      </c>
      <c r="AK212" s="395">
        <f ca="1">IF(SUM($G212:AJ212)=30%,0,IF(AM213&gt;0%,30%,0%))</f>
        <v>0</v>
      </c>
      <c r="AL212" s="395">
        <f ca="1">IF(SUM($G212:AK212)=30%,0,IF(AN213&gt;0%,30%,0%))</f>
        <v>0</v>
      </c>
      <c r="AM212" s="395">
        <f ca="1">IF(SUM($G212:AL212)=30%,0,IF(AO213&gt;0%,30%,0%))</f>
        <v>0</v>
      </c>
      <c r="AN212" s="395">
        <f ca="1">IF(SUM($G212:AM212)=30%,0,IF(AP213&gt;0%,30%,0%))</f>
        <v>0</v>
      </c>
      <c r="AO212" s="395">
        <f ca="1">IF(SUM($G212:AN212)=30%,0,IF(AQ213&gt;0%,30%,0%))</f>
        <v>0</v>
      </c>
      <c r="AP212" s="395">
        <f ca="1">IF(SUM($G212:AO212)=30%,0,IF(AR213&gt;0%,30%,0%))</f>
        <v>0</v>
      </c>
      <c r="AQ212" s="395">
        <f ca="1">IF(SUM($G212:AP212)=30%,0,IF(AS213&gt;0%,30%,0%))</f>
        <v>0</v>
      </c>
      <c r="AR212" s="395">
        <f ca="1">IF(SUM($G212:AQ212)=30%,0,IF(AT213&gt;0%,30%,0%))</f>
        <v>0</v>
      </c>
      <c r="AS212" s="395">
        <f ca="1">IF(SUM($G212:AR212)=30%,0,IF(AU213&gt;0%,30%,0%))</f>
        <v>0</v>
      </c>
      <c r="AT212" s="395">
        <f ca="1">IF(SUM($G212:AS212)=30%,0,IF(AV213&gt;0%,30%,0%))</f>
        <v>0</v>
      </c>
      <c r="AU212" s="395">
        <f ca="1">IF(SUM($G212:AT212)=30%,0,IF(AW213&gt;0%,30%,0%))</f>
        <v>0</v>
      </c>
      <c r="AV212" s="395">
        <f ca="1">IF(SUM($G212:AU212)=30%,0,IF(AX213&gt;0%,30%,0%))</f>
        <v>0</v>
      </c>
      <c r="AW212" s="395">
        <f ca="1">IF(SUM($G212:AV212)=30%,0,IF(AY213&gt;0%,30%,0%))</f>
        <v>0</v>
      </c>
      <c r="AX212" s="395">
        <f ca="1">IF(SUM($G212:AW212)=30%,0,IF(AZ213&gt;0%,30%,0%))</f>
        <v>0</v>
      </c>
      <c r="AY212" s="395">
        <f ca="1">IF(SUM($G212:AX212)=30%,0,IF(BA213&gt;0%,30%,0%))</f>
        <v>0</v>
      </c>
      <c r="AZ212" s="395">
        <f ca="1">IF(SUM($G212:AY212)=30%,0,IF(BB213&gt;0%,30%,0%))</f>
        <v>0</v>
      </c>
      <c r="BA212" s="395">
        <f ca="1">IF(SUM($G212:AZ212)=30%,0,IF(BC213&gt;0%,30%,0%))</f>
        <v>0</v>
      </c>
      <c r="BB212" s="395">
        <f ca="1">IF(SUM($G212:BA212)=30%,0,IF(BD213&gt;0%,30%,0%))</f>
        <v>0</v>
      </c>
      <c r="BC212" s="395">
        <f ca="1">IF(SUM($G212:BB212)=30%,0,IF(BE213&gt;0%,30%,0%))</f>
        <v>0</v>
      </c>
      <c r="BD212" s="395">
        <f ca="1">IF(SUM($G212:BC212)=30%,0,IF(BF213&gt;0%,30%,0%))</f>
        <v>0</v>
      </c>
      <c r="BE212" s="395">
        <f ca="1">IF(SUM($G212:BD212)=30%,0,IF(BG213&gt;0%,30%,0%))</f>
        <v>0</v>
      </c>
      <c r="BF212" s="395">
        <f ca="1">IF(SUM($G212:BE212)=30%,0,IF(BH213&gt;0%,30%,0%))</f>
        <v>0</v>
      </c>
      <c r="BG212" s="395">
        <f ca="1">IF(SUM($G212:BF212)=30%,0,IF(BI213&gt;0%,30%,0%))</f>
        <v>0</v>
      </c>
      <c r="BH212" s="395">
        <f ca="1">IF(SUM($G212:BG212)=30%,0,IF(BJ213&gt;0%,30%,0%))</f>
        <v>0</v>
      </c>
      <c r="BI212" s="395">
        <f ca="1">IF(SUM($G212:BH212)=30%,0,IF(BK213&gt;0%,30%,0%))</f>
        <v>0</v>
      </c>
      <c r="BJ212" s="395">
        <f ca="1">IF(SUM($G212:BI212)=30%,0,IF(BL213&gt;0%,30%,0%))</f>
        <v>0</v>
      </c>
      <c r="BK212" s="395">
        <f ca="1">IF(SUM($G212:BJ212)=30%,0,IF(BM213&gt;0%,30%,0%))</f>
        <v>0</v>
      </c>
      <c r="BL212" s="395">
        <f ca="1">IF(SUM($G212:BK212)=30%,0,IF(BN213&gt;0%,30%,0%))</f>
        <v>0</v>
      </c>
      <c r="BM212" s="395">
        <f ca="1">IF(SUM($G212:BL212)=30%,0,IF(BO213&gt;0%,30%,0%))</f>
        <v>0</v>
      </c>
      <c r="BN212" s="395">
        <f ca="1">IF(SUM($G212:BM212)=30%,0,IF(BP213&gt;0%,30%,0%))</f>
        <v>0</v>
      </c>
      <c r="BO212" s="395">
        <f ca="1">IF(SUM($G212:BN212)=30%,0,IF(BQ213&gt;0%,30%,0%))</f>
        <v>0</v>
      </c>
      <c r="BP212" s="395">
        <f ca="1">IF(SUM($G212:BO212)=30%,0,IF(BR213&gt;0%,30%,0%))</f>
        <v>0</v>
      </c>
      <c r="BQ212" s="395">
        <f ca="1">IF(SUM($G212:BP212)=30%,0,IF(BS213&gt;0%,30%,0%))</f>
        <v>0</v>
      </c>
      <c r="BR212" s="395">
        <f ca="1">IF(SUM($G212:BQ212)=30%,0,IF(BT213&gt;0%,30%,0%))</f>
        <v>0</v>
      </c>
      <c r="BS212" s="395">
        <f ca="1">IF(SUM($G212:BR212)=30%,0,IF(BU213&gt;0%,30%,0%))</f>
        <v>0</v>
      </c>
      <c r="BT212" s="395">
        <f ca="1">IF(SUM($G212:BS212)=30%,0,IF(BV213&gt;0%,30%,0%))</f>
        <v>0</v>
      </c>
      <c r="BU212" s="395">
        <f ca="1">IF(SUM($G212:BT212)=30%,0,IF(BW213&gt;0%,30%,0%))</f>
        <v>0</v>
      </c>
      <c r="BV212" s="395">
        <f ca="1">IF(SUM($G212:BU212)=30%,0,IF(BX213&gt;0%,30%,0%))</f>
        <v>0</v>
      </c>
      <c r="BW212" s="395">
        <f ca="1">IF(SUM($G212:BV212)=30%,0,IF(BY213&gt;0%,30%,0%))</f>
        <v>0</v>
      </c>
      <c r="BX212" s="395">
        <f ca="1">IF(SUM($G212:BW212)=30%,0,IF(BZ213&gt;0%,30%,0%))</f>
        <v>0</v>
      </c>
      <c r="BY212" s="395">
        <f ca="1">IF(SUM($G212:BX212)=30%,0,IF(CA213&gt;0%,30%,0%))</f>
        <v>0</v>
      </c>
      <c r="BZ212" s="395">
        <f ca="1">IF(SUM($G212:BY212)=30%,0,IF(CB213&gt;0%,30%,0%))</f>
        <v>0</v>
      </c>
      <c r="CA212" s="395">
        <f ca="1">IF(SUM($G212:BZ212)=30%,0,IF(CC213&gt;0%,30%,0%))</f>
        <v>0</v>
      </c>
      <c r="CB212" s="395">
        <f ca="1">IF(SUM($G212:CA212)=30%,0,IF(CD213&gt;0%,30%,0%))</f>
        <v>0</v>
      </c>
      <c r="CC212" s="395">
        <f ca="1">IF(SUM($G212:CB212)=30%,0,IF(CE213&gt;0%,30%,0%))</f>
        <v>0</v>
      </c>
      <c r="CD212" s="395">
        <f ca="1">IF(SUM($G212:CC212)=30%,0,IF(CF213&gt;0%,30%,0%))</f>
        <v>0</v>
      </c>
      <c r="CE212" s="395">
        <f ca="1">IF(SUM($G212:CD212)=30%,0,IF(CG213&gt;0%,30%,0%))</f>
        <v>0</v>
      </c>
      <c r="CF212" s="395">
        <f ca="1">IF(SUM($G212:CE212)=30%,0,IF(CH213&gt;0%,30%,0%))</f>
        <v>0</v>
      </c>
      <c r="CG212" s="395">
        <f ca="1">IF(SUM($G212:CF212)=30%,0,IF(CI213&gt;0%,30%,0%))</f>
        <v>0</v>
      </c>
      <c r="CH212" s="395">
        <f ca="1">IF(SUM($G212:CG212)=30%,0,IF(CJ213&gt;0%,30%,0%))</f>
        <v>0</v>
      </c>
      <c r="CI212" s="395">
        <f ca="1">IF(SUM($G212:CH212)=30%,0,IF(CK213&gt;0%,30%,0%))</f>
        <v>0</v>
      </c>
      <c r="CJ212" s="395">
        <f ca="1">IF(SUM($G212:CI212)=30%,0,IF(CL213&gt;0%,30%,0%))</f>
        <v>0</v>
      </c>
      <c r="CK212" s="395">
        <f ca="1">IF(SUM($G212:CJ212)=30%,0,IF(CM213&gt;0%,30%,0%))</f>
        <v>0</v>
      </c>
      <c r="CL212" s="395">
        <f ca="1">IF(SUM($G212:CK212)=30%,0,IF(CN213&gt;0%,30%,0%))</f>
        <v>0</v>
      </c>
      <c r="CM212" s="395">
        <f ca="1">IF(SUM($G212:CL212)=30%,0,IF(CO213&gt;0%,30%,0%))</f>
        <v>0</v>
      </c>
      <c r="CN212" s="395">
        <f ca="1">IF(SUM($G212:CM212)=30%,0,IF(CP213&gt;0%,30%,0%))</f>
        <v>0</v>
      </c>
      <c r="CO212" s="395">
        <f ca="1">IF(SUM($G212:CN212)=30%,0,IF(CQ213&gt;0%,30%,0%))</f>
        <v>0</v>
      </c>
      <c r="CP212" s="395">
        <f ca="1">IF(SUM($G212:CO212)=30%,0,IF(CR213&gt;0%,30%,0%))</f>
        <v>0</v>
      </c>
      <c r="CQ212" s="395">
        <f ca="1">IF(SUM($G212:CP212)=30%,0,IF(CS213&gt;0%,30%,0%))</f>
        <v>0</v>
      </c>
      <c r="CR212" s="395">
        <f ca="1">IF(SUM($G212:CQ212)=30%,0,IF(CT213&gt;0%,30%,0%))</f>
        <v>0</v>
      </c>
      <c r="CS212" s="395">
        <f ca="1">IF(SUM($G212:CR212)=30%,0,IF(CU213&gt;0%,30%,0%))</f>
        <v>0</v>
      </c>
      <c r="CT212" s="395">
        <f ca="1">IF(SUM($G212:CS212)=30%,0,IF(CV213&gt;0%,30%,0%))</f>
        <v>0</v>
      </c>
      <c r="CU212" s="395">
        <f ca="1">IF(SUM($G212:CT212)=30%,0,IF(CW213&gt;0%,30%,0%))</f>
        <v>0</v>
      </c>
      <c r="CV212" s="395">
        <f ca="1">IF(SUM($G212:CU212)=30%,0,IF(CX213&gt;0%,30%,0%))</f>
        <v>0</v>
      </c>
      <c r="CW212" s="395">
        <f ca="1">IF(SUM($G212:CV212)=30%,0,IF(CY213&gt;0%,30%,0%))</f>
        <v>0</v>
      </c>
      <c r="CX212" s="395">
        <f ca="1">IF(SUM($G212:CW212)=30%,0,IF(CZ213&gt;0%,30%,0%))</f>
        <v>0</v>
      </c>
      <c r="CY212" s="395">
        <f ca="1">IF(SUM($G212:CX212)=30%,0,IF(DA213&gt;0%,30%,0%))</f>
        <v>0</v>
      </c>
      <c r="CZ212" s="395">
        <f ca="1">IF(SUM($G212:CY212)=30%,0,IF(DB213&gt;0%,30%,0%))</f>
        <v>0</v>
      </c>
      <c r="DA212" s="395">
        <f ca="1">IF(SUM($G212:CZ212)=30%,0,IF(DC213&gt;0%,30%,0%))</f>
        <v>0</v>
      </c>
      <c r="DB212" s="395">
        <f ca="1">IF(SUM($G212:DA212)=30%,0,IF(DD213&gt;0%,30%,0%))</f>
        <v>0</v>
      </c>
      <c r="DC212" s="395">
        <f ca="1">IF(SUM($G212:DB212)=30%,0,IF(DE213&gt;0%,30%,0%))</f>
        <v>0</v>
      </c>
      <c r="DD212" s="395">
        <f ca="1">IF(SUM($G212:DC212)=30%,0,IF(DF213&gt;0%,30%,0%))</f>
        <v>0</v>
      </c>
      <c r="DE212" s="395">
        <f ca="1">IF(SUM($G212:DD212)=30%,0,IF(DG213&gt;0%,30%,0%))</f>
        <v>0</v>
      </c>
      <c r="DF212" s="395">
        <f ca="1">IF(SUM($G212:DE212)=30%,0,IF(DH213&gt;0%,30%,0%))</f>
        <v>0</v>
      </c>
      <c r="DG212" s="395">
        <f ca="1">IF(SUM($G212:DF212)=30%,0,IF(DI213&gt;0%,30%,0%))</f>
        <v>0</v>
      </c>
      <c r="DH212" s="395">
        <f ca="1">IF(SUM($G212:DG212)=30%,0,IF(DJ213&gt;0%,30%,0%))</f>
        <v>0</v>
      </c>
      <c r="DI212" s="395">
        <f ca="1">IF(SUM($G212:DH212)=30%,0,IF(DK213&gt;0%,30%,0%))</f>
        <v>0</v>
      </c>
      <c r="DJ212" s="395">
        <f ca="1">IF(SUM($G212:DI212)=30%,0,IF(DL213&gt;0%,30%,0%))</f>
        <v>0</v>
      </c>
      <c r="DK212" s="395">
        <f ca="1">IF(SUM($G212:DJ212)=30%,0,IF(DM213&gt;0%,30%,0%))</f>
        <v>0</v>
      </c>
      <c r="DL212" s="395">
        <f ca="1">IF(SUM($G212:DK212)=30%,0,IF(DN213&gt;0%,30%,0%))</f>
        <v>0</v>
      </c>
      <c r="DM212" s="395">
        <f ca="1">IF(SUM($G212:DL212)=30%,0,IF(DO213&gt;0%,30%,0%))</f>
        <v>0</v>
      </c>
      <c r="DN212" s="395">
        <f ca="1">IF(SUM($G212:DM212)=30%,0,IF(DP213&gt;0%,30%,0%))</f>
        <v>0</v>
      </c>
      <c r="DO212" s="395">
        <f ca="1">IF(SUM($G212:DN212)=30%,0,IF(DQ213&gt;0%,30%,0%))</f>
        <v>0</v>
      </c>
      <c r="DP212" s="395">
        <f ca="1">IF(SUM($G212:DO212)=30%,0,IF(DR213&gt;0%,30%,0%))</f>
        <v>0</v>
      </c>
      <c r="DQ212" s="395">
        <f ca="1">IF(SUM($G212:DP212)=30%,0,IF(DS213&gt;0%,30%,0%))</f>
        <v>0</v>
      </c>
      <c r="DR212" s="395">
        <f ca="1">IF(SUM($G212:DQ212)=30%,0,IF(DT213&gt;0%,30%,0%))</f>
        <v>0</v>
      </c>
      <c r="DS212" s="395">
        <f ca="1">IF(SUM($G212:DR212)=30%,0,IF(DU213&gt;0%,30%,0%))</f>
        <v>0</v>
      </c>
      <c r="DT212" s="395">
        <f ca="1">IF(SUM($G212:DS212)=30%,0,IF(DV213&gt;0%,30%,0%))</f>
        <v>0</v>
      </c>
      <c r="DU212" s="395">
        <f ca="1">IF(SUM($G212:DT212)=30%,0,IF(DW213&gt;0%,30%,0%))</f>
        <v>0</v>
      </c>
      <c r="DV212" s="395">
        <f ca="1">IF(SUM($G212:DU212)=30%,0,IF(DX213&gt;0%,30%,0%))</f>
        <v>0</v>
      </c>
      <c r="DW212" s="395">
        <f ca="1">IF(SUM($G212:DV212)=30%,0,IF(DY213&gt;0%,30%,0%))</f>
        <v>0</v>
      </c>
      <c r="DX212" s="395">
        <f ca="1">IF(SUM($G212:DW212)=30%,0,IF(DZ213&gt;0%,30%,0%))</f>
        <v>0</v>
      </c>
      <c r="DY212" s="395">
        <f ca="1">IF(SUM($G212:DX212)=30%,0,IF(EA213&gt;0%,30%,0%))</f>
        <v>0</v>
      </c>
      <c r="DZ212" s="395">
        <f ca="1">IF(SUM($G212:DY212)=30%,0,IF(EB213&gt;0%,30%,0%))</f>
        <v>0</v>
      </c>
      <c r="EA212" s="395">
        <f ca="1">IF(SUM($G212:DZ212)=30%,0,IF(EC213&gt;0%,30%,0%))</f>
        <v>0</v>
      </c>
      <c r="EB212" s="395">
        <f ca="1">IF(SUM($G212:EA212)=30%,0,IF(ED213&gt;0%,30%,0%))</f>
        <v>0</v>
      </c>
      <c r="EC212" s="395">
        <f ca="1">IF(SUM($G212:EB212)=30%,0,IF(EE213&gt;0%,30%,0%))</f>
        <v>0</v>
      </c>
      <c r="ED212" s="395">
        <f ca="1">IF(SUM($G212:EC212)=30%,0,IF(EF213&gt;0%,30%,0%))</f>
        <v>0</v>
      </c>
      <c r="EE212" s="395">
        <f ca="1">IF(SUM($G212:ED212)=30%,0,IF(EG213&gt;0%,30%,0%))</f>
        <v>0</v>
      </c>
      <c r="EF212" s="395">
        <f ca="1">IF(SUM($G212:EE212)=30%,0,IF(EH213&gt;0%,30%,0%))</f>
        <v>0</v>
      </c>
      <c r="EG212" s="395">
        <f ca="1">IF(SUM($G212:EF212)=30%,0,IF(EI213&gt;0%,30%,0%))</f>
        <v>0</v>
      </c>
      <c r="EH212" s="395">
        <f ca="1">IF(SUM($G212:EG212)=30%,0,IF(EJ213&gt;0%,30%,0%))</f>
        <v>0</v>
      </c>
      <c r="EI212" s="395">
        <f ca="1">IF(SUM($G212:EH212)=30%,0,IF(EK213&gt;0%,30%,0%))</f>
        <v>0</v>
      </c>
      <c r="EJ212" s="398"/>
      <c r="EK212" s="313"/>
    </row>
    <row r="213" spans="1:141" hidden="1" outlineLevel="2">
      <c r="A213" s="332"/>
      <c r="B213" s="313"/>
      <c r="C213" s="317"/>
      <c r="D213" s="317" t="s">
        <v>663</v>
      </c>
      <c r="E213" s="318">
        <f ca="1">ROUND(IF(F213=0,0,70%-F213),0)</f>
        <v>0</v>
      </c>
      <c r="F213" s="397">
        <f t="shared" ca="1" si="283"/>
        <v>0</v>
      </c>
      <c r="G213" s="395"/>
      <c r="H213" s="395"/>
      <c r="I213" s="395">
        <f ca="1">IF($E$395=0,0,IF(SUM($G213:H213)=70%,0,IF(SUM($G395:H395)&gt;=$E395,(70%/$E395)*($E395-SUM($G395:G395)),(70%/$E395)*H395)))</f>
        <v>0</v>
      </c>
      <c r="J213" s="395">
        <f ca="1">IF($E$395=0,0,IF(SUM($G213:I213)=70%,0,IF(SUM($G395:I395)&gt;=$E395,(70%/$E395)*($E395-SUM($G395:H395)),(70%/$E395)*I395)))</f>
        <v>0</v>
      </c>
      <c r="K213" s="395">
        <f ca="1">IF($E$395=0,0,IF(SUM($G213:J213)=70%,0,IF(SUM($G395:J395)&gt;=$E395,(70%/$E395)*($E395-SUM($G395:I395)),(70%/$E395)*J395)))</f>
        <v>0</v>
      </c>
      <c r="L213" s="395">
        <f ca="1">IF($E$395=0,0,IF(SUM($G213:K213)=70%,0,IF(SUM($G395:K395)&gt;=$E395,(70%/$E395)*($E395-SUM($G395:J395)),(70%/$E395)*K395)))</f>
        <v>0</v>
      </c>
      <c r="M213" s="395">
        <f ca="1">IF($E$395=0,0,IF(SUM($G213:L213)=70%,0,IF(SUM($G395:L395)&gt;=$E395,(70%/$E395)*($E395-SUM($G395:K395)),(70%/$E395)*L395)))</f>
        <v>0</v>
      </c>
      <c r="N213" s="395">
        <f ca="1">IF($E$395=0,0,IF(SUM($G213:M213)=70%,0,IF(SUM($G395:M395)&gt;=$E395,(70%/$E395)*($E395-SUM($G395:L395)),(70%/$E395)*M395)))</f>
        <v>0</v>
      </c>
      <c r="O213" s="395">
        <f ca="1">IF($E$395=0,0,IF(SUM($G213:N213)=70%,0,IF(SUM($G395:N395)&gt;=$E395,(70%/$E395)*($E395-SUM($G395:M395)),(70%/$E395)*N395)))</f>
        <v>0</v>
      </c>
      <c r="P213" s="395">
        <f ca="1">IF($E$395=0,0,IF(SUM($G213:O213)=70%,0,IF(SUM($G395:O395)&gt;=$E395,(70%/$E395)*($E395-SUM($G395:N395)),(70%/$E395)*O395)))</f>
        <v>0</v>
      </c>
      <c r="Q213" s="395">
        <f ca="1">IF($E$395=0,0,IF(SUM($G213:P213)=70%,0,IF(SUM($G395:P395)&gt;=$E395,(70%/$E395)*($E395-SUM($G395:O395)),(70%/$E395)*P395)))</f>
        <v>0</v>
      </c>
      <c r="R213" s="395">
        <f ca="1">IF($E$395=0,0,IF(SUM($G213:Q213)=70%,0,IF(SUM($G395:Q395)&gt;=$E395,(70%/$E395)*($E395-SUM($G395:P395)),(70%/$E395)*Q395)))</f>
        <v>0</v>
      </c>
      <c r="S213" s="395">
        <f ca="1">IF($E$395=0,0,IF(SUM($G213:R213)=70%,0,IF(SUM($G395:R395)&gt;=$E395,(70%/$E395)*($E395-SUM($G395:Q395)),(70%/$E395)*R395)))</f>
        <v>0</v>
      </c>
      <c r="T213" s="395">
        <f ca="1">IF($E$395=0,0,IF(SUM($G213:S213)=70%,0,IF(SUM($G395:S395)&gt;=$E395,(70%/$E395)*($E395-SUM($G395:R395)),(70%/$E395)*S395)))</f>
        <v>0</v>
      </c>
      <c r="U213" s="395">
        <f ca="1">IF($E$395=0,0,IF(SUM($G213:T213)=70%,0,IF(SUM($G395:T395)&gt;=$E395,(70%/$E395)*($E395-SUM($G395:S395)),(70%/$E395)*T395)))</f>
        <v>0</v>
      </c>
      <c r="V213" s="395">
        <f ca="1">IF($E$395=0,0,IF(SUM($G213:U213)=70%,0,IF(SUM($G395:U395)&gt;=$E395,(70%/$E395)*($E395-SUM($G395:T395)),(70%/$E395)*U395)))</f>
        <v>0</v>
      </c>
      <c r="W213" s="395">
        <f ca="1">IF($E$395=0,0,IF(SUM($G213:V213)=70%,0,IF(SUM($G395:V395)&gt;=$E395,(70%/$E395)*($E395-SUM($G395:U395)),(70%/$E395)*V395)))</f>
        <v>0</v>
      </c>
      <c r="X213" s="395">
        <f ca="1">IF($E$395=0,0,IF(SUM($G213:W213)=70%,0,IF(SUM($G395:W395)&gt;=$E395,(70%/$E395)*($E395-SUM($G395:V395)),(70%/$E395)*W395)))</f>
        <v>0</v>
      </c>
      <c r="Y213" s="395">
        <f ca="1">IF($E$395=0,0,IF(SUM($G213:X213)=70%,0,IF(SUM($G395:X395)&gt;=$E395,(70%/$E395)*($E395-SUM($G395:W395)),(70%/$E395)*X395)))</f>
        <v>0</v>
      </c>
      <c r="Z213" s="395">
        <f ca="1">IF($E$395=0,0,IF(SUM($G213:Y213)=70%,0,IF(SUM($G395:Y395)&gt;=$E395,(70%/$E395)*($E395-SUM($G395:X395)),(70%/$E395)*Y395)))</f>
        <v>0</v>
      </c>
      <c r="AA213" s="395">
        <f ca="1">IF($E$395=0,0,IF(SUM($G213:Z213)=70%,0,IF(SUM($G395:Z395)&gt;=$E395,(70%/$E395)*($E395-SUM($G395:Y395)),(70%/$E395)*Z395)))</f>
        <v>0</v>
      </c>
      <c r="AB213" s="395">
        <f ca="1">IF($E$395=0,0,IF(SUM($G213:AA213)=70%,0,IF(SUM($G395:AA395)&gt;=$E395,(70%/$E395)*($E395-SUM($G395:Z395)),(70%/$E395)*AA395)))</f>
        <v>0</v>
      </c>
      <c r="AC213" s="395">
        <f ca="1">IF($E$395=0,0,IF(SUM($G213:AB213)=70%,0,IF(SUM($G395:AB395)&gt;=$E395,(70%/$E395)*($E395-SUM($G395:AA395)),(70%/$E395)*AB395)))</f>
        <v>0</v>
      </c>
      <c r="AD213" s="395">
        <f ca="1">IF($E$395=0,0,IF(SUM($G213:AC213)=70%,0,IF(SUM($G395:AC395)&gt;=$E395,(70%/$E395)*($E395-SUM($G395:AB395)),(70%/$E395)*AC395)))</f>
        <v>0</v>
      </c>
      <c r="AE213" s="395">
        <f ca="1">IF($E$395=0,0,IF(SUM($G213:AD213)=70%,0,IF(SUM($G395:AD395)&gt;=$E395,(70%/$E395)*($E395-SUM($G395:AC395)),(70%/$E395)*AD395)))</f>
        <v>0</v>
      </c>
      <c r="AF213" s="395">
        <f ca="1">IF($E$395=0,0,IF(SUM($G213:AE213)=70%,0,IF(SUM($G395:AE395)&gt;=$E395,(70%/$E395)*($E395-SUM($G395:AD395)),(70%/$E395)*AE395)))</f>
        <v>0</v>
      </c>
      <c r="AG213" s="395">
        <f ca="1">IF($E$395=0,0,IF(SUM($G213:AF213)=70%,0,IF(SUM($G395:AF395)&gt;=$E395,(70%/$E395)*($E395-SUM($G395:AE395)),(70%/$E395)*AF395)))</f>
        <v>0</v>
      </c>
      <c r="AH213" s="395">
        <f ca="1">IF($E$395=0,0,IF(SUM($G213:AG213)=70%,0,IF(SUM($G395:AG395)&gt;=$E395,(70%/$E395)*($E395-SUM($G395:AF395)),(70%/$E395)*AG395)))</f>
        <v>0</v>
      </c>
      <c r="AI213" s="395">
        <f ca="1">IF($E$395=0,0,IF(SUM($G213:AH213)=70%,0,IF(SUM($G395:AH395)&gt;=$E395,(70%/$E395)*($E395-SUM($G395:AG395)),(70%/$E395)*AH395)))</f>
        <v>0</v>
      </c>
      <c r="AJ213" s="395">
        <f ca="1">IF($E$395=0,0,IF(SUM($G213:AI213)=70%,0,IF(SUM($G395:AI395)&gt;=$E395,(70%/$E395)*($E395-SUM($G395:AH395)),(70%/$E395)*AI395)))</f>
        <v>0</v>
      </c>
      <c r="AK213" s="395">
        <f ca="1">IF($E$395=0,0,IF(SUM($G213:AJ213)=70%,0,IF(SUM($G395:AJ395)&gt;=$E395,(70%/$E395)*($E395-SUM($G395:AI395)),(70%/$E395)*AJ395)))</f>
        <v>0</v>
      </c>
      <c r="AL213" s="395">
        <f ca="1">IF($E$395=0,0,IF(SUM($G213:AK213)=70%,0,IF(SUM($G395:AK395)&gt;=$E395,(70%/$E395)*($E395-SUM($G395:AJ395)),(70%/$E395)*AK395)))</f>
        <v>0</v>
      </c>
      <c r="AM213" s="395">
        <f ca="1">IF($E$395=0,0,IF(SUM($G213:AL213)=70%,0,IF(SUM($G395:AL395)&gt;=$E395,(70%/$E395)*($E395-SUM($G395:AK395)),(70%/$E395)*AL395)))</f>
        <v>0</v>
      </c>
      <c r="AN213" s="395">
        <f ca="1">IF($E$395=0,0,IF(SUM($G213:AM213)=70%,0,IF(SUM($G395:AM395)&gt;=$E395,(70%/$E395)*($E395-SUM($G395:AL395)),(70%/$E395)*AM395)))</f>
        <v>0</v>
      </c>
      <c r="AO213" s="395">
        <f ca="1">IF($E$395=0,0,IF(SUM($G213:AN213)=70%,0,IF(SUM($G395:AN395)&gt;=$E395,(70%/$E395)*($E395-SUM($G395:AM395)),(70%/$E395)*AN395)))</f>
        <v>0</v>
      </c>
      <c r="AP213" s="395">
        <f ca="1">IF($E$395=0,0,IF(SUM($G213:AO213)=70%,0,IF(SUM($G395:AO395)&gt;=$E395,(70%/$E395)*($E395-SUM($G395:AN395)),(70%/$E395)*AO395)))</f>
        <v>0</v>
      </c>
      <c r="AQ213" s="395">
        <f ca="1">IF($E$395=0,0,IF(SUM($G213:AP213)=70%,0,IF(SUM($G395:AP395)&gt;=$E395,(70%/$E395)*($E395-SUM($G395:AO395)),(70%/$E395)*AP395)))</f>
        <v>0</v>
      </c>
      <c r="AR213" s="395">
        <f ca="1">IF($E$395=0,0,IF(SUM($G213:AQ213)=70%,0,IF(SUM($G395:AQ395)&gt;=$E395,(70%/$E395)*($E395-SUM($G395:AP395)),(70%/$E395)*AQ395)))</f>
        <v>0</v>
      </c>
      <c r="AS213" s="395">
        <f ca="1">IF($E$395=0,0,IF(SUM($G213:AR213)=70%,0,IF(SUM($G395:AR395)&gt;=$E395,(70%/$E395)*($E395-SUM($G395:AQ395)),(70%/$E395)*AR395)))</f>
        <v>0</v>
      </c>
      <c r="AT213" s="395">
        <f ca="1">IF($E$395=0,0,IF(SUM($G213:AS213)=70%,0,IF(SUM($G395:AS395)&gt;=$E395,(70%/$E395)*($E395-SUM($G395:AR395)),(70%/$E395)*AS395)))</f>
        <v>0</v>
      </c>
      <c r="AU213" s="395">
        <f ca="1">IF($E$395=0,0,IF(SUM($G213:AT213)=70%,0,IF(SUM($G395:AT395)&gt;=$E395,(70%/$E395)*($E395-SUM($G395:AS395)),(70%/$E395)*AT395)))</f>
        <v>0</v>
      </c>
      <c r="AV213" s="395">
        <f ca="1">IF($E$395=0,0,IF(SUM($G213:AU213)=70%,0,IF(SUM($G395:AU395)&gt;=$E395,(70%/$E395)*($E395-SUM($G395:AT395)),(70%/$E395)*AU395)))</f>
        <v>0</v>
      </c>
      <c r="AW213" s="395">
        <f ca="1">IF($E$395=0,0,IF(SUM($G213:AV213)=70%,0,IF(SUM($G395:AV395)&gt;=$E395,(70%/$E395)*($E395-SUM($G395:AU395)),(70%/$E395)*AV395)))</f>
        <v>0</v>
      </c>
      <c r="AX213" s="395">
        <f ca="1">IF($E$395=0,0,IF(SUM($G213:AW213)=70%,0,IF(SUM($G395:AW395)&gt;=$E395,(70%/$E395)*($E395-SUM($G395:AV395)),(70%/$E395)*AW395)))</f>
        <v>0</v>
      </c>
      <c r="AY213" s="395">
        <f ca="1">IF($E$395=0,0,IF(SUM($G213:AX213)=70%,0,IF(SUM($G395:AX395)&gt;=$E395,(70%/$E395)*($E395-SUM($G395:AW395)),(70%/$E395)*AX395)))</f>
        <v>0</v>
      </c>
      <c r="AZ213" s="395">
        <f ca="1">IF($E$395=0,0,IF(SUM($G213:AY213)=70%,0,IF(SUM($G395:AY395)&gt;=$E395,(70%/$E395)*($E395-SUM($G395:AX395)),(70%/$E395)*AY395)))</f>
        <v>0</v>
      </c>
      <c r="BA213" s="395">
        <f ca="1">IF($E$395=0,0,IF(SUM($G213:AZ213)=70%,0,IF(SUM($G395:AZ395)&gt;=$E395,(70%/$E395)*($E395-SUM($G395:AY395)),(70%/$E395)*AZ395)))</f>
        <v>0</v>
      </c>
      <c r="BB213" s="395">
        <f ca="1">IF($E$395=0,0,IF(SUM($G213:BA213)=70%,0,IF(SUM($G395:BA395)&gt;=$E395,(70%/$E395)*($E395-SUM($G395:AZ395)),(70%/$E395)*BA395)))</f>
        <v>0</v>
      </c>
      <c r="BC213" s="395">
        <f ca="1">IF($E$395=0,0,IF(SUM($G213:BB213)=70%,0,IF(SUM($G395:BB395)&gt;=$E395,(70%/$E395)*($E395-SUM($G395:BA395)),(70%/$E395)*BB395)))</f>
        <v>0</v>
      </c>
      <c r="BD213" s="395">
        <f ca="1">IF($E$395=0,0,IF(SUM($G213:BC213)=70%,0,IF(SUM($G395:BC395)&gt;=$E395,(70%/$E395)*($E395-SUM($G395:BB395)),(70%/$E395)*BC395)))</f>
        <v>0</v>
      </c>
      <c r="BE213" s="395">
        <f ca="1">IF($E$395=0,0,IF(SUM($G213:BD213)=70%,0,IF(SUM($G395:BD395)&gt;=$E395,(70%/$E395)*($E395-SUM($G395:BC395)),(70%/$E395)*BD395)))</f>
        <v>0</v>
      </c>
      <c r="BF213" s="395">
        <f ca="1">IF($E$395=0,0,IF(SUM($G213:BE213)=70%,0,IF(SUM($G395:BE395)&gt;=$E395,(70%/$E395)*($E395-SUM($G395:BD395)),(70%/$E395)*BE395)))</f>
        <v>0</v>
      </c>
      <c r="BG213" s="395">
        <f ca="1">IF($E$395=0,0,IF(SUM($G213:BF213)=70%,0,IF(SUM($G395:BF395)&gt;=$E395,(70%/$E395)*($E395-SUM($G395:BE395)),(70%/$E395)*BF395)))</f>
        <v>0</v>
      </c>
      <c r="BH213" s="395">
        <f ca="1">IF($E$395=0,0,IF(SUM($G213:BG213)=70%,0,IF(SUM($G395:BG395)&gt;=$E395,(70%/$E395)*($E395-SUM($G395:BF395)),(70%/$E395)*BG395)))</f>
        <v>0</v>
      </c>
      <c r="BI213" s="395">
        <f ca="1">IF($E$395=0,0,IF(SUM($G213:BH213)=70%,0,IF(SUM($G395:BH395)&gt;=$E395,(70%/$E395)*($E395-SUM($G395:BG395)),(70%/$E395)*BH395)))</f>
        <v>0</v>
      </c>
      <c r="BJ213" s="395">
        <f ca="1">IF($E$395=0,0,IF(SUM($G213:BI213)=70%,0,IF(SUM($G395:BI395)&gt;=$E395,(70%/$E395)*($E395-SUM($G395:BH395)),(70%/$E395)*BI395)))</f>
        <v>0</v>
      </c>
      <c r="BK213" s="395">
        <f ca="1">IF($E$395=0,0,IF(SUM($G213:BJ213)=70%,0,IF(SUM($G395:BJ395)&gt;=$E395,(70%/$E395)*($E395-SUM($G395:BI395)),(70%/$E395)*BJ395)))</f>
        <v>0</v>
      </c>
      <c r="BL213" s="395">
        <f ca="1">IF($E$395=0,0,IF(SUM($G213:BK213)=70%,0,IF(SUM($G395:BK395)&gt;=$E395,(70%/$E395)*($E395-SUM($G395:BJ395)),(70%/$E395)*BK395)))</f>
        <v>0</v>
      </c>
      <c r="BM213" s="395">
        <f ca="1">IF($E$395=0,0,IF(SUM($G213:BL213)=70%,0,IF(SUM($G395:BL395)&gt;=$E395,(70%/$E395)*($E395-SUM($G395:BK395)),(70%/$E395)*BL395)))</f>
        <v>0</v>
      </c>
      <c r="BN213" s="395">
        <f ca="1">IF($E$395=0,0,IF(SUM($G213:BM213)=70%,0,IF(SUM($G395:BM395)&gt;=$E395,(70%/$E395)*($E395-SUM($G395:BL395)),(70%/$E395)*BM395)))</f>
        <v>0</v>
      </c>
      <c r="BO213" s="395">
        <f ca="1">IF($E$395=0,0,IF(SUM($G213:BN213)=70%,0,IF(SUM($G395:BN395)&gt;=$E395,(70%/$E395)*($E395-SUM($G395:BM395)),(70%/$E395)*BN395)))</f>
        <v>0</v>
      </c>
      <c r="BP213" s="395">
        <f ca="1">IF($E$395=0,0,IF(SUM($G213:BO213)=70%,0,IF(SUM($G395:BO395)&gt;=$E395,(70%/$E395)*($E395-SUM($G395:BN395)),(70%/$E395)*BO395)))</f>
        <v>0</v>
      </c>
      <c r="BQ213" s="395">
        <f ca="1">IF($E$395=0,0,IF(SUM($G213:BP213)=70%,0,IF(SUM($G395:BP395)&gt;=$E395,(70%/$E395)*($E395-SUM($G395:BO395)),(70%/$E395)*BP395)))</f>
        <v>0</v>
      </c>
      <c r="BR213" s="395">
        <f ca="1">IF($E$395=0,0,IF(SUM($G213:BQ213)=70%,0,IF(SUM($G395:BQ395)&gt;=$E395,(70%/$E395)*($E395-SUM($G395:BP395)),(70%/$E395)*BQ395)))</f>
        <v>0</v>
      </c>
      <c r="BS213" s="395">
        <f ca="1">IF($E$395=0,0,IF(SUM($G213:BR213)=70%,0,IF(SUM($G395:BR395)&gt;=$E395,(70%/$E395)*($E395-SUM($G395:BQ395)),(70%/$E395)*BR395)))</f>
        <v>0</v>
      </c>
      <c r="BT213" s="395">
        <f ca="1">IF($E$395=0,0,IF(SUM($G213:BS213)=70%,0,IF(SUM($G395:BS395)&gt;=$E395,(70%/$E395)*($E395-SUM($G395:BR395)),(70%/$E395)*BS395)))</f>
        <v>0</v>
      </c>
      <c r="BU213" s="395">
        <f ca="1">IF($E$395=0,0,IF(SUM($G213:BT213)=70%,0,IF(SUM($G395:BT395)&gt;=$E395,(70%/$E395)*($E395-SUM($G395:BS395)),(70%/$E395)*BT395)))</f>
        <v>0</v>
      </c>
      <c r="BV213" s="395">
        <f ca="1">IF($E$395=0,0,IF(SUM($G213:BU213)=70%,0,IF(SUM($G395:BU395)&gt;=$E395,(70%/$E395)*($E395-SUM($G395:BT395)),(70%/$E395)*BU395)))</f>
        <v>0</v>
      </c>
      <c r="BW213" s="395">
        <f ca="1">IF($E$395=0,0,IF(SUM($G213:BV213)=70%,0,IF(SUM($G395:BV395)&gt;=$E395,(70%/$E395)*($E395-SUM($G395:BU395)),(70%/$E395)*BV395)))</f>
        <v>0</v>
      </c>
      <c r="BX213" s="395">
        <f ca="1">IF($E$395=0,0,IF(SUM($G213:BW213)=70%,0,IF(SUM($G395:BW395)&gt;=$E395,(70%/$E395)*($E395-SUM($G395:BV395)),(70%/$E395)*BW395)))</f>
        <v>0</v>
      </c>
      <c r="BY213" s="395">
        <f ca="1">IF($E$395=0,0,IF(SUM($G213:BX213)=70%,0,IF(SUM($G395:BX395)&gt;=$E395,(70%/$E395)*($E395-SUM($G395:BW395)),(70%/$E395)*BX395)))</f>
        <v>0</v>
      </c>
      <c r="BZ213" s="395">
        <f ca="1">IF($E$395=0,0,IF(SUM($G213:BY213)=70%,0,IF(SUM($G395:BY395)&gt;=$E395,(70%/$E395)*($E395-SUM($G395:BX395)),(70%/$E395)*BY395)))</f>
        <v>0</v>
      </c>
      <c r="CA213" s="395">
        <f ca="1">IF($E$395=0,0,IF(SUM($G213:BZ213)=70%,0,IF(SUM($G395:BZ395)&gt;=$E395,(70%/$E395)*($E395-SUM($G395:BY395)),(70%/$E395)*BZ395)))</f>
        <v>0</v>
      </c>
      <c r="CB213" s="395">
        <f ca="1">IF($E$395=0,0,IF(SUM($G213:CA213)=70%,0,IF(SUM($G395:CA395)&gt;=$E395,(70%/$E395)*($E395-SUM($G395:BZ395)),(70%/$E395)*CA395)))</f>
        <v>0</v>
      </c>
      <c r="CC213" s="395">
        <f ca="1">IF($E$395=0,0,IF(SUM($G213:CB213)=70%,0,IF(SUM($G395:CB395)&gt;=$E395,(70%/$E395)*($E395-SUM($G395:CA395)),(70%/$E395)*CB395)))</f>
        <v>0</v>
      </c>
      <c r="CD213" s="395">
        <f ca="1">IF($E$395=0,0,IF(SUM($G213:CC213)=70%,0,IF(SUM($G395:CC395)&gt;=$E395,(70%/$E395)*($E395-SUM($G395:CB395)),(70%/$E395)*CC395)))</f>
        <v>0</v>
      </c>
      <c r="CE213" s="395">
        <f ca="1">IF($E$395=0,0,IF(SUM($G213:CD213)=70%,0,IF(SUM($G395:CD395)&gt;=$E395,(70%/$E395)*($E395-SUM($G395:CC395)),(70%/$E395)*CD395)))</f>
        <v>0</v>
      </c>
      <c r="CF213" s="395">
        <f ca="1">IF($E$395=0,0,IF(SUM($G213:CE213)=70%,0,IF(SUM($G395:CE395)&gt;=$E395,(70%/$E395)*($E395-SUM($G395:CD395)),(70%/$E395)*CE395)))</f>
        <v>0</v>
      </c>
      <c r="CG213" s="395">
        <f ca="1">IF($E$395=0,0,IF(SUM($G213:CF213)=70%,0,IF(SUM($G395:CF395)&gt;=$E395,(70%/$E395)*($E395-SUM($G395:CE395)),(70%/$E395)*CF395)))</f>
        <v>0</v>
      </c>
      <c r="CH213" s="395">
        <f ca="1">IF($E$395=0,0,IF(SUM($G213:CG213)=70%,0,IF(SUM($G395:CG395)&gt;=$E395,(70%/$E395)*($E395-SUM($G395:CF395)),(70%/$E395)*CG395)))</f>
        <v>0</v>
      </c>
      <c r="CI213" s="395">
        <f ca="1">IF($E$395=0,0,IF(SUM($G213:CH213)=70%,0,IF(SUM($G395:CH395)&gt;=$E395,(70%/$E395)*($E395-SUM($G395:CG395)),(70%/$E395)*CH395)))</f>
        <v>0</v>
      </c>
      <c r="CJ213" s="395">
        <f ca="1">IF($E$395=0,0,IF(SUM($G213:CI213)=70%,0,IF(SUM($G395:CI395)&gt;=$E395,(70%/$E395)*($E395-SUM($G395:CH395)),(70%/$E395)*CI395)))</f>
        <v>0</v>
      </c>
      <c r="CK213" s="395">
        <f ca="1">IF($E$395=0,0,IF(SUM($G213:CJ213)=70%,0,IF(SUM($G395:CJ395)&gt;=$E395,(70%/$E395)*($E395-SUM($G395:CI395)),(70%/$E395)*CJ395)))</f>
        <v>0</v>
      </c>
      <c r="CL213" s="395">
        <f ca="1">IF($E$395=0,0,IF(SUM($G213:CK213)=70%,0,IF(SUM($G395:CK395)&gt;=$E395,(70%/$E395)*($E395-SUM($G395:CJ395)),(70%/$E395)*CK395)))</f>
        <v>0</v>
      </c>
      <c r="CM213" s="395">
        <f ca="1">IF($E$395=0,0,IF(SUM($G213:CL213)=70%,0,IF(SUM($G395:CL395)&gt;=$E395,(70%/$E395)*($E395-SUM($G395:CK395)),(70%/$E395)*CL395)))</f>
        <v>0</v>
      </c>
      <c r="CN213" s="395">
        <f ca="1">IF($E$395=0,0,IF(SUM($G213:CM213)=70%,0,IF(SUM($G395:CM395)&gt;=$E395,(70%/$E395)*($E395-SUM($G395:CL395)),(70%/$E395)*CM395)))</f>
        <v>0</v>
      </c>
      <c r="CO213" s="395">
        <f ca="1">IF($E$395=0,0,IF(SUM($G213:CN213)=70%,0,IF(SUM($G395:CN395)&gt;=$E395,(70%/$E395)*($E395-SUM($G395:CM395)),(70%/$E395)*CN395)))</f>
        <v>0</v>
      </c>
      <c r="CP213" s="395">
        <f ca="1">IF($E$395=0,0,IF(SUM($G213:CO213)=70%,0,IF(SUM($G395:CO395)&gt;=$E395,(70%/$E395)*($E395-SUM($G395:CN395)),(70%/$E395)*CO395)))</f>
        <v>0</v>
      </c>
      <c r="CQ213" s="395">
        <f ca="1">IF($E$395=0,0,IF(SUM($G213:CP213)=70%,0,IF(SUM($G395:CP395)&gt;=$E395,(70%/$E395)*($E395-SUM($G395:CO395)),(70%/$E395)*CP395)))</f>
        <v>0</v>
      </c>
      <c r="CR213" s="395">
        <f ca="1">IF($E$395=0,0,IF(SUM($G213:CQ213)=70%,0,IF(SUM($G395:CQ395)&gt;=$E395,(70%/$E395)*($E395-SUM($G395:CP395)),(70%/$E395)*CQ395)))</f>
        <v>0</v>
      </c>
      <c r="CS213" s="395">
        <f ca="1">IF($E$395=0,0,IF(SUM($G213:CR213)=70%,0,IF(SUM($G395:CR395)&gt;=$E395,(70%/$E395)*($E395-SUM($G395:CQ395)),(70%/$E395)*CR395)))</f>
        <v>0</v>
      </c>
      <c r="CT213" s="395">
        <f ca="1">IF($E$395=0,0,IF(SUM($G213:CS213)=70%,0,IF(SUM($G395:CS395)&gt;=$E395,(70%/$E395)*($E395-SUM($G395:CR395)),(70%/$E395)*CS395)))</f>
        <v>0</v>
      </c>
      <c r="CU213" s="395">
        <f ca="1">IF($E$395=0,0,IF(SUM($G213:CT213)=70%,0,IF(SUM($G395:CT395)&gt;=$E395,(70%/$E395)*($E395-SUM($G395:CS395)),(70%/$E395)*CT395)))</f>
        <v>0</v>
      </c>
      <c r="CV213" s="395">
        <f ca="1">IF($E$395=0,0,IF(SUM($G213:CU213)=70%,0,IF(SUM($G395:CU395)&gt;=$E395,(70%/$E395)*($E395-SUM($G395:CT395)),(70%/$E395)*CU395)))</f>
        <v>0</v>
      </c>
      <c r="CW213" s="395">
        <f ca="1">IF($E$395=0,0,IF(SUM($G213:CV213)=70%,0,IF(SUM($G395:CV395)&gt;=$E395,(70%/$E395)*($E395-SUM($G395:CU395)),(70%/$E395)*CV395)))</f>
        <v>0</v>
      </c>
      <c r="CX213" s="395">
        <f ca="1">IF($E$395=0,0,IF(SUM($G213:CW213)=70%,0,IF(SUM($G395:CW395)&gt;=$E395,(70%/$E395)*($E395-SUM($G395:CV395)),(70%/$E395)*CW395)))</f>
        <v>0</v>
      </c>
      <c r="CY213" s="395">
        <f ca="1">IF($E$395=0,0,IF(SUM($G213:CX213)=70%,0,IF(SUM($G395:CX395)&gt;=$E395,(70%/$E395)*($E395-SUM($G395:CW395)),(70%/$E395)*CX395)))</f>
        <v>0</v>
      </c>
      <c r="CZ213" s="395">
        <f ca="1">IF($E$395=0,0,IF(SUM($G213:CY213)=70%,0,IF(SUM($G395:CY395)&gt;=$E395,(70%/$E395)*($E395-SUM($G395:CX395)),(70%/$E395)*CY395)))</f>
        <v>0</v>
      </c>
      <c r="DA213" s="395">
        <f ca="1">IF($E$395=0,0,IF(SUM($G213:CZ213)=70%,0,IF(SUM($G395:CZ395)&gt;=$E395,(70%/$E395)*($E395-SUM($G395:CY395)),(70%/$E395)*CZ395)))</f>
        <v>0</v>
      </c>
      <c r="DB213" s="395">
        <f ca="1">IF($E$395=0,0,IF(SUM($G213:DA213)=70%,0,IF(SUM($G395:DA395)&gt;=$E395,(70%/$E395)*($E395-SUM($G395:CZ395)),(70%/$E395)*DA395)))</f>
        <v>0</v>
      </c>
      <c r="DC213" s="395">
        <f ca="1">IF($E$395=0,0,IF(SUM($G213:DB213)=70%,0,IF(SUM($G395:DB395)&gt;=$E395,(70%/$E395)*($E395-SUM($G395:DA395)),(70%/$E395)*DB395)))</f>
        <v>0</v>
      </c>
      <c r="DD213" s="395">
        <f ca="1">IF($E$395=0,0,IF(SUM($G213:DC213)=70%,0,IF(SUM($G395:DC395)&gt;=$E395,(70%/$E395)*($E395-SUM($G395:DB395)),(70%/$E395)*DC395)))</f>
        <v>0</v>
      </c>
      <c r="DE213" s="395">
        <f ca="1">IF($E$395=0,0,IF(SUM($G213:DD213)=70%,0,IF(SUM($G395:DD395)&gt;=$E395,(70%/$E395)*($E395-SUM($G395:DC395)),(70%/$E395)*DD395)))</f>
        <v>0</v>
      </c>
      <c r="DF213" s="395">
        <f ca="1">IF($E$395=0,0,IF(SUM($G213:DE213)=70%,0,IF(SUM($G395:DE395)&gt;=$E395,(70%/$E395)*($E395-SUM($G395:DD395)),(70%/$E395)*DE395)))</f>
        <v>0</v>
      </c>
      <c r="DG213" s="395">
        <f ca="1">IF($E$395=0,0,IF(SUM($G213:DF213)=70%,0,IF(SUM($G395:DF395)&gt;=$E395,(70%/$E395)*($E395-SUM($G395:DE395)),(70%/$E395)*DF395)))</f>
        <v>0</v>
      </c>
      <c r="DH213" s="395">
        <f ca="1">IF($E$395=0,0,IF(SUM($G213:DG213)=70%,0,IF(SUM($G395:DG395)&gt;=$E395,(70%/$E395)*($E395-SUM($G395:DF395)),(70%/$E395)*DG395)))</f>
        <v>0</v>
      </c>
      <c r="DI213" s="395">
        <f ca="1">IF($E$395=0,0,IF(SUM($G213:DH213)=70%,0,IF(SUM($G395:DH395)&gt;=$E395,(70%/$E395)*($E395-SUM($G395:DG395)),(70%/$E395)*DH395)))</f>
        <v>0</v>
      </c>
      <c r="DJ213" s="395">
        <f ca="1">IF($E$395=0,0,IF(SUM($G213:DI213)=70%,0,IF(SUM($G395:DI395)&gt;=$E395,(70%/$E395)*($E395-SUM($G395:DH395)),(70%/$E395)*DI395)))</f>
        <v>0</v>
      </c>
      <c r="DK213" s="395">
        <f ca="1">IF($E$395=0,0,IF(SUM($G213:DJ213)=70%,0,IF(SUM($G395:DJ395)&gt;=$E395,(70%/$E395)*($E395-SUM($G395:DI395)),(70%/$E395)*DJ395)))</f>
        <v>0</v>
      </c>
      <c r="DL213" s="395">
        <f ca="1">IF($E$395=0,0,IF(SUM($G213:DK213)=70%,0,IF(SUM($G395:DK395)&gt;=$E395,(70%/$E395)*($E395-SUM($G395:DJ395)),(70%/$E395)*DK395)))</f>
        <v>0</v>
      </c>
      <c r="DM213" s="395">
        <f ca="1">IF($E$395=0,0,IF(SUM($G213:DL213)=70%,0,IF(SUM($G395:DL395)&gt;=$E395,(70%/$E395)*($E395-SUM($G395:DK395)),(70%/$E395)*DL395)))</f>
        <v>0</v>
      </c>
      <c r="DN213" s="395">
        <f ca="1">IF($E$395=0,0,IF(SUM($G213:DM213)=70%,0,IF(SUM($G395:DM395)&gt;=$E395,(70%/$E395)*($E395-SUM($G395:DL395)),(70%/$E395)*DM395)))</f>
        <v>0</v>
      </c>
      <c r="DO213" s="395">
        <f ca="1">IF($E$395=0,0,IF(SUM($G213:DN213)=70%,0,IF(SUM($G395:DN395)&gt;=$E395,(70%/$E395)*($E395-SUM($G395:DM395)),(70%/$E395)*DN395)))</f>
        <v>0</v>
      </c>
      <c r="DP213" s="395">
        <f ca="1">IF($E$395=0,0,IF(SUM($G213:DO213)=70%,0,IF(SUM($G395:DO395)&gt;=$E395,(70%/$E395)*($E395-SUM($G395:DN395)),(70%/$E395)*DO395)))</f>
        <v>0</v>
      </c>
      <c r="DQ213" s="395">
        <f ca="1">IF($E$395=0,0,IF(SUM($G213:DP213)=70%,0,IF(SUM($G395:DP395)&gt;=$E395,(70%/$E395)*($E395-SUM($G395:DO395)),(70%/$E395)*DP395)))</f>
        <v>0</v>
      </c>
      <c r="DR213" s="395">
        <f ca="1">IF($E$395=0,0,IF(SUM($G213:DQ213)=70%,0,IF(SUM($G395:DQ395)&gt;=$E395,(70%/$E395)*($E395-SUM($G395:DP395)),(70%/$E395)*DQ395)))</f>
        <v>0</v>
      </c>
      <c r="DS213" s="395">
        <f ca="1">IF($E$395=0,0,IF(SUM($G213:DR213)=70%,0,IF(SUM($G395:DR395)&gt;=$E395,(70%/$E395)*($E395-SUM($G395:DQ395)),(70%/$E395)*DR395)))</f>
        <v>0</v>
      </c>
      <c r="DT213" s="395">
        <f ca="1">IF($E$395=0,0,IF(SUM($G213:DS213)=70%,0,IF(SUM($G395:DS395)&gt;=$E395,(70%/$E395)*($E395-SUM($G395:DR395)),(70%/$E395)*DS395)))</f>
        <v>0</v>
      </c>
      <c r="DU213" s="395">
        <f ca="1">IF($E$395=0,0,IF(SUM($G213:DT213)=70%,0,IF(SUM($G395:DT395)&gt;=$E395,(70%/$E395)*($E395-SUM($G395:DS395)),(70%/$E395)*DT395)))</f>
        <v>0</v>
      </c>
      <c r="DV213" s="395">
        <f ca="1">IF($E$395=0,0,IF(SUM($G213:DU213)=70%,0,IF(SUM($G395:DU395)&gt;=$E395,(70%/$E395)*($E395-SUM($G395:DT395)),(70%/$E395)*DU395)))</f>
        <v>0</v>
      </c>
      <c r="DW213" s="395">
        <f ca="1">IF($E$395=0,0,IF(SUM($G213:DV213)=70%,0,IF(SUM($G395:DV395)&gt;=$E395,(70%/$E395)*($E395-SUM($G395:DU395)),(70%/$E395)*DV395)))</f>
        <v>0</v>
      </c>
      <c r="DX213" s="395">
        <f ca="1">IF($E$395=0,0,IF(SUM($G213:DW213)=70%,0,IF(SUM($G395:DW395)&gt;=$E395,(70%/$E395)*($E395-SUM($G395:DV395)),(70%/$E395)*DW395)))</f>
        <v>0</v>
      </c>
      <c r="DY213" s="395">
        <f ca="1">IF($E$395=0,0,IF(SUM($G213:DX213)=70%,0,IF(SUM($G395:DX395)&gt;=$E395,(70%/$E395)*($E395-SUM($G395:DW395)),(70%/$E395)*DX395)))</f>
        <v>0</v>
      </c>
      <c r="DZ213" s="395">
        <f ca="1">IF($E$395=0,0,IF(SUM($G213:DY213)=70%,0,IF(SUM($G395:DY395)&gt;=$E395,(70%/$E395)*($E395-SUM($G395:DX395)),(70%/$E395)*DY395)))</f>
        <v>0</v>
      </c>
      <c r="EA213" s="395">
        <f ca="1">IF($E$395=0,0,IF(SUM($G213:DZ213)=70%,0,IF(SUM($G395:DZ395)&gt;=$E395,(70%/$E395)*($E395-SUM($G395:DY395)),(70%/$E395)*DZ395)))</f>
        <v>0</v>
      </c>
      <c r="EB213" s="395">
        <f ca="1">IF($E$395=0,0,IF(SUM($G213:EA213)=70%,0,IF(SUM($G395:EA395)&gt;=$E395,(70%/$E395)*($E395-SUM($G395:DZ395)),(70%/$E395)*EA395)))</f>
        <v>0</v>
      </c>
      <c r="EC213" s="395">
        <f ca="1">IF($E$395=0,0,IF(SUM($G213:EB213)=70%,0,IF(SUM($G395:EB395)&gt;=$E395,(70%/$E395)*($E395-SUM($G395:EA395)),(70%/$E395)*EB395)))</f>
        <v>0</v>
      </c>
      <c r="ED213" s="395">
        <f ca="1">IF($E$395=0,0,IF(SUM($G213:EC213)=70%,0,IF(SUM($G395:EC395)&gt;=$E395,(70%/$E395)*($E395-SUM($G395:EB395)),(70%/$E395)*EC395)))</f>
        <v>0</v>
      </c>
      <c r="EE213" s="395">
        <f ca="1">IF($E$395=0,0,IF(SUM($G213:ED213)=70%,0,IF(SUM($G395:ED395)&gt;=$E395,(70%/$E395)*($E395-SUM($G395:EC395)),(70%/$E395)*ED395)))</f>
        <v>0</v>
      </c>
      <c r="EF213" s="395">
        <f ca="1">IF($E$395=0,0,IF(SUM($G213:EE213)=70%,0,IF(SUM($G395:EE395)&gt;=$E395,(70%/$E395)*($E395-SUM($G395:ED395)),(70%/$E395)*EE395)))</f>
        <v>0</v>
      </c>
      <c r="EG213" s="395">
        <f ca="1">IF($E$395=0,0,IF(SUM($G213:EF213)=70%,0,IF(SUM($G395:EF395)&gt;=$E395,(70%/$E395)*($E395-SUM($G395:EE395)),(70%/$E395)*EF395)))</f>
        <v>0</v>
      </c>
      <c r="EH213" s="395">
        <f ca="1">IF($E$395=0,0,IF(SUM($G213:EG213)=70%,0,IF(SUM($G395:EG395)&gt;=$E395,(70%/$E395)*($E395-SUM($G395:EF395)),(70%/$E395)*EG395)))</f>
        <v>0</v>
      </c>
      <c r="EI213" s="395">
        <f ca="1">IF($E$395=0,0,IF(SUM($G213:EH213)=70%,0,IF(SUM($G395:EH395)&gt;=$E395,(70%/$E395)*($E395-SUM($G395:EG395)),(70%/$E395)*EH395)))</f>
        <v>0</v>
      </c>
      <c r="EJ213" s="398"/>
      <c r="EK213" s="313"/>
    </row>
    <row r="214" spans="1:141" hidden="1" outlineLevel="1" collapsed="1">
      <c r="A214" s="332"/>
      <c r="B214" s="313"/>
      <c r="C214" s="392" t="s">
        <v>281</v>
      </c>
      <c r="D214" s="392" t="str">
        <f>D400</f>
        <v>Социальная инфраструктура - этажерка</v>
      </c>
      <c r="E214" s="393">
        <f ca="1">ROUND(IF(F214=0,0,100%-F214),0)</f>
        <v>0</v>
      </c>
      <c r="F214" s="394">
        <f t="shared" ca="1" si="283"/>
        <v>0</v>
      </c>
      <c r="G214" s="395">
        <f>SUM(G215:G216)</f>
        <v>0</v>
      </c>
      <c r="H214" s="395">
        <f ca="1">SUM(H215:H216)</f>
        <v>0</v>
      </c>
      <c r="I214" s="395">
        <f t="shared" ref="I214:BT214" ca="1" si="432">SUM(I215:I216)</f>
        <v>0</v>
      </c>
      <c r="J214" s="395">
        <f t="shared" ca="1" si="432"/>
        <v>0</v>
      </c>
      <c r="K214" s="395">
        <f t="shared" ca="1" si="432"/>
        <v>0</v>
      </c>
      <c r="L214" s="395">
        <f t="shared" ca="1" si="432"/>
        <v>0</v>
      </c>
      <c r="M214" s="395">
        <f t="shared" ca="1" si="432"/>
        <v>0</v>
      </c>
      <c r="N214" s="395">
        <f t="shared" ca="1" si="432"/>
        <v>0</v>
      </c>
      <c r="O214" s="395">
        <f t="shared" ca="1" si="432"/>
        <v>0</v>
      </c>
      <c r="P214" s="395">
        <f t="shared" ca="1" si="432"/>
        <v>0</v>
      </c>
      <c r="Q214" s="395">
        <f t="shared" ca="1" si="432"/>
        <v>0</v>
      </c>
      <c r="R214" s="395">
        <f t="shared" ca="1" si="432"/>
        <v>0</v>
      </c>
      <c r="S214" s="395">
        <f t="shared" ca="1" si="432"/>
        <v>0</v>
      </c>
      <c r="T214" s="395">
        <f t="shared" ca="1" si="432"/>
        <v>0</v>
      </c>
      <c r="U214" s="395">
        <f t="shared" ca="1" si="432"/>
        <v>0</v>
      </c>
      <c r="V214" s="395">
        <f t="shared" ca="1" si="432"/>
        <v>0</v>
      </c>
      <c r="W214" s="395">
        <f t="shared" ca="1" si="432"/>
        <v>0</v>
      </c>
      <c r="X214" s="395">
        <f t="shared" ca="1" si="432"/>
        <v>0</v>
      </c>
      <c r="Y214" s="395">
        <f t="shared" ca="1" si="432"/>
        <v>0</v>
      </c>
      <c r="Z214" s="395">
        <f t="shared" ca="1" si="432"/>
        <v>0</v>
      </c>
      <c r="AA214" s="395">
        <f t="shared" ca="1" si="432"/>
        <v>0</v>
      </c>
      <c r="AB214" s="395">
        <f t="shared" ca="1" si="432"/>
        <v>0</v>
      </c>
      <c r="AC214" s="395">
        <f t="shared" ca="1" si="432"/>
        <v>0</v>
      </c>
      <c r="AD214" s="395">
        <f t="shared" ca="1" si="432"/>
        <v>0</v>
      </c>
      <c r="AE214" s="395">
        <f t="shared" ca="1" si="432"/>
        <v>0</v>
      </c>
      <c r="AF214" s="395">
        <f t="shared" ca="1" si="432"/>
        <v>0</v>
      </c>
      <c r="AG214" s="395">
        <f t="shared" ca="1" si="432"/>
        <v>0</v>
      </c>
      <c r="AH214" s="395">
        <f t="shared" ca="1" si="432"/>
        <v>0</v>
      </c>
      <c r="AI214" s="395">
        <f t="shared" ca="1" si="432"/>
        <v>0</v>
      </c>
      <c r="AJ214" s="395">
        <f t="shared" ca="1" si="432"/>
        <v>0</v>
      </c>
      <c r="AK214" s="395">
        <f t="shared" ca="1" si="432"/>
        <v>0</v>
      </c>
      <c r="AL214" s="395">
        <f t="shared" ca="1" si="432"/>
        <v>0</v>
      </c>
      <c r="AM214" s="395">
        <f t="shared" ca="1" si="432"/>
        <v>0</v>
      </c>
      <c r="AN214" s="395">
        <f t="shared" ca="1" si="432"/>
        <v>0</v>
      </c>
      <c r="AO214" s="395">
        <f t="shared" ca="1" si="432"/>
        <v>0</v>
      </c>
      <c r="AP214" s="395">
        <f t="shared" ca="1" si="432"/>
        <v>0</v>
      </c>
      <c r="AQ214" s="395">
        <f t="shared" ca="1" si="432"/>
        <v>0</v>
      </c>
      <c r="AR214" s="395">
        <f t="shared" ca="1" si="432"/>
        <v>0</v>
      </c>
      <c r="AS214" s="395">
        <f t="shared" ca="1" si="432"/>
        <v>0</v>
      </c>
      <c r="AT214" s="395">
        <f t="shared" ca="1" si="432"/>
        <v>0</v>
      </c>
      <c r="AU214" s="395">
        <f t="shared" ca="1" si="432"/>
        <v>0</v>
      </c>
      <c r="AV214" s="395">
        <f t="shared" ca="1" si="432"/>
        <v>0</v>
      </c>
      <c r="AW214" s="395">
        <f t="shared" ca="1" si="432"/>
        <v>0</v>
      </c>
      <c r="AX214" s="395">
        <f t="shared" ca="1" si="432"/>
        <v>0</v>
      </c>
      <c r="AY214" s="395">
        <f t="shared" ca="1" si="432"/>
        <v>0</v>
      </c>
      <c r="AZ214" s="395">
        <f t="shared" ca="1" si="432"/>
        <v>0</v>
      </c>
      <c r="BA214" s="395">
        <f t="shared" ca="1" si="432"/>
        <v>0</v>
      </c>
      <c r="BB214" s="395">
        <f t="shared" ca="1" si="432"/>
        <v>0</v>
      </c>
      <c r="BC214" s="395">
        <f t="shared" ca="1" si="432"/>
        <v>0</v>
      </c>
      <c r="BD214" s="395">
        <f t="shared" ca="1" si="432"/>
        <v>0</v>
      </c>
      <c r="BE214" s="395">
        <f t="shared" ca="1" si="432"/>
        <v>0</v>
      </c>
      <c r="BF214" s="395">
        <f t="shared" ca="1" si="432"/>
        <v>0</v>
      </c>
      <c r="BG214" s="395">
        <f t="shared" ca="1" si="432"/>
        <v>0</v>
      </c>
      <c r="BH214" s="395">
        <f t="shared" ca="1" si="432"/>
        <v>0</v>
      </c>
      <c r="BI214" s="395">
        <f t="shared" ca="1" si="432"/>
        <v>0</v>
      </c>
      <c r="BJ214" s="395">
        <f t="shared" ca="1" si="432"/>
        <v>0</v>
      </c>
      <c r="BK214" s="395">
        <f t="shared" ca="1" si="432"/>
        <v>0</v>
      </c>
      <c r="BL214" s="395">
        <f t="shared" ca="1" si="432"/>
        <v>0</v>
      </c>
      <c r="BM214" s="395">
        <f t="shared" ca="1" si="432"/>
        <v>0</v>
      </c>
      <c r="BN214" s="395">
        <f t="shared" ca="1" si="432"/>
        <v>0</v>
      </c>
      <c r="BO214" s="395">
        <f t="shared" ca="1" si="432"/>
        <v>0</v>
      </c>
      <c r="BP214" s="395">
        <f t="shared" ca="1" si="432"/>
        <v>0</v>
      </c>
      <c r="BQ214" s="395">
        <f t="shared" ca="1" si="432"/>
        <v>0</v>
      </c>
      <c r="BR214" s="395">
        <f t="shared" ca="1" si="432"/>
        <v>0</v>
      </c>
      <c r="BS214" s="395">
        <f t="shared" ca="1" si="432"/>
        <v>0</v>
      </c>
      <c r="BT214" s="395">
        <f t="shared" ca="1" si="432"/>
        <v>0</v>
      </c>
      <c r="BU214" s="395">
        <f t="shared" ref="BU214:EF214" ca="1" si="433">SUM(BU215:BU216)</f>
        <v>0</v>
      </c>
      <c r="BV214" s="395">
        <f t="shared" ca="1" si="433"/>
        <v>0</v>
      </c>
      <c r="BW214" s="395">
        <f t="shared" ca="1" si="433"/>
        <v>0</v>
      </c>
      <c r="BX214" s="395">
        <f t="shared" ca="1" si="433"/>
        <v>0</v>
      </c>
      <c r="BY214" s="395">
        <f t="shared" ca="1" si="433"/>
        <v>0</v>
      </c>
      <c r="BZ214" s="395">
        <f t="shared" ca="1" si="433"/>
        <v>0</v>
      </c>
      <c r="CA214" s="395">
        <f t="shared" ca="1" si="433"/>
        <v>0</v>
      </c>
      <c r="CB214" s="395">
        <f t="shared" ca="1" si="433"/>
        <v>0</v>
      </c>
      <c r="CC214" s="395">
        <f t="shared" ca="1" si="433"/>
        <v>0</v>
      </c>
      <c r="CD214" s="395">
        <f t="shared" ca="1" si="433"/>
        <v>0</v>
      </c>
      <c r="CE214" s="395">
        <f t="shared" ca="1" si="433"/>
        <v>0</v>
      </c>
      <c r="CF214" s="395">
        <f t="shared" ca="1" si="433"/>
        <v>0</v>
      </c>
      <c r="CG214" s="395">
        <f t="shared" ca="1" si="433"/>
        <v>0</v>
      </c>
      <c r="CH214" s="395">
        <f t="shared" ca="1" si="433"/>
        <v>0</v>
      </c>
      <c r="CI214" s="395">
        <f t="shared" ca="1" si="433"/>
        <v>0</v>
      </c>
      <c r="CJ214" s="395">
        <f t="shared" ca="1" si="433"/>
        <v>0</v>
      </c>
      <c r="CK214" s="395">
        <f t="shared" ca="1" si="433"/>
        <v>0</v>
      </c>
      <c r="CL214" s="395">
        <f t="shared" ca="1" si="433"/>
        <v>0</v>
      </c>
      <c r="CM214" s="395">
        <f t="shared" ca="1" si="433"/>
        <v>0</v>
      </c>
      <c r="CN214" s="395">
        <f t="shared" ca="1" si="433"/>
        <v>0</v>
      </c>
      <c r="CO214" s="395">
        <f t="shared" ca="1" si="433"/>
        <v>0</v>
      </c>
      <c r="CP214" s="395">
        <f t="shared" ca="1" si="433"/>
        <v>0</v>
      </c>
      <c r="CQ214" s="395">
        <f t="shared" ca="1" si="433"/>
        <v>0</v>
      </c>
      <c r="CR214" s="395">
        <f t="shared" ca="1" si="433"/>
        <v>0</v>
      </c>
      <c r="CS214" s="395">
        <f t="shared" ca="1" si="433"/>
        <v>0</v>
      </c>
      <c r="CT214" s="395">
        <f t="shared" ca="1" si="433"/>
        <v>0</v>
      </c>
      <c r="CU214" s="395">
        <f t="shared" ca="1" si="433"/>
        <v>0</v>
      </c>
      <c r="CV214" s="395">
        <f t="shared" ca="1" si="433"/>
        <v>0</v>
      </c>
      <c r="CW214" s="395">
        <f t="shared" ca="1" si="433"/>
        <v>0</v>
      </c>
      <c r="CX214" s="395">
        <f t="shared" ca="1" si="433"/>
        <v>0</v>
      </c>
      <c r="CY214" s="395">
        <f t="shared" ca="1" si="433"/>
        <v>0</v>
      </c>
      <c r="CZ214" s="395">
        <f t="shared" ca="1" si="433"/>
        <v>0</v>
      </c>
      <c r="DA214" s="395">
        <f t="shared" ca="1" si="433"/>
        <v>0</v>
      </c>
      <c r="DB214" s="395">
        <f t="shared" ca="1" si="433"/>
        <v>0</v>
      </c>
      <c r="DC214" s="395">
        <f t="shared" ca="1" si="433"/>
        <v>0</v>
      </c>
      <c r="DD214" s="395">
        <f t="shared" ca="1" si="433"/>
        <v>0</v>
      </c>
      <c r="DE214" s="395">
        <f t="shared" ca="1" si="433"/>
        <v>0</v>
      </c>
      <c r="DF214" s="395">
        <f t="shared" ca="1" si="433"/>
        <v>0</v>
      </c>
      <c r="DG214" s="395">
        <f t="shared" ca="1" si="433"/>
        <v>0</v>
      </c>
      <c r="DH214" s="395">
        <f t="shared" ca="1" si="433"/>
        <v>0</v>
      </c>
      <c r="DI214" s="395">
        <f t="shared" ca="1" si="433"/>
        <v>0</v>
      </c>
      <c r="DJ214" s="395">
        <f t="shared" ca="1" si="433"/>
        <v>0</v>
      </c>
      <c r="DK214" s="395">
        <f t="shared" ca="1" si="433"/>
        <v>0</v>
      </c>
      <c r="DL214" s="395">
        <f t="shared" ca="1" si="433"/>
        <v>0</v>
      </c>
      <c r="DM214" s="395">
        <f t="shared" ca="1" si="433"/>
        <v>0</v>
      </c>
      <c r="DN214" s="395">
        <f t="shared" ca="1" si="433"/>
        <v>0</v>
      </c>
      <c r="DO214" s="395">
        <f t="shared" ca="1" si="433"/>
        <v>0</v>
      </c>
      <c r="DP214" s="395">
        <f t="shared" ca="1" si="433"/>
        <v>0</v>
      </c>
      <c r="DQ214" s="395">
        <f t="shared" ca="1" si="433"/>
        <v>0</v>
      </c>
      <c r="DR214" s="395">
        <f t="shared" ca="1" si="433"/>
        <v>0</v>
      </c>
      <c r="DS214" s="395">
        <f t="shared" ca="1" si="433"/>
        <v>0</v>
      </c>
      <c r="DT214" s="395">
        <f t="shared" ca="1" si="433"/>
        <v>0</v>
      </c>
      <c r="DU214" s="395">
        <f t="shared" ca="1" si="433"/>
        <v>0</v>
      </c>
      <c r="DV214" s="395">
        <f t="shared" ca="1" si="433"/>
        <v>0</v>
      </c>
      <c r="DW214" s="395">
        <f t="shared" ca="1" si="433"/>
        <v>0</v>
      </c>
      <c r="DX214" s="395">
        <f t="shared" ca="1" si="433"/>
        <v>0</v>
      </c>
      <c r="DY214" s="395">
        <f t="shared" ca="1" si="433"/>
        <v>0</v>
      </c>
      <c r="DZ214" s="395">
        <f t="shared" ca="1" si="433"/>
        <v>0</v>
      </c>
      <c r="EA214" s="395">
        <f t="shared" ca="1" si="433"/>
        <v>0</v>
      </c>
      <c r="EB214" s="395">
        <f t="shared" ca="1" si="433"/>
        <v>0</v>
      </c>
      <c r="EC214" s="395">
        <f t="shared" ca="1" si="433"/>
        <v>0</v>
      </c>
      <c r="ED214" s="395">
        <f t="shared" ca="1" si="433"/>
        <v>0</v>
      </c>
      <c r="EE214" s="395">
        <f t="shared" ca="1" si="433"/>
        <v>0</v>
      </c>
      <c r="EF214" s="395">
        <f t="shared" ca="1" si="433"/>
        <v>0</v>
      </c>
      <c r="EG214" s="395">
        <f t="shared" ref="EG214:EI214" ca="1" si="434">SUM(EG215:EG216)</f>
        <v>0</v>
      </c>
      <c r="EH214" s="395">
        <f t="shared" ca="1" si="434"/>
        <v>0</v>
      </c>
      <c r="EI214" s="395">
        <f t="shared" ca="1" si="434"/>
        <v>0</v>
      </c>
      <c r="EJ214" s="398"/>
      <c r="EK214" s="313"/>
    </row>
    <row r="215" spans="1:141" hidden="1" outlineLevel="2">
      <c r="A215" s="332"/>
      <c r="B215" s="313"/>
      <c r="C215" s="317"/>
      <c r="D215" s="317" t="s">
        <v>664</v>
      </c>
      <c r="E215" s="318">
        <f ca="1">IF(F215=0,0,30%-F215)</f>
        <v>0</v>
      </c>
      <c r="F215" s="397">
        <f t="shared" ca="1" si="283"/>
        <v>0</v>
      </c>
      <c r="G215" s="395"/>
      <c r="H215" s="395">
        <f ca="1">IF(SUM($G215:G215)=30%,0,IF(J216&gt;0%,30%,0%))</f>
        <v>0</v>
      </c>
      <c r="I215" s="395">
        <f ca="1">IF(SUM($G215:H215)=30%,0,IF(K216&gt;0%,30%,0%))</f>
        <v>0</v>
      </c>
      <c r="J215" s="395">
        <f ca="1">IF(SUM($G215:I215)=30%,0,IF(L216&gt;0%,30%,0%))</f>
        <v>0</v>
      </c>
      <c r="K215" s="395">
        <f ca="1">IF(SUM($G215:J215)=30%,0,IF(M216&gt;0%,30%,0%))</f>
        <v>0</v>
      </c>
      <c r="L215" s="395">
        <f ca="1">IF(SUM($G215:K215)=30%,0,IF(N216&gt;0%,30%,0%))</f>
        <v>0</v>
      </c>
      <c r="M215" s="395">
        <f ca="1">IF(SUM($G215:L215)=30%,0,IF(O216&gt;0%,30%,0%))</f>
        <v>0</v>
      </c>
      <c r="N215" s="395">
        <f ca="1">IF(SUM($G215:M215)=30%,0,IF(P216&gt;0%,30%,0%))</f>
        <v>0</v>
      </c>
      <c r="O215" s="395">
        <f ca="1">IF(SUM($G215:N215)=30%,0,IF(Q216&gt;0%,30%,0%))</f>
        <v>0</v>
      </c>
      <c r="P215" s="395">
        <f ca="1">IF(SUM($G215:O215)=30%,0,IF(R216&gt;0%,30%,0%))</f>
        <v>0</v>
      </c>
      <c r="Q215" s="395">
        <f ca="1">IF(SUM($G215:P215)=30%,0,IF(S216&gt;0%,30%,0%))</f>
        <v>0</v>
      </c>
      <c r="R215" s="395">
        <f ca="1">IF(SUM($G215:Q215)=30%,0,IF(T216&gt;0%,30%,0%))</f>
        <v>0</v>
      </c>
      <c r="S215" s="395">
        <f ca="1">IF(SUM($G215:R215)=30%,0,IF(U216&gt;0%,30%,0%))</f>
        <v>0</v>
      </c>
      <c r="T215" s="395">
        <f ca="1">IF(SUM($G215:S215)=30%,0,IF(V216&gt;0%,30%,0%))</f>
        <v>0</v>
      </c>
      <c r="U215" s="395">
        <f ca="1">IF(SUM($G215:T215)=30%,0,IF(W216&gt;0%,30%,0%))</f>
        <v>0</v>
      </c>
      <c r="V215" s="395">
        <f ca="1">IF(SUM($G215:U215)=30%,0,IF(X216&gt;0%,30%,0%))</f>
        <v>0</v>
      </c>
      <c r="W215" s="395">
        <f ca="1">IF(SUM($G215:V215)=30%,0,IF(Y216&gt;0%,30%,0%))</f>
        <v>0</v>
      </c>
      <c r="X215" s="395">
        <f ca="1">IF(SUM($G215:W215)=30%,0,IF(Z216&gt;0%,30%,0%))</f>
        <v>0</v>
      </c>
      <c r="Y215" s="395">
        <f ca="1">IF(SUM($G215:X215)=30%,0,IF(AA216&gt;0%,30%,0%))</f>
        <v>0</v>
      </c>
      <c r="Z215" s="395">
        <f ca="1">IF(SUM($G215:Y215)=30%,0,IF(AB216&gt;0%,30%,0%))</f>
        <v>0</v>
      </c>
      <c r="AA215" s="395">
        <f ca="1">IF(SUM($G215:Z215)=30%,0,IF(AC216&gt;0%,30%,0%))</f>
        <v>0</v>
      </c>
      <c r="AB215" s="395">
        <f ca="1">IF(SUM($G215:AA215)=30%,0,IF(AD216&gt;0%,30%,0%))</f>
        <v>0</v>
      </c>
      <c r="AC215" s="395">
        <f ca="1">IF(SUM($G215:AB215)=30%,0,IF(AE216&gt;0%,30%,0%))</f>
        <v>0</v>
      </c>
      <c r="AD215" s="395">
        <f ca="1">IF(SUM($G215:AC215)=30%,0,IF(AF216&gt;0%,30%,0%))</f>
        <v>0</v>
      </c>
      <c r="AE215" s="395">
        <f ca="1">IF(SUM($G215:AD215)=30%,0,IF(AG216&gt;0%,30%,0%))</f>
        <v>0</v>
      </c>
      <c r="AF215" s="395">
        <f ca="1">IF(SUM($G215:AE215)=30%,0,IF(AH216&gt;0%,30%,0%))</f>
        <v>0</v>
      </c>
      <c r="AG215" s="395">
        <f ca="1">IF(SUM($G215:AF215)=30%,0,IF(AI216&gt;0%,30%,0%))</f>
        <v>0</v>
      </c>
      <c r="AH215" s="395">
        <f ca="1">IF(SUM($G215:AG215)=30%,0,IF(AJ216&gt;0%,30%,0%))</f>
        <v>0</v>
      </c>
      <c r="AI215" s="395">
        <f ca="1">IF(SUM($G215:AH215)=30%,0,IF(AK216&gt;0%,30%,0%))</f>
        <v>0</v>
      </c>
      <c r="AJ215" s="395">
        <f ca="1">IF(SUM($G215:AI215)=30%,0,IF(AL216&gt;0%,30%,0%))</f>
        <v>0</v>
      </c>
      <c r="AK215" s="395">
        <f ca="1">IF(SUM($G215:AJ215)=30%,0,IF(AM216&gt;0%,30%,0%))</f>
        <v>0</v>
      </c>
      <c r="AL215" s="395">
        <f ca="1">IF(SUM($G215:AK215)=30%,0,IF(AN216&gt;0%,30%,0%))</f>
        <v>0</v>
      </c>
      <c r="AM215" s="395">
        <f ca="1">IF(SUM($G215:AL215)=30%,0,IF(AO216&gt;0%,30%,0%))</f>
        <v>0</v>
      </c>
      <c r="AN215" s="395">
        <f ca="1">IF(SUM($G215:AM215)=30%,0,IF(AP216&gt;0%,30%,0%))</f>
        <v>0</v>
      </c>
      <c r="AO215" s="395">
        <f ca="1">IF(SUM($G215:AN215)=30%,0,IF(AQ216&gt;0%,30%,0%))</f>
        <v>0</v>
      </c>
      <c r="AP215" s="395">
        <f ca="1">IF(SUM($G215:AO215)=30%,0,IF(AR216&gt;0%,30%,0%))</f>
        <v>0</v>
      </c>
      <c r="AQ215" s="395">
        <f ca="1">IF(SUM($G215:AP215)=30%,0,IF(AS216&gt;0%,30%,0%))</f>
        <v>0</v>
      </c>
      <c r="AR215" s="395">
        <f ca="1">IF(SUM($G215:AQ215)=30%,0,IF(AT216&gt;0%,30%,0%))</f>
        <v>0</v>
      </c>
      <c r="AS215" s="395">
        <f ca="1">IF(SUM($G215:AR215)=30%,0,IF(AU216&gt;0%,30%,0%))</f>
        <v>0</v>
      </c>
      <c r="AT215" s="395">
        <f ca="1">IF(SUM($G215:AS215)=30%,0,IF(AV216&gt;0%,30%,0%))</f>
        <v>0</v>
      </c>
      <c r="AU215" s="395">
        <f ca="1">IF(SUM($G215:AT215)=30%,0,IF(AW216&gt;0%,30%,0%))</f>
        <v>0</v>
      </c>
      <c r="AV215" s="395">
        <f ca="1">IF(SUM($G215:AU215)=30%,0,IF(AX216&gt;0%,30%,0%))</f>
        <v>0</v>
      </c>
      <c r="AW215" s="395">
        <f ca="1">IF(SUM($G215:AV215)=30%,0,IF(AY216&gt;0%,30%,0%))</f>
        <v>0</v>
      </c>
      <c r="AX215" s="395">
        <f ca="1">IF(SUM($G215:AW215)=30%,0,IF(AZ216&gt;0%,30%,0%))</f>
        <v>0</v>
      </c>
      <c r="AY215" s="395">
        <f ca="1">IF(SUM($G215:AX215)=30%,0,IF(BA216&gt;0%,30%,0%))</f>
        <v>0</v>
      </c>
      <c r="AZ215" s="395">
        <f ca="1">IF(SUM($G215:AY215)=30%,0,IF(BB216&gt;0%,30%,0%))</f>
        <v>0</v>
      </c>
      <c r="BA215" s="395">
        <f ca="1">IF(SUM($G215:AZ215)=30%,0,IF(BC216&gt;0%,30%,0%))</f>
        <v>0</v>
      </c>
      <c r="BB215" s="395">
        <f ca="1">IF(SUM($G215:BA215)=30%,0,IF(BD216&gt;0%,30%,0%))</f>
        <v>0</v>
      </c>
      <c r="BC215" s="395">
        <f ca="1">IF(SUM($G215:BB215)=30%,0,IF(BE216&gt;0%,30%,0%))</f>
        <v>0</v>
      </c>
      <c r="BD215" s="395">
        <f ca="1">IF(SUM($G215:BC215)=30%,0,IF(BF216&gt;0%,30%,0%))</f>
        <v>0</v>
      </c>
      <c r="BE215" s="395">
        <f ca="1">IF(SUM($G215:BD215)=30%,0,IF(BG216&gt;0%,30%,0%))</f>
        <v>0</v>
      </c>
      <c r="BF215" s="395">
        <f ca="1">IF(SUM($G215:BE215)=30%,0,IF(BH216&gt;0%,30%,0%))</f>
        <v>0</v>
      </c>
      <c r="BG215" s="395">
        <f ca="1">IF(SUM($G215:BF215)=30%,0,IF(BI216&gt;0%,30%,0%))</f>
        <v>0</v>
      </c>
      <c r="BH215" s="395">
        <f ca="1">IF(SUM($G215:BG215)=30%,0,IF(BJ216&gt;0%,30%,0%))</f>
        <v>0</v>
      </c>
      <c r="BI215" s="395">
        <f ca="1">IF(SUM($G215:BH215)=30%,0,IF(BK216&gt;0%,30%,0%))</f>
        <v>0</v>
      </c>
      <c r="BJ215" s="395">
        <f ca="1">IF(SUM($G215:BI215)=30%,0,IF(BL216&gt;0%,30%,0%))</f>
        <v>0</v>
      </c>
      <c r="BK215" s="395">
        <f ca="1">IF(SUM($G215:BJ215)=30%,0,IF(BM216&gt;0%,30%,0%))</f>
        <v>0</v>
      </c>
      <c r="BL215" s="395">
        <f ca="1">IF(SUM($G215:BK215)=30%,0,IF(BN216&gt;0%,30%,0%))</f>
        <v>0</v>
      </c>
      <c r="BM215" s="395">
        <f ca="1">IF(SUM($G215:BL215)=30%,0,IF(BO216&gt;0%,30%,0%))</f>
        <v>0</v>
      </c>
      <c r="BN215" s="395">
        <f ca="1">IF(SUM($G215:BM215)=30%,0,IF(BP216&gt;0%,30%,0%))</f>
        <v>0</v>
      </c>
      <c r="BO215" s="395">
        <f ca="1">IF(SUM($G215:BN215)=30%,0,IF(BQ216&gt;0%,30%,0%))</f>
        <v>0</v>
      </c>
      <c r="BP215" s="395">
        <f ca="1">IF(SUM($G215:BO215)=30%,0,IF(BR216&gt;0%,30%,0%))</f>
        <v>0</v>
      </c>
      <c r="BQ215" s="395">
        <f ca="1">IF(SUM($G215:BP215)=30%,0,IF(BS216&gt;0%,30%,0%))</f>
        <v>0</v>
      </c>
      <c r="BR215" s="395">
        <f ca="1">IF(SUM($G215:BQ215)=30%,0,IF(BT216&gt;0%,30%,0%))</f>
        <v>0</v>
      </c>
      <c r="BS215" s="395">
        <f ca="1">IF(SUM($G215:BR215)=30%,0,IF(BU216&gt;0%,30%,0%))</f>
        <v>0</v>
      </c>
      <c r="BT215" s="395">
        <f ca="1">IF(SUM($G215:BS215)=30%,0,IF(BV216&gt;0%,30%,0%))</f>
        <v>0</v>
      </c>
      <c r="BU215" s="395">
        <f ca="1">IF(SUM($G215:BT215)=30%,0,IF(BW216&gt;0%,30%,0%))</f>
        <v>0</v>
      </c>
      <c r="BV215" s="395">
        <f ca="1">IF(SUM($G215:BU215)=30%,0,IF(BX216&gt;0%,30%,0%))</f>
        <v>0</v>
      </c>
      <c r="BW215" s="395">
        <f ca="1">IF(SUM($G215:BV215)=30%,0,IF(BY216&gt;0%,30%,0%))</f>
        <v>0</v>
      </c>
      <c r="BX215" s="395">
        <f ca="1">IF(SUM($G215:BW215)=30%,0,IF(BZ216&gt;0%,30%,0%))</f>
        <v>0</v>
      </c>
      <c r="BY215" s="395">
        <f ca="1">IF(SUM($G215:BX215)=30%,0,IF(CA216&gt;0%,30%,0%))</f>
        <v>0</v>
      </c>
      <c r="BZ215" s="395">
        <f ca="1">IF(SUM($G215:BY215)=30%,0,IF(CB216&gt;0%,30%,0%))</f>
        <v>0</v>
      </c>
      <c r="CA215" s="395">
        <f ca="1">IF(SUM($G215:BZ215)=30%,0,IF(CC216&gt;0%,30%,0%))</f>
        <v>0</v>
      </c>
      <c r="CB215" s="395">
        <f ca="1">IF(SUM($G215:CA215)=30%,0,IF(CD216&gt;0%,30%,0%))</f>
        <v>0</v>
      </c>
      <c r="CC215" s="395">
        <f ca="1">IF(SUM($G215:CB215)=30%,0,IF(CE216&gt;0%,30%,0%))</f>
        <v>0</v>
      </c>
      <c r="CD215" s="395">
        <f ca="1">IF(SUM($G215:CC215)=30%,0,IF(CF216&gt;0%,30%,0%))</f>
        <v>0</v>
      </c>
      <c r="CE215" s="395">
        <f ca="1">IF(SUM($G215:CD215)=30%,0,IF(CG216&gt;0%,30%,0%))</f>
        <v>0</v>
      </c>
      <c r="CF215" s="395">
        <f ca="1">IF(SUM($G215:CE215)=30%,0,IF(CH216&gt;0%,30%,0%))</f>
        <v>0</v>
      </c>
      <c r="CG215" s="395">
        <f ca="1">IF(SUM($G215:CF215)=30%,0,IF(CI216&gt;0%,30%,0%))</f>
        <v>0</v>
      </c>
      <c r="CH215" s="395">
        <f ca="1">IF(SUM($G215:CG215)=30%,0,IF(CJ216&gt;0%,30%,0%))</f>
        <v>0</v>
      </c>
      <c r="CI215" s="395">
        <f ca="1">IF(SUM($G215:CH215)=30%,0,IF(CK216&gt;0%,30%,0%))</f>
        <v>0</v>
      </c>
      <c r="CJ215" s="395">
        <f ca="1">IF(SUM($G215:CI215)=30%,0,IF(CL216&gt;0%,30%,0%))</f>
        <v>0</v>
      </c>
      <c r="CK215" s="395">
        <f ca="1">IF(SUM($G215:CJ215)=30%,0,IF(CM216&gt;0%,30%,0%))</f>
        <v>0</v>
      </c>
      <c r="CL215" s="395">
        <f ca="1">IF(SUM($G215:CK215)=30%,0,IF(CN216&gt;0%,30%,0%))</f>
        <v>0</v>
      </c>
      <c r="CM215" s="395">
        <f ca="1">IF(SUM($G215:CL215)=30%,0,IF(CO216&gt;0%,30%,0%))</f>
        <v>0</v>
      </c>
      <c r="CN215" s="395">
        <f ca="1">IF(SUM($G215:CM215)=30%,0,IF(CP216&gt;0%,30%,0%))</f>
        <v>0</v>
      </c>
      <c r="CO215" s="395">
        <f ca="1">IF(SUM($G215:CN215)=30%,0,IF(CQ216&gt;0%,30%,0%))</f>
        <v>0</v>
      </c>
      <c r="CP215" s="395">
        <f ca="1">IF(SUM($G215:CO215)=30%,0,IF(CR216&gt;0%,30%,0%))</f>
        <v>0</v>
      </c>
      <c r="CQ215" s="395">
        <f ca="1">IF(SUM($G215:CP215)=30%,0,IF(CS216&gt;0%,30%,0%))</f>
        <v>0</v>
      </c>
      <c r="CR215" s="395">
        <f ca="1">IF(SUM($G215:CQ215)=30%,0,IF(CT216&gt;0%,30%,0%))</f>
        <v>0</v>
      </c>
      <c r="CS215" s="395">
        <f ca="1">IF(SUM($G215:CR215)=30%,0,IF(CU216&gt;0%,30%,0%))</f>
        <v>0</v>
      </c>
      <c r="CT215" s="395">
        <f ca="1">IF(SUM($G215:CS215)=30%,0,IF(CV216&gt;0%,30%,0%))</f>
        <v>0</v>
      </c>
      <c r="CU215" s="395">
        <f ca="1">IF(SUM($G215:CT215)=30%,0,IF(CW216&gt;0%,30%,0%))</f>
        <v>0</v>
      </c>
      <c r="CV215" s="395">
        <f ca="1">IF(SUM($G215:CU215)=30%,0,IF(CX216&gt;0%,30%,0%))</f>
        <v>0</v>
      </c>
      <c r="CW215" s="395">
        <f ca="1">IF(SUM($G215:CV215)=30%,0,IF(CY216&gt;0%,30%,0%))</f>
        <v>0</v>
      </c>
      <c r="CX215" s="395">
        <f ca="1">IF(SUM($G215:CW215)=30%,0,IF(CZ216&gt;0%,30%,0%))</f>
        <v>0</v>
      </c>
      <c r="CY215" s="395">
        <f ca="1">IF(SUM($G215:CX215)=30%,0,IF(DA216&gt;0%,30%,0%))</f>
        <v>0</v>
      </c>
      <c r="CZ215" s="395">
        <f ca="1">IF(SUM($G215:CY215)=30%,0,IF(DB216&gt;0%,30%,0%))</f>
        <v>0</v>
      </c>
      <c r="DA215" s="395">
        <f ca="1">IF(SUM($G215:CZ215)=30%,0,IF(DC216&gt;0%,30%,0%))</f>
        <v>0</v>
      </c>
      <c r="DB215" s="395">
        <f ca="1">IF(SUM($G215:DA215)=30%,0,IF(DD216&gt;0%,30%,0%))</f>
        <v>0</v>
      </c>
      <c r="DC215" s="395">
        <f ca="1">IF(SUM($G215:DB215)=30%,0,IF(DE216&gt;0%,30%,0%))</f>
        <v>0</v>
      </c>
      <c r="DD215" s="395">
        <f ca="1">IF(SUM($G215:DC215)=30%,0,IF(DF216&gt;0%,30%,0%))</f>
        <v>0</v>
      </c>
      <c r="DE215" s="395">
        <f ca="1">IF(SUM($G215:DD215)=30%,0,IF(DG216&gt;0%,30%,0%))</f>
        <v>0</v>
      </c>
      <c r="DF215" s="395">
        <f ca="1">IF(SUM($G215:DE215)=30%,0,IF(DH216&gt;0%,30%,0%))</f>
        <v>0</v>
      </c>
      <c r="DG215" s="395">
        <f ca="1">IF(SUM($G215:DF215)=30%,0,IF(DI216&gt;0%,30%,0%))</f>
        <v>0</v>
      </c>
      <c r="DH215" s="395">
        <f ca="1">IF(SUM($G215:DG215)=30%,0,IF(DJ216&gt;0%,30%,0%))</f>
        <v>0</v>
      </c>
      <c r="DI215" s="395">
        <f ca="1">IF(SUM($G215:DH215)=30%,0,IF(DK216&gt;0%,30%,0%))</f>
        <v>0</v>
      </c>
      <c r="DJ215" s="395">
        <f ca="1">IF(SUM($G215:DI215)=30%,0,IF(DL216&gt;0%,30%,0%))</f>
        <v>0</v>
      </c>
      <c r="DK215" s="395">
        <f ca="1">IF(SUM($G215:DJ215)=30%,0,IF(DM216&gt;0%,30%,0%))</f>
        <v>0</v>
      </c>
      <c r="DL215" s="395">
        <f ca="1">IF(SUM($G215:DK215)=30%,0,IF(DN216&gt;0%,30%,0%))</f>
        <v>0</v>
      </c>
      <c r="DM215" s="395">
        <f ca="1">IF(SUM($G215:DL215)=30%,0,IF(DO216&gt;0%,30%,0%))</f>
        <v>0</v>
      </c>
      <c r="DN215" s="395">
        <f ca="1">IF(SUM($G215:DM215)=30%,0,IF(DP216&gt;0%,30%,0%))</f>
        <v>0</v>
      </c>
      <c r="DO215" s="395">
        <f ca="1">IF(SUM($G215:DN215)=30%,0,IF(DQ216&gt;0%,30%,0%))</f>
        <v>0</v>
      </c>
      <c r="DP215" s="395">
        <f ca="1">IF(SUM($G215:DO215)=30%,0,IF(DR216&gt;0%,30%,0%))</f>
        <v>0</v>
      </c>
      <c r="DQ215" s="395">
        <f ca="1">IF(SUM($G215:DP215)=30%,0,IF(DS216&gt;0%,30%,0%))</f>
        <v>0</v>
      </c>
      <c r="DR215" s="395">
        <f ca="1">IF(SUM($G215:DQ215)=30%,0,IF(DT216&gt;0%,30%,0%))</f>
        <v>0</v>
      </c>
      <c r="DS215" s="395">
        <f ca="1">IF(SUM($G215:DR215)=30%,0,IF(DU216&gt;0%,30%,0%))</f>
        <v>0</v>
      </c>
      <c r="DT215" s="395">
        <f ca="1">IF(SUM($G215:DS215)=30%,0,IF(DV216&gt;0%,30%,0%))</f>
        <v>0</v>
      </c>
      <c r="DU215" s="395">
        <f ca="1">IF(SUM($G215:DT215)=30%,0,IF(DW216&gt;0%,30%,0%))</f>
        <v>0</v>
      </c>
      <c r="DV215" s="395">
        <f ca="1">IF(SUM($G215:DU215)=30%,0,IF(DX216&gt;0%,30%,0%))</f>
        <v>0</v>
      </c>
      <c r="DW215" s="395">
        <f ca="1">IF(SUM($G215:DV215)=30%,0,IF(DY216&gt;0%,30%,0%))</f>
        <v>0</v>
      </c>
      <c r="DX215" s="395">
        <f ca="1">IF(SUM($G215:DW215)=30%,0,IF(DZ216&gt;0%,30%,0%))</f>
        <v>0</v>
      </c>
      <c r="DY215" s="395">
        <f ca="1">IF(SUM($G215:DX215)=30%,0,IF(EA216&gt;0%,30%,0%))</f>
        <v>0</v>
      </c>
      <c r="DZ215" s="395">
        <f ca="1">IF(SUM($G215:DY215)=30%,0,IF(EB216&gt;0%,30%,0%))</f>
        <v>0</v>
      </c>
      <c r="EA215" s="395">
        <f ca="1">IF(SUM($G215:DZ215)=30%,0,IF(EC216&gt;0%,30%,0%))</f>
        <v>0</v>
      </c>
      <c r="EB215" s="395">
        <f ca="1">IF(SUM($G215:EA215)=30%,0,IF(ED216&gt;0%,30%,0%))</f>
        <v>0</v>
      </c>
      <c r="EC215" s="395">
        <f ca="1">IF(SUM($G215:EB215)=30%,0,IF(EE216&gt;0%,30%,0%))</f>
        <v>0</v>
      </c>
      <c r="ED215" s="395">
        <f ca="1">IF(SUM($G215:EC215)=30%,0,IF(EF216&gt;0%,30%,0%))</f>
        <v>0</v>
      </c>
      <c r="EE215" s="395">
        <f ca="1">IF(SUM($G215:ED215)=30%,0,IF(EG216&gt;0%,30%,0%))</f>
        <v>0</v>
      </c>
      <c r="EF215" s="395">
        <f ca="1">IF(SUM($G215:EE215)=30%,0,IF(EH216&gt;0%,30%,0%))</f>
        <v>0</v>
      </c>
      <c r="EG215" s="395">
        <f ca="1">IF(SUM($G215:EF215)=30%,0,IF(EI216&gt;0%,30%,0%))</f>
        <v>0</v>
      </c>
      <c r="EH215" s="395">
        <f ca="1">IF(SUM($G215:EG215)=30%,0,IF(EJ216&gt;0%,30%,0%))</f>
        <v>0</v>
      </c>
      <c r="EI215" s="395">
        <f ca="1">IF(SUM($G215:EH215)=30%,0,IF(EK216&gt;0%,30%,0%))</f>
        <v>0</v>
      </c>
      <c r="EJ215" s="398"/>
      <c r="EK215" s="313"/>
    </row>
    <row r="216" spans="1:141" hidden="1" outlineLevel="2">
      <c r="A216" s="332"/>
      <c r="B216" s="313"/>
      <c r="C216" s="317"/>
      <c r="D216" s="317" t="s">
        <v>663</v>
      </c>
      <c r="E216" s="318">
        <f ca="1">ROUND(IF(F216=0,0,70%-F216),0)</f>
        <v>0</v>
      </c>
      <c r="F216" s="397">
        <f t="shared" ca="1" si="283"/>
        <v>0</v>
      </c>
      <c r="G216" s="395"/>
      <c r="H216" s="395"/>
      <c r="I216" s="395">
        <f ca="1">IF($E$400=0,0,IF(SUM($G216:H216)=70%,0,IF(SUM($G400:H400)&gt;=$E400,(70%/$E400)*($E400-SUM($G400:G400)),(70%/$E400)*H400)))</f>
        <v>0</v>
      </c>
      <c r="J216" s="395">
        <f ca="1">IF($E$400=0,0,IF(SUM($G216:I216)=70%,0,IF(SUM($G400:I400)&gt;=$E400,(70%/$E400)*($E400-SUM($G400:H400)),(70%/$E400)*I400)))</f>
        <v>0</v>
      </c>
      <c r="K216" s="395">
        <f ca="1">IF($E$400=0,0,IF(SUM($G216:J216)=70%,0,IF(SUM($G400:J400)&gt;=$E400,(70%/$E400)*($E400-SUM($G400:I400)),(70%/$E400)*J400)))</f>
        <v>0</v>
      </c>
      <c r="L216" s="395">
        <f ca="1">IF($E$400=0,0,IF(SUM($G216:K216)=70%,0,IF(SUM($G400:K400)&gt;=$E400,(70%/$E400)*($E400-SUM($G400:J400)),(70%/$E400)*K400)))</f>
        <v>0</v>
      </c>
      <c r="M216" s="395">
        <f ca="1">IF($E$400=0,0,IF(SUM($G216:L216)=70%,0,IF(SUM($G400:L400)&gt;=$E400,(70%/$E400)*($E400-SUM($G400:K400)),(70%/$E400)*L400)))</f>
        <v>0</v>
      </c>
      <c r="N216" s="395">
        <f ca="1">IF($E$400=0,0,IF(SUM($G216:M216)=70%,0,IF(SUM($G400:M400)&gt;=$E400,(70%/$E400)*($E400-SUM($G400:L400)),(70%/$E400)*M400)))</f>
        <v>0</v>
      </c>
      <c r="O216" s="395">
        <f ca="1">IF($E$400=0,0,IF(SUM($G216:N216)=70%,0,IF(SUM($G400:N400)&gt;=$E400,(70%/$E400)*($E400-SUM($G400:M400)),(70%/$E400)*N400)))</f>
        <v>0</v>
      </c>
      <c r="P216" s="395">
        <f ca="1">IF($E$400=0,0,IF(SUM($G216:O216)=70%,0,IF(SUM($G400:O400)&gt;=$E400,(70%/$E400)*($E400-SUM($G400:N400)),(70%/$E400)*O400)))</f>
        <v>0</v>
      </c>
      <c r="Q216" s="395">
        <f ca="1">IF($E$400=0,0,IF(SUM($G216:P216)=70%,0,IF(SUM($G400:P400)&gt;=$E400,(70%/$E400)*($E400-SUM($G400:O400)),(70%/$E400)*P400)))</f>
        <v>0</v>
      </c>
      <c r="R216" s="395">
        <f ca="1">IF($E$400=0,0,IF(SUM($G216:Q216)=70%,0,IF(SUM($G400:Q400)&gt;=$E400,(70%/$E400)*($E400-SUM($G400:P400)),(70%/$E400)*Q400)))</f>
        <v>0</v>
      </c>
      <c r="S216" s="395">
        <f ca="1">IF($E$400=0,0,IF(SUM($G216:R216)=70%,0,IF(SUM($G400:R400)&gt;=$E400,(70%/$E400)*($E400-SUM($G400:Q400)),(70%/$E400)*R400)))</f>
        <v>0</v>
      </c>
      <c r="T216" s="395">
        <f ca="1">IF($E$400=0,0,IF(SUM($G216:S216)=70%,0,IF(SUM($G400:S400)&gt;=$E400,(70%/$E400)*($E400-SUM($G400:R400)),(70%/$E400)*S400)))</f>
        <v>0</v>
      </c>
      <c r="U216" s="395">
        <f ca="1">IF($E$400=0,0,IF(SUM($G216:T216)=70%,0,IF(SUM($G400:T400)&gt;=$E400,(70%/$E400)*($E400-SUM($G400:S400)),(70%/$E400)*T400)))</f>
        <v>0</v>
      </c>
      <c r="V216" s="395">
        <f ca="1">IF($E$400=0,0,IF(SUM($G216:U216)=70%,0,IF(SUM($G400:U400)&gt;=$E400,(70%/$E400)*($E400-SUM($G400:T400)),(70%/$E400)*U400)))</f>
        <v>0</v>
      </c>
      <c r="W216" s="395">
        <f ca="1">IF($E$400=0,0,IF(SUM($G216:V216)=70%,0,IF(SUM($G400:V400)&gt;=$E400,(70%/$E400)*($E400-SUM($G400:U400)),(70%/$E400)*V400)))</f>
        <v>0</v>
      </c>
      <c r="X216" s="395">
        <f ca="1">IF($E$400=0,0,IF(SUM($G216:W216)=70%,0,IF(SUM($G400:W400)&gt;=$E400,(70%/$E400)*($E400-SUM($G400:V400)),(70%/$E400)*W400)))</f>
        <v>0</v>
      </c>
      <c r="Y216" s="395">
        <f ca="1">IF($E$400=0,0,IF(SUM($G216:X216)=70%,0,IF(SUM($G400:X400)&gt;=$E400,(70%/$E400)*($E400-SUM($G400:W400)),(70%/$E400)*X400)))</f>
        <v>0</v>
      </c>
      <c r="Z216" s="395">
        <f ca="1">IF($E$400=0,0,IF(SUM($G216:Y216)=70%,0,IF(SUM($G400:Y400)&gt;=$E400,(70%/$E400)*($E400-SUM($G400:X400)),(70%/$E400)*Y400)))</f>
        <v>0</v>
      </c>
      <c r="AA216" s="395">
        <f ca="1">IF($E$400=0,0,IF(SUM($G216:Z216)=70%,0,IF(SUM($G400:Z400)&gt;=$E400,(70%/$E400)*($E400-SUM($G400:Y400)),(70%/$E400)*Z400)))</f>
        <v>0</v>
      </c>
      <c r="AB216" s="395">
        <f ca="1">IF($E$400=0,0,IF(SUM($G216:AA216)=70%,0,IF(SUM($G400:AA400)&gt;=$E400,(70%/$E400)*($E400-SUM($G400:Z400)),(70%/$E400)*AA400)))</f>
        <v>0</v>
      </c>
      <c r="AC216" s="395">
        <f ca="1">IF($E$400=0,0,IF(SUM($G216:AB216)=70%,0,IF(SUM($G400:AB400)&gt;=$E400,(70%/$E400)*($E400-SUM($G400:AA400)),(70%/$E400)*AB400)))</f>
        <v>0</v>
      </c>
      <c r="AD216" s="395">
        <f ca="1">IF($E$400=0,0,IF(SUM($G216:AC216)=70%,0,IF(SUM($G400:AC400)&gt;=$E400,(70%/$E400)*($E400-SUM($G400:AB400)),(70%/$E400)*AC400)))</f>
        <v>0</v>
      </c>
      <c r="AE216" s="395">
        <f ca="1">IF($E$400=0,0,IF(SUM($G216:AD216)=70%,0,IF(SUM($G400:AD400)&gt;=$E400,(70%/$E400)*($E400-SUM($G400:AC400)),(70%/$E400)*AD400)))</f>
        <v>0</v>
      </c>
      <c r="AF216" s="395">
        <f ca="1">IF($E$400=0,0,IF(SUM($G216:AE216)=70%,0,IF(SUM($G400:AE400)&gt;=$E400,(70%/$E400)*($E400-SUM($G400:AD400)),(70%/$E400)*AE400)))</f>
        <v>0</v>
      </c>
      <c r="AG216" s="395">
        <f ca="1">IF($E$400=0,0,IF(SUM($G216:AF216)=70%,0,IF(SUM($G400:AF400)&gt;=$E400,(70%/$E400)*($E400-SUM($G400:AE400)),(70%/$E400)*AF400)))</f>
        <v>0</v>
      </c>
      <c r="AH216" s="395">
        <f ca="1">IF($E$400=0,0,IF(SUM($G216:AG216)=70%,0,IF(SUM($G400:AG400)&gt;=$E400,(70%/$E400)*($E400-SUM($G400:AF400)),(70%/$E400)*AG400)))</f>
        <v>0</v>
      </c>
      <c r="AI216" s="395">
        <f ca="1">IF($E$400=0,0,IF(SUM($G216:AH216)=70%,0,IF(SUM($G400:AH400)&gt;=$E400,(70%/$E400)*($E400-SUM($G400:AG400)),(70%/$E400)*AH400)))</f>
        <v>0</v>
      </c>
      <c r="AJ216" s="395">
        <f ca="1">IF($E$400=0,0,IF(SUM($G216:AI216)=70%,0,IF(SUM($G400:AI400)&gt;=$E400,(70%/$E400)*($E400-SUM($G400:AH400)),(70%/$E400)*AI400)))</f>
        <v>0</v>
      </c>
      <c r="AK216" s="395">
        <f ca="1">IF($E$400=0,0,IF(SUM($G216:AJ216)=70%,0,IF(SUM($G400:AJ400)&gt;=$E400,(70%/$E400)*($E400-SUM($G400:AI400)),(70%/$E400)*AJ400)))</f>
        <v>0</v>
      </c>
      <c r="AL216" s="395">
        <f ca="1">IF($E$400=0,0,IF(SUM($G216:AK216)=70%,0,IF(SUM($G400:AK400)&gt;=$E400,(70%/$E400)*($E400-SUM($G400:AJ400)),(70%/$E400)*AK400)))</f>
        <v>0</v>
      </c>
      <c r="AM216" s="395">
        <f ca="1">IF($E$400=0,0,IF(SUM($G216:AL216)=70%,0,IF(SUM($G400:AL400)&gt;=$E400,(70%/$E400)*($E400-SUM($G400:AK400)),(70%/$E400)*AL400)))</f>
        <v>0</v>
      </c>
      <c r="AN216" s="395">
        <f ca="1">IF($E$400=0,0,IF(SUM($G216:AM216)=70%,0,IF(SUM($G400:AM400)&gt;=$E400,(70%/$E400)*($E400-SUM($G400:AL400)),(70%/$E400)*AM400)))</f>
        <v>0</v>
      </c>
      <c r="AO216" s="395">
        <f ca="1">IF($E$400=0,0,IF(SUM($G216:AN216)=70%,0,IF(SUM($G400:AN400)&gt;=$E400,(70%/$E400)*($E400-SUM($G400:AM400)),(70%/$E400)*AN400)))</f>
        <v>0</v>
      </c>
      <c r="AP216" s="395">
        <f ca="1">IF($E$400=0,0,IF(SUM($G216:AO216)=70%,0,IF(SUM($G400:AO400)&gt;=$E400,(70%/$E400)*($E400-SUM($G400:AN400)),(70%/$E400)*AO400)))</f>
        <v>0</v>
      </c>
      <c r="AQ216" s="395">
        <f ca="1">IF($E$400=0,0,IF(SUM($G216:AP216)=70%,0,IF(SUM($G400:AP400)&gt;=$E400,(70%/$E400)*($E400-SUM($G400:AO400)),(70%/$E400)*AP400)))</f>
        <v>0</v>
      </c>
      <c r="AR216" s="395">
        <f ca="1">IF($E$400=0,0,IF(SUM($G216:AQ216)=70%,0,IF(SUM($G400:AQ400)&gt;=$E400,(70%/$E400)*($E400-SUM($G400:AP400)),(70%/$E400)*AQ400)))</f>
        <v>0</v>
      </c>
      <c r="AS216" s="395">
        <f ca="1">IF($E$400=0,0,IF(SUM($G216:AR216)=70%,0,IF(SUM($G400:AR400)&gt;=$E400,(70%/$E400)*($E400-SUM($G400:AQ400)),(70%/$E400)*AR400)))</f>
        <v>0</v>
      </c>
      <c r="AT216" s="395">
        <f ca="1">IF($E$400=0,0,IF(SUM($G216:AS216)=70%,0,IF(SUM($G400:AS400)&gt;=$E400,(70%/$E400)*($E400-SUM($G400:AR400)),(70%/$E400)*AS400)))</f>
        <v>0</v>
      </c>
      <c r="AU216" s="395">
        <f ca="1">IF($E$400=0,0,IF(SUM($G216:AT216)=70%,0,IF(SUM($G400:AT400)&gt;=$E400,(70%/$E400)*($E400-SUM($G400:AS400)),(70%/$E400)*AT400)))</f>
        <v>0</v>
      </c>
      <c r="AV216" s="395">
        <f ca="1">IF($E$400=0,0,IF(SUM($G216:AU216)=70%,0,IF(SUM($G400:AU400)&gt;=$E400,(70%/$E400)*($E400-SUM($G400:AT400)),(70%/$E400)*AU400)))</f>
        <v>0</v>
      </c>
      <c r="AW216" s="395">
        <f ca="1">IF($E$400=0,0,IF(SUM($G216:AV216)=70%,0,IF(SUM($G400:AV400)&gt;=$E400,(70%/$E400)*($E400-SUM($G400:AU400)),(70%/$E400)*AV400)))</f>
        <v>0</v>
      </c>
      <c r="AX216" s="395">
        <f ca="1">IF($E$400=0,0,IF(SUM($G216:AW216)=70%,0,IF(SUM($G400:AW400)&gt;=$E400,(70%/$E400)*($E400-SUM($G400:AV400)),(70%/$E400)*AW400)))</f>
        <v>0</v>
      </c>
      <c r="AY216" s="395">
        <f ca="1">IF($E$400=0,0,IF(SUM($G216:AX216)=70%,0,IF(SUM($G400:AX400)&gt;=$E400,(70%/$E400)*($E400-SUM($G400:AW400)),(70%/$E400)*AX400)))</f>
        <v>0</v>
      </c>
      <c r="AZ216" s="395">
        <f ca="1">IF($E$400=0,0,IF(SUM($G216:AY216)=70%,0,IF(SUM($G400:AY400)&gt;=$E400,(70%/$E400)*($E400-SUM($G400:AX400)),(70%/$E400)*AY400)))</f>
        <v>0</v>
      </c>
      <c r="BA216" s="395">
        <f ca="1">IF($E$400=0,0,IF(SUM($G216:AZ216)=70%,0,IF(SUM($G400:AZ400)&gt;=$E400,(70%/$E400)*($E400-SUM($G400:AY400)),(70%/$E400)*AZ400)))</f>
        <v>0</v>
      </c>
      <c r="BB216" s="395">
        <f ca="1">IF($E$400=0,0,IF(SUM($G216:BA216)=70%,0,IF(SUM($G400:BA400)&gt;=$E400,(70%/$E400)*($E400-SUM($G400:AZ400)),(70%/$E400)*BA400)))</f>
        <v>0</v>
      </c>
      <c r="BC216" s="395">
        <f ca="1">IF($E$400=0,0,IF(SUM($G216:BB216)=70%,0,IF(SUM($G400:BB400)&gt;=$E400,(70%/$E400)*($E400-SUM($G400:BA400)),(70%/$E400)*BB400)))</f>
        <v>0</v>
      </c>
      <c r="BD216" s="395">
        <f ca="1">IF($E$400=0,0,IF(SUM($G216:BC216)=70%,0,IF(SUM($G400:BC400)&gt;=$E400,(70%/$E400)*($E400-SUM($G400:BB400)),(70%/$E400)*BC400)))</f>
        <v>0</v>
      </c>
      <c r="BE216" s="395">
        <f ca="1">IF($E$400=0,0,IF(SUM($G216:BD216)=70%,0,IF(SUM($G400:BD400)&gt;=$E400,(70%/$E400)*($E400-SUM($G400:BC400)),(70%/$E400)*BD400)))</f>
        <v>0</v>
      </c>
      <c r="BF216" s="395">
        <f ca="1">IF($E$400=0,0,IF(SUM($G216:BE216)=70%,0,IF(SUM($G400:BE400)&gt;=$E400,(70%/$E400)*($E400-SUM($G400:BD400)),(70%/$E400)*BE400)))</f>
        <v>0</v>
      </c>
      <c r="BG216" s="395">
        <f ca="1">IF($E$400=0,0,IF(SUM($G216:BF216)=70%,0,IF(SUM($G400:BF400)&gt;=$E400,(70%/$E400)*($E400-SUM($G400:BE400)),(70%/$E400)*BF400)))</f>
        <v>0</v>
      </c>
      <c r="BH216" s="395">
        <f ca="1">IF($E$400=0,0,IF(SUM($G216:BG216)=70%,0,IF(SUM($G400:BG400)&gt;=$E400,(70%/$E400)*($E400-SUM($G400:BF400)),(70%/$E400)*BG400)))</f>
        <v>0</v>
      </c>
      <c r="BI216" s="395">
        <f ca="1">IF($E$400=0,0,IF(SUM($G216:BH216)=70%,0,IF(SUM($G400:BH400)&gt;=$E400,(70%/$E400)*($E400-SUM($G400:BG400)),(70%/$E400)*BH400)))</f>
        <v>0</v>
      </c>
      <c r="BJ216" s="395">
        <f ca="1">IF($E$400=0,0,IF(SUM($G216:BI216)=70%,0,IF(SUM($G400:BI400)&gt;=$E400,(70%/$E400)*($E400-SUM($G400:BH400)),(70%/$E400)*BI400)))</f>
        <v>0</v>
      </c>
      <c r="BK216" s="395">
        <f ca="1">IF($E$400=0,0,IF(SUM($G216:BJ216)=70%,0,IF(SUM($G400:BJ400)&gt;=$E400,(70%/$E400)*($E400-SUM($G400:BI400)),(70%/$E400)*BJ400)))</f>
        <v>0</v>
      </c>
      <c r="BL216" s="395">
        <f ca="1">IF($E$400=0,0,IF(SUM($G216:BK216)=70%,0,IF(SUM($G400:BK400)&gt;=$E400,(70%/$E400)*($E400-SUM($G400:BJ400)),(70%/$E400)*BK400)))</f>
        <v>0</v>
      </c>
      <c r="BM216" s="395">
        <f ca="1">IF($E$400=0,0,IF(SUM($G216:BL216)=70%,0,IF(SUM($G400:BL400)&gt;=$E400,(70%/$E400)*($E400-SUM($G400:BK400)),(70%/$E400)*BL400)))</f>
        <v>0</v>
      </c>
      <c r="BN216" s="395">
        <f ca="1">IF($E$400=0,0,IF(SUM($G216:BM216)=70%,0,IF(SUM($G400:BM400)&gt;=$E400,(70%/$E400)*($E400-SUM($G400:BL400)),(70%/$E400)*BM400)))</f>
        <v>0</v>
      </c>
      <c r="BO216" s="395">
        <f ca="1">IF($E$400=0,0,IF(SUM($G216:BN216)=70%,0,IF(SUM($G400:BN400)&gt;=$E400,(70%/$E400)*($E400-SUM($G400:BM400)),(70%/$E400)*BN400)))</f>
        <v>0</v>
      </c>
      <c r="BP216" s="395">
        <f ca="1">IF($E$400=0,0,IF(SUM($G216:BO216)=70%,0,IF(SUM($G400:BO400)&gt;=$E400,(70%/$E400)*($E400-SUM($G400:BN400)),(70%/$E400)*BO400)))</f>
        <v>0</v>
      </c>
      <c r="BQ216" s="395">
        <f ca="1">IF($E$400=0,0,IF(SUM($G216:BP216)=70%,0,IF(SUM($G400:BP400)&gt;=$E400,(70%/$E400)*($E400-SUM($G400:BO400)),(70%/$E400)*BP400)))</f>
        <v>0</v>
      </c>
      <c r="BR216" s="395">
        <f ca="1">IF($E$400=0,0,IF(SUM($G216:BQ216)=70%,0,IF(SUM($G400:BQ400)&gt;=$E400,(70%/$E400)*($E400-SUM($G400:BP400)),(70%/$E400)*BQ400)))</f>
        <v>0</v>
      </c>
      <c r="BS216" s="395">
        <f ca="1">IF($E$400=0,0,IF(SUM($G216:BR216)=70%,0,IF(SUM($G400:BR400)&gt;=$E400,(70%/$E400)*($E400-SUM($G400:BQ400)),(70%/$E400)*BR400)))</f>
        <v>0</v>
      </c>
      <c r="BT216" s="395">
        <f ca="1">IF($E$400=0,0,IF(SUM($G216:BS216)=70%,0,IF(SUM($G400:BS400)&gt;=$E400,(70%/$E400)*($E400-SUM($G400:BR400)),(70%/$E400)*BS400)))</f>
        <v>0</v>
      </c>
      <c r="BU216" s="395">
        <f ca="1">IF($E$400=0,0,IF(SUM($G216:BT216)=70%,0,IF(SUM($G400:BT400)&gt;=$E400,(70%/$E400)*($E400-SUM($G400:BS400)),(70%/$E400)*BT400)))</f>
        <v>0</v>
      </c>
      <c r="BV216" s="395">
        <f ca="1">IF($E$400=0,0,IF(SUM($G216:BU216)=70%,0,IF(SUM($G400:BU400)&gt;=$E400,(70%/$E400)*($E400-SUM($G400:BT400)),(70%/$E400)*BU400)))</f>
        <v>0</v>
      </c>
      <c r="BW216" s="395">
        <f ca="1">IF($E$400=0,0,IF(SUM($G216:BV216)=70%,0,IF(SUM($G400:BV400)&gt;=$E400,(70%/$E400)*($E400-SUM($G400:BU400)),(70%/$E400)*BV400)))</f>
        <v>0</v>
      </c>
      <c r="BX216" s="395">
        <f ca="1">IF($E$400=0,0,IF(SUM($G216:BW216)=70%,0,IF(SUM($G400:BW400)&gt;=$E400,(70%/$E400)*($E400-SUM($G400:BV400)),(70%/$E400)*BW400)))</f>
        <v>0</v>
      </c>
      <c r="BY216" s="395">
        <f ca="1">IF($E$400=0,0,IF(SUM($G216:BX216)=70%,0,IF(SUM($G400:BX400)&gt;=$E400,(70%/$E400)*($E400-SUM($G400:BW400)),(70%/$E400)*BX400)))</f>
        <v>0</v>
      </c>
      <c r="BZ216" s="395">
        <f ca="1">IF($E$400=0,0,IF(SUM($G216:BY216)=70%,0,IF(SUM($G400:BY400)&gt;=$E400,(70%/$E400)*($E400-SUM($G400:BX400)),(70%/$E400)*BY400)))</f>
        <v>0</v>
      </c>
      <c r="CA216" s="395">
        <f ca="1">IF($E$400=0,0,IF(SUM($G216:BZ216)=70%,0,IF(SUM($G400:BZ400)&gt;=$E400,(70%/$E400)*($E400-SUM($G400:BY400)),(70%/$E400)*BZ400)))</f>
        <v>0</v>
      </c>
      <c r="CB216" s="395">
        <f ca="1">IF($E$400=0,0,IF(SUM($G216:CA216)=70%,0,IF(SUM($G400:CA400)&gt;=$E400,(70%/$E400)*($E400-SUM($G400:BZ400)),(70%/$E400)*CA400)))</f>
        <v>0</v>
      </c>
      <c r="CC216" s="395">
        <f ca="1">IF($E$400=0,0,IF(SUM($G216:CB216)=70%,0,IF(SUM($G400:CB400)&gt;=$E400,(70%/$E400)*($E400-SUM($G400:CA400)),(70%/$E400)*CB400)))</f>
        <v>0</v>
      </c>
      <c r="CD216" s="395">
        <f ca="1">IF($E$400=0,0,IF(SUM($G216:CC216)=70%,0,IF(SUM($G400:CC400)&gt;=$E400,(70%/$E400)*($E400-SUM($G400:CB400)),(70%/$E400)*CC400)))</f>
        <v>0</v>
      </c>
      <c r="CE216" s="395">
        <f ca="1">IF($E$400=0,0,IF(SUM($G216:CD216)=70%,0,IF(SUM($G400:CD400)&gt;=$E400,(70%/$E400)*($E400-SUM($G400:CC400)),(70%/$E400)*CD400)))</f>
        <v>0</v>
      </c>
      <c r="CF216" s="395">
        <f ca="1">IF($E$400=0,0,IF(SUM($G216:CE216)=70%,0,IF(SUM($G400:CE400)&gt;=$E400,(70%/$E400)*($E400-SUM($G400:CD400)),(70%/$E400)*CE400)))</f>
        <v>0</v>
      </c>
      <c r="CG216" s="395">
        <f ca="1">IF($E$400=0,0,IF(SUM($G216:CF216)=70%,0,IF(SUM($G400:CF400)&gt;=$E400,(70%/$E400)*($E400-SUM($G400:CE400)),(70%/$E400)*CF400)))</f>
        <v>0</v>
      </c>
      <c r="CH216" s="395">
        <f ca="1">IF($E$400=0,0,IF(SUM($G216:CG216)=70%,0,IF(SUM($G400:CG400)&gt;=$E400,(70%/$E400)*($E400-SUM($G400:CF400)),(70%/$E400)*CG400)))</f>
        <v>0</v>
      </c>
      <c r="CI216" s="395">
        <f ca="1">IF($E$400=0,0,IF(SUM($G216:CH216)=70%,0,IF(SUM($G400:CH400)&gt;=$E400,(70%/$E400)*($E400-SUM($G400:CG400)),(70%/$E400)*CH400)))</f>
        <v>0</v>
      </c>
      <c r="CJ216" s="395">
        <f ca="1">IF($E$400=0,0,IF(SUM($G216:CI216)=70%,0,IF(SUM($G400:CI400)&gt;=$E400,(70%/$E400)*($E400-SUM($G400:CH400)),(70%/$E400)*CI400)))</f>
        <v>0</v>
      </c>
      <c r="CK216" s="395">
        <f ca="1">IF($E$400=0,0,IF(SUM($G216:CJ216)=70%,0,IF(SUM($G400:CJ400)&gt;=$E400,(70%/$E400)*($E400-SUM($G400:CI400)),(70%/$E400)*CJ400)))</f>
        <v>0</v>
      </c>
      <c r="CL216" s="395">
        <f ca="1">IF($E$400=0,0,IF(SUM($G216:CK216)=70%,0,IF(SUM($G400:CK400)&gt;=$E400,(70%/$E400)*($E400-SUM($G400:CJ400)),(70%/$E400)*CK400)))</f>
        <v>0</v>
      </c>
      <c r="CM216" s="395">
        <f ca="1">IF($E$400=0,0,IF(SUM($G216:CL216)=70%,0,IF(SUM($G400:CL400)&gt;=$E400,(70%/$E400)*($E400-SUM($G400:CK400)),(70%/$E400)*CL400)))</f>
        <v>0</v>
      </c>
      <c r="CN216" s="395">
        <f ca="1">IF($E$400=0,0,IF(SUM($G216:CM216)=70%,0,IF(SUM($G400:CM400)&gt;=$E400,(70%/$E400)*($E400-SUM($G400:CL400)),(70%/$E400)*CM400)))</f>
        <v>0</v>
      </c>
      <c r="CO216" s="395">
        <f ca="1">IF($E$400=0,0,IF(SUM($G216:CN216)=70%,0,IF(SUM($G400:CN400)&gt;=$E400,(70%/$E400)*($E400-SUM($G400:CM400)),(70%/$E400)*CN400)))</f>
        <v>0</v>
      </c>
      <c r="CP216" s="395">
        <f ca="1">IF($E$400=0,0,IF(SUM($G216:CO216)=70%,0,IF(SUM($G400:CO400)&gt;=$E400,(70%/$E400)*($E400-SUM($G400:CN400)),(70%/$E400)*CO400)))</f>
        <v>0</v>
      </c>
      <c r="CQ216" s="395">
        <f ca="1">IF($E$400=0,0,IF(SUM($G216:CP216)=70%,0,IF(SUM($G400:CP400)&gt;=$E400,(70%/$E400)*($E400-SUM($G400:CO400)),(70%/$E400)*CP400)))</f>
        <v>0</v>
      </c>
      <c r="CR216" s="395">
        <f ca="1">IF($E$400=0,0,IF(SUM($G216:CQ216)=70%,0,IF(SUM($G400:CQ400)&gt;=$E400,(70%/$E400)*($E400-SUM($G400:CP400)),(70%/$E400)*CQ400)))</f>
        <v>0</v>
      </c>
      <c r="CS216" s="395">
        <f ca="1">IF($E$400=0,0,IF(SUM($G216:CR216)=70%,0,IF(SUM($G400:CR400)&gt;=$E400,(70%/$E400)*($E400-SUM($G400:CQ400)),(70%/$E400)*CR400)))</f>
        <v>0</v>
      </c>
      <c r="CT216" s="395">
        <f ca="1">IF($E$400=0,0,IF(SUM($G216:CS216)=70%,0,IF(SUM($G400:CS400)&gt;=$E400,(70%/$E400)*($E400-SUM($G400:CR400)),(70%/$E400)*CS400)))</f>
        <v>0</v>
      </c>
      <c r="CU216" s="395">
        <f ca="1">IF($E$400=0,0,IF(SUM($G216:CT216)=70%,0,IF(SUM($G400:CT400)&gt;=$E400,(70%/$E400)*($E400-SUM($G400:CS400)),(70%/$E400)*CT400)))</f>
        <v>0</v>
      </c>
      <c r="CV216" s="395">
        <f ca="1">IF($E$400=0,0,IF(SUM($G216:CU216)=70%,0,IF(SUM($G400:CU400)&gt;=$E400,(70%/$E400)*($E400-SUM($G400:CT400)),(70%/$E400)*CU400)))</f>
        <v>0</v>
      </c>
      <c r="CW216" s="395">
        <f ca="1">IF($E$400=0,0,IF(SUM($G216:CV216)=70%,0,IF(SUM($G400:CV400)&gt;=$E400,(70%/$E400)*($E400-SUM($G400:CU400)),(70%/$E400)*CV400)))</f>
        <v>0</v>
      </c>
      <c r="CX216" s="395">
        <f ca="1">IF($E$400=0,0,IF(SUM($G216:CW216)=70%,0,IF(SUM($G400:CW400)&gt;=$E400,(70%/$E400)*($E400-SUM($G400:CV400)),(70%/$E400)*CW400)))</f>
        <v>0</v>
      </c>
      <c r="CY216" s="395">
        <f ca="1">IF($E$400=0,0,IF(SUM($G216:CX216)=70%,0,IF(SUM($G400:CX400)&gt;=$E400,(70%/$E400)*($E400-SUM($G400:CW400)),(70%/$E400)*CX400)))</f>
        <v>0</v>
      </c>
      <c r="CZ216" s="395">
        <f ca="1">IF($E$400=0,0,IF(SUM($G216:CY216)=70%,0,IF(SUM($G400:CY400)&gt;=$E400,(70%/$E400)*($E400-SUM($G400:CX400)),(70%/$E400)*CY400)))</f>
        <v>0</v>
      </c>
      <c r="DA216" s="395">
        <f ca="1">IF($E$400=0,0,IF(SUM($G216:CZ216)=70%,0,IF(SUM($G400:CZ400)&gt;=$E400,(70%/$E400)*($E400-SUM($G400:CY400)),(70%/$E400)*CZ400)))</f>
        <v>0</v>
      </c>
      <c r="DB216" s="395">
        <f ca="1">IF($E$400=0,0,IF(SUM($G216:DA216)=70%,0,IF(SUM($G400:DA400)&gt;=$E400,(70%/$E400)*($E400-SUM($G400:CZ400)),(70%/$E400)*DA400)))</f>
        <v>0</v>
      </c>
      <c r="DC216" s="395">
        <f ca="1">IF($E$400=0,0,IF(SUM($G216:DB216)=70%,0,IF(SUM($G400:DB400)&gt;=$E400,(70%/$E400)*($E400-SUM($G400:DA400)),(70%/$E400)*DB400)))</f>
        <v>0</v>
      </c>
      <c r="DD216" s="395">
        <f ca="1">IF($E$400=0,0,IF(SUM($G216:DC216)=70%,0,IF(SUM($G400:DC400)&gt;=$E400,(70%/$E400)*($E400-SUM($G400:DB400)),(70%/$E400)*DC400)))</f>
        <v>0</v>
      </c>
      <c r="DE216" s="395">
        <f ca="1">IF($E$400=0,0,IF(SUM($G216:DD216)=70%,0,IF(SUM($G400:DD400)&gt;=$E400,(70%/$E400)*($E400-SUM($G400:DC400)),(70%/$E400)*DD400)))</f>
        <v>0</v>
      </c>
      <c r="DF216" s="395">
        <f ca="1">IF($E$400=0,0,IF(SUM($G216:DE216)=70%,0,IF(SUM($G400:DE400)&gt;=$E400,(70%/$E400)*($E400-SUM($G400:DD400)),(70%/$E400)*DE400)))</f>
        <v>0</v>
      </c>
      <c r="DG216" s="395">
        <f ca="1">IF($E$400=0,0,IF(SUM($G216:DF216)=70%,0,IF(SUM($G400:DF400)&gt;=$E400,(70%/$E400)*($E400-SUM($G400:DE400)),(70%/$E400)*DF400)))</f>
        <v>0</v>
      </c>
      <c r="DH216" s="395">
        <f ca="1">IF($E$400=0,0,IF(SUM($G216:DG216)=70%,0,IF(SUM($G400:DG400)&gt;=$E400,(70%/$E400)*($E400-SUM($G400:DF400)),(70%/$E400)*DG400)))</f>
        <v>0</v>
      </c>
      <c r="DI216" s="395">
        <f ca="1">IF($E$400=0,0,IF(SUM($G216:DH216)=70%,0,IF(SUM($G400:DH400)&gt;=$E400,(70%/$E400)*($E400-SUM($G400:DG400)),(70%/$E400)*DH400)))</f>
        <v>0</v>
      </c>
      <c r="DJ216" s="395">
        <f ca="1">IF($E$400=0,0,IF(SUM($G216:DI216)=70%,0,IF(SUM($G400:DI400)&gt;=$E400,(70%/$E400)*($E400-SUM($G400:DH400)),(70%/$E400)*DI400)))</f>
        <v>0</v>
      </c>
      <c r="DK216" s="395">
        <f ca="1">IF($E$400=0,0,IF(SUM($G216:DJ216)=70%,0,IF(SUM($G400:DJ400)&gt;=$E400,(70%/$E400)*($E400-SUM($G400:DI400)),(70%/$E400)*DJ400)))</f>
        <v>0</v>
      </c>
      <c r="DL216" s="395">
        <f ca="1">IF($E$400=0,0,IF(SUM($G216:DK216)=70%,0,IF(SUM($G400:DK400)&gt;=$E400,(70%/$E400)*($E400-SUM($G400:DJ400)),(70%/$E400)*DK400)))</f>
        <v>0</v>
      </c>
      <c r="DM216" s="395">
        <f ca="1">IF($E$400=0,0,IF(SUM($G216:DL216)=70%,0,IF(SUM($G400:DL400)&gt;=$E400,(70%/$E400)*($E400-SUM($G400:DK400)),(70%/$E400)*DL400)))</f>
        <v>0</v>
      </c>
      <c r="DN216" s="395">
        <f ca="1">IF($E$400=0,0,IF(SUM($G216:DM216)=70%,0,IF(SUM($G400:DM400)&gt;=$E400,(70%/$E400)*($E400-SUM($G400:DL400)),(70%/$E400)*DM400)))</f>
        <v>0</v>
      </c>
      <c r="DO216" s="395">
        <f ca="1">IF($E$400=0,0,IF(SUM($G216:DN216)=70%,0,IF(SUM($G400:DN400)&gt;=$E400,(70%/$E400)*($E400-SUM($G400:DM400)),(70%/$E400)*DN400)))</f>
        <v>0</v>
      </c>
      <c r="DP216" s="395">
        <f ca="1">IF($E$400=0,0,IF(SUM($G216:DO216)=70%,0,IF(SUM($G400:DO400)&gt;=$E400,(70%/$E400)*($E400-SUM($G400:DN400)),(70%/$E400)*DO400)))</f>
        <v>0</v>
      </c>
      <c r="DQ216" s="395">
        <f ca="1">IF($E$400=0,0,IF(SUM($G216:DP216)=70%,0,IF(SUM($G400:DP400)&gt;=$E400,(70%/$E400)*($E400-SUM($G400:DO400)),(70%/$E400)*DP400)))</f>
        <v>0</v>
      </c>
      <c r="DR216" s="395">
        <f ca="1">IF($E$400=0,0,IF(SUM($G216:DQ216)=70%,0,IF(SUM($G400:DQ400)&gt;=$E400,(70%/$E400)*($E400-SUM($G400:DP400)),(70%/$E400)*DQ400)))</f>
        <v>0</v>
      </c>
      <c r="DS216" s="395">
        <f ca="1">IF($E$400=0,0,IF(SUM($G216:DR216)=70%,0,IF(SUM($G400:DR400)&gt;=$E400,(70%/$E400)*($E400-SUM($G400:DQ400)),(70%/$E400)*DR400)))</f>
        <v>0</v>
      </c>
      <c r="DT216" s="395">
        <f ca="1">IF($E$400=0,0,IF(SUM($G216:DS216)=70%,0,IF(SUM($G400:DS400)&gt;=$E400,(70%/$E400)*($E400-SUM($G400:DR400)),(70%/$E400)*DS400)))</f>
        <v>0</v>
      </c>
      <c r="DU216" s="395">
        <f ca="1">IF($E$400=0,0,IF(SUM($G216:DT216)=70%,0,IF(SUM($G400:DT400)&gt;=$E400,(70%/$E400)*($E400-SUM($G400:DS400)),(70%/$E400)*DT400)))</f>
        <v>0</v>
      </c>
      <c r="DV216" s="395">
        <f ca="1">IF($E$400=0,0,IF(SUM($G216:DU216)=70%,0,IF(SUM($G400:DU400)&gt;=$E400,(70%/$E400)*($E400-SUM($G400:DT400)),(70%/$E400)*DU400)))</f>
        <v>0</v>
      </c>
      <c r="DW216" s="395">
        <f ca="1">IF($E$400=0,0,IF(SUM($G216:DV216)=70%,0,IF(SUM($G400:DV400)&gt;=$E400,(70%/$E400)*($E400-SUM($G400:DU400)),(70%/$E400)*DV400)))</f>
        <v>0</v>
      </c>
      <c r="DX216" s="395">
        <f ca="1">IF($E$400=0,0,IF(SUM($G216:DW216)=70%,0,IF(SUM($G400:DW400)&gt;=$E400,(70%/$E400)*($E400-SUM($G400:DV400)),(70%/$E400)*DW400)))</f>
        <v>0</v>
      </c>
      <c r="DY216" s="395">
        <f ca="1">IF($E$400=0,0,IF(SUM($G216:DX216)=70%,0,IF(SUM($G400:DX400)&gt;=$E400,(70%/$E400)*($E400-SUM($G400:DW400)),(70%/$E400)*DX400)))</f>
        <v>0</v>
      </c>
      <c r="DZ216" s="395">
        <f ca="1">IF($E$400=0,0,IF(SUM($G216:DY216)=70%,0,IF(SUM($G400:DY400)&gt;=$E400,(70%/$E400)*($E400-SUM($G400:DX400)),(70%/$E400)*DY400)))</f>
        <v>0</v>
      </c>
      <c r="EA216" s="395">
        <f ca="1">IF($E$400=0,0,IF(SUM($G216:DZ216)=70%,0,IF(SUM($G400:DZ400)&gt;=$E400,(70%/$E400)*($E400-SUM($G400:DY400)),(70%/$E400)*DZ400)))</f>
        <v>0</v>
      </c>
      <c r="EB216" s="395">
        <f ca="1">IF($E$400=0,0,IF(SUM($G216:EA216)=70%,0,IF(SUM($G400:EA400)&gt;=$E400,(70%/$E400)*($E400-SUM($G400:DZ400)),(70%/$E400)*EA400)))</f>
        <v>0</v>
      </c>
      <c r="EC216" s="395">
        <f ca="1">IF($E$400=0,0,IF(SUM($G216:EB216)=70%,0,IF(SUM($G400:EB400)&gt;=$E400,(70%/$E400)*($E400-SUM($G400:EA400)),(70%/$E400)*EB400)))</f>
        <v>0</v>
      </c>
      <c r="ED216" s="395">
        <f ca="1">IF($E$400=0,0,IF(SUM($G216:EC216)=70%,0,IF(SUM($G400:EC400)&gt;=$E400,(70%/$E400)*($E400-SUM($G400:EB400)),(70%/$E400)*EC400)))</f>
        <v>0</v>
      </c>
      <c r="EE216" s="395">
        <f ca="1">IF($E$400=0,0,IF(SUM($G216:ED216)=70%,0,IF(SUM($G400:ED400)&gt;=$E400,(70%/$E400)*($E400-SUM($G400:EC400)),(70%/$E400)*ED400)))</f>
        <v>0</v>
      </c>
      <c r="EF216" s="395">
        <f ca="1">IF($E$400=0,0,IF(SUM($G216:EE216)=70%,0,IF(SUM($G400:EE400)&gt;=$E400,(70%/$E400)*($E400-SUM($G400:ED400)),(70%/$E400)*EE400)))</f>
        <v>0</v>
      </c>
      <c r="EG216" s="395">
        <f ca="1">IF($E$400=0,0,IF(SUM($G216:EF216)=70%,0,IF(SUM($G400:EF400)&gt;=$E400,(70%/$E400)*($E400-SUM($G400:EE400)),(70%/$E400)*EF400)))</f>
        <v>0</v>
      </c>
      <c r="EH216" s="395">
        <f ca="1">IF($E$400=0,0,IF(SUM($G216:EG216)=70%,0,IF(SUM($G400:EG400)&gt;=$E400,(70%/$E400)*($E400-SUM($G400:EF400)),(70%/$E400)*EG400)))</f>
        <v>0</v>
      </c>
      <c r="EI216" s="395">
        <f ca="1">IF($E$400=0,0,IF(SUM($G216:EH216)=70%,0,IF(SUM($G400:EH400)&gt;=$E400,(70%/$E400)*($E400-SUM($G400:EG400)),(70%/$E400)*EH400)))</f>
        <v>0</v>
      </c>
      <c r="EJ216" s="398"/>
      <c r="EK216" s="313"/>
    </row>
    <row r="217" spans="1:141" hidden="1" outlineLevel="1" collapsed="1">
      <c r="A217" s="332"/>
      <c r="B217" s="313"/>
      <c r="C217" s="392" t="s">
        <v>281</v>
      </c>
      <c r="D217" s="392" t="str">
        <f>D405</f>
        <v>Социальная инфраструктура - дет.клуб.</v>
      </c>
      <c r="E217" s="393">
        <f ca="1">ROUND(IF(F217=0,0,100%-F217),0)</f>
        <v>0</v>
      </c>
      <c r="F217" s="394">
        <f t="shared" ca="1" si="283"/>
        <v>0</v>
      </c>
      <c r="G217" s="395">
        <f>SUM(G218:G219)</f>
        <v>0</v>
      </c>
      <c r="H217" s="395">
        <f ca="1">SUM(H218:H219)</f>
        <v>0</v>
      </c>
      <c r="I217" s="395">
        <f t="shared" ref="I217:BT217" ca="1" si="435">SUM(I218:I219)</f>
        <v>0</v>
      </c>
      <c r="J217" s="395">
        <f t="shared" ca="1" si="435"/>
        <v>0</v>
      </c>
      <c r="K217" s="395">
        <f t="shared" ca="1" si="435"/>
        <v>0</v>
      </c>
      <c r="L217" s="395">
        <f t="shared" ca="1" si="435"/>
        <v>0</v>
      </c>
      <c r="M217" s="395">
        <f t="shared" ca="1" si="435"/>
        <v>0</v>
      </c>
      <c r="N217" s="395">
        <f t="shared" ca="1" si="435"/>
        <v>0</v>
      </c>
      <c r="O217" s="395">
        <f t="shared" ca="1" si="435"/>
        <v>0</v>
      </c>
      <c r="P217" s="395">
        <f t="shared" ca="1" si="435"/>
        <v>0</v>
      </c>
      <c r="Q217" s="395">
        <f t="shared" ca="1" si="435"/>
        <v>0</v>
      </c>
      <c r="R217" s="395">
        <f t="shared" ca="1" si="435"/>
        <v>0</v>
      </c>
      <c r="S217" s="395">
        <f t="shared" ca="1" si="435"/>
        <v>0</v>
      </c>
      <c r="T217" s="395">
        <f t="shared" ca="1" si="435"/>
        <v>0</v>
      </c>
      <c r="U217" s="395">
        <f t="shared" ca="1" si="435"/>
        <v>0</v>
      </c>
      <c r="V217" s="395">
        <f t="shared" ca="1" si="435"/>
        <v>0</v>
      </c>
      <c r="W217" s="395">
        <f t="shared" ca="1" si="435"/>
        <v>0</v>
      </c>
      <c r="X217" s="395">
        <f t="shared" ca="1" si="435"/>
        <v>0</v>
      </c>
      <c r="Y217" s="395">
        <f t="shared" ca="1" si="435"/>
        <v>0</v>
      </c>
      <c r="Z217" s="395">
        <f t="shared" ca="1" si="435"/>
        <v>0</v>
      </c>
      <c r="AA217" s="395">
        <f t="shared" ca="1" si="435"/>
        <v>0</v>
      </c>
      <c r="AB217" s="395">
        <f t="shared" ca="1" si="435"/>
        <v>0</v>
      </c>
      <c r="AC217" s="395">
        <f t="shared" ca="1" si="435"/>
        <v>0</v>
      </c>
      <c r="AD217" s="395">
        <f t="shared" ca="1" si="435"/>
        <v>0</v>
      </c>
      <c r="AE217" s="395">
        <f t="shared" ca="1" si="435"/>
        <v>0</v>
      </c>
      <c r="AF217" s="395">
        <f t="shared" ca="1" si="435"/>
        <v>0</v>
      </c>
      <c r="AG217" s="395">
        <f t="shared" ca="1" si="435"/>
        <v>0</v>
      </c>
      <c r="AH217" s="395">
        <f t="shared" ca="1" si="435"/>
        <v>0</v>
      </c>
      <c r="AI217" s="395">
        <f t="shared" ca="1" si="435"/>
        <v>0</v>
      </c>
      <c r="AJ217" s="395">
        <f t="shared" ca="1" si="435"/>
        <v>0</v>
      </c>
      <c r="AK217" s="395">
        <f t="shared" ca="1" si="435"/>
        <v>0</v>
      </c>
      <c r="AL217" s="395">
        <f t="shared" ca="1" si="435"/>
        <v>0</v>
      </c>
      <c r="AM217" s="395">
        <f t="shared" ca="1" si="435"/>
        <v>0</v>
      </c>
      <c r="AN217" s="395">
        <f t="shared" ca="1" si="435"/>
        <v>0</v>
      </c>
      <c r="AO217" s="395">
        <f t="shared" ca="1" si="435"/>
        <v>0</v>
      </c>
      <c r="AP217" s="395">
        <f t="shared" ca="1" si="435"/>
        <v>0</v>
      </c>
      <c r="AQ217" s="395">
        <f t="shared" ca="1" si="435"/>
        <v>0</v>
      </c>
      <c r="AR217" s="395">
        <f t="shared" ca="1" si="435"/>
        <v>0</v>
      </c>
      <c r="AS217" s="395">
        <f t="shared" ca="1" si="435"/>
        <v>0</v>
      </c>
      <c r="AT217" s="395">
        <f t="shared" ca="1" si="435"/>
        <v>0</v>
      </c>
      <c r="AU217" s="395">
        <f t="shared" ca="1" si="435"/>
        <v>0</v>
      </c>
      <c r="AV217" s="395">
        <f t="shared" ca="1" si="435"/>
        <v>0</v>
      </c>
      <c r="AW217" s="395">
        <f t="shared" ca="1" si="435"/>
        <v>0</v>
      </c>
      <c r="AX217" s="395">
        <f t="shared" ca="1" si="435"/>
        <v>0</v>
      </c>
      <c r="AY217" s="395">
        <f t="shared" ca="1" si="435"/>
        <v>0</v>
      </c>
      <c r="AZ217" s="395">
        <f t="shared" ca="1" si="435"/>
        <v>0</v>
      </c>
      <c r="BA217" s="395">
        <f t="shared" ca="1" si="435"/>
        <v>0</v>
      </c>
      <c r="BB217" s="395">
        <f t="shared" ca="1" si="435"/>
        <v>0</v>
      </c>
      <c r="BC217" s="395">
        <f t="shared" ca="1" si="435"/>
        <v>0</v>
      </c>
      <c r="BD217" s="395">
        <f t="shared" ca="1" si="435"/>
        <v>0</v>
      </c>
      <c r="BE217" s="395">
        <f t="shared" ca="1" si="435"/>
        <v>0</v>
      </c>
      <c r="BF217" s="395">
        <f t="shared" ca="1" si="435"/>
        <v>0</v>
      </c>
      <c r="BG217" s="395">
        <f t="shared" ca="1" si="435"/>
        <v>0</v>
      </c>
      <c r="BH217" s="395">
        <f t="shared" ca="1" si="435"/>
        <v>0</v>
      </c>
      <c r="BI217" s="395">
        <f t="shared" ca="1" si="435"/>
        <v>0</v>
      </c>
      <c r="BJ217" s="395">
        <f t="shared" ca="1" si="435"/>
        <v>0</v>
      </c>
      <c r="BK217" s="395">
        <f t="shared" ca="1" si="435"/>
        <v>0</v>
      </c>
      <c r="BL217" s="395">
        <f t="shared" ca="1" si="435"/>
        <v>0</v>
      </c>
      <c r="BM217" s="395">
        <f t="shared" ca="1" si="435"/>
        <v>0</v>
      </c>
      <c r="BN217" s="395">
        <f t="shared" ca="1" si="435"/>
        <v>0</v>
      </c>
      <c r="BO217" s="395">
        <f t="shared" ca="1" si="435"/>
        <v>0</v>
      </c>
      <c r="BP217" s="395">
        <f t="shared" ca="1" si="435"/>
        <v>0</v>
      </c>
      <c r="BQ217" s="395">
        <f t="shared" ca="1" si="435"/>
        <v>0</v>
      </c>
      <c r="BR217" s="395">
        <f t="shared" ca="1" si="435"/>
        <v>0</v>
      </c>
      <c r="BS217" s="395">
        <f t="shared" ca="1" si="435"/>
        <v>0</v>
      </c>
      <c r="BT217" s="395">
        <f t="shared" ca="1" si="435"/>
        <v>0</v>
      </c>
      <c r="BU217" s="395">
        <f t="shared" ref="BU217:EF217" ca="1" si="436">SUM(BU218:BU219)</f>
        <v>0</v>
      </c>
      <c r="BV217" s="395">
        <f t="shared" ca="1" si="436"/>
        <v>0</v>
      </c>
      <c r="BW217" s="395">
        <f t="shared" ca="1" si="436"/>
        <v>0</v>
      </c>
      <c r="BX217" s="395">
        <f t="shared" ca="1" si="436"/>
        <v>0</v>
      </c>
      <c r="BY217" s="395">
        <f t="shared" ca="1" si="436"/>
        <v>0</v>
      </c>
      <c r="BZ217" s="395">
        <f t="shared" ca="1" si="436"/>
        <v>0</v>
      </c>
      <c r="CA217" s="395">
        <f t="shared" ca="1" si="436"/>
        <v>0</v>
      </c>
      <c r="CB217" s="395">
        <f t="shared" ca="1" si="436"/>
        <v>0</v>
      </c>
      <c r="CC217" s="395">
        <f t="shared" ca="1" si="436"/>
        <v>0</v>
      </c>
      <c r="CD217" s="395">
        <f t="shared" ca="1" si="436"/>
        <v>0</v>
      </c>
      <c r="CE217" s="395">
        <f t="shared" ca="1" si="436"/>
        <v>0</v>
      </c>
      <c r="CF217" s="395">
        <f t="shared" ca="1" si="436"/>
        <v>0</v>
      </c>
      <c r="CG217" s="395">
        <f t="shared" ca="1" si="436"/>
        <v>0</v>
      </c>
      <c r="CH217" s="395">
        <f t="shared" ca="1" si="436"/>
        <v>0</v>
      </c>
      <c r="CI217" s="395">
        <f t="shared" ca="1" si="436"/>
        <v>0</v>
      </c>
      <c r="CJ217" s="395">
        <f t="shared" ca="1" si="436"/>
        <v>0</v>
      </c>
      <c r="CK217" s="395">
        <f t="shared" ca="1" si="436"/>
        <v>0</v>
      </c>
      <c r="CL217" s="395">
        <f t="shared" ca="1" si="436"/>
        <v>0</v>
      </c>
      <c r="CM217" s="395">
        <f t="shared" ca="1" si="436"/>
        <v>0</v>
      </c>
      <c r="CN217" s="395">
        <f t="shared" ca="1" si="436"/>
        <v>0</v>
      </c>
      <c r="CO217" s="395">
        <f t="shared" ca="1" si="436"/>
        <v>0</v>
      </c>
      <c r="CP217" s="395">
        <f t="shared" ca="1" si="436"/>
        <v>0</v>
      </c>
      <c r="CQ217" s="395">
        <f t="shared" ca="1" si="436"/>
        <v>0</v>
      </c>
      <c r="CR217" s="395">
        <f t="shared" ca="1" si="436"/>
        <v>0</v>
      </c>
      <c r="CS217" s="395">
        <f t="shared" ca="1" si="436"/>
        <v>0</v>
      </c>
      <c r="CT217" s="395">
        <f t="shared" ca="1" si="436"/>
        <v>0</v>
      </c>
      <c r="CU217" s="395">
        <f t="shared" ca="1" si="436"/>
        <v>0</v>
      </c>
      <c r="CV217" s="395">
        <f t="shared" ca="1" si="436"/>
        <v>0</v>
      </c>
      <c r="CW217" s="395">
        <f t="shared" ca="1" si="436"/>
        <v>0</v>
      </c>
      <c r="CX217" s="395">
        <f t="shared" ca="1" si="436"/>
        <v>0</v>
      </c>
      <c r="CY217" s="395">
        <f t="shared" ca="1" si="436"/>
        <v>0</v>
      </c>
      <c r="CZ217" s="395">
        <f t="shared" ca="1" si="436"/>
        <v>0</v>
      </c>
      <c r="DA217" s="395">
        <f t="shared" ca="1" si="436"/>
        <v>0</v>
      </c>
      <c r="DB217" s="395">
        <f t="shared" ca="1" si="436"/>
        <v>0</v>
      </c>
      <c r="DC217" s="395">
        <f t="shared" ca="1" si="436"/>
        <v>0</v>
      </c>
      <c r="DD217" s="395">
        <f t="shared" ca="1" si="436"/>
        <v>0</v>
      </c>
      <c r="DE217" s="395">
        <f t="shared" ca="1" si="436"/>
        <v>0</v>
      </c>
      <c r="DF217" s="395">
        <f t="shared" ca="1" si="436"/>
        <v>0</v>
      </c>
      <c r="DG217" s="395">
        <f t="shared" ca="1" si="436"/>
        <v>0</v>
      </c>
      <c r="DH217" s="395">
        <f t="shared" ca="1" si="436"/>
        <v>0</v>
      </c>
      <c r="DI217" s="395">
        <f t="shared" ca="1" si="436"/>
        <v>0</v>
      </c>
      <c r="DJ217" s="395">
        <f t="shared" ca="1" si="436"/>
        <v>0</v>
      </c>
      <c r="DK217" s="395">
        <f t="shared" ca="1" si="436"/>
        <v>0</v>
      </c>
      <c r="DL217" s="395">
        <f t="shared" ca="1" si="436"/>
        <v>0</v>
      </c>
      <c r="DM217" s="395">
        <f t="shared" ca="1" si="436"/>
        <v>0</v>
      </c>
      <c r="DN217" s="395">
        <f t="shared" ca="1" si="436"/>
        <v>0</v>
      </c>
      <c r="DO217" s="395">
        <f t="shared" ca="1" si="436"/>
        <v>0</v>
      </c>
      <c r="DP217" s="395">
        <f t="shared" ca="1" si="436"/>
        <v>0</v>
      </c>
      <c r="DQ217" s="395">
        <f t="shared" ca="1" si="436"/>
        <v>0</v>
      </c>
      <c r="DR217" s="395">
        <f t="shared" ca="1" si="436"/>
        <v>0</v>
      </c>
      <c r="DS217" s="395">
        <f t="shared" ca="1" si="436"/>
        <v>0</v>
      </c>
      <c r="DT217" s="395">
        <f t="shared" ca="1" si="436"/>
        <v>0</v>
      </c>
      <c r="DU217" s="395">
        <f t="shared" ca="1" si="436"/>
        <v>0</v>
      </c>
      <c r="DV217" s="395">
        <f t="shared" ca="1" si="436"/>
        <v>0</v>
      </c>
      <c r="DW217" s="395">
        <f t="shared" ca="1" si="436"/>
        <v>0</v>
      </c>
      <c r="DX217" s="395">
        <f t="shared" ca="1" si="436"/>
        <v>0</v>
      </c>
      <c r="DY217" s="395">
        <f t="shared" ca="1" si="436"/>
        <v>0</v>
      </c>
      <c r="DZ217" s="395">
        <f t="shared" ca="1" si="436"/>
        <v>0</v>
      </c>
      <c r="EA217" s="395">
        <f t="shared" ca="1" si="436"/>
        <v>0</v>
      </c>
      <c r="EB217" s="395">
        <f t="shared" ca="1" si="436"/>
        <v>0</v>
      </c>
      <c r="EC217" s="395">
        <f t="shared" ca="1" si="436"/>
        <v>0</v>
      </c>
      <c r="ED217" s="395">
        <f t="shared" ca="1" si="436"/>
        <v>0</v>
      </c>
      <c r="EE217" s="395">
        <f t="shared" ca="1" si="436"/>
        <v>0</v>
      </c>
      <c r="EF217" s="395">
        <f t="shared" ca="1" si="436"/>
        <v>0</v>
      </c>
      <c r="EG217" s="395">
        <f t="shared" ref="EG217:EI217" ca="1" si="437">SUM(EG218:EG219)</f>
        <v>0</v>
      </c>
      <c r="EH217" s="395">
        <f t="shared" ca="1" si="437"/>
        <v>0</v>
      </c>
      <c r="EI217" s="395">
        <f t="shared" ca="1" si="437"/>
        <v>0</v>
      </c>
      <c r="EJ217" s="398"/>
      <c r="EK217" s="313"/>
    </row>
    <row r="218" spans="1:141" hidden="1" outlineLevel="2">
      <c r="A218" s="332"/>
      <c r="B218" s="313"/>
      <c r="C218" s="317"/>
      <c r="D218" s="317" t="s">
        <v>664</v>
      </c>
      <c r="E218" s="318">
        <f ca="1">IF(F218=0,0,30%-F218)</f>
        <v>0</v>
      </c>
      <c r="F218" s="397">
        <f t="shared" ca="1" si="283"/>
        <v>0</v>
      </c>
      <c r="G218" s="395"/>
      <c r="H218" s="395">
        <f ca="1">IF(SUM($G218:G218)=30%,0,IF(J219&gt;0%,30%,0%))</f>
        <v>0</v>
      </c>
      <c r="I218" s="395">
        <f ca="1">IF(SUM($G218:H218)=30%,0,IF(K219&gt;0%,30%,0%))</f>
        <v>0</v>
      </c>
      <c r="J218" s="395">
        <f ca="1">IF(SUM($G218:I218)=30%,0,IF(L219&gt;0%,30%,0%))</f>
        <v>0</v>
      </c>
      <c r="K218" s="395">
        <f ca="1">IF(SUM($G218:J218)=30%,0,IF(M219&gt;0%,30%,0%))</f>
        <v>0</v>
      </c>
      <c r="L218" s="395">
        <f ca="1">IF(SUM($G218:K218)=30%,0,IF(N219&gt;0%,30%,0%))</f>
        <v>0</v>
      </c>
      <c r="M218" s="395">
        <f ca="1">IF(SUM($G218:L218)=30%,0,IF(O219&gt;0%,30%,0%))</f>
        <v>0</v>
      </c>
      <c r="N218" s="395">
        <f ca="1">IF(SUM($G218:M218)=30%,0,IF(P219&gt;0%,30%,0%))</f>
        <v>0</v>
      </c>
      <c r="O218" s="395">
        <f ca="1">IF(SUM($G218:N218)=30%,0,IF(Q219&gt;0%,30%,0%))</f>
        <v>0</v>
      </c>
      <c r="P218" s="395">
        <f ca="1">IF(SUM($G218:O218)=30%,0,IF(R219&gt;0%,30%,0%))</f>
        <v>0</v>
      </c>
      <c r="Q218" s="395">
        <f ca="1">IF(SUM($G218:P218)=30%,0,IF(S219&gt;0%,30%,0%))</f>
        <v>0</v>
      </c>
      <c r="R218" s="395">
        <f ca="1">IF(SUM($G218:Q218)=30%,0,IF(T219&gt;0%,30%,0%))</f>
        <v>0</v>
      </c>
      <c r="S218" s="395">
        <f ca="1">IF(SUM($G218:R218)=30%,0,IF(U219&gt;0%,30%,0%))</f>
        <v>0</v>
      </c>
      <c r="T218" s="395">
        <f ca="1">IF(SUM($G218:S218)=30%,0,IF(V219&gt;0%,30%,0%))</f>
        <v>0</v>
      </c>
      <c r="U218" s="395">
        <f ca="1">IF(SUM($G218:T218)=30%,0,IF(W219&gt;0%,30%,0%))</f>
        <v>0</v>
      </c>
      <c r="V218" s="395">
        <f ca="1">IF(SUM($G218:U218)=30%,0,IF(X219&gt;0%,30%,0%))</f>
        <v>0</v>
      </c>
      <c r="W218" s="395">
        <f ca="1">IF(SUM($G218:V218)=30%,0,IF(Y219&gt;0%,30%,0%))</f>
        <v>0</v>
      </c>
      <c r="X218" s="395">
        <f ca="1">IF(SUM($G218:W218)=30%,0,IF(Z219&gt;0%,30%,0%))</f>
        <v>0</v>
      </c>
      <c r="Y218" s="395">
        <f ca="1">IF(SUM($G218:X218)=30%,0,IF(AA219&gt;0%,30%,0%))</f>
        <v>0</v>
      </c>
      <c r="Z218" s="395">
        <f ca="1">IF(SUM($G218:Y218)=30%,0,IF(AB219&gt;0%,30%,0%))</f>
        <v>0</v>
      </c>
      <c r="AA218" s="395">
        <f ca="1">IF(SUM($G218:Z218)=30%,0,IF(AC219&gt;0%,30%,0%))</f>
        <v>0</v>
      </c>
      <c r="AB218" s="395">
        <f ca="1">IF(SUM($G218:AA218)=30%,0,IF(AD219&gt;0%,30%,0%))</f>
        <v>0</v>
      </c>
      <c r="AC218" s="395">
        <f ca="1">IF(SUM($G218:AB218)=30%,0,IF(AE219&gt;0%,30%,0%))</f>
        <v>0</v>
      </c>
      <c r="AD218" s="395">
        <f ca="1">IF(SUM($G218:AC218)=30%,0,IF(AF219&gt;0%,30%,0%))</f>
        <v>0</v>
      </c>
      <c r="AE218" s="395">
        <f ca="1">IF(SUM($G218:AD218)=30%,0,IF(AG219&gt;0%,30%,0%))</f>
        <v>0</v>
      </c>
      <c r="AF218" s="395">
        <f ca="1">IF(SUM($G218:AE218)=30%,0,IF(AH219&gt;0%,30%,0%))</f>
        <v>0</v>
      </c>
      <c r="AG218" s="395">
        <f ca="1">IF(SUM($G218:AF218)=30%,0,IF(AI219&gt;0%,30%,0%))</f>
        <v>0</v>
      </c>
      <c r="AH218" s="395">
        <f ca="1">IF(SUM($G218:AG218)=30%,0,IF(AJ219&gt;0%,30%,0%))</f>
        <v>0</v>
      </c>
      <c r="AI218" s="395">
        <f ca="1">IF(SUM($G218:AH218)=30%,0,IF(AK219&gt;0%,30%,0%))</f>
        <v>0</v>
      </c>
      <c r="AJ218" s="395">
        <f ca="1">IF(SUM($G218:AI218)=30%,0,IF(AL219&gt;0%,30%,0%))</f>
        <v>0</v>
      </c>
      <c r="AK218" s="395">
        <f ca="1">IF(SUM($G218:AJ218)=30%,0,IF(AM219&gt;0%,30%,0%))</f>
        <v>0</v>
      </c>
      <c r="AL218" s="395">
        <f ca="1">IF(SUM($G218:AK218)=30%,0,IF(AN219&gt;0%,30%,0%))</f>
        <v>0</v>
      </c>
      <c r="AM218" s="395">
        <f ca="1">IF(SUM($G218:AL218)=30%,0,IF(AO219&gt;0%,30%,0%))</f>
        <v>0</v>
      </c>
      <c r="AN218" s="395">
        <f ca="1">IF(SUM($G218:AM218)=30%,0,IF(AP219&gt;0%,30%,0%))</f>
        <v>0</v>
      </c>
      <c r="AO218" s="395">
        <f ca="1">IF(SUM($G218:AN218)=30%,0,IF(AQ219&gt;0%,30%,0%))</f>
        <v>0</v>
      </c>
      <c r="AP218" s="395">
        <f ca="1">IF(SUM($G218:AO218)=30%,0,IF(AR219&gt;0%,30%,0%))</f>
        <v>0</v>
      </c>
      <c r="AQ218" s="395">
        <f ca="1">IF(SUM($G218:AP218)=30%,0,IF(AS219&gt;0%,30%,0%))</f>
        <v>0</v>
      </c>
      <c r="AR218" s="395">
        <f ca="1">IF(SUM($G218:AQ218)=30%,0,IF(AT219&gt;0%,30%,0%))</f>
        <v>0</v>
      </c>
      <c r="AS218" s="395">
        <f ca="1">IF(SUM($G218:AR218)=30%,0,IF(AU219&gt;0%,30%,0%))</f>
        <v>0</v>
      </c>
      <c r="AT218" s="395">
        <f ca="1">IF(SUM($G218:AS218)=30%,0,IF(AV219&gt;0%,30%,0%))</f>
        <v>0</v>
      </c>
      <c r="AU218" s="395">
        <f ca="1">IF(SUM($G218:AT218)=30%,0,IF(AW219&gt;0%,30%,0%))</f>
        <v>0</v>
      </c>
      <c r="AV218" s="395">
        <f ca="1">IF(SUM($G218:AU218)=30%,0,IF(AX219&gt;0%,30%,0%))</f>
        <v>0</v>
      </c>
      <c r="AW218" s="395">
        <f ca="1">IF(SUM($G218:AV218)=30%,0,IF(AY219&gt;0%,30%,0%))</f>
        <v>0</v>
      </c>
      <c r="AX218" s="395">
        <f ca="1">IF(SUM($G218:AW218)=30%,0,IF(AZ219&gt;0%,30%,0%))</f>
        <v>0</v>
      </c>
      <c r="AY218" s="395">
        <f ca="1">IF(SUM($G218:AX218)=30%,0,IF(BA219&gt;0%,30%,0%))</f>
        <v>0</v>
      </c>
      <c r="AZ218" s="395">
        <f ca="1">IF(SUM($G218:AY218)=30%,0,IF(BB219&gt;0%,30%,0%))</f>
        <v>0</v>
      </c>
      <c r="BA218" s="395">
        <f ca="1">IF(SUM($G218:AZ218)=30%,0,IF(BC219&gt;0%,30%,0%))</f>
        <v>0</v>
      </c>
      <c r="BB218" s="395">
        <f ca="1">IF(SUM($G218:BA218)=30%,0,IF(BD219&gt;0%,30%,0%))</f>
        <v>0</v>
      </c>
      <c r="BC218" s="395">
        <f ca="1">IF(SUM($G218:BB218)=30%,0,IF(BE219&gt;0%,30%,0%))</f>
        <v>0</v>
      </c>
      <c r="BD218" s="395">
        <f ca="1">IF(SUM($G218:BC218)=30%,0,IF(BF219&gt;0%,30%,0%))</f>
        <v>0</v>
      </c>
      <c r="BE218" s="395">
        <f ca="1">IF(SUM($G218:BD218)=30%,0,IF(BG219&gt;0%,30%,0%))</f>
        <v>0</v>
      </c>
      <c r="BF218" s="395">
        <f ca="1">IF(SUM($G218:BE218)=30%,0,IF(BH219&gt;0%,30%,0%))</f>
        <v>0</v>
      </c>
      <c r="BG218" s="395">
        <f ca="1">IF(SUM($G218:BF218)=30%,0,IF(BI219&gt;0%,30%,0%))</f>
        <v>0</v>
      </c>
      <c r="BH218" s="395">
        <f ca="1">IF(SUM($G218:BG218)=30%,0,IF(BJ219&gt;0%,30%,0%))</f>
        <v>0</v>
      </c>
      <c r="BI218" s="395">
        <f ca="1">IF(SUM($G218:BH218)=30%,0,IF(BK219&gt;0%,30%,0%))</f>
        <v>0</v>
      </c>
      <c r="BJ218" s="395">
        <f ca="1">IF(SUM($G218:BI218)=30%,0,IF(BL219&gt;0%,30%,0%))</f>
        <v>0</v>
      </c>
      <c r="BK218" s="395">
        <f ca="1">IF(SUM($G218:BJ218)=30%,0,IF(BM219&gt;0%,30%,0%))</f>
        <v>0</v>
      </c>
      <c r="BL218" s="395">
        <f ca="1">IF(SUM($G218:BK218)=30%,0,IF(BN219&gt;0%,30%,0%))</f>
        <v>0</v>
      </c>
      <c r="BM218" s="395">
        <f ca="1">IF(SUM($G218:BL218)=30%,0,IF(BO219&gt;0%,30%,0%))</f>
        <v>0</v>
      </c>
      <c r="BN218" s="395">
        <f ca="1">IF(SUM($G218:BM218)=30%,0,IF(BP219&gt;0%,30%,0%))</f>
        <v>0</v>
      </c>
      <c r="BO218" s="395">
        <f ca="1">IF(SUM($G218:BN218)=30%,0,IF(BQ219&gt;0%,30%,0%))</f>
        <v>0</v>
      </c>
      <c r="BP218" s="395">
        <f ca="1">IF(SUM($G218:BO218)=30%,0,IF(BR219&gt;0%,30%,0%))</f>
        <v>0</v>
      </c>
      <c r="BQ218" s="395">
        <f ca="1">IF(SUM($G218:BP218)=30%,0,IF(BS219&gt;0%,30%,0%))</f>
        <v>0</v>
      </c>
      <c r="BR218" s="395">
        <f ca="1">IF(SUM($G218:BQ218)=30%,0,IF(BT219&gt;0%,30%,0%))</f>
        <v>0</v>
      </c>
      <c r="BS218" s="395">
        <f ca="1">IF(SUM($G218:BR218)=30%,0,IF(BU219&gt;0%,30%,0%))</f>
        <v>0</v>
      </c>
      <c r="BT218" s="395">
        <f ca="1">IF(SUM($G218:BS218)=30%,0,IF(BV219&gt;0%,30%,0%))</f>
        <v>0</v>
      </c>
      <c r="BU218" s="395">
        <f ca="1">IF(SUM($G218:BT218)=30%,0,IF(BW219&gt;0%,30%,0%))</f>
        <v>0</v>
      </c>
      <c r="BV218" s="395">
        <f ca="1">IF(SUM($G218:BU218)=30%,0,IF(BX219&gt;0%,30%,0%))</f>
        <v>0</v>
      </c>
      <c r="BW218" s="395">
        <f ca="1">IF(SUM($G218:BV218)=30%,0,IF(BY219&gt;0%,30%,0%))</f>
        <v>0</v>
      </c>
      <c r="BX218" s="395">
        <f ca="1">IF(SUM($G218:BW218)=30%,0,IF(BZ219&gt;0%,30%,0%))</f>
        <v>0</v>
      </c>
      <c r="BY218" s="395">
        <f ca="1">IF(SUM($G218:BX218)=30%,0,IF(CA219&gt;0%,30%,0%))</f>
        <v>0</v>
      </c>
      <c r="BZ218" s="395">
        <f ca="1">IF(SUM($G218:BY218)=30%,0,IF(CB219&gt;0%,30%,0%))</f>
        <v>0</v>
      </c>
      <c r="CA218" s="395">
        <f ca="1">IF(SUM($G218:BZ218)=30%,0,IF(CC219&gt;0%,30%,0%))</f>
        <v>0</v>
      </c>
      <c r="CB218" s="395">
        <f ca="1">IF(SUM($G218:CA218)=30%,0,IF(CD219&gt;0%,30%,0%))</f>
        <v>0</v>
      </c>
      <c r="CC218" s="395">
        <f ca="1">IF(SUM($G218:CB218)=30%,0,IF(CE219&gt;0%,30%,0%))</f>
        <v>0</v>
      </c>
      <c r="CD218" s="395">
        <f ca="1">IF(SUM($G218:CC218)=30%,0,IF(CF219&gt;0%,30%,0%))</f>
        <v>0</v>
      </c>
      <c r="CE218" s="395">
        <f ca="1">IF(SUM($G218:CD218)=30%,0,IF(CG219&gt;0%,30%,0%))</f>
        <v>0</v>
      </c>
      <c r="CF218" s="395">
        <f ca="1">IF(SUM($G218:CE218)=30%,0,IF(CH219&gt;0%,30%,0%))</f>
        <v>0</v>
      </c>
      <c r="CG218" s="395">
        <f ca="1">IF(SUM($G218:CF218)=30%,0,IF(CI219&gt;0%,30%,0%))</f>
        <v>0</v>
      </c>
      <c r="CH218" s="395">
        <f ca="1">IF(SUM($G218:CG218)=30%,0,IF(CJ219&gt;0%,30%,0%))</f>
        <v>0</v>
      </c>
      <c r="CI218" s="395">
        <f ca="1">IF(SUM($G218:CH218)=30%,0,IF(CK219&gt;0%,30%,0%))</f>
        <v>0</v>
      </c>
      <c r="CJ218" s="395">
        <f ca="1">IF(SUM($G218:CI218)=30%,0,IF(CL219&gt;0%,30%,0%))</f>
        <v>0</v>
      </c>
      <c r="CK218" s="395">
        <f ca="1">IF(SUM($G218:CJ218)=30%,0,IF(CM219&gt;0%,30%,0%))</f>
        <v>0</v>
      </c>
      <c r="CL218" s="395">
        <f ca="1">IF(SUM($G218:CK218)=30%,0,IF(CN219&gt;0%,30%,0%))</f>
        <v>0</v>
      </c>
      <c r="CM218" s="395">
        <f ca="1">IF(SUM($G218:CL218)=30%,0,IF(CO219&gt;0%,30%,0%))</f>
        <v>0</v>
      </c>
      <c r="CN218" s="395">
        <f ca="1">IF(SUM($G218:CM218)=30%,0,IF(CP219&gt;0%,30%,0%))</f>
        <v>0</v>
      </c>
      <c r="CO218" s="395">
        <f ca="1">IF(SUM($G218:CN218)=30%,0,IF(CQ219&gt;0%,30%,0%))</f>
        <v>0</v>
      </c>
      <c r="CP218" s="395">
        <f ca="1">IF(SUM($G218:CO218)=30%,0,IF(CR219&gt;0%,30%,0%))</f>
        <v>0</v>
      </c>
      <c r="CQ218" s="395">
        <f ca="1">IF(SUM($G218:CP218)=30%,0,IF(CS219&gt;0%,30%,0%))</f>
        <v>0</v>
      </c>
      <c r="CR218" s="395">
        <f ca="1">IF(SUM($G218:CQ218)=30%,0,IF(CT219&gt;0%,30%,0%))</f>
        <v>0</v>
      </c>
      <c r="CS218" s="395">
        <f ca="1">IF(SUM($G218:CR218)=30%,0,IF(CU219&gt;0%,30%,0%))</f>
        <v>0</v>
      </c>
      <c r="CT218" s="395">
        <f ca="1">IF(SUM($G218:CS218)=30%,0,IF(CV219&gt;0%,30%,0%))</f>
        <v>0</v>
      </c>
      <c r="CU218" s="395">
        <f ca="1">IF(SUM($G218:CT218)=30%,0,IF(CW219&gt;0%,30%,0%))</f>
        <v>0</v>
      </c>
      <c r="CV218" s="395">
        <f ca="1">IF(SUM($G218:CU218)=30%,0,IF(CX219&gt;0%,30%,0%))</f>
        <v>0</v>
      </c>
      <c r="CW218" s="395">
        <f ca="1">IF(SUM($G218:CV218)=30%,0,IF(CY219&gt;0%,30%,0%))</f>
        <v>0</v>
      </c>
      <c r="CX218" s="395">
        <f ca="1">IF(SUM($G218:CW218)=30%,0,IF(CZ219&gt;0%,30%,0%))</f>
        <v>0</v>
      </c>
      <c r="CY218" s="395">
        <f ca="1">IF(SUM($G218:CX218)=30%,0,IF(DA219&gt;0%,30%,0%))</f>
        <v>0</v>
      </c>
      <c r="CZ218" s="395">
        <f ca="1">IF(SUM($G218:CY218)=30%,0,IF(DB219&gt;0%,30%,0%))</f>
        <v>0</v>
      </c>
      <c r="DA218" s="395">
        <f ca="1">IF(SUM($G218:CZ218)=30%,0,IF(DC219&gt;0%,30%,0%))</f>
        <v>0</v>
      </c>
      <c r="DB218" s="395">
        <f ca="1">IF(SUM($G218:DA218)=30%,0,IF(DD219&gt;0%,30%,0%))</f>
        <v>0</v>
      </c>
      <c r="DC218" s="395">
        <f ca="1">IF(SUM($G218:DB218)=30%,0,IF(DE219&gt;0%,30%,0%))</f>
        <v>0</v>
      </c>
      <c r="DD218" s="395">
        <f ca="1">IF(SUM($G218:DC218)=30%,0,IF(DF219&gt;0%,30%,0%))</f>
        <v>0</v>
      </c>
      <c r="DE218" s="395">
        <f ca="1">IF(SUM($G218:DD218)=30%,0,IF(DG219&gt;0%,30%,0%))</f>
        <v>0</v>
      </c>
      <c r="DF218" s="395">
        <f ca="1">IF(SUM($G218:DE218)=30%,0,IF(DH219&gt;0%,30%,0%))</f>
        <v>0</v>
      </c>
      <c r="DG218" s="395">
        <f ca="1">IF(SUM($G218:DF218)=30%,0,IF(DI219&gt;0%,30%,0%))</f>
        <v>0</v>
      </c>
      <c r="DH218" s="395">
        <f ca="1">IF(SUM($G218:DG218)=30%,0,IF(DJ219&gt;0%,30%,0%))</f>
        <v>0</v>
      </c>
      <c r="DI218" s="395">
        <f ca="1">IF(SUM($G218:DH218)=30%,0,IF(DK219&gt;0%,30%,0%))</f>
        <v>0</v>
      </c>
      <c r="DJ218" s="395">
        <f ca="1">IF(SUM($G218:DI218)=30%,0,IF(DL219&gt;0%,30%,0%))</f>
        <v>0</v>
      </c>
      <c r="DK218" s="395">
        <f ca="1">IF(SUM($G218:DJ218)=30%,0,IF(DM219&gt;0%,30%,0%))</f>
        <v>0</v>
      </c>
      <c r="DL218" s="395">
        <f ca="1">IF(SUM($G218:DK218)=30%,0,IF(DN219&gt;0%,30%,0%))</f>
        <v>0</v>
      </c>
      <c r="DM218" s="395">
        <f ca="1">IF(SUM($G218:DL218)=30%,0,IF(DO219&gt;0%,30%,0%))</f>
        <v>0</v>
      </c>
      <c r="DN218" s="395">
        <f ca="1">IF(SUM($G218:DM218)=30%,0,IF(DP219&gt;0%,30%,0%))</f>
        <v>0</v>
      </c>
      <c r="DO218" s="395">
        <f ca="1">IF(SUM($G218:DN218)=30%,0,IF(DQ219&gt;0%,30%,0%))</f>
        <v>0</v>
      </c>
      <c r="DP218" s="395">
        <f ca="1">IF(SUM($G218:DO218)=30%,0,IF(DR219&gt;0%,30%,0%))</f>
        <v>0</v>
      </c>
      <c r="DQ218" s="395">
        <f ca="1">IF(SUM($G218:DP218)=30%,0,IF(DS219&gt;0%,30%,0%))</f>
        <v>0</v>
      </c>
      <c r="DR218" s="395">
        <f ca="1">IF(SUM($G218:DQ218)=30%,0,IF(DT219&gt;0%,30%,0%))</f>
        <v>0</v>
      </c>
      <c r="DS218" s="395">
        <f ca="1">IF(SUM($G218:DR218)=30%,0,IF(DU219&gt;0%,30%,0%))</f>
        <v>0</v>
      </c>
      <c r="DT218" s="395">
        <f ca="1">IF(SUM($G218:DS218)=30%,0,IF(DV219&gt;0%,30%,0%))</f>
        <v>0</v>
      </c>
      <c r="DU218" s="395">
        <f ca="1">IF(SUM($G218:DT218)=30%,0,IF(DW219&gt;0%,30%,0%))</f>
        <v>0</v>
      </c>
      <c r="DV218" s="395">
        <f ca="1">IF(SUM($G218:DU218)=30%,0,IF(DX219&gt;0%,30%,0%))</f>
        <v>0</v>
      </c>
      <c r="DW218" s="395">
        <f ca="1">IF(SUM($G218:DV218)=30%,0,IF(DY219&gt;0%,30%,0%))</f>
        <v>0</v>
      </c>
      <c r="DX218" s="395">
        <f ca="1">IF(SUM($G218:DW218)=30%,0,IF(DZ219&gt;0%,30%,0%))</f>
        <v>0</v>
      </c>
      <c r="DY218" s="395">
        <f ca="1">IF(SUM($G218:DX218)=30%,0,IF(EA219&gt;0%,30%,0%))</f>
        <v>0</v>
      </c>
      <c r="DZ218" s="395">
        <f ca="1">IF(SUM($G218:DY218)=30%,0,IF(EB219&gt;0%,30%,0%))</f>
        <v>0</v>
      </c>
      <c r="EA218" s="395">
        <f ca="1">IF(SUM($G218:DZ218)=30%,0,IF(EC219&gt;0%,30%,0%))</f>
        <v>0</v>
      </c>
      <c r="EB218" s="395">
        <f ca="1">IF(SUM($G218:EA218)=30%,0,IF(ED219&gt;0%,30%,0%))</f>
        <v>0</v>
      </c>
      <c r="EC218" s="395">
        <f ca="1">IF(SUM($G218:EB218)=30%,0,IF(EE219&gt;0%,30%,0%))</f>
        <v>0</v>
      </c>
      <c r="ED218" s="395">
        <f ca="1">IF(SUM($G218:EC218)=30%,0,IF(EF219&gt;0%,30%,0%))</f>
        <v>0</v>
      </c>
      <c r="EE218" s="395">
        <f ca="1">IF(SUM($G218:ED218)=30%,0,IF(EG219&gt;0%,30%,0%))</f>
        <v>0</v>
      </c>
      <c r="EF218" s="395">
        <f ca="1">IF(SUM($G218:EE218)=30%,0,IF(EH219&gt;0%,30%,0%))</f>
        <v>0</v>
      </c>
      <c r="EG218" s="395">
        <f ca="1">IF(SUM($G218:EF218)=30%,0,IF(EI219&gt;0%,30%,0%))</f>
        <v>0</v>
      </c>
      <c r="EH218" s="395">
        <f ca="1">IF(SUM($G218:EG218)=30%,0,IF(EJ219&gt;0%,30%,0%))</f>
        <v>0</v>
      </c>
      <c r="EI218" s="395">
        <f ca="1">IF(SUM($G218:EH218)=30%,0,IF(EK219&gt;0%,30%,0%))</f>
        <v>0</v>
      </c>
      <c r="EJ218" s="398"/>
      <c r="EK218" s="313"/>
    </row>
    <row r="219" spans="1:141" hidden="1" outlineLevel="2">
      <c r="A219" s="332"/>
      <c r="B219" s="313"/>
      <c r="C219" s="317"/>
      <c r="D219" s="317" t="s">
        <v>663</v>
      </c>
      <c r="E219" s="318">
        <f ca="1">IF(F219=0,0,70%-F219)</f>
        <v>0</v>
      </c>
      <c r="F219" s="397">
        <f t="shared" ca="1" si="283"/>
        <v>0</v>
      </c>
      <c r="G219" s="395"/>
      <c r="H219" s="395"/>
      <c r="I219" s="395">
        <f ca="1">IF($E$405=0,0,IF(SUM($G219:H219)=70%,0,IF(SUM($G405:H405)&gt;=$E405,(70%/$E405)*($E405-SUM($G405:G405)),(70%/$E405)*H405)))</f>
        <v>0</v>
      </c>
      <c r="J219" s="395">
        <f ca="1">IF($E$405=0,0,IF(SUM($G219:I219)=70%,0,IF(SUM($G405:I405)&gt;=$E405,(70%/$E405)*($E405-SUM($G405:H405)),(70%/$E405)*I405)))</f>
        <v>0</v>
      </c>
      <c r="K219" s="395">
        <f ca="1">IF($E$405=0,0,IF(SUM($G219:J219)=70%,0,IF(SUM($G405:J405)&gt;=$E405,(70%/$E405)*($E405-SUM($G405:I405)),(70%/$E405)*J405)))</f>
        <v>0</v>
      </c>
      <c r="L219" s="395">
        <f ca="1">IF($E$405=0,0,IF(SUM($G219:K219)=70%,0,IF(SUM($G405:K405)&gt;=$E405,(70%/$E405)*($E405-SUM($G405:J405)),(70%/$E405)*K405)))</f>
        <v>0</v>
      </c>
      <c r="M219" s="395">
        <f ca="1">IF($E$405=0,0,IF(SUM($G219:L219)=70%,0,IF(SUM($G405:L405)&gt;=$E405,(70%/$E405)*($E405-SUM($G405:K405)),(70%/$E405)*L405)))</f>
        <v>0</v>
      </c>
      <c r="N219" s="395">
        <f ca="1">IF($E$405=0,0,IF(SUM($G219:M219)=70%,0,IF(SUM($G405:M405)&gt;=$E405,(70%/$E405)*($E405-SUM($G405:L405)),(70%/$E405)*M405)))</f>
        <v>0</v>
      </c>
      <c r="O219" s="395">
        <f ca="1">IF($E$405=0,0,IF(SUM($G219:N219)=70%,0,IF(SUM($G405:N405)&gt;=$E405,(70%/$E405)*($E405-SUM($G405:M405)),(70%/$E405)*N405)))</f>
        <v>0</v>
      </c>
      <c r="P219" s="395">
        <f ca="1">IF($E$405=0,0,IF(SUM($G219:O219)=70%,0,IF(SUM($G405:O405)&gt;=$E405,(70%/$E405)*($E405-SUM($G405:N405)),(70%/$E405)*O405)))</f>
        <v>0</v>
      </c>
      <c r="Q219" s="395">
        <f ca="1">IF($E$405=0,0,IF(SUM($G219:P219)=70%,0,IF(SUM($G405:P405)&gt;=$E405,(70%/$E405)*($E405-SUM($G405:O405)),(70%/$E405)*P405)))</f>
        <v>0</v>
      </c>
      <c r="R219" s="395">
        <f ca="1">IF($E$405=0,0,IF(SUM($G219:Q219)=70%,0,IF(SUM($G405:Q405)&gt;=$E405,(70%/$E405)*($E405-SUM($G405:P405)),(70%/$E405)*Q405)))</f>
        <v>0</v>
      </c>
      <c r="S219" s="395">
        <f ca="1">IF($E$405=0,0,IF(SUM($G219:R219)=70%,0,IF(SUM($G405:R405)&gt;=$E405,(70%/$E405)*($E405-SUM($G405:Q405)),(70%/$E405)*R405)))</f>
        <v>0</v>
      </c>
      <c r="T219" s="395">
        <f ca="1">IF($E$405=0,0,IF(SUM($G219:S219)=70%,0,IF(SUM($G405:S405)&gt;=$E405,(70%/$E405)*($E405-SUM($G405:R405)),(70%/$E405)*S405)))</f>
        <v>0</v>
      </c>
      <c r="U219" s="395">
        <f ca="1">IF($E$405=0,0,IF(SUM($G219:T219)=70%,0,IF(SUM($G405:T405)&gt;=$E405,(70%/$E405)*($E405-SUM($G405:S405)),(70%/$E405)*T405)))</f>
        <v>0</v>
      </c>
      <c r="V219" s="395">
        <f ca="1">IF($E$405=0,0,IF(SUM($G219:U219)=70%,0,IF(SUM($G405:U405)&gt;=$E405,(70%/$E405)*($E405-SUM($G405:T405)),(70%/$E405)*U405)))</f>
        <v>0</v>
      </c>
      <c r="W219" s="395">
        <f ca="1">IF($E$405=0,0,IF(SUM($G219:V219)=70%,0,IF(SUM($G405:V405)&gt;=$E405,(70%/$E405)*($E405-SUM($G405:U405)),(70%/$E405)*V405)))</f>
        <v>0</v>
      </c>
      <c r="X219" s="395">
        <f ca="1">IF($E$405=0,0,IF(SUM($G219:W219)=70%,0,IF(SUM($G405:W405)&gt;=$E405,(70%/$E405)*($E405-SUM($G405:V405)),(70%/$E405)*W405)))</f>
        <v>0</v>
      </c>
      <c r="Y219" s="395">
        <f ca="1">IF($E$405=0,0,IF(SUM($G219:X219)=70%,0,IF(SUM($G405:X405)&gt;=$E405,(70%/$E405)*($E405-SUM($G405:W405)),(70%/$E405)*X405)))</f>
        <v>0</v>
      </c>
      <c r="Z219" s="395">
        <f ca="1">IF($E$405=0,0,IF(SUM($G219:Y219)=70%,0,IF(SUM($G405:Y405)&gt;=$E405,(70%/$E405)*($E405-SUM($G405:X405)),(70%/$E405)*Y405)))</f>
        <v>0</v>
      </c>
      <c r="AA219" s="395">
        <f ca="1">IF($E$405=0,0,IF(SUM($G219:Z219)=70%,0,IF(SUM($G405:Z405)&gt;=$E405,(70%/$E405)*($E405-SUM($G405:Y405)),(70%/$E405)*Z405)))</f>
        <v>0</v>
      </c>
      <c r="AB219" s="395">
        <f ca="1">IF($E$405=0,0,IF(SUM($G219:AA219)=70%,0,IF(SUM($G405:AA405)&gt;=$E405,(70%/$E405)*($E405-SUM($G405:Z405)),(70%/$E405)*AA405)))</f>
        <v>0</v>
      </c>
      <c r="AC219" s="395">
        <f ca="1">IF($E$405=0,0,IF(SUM($G219:AB219)=70%,0,IF(SUM($G405:AB405)&gt;=$E405,(70%/$E405)*($E405-SUM($G405:AA405)),(70%/$E405)*AB405)))</f>
        <v>0</v>
      </c>
      <c r="AD219" s="395">
        <f ca="1">IF($E$405=0,0,IF(SUM($G219:AC219)=70%,0,IF(SUM($G405:AC405)&gt;=$E405,(70%/$E405)*($E405-SUM($G405:AB405)),(70%/$E405)*AC405)))</f>
        <v>0</v>
      </c>
      <c r="AE219" s="395">
        <f ca="1">IF($E$405=0,0,IF(SUM($G219:AD219)=70%,0,IF(SUM($G405:AD405)&gt;=$E405,(70%/$E405)*($E405-SUM($G405:AC405)),(70%/$E405)*AD405)))</f>
        <v>0</v>
      </c>
      <c r="AF219" s="395">
        <f ca="1">IF($E$405=0,0,IF(SUM($G219:AE219)=70%,0,IF(SUM($G405:AE405)&gt;=$E405,(70%/$E405)*($E405-SUM($G405:AD405)),(70%/$E405)*AE405)))</f>
        <v>0</v>
      </c>
      <c r="AG219" s="395">
        <f ca="1">IF($E$405=0,0,IF(SUM($G219:AF219)=70%,0,IF(SUM($G405:AF405)&gt;=$E405,(70%/$E405)*($E405-SUM($G405:AE405)),(70%/$E405)*AF405)))</f>
        <v>0</v>
      </c>
      <c r="AH219" s="395">
        <f ca="1">IF($E$405=0,0,IF(SUM($G219:AG219)=70%,0,IF(SUM($G405:AG405)&gt;=$E405,(70%/$E405)*($E405-SUM($G405:AF405)),(70%/$E405)*AG405)))</f>
        <v>0</v>
      </c>
      <c r="AI219" s="395">
        <f ca="1">IF($E$405=0,0,IF(SUM($G219:AH219)=70%,0,IF(SUM($G405:AH405)&gt;=$E405,(70%/$E405)*($E405-SUM($G405:AG405)),(70%/$E405)*AH405)))</f>
        <v>0</v>
      </c>
      <c r="AJ219" s="395">
        <f ca="1">IF($E$405=0,0,IF(SUM($G219:AI219)=70%,0,IF(SUM($G405:AI405)&gt;=$E405,(70%/$E405)*($E405-SUM($G405:AH405)),(70%/$E405)*AI405)))</f>
        <v>0</v>
      </c>
      <c r="AK219" s="395">
        <f ca="1">IF($E$405=0,0,IF(SUM($G219:AJ219)=70%,0,IF(SUM($G405:AJ405)&gt;=$E405,(70%/$E405)*($E405-SUM($G405:AI405)),(70%/$E405)*AJ405)))</f>
        <v>0</v>
      </c>
      <c r="AL219" s="395">
        <f ca="1">IF($E$405=0,0,IF(SUM($G219:AK219)=70%,0,IF(SUM($G405:AK405)&gt;=$E405,(70%/$E405)*($E405-SUM($G405:AJ405)),(70%/$E405)*AK405)))</f>
        <v>0</v>
      </c>
      <c r="AM219" s="395">
        <f ca="1">IF($E$405=0,0,IF(SUM($G219:AL219)=70%,0,IF(SUM($G405:AL405)&gt;=$E405,(70%/$E405)*($E405-SUM($G405:AK405)),(70%/$E405)*AL405)))</f>
        <v>0</v>
      </c>
      <c r="AN219" s="395">
        <f ca="1">IF($E$405=0,0,IF(SUM($G219:AM219)=70%,0,IF(SUM($G405:AM405)&gt;=$E405,(70%/$E405)*($E405-SUM($G405:AL405)),(70%/$E405)*AM405)))</f>
        <v>0</v>
      </c>
      <c r="AO219" s="395">
        <f ca="1">IF($E$405=0,0,IF(SUM($G219:AN219)=70%,0,IF(SUM($G405:AN405)&gt;=$E405,(70%/$E405)*($E405-SUM($G405:AM405)),(70%/$E405)*AN405)))</f>
        <v>0</v>
      </c>
      <c r="AP219" s="395">
        <f ca="1">IF($E$405=0,0,IF(SUM($G219:AO219)=70%,0,IF(SUM($G405:AO405)&gt;=$E405,(70%/$E405)*($E405-SUM($G405:AN405)),(70%/$E405)*AO405)))</f>
        <v>0</v>
      </c>
      <c r="AQ219" s="395">
        <f ca="1">IF($E$405=0,0,IF(SUM($G219:AP219)=70%,0,IF(SUM($G405:AP405)&gt;=$E405,(70%/$E405)*($E405-SUM($G405:AO405)),(70%/$E405)*AP405)))</f>
        <v>0</v>
      </c>
      <c r="AR219" s="395">
        <f ca="1">IF($E$405=0,0,IF(SUM($G219:AQ219)=70%,0,IF(SUM($G405:AQ405)&gt;=$E405,(70%/$E405)*($E405-SUM($G405:AP405)),(70%/$E405)*AQ405)))</f>
        <v>0</v>
      </c>
      <c r="AS219" s="395">
        <f ca="1">IF($E$405=0,0,IF(SUM($G219:AR219)=70%,0,IF(SUM($G405:AR405)&gt;=$E405,(70%/$E405)*($E405-SUM($G405:AQ405)),(70%/$E405)*AR405)))</f>
        <v>0</v>
      </c>
      <c r="AT219" s="395">
        <f ca="1">IF($E$405=0,0,IF(SUM($G219:AS219)=70%,0,IF(SUM($G405:AS405)&gt;=$E405,(70%/$E405)*($E405-SUM($G405:AR405)),(70%/$E405)*AS405)))</f>
        <v>0</v>
      </c>
      <c r="AU219" s="395">
        <f ca="1">IF($E$405=0,0,IF(SUM($G219:AT219)=70%,0,IF(SUM($G405:AT405)&gt;=$E405,(70%/$E405)*($E405-SUM($G405:AS405)),(70%/$E405)*AT405)))</f>
        <v>0</v>
      </c>
      <c r="AV219" s="395">
        <f ca="1">IF($E$405=0,0,IF(SUM($G219:AU219)=70%,0,IF(SUM($G405:AU405)&gt;=$E405,(70%/$E405)*($E405-SUM($G405:AT405)),(70%/$E405)*AU405)))</f>
        <v>0</v>
      </c>
      <c r="AW219" s="395">
        <f ca="1">IF($E$405=0,0,IF(SUM($G219:AV219)=70%,0,IF(SUM($G405:AV405)&gt;=$E405,(70%/$E405)*($E405-SUM($G405:AU405)),(70%/$E405)*AV405)))</f>
        <v>0</v>
      </c>
      <c r="AX219" s="395">
        <f ca="1">IF($E$405=0,0,IF(SUM($G219:AW219)=70%,0,IF(SUM($G405:AW405)&gt;=$E405,(70%/$E405)*($E405-SUM($G405:AV405)),(70%/$E405)*AW405)))</f>
        <v>0</v>
      </c>
      <c r="AY219" s="395">
        <f ca="1">IF($E$405=0,0,IF(SUM($G219:AX219)=70%,0,IF(SUM($G405:AX405)&gt;=$E405,(70%/$E405)*($E405-SUM($G405:AW405)),(70%/$E405)*AX405)))</f>
        <v>0</v>
      </c>
      <c r="AZ219" s="395">
        <f ca="1">IF($E$405=0,0,IF(SUM($G219:AY219)=70%,0,IF(SUM($G405:AY405)&gt;=$E405,(70%/$E405)*($E405-SUM($G405:AX405)),(70%/$E405)*AY405)))</f>
        <v>0</v>
      </c>
      <c r="BA219" s="395">
        <f ca="1">IF($E$405=0,0,IF(SUM($G219:AZ219)=70%,0,IF(SUM($G405:AZ405)&gt;=$E405,(70%/$E405)*($E405-SUM($G405:AY405)),(70%/$E405)*AZ405)))</f>
        <v>0</v>
      </c>
      <c r="BB219" s="395">
        <f ca="1">IF($E$405=0,0,IF(SUM($G219:BA219)=70%,0,IF(SUM($G405:BA405)&gt;=$E405,(70%/$E405)*($E405-SUM($G405:AZ405)),(70%/$E405)*BA405)))</f>
        <v>0</v>
      </c>
      <c r="BC219" s="395">
        <f ca="1">IF($E$405=0,0,IF(SUM($G219:BB219)=70%,0,IF(SUM($G405:BB405)&gt;=$E405,(70%/$E405)*($E405-SUM($G405:BA405)),(70%/$E405)*BB405)))</f>
        <v>0</v>
      </c>
      <c r="BD219" s="395">
        <f ca="1">IF($E$405=0,0,IF(SUM($G219:BC219)=70%,0,IF(SUM($G405:BC405)&gt;=$E405,(70%/$E405)*($E405-SUM($G405:BB405)),(70%/$E405)*BC405)))</f>
        <v>0</v>
      </c>
      <c r="BE219" s="395">
        <f ca="1">IF($E$405=0,0,IF(SUM($G219:BD219)=70%,0,IF(SUM($G405:BD405)&gt;=$E405,(70%/$E405)*($E405-SUM($G405:BC405)),(70%/$E405)*BD405)))</f>
        <v>0</v>
      </c>
      <c r="BF219" s="395">
        <f ca="1">IF($E$405=0,0,IF(SUM($G219:BE219)=70%,0,IF(SUM($G405:BE405)&gt;=$E405,(70%/$E405)*($E405-SUM($G405:BD405)),(70%/$E405)*BE405)))</f>
        <v>0</v>
      </c>
      <c r="BG219" s="395">
        <f ca="1">IF($E$405=0,0,IF(SUM($G219:BF219)=70%,0,IF(SUM($G405:BF405)&gt;=$E405,(70%/$E405)*($E405-SUM($G405:BE405)),(70%/$E405)*BF405)))</f>
        <v>0</v>
      </c>
      <c r="BH219" s="395">
        <f ca="1">IF($E$405=0,0,IF(SUM($G219:BG219)=70%,0,IF(SUM($G405:BG405)&gt;=$E405,(70%/$E405)*($E405-SUM($G405:BF405)),(70%/$E405)*BG405)))</f>
        <v>0</v>
      </c>
      <c r="BI219" s="395">
        <f ca="1">IF($E$405=0,0,IF(SUM($G219:BH219)=70%,0,IF(SUM($G405:BH405)&gt;=$E405,(70%/$E405)*($E405-SUM($G405:BG405)),(70%/$E405)*BH405)))</f>
        <v>0</v>
      </c>
      <c r="BJ219" s="395">
        <f ca="1">IF($E$405=0,0,IF(SUM($G219:BI219)=70%,0,IF(SUM($G405:BI405)&gt;=$E405,(70%/$E405)*($E405-SUM($G405:BH405)),(70%/$E405)*BI405)))</f>
        <v>0</v>
      </c>
      <c r="BK219" s="395">
        <f ca="1">IF($E$405=0,0,IF(SUM($G219:BJ219)=70%,0,IF(SUM($G405:BJ405)&gt;=$E405,(70%/$E405)*($E405-SUM($G405:BI405)),(70%/$E405)*BJ405)))</f>
        <v>0</v>
      </c>
      <c r="BL219" s="395">
        <f ca="1">IF($E$405=0,0,IF(SUM($G219:BK219)=70%,0,IF(SUM($G405:BK405)&gt;=$E405,(70%/$E405)*($E405-SUM($G405:BJ405)),(70%/$E405)*BK405)))</f>
        <v>0</v>
      </c>
      <c r="BM219" s="395">
        <f ca="1">IF($E$405=0,0,IF(SUM($G219:BL219)=70%,0,IF(SUM($G405:BL405)&gt;=$E405,(70%/$E405)*($E405-SUM($G405:BK405)),(70%/$E405)*BL405)))</f>
        <v>0</v>
      </c>
      <c r="BN219" s="395">
        <f ca="1">IF($E$405=0,0,IF(SUM($G219:BM219)=70%,0,IF(SUM($G405:BM405)&gt;=$E405,(70%/$E405)*($E405-SUM($G405:BL405)),(70%/$E405)*BM405)))</f>
        <v>0</v>
      </c>
      <c r="BO219" s="395">
        <f ca="1">IF($E$405=0,0,IF(SUM($G219:BN219)=70%,0,IF(SUM($G405:BN405)&gt;=$E405,(70%/$E405)*($E405-SUM($G405:BM405)),(70%/$E405)*BN405)))</f>
        <v>0</v>
      </c>
      <c r="BP219" s="395">
        <f ca="1">IF($E$405=0,0,IF(SUM($G219:BO219)=70%,0,IF(SUM($G405:BO405)&gt;=$E405,(70%/$E405)*($E405-SUM($G405:BN405)),(70%/$E405)*BO405)))</f>
        <v>0</v>
      </c>
      <c r="BQ219" s="395">
        <f ca="1">IF($E$405=0,0,IF(SUM($G219:BP219)=70%,0,IF(SUM($G405:BP405)&gt;=$E405,(70%/$E405)*($E405-SUM($G405:BO405)),(70%/$E405)*BP405)))</f>
        <v>0</v>
      </c>
      <c r="BR219" s="395">
        <f ca="1">IF($E$405=0,0,IF(SUM($G219:BQ219)=70%,0,IF(SUM($G405:BQ405)&gt;=$E405,(70%/$E405)*($E405-SUM($G405:BP405)),(70%/$E405)*BQ405)))</f>
        <v>0</v>
      </c>
      <c r="BS219" s="395">
        <f ca="1">IF($E$405=0,0,IF(SUM($G219:BR219)=70%,0,IF(SUM($G405:BR405)&gt;=$E405,(70%/$E405)*($E405-SUM($G405:BQ405)),(70%/$E405)*BR405)))</f>
        <v>0</v>
      </c>
      <c r="BT219" s="395">
        <f ca="1">IF($E$405=0,0,IF(SUM($G219:BS219)=70%,0,IF(SUM($G405:BS405)&gt;=$E405,(70%/$E405)*($E405-SUM($G405:BR405)),(70%/$E405)*BS405)))</f>
        <v>0</v>
      </c>
      <c r="BU219" s="395">
        <f ca="1">IF($E$405=0,0,IF(SUM($G219:BT219)=70%,0,IF(SUM($G405:BT405)&gt;=$E405,(70%/$E405)*($E405-SUM($G405:BS405)),(70%/$E405)*BT405)))</f>
        <v>0</v>
      </c>
      <c r="BV219" s="395">
        <f ca="1">IF($E$405=0,0,IF(SUM($G219:BU219)=70%,0,IF(SUM($G405:BU405)&gt;=$E405,(70%/$E405)*($E405-SUM($G405:BT405)),(70%/$E405)*BU405)))</f>
        <v>0</v>
      </c>
      <c r="BW219" s="395">
        <f ca="1">IF($E$405=0,0,IF(SUM($G219:BV219)=70%,0,IF(SUM($G405:BV405)&gt;=$E405,(70%/$E405)*($E405-SUM($G405:BU405)),(70%/$E405)*BV405)))</f>
        <v>0</v>
      </c>
      <c r="BX219" s="395">
        <f ca="1">IF($E$405=0,0,IF(SUM($G219:BW219)=70%,0,IF(SUM($G405:BW405)&gt;=$E405,(70%/$E405)*($E405-SUM($G405:BV405)),(70%/$E405)*BW405)))</f>
        <v>0</v>
      </c>
      <c r="BY219" s="395">
        <f ca="1">IF($E$405=0,0,IF(SUM($G219:BX219)=70%,0,IF(SUM($G405:BX405)&gt;=$E405,(70%/$E405)*($E405-SUM($G405:BW405)),(70%/$E405)*BX405)))</f>
        <v>0</v>
      </c>
      <c r="BZ219" s="395">
        <f ca="1">IF($E$405=0,0,IF(SUM($G219:BY219)=70%,0,IF(SUM($G405:BY405)&gt;=$E405,(70%/$E405)*($E405-SUM($G405:BX405)),(70%/$E405)*BY405)))</f>
        <v>0</v>
      </c>
      <c r="CA219" s="395">
        <f ca="1">IF($E$405=0,0,IF(SUM($G219:BZ219)=70%,0,IF(SUM($G405:BZ405)&gt;=$E405,(70%/$E405)*($E405-SUM($G405:BY405)),(70%/$E405)*BZ405)))</f>
        <v>0</v>
      </c>
      <c r="CB219" s="395">
        <f ca="1">IF($E$405=0,0,IF(SUM($G219:CA219)=70%,0,IF(SUM($G405:CA405)&gt;=$E405,(70%/$E405)*($E405-SUM($G405:BZ405)),(70%/$E405)*CA405)))</f>
        <v>0</v>
      </c>
      <c r="CC219" s="395">
        <f ca="1">IF($E$405=0,0,IF(SUM($G219:CB219)=70%,0,IF(SUM($G405:CB405)&gt;=$E405,(70%/$E405)*($E405-SUM($G405:CA405)),(70%/$E405)*CB405)))</f>
        <v>0</v>
      </c>
      <c r="CD219" s="395">
        <f ca="1">IF($E$405=0,0,IF(SUM($G219:CC219)=70%,0,IF(SUM($G405:CC405)&gt;=$E405,(70%/$E405)*($E405-SUM($G405:CB405)),(70%/$E405)*CC405)))</f>
        <v>0</v>
      </c>
      <c r="CE219" s="395">
        <f ca="1">IF($E$405=0,0,IF(SUM($G219:CD219)=70%,0,IF(SUM($G405:CD405)&gt;=$E405,(70%/$E405)*($E405-SUM($G405:CC405)),(70%/$E405)*CD405)))</f>
        <v>0</v>
      </c>
      <c r="CF219" s="395">
        <f ca="1">IF($E$405=0,0,IF(SUM($G219:CE219)=70%,0,IF(SUM($G405:CE405)&gt;=$E405,(70%/$E405)*($E405-SUM($G405:CD405)),(70%/$E405)*CE405)))</f>
        <v>0</v>
      </c>
      <c r="CG219" s="395">
        <f ca="1">IF($E$405=0,0,IF(SUM($G219:CF219)=70%,0,IF(SUM($G405:CF405)&gt;=$E405,(70%/$E405)*($E405-SUM($G405:CE405)),(70%/$E405)*CF405)))</f>
        <v>0</v>
      </c>
      <c r="CH219" s="395">
        <f ca="1">IF($E$405=0,0,IF(SUM($G219:CG219)=70%,0,IF(SUM($G405:CG405)&gt;=$E405,(70%/$E405)*($E405-SUM($G405:CF405)),(70%/$E405)*CG405)))</f>
        <v>0</v>
      </c>
      <c r="CI219" s="395">
        <f ca="1">IF($E$405=0,0,IF(SUM($G219:CH219)=70%,0,IF(SUM($G405:CH405)&gt;=$E405,(70%/$E405)*($E405-SUM($G405:CG405)),(70%/$E405)*CH405)))</f>
        <v>0</v>
      </c>
      <c r="CJ219" s="395">
        <f ca="1">IF($E$405=0,0,IF(SUM($G219:CI219)=70%,0,IF(SUM($G405:CI405)&gt;=$E405,(70%/$E405)*($E405-SUM($G405:CH405)),(70%/$E405)*CI405)))</f>
        <v>0</v>
      </c>
      <c r="CK219" s="395">
        <f ca="1">IF($E$405=0,0,IF(SUM($G219:CJ219)=70%,0,IF(SUM($G405:CJ405)&gt;=$E405,(70%/$E405)*($E405-SUM($G405:CI405)),(70%/$E405)*CJ405)))</f>
        <v>0</v>
      </c>
      <c r="CL219" s="395">
        <f ca="1">IF($E$405=0,0,IF(SUM($G219:CK219)=70%,0,IF(SUM($G405:CK405)&gt;=$E405,(70%/$E405)*($E405-SUM($G405:CJ405)),(70%/$E405)*CK405)))</f>
        <v>0</v>
      </c>
      <c r="CM219" s="395">
        <f ca="1">IF($E$405=0,0,IF(SUM($G219:CL219)=70%,0,IF(SUM($G405:CL405)&gt;=$E405,(70%/$E405)*($E405-SUM($G405:CK405)),(70%/$E405)*CL405)))</f>
        <v>0</v>
      </c>
      <c r="CN219" s="395">
        <f ca="1">IF($E$405=0,0,IF(SUM($G219:CM219)=70%,0,IF(SUM($G405:CM405)&gt;=$E405,(70%/$E405)*($E405-SUM($G405:CL405)),(70%/$E405)*CM405)))</f>
        <v>0</v>
      </c>
      <c r="CO219" s="395">
        <f ca="1">IF($E$405=0,0,IF(SUM($G219:CN219)=70%,0,IF(SUM($G405:CN405)&gt;=$E405,(70%/$E405)*($E405-SUM($G405:CM405)),(70%/$E405)*CN405)))</f>
        <v>0</v>
      </c>
      <c r="CP219" s="395">
        <f ca="1">IF($E$405=0,0,IF(SUM($G219:CO219)=70%,0,IF(SUM($G405:CO405)&gt;=$E405,(70%/$E405)*($E405-SUM($G405:CN405)),(70%/$E405)*CO405)))</f>
        <v>0</v>
      </c>
      <c r="CQ219" s="395">
        <f ca="1">IF($E$405=0,0,IF(SUM($G219:CP219)=70%,0,IF(SUM($G405:CP405)&gt;=$E405,(70%/$E405)*($E405-SUM($G405:CO405)),(70%/$E405)*CP405)))</f>
        <v>0</v>
      </c>
      <c r="CR219" s="395">
        <f ca="1">IF($E$405=0,0,IF(SUM($G219:CQ219)=70%,0,IF(SUM($G405:CQ405)&gt;=$E405,(70%/$E405)*($E405-SUM($G405:CP405)),(70%/$E405)*CQ405)))</f>
        <v>0</v>
      </c>
      <c r="CS219" s="395">
        <f ca="1">IF($E$405=0,0,IF(SUM($G219:CR219)=70%,0,IF(SUM($G405:CR405)&gt;=$E405,(70%/$E405)*($E405-SUM($G405:CQ405)),(70%/$E405)*CR405)))</f>
        <v>0</v>
      </c>
      <c r="CT219" s="395">
        <f ca="1">IF($E$405=0,0,IF(SUM($G219:CS219)=70%,0,IF(SUM($G405:CS405)&gt;=$E405,(70%/$E405)*($E405-SUM($G405:CR405)),(70%/$E405)*CS405)))</f>
        <v>0</v>
      </c>
      <c r="CU219" s="395">
        <f ca="1">IF($E$405=0,0,IF(SUM($G219:CT219)=70%,0,IF(SUM($G405:CT405)&gt;=$E405,(70%/$E405)*($E405-SUM($G405:CS405)),(70%/$E405)*CT405)))</f>
        <v>0</v>
      </c>
      <c r="CV219" s="395">
        <f ca="1">IF($E$405=0,0,IF(SUM($G219:CU219)=70%,0,IF(SUM($G405:CU405)&gt;=$E405,(70%/$E405)*($E405-SUM($G405:CT405)),(70%/$E405)*CU405)))</f>
        <v>0</v>
      </c>
      <c r="CW219" s="395">
        <f ca="1">IF($E$405=0,0,IF(SUM($G219:CV219)=70%,0,IF(SUM($G405:CV405)&gt;=$E405,(70%/$E405)*($E405-SUM($G405:CU405)),(70%/$E405)*CV405)))</f>
        <v>0</v>
      </c>
      <c r="CX219" s="395">
        <f ca="1">IF($E$405=0,0,IF(SUM($G219:CW219)=70%,0,IF(SUM($G405:CW405)&gt;=$E405,(70%/$E405)*($E405-SUM($G405:CV405)),(70%/$E405)*CW405)))</f>
        <v>0</v>
      </c>
      <c r="CY219" s="395">
        <f ca="1">IF($E$405=0,0,IF(SUM($G219:CX219)=70%,0,IF(SUM($G405:CX405)&gt;=$E405,(70%/$E405)*($E405-SUM($G405:CW405)),(70%/$E405)*CX405)))</f>
        <v>0</v>
      </c>
      <c r="CZ219" s="395">
        <f ca="1">IF($E$405=0,0,IF(SUM($G219:CY219)=70%,0,IF(SUM($G405:CY405)&gt;=$E405,(70%/$E405)*($E405-SUM($G405:CX405)),(70%/$E405)*CY405)))</f>
        <v>0</v>
      </c>
      <c r="DA219" s="395">
        <f ca="1">IF($E$405=0,0,IF(SUM($G219:CZ219)=70%,0,IF(SUM($G405:CZ405)&gt;=$E405,(70%/$E405)*($E405-SUM($G405:CY405)),(70%/$E405)*CZ405)))</f>
        <v>0</v>
      </c>
      <c r="DB219" s="395">
        <f ca="1">IF($E$405=0,0,IF(SUM($G219:DA219)=70%,0,IF(SUM($G405:DA405)&gt;=$E405,(70%/$E405)*($E405-SUM($G405:CZ405)),(70%/$E405)*DA405)))</f>
        <v>0</v>
      </c>
      <c r="DC219" s="395">
        <f ca="1">IF($E$405=0,0,IF(SUM($G219:DB219)=70%,0,IF(SUM($G405:DB405)&gt;=$E405,(70%/$E405)*($E405-SUM($G405:DA405)),(70%/$E405)*DB405)))</f>
        <v>0</v>
      </c>
      <c r="DD219" s="395">
        <f ca="1">IF($E$405=0,0,IF(SUM($G219:DC219)=70%,0,IF(SUM($G405:DC405)&gt;=$E405,(70%/$E405)*($E405-SUM($G405:DB405)),(70%/$E405)*DC405)))</f>
        <v>0</v>
      </c>
      <c r="DE219" s="395">
        <f ca="1">IF($E$405=0,0,IF(SUM($G219:DD219)=70%,0,IF(SUM($G405:DD405)&gt;=$E405,(70%/$E405)*($E405-SUM($G405:DC405)),(70%/$E405)*DD405)))</f>
        <v>0</v>
      </c>
      <c r="DF219" s="395">
        <f ca="1">IF($E$405=0,0,IF(SUM($G219:DE219)=70%,0,IF(SUM($G405:DE405)&gt;=$E405,(70%/$E405)*($E405-SUM($G405:DD405)),(70%/$E405)*DE405)))</f>
        <v>0</v>
      </c>
      <c r="DG219" s="395">
        <f ca="1">IF($E$405=0,0,IF(SUM($G219:DF219)=70%,0,IF(SUM($G405:DF405)&gt;=$E405,(70%/$E405)*($E405-SUM($G405:DE405)),(70%/$E405)*DF405)))</f>
        <v>0</v>
      </c>
      <c r="DH219" s="395">
        <f ca="1">IF($E$405=0,0,IF(SUM($G219:DG219)=70%,0,IF(SUM($G405:DG405)&gt;=$E405,(70%/$E405)*($E405-SUM($G405:DF405)),(70%/$E405)*DG405)))</f>
        <v>0</v>
      </c>
      <c r="DI219" s="395">
        <f ca="1">IF($E$405=0,0,IF(SUM($G219:DH219)=70%,0,IF(SUM($G405:DH405)&gt;=$E405,(70%/$E405)*($E405-SUM($G405:DG405)),(70%/$E405)*DH405)))</f>
        <v>0</v>
      </c>
      <c r="DJ219" s="395">
        <f ca="1">IF($E$405=0,0,IF(SUM($G219:DI219)=70%,0,IF(SUM($G405:DI405)&gt;=$E405,(70%/$E405)*($E405-SUM($G405:DH405)),(70%/$E405)*DI405)))</f>
        <v>0</v>
      </c>
      <c r="DK219" s="395">
        <f ca="1">IF($E$405=0,0,IF(SUM($G219:DJ219)=70%,0,IF(SUM($G405:DJ405)&gt;=$E405,(70%/$E405)*($E405-SUM($G405:DI405)),(70%/$E405)*DJ405)))</f>
        <v>0</v>
      </c>
      <c r="DL219" s="395">
        <f ca="1">IF($E$405=0,0,IF(SUM($G219:DK219)=70%,0,IF(SUM($G405:DK405)&gt;=$E405,(70%/$E405)*($E405-SUM($G405:DJ405)),(70%/$E405)*DK405)))</f>
        <v>0</v>
      </c>
      <c r="DM219" s="395">
        <f ca="1">IF($E$405=0,0,IF(SUM($G219:DL219)=70%,0,IF(SUM($G405:DL405)&gt;=$E405,(70%/$E405)*($E405-SUM($G405:DK405)),(70%/$E405)*DL405)))</f>
        <v>0</v>
      </c>
      <c r="DN219" s="395">
        <f ca="1">IF($E$405=0,0,IF(SUM($G219:DM219)=70%,0,IF(SUM($G405:DM405)&gt;=$E405,(70%/$E405)*($E405-SUM($G405:DL405)),(70%/$E405)*DM405)))</f>
        <v>0</v>
      </c>
      <c r="DO219" s="395">
        <f ca="1">IF($E$405=0,0,IF(SUM($G219:DN219)=70%,0,IF(SUM($G405:DN405)&gt;=$E405,(70%/$E405)*($E405-SUM($G405:DM405)),(70%/$E405)*DN405)))</f>
        <v>0</v>
      </c>
      <c r="DP219" s="395">
        <f ca="1">IF($E$405=0,0,IF(SUM($G219:DO219)=70%,0,IF(SUM($G405:DO405)&gt;=$E405,(70%/$E405)*($E405-SUM($G405:DN405)),(70%/$E405)*DO405)))</f>
        <v>0</v>
      </c>
      <c r="DQ219" s="395">
        <f ca="1">IF($E$405=0,0,IF(SUM($G219:DP219)=70%,0,IF(SUM($G405:DP405)&gt;=$E405,(70%/$E405)*($E405-SUM($G405:DO405)),(70%/$E405)*DP405)))</f>
        <v>0</v>
      </c>
      <c r="DR219" s="395">
        <f ca="1">IF($E$405=0,0,IF(SUM($G219:DQ219)=70%,0,IF(SUM($G405:DQ405)&gt;=$E405,(70%/$E405)*($E405-SUM($G405:DP405)),(70%/$E405)*DQ405)))</f>
        <v>0</v>
      </c>
      <c r="DS219" s="395">
        <f ca="1">IF($E$405=0,0,IF(SUM($G219:DR219)=70%,0,IF(SUM($G405:DR405)&gt;=$E405,(70%/$E405)*($E405-SUM($G405:DQ405)),(70%/$E405)*DR405)))</f>
        <v>0</v>
      </c>
      <c r="DT219" s="395">
        <f ca="1">IF($E$405=0,0,IF(SUM($G219:DS219)=70%,0,IF(SUM($G405:DS405)&gt;=$E405,(70%/$E405)*($E405-SUM($G405:DR405)),(70%/$E405)*DS405)))</f>
        <v>0</v>
      </c>
      <c r="DU219" s="395">
        <f ca="1">IF($E$405=0,0,IF(SUM($G219:DT219)=70%,0,IF(SUM($G405:DT405)&gt;=$E405,(70%/$E405)*($E405-SUM($G405:DS405)),(70%/$E405)*DT405)))</f>
        <v>0</v>
      </c>
      <c r="DV219" s="395">
        <f ca="1">IF($E$405=0,0,IF(SUM($G219:DU219)=70%,0,IF(SUM($G405:DU405)&gt;=$E405,(70%/$E405)*($E405-SUM($G405:DT405)),(70%/$E405)*DU405)))</f>
        <v>0</v>
      </c>
      <c r="DW219" s="395">
        <f ca="1">IF($E$405=0,0,IF(SUM($G219:DV219)=70%,0,IF(SUM($G405:DV405)&gt;=$E405,(70%/$E405)*($E405-SUM($G405:DU405)),(70%/$E405)*DV405)))</f>
        <v>0</v>
      </c>
      <c r="DX219" s="395">
        <f ca="1">IF($E$405=0,0,IF(SUM($G219:DW219)=70%,0,IF(SUM($G405:DW405)&gt;=$E405,(70%/$E405)*($E405-SUM($G405:DV405)),(70%/$E405)*DW405)))</f>
        <v>0</v>
      </c>
      <c r="DY219" s="395">
        <f ca="1">IF($E$405=0,0,IF(SUM($G219:DX219)=70%,0,IF(SUM($G405:DX405)&gt;=$E405,(70%/$E405)*($E405-SUM($G405:DW405)),(70%/$E405)*DX405)))</f>
        <v>0</v>
      </c>
      <c r="DZ219" s="395">
        <f ca="1">IF($E$405=0,0,IF(SUM($G219:DY219)=70%,0,IF(SUM($G405:DY405)&gt;=$E405,(70%/$E405)*($E405-SUM($G405:DX405)),(70%/$E405)*DY405)))</f>
        <v>0</v>
      </c>
      <c r="EA219" s="395">
        <f ca="1">IF($E$405=0,0,IF(SUM($G219:DZ219)=70%,0,IF(SUM($G405:DZ405)&gt;=$E405,(70%/$E405)*($E405-SUM($G405:DY405)),(70%/$E405)*DZ405)))</f>
        <v>0</v>
      </c>
      <c r="EB219" s="395">
        <f ca="1">IF($E$405=0,0,IF(SUM($G219:EA219)=70%,0,IF(SUM($G405:EA405)&gt;=$E405,(70%/$E405)*($E405-SUM($G405:DZ405)),(70%/$E405)*EA405)))</f>
        <v>0</v>
      </c>
      <c r="EC219" s="395">
        <f ca="1">IF($E$405=0,0,IF(SUM($G219:EB219)=70%,0,IF(SUM($G405:EB405)&gt;=$E405,(70%/$E405)*($E405-SUM($G405:EA405)),(70%/$E405)*EB405)))</f>
        <v>0</v>
      </c>
      <c r="ED219" s="395">
        <f ca="1">IF($E$405=0,0,IF(SUM($G219:EC219)=70%,0,IF(SUM($G405:EC405)&gt;=$E405,(70%/$E405)*($E405-SUM($G405:EB405)),(70%/$E405)*EC405)))</f>
        <v>0</v>
      </c>
      <c r="EE219" s="395">
        <f ca="1">IF($E$405=0,0,IF(SUM($G219:ED219)=70%,0,IF(SUM($G405:ED405)&gt;=$E405,(70%/$E405)*($E405-SUM($G405:EC405)),(70%/$E405)*ED405)))</f>
        <v>0</v>
      </c>
      <c r="EF219" s="395">
        <f ca="1">IF($E$405=0,0,IF(SUM($G219:EE219)=70%,0,IF(SUM($G405:EE405)&gt;=$E405,(70%/$E405)*($E405-SUM($G405:ED405)),(70%/$E405)*EE405)))</f>
        <v>0</v>
      </c>
      <c r="EG219" s="395">
        <f ca="1">IF($E$405=0,0,IF(SUM($G219:EF219)=70%,0,IF(SUM($G405:EF405)&gt;=$E405,(70%/$E405)*($E405-SUM($G405:EE405)),(70%/$E405)*EF405)))</f>
        <v>0</v>
      </c>
      <c r="EH219" s="395">
        <f ca="1">IF($E$405=0,0,IF(SUM($G219:EG219)=70%,0,IF(SUM($G405:EG405)&gt;=$E405,(70%/$E405)*($E405-SUM($G405:EF405)),(70%/$E405)*EG405)))</f>
        <v>0</v>
      </c>
      <c r="EI219" s="395">
        <f ca="1">IF($E$405=0,0,IF(SUM($G219:EH219)=70%,0,IF(SUM($G405:EH405)&gt;=$E405,(70%/$E405)*($E405-SUM($G405:EG405)),(70%/$E405)*EH405)))</f>
        <v>0</v>
      </c>
      <c r="EJ219" s="398"/>
      <c r="EK219" s="313"/>
    </row>
    <row r="220" spans="1:141" hidden="1" outlineLevel="1" collapsed="1">
      <c r="A220" s="332"/>
      <c r="B220" s="313"/>
      <c r="C220" s="315" t="s">
        <v>550</v>
      </c>
      <c r="D220" s="315" t="s">
        <v>551</v>
      </c>
      <c r="E220" s="388"/>
      <c r="F220" s="399"/>
      <c r="G220" s="399"/>
      <c r="H220" s="399"/>
      <c r="I220" s="399"/>
      <c r="J220" s="399"/>
      <c r="K220" s="399"/>
      <c r="L220" s="399"/>
      <c r="M220" s="399"/>
      <c r="N220" s="399"/>
      <c r="O220" s="399"/>
      <c r="P220" s="399"/>
      <c r="Q220" s="399"/>
      <c r="R220" s="399"/>
      <c r="S220" s="399"/>
      <c r="T220" s="399"/>
      <c r="U220" s="399"/>
      <c r="V220" s="399"/>
      <c r="W220" s="399"/>
      <c r="X220" s="399"/>
      <c r="Y220" s="399"/>
      <c r="Z220" s="399"/>
      <c r="AA220" s="399"/>
      <c r="AB220" s="399"/>
      <c r="AC220" s="399"/>
      <c r="AD220" s="399"/>
      <c r="AE220" s="399"/>
      <c r="AF220" s="399"/>
      <c r="AG220" s="399"/>
      <c r="AH220" s="399"/>
      <c r="AI220" s="399"/>
      <c r="AJ220" s="399"/>
      <c r="AK220" s="399"/>
      <c r="AL220" s="399"/>
      <c r="AM220" s="399"/>
      <c r="AN220" s="399"/>
      <c r="AO220" s="399"/>
      <c r="AP220" s="399"/>
      <c r="AQ220" s="399"/>
      <c r="AR220" s="399"/>
      <c r="AS220" s="399"/>
      <c r="AT220" s="399"/>
      <c r="AU220" s="399"/>
      <c r="AV220" s="399"/>
      <c r="AW220" s="399"/>
      <c r="AX220" s="399"/>
      <c r="AY220" s="399"/>
      <c r="AZ220" s="399"/>
      <c r="BA220" s="399"/>
      <c r="BB220" s="399"/>
      <c r="BC220" s="399"/>
      <c r="BD220" s="399"/>
      <c r="BE220" s="399"/>
      <c r="BF220" s="399"/>
      <c r="BG220" s="399"/>
      <c r="BH220" s="399"/>
      <c r="BI220" s="399"/>
      <c r="BJ220" s="399"/>
      <c r="BK220" s="399"/>
      <c r="BL220" s="399"/>
      <c r="BM220" s="399"/>
      <c r="BN220" s="399"/>
      <c r="BO220" s="399"/>
      <c r="BP220" s="399"/>
      <c r="BQ220" s="399"/>
      <c r="BR220" s="399"/>
      <c r="BS220" s="399"/>
      <c r="BT220" s="399"/>
      <c r="BU220" s="399"/>
      <c r="BV220" s="399"/>
      <c r="BW220" s="399"/>
      <c r="BX220" s="399"/>
      <c r="BY220" s="399"/>
      <c r="BZ220" s="399"/>
      <c r="CA220" s="399"/>
      <c r="CB220" s="399"/>
      <c r="CC220" s="399"/>
      <c r="CD220" s="399"/>
      <c r="CE220" s="399"/>
      <c r="CF220" s="399"/>
      <c r="CG220" s="399"/>
      <c r="CH220" s="399"/>
      <c r="CI220" s="399"/>
      <c r="CJ220" s="399"/>
      <c r="CK220" s="399"/>
      <c r="CL220" s="399"/>
      <c r="CM220" s="399"/>
      <c r="CN220" s="399"/>
      <c r="CO220" s="399"/>
      <c r="CP220" s="399"/>
      <c r="CQ220" s="399"/>
      <c r="CR220" s="399"/>
      <c r="CS220" s="399"/>
      <c r="CT220" s="399"/>
      <c r="CU220" s="399"/>
      <c r="CV220" s="399"/>
      <c r="CW220" s="399"/>
      <c r="CX220" s="399"/>
      <c r="CY220" s="399"/>
      <c r="CZ220" s="399"/>
      <c r="DA220" s="399"/>
      <c r="DB220" s="399"/>
      <c r="DC220" s="399"/>
      <c r="DD220" s="399"/>
      <c r="DE220" s="399"/>
      <c r="DF220" s="399"/>
      <c r="DG220" s="399"/>
      <c r="DH220" s="399"/>
      <c r="DI220" s="399"/>
      <c r="DJ220" s="399"/>
      <c r="DK220" s="399"/>
      <c r="DL220" s="399"/>
      <c r="DM220" s="399"/>
      <c r="DN220" s="399"/>
      <c r="DO220" s="399"/>
      <c r="DP220" s="399"/>
      <c r="DQ220" s="399"/>
      <c r="DR220" s="399"/>
      <c r="DS220" s="399"/>
      <c r="DT220" s="399"/>
      <c r="DU220" s="399"/>
      <c r="DV220" s="399"/>
      <c r="DW220" s="399"/>
      <c r="DX220" s="399"/>
      <c r="DY220" s="399"/>
      <c r="DZ220" s="399"/>
      <c r="EA220" s="399"/>
      <c r="EB220" s="399"/>
      <c r="EC220" s="399"/>
      <c r="ED220" s="399"/>
      <c r="EE220" s="399"/>
      <c r="EF220" s="399"/>
      <c r="EG220" s="399"/>
      <c r="EH220" s="399"/>
      <c r="EI220" s="399"/>
      <c r="EJ220" s="399"/>
      <c r="EK220" s="313"/>
    </row>
    <row r="221" spans="1:141" hidden="1" outlineLevel="1">
      <c r="A221" s="332"/>
      <c r="B221" s="313"/>
      <c r="C221" s="317" t="s">
        <v>552</v>
      </c>
      <c r="D221" s="317" t="s">
        <v>553</v>
      </c>
      <c r="E221" s="388"/>
      <c r="F221" s="399"/>
      <c r="G221" s="399"/>
      <c r="H221" s="399"/>
      <c r="I221" s="399"/>
      <c r="J221" s="399"/>
      <c r="K221" s="399"/>
      <c r="L221" s="399"/>
      <c r="M221" s="399"/>
      <c r="N221" s="399"/>
      <c r="O221" s="399"/>
      <c r="P221" s="399"/>
      <c r="Q221" s="399"/>
      <c r="R221" s="399"/>
      <c r="S221" s="399"/>
      <c r="T221" s="399"/>
      <c r="U221" s="399"/>
      <c r="V221" s="399"/>
      <c r="W221" s="399"/>
      <c r="X221" s="399"/>
      <c r="Y221" s="399"/>
      <c r="Z221" s="399"/>
      <c r="AA221" s="399"/>
      <c r="AB221" s="399"/>
      <c r="AC221" s="399"/>
      <c r="AD221" s="399"/>
      <c r="AE221" s="399"/>
      <c r="AF221" s="399"/>
      <c r="AG221" s="399"/>
      <c r="AH221" s="399"/>
      <c r="AI221" s="399"/>
      <c r="AJ221" s="399"/>
      <c r="AK221" s="399"/>
      <c r="AL221" s="399"/>
      <c r="AM221" s="399"/>
      <c r="AN221" s="399"/>
      <c r="AO221" s="399"/>
      <c r="AP221" s="399"/>
      <c r="AQ221" s="399"/>
      <c r="AR221" s="399"/>
      <c r="AS221" s="399"/>
      <c r="AT221" s="399"/>
      <c r="AU221" s="399"/>
      <c r="AV221" s="399"/>
      <c r="AW221" s="399"/>
      <c r="AX221" s="399"/>
      <c r="AY221" s="399"/>
      <c r="AZ221" s="399"/>
      <c r="BA221" s="399"/>
      <c r="BB221" s="399"/>
      <c r="BC221" s="399"/>
      <c r="BD221" s="399"/>
      <c r="BE221" s="399"/>
      <c r="BF221" s="399"/>
      <c r="BG221" s="399"/>
      <c r="BH221" s="399"/>
      <c r="BI221" s="399"/>
      <c r="BJ221" s="399"/>
      <c r="BK221" s="399"/>
      <c r="BL221" s="399"/>
      <c r="BM221" s="399"/>
      <c r="BN221" s="399"/>
      <c r="BO221" s="399"/>
      <c r="BP221" s="399"/>
      <c r="BQ221" s="399"/>
      <c r="BR221" s="399"/>
      <c r="BS221" s="399"/>
      <c r="BT221" s="399"/>
      <c r="BU221" s="399"/>
      <c r="BV221" s="399"/>
      <c r="BW221" s="399"/>
      <c r="BX221" s="399"/>
      <c r="BY221" s="399"/>
      <c r="BZ221" s="399"/>
      <c r="CA221" s="399"/>
      <c r="CB221" s="399"/>
      <c r="CC221" s="399"/>
      <c r="CD221" s="399"/>
      <c r="CE221" s="399"/>
      <c r="CF221" s="399"/>
      <c r="CG221" s="399"/>
      <c r="CH221" s="399"/>
      <c r="CI221" s="399"/>
      <c r="CJ221" s="399"/>
      <c r="CK221" s="399"/>
      <c r="CL221" s="399"/>
      <c r="CM221" s="399"/>
      <c r="CN221" s="399"/>
      <c r="CO221" s="399"/>
      <c r="CP221" s="399"/>
      <c r="CQ221" s="399"/>
      <c r="CR221" s="399"/>
      <c r="CS221" s="399"/>
      <c r="CT221" s="399"/>
      <c r="CU221" s="399"/>
      <c r="CV221" s="399"/>
      <c r="CW221" s="399"/>
      <c r="CX221" s="399"/>
      <c r="CY221" s="399"/>
      <c r="CZ221" s="399"/>
      <c r="DA221" s="399"/>
      <c r="DB221" s="399"/>
      <c r="DC221" s="399"/>
      <c r="DD221" s="399"/>
      <c r="DE221" s="399"/>
      <c r="DF221" s="399"/>
      <c r="DG221" s="399"/>
      <c r="DH221" s="399"/>
      <c r="DI221" s="399"/>
      <c r="DJ221" s="399"/>
      <c r="DK221" s="399"/>
      <c r="DL221" s="399"/>
      <c r="DM221" s="399"/>
      <c r="DN221" s="399"/>
      <c r="DO221" s="399"/>
      <c r="DP221" s="399"/>
      <c r="DQ221" s="399"/>
      <c r="DR221" s="399"/>
      <c r="DS221" s="399"/>
      <c r="DT221" s="399"/>
      <c r="DU221" s="399"/>
      <c r="DV221" s="399"/>
      <c r="DW221" s="399"/>
      <c r="DX221" s="399"/>
      <c r="DY221" s="399"/>
      <c r="DZ221" s="399"/>
      <c r="EA221" s="399"/>
      <c r="EB221" s="399"/>
      <c r="EC221" s="399"/>
      <c r="ED221" s="399"/>
      <c r="EE221" s="399"/>
      <c r="EF221" s="399"/>
      <c r="EG221" s="399"/>
      <c r="EH221" s="399"/>
      <c r="EI221" s="399"/>
      <c r="EJ221" s="399"/>
      <c r="EK221" s="313"/>
    </row>
    <row r="222" spans="1:141" ht="30" hidden="1" outlineLevel="2">
      <c r="A222" s="332"/>
      <c r="B222" s="313"/>
      <c r="C222" s="305" t="s">
        <v>554</v>
      </c>
      <c r="D222" s="319" t="s">
        <v>196</v>
      </c>
      <c r="E222" s="393">
        <f t="shared" ref="E222:E223" ca="1" si="438">ROUND(IF(F222=0,0,100%-F222),0)</f>
        <v>0</v>
      </c>
      <c r="F222" s="394">
        <f t="shared" ca="1" si="283"/>
        <v>1</v>
      </c>
      <c r="G222" s="395">
        <f ca="1">IF($E$411=0,0,(100%/$E411)*G411)</f>
        <v>0</v>
      </c>
      <c r="H222" s="395">
        <f t="shared" ref="H222:BS222" ca="1" si="439">IF($E$411=0,0,(100%/$E411)*H411)</f>
        <v>0</v>
      </c>
      <c r="I222" s="395">
        <f t="shared" ca="1" si="439"/>
        <v>0</v>
      </c>
      <c r="J222" s="395">
        <f t="shared" ca="1" si="439"/>
        <v>0</v>
      </c>
      <c r="K222" s="395">
        <f t="shared" ca="1" si="439"/>
        <v>0</v>
      </c>
      <c r="L222" s="395">
        <f t="shared" ca="1" si="439"/>
        <v>0</v>
      </c>
      <c r="M222" s="395">
        <f t="shared" ca="1" si="439"/>
        <v>0</v>
      </c>
      <c r="N222" s="395">
        <f t="shared" ca="1" si="439"/>
        <v>0</v>
      </c>
      <c r="O222" s="395">
        <f t="shared" ca="1" si="439"/>
        <v>0</v>
      </c>
      <c r="P222" s="395">
        <f t="shared" ca="1" si="439"/>
        <v>0</v>
      </c>
      <c r="Q222" s="395">
        <f t="shared" ca="1" si="439"/>
        <v>0</v>
      </c>
      <c r="R222" s="395">
        <f t="shared" ca="1" si="439"/>
        <v>0</v>
      </c>
      <c r="S222" s="395">
        <f t="shared" ca="1" si="439"/>
        <v>0</v>
      </c>
      <c r="T222" s="395">
        <f t="shared" ca="1" si="439"/>
        <v>0</v>
      </c>
      <c r="U222" s="395">
        <f t="shared" ca="1" si="439"/>
        <v>0</v>
      </c>
      <c r="V222" s="395">
        <f t="shared" ca="1" si="439"/>
        <v>0</v>
      </c>
      <c r="W222" s="395">
        <f t="shared" ca="1" si="439"/>
        <v>0</v>
      </c>
      <c r="X222" s="395">
        <f t="shared" ca="1" si="439"/>
        <v>0</v>
      </c>
      <c r="Y222" s="395">
        <f t="shared" ca="1" si="439"/>
        <v>0</v>
      </c>
      <c r="Z222" s="395">
        <f t="shared" ca="1" si="439"/>
        <v>0</v>
      </c>
      <c r="AA222" s="395">
        <f t="shared" ca="1" si="439"/>
        <v>0</v>
      </c>
      <c r="AB222" s="395">
        <f t="shared" ca="1" si="439"/>
        <v>0.2349999999999999</v>
      </c>
      <c r="AC222" s="395">
        <f t="shared" ca="1" si="439"/>
        <v>0.2583333333333333</v>
      </c>
      <c r="AD222" s="395">
        <f t="shared" ca="1" si="439"/>
        <v>0.23333333333333334</v>
      </c>
      <c r="AE222" s="395">
        <f t="shared" ca="1" si="439"/>
        <v>0.2583333333333333</v>
      </c>
      <c r="AF222" s="395">
        <f t="shared" ca="1" si="439"/>
        <v>1.5000000000000095E-2</v>
      </c>
      <c r="AG222" s="395">
        <f t="shared" ca="1" si="439"/>
        <v>0</v>
      </c>
      <c r="AH222" s="395">
        <f t="shared" ca="1" si="439"/>
        <v>0</v>
      </c>
      <c r="AI222" s="395">
        <f t="shared" ca="1" si="439"/>
        <v>0</v>
      </c>
      <c r="AJ222" s="395">
        <f t="shared" ca="1" si="439"/>
        <v>0</v>
      </c>
      <c r="AK222" s="395">
        <f t="shared" ca="1" si="439"/>
        <v>0</v>
      </c>
      <c r="AL222" s="395">
        <f t="shared" ca="1" si="439"/>
        <v>0</v>
      </c>
      <c r="AM222" s="395">
        <f t="shared" ca="1" si="439"/>
        <v>0</v>
      </c>
      <c r="AN222" s="395">
        <f t="shared" ca="1" si="439"/>
        <v>0</v>
      </c>
      <c r="AO222" s="395">
        <f t="shared" ca="1" si="439"/>
        <v>0</v>
      </c>
      <c r="AP222" s="395">
        <f t="shared" ca="1" si="439"/>
        <v>0</v>
      </c>
      <c r="AQ222" s="395">
        <f t="shared" ca="1" si="439"/>
        <v>0</v>
      </c>
      <c r="AR222" s="395">
        <f t="shared" ca="1" si="439"/>
        <v>0</v>
      </c>
      <c r="AS222" s="395">
        <f t="shared" ca="1" si="439"/>
        <v>0</v>
      </c>
      <c r="AT222" s="395">
        <f t="shared" ca="1" si="439"/>
        <v>0</v>
      </c>
      <c r="AU222" s="395">
        <f t="shared" ca="1" si="439"/>
        <v>0</v>
      </c>
      <c r="AV222" s="395">
        <f t="shared" ca="1" si="439"/>
        <v>0</v>
      </c>
      <c r="AW222" s="395">
        <f t="shared" ca="1" si="439"/>
        <v>0</v>
      </c>
      <c r="AX222" s="395">
        <f t="shared" ca="1" si="439"/>
        <v>0</v>
      </c>
      <c r="AY222" s="395">
        <f t="shared" ca="1" si="439"/>
        <v>0</v>
      </c>
      <c r="AZ222" s="395">
        <f t="shared" ca="1" si="439"/>
        <v>0</v>
      </c>
      <c r="BA222" s="395">
        <f t="shared" ca="1" si="439"/>
        <v>0</v>
      </c>
      <c r="BB222" s="395">
        <f t="shared" ca="1" si="439"/>
        <v>0</v>
      </c>
      <c r="BC222" s="395">
        <f t="shared" ca="1" si="439"/>
        <v>0</v>
      </c>
      <c r="BD222" s="395">
        <f t="shared" ca="1" si="439"/>
        <v>0</v>
      </c>
      <c r="BE222" s="395">
        <f t="shared" ca="1" si="439"/>
        <v>0</v>
      </c>
      <c r="BF222" s="395">
        <f t="shared" ca="1" si="439"/>
        <v>0</v>
      </c>
      <c r="BG222" s="395">
        <f t="shared" ca="1" si="439"/>
        <v>0</v>
      </c>
      <c r="BH222" s="395">
        <f t="shared" ca="1" si="439"/>
        <v>0</v>
      </c>
      <c r="BI222" s="395">
        <f t="shared" ca="1" si="439"/>
        <v>0</v>
      </c>
      <c r="BJ222" s="395">
        <f t="shared" ca="1" si="439"/>
        <v>0</v>
      </c>
      <c r="BK222" s="395">
        <f t="shared" ca="1" si="439"/>
        <v>0</v>
      </c>
      <c r="BL222" s="395">
        <f t="shared" ca="1" si="439"/>
        <v>0</v>
      </c>
      <c r="BM222" s="395">
        <f t="shared" ca="1" si="439"/>
        <v>0</v>
      </c>
      <c r="BN222" s="395">
        <f t="shared" ca="1" si="439"/>
        <v>0</v>
      </c>
      <c r="BO222" s="395">
        <f t="shared" ca="1" si="439"/>
        <v>0</v>
      </c>
      <c r="BP222" s="395">
        <f t="shared" ca="1" si="439"/>
        <v>0</v>
      </c>
      <c r="BQ222" s="395">
        <f t="shared" ca="1" si="439"/>
        <v>0</v>
      </c>
      <c r="BR222" s="395">
        <f t="shared" ca="1" si="439"/>
        <v>0</v>
      </c>
      <c r="BS222" s="395">
        <f t="shared" ca="1" si="439"/>
        <v>0</v>
      </c>
      <c r="BT222" s="395">
        <f t="shared" ref="BT222:EE222" ca="1" si="440">IF($E$411=0,0,(100%/$E411)*BT411)</f>
        <v>0</v>
      </c>
      <c r="BU222" s="395">
        <f t="shared" ca="1" si="440"/>
        <v>0</v>
      </c>
      <c r="BV222" s="395">
        <f t="shared" ca="1" si="440"/>
        <v>0</v>
      </c>
      <c r="BW222" s="395">
        <f t="shared" ca="1" si="440"/>
        <v>0</v>
      </c>
      <c r="BX222" s="395">
        <f t="shared" ca="1" si="440"/>
        <v>0</v>
      </c>
      <c r="BY222" s="395">
        <f t="shared" ca="1" si="440"/>
        <v>0</v>
      </c>
      <c r="BZ222" s="395">
        <f t="shared" ca="1" si="440"/>
        <v>0</v>
      </c>
      <c r="CA222" s="395">
        <f t="shared" ca="1" si="440"/>
        <v>0</v>
      </c>
      <c r="CB222" s="395">
        <f t="shared" ca="1" si="440"/>
        <v>0</v>
      </c>
      <c r="CC222" s="395">
        <f t="shared" ca="1" si="440"/>
        <v>0</v>
      </c>
      <c r="CD222" s="395">
        <f t="shared" ca="1" si="440"/>
        <v>0</v>
      </c>
      <c r="CE222" s="395">
        <f t="shared" ca="1" si="440"/>
        <v>0</v>
      </c>
      <c r="CF222" s="395">
        <f t="shared" ca="1" si="440"/>
        <v>0</v>
      </c>
      <c r="CG222" s="395">
        <f t="shared" ca="1" si="440"/>
        <v>0</v>
      </c>
      <c r="CH222" s="395">
        <f t="shared" ca="1" si="440"/>
        <v>0</v>
      </c>
      <c r="CI222" s="395">
        <f t="shared" ca="1" si="440"/>
        <v>0</v>
      </c>
      <c r="CJ222" s="395">
        <f t="shared" ca="1" si="440"/>
        <v>0</v>
      </c>
      <c r="CK222" s="395">
        <f t="shared" ca="1" si="440"/>
        <v>0</v>
      </c>
      <c r="CL222" s="395">
        <f t="shared" ca="1" si="440"/>
        <v>0</v>
      </c>
      <c r="CM222" s="395">
        <f t="shared" ca="1" si="440"/>
        <v>0</v>
      </c>
      <c r="CN222" s="395">
        <f t="shared" ca="1" si="440"/>
        <v>0</v>
      </c>
      <c r="CO222" s="395">
        <f t="shared" ca="1" si="440"/>
        <v>0</v>
      </c>
      <c r="CP222" s="395">
        <f t="shared" ca="1" si="440"/>
        <v>0</v>
      </c>
      <c r="CQ222" s="395">
        <f t="shared" ca="1" si="440"/>
        <v>0</v>
      </c>
      <c r="CR222" s="395">
        <f t="shared" ca="1" si="440"/>
        <v>0</v>
      </c>
      <c r="CS222" s="395">
        <f t="shared" ca="1" si="440"/>
        <v>0</v>
      </c>
      <c r="CT222" s="395">
        <f t="shared" ca="1" si="440"/>
        <v>0</v>
      </c>
      <c r="CU222" s="395">
        <f t="shared" ca="1" si="440"/>
        <v>0</v>
      </c>
      <c r="CV222" s="395">
        <f t="shared" ca="1" si="440"/>
        <v>0</v>
      </c>
      <c r="CW222" s="395">
        <f t="shared" ca="1" si="440"/>
        <v>0</v>
      </c>
      <c r="CX222" s="395">
        <f t="shared" ca="1" si="440"/>
        <v>0</v>
      </c>
      <c r="CY222" s="395">
        <f t="shared" ca="1" si="440"/>
        <v>0</v>
      </c>
      <c r="CZ222" s="395">
        <f t="shared" ca="1" si="440"/>
        <v>0</v>
      </c>
      <c r="DA222" s="395">
        <f t="shared" ca="1" si="440"/>
        <v>0</v>
      </c>
      <c r="DB222" s="395">
        <f t="shared" ca="1" si="440"/>
        <v>0</v>
      </c>
      <c r="DC222" s="395">
        <f t="shared" ca="1" si="440"/>
        <v>0</v>
      </c>
      <c r="DD222" s="395">
        <f t="shared" ca="1" si="440"/>
        <v>0</v>
      </c>
      <c r="DE222" s="395">
        <f t="shared" ca="1" si="440"/>
        <v>0</v>
      </c>
      <c r="DF222" s="395">
        <f t="shared" ca="1" si="440"/>
        <v>0</v>
      </c>
      <c r="DG222" s="395">
        <f t="shared" ca="1" si="440"/>
        <v>0</v>
      </c>
      <c r="DH222" s="395">
        <f t="shared" ca="1" si="440"/>
        <v>0</v>
      </c>
      <c r="DI222" s="395">
        <f t="shared" ca="1" si="440"/>
        <v>0</v>
      </c>
      <c r="DJ222" s="395">
        <f t="shared" ca="1" si="440"/>
        <v>0</v>
      </c>
      <c r="DK222" s="395">
        <f t="shared" ca="1" si="440"/>
        <v>0</v>
      </c>
      <c r="DL222" s="395">
        <f t="shared" ca="1" si="440"/>
        <v>0</v>
      </c>
      <c r="DM222" s="395">
        <f t="shared" ca="1" si="440"/>
        <v>0</v>
      </c>
      <c r="DN222" s="395">
        <f t="shared" ca="1" si="440"/>
        <v>0</v>
      </c>
      <c r="DO222" s="395">
        <f t="shared" ca="1" si="440"/>
        <v>0</v>
      </c>
      <c r="DP222" s="395">
        <f t="shared" ca="1" si="440"/>
        <v>0</v>
      </c>
      <c r="DQ222" s="395">
        <f t="shared" ca="1" si="440"/>
        <v>0</v>
      </c>
      <c r="DR222" s="395">
        <f t="shared" ca="1" si="440"/>
        <v>0</v>
      </c>
      <c r="DS222" s="395">
        <f t="shared" ca="1" si="440"/>
        <v>0</v>
      </c>
      <c r="DT222" s="395">
        <f t="shared" ca="1" si="440"/>
        <v>0</v>
      </c>
      <c r="DU222" s="395">
        <f t="shared" ca="1" si="440"/>
        <v>0</v>
      </c>
      <c r="DV222" s="395">
        <f t="shared" ca="1" si="440"/>
        <v>0</v>
      </c>
      <c r="DW222" s="395">
        <f t="shared" ca="1" si="440"/>
        <v>0</v>
      </c>
      <c r="DX222" s="395">
        <f t="shared" ca="1" si="440"/>
        <v>0</v>
      </c>
      <c r="DY222" s="395">
        <f t="shared" ca="1" si="440"/>
        <v>0</v>
      </c>
      <c r="DZ222" s="395">
        <f t="shared" ca="1" si="440"/>
        <v>0</v>
      </c>
      <c r="EA222" s="395">
        <f t="shared" ca="1" si="440"/>
        <v>0</v>
      </c>
      <c r="EB222" s="395">
        <f t="shared" ca="1" si="440"/>
        <v>0</v>
      </c>
      <c r="EC222" s="395">
        <f t="shared" ca="1" si="440"/>
        <v>0</v>
      </c>
      <c r="ED222" s="395">
        <f t="shared" ca="1" si="440"/>
        <v>0</v>
      </c>
      <c r="EE222" s="395">
        <f t="shared" ca="1" si="440"/>
        <v>0</v>
      </c>
      <c r="EF222" s="395">
        <f t="shared" ref="EF222:EI222" ca="1" si="441">IF($E$411=0,0,(100%/$E411)*EF411)</f>
        <v>0</v>
      </c>
      <c r="EG222" s="395">
        <f t="shared" ca="1" si="441"/>
        <v>0</v>
      </c>
      <c r="EH222" s="395">
        <f t="shared" ca="1" si="441"/>
        <v>0</v>
      </c>
      <c r="EI222" s="395">
        <f t="shared" ca="1" si="441"/>
        <v>0</v>
      </c>
      <c r="EJ222" s="398"/>
      <c r="EK222" s="313"/>
    </row>
    <row r="223" spans="1:141" hidden="1" outlineLevel="2">
      <c r="A223" s="332"/>
      <c r="B223" s="313"/>
      <c r="C223" s="305" t="s">
        <v>555</v>
      </c>
      <c r="D223" s="319" t="s">
        <v>197</v>
      </c>
      <c r="E223" s="393">
        <f t="shared" ca="1" si="438"/>
        <v>0</v>
      </c>
      <c r="F223" s="394">
        <f t="shared" ca="1" si="283"/>
        <v>1</v>
      </c>
      <c r="G223" s="395">
        <f ca="1">IF($E$416=0,0,(100%/$E416)*G416)</f>
        <v>0</v>
      </c>
      <c r="H223" s="395">
        <f t="shared" ref="H223:BS223" ca="1" si="442">IF($E$416=0,0,(100%/$E416)*H416)</f>
        <v>0</v>
      </c>
      <c r="I223" s="395">
        <f t="shared" ca="1" si="442"/>
        <v>0</v>
      </c>
      <c r="J223" s="395">
        <f t="shared" ca="1" si="442"/>
        <v>0</v>
      </c>
      <c r="K223" s="395">
        <f t="shared" ca="1" si="442"/>
        <v>0</v>
      </c>
      <c r="L223" s="395">
        <f t="shared" ca="1" si="442"/>
        <v>0</v>
      </c>
      <c r="M223" s="395">
        <f t="shared" ca="1" si="442"/>
        <v>0</v>
      </c>
      <c r="N223" s="395">
        <f t="shared" ca="1" si="442"/>
        <v>0</v>
      </c>
      <c r="O223" s="395">
        <f t="shared" ca="1" si="442"/>
        <v>0</v>
      </c>
      <c r="P223" s="395">
        <f t="shared" ca="1" si="442"/>
        <v>0</v>
      </c>
      <c r="Q223" s="395">
        <f t="shared" ca="1" si="442"/>
        <v>0</v>
      </c>
      <c r="R223" s="395">
        <f t="shared" ca="1" si="442"/>
        <v>0</v>
      </c>
      <c r="S223" s="395">
        <f t="shared" ca="1" si="442"/>
        <v>0</v>
      </c>
      <c r="T223" s="395">
        <f t="shared" ca="1" si="442"/>
        <v>0</v>
      </c>
      <c r="U223" s="395">
        <f t="shared" ca="1" si="442"/>
        <v>0</v>
      </c>
      <c r="V223" s="395">
        <f t="shared" ca="1" si="442"/>
        <v>0</v>
      </c>
      <c r="W223" s="395">
        <f t="shared" ca="1" si="442"/>
        <v>0</v>
      </c>
      <c r="X223" s="395">
        <f t="shared" ca="1" si="442"/>
        <v>0</v>
      </c>
      <c r="Y223" s="395">
        <f t="shared" ca="1" si="442"/>
        <v>0</v>
      </c>
      <c r="Z223" s="395">
        <f t="shared" ca="1" si="442"/>
        <v>0</v>
      </c>
      <c r="AA223" s="395">
        <f t="shared" ca="1" si="442"/>
        <v>0</v>
      </c>
      <c r="AB223" s="395">
        <f t="shared" ca="1" si="442"/>
        <v>0.35249999999999987</v>
      </c>
      <c r="AC223" s="395">
        <f t="shared" ca="1" si="442"/>
        <v>0.38750000000000001</v>
      </c>
      <c r="AD223" s="395">
        <f t="shared" ca="1" si="442"/>
        <v>0.26000000000000018</v>
      </c>
      <c r="AE223" s="395">
        <f t="shared" ca="1" si="442"/>
        <v>0</v>
      </c>
      <c r="AF223" s="395">
        <f t="shared" ca="1" si="442"/>
        <v>0</v>
      </c>
      <c r="AG223" s="395">
        <f t="shared" ca="1" si="442"/>
        <v>0</v>
      </c>
      <c r="AH223" s="395">
        <f t="shared" ca="1" si="442"/>
        <v>0</v>
      </c>
      <c r="AI223" s="395">
        <f t="shared" ca="1" si="442"/>
        <v>0</v>
      </c>
      <c r="AJ223" s="395">
        <f t="shared" ca="1" si="442"/>
        <v>0</v>
      </c>
      <c r="AK223" s="395">
        <f t="shared" ca="1" si="442"/>
        <v>0</v>
      </c>
      <c r="AL223" s="395">
        <f t="shared" ca="1" si="442"/>
        <v>0</v>
      </c>
      <c r="AM223" s="395">
        <f t="shared" ca="1" si="442"/>
        <v>0</v>
      </c>
      <c r="AN223" s="395">
        <f t="shared" ca="1" si="442"/>
        <v>0</v>
      </c>
      <c r="AO223" s="395">
        <f t="shared" ca="1" si="442"/>
        <v>0</v>
      </c>
      <c r="AP223" s="395">
        <f t="shared" ca="1" si="442"/>
        <v>0</v>
      </c>
      <c r="AQ223" s="395">
        <f t="shared" ca="1" si="442"/>
        <v>0</v>
      </c>
      <c r="AR223" s="395">
        <f t="shared" ca="1" si="442"/>
        <v>0</v>
      </c>
      <c r="AS223" s="395">
        <f t="shared" ca="1" si="442"/>
        <v>0</v>
      </c>
      <c r="AT223" s="395">
        <f t="shared" ca="1" si="442"/>
        <v>0</v>
      </c>
      <c r="AU223" s="395">
        <f t="shared" ca="1" si="442"/>
        <v>0</v>
      </c>
      <c r="AV223" s="395">
        <f t="shared" ca="1" si="442"/>
        <v>0</v>
      </c>
      <c r="AW223" s="395">
        <f t="shared" ca="1" si="442"/>
        <v>0</v>
      </c>
      <c r="AX223" s="395">
        <f t="shared" ca="1" si="442"/>
        <v>0</v>
      </c>
      <c r="AY223" s="395">
        <f t="shared" ca="1" si="442"/>
        <v>0</v>
      </c>
      <c r="AZ223" s="395">
        <f t="shared" ca="1" si="442"/>
        <v>0</v>
      </c>
      <c r="BA223" s="395">
        <f t="shared" ca="1" si="442"/>
        <v>0</v>
      </c>
      <c r="BB223" s="395">
        <f t="shared" ca="1" si="442"/>
        <v>0</v>
      </c>
      <c r="BC223" s="395">
        <f t="shared" ca="1" si="442"/>
        <v>0</v>
      </c>
      <c r="BD223" s="395">
        <f t="shared" ca="1" si="442"/>
        <v>0</v>
      </c>
      <c r="BE223" s="395">
        <f t="shared" ca="1" si="442"/>
        <v>0</v>
      </c>
      <c r="BF223" s="395">
        <f t="shared" ca="1" si="442"/>
        <v>0</v>
      </c>
      <c r="BG223" s="395">
        <f t="shared" ca="1" si="442"/>
        <v>0</v>
      </c>
      <c r="BH223" s="395">
        <f t="shared" ca="1" si="442"/>
        <v>0</v>
      </c>
      <c r="BI223" s="395">
        <f t="shared" ca="1" si="442"/>
        <v>0</v>
      </c>
      <c r="BJ223" s="395">
        <f t="shared" ca="1" si="442"/>
        <v>0</v>
      </c>
      <c r="BK223" s="395">
        <f t="shared" ca="1" si="442"/>
        <v>0</v>
      </c>
      <c r="BL223" s="395">
        <f t="shared" ca="1" si="442"/>
        <v>0</v>
      </c>
      <c r="BM223" s="395">
        <f t="shared" ca="1" si="442"/>
        <v>0</v>
      </c>
      <c r="BN223" s="395">
        <f t="shared" ca="1" si="442"/>
        <v>0</v>
      </c>
      <c r="BO223" s="395">
        <f t="shared" ca="1" si="442"/>
        <v>0</v>
      </c>
      <c r="BP223" s="395">
        <f t="shared" ca="1" si="442"/>
        <v>0</v>
      </c>
      <c r="BQ223" s="395">
        <f t="shared" ca="1" si="442"/>
        <v>0</v>
      </c>
      <c r="BR223" s="395">
        <f t="shared" ca="1" si="442"/>
        <v>0</v>
      </c>
      <c r="BS223" s="395">
        <f t="shared" ca="1" si="442"/>
        <v>0</v>
      </c>
      <c r="BT223" s="395">
        <f t="shared" ref="BT223:EE223" ca="1" si="443">IF($E$416=0,0,(100%/$E416)*BT416)</f>
        <v>0</v>
      </c>
      <c r="BU223" s="395">
        <f t="shared" ca="1" si="443"/>
        <v>0</v>
      </c>
      <c r="BV223" s="395">
        <f t="shared" ca="1" si="443"/>
        <v>0</v>
      </c>
      <c r="BW223" s="395">
        <f t="shared" ca="1" si="443"/>
        <v>0</v>
      </c>
      <c r="BX223" s="395">
        <f t="shared" ca="1" si="443"/>
        <v>0</v>
      </c>
      <c r="BY223" s="395">
        <f t="shared" ca="1" si="443"/>
        <v>0</v>
      </c>
      <c r="BZ223" s="395">
        <f t="shared" ca="1" si="443"/>
        <v>0</v>
      </c>
      <c r="CA223" s="395">
        <f t="shared" ca="1" si="443"/>
        <v>0</v>
      </c>
      <c r="CB223" s="395">
        <f t="shared" ca="1" si="443"/>
        <v>0</v>
      </c>
      <c r="CC223" s="395">
        <f t="shared" ca="1" si="443"/>
        <v>0</v>
      </c>
      <c r="CD223" s="395">
        <f t="shared" ca="1" si="443"/>
        <v>0</v>
      </c>
      <c r="CE223" s="395">
        <f t="shared" ca="1" si="443"/>
        <v>0</v>
      </c>
      <c r="CF223" s="395">
        <f t="shared" ca="1" si="443"/>
        <v>0</v>
      </c>
      <c r="CG223" s="395">
        <f t="shared" ca="1" si="443"/>
        <v>0</v>
      </c>
      <c r="CH223" s="395">
        <f t="shared" ca="1" si="443"/>
        <v>0</v>
      </c>
      <c r="CI223" s="395">
        <f t="shared" ca="1" si="443"/>
        <v>0</v>
      </c>
      <c r="CJ223" s="395">
        <f t="shared" ca="1" si="443"/>
        <v>0</v>
      </c>
      <c r="CK223" s="395">
        <f t="shared" ca="1" si="443"/>
        <v>0</v>
      </c>
      <c r="CL223" s="395">
        <f t="shared" ca="1" si="443"/>
        <v>0</v>
      </c>
      <c r="CM223" s="395">
        <f t="shared" ca="1" si="443"/>
        <v>0</v>
      </c>
      <c r="CN223" s="395">
        <f t="shared" ca="1" si="443"/>
        <v>0</v>
      </c>
      <c r="CO223" s="395">
        <f t="shared" ca="1" si="443"/>
        <v>0</v>
      </c>
      <c r="CP223" s="395">
        <f t="shared" ca="1" si="443"/>
        <v>0</v>
      </c>
      <c r="CQ223" s="395">
        <f t="shared" ca="1" si="443"/>
        <v>0</v>
      </c>
      <c r="CR223" s="395">
        <f t="shared" ca="1" si="443"/>
        <v>0</v>
      </c>
      <c r="CS223" s="395">
        <f t="shared" ca="1" si="443"/>
        <v>0</v>
      </c>
      <c r="CT223" s="395">
        <f t="shared" ca="1" si="443"/>
        <v>0</v>
      </c>
      <c r="CU223" s="395">
        <f t="shared" ca="1" si="443"/>
        <v>0</v>
      </c>
      <c r="CV223" s="395">
        <f t="shared" ca="1" si="443"/>
        <v>0</v>
      </c>
      <c r="CW223" s="395">
        <f t="shared" ca="1" si="443"/>
        <v>0</v>
      </c>
      <c r="CX223" s="395">
        <f t="shared" ca="1" si="443"/>
        <v>0</v>
      </c>
      <c r="CY223" s="395">
        <f t="shared" ca="1" si="443"/>
        <v>0</v>
      </c>
      <c r="CZ223" s="395">
        <f t="shared" ca="1" si="443"/>
        <v>0</v>
      </c>
      <c r="DA223" s="395">
        <f t="shared" ca="1" si="443"/>
        <v>0</v>
      </c>
      <c r="DB223" s="395">
        <f t="shared" ca="1" si="443"/>
        <v>0</v>
      </c>
      <c r="DC223" s="395">
        <f t="shared" ca="1" si="443"/>
        <v>0</v>
      </c>
      <c r="DD223" s="395">
        <f t="shared" ca="1" si="443"/>
        <v>0</v>
      </c>
      <c r="DE223" s="395">
        <f t="shared" ca="1" si="443"/>
        <v>0</v>
      </c>
      <c r="DF223" s="395">
        <f t="shared" ca="1" si="443"/>
        <v>0</v>
      </c>
      <c r="DG223" s="395">
        <f t="shared" ca="1" si="443"/>
        <v>0</v>
      </c>
      <c r="DH223" s="395">
        <f t="shared" ca="1" si="443"/>
        <v>0</v>
      </c>
      <c r="DI223" s="395">
        <f t="shared" ca="1" si="443"/>
        <v>0</v>
      </c>
      <c r="DJ223" s="395">
        <f t="shared" ca="1" si="443"/>
        <v>0</v>
      </c>
      <c r="DK223" s="395">
        <f t="shared" ca="1" si="443"/>
        <v>0</v>
      </c>
      <c r="DL223" s="395">
        <f t="shared" ca="1" si="443"/>
        <v>0</v>
      </c>
      <c r="DM223" s="395">
        <f t="shared" ca="1" si="443"/>
        <v>0</v>
      </c>
      <c r="DN223" s="395">
        <f t="shared" ca="1" si="443"/>
        <v>0</v>
      </c>
      <c r="DO223" s="395">
        <f t="shared" ca="1" si="443"/>
        <v>0</v>
      </c>
      <c r="DP223" s="395">
        <f t="shared" ca="1" si="443"/>
        <v>0</v>
      </c>
      <c r="DQ223" s="395">
        <f t="shared" ca="1" si="443"/>
        <v>0</v>
      </c>
      <c r="DR223" s="395">
        <f t="shared" ca="1" si="443"/>
        <v>0</v>
      </c>
      <c r="DS223" s="395">
        <f t="shared" ca="1" si="443"/>
        <v>0</v>
      </c>
      <c r="DT223" s="395">
        <f t="shared" ca="1" si="443"/>
        <v>0</v>
      </c>
      <c r="DU223" s="395">
        <f t="shared" ca="1" si="443"/>
        <v>0</v>
      </c>
      <c r="DV223" s="395">
        <f t="shared" ca="1" si="443"/>
        <v>0</v>
      </c>
      <c r="DW223" s="395">
        <f t="shared" ca="1" si="443"/>
        <v>0</v>
      </c>
      <c r="DX223" s="395">
        <f t="shared" ca="1" si="443"/>
        <v>0</v>
      </c>
      <c r="DY223" s="395">
        <f t="shared" ca="1" si="443"/>
        <v>0</v>
      </c>
      <c r="DZ223" s="395">
        <f t="shared" ca="1" si="443"/>
        <v>0</v>
      </c>
      <c r="EA223" s="395">
        <f t="shared" ca="1" si="443"/>
        <v>0</v>
      </c>
      <c r="EB223" s="395">
        <f t="shared" ca="1" si="443"/>
        <v>0</v>
      </c>
      <c r="EC223" s="395">
        <f t="shared" ca="1" si="443"/>
        <v>0</v>
      </c>
      <c r="ED223" s="395">
        <f t="shared" ca="1" si="443"/>
        <v>0</v>
      </c>
      <c r="EE223" s="395">
        <f t="shared" ca="1" si="443"/>
        <v>0</v>
      </c>
      <c r="EF223" s="395">
        <f t="shared" ref="EF223:EI223" ca="1" si="444">IF($E$416=0,0,(100%/$E416)*EF416)</f>
        <v>0</v>
      </c>
      <c r="EG223" s="395">
        <f t="shared" ca="1" si="444"/>
        <v>0</v>
      </c>
      <c r="EH223" s="395">
        <f t="shared" ca="1" si="444"/>
        <v>0</v>
      </c>
      <c r="EI223" s="395">
        <f t="shared" ca="1" si="444"/>
        <v>0</v>
      </c>
      <c r="EJ223" s="398"/>
      <c r="EK223" s="313"/>
    </row>
    <row r="224" spans="1:141" hidden="1" outlineLevel="1" collapsed="1">
      <c r="A224" s="332"/>
      <c r="B224" s="313"/>
    </row>
    <row r="225" spans="1:152" collapsed="1">
      <c r="A225" s="332"/>
      <c r="B225" s="313"/>
    </row>
    <row r="226" spans="1:152">
      <c r="A226" s="332"/>
      <c r="B226" s="313"/>
      <c r="D226" s="390" t="s">
        <v>669</v>
      </c>
      <c r="G226" s="391"/>
      <c r="H226" s="391">
        <f ca="1">IF(IF(SUM(I233:$EI$233)=0,H233,0)&gt;=H3,H3,IF(SUM(I233:$EI$233)=0,H233,0))</f>
        <v>0</v>
      </c>
      <c r="I226" s="391">
        <f ca="1">IF(IF(SUM(J233:$EI$233)=0,I233,0)&gt;=I3,I3,IF(SUM(J233:$EI$233)=0,I233,0))</f>
        <v>0</v>
      </c>
      <c r="J226" s="391">
        <f ca="1">IF(IF(SUM(K233:$EI$233)=0,J233,0)&gt;=J3,J3,IF(SUM(K233:$EI$233)=0,J233,0))</f>
        <v>0</v>
      </c>
      <c r="K226" s="391">
        <f ca="1">IF(IF(SUM(L233:$EI$233)=0,K233,0)&gt;=K3,K3,IF(SUM(L233:$EI$233)=0,K233,0))</f>
        <v>0</v>
      </c>
      <c r="L226" s="391">
        <f ca="1">IF(IF(SUM(M233:$EI$233)=0,L233,0)&gt;=L3,L3,IF(SUM(M233:$EI$233)=0,L233,0))</f>
        <v>0</v>
      </c>
      <c r="M226" s="391">
        <f ca="1">IF(IF(SUM(N233:$EI$233)=0,M233,0)&gt;=M3,M3,IF(SUM(N233:$EI$233)=0,M233,0))</f>
        <v>0</v>
      </c>
      <c r="N226" s="391">
        <f ca="1">IF(IF(SUM(O238:$EI$238,O248:$EI$248)=0,N238+N248,0)&gt;=N3,N3,IF(SUM(O238:$EI$238,O248:$EI$248)=0,N238+N248,0))</f>
        <v>0</v>
      </c>
      <c r="O226" s="391">
        <f ca="1">IF(IF(SUM(P238:$EI$238,P248:$EI$248)=0,O238+O248,0)&gt;=O3,O3,IF(SUM(P238:$EI$238,P248:$EI$248)=0,O238+O248,0))</f>
        <v>0</v>
      </c>
      <c r="P226" s="391">
        <f ca="1">IF(IF(SUM(Q238:$EI$238,Q248:$EI$248)=0,P238+P248,0)&gt;=P3,P3,IF(SUM(Q238:$EI$238,Q248:$EI$248)=0,P238+P248,0))</f>
        <v>0</v>
      </c>
      <c r="Q226" s="391">
        <f ca="1">IF(IF(SUM(R238:$EI$238,R248:$EI$248)=0,Q238+Q248,0)&gt;=Q3,Q3,IF(SUM(R238:$EI$238,R248:$EI$248)=0,Q238+Q248,0))</f>
        <v>0</v>
      </c>
      <c r="R226" s="391">
        <f ca="1">IF(IF(SUM(S238:$EI$238,S248:$EI$248)=0,R238+R248,0)&gt;=R3,R3,IF(SUM(S238:$EI$238,S248:$EI$248)=0,R238+R248,0))</f>
        <v>0</v>
      </c>
      <c r="S226" s="391">
        <f ca="1">IF(IF(SUM(T238:$EI$238,T248:$EI$248)=0,S238+S248,0)&gt;=S3,S3,IF(SUM(T238:$EI$238,T248:$EI$248)=0,S238+S248,0))</f>
        <v>0</v>
      </c>
      <c r="T226" s="391">
        <f ca="1">IF(IF(SUM(U238:$EI$238,U248:$EI$248)=0,T238+T248,0)&gt;=T3,T3,IF(SUM(U238:$EI$238,U248:$EI$248)=0,T238+T248,0))</f>
        <v>0</v>
      </c>
      <c r="U226" s="391">
        <f ca="1">IF(IF(SUM(V238:$EI$238,V248:$EI$248)=0,U238+U248,0)&gt;=U3,U3,IF(SUM(V238:$EI$238,V248:$EI$248)=0,U238+U248,0))</f>
        <v>10</v>
      </c>
      <c r="V226" s="391">
        <f ca="1">IF(IF(SUM(W238:$EI$238,W248:$EI$248)=0,V238+V248,0)&gt;=V3,V3,IF(SUM(W238:$EI$238,W248:$EI$248)=0,V238+V248,0))</f>
        <v>0</v>
      </c>
      <c r="W226" s="391">
        <f ca="1">IF(IF(SUM(X238:$EI$238,X248:$EI$248)=0,W238+W248,0)&gt;=W3,W3,IF(SUM(X238:$EI$238,X248:$EI$248)=0,W238+W248,0))</f>
        <v>0</v>
      </c>
      <c r="X226" s="391">
        <f ca="1">IF(IF(SUM(Y238:$EI$238,Y248:$EI$248)=0,X238+X248,0)&gt;=X3,X3,IF(SUM(Y238:$EI$238,Y248:$EI$248)=0,X238+X248,0))</f>
        <v>0</v>
      </c>
      <c r="Y226" s="391">
        <f ca="1">IF(IF(SUM(Z238:$EI$238,Z248:$EI$248)=0,Y238+Y248,0)&gt;=Y3,Y3,IF(SUM(Z238:$EI$238,Z248:$EI$248)=0,Y238+Y248,0))</f>
        <v>0</v>
      </c>
      <c r="Z226" s="391">
        <f ca="1">IF(IF(SUM(AA238:$EI$238,AA248:$EI$248)=0,Z238+Z248,0)&gt;=Z3,Z3,IF(SUM(AA238:$EI$238,AA248:$EI$248)=0,Z238+Z248,0))</f>
        <v>0</v>
      </c>
      <c r="AA226" s="391">
        <f ca="1">IF(IF(SUM(AB238:$EI$238,AB248:$EI$248)=0,AA238+AA248,0)&gt;=AA3,AA3,IF(SUM(AB238:$EI$238,AB248:$EI$248)=0,AA238+AA248,0))</f>
        <v>0</v>
      </c>
      <c r="AB226" s="391">
        <f ca="1">IF(IF(SUM(AC238:$EI$238,AC248:$EI$248)=0,AB238+AB248,0)&gt;=AB3,AB3,IF(SUM(AC238:$EI$238,AC248:$EI$248)=0,AB238+AB248,0))</f>
        <v>0</v>
      </c>
      <c r="AC226" s="391">
        <f ca="1">IF(IF(SUM(AD238:$EI$238,AD248:$EI$248)=0,AC238+AC248,0)&gt;=AC3,AC3,IF(SUM(AD238:$EI$238,AD248:$EI$248)=0,AC238+AC248,0))</f>
        <v>0</v>
      </c>
      <c r="AD226" s="391">
        <f ca="1">IF(IF(SUM(AE238:$EI$238,AE248:$EI$248)=0,AD238+AD248,0)&gt;=AD3,AD3,IF(SUM(AE238:$EI$238,AE248:$EI$248)=0,AD238+AD248,0))</f>
        <v>0</v>
      </c>
      <c r="AE226" s="391">
        <f ca="1">IF(IF(SUM(AF238:$EI$238,AF248:$EI$248)=0,AE238+AE248,0)&gt;=AE3,AE3,IF(SUM(AF238:$EI$238,AF248:$EI$248)=0,AE238+AE248,0))</f>
        <v>0</v>
      </c>
      <c r="AF226" s="391">
        <f ca="1">IF(IF(SUM(AG238:$EI$238,AG248:$EI$248)=0,AF238+AF248,0)&gt;=AF3,AF3,IF(SUM(AG238:$EI$238,AG248:$EI$248)=0,AF238+AF248,0))</f>
        <v>0</v>
      </c>
      <c r="AG226" s="391">
        <f ca="1">IF(IF(SUM(AH238:$EI$238,AH248:$EI$248)=0,AG238+AG248,0)&gt;=AG3,AG3,IF(SUM(AH238:$EI$238,AH248:$EI$248)=0,AG238+AG248,0))</f>
        <v>0</v>
      </c>
      <c r="AH226" s="391">
        <f ca="1">IF(IF(SUM(AI238:$EI$238,AI248:$EI$248)=0,AH238+AH248,0)&gt;=AH3,AH3,IF(SUM(AI238:$EI$238,AI248:$EI$248)=0,AH238+AH248,0))</f>
        <v>0</v>
      </c>
      <c r="AI226" s="391">
        <f ca="1">IF(IF(SUM(AJ238:$EI$238,AJ248:$EI$248)=0,AI238+AI248,0)&gt;=AI3,AI3,IF(SUM(AJ238:$EI$238,AJ248:$EI$248)=0,AI238+AI248,0))</f>
        <v>0</v>
      </c>
      <c r="AJ226" s="391">
        <f ca="1">IF(IF(SUM(AK238:$EI$238,AK248:$EI$248)=0,AJ238+AJ248,0)&gt;=AJ3,AJ3,IF(SUM(AK238:$EI$238,AK248:$EI$248)=0,AJ238+AJ248,0))</f>
        <v>0</v>
      </c>
      <c r="AK226" s="391">
        <f ca="1">IF(IF(SUM(AL238:$EI$238,AL248:$EI$248)=0,AK238+AK248,0)&gt;=AK3,AK3,IF(SUM(AL238:$EI$238,AL248:$EI$248)=0,AK238+AK248,0))</f>
        <v>0</v>
      </c>
      <c r="AL226" s="391">
        <f ca="1">IF(IF(SUM(AM238:$EI$238,AM248:$EI$248)=0,AL238+AL248,0)&gt;=AL3,AL3,IF(SUM(AM238:$EI$238,AM248:$EI$248)=0,AL238+AL248,0))</f>
        <v>0</v>
      </c>
      <c r="AM226" s="391">
        <f ca="1">IF(IF(SUM(AN238:$EI$238,AN248:$EI$248)=0,AM238+AM248,0)&gt;=AM3,AM3,IF(SUM(AN238:$EI$238,AN248:$EI$248)=0,AM238+AM248,0))</f>
        <v>0</v>
      </c>
      <c r="AN226" s="391">
        <f ca="1">IF(IF(SUM(AO238:$EI$238,AO248:$EI$248)=0,AN238+AN248,0)&gt;=AN3,AN3,IF(SUM(AO238:$EI$238,AO248:$EI$248)=0,AN238+AN248,0))</f>
        <v>0</v>
      </c>
      <c r="AO226" s="391">
        <f ca="1">IF(IF(SUM(AP238:$EI$238,AP248:$EI$248)=0,AO238+AO248,0)&gt;=AO3,AO3,IF(SUM(AP238:$EI$238,AP248:$EI$248)=0,AO238+AO248,0))</f>
        <v>0</v>
      </c>
      <c r="AP226" s="391">
        <f ca="1">IF(IF(SUM(AQ238:$EI$238,AQ248:$EI$248)=0,AP238+AP248,0)&gt;=AP3,AP3,IF(SUM(AQ238:$EI$238,AQ248:$EI$248)=0,AP238+AP248,0))</f>
        <v>0</v>
      </c>
      <c r="AQ226" s="391">
        <f ca="1">IF(IF(SUM(AR238:$EI$238,AR248:$EI$248)=0,AQ238+AQ248,0)&gt;=AQ3,AQ3,IF(SUM(AR238:$EI$238,AR248:$EI$248)=0,AQ238+AQ248,0))</f>
        <v>0</v>
      </c>
      <c r="AR226" s="391">
        <f ca="1">IF(IF(SUM(AS238:$EI$238,AS248:$EI$248)=0,AR238+AR248,0)&gt;=AR3,AR3,IF(SUM(AS238:$EI$238,AS248:$EI$248)=0,AR238+AR248,0))</f>
        <v>0</v>
      </c>
      <c r="AS226" s="391">
        <f ca="1">IF(IF(SUM(AT238:$EI$238,AT248:$EI$248)=0,AS238+AS248,0)&gt;=AS3,AS3,IF(SUM(AT238:$EI$238,AT248:$EI$248)=0,AS238+AS248,0))</f>
        <v>0</v>
      </c>
      <c r="AT226" s="391">
        <f ca="1">IF(IF(SUM(AU238:$EI$238,AU248:$EI$248)=0,AT238+AT248,0)&gt;=AT3,AT3,IF(SUM(AU238:$EI$238,AU248:$EI$248)=0,AT238+AT248,0))</f>
        <v>0</v>
      </c>
      <c r="AU226" s="391">
        <f ca="1">IF(IF(SUM(AV238:$EI$238,AV248:$EI$248)=0,AU238+AU248,0)&gt;=AU3,AU3,IF(SUM(AV238:$EI$238,AV248:$EI$248)=0,AU238+AU248,0))</f>
        <v>0</v>
      </c>
      <c r="AV226" s="391">
        <f ca="1">IF(IF(SUM(AW238:$EI$238,AW248:$EI$248)=0,AV238+AV248,0)&gt;=AV3,AV3,IF(SUM(AW238:$EI$238,AW248:$EI$248)=0,AV238+AV248,0))</f>
        <v>0</v>
      </c>
      <c r="AW226" s="391">
        <f ca="1">IF(IF(SUM(AX238:$EI$238,AX248:$EI$248)=0,AW238+AW248,0)&gt;=AW3,AW3,IF(SUM(AX238:$EI$238,AX248:$EI$248)=0,AW238+AW248,0))</f>
        <v>0</v>
      </c>
      <c r="AX226" s="391">
        <f ca="1">IF(IF(SUM(AY238:$EI$238,AY248:$EI$248)=0,AX238+AX248,0)&gt;=AX3,AX3,IF(SUM(AY238:$EI$238,AY248:$EI$248)=0,AX238+AX248,0))</f>
        <v>0</v>
      </c>
      <c r="AY226" s="391">
        <f ca="1">IF(IF(SUM(AZ238:$EI$238,AZ248:$EI$248)=0,AY238+AY248,0)&gt;=AY3,AY3,IF(SUM(AZ238:$EI$238,AZ248:$EI$248)=0,AY238+AY248,0))</f>
        <v>0</v>
      </c>
      <c r="AZ226" s="391">
        <f ca="1">IF(IF(SUM(BA238:$EI$238,BA248:$EI$248)=0,AZ238+AZ248,0)&gt;=AZ3,AZ3,IF(SUM(BA238:$EI$238,BA248:$EI$248)=0,AZ238+AZ248,0))</f>
        <v>0</v>
      </c>
      <c r="BA226" s="391">
        <f ca="1">IF(IF(SUM(BB238:$EI$238,BB248:$EI$248)=0,BA238+BA248,0)&gt;=BA3,BA3,IF(SUM(BB238:$EI$238,BB248:$EI$248)=0,BA238+BA248,0))</f>
        <v>0</v>
      </c>
      <c r="BB226" s="391">
        <f ca="1">IF(IF(SUM(BC238:$EI$238,BC248:$EI$248)=0,BB238+BB248,0)&gt;=BB3,BB3,IF(SUM(BC238:$EI$238,BC248:$EI$248)=0,BB238+BB248,0))</f>
        <v>0</v>
      </c>
      <c r="BC226" s="391">
        <f ca="1">IF(IF(SUM(BD238:$EI$238,BD248:$EI$248)=0,BC238+BC248,0)&gt;=BC3,BC3,IF(SUM(BD238:$EI$238,BD248:$EI$248)=0,BC238+BC248,0))</f>
        <v>0</v>
      </c>
      <c r="BD226" s="391">
        <f ca="1">IF(IF(SUM(BE238:$EI$238,BE248:$EI$248)=0,BD238+BD248,0)&gt;=BD3,BD3,IF(SUM(BE238:$EI$238,BE248:$EI$248)=0,BD238+BD248,0))</f>
        <v>0</v>
      </c>
      <c r="BE226" s="391">
        <f ca="1">IF(IF(SUM(BF238:$EI$238,BF248:$EI$248)=0,BE238+BE248,0)&gt;=BE3,BE3,IF(SUM(BF238:$EI$238,BF248:$EI$248)=0,BE238+BE248,0))</f>
        <v>0</v>
      </c>
      <c r="BF226" s="391">
        <f ca="1">IF(IF(SUM(BG238:$EI$238,BG248:$EI$248)=0,BF238+BF248,0)&gt;=BF3,BF3,IF(SUM(BG238:$EI$238,BG248:$EI$248)=0,BF238+BF248,0))</f>
        <v>0</v>
      </c>
      <c r="BG226" s="391">
        <f ca="1">IF(IF(SUM(BH238:$EI$238,BH248:$EI$248)=0,BG238+BG248,0)&gt;=BG3,BG3,IF(SUM(BH238:$EI$238,BH248:$EI$248)=0,BG238+BG248,0))</f>
        <v>0</v>
      </c>
      <c r="BH226" s="391">
        <f ca="1">IF(IF(SUM(BI238:$EI$238,BI248:$EI$248)=0,BH238+BH248,0)&gt;=BH3,BH3,IF(SUM(BI238:$EI$238,BI248:$EI$248)=0,BH238+BH248,0))</f>
        <v>0</v>
      </c>
      <c r="BI226" s="391">
        <f ca="1">IF(IF(SUM(BJ238:$EI$238,BJ248:$EI$248)=0,BI238+BI248,0)&gt;=BI3,BI3,IF(SUM(BJ238:$EI$238,BJ248:$EI$248)=0,BI238+BI248,0))</f>
        <v>0</v>
      </c>
      <c r="BJ226" s="391">
        <f ca="1">IF(IF(SUM(BK238:$EI$238,BK248:$EI$248)=0,BJ238+BJ248,0)&gt;=BJ3,BJ3,IF(SUM(BK238:$EI$238,BK248:$EI$248)=0,BJ238+BJ248,0))</f>
        <v>0</v>
      </c>
      <c r="BK226" s="391">
        <f ca="1">IF(IF(SUM(BL238:$EI$238,BL248:$EI$248)=0,BK238+BK248,0)&gt;=BK3,BK3,IF(SUM(BL238:$EI$238,BL248:$EI$248)=0,BK238+BK248,0))</f>
        <v>0</v>
      </c>
      <c r="BL226" s="391">
        <f ca="1">IF(IF(SUM(BM238:$EI$238,BM248:$EI$248)=0,BL238+BL248,0)&gt;=BL3,BL3,IF(SUM(BM238:$EI$238,BM248:$EI$248)=0,BL238+BL248,0))</f>
        <v>0</v>
      </c>
      <c r="BM226" s="391">
        <f ca="1">IF(IF(SUM(BN238:$EI$238,BN248:$EI$248)=0,BM238+BM248,0)&gt;=BM3,BM3,IF(SUM(BN238:$EI$238,BN248:$EI$248)=0,BM238+BM248,0))</f>
        <v>0</v>
      </c>
      <c r="BN226" s="391">
        <f ca="1">IF(IF(SUM(BO238:$EI$238,BO248:$EI$248)=0,BN238+BN248,0)&gt;=BN3,BN3,IF(SUM(BO238:$EI$238,BO248:$EI$248)=0,BN238+BN248,0))</f>
        <v>0</v>
      </c>
      <c r="BO226" s="391">
        <f ca="1">IF(IF(SUM(BP238:$EI$238,BP248:$EI$248)=0,BO238+BO248,0)&gt;=BO3,BO3,IF(SUM(BP238:$EI$238,BP248:$EI$248)=0,BO238+BO248,0))</f>
        <v>0</v>
      </c>
      <c r="BP226" s="391">
        <f ca="1">IF(IF(SUM(BQ238:$EI$238,BQ248:$EI$248)=0,BP238+BP248,0)&gt;=BP3,BP3,IF(SUM(BQ238:$EI$238,BQ248:$EI$248)=0,BP238+BP248,0))</f>
        <v>0</v>
      </c>
      <c r="BQ226" s="391">
        <f ca="1">IF(IF(SUM(BR238:$EI$238,BR248:$EI$248)=0,BQ238+BQ248,0)&gt;=BQ3,BQ3,IF(SUM(BR238:$EI$238,BR248:$EI$248)=0,BQ238+BQ248,0))</f>
        <v>0</v>
      </c>
      <c r="BR226" s="391">
        <f ca="1">IF(IF(SUM(BS238:$EI$238,BS248:$EI$248)=0,BR238+BR248,0)&gt;=BR3,BR3,IF(SUM(BS238:$EI$238,BS248:$EI$248)=0,BR238+BR248,0))</f>
        <v>0</v>
      </c>
      <c r="BS226" s="391">
        <f ca="1">IF(IF(SUM(BT238:$EI$238,BT248:$EI$248)=0,BS238+BS248,0)&gt;=BS3,BS3,IF(SUM(BT238:$EI$238,BT248:$EI$248)=0,BS238+BS248,0))</f>
        <v>0</v>
      </c>
      <c r="BT226" s="391">
        <f ca="1">IF(IF(SUM(BU238:$EI$238,BU248:$EI$248)=0,BT238+BT248,0)&gt;=BT3,BT3,IF(SUM(BU238:$EI$238,BU248:$EI$248)=0,BT238+BT248,0))</f>
        <v>0</v>
      </c>
      <c r="BU226" s="391">
        <f ca="1">IF(IF(SUM(BV238:$EI$238,BV248:$EI$248)=0,BU238+BU248,0)&gt;=BU3,BU3,IF(SUM(BV238:$EI$238,BV248:$EI$248)=0,BU238+BU248,0))</f>
        <v>0</v>
      </c>
      <c r="BV226" s="391">
        <f ca="1">IF(IF(SUM(BW238:$EI$238,BW248:$EI$248)=0,BV238+BV248,0)&gt;=BV3,BV3,IF(SUM(BW238:$EI$238,BW248:$EI$248)=0,BV238+BV248,0))</f>
        <v>0</v>
      </c>
      <c r="BW226" s="391">
        <f ca="1">IF(IF(SUM(BX238:$EI$238,BX248:$EI$248)=0,BW238+BW248,0)&gt;=BW3,BW3,IF(SUM(BX238:$EI$238,BX248:$EI$248)=0,BW238+BW248,0))</f>
        <v>0</v>
      </c>
      <c r="BX226" s="391">
        <f ca="1">IF(IF(SUM(BY238:$EI$238,BY248:$EI$248)=0,BX238+BX248,0)&gt;=BX3,BX3,IF(SUM(BY238:$EI$238,BY248:$EI$248)=0,BX238+BX248,0))</f>
        <v>0</v>
      </c>
      <c r="BY226" s="391">
        <f ca="1">IF(IF(SUM(BZ238:$EI$238,BZ248:$EI$248)=0,BY238+BY248,0)&gt;=BY3,BY3,IF(SUM(BZ238:$EI$238,BZ248:$EI$248)=0,BY238+BY248,0))</f>
        <v>0</v>
      </c>
      <c r="BZ226" s="391">
        <f ca="1">IF(IF(SUM(CA238:$EI$238,CA248:$EI$248)=0,BZ238+BZ248,0)&gt;=BZ3,BZ3,IF(SUM(CA238:$EI$238,CA248:$EI$248)=0,BZ238+BZ248,0))</f>
        <v>0</v>
      </c>
      <c r="CA226" s="391">
        <f ca="1">IF(IF(SUM(CB238:$EI$238,CB248:$EI$248)=0,CA238+CA248,0)&gt;=CA3,CA3,IF(SUM(CB238:$EI$238,CB248:$EI$248)=0,CA238+CA248,0))</f>
        <v>0</v>
      </c>
      <c r="CB226" s="391">
        <f ca="1">IF(IF(SUM(CC238:$EI$238,CC248:$EI$248)=0,CB238+CB248,0)&gt;=CB3,CB3,IF(SUM(CC238:$EI$238,CC248:$EI$248)=0,CB238+CB248,0))</f>
        <v>0</v>
      </c>
      <c r="CC226" s="391">
        <f ca="1">IF(IF(SUM(CD238:$EI$238,CD248:$EI$248)=0,CC238+CC248,0)&gt;=CC3,CC3,IF(SUM(CD238:$EI$238,CD248:$EI$248)=0,CC238+CC248,0))</f>
        <v>0</v>
      </c>
      <c r="CD226" s="391">
        <f ca="1">IF(IF(SUM(CE238:$EI$238,CE248:$EI$248)=0,CD238+CD248,0)&gt;=CD3,CD3,IF(SUM(CE238:$EI$238,CE248:$EI$248)=0,CD238+CD248,0))</f>
        <v>0</v>
      </c>
      <c r="CE226" s="391">
        <f ca="1">IF(IF(SUM(CF238:$EI$238,CF248:$EI$248)=0,CE238+CE248,0)&gt;=CE3,CE3,IF(SUM(CF238:$EI$238,CF248:$EI$248)=0,CE238+CE248,0))</f>
        <v>0</v>
      </c>
      <c r="CF226" s="391">
        <f ca="1">IF(IF(SUM(CG238:$EI$238,CG248:$EI$248)=0,CF238+CF248,0)&gt;=CF3,CF3,IF(SUM(CG238:$EI$238,CG248:$EI$248)=0,CF238+CF248,0))</f>
        <v>0</v>
      </c>
      <c r="CG226" s="391">
        <f ca="1">IF(IF(SUM(CH238:$EI$238,CH248:$EI$248)=0,CG238+CG248,0)&gt;=CG3,CG3,IF(SUM(CH238:$EI$238,CH248:$EI$248)=0,CG238+CG248,0))</f>
        <v>0</v>
      </c>
      <c r="CH226" s="391">
        <f ca="1">IF(IF(SUM(CI238:$EI$238,CI248:$EI$248)=0,CH238+CH248,0)&gt;=CH3,CH3,IF(SUM(CI238:$EI$238,CI248:$EI$248)=0,CH238+CH248,0))</f>
        <v>0</v>
      </c>
      <c r="CI226" s="391">
        <f ca="1">IF(IF(SUM(CJ238:$EI$238,CJ248:$EI$248)=0,CI238+CI248,0)&gt;=CI3,CI3,IF(SUM(CJ238:$EI$238,CJ248:$EI$248)=0,CI238+CI248,0))</f>
        <v>0</v>
      </c>
      <c r="CJ226" s="391">
        <f ca="1">IF(IF(SUM(CK238:$EI$238,CK248:$EI$248)=0,CJ238+CJ248,0)&gt;=CJ3,CJ3,IF(SUM(CK238:$EI$238,CK248:$EI$248)=0,CJ238+CJ248,0))</f>
        <v>0</v>
      </c>
      <c r="CK226" s="391">
        <f ca="1">IF(IF(SUM(CL238:$EI$238,CL248:$EI$248)=0,CK238+CK248,0)&gt;=CK3,CK3,IF(SUM(CL238:$EI$238,CL248:$EI$248)=0,CK238+CK248,0))</f>
        <v>0</v>
      </c>
      <c r="CL226" s="391">
        <f ca="1">IF(IF(SUM(CM238:$EI$238,CM248:$EI$248)=0,CL238+CL248,0)&gt;=CL3,CL3,IF(SUM(CM238:$EI$238,CM248:$EI$248)=0,CL238+CL248,0))</f>
        <v>0</v>
      </c>
      <c r="CM226" s="391">
        <f ca="1">IF(IF(SUM(CN238:$EI$238,CN248:$EI$248)=0,CM238+CM248,0)&gt;=CM3,CM3,IF(SUM(CN238:$EI$238,CN248:$EI$248)=0,CM238+CM248,0))</f>
        <v>0</v>
      </c>
      <c r="CN226" s="391">
        <f ca="1">IF(IF(SUM(CO238:$EI$238,CO248:$EI$248)=0,CN238+CN248,0)&gt;=CN3,CN3,IF(SUM(CO238:$EI$238,CO248:$EI$248)=0,CN238+CN248,0))</f>
        <v>0</v>
      </c>
      <c r="CO226" s="391">
        <f ca="1">IF(IF(SUM(CP238:$EI$238,CP248:$EI$248)=0,CO238+CO248,0)&gt;=CO3,CO3,IF(SUM(CP238:$EI$238,CP248:$EI$248)=0,CO238+CO248,0))</f>
        <v>0</v>
      </c>
      <c r="CP226" s="391">
        <f ca="1">IF(IF(SUM(CQ238:$EI$238,CQ248:$EI$248)=0,CP238+CP248,0)&gt;=CP3,CP3,IF(SUM(CQ238:$EI$238,CQ248:$EI$248)=0,CP238+CP248,0))</f>
        <v>0</v>
      </c>
      <c r="CQ226" s="391">
        <f ca="1">IF(IF(SUM(CR238:$EI$238,CR248:$EI$248)=0,CQ238+CQ248,0)&gt;=CQ3,CQ3,IF(SUM(CR238:$EI$238,CR248:$EI$248)=0,CQ238+CQ248,0))</f>
        <v>0</v>
      </c>
      <c r="CR226" s="391">
        <f ca="1">IF(IF(SUM(CS238:$EI$238,CS248:$EI$248)=0,CR238+CR248,0)&gt;=CR3,CR3,IF(SUM(CS238:$EI$238,CS248:$EI$248)=0,CR238+CR248,0))</f>
        <v>0</v>
      </c>
      <c r="CS226" s="391">
        <f ca="1">IF(IF(SUM(CT238:$EI$238,CT248:$EI$248)=0,CS238+CS248,0)&gt;=CS3,CS3,IF(SUM(CT238:$EI$238,CT248:$EI$248)=0,CS238+CS248,0))</f>
        <v>0</v>
      </c>
      <c r="CT226" s="391">
        <f ca="1">IF(IF(SUM(CU238:$EI$238,CU248:$EI$248)=0,CT238+CT248,0)&gt;=CT3,CT3,IF(SUM(CU238:$EI$238,CU248:$EI$248)=0,CT238+CT248,0))</f>
        <v>0</v>
      </c>
      <c r="CU226" s="391">
        <f ca="1">IF(IF(SUM(CV238:$EI$238,CV248:$EI$248)=0,CU238+CU248,0)&gt;=CU3,CU3,IF(SUM(CV238:$EI$238,CV248:$EI$248)=0,CU238+CU248,0))</f>
        <v>0</v>
      </c>
      <c r="CV226" s="391">
        <f ca="1">IF(IF(SUM(CW238:$EI$238,CW248:$EI$248)=0,CV238+CV248,0)&gt;=CV3,CV3,IF(SUM(CW238:$EI$238,CW248:$EI$248)=0,CV238+CV248,0))</f>
        <v>0</v>
      </c>
      <c r="CW226" s="391">
        <f ca="1">IF(IF(SUM(CX238:$EI$238,CX248:$EI$248)=0,CW238+CW248,0)&gt;=CW3,CW3,IF(SUM(CX238:$EI$238,CX248:$EI$248)=0,CW238+CW248,0))</f>
        <v>0</v>
      </c>
      <c r="CX226" s="391">
        <f ca="1">IF(IF(SUM(CY238:$EI$238,CY248:$EI$248)=0,CX238+CX248,0)&gt;=CX3,CX3,IF(SUM(CY238:$EI$238,CY248:$EI$248)=0,CX238+CX248,0))</f>
        <v>0</v>
      </c>
      <c r="CY226" s="391">
        <f ca="1">IF(IF(SUM(CZ238:$EI$238,CZ248:$EI$248)=0,CY238+CY248,0)&gt;=CY3,CY3,IF(SUM(CZ238:$EI$238,CZ248:$EI$248)=0,CY238+CY248,0))</f>
        <v>0</v>
      </c>
      <c r="CZ226" s="391">
        <f ca="1">IF(IF(SUM(DA238:$EI$238,DA248:$EI$248)=0,CZ238+CZ248,0)&gt;=CZ3,CZ3,IF(SUM(DA238:$EI$238,DA248:$EI$248)=0,CZ238+CZ248,0))</f>
        <v>0</v>
      </c>
      <c r="DA226" s="391">
        <f ca="1">IF(IF(SUM(DB238:$EI$238,DB248:$EI$248)=0,DA238+DA248,0)&gt;=DA3,DA3,IF(SUM(DB238:$EI$238,DB248:$EI$248)=0,DA238+DA248,0))</f>
        <v>0</v>
      </c>
      <c r="DB226" s="391">
        <f ca="1">IF(IF(SUM(DC238:$EI$238,DC248:$EI$248)=0,DB238+DB248,0)&gt;=DB3,DB3,IF(SUM(DC238:$EI$238,DC248:$EI$248)=0,DB238+DB248,0))</f>
        <v>0</v>
      </c>
      <c r="DC226" s="391">
        <f ca="1">IF(IF(SUM(DD238:$EI$238,DD248:$EI$248)=0,DC238+DC248,0)&gt;=DC3,DC3,IF(SUM(DD238:$EI$238,DD248:$EI$248)=0,DC238+DC248,0))</f>
        <v>0</v>
      </c>
      <c r="DD226" s="391">
        <f ca="1">IF(IF(SUM(DE238:$EI$238,DE248:$EI$248)=0,DD238+DD248,0)&gt;=DD3,DD3,IF(SUM(DE238:$EI$238,DE248:$EI$248)=0,DD238+DD248,0))</f>
        <v>0</v>
      </c>
      <c r="DE226" s="391">
        <f ca="1">IF(IF(SUM(DF238:$EI$238,DF248:$EI$248)=0,DE238+DE248,0)&gt;=DE3,DE3,IF(SUM(DF238:$EI$238,DF248:$EI$248)=0,DE238+DE248,0))</f>
        <v>0</v>
      </c>
      <c r="DF226" s="391">
        <f ca="1">IF(IF(SUM(DG238:$EI$238,DG248:$EI$248)=0,DF238+DF248,0)&gt;=DF3,DF3,IF(SUM(DG238:$EI$238,DG248:$EI$248)=0,DF238+DF248,0))</f>
        <v>0</v>
      </c>
      <c r="DG226" s="391">
        <f ca="1">IF(IF(SUM(DH238:$EI$238,DH248:$EI$248)=0,DG238+DG248,0)&gt;=DG3,DG3,IF(SUM(DH238:$EI$238,DH248:$EI$248)=0,DG238+DG248,0))</f>
        <v>0</v>
      </c>
      <c r="DH226" s="391">
        <f ca="1">IF(IF(SUM(DI238:$EI$238,DI248:$EI$248)=0,DH238+DH248,0)&gt;=DH3,DH3,IF(SUM(DI238:$EI$238,DI248:$EI$248)=0,DH238+DH248,0))</f>
        <v>0</v>
      </c>
      <c r="DI226" s="391">
        <f ca="1">IF(IF(SUM(DJ238:$EI$238,DJ248:$EI$248)=0,DI238+DI248,0)&gt;=DI3,DI3,IF(SUM(DJ238:$EI$238,DJ248:$EI$248)=0,DI238+DI248,0))</f>
        <v>0</v>
      </c>
      <c r="DJ226" s="391">
        <f ca="1">IF(IF(SUM(DK238:$EI$238,DK248:$EI$248)=0,DJ238+DJ248,0)&gt;=DJ3,DJ3,IF(SUM(DK238:$EI$238,DK248:$EI$248)=0,DJ238+DJ248,0))</f>
        <v>0</v>
      </c>
      <c r="DK226" s="391">
        <f ca="1">IF(IF(SUM(DL238:$EI$238,DL248:$EI$248)=0,DK238+DK248,0)&gt;=DK3,DK3,IF(SUM(DL238:$EI$238,DL248:$EI$248)=0,DK238+DK248,0))</f>
        <v>0</v>
      </c>
      <c r="DL226" s="391">
        <f ca="1">IF(IF(SUM(DM238:$EI$238,DM248:$EI$248)=0,DL238+DL248,0)&gt;=DL3,DL3,IF(SUM(DM238:$EI$238,DM248:$EI$248)=0,DL238+DL248,0))</f>
        <v>0</v>
      </c>
      <c r="DM226" s="391">
        <f ca="1">IF(IF(SUM(DN238:$EI$238,DN248:$EI$248)=0,DM238+DM248,0)&gt;=DM3,DM3,IF(SUM(DN238:$EI$238,DN248:$EI$248)=0,DM238+DM248,0))</f>
        <v>0</v>
      </c>
      <c r="DN226" s="391">
        <f ca="1">IF(IF(SUM(DO238:$EI$238,DO248:$EI$248)=0,DN238+DN248,0)&gt;=DN3,DN3,IF(SUM(DO238:$EI$238,DO248:$EI$248)=0,DN238+DN248,0))</f>
        <v>0</v>
      </c>
      <c r="DO226" s="391">
        <f ca="1">IF(IF(SUM(DP238:$EI$238,DP248:$EI$248)=0,DO238+DO248,0)&gt;=DO3,DO3,IF(SUM(DP238:$EI$238,DP248:$EI$248)=0,DO238+DO248,0))</f>
        <v>0</v>
      </c>
      <c r="DP226" s="391">
        <f ca="1">IF(IF(SUM(DQ238:$EI$238,DQ248:$EI$248)=0,DP238+DP248,0)&gt;=DP3,DP3,IF(SUM(DQ238:$EI$238,DQ248:$EI$248)=0,DP238+DP248,0))</f>
        <v>0</v>
      </c>
      <c r="DQ226" s="391">
        <f ca="1">IF(IF(SUM(DR238:$EI$238,DR248:$EI$248)=0,DQ238+DQ248,0)&gt;=DQ3,DQ3,IF(SUM(DR238:$EI$238,DR248:$EI$248)=0,DQ238+DQ248,0))</f>
        <v>0</v>
      </c>
      <c r="DR226" s="391">
        <f ca="1">IF(IF(SUM(DS238:$EI$238,DS248:$EI$248)=0,DR238+DR248,0)&gt;=DR3,DR3,IF(SUM(DS238:$EI$238,DS248:$EI$248)=0,DR238+DR248,0))</f>
        <v>0</v>
      </c>
      <c r="DS226" s="391">
        <f ca="1">IF(IF(SUM(DT238:$EI$238,DT248:$EI$248)=0,DS238+DS248,0)&gt;=DS3,DS3,IF(SUM(DT238:$EI$238,DT248:$EI$248)=0,DS238+DS248,0))</f>
        <v>0</v>
      </c>
      <c r="DT226" s="391">
        <f ca="1">IF(IF(SUM(DU238:$EI$238,DU248:$EI$248)=0,DT238+DT248,0)&gt;=DT3,DT3,IF(SUM(DU238:$EI$238,DU248:$EI$248)=0,DT238+DT248,0))</f>
        <v>0</v>
      </c>
      <c r="DU226" s="391">
        <f ca="1">IF(IF(SUM(DV238:$EI$238,DV248:$EI$248)=0,DU238+DU248,0)&gt;=DU3,DU3,IF(SUM(DV238:$EI$238,DV248:$EI$248)=0,DU238+DU248,0))</f>
        <v>0</v>
      </c>
      <c r="DV226" s="391">
        <f ca="1">IF(IF(SUM(DW238:$EI$238,DW248:$EI$248)=0,DV238+DV248,0)&gt;=DV3,DV3,IF(SUM(DW238:$EI$238,DW248:$EI$248)=0,DV238+DV248,0))</f>
        <v>0</v>
      </c>
      <c r="DW226" s="391">
        <f ca="1">IF(IF(SUM(DX238:$EI$238,DX248:$EI$248)=0,DW238+DW248,0)&gt;=DW3,DW3,IF(SUM(DX238:$EI$238,DX248:$EI$248)=0,DW238+DW248,0))</f>
        <v>0</v>
      </c>
      <c r="DX226" s="391">
        <f ca="1">IF(IF(SUM(DY238:$EI$238,DY248:$EI$248)=0,DX238+DX248,0)&gt;=DX3,DX3,IF(SUM(DY238:$EI$238,DY248:$EI$248)=0,DX238+DX248,0))</f>
        <v>0</v>
      </c>
      <c r="DY226" s="391">
        <f ca="1">IF(IF(SUM(DZ238:$EI$238,DZ248:$EI$248)=0,DY238+DY248,0)&gt;=DY3,DY3,IF(SUM(DZ238:$EI$238,DZ248:$EI$248)=0,DY238+DY248,0))</f>
        <v>0</v>
      </c>
      <c r="DZ226" s="391">
        <f ca="1">IF(IF(SUM(EA238:$EI$238,EA248:$EI$248)=0,DZ238+DZ248,0)&gt;=DZ3,DZ3,IF(SUM(EA238:$EI$238,EA248:$EI$248)=0,DZ238+DZ248,0))</f>
        <v>0</v>
      </c>
      <c r="EA226" s="391">
        <f ca="1">IF(IF(SUM(EB238:$EI$238,EB248:$EI$248)=0,EA238+EA248,0)&gt;=EA3,EA3,IF(SUM(EB238:$EI$238,EB248:$EI$248)=0,EA238+EA248,0))</f>
        <v>0</v>
      </c>
      <c r="EB226" s="391">
        <f ca="1">IF(IF(SUM(EC238:$EI$238,EC248:$EI$248)=0,EB238+EB248,0)&gt;=EB3,EB3,IF(SUM(EC238:$EI$238,EC248:$EI$248)=0,EB238+EB248,0))</f>
        <v>0</v>
      </c>
      <c r="EC226" s="391">
        <f ca="1">IF(IF(SUM(ED238:$EI$238,ED248:$EI$248)=0,EC238+EC248,0)&gt;=EC3,EC3,IF(SUM(ED238:$EI$238,ED248:$EI$248)=0,EC238+EC248,0))</f>
        <v>0</v>
      </c>
      <c r="ED226" s="391">
        <f ca="1">IF(IF(SUM(EE238:$EI$238,EE248:$EI$248)=0,ED238+ED248,0)&gt;=ED3,ED3,IF(SUM(EE238:$EI$238,EE248:$EI$248)=0,ED238+ED248,0))</f>
        <v>0</v>
      </c>
      <c r="EE226" s="391">
        <f ca="1">IF(IF(SUM(EF238:$EI$238,EF248:$EI$248)=0,EE238+EE248,0)&gt;=EE3,EE3,IF(SUM(EF238:$EI$238,EF248:$EI$248)=0,EE238+EE248,0))</f>
        <v>0</v>
      </c>
      <c r="EF226" s="391">
        <f ca="1">IF(IF(SUM(EG238:$EI$238,EG248:$EI$248)=0,EF238+EF248,0)&gt;=EF3,EF3,IF(SUM(EG238:$EI$238,EG248:$EI$248)=0,EF238+EF248,0))</f>
        <v>0</v>
      </c>
      <c r="EG226" s="391">
        <f ca="1">IF(IF(SUM(EH238:$EI$238,EH248:$EI$248)=0,EG238+EG248,0)&gt;=EG3,EG3,IF(SUM(EH238:$EI$238,EH248:$EI$248)=0,EG238+EG248,0))</f>
        <v>0</v>
      </c>
      <c r="EH226" s="391">
        <f ca="1">IF(IF(SUM(EI238:$EI$238,EI248:$EI$248)=0,EH238+EH248,0)&gt;=EH3,EH3,IF(SUM(EI238:$EI$238,EI248:$EI$248)=0,EH238+EH248,0))</f>
        <v>0</v>
      </c>
      <c r="EI226" s="391">
        <f ca="1">IF(IF(SUM($EI238:EJ$238,$EI248:EJ$248)=0,EI238+EI248,0)&gt;=EI3,EI3,IF(SUM($EI238:EJ$238,$EI248:EJ$248)=0,EI238+EI248,0))</f>
        <v>0</v>
      </c>
    </row>
    <row r="227" spans="1:152" outlineLevel="1" collapsed="1">
      <c r="A227" s="332"/>
      <c r="B227" s="313"/>
      <c r="C227" s="315" t="s">
        <v>548</v>
      </c>
      <c r="D227" s="315" t="s">
        <v>549</v>
      </c>
      <c r="E227" s="390" t="s">
        <v>662</v>
      </c>
      <c r="F227" s="309" t="s">
        <v>373</v>
      </c>
      <c r="G227" s="307">
        <f t="shared" ref="G227:AL227" ca="1" si="445">IF((G228+G233+G238+G243+G248+G254+G259+G264+G269+G274+G279+G284+G289+G294+G299+G304+G309+G314+G319+G324+G329+G334+G339+G345+G350+G355+G360+G365+G370+G380+G385+G390+G395+G400+G405+G411+G416)=0,"",G5)</f>
        <v>44986</v>
      </c>
      <c r="H227" s="307">
        <f t="shared" ca="1" si="445"/>
        <v>45017</v>
      </c>
      <c r="I227" s="307">
        <f t="shared" ca="1" si="445"/>
        <v>45047</v>
      </c>
      <c r="J227" s="307">
        <f t="shared" ca="1" si="445"/>
        <v>45078</v>
      </c>
      <c r="K227" s="307">
        <f t="shared" ca="1" si="445"/>
        <v>45108</v>
      </c>
      <c r="L227" s="307">
        <f t="shared" ca="1" si="445"/>
        <v>45139</v>
      </c>
      <c r="M227" s="307">
        <f t="shared" ca="1" si="445"/>
        <v>45170</v>
      </c>
      <c r="N227" s="307">
        <f t="shared" ca="1" si="445"/>
        <v>45200</v>
      </c>
      <c r="O227" s="307">
        <f t="shared" ca="1" si="445"/>
        <v>45231</v>
      </c>
      <c r="P227" s="307">
        <f t="shared" ca="1" si="445"/>
        <v>45261</v>
      </c>
      <c r="Q227" s="307">
        <f t="shared" ca="1" si="445"/>
        <v>45292</v>
      </c>
      <c r="R227" s="307">
        <f t="shared" ca="1" si="445"/>
        <v>45323</v>
      </c>
      <c r="S227" s="307">
        <f t="shared" ca="1" si="445"/>
        <v>45352</v>
      </c>
      <c r="T227" s="307">
        <f t="shared" ca="1" si="445"/>
        <v>45383</v>
      </c>
      <c r="U227" s="307">
        <f t="shared" ca="1" si="445"/>
        <v>45413</v>
      </c>
      <c r="V227" s="307">
        <f t="shared" ca="1" si="445"/>
        <v>45444</v>
      </c>
      <c r="W227" s="307">
        <f t="shared" ca="1" si="445"/>
        <v>45474</v>
      </c>
      <c r="X227" s="307">
        <f t="shared" ca="1" si="445"/>
        <v>45505</v>
      </c>
      <c r="Y227" s="307">
        <f t="shared" ca="1" si="445"/>
        <v>45536</v>
      </c>
      <c r="Z227" s="307">
        <f t="shared" ca="1" si="445"/>
        <v>45566</v>
      </c>
      <c r="AA227" s="307">
        <f t="shared" ca="1" si="445"/>
        <v>45597</v>
      </c>
      <c r="AB227" s="307">
        <f t="shared" ca="1" si="445"/>
        <v>45627</v>
      </c>
      <c r="AC227" s="307">
        <f t="shared" ca="1" si="445"/>
        <v>45658</v>
      </c>
      <c r="AD227" s="307">
        <f t="shared" ca="1" si="445"/>
        <v>45689</v>
      </c>
      <c r="AE227" s="307">
        <f t="shared" ca="1" si="445"/>
        <v>45717</v>
      </c>
      <c r="AF227" s="307">
        <f t="shared" ca="1" si="445"/>
        <v>45748</v>
      </c>
      <c r="AG227" s="307">
        <f t="shared" ca="1" si="445"/>
        <v>45778</v>
      </c>
      <c r="AH227" s="307">
        <f t="shared" ca="1" si="445"/>
        <v>45809</v>
      </c>
      <c r="AI227" s="307">
        <f t="shared" ca="1" si="445"/>
        <v>45839</v>
      </c>
      <c r="AJ227" s="307">
        <f t="shared" ca="1" si="445"/>
        <v>45870</v>
      </c>
      <c r="AK227" s="307">
        <f t="shared" ca="1" si="445"/>
        <v>45901</v>
      </c>
      <c r="AL227" s="307">
        <f t="shared" ca="1" si="445"/>
        <v>45931</v>
      </c>
      <c r="AM227" s="307">
        <f t="shared" ref="AM227:BR227" ca="1" si="446">IF((AM228+AM233+AM238+AM243+AM248+AM254+AM259+AM264+AM269+AM274+AM279+AM284+AM289+AM294+AM299+AM304+AM309+AM314+AM319+AM324+AM329+AM334+AM339+AM345+AM350+AM355+AM360+AM365+AM370+AM380+AM385+AM390+AM395+AM400+AM405+AM411+AM416)=0,"",AM5)</f>
        <v>45962</v>
      </c>
      <c r="AN227" s="307">
        <f t="shared" ca="1" si="446"/>
        <v>45992</v>
      </c>
      <c r="AO227" s="307">
        <f t="shared" ca="1" si="446"/>
        <v>46023</v>
      </c>
      <c r="AP227" s="307">
        <f t="shared" ca="1" si="446"/>
        <v>46054</v>
      </c>
      <c r="AQ227" s="307">
        <f t="shared" ca="1" si="446"/>
        <v>46082</v>
      </c>
      <c r="AR227" s="307">
        <f t="shared" ca="1" si="446"/>
        <v>46113</v>
      </c>
      <c r="AS227" s="307">
        <f t="shared" ca="1" si="446"/>
        <v>46143</v>
      </c>
      <c r="AT227" s="307">
        <f t="shared" ca="1" si="446"/>
        <v>46174</v>
      </c>
      <c r="AU227" s="307">
        <f t="shared" ca="1" si="446"/>
        <v>46204</v>
      </c>
      <c r="AV227" s="307">
        <f t="shared" ca="1" si="446"/>
        <v>46235</v>
      </c>
      <c r="AW227" s="307">
        <f t="shared" ca="1" si="446"/>
        <v>46266</v>
      </c>
      <c r="AX227" s="307">
        <f t="shared" ca="1" si="446"/>
        <v>46296</v>
      </c>
      <c r="AY227" s="307">
        <f t="shared" ca="1" si="446"/>
        <v>46327</v>
      </c>
      <c r="AZ227" s="307">
        <f t="shared" ca="1" si="446"/>
        <v>46357</v>
      </c>
      <c r="BA227" s="307">
        <f t="shared" ca="1" si="446"/>
        <v>46388</v>
      </c>
      <c r="BB227" s="307">
        <f t="shared" ca="1" si="446"/>
        <v>46419</v>
      </c>
      <c r="BC227" s="307">
        <f t="shared" ca="1" si="446"/>
        <v>46447</v>
      </c>
      <c r="BD227" s="307">
        <f t="shared" ca="1" si="446"/>
        <v>46478</v>
      </c>
      <c r="BE227" s="307">
        <f t="shared" ca="1" si="446"/>
        <v>46508</v>
      </c>
      <c r="BF227" s="307">
        <f t="shared" ca="1" si="446"/>
        <v>46539</v>
      </c>
      <c r="BG227" s="307">
        <f t="shared" ca="1" si="446"/>
        <v>46569</v>
      </c>
      <c r="BH227" s="307">
        <f t="shared" ca="1" si="446"/>
        <v>46600</v>
      </c>
      <c r="BI227" s="307">
        <f t="shared" ca="1" si="446"/>
        <v>46631</v>
      </c>
      <c r="BJ227" s="307">
        <f t="shared" ca="1" si="446"/>
        <v>46661</v>
      </c>
      <c r="BK227" s="307">
        <f t="shared" ca="1" si="446"/>
        <v>46692</v>
      </c>
      <c r="BL227" s="307">
        <f t="shared" ca="1" si="446"/>
        <v>46722</v>
      </c>
      <c r="BM227" s="307">
        <f t="shared" ca="1" si="446"/>
        <v>46753</v>
      </c>
      <c r="BN227" s="307">
        <f t="shared" ca="1" si="446"/>
        <v>46784</v>
      </c>
      <c r="BO227" s="307">
        <f t="shared" ca="1" si="446"/>
        <v>46813</v>
      </c>
      <c r="BP227" s="307">
        <f t="shared" ca="1" si="446"/>
        <v>46844</v>
      </c>
      <c r="BQ227" s="307">
        <f t="shared" ca="1" si="446"/>
        <v>46874</v>
      </c>
      <c r="BR227" s="307">
        <f t="shared" ca="1" si="446"/>
        <v>46905</v>
      </c>
      <c r="BS227" s="307">
        <f t="shared" ref="BS227:CX227" ca="1" si="447">IF((BS228+BS233+BS238+BS243+BS248+BS254+BS259+BS264+BS269+BS274+BS279+BS284+BS289+BS294+BS299+BS304+BS309+BS314+BS319+BS324+BS329+BS334+BS339+BS345+BS350+BS355+BS360+BS365+BS370+BS380+BS385+BS390+BS395+BS400+BS405+BS411+BS416)=0,"",BS5)</f>
        <v>46935</v>
      </c>
      <c r="BT227" s="307">
        <f t="shared" ca="1" si="447"/>
        <v>46966</v>
      </c>
      <c r="BU227" s="307">
        <f t="shared" ca="1" si="447"/>
        <v>46997</v>
      </c>
      <c r="BV227" s="307">
        <f t="shared" ca="1" si="447"/>
        <v>47027</v>
      </c>
      <c r="BW227" s="307">
        <f t="shared" ca="1" si="447"/>
        <v>47058</v>
      </c>
      <c r="BX227" s="307">
        <f t="shared" ca="1" si="447"/>
        <v>47088</v>
      </c>
      <c r="BY227" s="307">
        <f t="shared" ca="1" si="447"/>
        <v>47119</v>
      </c>
      <c r="BZ227" s="307" t="str">
        <f t="shared" ca="1" si="447"/>
        <v/>
      </c>
      <c r="CA227" s="307" t="str">
        <f t="shared" ca="1" si="447"/>
        <v/>
      </c>
      <c r="CB227" s="307" t="str">
        <f t="shared" ca="1" si="447"/>
        <v/>
      </c>
      <c r="CC227" s="307" t="str">
        <f t="shared" ca="1" si="447"/>
        <v/>
      </c>
      <c r="CD227" s="307" t="str">
        <f t="shared" ca="1" si="447"/>
        <v/>
      </c>
      <c r="CE227" s="307" t="str">
        <f t="shared" ca="1" si="447"/>
        <v/>
      </c>
      <c r="CF227" s="307" t="str">
        <f t="shared" ca="1" si="447"/>
        <v/>
      </c>
      <c r="CG227" s="307" t="str">
        <f t="shared" ca="1" si="447"/>
        <v/>
      </c>
      <c r="CH227" s="307" t="str">
        <f t="shared" ca="1" si="447"/>
        <v/>
      </c>
      <c r="CI227" s="307" t="str">
        <f t="shared" ca="1" si="447"/>
        <v/>
      </c>
      <c r="CJ227" s="307" t="str">
        <f t="shared" ca="1" si="447"/>
        <v/>
      </c>
      <c r="CK227" s="307" t="str">
        <f t="shared" ca="1" si="447"/>
        <v/>
      </c>
      <c r="CL227" s="307" t="str">
        <f t="shared" ca="1" si="447"/>
        <v/>
      </c>
      <c r="CM227" s="307" t="str">
        <f t="shared" ca="1" si="447"/>
        <v/>
      </c>
      <c r="CN227" s="307" t="str">
        <f t="shared" ca="1" si="447"/>
        <v/>
      </c>
      <c r="CO227" s="307" t="str">
        <f t="shared" ca="1" si="447"/>
        <v/>
      </c>
      <c r="CP227" s="307" t="str">
        <f t="shared" ca="1" si="447"/>
        <v/>
      </c>
      <c r="CQ227" s="307" t="str">
        <f t="shared" ca="1" si="447"/>
        <v/>
      </c>
      <c r="CR227" s="307" t="str">
        <f t="shared" ca="1" si="447"/>
        <v/>
      </c>
      <c r="CS227" s="307" t="str">
        <f t="shared" ca="1" si="447"/>
        <v/>
      </c>
      <c r="CT227" s="307" t="str">
        <f t="shared" ca="1" si="447"/>
        <v/>
      </c>
      <c r="CU227" s="307" t="str">
        <f t="shared" ca="1" si="447"/>
        <v/>
      </c>
      <c r="CV227" s="307" t="str">
        <f t="shared" ca="1" si="447"/>
        <v/>
      </c>
      <c r="CW227" s="307" t="str">
        <f t="shared" ca="1" si="447"/>
        <v/>
      </c>
      <c r="CX227" s="307" t="str">
        <f t="shared" ca="1" si="447"/>
        <v/>
      </c>
      <c r="CY227" s="307" t="str">
        <f t="shared" ref="CY227:ED227" ca="1" si="448">IF((CY228+CY233+CY238+CY243+CY248+CY254+CY259+CY264+CY269+CY274+CY279+CY284+CY289+CY294+CY299+CY304+CY309+CY314+CY319+CY324+CY329+CY334+CY339+CY345+CY350+CY355+CY360+CY365+CY370+CY380+CY385+CY390+CY395+CY400+CY405+CY411+CY416)=0,"",CY5)</f>
        <v/>
      </c>
      <c r="CZ227" s="307" t="str">
        <f t="shared" ca="1" si="448"/>
        <v/>
      </c>
      <c r="DA227" s="307" t="str">
        <f t="shared" ca="1" si="448"/>
        <v/>
      </c>
      <c r="DB227" s="307" t="str">
        <f t="shared" ca="1" si="448"/>
        <v/>
      </c>
      <c r="DC227" s="307" t="str">
        <f t="shared" ca="1" si="448"/>
        <v/>
      </c>
      <c r="DD227" s="307" t="str">
        <f t="shared" ca="1" si="448"/>
        <v/>
      </c>
      <c r="DE227" s="307" t="str">
        <f t="shared" ca="1" si="448"/>
        <v/>
      </c>
      <c r="DF227" s="307" t="str">
        <f t="shared" ca="1" si="448"/>
        <v/>
      </c>
      <c r="DG227" s="307" t="str">
        <f t="shared" ca="1" si="448"/>
        <v/>
      </c>
      <c r="DH227" s="307" t="str">
        <f t="shared" ca="1" si="448"/>
        <v/>
      </c>
      <c r="DI227" s="307" t="str">
        <f t="shared" ca="1" si="448"/>
        <v/>
      </c>
      <c r="DJ227" s="307" t="str">
        <f t="shared" ca="1" si="448"/>
        <v/>
      </c>
      <c r="DK227" s="307" t="str">
        <f t="shared" ca="1" si="448"/>
        <v/>
      </c>
      <c r="DL227" s="307" t="str">
        <f t="shared" ca="1" si="448"/>
        <v/>
      </c>
      <c r="DM227" s="307" t="str">
        <f t="shared" ca="1" si="448"/>
        <v/>
      </c>
      <c r="DN227" s="307" t="str">
        <f t="shared" ca="1" si="448"/>
        <v/>
      </c>
      <c r="DO227" s="307" t="str">
        <f t="shared" ca="1" si="448"/>
        <v/>
      </c>
      <c r="DP227" s="307" t="str">
        <f t="shared" ca="1" si="448"/>
        <v/>
      </c>
      <c r="DQ227" s="307" t="str">
        <f t="shared" ca="1" si="448"/>
        <v/>
      </c>
      <c r="DR227" s="307" t="str">
        <f t="shared" ca="1" si="448"/>
        <v/>
      </c>
      <c r="DS227" s="307" t="str">
        <f t="shared" ca="1" si="448"/>
        <v/>
      </c>
      <c r="DT227" s="307" t="str">
        <f t="shared" ca="1" si="448"/>
        <v/>
      </c>
      <c r="DU227" s="307" t="str">
        <f t="shared" ca="1" si="448"/>
        <v/>
      </c>
      <c r="DV227" s="307" t="str">
        <f t="shared" ca="1" si="448"/>
        <v/>
      </c>
      <c r="DW227" s="307" t="str">
        <f t="shared" ca="1" si="448"/>
        <v/>
      </c>
      <c r="DX227" s="307" t="str">
        <f t="shared" ca="1" si="448"/>
        <v/>
      </c>
      <c r="DY227" s="307" t="str">
        <f t="shared" ca="1" si="448"/>
        <v/>
      </c>
      <c r="DZ227" s="307" t="str">
        <f t="shared" ca="1" si="448"/>
        <v/>
      </c>
      <c r="EA227" s="307" t="str">
        <f t="shared" ca="1" si="448"/>
        <v/>
      </c>
      <c r="EB227" s="307" t="str">
        <f t="shared" ca="1" si="448"/>
        <v/>
      </c>
      <c r="EC227" s="307" t="str">
        <f t="shared" ca="1" si="448"/>
        <v/>
      </c>
      <c r="ED227" s="307" t="str">
        <f t="shared" ca="1" si="448"/>
        <v/>
      </c>
      <c r="EE227" s="307" t="str">
        <f t="shared" ref="EE227:EI227" ca="1" si="449">IF((EE228+EE233+EE238+EE243+EE248+EE254+EE259+EE264+EE269+EE274+EE279+EE284+EE289+EE294+EE299+EE304+EE309+EE314+EE319+EE324+EE329+EE334+EE339+EE345+EE350+EE355+EE360+EE365+EE370+EE380+EE385+EE390+EE395+EE400+EE405+EE411+EE416)=0,"",EE5)</f>
        <v/>
      </c>
      <c r="EF227" s="307" t="str">
        <f t="shared" ca="1" si="449"/>
        <v/>
      </c>
      <c r="EG227" s="307" t="str">
        <f t="shared" ca="1" si="449"/>
        <v/>
      </c>
      <c r="EH227" s="307" t="str">
        <f t="shared" ca="1" si="449"/>
        <v/>
      </c>
      <c r="EI227" s="307" t="str">
        <f t="shared" ca="1" si="449"/>
        <v/>
      </c>
    </row>
    <row r="228" spans="1:152" outlineLevel="1" collapsed="1">
      <c r="A228" s="332"/>
      <c r="B228" s="313"/>
      <c r="C228" s="317" t="s">
        <v>47</v>
      </c>
      <c r="D228" s="317" t="s">
        <v>337</v>
      </c>
      <c r="E228" s="400">
        <f ca="1">IF(ГРП!B4=0,длительность!B149,ГРП!B4)</f>
        <v>180</v>
      </c>
      <c r="F228" s="318">
        <f ca="1">E228-SUM(G228:EJ228)</f>
        <v>0</v>
      </c>
      <c r="G228" s="401">
        <f ca="1">IF(E228=0,0,G229)</f>
        <v>31</v>
      </c>
      <c r="H228" s="401">
        <f ca="1">IF(SUM($G228:G228)&gt;=$E228,0,IF(($E228-SUM($G228:G228))&gt;=H$229,H$229,($E228-SUM($G228:G228))))</f>
        <v>30</v>
      </c>
      <c r="I228" s="401">
        <f ca="1">IF(SUM($G228:H228)&gt;=$E228,0,IF(($E228-SUM($G228:H228))&gt;=I$229,I$229,($E228-SUM($G228:H228))))</f>
        <v>31</v>
      </c>
      <c r="J228" s="401">
        <f ca="1">IF(SUM($G228:I228)&gt;=$E228,0,IF(($E228-SUM($G228:I228))&gt;=J$229,J$229,($E228-SUM($G228:I228))))</f>
        <v>30</v>
      </c>
      <c r="K228" s="401">
        <f ca="1">IF(SUM($G228:J228)&gt;=$E228,0,IF(($E228-SUM($G228:J228))&gt;=K$229,K$229,($E228-SUM($G228:J228))))</f>
        <v>31</v>
      </c>
      <c r="L228" s="401">
        <f ca="1">IF(SUM($G228:K228)&gt;=$E228,0,IF(($E228-SUM($G228:K228))&gt;=L$229,L$229,($E228-SUM($G228:K228))))</f>
        <v>27</v>
      </c>
      <c r="M228" s="401">
        <f ca="1">IF(SUM($G228:L228)&gt;=$E228,0,IF(($E228-SUM($G228:L228))&gt;=M$229,M$229,($E228-SUM($G228:L228))))</f>
        <v>0</v>
      </c>
      <c r="N228" s="401">
        <f ca="1">IF(SUM($G228:M228)&gt;=$E228,0,IF(($E228-SUM($G228:M228))&gt;=N$229,N$229,($E228-SUM($G228:M228))))</f>
        <v>0</v>
      </c>
      <c r="O228" s="401">
        <f ca="1">IF(SUM($G228:N228)&gt;=$E228,0,IF(($E228-SUM($G228:N228))&gt;=O$229,O$229,($E228-SUM($G228:N228))))</f>
        <v>0</v>
      </c>
      <c r="P228" s="401">
        <f ca="1">IF(SUM($G228:O228)&gt;=$E228,0,IF(($E228-SUM($G228:O228))&gt;=P$229,P$229,($E228-SUM($G228:O228))))</f>
        <v>0</v>
      </c>
      <c r="Q228" s="401">
        <f ca="1">IF(SUM($G228:P228)&gt;=$E228,0,IF(($E228-SUM($G228:P228))&gt;=Q$229,Q$229,($E228-SUM($G228:P228))))</f>
        <v>0</v>
      </c>
      <c r="R228" s="401">
        <f ca="1">IF(SUM($G228:Q228)&gt;=$E228,0,IF(($E228-SUM($G228:Q228))&gt;=R$229,R$229,($E228-SUM($G228:Q228))))</f>
        <v>0</v>
      </c>
      <c r="S228" s="401">
        <f ca="1">IF(SUM($G228:R228)&gt;=$E228,0,IF(($E228-SUM($G228:R228))&gt;=S$229,S$229,($E228-SUM($G228:R228))))</f>
        <v>0</v>
      </c>
      <c r="T228" s="401">
        <f ca="1">IF(SUM($G228:S228)&gt;=$E228,0,IF(($E228-SUM($G228:S228))&gt;=T$229,T$229,($E228-SUM($G228:S228))))</f>
        <v>0</v>
      </c>
      <c r="U228" s="401">
        <f ca="1">IF(SUM($G228:T228)&gt;=$E228,0,IF(($E228-SUM($G228:T228))&gt;=U$229,U$229,($E228-SUM($G228:T228))))</f>
        <v>0</v>
      </c>
      <c r="V228" s="401">
        <f ca="1">IF(SUM($G228:U228)&gt;=$E228,0,IF(($E228-SUM($G228:U228))&gt;=V$229,V$229,($E228-SUM($G228:U228))))</f>
        <v>0</v>
      </c>
      <c r="W228" s="401">
        <f ca="1">IF(SUM($G228:V228)&gt;=$E228,0,IF(($E228-SUM($G228:V228))&gt;=W$229,W$229,($E228-SUM($G228:V228))))</f>
        <v>0</v>
      </c>
      <c r="X228" s="401">
        <f ca="1">IF(SUM($G228:W228)&gt;=$E228,0,IF(($E228-SUM($G228:W228))&gt;=X$229,X$229,($E228-SUM($G228:W228))))</f>
        <v>0</v>
      </c>
      <c r="Y228" s="401">
        <f ca="1">IF(SUM($G228:X228)&gt;=$E228,0,IF(($E228-SUM($G228:X228))&gt;=Y$229,Y$229,($E228-SUM($G228:X228))))</f>
        <v>0</v>
      </c>
      <c r="Z228" s="401">
        <f ca="1">IF(SUM($G228:Y228)&gt;=$E228,0,IF(($E228-SUM($G228:Y228))&gt;=Z$229,Z$229,($E228-SUM($G228:Y228))))</f>
        <v>0</v>
      </c>
      <c r="AA228" s="401">
        <f ca="1">IF(SUM($G228:Z228)&gt;=$E228,0,IF(($E228-SUM($G228:Z228))&gt;=AA$229,AA$229,($E228-SUM($G228:Z228))))</f>
        <v>0</v>
      </c>
      <c r="AB228" s="401">
        <f ca="1">IF(SUM($G228:AA228)&gt;=$E228,0,IF(($E228-SUM($G228:AA228))&gt;=AB$229,AB$229,($E228-SUM($G228:AA228))))</f>
        <v>0</v>
      </c>
      <c r="AC228" s="401">
        <f ca="1">IF(SUM($G228:AB228)&gt;=$E228,0,IF(($E228-SUM($G228:AB228))&gt;=AC$229,AC$229,($E228-SUM($G228:AB228))))</f>
        <v>0</v>
      </c>
      <c r="AD228" s="401">
        <f ca="1">IF(SUM($G228:AC228)&gt;=$E228,0,IF(($E228-SUM($G228:AC228))&gt;=AD$229,AD$229,($E228-SUM($G228:AC228))))</f>
        <v>0</v>
      </c>
      <c r="AE228" s="401">
        <f ca="1">IF(SUM($G228:AD228)&gt;=$E228,0,IF(($E228-SUM($G228:AD228))&gt;=AE$229,AE$229,($E228-SUM($G228:AD228))))</f>
        <v>0</v>
      </c>
      <c r="AF228" s="401">
        <f ca="1">IF(SUM($G228:AE228)&gt;=$E228,0,IF(($E228-SUM($G228:AE228))&gt;=AF$229,AF$229,($E228-SUM($G228:AE228))))</f>
        <v>0</v>
      </c>
      <c r="AG228" s="401">
        <f ca="1">IF(SUM($G228:AF228)&gt;=$E228,0,IF(($E228-SUM($G228:AF228))&gt;=AG$229,AG$229,($E228-SUM($G228:AF228))))</f>
        <v>0</v>
      </c>
      <c r="AH228" s="401">
        <f ca="1">IF(SUM($G228:AG228)&gt;=$E228,0,IF(($E228-SUM($G228:AG228))&gt;=AH$229,AH$229,($E228-SUM($G228:AG228))))</f>
        <v>0</v>
      </c>
      <c r="AI228" s="401">
        <f ca="1">IF(SUM($G228:AH228)&gt;=$E228,0,IF(($E228-SUM($G228:AH228))&gt;=AI$229,AI$229,($E228-SUM($G228:AH228))))</f>
        <v>0</v>
      </c>
      <c r="AJ228" s="401">
        <f ca="1">IF(SUM($G228:AI228)&gt;=$E228,0,IF(($E228-SUM($G228:AI228))&gt;=AJ$229,AJ$229,($E228-SUM($G228:AI228))))</f>
        <v>0</v>
      </c>
      <c r="AK228" s="401">
        <f ca="1">IF(SUM($G228:AJ228)&gt;=$E228,0,IF(($E228-SUM($G228:AJ228))&gt;=AK$229,AK$229,($E228-SUM($G228:AJ228))))</f>
        <v>0</v>
      </c>
      <c r="AL228" s="401">
        <f ca="1">IF(SUM($G228:AK228)&gt;=$E228,0,IF(($E228-SUM($G228:AK228))&gt;=AL$229,AL$229,($E228-SUM($G228:AK228))))</f>
        <v>0</v>
      </c>
      <c r="AM228" s="401">
        <f ca="1">IF(SUM($G228:AL228)&gt;=$E228,0,IF(($E228-SUM($G228:AL228))&gt;=AM$229,AM$229,($E228-SUM($G228:AL228))))</f>
        <v>0</v>
      </c>
      <c r="AN228" s="401">
        <f ca="1">IF(SUM($G228:AM228)&gt;=$E228,0,IF(($E228-SUM($G228:AM228))&gt;=AN$229,AN$229,($E228-SUM($G228:AM228))))</f>
        <v>0</v>
      </c>
      <c r="AO228" s="401">
        <f ca="1">IF(SUM($G228:AN228)&gt;=$E228,0,IF(($E228-SUM($G228:AN228))&gt;=AO$229,AO$229,($E228-SUM($G228:AN228))))</f>
        <v>0</v>
      </c>
      <c r="AP228" s="401">
        <f ca="1">IF(SUM($G228:AO228)&gt;=$E228,0,IF(($E228-SUM($G228:AO228))&gt;=AP$229,AP$229,($E228-SUM($G228:AO228))))</f>
        <v>0</v>
      </c>
      <c r="AQ228" s="401">
        <f ca="1">IF(SUM($G228:AP228)&gt;=$E228,0,IF(($E228-SUM($G228:AP228))&gt;=AQ$229,AQ$229,($E228-SUM($G228:AP228))))</f>
        <v>0</v>
      </c>
      <c r="AR228" s="401">
        <f ca="1">IF(SUM($G228:AQ228)&gt;=$E228,0,IF(($E228-SUM($G228:AQ228))&gt;=AR$229,AR$229,($E228-SUM($G228:AQ228))))</f>
        <v>0</v>
      </c>
      <c r="AS228" s="401">
        <f ca="1">IF(SUM($G228:AR228)&gt;=$E228,0,IF(($E228-SUM($G228:AR228))&gt;=AS$229,AS$229,($E228-SUM($G228:AR228))))</f>
        <v>0</v>
      </c>
      <c r="AT228" s="401">
        <f ca="1">IF(SUM($G228:AS228)&gt;=$E228,0,IF(($E228-SUM($G228:AS228))&gt;=AT$229,AT$229,($E228-SUM($G228:AS228))))</f>
        <v>0</v>
      </c>
      <c r="AU228" s="401">
        <f ca="1">IF(SUM($G228:AT228)&gt;=$E228,0,IF(($E228-SUM($G228:AT228))&gt;=AU$229,AU$229,($E228-SUM($G228:AT228))))</f>
        <v>0</v>
      </c>
      <c r="AV228" s="401">
        <f ca="1">IF(SUM($G228:AU228)&gt;=$E228,0,IF(($E228-SUM($G228:AU228))&gt;=AV$229,AV$229,($E228-SUM($G228:AU228))))</f>
        <v>0</v>
      </c>
      <c r="AW228" s="401">
        <f ca="1">IF(SUM($G228:AV228)&gt;=$E228,0,IF(($E228-SUM($G228:AV228))&gt;=AW$229,AW$229,($E228-SUM($G228:AV228))))</f>
        <v>0</v>
      </c>
      <c r="AX228" s="401">
        <f ca="1">IF(SUM($G228:AW228)&gt;=$E228,0,IF(($E228-SUM($G228:AW228))&gt;=AX$229,AX$229,($E228-SUM($G228:AW228))))</f>
        <v>0</v>
      </c>
      <c r="AY228" s="401">
        <f ca="1">IF(SUM($G228:AX228)&gt;=$E228,0,IF(($E228-SUM($G228:AX228))&gt;=AY$229,AY$229,($E228-SUM($G228:AX228))))</f>
        <v>0</v>
      </c>
      <c r="AZ228" s="401">
        <f ca="1">IF(SUM($G228:AY228)&gt;=$E228,0,IF(($E228-SUM($G228:AY228))&gt;=AZ$229,AZ$229,($E228-SUM($G228:AY228))))</f>
        <v>0</v>
      </c>
      <c r="BA228" s="401">
        <f ca="1">IF(SUM($G228:AZ228)&gt;=$E228,0,IF(($E228-SUM($G228:AZ228))&gt;=BA$229,BA$229,($E228-SUM($G228:AZ228))))</f>
        <v>0</v>
      </c>
      <c r="BB228" s="401">
        <f ca="1">IF(SUM($G228:BA228)&gt;=$E228,0,IF(($E228-SUM($G228:BA228))&gt;=BB$229,BB$229,($E228-SUM($G228:BA228))))</f>
        <v>0</v>
      </c>
      <c r="BC228" s="401">
        <f ca="1">IF(SUM($G228:BB228)&gt;=$E228,0,IF(($E228-SUM($G228:BB228))&gt;=BC$229,BC$229,($E228-SUM($G228:BB228))))</f>
        <v>0</v>
      </c>
      <c r="BD228" s="401">
        <f ca="1">IF(SUM($G228:BC228)&gt;=$E228,0,IF(($E228-SUM($G228:BC228))&gt;=BD$229,BD$229,($E228-SUM($G228:BC228))))</f>
        <v>0</v>
      </c>
      <c r="BE228" s="401">
        <f ca="1">IF(SUM($G228:BD228)&gt;=$E228,0,IF(($E228-SUM($G228:BD228))&gt;=BE$229,BE$229,($E228-SUM($G228:BD228))))</f>
        <v>0</v>
      </c>
      <c r="BF228" s="401">
        <f ca="1">IF(SUM($G228:BE228)&gt;=$E228,0,IF(($E228-SUM($G228:BE228))&gt;=BF$229,BF$229,($E228-SUM($G228:BE228))))</f>
        <v>0</v>
      </c>
      <c r="BG228" s="401">
        <f ca="1">IF(SUM($G228:BF228)&gt;=$E228,0,IF(($E228-SUM($G228:BF228))&gt;=BG$229,BG$229,($E228-SUM($G228:BF228))))</f>
        <v>0</v>
      </c>
      <c r="BH228" s="401">
        <f ca="1">IF(SUM($G228:BG228)&gt;=$E228,0,IF(($E228-SUM($G228:BG228))&gt;=BH$229,BH$229,($E228-SUM($G228:BG228))))</f>
        <v>0</v>
      </c>
      <c r="BI228" s="401">
        <f ca="1">IF(SUM($G228:BH228)&gt;=$E228,0,IF(($E228-SUM($G228:BH228))&gt;=BI$229,BI$229,($E228-SUM($G228:BH228))))</f>
        <v>0</v>
      </c>
      <c r="BJ228" s="401">
        <f ca="1">IF(SUM($G228:BI228)&gt;=$E228,0,IF(($E228-SUM($G228:BI228))&gt;=BJ$229,BJ$229,($E228-SUM($G228:BI228))))</f>
        <v>0</v>
      </c>
      <c r="BK228" s="401">
        <f ca="1">IF(SUM($G228:BJ228)&gt;=$E228,0,IF(($E228-SUM($G228:BJ228))&gt;=BK$229,BK$229,($E228-SUM($G228:BJ228))))</f>
        <v>0</v>
      </c>
      <c r="BL228" s="401">
        <f ca="1">IF(SUM($G228:BK228)&gt;=$E228,0,IF(($E228-SUM($G228:BK228))&gt;=BL$229,BL$229,($E228-SUM($G228:BK228))))</f>
        <v>0</v>
      </c>
      <c r="BM228" s="401">
        <f ca="1">IF(SUM($G228:BL228)&gt;=$E228,0,IF(($E228-SUM($G228:BL228))&gt;=BM$229,BM$229,($E228-SUM($G228:BL228))))</f>
        <v>0</v>
      </c>
      <c r="BN228" s="401">
        <f ca="1">IF(SUM($G228:BM228)&gt;=$E228,0,IF(($E228-SUM($G228:BM228))&gt;=BN$229,BN$229,($E228-SUM($G228:BM228))))</f>
        <v>0</v>
      </c>
      <c r="BO228" s="401">
        <f ca="1">IF(SUM($G228:BN228)&gt;=$E228,0,IF(($E228-SUM($G228:BN228))&gt;=BO$229,BO$229,($E228-SUM($G228:BN228))))</f>
        <v>0</v>
      </c>
      <c r="BP228" s="401">
        <f ca="1">IF(SUM($G228:BO228)&gt;=$E228,0,IF(($E228-SUM($G228:BO228))&gt;=BP$229,BP$229,($E228-SUM($G228:BO228))))</f>
        <v>0</v>
      </c>
      <c r="BQ228" s="401">
        <f ca="1">IF(SUM($G228:BP228)&gt;=$E228,0,IF(($E228-SUM($G228:BP228))&gt;=BQ$229,BQ$229,($E228-SUM($G228:BP228))))</f>
        <v>0</v>
      </c>
      <c r="BR228" s="401">
        <f ca="1">IF(SUM($G228:BQ228)&gt;=$E228,0,IF(($E228-SUM($G228:BQ228))&gt;=BR$229,BR$229,($E228-SUM($G228:BQ228))))</f>
        <v>0</v>
      </c>
      <c r="BS228" s="401">
        <f ca="1">IF(SUM($G228:BR228)&gt;=$E228,0,IF(($E228-SUM($G228:BR228))&gt;=BS$229,BS$229,($E228-SUM($G228:BR228))))</f>
        <v>0</v>
      </c>
      <c r="BT228" s="401">
        <f ca="1">IF(SUM($G228:BS228)&gt;=$E228,0,IF(($E228-SUM($G228:BS228))&gt;=BT$229,BT$229,($E228-SUM($G228:BS228))))</f>
        <v>0</v>
      </c>
      <c r="BU228" s="401">
        <f ca="1">IF(SUM($G228:BT228)&gt;=$E228,0,IF(($E228-SUM($G228:BT228))&gt;=BU$229,BU$229,($E228-SUM($G228:BT228))))</f>
        <v>0</v>
      </c>
      <c r="BV228" s="401">
        <f ca="1">IF(SUM($G228:BU228)&gt;=$E228,0,IF(($E228-SUM($G228:BU228))&gt;=BV$229,BV$229,($E228-SUM($G228:BU228))))</f>
        <v>0</v>
      </c>
      <c r="BW228" s="401">
        <f ca="1">IF(SUM($G228:BV228)&gt;=$E228,0,IF(($E228-SUM($G228:BV228))&gt;=BW$229,BW$229,($E228-SUM($G228:BV228))))</f>
        <v>0</v>
      </c>
      <c r="BX228" s="401">
        <f ca="1">IF(SUM($G228:BW228)&gt;=$E228,0,IF(($E228-SUM($G228:BW228))&gt;=BX$229,BX$229,($E228-SUM($G228:BW228))))</f>
        <v>0</v>
      </c>
      <c r="BY228" s="401">
        <f ca="1">IF(SUM($G228:BX228)&gt;=$E228,0,IF(($E228-SUM($G228:BX228))&gt;=BY$229,BY$229,($E228-SUM($G228:BX228))))</f>
        <v>0</v>
      </c>
      <c r="BZ228" s="401">
        <f ca="1">IF(SUM($G228:BY228)&gt;=$E228,0,IF(($E228-SUM($G228:BY228))&gt;=BZ$229,BZ$229,($E228-SUM($G228:BY228))))</f>
        <v>0</v>
      </c>
      <c r="CA228" s="401">
        <f ca="1">IF(SUM($G228:BZ228)&gt;=$E228,0,IF(($E228-SUM($G228:BZ228))&gt;=CA$229,CA$229,($E228-SUM($G228:BZ228))))</f>
        <v>0</v>
      </c>
      <c r="CB228" s="401">
        <f ca="1">IF(SUM($G228:CA228)&gt;=$E228,0,IF(($E228-SUM($G228:CA228))&gt;=CB$229,CB$229,($E228-SUM($G228:CA228))))</f>
        <v>0</v>
      </c>
      <c r="CC228" s="401">
        <f ca="1">IF(SUM($G228:CB228)&gt;=$E228,0,IF(($E228-SUM($G228:CB228))&gt;=CC$229,CC$229,($E228-SUM($G228:CB228))))</f>
        <v>0</v>
      </c>
      <c r="CD228" s="401">
        <f ca="1">IF(SUM($G228:CC228)&gt;=$E228,0,IF(($E228-SUM($G228:CC228))&gt;=CD$229,CD$229,($E228-SUM($G228:CC228))))</f>
        <v>0</v>
      </c>
      <c r="CE228" s="401">
        <f ca="1">IF(SUM($G228:CD228)&gt;=$E228,0,IF(($E228-SUM($G228:CD228))&gt;=CE$229,CE$229,($E228-SUM($G228:CD228))))</f>
        <v>0</v>
      </c>
      <c r="CF228" s="401">
        <f ca="1">IF(SUM($G228:CE228)&gt;=$E228,0,IF(($E228-SUM($G228:CE228))&gt;=CF$229,CF$229,($E228-SUM($G228:CE228))))</f>
        <v>0</v>
      </c>
      <c r="CG228" s="401">
        <f ca="1">IF(SUM($G228:CF228)&gt;=$E228,0,IF(($E228-SUM($G228:CF228))&gt;=CG$229,CG$229,($E228-SUM($G228:CF228))))</f>
        <v>0</v>
      </c>
      <c r="CH228" s="401">
        <f ca="1">IF(SUM($G228:CG228)&gt;=$E228,0,IF(($E228-SUM($G228:CG228))&gt;=CH$229,CH$229,($E228-SUM($G228:CG228))))</f>
        <v>0</v>
      </c>
      <c r="CI228" s="401">
        <f ca="1">IF(SUM($G228:CH228)&gt;=$E228,0,IF(($E228-SUM($G228:CH228))&gt;=CI$229,CI$229,($E228-SUM($G228:CH228))))</f>
        <v>0</v>
      </c>
      <c r="CJ228" s="401">
        <f ca="1">IF(SUM($G228:CI228)&gt;=$E228,0,IF(($E228-SUM($G228:CI228))&gt;=CJ$229,CJ$229,($E228-SUM($G228:CI228))))</f>
        <v>0</v>
      </c>
      <c r="CK228" s="401">
        <f ca="1">IF(SUM($G228:CJ228)&gt;=$E228,0,IF(($E228-SUM($G228:CJ228))&gt;=CK$229,CK$229,($E228-SUM($G228:CJ228))))</f>
        <v>0</v>
      </c>
      <c r="CL228" s="401">
        <f ca="1">IF(SUM($G228:CK228)&gt;=$E228,0,IF(($E228-SUM($G228:CK228))&gt;=CL$229,CL$229,($E228-SUM($G228:CK228))))</f>
        <v>0</v>
      </c>
      <c r="CM228" s="401">
        <f ca="1">IF(SUM($G228:CL228)&gt;=$E228,0,IF(($E228-SUM($G228:CL228))&gt;=CM$229,CM$229,($E228-SUM($G228:CL228))))</f>
        <v>0</v>
      </c>
      <c r="CN228" s="401">
        <f ca="1">IF(SUM($G228:CM228)&gt;=$E228,0,IF(($E228-SUM($G228:CM228))&gt;=CN$229,CN$229,($E228-SUM($G228:CM228))))</f>
        <v>0</v>
      </c>
      <c r="CO228" s="401">
        <f ca="1">IF(SUM($G228:CN228)&gt;=$E228,0,IF(($E228-SUM($G228:CN228))&gt;=CO$229,CO$229,($E228-SUM($G228:CN228))))</f>
        <v>0</v>
      </c>
      <c r="CP228" s="401">
        <f ca="1">IF(SUM($G228:CO228)&gt;=$E228,0,IF(($E228-SUM($G228:CO228))&gt;=CP$229,CP$229,($E228-SUM($G228:CO228))))</f>
        <v>0</v>
      </c>
      <c r="CQ228" s="401">
        <f ca="1">IF(SUM($G228:CP228)&gt;=$E228,0,IF(($E228-SUM($G228:CP228))&gt;=CQ$229,CQ$229,($E228-SUM($G228:CP228))))</f>
        <v>0</v>
      </c>
      <c r="CR228" s="401">
        <f ca="1">IF(SUM($G228:CQ228)&gt;=$E228,0,IF(($E228-SUM($G228:CQ228))&gt;=CR$229,CR$229,($E228-SUM($G228:CQ228))))</f>
        <v>0</v>
      </c>
      <c r="CS228" s="401">
        <f ca="1">IF(SUM($G228:CR228)&gt;=$E228,0,IF(($E228-SUM($G228:CR228))&gt;=CS$229,CS$229,($E228-SUM($G228:CR228))))</f>
        <v>0</v>
      </c>
      <c r="CT228" s="401">
        <f ca="1">IF(SUM($G228:CS228)&gt;=$E228,0,IF(($E228-SUM($G228:CS228))&gt;=CT$229,CT$229,($E228-SUM($G228:CS228))))</f>
        <v>0</v>
      </c>
      <c r="CU228" s="401">
        <f ca="1">IF(SUM($G228:CT228)&gt;=$E228,0,IF(($E228-SUM($G228:CT228))&gt;=CU$229,CU$229,($E228-SUM($G228:CT228))))</f>
        <v>0</v>
      </c>
      <c r="CV228" s="401">
        <f ca="1">IF(SUM($G228:CU228)&gt;=$E228,0,IF(($E228-SUM($G228:CU228))&gt;=CV$229,CV$229,($E228-SUM($G228:CU228))))</f>
        <v>0</v>
      </c>
      <c r="CW228" s="401">
        <f ca="1">IF(SUM($G228:CV228)&gt;=$E228,0,IF(($E228-SUM($G228:CV228))&gt;=CW$229,CW$229,($E228-SUM($G228:CV228))))</f>
        <v>0</v>
      </c>
      <c r="CX228" s="401">
        <f ca="1">IF(SUM($G228:CW228)&gt;=$E228,0,IF(($E228-SUM($G228:CW228))&gt;=CX$229,CX$229,($E228-SUM($G228:CW228))))</f>
        <v>0</v>
      </c>
      <c r="CY228" s="401">
        <f ca="1">IF(SUM($G228:CX228)&gt;=$E228,0,IF(($E228-SUM($G228:CX228))&gt;=CY$229,CY$229,($E228-SUM($G228:CX228))))</f>
        <v>0</v>
      </c>
      <c r="CZ228" s="401">
        <f ca="1">IF(SUM($G228:CY228)&gt;=$E228,0,IF(($E228-SUM($G228:CY228))&gt;=CZ$229,CZ$229,($E228-SUM($G228:CY228))))</f>
        <v>0</v>
      </c>
      <c r="DA228" s="401">
        <f ca="1">IF(SUM($G228:CZ228)&gt;=$E228,0,IF(($E228-SUM($G228:CZ228))&gt;=DA$229,DA$229,($E228-SUM($G228:CZ228))))</f>
        <v>0</v>
      </c>
      <c r="DB228" s="401">
        <f ca="1">IF(SUM($G228:DA228)&gt;=$E228,0,IF(($E228-SUM($G228:DA228))&gt;=DB$229,DB$229,($E228-SUM($G228:DA228))))</f>
        <v>0</v>
      </c>
      <c r="DC228" s="401">
        <f ca="1">IF(SUM($G228:DB228)&gt;=$E228,0,IF(($E228-SUM($G228:DB228))&gt;=DC$229,DC$229,($E228-SUM($G228:DB228))))</f>
        <v>0</v>
      </c>
      <c r="DD228" s="401">
        <f ca="1">IF(SUM($G228:DC228)&gt;=$E228,0,IF(($E228-SUM($G228:DC228))&gt;=DD$229,DD$229,($E228-SUM($G228:DC228))))</f>
        <v>0</v>
      </c>
      <c r="DE228" s="401">
        <f ca="1">IF(SUM($G228:DD228)&gt;=$E228,0,IF(($E228-SUM($G228:DD228))&gt;=DE$229,DE$229,($E228-SUM($G228:DD228))))</f>
        <v>0</v>
      </c>
      <c r="DF228" s="401">
        <f ca="1">IF(SUM($G228:DE228)&gt;=$E228,0,IF(($E228-SUM($G228:DE228))&gt;=DF$229,DF$229,($E228-SUM($G228:DE228))))</f>
        <v>0</v>
      </c>
      <c r="DG228" s="401">
        <f ca="1">IF(SUM($G228:DF228)&gt;=$E228,0,IF(($E228-SUM($G228:DF228))&gt;=DG$229,DG$229,($E228-SUM($G228:DF228))))</f>
        <v>0</v>
      </c>
      <c r="DH228" s="401">
        <f ca="1">IF(SUM($G228:DG228)&gt;=$E228,0,IF(($E228-SUM($G228:DG228))&gt;=DH$229,DH$229,($E228-SUM($G228:DG228))))</f>
        <v>0</v>
      </c>
      <c r="DI228" s="401">
        <f ca="1">IF(SUM($G228:DH228)&gt;=$E228,0,IF(($E228-SUM($G228:DH228))&gt;=DI$229,DI$229,($E228-SUM($G228:DH228))))</f>
        <v>0</v>
      </c>
      <c r="DJ228" s="401">
        <f ca="1">IF(SUM($G228:DI228)&gt;=$E228,0,IF(($E228-SUM($G228:DI228))&gt;=DJ$229,DJ$229,($E228-SUM($G228:DI228))))</f>
        <v>0</v>
      </c>
      <c r="DK228" s="401">
        <f ca="1">IF(SUM($G228:DJ228)&gt;=$E228,0,IF(($E228-SUM($G228:DJ228))&gt;=DK$229,DK$229,($E228-SUM($G228:DJ228))))</f>
        <v>0</v>
      </c>
      <c r="DL228" s="401">
        <f ca="1">IF(SUM($G228:DK228)&gt;=$E228,0,IF(($E228-SUM($G228:DK228))&gt;=DL$229,DL$229,($E228-SUM($G228:DK228))))</f>
        <v>0</v>
      </c>
      <c r="DM228" s="401">
        <f ca="1">IF(SUM($G228:DL228)&gt;=$E228,0,IF(($E228-SUM($G228:DL228))&gt;=DM$229,DM$229,($E228-SUM($G228:DL228))))</f>
        <v>0</v>
      </c>
      <c r="DN228" s="401">
        <f ca="1">IF(SUM($G228:DM228)&gt;=$E228,0,IF(($E228-SUM($G228:DM228))&gt;=DN$229,DN$229,($E228-SUM($G228:DM228))))</f>
        <v>0</v>
      </c>
      <c r="DO228" s="401">
        <f ca="1">IF(SUM($G228:DN228)&gt;=$E228,0,IF(($E228-SUM($G228:DN228))&gt;=DO$229,DO$229,($E228-SUM($G228:DN228))))</f>
        <v>0</v>
      </c>
      <c r="DP228" s="401">
        <f ca="1">IF(SUM($G228:DO228)&gt;=$E228,0,IF(($E228-SUM($G228:DO228))&gt;=DP$229,DP$229,($E228-SUM($G228:DO228))))</f>
        <v>0</v>
      </c>
      <c r="DQ228" s="401">
        <f ca="1">IF(SUM($G228:DP228)&gt;=$E228,0,IF(($E228-SUM($G228:DP228))&gt;=DQ$229,DQ$229,($E228-SUM($G228:DP228))))</f>
        <v>0</v>
      </c>
      <c r="DR228" s="401">
        <f ca="1">IF(SUM($G228:DQ228)&gt;=$E228,0,IF(($E228-SUM($G228:DQ228))&gt;=DR$229,DR$229,($E228-SUM($G228:DQ228))))</f>
        <v>0</v>
      </c>
      <c r="DS228" s="401">
        <f ca="1">IF(SUM($G228:DR228)&gt;=$E228,0,IF(($E228-SUM($G228:DR228))&gt;=DS$229,DS$229,($E228-SUM($G228:DR228))))</f>
        <v>0</v>
      </c>
      <c r="DT228" s="401">
        <f ca="1">IF(SUM($G228:DS228)&gt;=$E228,0,IF(($E228-SUM($G228:DS228))&gt;=DT$229,DT$229,($E228-SUM($G228:DS228))))</f>
        <v>0</v>
      </c>
      <c r="DU228" s="401">
        <f ca="1">IF(SUM($G228:DT228)&gt;=$E228,0,IF(($E228-SUM($G228:DT228))&gt;=DU$229,DU$229,($E228-SUM($G228:DT228))))</f>
        <v>0</v>
      </c>
      <c r="DV228" s="401">
        <f ca="1">IF(SUM($G228:DU228)&gt;=$E228,0,IF(($E228-SUM($G228:DU228))&gt;=DV$229,DV$229,($E228-SUM($G228:DU228))))</f>
        <v>0</v>
      </c>
      <c r="DW228" s="401">
        <f ca="1">IF(SUM($G228:DV228)&gt;=$E228,0,IF(($E228-SUM($G228:DV228))&gt;=DW$229,DW$229,($E228-SUM($G228:DV228))))</f>
        <v>0</v>
      </c>
      <c r="DX228" s="401">
        <f ca="1">IF(SUM($G228:DW228)&gt;=$E228,0,IF(($E228-SUM($G228:DW228))&gt;=DX$229,DX$229,($E228-SUM($G228:DW228))))</f>
        <v>0</v>
      </c>
      <c r="DY228" s="401">
        <f ca="1">IF(SUM($G228:DX228)&gt;=$E228,0,IF(($E228-SUM($G228:DX228))&gt;=DY$229,DY$229,($E228-SUM($G228:DX228))))</f>
        <v>0</v>
      </c>
      <c r="DZ228" s="401">
        <f ca="1">IF(SUM($G228:DY228)&gt;=$E228,0,IF(($E228-SUM($G228:DY228))&gt;=DZ$229,DZ$229,($E228-SUM($G228:DY228))))</f>
        <v>0</v>
      </c>
      <c r="EA228" s="401">
        <f ca="1">IF(SUM($G228:DZ228)&gt;=$E228,0,IF(($E228-SUM($G228:DZ228))&gt;=EA$229,EA$229,($E228-SUM($G228:DZ228))))</f>
        <v>0</v>
      </c>
      <c r="EB228" s="401">
        <f ca="1">IF(SUM($G228:EA228)&gt;=$E228,0,IF(($E228-SUM($G228:EA228))&gt;=EB$229,EB$229,($E228-SUM($G228:EA228))))</f>
        <v>0</v>
      </c>
      <c r="EC228" s="401">
        <f ca="1">IF(SUM($G228:EB228)&gt;=$E228,0,IF(($E228-SUM($G228:EB228))&gt;=EC$229,EC$229,($E228-SUM($G228:EB228))))</f>
        <v>0</v>
      </c>
      <c r="ED228" s="401">
        <f ca="1">IF(SUM($G228:EC228)&gt;=$E228,0,IF(($E228-SUM($G228:EC228))&gt;=ED$229,ED$229,($E228-SUM($G228:EC228))))</f>
        <v>0</v>
      </c>
      <c r="EE228" s="401">
        <f ca="1">IF(SUM($G228:ED228)&gt;=$E228,0,IF(($E228-SUM($G228:ED228))&gt;=EE$229,EE$229,($E228-SUM($G228:ED228))))</f>
        <v>0</v>
      </c>
      <c r="EF228" s="401">
        <f ca="1">IF(SUM($G228:EE228)&gt;=$E228,0,IF(($E228-SUM($G228:EE228))&gt;=EF$229,EF$229,($E228-SUM($G228:EE228))))</f>
        <v>0</v>
      </c>
      <c r="EG228" s="401">
        <f ca="1">IF(SUM($G228:EF228)&gt;=$E228,0,IF(($E228-SUM($G228:EF228))&gt;=EG$229,EG$229,($E228-SUM($G228:EF228))))</f>
        <v>0</v>
      </c>
      <c r="EH228" s="401">
        <f ca="1">IF(SUM($G228:EG228)&gt;=$E228,0,IF(($E228-SUM($G228:EG228))&gt;=EH$229,EH$229,($E228-SUM($G228:EG228))))</f>
        <v>0</v>
      </c>
      <c r="EI228" s="401">
        <f ca="1">IF(SUM($G228:EH228)&gt;=$E228,0,IF(($E228-SUM($G228:EH228))&gt;=EI$229,EI$229,($E228-SUM($G228:EH228))))</f>
        <v>0</v>
      </c>
      <c r="EK228" s="313"/>
    </row>
    <row r="229" spans="1:152" hidden="1" outlineLevel="2">
      <c r="A229" s="332"/>
      <c r="B229" s="313"/>
      <c r="C229" s="308"/>
      <c r="D229" s="308"/>
      <c r="E229" s="308"/>
      <c r="G229" s="402">
        <f t="shared" ref="G229:AL229" si="450">G3</f>
        <v>31</v>
      </c>
      <c r="H229" s="402">
        <f t="shared" si="450"/>
        <v>30</v>
      </c>
      <c r="I229" s="402">
        <f t="shared" si="450"/>
        <v>31</v>
      </c>
      <c r="J229" s="402">
        <f t="shared" si="450"/>
        <v>30</v>
      </c>
      <c r="K229" s="402">
        <f t="shared" si="450"/>
        <v>31</v>
      </c>
      <c r="L229" s="402">
        <f t="shared" si="450"/>
        <v>31</v>
      </c>
      <c r="M229" s="402">
        <f t="shared" si="450"/>
        <v>30</v>
      </c>
      <c r="N229" s="402">
        <f t="shared" si="450"/>
        <v>31</v>
      </c>
      <c r="O229" s="402">
        <f t="shared" si="450"/>
        <v>30</v>
      </c>
      <c r="P229" s="402">
        <f t="shared" si="450"/>
        <v>31</v>
      </c>
      <c r="Q229" s="402">
        <f t="shared" si="450"/>
        <v>31</v>
      </c>
      <c r="R229" s="402">
        <f t="shared" si="450"/>
        <v>29</v>
      </c>
      <c r="S229" s="402">
        <f t="shared" si="450"/>
        <v>31</v>
      </c>
      <c r="T229" s="402">
        <f t="shared" si="450"/>
        <v>30</v>
      </c>
      <c r="U229" s="402">
        <f t="shared" si="450"/>
        <v>31</v>
      </c>
      <c r="V229" s="402">
        <f t="shared" si="450"/>
        <v>30</v>
      </c>
      <c r="W229" s="402">
        <f t="shared" si="450"/>
        <v>31</v>
      </c>
      <c r="X229" s="402">
        <f t="shared" si="450"/>
        <v>31</v>
      </c>
      <c r="Y229" s="402">
        <f t="shared" si="450"/>
        <v>30</v>
      </c>
      <c r="Z229" s="402">
        <f t="shared" si="450"/>
        <v>31</v>
      </c>
      <c r="AA229" s="402">
        <f t="shared" si="450"/>
        <v>30</v>
      </c>
      <c r="AB229" s="402">
        <f t="shared" si="450"/>
        <v>31</v>
      </c>
      <c r="AC229" s="402">
        <f t="shared" si="450"/>
        <v>31</v>
      </c>
      <c r="AD229" s="402">
        <f t="shared" si="450"/>
        <v>28</v>
      </c>
      <c r="AE229" s="402">
        <f t="shared" si="450"/>
        <v>31</v>
      </c>
      <c r="AF229" s="402">
        <f t="shared" si="450"/>
        <v>30</v>
      </c>
      <c r="AG229" s="402">
        <f t="shared" si="450"/>
        <v>31</v>
      </c>
      <c r="AH229" s="402">
        <f t="shared" si="450"/>
        <v>30</v>
      </c>
      <c r="AI229" s="402">
        <f t="shared" si="450"/>
        <v>31</v>
      </c>
      <c r="AJ229" s="402">
        <f t="shared" si="450"/>
        <v>31</v>
      </c>
      <c r="AK229" s="402">
        <f t="shared" si="450"/>
        <v>30</v>
      </c>
      <c r="AL229" s="402">
        <f t="shared" si="450"/>
        <v>31</v>
      </c>
      <c r="AM229" s="402">
        <f t="shared" ref="AM229:BR229" si="451">AM3</f>
        <v>30</v>
      </c>
      <c r="AN229" s="402">
        <f t="shared" si="451"/>
        <v>31</v>
      </c>
      <c r="AO229" s="402">
        <f t="shared" si="451"/>
        <v>31</v>
      </c>
      <c r="AP229" s="402">
        <f t="shared" si="451"/>
        <v>28</v>
      </c>
      <c r="AQ229" s="402">
        <f t="shared" si="451"/>
        <v>31</v>
      </c>
      <c r="AR229" s="402">
        <f t="shared" si="451"/>
        <v>30</v>
      </c>
      <c r="AS229" s="402">
        <f t="shared" si="451"/>
        <v>31</v>
      </c>
      <c r="AT229" s="402">
        <f t="shared" si="451"/>
        <v>30</v>
      </c>
      <c r="AU229" s="402">
        <f t="shared" si="451"/>
        <v>31</v>
      </c>
      <c r="AV229" s="402">
        <f t="shared" si="451"/>
        <v>31</v>
      </c>
      <c r="AW229" s="402">
        <f t="shared" si="451"/>
        <v>30</v>
      </c>
      <c r="AX229" s="402">
        <f t="shared" si="451"/>
        <v>31</v>
      </c>
      <c r="AY229" s="402">
        <f t="shared" si="451"/>
        <v>30</v>
      </c>
      <c r="AZ229" s="402">
        <f t="shared" si="451"/>
        <v>31</v>
      </c>
      <c r="BA229" s="402">
        <f t="shared" si="451"/>
        <v>31</v>
      </c>
      <c r="BB229" s="402">
        <f t="shared" si="451"/>
        <v>28</v>
      </c>
      <c r="BC229" s="402">
        <f t="shared" si="451"/>
        <v>31</v>
      </c>
      <c r="BD229" s="402">
        <f t="shared" si="451"/>
        <v>30</v>
      </c>
      <c r="BE229" s="402">
        <f t="shared" si="451"/>
        <v>31</v>
      </c>
      <c r="BF229" s="402">
        <f t="shared" si="451"/>
        <v>30</v>
      </c>
      <c r="BG229" s="402">
        <f t="shared" si="451"/>
        <v>31</v>
      </c>
      <c r="BH229" s="402">
        <f t="shared" si="451"/>
        <v>31</v>
      </c>
      <c r="BI229" s="402">
        <f t="shared" si="451"/>
        <v>30</v>
      </c>
      <c r="BJ229" s="402">
        <f t="shared" si="451"/>
        <v>31</v>
      </c>
      <c r="BK229" s="402">
        <f t="shared" si="451"/>
        <v>30</v>
      </c>
      <c r="BL229" s="402">
        <f t="shared" si="451"/>
        <v>31</v>
      </c>
      <c r="BM229" s="402">
        <f t="shared" si="451"/>
        <v>31</v>
      </c>
      <c r="BN229" s="402">
        <f t="shared" si="451"/>
        <v>29</v>
      </c>
      <c r="BO229" s="402">
        <f t="shared" si="451"/>
        <v>31</v>
      </c>
      <c r="BP229" s="402">
        <f t="shared" si="451"/>
        <v>30</v>
      </c>
      <c r="BQ229" s="402">
        <f t="shared" si="451"/>
        <v>31</v>
      </c>
      <c r="BR229" s="402">
        <f t="shared" si="451"/>
        <v>30</v>
      </c>
      <c r="BS229" s="402">
        <f t="shared" ref="BS229:CX229" si="452">BS3</f>
        <v>31</v>
      </c>
      <c r="BT229" s="402">
        <f t="shared" si="452"/>
        <v>31</v>
      </c>
      <c r="BU229" s="402">
        <f t="shared" si="452"/>
        <v>30</v>
      </c>
      <c r="BV229" s="402">
        <f t="shared" si="452"/>
        <v>31</v>
      </c>
      <c r="BW229" s="402">
        <f t="shared" si="452"/>
        <v>30</v>
      </c>
      <c r="BX229" s="402">
        <f t="shared" si="452"/>
        <v>31</v>
      </c>
      <c r="BY229" s="402">
        <f t="shared" si="452"/>
        <v>31</v>
      </c>
      <c r="BZ229" s="402">
        <f t="shared" si="452"/>
        <v>28</v>
      </c>
      <c r="CA229" s="402">
        <f t="shared" si="452"/>
        <v>31</v>
      </c>
      <c r="CB229" s="402">
        <f t="shared" si="452"/>
        <v>30</v>
      </c>
      <c r="CC229" s="402">
        <f t="shared" si="452"/>
        <v>31</v>
      </c>
      <c r="CD229" s="402">
        <f t="shared" si="452"/>
        <v>30</v>
      </c>
      <c r="CE229" s="402">
        <f t="shared" si="452"/>
        <v>31</v>
      </c>
      <c r="CF229" s="402">
        <f t="shared" si="452"/>
        <v>31</v>
      </c>
      <c r="CG229" s="402">
        <f t="shared" si="452"/>
        <v>30</v>
      </c>
      <c r="CH229" s="402">
        <f t="shared" si="452"/>
        <v>31</v>
      </c>
      <c r="CI229" s="402">
        <f t="shared" si="452"/>
        <v>30</v>
      </c>
      <c r="CJ229" s="402">
        <f t="shared" si="452"/>
        <v>31</v>
      </c>
      <c r="CK229" s="402">
        <f t="shared" si="452"/>
        <v>31</v>
      </c>
      <c r="CL229" s="402">
        <f t="shared" si="452"/>
        <v>28</v>
      </c>
      <c r="CM229" s="402">
        <f t="shared" si="452"/>
        <v>31</v>
      </c>
      <c r="CN229" s="402">
        <f t="shared" si="452"/>
        <v>30</v>
      </c>
      <c r="CO229" s="402">
        <f t="shared" si="452"/>
        <v>31</v>
      </c>
      <c r="CP229" s="402">
        <f t="shared" si="452"/>
        <v>30</v>
      </c>
      <c r="CQ229" s="402">
        <f t="shared" si="452"/>
        <v>31</v>
      </c>
      <c r="CR229" s="402">
        <f t="shared" si="452"/>
        <v>31</v>
      </c>
      <c r="CS229" s="402">
        <f t="shared" si="452"/>
        <v>30</v>
      </c>
      <c r="CT229" s="402">
        <f t="shared" si="452"/>
        <v>31</v>
      </c>
      <c r="CU229" s="402">
        <f t="shared" si="452"/>
        <v>30</v>
      </c>
      <c r="CV229" s="402">
        <f t="shared" si="452"/>
        <v>31</v>
      </c>
      <c r="CW229" s="402">
        <f t="shared" si="452"/>
        <v>31</v>
      </c>
      <c r="CX229" s="402">
        <f t="shared" si="452"/>
        <v>28</v>
      </c>
      <c r="CY229" s="402">
        <f t="shared" ref="CY229:EI229" si="453">CY3</f>
        <v>31</v>
      </c>
      <c r="CZ229" s="402">
        <f t="shared" si="453"/>
        <v>30</v>
      </c>
      <c r="DA229" s="402">
        <f t="shared" si="453"/>
        <v>31</v>
      </c>
      <c r="DB229" s="402">
        <f t="shared" si="453"/>
        <v>30</v>
      </c>
      <c r="DC229" s="402">
        <f t="shared" si="453"/>
        <v>31</v>
      </c>
      <c r="DD229" s="402">
        <f t="shared" si="453"/>
        <v>31</v>
      </c>
      <c r="DE229" s="402">
        <f t="shared" si="453"/>
        <v>30</v>
      </c>
      <c r="DF229" s="402">
        <f t="shared" si="453"/>
        <v>31</v>
      </c>
      <c r="DG229" s="402">
        <f t="shared" si="453"/>
        <v>30</v>
      </c>
      <c r="DH229" s="402">
        <f t="shared" si="453"/>
        <v>31</v>
      </c>
      <c r="DI229" s="402">
        <f t="shared" si="453"/>
        <v>31</v>
      </c>
      <c r="DJ229" s="402">
        <f t="shared" si="453"/>
        <v>29</v>
      </c>
      <c r="DK229" s="402">
        <f t="shared" si="453"/>
        <v>31</v>
      </c>
      <c r="DL229" s="402">
        <f t="shared" si="453"/>
        <v>30</v>
      </c>
      <c r="DM229" s="402">
        <f t="shared" si="453"/>
        <v>31</v>
      </c>
      <c r="DN229" s="402">
        <f t="shared" si="453"/>
        <v>30</v>
      </c>
      <c r="DO229" s="402">
        <f t="shared" si="453"/>
        <v>31</v>
      </c>
      <c r="DP229" s="402">
        <f t="shared" si="453"/>
        <v>31</v>
      </c>
      <c r="DQ229" s="402">
        <f t="shared" si="453"/>
        <v>30</v>
      </c>
      <c r="DR229" s="402">
        <f t="shared" si="453"/>
        <v>31</v>
      </c>
      <c r="DS229" s="402">
        <f t="shared" si="453"/>
        <v>30</v>
      </c>
      <c r="DT229" s="402">
        <f t="shared" si="453"/>
        <v>31</v>
      </c>
      <c r="DU229" s="402">
        <f t="shared" si="453"/>
        <v>31</v>
      </c>
      <c r="DV229" s="402">
        <f t="shared" si="453"/>
        <v>28</v>
      </c>
      <c r="DW229" s="402">
        <f t="shared" si="453"/>
        <v>31</v>
      </c>
      <c r="DX229" s="402">
        <f t="shared" si="453"/>
        <v>30</v>
      </c>
      <c r="DY229" s="402">
        <f t="shared" si="453"/>
        <v>31</v>
      </c>
      <c r="DZ229" s="402">
        <f t="shared" si="453"/>
        <v>30</v>
      </c>
      <c r="EA229" s="402">
        <f t="shared" si="453"/>
        <v>31</v>
      </c>
      <c r="EB229" s="402">
        <f t="shared" si="453"/>
        <v>31</v>
      </c>
      <c r="EC229" s="402">
        <f t="shared" si="453"/>
        <v>30</v>
      </c>
      <c r="ED229" s="402">
        <f t="shared" si="453"/>
        <v>31</v>
      </c>
      <c r="EE229" s="402">
        <f t="shared" si="453"/>
        <v>30</v>
      </c>
      <c r="EF229" s="402">
        <f t="shared" si="453"/>
        <v>31</v>
      </c>
      <c r="EG229" s="402">
        <f t="shared" si="453"/>
        <v>31</v>
      </c>
      <c r="EH229" s="402">
        <f t="shared" si="453"/>
        <v>28</v>
      </c>
      <c r="EI229" s="402">
        <f t="shared" si="453"/>
        <v>31</v>
      </c>
      <c r="EK229" s="313"/>
    </row>
    <row r="230" spans="1:152" hidden="1" outlineLevel="2">
      <c r="A230" s="332"/>
      <c r="B230" s="313"/>
      <c r="D230" s="305" t="s">
        <v>670</v>
      </c>
      <c r="E230" s="403">
        <f ca="1">MIN(G230:EI230)</f>
        <v>44986</v>
      </c>
      <c r="F230" s="404">
        <f ca="1">MAX(G230:EI230)</f>
        <v>44986</v>
      </c>
      <c r="G230" s="403">
        <f ca="1">IF(G228=0,"",IF(SUM($G228:G228)&gt;=1,OFFSET(G$228,-1,0),""))</f>
        <v>44986</v>
      </c>
      <c r="H230" s="403" t="str">
        <f ca="1">IF(SUM($G230:G230)&gt;=1,"",IF(H228=0,"",IF(SUM($G228:H228)&gt;=1,OFFSET(H$228,-1,0),"")))</f>
        <v/>
      </c>
      <c r="I230" s="403" t="str">
        <f ca="1">IF(SUM($G$230:H230)&gt;=1,"",IF(I228=0,"",IF(SUM($G228:I228)&gt;=1,OFFSET(I$228,-1,0),"")))</f>
        <v/>
      </c>
      <c r="J230" s="403" t="str">
        <f ca="1">IF(SUM($G$230:I230)&gt;=1,"",IF(J228=0,"",IF(SUM($G228:J228)&gt;=1,OFFSET(J$228,-1,0),"")))</f>
        <v/>
      </c>
      <c r="K230" s="403" t="str">
        <f ca="1">IF(SUM($G$230:J230)&gt;=1,"",IF(K228=0,"",IF(SUM($G228:K228)&gt;=1,OFFSET(K$228,-1,0),"")))</f>
        <v/>
      </c>
      <c r="L230" s="403" t="str">
        <f ca="1">IF(SUM($G$230:K230)&gt;=1,"",IF(L228=0,"",IF(SUM($G228:L228)&gt;=1,OFFSET(L$228,-1,0),"")))</f>
        <v/>
      </c>
      <c r="M230" s="403" t="str">
        <f ca="1">IF(SUM($G$230:L230)&gt;=1,"",IF(M228=0,"",IF(SUM($G228:M228)&gt;=1,OFFSET(M$228,-1,0),"")))</f>
        <v/>
      </c>
      <c r="N230" s="403" t="str">
        <f ca="1">IF(SUM($G$230:M230)&gt;=1,"",IF(N228=0,"",IF(SUM($G228:N228)&gt;=1,OFFSET(N$228,-1,0),"")))</f>
        <v/>
      </c>
      <c r="O230" s="403" t="str">
        <f ca="1">IF(SUM($G$230:N230)&gt;=1,"",IF(O228=0,"",IF(SUM($G228:O228)&gt;=1,OFFSET(O$228,-1,0),"")))</f>
        <v/>
      </c>
      <c r="P230" s="403" t="str">
        <f ca="1">IF(SUM($G$230:O230)&gt;=1,"",IF(P228=0,"",IF(SUM($G228:P228)&gt;=1,OFFSET(P$228,-1,0),"")))</f>
        <v/>
      </c>
      <c r="Q230" s="403" t="str">
        <f ca="1">IF(SUM($G$230:P230)&gt;=1,"",IF(Q228=0,"",IF(SUM($G228:Q228)&gt;=1,OFFSET(Q$228,-1,0),"")))</f>
        <v/>
      </c>
      <c r="R230" s="403" t="str">
        <f ca="1">IF(SUM($G$230:Q230)&gt;=1,"",IF(R228=0,"",IF(SUM($G228:R228)&gt;=1,OFFSET(R$228,-1,0),"")))</f>
        <v/>
      </c>
      <c r="S230" s="403" t="str">
        <f ca="1">IF(SUM($G$230:R230)&gt;=1,"",IF(S228=0,"",IF(SUM($G228:S228)&gt;=1,OFFSET(S$228,-1,0),"")))</f>
        <v/>
      </c>
      <c r="T230" s="403" t="str">
        <f ca="1">IF(SUM($G$230:S230)&gt;=1,"",IF(T228=0,"",IF(SUM($G228:T228)&gt;=1,OFFSET(T$228,-1,0),"")))</f>
        <v/>
      </c>
      <c r="U230" s="403" t="str">
        <f ca="1">IF(SUM($G$230:T230)&gt;=1,"",IF(U228=0,"",IF(SUM($G228:U228)&gt;=1,OFFSET(U$228,-1,0),"")))</f>
        <v/>
      </c>
      <c r="V230" s="403" t="str">
        <f ca="1">IF(SUM($G$230:U230)&gt;=1,"",IF(V228=0,"",IF(SUM($G228:V228)&gt;=1,OFFSET(V$228,-1,0),"")))</f>
        <v/>
      </c>
      <c r="W230" s="403" t="str">
        <f ca="1">IF(SUM($G$230:V230)&gt;=1,"",IF(W228=0,"",IF(SUM($G228:W228)&gt;=1,OFFSET(W$228,-1,0),"")))</f>
        <v/>
      </c>
      <c r="X230" s="403" t="str">
        <f ca="1">IF(SUM($G$230:W230)&gt;=1,"",IF(X228=0,"",IF(SUM($G228:X228)&gt;=1,OFFSET(X$228,-1,0),"")))</f>
        <v/>
      </c>
      <c r="Y230" s="403" t="str">
        <f ca="1">IF(SUM($G$230:X230)&gt;=1,"",IF(Y228=0,"",IF(SUM($G228:Y228)&gt;=1,OFFSET(Y$228,-1,0),"")))</f>
        <v/>
      </c>
      <c r="Z230" s="403" t="str">
        <f ca="1">IF(SUM($G$230:Y230)&gt;=1,"",IF(Z228=0,"",IF(SUM($G228:Z228)&gt;=1,OFFSET(Z$228,-1,0),"")))</f>
        <v/>
      </c>
      <c r="AA230" s="403" t="str">
        <f ca="1">IF(SUM($G$230:Z230)&gt;=1,"",IF(AA228=0,"",IF(SUM($G228:AA228)&gt;=1,OFFSET(AA$228,-1,0),"")))</f>
        <v/>
      </c>
      <c r="AB230" s="403" t="str">
        <f ca="1">IF(SUM($G$230:AA230)&gt;=1,"",IF(AB228=0,"",IF(SUM($G228:AB228)&gt;=1,OFFSET(AB$228,-1,0),"")))</f>
        <v/>
      </c>
      <c r="AC230" s="403" t="str">
        <f ca="1">IF(SUM($G$230:AB230)&gt;=1,"",IF(AC228=0,"",IF(SUM($G228:AC228)&gt;=1,OFFSET(AC$228,-1,0),"")))</f>
        <v/>
      </c>
      <c r="AD230" s="403" t="str">
        <f ca="1">IF(SUM($G$230:AC230)&gt;=1,"",IF(AD228=0,"",IF(SUM($G228:AD228)&gt;=1,OFFSET(AD$228,-1,0),"")))</f>
        <v/>
      </c>
      <c r="AE230" s="403" t="str">
        <f ca="1">IF(SUM($G$230:AD230)&gt;=1,"",IF(AE228=0,"",IF(SUM($G228:AE228)&gt;=1,OFFSET(AE$228,-1,0),"")))</f>
        <v/>
      </c>
      <c r="AF230" s="403" t="str">
        <f ca="1">IF(SUM($G$230:AE230)&gt;=1,"",IF(AF228=0,"",IF(SUM($G228:AF228)&gt;=1,OFFSET(AF$228,-1,0),"")))</f>
        <v/>
      </c>
      <c r="AG230" s="403" t="str">
        <f ca="1">IF(SUM($G$230:AF230)&gt;=1,"",IF(AG228=0,"",IF(SUM($G228:AG228)&gt;=1,OFFSET(AG$228,-1,0),"")))</f>
        <v/>
      </c>
      <c r="AH230" s="403" t="str">
        <f ca="1">IF(SUM($G$230:AG230)&gt;=1,"",IF(AH228=0,"",IF(SUM($G228:AH228)&gt;=1,OFFSET(AH$228,-1,0),"")))</f>
        <v/>
      </c>
      <c r="AI230" s="403" t="str">
        <f ca="1">IF(SUM($G$230:AH230)&gt;=1,"",IF(AI228=0,"",IF(SUM($G228:AI228)&gt;=1,OFFSET(AI$228,-1,0),"")))</f>
        <v/>
      </c>
      <c r="AJ230" s="403" t="str">
        <f ca="1">IF(SUM($G$230:AI230)&gt;=1,"",IF(AJ228=0,"",IF(SUM($G228:AJ228)&gt;=1,OFFSET(AJ$228,-1,0),"")))</f>
        <v/>
      </c>
      <c r="AK230" s="403" t="str">
        <f ca="1">IF(SUM($G$230:AJ230)&gt;=1,"",IF(AK228=0,"",IF(SUM($G228:AK228)&gt;=1,OFFSET(AK$228,-1,0),"")))</f>
        <v/>
      </c>
      <c r="AL230" s="403" t="str">
        <f ca="1">IF(SUM($G$230:AK230)&gt;=1,"",IF(AL228=0,"",IF(SUM($G228:AL228)&gt;=1,OFFSET(AL$228,-1,0),"")))</f>
        <v/>
      </c>
      <c r="AM230" s="403" t="str">
        <f ca="1">IF(SUM($G$230:AL230)&gt;=1,"",IF(AM228=0,"",IF(SUM($G228:AM228)&gt;=1,OFFSET(AM$228,-1,0),"")))</f>
        <v/>
      </c>
      <c r="AN230" s="403" t="str">
        <f ca="1">IF(SUM($G$230:AM230)&gt;=1,"",IF(AN228=0,"",IF(SUM($G228:AN228)&gt;=1,OFFSET(AN$228,-1,0),"")))</f>
        <v/>
      </c>
      <c r="AO230" s="403" t="str">
        <f ca="1">IF(SUM($G$230:AN230)&gt;=1,"",IF(AO228=0,"",IF(SUM($G228:AO228)&gt;=1,OFFSET(AO$228,-1,0),"")))</f>
        <v/>
      </c>
      <c r="AP230" s="403" t="str">
        <f ca="1">IF(SUM($G$230:AO230)&gt;=1,"",IF(AP228=0,"",IF(SUM($G228:AP228)&gt;=1,OFFSET(AP$228,-1,0),"")))</f>
        <v/>
      </c>
      <c r="AQ230" s="403" t="str">
        <f ca="1">IF(SUM($G$230:AP230)&gt;=1,"",IF(AQ228=0,"",IF(SUM($G228:AQ228)&gt;=1,OFFSET(AQ$228,-1,0),"")))</f>
        <v/>
      </c>
      <c r="AR230" s="403" t="str">
        <f ca="1">IF(SUM($G$230:AQ230)&gt;=1,"",IF(AR228=0,"",IF(SUM($G228:AR228)&gt;=1,OFFSET(AR$228,-1,0),"")))</f>
        <v/>
      </c>
      <c r="AS230" s="403" t="str">
        <f ca="1">IF(SUM($G$230:AR230)&gt;=1,"",IF(AS228=0,"",IF(SUM($G228:AS228)&gt;=1,OFFSET(AS$228,-1,0),"")))</f>
        <v/>
      </c>
      <c r="AT230" s="403" t="str">
        <f ca="1">IF(SUM($G$230:AS230)&gt;=1,"",IF(AT228=0,"",IF(SUM($G228:AT228)&gt;=1,OFFSET(AT$228,-1,0),"")))</f>
        <v/>
      </c>
      <c r="AU230" s="403" t="str">
        <f ca="1">IF(SUM($G$230:AT230)&gt;=1,"",IF(AU228=0,"",IF(SUM($G228:AU228)&gt;=1,OFFSET(AU$228,-1,0),"")))</f>
        <v/>
      </c>
      <c r="AV230" s="403" t="str">
        <f ca="1">IF(SUM($G$230:AU230)&gt;=1,"",IF(AV228=0,"",IF(SUM($G228:AV228)&gt;=1,OFFSET(AV$228,-1,0),"")))</f>
        <v/>
      </c>
      <c r="AW230" s="403" t="str">
        <f ca="1">IF(SUM($G$230:AV230)&gt;=1,"",IF(AW228=0,"",IF(SUM($G228:AW228)&gt;=1,OFFSET(AW$228,-1,0),"")))</f>
        <v/>
      </c>
      <c r="AX230" s="403" t="str">
        <f ca="1">IF(SUM($G$230:AW230)&gt;=1,"",IF(AX228=0,"",IF(SUM($G228:AX228)&gt;=1,OFFSET(AX$228,-1,0),"")))</f>
        <v/>
      </c>
      <c r="AY230" s="403" t="str">
        <f ca="1">IF(SUM($G$230:AX230)&gt;=1,"",IF(AY228=0,"",IF(SUM($G228:AY228)&gt;=1,OFFSET(AY$228,-1,0),"")))</f>
        <v/>
      </c>
      <c r="AZ230" s="403" t="str">
        <f ca="1">IF(SUM($G$230:AY230)&gt;=1,"",IF(AZ228=0,"",IF(SUM($G228:AZ228)&gt;=1,OFFSET(AZ$228,-1,0),"")))</f>
        <v/>
      </c>
      <c r="BA230" s="403" t="str">
        <f ca="1">IF(SUM($G$230:AZ230)&gt;=1,"",IF(BA228=0,"",IF(SUM($G228:BA228)&gt;=1,OFFSET(BA$228,-1,0),"")))</f>
        <v/>
      </c>
      <c r="BB230" s="403" t="str">
        <f ca="1">IF(SUM($G$230:BA230)&gt;=1,"",IF(BB228=0,"",IF(SUM($G228:BB228)&gt;=1,OFFSET(BB$228,-1,0),"")))</f>
        <v/>
      </c>
      <c r="BC230" s="403" t="str">
        <f ca="1">IF(SUM($G$230:BB230)&gt;=1,"",IF(BC228=0,"",IF(SUM($G228:BC228)&gt;=1,OFFSET(BC$228,-1,0),"")))</f>
        <v/>
      </c>
      <c r="BD230" s="403" t="str">
        <f ca="1">IF(SUM($G$230:BC230)&gt;=1,"",IF(BD228=0,"",IF(SUM($G228:BD228)&gt;=1,OFFSET(BD$228,-1,0),"")))</f>
        <v/>
      </c>
      <c r="BE230" s="403" t="str">
        <f ca="1">IF(SUM($G$230:BD230)&gt;=1,"",IF(BE228=0,"",IF(SUM($G228:BE228)&gt;=1,OFFSET(BE$228,-1,0),"")))</f>
        <v/>
      </c>
      <c r="BF230" s="403" t="str">
        <f ca="1">IF(SUM($G$230:BE230)&gt;=1,"",IF(BF228=0,"",IF(SUM($G228:BF228)&gt;=1,OFFSET(BF$228,-1,0),"")))</f>
        <v/>
      </c>
      <c r="BG230" s="403" t="str">
        <f ca="1">IF(SUM($G$230:BF230)&gt;=1,"",IF(BG228=0,"",IF(SUM($G228:BG228)&gt;=1,OFFSET(BG$228,-1,0),"")))</f>
        <v/>
      </c>
      <c r="BH230" s="403" t="str">
        <f ca="1">IF(SUM($G$230:BG230)&gt;=1,"",IF(BH228=0,"",IF(SUM($G228:BH228)&gt;=1,OFFSET(BH$228,-1,0),"")))</f>
        <v/>
      </c>
      <c r="BI230" s="403" t="str">
        <f ca="1">IF(SUM($G$230:BH230)&gt;=1,"",IF(BI228=0,"",IF(SUM($G228:BI228)&gt;=1,OFFSET(BI$228,-1,0),"")))</f>
        <v/>
      </c>
      <c r="BJ230" s="403" t="str">
        <f ca="1">IF(SUM($G$230:BI230)&gt;=1,"",IF(BJ228=0,"",IF(SUM($G228:BJ228)&gt;=1,OFFSET(BJ$228,-1,0),"")))</f>
        <v/>
      </c>
      <c r="BK230" s="403" t="str">
        <f ca="1">IF(SUM($G$230:BJ230)&gt;=1,"",IF(BK228=0,"",IF(SUM($G228:BK228)&gt;=1,OFFSET(BK$228,-1,0),"")))</f>
        <v/>
      </c>
      <c r="BL230" s="403" t="str">
        <f ca="1">IF(SUM($G$230:BK230)&gt;=1,"",IF(BL228=0,"",IF(SUM($G228:BL228)&gt;=1,OFFSET(BL$228,-1,0),"")))</f>
        <v/>
      </c>
      <c r="BM230" s="403" t="str">
        <f ca="1">IF(SUM($G$230:BL230)&gt;=1,"",IF(BM228=0,"",IF(SUM($G228:BM228)&gt;=1,OFFSET(BM$228,-1,0),"")))</f>
        <v/>
      </c>
      <c r="BN230" s="403" t="str">
        <f ca="1">IF(SUM($G$230:BM230)&gt;=1,"",IF(BN228=0,"",IF(SUM($G228:BN228)&gt;=1,OFFSET(BN$228,-1,0),"")))</f>
        <v/>
      </c>
      <c r="BO230" s="403" t="str">
        <f ca="1">IF(SUM($G$230:BN230)&gt;=1,"",IF(BO228=0,"",IF(SUM($G228:BO228)&gt;=1,OFFSET(BO$228,-1,0),"")))</f>
        <v/>
      </c>
      <c r="BP230" s="403" t="str">
        <f ca="1">IF(SUM($G$230:BO230)&gt;=1,"",IF(BP228=0,"",IF(SUM($G228:BP228)&gt;=1,OFFSET(BP$228,-1,0),"")))</f>
        <v/>
      </c>
      <c r="BQ230" s="403" t="str">
        <f ca="1">IF(SUM($G$230:BP230)&gt;=1,"",IF(BQ228=0,"",IF(SUM($G228:BQ228)&gt;=1,OFFSET(BQ$228,-1,0),"")))</f>
        <v/>
      </c>
      <c r="BR230" s="403" t="str">
        <f ca="1">IF(SUM($G$230:BQ230)&gt;=1,"",IF(BR228=0,"",IF(SUM($G228:BR228)&gt;=1,OFFSET(BR$228,-1,0),"")))</f>
        <v/>
      </c>
      <c r="BS230" s="403" t="str">
        <f ca="1">IF(SUM($G$230:BR230)&gt;=1,"",IF(BS228=0,"",IF(SUM($G228:BS228)&gt;=1,OFFSET(BS$228,-1,0),"")))</f>
        <v/>
      </c>
      <c r="BT230" s="403" t="str">
        <f ca="1">IF(SUM($G$230:BS230)&gt;=1,"",IF(BT228=0,"",IF(SUM($G228:BT228)&gt;=1,OFFSET(BT$228,-1,0),"")))</f>
        <v/>
      </c>
      <c r="BU230" s="403" t="str">
        <f ca="1">IF(SUM($G$230:BT230)&gt;=1,"",IF(BU228=0,"",IF(SUM($G228:BU228)&gt;=1,OFFSET(BU$228,-1,0),"")))</f>
        <v/>
      </c>
      <c r="BV230" s="403" t="str">
        <f ca="1">IF(SUM($G$230:BU230)&gt;=1,"",IF(BV228=0,"",IF(SUM($G228:BV228)&gt;=1,OFFSET(BV$228,-1,0),"")))</f>
        <v/>
      </c>
      <c r="BW230" s="403" t="str">
        <f ca="1">IF(SUM($G$230:BV230)&gt;=1,"",IF(BW228=0,"",IF(SUM($G228:BW228)&gt;=1,OFFSET(BW$228,-1,0),"")))</f>
        <v/>
      </c>
      <c r="BX230" s="403" t="str">
        <f ca="1">IF(SUM($G$230:BW230)&gt;=1,"",IF(BX228=0,"",IF(SUM($G228:BX228)&gt;=1,OFFSET(BX$228,-1,0),"")))</f>
        <v/>
      </c>
      <c r="BY230" s="403" t="str">
        <f ca="1">IF(SUM($G$230:BX230)&gt;=1,"",IF(BY228=0,"",IF(SUM($G228:BY228)&gt;=1,OFFSET(BY$228,-1,0),"")))</f>
        <v/>
      </c>
      <c r="BZ230" s="403" t="str">
        <f ca="1">IF(SUM($G$230:BY230)&gt;=1,"",IF(BZ228=0,"",IF(SUM($G228:BZ228)&gt;=1,OFFSET(BZ$228,-1,0),"")))</f>
        <v/>
      </c>
      <c r="CA230" s="403" t="str">
        <f ca="1">IF(SUM($G$230:BZ230)&gt;=1,"",IF(CA228=0,"",IF(SUM($G228:CA228)&gt;=1,OFFSET(CA$228,-1,0),"")))</f>
        <v/>
      </c>
      <c r="CB230" s="403" t="str">
        <f ca="1">IF(SUM($G$230:CA230)&gt;=1,"",IF(CB228=0,"",IF(SUM($G228:CB228)&gt;=1,OFFSET(CB$228,-1,0),"")))</f>
        <v/>
      </c>
      <c r="CC230" s="403" t="str">
        <f ca="1">IF(SUM($G$230:CB230)&gt;=1,"",IF(CC228=0,"",IF(SUM($G228:CC228)&gt;=1,OFFSET(CC$228,-1,0),"")))</f>
        <v/>
      </c>
      <c r="CD230" s="403" t="str">
        <f ca="1">IF(SUM($G$230:CC230)&gt;=1,"",IF(CD228=0,"",IF(SUM($G228:CD228)&gt;=1,OFFSET(CD$228,-1,0),"")))</f>
        <v/>
      </c>
      <c r="CE230" s="403" t="str">
        <f ca="1">IF(SUM($G$230:CD230)&gt;=1,"",IF(CE228=0,"",IF(SUM($G228:CE228)&gt;=1,OFFSET(CE$228,-1,0),"")))</f>
        <v/>
      </c>
      <c r="CF230" s="403" t="str">
        <f ca="1">IF(SUM($G$230:CE230)&gt;=1,"",IF(CF228=0,"",IF(SUM($G228:CF228)&gt;=1,OFFSET(CF$228,-1,0),"")))</f>
        <v/>
      </c>
      <c r="CG230" s="403" t="str">
        <f ca="1">IF(SUM($G$230:CF230)&gt;=1,"",IF(CG228=0,"",IF(SUM($G228:CG228)&gt;=1,OFFSET(CG$228,-1,0),"")))</f>
        <v/>
      </c>
      <c r="CH230" s="403" t="str">
        <f ca="1">IF(SUM($G$230:CG230)&gt;=1,"",IF(CH228=0,"",IF(SUM($G228:CH228)&gt;=1,OFFSET(CH$228,-1,0),"")))</f>
        <v/>
      </c>
      <c r="CI230" s="403" t="str">
        <f ca="1">IF(SUM($G$230:CH230)&gt;=1,"",IF(CI228=0,"",IF(SUM($G228:CI228)&gt;=1,OFFSET(CI$228,-1,0),"")))</f>
        <v/>
      </c>
      <c r="CJ230" s="403" t="str">
        <f ca="1">IF(SUM($G$230:CI230)&gt;=1,"",IF(CJ228=0,"",IF(SUM($G228:CJ228)&gt;=1,OFFSET(CJ$228,-1,0),"")))</f>
        <v/>
      </c>
      <c r="CK230" s="403" t="str">
        <f ca="1">IF(SUM($G$230:CJ230)&gt;=1,"",IF(CK228=0,"",IF(SUM($G228:CK228)&gt;=1,OFFSET(CK$228,-1,0),"")))</f>
        <v/>
      </c>
      <c r="CL230" s="403" t="str">
        <f ca="1">IF(SUM($G$230:CK230)&gt;=1,"",IF(CL228=0,"",IF(SUM($G228:CL228)&gt;=1,OFFSET(CL$228,-1,0),"")))</f>
        <v/>
      </c>
      <c r="CM230" s="403" t="str">
        <f ca="1">IF(SUM($G$230:CL230)&gt;=1,"",IF(CM228=0,"",IF(SUM($G228:CM228)&gt;=1,OFFSET(CM$228,-1,0),"")))</f>
        <v/>
      </c>
      <c r="CN230" s="403" t="str">
        <f ca="1">IF(SUM($G$230:CM230)&gt;=1,"",IF(CN228=0,"",IF(SUM($G228:CN228)&gt;=1,OFFSET(CN$228,-1,0),"")))</f>
        <v/>
      </c>
      <c r="CO230" s="403" t="str">
        <f ca="1">IF(SUM($G$230:CN230)&gt;=1,"",IF(CO228=0,"",IF(SUM($G228:CO228)&gt;=1,OFFSET(CO$228,-1,0),"")))</f>
        <v/>
      </c>
      <c r="CP230" s="403" t="str">
        <f ca="1">IF(SUM($G$230:CO230)&gt;=1,"",IF(CP228=0,"",IF(SUM($G228:CP228)&gt;=1,OFFSET(CP$228,-1,0),"")))</f>
        <v/>
      </c>
      <c r="CQ230" s="403" t="str">
        <f ca="1">IF(SUM($G$230:CP230)&gt;=1,"",IF(CQ228=0,"",IF(SUM($G228:CQ228)&gt;=1,OFFSET(CQ$228,-1,0),"")))</f>
        <v/>
      </c>
      <c r="CR230" s="403" t="str">
        <f ca="1">IF(SUM($G$230:CQ230)&gt;=1,"",IF(CR228=0,"",IF(SUM($G228:CR228)&gt;=1,OFFSET(CR$228,-1,0),"")))</f>
        <v/>
      </c>
      <c r="CS230" s="403" t="str">
        <f ca="1">IF(SUM($G$230:CR230)&gt;=1,"",IF(CS228=0,"",IF(SUM($G228:CS228)&gt;=1,OFFSET(CS$228,-1,0),"")))</f>
        <v/>
      </c>
      <c r="CT230" s="403" t="str">
        <f ca="1">IF(SUM($G$230:CS230)&gt;=1,"",IF(CT228=0,"",IF(SUM($G228:CT228)&gt;=1,OFFSET(CT$228,-1,0),"")))</f>
        <v/>
      </c>
      <c r="CU230" s="403" t="str">
        <f ca="1">IF(SUM($G$230:CT230)&gt;=1,"",IF(CU228=0,"",IF(SUM($G228:CU228)&gt;=1,OFFSET(CU$228,-1,0),"")))</f>
        <v/>
      </c>
      <c r="CV230" s="403" t="str">
        <f ca="1">IF(SUM($G$230:CU230)&gt;=1,"",IF(CV228=0,"",IF(SUM($G228:CV228)&gt;=1,OFFSET(CV$228,-1,0),"")))</f>
        <v/>
      </c>
      <c r="CW230" s="403" t="str">
        <f ca="1">IF(SUM($G$230:CV230)&gt;=1,"",IF(CW228=0,"",IF(SUM($G228:CW228)&gt;=1,OFFSET(CW$228,-1,0),"")))</f>
        <v/>
      </c>
      <c r="CX230" s="403" t="str">
        <f ca="1">IF(SUM($G$230:CW230)&gt;=1,"",IF(CX228=0,"",IF(SUM($G228:CX228)&gt;=1,OFFSET(CX$228,-1,0),"")))</f>
        <v/>
      </c>
      <c r="CY230" s="403" t="str">
        <f ca="1">IF(SUM($G$230:CX230)&gt;=1,"",IF(CY228=0,"",IF(SUM($G228:CY228)&gt;=1,OFFSET(CY$228,-1,0),"")))</f>
        <v/>
      </c>
      <c r="CZ230" s="403" t="str">
        <f ca="1">IF(SUM($G$230:CY230)&gt;=1,"",IF(CZ228=0,"",IF(SUM($G228:CZ228)&gt;=1,OFFSET(CZ$228,-1,0),"")))</f>
        <v/>
      </c>
      <c r="DA230" s="403" t="str">
        <f ca="1">IF(SUM($G$230:CZ230)&gt;=1,"",IF(DA228=0,"",IF(SUM($G228:DA228)&gt;=1,OFFSET(DA$228,-1,0),"")))</f>
        <v/>
      </c>
      <c r="DB230" s="403" t="str">
        <f ca="1">IF(SUM($G$230:DA230)&gt;=1,"",IF(DB228=0,"",IF(SUM($G228:DB228)&gt;=1,OFFSET(DB$228,-1,0),"")))</f>
        <v/>
      </c>
      <c r="DC230" s="403" t="str">
        <f ca="1">IF(SUM($G$230:DB230)&gt;=1,"",IF(DC228=0,"",IF(SUM($G228:DC228)&gt;=1,OFFSET(DC$228,-1,0),"")))</f>
        <v/>
      </c>
      <c r="DD230" s="403" t="str">
        <f ca="1">IF(SUM($G$230:DC230)&gt;=1,"",IF(DD228=0,"",IF(SUM($G228:DD228)&gt;=1,OFFSET(DD$228,-1,0),"")))</f>
        <v/>
      </c>
      <c r="DE230" s="403" t="str">
        <f ca="1">IF(SUM($G$230:DD230)&gt;=1,"",IF(DE228=0,"",IF(SUM($G228:DE228)&gt;=1,OFFSET(DE$228,-1,0),"")))</f>
        <v/>
      </c>
      <c r="DF230" s="403" t="str">
        <f ca="1">IF(SUM($G$230:DE230)&gt;=1,"",IF(DF228=0,"",IF(SUM($G228:DF228)&gt;=1,OFFSET(DF$228,-1,0),"")))</f>
        <v/>
      </c>
      <c r="DG230" s="403" t="str">
        <f ca="1">IF(SUM($G$230:DF230)&gt;=1,"",IF(DG228=0,"",IF(SUM($G228:DG228)&gt;=1,OFFSET(DG$228,-1,0),"")))</f>
        <v/>
      </c>
      <c r="DH230" s="403" t="str">
        <f ca="1">IF(SUM($G$230:DG230)&gt;=1,"",IF(DH228=0,"",IF(SUM($G228:DH228)&gt;=1,OFFSET(DH$228,-1,0),"")))</f>
        <v/>
      </c>
      <c r="DI230" s="403" t="str">
        <f ca="1">IF(SUM($G$230:DH230)&gt;=1,"",IF(DI228=0,"",IF(SUM($G228:DI228)&gt;=1,OFFSET(DI$228,-1,0),"")))</f>
        <v/>
      </c>
      <c r="DJ230" s="403" t="str">
        <f ca="1">IF(SUM($G$230:DI230)&gt;=1,"",IF(DJ228=0,"",IF(SUM($G228:DJ228)&gt;=1,OFFSET(DJ$228,-1,0),"")))</f>
        <v/>
      </c>
      <c r="DK230" s="403" t="str">
        <f ca="1">IF(SUM($G$230:DJ230)&gt;=1,"",IF(DK228=0,"",IF(SUM($G228:DK228)&gt;=1,OFFSET(DK$228,-1,0),"")))</f>
        <v/>
      </c>
      <c r="DL230" s="403" t="str">
        <f ca="1">IF(SUM($G$230:DK230)&gt;=1,"",IF(DL228=0,"",IF(SUM($G228:DL228)&gt;=1,OFFSET(DL$228,-1,0),"")))</f>
        <v/>
      </c>
      <c r="DM230" s="403" t="str">
        <f ca="1">IF(SUM($G$230:DL230)&gt;=1,"",IF(DM228=0,"",IF(SUM($G228:DM228)&gt;=1,OFFSET(DM$228,-1,0),"")))</f>
        <v/>
      </c>
      <c r="DN230" s="403" t="str">
        <f ca="1">IF(SUM($G$230:DM230)&gt;=1,"",IF(DN228=0,"",IF(SUM($G228:DN228)&gt;=1,OFFSET(DN$228,-1,0),"")))</f>
        <v/>
      </c>
      <c r="DO230" s="403" t="str">
        <f ca="1">IF(SUM($G$230:DN230)&gt;=1,"",IF(DO228=0,"",IF(SUM($G228:DO228)&gt;=1,OFFSET(DO$228,-1,0),"")))</f>
        <v/>
      </c>
      <c r="DP230" s="403" t="str">
        <f ca="1">IF(SUM($G$230:DO230)&gt;=1,"",IF(DP228=0,"",IF(SUM($G228:DP228)&gt;=1,OFFSET(DP$228,-1,0),"")))</f>
        <v/>
      </c>
      <c r="DQ230" s="403" t="str">
        <f ca="1">IF(SUM($G$230:DP230)&gt;=1,"",IF(DQ228=0,"",IF(SUM($G228:DQ228)&gt;=1,OFFSET(DQ$228,-1,0),"")))</f>
        <v/>
      </c>
      <c r="DR230" s="403" t="str">
        <f ca="1">IF(SUM($G$230:DQ230)&gt;=1,"",IF(DR228=0,"",IF(SUM($G228:DR228)&gt;=1,OFFSET(DR$228,-1,0),"")))</f>
        <v/>
      </c>
      <c r="DS230" s="403" t="str">
        <f ca="1">IF(SUM($G$230:DR230)&gt;=1,"",IF(DS228=0,"",IF(SUM($G228:DS228)&gt;=1,OFFSET(DS$228,-1,0),"")))</f>
        <v/>
      </c>
      <c r="DT230" s="403" t="str">
        <f ca="1">IF(SUM($G$230:DS230)&gt;=1,"",IF(DT228=0,"",IF(SUM($G228:DT228)&gt;=1,OFFSET(DT$228,-1,0),"")))</f>
        <v/>
      </c>
      <c r="DU230" s="403" t="str">
        <f ca="1">IF(SUM($G$230:DT230)&gt;=1,"",IF(DU228=0,"",IF(SUM($G228:DU228)&gt;=1,OFFSET(DU$228,-1,0),"")))</f>
        <v/>
      </c>
      <c r="DV230" s="403" t="str">
        <f ca="1">IF(SUM($G$230:DU230)&gt;=1,"",IF(DV228=0,"",IF(SUM($G228:DV228)&gt;=1,OFFSET(DV$228,-1,0),"")))</f>
        <v/>
      </c>
      <c r="DW230" s="403" t="str">
        <f ca="1">IF(SUM($G$230:DV230)&gt;=1,"",IF(DW228=0,"",IF(SUM($G228:DW228)&gt;=1,OFFSET(DW$228,-1,0),"")))</f>
        <v/>
      </c>
      <c r="DX230" s="403" t="str">
        <f ca="1">IF(SUM($G$230:DW230)&gt;=1,"",IF(DX228=0,"",IF(SUM($G228:DX228)&gt;=1,OFFSET(DX$228,-1,0),"")))</f>
        <v/>
      </c>
      <c r="DY230" s="403" t="str">
        <f ca="1">IF(SUM($G$230:DX230)&gt;=1,"",IF(DY228=0,"",IF(SUM($G228:DY228)&gt;=1,OFFSET(DY$228,-1,0),"")))</f>
        <v/>
      </c>
      <c r="DZ230" s="403" t="str">
        <f ca="1">IF(SUM($G$230:DY230)&gt;=1,"",IF(DZ228=0,"",IF(SUM($G228:DZ228)&gt;=1,OFFSET(DZ$228,-1,0),"")))</f>
        <v/>
      </c>
      <c r="EA230" s="403" t="str">
        <f ca="1">IF(SUM($G$230:DZ230)&gt;=1,"",IF(EA228=0,"",IF(SUM($G228:EA228)&gt;=1,OFFSET(EA$228,-1,0),"")))</f>
        <v/>
      </c>
      <c r="EB230" s="403" t="str">
        <f ca="1">IF(SUM($G$230:EA230)&gt;=1,"",IF(EB228=0,"",IF(SUM($G228:EB228)&gt;=1,OFFSET(EB$228,-1,0),"")))</f>
        <v/>
      </c>
      <c r="EC230" s="403" t="str">
        <f ca="1">IF(SUM($G$230:EB230)&gt;=1,"",IF(EC228=0,"",IF(SUM($G228:EC228)&gt;=1,OFFSET(EC$228,-1,0),"")))</f>
        <v/>
      </c>
      <c r="ED230" s="403" t="str">
        <f ca="1">IF(SUM($G$230:EC230)&gt;=1,"",IF(ED228=0,"",IF(SUM($G228:ED228)&gt;=1,OFFSET(ED$228,-1,0),"")))</f>
        <v/>
      </c>
      <c r="EE230" s="403" t="str">
        <f ca="1">IF(SUM($G$230:ED230)&gt;=1,"",IF(EE228=0,"",IF(SUM($G228:EE228)&gt;=1,OFFSET(EE$228,-1,0),"")))</f>
        <v/>
      </c>
      <c r="EF230" s="403" t="str">
        <f ca="1">IF(SUM($G$230:EE230)&gt;=1,"",IF(EF228=0,"",IF(SUM($G228:EF228)&gt;=1,OFFSET(EF$228,-1,0),"")))</f>
        <v/>
      </c>
      <c r="EG230" s="403" t="str">
        <f ca="1">IF(SUM($G$230:EF230)&gt;=1,"",IF(EG228=0,"",IF(SUM($G228:EG228)&gt;=1,OFFSET(EG$228,-1,0),"")))</f>
        <v/>
      </c>
      <c r="EH230" s="403" t="str">
        <f ca="1">IF(SUM($G$230:EG230)&gt;=1,"",IF(EH228=0,"",IF(SUM($G228:EH228)&gt;=1,OFFSET(EH$228,-1,0),"")))</f>
        <v/>
      </c>
      <c r="EI230" s="403" t="str">
        <f ca="1">IF(SUM($G$230:EH230)&gt;=1,"",IF(EI228=0,"",IF(SUM($G228:EI228)&gt;=1,OFFSET(EI$228,-1,0),"")))</f>
        <v/>
      </c>
    </row>
    <row r="231" spans="1:152" hidden="1" outlineLevel="2">
      <c r="A231" s="332"/>
      <c r="B231" s="313"/>
      <c r="D231" s="305" t="s">
        <v>671</v>
      </c>
      <c r="E231" s="1002">
        <f ca="1">IF(E228=0,"",MIN(G231:EI231))</f>
        <v>44986</v>
      </c>
      <c r="F231" s="1003"/>
      <c r="G231" s="403">
        <f ca="1">IF(G228=0,"",IF(G228=G$3,G230,G$5+H$5-G232-1))</f>
        <v>44986</v>
      </c>
      <c r="H231" s="403" t="str">
        <f ca="1">IF(H228=0,"",IF(H228=H$3,H230,H$5+I$5-H232-1))</f>
        <v/>
      </c>
      <c r="I231" s="403" t="str">
        <f t="shared" ref="I231:BT231" ca="1" si="454">IF(I228=0,"",IF(I228=I$3,I230,I$5+J$5-I232-1))</f>
        <v/>
      </c>
      <c r="J231" s="403" t="str">
        <f t="shared" ca="1" si="454"/>
        <v/>
      </c>
      <c r="K231" s="403" t="str">
        <f t="shared" ca="1" si="454"/>
        <v/>
      </c>
      <c r="L231" s="403">
        <f t="shared" ca="1" si="454"/>
        <v>45143</v>
      </c>
      <c r="M231" s="403" t="str">
        <f t="shared" ca="1" si="454"/>
        <v/>
      </c>
      <c r="N231" s="403" t="str">
        <f t="shared" ca="1" si="454"/>
        <v/>
      </c>
      <c r="O231" s="403" t="str">
        <f t="shared" ca="1" si="454"/>
        <v/>
      </c>
      <c r="P231" s="403" t="str">
        <f t="shared" ca="1" si="454"/>
        <v/>
      </c>
      <c r="Q231" s="403" t="str">
        <f t="shared" ca="1" si="454"/>
        <v/>
      </c>
      <c r="R231" s="403" t="str">
        <f t="shared" ca="1" si="454"/>
        <v/>
      </c>
      <c r="S231" s="403" t="str">
        <f t="shared" ca="1" si="454"/>
        <v/>
      </c>
      <c r="T231" s="403" t="str">
        <f t="shared" ca="1" si="454"/>
        <v/>
      </c>
      <c r="U231" s="403" t="str">
        <f t="shared" ca="1" si="454"/>
        <v/>
      </c>
      <c r="V231" s="403" t="str">
        <f t="shared" ca="1" si="454"/>
        <v/>
      </c>
      <c r="W231" s="403" t="str">
        <f t="shared" ca="1" si="454"/>
        <v/>
      </c>
      <c r="X231" s="403" t="str">
        <f t="shared" ca="1" si="454"/>
        <v/>
      </c>
      <c r="Y231" s="403" t="str">
        <f t="shared" ca="1" si="454"/>
        <v/>
      </c>
      <c r="Z231" s="403" t="str">
        <f t="shared" ca="1" si="454"/>
        <v/>
      </c>
      <c r="AA231" s="403" t="str">
        <f t="shared" ca="1" si="454"/>
        <v/>
      </c>
      <c r="AB231" s="403" t="str">
        <f t="shared" ca="1" si="454"/>
        <v/>
      </c>
      <c r="AC231" s="403" t="str">
        <f t="shared" ca="1" si="454"/>
        <v/>
      </c>
      <c r="AD231" s="403" t="str">
        <f t="shared" ca="1" si="454"/>
        <v/>
      </c>
      <c r="AE231" s="403" t="str">
        <f t="shared" ca="1" si="454"/>
        <v/>
      </c>
      <c r="AF231" s="403" t="str">
        <f t="shared" ca="1" si="454"/>
        <v/>
      </c>
      <c r="AG231" s="403" t="str">
        <f t="shared" ca="1" si="454"/>
        <v/>
      </c>
      <c r="AH231" s="403" t="str">
        <f t="shared" ca="1" si="454"/>
        <v/>
      </c>
      <c r="AI231" s="403" t="str">
        <f t="shared" ca="1" si="454"/>
        <v/>
      </c>
      <c r="AJ231" s="403" t="str">
        <f t="shared" ca="1" si="454"/>
        <v/>
      </c>
      <c r="AK231" s="403" t="str">
        <f t="shared" ca="1" si="454"/>
        <v/>
      </c>
      <c r="AL231" s="403" t="str">
        <f t="shared" ca="1" si="454"/>
        <v/>
      </c>
      <c r="AM231" s="403" t="str">
        <f t="shared" ca="1" si="454"/>
        <v/>
      </c>
      <c r="AN231" s="403" t="str">
        <f t="shared" ca="1" si="454"/>
        <v/>
      </c>
      <c r="AO231" s="403" t="str">
        <f t="shared" ca="1" si="454"/>
        <v/>
      </c>
      <c r="AP231" s="403" t="str">
        <f t="shared" ca="1" si="454"/>
        <v/>
      </c>
      <c r="AQ231" s="403" t="str">
        <f t="shared" ca="1" si="454"/>
        <v/>
      </c>
      <c r="AR231" s="403" t="str">
        <f t="shared" ca="1" si="454"/>
        <v/>
      </c>
      <c r="AS231" s="403" t="str">
        <f t="shared" ca="1" si="454"/>
        <v/>
      </c>
      <c r="AT231" s="403" t="str">
        <f t="shared" ca="1" si="454"/>
        <v/>
      </c>
      <c r="AU231" s="403" t="str">
        <f t="shared" ca="1" si="454"/>
        <v/>
      </c>
      <c r="AV231" s="403" t="str">
        <f t="shared" ca="1" si="454"/>
        <v/>
      </c>
      <c r="AW231" s="403" t="str">
        <f t="shared" ca="1" si="454"/>
        <v/>
      </c>
      <c r="AX231" s="403" t="str">
        <f t="shared" ca="1" si="454"/>
        <v/>
      </c>
      <c r="AY231" s="403" t="str">
        <f t="shared" ca="1" si="454"/>
        <v/>
      </c>
      <c r="AZ231" s="403" t="str">
        <f t="shared" ca="1" si="454"/>
        <v/>
      </c>
      <c r="BA231" s="403" t="str">
        <f t="shared" ca="1" si="454"/>
        <v/>
      </c>
      <c r="BB231" s="403" t="str">
        <f t="shared" ca="1" si="454"/>
        <v/>
      </c>
      <c r="BC231" s="403" t="str">
        <f t="shared" ca="1" si="454"/>
        <v/>
      </c>
      <c r="BD231" s="403" t="str">
        <f t="shared" ca="1" si="454"/>
        <v/>
      </c>
      <c r="BE231" s="403" t="str">
        <f t="shared" ca="1" si="454"/>
        <v/>
      </c>
      <c r="BF231" s="403" t="str">
        <f t="shared" ca="1" si="454"/>
        <v/>
      </c>
      <c r="BG231" s="403" t="str">
        <f t="shared" ca="1" si="454"/>
        <v/>
      </c>
      <c r="BH231" s="403" t="str">
        <f t="shared" ca="1" si="454"/>
        <v/>
      </c>
      <c r="BI231" s="403" t="str">
        <f t="shared" ca="1" si="454"/>
        <v/>
      </c>
      <c r="BJ231" s="403" t="str">
        <f t="shared" ca="1" si="454"/>
        <v/>
      </c>
      <c r="BK231" s="403" t="str">
        <f t="shared" ca="1" si="454"/>
        <v/>
      </c>
      <c r="BL231" s="403" t="str">
        <f t="shared" ca="1" si="454"/>
        <v/>
      </c>
      <c r="BM231" s="403" t="str">
        <f t="shared" ca="1" si="454"/>
        <v/>
      </c>
      <c r="BN231" s="403" t="str">
        <f t="shared" ca="1" si="454"/>
        <v/>
      </c>
      <c r="BO231" s="403" t="str">
        <f t="shared" ca="1" si="454"/>
        <v/>
      </c>
      <c r="BP231" s="403" t="str">
        <f t="shared" ca="1" si="454"/>
        <v/>
      </c>
      <c r="BQ231" s="403" t="str">
        <f t="shared" ca="1" si="454"/>
        <v/>
      </c>
      <c r="BR231" s="403" t="str">
        <f t="shared" ca="1" si="454"/>
        <v/>
      </c>
      <c r="BS231" s="403" t="str">
        <f t="shared" ca="1" si="454"/>
        <v/>
      </c>
      <c r="BT231" s="403" t="str">
        <f t="shared" ca="1" si="454"/>
        <v/>
      </c>
      <c r="BU231" s="403" t="str">
        <f t="shared" ref="BU231:EF231" ca="1" si="455">IF(BU228=0,"",IF(BU228=BU$3,BU230,BU$5+BV$5-BU232-1))</f>
        <v/>
      </c>
      <c r="BV231" s="403" t="str">
        <f t="shared" ca="1" si="455"/>
        <v/>
      </c>
      <c r="BW231" s="403" t="str">
        <f t="shared" ca="1" si="455"/>
        <v/>
      </c>
      <c r="BX231" s="403" t="str">
        <f t="shared" ca="1" si="455"/>
        <v/>
      </c>
      <c r="BY231" s="403" t="str">
        <f t="shared" ca="1" si="455"/>
        <v/>
      </c>
      <c r="BZ231" s="403" t="str">
        <f t="shared" ca="1" si="455"/>
        <v/>
      </c>
      <c r="CA231" s="403" t="str">
        <f t="shared" ca="1" si="455"/>
        <v/>
      </c>
      <c r="CB231" s="403" t="str">
        <f t="shared" ca="1" si="455"/>
        <v/>
      </c>
      <c r="CC231" s="403" t="str">
        <f t="shared" ca="1" si="455"/>
        <v/>
      </c>
      <c r="CD231" s="403" t="str">
        <f t="shared" ca="1" si="455"/>
        <v/>
      </c>
      <c r="CE231" s="403" t="str">
        <f t="shared" ca="1" si="455"/>
        <v/>
      </c>
      <c r="CF231" s="403" t="str">
        <f t="shared" ca="1" si="455"/>
        <v/>
      </c>
      <c r="CG231" s="403" t="str">
        <f t="shared" ca="1" si="455"/>
        <v/>
      </c>
      <c r="CH231" s="403" t="str">
        <f t="shared" ca="1" si="455"/>
        <v/>
      </c>
      <c r="CI231" s="403" t="str">
        <f t="shared" ca="1" si="455"/>
        <v/>
      </c>
      <c r="CJ231" s="403" t="str">
        <f t="shared" ca="1" si="455"/>
        <v/>
      </c>
      <c r="CK231" s="403" t="str">
        <f t="shared" ca="1" si="455"/>
        <v/>
      </c>
      <c r="CL231" s="403" t="str">
        <f t="shared" ca="1" si="455"/>
        <v/>
      </c>
      <c r="CM231" s="403" t="str">
        <f t="shared" ca="1" si="455"/>
        <v/>
      </c>
      <c r="CN231" s="403" t="str">
        <f t="shared" ca="1" si="455"/>
        <v/>
      </c>
      <c r="CO231" s="403" t="str">
        <f t="shared" ca="1" si="455"/>
        <v/>
      </c>
      <c r="CP231" s="403" t="str">
        <f t="shared" ca="1" si="455"/>
        <v/>
      </c>
      <c r="CQ231" s="403" t="str">
        <f t="shared" ca="1" si="455"/>
        <v/>
      </c>
      <c r="CR231" s="403" t="str">
        <f t="shared" ca="1" si="455"/>
        <v/>
      </c>
      <c r="CS231" s="403" t="str">
        <f t="shared" ca="1" si="455"/>
        <v/>
      </c>
      <c r="CT231" s="403" t="str">
        <f t="shared" ca="1" si="455"/>
        <v/>
      </c>
      <c r="CU231" s="403" t="str">
        <f t="shared" ca="1" si="455"/>
        <v/>
      </c>
      <c r="CV231" s="403" t="str">
        <f t="shared" ca="1" si="455"/>
        <v/>
      </c>
      <c r="CW231" s="403" t="str">
        <f t="shared" ca="1" si="455"/>
        <v/>
      </c>
      <c r="CX231" s="403" t="str">
        <f t="shared" ca="1" si="455"/>
        <v/>
      </c>
      <c r="CY231" s="403" t="str">
        <f t="shared" ca="1" si="455"/>
        <v/>
      </c>
      <c r="CZ231" s="403" t="str">
        <f t="shared" ca="1" si="455"/>
        <v/>
      </c>
      <c r="DA231" s="403" t="str">
        <f t="shared" ca="1" si="455"/>
        <v/>
      </c>
      <c r="DB231" s="403" t="str">
        <f t="shared" ca="1" si="455"/>
        <v/>
      </c>
      <c r="DC231" s="403" t="str">
        <f t="shared" ca="1" si="455"/>
        <v/>
      </c>
      <c r="DD231" s="403" t="str">
        <f t="shared" ca="1" si="455"/>
        <v/>
      </c>
      <c r="DE231" s="403" t="str">
        <f t="shared" ca="1" si="455"/>
        <v/>
      </c>
      <c r="DF231" s="403" t="str">
        <f t="shared" ca="1" si="455"/>
        <v/>
      </c>
      <c r="DG231" s="403" t="str">
        <f t="shared" ca="1" si="455"/>
        <v/>
      </c>
      <c r="DH231" s="403" t="str">
        <f t="shared" ca="1" si="455"/>
        <v/>
      </c>
      <c r="DI231" s="403" t="str">
        <f t="shared" ca="1" si="455"/>
        <v/>
      </c>
      <c r="DJ231" s="403" t="str">
        <f t="shared" ca="1" si="455"/>
        <v/>
      </c>
      <c r="DK231" s="403" t="str">
        <f t="shared" ca="1" si="455"/>
        <v/>
      </c>
      <c r="DL231" s="403" t="str">
        <f t="shared" ca="1" si="455"/>
        <v/>
      </c>
      <c r="DM231" s="403" t="str">
        <f t="shared" ca="1" si="455"/>
        <v/>
      </c>
      <c r="DN231" s="403" t="str">
        <f t="shared" ca="1" si="455"/>
        <v/>
      </c>
      <c r="DO231" s="403" t="str">
        <f t="shared" ca="1" si="455"/>
        <v/>
      </c>
      <c r="DP231" s="403" t="str">
        <f t="shared" ca="1" si="455"/>
        <v/>
      </c>
      <c r="DQ231" s="403" t="str">
        <f t="shared" ca="1" si="455"/>
        <v/>
      </c>
      <c r="DR231" s="403" t="str">
        <f t="shared" ca="1" si="455"/>
        <v/>
      </c>
      <c r="DS231" s="403" t="str">
        <f t="shared" ca="1" si="455"/>
        <v/>
      </c>
      <c r="DT231" s="403" t="str">
        <f t="shared" ca="1" si="455"/>
        <v/>
      </c>
      <c r="DU231" s="403" t="str">
        <f t="shared" ca="1" si="455"/>
        <v/>
      </c>
      <c r="DV231" s="403" t="str">
        <f t="shared" ca="1" si="455"/>
        <v/>
      </c>
      <c r="DW231" s="403" t="str">
        <f t="shared" ca="1" si="455"/>
        <v/>
      </c>
      <c r="DX231" s="403" t="str">
        <f t="shared" ca="1" si="455"/>
        <v/>
      </c>
      <c r="DY231" s="403" t="str">
        <f t="shared" ca="1" si="455"/>
        <v/>
      </c>
      <c r="DZ231" s="403" t="str">
        <f t="shared" ca="1" si="455"/>
        <v/>
      </c>
      <c r="EA231" s="403" t="str">
        <f t="shared" ca="1" si="455"/>
        <v/>
      </c>
      <c r="EB231" s="403" t="str">
        <f t="shared" ca="1" si="455"/>
        <v/>
      </c>
      <c r="EC231" s="403" t="str">
        <f t="shared" ca="1" si="455"/>
        <v/>
      </c>
      <c r="ED231" s="403" t="str">
        <f t="shared" ca="1" si="455"/>
        <v/>
      </c>
      <c r="EE231" s="403" t="str">
        <f t="shared" ca="1" si="455"/>
        <v/>
      </c>
      <c r="EF231" s="403" t="str">
        <f t="shared" ca="1" si="455"/>
        <v/>
      </c>
      <c r="EG231" s="403" t="str">
        <f t="shared" ref="EG231:EI231" ca="1" si="456">IF(EG228=0,"",IF(EG228=EG$3,EG230,EG$5+EH$5-EG232-1))</f>
        <v/>
      </c>
      <c r="EH231" s="403" t="str">
        <f t="shared" ca="1" si="456"/>
        <v/>
      </c>
      <c r="EI231" s="403" t="str">
        <f t="shared" ca="1" si="456"/>
        <v/>
      </c>
    </row>
    <row r="232" spans="1:152" hidden="1" outlineLevel="2">
      <c r="A232" s="332"/>
      <c r="B232" s="313"/>
      <c r="D232" s="305" t="s">
        <v>672</v>
      </c>
      <c r="E232" s="1002">
        <f ca="1">IF(E228=0,"",MAX(G232:EI232))</f>
        <v>45165</v>
      </c>
      <c r="F232" s="1003"/>
      <c r="G232" s="403">
        <f ca="1">IF(SUM(G228:$EI228)=0,"",IF(G$227="","",G$227+G228-1))</f>
        <v>45016</v>
      </c>
      <c r="H232" s="403">
        <f ca="1">IF(SUM(H228:$EI228)=0,"",IF(H$227="","",H$227+H228-1))</f>
        <v>45046</v>
      </c>
      <c r="I232" s="403">
        <f ca="1">IF(SUM(I228:$EI228)=0,"",IF(I$227="","",I$227+I228-1))</f>
        <v>45077</v>
      </c>
      <c r="J232" s="403">
        <f ca="1">IF(SUM(J228:$EI228)=0,"",IF(J$227="","",J$227+J228-1))</f>
        <v>45107</v>
      </c>
      <c r="K232" s="403">
        <f ca="1">IF(SUM(K228:$EI228)=0,"",IF(K$227="","",K$227+K228-1))</f>
        <v>45138</v>
      </c>
      <c r="L232" s="403">
        <f ca="1">IF(SUM(L228:$EI228)=0,"",IF(L$227="","",L$227+L228-1))</f>
        <v>45165</v>
      </c>
      <c r="M232" s="403" t="str">
        <f ca="1">IF(SUM(M228:$EI228)=0,"",IF(M$227="","",M$227+M228-1))</f>
        <v/>
      </c>
      <c r="N232" s="403" t="str">
        <f ca="1">IF(SUM(N228:$EI228)=0,"",IF(N$227="","",N$227+N228-1))</f>
        <v/>
      </c>
      <c r="O232" s="403" t="str">
        <f ca="1">IF(SUM(O228:$EI228)=0,"",IF(O$227="","",O$227+O228-1))</f>
        <v/>
      </c>
      <c r="P232" s="403" t="str">
        <f ca="1">IF(SUM(P228:$EI228)=0,"",IF(P$227="","",P$227+P228-1))</f>
        <v/>
      </c>
      <c r="Q232" s="403" t="str">
        <f ca="1">IF(SUM(Q228:$EI228)=0,"",IF(Q$227="","",Q$227+Q228-1))</f>
        <v/>
      </c>
      <c r="R232" s="403" t="str">
        <f ca="1">IF(SUM(R228:$EI228)=0,"",IF(R$227="","",R$227+R228-1))</f>
        <v/>
      </c>
      <c r="S232" s="403" t="str">
        <f ca="1">IF(SUM(S228:$EI228)=0,"",IF(S$227="","",S$227+S228-1))</f>
        <v/>
      </c>
      <c r="T232" s="403" t="str">
        <f ca="1">IF(SUM(T228:$EI228)=0,"",IF(T$227="","",T$227+T228-1))</f>
        <v/>
      </c>
      <c r="U232" s="403" t="str">
        <f ca="1">IF(SUM(U228:$EI228)=0,"",IF(U$227="","",U$227+U228-1))</f>
        <v/>
      </c>
      <c r="V232" s="403" t="str">
        <f ca="1">IF(SUM(V228:$EI228)=0,"",IF(V$227="","",V$227+V228-1))</f>
        <v/>
      </c>
      <c r="W232" s="403" t="str">
        <f ca="1">IF(SUM(W228:$EI228)=0,"",IF(W$227="","",W$227+W228-1))</f>
        <v/>
      </c>
      <c r="X232" s="403" t="str">
        <f ca="1">IF(SUM(X228:$EI228)=0,"",IF(X$227="","",X$227+X228-1))</f>
        <v/>
      </c>
      <c r="Y232" s="403" t="str">
        <f ca="1">IF(SUM(Y228:$EI228)=0,"",IF(Y$227="","",Y$227+Y228-1))</f>
        <v/>
      </c>
      <c r="Z232" s="403" t="str">
        <f ca="1">IF(SUM(Z228:$EI228)=0,"",IF(Z$227="","",Z$227+Z228-1))</f>
        <v/>
      </c>
      <c r="AA232" s="403" t="str">
        <f ca="1">IF(SUM(AA228:$EI228)=0,"",IF(AA$227="","",AA$227+AA228-1))</f>
        <v/>
      </c>
      <c r="AB232" s="403" t="str">
        <f ca="1">IF(SUM(AB228:$EI228)=0,"",IF(AB$227="","",AB$227+AB228-1))</f>
        <v/>
      </c>
      <c r="AC232" s="403" t="str">
        <f ca="1">IF(SUM(AC228:$EI228)=0,"",IF(AC$227="","",AC$227+AC228-1))</f>
        <v/>
      </c>
      <c r="AD232" s="403" t="str">
        <f ca="1">IF(SUM(AD228:$EI228)=0,"",IF(AD$227="","",AD$227+AD228-1))</f>
        <v/>
      </c>
      <c r="AE232" s="403" t="str">
        <f ca="1">IF(SUM(AE228:$EI228)=0,"",IF(AE$227="","",AE$227+AE228-1))</f>
        <v/>
      </c>
      <c r="AF232" s="403" t="str">
        <f ca="1">IF(SUM(AF228:$EI228)=0,"",IF(AF$227="","",AF$227+AF228-1))</f>
        <v/>
      </c>
      <c r="AG232" s="403" t="str">
        <f ca="1">IF(SUM(AG228:$EI228)=0,"",IF(AG$227="","",AG$227+AG228-1))</f>
        <v/>
      </c>
      <c r="AH232" s="403" t="str">
        <f ca="1">IF(SUM(AH228:$EI228)=0,"",IF(AH$227="","",AH$227+AH228-1))</f>
        <v/>
      </c>
      <c r="AI232" s="403" t="str">
        <f ca="1">IF(SUM(AI228:$EI228)=0,"",IF(AI$227="","",AI$227+AI228-1))</f>
        <v/>
      </c>
      <c r="AJ232" s="403" t="str">
        <f ca="1">IF(SUM(AJ228:$EI228)=0,"",IF(AJ$227="","",AJ$227+AJ228-1))</f>
        <v/>
      </c>
      <c r="AK232" s="403" t="str">
        <f ca="1">IF(SUM(AK228:$EI228)=0,"",IF(AK$227="","",AK$227+AK228-1))</f>
        <v/>
      </c>
      <c r="AL232" s="403" t="str">
        <f ca="1">IF(SUM(AL228:$EI228)=0,"",IF(AL$227="","",AL$227+AL228-1))</f>
        <v/>
      </c>
      <c r="AM232" s="403" t="str">
        <f ca="1">IF(SUM(AM228:$EI228)=0,"",IF(AM$227="","",AM$227+AM228-1))</f>
        <v/>
      </c>
      <c r="AN232" s="403" t="str">
        <f ca="1">IF(SUM(AN228:$EI228)=0,"",IF(AN$227="","",AN$227+AN228-1))</f>
        <v/>
      </c>
      <c r="AO232" s="403" t="str">
        <f ca="1">IF(SUM(AO228:$EI228)=0,"",IF(AO$227="","",AO$227+AO228-1))</f>
        <v/>
      </c>
      <c r="AP232" s="403" t="str">
        <f ca="1">IF(SUM(AP228:$EI228)=0,"",IF(AP$227="","",AP$227+AP228-1))</f>
        <v/>
      </c>
      <c r="AQ232" s="403" t="str">
        <f ca="1">IF(SUM(AQ228:$EI228)=0,"",IF(AQ$227="","",AQ$227+AQ228-1))</f>
        <v/>
      </c>
      <c r="AR232" s="403" t="str">
        <f ca="1">IF(SUM(AR228:$EI228)=0,"",IF(AR$227="","",AR$227+AR228-1))</f>
        <v/>
      </c>
      <c r="AS232" s="403" t="str">
        <f ca="1">IF(SUM(AS228:$EI228)=0,"",IF(AS$227="","",AS$227+AS228-1))</f>
        <v/>
      </c>
      <c r="AT232" s="403" t="str">
        <f ca="1">IF(SUM(AT228:$EI228)=0,"",IF(AT$227="","",AT$227+AT228-1))</f>
        <v/>
      </c>
      <c r="AU232" s="403" t="str">
        <f ca="1">IF(SUM(AU228:$EI228)=0,"",IF(AU$227="","",AU$227+AU228-1))</f>
        <v/>
      </c>
      <c r="AV232" s="403" t="str">
        <f ca="1">IF(SUM(AV228:$EI228)=0,"",IF(AV$227="","",AV$227+AV228-1))</f>
        <v/>
      </c>
      <c r="AW232" s="403" t="str">
        <f ca="1">IF(SUM(AW228:$EI228)=0,"",IF(AW$227="","",AW$227+AW228-1))</f>
        <v/>
      </c>
      <c r="AX232" s="403" t="str">
        <f ca="1">IF(SUM(AX228:$EI228)=0,"",IF(AX$227="","",AX$227+AX228-1))</f>
        <v/>
      </c>
      <c r="AY232" s="403" t="str">
        <f ca="1">IF(SUM(AY228:$EI228)=0,"",IF(AY$227="","",AY$227+AY228-1))</f>
        <v/>
      </c>
      <c r="AZ232" s="403" t="str">
        <f ca="1">IF(SUM(AZ228:$EI228)=0,"",IF(AZ$227="","",AZ$227+AZ228-1))</f>
        <v/>
      </c>
      <c r="BA232" s="403" t="str">
        <f ca="1">IF(SUM(BA228:$EI228)=0,"",IF(BA$227="","",BA$227+BA228-1))</f>
        <v/>
      </c>
      <c r="BB232" s="403" t="str">
        <f ca="1">IF(SUM(BB228:$EI228)=0,"",IF(BB$227="","",BB$227+BB228-1))</f>
        <v/>
      </c>
      <c r="BC232" s="403" t="str">
        <f ca="1">IF(SUM(BC228:$EI228)=0,"",IF(BC$227="","",BC$227+BC228-1))</f>
        <v/>
      </c>
      <c r="BD232" s="403" t="str">
        <f ca="1">IF(SUM(BD228:$EI228)=0,"",IF(BD$227="","",BD$227+BD228-1))</f>
        <v/>
      </c>
      <c r="BE232" s="403" t="str">
        <f ca="1">IF(SUM(BE228:$EI228)=0,"",IF(BE$227="","",BE$227+BE228-1))</f>
        <v/>
      </c>
      <c r="BF232" s="403" t="str">
        <f ca="1">IF(SUM(BF228:$EI228)=0,"",IF(BF$227="","",BF$227+BF228-1))</f>
        <v/>
      </c>
      <c r="BG232" s="403" t="str">
        <f ca="1">IF(SUM(BG228:$EI228)=0,"",IF(BG$227="","",BG$227+BG228-1))</f>
        <v/>
      </c>
      <c r="BH232" s="403" t="str">
        <f ca="1">IF(SUM(BH228:$EI228)=0,"",IF(BH$227="","",BH$227+BH228-1))</f>
        <v/>
      </c>
      <c r="BI232" s="403" t="str">
        <f ca="1">IF(SUM(BI228:$EI228)=0,"",IF(BI$227="","",BI$227+BI228-1))</f>
        <v/>
      </c>
      <c r="BJ232" s="403" t="str">
        <f ca="1">IF(SUM(BJ228:$EI228)=0,"",IF(BJ$227="","",BJ$227+BJ228-1))</f>
        <v/>
      </c>
      <c r="BK232" s="403" t="str">
        <f ca="1">IF(SUM(BK228:$EI228)=0,"",IF(BK$227="","",BK$227+BK228-1))</f>
        <v/>
      </c>
      <c r="BL232" s="403" t="str">
        <f ca="1">IF(SUM(BL228:$EI228)=0,"",IF(BL$227="","",BL$227+BL228-1))</f>
        <v/>
      </c>
      <c r="BM232" s="403" t="str">
        <f ca="1">IF(SUM(BM228:$EI228)=0,"",IF(BM$227="","",BM$227+BM228-1))</f>
        <v/>
      </c>
      <c r="BN232" s="403" t="str">
        <f ca="1">IF(SUM(BN228:$EI228)=0,"",IF(BN$227="","",BN$227+BN228-1))</f>
        <v/>
      </c>
      <c r="BO232" s="403" t="str">
        <f ca="1">IF(SUM(BO228:$EI228)=0,"",IF(BO$227="","",BO$227+BO228-1))</f>
        <v/>
      </c>
      <c r="BP232" s="403" t="str">
        <f ca="1">IF(SUM(BP228:$EI228)=0,"",IF(BP$227="","",BP$227+BP228-1))</f>
        <v/>
      </c>
      <c r="BQ232" s="403" t="str">
        <f ca="1">IF(SUM(BQ228:$EI228)=0,"",IF(BQ$227="","",BQ$227+BQ228-1))</f>
        <v/>
      </c>
      <c r="BR232" s="403" t="str">
        <f ca="1">IF(SUM(BR228:$EI228)=0,"",IF(BR$227="","",BR$227+BR228-1))</f>
        <v/>
      </c>
      <c r="BS232" s="403" t="str">
        <f ca="1">IF(SUM(BS228:$EI228)=0,"",IF(BS$227="","",BS$227+BS228-1))</f>
        <v/>
      </c>
      <c r="BT232" s="403" t="str">
        <f ca="1">IF(SUM(BT228:$EI228)=0,"",IF(BT$227="","",BT$227+BT228-1))</f>
        <v/>
      </c>
      <c r="BU232" s="403" t="str">
        <f ca="1">IF(SUM(BU228:$EI228)=0,"",IF(BU$227="","",BU$227+BU228-1))</f>
        <v/>
      </c>
      <c r="BV232" s="403" t="str">
        <f ca="1">IF(SUM(BV228:$EI228)=0,"",IF(BV$227="","",BV$227+BV228-1))</f>
        <v/>
      </c>
      <c r="BW232" s="403" t="str">
        <f ca="1">IF(SUM(BW228:$EI228)=0,"",IF(BW$227="","",BW$227+BW228-1))</f>
        <v/>
      </c>
      <c r="BX232" s="403" t="str">
        <f ca="1">IF(SUM(BX228:$EI228)=0,"",IF(BX$227="","",BX$227+BX228-1))</f>
        <v/>
      </c>
      <c r="BY232" s="403" t="str">
        <f ca="1">IF(SUM(BY228:$EI228)=0,"",IF(BY$227="","",BY$227+BY228-1))</f>
        <v/>
      </c>
      <c r="BZ232" s="403" t="str">
        <f ca="1">IF(SUM(BZ228:$EI228)=0,"",IF(BZ$227="","",BZ$227+BZ228-1))</f>
        <v/>
      </c>
      <c r="CA232" s="403" t="str">
        <f ca="1">IF(SUM(CA228:$EI228)=0,"",IF(CA$227="","",CA$227+CA228-1))</f>
        <v/>
      </c>
      <c r="CB232" s="403" t="str">
        <f ca="1">IF(SUM(CB228:$EI228)=0,"",IF(CB$227="","",CB$227+CB228-1))</f>
        <v/>
      </c>
      <c r="CC232" s="403" t="str">
        <f ca="1">IF(SUM(CC228:$EI228)=0,"",IF(CC$227="","",CC$227+CC228-1))</f>
        <v/>
      </c>
      <c r="CD232" s="403" t="str">
        <f ca="1">IF(SUM(CD228:$EI228)=0,"",IF(CD$227="","",CD$227+CD228-1))</f>
        <v/>
      </c>
      <c r="CE232" s="403" t="str">
        <f ca="1">IF(SUM(CE228:$EI228)=0,"",IF(CE$227="","",CE$227+CE228-1))</f>
        <v/>
      </c>
      <c r="CF232" s="403" t="str">
        <f ca="1">IF(SUM(CF228:$EI228)=0,"",IF(CF$227="","",CF$227+CF228-1))</f>
        <v/>
      </c>
      <c r="CG232" s="403" t="str">
        <f ca="1">IF(SUM(CG228:$EI228)=0,"",IF(CG$227="","",CG$227+CG228-1))</f>
        <v/>
      </c>
      <c r="CH232" s="403" t="str">
        <f ca="1">IF(SUM(CH228:$EI228)=0,"",IF(CH$227="","",CH$227+CH228-1))</f>
        <v/>
      </c>
      <c r="CI232" s="403" t="str">
        <f ca="1">IF(SUM(CI228:$EI228)=0,"",IF(CI$227="","",CI$227+CI228-1))</f>
        <v/>
      </c>
      <c r="CJ232" s="403" t="str">
        <f ca="1">IF(SUM(CJ228:$EI228)=0,"",IF(CJ$227="","",CJ$227+CJ228-1))</f>
        <v/>
      </c>
      <c r="CK232" s="403" t="str">
        <f ca="1">IF(SUM(CK228:$EI228)=0,"",IF(CK$227="","",CK$227+CK228-1))</f>
        <v/>
      </c>
      <c r="CL232" s="403" t="str">
        <f ca="1">IF(SUM(CL228:$EI228)=0,"",IF(CL$227="","",CL$227+CL228-1))</f>
        <v/>
      </c>
      <c r="CM232" s="403" t="str">
        <f ca="1">IF(SUM(CM228:$EI228)=0,"",IF(CM$227="","",CM$227+CM228-1))</f>
        <v/>
      </c>
      <c r="CN232" s="403" t="str">
        <f ca="1">IF(SUM(CN228:$EI228)=0,"",IF(CN$227="","",CN$227+CN228-1))</f>
        <v/>
      </c>
      <c r="CO232" s="403" t="str">
        <f ca="1">IF(SUM(CO228:$EI228)=0,"",IF(CO$227="","",CO$227+CO228-1))</f>
        <v/>
      </c>
      <c r="CP232" s="403" t="str">
        <f ca="1">IF(SUM(CP228:$EI228)=0,"",IF(CP$227="","",CP$227+CP228-1))</f>
        <v/>
      </c>
      <c r="CQ232" s="403" t="str">
        <f ca="1">IF(SUM(CQ228:$EI228)=0,"",IF(CQ$227="","",CQ$227+CQ228-1))</f>
        <v/>
      </c>
      <c r="CR232" s="403" t="str">
        <f ca="1">IF(SUM(CR228:$EI228)=0,"",IF(CR$227="","",CR$227+CR228-1))</f>
        <v/>
      </c>
      <c r="CS232" s="403" t="str">
        <f ca="1">IF(SUM(CS228:$EI228)=0,"",IF(CS$227="","",CS$227+CS228-1))</f>
        <v/>
      </c>
      <c r="CT232" s="403" t="str">
        <f ca="1">IF(SUM(CT228:$EI228)=0,"",IF(CT$227="","",CT$227+CT228-1))</f>
        <v/>
      </c>
      <c r="CU232" s="403" t="str">
        <f ca="1">IF(SUM(CU228:$EI228)=0,"",IF(CU$227="","",CU$227+CU228-1))</f>
        <v/>
      </c>
      <c r="CV232" s="403" t="str">
        <f ca="1">IF(SUM(CV228:$EI228)=0,"",IF(CV$227="","",CV$227+CV228-1))</f>
        <v/>
      </c>
      <c r="CW232" s="403" t="str">
        <f ca="1">IF(SUM(CW228:$EI228)=0,"",IF(CW$227="","",CW$227+CW228-1))</f>
        <v/>
      </c>
      <c r="CX232" s="403" t="str">
        <f ca="1">IF(SUM(CX228:$EI228)=0,"",IF(CX$227="","",CX$227+CX228-1))</f>
        <v/>
      </c>
      <c r="CY232" s="403" t="str">
        <f ca="1">IF(SUM(CY228:$EI228)=0,"",IF(CY$227="","",CY$227+CY228-1))</f>
        <v/>
      </c>
      <c r="CZ232" s="403" t="str">
        <f ca="1">IF(SUM(CZ228:$EI228)=0,"",IF(CZ$227="","",CZ$227+CZ228-1))</f>
        <v/>
      </c>
      <c r="DA232" s="403" t="str">
        <f ca="1">IF(SUM(DA228:$EI228)=0,"",IF(DA$227="","",DA$227+DA228-1))</f>
        <v/>
      </c>
      <c r="DB232" s="403" t="str">
        <f ca="1">IF(SUM(DB228:$EI228)=0,"",IF(DB$227="","",DB$227+DB228-1))</f>
        <v/>
      </c>
      <c r="DC232" s="403" t="str">
        <f ca="1">IF(SUM(DC228:$EI228)=0,"",IF(DC$227="","",DC$227+DC228-1))</f>
        <v/>
      </c>
      <c r="DD232" s="403" t="str">
        <f ca="1">IF(SUM(DD228:$EI228)=0,"",IF(DD$227="","",DD$227+DD228-1))</f>
        <v/>
      </c>
      <c r="DE232" s="403" t="str">
        <f ca="1">IF(SUM(DE228:$EI228)=0,"",IF(DE$227="","",DE$227+DE228-1))</f>
        <v/>
      </c>
      <c r="DF232" s="403" t="str">
        <f ca="1">IF(SUM(DF228:$EI228)=0,"",IF(DF$227="","",DF$227+DF228-1))</f>
        <v/>
      </c>
      <c r="DG232" s="403" t="str">
        <f ca="1">IF(SUM(DG228:$EI228)=0,"",IF(DG$227="","",DG$227+DG228-1))</f>
        <v/>
      </c>
      <c r="DH232" s="403" t="str">
        <f ca="1">IF(SUM(DH228:$EI228)=0,"",IF(DH$227="","",DH$227+DH228-1))</f>
        <v/>
      </c>
      <c r="DI232" s="403" t="str">
        <f ca="1">IF(SUM(DI228:$EI228)=0,"",IF(DI$227="","",DI$227+DI228-1))</f>
        <v/>
      </c>
      <c r="DJ232" s="403" t="str">
        <f ca="1">IF(SUM(DJ228:$EI228)=0,"",IF(DJ$227="","",DJ$227+DJ228-1))</f>
        <v/>
      </c>
      <c r="DK232" s="403" t="str">
        <f ca="1">IF(SUM(DK228:$EI228)=0,"",IF(DK$227="","",DK$227+DK228-1))</f>
        <v/>
      </c>
      <c r="DL232" s="403" t="str">
        <f ca="1">IF(SUM(DL228:$EI228)=0,"",IF(DL$227="","",DL$227+DL228-1))</f>
        <v/>
      </c>
      <c r="DM232" s="403" t="str">
        <f ca="1">IF(SUM(DM228:$EI228)=0,"",IF(DM$227="","",DM$227+DM228-1))</f>
        <v/>
      </c>
      <c r="DN232" s="403" t="str">
        <f ca="1">IF(SUM(DN228:$EI228)=0,"",IF(DN$227="","",DN$227+DN228-1))</f>
        <v/>
      </c>
      <c r="DO232" s="403" t="str">
        <f ca="1">IF(SUM(DO228:$EI228)=0,"",IF(DO$227="","",DO$227+DO228-1))</f>
        <v/>
      </c>
      <c r="DP232" s="403" t="str">
        <f ca="1">IF(SUM(DP228:$EI228)=0,"",IF(DP$227="","",DP$227+DP228-1))</f>
        <v/>
      </c>
      <c r="DQ232" s="403" t="str">
        <f ca="1">IF(SUM(DQ228:$EI228)=0,"",IF(DQ$227="","",DQ$227+DQ228-1))</f>
        <v/>
      </c>
      <c r="DR232" s="403" t="str">
        <f ca="1">IF(SUM(DR228:$EI228)=0,"",IF(DR$227="","",DR$227+DR228-1))</f>
        <v/>
      </c>
      <c r="DS232" s="403" t="str">
        <f ca="1">IF(SUM(DS228:$EI228)=0,"",IF(DS$227="","",DS$227+DS228-1))</f>
        <v/>
      </c>
      <c r="DT232" s="403" t="str">
        <f ca="1">IF(SUM(DT228:$EI228)=0,"",IF(DT$227="","",DT$227+DT228-1))</f>
        <v/>
      </c>
      <c r="DU232" s="403" t="str">
        <f ca="1">IF(SUM(DU228:$EI228)=0,"",IF(DU$227="","",DU$227+DU228-1))</f>
        <v/>
      </c>
      <c r="DV232" s="403" t="str">
        <f ca="1">IF(SUM(DV228:$EI228)=0,"",IF(DV$227="","",DV$227+DV228-1))</f>
        <v/>
      </c>
      <c r="DW232" s="403" t="str">
        <f ca="1">IF(SUM(DW228:$EI228)=0,"",IF(DW$227="","",DW$227+DW228-1))</f>
        <v/>
      </c>
      <c r="DX232" s="403" t="str">
        <f ca="1">IF(SUM(DX228:$EI228)=0,"",IF(DX$227="","",DX$227+DX228-1))</f>
        <v/>
      </c>
      <c r="DY232" s="403" t="str">
        <f ca="1">IF(SUM(DY228:$EI228)=0,"",IF(DY$227="","",DY$227+DY228-1))</f>
        <v/>
      </c>
      <c r="DZ232" s="403" t="str">
        <f ca="1">IF(SUM(DZ228:$EI228)=0,"",IF(DZ$227="","",DZ$227+DZ228-1))</f>
        <v/>
      </c>
      <c r="EA232" s="403" t="str">
        <f ca="1">IF(SUM(EA228:$EI228)=0,"",IF(EA$227="","",EA$227+EA228-1))</f>
        <v/>
      </c>
      <c r="EB232" s="403" t="str">
        <f ca="1">IF(SUM(EB228:$EI228)=0,"",IF(EB$227="","",EB$227+EB228-1))</f>
        <v/>
      </c>
      <c r="EC232" s="403" t="str">
        <f ca="1">IF(SUM(EC228:$EI228)=0,"",IF(EC$227="","",EC$227+EC228-1))</f>
        <v/>
      </c>
      <c r="ED232" s="403" t="str">
        <f ca="1">IF(SUM(ED228:$EI228)=0,"",IF(ED$227="","",ED$227+ED228-1))</f>
        <v/>
      </c>
      <c r="EE232" s="403" t="str">
        <f ca="1">IF(SUM(EE228:$EI228)=0,"",IF(EE$227="","",EE$227+EE228-1))</f>
        <v/>
      </c>
      <c r="EF232" s="403" t="str">
        <f ca="1">IF(SUM(EF228:$EI228)=0,"",IF(EF$227="","",EF$227+EF228-1))</f>
        <v/>
      </c>
      <c r="EG232" s="403" t="str">
        <f ca="1">IF(SUM(EG228:$EI228)=0,"",IF(EG$227="","",EG$227+EG228-1))</f>
        <v/>
      </c>
      <c r="EH232" s="403" t="str">
        <f ca="1">IF(SUM(EH228:$EI228)=0,"",IF(EH$227="","",EH$227+EH228-1))</f>
        <v/>
      </c>
      <c r="EI232" s="403" t="str">
        <f ca="1">IF(SUM(EI228:$EI228)=0,"",IF(EI$227="","",EI$227+EI228-1))</f>
        <v/>
      </c>
    </row>
    <row r="233" spans="1:152" ht="30" outlineLevel="1" collapsed="1">
      <c r="A233" s="332"/>
      <c r="B233" s="313"/>
      <c r="C233" s="317" t="s">
        <v>47</v>
      </c>
      <c r="D233" s="317" t="s">
        <v>49</v>
      </c>
      <c r="E233" s="400">
        <f>IF(ГРП!B5=0,длительность!P158,ГРП!B5)</f>
        <v>210</v>
      </c>
      <c r="F233" s="318">
        <f ca="1">E233-SUM(G233:EJ233)</f>
        <v>0</v>
      </c>
      <c r="G233" s="401"/>
      <c r="H233" s="401">
        <f ca="1">IF(SUM($G233:G233)&gt;=$E233,0,IF($E233-SUM($G233:G233)&gt;H234,H234,$E233-SUM($G234:G234)))</f>
        <v>7</v>
      </c>
      <c r="I233" s="401">
        <f ca="1">IF(SUM($G233:H233)&gt;=$E233,0,IF($E233-SUM($G233:H233)&gt;I234,I234,$E233-SUM($G234:H234)))</f>
        <v>31</v>
      </c>
      <c r="J233" s="401">
        <f ca="1">IF(SUM($G233:I233)&gt;=$E233,0,IF($E233-SUM($G233:I233)&gt;J234,J234,$E233-SUM($G234:I234)))</f>
        <v>30</v>
      </c>
      <c r="K233" s="401">
        <f ca="1">IF(SUM($G233:J233)&gt;=$E233,0,IF($E233-SUM($G233:J233)&gt;K234,K234,$E233-SUM($G234:J234)))</f>
        <v>31</v>
      </c>
      <c r="L233" s="401">
        <f ca="1">IF(SUM($G233:K233)&gt;=$E233,0,IF($E233-SUM($G233:K233)&gt;L234,L234,$E233-SUM($G234:K234)))</f>
        <v>31</v>
      </c>
      <c r="M233" s="401">
        <f ca="1">IF(SUM($G233:L233)&gt;=$E233,0,IF($E233-SUM($G233:L233)&gt;M234,M234,$E233-SUM($G234:L234)))</f>
        <v>30</v>
      </c>
      <c r="N233" s="401">
        <f ca="1">IF(SUM($G233:M233)&gt;=$E233,0,IF($E233-SUM($G233:M233)&gt;N234,N234,$E233-SUM($G234:M234)))</f>
        <v>31</v>
      </c>
      <c r="O233" s="401">
        <f ca="1">IF(SUM($G233:N233)&gt;=$E233,0,IF($E233-SUM($G233:N233)&gt;O234,O234,$E233-SUM($G234:N234)))</f>
        <v>19</v>
      </c>
      <c r="P233" s="401">
        <f ca="1">IF(SUM($G233:O233)&gt;=$E233,0,IF($E233-SUM($G233:O233)&gt;P234,P234,$E233-SUM($G234:O234)))</f>
        <v>0</v>
      </c>
      <c r="Q233" s="401">
        <f ca="1">IF(SUM($G233:P233)&gt;=$E233,0,IF($E233-SUM($G233:P233)&gt;Q234,Q234,$E233-SUM($G234:P234)))</f>
        <v>0</v>
      </c>
      <c r="R233" s="401">
        <f ca="1">IF(SUM($G233:Q233)&gt;=$E233,0,IF($E233-SUM($G233:Q233)&gt;R234,R234,$E233-SUM($G234:Q234)))</f>
        <v>0</v>
      </c>
      <c r="S233" s="401">
        <f ca="1">IF(SUM($G233:R233)&gt;=$E233,0,IF($E233-SUM($G233:R233)&gt;S234,S234,$E233-SUM($G234:R234)))</f>
        <v>0</v>
      </c>
      <c r="T233" s="401">
        <f ca="1">IF(SUM($G233:S233)&gt;=$E233,0,IF($E233-SUM($G233:S233)&gt;T234,T234,$E233-SUM($G234:S234)))</f>
        <v>0</v>
      </c>
      <c r="U233" s="401">
        <f ca="1">IF(SUM($G233:T233)&gt;=$E233,0,IF($E233-SUM($G233:T233)&gt;U234,U234,$E233-SUM($G234:T234)))</f>
        <v>0</v>
      </c>
      <c r="V233" s="401">
        <f ca="1">IF(SUM($G233:U233)&gt;=$E233,0,IF($E233-SUM($G233:U233)&gt;V234,V234,$E233-SUM($G234:U234)))</f>
        <v>0</v>
      </c>
      <c r="W233" s="401">
        <f ca="1">IF(SUM($G233:V233)&gt;=$E233,0,IF($E233-SUM($G233:V233)&gt;W234,W234,$E233-SUM($G234:V234)))</f>
        <v>0</v>
      </c>
      <c r="X233" s="401">
        <f ca="1">IF(SUM($G233:W233)&gt;=$E233,0,IF($E233-SUM($G233:W233)&gt;X234,X234,$E233-SUM($G234:W234)))</f>
        <v>0</v>
      </c>
      <c r="Y233" s="401">
        <f ca="1">IF(SUM($G233:X233)&gt;=$E233,0,IF($E233-SUM($G233:X233)&gt;Y234,Y234,$E233-SUM($G234:X234)))</f>
        <v>0</v>
      </c>
      <c r="Z233" s="401">
        <f ca="1">IF(SUM($G233:Y233)&gt;=$E233,0,IF($E233-SUM($G233:Y233)&gt;Z234,Z234,$E233-SUM($G234:Y234)))</f>
        <v>0</v>
      </c>
      <c r="AA233" s="401">
        <f ca="1">IF(SUM($G233:Z233)&gt;=$E233,0,IF($E233-SUM($G233:Z233)&gt;AA234,AA234,$E233-SUM($G234:Z234)))</f>
        <v>0</v>
      </c>
      <c r="AB233" s="401">
        <f ca="1">IF(SUM($G233:AA233)&gt;=$E233,0,IF($E233-SUM($G233:AA233)&gt;AB234,AB234,$E233-SUM($G234:AA234)))</f>
        <v>0</v>
      </c>
      <c r="AC233" s="401">
        <f ca="1">IF(SUM($G233:AB233)&gt;=$E233,0,IF($E233-SUM($G233:AB233)&gt;AC234,AC234,$E233-SUM($G234:AB234)))</f>
        <v>0</v>
      </c>
      <c r="AD233" s="401">
        <f ca="1">IF(SUM($G233:AC233)&gt;=$E233,0,IF($E233-SUM($G233:AC233)&gt;AD234,AD234,$E233-SUM($G234:AC234)))</f>
        <v>0</v>
      </c>
      <c r="AE233" s="401">
        <f ca="1">IF(SUM($G233:AD233)&gt;=$E233,0,IF($E233-SUM($G233:AD233)&gt;AE234,AE234,$E233-SUM($G234:AD234)))</f>
        <v>0</v>
      </c>
      <c r="AF233" s="401">
        <f ca="1">IF(SUM($G233:AE233)&gt;=$E233,0,IF($E233-SUM($G233:AE233)&gt;AF234,AF234,$E233-SUM($G234:AE234)))</f>
        <v>0</v>
      </c>
      <c r="AG233" s="401">
        <f ca="1">IF(SUM($G233:AF233)&gt;=$E233,0,IF($E233-SUM($G233:AF233)&gt;AG234,AG234,$E233-SUM($G234:AF234)))</f>
        <v>0</v>
      </c>
      <c r="AH233" s="401">
        <f ca="1">IF(SUM($G233:AG233)&gt;=$E233,0,IF($E233-SUM($G233:AG233)&gt;AH234,AH234,$E233-SUM($G234:AG234)))</f>
        <v>0</v>
      </c>
      <c r="AI233" s="401">
        <f ca="1">IF(SUM($G233:AH233)&gt;=$E233,0,IF($E233-SUM($G233:AH233)&gt;AI234,AI234,$E233-SUM($G234:AH234)))</f>
        <v>0</v>
      </c>
      <c r="AJ233" s="401">
        <f ca="1">IF(SUM($G233:AI233)&gt;=$E233,0,IF($E233-SUM($G233:AI233)&gt;AJ234,AJ234,$E233-SUM($G234:AI234)))</f>
        <v>0</v>
      </c>
      <c r="AK233" s="401">
        <f ca="1">IF(SUM($G233:AJ233)&gt;=$E233,0,IF($E233-SUM($G233:AJ233)&gt;AK234,AK234,$E233-SUM($G234:AJ234)))</f>
        <v>0</v>
      </c>
      <c r="AL233" s="401">
        <f ca="1">IF(SUM($G233:AK233)&gt;=$E233,0,IF($E233-SUM($G233:AK233)&gt;AL234,AL234,$E233-SUM($G234:AK234)))</f>
        <v>0</v>
      </c>
      <c r="AM233" s="401">
        <f ca="1">IF(SUM($G233:AL233)&gt;=$E233,0,IF($E233-SUM($G233:AL233)&gt;AM234,AM234,$E233-SUM($G234:AL234)))</f>
        <v>0</v>
      </c>
      <c r="AN233" s="401">
        <f ca="1">IF(SUM($G233:AM233)&gt;=$E233,0,IF($E233-SUM($G233:AM233)&gt;AN234,AN234,$E233-SUM($G234:AM234)))</f>
        <v>0</v>
      </c>
      <c r="AO233" s="401">
        <f ca="1">IF(SUM($G233:AN233)&gt;=$E233,0,IF($E233-SUM($G233:AN233)&gt;AO234,AO234,$E233-SUM($G234:AN234)))</f>
        <v>0</v>
      </c>
      <c r="AP233" s="401">
        <f ca="1">IF(SUM($G233:AO233)&gt;=$E233,0,IF($E233-SUM($G233:AO233)&gt;AP234,AP234,$E233-SUM($G234:AO234)))</f>
        <v>0</v>
      </c>
      <c r="AQ233" s="401">
        <f ca="1">IF(SUM($G233:AP233)&gt;=$E233,0,IF($E233-SUM($G233:AP233)&gt;AQ234,AQ234,$E233-SUM($G234:AP234)))</f>
        <v>0</v>
      </c>
      <c r="AR233" s="401">
        <f ca="1">IF(SUM($G233:AQ233)&gt;=$E233,0,IF($E233-SUM($G233:AQ233)&gt;AR234,AR234,$E233-SUM($G234:AQ234)))</f>
        <v>0</v>
      </c>
      <c r="AS233" s="401">
        <f ca="1">IF(SUM($G233:AR233)&gt;=$E233,0,IF($E233-SUM($G233:AR233)&gt;AS234,AS234,$E233-SUM($G234:AR234)))</f>
        <v>0</v>
      </c>
      <c r="AT233" s="401">
        <f ca="1">IF(SUM($G233:AS233)&gt;=$E233,0,IF($E233-SUM($G233:AS233)&gt;AT234,AT234,$E233-SUM($G234:AS234)))</f>
        <v>0</v>
      </c>
      <c r="AU233" s="401">
        <f ca="1">IF(SUM($G233:AT233)&gt;=$E233,0,IF($E233-SUM($G233:AT233)&gt;AU234,AU234,$E233-SUM($G234:AT234)))</f>
        <v>0</v>
      </c>
      <c r="AV233" s="401">
        <f ca="1">IF(SUM($G233:AU233)&gt;=$E233,0,IF($E233-SUM($G233:AU233)&gt;AV234,AV234,$E233-SUM($G234:AU234)))</f>
        <v>0</v>
      </c>
      <c r="AW233" s="401">
        <f ca="1">IF(SUM($G233:AV233)&gt;=$E233,0,IF($E233-SUM($G233:AV233)&gt;AW234,AW234,$E233-SUM($G234:AV234)))</f>
        <v>0</v>
      </c>
      <c r="AX233" s="401">
        <f ca="1">IF(SUM($G233:AW233)&gt;=$E233,0,IF($E233-SUM($G233:AW233)&gt;AX234,AX234,$E233-SUM($G234:AW234)))</f>
        <v>0</v>
      </c>
      <c r="AY233" s="401">
        <f ca="1">IF(SUM($G233:AX233)&gt;=$E233,0,IF($E233-SUM($G233:AX233)&gt;AY234,AY234,$E233-SUM($G234:AX234)))</f>
        <v>0</v>
      </c>
      <c r="AZ233" s="401">
        <f ca="1">IF(SUM($G233:AY233)&gt;=$E233,0,IF($E233-SUM($G233:AY233)&gt;AZ234,AZ234,$E233-SUM($G234:AY234)))</f>
        <v>0</v>
      </c>
      <c r="BA233" s="401">
        <f ca="1">IF(SUM($G233:AZ233)&gt;=$E233,0,IF($E233-SUM($G233:AZ233)&gt;BA234,BA234,$E233-SUM($G234:AZ234)))</f>
        <v>0</v>
      </c>
      <c r="BB233" s="401">
        <f ca="1">IF(SUM($G233:BA233)&gt;=$E233,0,IF($E233-SUM($G233:BA233)&gt;BB234,BB234,$E233-SUM($G234:BA234)))</f>
        <v>0</v>
      </c>
      <c r="BC233" s="401">
        <f ca="1">IF(SUM($G233:BB233)&gt;=$E233,0,IF($E233-SUM($G233:BB233)&gt;BC234,BC234,$E233-SUM($G234:BB234)))</f>
        <v>0</v>
      </c>
      <c r="BD233" s="401">
        <f ca="1">IF(SUM($G233:BC233)&gt;=$E233,0,IF($E233-SUM($G233:BC233)&gt;BD234,BD234,$E233-SUM($G234:BC234)))</f>
        <v>0</v>
      </c>
      <c r="BE233" s="401">
        <f ca="1">IF(SUM($G233:BD233)&gt;=$E233,0,IF($E233-SUM($G233:BD233)&gt;BE234,BE234,$E233-SUM($G234:BD234)))</f>
        <v>0</v>
      </c>
      <c r="BF233" s="401">
        <f ca="1">IF(SUM($G233:BE233)&gt;=$E233,0,IF($E233-SUM($G233:BE233)&gt;BF234,BF234,$E233-SUM($G234:BE234)))</f>
        <v>0</v>
      </c>
      <c r="BG233" s="401">
        <f ca="1">IF(SUM($G233:BF233)&gt;=$E233,0,IF($E233-SUM($G233:BF233)&gt;BG234,BG234,$E233-SUM($G234:BF234)))</f>
        <v>0</v>
      </c>
      <c r="BH233" s="401">
        <f ca="1">IF(SUM($G233:BG233)&gt;=$E233,0,IF($E233-SUM($G233:BG233)&gt;BH234,BH234,$E233-SUM($G234:BG234)))</f>
        <v>0</v>
      </c>
      <c r="BI233" s="401">
        <f ca="1">IF(SUM($G233:BH233)&gt;=$E233,0,IF($E233-SUM($G233:BH233)&gt;BI234,BI234,$E233-SUM($G234:BH234)))</f>
        <v>0</v>
      </c>
      <c r="BJ233" s="401">
        <f ca="1">IF(SUM($G233:BI233)&gt;=$E233,0,IF($E233-SUM($G233:BI233)&gt;BJ234,BJ234,$E233-SUM($G234:BI234)))</f>
        <v>0</v>
      </c>
      <c r="BK233" s="401">
        <f ca="1">IF(SUM($G233:BJ233)&gt;=$E233,0,IF($E233-SUM($G233:BJ233)&gt;BK234,BK234,$E233-SUM($G234:BJ234)))</f>
        <v>0</v>
      </c>
      <c r="BL233" s="401">
        <f ca="1">IF(SUM($G233:BK233)&gt;=$E233,0,IF($E233-SUM($G233:BK233)&gt;BL234,BL234,$E233-SUM($G234:BK234)))</f>
        <v>0</v>
      </c>
      <c r="BM233" s="401">
        <f ca="1">IF(SUM($G233:BL233)&gt;=$E233,0,IF($E233-SUM($G233:BL233)&gt;BM234,BM234,$E233-SUM($G234:BL234)))</f>
        <v>0</v>
      </c>
      <c r="BN233" s="401">
        <f ca="1">IF(SUM($G233:BM233)&gt;=$E233,0,IF($E233-SUM($G233:BM233)&gt;BN234,BN234,$E233-SUM($G234:BM234)))</f>
        <v>0</v>
      </c>
      <c r="BO233" s="401">
        <f ca="1">IF(SUM($G233:BN233)&gt;=$E233,0,IF($E233-SUM($G233:BN233)&gt;BO234,BO234,$E233-SUM($G234:BN234)))</f>
        <v>0</v>
      </c>
      <c r="BP233" s="401">
        <f ca="1">IF(SUM($G233:BO233)&gt;=$E233,0,IF($E233-SUM($G233:BO233)&gt;BP234,BP234,$E233-SUM($G234:BO234)))</f>
        <v>0</v>
      </c>
      <c r="BQ233" s="401">
        <f ca="1">IF(SUM($G233:BP233)&gt;=$E233,0,IF($E233-SUM($G233:BP233)&gt;BQ234,BQ234,$E233-SUM($G234:BP234)))</f>
        <v>0</v>
      </c>
      <c r="BR233" s="401">
        <f ca="1">IF(SUM($G233:BQ233)&gt;=$E233,0,IF($E233-SUM($G233:BQ233)&gt;BR234,BR234,$E233-SUM($G234:BQ234)))</f>
        <v>0</v>
      </c>
      <c r="BS233" s="401">
        <f ca="1">IF(SUM($G233:BR233)&gt;=$E233,0,IF($E233-SUM($G233:BR233)&gt;BS234,BS234,$E233-SUM($G234:BR234)))</f>
        <v>0</v>
      </c>
      <c r="BT233" s="401">
        <f ca="1">IF(SUM($G233:BS233)&gt;=$E233,0,IF($E233-SUM($G233:BS233)&gt;BT234,BT234,$E233-SUM($G234:BS234)))</f>
        <v>0</v>
      </c>
      <c r="BU233" s="401">
        <f ca="1">IF(SUM($G233:BT233)&gt;=$E233,0,IF($E233-SUM($G233:BT233)&gt;BU234,BU234,$E233-SUM($G234:BT234)))</f>
        <v>0</v>
      </c>
      <c r="BV233" s="401">
        <f ca="1">IF(SUM($G233:BU233)&gt;=$E233,0,IF($E233-SUM($G233:BU233)&gt;BV234,BV234,$E233-SUM($G234:BU234)))</f>
        <v>0</v>
      </c>
      <c r="BW233" s="401">
        <f ca="1">IF(SUM($G233:BV233)&gt;=$E233,0,IF($E233-SUM($G233:BV233)&gt;BW234,BW234,$E233-SUM($G234:BV234)))</f>
        <v>0</v>
      </c>
      <c r="BX233" s="401">
        <f ca="1">IF(SUM($G233:BW233)&gt;=$E233,0,IF($E233-SUM($G233:BW233)&gt;BX234,BX234,$E233-SUM($G234:BW234)))</f>
        <v>0</v>
      </c>
      <c r="BY233" s="401">
        <f ca="1">IF(SUM($G233:BX233)&gt;=$E233,0,IF($E233-SUM($G233:BX233)&gt;BY234,BY234,$E233-SUM($G234:BX234)))</f>
        <v>0</v>
      </c>
      <c r="BZ233" s="401">
        <f ca="1">IF(SUM($G233:BY233)&gt;=$E233,0,IF($E233-SUM($G233:BY233)&gt;BZ234,BZ234,$E233-SUM($G234:BY234)))</f>
        <v>0</v>
      </c>
      <c r="CA233" s="401">
        <f ca="1">IF(SUM($G233:BZ233)&gt;=$E233,0,IF($E233-SUM($G233:BZ233)&gt;CA234,CA234,$E233-SUM($G234:BZ234)))</f>
        <v>0</v>
      </c>
      <c r="CB233" s="401">
        <f ca="1">IF(SUM($G233:CA233)&gt;=$E233,0,IF($E233-SUM($G233:CA233)&gt;CB234,CB234,$E233-SUM($G234:CA234)))</f>
        <v>0</v>
      </c>
      <c r="CC233" s="401">
        <f ca="1">IF(SUM($G233:CB233)&gt;=$E233,0,IF($E233-SUM($G233:CB233)&gt;CC234,CC234,$E233-SUM($G234:CB234)))</f>
        <v>0</v>
      </c>
      <c r="CD233" s="401">
        <f ca="1">IF(SUM($G233:CC233)&gt;=$E233,0,IF($E233-SUM($G233:CC233)&gt;CD234,CD234,$E233-SUM($G234:CC234)))</f>
        <v>0</v>
      </c>
      <c r="CE233" s="401">
        <f ca="1">IF(SUM($G233:CD233)&gt;=$E233,0,IF($E233-SUM($G233:CD233)&gt;CE234,CE234,$E233-SUM($G234:CD234)))</f>
        <v>0</v>
      </c>
      <c r="CF233" s="401">
        <f ca="1">IF(SUM($G233:CE233)&gt;=$E233,0,IF($E233-SUM($G233:CE233)&gt;CF234,CF234,$E233-SUM($G234:CE234)))</f>
        <v>0</v>
      </c>
      <c r="CG233" s="401">
        <f ca="1">IF(SUM($G233:CF233)&gt;=$E233,0,IF($E233-SUM($G233:CF233)&gt;CG234,CG234,$E233-SUM($G234:CF234)))</f>
        <v>0</v>
      </c>
      <c r="CH233" s="401">
        <f ca="1">IF(SUM($G233:CG233)&gt;=$E233,0,IF($E233-SUM($G233:CG233)&gt;CH234,CH234,$E233-SUM($G234:CG234)))</f>
        <v>0</v>
      </c>
      <c r="CI233" s="401">
        <f ca="1">IF(SUM($G233:CH233)&gt;=$E233,0,IF($E233-SUM($G233:CH233)&gt;CI234,CI234,$E233-SUM($G234:CH234)))</f>
        <v>0</v>
      </c>
      <c r="CJ233" s="401">
        <f ca="1">IF(SUM($G233:CI233)&gt;=$E233,0,IF($E233-SUM($G233:CI233)&gt;CJ234,CJ234,$E233-SUM($G234:CI234)))</f>
        <v>0</v>
      </c>
      <c r="CK233" s="401">
        <f ca="1">IF(SUM($G233:CJ233)&gt;=$E233,0,IF($E233-SUM($G233:CJ233)&gt;CK234,CK234,$E233-SUM($G234:CJ234)))</f>
        <v>0</v>
      </c>
      <c r="CL233" s="401">
        <f ca="1">IF(SUM($G233:CK233)&gt;=$E233,0,IF($E233-SUM($G233:CK233)&gt;CL234,CL234,$E233-SUM($G234:CK234)))</f>
        <v>0</v>
      </c>
      <c r="CM233" s="401">
        <f ca="1">IF(SUM($G233:CL233)&gt;=$E233,0,IF($E233-SUM($G233:CL233)&gt;CM234,CM234,$E233-SUM($G234:CL234)))</f>
        <v>0</v>
      </c>
      <c r="CN233" s="401">
        <f ca="1">IF(SUM($G233:CM233)&gt;=$E233,0,IF($E233-SUM($G233:CM233)&gt;CN234,CN234,$E233-SUM($G234:CM234)))</f>
        <v>0</v>
      </c>
      <c r="CO233" s="401">
        <f ca="1">IF(SUM($G233:CN233)&gt;=$E233,0,IF($E233-SUM($G233:CN233)&gt;CO234,CO234,$E233-SUM($G234:CN234)))</f>
        <v>0</v>
      </c>
      <c r="CP233" s="401">
        <f ca="1">IF(SUM($G233:CO233)&gt;=$E233,0,IF($E233-SUM($G233:CO233)&gt;CP234,CP234,$E233-SUM($G234:CO234)))</f>
        <v>0</v>
      </c>
      <c r="CQ233" s="401">
        <f ca="1">IF(SUM($G233:CP233)&gt;=$E233,0,IF($E233-SUM($G233:CP233)&gt;CQ234,CQ234,$E233-SUM($G234:CP234)))</f>
        <v>0</v>
      </c>
      <c r="CR233" s="401">
        <f ca="1">IF(SUM($G233:CQ233)&gt;=$E233,0,IF($E233-SUM($G233:CQ233)&gt;CR234,CR234,$E233-SUM($G234:CQ234)))</f>
        <v>0</v>
      </c>
      <c r="CS233" s="401">
        <f ca="1">IF(SUM($G233:CR233)&gt;=$E233,0,IF($E233-SUM($G233:CR233)&gt;CS234,CS234,$E233-SUM($G234:CR234)))</f>
        <v>0</v>
      </c>
      <c r="CT233" s="401">
        <f ca="1">IF(SUM($G233:CS233)&gt;=$E233,0,IF($E233-SUM($G233:CS233)&gt;CT234,CT234,$E233-SUM($G234:CS234)))</f>
        <v>0</v>
      </c>
      <c r="CU233" s="401">
        <f ca="1">IF(SUM($G233:CT233)&gt;=$E233,0,IF($E233-SUM($G233:CT233)&gt;CU234,CU234,$E233-SUM($G234:CT234)))</f>
        <v>0</v>
      </c>
      <c r="CV233" s="401">
        <f ca="1">IF(SUM($G233:CU233)&gt;=$E233,0,IF($E233-SUM($G233:CU233)&gt;CV234,CV234,$E233-SUM($G234:CU234)))</f>
        <v>0</v>
      </c>
      <c r="CW233" s="401">
        <f ca="1">IF(SUM($G233:CV233)&gt;=$E233,0,IF($E233-SUM($G233:CV233)&gt;CW234,CW234,$E233-SUM($G234:CV234)))</f>
        <v>0</v>
      </c>
      <c r="CX233" s="401">
        <f ca="1">IF(SUM($G233:CW233)&gt;=$E233,0,IF($E233-SUM($G233:CW233)&gt;CX234,CX234,$E233-SUM($G234:CW234)))</f>
        <v>0</v>
      </c>
      <c r="CY233" s="401">
        <f ca="1">IF(SUM($G233:CX233)&gt;=$E233,0,IF($E233-SUM($G233:CX233)&gt;CY234,CY234,$E233-SUM($G234:CX234)))</f>
        <v>0</v>
      </c>
      <c r="CZ233" s="401">
        <f ca="1">IF(SUM($G233:CY233)&gt;=$E233,0,IF($E233-SUM($G233:CY233)&gt;CZ234,CZ234,$E233-SUM($G234:CY234)))</f>
        <v>0</v>
      </c>
      <c r="DA233" s="401">
        <f ca="1">IF(SUM($G233:CZ233)&gt;=$E233,0,IF($E233-SUM($G233:CZ233)&gt;DA234,DA234,$E233-SUM($G234:CZ234)))</f>
        <v>0</v>
      </c>
      <c r="DB233" s="401">
        <f ca="1">IF(SUM($G233:DA233)&gt;=$E233,0,IF($E233-SUM($G233:DA233)&gt;DB234,DB234,$E233-SUM($G234:DA234)))</f>
        <v>0</v>
      </c>
      <c r="DC233" s="401">
        <f ca="1">IF(SUM($G233:DB233)&gt;=$E233,0,IF($E233-SUM($G233:DB233)&gt;DC234,DC234,$E233-SUM($G234:DB234)))</f>
        <v>0</v>
      </c>
      <c r="DD233" s="401">
        <f ca="1">IF(SUM($G233:DC233)&gt;=$E233,0,IF($E233-SUM($G233:DC233)&gt;DD234,DD234,$E233-SUM($G234:DC234)))</f>
        <v>0</v>
      </c>
      <c r="DE233" s="401">
        <f ca="1">IF(SUM($G233:DD233)&gt;=$E233,0,IF($E233-SUM($G233:DD233)&gt;DE234,DE234,$E233-SUM($G234:DD234)))</f>
        <v>0</v>
      </c>
      <c r="DF233" s="401">
        <f ca="1">IF(SUM($G233:DE233)&gt;=$E233,0,IF($E233-SUM($G233:DE233)&gt;DF234,DF234,$E233-SUM($G234:DE234)))</f>
        <v>0</v>
      </c>
      <c r="DG233" s="401">
        <f ca="1">IF(SUM($G233:DF233)&gt;=$E233,0,IF($E233-SUM($G233:DF233)&gt;DG234,DG234,$E233-SUM($G234:DF234)))</f>
        <v>0</v>
      </c>
      <c r="DH233" s="401">
        <f ca="1">IF(SUM($G233:DG233)&gt;=$E233,0,IF($E233-SUM($G233:DG233)&gt;DH234,DH234,$E233-SUM($G234:DG234)))</f>
        <v>0</v>
      </c>
      <c r="DI233" s="401">
        <f ca="1">IF(SUM($G233:DH233)&gt;=$E233,0,IF($E233-SUM($G233:DH233)&gt;DI234,DI234,$E233-SUM($G234:DH234)))</f>
        <v>0</v>
      </c>
      <c r="DJ233" s="401">
        <f ca="1">IF(SUM($G233:DI233)&gt;=$E233,0,IF($E233-SUM($G233:DI233)&gt;DJ234,DJ234,$E233-SUM($G234:DI234)))</f>
        <v>0</v>
      </c>
      <c r="DK233" s="401">
        <f ca="1">IF(SUM($G233:DJ233)&gt;=$E233,0,IF($E233-SUM($G233:DJ233)&gt;DK234,DK234,$E233-SUM($G234:DJ234)))</f>
        <v>0</v>
      </c>
      <c r="DL233" s="401">
        <f ca="1">IF(SUM($G233:DK233)&gt;=$E233,0,IF($E233-SUM($G233:DK233)&gt;DL234,DL234,$E233-SUM($G234:DK234)))</f>
        <v>0</v>
      </c>
      <c r="DM233" s="401">
        <f ca="1">IF(SUM($G233:DL233)&gt;=$E233,0,IF($E233-SUM($G233:DL233)&gt;DM234,DM234,$E233-SUM($G234:DL234)))</f>
        <v>0</v>
      </c>
      <c r="DN233" s="401">
        <f ca="1">IF(SUM($G233:DM233)&gt;=$E233,0,IF($E233-SUM($G233:DM233)&gt;DN234,DN234,$E233-SUM($G234:DM234)))</f>
        <v>0</v>
      </c>
      <c r="DO233" s="401">
        <f ca="1">IF(SUM($G233:DN233)&gt;=$E233,0,IF($E233-SUM($G233:DN233)&gt;DO234,DO234,$E233-SUM($G234:DN234)))</f>
        <v>0</v>
      </c>
      <c r="DP233" s="401">
        <f ca="1">IF(SUM($G233:DO233)&gt;=$E233,0,IF($E233-SUM($G233:DO233)&gt;DP234,DP234,$E233-SUM($G234:DO234)))</f>
        <v>0</v>
      </c>
      <c r="DQ233" s="401">
        <f ca="1">IF(SUM($G233:DP233)&gt;=$E233,0,IF($E233-SUM($G233:DP233)&gt;DQ234,DQ234,$E233-SUM($G234:DP234)))</f>
        <v>0</v>
      </c>
      <c r="DR233" s="401">
        <f ca="1">IF(SUM($G233:DQ233)&gt;=$E233,0,IF($E233-SUM($G233:DQ233)&gt;DR234,DR234,$E233-SUM($G234:DQ234)))</f>
        <v>0</v>
      </c>
      <c r="DS233" s="401">
        <f ca="1">IF(SUM($G233:DR233)&gt;=$E233,0,IF($E233-SUM($G233:DR233)&gt;DS234,DS234,$E233-SUM($G234:DR234)))</f>
        <v>0</v>
      </c>
      <c r="DT233" s="401">
        <f ca="1">IF(SUM($G233:DS233)&gt;=$E233,0,IF($E233-SUM($G233:DS233)&gt;DT234,DT234,$E233-SUM($G234:DS234)))</f>
        <v>0</v>
      </c>
      <c r="DU233" s="401">
        <f ca="1">IF(SUM($G233:DT233)&gt;=$E233,0,IF($E233-SUM($G233:DT233)&gt;DU234,DU234,$E233-SUM($G234:DT234)))</f>
        <v>0</v>
      </c>
      <c r="DV233" s="401">
        <f ca="1">IF(SUM($G233:DU233)&gt;=$E233,0,IF($E233-SUM($G233:DU233)&gt;DV234,DV234,$E233-SUM($G234:DU234)))</f>
        <v>0</v>
      </c>
      <c r="DW233" s="401">
        <f ca="1">IF(SUM($G233:DV233)&gt;=$E233,0,IF($E233-SUM($G233:DV233)&gt;DW234,DW234,$E233-SUM($G234:DV234)))</f>
        <v>0</v>
      </c>
      <c r="DX233" s="401">
        <f ca="1">IF(SUM($G233:DW233)&gt;=$E233,0,IF($E233-SUM($G233:DW233)&gt;DX234,DX234,$E233-SUM($G234:DW234)))</f>
        <v>0</v>
      </c>
      <c r="DY233" s="401">
        <f ca="1">IF(SUM($G233:DX233)&gt;=$E233,0,IF($E233-SUM($G233:DX233)&gt;DY234,DY234,$E233-SUM($G234:DX234)))</f>
        <v>0</v>
      </c>
      <c r="DZ233" s="401">
        <f ca="1">IF(SUM($G233:DY233)&gt;=$E233,0,IF($E233-SUM($G233:DY233)&gt;DZ234,DZ234,$E233-SUM($G234:DY234)))</f>
        <v>0</v>
      </c>
      <c r="EA233" s="401">
        <f ca="1">IF(SUM($G233:DZ233)&gt;=$E233,0,IF($E233-SUM($G233:DZ233)&gt;EA234,EA234,$E233-SUM($G234:DZ234)))</f>
        <v>0</v>
      </c>
      <c r="EB233" s="401">
        <f ca="1">IF(SUM($G233:EA233)&gt;=$E233,0,IF($E233-SUM($G233:EA233)&gt;EB234,EB234,$E233-SUM($G234:EA234)))</f>
        <v>0</v>
      </c>
      <c r="EC233" s="401">
        <f ca="1">IF(SUM($G233:EB233)&gt;=$E233,0,IF($E233-SUM($G233:EB233)&gt;EC234,EC234,$E233-SUM($G234:EB234)))</f>
        <v>0</v>
      </c>
      <c r="ED233" s="401">
        <f ca="1">IF(SUM($G233:EC233)&gt;=$E233,0,IF($E233-SUM($G233:EC233)&gt;ED234,ED234,$E233-SUM($G234:EC234)))</f>
        <v>0</v>
      </c>
      <c r="EE233" s="401">
        <f ca="1">IF(SUM($G233:ED233)&gt;=$E233,0,IF($E233-SUM($G233:ED233)&gt;EE234,EE234,$E233-SUM($G234:ED234)))</f>
        <v>0</v>
      </c>
      <c r="EF233" s="401">
        <f ca="1">IF(SUM($G233:EE233)&gt;=$E233,0,IF($E233-SUM($G233:EE233)&gt;EF234,EF234,$E233-SUM($G234:EE234)))</f>
        <v>0</v>
      </c>
      <c r="EG233" s="401">
        <f ca="1">IF(SUM($G233:EF233)&gt;=$E233,0,IF($E233-SUM($G233:EF233)&gt;EG234,EG234,$E233-SUM($G234:EF234)))</f>
        <v>0</v>
      </c>
      <c r="EH233" s="401">
        <f ca="1">IF(SUM($G233:EG233)&gt;=$E233,0,IF($E233-SUM($G233:EG233)&gt;EH234,EH234,$E233-SUM($G234:EG234)))</f>
        <v>0</v>
      </c>
      <c r="EI233" s="401">
        <f ca="1">IF(SUM($G233:EH233)&gt;=$E233,0,IF($E233-SUM($G233:EH233)&gt;EI234,EI234,$E233-SUM($G234:EH234)))</f>
        <v>0</v>
      </c>
      <c r="EK233" s="313"/>
    </row>
    <row r="234" spans="1:152" hidden="1" outlineLevel="2">
      <c r="A234" s="332"/>
      <c r="B234" s="313"/>
      <c r="C234" s="308"/>
      <c r="D234" s="308"/>
      <c r="E234" s="308"/>
      <c r="G234" s="402"/>
      <c r="H234" s="402">
        <f ca="1">IF((SUM($G229:H229)-$E228*0.3)&lt;0,0,IF((SUM($G229:H229)-$E228*0.3)&lt;H229,SUM($G229:H229)-$E228*0.3,H229))</f>
        <v>7</v>
      </c>
      <c r="I234" s="402">
        <f ca="1">IF((SUM($G229:I229)-$E228*0.3)&lt;0,0,IF((SUM($G229:I229)-$E228*0.3)&lt;I229,SUM($G229:I229)-$E228*0.3,I229))</f>
        <v>31</v>
      </c>
      <c r="J234" s="402">
        <f ca="1">IF((SUM($G229:J229)-$E228*0.3)&lt;0,0,IF((SUM($G229:J229)-$E228*0.3)&lt;J229,SUM($G229:J229)-$E228*0.3,J229))</f>
        <v>30</v>
      </c>
      <c r="K234" s="402">
        <f ca="1">IF((SUM($G229:K229)-$E228*0.3)&lt;0,0,IF((SUM($G229:K229)-$E228*0.3)&lt;K229,SUM($G229:K229)-$E228*0.3,K229))</f>
        <v>31</v>
      </c>
      <c r="L234" s="402">
        <f ca="1">IF((SUM($G229:L229)-$E228*0.3)&lt;0,0,IF((SUM($G229:L229)-$E228*0.3)&lt;L229,SUM($G229:L229)-$E228*0.3,L229))</f>
        <v>31</v>
      </c>
      <c r="M234" s="402">
        <f ca="1">IF((SUM($G229:M229)-$E228*0.3)&lt;0,0,IF((SUM($G229:M229)-$E228*0.3)&lt;M229,SUM($G229:M229)-$E228*0.3,M229))</f>
        <v>30</v>
      </c>
      <c r="N234" s="402">
        <f ca="1">IF((SUM($G229:N229)-$E228*0.3)&lt;0,0,IF((SUM($G229:N229)-$E228*0.3)&lt;N229,SUM($G229:N229)-$E228*0.3,N229))</f>
        <v>31</v>
      </c>
      <c r="O234" s="402">
        <f ca="1">IF((SUM($G229:O229)-$E228*0.3)&lt;0,0,IF((SUM($G229:O229)-$E228*0.3)&lt;O229,SUM($G229:O229)-$E228*0.3,O229))</f>
        <v>30</v>
      </c>
      <c r="P234" s="402">
        <f ca="1">IF((SUM($G229:P229)-$E228*0.3)&lt;0,0,IF((SUM($G229:P229)-$E228*0.3)&lt;P229,SUM($G229:P229)-$E228*0.3,P229))</f>
        <v>31</v>
      </c>
      <c r="Q234" s="402">
        <f ca="1">IF((SUM($G229:Q229)-$E228*0.3)&lt;0,0,IF((SUM($G229:Q229)-$E228*0.3)&lt;Q229,SUM($G229:Q229)-$E228*0.3,Q229))</f>
        <v>31</v>
      </c>
      <c r="R234" s="402">
        <f ca="1">IF((SUM($G229:R229)-$E228*0.3)&lt;0,0,IF((SUM($G229:R229)-$E228*0.3)&lt;R229,SUM($G229:R229)-$E228*0.3,R229))</f>
        <v>29</v>
      </c>
      <c r="S234" s="402">
        <f ca="1">IF((SUM($G229:S229)-$E228*0.3)&lt;0,0,IF((SUM($G229:S229)-$E228*0.3)&lt;S229,SUM($G229:S229)-$E228*0.3,S229))</f>
        <v>31</v>
      </c>
      <c r="T234" s="402">
        <f ca="1">IF((SUM($G229:T229)-$E228*0.3)&lt;0,0,IF((SUM($G229:T229)-$E228*0.3)&lt;T229,SUM($G229:T229)-$E228*0.3,T229))</f>
        <v>30</v>
      </c>
      <c r="U234" s="402">
        <f ca="1">IF((SUM($G229:U229)-$E228*0.3)&lt;0,0,IF((SUM($G229:U229)-$E228*0.3)&lt;U229,SUM($G229:U229)-$E228*0.3,U229))</f>
        <v>31</v>
      </c>
      <c r="V234" s="402">
        <f ca="1">IF((SUM($G229:V229)-$E228*0.3)&lt;0,0,IF((SUM($G229:V229)-$E228*0.3)&lt;V229,SUM($G229:V229)-$E228*0.3,V229))</f>
        <v>30</v>
      </c>
      <c r="W234" s="402">
        <f ca="1">IF((SUM($G229:W229)-$E228*0.3)&lt;0,0,IF((SUM($G229:W229)-$E228*0.3)&lt;W229,SUM($G229:W229)-$E228*0.3,W229))</f>
        <v>31</v>
      </c>
      <c r="X234" s="402">
        <f ca="1">IF((SUM($G229:X229)-$E228*0.3)&lt;0,0,IF((SUM($G229:X229)-$E228*0.3)&lt;X229,SUM($G229:X229)-$E228*0.3,X229))</f>
        <v>31</v>
      </c>
      <c r="Y234" s="402">
        <f ca="1">IF((SUM($G229:Y229)-$E228*0.3)&lt;0,0,IF((SUM($G229:Y229)-$E228*0.3)&lt;Y229,SUM($G229:Y229)-$E228*0.3,Y229))</f>
        <v>30</v>
      </c>
      <c r="Z234" s="402">
        <f ca="1">IF((SUM($G229:Z229)-$E228*0.3)&lt;0,0,IF((SUM($G229:Z229)-$E228*0.3)&lt;Z229,SUM($G229:Z229)-$E228*0.3,Z229))</f>
        <v>31</v>
      </c>
      <c r="AA234" s="402">
        <f ca="1">IF((SUM($G229:AA229)-$E228*0.3)&lt;0,0,IF((SUM($G229:AA229)-$E228*0.3)&lt;AA229,SUM($G229:AA229)-$E228*0.3,AA229))</f>
        <v>30</v>
      </c>
      <c r="AB234" s="402">
        <f ca="1">IF((SUM($G229:AB229)-$E228*0.3)&lt;0,0,IF((SUM($G229:AB229)-$E228*0.3)&lt;AB229,SUM($G229:AB229)-$E228*0.3,AB229))</f>
        <v>31</v>
      </c>
      <c r="AC234" s="402">
        <f ca="1">IF((SUM($G229:AC229)-$E228*0.3)&lt;0,0,IF((SUM($G229:AC229)-$E228*0.3)&lt;AC229,SUM($G229:AC229)-$E228*0.3,AC229))</f>
        <v>31</v>
      </c>
      <c r="AD234" s="402">
        <f ca="1">IF((SUM($G229:AD229)-$E228*0.3)&lt;0,0,IF((SUM($G229:AD229)-$E228*0.3)&lt;AD229,SUM($G229:AD229)-$E228*0.3,AD229))</f>
        <v>28</v>
      </c>
      <c r="AE234" s="402">
        <f ca="1">IF((SUM($G229:AE229)-$E228*0.3)&lt;0,0,IF((SUM($G229:AE229)-$E228*0.3)&lt;AE229,SUM($G229:AE229)-$E228*0.3,AE229))</f>
        <v>31</v>
      </c>
      <c r="AF234" s="402">
        <f ca="1">IF((SUM($G229:AF229)-$E228*0.3)&lt;0,0,IF((SUM($G229:AF229)-$E228*0.3)&lt;AF229,SUM($G229:AF229)-$E228*0.3,AF229))</f>
        <v>30</v>
      </c>
      <c r="AG234" s="402">
        <f ca="1">IF((SUM($G229:AG229)-$E228*0.3)&lt;0,0,IF((SUM($G229:AG229)-$E228*0.3)&lt;AG229,SUM($G229:AG229)-$E228*0.3,AG229))</f>
        <v>31</v>
      </c>
      <c r="AH234" s="402">
        <f ca="1">IF((SUM($G229:AH229)-$E228*0.3)&lt;0,0,IF((SUM($G229:AH229)-$E228*0.3)&lt;AH229,SUM($G229:AH229)-$E228*0.3,AH229))</f>
        <v>30</v>
      </c>
      <c r="AI234" s="402">
        <f ca="1">IF((SUM($G229:AI229)-$E228*0.3)&lt;0,0,IF((SUM($G229:AI229)-$E228*0.3)&lt;AI229,SUM($G229:AI229)-$E228*0.3,AI229))</f>
        <v>31</v>
      </c>
      <c r="AJ234" s="402">
        <f ca="1">IF((SUM($G229:AJ229)-$E228*0.3)&lt;0,0,IF((SUM($G229:AJ229)-$E228*0.3)&lt;AJ229,SUM($G229:AJ229)-$E228*0.3,AJ229))</f>
        <v>31</v>
      </c>
      <c r="AK234" s="402">
        <f ca="1">IF((SUM($G229:AK229)-$E228*0.3)&lt;0,0,IF((SUM($G229:AK229)-$E228*0.3)&lt;AK229,SUM($G229:AK229)-$E228*0.3,AK229))</f>
        <v>30</v>
      </c>
      <c r="AL234" s="402">
        <f ca="1">IF((SUM($G229:AL229)-$E228*0.3)&lt;0,0,IF((SUM($G229:AL229)-$E228*0.3)&lt;AL229,SUM($G229:AL229)-$E228*0.3,AL229))</f>
        <v>31</v>
      </c>
      <c r="AM234" s="402">
        <f ca="1">IF((SUM($G229:AM229)-$E228*0.3)&lt;0,0,IF((SUM($G229:AM229)-$E228*0.3)&lt;AM229,SUM($G229:AM229)-$E228*0.3,AM229))</f>
        <v>30</v>
      </c>
      <c r="AN234" s="402">
        <f ca="1">IF((SUM($G229:AN229)-$E228*0.3)&lt;0,0,IF((SUM($G229:AN229)-$E228*0.3)&lt;AN229,SUM($G229:AN229)-$E228*0.3,AN229))</f>
        <v>31</v>
      </c>
      <c r="AO234" s="402">
        <f ca="1">IF((SUM($G229:AO229)-$E228*0.3)&lt;0,0,IF((SUM($G229:AO229)-$E228*0.3)&lt;AO229,SUM($G229:AO229)-$E228*0.3,AO229))</f>
        <v>31</v>
      </c>
      <c r="AP234" s="402">
        <f ca="1">IF((SUM($G229:AP229)-$E228*0.3)&lt;0,0,IF((SUM($G229:AP229)-$E228*0.3)&lt;AP229,SUM($G229:AP229)-$E228*0.3,AP229))</f>
        <v>28</v>
      </c>
      <c r="AQ234" s="402">
        <f ca="1">IF((SUM($G229:AQ229)-$E228*0.3)&lt;0,0,IF((SUM($G229:AQ229)-$E228*0.3)&lt;AQ229,SUM($G229:AQ229)-$E228*0.3,AQ229))</f>
        <v>31</v>
      </c>
      <c r="AR234" s="402">
        <f ca="1">IF((SUM($G229:AR229)-$E228*0.3)&lt;0,0,IF((SUM($G229:AR229)-$E228*0.3)&lt;AR229,SUM($G229:AR229)-$E228*0.3,AR229))</f>
        <v>30</v>
      </c>
      <c r="AS234" s="402">
        <f ca="1">IF((SUM($G229:AS229)-$E228*0.3)&lt;0,0,IF((SUM($G229:AS229)-$E228*0.3)&lt;AS229,SUM($G229:AS229)-$E228*0.3,AS229))</f>
        <v>31</v>
      </c>
      <c r="AT234" s="402">
        <f ca="1">IF((SUM($G229:AT229)-$E228*0.3)&lt;0,0,IF((SUM($G229:AT229)-$E228*0.3)&lt;AT229,SUM($G229:AT229)-$E228*0.3,AT229))</f>
        <v>30</v>
      </c>
      <c r="AU234" s="402">
        <f ca="1">IF((SUM($G229:AU229)-$E228*0.3)&lt;0,0,IF((SUM($G229:AU229)-$E228*0.3)&lt;AU229,SUM($G229:AU229)-$E228*0.3,AU229))</f>
        <v>31</v>
      </c>
      <c r="AV234" s="402">
        <f ca="1">IF((SUM($G229:AV229)-$E228*0.3)&lt;0,0,IF((SUM($G229:AV229)-$E228*0.3)&lt;AV229,SUM($G229:AV229)-$E228*0.3,AV229))</f>
        <v>31</v>
      </c>
      <c r="AW234" s="402">
        <f ca="1">IF((SUM($G229:AW229)-$E228*0.3)&lt;0,0,IF((SUM($G229:AW229)-$E228*0.3)&lt;AW229,SUM($G229:AW229)-$E228*0.3,AW229))</f>
        <v>30</v>
      </c>
      <c r="AX234" s="402">
        <f ca="1">IF((SUM($G229:AX229)-$E228*0.3)&lt;0,0,IF((SUM($G229:AX229)-$E228*0.3)&lt;AX229,SUM($G229:AX229)-$E228*0.3,AX229))</f>
        <v>31</v>
      </c>
      <c r="AY234" s="402">
        <f ca="1">IF((SUM($G229:AY229)-$E228*0.3)&lt;0,0,IF((SUM($G229:AY229)-$E228*0.3)&lt;AY229,SUM($G229:AY229)-$E228*0.3,AY229))</f>
        <v>30</v>
      </c>
      <c r="AZ234" s="402">
        <f ca="1">IF((SUM($G229:AZ229)-$E228*0.3)&lt;0,0,IF((SUM($G229:AZ229)-$E228*0.3)&lt;AZ229,SUM($G229:AZ229)-$E228*0.3,AZ229))</f>
        <v>31</v>
      </c>
      <c r="BA234" s="402">
        <f ca="1">IF((SUM($G229:BA229)-$E228*0.3)&lt;0,0,IF((SUM($G229:BA229)-$E228*0.3)&lt;BA229,SUM($G229:BA229)-$E228*0.3,BA229))</f>
        <v>31</v>
      </c>
      <c r="BB234" s="402">
        <f ca="1">IF((SUM($G229:BB229)-$E228*0.3)&lt;0,0,IF((SUM($G229:BB229)-$E228*0.3)&lt;BB229,SUM($G229:BB229)-$E228*0.3,BB229))</f>
        <v>28</v>
      </c>
      <c r="BC234" s="402">
        <f ca="1">IF((SUM($G229:BC229)-$E228*0.3)&lt;0,0,IF((SUM($G229:BC229)-$E228*0.3)&lt;BC229,SUM($G229:BC229)-$E228*0.3,BC229))</f>
        <v>31</v>
      </c>
      <c r="BD234" s="402">
        <f ca="1">IF((SUM($G229:BD229)-$E228*0.3)&lt;0,0,IF((SUM($G229:BD229)-$E228*0.3)&lt;BD229,SUM($G229:BD229)-$E228*0.3,BD229))</f>
        <v>30</v>
      </c>
      <c r="BE234" s="402">
        <f ca="1">IF((SUM($G229:BE229)-$E228*0.3)&lt;0,0,IF((SUM($G229:BE229)-$E228*0.3)&lt;BE229,SUM($G229:BE229)-$E228*0.3,BE229))</f>
        <v>31</v>
      </c>
      <c r="BF234" s="402">
        <f ca="1">IF((SUM($G229:BF229)-$E228*0.3)&lt;0,0,IF((SUM($G229:BF229)-$E228*0.3)&lt;BF229,SUM($G229:BF229)-$E228*0.3,BF229))</f>
        <v>30</v>
      </c>
      <c r="BG234" s="402">
        <f ca="1">IF((SUM($G229:BG229)-$E228*0.3)&lt;0,0,IF((SUM($G229:BG229)-$E228*0.3)&lt;BG229,SUM($G229:BG229)-$E228*0.3,BG229))</f>
        <v>31</v>
      </c>
      <c r="BH234" s="402">
        <f ca="1">IF((SUM($G229:BH229)-$E228*0.3)&lt;0,0,IF((SUM($G229:BH229)-$E228*0.3)&lt;BH229,SUM($G229:BH229)-$E228*0.3,BH229))</f>
        <v>31</v>
      </c>
      <c r="BI234" s="402">
        <f ca="1">IF((SUM($G229:BI229)-$E228*0.3)&lt;0,0,IF((SUM($G229:BI229)-$E228*0.3)&lt;BI229,SUM($G229:BI229)-$E228*0.3,BI229))</f>
        <v>30</v>
      </c>
      <c r="BJ234" s="402">
        <f ca="1">IF((SUM($G229:BJ229)-$E228*0.3)&lt;0,0,IF((SUM($G229:BJ229)-$E228*0.3)&lt;BJ229,SUM($G229:BJ229)-$E228*0.3,BJ229))</f>
        <v>31</v>
      </c>
      <c r="BK234" s="402">
        <f ca="1">IF((SUM($G229:BK229)-$E228*0.3)&lt;0,0,IF((SUM($G229:BK229)-$E228*0.3)&lt;BK229,SUM($G229:BK229)-$E228*0.3,BK229))</f>
        <v>30</v>
      </c>
      <c r="BL234" s="402">
        <f ca="1">IF((SUM($G229:BL229)-$E228*0.3)&lt;0,0,IF((SUM($G229:BL229)-$E228*0.3)&lt;BL229,SUM($G229:BL229)-$E228*0.3,BL229))</f>
        <v>31</v>
      </c>
      <c r="BM234" s="402">
        <f ca="1">IF((SUM($G229:BM229)-$E228*0.3)&lt;0,0,IF((SUM($G229:BM229)-$E228*0.3)&lt;BM229,SUM($G229:BM229)-$E228*0.3,BM229))</f>
        <v>31</v>
      </c>
      <c r="BN234" s="402">
        <f ca="1">IF((SUM($G229:BN229)-$E228*0.3)&lt;0,0,IF((SUM($G229:BN229)-$E228*0.3)&lt;BN229,SUM($G229:BN229)-$E228*0.3,BN229))</f>
        <v>29</v>
      </c>
      <c r="BO234" s="402">
        <f ca="1">IF((SUM($G229:BO229)-$E228*0.3)&lt;0,0,IF((SUM($G229:BO229)-$E228*0.3)&lt;BO229,SUM($G229:BO229)-$E228*0.3,BO229))</f>
        <v>31</v>
      </c>
      <c r="BP234" s="402">
        <f ca="1">IF((SUM($G229:BP229)-$E228*0.3)&lt;0,0,IF((SUM($G229:BP229)-$E228*0.3)&lt;BP229,SUM($G229:BP229)-$E228*0.3,BP229))</f>
        <v>30</v>
      </c>
      <c r="BQ234" s="402">
        <f ca="1">IF((SUM($G229:BQ229)-$E228*0.3)&lt;0,0,IF((SUM($G229:BQ229)-$E228*0.3)&lt;BQ229,SUM($G229:BQ229)-$E228*0.3,BQ229))</f>
        <v>31</v>
      </c>
      <c r="BR234" s="402">
        <f ca="1">IF((SUM($G229:BR229)-$E228*0.3)&lt;0,0,IF((SUM($G229:BR229)-$E228*0.3)&lt;BR229,SUM($G229:BR229)-$E228*0.3,BR229))</f>
        <v>30</v>
      </c>
      <c r="BS234" s="402">
        <f ca="1">IF((SUM($G229:BS229)-$E228*0.3)&lt;0,0,IF((SUM($G229:BS229)-$E228*0.3)&lt;BS229,SUM($G229:BS229)-$E228*0.3,BS229))</f>
        <v>31</v>
      </c>
      <c r="BT234" s="402">
        <f ca="1">IF((SUM($G229:BT229)-$E228*0.3)&lt;0,0,IF((SUM($G229:BT229)-$E228*0.3)&lt;BT229,SUM($G229:BT229)-$E228*0.3,BT229))</f>
        <v>31</v>
      </c>
      <c r="BU234" s="402">
        <f ca="1">IF((SUM($G229:BU229)-$E228*0.3)&lt;0,0,IF((SUM($G229:BU229)-$E228*0.3)&lt;BU229,SUM($G229:BU229)-$E228*0.3,BU229))</f>
        <v>30</v>
      </c>
      <c r="BV234" s="402">
        <f ca="1">IF((SUM($G229:BV229)-$E228*0.3)&lt;0,0,IF((SUM($G229:BV229)-$E228*0.3)&lt;BV229,SUM($G229:BV229)-$E228*0.3,BV229))</f>
        <v>31</v>
      </c>
      <c r="BW234" s="402">
        <f ca="1">IF((SUM($G229:BW229)-$E228*0.3)&lt;0,0,IF((SUM($G229:BW229)-$E228*0.3)&lt;BW229,SUM($G229:BW229)-$E228*0.3,BW229))</f>
        <v>30</v>
      </c>
      <c r="BX234" s="402">
        <f ca="1">IF((SUM($G229:BX229)-$E228*0.3)&lt;0,0,IF((SUM($G229:BX229)-$E228*0.3)&lt;BX229,SUM($G229:BX229)-$E228*0.3,BX229))</f>
        <v>31</v>
      </c>
      <c r="BY234" s="402">
        <f ca="1">IF((SUM($G229:BY229)-$E228*0.3)&lt;0,0,IF((SUM($G229:BY229)-$E228*0.3)&lt;BY229,SUM($G229:BY229)-$E228*0.3,BY229))</f>
        <v>31</v>
      </c>
      <c r="BZ234" s="402">
        <f ca="1">IF((SUM($G229:BZ229)-$E228*0.3)&lt;0,0,IF((SUM($G229:BZ229)-$E228*0.3)&lt;BZ229,SUM($G229:BZ229)-$E228*0.3,BZ229))</f>
        <v>28</v>
      </c>
      <c r="CA234" s="402">
        <f ca="1">IF((SUM($G229:CA229)-$E228*0.3)&lt;0,0,IF((SUM($G229:CA229)-$E228*0.3)&lt;CA229,SUM($G229:CA229)-$E228*0.3,CA229))</f>
        <v>31</v>
      </c>
      <c r="CB234" s="402">
        <f ca="1">IF((SUM($G229:CB229)-$E228*0.3)&lt;0,0,IF((SUM($G229:CB229)-$E228*0.3)&lt;CB229,SUM($G229:CB229)-$E228*0.3,CB229))</f>
        <v>30</v>
      </c>
      <c r="CC234" s="402">
        <f ca="1">IF((SUM($G229:CC229)-$E228*0.3)&lt;0,0,IF((SUM($G229:CC229)-$E228*0.3)&lt;CC229,SUM($G229:CC229)-$E228*0.3,CC229))</f>
        <v>31</v>
      </c>
      <c r="CD234" s="402">
        <f ca="1">IF((SUM($G229:CD229)-$E228*0.3)&lt;0,0,IF((SUM($G229:CD229)-$E228*0.3)&lt;CD229,SUM($G229:CD229)-$E228*0.3,CD229))</f>
        <v>30</v>
      </c>
      <c r="CE234" s="402">
        <f ca="1">IF((SUM($G229:CE229)-$E228*0.3)&lt;0,0,IF((SUM($G229:CE229)-$E228*0.3)&lt;CE229,SUM($G229:CE229)-$E228*0.3,CE229))</f>
        <v>31</v>
      </c>
      <c r="CF234" s="402">
        <f ca="1">IF((SUM($G229:CF229)-$E228*0.3)&lt;0,0,IF((SUM($G229:CF229)-$E228*0.3)&lt;CF229,SUM($G229:CF229)-$E228*0.3,CF229))</f>
        <v>31</v>
      </c>
      <c r="CG234" s="402">
        <f ca="1">IF((SUM($G229:CG229)-$E228*0.3)&lt;0,0,IF((SUM($G229:CG229)-$E228*0.3)&lt;CG229,SUM($G229:CG229)-$E228*0.3,CG229))</f>
        <v>30</v>
      </c>
      <c r="CH234" s="402">
        <f ca="1">IF((SUM($G229:CH229)-$E228*0.3)&lt;0,0,IF((SUM($G229:CH229)-$E228*0.3)&lt;CH229,SUM($G229:CH229)-$E228*0.3,CH229))</f>
        <v>31</v>
      </c>
      <c r="CI234" s="402">
        <f ca="1">IF((SUM($G229:CI229)-$E228*0.3)&lt;0,0,IF((SUM($G229:CI229)-$E228*0.3)&lt;CI229,SUM($G229:CI229)-$E228*0.3,CI229))</f>
        <v>30</v>
      </c>
      <c r="CJ234" s="402">
        <f ca="1">IF((SUM($G229:CJ229)-$E228*0.3)&lt;0,0,IF((SUM($G229:CJ229)-$E228*0.3)&lt;CJ229,SUM($G229:CJ229)-$E228*0.3,CJ229))</f>
        <v>31</v>
      </c>
      <c r="CK234" s="402">
        <f ca="1">IF((SUM($G229:CK229)-$E228*0.3)&lt;0,0,IF((SUM($G229:CK229)-$E228*0.3)&lt;CK229,SUM($G229:CK229)-$E228*0.3,CK229))</f>
        <v>31</v>
      </c>
      <c r="CL234" s="402">
        <f ca="1">IF((SUM($G229:CL229)-$E228*0.3)&lt;0,0,IF((SUM($G229:CL229)-$E228*0.3)&lt;CL229,SUM($G229:CL229)-$E228*0.3,CL229))</f>
        <v>28</v>
      </c>
      <c r="CM234" s="402">
        <f ca="1">IF((SUM($G229:CM229)-$E228*0.3)&lt;0,0,IF((SUM($G229:CM229)-$E228*0.3)&lt;CM229,SUM($G229:CM229)-$E228*0.3,CM229))</f>
        <v>31</v>
      </c>
      <c r="CN234" s="402">
        <f ca="1">IF((SUM($G229:CN229)-$E228*0.3)&lt;0,0,IF((SUM($G229:CN229)-$E228*0.3)&lt;CN229,SUM($G229:CN229)-$E228*0.3,CN229))</f>
        <v>30</v>
      </c>
      <c r="CO234" s="402">
        <f ca="1">IF((SUM($G229:CO229)-$E228*0.3)&lt;0,0,IF((SUM($G229:CO229)-$E228*0.3)&lt;CO229,SUM($G229:CO229)-$E228*0.3,CO229))</f>
        <v>31</v>
      </c>
      <c r="CP234" s="402">
        <f ca="1">IF((SUM($G229:CP229)-$E228*0.3)&lt;0,0,IF((SUM($G229:CP229)-$E228*0.3)&lt;CP229,SUM($G229:CP229)-$E228*0.3,CP229))</f>
        <v>30</v>
      </c>
      <c r="CQ234" s="402">
        <f ca="1">IF((SUM($G229:CQ229)-$E228*0.3)&lt;0,0,IF((SUM($G229:CQ229)-$E228*0.3)&lt;CQ229,SUM($G229:CQ229)-$E228*0.3,CQ229))</f>
        <v>31</v>
      </c>
      <c r="CR234" s="402">
        <f ca="1">IF((SUM($G229:CR229)-$E228*0.3)&lt;0,0,IF((SUM($G229:CR229)-$E228*0.3)&lt;CR229,SUM($G229:CR229)-$E228*0.3,CR229))</f>
        <v>31</v>
      </c>
      <c r="CS234" s="402">
        <f ca="1">IF((SUM($G229:CS229)-$E228*0.3)&lt;0,0,IF((SUM($G229:CS229)-$E228*0.3)&lt;CS229,SUM($G229:CS229)-$E228*0.3,CS229))</f>
        <v>30</v>
      </c>
      <c r="CT234" s="402">
        <f ca="1">IF((SUM($G229:CT229)-$E228*0.3)&lt;0,0,IF((SUM($G229:CT229)-$E228*0.3)&lt;CT229,SUM($G229:CT229)-$E228*0.3,CT229))</f>
        <v>31</v>
      </c>
      <c r="CU234" s="402">
        <f ca="1">IF((SUM($G229:CU229)-$E228*0.3)&lt;0,0,IF((SUM($G229:CU229)-$E228*0.3)&lt;CU229,SUM($G229:CU229)-$E228*0.3,CU229))</f>
        <v>30</v>
      </c>
      <c r="CV234" s="402">
        <f ca="1">IF((SUM($G229:CV229)-$E228*0.3)&lt;0,0,IF((SUM($G229:CV229)-$E228*0.3)&lt;CV229,SUM($G229:CV229)-$E228*0.3,CV229))</f>
        <v>31</v>
      </c>
      <c r="CW234" s="402">
        <f ca="1">IF((SUM($G229:CW229)-$E228*0.3)&lt;0,0,IF((SUM($G229:CW229)-$E228*0.3)&lt;CW229,SUM($G229:CW229)-$E228*0.3,CW229))</f>
        <v>31</v>
      </c>
      <c r="CX234" s="402">
        <f ca="1">IF((SUM($G229:CX229)-$E228*0.3)&lt;0,0,IF((SUM($G229:CX229)-$E228*0.3)&lt;CX229,SUM($G229:CX229)-$E228*0.3,CX229))</f>
        <v>28</v>
      </c>
      <c r="CY234" s="402">
        <f ca="1">IF((SUM($G229:CY229)-$E228*0.3)&lt;0,0,IF((SUM($G229:CY229)-$E228*0.3)&lt;CY229,SUM($G229:CY229)-$E228*0.3,CY229))</f>
        <v>31</v>
      </c>
      <c r="CZ234" s="402">
        <f ca="1">IF((SUM($G229:CZ229)-$E228*0.3)&lt;0,0,IF((SUM($G229:CZ229)-$E228*0.3)&lt;CZ229,SUM($G229:CZ229)-$E228*0.3,CZ229))</f>
        <v>30</v>
      </c>
      <c r="DA234" s="402">
        <f ca="1">IF((SUM($G229:DA229)-$E228*0.3)&lt;0,0,IF((SUM($G229:DA229)-$E228*0.3)&lt;DA229,SUM($G229:DA229)-$E228*0.3,DA229))</f>
        <v>31</v>
      </c>
      <c r="DB234" s="402">
        <f ca="1">IF((SUM($G229:DB229)-$E228*0.3)&lt;0,0,IF((SUM($G229:DB229)-$E228*0.3)&lt;DB229,SUM($G229:DB229)-$E228*0.3,DB229))</f>
        <v>30</v>
      </c>
      <c r="DC234" s="402">
        <f ca="1">IF((SUM($G229:DC229)-$E228*0.3)&lt;0,0,IF((SUM($G229:DC229)-$E228*0.3)&lt;DC229,SUM($G229:DC229)-$E228*0.3,DC229))</f>
        <v>31</v>
      </c>
      <c r="DD234" s="402">
        <f ca="1">IF((SUM($G229:DD229)-$E228*0.3)&lt;0,0,IF((SUM($G229:DD229)-$E228*0.3)&lt;DD229,SUM($G229:DD229)-$E228*0.3,DD229))</f>
        <v>31</v>
      </c>
      <c r="DE234" s="402">
        <f ca="1">IF((SUM($G229:DE229)-$E228*0.3)&lt;0,0,IF((SUM($G229:DE229)-$E228*0.3)&lt;DE229,SUM($G229:DE229)-$E228*0.3,DE229))</f>
        <v>30</v>
      </c>
      <c r="DF234" s="402">
        <f ca="1">IF((SUM($G229:DF229)-$E228*0.3)&lt;0,0,IF((SUM($G229:DF229)-$E228*0.3)&lt;DF229,SUM($G229:DF229)-$E228*0.3,DF229))</f>
        <v>31</v>
      </c>
      <c r="DG234" s="402">
        <f ca="1">IF((SUM($G229:DG229)-$E228*0.3)&lt;0,0,IF((SUM($G229:DG229)-$E228*0.3)&lt;DG229,SUM($G229:DG229)-$E228*0.3,DG229))</f>
        <v>30</v>
      </c>
      <c r="DH234" s="402">
        <f ca="1">IF((SUM($G229:DH229)-$E228*0.3)&lt;0,0,IF((SUM($G229:DH229)-$E228*0.3)&lt;DH229,SUM($G229:DH229)-$E228*0.3,DH229))</f>
        <v>31</v>
      </c>
      <c r="DI234" s="402">
        <f ca="1">IF((SUM($G229:DI229)-$E228*0.3)&lt;0,0,IF((SUM($G229:DI229)-$E228*0.3)&lt;DI229,SUM($G229:DI229)-$E228*0.3,DI229))</f>
        <v>31</v>
      </c>
      <c r="DJ234" s="402">
        <f ca="1">IF((SUM($G229:DJ229)-$E228*0.3)&lt;0,0,IF((SUM($G229:DJ229)-$E228*0.3)&lt;DJ229,SUM($G229:DJ229)-$E228*0.3,DJ229))</f>
        <v>29</v>
      </c>
      <c r="DK234" s="402">
        <f ca="1">IF((SUM($G229:DK229)-$E228*0.3)&lt;0,0,IF((SUM($G229:DK229)-$E228*0.3)&lt;DK229,SUM($G229:DK229)-$E228*0.3,DK229))</f>
        <v>31</v>
      </c>
      <c r="DL234" s="402">
        <f ca="1">IF((SUM($G229:DL229)-$E228*0.3)&lt;0,0,IF((SUM($G229:DL229)-$E228*0.3)&lt;DL229,SUM($G229:DL229)-$E228*0.3,DL229))</f>
        <v>30</v>
      </c>
      <c r="DM234" s="402">
        <f ca="1">IF((SUM($G229:DM229)-$E228*0.3)&lt;0,0,IF((SUM($G229:DM229)-$E228*0.3)&lt;DM229,SUM($G229:DM229)-$E228*0.3,DM229))</f>
        <v>31</v>
      </c>
      <c r="DN234" s="402">
        <f ca="1">IF((SUM($G229:DN229)-$E228*0.3)&lt;0,0,IF((SUM($G229:DN229)-$E228*0.3)&lt;DN229,SUM($G229:DN229)-$E228*0.3,DN229))</f>
        <v>30</v>
      </c>
      <c r="DO234" s="402">
        <f ca="1">IF((SUM($G229:DO229)-$E228*0.3)&lt;0,0,IF((SUM($G229:DO229)-$E228*0.3)&lt;DO229,SUM($G229:DO229)-$E228*0.3,DO229))</f>
        <v>31</v>
      </c>
      <c r="DP234" s="402">
        <f ca="1">IF((SUM($G229:DP229)-$E228*0.3)&lt;0,0,IF((SUM($G229:DP229)-$E228*0.3)&lt;DP229,SUM($G229:DP229)-$E228*0.3,DP229))</f>
        <v>31</v>
      </c>
      <c r="DQ234" s="402">
        <f ca="1">IF((SUM($G229:DQ229)-$E228*0.3)&lt;0,0,IF((SUM($G229:DQ229)-$E228*0.3)&lt;DQ229,SUM($G229:DQ229)-$E228*0.3,DQ229))</f>
        <v>30</v>
      </c>
      <c r="DR234" s="402">
        <f ca="1">IF((SUM($G229:DR229)-$E228*0.3)&lt;0,0,IF((SUM($G229:DR229)-$E228*0.3)&lt;DR229,SUM($G229:DR229)-$E228*0.3,DR229))</f>
        <v>31</v>
      </c>
      <c r="DS234" s="402">
        <f ca="1">IF((SUM($G229:DS229)-$E228*0.3)&lt;0,0,IF((SUM($G229:DS229)-$E228*0.3)&lt;DS229,SUM($G229:DS229)-$E228*0.3,DS229))</f>
        <v>30</v>
      </c>
      <c r="DT234" s="402">
        <f ca="1">IF((SUM($G229:DT229)-$E228*0.3)&lt;0,0,IF((SUM($G229:DT229)-$E228*0.3)&lt;DT229,SUM($G229:DT229)-$E228*0.3,DT229))</f>
        <v>31</v>
      </c>
      <c r="DU234" s="402">
        <f ca="1">IF((SUM($G229:DU229)-$E228*0.3)&lt;0,0,IF((SUM($G229:DU229)-$E228*0.3)&lt;DU229,SUM($G229:DU229)-$E228*0.3,DU229))</f>
        <v>31</v>
      </c>
      <c r="DV234" s="402">
        <f ca="1">IF((SUM($G229:DV229)-$E228*0.3)&lt;0,0,IF((SUM($G229:DV229)-$E228*0.3)&lt;DV229,SUM($G229:DV229)-$E228*0.3,DV229))</f>
        <v>28</v>
      </c>
      <c r="DW234" s="402">
        <f ca="1">IF((SUM($G229:DW229)-$E228*0.3)&lt;0,0,IF((SUM($G229:DW229)-$E228*0.3)&lt;DW229,SUM($G229:DW229)-$E228*0.3,DW229))</f>
        <v>31</v>
      </c>
      <c r="DX234" s="402">
        <f ca="1">IF((SUM($G229:DX229)-$E228*0.3)&lt;0,0,IF((SUM($G229:DX229)-$E228*0.3)&lt;DX229,SUM($G229:DX229)-$E228*0.3,DX229))</f>
        <v>30</v>
      </c>
      <c r="DY234" s="402">
        <f ca="1">IF((SUM($G229:DY229)-$E228*0.3)&lt;0,0,IF((SUM($G229:DY229)-$E228*0.3)&lt;DY229,SUM($G229:DY229)-$E228*0.3,DY229))</f>
        <v>31</v>
      </c>
      <c r="DZ234" s="402">
        <f ca="1">IF((SUM($G229:DZ229)-$E228*0.3)&lt;0,0,IF((SUM($G229:DZ229)-$E228*0.3)&lt;DZ229,SUM($G229:DZ229)-$E228*0.3,DZ229))</f>
        <v>30</v>
      </c>
      <c r="EA234" s="402">
        <f ca="1">IF((SUM($G229:EA229)-$E228*0.3)&lt;0,0,IF((SUM($G229:EA229)-$E228*0.3)&lt;EA229,SUM($G229:EA229)-$E228*0.3,EA229))</f>
        <v>31</v>
      </c>
      <c r="EB234" s="402">
        <f ca="1">IF((SUM($G229:EB229)-$E228*0.3)&lt;0,0,IF((SUM($G229:EB229)-$E228*0.3)&lt;EB229,SUM($G229:EB229)-$E228*0.3,EB229))</f>
        <v>31</v>
      </c>
      <c r="EC234" s="402">
        <f ca="1">IF((SUM($G229:EC229)-$E228*0.3)&lt;0,0,IF((SUM($G229:EC229)-$E228*0.3)&lt;EC229,SUM($G229:EC229)-$E228*0.3,EC229))</f>
        <v>30</v>
      </c>
      <c r="ED234" s="402">
        <f ca="1">IF((SUM($G229:ED229)-$E228*0.3)&lt;0,0,IF((SUM($G229:ED229)-$E228*0.3)&lt;ED229,SUM($G229:ED229)-$E228*0.3,ED229))</f>
        <v>31</v>
      </c>
      <c r="EE234" s="402">
        <f ca="1">IF((SUM($G229:EE229)-$E228*0.3)&lt;0,0,IF((SUM($G229:EE229)-$E228*0.3)&lt;EE229,SUM($G229:EE229)-$E228*0.3,EE229))</f>
        <v>30</v>
      </c>
      <c r="EF234" s="402">
        <f ca="1">IF((SUM($G229:EF229)-$E228*0.3)&lt;0,0,IF((SUM($G229:EF229)-$E228*0.3)&lt;EF229,SUM($G229:EF229)-$E228*0.3,EF229))</f>
        <v>31</v>
      </c>
      <c r="EG234" s="402">
        <f ca="1">IF((SUM($G229:EG229)-$E228*0.3)&lt;0,0,IF((SUM($G229:EG229)-$E228*0.3)&lt;EG229,SUM($G229:EG229)-$E228*0.3,EG229))</f>
        <v>31</v>
      </c>
      <c r="EH234" s="402">
        <f ca="1">IF((SUM($G229:EH229)-$E228*0.3)&lt;0,0,IF((SUM($G229:EH229)-$E228*0.3)&lt;EH229,SUM($G229:EH229)-$E228*0.3,EH229))</f>
        <v>28</v>
      </c>
      <c r="EI234" s="402">
        <f ca="1">IF((SUM($G229:EI229)-$E228*0.3)&lt;0,0,IF((SUM($G229:EI229)-$E228*0.3)&lt;EI229,SUM($G229:EI229)-$E228*0.3,EI229))</f>
        <v>31</v>
      </c>
      <c r="EK234" s="313"/>
    </row>
    <row r="235" spans="1:152" hidden="1" outlineLevel="2">
      <c r="A235" s="332"/>
      <c r="B235" s="313"/>
      <c r="D235" s="305" t="s">
        <v>670</v>
      </c>
      <c r="E235" s="403">
        <f ca="1">MIN(G235:EI235)</f>
        <v>45017</v>
      </c>
      <c r="F235" s="404">
        <f ca="1">MAX(G235:EI235)</f>
        <v>45017</v>
      </c>
      <c r="G235" s="403" t="str">
        <f ca="1">IF(G233=0,"",IF(SUM($G233:G233)&gt;=1,OFFSET(G$228,-1,0),""))</f>
        <v/>
      </c>
      <c r="H235" s="403">
        <f ca="1">IF(SUM($G235:G235)&gt;=1,"",IF(H233=0,"",IF(SUM($G233:H233)&gt;=1,OFFSET(H$228,-1,0),"")))</f>
        <v>45017</v>
      </c>
      <c r="I235" s="403" t="str">
        <f ca="1">IF(SUM($G235:H235)&gt;=1,"",IF(I233=0,"",IF(SUM($G233:I233)&gt;=1,OFFSET(I$228,-1,0),"")))</f>
        <v/>
      </c>
      <c r="J235" s="403" t="str">
        <f ca="1">IF(SUM($G235:I235)&gt;=1,"",IF(J233=0,"",IF(SUM($G233:J233)&gt;=1,OFFSET(J$228,-1,0),"")))</f>
        <v/>
      </c>
      <c r="K235" s="403" t="str">
        <f ca="1">IF(SUM($G235:J235)&gt;=1,"",IF(K233=0,"",IF(SUM($G233:K233)&gt;=1,OFFSET(K$228,-1,0),"")))</f>
        <v/>
      </c>
      <c r="L235" s="403" t="str">
        <f ca="1">IF(SUM($G235:K235)&gt;=1,"",IF(L233=0,"",IF(SUM($G233:L233)&gt;=1,OFFSET(L$228,-1,0),"")))</f>
        <v/>
      </c>
      <c r="M235" s="403" t="str">
        <f ca="1">IF(SUM($G235:L235)&gt;=1,"",IF(M233=0,"",IF(SUM($G233:M233)&gt;=1,OFFSET(M$228,-1,0),"")))</f>
        <v/>
      </c>
      <c r="N235" s="403" t="str">
        <f ca="1">IF(SUM($G235:M235)&gt;=1,"",IF(N233=0,"",IF(SUM($G233:N233)&gt;=1,OFFSET(N$228,-1,0),"")))</f>
        <v/>
      </c>
      <c r="O235" s="403" t="str">
        <f ca="1">IF(SUM($G235:N235)&gt;=1,"",IF(O233=0,"",IF(SUM($G233:O233)&gt;=1,OFFSET(O$228,-1,0),"")))</f>
        <v/>
      </c>
      <c r="P235" s="403" t="str">
        <f ca="1">IF(SUM($G235:O235)&gt;=1,"",IF(P233=0,"",IF(SUM($G233:P233)&gt;=1,OFFSET(P$228,-1,0),"")))</f>
        <v/>
      </c>
      <c r="Q235" s="403" t="str">
        <f ca="1">IF(SUM($G235:P235)&gt;=1,"",IF(Q233=0,"",IF(SUM($G233:Q233)&gt;=1,OFFSET(Q$228,-1,0),"")))</f>
        <v/>
      </c>
      <c r="R235" s="403" t="str">
        <f ca="1">IF(SUM($G235:Q235)&gt;=1,"",IF(R233=0,"",IF(SUM($G233:R233)&gt;=1,OFFSET(R$228,-1,0),"")))</f>
        <v/>
      </c>
      <c r="S235" s="403" t="str">
        <f ca="1">IF(SUM($G235:R235)&gt;=1,"",IF(S233=0,"",IF(SUM($G233:S233)&gt;=1,OFFSET(S$228,-1,0),"")))</f>
        <v/>
      </c>
      <c r="T235" s="403" t="str">
        <f ca="1">IF(SUM($G235:S235)&gt;=1,"",IF(T233=0,"",IF(SUM($G233:T233)&gt;=1,OFFSET(T$228,-1,0),"")))</f>
        <v/>
      </c>
      <c r="U235" s="403" t="str">
        <f ca="1">IF(SUM($G235:T235)&gt;=1,"",IF(U233=0,"",IF(SUM($G233:U233)&gt;=1,OFFSET(U$228,-1,0),"")))</f>
        <v/>
      </c>
      <c r="V235" s="403" t="str">
        <f ca="1">IF(SUM($G235:U235)&gt;=1,"",IF(V233=0,"",IF(SUM($G233:V233)&gt;=1,OFFSET(V$228,-1,0),"")))</f>
        <v/>
      </c>
      <c r="W235" s="403" t="str">
        <f ca="1">IF(SUM($G235:V235)&gt;=1,"",IF(W233=0,"",IF(SUM($G233:W233)&gt;=1,OFFSET(W$228,-1,0),"")))</f>
        <v/>
      </c>
      <c r="X235" s="403" t="str">
        <f ca="1">IF(SUM($G235:W235)&gt;=1,"",IF(X233=0,"",IF(SUM($G233:X233)&gt;=1,OFFSET(X$228,-1,0),"")))</f>
        <v/>
      </c>
      <c r="Y235" s="403" t="str">
        <f ca="1">IF(SUM($G235:X235)&gt;=1,"",IF(Y233=0,"",IF(SUM($G233:Y233)&gt;=1,OFFSET(Y$228,-1,0),"")))</f>
        <v/>
      </c>
      <c r="Z235" s="403" t="str">
        <f ca="1">IF(SUM($G235:Y235)&gt;=1,"",IF(Z233=0,"",IF(SUM($G233:Z233)&gt;=1,OFFSET(Z$228,-1,0),"")))</f>
        <v/>
      </c>
      <c r="AA235" s="403" t="str">
        <f ca="1">IF(SUM($G235:Z235)&gt;=1,"",IF(AA233=0,"",IF(SUM($G233:AA233)&gt;=1,OFFSET(AA$228,-1,0),"")))</f>
        <v/>
      </c>
      <c r="AB235" s="403" t="str">
        <f ca="1">IF(SUM($G235:AA235)&gt;=1,"",IF(AB233=0,"",IF(SUM($G233:AB233)&gt;=1,OFFSET(AB$228,-1,0),"")))</f>
        <v/>
      </c>
      <c r="AC235" s="403" t="str">
        <f ca="1">IF(SUM($G235:AB235)&gt;=1,"",IF(AC233=0,"",IF(SUM($G233:AC233)&gt;=1,OFFSET(AC$228,-1,0),"")))</f>
        <v/>
      </c>
      <c r="AD235" s="403" t="str">
        <f ca="1">IF(SUM($G235:AC235)&gt;=1,"",IF(AD233=0,"",IF(SUM($G233:AD233)&gt;=1,OFFSET(AD$228,-1,0),"")))</f>
        <v/>
      </c>
      <c r="AE235" s="403" t="str">
        <f ca="1">IF(SUM($G235:AD235)&gt;=1,"",IF(AE233=0,"",IF(SUM($G233:AE233)&gt;=1,OFFSET(AE$228,-1,0),"")))</f>
        <v/>
      </c>
      <c r="AF235" s="403" t="str">
        <f ca="1">IF(SUM($G235:AE235)&gt;=1,"",IF(AF233=0,"",IF(SUM($G233:AF233)&gt;=1,OFFSET(AF$228,-1,0),"")))</f>
        <v/>
      </c>
      <c r="AG235" s="403" t="str">
        <f ca="1">IF(SUM($G235:AF235)&gt;=1,"",IF(AG233=0,"",IF(SUM($G233:AG233)&gt;=1,OFFSET(AG$228,-1,0),"")))</f>
        <v/>
      </c>
      <c r="AH235" s="403" t="str">
        <f ca="1">IF(SUM($G235:AG235)&gt;=1,"",IF(AH233=0,"",IF(SUM($G233:AH233)&gt;=1,OFFSET(AH$228,-1,0),"")))</f>
        <v/>
      </c>
      <c r="AI235" s="403" t="str">
        <f ca="1">IF(SUM($G235:AH235)&gt;=1,"",IF(AI233=0,"",IF(SUM($G233:AI233)&gt;=1,OFFSET(AI$228,-1,0),"")))</f>
        <v/>
      </c>
      <c r="AJ235" s="403" t="str">
        <f ca="1">IF(SUM($G235:AI235)&gt;=1,"",IF(AJ233=0,"",IF(SUM($G233:AJ233)&gt;=1,OFFSET(AJ$228,-1,0),"")))</f>
        <v/>
      </c>
      <c r="AK235" s="403" t="str">
        <f ca="1">IF(SUM($G235:AJ235)&gt;=1,"",IF(AK233=0,"",IF(SUM($G233:AK233)&gt;=1,OFFSET(AK$228,-1,0),"")))</f>
        <v/>
      </c>
      <c r="AL235" s="403" t="str">
        <f ca="1">IF(SUM($G235:AK235)&gt;=1,"",IF(AL233=0,"",IF(SUM($G233:AL233)&gt;=1,OFFSET(AL$228,-1,0),"")))</f>
        <v/>
      </c>
      <c r="AM235" s="403" t="str">
        <f ca="1">IF(SUM($G235:AL235)&gt;=1,"",IF(AM233=0,"",IF(SUM($G233:AM233)&gt;=1,OFFSET(AM$228,-1,0),"")))</f>
        <v/>
      </c>
      <c r="AN235" s="403" t="str">
        <f ca="1">IF(SUM($G235:AM235)&gt;=1,"",IF(AN233=0,"",IF(SUM($G233:AN233)&gt;=1,OFFSET(AN$228,-1,0),"")))</f>
        <v/>
      </c>
      <c r="AO235" s="403" t="str">
        <f ca="1">IF(SUM($G235:AN235)&gt;=1,"",IF(AO233=0,"",IF(SUM($G233:AO233)&gt;=1,OFFSET(AO$228,-1,0),"")))</f>
        <v/>
      </c>
      <c r="AP235" s="403" t="str">
        <f ca="1">IF(SUM($G235:AO235)&gt;=1,"",IF(AP233=0,"",IF(SUM($G233:AP233)&gt;=1,OFFSET(AP$228,-1,0),"")))</f>
        <v/>
      </c>
      <c r="AQ235" s="403" t="str">
        <f ca="1">IF(SUM($G235:AP235)&gt;=1,"",IF(AQ233=0,"",IF(SUM($G233:AQ233)&gt;=1,OFFSET(AQ$228,-1,0),"")))</f>
        <v/>
      </c>
      <c r="AR235" s="403" t="str">
        <f ca="1">IF(SUM($G235:AQ235)&gt;=1,"",IF(AR233=0,"",IF(SUM($G233:AR233)&gt;=1,OFFSET(AR$228,-1,0),"")))</f>
        <v/>
      </c>
      <c r="AS235" s="403" t="str">
        <f ca="1">IF(SUM($G235:AR235)&gt;=1,"",IF(AS233=0,"",IF(SUM($G233:AS233)&gt;=1,OFFSET(AS$228,-1,0),"")))</f>
        <v/>
      </c>
      <c r="AT235" s="403" t="str">
        <f ca="1">IF(SUM($G235:AS235)&gt;=1,"",IF(AT233=0,"",IF(SUM($G233:AT233)&gt;=1,OFFSET(AT$228,-1,0),"")))</f>
        <v/>
      </c>
      <c r="AU235" s="403" t="str">
        <f ca="1">IF(SUM($G235:AT235)&gt;=1,"",IF(AU233=0,"",IF(SUM($G233:AU233)&gt;=1,OFFSET(AU$228,-1,0),"")))</f>
        <v/>
      </c>
      <c r="AV235" s="403" t="str">
        <f ca="1">IF(SUM($G235:AU235)&gt;=1,"",IF(AV233=0,"",IF(SUM($G233:AV233)&gt;=1,OFFSET(AV$228,-1,0),"")))</f>
        <v/>
      </c>
      <c r="AW235" s="403" t="str">
        <f ca="1">IF(SUM($G235:AV235)&gt;=1,"",IF(AW233=0,"",IF(SUM($G233:AW233)&gt;=1,OFFSET(AW$228,-1,0),"")))</f>
        <v/>
      </c>
      <c r="AX235" s="403" t="str">
        <f ca="1">IF(SUM($G235:AW235)&gt;=1,"",IF(AX233=0,"",IF(SUM($G233:AX233)&gt;=1,OFFSET(AX$228,-1,0),"")))</f>
        <v/>
      </c>
      <c r="AY235" s="403" t="str">
        <f ca="1">IF(SUM($G235:AX235)&gt;=1,"",IF(AY233=0,"",IF(SUM($G233:AY233)&gt;=1,OFFSET(AY$228,-1,0),"")))</f>
        <v/>
      </c>
      <c r="AZ235" s="403" t="str">
        <f ca="1">IF(SUM($G235:AY235)&gt;=1,"",IF(AZ233=0,"",IF(SUM($G233:AZ233)&gt;=1,OFFSET(AZ$228,-1,0),"")))</f>
        <v/>
      </c>
      <c r="BA235" s="403" t="str">
        <f ca="1">IF(SUM($G235:AZ235)&gt;=1,"",IF(BA233=0,"",IF(SUM($G233:BA233)&gt;=1,OFFSET(BA$228,-1,0),"")))</f>
        <v/>
      </c>
      <c r="BB235" s="403" t="str">
        <f ca="1">IF(SUM($G235:BA235)&gt;=1,"",IF(BB233=0,"",IF(SUM($G233:BB233)&gt;=1,OFFSET(BB$228,-1,0),"")))</f>
        <v/>
      </c>
      <c r="BC235" s="403" t="str">
        <f ca="1">IF(SUM($G235:BB235)&gt;=1,"",IF(BC233=0,"",IF(SUM($G233:BC233)&gt;=1,OFFSET(BC$228,-1,0),"")))</f>
        <v/>
      </c>
      <c r="BD235" s="403" t="str">
        <f ca="1">IF(SUM($G235:BC235)&gt;=1,"",IF(BD233=0,"",IF(SUM($G233:BD233)&gt;=1,OFFSET(BD$228,-1,0),"")))</f>
        <v/>
      </c>
      <c r="BE235" s="403" t="str">
        <f ca="1">IF(SUM($G235:BD235)&gt;=1,"",IF(BE233=0,"",IF(SUM($G233:BE233)&gt;=1,OFFSET(BE$228,-1,0),"")))</f>
        <v/>
      </c>
      <c r="BF235" s="403" t="str">
        <f ca="1">IF(SUM($G235:BE235)&gt;=1,"",IF(BF233=0,"",IF(SUM($G233:BF233)&gt;=1,OFFSET(BF$228,-1,0),"")))</f>
        <v/>
      </c>
      <c r="BG235" s="403" t="str">
        <f ca="1">IF(SUM($G235:BF235)&gt;=1,"",IF(BG233=0,"",IF(SUM($G233:BG233)&gt;=1,OFFSET(BG$228,-1,0),"")))</f>
        <v/>
      </c>
      <c r="BH235" s="403" t="str">
        <f ca="1">IF(SUM($G235:BG235)&gt;=1,"",IF(BH233=0,"",IF(SUM($G233:BH233)&gt;=1,OFFSET(BH$228,-1,0),"")))</f>
        <v/>
      </c>
      <c r="BI235" s="403" t="str">
        <f ca="1">IF(SUM($G235:BH235)&gt;=1,"",IF(BI233=0,"",IF(SUM($G233:BI233)&gt;=1,OFFSET(BI$228,-1,0),"")))</f>
        <v/>
      </c>
      <c r="BJ235" s="403" t="str">
        <f ca="1">IF(SUM($G235:BI235)&gt;=1,"",IF(BJ233=0,"",IF(SUM($G233:BJ233)&gt;=1,OFFSET(BJ$228,-1,0),"")))</f>
        <v/>
      </c>
      <c r="BK235" s="403" t="str">
        <f ca="1">IF(SUM($G235:BJ235)&gt;=1,"",IF(BK233=0,"",IF(SUM($G233:BK233)&gt;=1,OFFSET(BK$228,-1,0),"")))</f>
        <v/>
      </c>
      <c r="BL235" s="403" t="str">
        <f ca="1">IF(SUM($G235:BK235)&gt;=1,"",IF(BL233=0,"",IF(SUM($G233:BL233)&gt;=1,OFFSET(BL$228,-1,0),"")))</f>
        <v/>
      </c>
      <c r="BM235" s="403" t="str">
        <f ca="1">IF(SUM($G235:BL235)&gt;=1,"",IF(BM233=0,"",IF(SUM($G233:BM233)&gt;=1,OFFSET(BM$228,-1,0),"")))</f>
        <v/>
      </c>
      <c r="BN235" s="403" t="str">
        <f ca="1">IF(SUM($G235:BM235)&gt;=1,"",IF(BN233=0,"",IF(SUM($G233:BN233)&gt;=1,OFFSET(BN$228,-1,0),"")))</f>
        <v/>
      </c>
      <c r="BO235" s="403" t="str">
        <f ca="1">IF(SUM($G235:BN235)&gt;=1,"",IF(BO233=0,"",IF(SUM($G233:BO233)&gt;=1,OFFSET(BO$228,-1,0),"")))</f>
        <v/>
      </c>
      <c r="BP235" s="403" t="str">
        <f ca="1">IF(SUM($G235:BO235)&gt;=1,"",IF(BP233=0,"",IF(SUM($G233:BP233)&gt;=1,OFFSET(BP$228,-1,0),"")))</f>
        <v/>
      </c>
      <c r="BQ235" s="403" t="str">
        <f ca="1">IF(SUM($G235:BP235)&gt;=1,"",IF(BQ233=0,"",IF(SUM($G233:BQ233)&gt;=1,OFFSET(BQ$228,-1,0),"")))</f>
        <v/>
      </c>
      <c r="BR235" s="403" t="str">
        <f ca="1">IF(SUM($G235:BQ235)&gt;=1,"",IF(BR233=0,"",IF(SUM($G233:BR233)&gt;=1,OFFSET(BR$228,-1,0),"")))</f>
        <v/>
      </c>
      <c r="BS235" s="403" t="str">
        <f ca="1">IF(SUM($G235:BR235)&gt;=1,"",IF(BS233=0,"",IF(SUM($G233:BS233)&gt;=1,OFFSET(BS$228,-1,0),"")))</f>
        <v/>
      </c>
      <c r="BT235" s="403" t="str">
        <f ca="1">IF(SUM($G235:BS235)&gt;=1,"",IF(BT233=0,"",IF(SUM($G233:BT233)&gt;=1,OFFSET(BT$228,-1,0),"")))</f>
        <v/>
      </c>
      <c r="BU235" s="403" t="str">
        <f ca="1">IF(SUM($G235:BT235)&gt;=1,"",IF(BU233=0,"",IF(SUM($G233:BU233)&gt;=1,OFFSET(BU$228,-1,0),"")))</f>
        <v/>
      </c>
      <c r="BV235" s="403" t="str">
        <f ca="1">IF(SUM($G235:BU235)&gt;=1,"",IF(BV233=0,"",IF(SUM($G233:BV233)&gt;=1,OFFSET(BV$228,-1,0),"")))</f>
        <v/>
      </c>
      <c r="BW235" s="403" t="str">
        <f ca="1">IF(SUM($G235:BV235)&gt;=1,"",IF(BW233=0,"",IF(SUM($G233:BW233)&gt;=1,OFFSET(BW$228,-1,0),"")))</f>
        <v/>
      </c>
      <c r="BX235" s="403" t="str">
        <f ca="1">IF(SUM($G235:BW235)&gt;=1,"",IF(BX233=0,"",IF(SUM($G233:BX233)&gt;=1,OFFSET(BX$228,-1,0),"")))</f>
        <v/>
      </c>
      <c r="BY235" s="403" t="str">
        <f ca="1">IF(SUM($G235:BX235)&gt;=1,"",IF(BY233=0,"",IF(SUM($G233:BY233)&gt;=1,OFFSET(BY$228,-1,0),"")))</f>
        <v/>
      </c>
      <c r="BZ235" s="403" t="str">
        <f ca="1">IF(SUM($G235:BY235)&gt;=1,"",IF(BZ233=0,"",IF(SUM($G233:BZ233)&gt;=1,OFFSET(BZ$228,-1,0),"")))</f>
        <v/>
      </c>
      <c r="CA235" s="403" t="str">
        <f ca="1">IF(SUM($G235:BZ235)&gt;=1,"",IF(CA233=0,"",IF(SUM($G233:CA233)&gt;=1,OFFSET(CA$228,-1,0),"")))</f>
        <v/>
      </c>
      <c r="CB235" s="403" t="str">
        <f ca="1">IF(SUM($G235:CA235)&gt;=1,"",IF(CB233=0,"",IF(SUM($G233:CB233)&gt;=1,OFFSET(CB$228,-1,0),"")))</f>
        <v/>
      </c>
      <c r="CC235" s="403" t="str">
        <f ca="1">IF(SUM($G235:CB235)&gt;=1,"",IF(CC233=0,"",IF(SUM($G233:CC233)&gt;=1,OFFSET(CC$228,-1,0),"")))</f>
        <v/>
      </c>
      <c r="CD235" s="403" t="str">
        <f ca="1">IF(SUM($G235:CC235)&gt;=1,"",IF(CD233=0,"",IF(SUM($G233:CD233)&gt;=1,OFFSET(CD$228,-1,0),"")))</f>
        <v/>
      </c>
      <c r="CE235" s="403" t="str">
        <f ca="1">IF(SUM($G235:CD235)&gt;=1,"",IF(CE233=0,"",IF(SUM($G233:CE233)&gt;=1,OFFSET(CE$228,-1,0),"")))</f>
        <v/>
      </c>
      <c r="CF235" s="403" t="str">
        <f ca="1">IF(SUM($G235:CE235)&gt;=1,"",IF(CF233=0,"",IF(SUM($G233:CF233)&gt;=1,OFFSET(CF$228,-1,0),"")))</f>
        <v/>
      </c>
      <c r="CG235" s="403" t="str">
        <f ca="1">IF(SUM($G235:CF235)&gt;=1,"",IF(CG233=0,"",IF(SUM($G233:CG233)&gt;=1,OFFSET(CG$228,-1,0),"")))</f>
        <v/>
      </c>
      <c r="CH235" s="403" t="str">
        <f ca="1">IF(SUM($G235:CG235)&gt;=1,"",IF(CH233=0,"",IF(SUM($G233:CH233)&gt;=1,OFFSET(CH$228,-1,0),"")))</f>
        <v/>
      </c>
      <c r="CI235" s="403" t="str">
        <f ca="1">IF(SUM($G235:CH235)&gt;=1,"",IF(CI233=0,"",IF(SUM($G233:CI233)&gt;=1,OFFSET(CI$228,-1,0),"")))</f>
        <v/>
      </c>
      <c r="CJ235" s="403" t="str">
        <f ca="1">IF(SUM($G235:CI235)&gt;=1,"",IF(CJ233=0,"",IF(SUM($G233:CJ233)&gt;=1,OFFSET(CJ$228,-1,0),"")))</f>
        <v/>
      </c>
      <c r="CK235" s="403" t="str">
        <f ca="1">IF(SUM($G235:CJ235)&gt;=1,"",IF(CK233=0,"",IF(SUM($G233:CK233)&gt;=1,OFFSET(CK$228,-1,0),"")))</f>
        <v/>
      </c>
      <c r="CL235" s="403" t="str">
        <f ca="1">IF(SUM($G235:CK235)&gt;=1,"",IF(CL233=0,"",IF(SUM($G233:CL233)&gt;=1,OFFSET(CL$228,-1,0),"")))</f>
        <v/>
      </c>
      <c r="CM235" s="403" t="str">
        <f ca="1">IF(SUM($G235:CL235)&gt;=1,"",IF(CM233=0,"",IF(SUM($G233:CM233)&gt;=1,OFFSET(CM$228,-1,0),"")))</f>
        <v/>
      </c>
      <c r="CN235" s="403" t="str">
        <f ca="1">IF(SUM($G235:CM235)&gt;=1,"",IF(CN233=0,"",IF(SUM($G233:CN233)&gt;=1,OFFSET(CN$228,-1,0),"")))</f>
        <v/>
      </c>
      <c r="CO235" s="403" t="str">
        <f ca="1">IF(SUM($G235:CN235)&gt;=1,"",IF(CO233=0,"",IF(SUM($G233:CO233)&gt;=1,OFFSET(CO$228,-1,0),"")))</f>
        <v/>
      </c>
      <c r="CP235" s="403" t="str">
        <f ca="1">IF(SUM($G235:CO235)&gt;=1,"",IF(CP233=0,"",IF(SUM($G233:CP233)&gt;=1,OFFSET(CP$228,-1,0),"")))</f>
        <v/>
      </c>
      <c r="CQ235" s="403" t="str">
        <f ca="1">IF(SUM($G235:CP235)&gt;=1,"",IF(CQ233=0,"",IF(SUM($G233:CQ233)&gt;=1,OFFSET(CQ$228,-1,0),"")))</f>
        <v/>
      </c>
      <c r="CR235" s="403" t="str">
        <f ca="1">IF(SUM($G235:CQ235)&gt;=1,"",IF(CR233=0,"",IF(SUM($G233:CR233)&gt;=1,OFFSET(CR$228,-1,0),"")))</f>
        <v/>
      </c>
      <c r="CS235" s="403" t="str">
        <f ca="1">IF(SUM($G235:CR235)&gt;=1,"",IF(CS233=0,"",IF(SUM($G233:CS233)&gt;=1,OFFSET(CS$228,-1,0),"")))</f>
        <v/>
      </c>
      <c r="CT235" s="403" t="str">
        <f ca="1">IF(SUM($G235:CS235)&gt;=1,"",IF(CT233=0,"",IF(SUM($G233:CT233)&gt;=1,OFFSET(CT$228,-1,0),"")))</f>
        <v/>
      </c>
      <c r="CU235" s="403" t="str">
        <f ca="1">IF(SUM($G235:CT235)&gt;=1,"",IF(CU233=0,"",IF(SUM($G233:CU233)&gt;=1,OFFSET(CU$228,-1,0),"")))</f>
        <v/>
      </c>
      <c r="CV235" s="403" t="str">
        <f ca="1">IF(SUM($G235:CU235)&gt;=1,"",IF(CV233=0,"",IF(SUM($G233:CV233)&gt;=1,OFFSET(CV$228,-1,0),"")))</f>
        <v/>
      </c>
      <c r="CW235" s="403" t="str">
        <f ca="1">IF(SUM($G235:CV235)&gt;=1,"",IF(CW233=0,"",IF(SUM($G233:CW233)&gt;=1,OFFSET(CW$228,-1,0),"")))</f>
        <v/>
      </c>
      <c r="CX235" s="403" t="str">
        <f ca="1">IF(SUM($G235:CW235)&gt;=1,"",IF(CX233=0,"",IF(SUM($G233:CX233)&gt;=1,OFFSET(CX$228,-1,0),"")))</f>
        <v/>
      </c>
      <c r="CY235" s="403" t="str">
        <f ca="1">IF(SUM($G235:CX235)&gt;=1,"",IF(CY233=0,"",IF(SUM($G233:CY233)&gt;=1,OFFSET(CY$228,-1,0),"")))</f>
        <v/>
      </c>
      <c r="CZ235" s="403" t="str">
        <f ca="1">IF(SUM($G235:CY235)&gt;=1,"",IF(CZ233=0,"",IF(SUM($G233:CZ233)&gt;=1,OFFSET(CZ$228,-1,0),"")))</f>
        <v/>
      </c>
      <c r="DA235" s="403" t="str">
        <f ca="1">IF(SUM($G235:CZ235)&gt;=1,"",IF(DA233=0,"",IF(SUM($G233:DA233)&gt;=1,OFFSET(DA$228,-1,0),"")))</f>
        <v/>
      </c>
      <c r="DB235" s="403" t="str">
        <f ca="1">IF(SUM($G235:DA235)&gt;=1,"",IF(DB233=0,"",IF(SUM($G233:DB233)&gt;=1,OFFSET(DB$228,-1,0),"")))</f>
        <v/>
      </c>
      <c r="DC235" s="403" t="str">
        <f ca="1">IF(SUM($G235:DB235)&gt;=1,"",IF(DC233=0,"",IF(SUM($G233:DC233)&gt;=1,OFFSET(DC$228,-1,0),"")))</f>
        <v/>
      </c>
      <c r="DD235" s="403" t="str">
        <f ca="1">IF(SUM($G235:DC235)&gt;=1,"",IF(DD233=0,"",IF(SUM($G233:DD233)&gt;=1,OFFSET(DD$228,-1,0),"")))</f>
        <v/>
      </c>
      <c r="DE235" s="403" t="str">
        <f ca="1">IF(SUM($G235:DD235)&gt;=1,"",IF(DE233=0,"",IF(SUM($G233:DE233)&gt;=1,OFFSET(DE$228,-1,0),"")))</f>
        <v/>
      </c>
      <c r="DF235" s="403" t="str">
        <f ca="1">IF(SUM($G235:DE235)&gt;=1,"",IF(DF233=0,"",IF(SUM($G233:DF233)&gt;=1,OFFSET(DF$228,-1,0),"")))</f>
        <v/>
      </c>
      <c r="DG235" s="403" t="str">
        <f ca="1">IF(SUM($G235:DF235)&gt;=1,"",IF(DG233=0,"",IF(SUM($G233:DG233)&gt;=1,OFFSET(DG$228,-1,0),"")))</f>
        <v/>
      </c>
      <c r="DH235" s="403" t="str">
        <f ca="1">IF(SUM($G235:DG235)&gt;=1,"",IF(DH233=0,"",IF(SUM($G233:DH233)&gt;=1,OFFSET(DH$228,-1,0),"")))</f>
        <v/>
      </c>
      <c r="DI235" s="403" t="str">
        <f ca="1">IF(SUM($G235:DH235)&gt;=1,"",IF(DI233=0,"",IF(SUM($G233:DI233)&gt;=1,OFFSET(DI$228,-1,0),"")))</f>
        <v/>
      </c>
      <c r="DJ235" s="403" t="str">
        <f ca="1">IF(SUM($G235:DI235)&gt;=1,"",IF(DJ233=0,"",IF(SUM($G233:DJ233)&gt;=1,OFFSET(DJ$228,-1,0),"")))</f>
        <v/>
      </c>
      <c r="DK235" s="403" t="str">
        <f ca="1">IF(SUM($G235:DJ235)&gt;=1,"",IF(DK233=0,"",IF(SUM($G233:DK233)&gt;=1,OFFSET(DK$228,-1,0),"")))</f>
        <v/>
      </c>
      <c r="DL235" s="403" t="str">
        <f ca="1">IF(SUM($G235:DK235)&gt;=1,"",IF(DL233=0,"",IF(SUM($G233:DL233)&gt;=1,OFFSET(DL$228,-1,0),"")))</f>
        <v/>
      </c>
      <c r="DM235" s="403" t="str">
        <f ca="1">IF(SUM($G235:DL235)&gt;=1,"",IF(DM233=0,"",IF(SUM($G233:DM233)&gt;=1,OFFSET(DM$228,-1,0),"")))</f>
        <v/>
      </c>
      <c r="DN235" s="403" t="str">
        <f ca="1">IF(SUM($G235:DM235)&gt;=1,"",IF(DN233=0,"",IF(SUM($G233:DN233)&gt;=1,OFFSET(DN$228,-1,0),"")))</f>
        <v/>
      </c>
      <c r="DO235" s="403" t="str">
        <f ca="1">IF(SUM($G235:DN235)&gt;=1,"",IF(DO233=0,"",IF(SUM($G233:DO233)&gt;=1,OFFSET(DO$228,-1,0),"")))</f>
        <v/>
      </c>
      <c r="DP235" s="403" t="str">
        <f ca="1">IF(SUM($G235:DO235)&gt;=1,"",IF(DP233=0,"",IF(SUM($G233:DP233)&gt;=1,OFFSET(DP$228,-1,0),"")))</f>
        <v/>
      </c>
      <c r="DQ235" s="403" t="str">
        <f ca="1">IF(SUM($G235:DP235)&gt;=1,"",IF(DQ233=0,"",IF(SUM($G233:DQ233)&gt;=1,OFFSET(DQ$228,-1,0),"")))</f>
        <v/>
      </c>
      <c r="DR235" s="403" t="str">
        <f ca="1">IF(SUM($G235:DQ235)&gt;=1,"",IF(DR233=0,"",IF(SUM($G233:DR233)&gt;=1,OFFSET(DR$228,-1,0),"")))</f>
        <v/>
      </c>
      <c r="DS235" s="403" t="str">
        <f ca="1">IF(SUM($G235:DR235)&gt;=1,"",IF(DS233=0,"",IF(SUM($G233:DS233)&gt;=1,OFFSET(DS$228,-1,0),"")))</f>
        <v/>
      </c>
      <c r="DT235" s="403" t="str">
        <f ca="1">IF(SUM($G235:DS235)&gt;=1,"",IF(DT233=0,"",IF(SUM($G233:DT233)&gt;=1,OFFSET(DT$228,-1,0),"")))</f>
        <v/>
      </c>
      <c r="DU235" s="403" t="str">
        <f ca="1">IF(SUM($G235:DT235)&gt;=1,"",IF(DU233=0,"",IF(SUM($G233:DU233)&gt;=1,OFFSET(DU$228,-1,0),"")))</f>
        <v/>
      </c>
      <c r="DV235" s="403" t="str">
        <f ca="1">IF(SUM($G235:DU235)&gt;=1,"",IF(DV233=0,"",IF(SUM($G233:DV233)&gt;=1,OFFSET(DV$228,-1,0),"")))</f>
        <v/>
      </c>
      <c r="DW235" s="403" t="str">
        <f ca="1">IF(SUM($G235:DV235)&gt;=1,"",IF(DW233=0,"",IF(SUM($G233:DW233)&gt;=1,OFFSET(DW$228,-1,0),"")))</f>
        <v/>
      </c>
      <c r="DX235" s="403" t="str">
        <f ca="1">IF(SUM($G235:DW235)&gt;=1,"",IF(DX233=0,"",IF(SUM($G233:DX233)&gt;=1,OFFSET(DX$228,-1,0),"")))</f>
        <v/>
      </c>
      <c r="DY235" s="403" t="str">
        <f ca="1">IF(SUM($G235:DX235)&gt;=1,"",IF(DY233=0,"",IF(SUM($G233:DY233)&gt;=1,OFFSET(DY$228,-1,0),"")))</f>
        <v/>
      </c>
      <c r="DZ235" s="403" t="str">
        <f ca="1">IF(SUM($G235:DY235)&gt;=1,"",IF(DZ233=0,"",IF(SUM($G233:DZ233)&gt;=1,OFFSET(DZ$228,-1,0),"")))</f>
        <v/>
      </c>
      <c r="EA235" s="403" t="str">
        <f ca="1">IF(SUM($G235:DZ235)&gt;=1,"",IF(EA233=0,"",IF(SUM($G233:EA233)&gt;=1,OFFSET(EA$228,-1,0),"")))</f>
        <v/>
      </c>
      <c r="EB235" s="403" t="str">
        <f ca="1">IF(SUM($G235:EA235)&gt;=1,"",IF(EB233=0,"",IF(SUM($G233:EB233)&gt;=1,OFFSET(EB$228,-1,0),"")))</f>
        <v/>
      </c>
      <c r="EC235" s="403" t="str">
        <f ca="1">IF(SUM($G235:EB235)&gt;=1,"",IF(EC233=0,"",IF(SUM($G233:EC233)&gt;=1,OFFSET(EC$228,-1,0),"")))</f>
        <v/>
      </c>
      <c r="ED235" s="403" t="str">
        <f ca="1">IF(SUM($G235:EC235)&gt;=1,"",IF(ED233=0,"",IF(SUM($G233:ED233)&gt;=1,OFFSET(ED$228,-1,0),"")))</f>
        <v/>
      </c>
      <c r="EE235" s="403" t="str">
        <f ca="1">IF(SUM($G235:ED235)&gt;=1,"",IF(EE233=0,"",IF(SUM($G233:EE233)&gt;=1,OFFSET(EE$228,-1,0),"")))</f>
        <v/>
      </c>
      <c r="EF235" s="403" t="str">
        <f ca="1">IF(SUM($G235:EE235)&gt;=1,"",IF(EF233=0,"",IF(SUM($G233:EF233)&gt;=1,OFFSET(EF$228,-1,0),"")))</f>
        <v/>
      </c>
      <c r="EG235" s="403" t="str">
        <f ca="1">IF(SUM($G235:EF235)&gt;=1,"",IF(EG233=0,"",IF(SUM($G233:EG233)&gt;=1,OFFSET(EG$228,-1,0),"")))</f>
        <v/>
      </c>
      <c r="EH235" s="403" t="str">
        <f ca="1">IF(SUM($G235:EG235)&gt;=1,"",IF(EH233=0,"",IF(SUM($G233:EH233)&gt;=1,OFFSET(EH$228,-1,0),"")))</f>
        <v/>
      </c>
      <c r="EI235" s="403" t="str">
        <f ca="1">IF(SUM($G235:EH235)&gt;=1,"",IF(EI233=0,"",IF(SUM($G233:EI233)&gt;=1,OFFSET(EI$228,-1,0),"")))</f>
        <v/>
      </c>
    </row>
    <row r="236" spans="1:152" hidden="1" outlineLevel="2">
      <c r="A236" s="332"/>
      <c r="B236" s="313"/>
      <c r="D236" s="305" t="s">
        <v>671</v>
      </c>
      <c r="E236" s="1002">
        <f ca="1">IF(E233=0,"",MIN(G236:EI236))</f>
        <v>45040</v>
      </c>
      <c r="F236" s="1003"/>
      <c r="G236" s="403" t="str">
        <f>IF(G233=0,"",IF(G233=G$3,G235,G$5+H$5-G237-1))</f>
        <v/>
      </c>
      <c r="H236" s="403">
        <f ca="1">IF(H233=0,"",IF(H233=H$3,H235,H$5+I$5-H237-1))</f>
        <v>45040</v>
      </c>
      <c r="I236" s="403" t="str">
        <f t="shared" ref="I236:BT236" ca="1" si="457">IF(I233=0,"",IF(I233=I$3,I235,I$5+J$5-I237-1))</f>
        <v/>
      </c>
      <c r="J236" s="403" t="str">
        <f t="shared" ca="1" si="457"/>
        <v/>
      </c>
      <c r="K236" s="403" t="str">
        <f t="shared" ca="1" si="457"/>
        <v/>
      </c>
      <c r="L236" s="403" t="str">
        <f t="shared" ca="1" si="457"/>
        <v/>
      </c>
      <c r="M236" s="403" t="str">
        <f t="shared" ca="1" si="457"/>
        <v/>
      </c>
      <c r="N236" s="403" t="str">
        <f t="shared" ca="1" si="457"/>
        <v/>
      </c>
      <c r="O236" s="403">
        <f t="shared" ca="1" si="457"/>
        <v>45242</v>
      </c>
      <c r="P236" s="403" t="str">
        <f t="shared" ca="1" si="457"/>
        <v/>
      </c>
      <c r="Q236" s="403" t="str">
        <f t="shared" ca="1" si="457"/>
        <v/>
      </c>
      <c r="R236" s="403" t="str">
        <f t="shared" ca="1" si="457"/>
        <v/>
      </c>
      <c r="S236" s="403" t="str">
        <f t="shared" ca="1" si="457"/>
        <v/>
      </c>
      <c r="T236" s="403" t="str">
        <f t="shared" ca="1" si="457"/>
        <v/>
      </c>
      <c r="U236" s="403" t="str">
        <f t="shared" ca="1" si="457"/>
        <v/>
      </c>
      <c r="V236" s="403" t="str">
        <f t="shared" ca="1" si="457"/>
        <v/>
      </c>
      <c r="W236" s="403" t="str">
        <f t="shared" ca="1" si="457"/>
        <v/>
      </c>
      <c r="X236" s="403" t="str">
        <f t="shared" ca="1" si="457"/>
        <v/>
      </c>
      <c r="Y236" s="403" t="str">
        <f t="shared" ca="1" si="457"/>
        <v/>
      </c>
      <c r="Z236" s="403" t="str">
        <f t="shared" ca="1" si="457"/>
        <v/>
      </c>
      <c r="AA236" s="403" t="str">
        <f t="shared" ca="1" si="457"/>
        <v/>
      </c>
      <c r="AB236" s="403" t="str">
        <f t="shared" ca="1" si="457"/>
        <v/>
      </c>
      <c r="AC236" s="403" t="str">
        <f t="shared" ca="1" si="457"/>
        <v/>
      </c>
      <c r="AD236" s="403" t="str">
        <f t="shared" ca="1" si="457"/>
        <v/>
      </c>
      <c r="AE236" s="403" t="str">
        <f t="shared" ca="1" si="457"/>
        <v/>
      </c>
      <c r="AF236" s="403" t="str">
        <f t="shared" ca="1" si="457"/>
        <v/>
      </c>
      <c r="AG236" s="403" t="str">
        <f t="shared" ca="1" si="457"/>
        <v/>
      </c>
      <c r="AH236" s="403" t="str">
        <f t="shared" ca="1" si="457"/>
        <v/>
      </c>
      <c r="AI236" s="403" t="str">
        <f t="shared" ca="1" si="457"/>
        <v/>
      </c>
      <c r="AJ236" s="403" t="str">
        <f t="shared" ca="1" si="457"/>
        <v/>
      </c>
      <c r="AK236" s="403" t="str">
        <f t="shared" ca="1" si="457"/>
        <v/>
      </c>
      <c r="AL236" s="403" t="str">
        <f t="shared" ca="1" si="457"/>
        <v/>
      </c>
      <c r="AM236" s="403" t="str">
        <f t="shared" ca="1" si="457"/>
        <v/>
      </c>
      <c r="AN236" s="403" t="str">
        <f t="shared" ca="1" si="457"/>
        <v/>
      </c>
      <c r="AO236" s="403" t="str">
        <f t="shared" ca="1" si="457"/>
        <v/>
      </c>
      <c r="AP236" s="403" t="str">
        <f t="shared" ca="1" si="457"/>
        <v/>
      </c>
      <c r="AQ236" s="403" t="str">
        <f t="shared" ca="1" si="457"/>
        <v/>
      </c>
      <c r="AR236" s="403" t="str">
        <f t="shared" ca="1" si="457"/>
        <v/>
      </c>
      <c r="AS236" s="403" t="str">
        <f t="shared" ca="1" si="457"/>
        <v/>
      </c>
      <c r="AT236" s="403" t="str">
        <f t="shared" ca="1" si="457"/>
        <v/>
      </c>
      <c r="AU236" s="403" t="str">
        <f t="shared" ca="1" si="457"/>
        <v/>
      </c>
      <c r="AV236" s="403" t="str">
        <f t="shared" ca="1" si="457"/>
        <v/>
      </c>
      <c r="AW236" s="403" t="str">
        <f t="shared" ca="1" si="457"/>
        <v/>
      </c>
      <c r="AX236" s="403" t="str">
        <f t="shared" ca="1" si="457"/>
        <v/>
      </c>
      <c r="AY236" s="403" t="str">
        <f t="shared" ca="1" si="457"/>
        <v/>
      </c>
      <c r="AZ236" s="403" t="str">
        <f t="shared" ca="1" si="457"/>
        <v/>
      </c>
      <c r="BA236" s="403" t="str">
        <f t="shared" ca="1" si="457"/>
        <v/>
      </c>
      <c r="BB236" s="403" t="str">
        <f t="shared" ca="1" si="457"/>
        <v/>
      </c>
      <c r="BC236" s="403" t="str">
        <f t="shared" ca="1" si="457"/>
        <v/>
      </c>
      <c r="BD236" s="403" t="str">
        <f t="shared" ca="1" si="457"/>
        <v/>
      </c>
      <c r="BE236" s="403" t="str">
        <f t="shared" ca="1" si="457"/>
        <v/>
      </c>
      <c r="BF236" s="403" t="str">
        <f t="shared" ca="1" si="457"/>
        <v/>
      </c>
      <c r="BG236" s="403" t="str">
        <f t="shared" ca="1" si="457"/>
        <v/>
      </c>
      <c r="BH236" s="403" t="str">
        <f t="shared" ca="1" si="457"/>
        <v/>
      </c>
      <c r="BI236" s="403" t="str">
        <f t="shared" ca="1" si="457"/>
        <v/>
      </c>
      <c r="BJ236" s="403" t="str">
        <f t="shared" ca="1" si="457"/>
        <v/>
      </c>
      <c r="BK236" s="403" t="str">
        <f t="shared" ca="1" si="457"/>
        <v/>
      </c>
      <c r="BL236" s="403" t="str">
        <f t="shared" ca="1" si="457"/>
        <v/>
      </c>
      <c r="BM236" s="403" t="str">
        <f t="shared" ca="1" si="457"/>
        <v/>
      </c>
      <c r="BN236" s="403" t="str">
        <f t="shared" ca="1" si="457"/>
        <v/>
      </c>
      <c r="BO236" s="403" t="str">
        <f t="shared" ca="1" si="457"/>
        <v/>
      </c>
      <c r="BP236" s="403" t="str">
        <f t="shared" ca="1" si="457"/>
        <v/>
      </c>
      <c r="BQ236" s="403" t="str">
        <f t="shared" ca="1" si="457"/>
        <v/>
      </c>
      <c r="BR236" s="403" t="str">
        <f t="shared" ca="1" si="457"/>
        <v/>
      </c>
      <c r="BS236" s="403" t="str">
        <f t="shared" ca="1" si="457"/>
        <v/>
      </c>
      <c r="BT236" s="403" t="str">
        <f t="shared" ca="1" si="457"/>
        <v/>
      </c>
      <c r="BU236" s="403" t="str">
        <f t="shared" ref="BU236:EF236" ca="1" si="458">IF(BU233=0,"",IF(BU233=BU$3,BU235,BU$5+BV$5-BU237-1))</f>
        <v/>
      </c>
      <c r="BV236" s="403" t="str">
        <f t="shared" ca="1" si="458"/>
        <v/>
      </c>
      <c r="BW236" s="403" t="str">
        <f t="shared" ca="1" si="458"/>
        <v/>
      </c>
      <c r="BX236" s="403" t="str">
        <f t="shared" ca="1" si="458"/>
        <v/>
      </c>
      <c r="BY236" s="403" t="str">
        <f t="shared" ca="1" si="458"/>
        <v/>
      </c>
      <c r="BZ236" s="403" t="str">
        <f t="shared" ca="1" si="458"/>
        <v/>
      </c>
      <c r="CA236" s="403" t="str">
        <f t="shared" ca="1" si="458"/>
        <v/>
      </c>
      <c r="CB236" s="403" t="str">
        <f t="shared" ca="1" si="458"/>
        <v/>
      </c>
      <c r="CC236" s="403" t="str">
        <f t="shared" ca="1" si="458"/>
        <v/>
      </c>
      <c r="CD236" s="403" t="str">
        <f t="shared" ca="1" si="458"/>
        <v/>
      </c>
      <c r="CE236" s="403" t="str">
        <f t="shared" ca="1" si="458"/>
        <v/>
      </c>
      <c r="CF236" s="403" t="str">
        <f t="shared" ca="1" si="458"/>
        <v/>
      </c>
      <c r="CG236" s="403" t="str">
        <f t="shared" ca="1" si="458"/>
        <v/>
      </c>
      <c r="CH236" s="403" t="str">
        <f t="shared" ca="1" si="458"/>
        <v/>
      </c>
      <c r="CI236" s="403" t="str">
        <f t="shared" ca="1" si="458"/>
        <v/>
      </c>
      <c r="CJ236" s="403" t="str">
        <f t="shared" ca="1" si="458"/>
        <v/>
      </c>
      <c r="CK236" s="403" t="str">
        <f t="shared" ca="1" si="458"/>
        <v/>
      </c>
      <c r="CL236" s="403" t="str">
        <f t="shared" ca="1" si="458"/>
        <v/>
      </c>
      <c r="CM236" s="403" t="str">
        <f t="shared" ca="1" si="458"/>
        <v/>
      </c>
      <c r="CN236" s="403" t="str">
        <f t="shared" ca="1" si="458"/>
        <v/>
      </c>
      <c r="CO236" s="403" t="str">
        <f t="shared" ca="1" si="458"/>
        <v/>
      </c>
      <c r="CP236" s="403" t="str">
        <f t="shared" ca="1" si="458"/>
        <v/>
      </c>
      <c r="CQ236" s="403" t="str">
        <f t="shared" ca="1" si="458"/>
        <v/>
      </c>
      <c r="CR236" s="403" t="str">
        <f t="shared" ca="1" si="458"/>
        <v/>
      </c>
      <c r="CS236" s="403" t="str">
        <f t="shared" ca="1" si="458"/>
        <v/>
      </c>
      <c r="CT236" s="403" t="str">
        <f t="shared" ca="1" si="458"/>
        <v/>
      </c>
      <c r="CU236" s="403" t="str">
        <f t="shared" ca="1" si="458"/>
        <v/>
      </c>
      <c r="CV236" s="403" t="str">
        <f t="shared" ca="1" si="458"/>
        <v/>
      </c>
      <c r="CW236" s="403" t="str">
        <f t="shared" ca="1" si="458"/>
        <v/>
      </c>
      <c r="CX236" s="403" t="str">
        <f t="shared" ca="1" si="458"/>
        <v/>
      </c>
      <c r="CY236" s="403" t="str">
        <f t="shared" ca="1" si="458"/>
        <v/>
      </c>
      <c r="CZ236" s="403" t="str">
        <f t="shared" ca="1" si="458"/>
        <v/>
      </c>
      <c r="DA236" s="403" t="str">
        <f t="shared" ca="1" si="458"/>
        <v/>
      </c>
      <c r="DB236" s="403" t="str">
        <f t="shared" ca="1" si="458"/>
        <v/>
      </c>
      <c r="DC236" s="403" t="str">
        <f t="shared" ca="1" si="458"/>
        <v/>
      </c>
      <c r="DD236" s="403" t="str">
        <f t="shared" ca="1" si="458"/>
        <v/>
      </c>
      <c r="DE236" s="403" t="str">
        <f t="shared" ca="1" si="458"/>
        <v/>
      </c>
      <c r="DF236" s="403" t="str">
        <f t="shared" ca="1" si="458"/>
        <v/>
      </c>
      <c r="DG236" s="403" t="str">
        <f t="shared" ca="1" si="458"/>
        <v/>
      </c>
      <c r="DH236" s="403" t="str">
        <f t="shared" ca="1" si="458"/>
        <v/>
      </c>
      <c r="DI236" s="403" t="str">
        <f t="shared" ca="1" si="458"/>
        <v/>
      </c>
      <c r="DJ236" s="403" t="str">
        <f t="shared" ca="1" si="458"/>
        <v/>
      </c>
      <c r="DK236" s="403" t="str">
        <f t="shared" ca="1" si="458"/>
        <v/>
      </c>
      <c r="DL236" s="403" t="str">
        <f t="shared" ca="1" si="458"/>
        <v/>
      </c>
      <c r="DM236" s="403" t="str">
        <f t="shared" ca="1" si="458"/>
        <v/>
      </c>
      <c r="DN236" s="403" t="str">
        <f t="shared" ca="1" si="458"/>
        <v/>
      </c>
      <c r="DO236" s="403" t="str">
        <f t="shared" ca="1" si="458"/>
        <v/>
      </c>
      <c r="DP236" s="403" t="str">
        <f t="shared" ca="1" si="458"/>
        <v/>
      </c>
      <c r="DQ236" s="403" t="str">
        <f t="shared" ca="1" si="458"/>
        <v/>
      </c>
      <c r="DR236" s="403" t="str">
        <f t="shared" ca="1" si="458"/>
        <v/>
      </c>
      <c r="DS236" s="403" t="str">
        <f t="shared" ca="1" si="458"/>
        <v/>
      </c>
      <c r="DT236" s="403" t="str">
        <f t="shared" ca="1" si="458"/>
        <v/>
      </c>
      <c r="DU236" s="403" t="str">
        <f t="shared" ca="1" si="458"/>
        <v/>
      </c>
      <c r="DV236" s="403" t="str">
        <f t="shared" ca="1" si="458"/>
        <v/>
      </c>
      <c r="DW236" s="403" t="str">
        <f t="shared" ca="1" si="458"/>
        <v/>
      </c>
      <c r="DX236" s="403" t="str">
        <f t="shared" ca="1" si="458"/>
        <v/>
      </c>
      <c r="DY236" s="403" t="str">
        <f t="shared" ca="1" si="458"/>
        <v/>
      </c>
      <c r="DZ236" s="403" t="str">
        <f t="shared" ca="1" si="458"/>
        <v/>
      </c>
      <c r="EA236" s="403" t="str">
        <f t="shared" ca="1" si="458"/>
        <v/>
      </c>
      <c r="EB236" s="403" t="str">
        <f t="shared" ca="1" si="458"/>
        <v/>
      </c>
      <c r="EC236" s="403" t="str">
        <f t="shared" ca="1" si="458"/>
        <v/>
      </c>
      <c r="ED236" s="403" t="str">
        <f t="shared" ca="1" si="458"/>
        <v/>
      </c>
      <c r="EE236" s="403" t="str">
        <f t="shared" ca="1" si="458"/>
        <v/>
      </c>
      <c r="EF236" s="403" t="str">
        <f t="shared" ca="1" si="458"/>
        <v/>
      </c>
      <c r="EG236" s="403" t="str">
        <f t="shared" ref="EG236:EI236" ca="1" si="459">IF(EG233=0,"",IF(EG233=EG$3,EG235,EG$5+EH$5-EG237-1))</f>
        <v/>
      </c>
      <c r="EH236" s="403" t="str">
        <f t="shared" ca="1" si="459"/>
        <v/>
      </c>
      <c r="EI236" s="403" t="str">
        <f t="shared" ca="1" si="459"/>
        <v/>
      </c>
    </row>
    <row r="237" spans="1:152" hidden="1" outlineLevel="2">
      <c r="A237" s="332"/>
      <c r="B237" s="313"/>
      <c r="D237" s="305" t="s">
        <v>672</v>
      </c>
      <c r="E237" s="1002">
        <f ca="1">IF(E233=0,"",MAX(G237:EI237))</f>
        <v>45249</v>
      </c>
      <c r="F237" s="1003"/>
      <c r="G237" s="403">
        <f ca="1">IF(SUM(G233:$EI233)=0,"",IF(G$227="","",G$227+G233-1))</f>
        <v>44985</v>
      </c>
      <c r="H237" s="403">
        <f ca="1">IF(SUM(H233:$EI233)=0,"",IF(H$227="","",H$227+H233-1))</f>
        <v>45023</v>
      </c>
      <c r="I237" s="403">
        <f ca="1">IF(SUM(I233:$EI233)=0,"",IF(I$227="","",I$227+I233-1))</f>
        <v>45077</v>
      </c>
      <c r="J237" s="403">
        <f ca="1">IF(SUM(J233:$EI233)=0,"",IF(J$227="","",J$227+J233-1))</f>
        <v>45107</v>
      </c>
      <c r="K237" s="403">
        <f ca="1">IF(SUM(K233:$EI233)=0,"",IF(K$227="","",K$227+K233-1))</f>
        <v>45138</v>
      </c>
      <c r="L237" s="403">
        <f ca="1">IF(SUM(L233:$EI233)=0,"",IF(L$227="","",L$227+L233-1))</f>
        <v>45169</v>
      </c>
      <c r="M237" s="403">
        <f ca="1">IF(SUM(M233:$EI233)=0,"",IF(M$227="","",M$227+M233-1))</f>
        <v>45199</v>
      </c>
      <c r="N237" s="403">
        <f ca="1">IF(SUM(N233:$EI233)=0,"",IF(N$227="","",N$227+N233-1))</f>
        <v>45230</v>
      </c>
      <c r="O237" s="403">
        <f ca="1">IF(SUM(O233:$EI233)=0,"",IF(O$227="","",O$227+O233-1))</f>
        <v>45249</v>
      </c>
      <c r="P237" s="403" t="str">
        <f ca="1">IF(SUM(P233:$EI233)=0,"",IF(P$227="","",P$227+P233-1))</f>
        <v/>
      </c>
      <c r="Q237" s="403" t="str">
        <f ca="1">IF(SUM(Q233:$EI233)=0,"",IF(Q$227="","",Q$227+Q233-1))</f>
        <v/>
      </c>
      <c r="R237" s="403" t="str">
        <f ca="1">IF(SUM(R233:$EI233)=0,"",IF(R$227="","",R$227+R233-1))</f>
        <v/>
      </c>
      <c r="S237" s="403" t="str">
        <f ca="1">IF(SUM(S233:$EI233)=0,"",IF(S$227="","",S$227+S233-1))</f>
        <v/>
      </c>
      <c r="T237" s="403" t="str">
        <f ca="1">IF(SUM(T233:$EI233)=0,"",IF(T$227="","",T$227+T233-1))</f>
        <v/>
      </c>
      <c r="U237" s="403" t="str">
        <f ca="1">IF(SUM(U233:$EI233)=0,"",IF(U$227="","",U$227+U233-1))</f>
        <v/>
      </c>
      <c r="V237" s="403" t="str">
        <f ca="1">IF(SUM(V233:$EI233)=0,"",IF(V$227="","",V$227+V233-1))</f>
        <v/>
      </c>
      <c r="W237" s="403" t="str">
        <f ca="1">IF(SUM(W233:$EI233)=0,"",IF(W$227="","",W$227+W233-1))</f>
        <v/>
      </c>
      <c r="X237" s="403" t="str">
        <f ca="1">IF(SUM(X233:$EI233)=0,"",IF(X$227="","",X$227+X233-1))</f>
        <v/>
      </c>
      <c r="Y237" s="403" t="str">
        <f ca="1">IF(SUM(Y233:$EI233)=0,"",IF(Y$227="","",Y$227+Y233-1))</f>
        <v/>
      </c>
      <c r="Z237" s="403" t="str">
        <f ca="1">IF(SUM(Z233:$EI233)=0,"",IF(Z$227="","",Z$227+Z233-1))</f>
        <v/>
      </c>
      <c r="AA237" s="403" t="str">
        <f ca="1">IF(SUM(AA233:$EI233)=0,"",IF(AA$227="","",AA$227+AA233-1))</f>
        <v/>
      </c>
      <c r="AB237" s="403" t="str">
        <f ca="1">IF(SUM(AB233:$EI233)=0,"",IF(AB$227="","",AB$227+AB233-1))</f>
        <v/>
      </c>
      <c r="AC237" s="403" t="str">
        <f ca="1">IF(SUM(AC233:$EI233)=0,"",IF(AC$227="","",AC$227+AC233-1))</f>
        <v/>
      </c>
      <c r="AD237" s="403" t="str">
        <f ca="1">IF(SUM(AD233:$EI233)=0,"",IF(AD$227="","",AD$227+AD233-1))</f>
        <v/>
      </c>
      <c r="AE237" s="403" t="str">
        <f ca="1">IF(SUM(AE233:$EI233)=0,"",IF(AE$227="","",AE$227+AE233-1))</f>
        <v/>
      </c>
      <c r="AF237" s="403" t="str">
        <f ca="1">IF(SUM(AF233:$EI233)=0,"",IF(AF$227="","",AF$227+AF233-1))</f>
        <v/>
      </c>
      <c r="AG237" s="403" t="str">
        <f ca="1">IF(SUM(AG233:$EI233)=0,"",IF(AG$227="","",AG$227+AG233-1))</f>
        <v/>
      </c>
      <c r="AH237" s="403" t="str">
        <f ca="1">IF(SUM(AH233:$EI233)=0,"",IF(AH$227="","",AH$227+AH233-1))</f>
        <v/>
      </c>
      <c r="AI237" s="403" t="str">
        <f ca="1">IF(SUM(AI233:$EI233)=0,"",IF(AI$227="","",AI$227+AI233-1))</f>
        <v/>
      </c>
      <c r="AJ237" s="403" t="str">
        <f ca="1">IF(SUM(AJ233:$EI233)=0,"",IF(AJ$227="","",AJ$227+AJ233-1))</f>
        <v/>
      </c>
      <c r="AK237" s="403" t="str">
        <f ca="1">IF(SUM(AK233:$EI233)=0,"",IF(AK$227="","",AK$227+AK233-1))</f>
        <v/>
      </c>
      <c r="AL237" s="403" t="str">
        <f ca="1">IF(SUM(AL233:$EI233)=0,"",IF(AL$227="","",AL$227+AL233-1))</f>
        <v/>
      </c>
      <c r="AM237" s="403" t="str">
        <f ca="1">IF(SUM(AM233:$EI233)=0,"",IF(AM$227="","",AM$227+AM233-1))</f>
        <v/>
      </c>
      <c r="AN237" s="403" t="str">
        <f ca="1">IF(SUM(AN233:$EI233)=0,"",IF(AN$227="","",AN$227+AN233-1))</f>
        <v/>
      </c>
      <c r="AO237" s="403" t="str">
        <f ca="1">IF(SUM(AO233:$EI233)=0,"",IF(AO$227="","",AO$227+AO233-1))</f>
        <v/>
      </c>
      <c r="AP237" s="403" t="str">
        <f ca="1">IF(SUM(AP233:$EI233)=0,"",IF(AP$227="","",AP$227+AP233-1))</f>
        <v/>
      </c>
      <c r="AQ237" s="403" t="str">
        <f ca="1">IF(SUM(AQ233:$EI233)=0,"",IF(AQ$227="","",AQ$227+AQ233-1))</f>
        <v/>
      </c>
      <c r="AR237" s="403" t="str">
        <f ca="1">IF(SUM(AR233:$EI233)=0,"",IF(AR$227="","",AR$227+AR233-1))</f>
        <v/>
      </c>
      <c r="AS237" s="403" t="str">
        <f ca="1">IF(SUM(AS233:$EI233)=0,"",IF(AS$227="","",AS$227+AS233-1))</f>
        <v/>
      </c>
      <c r="AT237" s="403" t="str">
        <f ca="1">IF(SUM(AT233:$EI233)=0,"",IF(AT$227="","",AT$227+AT233-1))</f>
        <v/>
      </c>
      <c r="AU237" s="403" t="str">
        <f ca="1">IF(SUM(AU233:$EI233)=0,"",IF(AU$227="","",AU$227+AU233-1))</f>
        <v/>
      </c>
      <c r="AV237" s="403" t="str">
        <f ca="1">IF(SUM(AV233:$EI233)=0,"",IF(AV$227="","",AV$227+AV233-1))</f>
        <v/>
      </c>
      <c r="AW237" s="403" t="str">
        <f ca="1">IF(SUM(AW233:$EI233)=0,"",IF(AW$227="","",AW$227+AW233-1))</f>
        <v/>
      </c>
      <c r="AX237" s="403" t="str">
        <f ca="1">IF(SUM(AX233:$EI233)=0,"",IF(AX$227="","",AX$227+AX233-1))</f>
        <v/>
      </c>
      <c r="AY237" s="403" t="str">
        <f ca="1">IF(SUM(AY233:$EI233)=0,"",IF(AY$227="","",AY$227+AY233-1))</f>
        <v/>
      </c>
      <c r="AZ237" s="403" t="str">
        <f ca="1">IF(SUM(AZ233:$EI233)=0,"",IF(AZ$227="","",AZ$227+AZ233-1))</f>
        <v/>
      </c>
      <c r="BA237" s="403" t="str">
        <f ca="1">IF(SUM(BA233:$EI233)=0,"",IF(BA$227="","",BA$227+BA233-1))</f>
        <v/>
      </c>
      <c r="BB237" s="403" t="str">
        <f ca="1">IF(SUM(BB233:$EI233)=0,"",IF(BB$227="","",BB$227+BB233-1))</f>
        <v/>
      </c>
      <c r="BC237" s="403" t="str">
        <f ca="1">IF(SUM(BC233:$EI233)=0,"",IF(BC$227="","",BC$227+BC233-1))</f>
        <v/>
      </c>
      <c r="BD237" s="403" t="str">
        <f ca="1">IF(SUM(BD233:$EI233)=0,"",IF(BD$227="","",BD$227+BD233-1))</f>
        <v/>
      </c>
      <c r="BE237" s="403" t="str">
        <f ca="1">IF(SUM(BE233:$EI233)=0,"",IF(BE$227="","",BE$227+BE233-1))</f>
        <v/>
      </c>
      <c r="BF237" s="403" t="str">
        <f ca="1">IF(SUM(BF233:$EI233)=0,"",IF(BF$227="","",BF$227+BF233-1))</f>
        <v/>
      </c>
      <c r="BG237" s="403" t="str">
        <f ca="1">IF(SUM(BG233:$EI233)=0,"",IF(BG$227="","",BG$227+BG233-1))</f>
        <v/>
      </c>
      <c r="BH237" s="403" t="str">
        <f ca="1">IF(SUM(BH233:$EI233)=0,"",IF(BH$227="","",BH$227+BH233-1))</f>
        <v/>
      </c>
      <c r="BI237" s="403" t="str">
        <f ca="1">IF(SUM(BI233:$EI233)=0,"",IF(BI$227="","",BI$227+BI233-1))</f>
        <v/>
      </c>
      <c r="BJ237" s="403" t="str">
        <f ca="1">IF(SUM(BJ233:$EI233)=0,"",IF(BJ$227="","",BJ$227+BJ233-1))</f>
        <v/>
      </c>
      <c r="BK237" s="403" t="str">
        <f ca="1">IF(SUM(BK233:$EI233)=0,"",IF(BK$227="","",BK$227+BK233-1))</f>
        <v/>
      </c>
      <c r="BL237" s="403" t="str">
        <f ca="1">IF(SUM(BL233:$EI233)=0,"",IF(BL$227="","",BL$227+BL233-1))</f>
        <v/>
      </c>
      <c r="BM237" s="403" t="str">
        <f ca="1">IF(SUM(BM233:$EI233)=0,"",IF(BM$227="","",BM$227+BM233-1))</f>
        <v/>
      </c>
      <c r="BN237" s="403" t="str">
        <f ca="1">IF(SUM(BN233:$EI233)=0,"",IF(BN$227="","",BN$227+BN233-1))</f>
        <v/>
      </c>
      <c r="BO237" s="403" t="str">
        <f ca="1">IF(SUM(BO233:$EI233)=0,"",IF(BO$227="","",BO$227+BO233-1))</f>
        <v/>
      </c>
      <c r="BP237" s="403" t="str">
        <f ca="1">IF(SUM(BP233:$EI233)=0,"",IF(BP$227="","",BP$227+BP233-1))</f>
        <v/>
      </c>
      <c r="BQ237" s="403" t="str">
        <f ca="1">IF(SUM(BQ233:$EI233)=0,"",IF(BQ$227="","",BQ$227+BQ233-1))</f>
        <v/>
      </c>
      <c r="BR237" s="403" t="str">
        <f ca="1">IF(SUM(BR233:$EI233)=0,"",IF(BR$227="","",BR$227+BR233-1))</f>
        <v/>
      </c>
      <c r="BS237" s="403" t="str">
        <f ca="1">IF(SUM(BS233:$EI233)=0,"",IF(BS$227="","",BS$227+BS233-1))</f>
        <v/>
      </c>
      <c r="BT237" s="403" t="str">
        <f ca="1">IF(SUM(BT233:$EI233)=0,"",IF(BT$227="","",BT$227+BT233-1))</f>
        <v/>
      </c>
      <c r="BU237" s="403" t="str">
        <f ca="1">IF(SUM(BU233:$EI233)=0,"",IF(BU$227="","",BU$227+BU233-1))</f>
        <v/>
      </c>
      <c r="BV237" s="403" t="str">
        <f ca="1">IF(SUM(BV233:$EI233)=0,"",IF(BV$227="","",BV$227+BV233-1))</f>
        <v/>
      </c>
      <c r="BW237" s="403" t="str">
        <f ca="1">IF(SUM(BW233:$EI233)=0,"",IF(BW$227="","",BW$227+BW233-1))</f>
        <v/>
      </c>
      <c r="BX237" s="403" t="str">
        <f ca="1">IF(SUM(BX233:$EI233)=0,"",IF(BX$227="","",BX$227+BX233-1))</f>
        <v/>
      </c>
      <c r="BY237" s="403" t="str">
        <f ca="1">IF(SUM(BY233:$EI233)=0,"",IF(BY$227="","",BY$227+BY233-1))</f>
        <v/>
      </c>
      <c r="BZ237" s="403" t="str">
        <f ca="1">IF(SUM(BZ233:$EI233)=0,"",IF(BZ$227="","",BZ$227+BZ233-1))</f>
        <v/>
      </c>
      <c r="CA237" s="403" t="str">
        <f ca="1">IF(SUM(CA233:$EI233)=0,"",IF(CA$227="","",CA$227+CA233-1))</f>
        <v/>
      </c>
      <c r="CB237" s="403" t="str">
        <f ca="1">IF(SUM(CB233:$EI233)=0,"",IF(CB$227="","",CB$227+CB233-1))</f>
        <v/>
      </c>
      <c r="CC237" s="403" t="str">
        <f ca="1">IF(SUM(CC233:$EI233)=0,"",IF(CC$227="","",CC$227+CC233-1))</f>
        <v/>
      </c>
      <c r="CD237" s="403" t="str">
        <f ca="1">IF(SUM(CD233:$EI233)=0,"",IF(CD$227="","",CD$227+CD233-1))</f>
        <v/>
      </c>
      <c r="CE237" s="403" t="str">
        <f ca="1">IF(SUM(CE233:$EI233)=0,"",IF(CE$227="","",CE$227+CE233-1))</f>
        <v/>
      </c>
      <c r="CF237" s="403" t="str">
        <f ca="1">IF(SUM(CF233:$EI233)=0,"",IF(CF$227="","",CF$227+CF233-1))</f>
        <v/>
      </c>
      <c r="CG237" s="403" t="str">
        <f ca="1">IF(SUM(CG233:$EI233)=0,"",IF(CG$227="","",CG$227+CG233-1))</f>
        <v/>
      </c>
      <c r="CH237" s="403" t="str">
        <f ca="1">IF(SUM(CH233:$EI233)=0,"",IF(CH$227="","",CH$227+CH233-1))</f>
        <v/>
      </c>
      <c r="CI237" s="403" t="str">
        <f ca="1">IF(SUM(CI233:$EI233)=0,"",IF(CI$227="","",CI$227+CI233-1))</f>
        <v/>
      </c>
      <c r="CJ237" s="403" t="str">
        <f ca="1">IF(SUM(CJ233:$EI233)=0,"",IF(CJ$227="","",CJ$227+CJ233-1))</f>
        <v/>
      </c>
      <c r="CK237" s="403" t="str">
        <f ca="1">IF(SUM(CK233:$EI233)=0,"",IF(CK$227="","",CK$227+CK233-1))</f>
        <v/>
      </c>
      <c r="CL237" s="403" t="str">
        <f ca="1">IF(SUM(CL233:$EI233)=0,"",IF(CL$227="","",CL$227+CL233-1))</f>
        <v/>
      </c>
      <c r="CM237" s="403" t="str">
        <f ca="1">IF(SUM(CM233:$EI233)=0,"",IF(CM$227="","",CM$227+CM233-1))</f>
        <v/>
      </c>
      <c r="CN237" s="403" t="str">
        <f ca="1">IF(SUM(CN233:$EI233)=0,"",IF(CN$227="","",CN$227+CN233-1))</f>
        <v/>
      </c>
      <c r="CO237" s="403" t="str">
        <f ca="1">IF(SUM(CO233:$EI233)=0,"",IF(CO$227="","",CO$227+CO233-1))</f>
        <v/>
      </c>
      <c r="CP237" s="403" t="str">
        <f ca="1">IF(SUM(CP233:$EI233)=0,"",IF(CP$227="","",CP$227+CP233-1))</f>
        <v/>
      </c>
      <c r="CQ237" s="403" t="str">
        <f ca="1">IF(SUM(CQ233:$EI233)=0,"",IF(CQ$227="","",CQ$227+CQ233-1))</f>
        <v/>
      </c>
      <c r="CR237" s="403" t="str">
        <f ca="1">IF(SUM(CR233:$EI233)=0,"",IF(CR$227="","",CR$227+CR233-1))</f>
        <v/>
      </c>
      <c r="CS237" s="403" t="str">
        <f ca="1">IF(SUM(CS233:$EI233)=0,"",IF(CS$227="","",CS$227+CS233-1))</f>
        <v/>
      </c>
      <c r="CT237" s="403" t="str">
        <f ca="1">IF(SUM(CT233:$EI233)=0,"",IF(CT$227="","",CT$227+CT233-1))</f>
        <v/>
      </c>
      <c r="CU237" s="403" t="str">
        <f ca="1">IF(SUM(CU233:$EI233)=0,"",IF(CU$227="","",CU$227+CU233-1))</f>
        <v/>
      </c>
      <c r="CV237" s="403" t="str">
        <f ca="1">IF(SUM(CV233:$EI233)=0,"",IF(CV$227="","",CV$227+CV233-1))</f>
        <v/>
      </c>
      <c r="CW237" s="403" t="str">
        <f ca="1">IF(SUM(CW233:$EI233)=0,"",IF(CW$227="","",CW$227+CW233-1))</f>
        <v/>
      </c>
      <c r="CX237" s="403" t="str">
        <f ca="1">IF(SUM(CX233:$EI233)=0,"",IF(CX$227="","",CX$227+CX233-1))</f>
        <v/>
      </c>
      <c r="CY237" s="403" t="str">
        <f ca="1">IF(SUM(CY233:$EI233)=0,"",IF(CY$227="","",CY$227+CY233-1))</f>
        <v/>
      </c>
      <c r="CZ237" s="403" t="str">
        <f ca="1">IF(SUM(CZ233:$EI233)=0,"",IF(CZ$227="","",CZ$227+CZ233-1))</f>
        <v/>
      </c>
      <c r="DA237" s="403" t="str">
        <f ca="1">IF(SUM(DA233:$EI233)=0,"",IF(DA$227="","",DA$227+DA233-1))</f>
        <v/>
      </c>
      <c r="DB237" s="403" t="str">
        <f ca="1">IF(SUM(DB233:$EI233)=0,"",IF(DB$227="","",DB$227+DB233-1))</f>
        <v/>
      </c>
      <c r="DC237" s="403" t="str">
        <f ca="1">IF(SUM(DC233:$EI233)=0,"",IF(DC$227="","",DC$227+DC233-1))</f>
        <v/>
      </c>
      <c r="DD237" s="403" t="str">
        <f ca="1">IF(SUM(DD233:$EI233)=0,"",IF(DD$227="","",DD$227+DD233-1))</f>
        <v/>
      </c>
      <c r="DE237" s="403" t="str">
        <f ca="1">IF(SUM(DE233:$EI233)=0,"",IF(DE$227="","",DE$227+DE233-1))</f>
        <v/>
      </c>
      <c r="DF237" s="403" t="str">
        <f ca="1">IF(SUM(DF233:$EI233)=0,"",IF(DF$227="","",DF$227+DF233-1))</f>
        <v/>
      </c>
      <c r="DG237" s="403" t="str">
        <f ca="1">IF(SUM(DG233:$EI233)=0,"",IF(DG$227="","",DG$227+DG233-1))</f>
        <v/>
      </c>
      <c r="DH237" s="403" t="str">
        <f ca="1">IF(SUM(DH233:$EI233)=0,"",IF(DH$227="","",DH$227+DH233-1))</f>
        <v/>
      </c>
      <c r="DI237" s="403" t="str">
        <f ca="1">IF(SUM(DI233:$EI233)=0,"",IF(DI$227="","",DI$227+DI233-1))</f>
        <v/>
      </c>
      <c r="DJ237" s="403" t="str">
        <f ca="1">IF(SUM(DJ233:$EI233)=0,"",IF(DJ$227="","",DJ$227+DJ233-1))</f>
        <v/>
      </c>
      <c r="DK237" s="403" t="str">
        <f ca="1">IF(SUM(DK233:$EI233)=0,"",IF(DK$227="","",DK$227+DK233-1))</f>
        <v/>
      </c>
      <c r="DL237" s="403" t="str">
        <f ca="1">IF(SUM(DL233:$EI233)=0,"",IF(DL$227="","",DL$227+DL233-1))</f>
        <v/>
      </c>
      <c r="DM237" s="403" t="str">
        <f ca="1">IF(SUM(DM233:$EI233)=0,"",IF(DM$227="","",DM$227+DM233-1))</f>
        <v/>
      </c>
      <c r="DN237" s="403" t="str">
        <f ca="1">IF(SUM(DN233:$EI233)=0,"",IF(DN$227="","",DN$227+DN233-1))</f>
        <v/>
      </c>
      <c r="DO237" s="403" t="str">
        <f ca="1">IF(SUM(DO233:$EI233)=0,"",IF(DO$227="","",DO$227+DO233-1))</f>
        <v/>
      </c>
      <c r="DP237" s="403" t="str">
        <f ca="1">IF(SUM(DP233:$EI233)=0,"",IF(DP$227="","",DP$227+DP233-1))</f>
        <v/>
      </c>
      <c r="DQ237" s="403" t="str">
        <f ca="1">IF(SUM(DQ233:$EI233)=0,"",IF(DQ$227="","",DQ$227+DQ233-1))</f>
        <v/>
      </c>
      <c r="DR237" s="403" t="str">
        <f ca="1">IF(SUM(DR233:$EI233)=0,"",IF(DR$227="","",DR$227+DR233-1))</f>
        <v/>
      </c>
      <c r="DS237" s="403" t="str">
        <f ca="1">IF(SUM(DS233:$EI233)=0,"",IF(DS$227="","",DS$227+DS233-1))</f>
        <v/>
      </c>
      <c r="DT237" s="403" t="str">
        <f ca="1">IF(SUM(DT233:$EI233)=0,"",IF(DT$227="","",DT$227+DT233-1))</f>
        <v/>
      </c>
      <c r="DU237" s="403" t="str">
        <f ca="1">IF(SUM(DU233:$EI233)=0,"",IF(DU$227="","",DU$227+DU233-1))</f>
        <v/>
      </c>
      <c r="DV237" s="403" t="str">
        <f ca="1">IF(SUM(DV233:$EI233)=0,"",IF(DV$227="","",DV$227+DV233-1))</f>
        <v/>
      </c>
      <c r="DW237" s="403" t="str">
        <f ca="1">IF(SUM(DW233:$EI233)=0,"",IF(DW$227="","",DW$227+DW233-1))</f>
        <v/>
      </c>
      <c r="DX237" s="403" t="str">
        <f ca="1">IF(SUM(DX233:$EI233)=0,"",IF(DX$227="","",DX$227+DX233-1))</f>
        <v/>
      </c>
      <c r="DY237" s="403" t="str">
        <f ca="1">IF(SUM(DY233:$EI233)=0,"",IF(DY$227="","",DY$227+DY233-1))</f>
        <v/>
      </c>
      <c r="DZ237" s="403" t="str">
        <f ca="1">IF(SUM(DZ233:$EI233)=0,"",IF(DZ$227="","",DZ$227+DZ233-1))</f>
        <v/>
      </c>
      <c r="EA237" s="403" t="str">
        <f ca="1">IF(SUM(EA233:$EI233)=0,"",IF(EA$227="","",EA$227+EA233-1))</f>
        <v/>
      </c>
      <c r="EB237" s="403" t="str">
        <f ca="1">IF(SUM(EB233:$EI233)=0,"",IF(EB$227="","",EB$227+EB233-1))</f>
        <v/>
      </c>
      <c r="EC237" s="403" t="str">
        <f ca="1">IF(SUM(EC233:$EI233)=0,"",IF(EC$227="","",EC$227+EC233-1))</f>
        <v/>
      </c>
      <c r="ED237" s="403" t="str">
        <f ca="1">IF(SUM(ED233:$EI233)=0,"",IF(ED$227="","",ED$227+ED233-1))</f>
        <v/>
      </c>
      <c r="EE237" s="403" t="str">
        <f ca="1">IF(SUM(EE233:$EI233)=0,"",IF(EE$227="","",EE$227+EE233-1))</f>
        <v/>
      </c>
      <c r="EF237" s="403" t="str">
        <f ca="1">IF(SUM(EF233:$EI233)=0,"",IF(EF$227="","",EF$227+EF233-1))</f>
        <v/>
      </c>
      <c r="EG237" s="403" t="str">
        <f ca="1">IF(SUM(EG233:$EI233)=0,"",IF(EG$227="","",EG$227+EG233-1))</f>
        <v/>
      </c>
      <c r="EH237" s="403" t="str">
        <f ca="1">IF(SUM(EH233:$EI233)=0,"",IF(EH$227="","",EH$227+EH233-1))</f>
        <v/>
      </c>
      <c r="EI237" s="403" t="str">
        <f ca="1">IF(SUM(EI233:$EI233)=0,"",IF(EI$227="","",EI$227+EI233-1))</f>
        <v/>
      </c>
    </row>
    <row r="238" spans="1:152" outlineLevel="1" collapsed="1">
      <c r="A238" s="332"/>
      <c r="B238" s="313"/>
      <c r="C238" s="317" t="s">
        <v>47</v>
      </c>
      <c r="D238" s="317" t="s">
        <v>560</v>
      </c>
      <c r="E238" s="400">
        <f ca="1">IF(ГРП!B6=0,длительность!C148,ГРП!B6)</f>
        <v>173</v>
      </c>
      <c r="F238" s="318">
        <f ca="1">E238-SUM(G238:EJ238)</f>
        <v>0</v>
      </c>
      <c r="G238" s="401"/>
      <c r="H238" s="401">
        <f ca="1">IF(SUM($G238:G238)&gt;=$E238,0,IF($E238-SUM($G238:G238)&gt;H239,H239,$E238-SUM($G239:G239)))</f>
        <v>0</v>
      </c>
      <c r="I238" s="401">
        <f ca="1">IF(SUM($G238:H238)&gt;=$E238,0,IF($E238-SUM($G238:H238)&gt;I239,I239,$E238-SUM($G239:H239)))</f>
        <v>0</v>
      </c>
      <c r="J238" s="401">
        <f ca="1">IF(SUM($G238:I238)&gt;=$E238,0,IF($E238-SUM($G238:I238)&gt;J239,J239,$E238-SUM($G239:I239)))</f>
        <v>0</v>
      </c>
      <c r="K238" s="401">
        <f ca="1">IF(SUM($G238:J238)&gt;=$E238,0,IF($E238-SUM($G238:J238)&gt;K239,K239,$E238-SUM($G239:J239)))</f>
        <v>0</v>
      </c>
      <c r="L238" s="401">
        <f ca="1">IF(SUM($G238:K238)&gt;=$E238,0,IF($E238-SUM($G238:K238)&gt;L239,L239,$E238-SUM($G239:K239)))</f>
        <v>0</v>
      </c>
      <c r="M238" s="401">
        <f ca="1">IF(SUM($G238:L238)&gt;=$E238,0,IF($E238-SUM($G238:L238)&gt;M239,M239,$E238-SUM($G239:L239)))</f>
        <v>0</v>
      </c>
      <c r="N238" s="401">
        <f ca="1">IF(SUM($G238:M238)&gt;=$E238,0,IF($E238-SUM($G238:M238)&gt;N239,N239,$E238-SUM($G239:M239)))</f>
        <v>0</v>
      </c>
      <c r="O238" s="401">
        <f ca="1">IF(SUM($G238:N238)&gt;=$E238,0,IF($E238-SUM($G238:N238)&gt;O239,O239,$E238-SUM($G239:N239)))</f>
        <v>11</v>
      </c>
      <c r="P238" s="401">
        <f ca="1">IF(SUM($G238:O238)&gt;=$E238,0,IF($E238-SUM($G238:O238)&gt;P239,P239,$E238-SUM($G239:O239)))</f>
        <v>31</v>
      </c>
      <c r="Q238" s="401">
        <f ca="1">IF(SUM($G238:P238)&gt;=$E238,0,IF($E238-SUM($G238:P238)&gt;Q239,Q239,$E238-SUM($G239:P239)))</f>
        <v>31</v>
      </c>
      <c r="R238" s="401">
        <f ca="1">IF(SUM($G238:Q238)&gt;=$E238,0,IF($E238-SUM($G238:Q238)&gt;R239,R239,$E238-SUM($G239:Q239)))</f>
        <v>29</v>
      </c>
      <c r="S238" s="401">
        <f ca="1">IF(SUM($G238:R238)&gt;=$E238,0,IF($E238-SUM($G238:R238)&gt;S239,S239,$E238-SUM($G239:R239)))</f>
        <v>31</v>
      </c>
      <c r="T238" s="401">
        <f ca="1">IF(SUM($G238:S238)&gt;=$E238,0,IF($E238-SUM($G238:S238)&gt;T239,T239,$E238-SUM($G239:S239)))</f>
        <v>30</v>
      </c>
      <c r="U238" s="401">
        <f ca="1">IF(SUM($G238:T238)&gt;=$E238,0,IF($E238-SUM($G238:T238)&gt;U239,U239,$E238-SUM($G239:T239)))</f>
        <v>10</v>
      </c>
      <c r="V238" s="401">
        <f ca="1">IF(SUM($G238:U238)&gt;=$E238,0,IF($E238-SUM($G238:U238)&gt;V239,V239,$E238-SUM($G239:U239)))</f>
        <v>0</v>
      </c>
      <c r="W238" s="401">
        <f ca="1">IF(SUM($G238:V238)&gt;=$E238,0,IF($E238-SUM($G238:V238)&gt;W239,W239,$E238-SUM($G239:V239)))</f>
        <v>0</v>
      </c>
      <c r="X238" s="401">
        <f ca="1">IF(SUM($G238:W238)&gt;=$E238,0,IF($E238-SUM($G238:W238)&gt;X239,X239,$E238-SUM($G239:W239)))</f>
        <v>0</v>
      </c>
      <c r="Y238" s="401">
        <f ca="1">IF(SUM($G238:X238)&gt;=$E238,0,IF($E238-SUM($G238:X238)&gt;Y239,Y239,$E238-SUM($G239:X239)))</f>
        <v>0</v>
      </c>
      <c r="Z238" s="401">
        <f ca="1">IF(SUM($G238:Y238)&gt;=$E238,0,IF($E238-SUM($G238:Y238)&gt;Z239,Z239,$E238-SUM($G239:Y239)))</f>
        <v>0</v>
      </c>
      <c r="AA238" s="401">
        <f ca="1">IF(SUM($G238:Z238)&gt;=$E238,0,IF($E238-SUM($G238:Z238)&gt;AA239,AA239,$E238-SUM($G239:Z239)))</f>
        <v>0</v>
      </c>
      <c r="AB238" s="401">
        <f ca="1">IF(SUM($G238:AA238)&gt;=$E238,0,IF($E238-SUM($G238:AA238)&gt;AB239,AB239,$E238-SUM($G239:AA239)))</f>
        <v>0</v>
      </c>
      <c r="AC238" s="401">
        <f ca="1">IF(SUM($G238:AB238)&gt;=$E238,0,IF($E238-SUM($G238:AB238)&gt;AC239,AC239,$E238-SUM($G239:AB239)))</f>
        <v>0</v>
      </c>
      <c r="AD238" s="401">
        <f ca="1">IF(SUM($G238:AC238)&gt;=$E238,0,IF($E238-SUM($G238:AC238)&gt;AD239,AD239,$E238-SUM($G239:AC239)))</f>
        <v>0</v>
      </c>
      <c r="AE238" s="401">
        <f ca="1">IF(SUM($G238:AD238)&gt;=$E238,0,IF($E238-SUM($G238:AD238)&gt;AE239,AE239,$E238-SUM($G239:AD239)))</f>
        <v>0</v>
      </c>
      <c r="AF238" s="401">
        <f ca="1">IF(SUM($G238:AE238)&gt;=$E238,0,IF($E238-SUM($G238:AE238)&gt;AF239,AF239,$E238-SUM($G239:AE239)))</f>
        <v>0</v>
      </c>
      <c r="AG238" s="401">
        <f ca="1">IF(SUM($G238:AF238)&gt;=$E238,0,IF($E238-SUM($G238:AF238)&gt;AG239,AG239,$E238-SUM($G239:AF239)))</f>
        <v>0</v>
      </c>
      <c r="AH238" s="401">
        <f ca="1">IF(SUM($G238:AG238)&gt;=$E238,0,IF($E238-SUM($G238:AG238)&gt;AH239,AH239,$E238-SUM($G239:AG239)))</f>
        <v>0</v>
      </c>
      <c r="AI238" s="401">
        <f ca="1">IF(SUM($G238:AH238)&gt;=$E238,0,IF($E238-SUM($G238:AH238)&gt;AI239,AI239,$E238-SUM($G239:AH239)))</f>
        <v>0</v>
      </c>
      <c r="AJ238" s="401">
        <f ca="1">IF(SUM($G238:AI238)&gt;=$E238,0,IF($E238-SUM($G238:AI238)&gt;AJ239,AJ239,$E238-SUM($G239:AI239)))</f>
        <v>0</v>
      </c>
      <c r="AK238" s="401">
        <f ca="1">IF(SUM($G238:AJ238)&gt;=$E238,0,IF($E238-SUM($G238:AJ238)&gt;AK239,AK239,$E238-SUM($G239:AJ239)))</f>
        <v>0</v>
      </c>
      <c r="AL238" s="401">
        <f ca="1">IF(SUM($G238:AK238)&gt;=$E238,0,IF($E238-SUM($G238:AK238)&gt;AL239,AL239,$E238-SUM($G239:AK239)))</f>
        <v>0</v>
      </c>
      <c r="AM238" s="401">
        <f ca="1">IF(SUM($G238:AL238)&gt;=$E238,0,IF($E238-SUM($G238:AL238)&gt;AM239,AM239,$E238-SUM($G239:AL239)))</f>
        <v>0</v>
      </c>
      <c r="AN238" s="401">
        <f ca="1">IF(SUM($G238:AM238)&gt;=$E238,0,IF($E238-SUM($G238:AM238)&gt;AN239,AN239,$E238-SUM($G239:AM239)))</f>
        <v>0</v>
      </c>
      <c r="AO238" s="401">
        <f ca="1">IF(SUM($G238:AN238)&gt;=$E238,0,IF($E238-SUM($G238:AN238)&gt;AO239,AO239,$E238-SUM($G239:AN239)))</f>
        <v>0</v>
      </c>
      <c r="AP238" s="401">
        <f ca="1">IF(SUM($G238:AO238)&gt;=$E238,0,IF($E238-SUM($G238:AO238)&gt;AP239,AP239,$E238-SUM($G239:AO239)))</f>
        <v>0</v>
      </c>
      <c r="AQ238" s="401">
        <f ca="1">IF(SUM($G238:AP238)&gt;=$E238,0,IF($E238-SUM($G238:AP238)&gt;AQ239,AQ239,$E238-SUM($G239:AP239)))</f>
        <v>0</v>
      </c>
      <c r="AR238" s="401">
        <f ca="1">IF(SUM($G238:AQ238)&gt;=$E238,0,IF($E238-SUM($G238:AQ238)&gt;AR239,AR239,$E238-SUM($G239:AQ239)))</f>
        <v>0</v>
      </c>
      <c r="AS238" s="401">
        <f ca="1">IF(SUM($G238:AR238)&gt;=$E238,0,IF($E238-SUM($G238:AR238)&gt;AS239,AS239,$E238-SUM($G239:AR239)))</f>
        <v>0</v>
      </c>
      <c r="AT238" s="401">
        <f ca="1">IF(SUM($G238:AS238)&gt;=$E238,0,IF($E238-SUM($G238:AS238)&gt;AT239,AT239,$E238-SUM($G239:AS239)))</f>
        <v>0</v>
      </c>
      <c r="AU238" s="401">
        <f ca="1">IF(SUM($G238:AT238)&gt;=$E238,0,IF($E238-SUM($G238:AT238)&gt;AU239,AU239,$E238-SUM($G239:AT239)))</f>
        <v>0</v>
      </c>
      <c r="AV238" s="401">
        <f ca="1">IF(SUM($G238:AU238)&gt;=$E238,0,IF($E238-SUM($G238:AU238)&gt;AV239,AV239,$E238-SUM($G239:AU239)))</f>
        <v>0</v>
      </c>
      <c r="AW238" s="401">
        <f ca="1">IF(SUM($G238:AV238)&gt;=$E238,0,IF($E238-SUM($G238:AV238)&gt;AW239,AW239,$E238-SUM($G239:AV239)))</f>
        <v>0</v>
      </c>
      <c r="AX238" s="401">
        <f ca="1">IF(SUM($G238:AW238)&gt;=$E238,0,IF($E238-SUM($G238:AW238)&gt;AX239,AX239,$E238-SUM($G239:AW239)))</f>
        <v>0</v>
      </c>
      <c r="AY238" s="401">
        <f ca="1">IF(SUM($G238:AX238)&gt;=$E238,0,IF($E238-SUM($G238:AX238)&gt;AY239,AY239,$E238-SUM($G239:AX239)))</f>
        <v>0</v>
      </c>
      <c r="AZ238" s="401">
        <f ca="1">IF(SUM($G238:AY238)&gt;=$E238,0,IF($E238-SUM($G238:AY238)&gt;AZ239,AZ239,$E238-SUM($G239:AY239)))</f>
        <v>0</v>
      </c>
      <c r="BA238" s="401">
        <f ca="1">IF(SUM($G238:AZ238)&gt;=$E238,0,IF($E238-SUM($G238:AZ238)&gt;BA239,BA239,$E238-SUM($G239:AZ239)))</f>
        <v>0</v>
      </c>
      <c r="BB238" s="401">
        <f ca="1">IF(SUM($G238:BA238)&gt;=$E238,0,IF($E238-SUM($G238:BA238)&gt;BB239,BB239,$E238-SUM($G239:BA239)))</f>
        <v>0</v>
      </c>
      <c r="BC238" s="401">
        <f ca="1">IF(SUM($G238:BB238)&gt;=$E238,0,IF($E238-SUM($G238:BB238)&gt;BC239,BC239,$E238-SUM($G239:BB239)))</f>
        <v>0</v>
      </c>
      <c r="BD238" s="401">
        <f ca="1">IF(SUM($G238:BC238)&gt;=$E238,0,IF($E238-SUM($G238:BC238)&gt;BD239,BD239,$E238-SUM($G239:BC239)))</f>
        <v>0</v>
      </c>
      <c r="BE238" s="401">
        <f ca="1">IF(SUM($G238:BD238)&gt;=$E238,0,IF($E238-SUM($G238:BD238)&gt;BE239,BE239,$E238-SUM($G239:BD239)))</f>
        <v>0</v>
      </c>
      <c r="BF238" s="401">
        <f ca="1">IF(SUM($G238:BE238)&gt;=$E238,0,IF($E238-SUM($G238:BE238)&gt;BF239,BF239,$E238-SUM($G239:BE239)))</f>
        <v>0</v>
      </c>
      <c r="BG238" s="401">
        <f ca="1">IF(SUM($G238:BF238)&gt;=$E238,0,IF($E238-SUM($G238:BF238)&gt;BG239,BG239,$E238-SUM($G239:BF239)))</f>
        <v>0</v>
      </c>
      <c r="BH238" s="401">
        <f ca="1">IF(SUM($G238:BG238)&gt;=$E238,0,IF($E238-SUM($G238:BG238)&gt;BH239,BH239,$E238-SUM($G239:BG239)))</f>
        <v>0</v>
      </c>
      <c r="BI238" s="401">
        <f ca="1">IF(SUM($G238:BH238)&gt;=$E238,0,IF($E238-SUM($G238:BH238)&gt;BI239,BI239,$E238-SUM($G239:BH239)))</f>
        <v>0</v>
      </c>
      <c r="BJ238" s="401">
        <f ca="1">IF(SUM($G238:BI238)&gt;=$E238,0,IF($E238-SUM($G238:BI238)&gt;BJ239,BJ239,$E238-SUM($G239:BI239)))</f>
        <v>0</v>
      </c>
      <c r="BK238" s="401">
        <f ca="1">IF(SUM($G238:BJ238)&gt;=$E238,0,IF($E238-SUM($G238:BJ238)&gt;BK239,BK239,$E238-SUM($G239:BJ239)))</f>
        <v>0</v>
      </c>
      <c r="BL238" s="401">
        <f ca="1">IF(SUM($G238:BK238)&gt;=$E238,0,IF($E238-SUM($G238:BK238)&gt;BL239,BL239,$E238-SUM($G239:BK239)))</f>
        <v>0</v>
      </c>
      <c r="BM238" s="401">
        <f ca="1">IF(SUM($G238:BL238)&gt;=$E238,0,IF($E238-SUM($G238:BL238)&gt;BM239,BM239,$E238-SUM($G239:BL239)))</f>
        <v>0</v>
      </c>
      <c r="BN238" s="401">
        <f ca="1">IF(SUM($G238:BM238)&gt;=$E238,0,IF($E238-SUM($G238:BM238)&gt;BN239,BN239,$E238-SUM($G239:BM239)))</f>
        <v>0</v>
      </c>
      <c r="BO238" s="401">
        <f ca="1">IF(SUM($G238:BN238)&gt;=$E238,0,IF($E238-SUM($G238:BN238)&gt;BO239,BO239,$E238-SUM($G239:BN239)))</f>
        <v>0</v>
      </c>
      <c r="BP238" s="401">
        <f ca="1">IF(SUM($G238:BO238)&gt;=$E238,0,IF($E238-SUM($G238:BO238)&gt;BP239,BP239,$E238-SUM($G239:BO239)))</f>
        <v>0</v>
      </c>
      <c r="BQ238" s="401">
        <f ca="1">IF(SUM($G238:BP238)&gt;=$E238,0,IF($E238-SUM($G238:BP238)&gt;BQ239,BQ239,$E238-SUM($G239:BP239)))</f>
        <v>0</v>
      </c>
      <c r="BR238" s="401">
        <f ca="1">IF(SUM($G238:BQ238)&gt;=$E238,0,IF($E238-SUM($G238:BQ238)&gt;BR239,BR239,$E238-SUM($G239:BQ239)))</f>
        <v>0</v>
      </c>
      <c r="BS238" s="401">
        <f ca="1">IF(SUM($G238:BR238)&gt;=$E238,0,IF($E238-SUM($G238:BR238)&gt;BS239,BS239,$E238-SUM($G239:BR239)))</f>
        <v>0</v>
      </c>
      <c r="BT238" s="401">
        <f ca="1">IF(SUM($G238:BS238)&gt;=$E238,0,IF($E238-SUM($G238:BS238)&gt;BT239,BT239,$E238-SUM($G239:BS239)))</f>
        <v>0</v>
      </c>
      <c r="BU238" s="401">
        <f ca="1">IF(SUM($G238:BT238)&gt;=$E238,0,IF($E238-SUM($G238:BT238)&gt;BU239,BU239,$E238-SUM($G239:BT239)))</f>
        <v>0</v>
      </c>
      <c r="BV238" s="401">
        <f ca="1">IF(SUM($G238:BU238)&gt;=$E238,0,IF($E238-SUM($G238:BU238)&gt;BV239,BV239,$E238-SUM($G239:BU239)))</f>
        <v>0</v>
      </c>
      <c r="BW238" s="401">
        <f ca="1">IF(SUM($G238:BV238)&gt;=$E238,0,IF($E238-SUM($G238:BV238)&gt;BW239,BW239,$E238-SUM($G239:BV239)))</f>
        <v>0</v>
      </c>
      <c r="BX238" s="401">
        <f ca="1">IF(SUM($G238:BW238)&gt;=$E238,0,IF($E238-SUM($G238:BW238)&gt;BX239,BX239,$E238-SUM($G239:BW239)))</f>
        <v>0</v>
      </c>
      <c r="BY238" s="401">
        <f ca="1">IF(SUM($G238:BX238)&gt;=$E238,0,IF($E238-SUM($G238:BX238)&gt;BY239,BY239,$E238-SUM($G239:BX239)))</f>
        <v>0</v>
      </c>
      <c r="BZ238" s="401">
        <f ca="1">IF(SUM($G238:BY238)&gt;=$E238,0,IF($E238-SUM($G238:BY238)&gt;BZ239,BZ239,$E238-SUM($G239:BY239)))</f>
        <v>0</v>
      </c>
      <c r="CA238" s="401">
        <f ca="1">IF(SUM($G238:BZ238)&gt;=$E238,0,IF($E238-SUM($G238:BZ238)&gt;CA239,CA239,$E238-SUM($G239:BZ239)))</f>
        <v>0</v>
      </c>
      <c r="CB238" s="401">
        <f ca="1">IF(SUM($G238:CA238)&gt;=$E238,0,IF($E238-SUM($G238:CA238)&gt;CB239,CB239,$E238-SUM($G239:CA239)))</f>
        <v>0</v>
      </c>
      <c r="CC238" s="401">
        <f ca="1">IF(SUM($G238:CB238)&gt;=$E238,0,IF($E238-SUM($G238:CB238)&gt;CC239,CC239,$E238-SUM($G239:CB239)))</f>
        <v>0</v>
      </c>
      <c r="CD238" s="401">
        <f ca="1">IF(SUM($G238:CC238)&gt;=$E238,0,IF($E238-SUM($G238:CC238)&gt;CD239,CD239,$E238-SUM($G239:CC239)))</f>
        <v>0</v>
      </c>
      <c r="CE238" s="401">
        <f ca="1">IF(SUM($G238:CD238)&gt;=$E238,0,IF($E238-SUM($G238:CD238)&gt;CE239,CE239,$E238-SUM($G239:CD239)))</f>
        <v>0</v>
      </c>
      <c r="CF238" s="401">
        <f ca="1">IF(SUM($G238:CE238)&gt;=$E238,0,IF($E238-SUM($G238:CE238)&gt;CF239,CF239,$E238-SUM($G239:CE239)))</f>
        <v>0</v>
      </c>
      <c r="CG238" s="401">
        <f ca="1">IF(SUM($G238:CF238)&gt;=$E238,0,IF($E238-SUM($G238:CF238)&gt;CG239,CG239,$E238-SUM($G239:CF239)))</f>
        <v>0</v>
      </c>
      <c r="CH238" s="401">
        <f ca="1">IF(SUM($G238:CG238)&gt;=$E238,0,IF($E238-SUM($G238:CG238)&gt;CH239,CH239,$E238-SUM($G239:CG239)))</f>
        <v>0</v>
      </c>
      <c r="CI238" s="401">
        <f ca="1">IF(SUM($G238:CH238)&gt;=$E238,0,IF($E238-SUM($G238:CH238)&gt;CI239,CI239,$E238-SUM($G239:CH239)))</f>
        <v>0</v>
      </c>
      <c r="CJ238" s="401">
        <f ca="1">IF(SUM($G238:CI238)&gt;=$E238,0,IF($E238-SUM($G238:CI238)&gt;CJ239,CJ239,$E238-SUM($G239:CI239)))</f>
        <v>0</v>
      </c>
      <c r="CK238" s="401">
        <f ca="1">IF(SUM($G238:CJ238)&gt;=$E238,0,IF($E238-SUM($G238:CJ238)&gt;CK239,CK239,$E238-SUM($G239:CJ239)))</f>
        <v>0</v>
      </c>
      <c r="CL238" s="401">
        <f ca="1">IF(SUM($G238:CK238)&gt;=$E238,0,IF($E238-SUM($G238:CK238)&gt;CL239,CL239,$E238-SUM($G239:CK239)))</f>
        <v>0</v>
      </c>
      <c r="CM238" s="401">
        <f ca="1">IF(SUM($G238:CL238)&gt;=$E238,0,IF($E238-SUM($G238:CL238)&gt;CM239,CM239,$E238-SUM($G239:CL239)))</f>
        <v>0</v>
      </c>
      <c r="CN238" s="401">
        <f ca="1">IF(SUM($G238:CM238)&gt;=$E238,0,IF($E238-SUM($G238:CM238)&gt;CN239,CN239,$E238-SUM($G239:CM239)))</f>
        <v>0</v>
      </c>
      <c r="CO238" s="401">
        <f ca="1">IF(SUM($G238:CN238)&gt;=$E238,0,IF($E238-SUM($G238:CN238)&gt;CO239,CO239,$E238-SUM($G239:CN239)))</f>
        <v>0</v>
      </c>
      <c r="CP238" s="401">
        <f ca="1">IF(SUM($G238:CO238)&gt;=$E238,0,IF($E238-SUM($G238:CO238)&gt;CP239,CP239,$E238-SUM($G239:CO239)))</f>
        <v>0</v>
      </c>
      <c r="CQ238" s="401">
        <f ca="1">IF(SUM($G238:CP238)&gt;=$E238,0,IF($E238-SUM($G238:CP238)&gt;CQ239,CQ239,$E238-SUM($G239:CP239)))</f>
        <v>0</v>
      </c>
      <c r="CR238" s="401">
        <f ca="1">IF(SUM($G238:CQ238)&gt;=$E238,0,IF($E238-SUM($G238:CQ238)&gt;CR239,CR239,$E238-SUM($G239:CQ239)))</f>
        <v>0</v>
      </c>
      <c r="CS238" s="401">
        <f ca="1">IF(SUM($G238:CR238)&gt;=$E238,0,IF($E238-SUM($G238:CR238)&gt;CS239,CS239,$E238-SUM($G239:CR239)))</f>
        <v>0</v>
      </c>
      <c r="CT238" s="401">
        <f ca="1">IF(SUM($G238:CS238)&gt;=$E238,0,IF($E238-SUM($G238:CS238)&gt;CT239,CT239,$E238-SUM($G239:CS239)))</f>
        <v>0</v>
      </c>
      <c r="CU238" s="401">
        <f ca="1">IF(SUM($G238:CT238)&gt;=$E238,0,IF($E238-SUM($G238:CT238)&gt;CU239,CU239,$E238-SUM($G239:CT239)))</f>
        <v>0</v>
      </c>
      <c r="CV238" s="401">
        <f ca="1">IF(SUM($G238:CU238)&gt;=$E238,0,IF($E238-SUM($G238:CU238)&gt;CV239,CV239,$E238-SUM($G239:CU239)))</f>
        <v>0</v>
      </c>
      <c r="CW238" s="401">
        <f ca="1">IF(SUM($G238:CV238)&gt;=$E238,0,IF($E238-SUM($G238:CV238)&gt;CW239,CW239,$E238-SUM($G239:CV239)))</f>
        <v>0</v>
      </c>
      <c r="CX238" s="401">
        <f ca="1">IF(SUM($G238:CW238)&gt;=$E238,0,IF($E238-SUM($G238:CW238)&gt;CX239,CX239,$E238-SUM($G239:CW239)))</f>
        <v>0</v>
      </c>
      <c r="CY238" s="401">
        <f ca="1">IF(SUM($G238:CX238)&gt;=$E238,0,IF($E238-SUM($G238:CX238)&gt;CY239,CY239,$E238-SUM($G239:CX239)))</f>
        <v>0</v>
      </c>
      <c r="CZ238" s="401">
        <f ca="1">IF(SUM($G238:CY238)&gt;=$E238,0,IF($E238-SUM($G238:CY238)&gt;CZ239,CZ239,$E238-SUM($G239:CY239)))</f>
        <v>0</v>
      </c>
      <c r="DA238" s="401">
        <f ca="1">IF(SUM($G238:CZ238)&gt;=$E238,0,IF($E238-SUM($G238:CZ238)&gt;DA239,DA239,$E238-SUM($G239:CZ239)))</f>
        <v>0</v>
      </c>
      <c r="DB238" s="401">
        <f ca="1">IF(SUM($G238:DA238)&gt;=$E238,0,IF($E238-SUM($G238:DA238)&gt;DB239,DB239,$E238-SUM($G239:DA239)))</f>
        <v>0</v>
      </c>
      <c r="DC238" s="401">
        <f ca="1">IF(SUM($G238:DB238)&gt;=$E238,0,IF($E238-SUM($G238:DB238)&gt;DC239,DC239,$E238-SUM($G239:DB239)))</f>
        <v>0</v>
      </c>
      <c r="DD238" s="401">
        <f ca="1">IF(SUM($G238:DC238)&gt;=$E238,0,IF($E238-SUM($G238:DC238)&gt;DD239,DD239,$E238-SUM($G239:DC239)))</f>
        <v>0</v>
      </c>
      <c r="DE238" s="401">
        <f ca="1">IF(SUM($G238:DD238)&gt;=$E238,0,IF($E238-SUM($G238:DD238)&gt;DE239,DE239,$E238-SUM($G239:DD239)))</f>
        <v>0</v>
      </c>
      <c r="DF238" s="401">
        <f ca="1">IF(SUM($G238:DE238)&gt;=$E238,0,IF($E238-SUM($G238:DE238)&gt;DF239,DF239,$E238-SUM($G239:DE239)))</f>
        <v>0</v>
      </c>
      <c r="DG238" s="401">
        <f ca="1">IF(SUM($G238:DF238)&gt;=$E238,0,IF($E238-SUM($G238:DF238)&gt;DG239,DG239,$E238-SUM($G239:DF239)))</f>
        <v>0</v>
      </c>
      <c r="DH238" s="401">
        <f ca="1">IF(SUM($G238:DG238)&gt;=$E238,0,IF($E238-SUM($G238:DG238)&gt;DH239,DH239,$E238-SUM($G239:DG239)))</f>
        <v>0</v>
      </c>
      <c r="DI238" s="401">
        <f ca="1">IF(SUM($G238:DH238)&gt;=$E238,0,IF($E238-SUM($G238:DH238)&gt;DI239,DI239,$E238-SUM($G239:DH239)))</f>
        <v>0</v>
      </c>
      <c r="DJ238" s="401">
        <f ca="1">IF(SUM($G238:DI238)&gt;=$E238,0,IF($E238-SUM($G238:DI238)&gt;DJ239,DJ239,$E238-SUM($G239:DI239)))</f>
        <v>0</v>
      </c>
      <c r="DK238" s="401">
        <f ca="1">IF(SUM($G238:DJ238)&gt;=$E238,0,IF($E238-SUM($G238:DJ238)&gt;DK239,DK239,$E238-SUM($G239:DJ239)))</f>
        <v>0</v>
      </c>
      <c r="DL238" s="401">
        <f ca="1">IF(SUM($G238:DK238)&gt;=$E238,0,IF($E238-SUM($G238:DK238)&gt;DL239,DL239,$E238-SUM($G239:DK239)))</f>
        <v>0</v>
      </c>
      <c r="DM238" s="401">
        <f ca="1">IF(SUM($G238:DL238)&gt;=$E238,0,IF($E238-SUM($G238:DL238)&gt;DM239,DM239,$E238-SUM($G239:DL239)))</f>
        <v>0</v>
      </c>
      <c r="DN238" s="401">
        <f ca="1">IF(SUM($G238:DM238)&gt;=$E238,0,IF($E238-SUM($G238:DM238)&gt;DN239,DN239,$E238-SUM($G239:DM239)))</f>
        <v>0</v>
      </c>
      <c r="DO238" s="401">
        <f ca="1">IF(SUM($G238:DN238)&gt;=$E238,0,IF($E238-SUM($G238:DN238)&gt;DO239,DO239,$E238-SUM($G239:DN239)))</f>
        <v>0</v>
      </c>
      <c r="DP238" s="401">
        <f ca="1">IF(SUM($G238:DO238)&gt;=$E238,0,IF($E238-SUM($G238:DO238)&gt;DP239,DP239,$E238-SUM($G239:DO239)))</f>
        <v>0</v>
      </c>
      <c r="DQ238" s="401">
        <f ca="1">IF(SUM($G238:DP238)&gt;=$E238,0,IF($E238-SUM($G238:DP238)&gt;DQ239,DQ239,$E238-SUM($G239:DP239)))</f>
        <v>0</v>
      </c>
      <c r="DR238" s="401">
        <f ca="1">IF(SUM($G238:DQ238)&gt;=$E238,0,IF($E238-SUM($G238:DQ238)&gt;DR239,DR239,$E238-SUM($G239:DQ239)))</f>
        <v>0</v>
      </c>
      <c r="DS238" s="401">
        <f ca="1">IF(SUM($G238:DR238)&gt;=$E238,0,IF($E238-SUM($G238:DR238)&gt;DS239,DS239,$E238-SUM($G239:DR239)))</f>
        <v>0</v>
      </c>
      <c r="DT238" s="401">
        <f ca="1">IF(SUM($G238:DS238)&gt;=$E238,0,IF($E238-SUM($G238:DS238)&gt;DT239,DT239,$E238-SUM($G239:DS239)))</f>
        <v>0</v>
      </c>
      <c r="DU238" s="401">
        <f ca="1">IF(SUM($G238:DT238)&gt;=$E238,0,IF($E238-SUM($G238:DT238)&gt;DU239,DU239,$E238-SUM($G239:DT239)))</f>
        <v>0</v>
      </c>
      <c r="DV238" s="401">
        <f ca="1">IF(SUM($G238:DU238)&gt;=$E238,0,IF($E238-SUM($G238:DU238)&gt;DV239,DV239,$E238-SUM($G239:DU239)))</f>
        <v>0</v>
      </c>
      <c r="DW238" s="401">
        <f ca="1">IF(SUM($G238:DV238)&gt;=$E238,0,IF($E238-SUM($G238:DV238)&gt;DW239,DW239,$E238-SUM($G239:DV239)))</f>
        <v>0</v>
      </c>
      <c r="DX238" s="401">
        <f ca="1">IF(SUM($G238:DW238)&gt;=$E238,0,IF($E238-SUM($G238:DW238)&gt;DX239,DX239,$E238-SUM($G239:DW239)))</f>
        <v>0</v>
      </c>
      <c r="DY238" s="401">
        <f ca="1">IF(SUM($G238:DX238)&gt;=$E238,0,IF($E238-SUM($G238:DX238)&gt;DY239,DY239,$E238-SUM($G239:DX239)))</f>
        <v>0</v>
      </c>
      <c r="DZ238" s="401">
        <f ca="1">IF(SUM($G238:DY238)&gt;=$E238,0,IF($E238-SUM($G238:DY238)&gt;DZ239,DZ239,$E238-SUM($G239:DY239)))</f>
        <v>0</v>
      </c>
      <c r="EA238" s="401">
        <f ca="1">IF(SUM($G238:DZ238)&gt;=$E238,0,IF($E238-SUM($G238:DZ238)&gt;EA239,EA239,$E238-SUM($G239:DZ239)))</f>
        <v>0</v>
      </c>
      <c r="EB238" s="401">
        <f ca="1">IF(SUM($G238:EA238)&gt;=$E238,0,IF($E238-SUM($G238:EA238)&gt;EB239,EB239,$E238-SUM($G239:EA239)))</f>
        <v>0</v>
      </c>
      <c r="EC238" s="401">
        <f ca="1">IF(SUM($G238:EB238)&gt;=$E238,0,IF($E238-SUM($G238:EB238)&gt;EC239,EC239,$E238-SUM($G239:EB239)))</f>
        <v>0</v>
      </c>
      <c r="ED238" s="401">
        <f ca="1">IF(SUM($G238:EC238)&gt;=$E238,0,IF($E238-SUM($G238:EC238)&gt;ED239,ED239,$E238-SUM($G239:EC239)))</f>
        <v>0</v>
      </c>
      <c r="EE238" s="401">
        <f ca="1">IF(SUM($G238:ED238)&gt;=$E238,0,IF($E238-SUM($G238:ED238)&gt;EE239,EE239,$E238-SUM($G239:ED239)))</f>
        <v>0</v>
      </c>
      <c r="EF238" s="401">
        <f ca="1">IF(SUM($G238:EE238)&gt;=$E238,0,IF($E238-SUM($G238:EE238)&gt;EF239,EF239,$E238-SUM($G239:EE239)))</f>
        <v>0</v>
      </c>
      <c r="EG238" s="401">
        <f ca="1">IF(SUM($G238:EF238)&gt;=$E238,0,IF($E238-SUM($G238:EF238)&gt;EG239,EG239,$E238-SUM($G239:EF239)))</f>
        <v>0</v>
      </c>
      <c r="EH238" s="401">
        <f ca="1">IF(SUM($G238:EG238)&gt;=$E238,0,IF($E238-SUM($G238:EG238)&gt;EH239,EH239,$E238-SUM($G239:EG239)))</f>
        <v>0</v>
      </c>
      <c r="EI238" s="401">
        <f ca="1">IF(SUM($G238:EH238)&gt;=$E238,0,IF($E238-SUM($G238:EH238)&gt;EI239,EI239,$E238-SUM($G239:EH239)))</f>
        <v>0</v>
      </c>
      <c r="EK238" s="313"/>
    </row>
    <row r="239" spans="1:152" hidden="1" outlineLevel="2">
      <c r="A239" s="332"/>
      <c r="B239" s="313"/>
      <c r="C239" s="308"/>
      <c r="D239" s="308"/>
      <c r="E239" s="308"/>
      <c r="G239" s="402"/>
      <c r="H239" s="402">
        <f ca="1">IF((SUM($G234:H234)-$E233)&lt;0,0,IF((SUM($G234:H234)-$E233)&lt;H234,SUM($G234:H234)-$E233,H234))</f>
        <v>0</v>
      </c>
      <c r="I239" s="402">
        <f ca="1">IF((SUM($G234:I234)-$E233)&lt;0,0,IF((SUM($G234:I234)-$E233)&lt;I234,SUM($G234:I234)-$E233,I234))</f>
        <v>0</v>
      </c>
      <c r="J239" s="402">
        <f ca="1">IF((SUM($G234:J234)-$E233)&lt;0,0,IF((SUM($G234:J234)-$E233)&lt;J234,SUM($G234:J234)-$E233,J234))</f>
        <v>0</v>
      </c>
      <c r="K239" s="402">
        <f ca="1">IF((SUM($G234:K234)-$E233)&lt;0,0,IF((SUM($G234:K234)-$E233)&lt;K234,SUM($G234:K234)-$E233,K234))</f>
        <v>0</v>
      </c>
      <c r="L239" s="402">
        <f ca="1">IF((SUM($G234:L234)-$E233)&lt;0,0,IF((SUM($G234:L234)-$E233)&lt;L234,SUM($G234:L234)-$E233,L234))</f>
        <v>0</v>
      </c>
      <c r="M239" s="402">
        <f ca="1">IF((SUM($G234:M234)-$E233)&lt;0,0,IF((SUM($G234:M234)-$E233)&lt;M234,SUM($G234:M234)-$E233,M234))</f>
        <v>0</v>
      </c>
      <c r="N239" s="402">
        <f ca="1">IF((SUM($G234:N234)-$E233)&lt;0,0,IF((SUM($G234:N234)-$E233)&lt;N234,SUM($G234:N234)-$E233,N234))</f>
        <v>0</v>
      </c>
      <c r="O239" s="402">
        <f ca="1">IF((SUM($G234:O234)-$E233)&lt;0,0,IF((SUM($G234:O234)-$E233)&lt;O234,SUM($G234:O234)-$E233,O234))</f>
        <v>11</v>
      </c>
      <c r="P239" s="402">
        <f ca="1">IF((SUM($G234:P234)-$E233)&lt;0,0,IF((SUM($G234:P234)-$E233)&lt;P234,SUM($G234:P234)-$E233,P234))</f>
        <v>31</v>
      </c>
      <c r="Q239" s="402">
        <f ca="1">IF((SUM($G234:Q234)-$E233)&lt;0,0,IF((SUM($G234:Q234)-$E233)&lt;Q234,SUM($G234:Q234)-$E233,Q234))</f>
        <v>31</v>
      </c>
      <c r="R239" s="402">
        <f ca="1">IF((SUM($G234:R234)-$E233)&lt;0,0,IF((SUM($G234:R234)-$E233)&lt;R234,SUM($G234:R234)-$E233,R234))</f>
        <v>29</v>
      </c>
      <c r="S239" s="402">
        <f ca="1">IF((SUM($G234:S234)-$E233)&lt;0,0,IF((SUM($G234:S234)-$E233)&lt;S234,SUM($G234:S234)-$E233,S234))</f>
        <v>31</v>
      </c>
      <c r="T239" s="402">
        <f ca="1">IF((SUM($G234:T234)-$E233)&lt;0,0,IF((SUM($G234:T234)-$E233)&lt;T234,SUM($G234:T234)-$E233,T234))</f>
        <v>30</v>
      </c>
      <c r="U239" s="402">
        <f ca="1">IF((SUM($G234:U234)-$E233)&lt;0,0,IF((SUM($G234:U234)-$E233)&lt;U234,SUM($G234:U234)-$E233,U234))</f>
        <v>31</v>
      </c>
      <c r="V239" s="402">
        <f ca="1">IF((SUM($G234:V234)-$E233)&lt;0,0,IF((SUM($G234:V234)-$E233)&lt;V234,SUM($G234:V234)-$E233,V234))</f>
        <v>30</v>
      </c>
      <c r="W239" s="402">
        <f ca="1">IF((SUM($G234:W234)-$E233)&lt;0,0,IF((SUM($G234:W234)-$E233)&lt;W234,SUM($G234:W234)-$E233,W234))</f>
        <v>31</v>
      </c>
      <c r="X239" s="402">
        <f ca="1">IF((SUM($G234:X234)-$E233)&lt;0,0,IF((SUM($G234:X234)-$E233)&lt;X234,SUM($G234:X234)-$E233,X234))</f>
        <v>31</v>
      </c>
      <c r="Y239" s="402">
        <f ca="1">IF((SUM($G234:Y234)-$E233)&lt;0,0,IF((SUM($G234:Y234)-$E233)&lt;Y234,SUM($G234:Y234)-$E233,Y234))</f>
        <v>30</v>
      </c>
      <c r="Z239" s="402">
        <f ca="1">IF((SUM($G234:Z234)-$E233)&lt;0,0,IF((SUM($G234:Z234)-$E233)&lt;Z234,SUM($G234:Z234)-$E233,Z234))</f>
        <v>31</v>
      </c>
      <c r="AA239" s="402">
        <f ca="1">IF((SUM($G234:AA234)-$E233)&lt;0,0,IF((SUM($G234:AA234)-$E233)&lt;AA234,SUM($G234:AA234)-$E233,AA234))</f>
        <v>30</v>
      </c>
      <c r="AB239" s="402">
        <f ca="1">IF((SUM($G234:AB234)-$E233)&lt;0,0,IF((SUM($G234:AB234)-$E233)&lt;AB234,SUM($G234:AB234)-$E233,AB234))</f>
        <v>31</v>
      </c>
      <c r="AC239" s="402">
        <f ca="1">IF((SUM($G234:AC234)-$E233)&lt;0,0,IF((SUM($G234:AC234)-$E233)&lt;AC234,SUM($G234:AC234)-$E233,AC234))</f>
        <v>31</v>
      </c>
      <c r="AD239" s="402">
        <f ca="1">IF((SUM($G234:AD234)-$E233)&lt;0,0,IF((SUM($G234:AD234)-$E233)&lt;AD234,SUM($G234:AD234)-$E233,AD234))</f>
        <v>28</v>
      </c>
      <c r="AE239" s="402">
        <f ca="1">IF((SUM($G234:AE234)-$E233)&lt;0,0,IF((SUM($G234:AE234)-$E233)&lt;AE234,SUM($G234:AE234)-$E233,AE234))</f>
        <v>31</v>
      </c>
      <c r="AF239" s="402">
        <f ca="1">IF((SUM($G234:AF234)-$E233)&lt;0,0,IF((SUM($G234:AF234)-$E233)&lt;AF234,SUM($G234:AF234)-$E233,AF234))</f>
        <v>30</v>
      </c>
      <c r="AG239" s="402">
        <f ca="1">IF((SUM($G234:AG234)-$E233)&lt;0,0,IF((SUM($G234:AG234)-$E233)&lt;AG234,SUM($G234:AG234)-$E233,AG234))</f>
        <v>31</v>
      </c>
      <c r="AH239" s="402">
        <f ca="1">IF((SUM($G234:AH234)-$E233)&lt;0,0,IF((SUM($G234:AH234)-$E233)&lt;AH234,SUM($G234:AH234)-$E233,AH234))</f>
        <v>30</v>
      </c>
      <c r="AI239" s="402">
        <f ca="1">IF((SUM($G234:AI234)-$E233)&lt;0,0,IF((SUM($G234:AI234)-$E233)&lt;AI234,SUM($G234:AI234)-$E233,AI234))</f>
        <v>31</v>
      </c>
      <c r="AJ239" s="402">
        <f ca="1">IF((SUM($G234:AJ234)-$E233)&lt;0,0,IF((SUM($G234:AJ234)-$E233)&lt;AJ234,SUM($G234:AJ234)-$E233,AJ234))</f>
        <v>31</v>
      </c>
      <c r="AK239" s="402">
        <f ca="1">IF((SUM($G234:AK234)-$E233)&lt;0,0,IF((SUM($G234:AK234)-$E233)&lt;AK234,SUM($G234:AK234)-$E233,AK234))</f>
        <v>30</v>
      </c>
      <c r="AL239" s="402">
        <f ca="1">IF((SUM($G234:AL234)-$E233)&lt;0,0,IF((SUM($G234:AL234)-$E233)&lt;AL234,SUM($G234:AL234)-$E233,AL234))</f>
        <v>31</v>
      </c>
      <c r="AM239" s="402">
        <f ca="1">IF((SUM($G234:AM234)-$E233)&lt;0,0,IF((SUM($G234:AM234)-$E233)&lt;AM234,SUM($G234:AM234)-$E233,AM234))</f>
        <v>30</v>
      </c>
      <c r="AN239" s="402">
        <f ca="1">IF((SUM($G234:AN234)-$E233)&lt;0,0,IF((SUM($G234:AN234)-$E233)&lt;AN234,SUM($G234:AN234)-$E233,AN234))</f>
        <v>31</v>
      </c>
      <c r="AO239" s="402">
        <f ca="1">IF((SUM($G234:AO234)-$E233)&lt;0,0,IF((SUM($G234:AO234)-$E233)&lt;AO234,SUM($G234:AO234)-$E233,AO234))</f>
        <v>31</v>
      </c>
      <c r="AP239" s="402">
        <f ca="1">IF((SUM($G234:AP234)-$E233)&lt;0,0,IF((SUM($G234:AP234)-$E233)&lt;AP234,SUM($G234:AP234)-$E233,AP234))</f>
        <v>28</v>
      </c>
      <c r="AQ239" s="402">
        <f ca="1">IF((SUM($G234:AQ234)-$E233)&lt;0,0,IF((SUM($G234:AQ234)-$E233)&lt;AQ234,SUM($G234:AQ234)-$E233,AQ234))</f>
        <v>31</v>
      </c>
      <c r="AR239" s="402">
        <f ca="1">IF((SUM($G234:AR234)-$E233)&lt;0,0,IF((SUM($G234:AR234)-$E233)&lt;AR234,SUM($G234:AR234)-$E233,AR234))</f>
        <v>30</v>
      </c>
      <c r="AS239" s="402">
        <f ca="1">IF((SUM($G234:AS234)-$E233)&lt;0,0,IF((SUM($G234:AS234)-$E233)&lt;AS234,SUM($G234:AS234)-$E233,AS234))</f>
        <v>31</v>
      </c>
      <c r="AT239" s="402">
        <f ca="1">IF((SUM($G234:AT234)-$E233)&lt;0,0,IF((SUM($G234:AT234)-$E233)&lt;AT234,SUM($G234:AT234)-$E233,AT234))</f>
        <v>30</v>
      </c>
      <c r="AU239" s="402">
        <f ca="1">IF((SUM($G234:AU234)-$E233)&lt;0,0,IF((SUM($G234:AU234)-$E233)&lt;AU234,SUM($G234:AU234)-$E233,AU234))</f>
        <v>31</v>
      </c>
      <c r="AV239" s="402">
        <f ca="1">IF((SUM($G234:AV234)-$E233)&lt;0,0,IF((SUM($G234:AV234)-$E233)&lt;AV234,SUM($G234:AV234)-$E233,AV234))</f>
        <v>31</v>
      </c>
      <c r="AW239" s="402">
        <f ca="1">IF((SUM($G234:AW234)-$E233)&lt;0,0,IF((SUM($G234:AW234)-$E233)&lt;AW234,SUM($G234:AW234)-$E233,AW234))</f>
        <v>30</v>
      </c>
      <c r="AX239" s="402">
        <f ca="1">IF((SUM($G234:AX234)-$E233)&lt;0,0,IF((SUM($G234:AX234)-$E233)&lt;AX234,SUM($G234:AX234)-$E233,AX234))</f>
        <v>31</v>
      </c>
      <c r="AY239" s="402">
        <f ca="1">IF((SUM($G234:AY234)-$E233)&lt;0,0,IF((SUM($G234:AY234)-$E233)&lt;AY234,SUM($G234:AY234)-$E233,AY234))</f>
        <v>30</v>
      </c>
      <c r="AZ239" s="402">
        <f ca="1">IF((SUM($G234:AZ234)-$E233)&lt;0,0,IF((SUM($G234:AZ234)-$E233)&lt;AZ234,SUM($G234:AZ234)-$E233,AZ234))</f>
        <v>31</v>
      </c>
      <c r="BA239" s="402">
        <f ca="1">IF((SUM($G234:BA234)-$E233)&lt;0,0,IF((SUM($G234:BA234)-$E233)&lt;BA234,SUM($G234:BA234)-$E233,BA234))</f>
        <v>31</v>
      </c>
      <c r="BB239" s="402">
        <f ca="1">IF((SUM($G234:BB234)-$E233)&lt;0,0,IF((SUM($G234:BB234)-$E233)&lt;BB234,SUM($G234:BB234)-$E233,BB234))</f>
        <v>28</v>
      </c>
      <c r="BC239" s="402">
        <f ca="1">IF((SUM($G234:BC234)-$E233)&lt;0,0,IF((SUM($G234:BC234)-$E233)&lt;BC234,SUM($G234:BC234)-$E233,BC234))</f>
        <v>31</v>
      </c>
      <c r="BD239" s="402">
        <f ca="1">IF((SUM($G234:BD234)-$E233)&lt;0,0,IF((SUM($G234:BD234)-$E233)&lt;BD234,SUM($G234:BD234)-$E233,BD234))</f>
        <v>30</v>
      </c>
      <c r="BE239" s="402">
        <f ca="1">IF((SUM($G234:BE234)-$E233)&lt;0,0,IF((SUM($G234:BE234)-$E233)&lt;BE234,SUM($G234:BE234)-$E233,BE234))</f>
        <v>31</v>
      </c>
      <c r="BF239" s="402">
        <f ca="1">IF((SUM($G234:BF234)-$E233)&lt;0,0,IF((SUM($G234:BF234)-$E233)&lt;BF234,SUM($G234:BF234)-$E233,BF234))</f>
        <v>30</v>
      </c>
      <c r="BG239" s="402">
        <f ca="1">IF((SUM($G234:BG234)-$E233)&lt;0,0,IF((SUM($G234:BG234)-$E233)&lt;BG234,SUM($G234:BG234)-$E233,BG234))</f>
        <v>31</v>
      </c>
      <c r="BH239" s="402">
        <f ca="1">IF((SUM($G234:BH234)-$E233)&lt;0,0,IF((SUM($G234:BH234)-$E233)&lt;BH234,SUM($G234:BH234)-$E233,BH234))</f>
        <v>31</v>
      </c>
      <c r="BI239" s="402">
        <f ca="1">IF((SUM($G234:BI234)-$E233)&lt;0,0,IF((SUM($G234:BI234)-$E233)&lt;BI234,SUM($G234:BI234)-$E233,BI234))</f>
        <v>30</v>
      </c>
      <c r="BJ239" s="402">
        <f ca="1">IF((SUM($G234:BJ234)-$E233)&lt;0,0,IF((SUM($G234:BJ234)-$E233)&lt;BJ234,SUM($G234:BJ234)-$E233,BJ234))</f>
        <v>31</v>
      </c>
      <c r="BK239" s="402">
        <f ca="1">IF((SUM($G234:BK234)-$E233)&lt;0,0,IF((SUM($G234:BK234)-$E233)&lt;BK234,SUM($G234:BK234)-$E233,BK234))</f>
        <v>30</v>
      </c>
      <c r="BL239" s="402">
        <f ca="1">IF((SUM($G234:BL234)-$E233)&lt;0,0,IF((SUM($G234:BL234)-$E233)&lt;BL234,SUM($G234:BL234)-$E233,BL234))</f>
        <v>31</v>
      </c>
      <c r="BM239" s="402">
        <f ca="1">IF((SUM($G234:BM234)-$E233)&lt;0,0,IF((SUM($G234:BM234)-$E233)&lt;BM234,SUM($G234:BM234)-$E233,BM234))</f>
        <v>31</v>
      </c>
      <c r="BN239" s="402">
        <f ca="1">IF((SUM($G234:BN234)-$E233)&lt;0,0,IF((SUM($G234:BN234)-$E233)&lt;BN234,SUM($G234:BN234)-$E233,BN234))</f>
        <v>29</v>
      </c>
      <c r="BO239" s="402">
        <f ca="1">IF((SUM($G234:BO234)-$E233)&lt;0,0,IF((SUM($G234:BO234)-$E233)&lt;BO234,SUM($G234:BO234)-$E233,BO234))</f>
        <v>31</v>
      </c>
      <c r="BP239" s="402">
        <f ca="1">IF((SUM($G234:BP234)-$E233)&lt;0,0,IF((SUM($G234:BP234)-$E233)&lt;BP234,SUM($G234:BP234)-$E233,BP234))</f>
        <v>30</v>
      </c>
      <c r="BQ239" s="402">
        <f ca="1">IF((SUM($G234:BQ234)-$E233)&lt;0,0,IF((SUM($G234:BQ234)-$E233)&lt;BQ234,SUM($G234:BQ234)-$E233,BQ234))</f>
        <v>31</v>
      </c>
      <c r="BR239" s="402">
        <f ca="1">IF((SUM($G234:BR234)-$E233)&lt;0,0,IF((SUM($G234:BR234)-$E233)&lt;BR234,SUM($G234:BR234)-$E233,BR234))</f>
        <v>30</v>
      </c>
      <c r="BS239" s="402">
        <f ca="1">IF((SUM($G234:BS234)-$E233)&lt;0,0,IF((SUM($G234:BS234)-$E233)&lt;BS234,SUM($G234:BS234)-$E233,BS234))</f>
        <v>31</v>
      </c>
      <c r="BT239" s="402">
        <f ca="1">IF((SUM($G234:BT234)-$E233)&lt;0,0,IF((SUM($G234:BT234)-$E233)&lt;BT234,SUM($G234:BT234)-$E233,BT234))</f>
        <v>31</v>
      </c>
      <c r="BU239" s="402">
        <f ca="1">IF((SUM($G234:BU234)-$E233)&lt;0,0,IF((SUM($G234:BU234)-$E233)&lt;BU234,SUM($G234:BU234)-$E233,BU234))</f>
        <v>30</v>
      </c>
      <c r="BV239" s="402">
        <f ca="1">IF((SUM($G234:BV234)-$E233)&lt;0,0,IF((SUM($G234:BV234)-$E233)&lt;BV234,SUM($G234:BV234)-$E233,BV234))</f>
        <v>31</v>
      </c>
      <c r="BW239" s="402">
        <f ca="1">IF((SUM($G234:BW234)-$E233)&lt;0,0,IF((SUM($G234:BW234)-$E233)&lt;BW234,SUM($G234:BW234)-$E233,BW234))</f>
        <v>30</v>
      </c>
      <c r="BX239" s="402">
        <f ca="1">IF((SUM($G234:BX234)-$E233)&lt;0,0,IF((SUM($G234:BX234)-$E233)&lt;BX234,SUM($G234:BX234)-$E233,BX234))</f>
        <v>31</v>
      </c>
      <c r="BY239" s="402">
        <f ca="1">IF((SUM($G234:BY234)-$E233)&lt;0,0,IF((SUM($G234:BY234)-$E233)&lt;BY234,SUM($G234:BY234)-$E233,BY234))</f>
        <v>31</v>
      </c>
      <c r="BZ239" s="402">
        <f ca="1">IF((SUM($G234:BZ234)-$E233)&lt;0,0,IF((SUM($G234:BZ234)-$E233)&lt;BZ234,SUM($G234:BZ234)-$E233,BZ234))</f>
        <v>28</v>
      </c>
      <c r="CA239" s="402">
        <f ca="1">IF((SUM($G234:CA234)-$E233)&lt;0,0,IF((SUM($G234:CA234)-$E233)&lt;CA234,SUM($G234:CA234)-$E233,CA234))</f>
        <v>31</v>
      </c>
      <c r="CB239" s="402">
        <f ca="1">IF((SUM($G234:CB234)-$E233)&lt;0,0,IF((SUM($G234:CB234)-$E233)&lt;CB234,SUM($G234:CB234)-$E233,CB234))</f>
        <v>30</v>
      </c>
      <c r="CC239" s="402">
        <f ca="1">IF((SUM($G234:CC234)-$E233)&lt;0,0,IF((SUM($G234:CC234)-$E233)&lt;CC234,SUM($G234:CC234)-$E233,CC234))</f>
        <v>31</v>
      </c>
      <c r="CD239" s="402">
        <f ca="1">IF((SUM($G234:CD234)-$E233)&lt;0,0,IF((SUM($G234:CD234)-$E233)&lt;CD234,SUM($G234:CD234)-$E233,CD234))</f>
        <v>30</v>
      </c>
      <c r="CE239" s="402">
        <f ca="1">IF((SUM($G234:CE234)-$E233)&lt;0,0,IF((SUM($G234:CE234)-$E233)&lt;CE234,SUM($G234:CE234)-$E233,CE234))</f>
        <v>31</v>
      </c>
      <c r="CF239" s="402">
        <f ca="1">IF((SUM($G234:CF234)-$E233)&lt;0,0,IF((SUM($G234:CF234)-$E233)&lt;CF234,SUM($G234:CF234)-$E233,CF234))</f>
        <v>31</v>
      </c>
      <c r="CG239" s="402">
        <f ca="1">IF((SUM($G234:CG234)-$E233)&lt;0,0,IF((SUM($G234:CG234)-$E233)&lt;CG234,SUM($G234:CG234)-$E233,CG234))</f>
        <v>30</v>
      </c>
      <c r="CH239" s="402">
        <f ca="1">IF((SUM($G234:CH234)-$E233)&lt;0,0,IF((SUM($G234:CH234)-$E233)&lt;CH234,SUM($G234:CH234)-$E233,CH234))</f>
        <v>31</v>
      </c>
      <c r="CI239" s="402">
        <f ca="1">IF((SUM($G234:CI234)-$E233)&lt;0,0,IF((SUM($G234:CI234)-$E233)&lt;CI234,SUM($G234:CI234)-$E233,CI234))</f>
        <v>30</v>
      </c>
      <c r="CJ239" s="402">
        <f ca="1">IF((SUM($G234:CJ234)-$E233)&lt;0,0,IF((SUM($G234:CJ234)-$E233)&lt;CJ234,SUM($G234:CJ234)-$E233,CJ234))</f>
        <v>31</v>
      </c>
      <c r="CK239" s="402">
        <f ca="1">IF((SUM($G234:CK234)-$E233)&lt;0,0,IF((SUM($G234:CK234)-$E233)&lt;CK234,SUM($G234:CK234)-$E233,CK234))</f>
        <v>31</v>
      </c>
      <c r="CL239" s="402">
        <f ca="1">IF((SUM($G234:CL234)-$E233)&lt;0,0,IF((SUM($G234:CL234)-$E233)&lt;CL234,SUM($G234:CL234)-$E233,CL234))</f>
        <v>28</v>
      </c>
      <c r="CM239" s="402">
        <f ca="1">IF((SUM($G234:CM234)-$E233)&lt;0,0,IF((SUM($G234:CM234)-$E233)&lt;CM234,SUM($G234:CM234)-$E233,CM234))</f>
        <v>31</v>
      </c>
      <c r="CN239" s="402">
        <f ca="1">IF((SUM($G234:CN234)-$E233)&lt;0,0,IF((SUM($G234:CN234)-$E233)&lt;CN234,SUM($G234:CN234)-$E233,CN234))</f>
        <v>30</v>
      </c>
      <c r="CO239" s="402">
        <f ca="1">IF((SUM($G234:CO234)-$E233)&lt;0,0,IF((SUM($G234:CO234)-$E233)&lt;CO234,SUM($G234:CO234)-$E233,CO234))</f>
        <v>31</v>
      </c>
      <c r="CP239" s="402">
        <f ca="1">IF((SUM($G234:CP234)-$E233)&lt;0,0,IF((SUM($G234:CP234)-$E233)&lt;CP234,SUM($G234:CP234)-$E233,CP234))</f>
        <v>30</v>
      </c>
      <c r="CQ239" s="402">
        <f ca="1">IF((SUM($G234:CQ234)-$E233)&lt;0,0,IF((SUM($G234:CQ234)-$E233)&lt;CQ234,SUM($G234:CQ234)-$E233,CQ234))</f>
        <v>31</v>
      </c>
      <c r="CR239" s="402">
        <f ca="1">IF((SUM($G234:CR234)-$E233)&lt;0,0,IF((SUM($G234:CR234)-$E233)&lt;CR234,SUM($G234:CR234)-$E233,CR234))</f>
        <v>31</v>
      </c>
      <c r="CS239" s="402">
        <f ca="1">IF((SUM($G234:CS234)-$E233)&lt;0,0,IF((SUM($G234:CS234)-$E233)&lt;CS234,SUM($G234:CS234)-$E233,CS234))</f>
        <v>30</v>
      </c>
      <c r="CT239" s="402">
        <f ca="1">IF((SUM($G234:CT234)-$E233)&lt;0,0,IF((SUM($G234:CT234)-$E233)&lt;CT234,SUM($G234:CT234)-$E233,CT234))</f>
        <v>31</v>
      </c>
      <c r="CU239" s="402">
        <f ca="1">IF((SUM($G234:CU234)-$E233)&lt;0,0,IF((SUM($G234:CU234)-$E233)&lt;CU234,SUM($G234:CU234)-$E233,CU234))</f>
        <v>30</v>
      </c>
      <c r="CV239" s="402">
        <f ca="1">IF((SUM($G234:CV234)-$E233)&lt;0,0,IF((SUM($G234:CV234)-$E233)&lt;CV234,SUM($G234:CV234)-$E233,CV234))</f>
        <v>31</v>
      </c>
      <c r="CW239" s="402">
        <f ca="1">IF((SUM($G234:CW234)-$E233)&lt;0,0,IF((SUM($G234:CW234)-$E233)&lt;CW234,SUM($G234:CW234)-$E233,CW234))</f>
        <v>31</v>
      </c>
      <c r="CX239" s="402">
        <f ca="1">IF((SUM($G234:CX234)-$E233)&lt;0,0,IF((SUM($G234:CX234)-$E233)&lt;CX234,SUM($G234:CX234)-$E233,CX234))</f>
        <v>28</v>
      </c>
      <c r="CY239" s="402">
        <f ca="1">IF((SUM($G234:CY234)-$E233)&lt;0,0,IF((SUM($G234:CY234)-$E233)&lt;CY234,SUM($G234:CY234)-$E233,CY234))</f>
        <v>31</v>
      </c>
      <c r="CZ239" s="402">
        <f ca="1">IF((SUM($G234:CZ234)-$E233)&lt;0,0,IF((SUM($G234:CZ234)-$E233)&lt;CZ234,SUM($G234:CZ234)-$E233,CZ234))</f>
        <v>30</v>
      </c>
      <c r="DA239" s="402">
        <f ca="1">IF((SUM($G234:DA234)-$E233)&lt;0,0,IF((SUM($G234:DA234)-$E233)&lt;DA234,SUM($G234:DA234)-$E233,DA234))</f>
        <v>31</v>
      </c>
      <c r="DB239" s="402">
        <f ca="1">IF((SUM($G234:DB234)-$E233)&lt;0,0,IF((SUM($G234:DB234)-$E233)&lt;DB234,SUM($G234:DB234)-$E233,DB234))</f>
        <v>30</v>
      </c>
      <c r="DC239" s="402">
        <f ca="1">IF((SUM($G234:DC234)-$E233)&lt;0,0,IF((SUM($G234:DC234)-$E233)&lt;DC234,SUM($G234:DC234)-$E233,DC234))</f>
        <v>31</v>
      </c>
      <c r="DD239" s="402">
        <f ca="1">IF((SUM($G234:DD234)-$E233)&lt;0,0,IF((SUM($G234:DD234)-$E233)&lt;DD234,SUM($G234:DD234)-$E233,DD234))</f>
        <v>31</v>
      </c>
      <c r="DE239" s="402">
        <f ca="1">IF((SUM($G234:DE234)-$E233)&lt;0,0,IF((SUM($G234:DE234)-$E233)&lt;DE234,SUM($G234:DE234)-$E233,DE234))</f>
        <v>30</v>
      </c>
      <c r="DF239" s="402">
        <f ca="1">IF((SUM($G234:DF234)-$E233)&lt;0,0,IF((SUM($G234:DF234)-$E233)&lt;DF234,SUM($G234:DF234)-$E233,DF234))</f>
        <v>31</v>
      </c>
      <c r="DG239" s="402">
        <f ca="1">IF((SUM($G234:DG234)-$E233)&lt;0,0,IF((SUM($G234:DG234)-$E233)&lt;DG234,SUM($G234:DG234)-$E233,DG234))</f>
        <v>30</v>
      </c>
      <c r="DH239" s="402">
        <f ca="1">IF((SUM($G234:DH234)-$E233)&lt;0,0,IF((SUM($G234:DH234)-$E233)&lt;DH234,SUM($G234:DH234)-$E233,DH234))</f>
        <v>31</v>
      </c>
      <c r="DI239" s="402">
        <f ca="1">IF((SUM($G234:DI234)-$E233)&lt;0,0,IF((SUM($G234:DI234)-$E233)&lt;DI234,SUM($G234:DI234)-$E233,DI234))</f>
        <v>31</v>
      </c>
      <c r="DJ239" s="402">
        <f ca="1">IF((SUM($G234:DJ234)-$E233)&lt;0,0,IF((SUM($G234:DJ234)-$E233)&lt;DJ234,SUM($G234:DJ234)-$E233,DJ234))</f>
        <v>29</v>
      </c>
      <c r="DK239" s="402">
        <f ca="1">IF((SUM($G234:DK234)-$E233)&lt;0,0,IF((SUM($G234:DK234)-$E233)&lt;DK234,SUM($G234:DK234)-$E233,DK234))</f>
        <v>31</v>
      </c>
      <c r="DL239" s="402">
        <f ca="1">IF((SUM($G234:DL234)-$E233)&lt;0,0,IF((SUM($G234:DL234)-$E233)&lt;DL234,SUM($G234:DL234)-$E233,DL234))</f>
        <v>30</v>
      </c>
      <c r="DM239" s="402">
        <f ca="1">IF((SUM($G234:DM234)-$E233)&lt;0,0,IF((SUM($G234:DM234)-$E233)&lt;DM234,SUM($G234:DM234)-$E233,DM234))</f>
        <v>31</v>
      </c>
      <c r="DN239" s="402">
        <f ca="1">IF((SUM($G234:DN234)-$E233)&lt;0,0,IF((SUM($G234:DN234)-$E233)&lt;DN234,SUM($G234:DN234)-$E233,DN234))</f>
        <v>30</v>
      </c>
      <c r="DO239" s="402">
        <f ca="1">IF((SUM($G234:DO234)-$E233)&lt;0,0,IF((SUM($G234:DO234)-$E233)&lt;DO234,SUM($G234:DO234)-$E233,DO234))</f>
        <v>31</v>
      </c>
      <c r="DP239" s="402">
        <f ca="1">IF((SUM($G234:DP234)-$E233)&lt;0,0,IF((SUM($G234:DP234)-$E233)&lt;DP234,SUM($G234:DP234)-$E233,DP234))</f>
        <v>31</v>
      </c>
      <c r="DQ239" s="402">
        <f ca="1">IF((SUM($G234:DQ234)-$E233)&lt;0,0,IF((SUM($G234:DQ234)-$E233)&lt;DQ234,SUM($G234:DQ234)-$E233,DQ234))</f>
        <v>30</v>
      </c>
      <c r="DR239" s="402">
        <f ca="1">IF((SUM($G234:DR234)-$E233)&lt;0,0,IF((SUM($G234:DR234)-$E233)&lt;DR234,SUM($G234:DR234)-$E233,DR234))</f>
        <v>31</v>
      </c>
      <c r="DS239" s="402">
        <f ca="1">IF((SUM($G234:DS234)-$E233)&lt;0,0,IF((SUM($G234:DS234)-$E233)&lt;DS234,SUM($G234:DS234)-$E233,DS234))</f>
        <v>30</v>
      </c>
      <c r="DT239" s="402">
        <f ca="1">IF((SUM($G234:DT234)-$E233)&lt;0,0,IF((SUM($G234:DT234)-$E233)&lt;DT234,SUM($G234:DT234)-$E233,DT234))</f>
        <v>31</v>
      </c>
      <c r="DU239" s="402">
        <f ca="1">IF((SUM($G234:DU234)-$E233)&lt;0,0,IF((SUM($G234:DU234)-$E233)&lt;DU234,SUM($G234:DU234)-$E233,DU234))</f>
        <v>31</v>
      </c>
      <c r="DV239" s="402">
        <f ca="1">IF((SUM($G234:DV234)-$E233)&lt;0,0,IF((SUM($G234:DV234)-$E233)&lt;DV234,SUM($G234:DV234)-$E233,DV234))</f>
        <v>28</v>
      </c>
      <c r="DW239" s="402">
        <f ca="1">IF((SUM($G234:DW234)-$E233)&lt;0,0,IF((SUM($G234:DW234)-$E233)&lt;DW234,SUM($G234:DW234)-$E233,DW234))</f>
        <v>31</v>
      </c>
      <c r="DX239" s="402">
        <f ca="1">IF((SUM($G234:DX234)-$E233)&lt;0,0,IF((SUM($G234:DX234)-$E233)&lt;DX234,SUM($G234:DX234)-$E233,DX234))</f>
        <v>30</v>
      </c>
      <c r="DY239" s="402">
        <f ca="1">IF((SUM($G234:DY234)-$E233)&lt;0,0,IF((SUM($G234:DY234)-$E233)&lt;DY234,SUM($G234:DY234)-$E233,DY234))</f>
        <v>31</v>
      </c>
      <c r="DZ239" s="402">
        <f ca="1">IF((SUM($G234:DZ234)-$E233)&lt;0,0,IF((SUM($G234:DZ234)-$E233)&lt;DZ234,SUM($G234:DZ234)-$E233,DZ234))</f>
        <v>30</v>
      </c>
      <c r="EA239" s="402">
        <f ca="1">IF((SUM($G234:EA234)-$E233)&lt;0,0,IF((SUM($G234:EA234)-$E233)&lt;EA234,SUM($G234:EA234)-$E233,EA234))</f>
        <v>31</v>
      </c>
      <c r="EB239" s="402">
        <f ca="1">IF((SUM($G234:EB234)-$E233)&lt;0,0,IF((SUM($G234:EB234)-$E233)&lt;EB234,SUM($G234:EB234)-$E233,EB234))</f>
        <v>31</v>
      </c>
      <c r="EC239" s="402">
        <f ca="1">IF((SUM($G234:EC234)-$E233)&lt;0,0,IF((SUM($G234:EC234)-$E233)&lt;EC234,SUM($G234:EC234)-$E233,EC234))</f>
        <v>30</v>
      </c>
      <c r="ED239" s="402">
        <f ca="1">IF((SUM($G234:ED234)-$E233)&lt;0,0,IF((SUM($G234:ED234)-$E233)&lt;ED234,SUM($G234:ED234)-$E233,ED234))</f>
        <v>31</v>
      </c>
      <c r="EE239" s="402">
        <f ca="1">IF((SUM($G234:EE234)-$E233)&lt;0,0,IF((SUM($G234:EE234)-$E233)&lt;EE234,SUM($G234:EE234)-$E233,EE234))</f>
        <v>30</v>
      </c>
      <c r="EF239" s="402">
        <f ca="1">IF((SUM($G234:EF234)-$E233)&lt;0,0,IF((SUM($G234:EF234)-$E233)&lt;EF234,SUM($G234:EF234)-$E233,EF234))</f>
        <v>31</v>
      </c>
      <c r="EG239" s="402">
        <f ca="1">IF((SUM($G234:EG234)-$E233)&lt;0,0,IF((SUM($G234:EG234)-$E233)&lt;EG234,SUM($G234:EG234)-$E233,EG234))</f>
        <v>31</v>
      </c>
      <c r="EH239" s="402">
        <f ca="1">IF((SUM($G234:EH234)-$E233)&lt;0,0,IF((SUM($G234:EH234)-$E233)&lt;EH234,SUM($G234:EH234)-$E233,EH234))</f>
        <v>28</v>
      </c>
      <c r="EI239" s="402">
        <f ca="1">IF((SUM($G234:EI234)-$E233)&lt;0,0,IF((SUM($G234:EI234)-$E233)&lt;EI234,SUM($G234:EI234)-$E233,EI234))</f>
        <v>31</v>
      </c>
      <c r="EJ239" s="402">
        <f ca="1">IF((SUM($G234:EJ234)-$E233)&lt;0,0,IF((SUM($G234:EJ234)-$E233)&lt;EJ234,SUM($G234:EJ234)-$E233,EJ234))</f>
        <v>0</v>
      </c>
      <c r="EV239" s="321"/>
    </row>
    <row r="240" spans="1:152" hidden="1" outlineLevel="2">
      <c r="A240" s="332"/>
      <c r="B240" s="313"/>
      <c r="D240" s="305" t="s">
        <v>670</v>
      </c>
      <c r="E240" s="403">
        <f ca="1">MIN(G240:EI240)</f>
        <v>45231</v>
      </c>
      <c r="F240" s="404">
        <f ca="1">MAX(G240:EI240)</f>
        <v>45231</v>
      </c>
      <c r="G240" s="403" t="str">
        <f ca="1">IF(G238=0,"",IF(SUM($G238:G238)&gt;=1,OFFSET(G$228,-1,0),""))</f>
        <v/>
      </c>
      <c r="H240" s="403" t="str">
        <f ca="1">IF(SUM($G240:G240)&gt;=1,"",IF(H238=0,"",IF(SUM($G238:H238)&gt;=1,OFFSET(H$228,-1,0),"")))</f>
        <v/>
      </c>
      <c r="I240" s="403" t="str">
        <f ca="1">IF(SUM($G240:H240)&gt;=1,"",IF(I238=0,"",IF(SUM($G238:I238)&gt;=1,OFFSET(I$228,-1,0),"")))</f>
        <v/>
      </c>
      <c r="J240" s="403" t="str">
        <f ca="1">IF(SUM($G240:I240)&gt;=1,"",IF(J238=0,"",IF(SUM($G238:J238)&gt;=1,OFFSET(J$228,-1,0),"")))</f>
        <v/>
      </c>
      <c r="K240" s="403" t="str">
        <f ca="1">IF(SUM($G240:J240)&gt;=1,"",IF(K238=0,"",IF(SUM($G238:K238)&gt;=1,OFFSET(K$228,-1,0),"")))</f>
        <v/>
      </c>
      <c r="L240" s="403" t="str">
        <f ca="1">IF(SUM($G240:K240)&gt;=1,"",IF(L238=0,"",IF(SUM($G238:L238)&gt;=1,OFFSET(L$228,-1,0),"")))</f>
        <v/>
      </c>
      <c r="M240" s="403" t="str">
        <f ca="1">IF(SUM($G240:L240)&gt;=1,"",IF(M238=0,"",IF(SUM($G238:M238)&gt;=1,OFFSET(M$228,-1,0),"")))</f>
        <v/>
      </c>
      <c r="N240" s="403" t="str">
        <f ca="1">IF(SUM($G240:M240)&gt;=1,"",IF(N238=0,"",IF(SUM($G238:N238)&gt;=1,OFFSET(N$228,-1,0),"")))</f>
        <v/>
      </c>
      <c r="O240" s="403">
        <f ca="1">IF(SUM($G240:N240)&gt;=1,"",IF(O238=0,"",IF(SUM($G238:O238)&gt;=1,OFFSET(O$228,-1,0),"")))</f>
        <v>45231</v>
      </c>
      <c r="P240" s="403" t="str">
        <f ca="1">IF(SUM($G240:O240)&gt;=1,"",IF(P238=0,"",IF(SUM($G238:P238)&gt;=1,OFFSET(P$228,-1,0),"")))</f>
        <v/>
      </c>
      <c r="Q240" s="403" t="str">
        <f ca="1">IF(SUM($G240:P240)&gt;=1,"",IF(Q238=0,"",IF(SUM($G238:Q238)&gt;=1,OFFSET(Q$228,-1,0),"")))</f>
        <v/>
      </c>
      <c r="R240" s="403" t="str">
        <f ca="1">IF(SUM($G240:Q240)&gt;=1,"",IF(R238=0,"",IF(SUM($G238:R238)&gt;=1,OFFSET(R$228,-1,0),"")))</f>
        <v/>
      </c>
      <c r="S240" s="403" t="str">
        <f ca="1">IF(SUM($G240:R240)&gt;=1,"",IF(S238=0,"",IF(SUM($G238:S238)&gt;=1,OFFSET(S$228,-1,0),"")))</f>
        <v/>
      </c>
      <c r="T240" s="403" t="str">
        <f ca="1">IF(SUM($G240:S240)&gt;=1,"",IF(T238=0,"",IF(SUM($G238:T238)&gt;=1,OFFSET(T$228,-1,0),"")))</f>
        <v/>
      </c>
      <c r="U240" s="403" t="str">
        <f ca="1">IF(SUM($G240:T240)&gt;=1,"",IF(U238=0,"",IF(SUM($G238:U238)&gt;=1,OFFSET(U$228,-1,0),"")))</f>
        <v/>
      </c>
      <c r="V240" s="403" t="str">
        <f ca="1">IF(SUM($G240:U240)&gt;=1,"",IF(V238=0,"",IF(SUM($G238:V238)&gt;=1,OFFSET(V$228,-1,0),"")))</f>
        <v/>
      </c>
      <c r="W240" s="403" t="str">
        <f ca="1">IF(SUM($G240:V240)&gt;=1,"",IF(W238=0,"",IF(SUM($G238:W238)&gt;=1,OFFSET(W$228,-1,0),"")))</f>
        <v/>
      </c>
      <c r="X240" s="403" t="str">
        <f ca="1">IF(SUM($G240:W240)&gt;=1,"",IF(X238=0,"",IF(SUM($G238:X238)&gt;=1,OFFSET(X$228,-1,0),"")))</f>
        <v/>
      </c>
      <c r="Y240" s="403" t="str">
        <f ca="1">IF(SUM($G240:X240)&gt;=1,"",IF(Y238=0,"",IF(SUM($G238:Y238)&gt;=1,OFFSET(Y$228,-1,0),"")))</f>
        <v/>
      </c>
      <c r="Z240" s="403" t="str">
        <f ca="1">IF(SUM($G240:Y240)&gt;=1,"",IF(Z238=0,"",IF(SUM($G238:Z238)&gt;=1,OFFSET(Z$228,-1,0),"")))</f>
        <v/>
      </c>
      <c r="AA240" s="403" t="str">
        <f ca="1">IF(SUM($G240:Z240)&gt;=1,"",IF(AA238=0,"",IF(SUM($G238:AA238)&gt;=1,OFFSET(AA$228,-1,0),"")))</f>
        <v/>
      </c>
      <c r="AB240" s="403" t="str">
        <f ca="1">IF(SUM($G240:AA240)&gt;=1,"",IF(AB238=0,"",IF(SUM($G238:AB238)&gt;=1,OFFSET(AB$228,-1,0),"")))</f>
        <v/>
      </c>
      <c r="AC240" s="403" t="str">
        <f ca="1">IF(SUM($G240:AB240)&gt;=1,"",IF(AC238=0,"",IF(SUM($G238:AC238)&gt;=1,OFFSET(AC$228,-1,0),"")))</f>
        <v/>
      </c>
      <c r="AD240" s="403" t="str">
        <f ca="1">IF(SUM($G240:AC240)&gt;=1,"",IF(AD238=0,"",IF(SUM($G238:AD238)&gt;=1,OFFSET(AD$228,-1,0),"")))</f>
        <v/>
      </c>
      <c r="AE240" s="403" t="str">
        <f ca="1">IF(SUM($G240:AD240)&gt;=1,"",IF(AE238=0,"",IF(SUM($G238:AE238)&gt;=1,OFFSET(AE$228,-1,0),"")))</f>
        <v/>
      </c>
      <c r="AF240" s="403" t="str">
        <f ca="1">IF(SUM($G240:AE240)&gt;=1,"",IF(AF238=0,"",IF(SUM($G238:AF238)&gt;=1,OFFSET(AF$228,-1,0),"")))</f>
        <v/>
      </c>
      <c r="AG240" s="403" t="str">
        <f ca="1">IF(SUM($G240:AF240)&gt;=1,"",IF(AG238=0,"",IF(SUM($G238:AG238)&gt;=1,OFFSET(AG$228,-1,0),"")))</f>
        <v/>
      </c>
      <c r="AH240" s="403" t="str">
        <f ca="1">IF(SUM($G240:AG240)&gt;=1,"",IF(AH238=0,"",IF(SUM($G238:AH238)&gt;=1,OFFSET(AH$228,-1,0),"")))</f>
        <v/>
      </c>
      <c r="AI240" s="403" t="str">
        <f ca="1">IF(SUM($G240:AH240)&gt;=1,"",IF(AI238=0,"",IF(SUM($G238:AI238)&gt;=1,OFFSET(AI$228,-1,0),"")))</f>
        <v/>
      </c>
      <c r="AJ240" s="403" t="str">
        <f ca="1">IF(SUM($G240:AI240)&gt;=1,"",IF(AJ238=0,"",IF(SUM($G238:AJ238)&gt;=1,OFFSET(AJ$228,-1,0),"")))</f>
        <v/>
      </c>
      <c r="AK240" s="403" t="str">
        <f ca="1">IF(SUM($G240:AJ240)&gt;=1,"",IF(AK238=0,"",IF(SUM($G238:AK238)&gt;=1,OFFSET(AK$228,-1,0),"")))</f>
        <v/>
      </c>
      <c r="AL240" s="403" t="str">
        <f ca="1">IF(SUM($G240:AK240)&gt;=1,"",IF(AL238=0,"",IF(SUM($G238:AL238)&gt;=1,OFFSET(AL$228,-1,0),"")))</f>
        <v/>
      </c>
      <c r="AM240" s="403" t="str">
        <f ca="1">IF(SUM($G240:AL240)&gt;=1,"",IF(AM238=0,"",IF(SUM($G238:AM238)&gt;=1,OFFSET(AM$228,-1,0),"")))</f>
        <v/>
      </c>
      <c r="AN240" s="403" t="str">
        <f ca="1">IF(SUM($G240:AM240)&gt;=1,"",IF(AN238=0,"",IF(SUM($G238:AN238)&gt;=1,OFFSET(AN$228,-1,0),"")))</f>
        <v/>
      </c>
      <c r="AO240" s="403" t="str">
        <f ca="1">IF(SUM($G240:AN240)&gt;=1,"",IF(AO238=0,"",IF(SUM($G238:AO238)&gt;=1,OFFSET(AO$228,-1,0),"")))</f>
        <v/>
      </c>
      <c r="AP240" s="403" t="str">
        <f ca="1">IF(SUM($G240:AO240)&gt;=1,"",IF(AP238=0,"",IF(SUM($G238:AP238)&gt;=1,OFFSET(AP$228,-1,0),"")))</f>
        <v/>
      </c>
      <c r="AQ240" s="403" t="str">
        <f ca="1">IF(SUM($G240:AP240)&gt;=1,"",IF(AQ238=0,"",IF(SUM($G238:AQ238)&gt;=1,OFFSET(AQ$228,-1,0),"")))</f>
        <v/>
      </c>
      <c r="AR240" s="403" t="str">
        <f ca="1">IF(SUM($G240:AQ240)&gt;=1,"",IF(AR238=0,"",IF(SUM($G238:AR238)&gt;=1,OFFSET(AR$228,-1,0),"")))</f>
        <v/>
      </c>
      <c r="AS240" s="403" t="str">
        <f ca="1">IF(SUM($G240:AR240)&gt;=1,"",IF(AS238=0,"",IF(SUM($G238:AS238)&gt;=1,OFFSET(AS$228,-1,0),"")))</f>
        <v/>
      </c>
      <c r="AT240" s="403" t="str">
        <f ca="1">IF(SUM($G240:AS240)&gt;=1,"",IF(AT238=0,"",IF(SUM($G238:AT238)&gt;=1,OFFSET(AT$228,-1,0),"")))</f>
        <v/>
      </c>
      <c r="AU240" s="403" t="str">
        <f ca="1">IF(SUM($G240:AT240)&gt;=1,"",IF(AU238=0,"",IF(SUM($G238:AU238)&gt;=1,OFFSET(AU$228,-1,0),"")))</f>
        <v/>
      </c>
      <c r="AV240" s="403" t="str">
        <f ca="1">IF(SUM($G240:AU240)&gt;=1,"",IF(AV238=0,"",IF(SUM($G238:AV238)&gt;=1,OFFSET(AV$228,-1,0),"")))</f>
        <v/>
      </c>
      <c r="AW240" s="403" t="str">
        <f ca="1">IF(SUM($G240:AV240)&gt;=1,"",IF(AW238=0,"",IF(SUM($G238:AW238)&gt;=1,OFFSET(AW$228,-1,0),"")))</f>
        <v/>
      </c>
      <c r="AX240" s="403" t="str">
        <f ca="1">IF(SUM($G240:AW240)&gt;=1,"",IF(AX238=0,"",IF(SUM($G238:AX238)&gt;=1,OFFSET(AX$228,-1,0),"")))</f>
        <v/>
      </c>
      <c r="AY240" s="403" t="str">
        <f ca="1">IF(SUM($G240:AX240)&gt;=1,"",IF(AY238=0,"",IF(SUM($G238:AY238)&gt;=1,OFFSET(AY$228,-1,0),"")))</f>
        <v/>
      </c>
      <c r="AZ240" s="403" t="str">
        <f ca="1">IF(SUM($G240:AY240)&gt;=1,"",IF(AZ238=0,"",IF(SUM($G238:AZ238)&gt;=1,OFFSET(AZ$228,-1,0),"")))</f>
        <v/>
      </c>
      <c r="BA240" s="403" t="str">
        <f ca="1">IF(SUM($G240:AZ240)&gt;=1,"",IF(BA238=0,"",IF(SUM($G238:BA238)&gt;=1,OFFSET(BA$228,-1,0),"")))</f>
        <v/>
      </c>
      <c r="BB240" s="403" t="str">
        <f ca="1">IF(SUM($G240:BA240)&gt;=1,"",IF(BB238=0,"",IF(SUM($G238:BB238)&gt;=1,OFFSET(BB$228,-1,0),"")))</f>
        <v/>
      </c>
      <c r="BC240" s="403" t="str">
        <f ca="1">IF(SUM($G240:BB240)&gt;=1,"",IF(BC238=0,"",IF(SUM($G238:BC238)&gt;=1,OFFSET(BC$228,-1,0),"")))</f>
        <v/>
      </c>
      <c r="BD240" s="403" t="str">
        <f ca="1">IF(SUM($G240:BC240)&gt;=1,"",IF(BD238=0,"",IF(SUM($G238:BD238)&gt;=1,OFFSET(BD$228,-1,0),"")))</f>
        <v/>
      </c>
      <c r="BE240" s="403" t="str">
        <f ca="1">IF(SUM($G240:BD240)&gt;=1,"",IF(BE238=0,"",IF(SUM($G238:BE238)&gt;=1,OFFSET(BE$228,-1,0),"")))</f>
        <v/>
      </c>
      <c r="BF240" s="403" t="str">
        <f ca="1">IF(SUM($G240:BE240)&gt;=1,"",IF(BF238=0,"",IF(SUM($G238:BF238)&gt;=1,OFFSET(BF$228,-1,0),"")))</f>
        <v/>
      </c>
      <c r="BG240" s="403" t="str">
        <f ca="1">IF(SUM($G240:BF240)&gt;=1,"",IF(BG238=0,"",IF(SUM($G238:BG238)&gt;=1,OFFSET(BG$228,-1,0),"")))</f>
        <v/>
      </c>
      <c r="BH240" s="403" t="str">
        <f ca="1">IF(SUM($G240:BG240)&gt;=1,"",IF(BH238=0,"",IF(SUM($G238:BH238)&gt;=1,OFFSET(BH$228,-1,0),"")))</f>
        <v/>
      </c>
      <c r="BI240" s="403" t="str">
        <f ca="1">IF(SUM($G240:BH240)&gt;=1,"",IF(BI238=0,"",IF(SUM($G238:BI238)&gt;=1,OFFSET(BI$228,-1,0),"")))</f>
        <v/>
      </c>
      <c r="BJ240" s="403" t="str">
        <f ca="1">IF(SUM($G240:BI240)&gt;=1,"",IF(BJ238=0,"",IF(SUM($G238:BJ238)&gt;=1,OFFSET(BJ$228,-1,0),"")))</f>
        <v/>
      </c>
      <c r="BK240" s="403" t="str">
        <f ca="1">IF(SUM($G240:BJ240)&gt;=1,"",IF(BK238=0,"",IF(SUM($G238:BK238)&gt;=1,OFFSET(BK$228,-1,0),"")))</f>
        <v/>
      </c>
      <c r="BL240" s="403" t="str">
        <f ca="1">IF(SUM($G240:BK240)&gt;=1,"",IF(BL238=0,"",IF(SUM($G238:BL238)&gt;=1,OFFSET(BL$228,-1,0),"")))</f>
        <v/>
      </c>
      <c r="BM240" s="403" t="str">
        <f ca="1">IF(SUM($G240:BL240)&gt;=1,"",IF(BM238=0,"",IF(SUM($G238:BM238)&gt;=1,OFFSET(BM$228,-1,0),"")))</f>
        <v/>
      </c>
      <c r="BN240" s="403" t="str">
        <f ca="1">IF(SUM($G240:BM240)&gt;=1,"",IF(BN238=0,"",IF(SUM($G238:BN238)&gt;=1,OFFSET(BN$228,-1,0),"")))</f>
        <v/>
      </c>
      <c r="BO240" s="403" t="str">
        <f ca="1">IF(SUM($G240:BN240)&gt;=1,"",IF(BO238=0,"",IF(SUM($G238:BO238)&gt;=1,OFFSET(BO$228,-1,0),"")))</f>
        <v/>
      </c>
      <c r="BP240" s="403" t="str">
        <f ca="1">IF(SUM($G240:BO240)&gt;=1,"",IF(BP238=0,"",IF(SUM($G238:BP238)&gt;=1,OFFSET(BP$228,-1,0),"")))</f>
        <v/>
      </c>
      <c r="BQ240" s="403" t="str">
        <f ca="1">IF(SUM($G240:BP240)&gt;=1,"",IF(BQ238=0,"",IF(SUM($G238:BQ238)&gt;=1,OFFSET(BQ$228,-1,0),"")))</f>
        <v/>
      </c>
      <c r="BR240" s="403" t="str">
        <f ca="1">IF(SUM($G240:BQ240)&gt;=1,"",IF(BR238=0,"",IF(SUM($G238:BR238)&gt;=1,OFFSET(BR$228,-1,0),"")))</f>
        <v/>
      </c>
      <c r="BS240" s="403" t="str">
        <f ca="1">IF(SUM($G240:BR240)&gt;=1,"",IF(BS238=0,"",IF(SUM($G238:BS238)&gt;=1,OFFSET(BS$228,-1,0),"")))</f>
        <v/>
      </c>
      <c r="BT240" s="403" t="str">
        <f ca="1">IF(SUM($G240:BS240)&gt;=1,"",IF(BT238=0,"",IF(SUM($G238:BT238)&gt;=1,OFFSET(BT$228,-1,0),"")))</f>
        <v/>
      </c>
      <c r="BU240" s="403" t="str">
        <f ca="1">IF(SUM($G240:BT240)&gt;=1,"",IF(BU238=0,"",IF(SUM($G238:BU238)&gt;=1,OFFSET(BU$228,-1,0),"")))</f>
        <v/>
      </c>
      <c r="BV240" s="403" t="str">
        <f ca="1">IF(SUM($G240:BU240)&gt;=1,"",IF(BV238=0,"",IF(SUM($G238:BV238)&gt;=1,OFFSET(BV$228,-1,0),"")))</f>
        <v/>
      </c>
      <c r="BW240" s="403" t="str">
        <f ca="1">IF(SUM($G240:BV240)&gt;=1,"",IF(BW238=0,"",IF(SUM($G238:BW238)&gt;=1,OFFSET(BW$228,-1,0),"")))</f>
        <v/>
      </c>
      <c r="BX240" s="403" t="str">
        <f ca="1">IF(SUM($G240:BW240)&gt;=1,"",IF(BX238=0,"",IF(SUM($G238:BX238)&gt;=1,OFFSET(BX$228,-1,0),"")))</f>
        <v/>
      </c>
      <c r="BY240" s="403" t="str">
        <f ca="1">IF(SUM($G240:BX240)&gt;=1,"",IF(BY238=0,"",IF(SUM($G238:BY238)&gt;=1,OFFSET(BY$228,-1,0),"")))</f>
        <v/>
      </c>
      <c r="BZ240" s="403" t="str">
        <f ca="1">IF(SUM($G240:BY240)&gt;=1,"",IF(BZ238=0,"",IF(SUM($G238:BZ238)&gt;=1,OFFSET(BZ$228,-1,0),"")))</f>
        <v/>
      </c>
      <c r="CA240" s="403" t="str">
        <f ca="1">IF(SUM($G240:BZ240)&gt;=1,"",IF(CA238=0,"",IF(SUM($G238:CA238)&gt;=1,OFFSET(CA$228,-1,0),"")))</f>
        <v/>
      </c>
      <c r="CB240" s="403" t="str">
        <f ca="1">IF(SUM($G240:CA240)&gt;=1,"",IF(CB238=0,"",IF(SUM($G238:CB238)&gt;=1,OFFSET(CB$228,-1,0),"")))</f>
        <v/>
      </c>
      <c r="CC240" s="403" t="str">
        <f ca="1">IF(SUM($G240:CB240)&gt;=1,"",IF(CC238=0,"",IF(SUM($G238:CC238)&gt;=1,OFFSET(CC$228,-1,0),"")))</f>
        <v/>
      </c>
      <c r="CD240" s="403" t="str">
        <f ca="1">IF(SUM($G240:CC240)&gt;=1,"",IF(CD238=0,"",IF(SUM($G238:CD238)&gt;=1,OFFSET(CD$228,-1,0),"")))</f>
        <v/>
      </c>
      <c r="CE240" s="403" t="str">
        <f ca="1">IF(SUM($G240:CD240)&gt;=1,"",IF(CE238=0,"",IF(SUM($G238:CE238)&gt;=1,OFFSET(CE$228,-1,0),"")))</f>
        <v/>
      </c>
      <c r="CF240" s="403" t="str">
        <f ca="1">IF(SUM($G240:CE240)&gt;=1,"",IF(CF238=0,"",IF(SUM($G238:CF238)&gt;=1,OFFSET(CF$228,-1,0),"")))</f>
        <v/>
      </c>
      <c r="CG240" s="403" t="str">
        <f ca="1">IF(SUM($G240:CF240)&gt;=1,"",IF(CG238=0,"",IF(SUM($G238:CG238)&gt;=1,OFFSET(CG$228,-1,0),"")))</f>
        <v/>
      </c>
      <c r="CH240" s="403" t="str">
        <f ca="1">IF(SUM($G240:CG240)&gt;=1,"",IF(CH238=0,"",IF(SUM($G238:CH238)&gt;=1,OFFSET(CH$228,-1,0),"")))</f>
        <v/>
      </c>
      <c r="CI240" s="403" t="str">
        <f ca="1">IF(SUM($G240:CH240)&gt;=1,"",IF(CI238=0,"",IF(SUM($G238:CI238)&gt;=1,OFFSET(CI$228,-1,0),"")))</f>
        <v/>
      </c>
      <c r="CJ240" s="403" t="str">
        <f ca="1">IF(SUM($G240:CI240)&gt;=1,"",IF(CJ238=0,"",IF(SUM($G238:CJ238)&gt;=1,OFFSET(CJ$228,-1,0),"")))</f>
        <v/>
      </c>
      <c r="CK240" s="403" t="str">
        <f ca="1">IF(SUM($G240:CJ240)&gt;=1,"",IF(CK238=0,"",IF(SUM($G238:CK238)&gt;=1,OFFSET(CK$228,-1,0),"")))</f>
        <v/>
      </c>
      <c r="CL240" s="403" t="str">
        <f ca="1">IF(SUM($G240:CK240)&gt;=1,"",IF(CL238=0,"",IF(SUM($G238:CL238)&gt;=1,OFFSET(CL$228,-1,0),"")))</f>
        <v/>
      </c>
      <c r="CM240" s="403" t="str">
        <f ca="1">IF(SUM($G240:CL240)&gt;=1,"",IF(CM238=0,"",IF(SUM($G238:CM238)&gt;=1,OFFSET(CM$228,-1,0),"")))</f>
        <v/>
      </c>
      <c r="CN240" s="403" t="str">
        <f ca="1">IF(SUM($G240:CM240)&gt;=1,"",IF(CN238=0,"",IF(SUM($G238:CN238)&gt;=1,OFFSET(CN$228,-1,0),"")))</f>
        <v/>
      </c>
      <c r="CO240" s="403" t="str">
        <f ca="1">IF(SUM($G240:CN240)&gt;=1,"",IF(CO238=0,"",IF(SUM($G238:CO238)&gt;=1,OFFSET(CO$228,-1,0),"")))</f>
        <v/>
      </c>
      <c r="CP240" s="403" t="str">
        <f ca="1">IF(SUM($G240:CO240)&gt;=1,"",IF(CP238=0,"",IF(SUM($G238:CP238)&gt;=1,OFFSET(CP$228,-1,0),"")))</f>
        <v/>
      </c>
      <c r="CQ240" s="403" t="str">
        <f ca="1">IF(SUM($G240:CP240)&gt;=1,"",IF(CQ238=0,"",IF(SUM($G238:CQ238)&gt;=1,OFFSET(CQ$228,-1,0),"")))</f>
        <v/>
      </c>
      <c r="CR240" s="403" t="str">
        <f ca="1">IF(SUM($G240:CQ240)&gt;=1,"",IF(CR238=0,"",IF(SUM($G238:CR238)&gt;=1,OFFSET(CR$228,-1,0),"")))</f>
        <v/>
      </c>
      <c r="CS240" s="403" t="str">
        <f ca="1">IF(SUM($G240:CR240)&gt;=1,"",IF(CS238=0,"",IF(SUM($G238:CS238)&gt;=1,OFFSET(CS$228,-1,0),"")))</f>
        <v/>
      </c>
      <c r="CT240" s="403" t="str">
        <f ca="1">IF(SUM($G240:CS240)&gt;=1,"",IF(CT238=0,"",IF(SUM($G238:CT238)&gt;=1,OFFSET(CT$228,-1,0),"")))</f>
        <v/>
      </c>
      <c r="CU240" s="403" t="str">
        <f ca="1">IF(SUM($G240:CT240)&gt;=1,"",IF(CU238=0,"",IF(SUM($G238:CU238)&gt;=1,OFFSET(CU$228,-1,0),"")))</f>
        <v/>
      </c>
      <c r="CV240" s="403" t="str">
        <f ca="1">IF(SUM($G240:CU240)&gt;=1,"",IF(CV238=0,"",IF(SUM($G238:CV238)&gt;=1,OFFSET(CV$228,-1,0),"")))</f>
        <v/>
      </c>
      <c r="CW240" s="403" t="str">
        <f ca="1">IF(SUM($G240:CV240)&gt;=1,"",IF(CW238=0,"",IF(SUM($G238:CW238)&gt;=1,OFFSET(CW$228,-1,0),"")))</f>
        <v/>
      </c>
      <c r="CX240" s="403" t="str">
        <f ca="1">IF(SUM($G240:CW240)&gt;=1,"",IF(CX238=0,"",IF(SUM($G238:CX238)&gt;=1,OFFSET(CX$228,-1,0),"")))</f>
        <v/>
      </c>
      <c r="CY240" s="403" t="str">
        <f ca="1">IF(SUM($G240:CX240)&gt;=1,"",IF(CY238=0,"",IF(SUM($G238:CY238)&gt;=1,OFFSET(CY$228,-1,0),"")))</f>
        <v/>
      </c>
      <c r="CZ240" s="403" t="str">
        <f ca="1">IF(SUM($G240:CY240)&gt;=1,"",IF(CZ238=0,"",IF(SUM($G238:CZ238)&gt;=1,OFFSET(CZ$228,-1,0),"")))</f>
        <v/>
      </c>
      <c r="DA240" s="403" t="str">
        <f ca="1">IF(SUM($G240:CZ240)&gt;=1,"",IF(DA238=0,"",IF(SUM($G238:DA238)&gt;=1,OFFSET(DA$228,-1,0),"")))</f>
        <v/>
      </c>
      <c r="DB240" s="403" t="str">
        <f ca="1">IF(SUM($G240:DA240)&gt;=1,"",IF(DB238=0,"",IF(SUM($G238:DB238)&gt;=1,OFFSET(DB$228,-1,0),"")))</f>
        <v/>
      </c>
      <c r="DC240" s="403" t="str">
        <f ca="1">IF(SUM($G240:DB240)&gt;=1,"",IF(DC238=0,"",IF(SUM($G238:DC238)&gt;=1,OFFSET(DC$228,-1,0),"")))</f>
        <v/>
      </c>
      <c r="DD240" s="403" t="str">
        <f ca="1">IF(SUM($G240:DC240)&gt;=1,"",IF(DD238=0,"",IF(SUM($G238:DD238)&gt;=1,OFFSET(DD$228,-1,0),"")))</f>
        <v/>
      </c>
      <c r="DE240" s="403" t="str">
        <f ca="1">IF(SUM($G240:DD240)&gt;=1,"",IF(DE238=0,"",IF(SUM($G238:DE238)&gt;=1,OFFSET(DE$228,-1,0),"")))</f>
        <v/>
      </c>
      <c r="DF240" s="403" t="str">
        <f ca="1">IF(SUM($G240:DE240)&gt;=1,"",IF(DF238=0,"",IF(SUM($G238:DF238)&gt;=1,OFFSET(DF$228,-1,0),"")))</f>
        <v/>
      </c>
      <c r="DG240" s="403" t="str">
        <f ca="1">IF(SUM($G240:DF240)&gt;=1,"",IF(DG238=0,"",IF(SUM($G238:DG238)&gt;=1,OFFSET(DG$228,-1,0),"")))</f>
        <v/>
      </c>
      <c r="DH240" s="403" t="str">
        <f ca="1">IF(SUM($G240:DG240)&gt;=1,"",IF(DH238=0,"",IF(SUM($G238:DH238)&gt;=1,OFFSET(DH$228,-1,0),"")))</f>
        <v/>
      </c>
      <c r="DI240" s="403" t="str">
        <f ca="1">IF(SUM($G240:DH240)&gt;=1,"",IF(DI238=0,"",IF(SUM($G238:DI238)&gt;=1,OFFSET(DI$228,-1,0),"")))</f>
        <v/>
      </c>
      <c r="DJ240" s="403" t="str">
        <f ca="1">IF(SUM($G240:DI240)&gt;=1,"",IF(DJ238=0,"",IF(SUM($G238:DJ238)&gt;=1,OFFSET(DJ$228,-1,0),"")))</f>
        <v/>
      </c>
      <c r="DK240" s="403" t="str">
        <f ca="1">IF(SUM($G240:DJ240)&gt;=1,"",IF(DK238=0,"",IF(SUM($G238:DK238)&gt;=1,OFFSET(DK$228,-1,0),"")))</f>
        <v/>
      </c>
      <c r="DL240" s="403" t="str">
        <f ca="1">IF(SUM($G240:DK240)&gt;=1,"",IF(DL238=0,"",IF(SUM($G238:DL238)&gt;=1,OFFSET(DL$228,-1,0),"")))</f>
        <v/>
      </c>
      <c r="DM240" s="403" t="str">
        <f ca="1">IF(SUM($G240:DL240)&gt;=1,"",IF(DM238=0,"",IF(SUM($G238:DM238)&gt;=1,OFFSET(DM$228,-1,0),"")))</f>
        <v/>
      </c>
      <c r="DN240" s="403" t="str">
        <f ca="1">IF(SUM($G240:DM240)&gt;=1,"",IF(DN238=0,"",IF(SUM($G238:DN238)&gt;=1,OFFSET(DN$228,-1,0),"")))</f>
        <v/>
      </c>
      <c r="DO240" s="403" t="str">
        <f ca="1">IF(SUM($G240:DN240)&gt;=1,"",IF(DO238=0,"",IF(SUM($G238:DO238)&gt;=1,OFFSET(DO$228,-1,0),"")))</f>
        <v/>
      </c>
      <c r="DP240" s="403" t="str">
        <f ca="1">IF(SUM($G240:DO240)&gt;=1,"",IF(DP238=0,"",IF(SUM($G238:DP238)&gt;=1,OFFSET(DP$228,-1,0),"")))</f>
        <v/>
      </c>
      <c r="DQ240" s="403" t="str">
        <f ca="1">IF(SUM($G240:DP240)&gt;=1,"",IF(DQ238=0,"",IF(SUM($G238:DQ238)&gt;=1,OFFSET(DQ$228,-1,0),"")))</f>
        <v/>
      </c>
      <c r="DR240" s="403" t="str">
        <f ca="1">IF(SUM($G240:DQ240)&gt;=1,"",IF(DR238=0,"",IF(SUM($G238:DR238)&gt;=1,OFFSET(DR$228,-1,0),"")))</f>
        <v/>
      </c>
      <c r="DS240" s="403" t="str">
        <f ca="1">IF(SUM($G240:DR240)&gt;=1,"",IF(DS238=0,"",IF(SUM($G238:DS238)&gt;=1,OFFSET(DS$228,-1,0),"")))</f>
        <v/>
      </c>
      <c r="DT240" s="403" t="str">
        <f ca="1">IF(SUM($G240:DS240)&gt;=1,"",IF(DT238=0,"",IF(SUM($G238:DT238)&gt;=1,OFFSET(DT$228,-1,0),"")))</f>
        <v/>
      </c>
      <c r="DU240" s="403" t="str">
        <f ca="1">IF(SUM($G240:DT240)&gt;=1,"",IF(DU238=0,"",IF(SUM($G238:DU238)&gt;=1,OFFSET(DU$228,-1,0),"")))</f>
        <v/>
      </c>
      <c r="DV240" s="403" t="str">
        <f ca="1">IF(SUM($G240:DU240)&gt;=1,"",IF(DV238=0,"",IF(SUM($G238:DV238)&gt;=1,OFFSET(DV$228,-1,0),"")))</f>
        <v/>
      </c>
      <c r="DW240" s="403" t="str">
        <f ca="1">IF(SUM($G240:DV240)&gt;=1,"",IF(DW238=0,"",IF(SUM($G238:DW238)&gt;=1,OFFSET(DW$228,-1,0),"")))</f>
        <v/>
      </c>
      <c r="DX240" s="403" t="str">
        <f ca="1">IF(SUM($G240:DW240)&gt;=1,"",IF(DX238=0,"",IF(SUM($G238:DX238)&gt;=1,OFFSET(DX$228,-1,0),"")))</f>
        <v/>
      </c>
      <c r="DY240" s="403" t="str">
        <f ca="1">IF(SUM($G240:DX240)&gt;=1,"",IF(DY238=0,"",IF(SUM($G238:DY238)&gt;=1,OFFSET(DY$228,-1,0),"")))</f>
        <v/>
      </c>
      <c r="DZ240" s="403" t="str">
        <f ca="1">IF(SUM($G240:DY240)&gt;=1,"",IF(DZ238=0,"",IF(SUM($G238:DZ238)&gt;=1,OFFSET(DZ$228,-1,0),"")))</f>
        <v/>
      </c>
      <c r="EA240" s="403" t="str">
        <f ca="1">IF(SUM($G240:DZ240)&gt;=1,"",IF(EA238=0,"",IF(SUM($G238:EA238)&gt;=1,OFFSET(EA$228,-1,0),"")))</f>
        <v/>
      </c>
      <c r="EB240" s="403" t="str">
        <f ca="1">IF(SUM($G240:EA240)&gt;=1,"",IF(EB238=0,"",IF(SUM($G238:EB238)&gt;=1,OFFSET(EB$228,-1,0),"")))</f>
        <v/>
      </c>
      <c r="EC240" s="403" t="str">
        <f ca="1">IF(SUM($G240:EB240)&gt;=1,"",IF(EC238=0,"",IF(SUM($G238:EC238)&gt;=1,OFFSET(EC$228,-1,0),"")))</f>
        <v/>
      </c>
      <c r="ED240" s="403" t="str">
        <f ca="1">IF(SUM($G240:EC240)&gt;=1,"",IF(ED238=0,"",IF(SUM($G238:ED238)&gt;=1,OFFSET(ED$228,-1,0),"")))</f>
        <v/>
      </c>
      <c r="EE240" s="403" t="str">
        <f ca="1">IF(SUM($G240:ED240)&gt;=1,"",IF(EE238=0,"",IF(SUM($G238:EE238)&gt;=1,OFFSET(EE$228,-1,0),"")))</f>
        <v/>
      </c>
      <c r="EF240" s="403" t="str">
        <f ca="1">IF(SUM($G240:EE240)&gt;=1,"",IF(EF238=0,"",IF(SUM($G238:EF238)&gt;=1,OFFSET(EF$228,-1,0),"")))</f>
        <v/>
      </c>
      <c r="EG240" s="403" t="str">
        <f ca="1">IF(SUM($G240:EF240)&gt;=1,"",IF(EG238=0,"",IF(SUM($G238:EG238)&gt;=1,OFFSET(EG$228,-1,0),"")))</f>
        <v/>
      </c>
      <c r="EH240" s="403" t="str">
        <f ca="1">IF(SUM($G240:EG240)&gt;=1,"",IF(EH238=0,"",IF(SUM($G238:EH238)&gt;=1,OFFSET(EH$228,-1,0),"")))</f>
        <v/>
      </c>
      <c r="EI240" s="403" t="str">
        <f ca="1">IF(SUM($G240:EH240)&gt;=1,"",IF(EI238=0,"",IF(SUM($G238:EI238)&gt;=1,OFFSET(EI$228,-1,0),"")))</f>
        <v/>
      </c>
      <c r="EV240" s="321"/>
    </row>
    <row r="241" spans="1:152" hidden="1" outlineLevel="2">
      <c r="A241" s="332"/>
      <c r="B241" s="313"/>
      <c r="D241" s="305" t="s">
        <v>671</v>
      </c>
      <c r="E241" s="1002">
        <f ca="1">IF(E238=0,"",MIN(G241:EI241))</f>
        <v>45250</v>
      </c>
      <c r="F241" s="1003"/>
      <c r="G241" s="403" t="str">
        <f>IF(G238=0,"",IF(G238=G$3,G240,G$5+H$5-G242-1))</f>
        <v/>
      </c>
      <c r="H241" s="403" t="str">
        <f ca="1">IF(H238=0,"",IF(H238=H$3,H240,H$5+I$5-H242-1))</f>
        <v/>
      </c>
      <c r="I241" s="403" t="str">
        <f t="shared" ref="I241:BT241" ca="1" si="460">IF(I238=0,"",IF(I238=I$3,I240,I$5+J$5-I242-1))</f>
        <v/>
      </c>
      <c r="J241" s="403" t="str">
        <f t="shared" ca="1" si="460"/>
        <v/>
      </c>
      <c r="K241" s="403" t="str">
        <f t="shared" ca="1" si="460"/>
        <v/>
      </c>
      <c r="L241" s="403" t="str">
        <f t="shared" ca="1" si="460"/>
        <v/>
      </c>
      <c r="M241" s="403" t="str">
        <f t="shared" ca="1" si="460"/>
        <v/>
      </c>
      <c r="N241" s="403" t="str">
        <f t="shared" ca="1" si="460"/>
        <v/>
      </c>
      <c r="O241" s="403">
        <f t="shared" ca="1" si="460"/>
        <v>45250</v>
      </c>
      <c r="P241" s="403" t="str">
        <f t="shared" ca="1" si="460"/>
        <v/>
      </c>
      <c r="Q241" s="403" t="str">
        <f t="shared" ca="1" si="460"/>
        <v/>
      </c>
      <c r="R241" s="403" t="str">
        <f t="shared" ca="1" si="460"/>
        <v/>
      </c>
      <c r="S241" s="403" t="str">
        <f t="shared" ca="1" si="460"/>
        <v/>
      </c>
      <c r="T241" s="403" t="str">
        <f t="shared" ca="1" si="460"/>
        <v/>
      </c>
      <c r="U241" s="403">
        <f t="shared" ca="1" si="460"/>
        <v>45434</v>
      </c>
      <c r="V241" s="403" t="str">
        <f t="shared" ca="1" si="460"/>
        <v/>
      </c>
      <c r="W241" s="403" t="str">
        <f t="shared" ca="1" si="460"/>
        <v/>
      </c>
      <c r="X241" s="403" t="str">
        <f t="shared" ca="1" si="460"/>
        <v/>
      </c>
      <c r="Y241" s="403" t="str">
        <f t="shared" ca="1" si="460"/>
        <v/>
      </c>
      <c r="Z241" s="403" t="str">
        <f t="shared" ca="1" si="460"/>
        <v/>
      </c>
      <c r="AA241" s="403" t="str">
        <f t="shared" ca="1" si="460"/>
        <v/>
      </c>
      <c r="AB241" s="403" t="str">
        <f t="shared" ca="1" si="460"/>
        <v/>
      </c>
      <c r="AC241" s="403" t="str">
        <f t="shared" ca="1" si="460"/>
        <v/>
      </c>
      <c r="AD241" s="403" t="str">
        <f t="shared" ca="1" si="460"/>
        <v/>
      </c>
      <c r="AE241" s="403" t="str">
        <f t="shared" ca="1" si="460"/>
        <v/>
      </c>
      <c r="AF241" s="403" t="str">
        <f t="shared" ca="1" si="460"/>
        <v/>
      </c>
      <c r="AG241" s="403" t="str">
        <f t="shared" ca="1" si="460"/>
        <v/>
      </c>
      <c r="AH241" s="403" t="str">
        <f t="shared" ca="1" si="460"/>
        <v/>
      </c>
      <c r="AI241" s="403" t="str">
        <f t="shared" ca="1" si="460"/>
        <v/>
      </c>
      <c r="AJ241" s="403" t="str">
        <f t="shared" ca="1" si="460"/>
        <v/>
      </c>
      <c r="AK241" s="403" t="str">
        <f t="shared" ca="1" si="460"/>
        <v/>
      </c>
      <c r="AL241" s="403" t="str">
        <f t="shared" ca="1" si="460"/>
        <v/>
      </c>
      <c r="AM241" s="403" t="str">
        <f t="shared" ca="1" si="460"/>
        <v/>
      </c>
      <c r="AN241" s="403" t="str">
        <f t="shared" ca="1" si="460"/>
        <v/>
      </c>
      <c r="AO241" s="403" t="str">
        <f t="shared" ca="1" si="460"/>
        <v/>
      </c>
      <c r="AP241" s="403" t="str">
        <f t="shared" ca="1" si="460"/>
        <v/>
      </c>
      <c r="AQ241" s="403" t="str">
        <f t="shared" ca="1" si="460"/>
        <v/>
      </c>
      <c r="AR241" s="403" t="str">
        <f t="shared" ca="1" si="460"/>
        <v/>
      </c>
      <c r="AS241" s="403" t="str">
        <f t="shared" ca="1" si="460"/>
        <v/>
      </c>
      <c r="AT241" s="403" t="str">
        <f t="shared" ca="1" si="460"/>
        <v/>
      </c>
      <c r="AU241" s="403" t="str">
        <f t="shared" ca="1" si="460"/>
        <v/>
      </c>
      <c r="AV241" s="403" t="str">
        <f t="shared" ca="1" si="460"/>
        <v/>
      </c>
      <c r="AW241" s="403" t="str">
        <f t="shared" ca="1" si="460"/>
        <v/>
      </c>
      <c r="AX241" s="403" t="str">
        <f t="shared" ca="1" si="460"/>
        <v/>
      </c>
      <c r="AY241" s="403" t="str">
        <f t="shared" ca="1" si="460"/>
        <v/>
      </c>
      <c r="AZ241" s="403" t="str">
        <f t="shared" ca="1" si="460"/>
        <v/>
      </c>
      <c r="BA241" s="403" t="str">
        <f t="shared" ca="1" si="460"/>
        <v/>
      </c>
      <c r="BB241" s="403" t="str">
        <f t="shared" ca="1" si="460"/>
        <v/>
      </c>
      <c r="BC241" s="403" t="str">
        <f t="shared" ca="1" si="460"/>
        <v/>
      </c>
      <c r="BD241" s="403" t="str">
        <f t="shared" ca="1" si="460"/>
        <v/>
      </c>
      <c r="BE241" s="403" t="str">
        <f t="shared" ca="1" si="460"/>
        <v/>
      </c>
      <c r="BF241" s="403" t="str">
        <f t="shared" ca="1" si="460"/>
        <v/>
      </c>
      <c r="BG241" s="403" t="str">
        <f t="shared" ca="1" si="460"/>
        <v/>
      </c>
      <c r="BH241" s="403" t="str">
        <f t="shared" ca="1" si="460"/>
        <v/>
      </c>
      <c r="BI241" s="403" t="str">
        <f t="shared" ca="1" si="460"/>
        <v/>
      </c>
      <c r="BJ241" s="403" t="str">
        <f t="shared" ca="1" si="460"/>
        <v/>
      </c>
      <c r="BK241" s="403" t="str">
        <f t="shared" ca="1" si="460"/>
        <v/>
      </c>
      <c r="BL241" s="403" t="str">
        <f t="shared" ca="1" si="460"/>
        <v/>
      </c>
      <c r="BM241" s="403" t="str">
        <f t="shared" ca="1" si="460"/>
        <v/>
      </c>
      <c r="BN241" s="403" t="str">
        <f t="shared" ca="1" si="460"/>
        <v/>
      </c>
      <c r="BO241" s="403" t="str">
        <f t="shared" ca="1" si="460"/>
        <v/>
      </c>
      <c r="BP241" s="403" t="str">
        <f t="shared" ca="1" si="460"/>
        <v/>
      </c>
      <c r="BQ241" s="403" t="str">
        <f t="shared" ca="1" si="460"/>
        <v/>
      </c>
      <c r="BR241" s="403" t="str">
        <f t="shared" ca="1" si="460"/>
        <v/>
      </c>
      <c r="BS241" s="403" t="str">
        <f t="shared" ca="1" si="460"/>
        <v/>
      </c>
      <c r="BT241" s="403" t="str">
        <f t="shared" ca="1" si="460"/>
        <v/>
      </c>
      <c r="BU241" s="403" t="str">
        <f t="shared" ref="BU241:EF241" ca="1" si="461">IF(BU238=0,"",IF(BU238=BU$3,BU240,BU$5+BV$5-BU242-1))</f>
        <v/>
      </c>
      <c r="BV241" s="403" t="str">
        <f t="shared" ca="1" si="461"/>
        <v/>
      </c>
      <c r="BW241" s="403" t="str">
        <f t="shared" ca="1" si="461"/>
        <v/>
      </c>
      <c r="BX241" s="403" t="str">
        <f t="shared" ca="1" si="461"/>
        <v/>
      </c>
      <c r="BY241" s="403" t="str">
        <f t="shared" ca="1" si="461"/>
        <v/>
      </c>
      <c r="BZ241" s="403" t="str">
        <f t="shared" ca="1" si="461"/>
        <v/>
      </c>
      <c r="CA241" s="403" t="str">
        <f t="shared" ca="1" si="461"/>
        <v/>
      </c>
      <c r="CB241" s="403" t="str">
        <f t="shared" ca="1" si="461"/>
        <v/>
      </c>
      <c r="CC241" s="403" t="str">
        <f t="shared" ca="1" si="461"/>
        <v/>
      </c>
      <c r="CD241" s="403" t="str">
        <f t="shared" ca="1" si="461"/>
        <v/>
      </c>
      <c r="CE241" s="403" t="str">
        <f t="shared" ca="1" si="461"/>
        <v/>
      </c>
      <c r="CF241" s="403" t="str">
        <f t="shared" ca="1" si="461"/>
        <v/>
      </c>
      <c r="CG241" s="403" t="str">
        <f t="shared" ca="1" si="461"/>
        <v/>
      </c>
      <c r="CH241" s="403" t="str">
        <f t="shared" ca="1" si="461"/>
        <v/>
      </c>
      <c r="CI241" s="403" t="str">
        <f t="shared" ca="1" si="461"/>
        <v/>
      </c>
      <c r="CJ241" s="403" t="str">
        <f t="shared" ca="1" si="461"/>
        <v/>
      </c>
      <c r="CK241" s="403" t="str">
        <f t="shared" ca="1" si="461"/>
        <v/>
      </c>
      <c r="CL241" s="403" t="str">
        <f t="shared" ca="1" si="461"/>
        <v/>
      </c>
      <c r="CM241" s="403" t="str">
        <f t="shared" ca="1" si="461"/>
        <v/>
      </c>
      <c r="CN241" s="403" t="str">
        <f t="shared" ca="1" si="461"/>
        <v/>
      </c>
      <c r="CO241" s="403" t="str">
        <f t="shared" ca="1" si="461"/>
        <v/>
      </c>
      <c r="CP241" s="403" t="str">
        <f t="shared" ca="1" si="461"/>
        <v/>
      </c>
      <c r="CQ241" s="403" t="str">
        <f t="shared" ca="1" si="461"/>
        <v/>
      </c>
      <c r="CR241" s="403" t="str">
        <f t="shared" ca="1" si="461"/>
        <v/>
      </c>
      <c r="CS241" s="403" t="str">
        <f t="shared" ca="1" si="461"/>
        <v/>
      </c>
      <c r="CT241" s="403" t="str">
        <f t="shared" ca="1" si="461"/>
        <v/>
      </c>
      <c r="CU241" s="403" t="str">
        <f t="shared" ca="1" si="461"/>
        <v/>
      </c>
      <c r="CV241" s="403" t="str">
        <f t="shared" ca="1" si="461"/>
        <v/>
      </c>
      <c r="CW241" s="403" t="str">
        <f t="shared" ca="1" si="461"/>
        <v/>
      </c>
      <c r="CX241" s="403" t="str">
        <f t="shared" ca="1" si="461"/>
        <v/>
      </c>
      <c r="CY241" s="403" t="str">
        <f t="shared" ca="1" si="461"/>
        <v/>
      </c>
      <c r="CZ241" s="403" t="str">
        <f t="shared" ca="1" si="461"/>
        <v/>
      </c>
      <c r="DA241" s="403" t="str">
        <f t="shared" ca="1" si="461"/>
        <v/>
      </c>
      <c r="DB241" s="403" t="str">
        <f t="shared" ca="1" si="461"/>
        <v/>
      </c>
      <c r="DC241" s="403" t="str">
        <f t="shared" ca="1" si="461"/>
        <v/>
      </c>
      <c r="DD241" s="403" t="str">
        <f t="shared" ca="1" si="461"/>
        <v/>
      </c>
      <c r="DE241" s="403" t="str">
        <f t="shared" ca="1" si="461"/>
        <v/>
      </c>
      <c r="DF241" s="403" t="str">
        <f t="shared" ca="1" si="461"/>
        <v/>
      </c>
      <c r="DG241" s="403" t="str">
        <f t="shared" ca="1" si="461"/>
        <v/>
      </c>
      <c r="DH241" s="403" t="str">
        <f t="shared" ca="1" si="461"/>
        <v/>
      </c>
      <c r="DI241" s="403" t="str">
        <f t="shared" ca="1" si="461"/>
        <v/>
      </c>
      <c r="DJ241" s="403" t="str">
        <f t="shared" ca="1" si="461"/>
        <v/>
      </c>
      <c r="DK241" s="403" t="str">
        <f t="shared" ca="1" si="461"/>
        <v/>
      </c>
      <c r="DL241" s="403" t="str">
        <f t="shared" ca="1" si="461"/>
        <v/>
      </c>
      <c r="DM241" s="403" t="str">
        <f t="shared" ca="1" si="461"/>
        <v/>
      </c>
      <c r="DN241" s="403" t="str">
        <f t="shared" ca="1" si="461"/>
        <v/>
      </c>
      <c r="DO241" s="403" t="str">
        <f t="shared" ca="1" si="461"/>
        <v/>
      </c>
      <c r="DP241" s="403" t="str">
        <f t="shared" ca="1" si="461"/>
        <v/>
      </c>
      <c r="DQ241" s="403" t="str">
        <f t="shared" ca="1" si="461"/>
        <v/>
      </c>
      <c r="DR241" s="403" t="str">
        <f t="shared" ca="1" si="461"/>
        <v/>
      </c>
      <c r="DS241" s="403" t="str">
        <f t="shared" ca="1" si="461"/>
        <v/>
      </c>
      <c r="DT241" s="403" t="str">
        <f t="shared" ca="1" si="461"/>
        <v/>
      </c>
      <c r="DU241" s="403" t="str">
        <f t="shared" ca="1" si="461"/>
        <v/>
      </c>
      <c r="DV241" s="403" t="str">
        <f t="shared" ca="1" si="461"/>
        <v/>
      </c>
      <c r="DW241" s="403" t="str">
        <f t="shared" ca="1" si="461"/>
        <v/>
      </c>
      <c r="DX241" s="403" t="str">
        <f t="shared" ca="1" si="461"/>
        <v/>
      </c>
      <c r="DY241" s="403" t="str">
        <f t="shared" ca="1" si="461"/>
        <v/>
      </c>
      <c r="DZ241" s="403" t="str">
        <f t="shared" ca="1" si="461"/>
        <v/>
      </c>
      <c r="EA241" s="403" t="str">
        <f t="shared" ca="1" si="461"/>
        <v/>
      </c>
      <c r="EB241" s="403" t="str">
        <f t="shared" ca="1" si="461"/>
        <v/>
      </c>
      <c r="EC241" s="403" t="str">
        <f t="shared" ca="1" si="461"/>
        <v/>
      </c>
      <c r="ED241" s="403" t="str">
        <f t="shared" ca="1" si="461"/>
        <v/>
      </c>
      <c r="EE241" s="403" t="str">
        <f t="shared" ca="1" si="461"/>
        <v/>
      </c>
      <c r="EF241" s="403" t="str">
        <f t="shared" ca="1" si="461"/>
        <v/>
      </c>
      <c r="EG241" s="403" t="str">
        <f t="shared" ref="EG241:EI241" ca="1" si="462">IF(EG238=0,"",IF(EG238=EG$3,EG240,EG$5+EH$5-EG242-1))</f>
        <v/>
      </c>
      <c r="EH241" s="403" t="str">
        <f t="shared" ca="1" si="462"/>
        <v/>
      </c>
      <c r="EI241" s="403" t="str">
        <f t="shared" ca="1" si="462"/>
        <v/>
      </c>
      <c r="EV241" s="321"/>
    </row>
    <row r="242" spans="1:152" hidden="1" outlineLevel="2">
      <c r="A242" s="332"/>
      <c r="B242" s="313"/>
      <c r="D242" s="305" t="s">
        <v>672</v>
      </c>
      <c r="E242" s="1002">
        <f ca="1">IF(E238=0,"",MAX(G242:EI242))</f>
        <v>45422</v>
      </c>
      <c r="F242" s="1003"/>
      <c r="G242" s="403">
        <f ca="1">IF(SUM(G238:$EI238)=0,"",IF(G$227="","",G$227+G238-1))</f>
        <v>44985</v>
      </c>
      <c r="H242" s="403">
        <f ca="1">IF(SUM(H238:$EI238)=0,"",IF(H$227="","",H$227+H238-1))</f>
        <v>45016</v>
      </c>
      <c r="I242" s="403">
        <f ca="1">IF(SUM(I238:$EI238)=0,"",IF(I$227="","",I$227+I238-1))</f>
        <v>45046</v>
      </c>
      <c r="J242" s="403">
        <f ca="1">IF(SUM(J238:$EI238)=0,"",IF(J$227="","",J$227+J238-1))</f>
        <v>45077</v>
      </c>
      <c r="K242" s="403">
        <f ca="1">IF(SUM(K238:$EI238)=0,"",IF(K$227="","",K$227+K238-1))</f>
        <v>45107</v>
      </c>
      <c r="L242" s="403">
        <f ca="1">IF(SUM(L238:$EI238)=0,"",IF(L$227="","",L$227+L238-1))</f>
        <v>45138</v>
      </c>
      <c r="M242" s="403">
        <f ca="1">IF(SUM(M238:$EI238)=0,"",IF(M$227="","",M$227+M238-1))</f>
        <v>45169</v>
      </c>
      <c r="N242" s="403">
        <f ca="1">IF(SUM(N238:$EI238)=0,"",IF(N$227="","",N$227+N238-1))</f>
        <v>45199</v>
      </c>
      <c r="O242" s="403">
        <f ca="1">IF(SUM(O238:$EI238)=0,"",IF(O$227="","",O$227+O238-1))</f>
        <v>45241</v>
      </c>
      <c r="P242" s="403">
        <f ca="1">IF(SUM(P238:$EI238)=0,"",IF(P$227="","",P$227+P238-1))</f>
        <v>45291</v>
      </c>
      <c r="Q242" s="403">
        <f ca="1">IF(SUM(Q238:$EI238)=0,"",IF(Q$227="","",Q$227+Q238-1))</f>
        <v>45322</v>
      </c>
      <c r="R242" s="403">
        <f ca="1">IF(SUM(R238:$EI238)=0,"",IF(R$227="","",R$227+R238-1))</f>
        <v>45351</v>
      </c>
      <c r="S242" s="403">
        <f ca="1">IF(SUM(S238:$EI238)=0,"",IF(S$227="","",S$227+S238-1))</f>
        <v>45382</v>
      </c>
      <c r="T242" s="403">
        <f ca="1">IF(SUM(T238:$EI238)=0,"",IF(T$227="","",T$227+T238-1))</f>
        <v>45412</v>
      </c>
      <c r="U242" s="403">
        <f ca="1">IF(SUM(U238:$EI238)=0,"",IF(U$227="","",U$227+U238-1))</f>
        <v>45422</v>
      </c>
      <c r="V242" s="403" t="str">
        <f ca="1">IF(SUM(V238:$EI238)=0,"",IF(V$227="","",V$227+V238-1))</f>
        <v/>
      </c>
      <c r="W242" s="403" t="str">
        <f ca="1">IF(SUM(W238:$EI238)=0,"",IF(W$227="","",W$227+W238-1))</f>
        <v/>
      </c>
      <c r="X242" s="403" t="str">
        <f ca="1">IF(SUM(X238:$EI238)=0,"",IF(X$227="","",X$227+X238-1))</f>
        <v/>
      </c>
      <c r="Y242" s="403" t="str">
        <f ca="1">IF(SUM(Y238:$EI238)=0,"",IF(Y$227="","",Y$227+Y238-1))</f>
        <v/>
      </c>
      <c r="Z242" s="403" t="str">
        <f ca="1">IF(SUM(Z238:$EI238)=0,"",IF(Z$227="","",Z$227+Z238-1))</f>
        <v/>
      </c>
      <c r="AA242" s="403" t="str">
        <f ca="1">IF(SUM(AA238:$EI238)=0,"",IF(AA$227="","",AA$227+AA238-1))</f>
        <v/>
      </c>
      <c r="AB242" s="403" t="str">
        <f ca="1">IF(SUM(AB238:$EI238)=0,"",IF(AB$227="","",AB$227+AB238-1))</f>
        <v/>
      </c>
      <c r="AC242" s="403" t="str">
        <f ca="1">IF(SUM(AC238:$EI238)=0,"",IF(AC$227="","",AC$227+AC238-1))</f>
        <v/>
      </c>
      <c r="AD242" s="403" t="str">
        <f ca="1">IF(SUM(AD238:$EI238)=0,"",IF(AD$227="","",AD$227+AD238-1))</f>
        <v/>
      </c>
      <c r="AE242" s="403" t="str">
        <f ca="1">IF(SUM(AE238:$EI238)=0,"",IF(AE$227="","",AE$227+AE238-1))</f>
        <v/>
      </c>
      <c r="AF242" s="403" t="str">
        <f ca="1">IF(SUM(AF238:$EI238)=0,"",IF(AF$227="","",AF$227+AF238-1))</f>
        <v/>
      </c>
      <c r="AG242" s="403" t="str">
        <f ca="1">IF(SUM(AG238:$EI238)=0,"",IF(AG$227="","",AG$227+AG238-1))</f>
        <v/>
      </c>
      <c r="AH242" s="403" t="str">
        <f ca="1">IF(SUM(AH238:$EI238)=0,"",IF(AH$227="","",AH$227+AH238-1))</f>
        <v/>
      </c>
      <c r="AI242" s="403" t="str">
        <f ca="1">IF(SUM(AI238:$EI238)=0,"",IF(AI$227="","",AI$227+AI238-1))</f>
        <v/>
      </c>
      <c r="AJ242" s="403" t="str">
        <f ca="1">IF(SUM(AJ238:$EI238)=0,"",IF(AJ$227="","",AJ$227+AJ238-1))</f>
        <v/>
      </c>
      <c r="AK242" s="403" t="str">
        <f ca="1">IF(SUM(AK238:$EI238)=0,"",IF(AK$227="","",AK$227+AK238-1))</f>
        <v/>
      </c>
      <c r="AL242" s="403" t="str">
        <f ca="1">IF(SUM(AL238:$EI238)=0,"",IF(AL$227="","",AL$227+AL238-1))</f>
        <v/>
      </c>
      <c r="AM242" s="403" t="str">
        <f ca="1">IF(SUM(AM238:$EI238)=0,"",IF(AM$227="","",AM$227+AM238-1))</f>
        <v/>
      </c>
      <c r="AN242" s="403" t="str">
        <f ca="1">IF(SUM(AN238:$EI238)=0,"",IF(AN$227="","",AN$227+AN238-1))</f>
        <v/>
      </c>
      <c r="AO242" s="403" t="str">
        <f ca="1">IF(SUM(AO238:$EI238)=0,"",IF(AO$227="","",AO$227+AO238-1))</f>
        <v/>
      </c>
      <c r="AP242" s="403" t="str">
        <f ca="1">IF(SUM(AP238:$EI238)=0,"",IF(AP$227="","",AP$227+AP238-1))</f>
        <v/>
      </c>
      <c r="AQ242" s="403" t="str">
        <f ca="1">IF(SUM(AQ238:$EI238)=0,"",IF(AQ$227="","",AQ$227+AQ238-1))</f>
        <v/>
      </c>
      <c r="AR242" s="403" t="str">
        <f ca="1">IF(SUM(AR238:$EI238)=0,"",IF(AR$227="","",AR$227+AR238-1))</f>
        <v/>
      </c>
      <c r="AS242" s="403" t="str">
        <f ca="1">IF(SUM(AS238:$EI238)=0,"",IF(AS$227="","",AS$227+AS238-1))</f>
        <v/>
      </c>
      <c r="AT242" s="403" t="str">
        <f ca="1">IF(SUM(AT238:$EI238)=0,"",IF(AT$227="","",AT$227+AT238-1))</f>
        <v/>
      </c>
      <c r="AU242" s="403" t="str">
        <f ca="1">IF(SUM(AU238:$EI238)=0,"",IF(AU$227="","",AU$227+AU238-1))</f>
        <v/>
      </c>
      <c r="AV242" s="403" t="str">
        <f ca="1">IF(SUM(AV238:$EI238)=0,"",IF(AV$227="","",AV$227+AV238-1))</f>
        <v/>
      </c>
      <c r="AW242" s="403" t="str">
        <f ca="1">IF(SUM(AW238:$EI238)=0,"",IF(AW$227="","",AW$227+AW238-1))</f>
        <v/>
      </c>
      <c r="AX242" s="403" t="str">
        <f ca="1">IF(SUM(AX238:$EI238)=0,"",IF(AX$227="","",AX$227+AX238-1))</f>
        <v/>
      </c>
      <c r="AY242" s="403" t="str">
        <f ca="1">IF(SUM(AY238:$EI238)=0,"",IF(AY$227="","",AY$227+AY238-1))</f>
        <v/>
      </c>
      <c r="AZ242" s="403" t="str">
        <f ca="1">IF(SUM(AZ238:$EI238)=0,"",IF(AZ$227="","",AZ$227+AZ238-1))</f>
        <v/>
      </c>
      <c r="BA242" s="403" t="str">
        <f ca="1">IF(SUM(BA238:$EI238)=0,"",IF(BA$227="","",BA$227+BA238-1))</f>
        <v/>
      </c>
      <c r="BB242" s="403" t="str">
        <f ca="1">IF(SUM(BB238:$EI238)=0,"",IF(BB$227="","",BB$227+BB238-1))</f>
        <v/>
      </c>
      <c r="BC242" s="403" t="str">
        <f ca="1">IF(SUM(BC238:$EI238)=0,"",IF(BC$227="","",BC$227+BC238-1))</f>
        <v/>
      </c>
      <c r="BD242" s="403" t="str">
        <f ca="1">IF(SUM(BD238:$EI238)=0,"",IF(BD$227="","",BD$227+BD238-1))</f>
        <v/>
      </c>
      <c r="BE242" s="403" t="str">
        <f ca="1">IF(SUM(BE238:$EI238)=0,"",IF(BE$227="","",BE$227+BE238-1))</f>
        <v/>
      </c>
      <c r="BF242" s="403" t="str">
        <f ca="1">IF(SUM(BF238:$EI238)=0,"",IF(BF$227="","",BF$227+BF238-1))</f>
        <v/>
      </c>
      <c r="BG242" s="403" t="str">
        <f ca="1">IF(SUM(BG238:$EI238)=0,"",IF(BG$227="","",BG$227+BG238-1))</f>
        <v/>
      </c>
      <c r="BH242" s="403" t="str">
        <f ca="1">IF(SUM(BH238:$EI238)=0,"",IF(BH$227="","",BH$227+BH238-1))</f>
        <v/>
      </c>
      <c r="BI242" s="403" t="str">
        <f ca="1">IF(SUM(BI238:$EI238)=0,"",IF(BI$227="","",BI$227+BI238-1))</f>
        <v/>
      </c>
      <c r="BJ242" s="403" t="str">
        <f ca="1">IF(SUM(BJ238:$EI238)=0,"",IF(BJ$227="","",BJ$227+BJ238-1))</f>
        <v/>
      </c>
      <c r="BK242" s="403" t="str">
        <f ca="1">IF(SUM(BK238:$EI238)=0,"",IF(BK$227="","",BK$227+BK238-1))</f>
        <v/>
      </c>
      <c r="BL242" s="403" t="str">
        <f ca="1">IF(SUM(BL238:$EI238)=0,"",IF(BL$227="","",BL$227+BL238-1))</f>
        <v/>
      </c>
      <c r="BM242" s="403" t="str">
        <f ca="1">IF(SUM(BM238:$EI238)=0,"",IF(BM$227="","",BM$227+BM238-1))</f>
        <v/>
      </c>
      <c r="BN242" s="403" t="str">
        <f ca="1">IF(SUM(BN238:$EI238)=0,"",IF(BN$227="","",BN$227+BN238-1))</f>
        <v/>
      </c>
      <c r="BO242" s="403" t="str">
        <f ca="1">IF(SUM(BO238:$EI238)=0,"",IF(BO$227="","",BO$227+BO238-1))</f>
        <v/>
      </c>
      <c r="BP242" s="403" t="str">
        <f ca="1">IF(SUM(BP238:$EI238)=0,"",IF(BP$227="","",BP$227+BP238-1))</f>
        <v/>
      </c>
      <c r="BQ242" s="403" t="str">
        <f ca="1">IF(SUM(BQ238:$EI238)=0,"",IF(BQ$227="","",BQ$227+BQ238-1))</f>
        <v/>
      </c>
      <c r="BR242" s="403" t="str">
        <f ca="1">IF(SUM(BR238:$EI238)=0,"",IF(BR$227="","",BR$227+BR238-1))</f>
        <v/>
      </c>
      <c r="BS242" s="403" t="str">
        <f ca="1">IF(SUM(BS238:$EI238)=0,"",IF(BS$227="","",BS$227+BS238-1))</f>
        <v/>
      </c>
      <c r="BT242" s="403" t="str">
        <f ca="1">IF(SUM(BT238:$EI238)=0,"",IF(BT$227="","",BT$227+BT238-1))</f>
        <v/>
      </c>
      <c r="BU242" s="403" t="str">
        <f ca="1">IF(SUM(BU238:$EI238)=0,"",IF(BU$227="","",BU$227+BU238-1))</f>
        <v/>
      </c>
      <c r="BV242" s="403" t="str">
        <f ca="1">IF(SUM(BV238:$EI238)=0,"",IF(BV$227="","",BV$227+BV238-1))</f>
        <v/>
      </c>
      <c r="BW242" s="403" t="str">
        <f ca="1">IF(SUM(BW238:$EI238)=0,"",IF(BW$227="","",BW$227+BW238-1))</f>
        <v/>
      </c>
      <c r="BX242" s="403" t="str">
        <f ca="1">IF(SUM(BX238:$EI238)=0,"",IF(BX$227="","",BX$227+BX238-1))</f>
        <v/>
      </c>
      <c r="BY242" s="403" t="str">
        <f ca="1">IF(SUM(BY238:$EI238)=0,"",IF(BY$227="","",BY$227+BY238-1))</f>
        <v/>
      </c>
      <c r="BZ242" s="403" t="str">
        <f ca="1">IF(SUM(BZ238:$EI238)=0,"",IF(BZ$227="","",BZ$227+BZ238-1))</f>
        <v/>
      </c>
      <c r="CA242" s="403" t="str">
        <f ca="1">IF(SUM(CA238:$EI238)=0,"",IF(CA$227="","",CA$227+CA238-1))</f>
        <v/>
      </c>
      <c r="CB242" s="403" t="str">
        <f ca="1">IF(SUM(CB238:$EI238)=0,"",IF(CB$227="","",CB$227+CB238-1))</f>
        <v/>
      </c>
      <c r="CC242" s="403" t="str">
        <f ca="1">IF(SUM(CC238:$EI238)=0,"",IF(CC$227="","",CC$227+CC238-1))</f>
        <v/>
      </c>
      <c r="CD242" s="403" t="str">
        <f ca="1">IF(SUM(CD238:$EI238)=0,"",IF(CD$227="","",CD$227+CD238-1))</f>
        <v/>
      </c>
      <c r="CE242" s="403" t="str">
        <f ca="1">IF(SUM(CE238:$EI238)=0,"",IF(CE$227="","",CE$227+CE238-1))</f>
        <v/>
      </c>
      <c r="CF242" s="403" t="str">
        <f ca="1">IF(SUM(CF238:$EI238)=0,"",IF(CF$227="","",CF$227+CF238-1))</f>
        <v/>
      </c>
      <c r="CG242" s="403" t="str">
        <f ca="1">IF(SUM(CG238:$EI238)=0,"",IF(CG$227="","",CG$227+CG238-1))</f>
        <v/>
      </c>
      <c r="CH242" s="403" t="str">
        <f ca="1">IF(SUM(CH238:$EI238)=0,"",IF(CH$227="","",CH$227+CH238-1))</f>
        <v/>
      </c>
      <c r="CI242" s="403" t="str">
        <f ca="1">IF(SUM(CI238:$EI238)=0,"",IF(CI$227="","",CI$227+CI238-1))</f>
        <v/>
      </c>
      <c r="CJ242" s="403" t="str">
        <f ca="1">IF(SUM(CJ238:$EI238)=0,"",IF(CJ$227="","",CJ$227+CJ238-1))</f>
        <v/>
      </c>
      <c r="CK242" s="403" t="str">
        <f ca="1">IF(SUM(CK238:$EI238)=0,"",IF(CK$227="","",CK$227+CK238-1))</f>
        <v/>
      </c>
      <c r="CL242" s="403" t="str">
        <f ca="1">IF(SUM(CL238:$EI238)=0,"",IF(CL$227="","",CL$227+CL238-1))</f>
        <v/>
      </c>
      <c r="CM242" s="403" t="str">
        <f ca="1">IF(SUM(CM238:$EI238)=0,"",IF(CM$227="","",CM$227+CM238-1))</f>
        <v/>
      </c>
      <c r="CN242" s="403" t="str">
        <f ca="1">IF(SUM(CN238:$EI238)=0,"",IF(CN$227="","",CN$227+CN238-1))</f>
        <v/>
      </c>
      <c r="CO242" s="403" t="str">
        <f ca="1">IF(SUM(CO238:$EI238)=0,"",IF(CO$227="","",CO$227+CO238-1))</f>
        <v/>
      </c>
      <c r="CP242" s="403" t="str">
        <f ca="1">IF(SUM(CP238:$EI238)=0,"",IF(CP$227="","",CP$227+CP238-1))</f>
        <v/>
      </c>
      <c r="CQ242" s="403" t="str">
        <f ca="1">IF(SUM(CQ238:$EI238)=0,"",IF(CQ$227="","",CQ$227+CQ238-1))</f>
        <v/>
      </c>
      <c r="CR242" s="403" t="str">
        <f ca="1">IF(SUM(CR238:$EI238)=0,"",IF(CR$227="","",CR$227+CR238-1))</f>
        <v/>
      </c>
      <c r="CS242" s="403" t="str">
        <f ca="1">IF(SUM(CS238:$EI238)=0,"",IF(CS$227="","",CS$227+CS238-1))</f>
        <v/>
      </c>
      <c r="CT242" s="403" t="str">
        <f ca="1">IF(SUM(CT238:$EI238)=0,"",IF(CT$227="","",CT$227+CT238-1))</f>
        <v/>
      </c>
      <c r="CU242" s="403" t="str">
        <f ca="1">IF(SUM(CU238:$EI238)=0,"",IF(CU$227="","",CU$227+CU238-1))</f>
        <v/>
      </c>
      <c r="CV242" s="403" t="str">
        <f ca="1">IF(SUM(CV238:$EI238)=0,"",IF(CV$227="","",CV$227+CV238-1))</f>
        <v/>
      </c>
      <c r="CW242" s="403" t="str">
        <f ca="1">IF(SUM(CW238:$EI238)=0,"",IF(CW$227="","",CW$227+CW238-1))</f>
        <v/>
      </c>
      <c r="CX242" s="403" t="str">
        <f ca="1">IF(SUM(CX238:$EI238)=0,"",IF(CX$227="","",CX$227+CX238-1))</f>
        <v/>
      </c>
      <c r="CY242" s="403" t="str">
        <f ca="1">IF(SUM(CY238:$EI238)=0,"",IF(CY$227="","",CY$227+CY238-1))</f>
        <v/>
      </c>
      <c r="CZ242" s="403" t="str">
        <f ca="1">IF(SUM(CZ238:$EI238)=0,"",IF(CZ$227="","",CZ$227+CZ238-1))</f>
        <v/>
      </c>
      <c r="DA242" s="403" t="str">
        <f ca="1">IF(SUM(DA238:$EI238)=0,"",IF(DA$227="","",DA$227+DA238-1))</f>
        <v/>
      </c>
      <c r="DB242" s="403" t="str">
        <f ca="1">IF(SUM(DB238:$EI238)=0,"",IF(DB$227="","",DB$227+DB238-1))</f>
        <v/>
      </c>
      <c r="DC242" s="403" t="str">
        <f ca="1">IF(SUM(DC238:$EI238)=0,"",IF(DC$227="","",DC$227+DC238-1))</f>
        <v/>
      </c>
      <c r="DD242" s="403" t="str">
        <f ca="1">IF(SUM(DD238:$EI238)=0,"",IF(DD$227="","",DD$227+DD238-1))</f>
        <v/>
      </c>
      <c r="DE242" s="403" t="str">
        <f ca="1">IF(SUM(DE238:$EI238)=0,"",IF(DE$227="","",DE$227+DE238-1))</f>
        <v/>
      </c>
      <c r="DF242" s="403" t="str">
        <f ca="1">IF(SUM(DF238:$EI238)=0,"",IF(DF$227="","",DF$227+DF238-1))</f>
        <v/>
      </c>
      <c r="DG242" s="403" t="str">
        <f ca="1">IF(SUM(DG238:$EI238)=0,"",IF(DG$227="","",DG$227+DG238-1))</f>
        <v/>
      </c>
      <c r="DH242" s="403" t="str">
        <f ca="1">IF(SUM(DH238:$EI238)=0,"",IF(DH$227="","",DH$227+DH238-1))</f>
        <v/>
      </c>
      <c r="DI242" s="403" t="str">
        <f ca="1">IF(SUM(DI238:$EI238)=0,"",IF(DI$227="","",DI$227+DI238-1))</f>
        <v/>
      </c>
      <c r="DJ242" s="403" t="str">
        <f ca="1">IF(SUM(DJ238:$EI238)=0,"",IF(DJ$227="","",DJ$227+DJ238-1))</f>
        <v/>
      </c>
      <c r="DK242" s="403" t="str">
        <f ca="1">IF(SUM(DK238:$EI238)=0,"",IF(DK$227="","",DK$227+DK238-1))</f>
        <v/>
      </c>
      <c r="DL242" s="403" t="str">
        <f ca="1">IF(SUM(DL238:$EI238)=0,"",IF(DL$227="","",DL$227+DL238-1))</f>
        <v/>
      </c>
      <c r="DM242" s="403" t="str">
        <f ca="1">IF(SUM(DM238:$EI238)=0,"",IF(DM$227="","",DM$227+DM238-1))</f>
        <v/>
      </c>
      <c r="DN242" s="403" t="str">
        <f ca="1">IF(SUM(DN238:$EI238)=0,"",IF(DN$227="","",DN$227+DN238-1))</f>
        <v/>
      </c>
      <c r="DO242" s="403" t="str">
        <f ca="1">IF(SUM(DO238:$EI238)=0,"",IF(DO$227="","",DO$227+DO238-1))</f>
        <v/>
      </c>
      <c r="DP242" s="403" t="str">
        <f ca="1">IF(SUM(DP238:$EI238)=0,"",IF(DP$227="","",DP$227+DP238-1))</f>
        <v/>
      </c>
      <c r="DQ242" s="403" t="str">
        <f ca="1">IF(SUM(DQ238:$EI238)=0,"",IF(DQ$227="","",DQ$227+DQ238-1))</f>
        <v/>
      </c>
      <c r="DR242" s="403" t="str">
        <f ca="1">IF(SUM(DR238:$EI238)=0,"",IF(DR$227="","",DR$227+DR238-1))</f>
        <v/>
      </c>
      <c r="DS242" s="403" t="str">
        <f ca="1">IF(SUM(DS238:$EI238)=0,"",IF(DS$227="","",DS$227+DS238-1))</f>
        <v/>
      </c>
      <c r="DT242" s="403" t="str">
        <f ca="1">IF(SUM(DT238:$EI238)=0,"",IF(DT$227="","",DT$227+DT238-1))</f>
        <v/>
      </c>
      <c r="DU242" s="403" t="str">
        <f ca="1">IF(SUM(DU238:$EI238)=0,"",IF(DU$227="","",DU$227+DU238-1))</f>
        <v/>
      </c>
      <c r="DV242" s="403" t="str">
        <f ca="1">IF(SUM(DV238:$EI238)=0,"",IF(DV$227="","",DV$227+DV238-1))</f>
        <v/>
      </c>
      <c r="DW242" s="403" t="str">
        <f ca="1">IF(SUM(DW238:$EI238)=0,"",IF(DW$227="","",DW$227+DW238-1))</f>
        <v/>
      </c>
      <c r="DX242" s="403" t="str">
        <f ca="1">IF(SUM(DX238:$EI238)=0,"",IF(DX$227="","",DX$227+DX238-1))</f>
        <v/>
      </c>
      <c r="DY242" s="403" t="str">
        <f ca="1">IF(SUM(DY238:$EI238)=0,"",IF(DY$227="","",DY$227+DY238-1))</f>
        <v/>
      </c>
      <c r="DZ242" s="403" t="str">
        <f ca="1">IF(SUM(DZ238:$EI238)=0,"",IF(DZ$227="","",DZ$227+DZ238-1))</f>
        <v/>
      </c>
      <c r="EA242" s="403" t="str">
        <f ca="1">IF(SUM(EA238:$EI238)=0,"",IF(EA$227="","",EA$227+EA238-1))</f>
        <v/>
      </c>
      <c r="EB242" s="403" t="str">
        <f ca="1">IF(SUM(EB238:$EI238)=0,"",IF(EB$227="","",EB$227+EB238-1))</f>
        <v/>
      </c>
      <c r="EC242" s="403" t="str">
        <f ca="1">IF(SUM(EC238:$EI238)=0,"",IF(EC$227="","",EC$227+EC238-1))</f>
        <v/>
      </c>
      <c r="ED242" s="403" t="str">
        <f ca="1">IF(SUM(ED238:$EI238)=0,"",IF(ED$227="","",ED$227+ED238-1))</f>
        <v/>
      </c>
      <c r="EE242" s="403" t="str">
        <f ca="1">IF(SUM(EE238:$EI238)=0,"",IF(EE$227="","",EE$227+EE238-1))</f>
        <v/>
      </c>
      <c r="EF242" s="403" t="str">
        <f ca="1">IF(SUM(EF238:$EI238)=0,"",IF(EF$227="","",EF$227+EF238-1))</f>
        <v/>
      </c>
      <c r="EG242" s="403" t="str">
        <f ca="1">IF(SUM(EG238:$EI238)=0,"",IF(EG$227="","",EG$227+EG238-1))</f>
        <v/>
      </c>
      <c r="EH242" s="403" t="str">
        <f ca="1">IF(SUM(EH238:$EI238)=0,"",IF(EH$227="","",EH$227+EH238-1))</f>
        <v/>
      </c>
      <c r="EI242" s="403" t="str">
        <f ca="1">IF(SUM(EI238:$EI238)=0,"",IF(EI$227="","",EI$227+EI238-1))</f>
        <v/>
      </c>
      <c r="EV242" s="321"/>
    </row>
    <row r="243" spans="1:152" outlineLevel="1" collapsed="1">
      <c r="A243" s="332"/>
      <c r="B243" s="313"/>
      <c r="C243" s="317" t="s">
        <v>47</v>
      </c>
      <c r="D243" s="317" t="s">
        <v>561</v>
      </c>
      <c r="E243" s="400">
        <f ca="1">IF(ГРП!B7=0,длительность!D148,ГРП!B7)</f>
        <v>276</v>
      </c>
      <c r="F243" s="318">
        <f ca="1">E243-SUM(G243:EJ243)</f>
        <v>0</v>
      </c>
      <c r="G243" s="401"/>
      <c r="H243" s="401">
        <f ca="1">IF(SUM($G243:G243)&gt;=$E243,0,IF($E243-SUM($G243:G243)&gt;H244,H244,$E243-SUM($G244:G244)))</f>
        <v>0</v>
      </c>
      <c r="I243" s="401">
        <f ca="1">IF(SUM($G243:H243)&gt;=$E243,0,IF($E243-SUM($G243:H243)&gt;I244,I244,$E243-SUM($G244:H244)))</f>
        <v>0</v>
      </c>
      <c r="J243" s="401">
        <f ca="1">IF(SUM($G243:I243)&gt;=$E243,0,IF($E243-SUM($G243:I243)&gt;J244,J244,$E243-SUM($G244:I244)))</f>
        <v>0</v>
      </c>
      <c r="K243" s="401">
        <f ca="1">IF(SUM($G243:J243)&gt;=$E243,0,IF($E243-SUM($G243:J243)&gt;K244,K244,$E243-SUM($G244:J244)))</f>
        <v>0</v>
      </c>
      <c r="L243" s="401">
        <f ca="1">IF(SUM($G243:K243)&gt;=$E243,0,IF($E243-SUM($G243:K243)&gt;L244,L244,$E243-SUM($G244:K244)))</f>
        <v>0</v>
      </c>
      <c r="M243" s="401">
        <f ca="1">IF(SUM($G243:L243)&gt;=$E243,0,IF($E243-SUM($G243:L243)&gt;M244,M244,$E243-SUM($G244:L244)))</f>
        <v>0</v>
      </c>
      <c r="N243" s="401">
        <f ca="1">IF(SUM($G243:M243)&gt;=$E243,0,IF($E243-SUM($G243:M243)&gt;N244,N244,$E243-SUM($G244:M244)))</f>
        <v>0</v>
      </c>
      <c r="O243" s="401">
        <f ca="1">IF(SUM($G243:N243)&gt;=$E243,0,IF($E243-SUM($G243:N243)&gt;O244,O244,$E243-SUM($G244:N244)))</f>
        <v>0</v>
      </c>
      <c r="P243" s="401">
        <f ca="1">IF(SUM($G243:O243)&gt;=$E243,0,IF($E243-SUM($G243:O243)&gt;P244,P244,$E243-SUM($G244:O244)))</f>
        <v>0</v>
      </c>
      <c r="Q243" s="401">
        <f ca="1">IF(SUM($G243:P243)&gt;=$E243,0,IF($E243-SUM($G243:P243)&gt;Q244,Q244,$E243-SUM($G244:P244)))</f>
        <v>0</v>
      </c>
      <c r="R243" s="401">
        <f ca="1">IF(SUM($G243:Q243)&gt;=$E243,0,IF($E243-SUM($G243:Q243)&gt;R244,R244,$E243-SUM($G244:Q244)))</f>
        <v>0</v>
      </c>
      <c r="S243" s="401">
        <f ca="1">IF(SUM($G243:R243)&gt;=$E243,0,IF($E243-SUM($G243:R243)&gt;S244,S244,$E243-SUM($G244:R244)))</f>
        <v>29.200000000000003</v>
      </c>
      <c r="T243" s="401">
        <f ca="1">IF(SUM($G243:S243)&gt;=$E243,0,IF($E243-SUM($G243:S243)&gt;T244,T244,$E243-SUM($G244:S244)))</f>
        <v>30</v>
      </c>
      <c r="U243" s="401">
        <f ca="1">IF(SUM($G243:T243)&gt;=$E243,0,IF($E243-SUM($G243:T243)&gt;U244,U244,$E243-SUM($G244:T244)))</f>
        <v>31</v>
      </c>
      <c r="V243" s="401">
        <f ca="1">IF(SUM($G243:U243)&gt;=$E243,0,IF($E243-SUM($G243:U243)&gt;V244,V244,$E243-SUM($G244:U244)))</f>
        <v>30</v>
      </c>
      <c r="W243" s="401">
        <f ca="1">IF(SUM($G243:V243)&gt;=$E243,0,IF($E243-SUM($G243:V243)&gt;W244,W244,$E243-SUM($G244:V244)))</f>
        <v>31</v>
      </c>
      <c r="X243" s="401">
        <f ca="1">IF(SUM($G243:W243)&gt;=$E243,0,IF($E243-SUM($G243:W243)&gt;X244,X244,$E243-SUM($G244:W244)))</f>
        <v>31</v>
      </c>
      <c r="Y243" s="401">
        <f ca="1">IF(SUM($G243:X243)&gt;=$E243,0,IF($E243-SUM($G243:X243)&gt;Y244,Y244,$E243-SUM($G244:X244)))</f>
        <v>30</v>
      </c>
      <c r="Z243" s="401">
        <f ca="1">IF(SUM($G243:Y243)&gt;=$E243,0,IF($E243-SUM($G243:Y243)&gt;Z244,Z244,$E243-SUM($G244:Y244)))</f>
        <v>31</v>
      </c>
      <c r="AA243" s="401">
        <f ca="1">IF(SUM($G243:Z243)&gt;=$E243,0,IF($E243-SUM($G243:Z243)&gt;AA244,AA244,$E243-SUM($G244:Z244)))</f>
        <v>30</v>
      </c>
      <c r="AB243" s="401">
        <f ca="1">IF(SUM($G243:AA243)&gt;=$E243,0,IF($E243-SUM($G243:AA243)&gt;AB244,AB244,$E243-SUM($G244:AA244)))</f>
        <v>2.8000000000000114</v>
      </c>
      <c r="AC243" s="401">
        <f ca="1">IF(SUM($G243:AB243)&gt;=$E243,0,IF($E243-SUM($G243:AB243)&gt;AC244,AC244,$E243-SUM($G244:AB244)))</f>
        <v>0</v>
      </c>
      <c r="AD243" s="401">
        <f ca="1">IF(SUM($G243:AC243)&gt;=$E243,0,IF($E243-SUM($G243:AC243)&gt;AD244,AD244,$E243-SUM($G244:AC244)))</f>
        <v>0</v>
      </c>
      <c r="AE243" s="401">
        <f ca="1">IF(SUM($G243:AD243)&gt;=$E243,0,IF($E243-SUM($G243:AD243)&gt;AE244,AE244,$E243-SUM($G244:AD244)))</f>
        <v>0</v>
      </c>
      <c r="AF243" s="401">
        <f ca="1">IF(SUM($G243:AE243)&gt;=$E243,0,IF($E243-SUM($G243:AE243)&gt;AF244,AF244,$E243-SUM($G244:AE244)))</f>
        <v>0</v>
      </c>
      <c r="AG243" s="401">
        <f ca="1">IF(SUM($G243:AF243)&gt;=$E243,0,IF($E243-SUM($G243:AF243)&gt;AG244,AG244,$E243-SUM($G244:AF244)))</f>
        <v>0</v>
      </c>
      <c r="AH243" s="401">
        <f ca="1">IF(SUM($G243:AG243)&gt;=$E243,0,IF($E243-SUM($G243:AG243)&gt;AH244,AH244,$E243-SUM($G244:AG244)))</f>
        <v>0</v>
      </c>
      <c r="AI243" s="401">
        <f ca="1">IF(SUM($G243:AH243)&gt;=$E243,0,IF($E243-SUM($G243:AH243)&gt;AI244,AI244,$E243-SUM($G244:AH244)))</f>
        <v>0</v>
      </c>
      <c r="AJ243" s="401">
        <f ca="1">IF(SUM($G243:AI243)&gt;=$E243,0,IF($E243-SUM($G243:AI243)&gt;AJ244,AJ244,$E243-SUM($G244:AI244)))</f>
        <v>0</v>
      </c>
      <c r="AK243" s="401">
        <f ca="1">IF(SUM($G243:AJ243)&gt;=$E243,0,IF($E243-SUM($G243:AJ243)&gt;AK244,AK244,$E243-SUM($G244:AJ244)))</f>
        <v>0</v>
      </c>
      <c r="AL243" s="401">
        <f ca="1">IF(SUM($G243:AK243)&gt;=$E243,0,IF($E243-SUM($G243:AK243)&gt;AL244,AL244,$E243-SUM($G244:AK244)))</f>
        <v>0</v>
      </c>
      <c r="AM243" s="401">
        <f ca="1">IF(SUM($G243:AL243)&gt;=$E243,0,IF($E243-SUM($G243:AL243)&gt;AM244,AM244,$E243-SUM($G244:AL244)))</f>
        <v>0</v>
      </c>
      <c r="AN243" s="401">
        <f ca="1">IF(SUM($G243:AM243)&gt;=$E243,0,IF($E243-SUM($G243:AM243)&gt;AN244,AN244,$E243-SUM($G244:AM244)))</f>
        <v>0</v>
      </c>
      <c r="AO243" s="401">
        <f ca="1">IF(SUM($G243:AN243)&gt;=$E243,0,IF($E243-SUM($G243:AN243)&gt;AO244,AO244,$E243-SUM($G244:AN244)))</f>
        <v>0</v>
      </c>
      <c r="AP243" s="401">
        <f ca="1">IF(SUM($G243:AO243)&gt;=$E243,0,IF($E243-SUM($G243:AO243)&gt;AP244,AP244,$E243-SUM($G244:AO244)))</f>
        <v>0</v>
      </c>
      <c r="AQ243" s="401">
        <f ca="1">IF(SUM($G243:AP243)&gt;=$E243,0,IF($E243-SUM($G243:AP243)&gt;AQ244,AQ244,$E243-SUM($G244:AP244)))</f>
        <v>0</v>
      </c>
      <c r="AR243" s="401">
        <f ca="1">IF(SUM($G243:AQ243)&gt;=$E243,0,IF($E243-SUM($G243:AQ243)&gt;AR244,AR244,$E243-SUM($G244:AQ244)))</f>
        <v>0</v>
      </c>
      <c r="AS243" s="401">
        <f ca="1">IF(SUM($G243:AR243)&gt;=$E243,0,IF($E243-SUM($G243:AR243)&gt;AS244,AS244,$E243-SUM($G244:AR244)))</f>
        <v>0</v>
      </c>
      <c r="AT243" s="401">
        <f ca="1">IF(SUM($G243:AS243)&gt;=$E243,0,IF($E243-SUM($G243:AS243)&gt;AT244,AT244,$E243-SUM($G244:AS244)))</f>
        <v>0</v>
      </c>
      <c r="AU243" s="401">
        <f ca="1">IF(SUM($G243:AT243)&gt;=$E243,0,IF($E243-SUM($G243:AT243)&gt;AU244,AU244,$E243-SUM($G244:AT244)))</f>
        <v>0</v>
      </c>
      <c r="AV243" s="401">
        <f ca="1">IF(SUM($G243:AU243)&gt;=$E243,0,IF($E243-SUM($G243:AU243)&gt;AV244,AV244,$E243-SUM($G244:AU244)))</f>
        <v>0</v>
      </c>
      <c r="AW243" s="401">
        <f ca="1">IF(SUM($G243:AV243)&gt;=$E243,0,IF($E243-SUM($G243:AV243)&gt;AW244,AW244,$E243-SUM($G244:AV244)))</f>
        <v>0</v>
      </c>
      <c r="AX243" s="401">
        <f ca="1">IF(SUM($G243:AW243)&gt;=$E243,0,IF($E243-SUM($G243:AW243)&gt;AX244,AX244,$E243-SUM($G244:AW244)))</f>
        <v>0</v>
      </c>
      <c r="AY243" s="401">
        <f ca="1">IF(SUM($G243:AX243)&gt;=$E243,0,IF($E243-SUM($G243:AX243)&gt;AY244,AY244,$E243-SUM($G244:AX244)))</f>
        <v>0</v>
      </c>
      <c r="AZ243" s="401">
        <f ca="1">IF(SUM($G243:AY243)&gt;=$E243,0,IF($E243-SUM($G243:AY243)&gt;AZ244,AZ244,$E243-SUM($G244:AY244)))</f>
        <v>0</v>
      </c>
      <c r="BA243" s="401">
        <f ca="1">IF(SUM($G243:AZ243)&gt;=$E243,0,IF($E243-SUM($G243:AZ243)&gt;BA244,BA244,$E243-SUM($G244:AZ244)))</f>
        <v>0</v>
      </c>
      <c r="BB243" s="401">
        <f ca="1">IF(SUM($G243:BA243)&gt;=$E243,0,IF($E243-SUM($G243:BA243)&gt;BB244,BB244,$E243-SUM($G244:BA244)))</f>
        <v>0</v>
      </c>
      <c r="BC243" s="401">
        <f ca="1">IF(SUM($G243:BB243)&gt;=$E243,0,IF($E243-SUM($G243:BB243)&gt;BC244,BC244,$E243-SUM($G244:BB244)))</f>
        <v>0</v>
      </c>
      <c r="BD243" s="401">
        <f ca="1">IF(SUM($G243:BC243)&gt;=$E243,0,IF($E243-SUM($G243:BC243)&gt;BD244,BD244,$E243-SUM($G244:BC244)))</f>
        <v>0</v>
      </c>
      <c r="BE243" s="401">
        <f ca="1">IF(SUM($G243:BD243)&gt;=$E243,0,IF($E243-SUM($G243:BD243)&gt;BE244,BE244,$E243-SUM($G244:BD244)))</f>
        <v>0</v>
      </c>
      <c r="BF243" s="401">
        <f ca="1">IF(SUM($G243:BE243)&gt;=$E243,0,IF($E243-SUM($G243:BE243)&gt;BF244,BF244,$E243-SUM($G244:BE244)))</f>
        <v>0</v>
      </c>
      <c r="BG243" s="401">
        <f ca="1">IF(SUM($G243:BF243)&gt;=$E243,0,IF($E243-SUM($G243:BF243)&gt;BG244,BG244,$E243-SUM($G244:BF244)))</f>
        <v>0</v>
      </c>
      <c r="BH243" s="401">
        <f ca="1">IF(SUM($G243:BG243)&gt;=$E243,0,IF($E243-SUM($G243:BG243)&gt;BH244,BH244,$E243-SUM($G244:BG244)))</f>
        <v>0</v>
      </c>
      <c r="BI243" s="401">
        <f ca="1">IF(SUM($G243:BH243)&gt;=$E243,0,IF($E243-SUM($G243:BH243)&gt;BI244,BI244,$E243-SUM($G244:BH244)))</f>
        <v>0</v>
      </c>
      <c r="BJ243" s="401">
        <f ca="1">IF(SUM($G243:BI243)&gt;=$E243,0,IF($E243-SUM($G243:BI243)&gt;BJ244,BJ244,$E243-SUM($G244:BI244)))</f>
        <v>0</v>
      </c>
      <c r="BK243" s="401">
        <f ca="1">IF(SUM($G243:BJ243)&gt;=$E243,0,IF($E243-SUM($G243:BJ243)&gt;BK244,BK244,$E243-SUM($G244:BJ244)))</f>
        <v>0</v>
      </c>
      <c r="BL243" s="401">
        <f ca="1">IF(SUM($G243:BK243)&gt;=$E243,0,IF($E243-SUM($G243:BK243)&gt;BL244,BL244,$E243-SUM($G244:BK244)))</f>
        <v>0</v>
      </c>
      <c r="BM243" s="401">
        <f ca="1">IF(SUM($G243:BL243)&gt;=$E243,0,IF($E243-SUM($G243:BL243)&gt;BM244,BM244,$E243-SUM($G244:BL244)))</f>
        <v>0</v>
      </c>
      <c r="BN243" s="401">
        <f ca="1">IF(SUM($G243:BM243)&gt;=$E243,0,IF($E243-SUM($G243:BM243)&gt;BN244,BN244,$E243-SUM($G244:BM244)))</f>
        <v>0</v>
      </c>
      <c r="BO243" s="401">
        <f ca="1">IF(SUM($G243:BN243)&gt;=$E243,0,IF($E243-SUM($G243:BN243)&gt;BO244,BO244,$E243-SUM($G244:BN244)))</f>
        <v>0</v>
      </c>
      <c r="BP243" s="401">
        <f ca="1">IF(SUM($G243:BO243)&gt;=$E243,0,IF($E243-SUM($G243:BO243)&gt;BP244,BP244,$E243-SUM($G244:BO244)))</f>
        <v>0</v>
      </c>
      <c r="BQ243" s="401">
        <f ca="1">IF(SUM($G243:BP243)&gt;=$E243,0,IF($E243-SUM($G243:BP243)&gt;BQ244,BQ244,$E243-SUM($G244:BP244)))</f>
        <v>0</v>
      </c>
      <c r="BR243" s="401">
        <f ca="1">IF(SUM($G243:BQ243)&gt;=$E243,0,IF($E243-SUM($G243:BQ243)&gt;BR244,BR244,$E243-SUM($G244:BQ244)))</f>
        <v>0</v>
      </c>
      <c r="BS243" s="401">
        <f ca="1">IF(SUM($G243:BR243)&gt;=$E243,0,IF($E243-SUM($G243:BR243)&gt;BS244,BS244,$E243-SUM($G244:BR244)))</f>
        <v>0</v>
      </c>
      <c r="BT243" s="401">
        <f ca="1">IF(SUM($G243:BS243)&gt;=$E243,0,IF($E243-SUM($G243:BS243)&gt;BT244,BT244,$E243-SUM($G244:BS244)))</f>
        <v>0</v>
      </c>
      <c r="BU243" s="401">
        <f ca="1">IF(SUM($G243:BT243)&gt;=$E243,0,IF($E243-SUM($G243:BT243)&gt;BU244,BU244,$E243-SUM($G244:BT244)))</f>
        <v>0</v>
      </c>
      <c r="BV243" s="401">
        <f ca="1">IF(SUM($G243:BU243)&gt;=$E243,0,IF($E243-SUM($G243:BU243)&gt;BV244,BV244,$E243-SUM($G244:BU244)))</f>
        <v>0</v>
      </c>
      <c r="BW243" s="401">
        <f ca="1">IF(SUM($G243:BV243)&gt;=$E243,0,IF($E243-SUM($G243:BV243)&gt;BW244,BW244,$E243-SUM($G244:BV244)))</f>
        <v>0</v>
      </c>
      <c r="BX243" s="401">
        <f ca="1">IF(SUM($G243:BW243)&gt;=$E243,0,IF($E243-SUM($G243:BW243)&gt;BX244,BX244,$E243-SUM($G244:BW244)))</f>
        <v>0</v>
      </c>
      <c r="BY243" s="401">
        <f ca="1">IF(SUM($G243:BX243)&gt;=$E243,0,IF($E243-SUM($G243:BX243)&gt;BY244,BY244,$E243-SUM($G244:BX244)))</f>
        <v>0</v>
      </c>
      <c r="BZ243" s="401">
        <f ca="1">IF(SUM($G243:BY243)&gt;=$E243,0,IF($E243-SUM($G243:BY243)&gt;BZ244,BZ244,$E243-SUM($G244:BY244)))</f>
        <v>0</v>
      </c>
      <c r="CA243" s="401">
        <f ca="1">IF(SUM($G243:BZ243)&gt;=$E243,0,IF($E243-SUM($G243:BZ243)&gt;CA244,CA244,$E243-SUM($G244:BZ244)))</f>
        <v>0</v>
      </c>
      <c r="CB243" s="401">
        <f ca="1">IF(SUM($G243:CA243)&gt;=$E243,0,IF($E243-SUM($G243:CA243)&gt;CB244,CB244,$E243-SUM($G244:CA244)))</f>
        <v>0</v>
      </c>
      <c r="CC243" s="401">
        <f ca="1">IF(SUM($G243:CB243)&gt;=$E243,0,IF($E243-SUM($G243:CB243)&gt;CC244,CC244,$E243-SUM($G244:CB244)))</f>
        <v>0</v>
      </c>
      <c r="CD243" s="401">
        <f ca="1">IF(SUM($G243:CC243)&gt;=$E243,0,IF($E243-SUM($G243:CC243)&gt;CD244,CD244,$E243-SUM($G244:CC244)))</f>
        <v>0</v>
      </c>
      <c r="CE243" s="401">
        <f ca="1">IF(SUM($G243:CD243)&gt;=$E243,0,IF($E243-SUM($G243:CD243)&gt;CE244,CE244,$E243-SUM($G244:CD244)))</f>
        <v>0</v>
      </c>
      <c r="CF243" s="401">
        <f ca="1">IF(SUM($G243:CE243)&gt;=$E243,0,IF($E243-SUM($G243:CE243)&gt;CF244,CF244,$E243-SUM($G244:CE244)))</f>
        <v>0</v>
      </c>
      <c r="CG243" s="401">
        <f ca="1">IF(SUM($G243:CF243)&gt;=$E243,0,IF($E243-SUM($G243:CF243)&gt;CG244,CG244,$E243-SUM($G244:CF244)))</f>
        <v>0</v>
      </c>
      <c r="CH243" s="401">
        <f ca="1">IF(SUM($G243:CG243)&gt;=$E243,0,IF($E243-SUM($G243:CG243)&gt;CH244,CH244,$E243-SUM($G244:CG244)))</f>
        <v>0</v>
      </c>
      <c r="CI243" s="401">
        <f ca="1">IF(SUM($G243:CH243)&gt;=$E243,0,IF($E243-SUM($G243:CH243)&gt;CI244,CI244,$E243-SUM($G244:CH244)))</f>
        <v>0</v>
      </c>
      <c r="CJ243" s="401">
        <f ca="1">IF(SUM($G243:CI243)&gt;=$E243,0,IF($E243-SUM($G243:CI243)&gt;CJ244,CJ244,$E243-SUM($G244:CI244)))</f>
        <v>0</v>
      </c>
      <c r="CK243" s="401">
        <f ca="1">IF(SUM($G243:CJ243)&gt;=$E243,0,IF($E243-SUM($G243:CJ243)&gt;CK244,CK244,$E243-SUM($G244:CJ244)))</f>
        <v>0</v>
      </c>
      <c r="CL243" s="401">
        <f ca="1">IF(SUM($G243:CK243)&gt;=$E243,0,IF($E243-SUM($G243:CK243)&gt;CL244,CL244,$E243-SUM($G244:CK244)))</f>
        <v>0</v>
      </c>
      <c r="CM243" s="401">
        <f ca="1">IF(SUM($G243:CL243)&gt;=$E243,0,IF($E243-SUM($G243:CL243)&gt;CM244,CM244,$E243-SUM($G244:CL244)))</f>
        <v>0</v>
      </c>
      <c r="CN243" s="401">
        <f ca="1">IF(SUM($G243:CM243)&gt;=$E243,0,IF($E243-SUM($G243:CM243)&gt;CN244,CN244,$E243-SUM($G244:CM244)))</f>
        <v>0</v>
      </c>
      <c r="CO243" s="401">
        <f ca="1">IF(SUM($G243:CN243)&gt;=$E243,0,IF($E243-SUM($G243:CN243)&gt;CO244,CO244,$E243-SUM($G244:CN244)))</f>
        <v>0</v>
      </c>
      <c r="CP243" s="401">
        <f ca="1">IF(SUM($G243:CO243)&gt;=$E243,0,IF($E243-SUM($G243:CO243)&gt;CP244,CP244,$E243-SUM($G244:CO244)))</f>
        <v>0</v>
      </c>
      <c r="CQ243" s="401">
        <f ca="1">IF(SUM($G243:CP243)&gt;=$E243,0,IF($E243-SUM($G243:CP243)&gt;CQ244,CQ244,$E243-SUM($G244:CP244)))</f>
        <v>0</v>
      </c>
      <c r="CR243" s="401">
        <f ca="1">IF(SUM($G243:CQ243)&gt;=$E243,0,IF($E243-SUM($G243:CQ243)&gt;CR244,CR244,$E243-SUM($G244:CQ244)))</f>
        <v>0</v>
      </c>
      <c r="CS243" s="401">
        <f ca="1">IF(SUM($G243:CR243)&gt;=$E243,0,IF($E243-SUM($G243:CR243)&gt;CS244,CS244,$E243-SUM($G244:CR244)))</f>
        <v>0</v>
      </c>
      <c r="CT243" s="401">
        <f ca="1">IF(SUM($G243:CS243)&gt;=$E243,0,IF($E243-SUM($G243:CS243)&gt;CT244,CT244,$E243-SUM($G244:CS244)))</f>
        <v>0</v>
      </c>
      <c r="CU243" s="401">
        <f ca="1">IF(SUM($G243:CT243)&gt;=$E243,0,IF($E243-SUM($G243:CT243)&gt;CU244,CU244,$E243-SUM($G244:CT244)))</f>
        <v>0</v>
      </c>
      <c r="CV243" s="401">
        <f ca="1">IF(SUM($G243:CU243)&gt;=$E243,0,IF($E243-SUM($G243:CU243)&gt;CV244,CV244,$E243-SUM($G244:CU244)))</f>
        <v>0</v>
      </c>
      <c r="CW243" s="401">
        <f ca="1">IF(SUM($G243:CV243)&gt;=$E243,0,IF($E243-SUM($G243:CV243)&gt;CW244,CW244,$E243-SUM($G244:CV244)))</f>
        <v>0</v>
      </c>
      <c r="CX243" s="401">
        <f ca="1">IF(SUM($G243:CW243)&gt;=$E243,0,IF($E243-SUM($G243:CW243)&gt;CX244,CX244,$E243-SUM($G244:CW244)))</f>
        <v>0</v>
      </c>
      <c r="CY243" s="401">
        <f ca="1">IF(SUM($G243:CX243)&gt;=$E243,0,IF($E243-SUM($G243:CX243)&gt;CY244,CY244,$E243-SUM($G244:CX244)))</f>
        <v>0</v>
      </c>
      <c r="CZ243" s="401">
        <f ca="1">IF(SUM($G243:CY243)&gt;=$E243,0,IF($E243-SUM($G243:CY243)&gt;CZ244,CZ244,$E243-SUM($G244:CY244)))</f>
        <v>0</v>
      </c>
      <c r="DA243" s="401">
        <f ca="1">IF(SUM($G243:CZ243)&gt;=$E243,0,IF($E243-SUM($G243:CZ243)&gt;DA244,DA244,$E243-SUM($G244:CZ244)))</f>
        <v>0</v>
      </c>
      <c r="DB243" s="401">
        <f ca="1">IF(SUM($G243:DA243)&gt;=$E243,0,IF($E243-SUM($G243:DA243)&gt;DB244,DB244,$E243-SUM($G244:DA244)))</f>
        <v>0</v>
      </c>
      <c r="DC243" s="401">
        <f ca="1">IF(SUM($G243:DB243)&gt;=$E243,0,IF($E243-SUM($G243:DB243)&gt;DC244,DC244,$E243-SUM($G244:DB244)))</f>
        <v>0</v>
      </c>
      <c r="DD243" s="401">
        <f ca="1">IF(SUM($G243:DC243)&gt;=$E243,0,IF($E243-SUM($G243:DC243)&gt;DD244,DD244,$E243-SUM($G244:DC244)))</f>
        <v>0</v>
      </c>
      <c r="DE243" s="401">
        <f ca="1">IF(SUM($G243:DD243)&gt;=$E243,0,IF($E243-SUM($G243:DD243)&gt;DE244,DE244,$E243-SUM($G244:DD244)))</f>
        <v>0</v>
      </c>
      <c r="DF243" s="401">
        <f ca="1">IF(SUM($G243:DE243)&gt;=$E243,0,IF($E243-SUM($G243:DE243)&gt;DF244,DF244,$E243-SUM($G244:DE244)))</f>
        <v>0</v>
      </c>
      <c r="DG243" s="401">
        <f ca="1">IF(SUM($G243:DF243)&gt;=$E243,0,IF($E243-SUM($G243:DF243)&gt;DG244,DG244,$E243-SUM($G244:DF244)))</f>
        <v>0</v>
      </c>
      <c r="DH243" s="401">
        <f ca="1">IF(SUM($G243:DG243)&gt;=$E243,0,IF($E243-SUM($G243:DG243)&gt;DH244,DH244,$E243-SUM($G244:DG244)))</f>
        <v>0</v>
      </c>
      <c r="DI243" s="401">
        <f ca="1">IF(SUM($G243:DH243)&gt;=$E243,0,IF($E243-SUM($G243:DH243)&gt;DI244,DI244,$E243-SUM($G244:DH244)))</f>
        <v>0</v>
      </c>
      <c r="DJ243" s="401">
        <f ca="1">IF(SUM($G243:DI243)&gt;=$E243,0,IF($E243-SUM($G243:DI243)&gt;DJ244,DJ244,$E243-SUM($G244:DI244)))</f>
        <v>0</v>
      </c>
      <c r="DK243" s="401">
        <f ca="1">IF(SUM($G243:DJ243)&gt;=$E243,0,IF($E243-SUM($G243:DJ243)&gt;DK244,DK244,$E243-SUM($G244:DJ244)))</f>
        <v>0</v>
      </c>
      <c r="DL243" s="401">
        <f ca="1">IF(SUM($G243:DK243)&gt;=$E243,0,IF($E243-SUM($G243:DK243)&gt;DL244,DL244,$E243-SUM($G244:DK244)))</f>
        <v>0</v>
      </c>
      <c r="DM243" s="401">
        <f ca="1">IF(SUM($G243:DL243)&gt;=$E243,0,IF($E243-SUM($G243:DL243)&gt;DM244,DM244,$E243-SUM($G244:DL244)))</f>
        <v>0</v>
      </c>
      <c r="DN243" s="401">
        <f ca="1">IF(SUM($G243:DM243)&gt;=$E243,0,IF($E243-SUM($G243:DM243)&gt;DN244,DN244,$E243-SUM($G244:DM244)))</f>
        <v>0</v>
      </c>
      <c r="DO243" s="401">
        <f ca="1">IF(SUM($G243:DN243)&gt;=$E243,0,IF($E243-SUM($G243:DN243)&gt;DO244,DO244,$E243-SUM($G244:DN244)))</f>
        <v>0</v>
      </c>
      <c r="DP243" s="401">
        <f ca="1">IF(SUM($G243:DO243)&gt;=$E243,0,IF($E243-SUM($G243:DO243)&gt;DP244,DP244,$E243-SUM($G244:DO244)))</f>
        <v>0</v>
      </c>
      <c r="DQ243" s="401">
        <f ca="1">IF(SUM($G243:DP243)&gt;=$E243,0,IF($E243-SUM($G243:DP243)&gt;DQ244,DQ244,$E243-SUM($G244:DP244)))</f>
        <v>0</v>
      </c>
      <c r="DR243" s="401">
        <f ca="1">IF(SUM($G243:DQ243)&gt;=$E243,0,IF($E243-SUM($G243:DQ243)&gt;DR244,DR244,$E243-SUM($G244:DQ244)))</f>
        <v>0</v>
      </c>
      <c r="DS243" s="401">
        <f ca="1">IF(SUM($G243:DR243)&gt;=$E243,0,IF($E243-SUM($G243:DR243)&gt;DS244,DS244,$E243-SUM($G244:DR244)))</f>
        <v>0</v>
      </c>
      <c r="DT243" s="401">
        <f ca="1">IF(SUM($G243:DS243)&gt;=$E243,0,IF($E243-SUM($G243:DS243)&gt;DT244,DT244,$E243-SUM($G244:DS244)))</f>
        <v>0</v>
      </c>
      <c r="DU243" s="401">
        <f ca="1">IF(SUM($G243:DT243)&gt;=$E243,0,IF($E243-SUM($G243:DT243)&gt;DU244,DU244,$E243-SUM($G244:DT244)))</f>
        <v>0</v>
      </c>
      <c r="DV243" s="401">
        <f ca="1">IF(SUM($G243:DU243)&gt;=$E243,0,IF($E243-SUM($G243:DU243)&gt;DV244,DV244,$E243-SUM($G244:DU244)))</f>
        <v>0</v>
      </c>
      <c r="DW243" s="401">
        <f ca="1">IF(SUM($G243:DV243)&gt;=$E243,0,IF($E243-SUM($G243:DV243)&gt;DW244,DW244,$E243-SUM($G244:DV244)))</f>
        <v>0</v>
      </c>
      <c r="DX243" s="401">
        <f ca="1">IF(SUM($G243:DW243)&gt;=$E243,0,IF($E243-SUM($G243:DW243)&gt;DX244,DX244,$E243-SUM($G244:DW244)))</f>
        <v>0</v>
      </c>
      <c r="DY243" s="401">
        <f ca="1">IF(SUM($G243:DX243)&gt;=$E243,0,IF($E243-SUM($G243:DX243)&gt;DY244,DY244,$E243-SUM($G244:DX244)))</f>
        <v>0</v>
      </c>
      <c r="DZ243" s="401">
        <f ca="1">IF(SUM($G243:DY243)&gt;=$E243,0,IF($E243-SUM($G243:DY243)&gt;DZ244,DZ244,$E243-SUM($G244:DY244)))</f>
        <v>0</v>
      </c>
      <c r="EA243" s="401">
        <f ca="1">IF(SUM($G243:DZ243)&gt;=$E243,0,IF($E243-SUM($G243:DZ243)&gt;EA244,EA244,$E243-SUM($G244:DZ244)))</f>
        <v>0</v>
      </c>
      <c r="EB243" s="401">
        <f ca="1">IF(SUM($G243:EA243)&gt;=$E243,0,IF($E243-SUM($G243:EA243)&gt;EB244,EB244,$E243-SUM($G244:EA244)))</f>
        <v>0</v>
      </c>
      <c r="EC243" s="401">
        <f ca="1">IF(SUM($G243:EB243)&gt;=$E243,0,IF($E243-SUM($G243:EB243)&gt;EC244,EC244,$E243-SUM($G244:EB244)))</f>
        <v>0</v>
      </c>
      <c r="ED243" s="401">
        <f ca="1">IF(SUM($G243:EC243)&gt;=$E243,0,IF($E243-SUM($G243:EC243)&gt;ED244,ED244,$E243-SUM($G244:EC244)))</f>
        <v>0</v>
      </c>
      <c r="EE243" s="401">
        <f ca="1">IF(SUM($G243:ED243)&gt;=$E243,0,IF($E243-SUM($G243:ED243)&gt;EE244,EE244,$E243-SUM($G244:ED244)))</f>
        <v>0</v>
      </c>
      <c r="EF243" s="401">
        <f ca="1">IF(SUM($G243:EE243)&gt;=$E243,0,IF($E243-SUM($G243:EE243)&gt;EF244,EF244,$E243-SUM($G244:EE244)))</f>
        <v>0</v>
      </c>
      <c r="EG243" s="401">
        <f ca="1">IF(SUM($G243:EF243)&gt;=$E243,0,IF($E243-SUM($G243:EF243)&gt;EG244,EG244,$E243-SUM($G244:EF244)))</f>
        <v>0</v>
      </c>
      <c r="EH243" s="401">
        <f ca="1">IF(SUM($G243:EG243)&gt;=$E243,0,IF($E243-SUM($G243:EG243)&gt;EH244,EH244,$E243-SUM($G244:EG244)))</f>
        <v>0</v>
      </c>
      <c r="EI243" s="401">
        <f ca="1">IF(SUM($G243:EH243)&gt;=$E243,0,IF($E243-SUM($G243:EH243)&gt;EI244,EI244,$E243-SUM($G244:EH244)))</f>
        <v>0</v>
      </c>
      <c r="EK243" s="313"/>
      <c r="EV243" s="321"/>
    </row>
    <row r="244" spans="1:152" hidden="1" outlineLevel="2">
      <c r="A244" s="332"/>
      <c r="B244" s="313"/>
      <c r="C244" s="308"/>
      <c r="D244" s="308"/>
      <c r="E244" s="308"/>
      <c r="F244" s="313"/>
      <c r="G244" s="402"/>
      <c r="H244" s="402">
        <f ca="1">IF((SUM($G239:H239)-$E238*0.6)&lt;0,0,IF((SUM($G239:H239)-$E238*0.6)&lt;H239,SUM($G239:H239)-$E238*0.6,H239))</f>
        <v>0</v>
      </c>
      <c r="I244" s="402">
        <f ca="1">IF((SUM($G239:I239)-$E238*0.6)&lt;0,0,IF((SUM($G239:I239)-$E238*0.6)&lt;I239,SUM($G239:I239)-$E238*0.6,I239))</f>
        <v>0</v>
      </c>
      <c r="J244" s="402">
        <f ca="1">IF((SUM($G239:J239)-$E238*0.6)&lt;0,0,IF((SUM($G239:J239)-$E238*0.6)&lt;J239,SUM($G239:J239)-$E238*0.6,J239))</f>
        <v>0</v>
      </c>
      <c r="K244" s="402">
        <f ca="1">IF((SUM($G239:K239)-$E238*0.6)&lt;0,0,IF((SUM($G239:K239)-$E238*0.6)&lt;K239,SUM($G239:K239)-$E238*0.6,K239))</f>
        <v>0</v>
      </c>
      <c r="L244" s="402">
        <f ca="1">IF((SUM($G239:L239)-$E238*0.6)&lt;0,0,IF((SUM($G239:L239)-$E238*0.6)&lt;L239,SUM($G239:L239)-$E238*0.6,L239))</f>
        <v>0</v>
      </c>
      <c r="M244" s="402">
        <f ca="1">IF((SUM($G239:M239)-$E238*0.6)&lt;0,0,IF((SUM($G239:M239)-$E238*0.6)&lt;M239,SUM($G239:M239)-$E238*0.6,M239))</f>
        <v>0</v>
      </c>
      <c r="N244" s="402">
        <f ca="1">IF((SUM($G239:N239)-$E238*0.6)&lt;0,0,IF((SUM($G239:N239)-$E238*0.6)&lt;N239,SUM($G239:N239)-$E238*0.6,N239))</f>
        <v>0</v>
      </c>
      <c r="O244" s="402">
        <f ca="1">IF((SUM($G239:O239)-$E238*0.6)&lt;0,0,IF((SUM($G239:O239)-$E238*0.6)&lt;O239,SUM($G239:O239)-$E238*0.6,O239))</f>
        <v>0</v>
      </c>
      <c r="P244" s="402">
        <f ca="1">IF((SUM($G239:P239)-$E238*0.6)&lt;0,0,IF((SUM($G239:P239)-$E238*0.6)&lt;P239,SUM($G239:P239)-$E238*0.6,P239))</f>
        <v>0</v>
      </c>
      <c r="Q244" s="402">
        <f ca="1">IF((SUM($G239:Q239)-$E238*0.6)&lt;0,0,IF((SUM($G239:Q239)-$E238*0.6)&lt;Q239,SUM($G239:Q239)-$E238*0.6,Q239))</f>
        <v>0</v>
      </c>
      <c r="R244" s="402">
        <f ca="1">IF((SUM($G239:R239)-$E238*0.6)&lt;0,0,IF((SUM($G239:R239)-$E238*0.6)&lt;R239,SUM($G239:R239)-$E238*0.6,R239))</f>
        <v>0</v>
      </c>
      <c r="S244" s="402">
        <f ca="1">IF((SUM($G239:S239)-$E238*0.6)&lt;0,0,IF((SUM($G239:S239)-$E238*0.6)&lt;S239,SUM($G239:S239)-$E238*0.6,S239))</f>
        <v>29.200000000000003</v>
      </c>
      <c r="T244" s="402">
        <f ca="1">IF((SUM($G239:T239)-$E238*0.6)&lt;0,0,IF((SUM($G239:T239)-$E238*0.6)&lt;T239,SUM($G239:T239)-$E238*0.6,T239))</f>
        <v>30</v>
      </c>
      <c r="U244" s="402">
        <f ca="1">IF((SUM($G239:U239)-$E238*0.6)&lt;0,0,IF((SUM($G239:U239)-$E238*0.6)&lt;U239,SUM($G239:U239)-$E238*0.6,U239))</f>
        <v>31</v>
      </c>
      <c r="V244" s="402">
        <f ca="1">IF((SUM($G239:V239)-$E238*0.6)&lt;0,0,IF((SUM($G239:V239)-$E238*0.6)&lt;V239,SUM($G239:V239)-$E238*0.6,V239))</f>
        <v>30</v>
      </c>
      <c r="W244" s="402">
        <f ca="1">IF((SUM($G239:W239)-$E238*0.6)&lt;0,0,IF((SUM($G239:W239)-$E238*0.6)&lt;W239,SUM($G239:W239)-$E238*0.6,W239))</f>
        <v>31</v>
      </c>
      <c r="X244" s="402">
        <f ca="1">IF((SUM($G239:X239)-$E238*0.6)&lt;0,0,IF((SUM($G239:X239)-$E238*0.6)&lt;X239,SUM($G239:X239)-$E238*0.6,X239))</f>
        <v>31</v>
      </c>
      <c r="Y244" s="402">
        <f ca="1">IF((SUM($G239:Y239)-$E238*0.6)&lt;0,0,IF((SUM($G239:Y239)-$E238*0.6)&lt;Y239,SUM($G239:Y239)-$E238*0.6,Y239))</f>
        <v>30</v>
      </c>
      <c r="Z244" s="402">
        <f ca="1">IF((SUM($G239:Z239)-$E238*0.6)&lt;0,0,IF((SUM($G239:Z239)-$E238*0.6)&lt;Z239,SUM($G239:Z239)-$E238*0.6,Z239))</f>
        <v>31</v>
      </c>
      <c r="AA244" s="402">
        <f ca="1">IF((SUM($G239:AA239)-$E238*0.6)&lt;0,0,IF((SUM($G239:AA239)-$E238*0.6)&lt;AA239,SUM($G239:AA239)-$E238*0.6,AA239))</f>
        <v>30</v>
      </c>
      <c r="AB244" s="402">
        <f ca="1">IF((SUM($G239:AB239)-$E238*0.6)&lt;0,0,IF((SUM($G239:AB239)-$E238*0.6)&lt;AB239,SUM($G239:AB239)-$E238*0.6,AB239))</f>
        <v>31</v>
      </c>
      <c r="AC244" s="402">
        <f ca="1">IF((SUM($G239:AC239)-$E238*0.6)&lt;0,0,IF((SUM($G239:AC239)-$E238*0.6)&lt;AC239,SUM($G239:AC239)-$E238*0.6,AC239))</f>
        <v>31</v>
      </c>
      <c r="AD244" s="402">
        <f ca="1">IF((SUM($G239:AD239)-$E238*0.6)&lt;0,0,IF((SUM($G239:AD239)-$E238*0.6)&lt;AD239,SUM($G239:AD239)-$E238*0.6,AD239))</f>
        <v>28</v>
      </c>
      <c r="AE244" s="402">
        <f ca="1">IF((SUM($G239:AE239)-$E238*0.6)&lt;0,0,IF((SUM($G239:AE239)-$E238*0.6)&lt;AE239,SUM($G239:AE239)-$E238*0.6,AE239))</f>
        <v>31</v>
      </c>
      <c r="AF244" s="402">
        <f ca="1">IF((SUM($G239:AF239)-$E238*0.6)&lt;0,0,IF((SUM($G239:AF239)-$E238*0.6)&lt;AF239,SUM($G239:AF239)-$E238*0.6,AF239))</f>
        <v>30</v>
      </c>
      <c r="AG244" s="402">
        <f ca="1">IF((SUM($G239:AG239)-$E238*0.6)&lt;0,0,IF((SUM($G239:AG239)-$E238*0.6)&lt;AG239,SUM($G239:AG239)-$E238*0.6,AG239))</f>
        <v>31</v>
      </c>
      <c r="AH244" s="402">
        <f ca="1">IF((SUM($G239:AH239)-$E238*0.6)&lt;0,0,IF((SUM($G239:AH239)-$E238*0.6)&lt;AH239,SUM($G239:AH239)-$E238*0.6,AH239))</f>
        <v>30</v>
      </c>
      <c r="AI244" s="402">
        <f ca="1">IF((SUM($G239:AI239)-$E238*0.6)&lt;0,0,IF((SUM($G239:AI239)-$E238*0.6)&lt;AI239,SUM($G239:AI239)-$E238*0.6,AI239))</f>
        <v>31</v>
      </c>
      <c r="AJ244" s="402">
        <f ca="1">IF((SUM($G239:AJ239)-$E238*0.6)&lt;0,0,IF((SUM($G239:AJ239)-$E238*0.6)&lt;AJ239,SUM($G239:AJ239)-$E238*0.6,AJ239))</f>
        <v>31</v>
      </c>
      <c r="AK244" s="402">
        <f ca="1">IF((SUM($G239:AK239)-$E238*0.6)&lt;0,0,IF((SUM($G239:AK239)-$E238*0.6)&lt;AK239,SUM($G239:AK239)-$E238*0.6,AK239))</f>
        <v>30</v>
      </c>
      <c r="AL244" s="402">
        <f ca="1">IF((SUM($G239:AL239)-$E238*0.6)&lt;0,0,IF((SUM($G239:AL239)-$E238*0.6)&lt;AL239,SUM($G239:AL239)-$E238*0.6,AL239))</f>
        <v>31</v>
      </c>
      <c r="AM244" s="402">
        <f ca="1">IF((SUM($G239:AM239)-$E238*0.6)&lt;0,0,IF((SUM($G239:AM239)-$E238*0.6)&lt;AM239,SUM($G239:AM239)-$E238*0.6,AM239))</f>
        <v>30</v>
      </c>
      <c r="AN244" s="402">
        <f ca="1">IF((SUM($G239:AN239)-$E238*0.6)&lt;0,0,IF((SUM($G239:AN239)-$E238*0.6)&lt;AN239,SUM($G239:AN239)-$E238*0.6,AN239))</f>
        <v>31</v>
      </c>
      <c r="AO244" s="402">
        <f ca="1">IF((SUM($G239:AO239)-$E238*0.6)&lt;0,0,IF((SUM($G239:AO239)-$E238*0.6)&lt;AO239,SUM($G239:AO239)-$E238*0.6,AO239))</f>
        <v>31</v>
      </c>
      <c r="AP244" s="402">
        <f ca="1">IF((SUM($G239:AP239)-$E238*0.6)&lt;0,0,IF((SUM($G239:AP239)-$E238*0.6)&lt;AP239,SUM($G239:AP239)-$E238*0.6,AP239))</f>
        <v>28</v>
      </c>
      <c r="AQ244" s="402">
        <f ca="1">IF((SUM($G239:AQ239)-$E238*0.6)&lt;0,0,IF((SUM($G239:AQ239)-$E238*0.6)&lt;AQ239,SUM($G239:AQ239)-$E238*0.6,AQ239))</f>
        <v>31</v>
      </c>
      <c r="AR244" s="402">
        <f ca="1">IF((SUM($G239:AR239)-$E238*0.6)&lt;0,0,IF((SUM($G239:AR239)-$E238*0.6)&lt;AR239,SUM($G239:AR239)-$E238*0.6,AR239))</f>
        <v>30</v>
      </c>
      <c r="AS244" s="402">
        <f ca="1">IF((SUM($G239:AS239)-$E238*0.6)&lt;0,0,IF((SUM($G239:AS239)-$E238*0.6)&lt;AS239,SUM($G239:AS239)-$E238*0.6,AS239))</f>
        <v>31</v>
      </c>
      <c r="AT244" s="402">
        <f ca="1">IF((SUM($G239:AT239)-$E238*0.6)&lt;0,0,IF((SUM($G239:AT239)-$E238*0.6)&lt;AT239,SUM($G239:AT239)-$E238*0.6,AT239))</f>
        <v>30</v>
      </c>
      <c r="AU244" s="402">
        <f ca="1">IF((SUM($G239:AU239)-$E238*0.6)&lt;0,0,IF((SUM($G239:AU239)-$E238*0.6)&lt;AU239,SUM($G239:AU239)-$E238*0.6,AU239))</f>
        <v>31</v>
      </c>
      <c r="AV244" s="402">
        <f ca="1">IF((SUM($G239:AV239)-$E238*0.6)&lt;0,0,IF((SUM($G239:AV239)-$E238*0.6)&lt;AV239,SUM($G239:AV239)-$E238*0.6,AV239))</f>
        <v>31</v>
      </c>
      <c r="AW244" s="402">
        <f ca="1">IF((SUM($G239:AW239)-$E238*0.6)&lt;0,0,IF((SUM($G239:AW239)-$E238*0.6)&lt;AW239,SUM($G239:AW239)-$E238*0.6,AW239))</f>
        <v>30</v>
      </c>
      <c r="AX244" s="402">
        <f ca="1">IF((SUM($G239:AX239)-$E238*0.6)&lt;0,0,IF((SUM($G239:AX239)-$E238*0.6)&lt;AX239,SUM($G239:AX239)-$E238*0.6,AX239))</f>
        <v>31</v>
      </c>
      <c r="AY244" s="402">
        <f ca="1">IF((SUM($G239:AY239)-$E238*0.6)&lt;0,0,IF((SUM($G239:AY239)-$E238*0.6)&lt;AY239,SUM($G239:AY239)-$E238*0.6,AY239))</f>
        <v>30</v>
      </c>
      <c r="AZ244" s="402">
        <f ca="1">IF((SUM($G239:AZ239)-$E238*0.6)&lt;0,0,IF((SUM($G239:AZ239)-$E238*0.6)&lt;AZ239,SUM($G239:AZ239)-$E238*0.6,AZ239))</f>
        <v>31</v>
      </c>
      <c r="BA244" s="402">
        <f ca="1">IF((SUM($G239:BA239)-$E238*0.6)&lt;0,0,IF((SUM($G239:BA239)-$E238*0.6)&lt;BA239,SUM($G239:BA239)-$E238*0.6,BA239))</f>
        <v>31</v>
      </c>
      <c r="BB244" s="402">
        <f ca="1">IF((SUM($G239:BB239)-$E238*0.6)&lt;0,0,IF((SUM($G239:BB239)-$E238*0.6)&lt;BB239,SUM($G239:BB239)-$E238*0.6,BB239))</f>
        <v>28</v>
      </c>
      <c r="BC244" s="402">
        <f ca="1">IF((SUM($G239:BC239)-$E238*0.6)&lt;0,0,IF((SUM($G239:BC239)-$E238*0.6)&lt;BC239,SUM($G239:BC239)-$E238*0.6,BC239))</f>
        <v>31</v>
      </c>
      <c r="BD244" s="402">
        <f ca="1">IF((SUM($G239:BD239)-$E238*0.6)&lt;0,0,IF((SUM($G239:BD239)-$E238*0.6)&lt;BD239,SUM($G239:BD239)-$E238*0.6,BD239))</f>
        <v>30</v>
      </c>
      <c r="BE244" s="402">
        <f ca="1">IF((SUM($G239:BE239)-$E238*0.6)&lt;0,0,IF((SUM($G239:BE239)-$E238*0.6)&lt;BE239,SUM($G239:BE239)-$E238*0.6,BE239))</f>
        <v>31</v>
      </c>
      <c r="BF244" s="402">
        <f ca="1">IF((SUM($G239:BF239)-$E238*0.6)&lt;0,0,IF((SUM($G239:BF239)-$E238*0.6)&lt;BF239,SUM($G239:BF239)-$E238*0.6,BF239))</f>
        <v>30</v>
      </c>
      <c r="BG244" s="402">
        <f ca="1">IF((SUM($G239:BG239)-$E238*0.6)&lt;0,0,IF((SUM($G239:BG239)-$E238*0.6)&lt;BG239,SUM($G239:BG239)-$E238*0.6,BG239))</f>
        <v>31</v>
      </c>
      <c r="BH244" s="402">
        <f ca="1">IF((SUM($G239:BH239)-$E238*0.6)&lt;0,0,IF((SUM($G239:BH239)-$E238*0.6)&lt;BH239,SUM($G239:BH239)-$E238*0.6,BH239))</f>
        <v>31</v>
      </c>
      <c r="BI244" s="402">
        <f ca="1">IF((SUM($G239:BI239)-$E238*0.6)&lt;0,0,IF((SUM($G239:BI239)-$E238*0.6)&lt;BI239,SUM($G239:BI239)-$E238*0.6,BI239))</f>
        <v>30</v>
      </c>
      <c r="BJ244" s="402">
        <f ca="1">IF((SUM($G239:BJ239)-$E238*0.6)&lt;0,0,IF((SUM($G239:BJ239)-$E238*0.6)&lt;BJ239,SUM($G239:BJ239)-$E238*0.6,BJ239))</f>
        <v>31</v>
      </c>
      <c r="BK244" s="402">
        <f ca="1">IF((SUM($G239:BK239)-$E238*0.6)&lt;0,0,IF((SUM($G239:BK239)-$E238*0.6)&lt;BK239,SUM($G239:BK239)-$E238*0.6,BK239))</f>
        <v>30</v>
      </c>
      <c r="BL244" s="402">
        <f ca="1">IF((SUM($G239:BL239)-$E238*0.6)&lt;0,0,IF((SUM($G239:BL239)-$E238*0.6)&lt;BL239,SUM($G239:BL239)-$E238*0.6,BL239))</f>
        <v>31</v>
      </c>
      <c r="BM244" s="402">
        <f ca="1">IF((SUM($G239:BM239)-$E238*0.6)&lt;0,0,IF((SUM($G239:BM239)-$E238*0.6)&lt;BM239,SUM($G239:BM239)-$E238*0.6,BM239))</f>
        <v>31</v>
      </c>
      <c r="BN244" s="402">
        <f ca="1">IF((SUM($G239:BN239)-$E238*0.6)&lt;0,0,IF((SUM($G239:BN239)-$E238*0.6)&lt;BN239,SUM($G239:BN239)-$E238*0.6,BN239))</f>
        <v>29</v>
      </c>
      <c r="BO244" s="402">
        <f ca="1">IF((SUM($G239:BO239)-$E238*0.6)&lt;0,0,IF((SUM($G239:BO239)-$E238*0.6)&lt;BO239,SUM($G239:BO239)-$E238*0.6,BO239))</f>
        <v>31</v>
      </c>
      <c r="BP244" s="402">
        <f ca="1">IF((SUM($G239:BP239)-$E238*0.6)&lt;0,0,IF((SUM($G239:BP239)-$E238*0.6)&lt;BP239,SUM($G239:BP239)-$E238*0.6,BP239))</f>
        <v>30</v>
      </c>
      <c r="BQ244" s="402">
        <f ca="1">IF((SUM($G239:BQ239)-$E238*0.6)&lt;0,0,IF((SUM($G239:BQ239)-$E238*0.6)&lt;BQ239,SUM($G239:BQ239)-$E238*0.6,BQ239))</f>
        <v>31</v>
      </c>
      <c r="BR244" s="402">
        <f ca="1">IF((SUM($G239:BR239)-$E238*0.6)&lt;0,0,IF((SUM($G239:BR239)-$E238*0.6)&lt;BR239,SUM($G239:BR239)-$E238*0.6,BR239))</f>
        <v>30</v>
      </c>
      <c r="BS244" s="402">
        <f ca="1">IF((SUM($G239:BS239)-$E238*0.6)&lt;0,0,IF((SUM($G239:BS239)-$E238*0.6)&lt;BS239,SUM($G239:BS239)-$E238*0.6,BS239))</f>
        <v>31</v>
      </c>
      <c r="BT244" s="402">
        <f ca="1">IF((SUM($G239:BT239)-$E238*0.6)&lt;0,0,IF((SUM($G239:BT239)-$E238*0.6)&lt;BT239,SUM($G239:BT239)-$E238*0.6,BT239))</f>
        <v>31</v>
      </c>
      <c r="BU244" s="402">
        <f ca="1">IF((SUM($G239:BU239)-$E238*0.6)&lt;0,0,IF((SUM($G239:BU239)-$E238*0.6)&lt;BU239,SUM($G239:BU239)-$E238*0.6,BU239))</f>
        <v>30</v>
      </c>
      <c r="BV244" s="402">
        <f ca="1">IF((SUM($G239:BV239)-$E238*0.6)&lt;0,0,IF((SUM($G239:BV239)-$E238*0.6)&lt;BV239,SUM($G239:BV239)-$E238*0.6,BV239))</f>
        <v>31</v>
      </c>
      <c r="BW244" s="402">
        <f ca="1">IF((SUM($G239:BW239)-$E238*0.6)&lt;0,0,IF((SUM($G239:BW239)-$E238*0.6)&lt;BW239,SUM($G239:BW239)-$E238*0.6,BW239))</f>
        <v>30</v>
      </c>
      <c r="BX244" s="402">
        <f ca="1">IF((SUM($G239:BX239)-$E238*0.6)&lt;0,0,IF((SUM($G239:BX239)-$E238*0.6)&lt;BX239,SUM($G239:BX239)-$E238*0.6,BX239))</f>
        <v>31</v>
      </c>
      <c r="BY244" s="402">
        <f ca="1">IF((SUM($G239:BY239)-$E238*0.6)&lt;0,0,IF((SUM($G239:BY239)-$E238*0.6)&lt;BY239,SUM($G239:BY239)-$E238*0.6,BY239))</f>
        <v>31</v>
      </c>
      <c r="BZ244" s="402">
        <f ca="1">IF((SUM($G239:BZ239)-$E238*0.6)&lt;0,0,IF((SUM($G239:BZ239)-$E238*0.6)&lt;BZ239,SUM($G239:BZ239)-$E238*0.6,BZ239))</f>
        <v>28</v>
      </c>
      <c r="CA244" s="402">
        <f ca="1">IF((SUM($G239:CA239)-$E238*0.6)&lt;0,0,IF((SUM($G239:CA239)-$E238*0.6)&lt;CA239,SUM($G239:CA239)-$E238*0.6,CA239))</f>
        <v>31</v>
      </c>
      <c r="CB244" s="402">
        <f ca="1">IF((SUM($G239:CB239)-$E238*0.6)&lt;0,0,IF((SUM($G239:CB239)-$E238*0.6)&lt;CB239,SUM($G239:CB239)-$E238*0.6,CB239))</f>
        <v>30</v>
      </c>
      <c r="CC244" s="402">
        <f ca="1">IF((SUM($G239:CC239)-$E238*0.6)&lt;0,0,IF((SUM($G239:CC239)-$E238*0.6)&lt;CC239,SUM($G239:CC239)-$E238*0.6,CC239))</f>
        <v>31</v>
      </c>
      <c r="CD244" s="402">
        <f ca="1">IF((SUM($G239:CD239)-$E238*0.6)&lt;0,0,IF((SUM($G239:CD239)-$E238*0.6)&lt;CD239,SUM($G239:CD239)-$E238*0.6,CD239))</f>
        <v>30</v>
      </c>
      <c r="CE244" s="402">
        <f ca="1">IF((SUM($G239:CE239)-$E238*0.6)&lt;0,0,IF((SUM($G239:CE239)-$E238*0.6)&lt;CE239,SUM($G239:CE239)-$E238*0.6,CE239))</f>
        <v>31</v>
      </c>
      <c r="CF244" s="402">
        <f ca="1">IF((SUM($G239:CF239)-$E238*0.6)&lt;0,0,IF((SUM($G239:CF239)-$E238*0.6)&lt;CF239,SUM($G239:CF239)-$E238*0.6,CF239))</f>
        <v>31</v>
      </c>
      <c r="CG244" s="402">
        <f ca="1">IF((SUM($G239:CG239)-$E238*0.6)&lt;0,0,IF((SUM($G239:CG239)-$E238*0.6)&lt;CG239,SUM($G239:CG239)-$E238*0.6,CG239))</f>
        <v>30</v>
      </c>
      <c r="CH244" s="402">
        <f ca="1">IF((SUM($G239:CH239)-$E238*0.6)&lt;0,0,IF((SUM($G239:CH239)-$E238*0.6)&lt;CH239,SUM($G239:CH239)-$E238*0.6,CH239))</f>
        <v>31</v>
      </c>
      <c r="CI244" s="402">
        <f ca="1">IF((SUM($G239:CI239)-$E238*0.6)&lt;0,0,IF((SUM($G239:CI239)-$E238*0.6)&lt;CI239,SUM($G239:CI239)-$E238*0.6,CI239))</f>
        <v>30</v>
      </c>
      <c r="CJ244" s="402">
        <f ca="1">IF((SUM($G239:CJ239)-$E238*0.6)&lt;0,0,IF((SUM($G239:CJ239)-$E238*0.6)&lt;CJ239,SUM($G239:CJ239)-$E238*0.6,CJ239))</f>
        <v>31</v>
      </c>
      <c r="CK244" s="402">
        <f ca="1">IF((SUM($G239:CK239)-$E238*0.6)&lt;0,0,IF((SUM($G239:CK239)-$E238*0.6)&lt;CK239,SUM($G239:CK239)-$E238*0.6,CK239))</f>
        <v>31</v>
      </c>
      <c r="CL244" s="402">
        <f ca="1">IF((SUM($G239:CL239)-$E238*0.6)&lt;0,0,IF((SUM($G239:CL239)-$E238*0.6)&lt;CL239,SUM($G239:CL239)-$E238*0.6,CL239))</f>
        <v>28</v>
      </c>
      <c r="CM244" s="402">
        <f ca="1">IF((SUM($G239:CM239)-$E238*0.6)&lt;0,0,IF((SUM($G239:CM239)-$E238*0.6)&lt;CM239,SUM($G239:CM239)-$E238*0.6,CM239))</f>
        <v>31</v>
      </c>
      <c r="CN244" s="402">
        <f ca="1">IF((SUM($G239:CN239)-$E238*0.6)&lt;0,0,IF((SUM($G239:CN239)-$E238*0.6)&lt;CN239,SUM($G239:CN239)-$E238*0.6,CN239))</f>
        <v>30</v>
      </c>
      <c r="CO244" s="402">
        <f ca="1">IF((SUM($G239:CO239)-$E238*0.6)&lt;0,0,IF((SUM($G239:CO239)-$E238*0.6)&lt;CO239,SUM($G239:CO239)-$E238*0.6,CO239))</f>
        <v>31</v>
      </c>
      <c r="CP244" s="402">
        <f ca="1">IF((SUM($G239:CP239)-$E238*0.6)&lt;0,0,IF((SUM($G239:CP239)-$E238*0.6)&lt;CP239,SUM($G239:CP239)-$E238*0.6,CP239))</f>
        <v>30</v>
      </c>
      <c r="CQ244" s="402">
        <f ca="1">IF((SUM($G239:CQ239)-$E238*0.6)&lt;0,0,IF((SUM($G239:CQ239)-$E238*0.6)&lt;CQ239,SUM($G239:CQ239)-$E238*0.6,CQ239))</f>
        <v>31</v>
      </c>
      <c r="CR244" s="402">
        <f ca="1">IF((SUM($G239:CR239)-$E238*0.6)&lt;0,0,IF((SUM($G239:CR239)-$E238*0.6)&lt;CR239,SUM($G239:CR239)-$E238*0.6,CR239))</f>
        <v>31</v>
      </c>
      <c r="CS244" s="402">
        <f ca="1">IF((SUM($G239:CS239)-$E238*0.6)&lt;0,0,IF((SUM($G239:CS239)-$E238*0.6)&lt;CS239,SUM($G239:CS239)-$E238*0.6,CS239))</f>
        <v>30</v>
      </c>
      <c r="CT244" s="402">
        <f ca="1">IF((SUM($G239:CT239)-$E238*0.6)&lt;0,0,IF((SUM($G239:CT239)-$E238*0.6)&lt;CT239,SUM($G239:CT239)-$E238*0.6,CT239))</f>
        <v>31</v>
      </c>
      <c r="CU244" s="402">
        <f ca="1">IF((SUM($G239:CU239)-$E238*0.6)&lt;0,0,IF((SUM($G239:CU239)-$E238*0.6)&lt;CU239,SUM($G239:CU239)-$E238*0.6,CU239))</f>
        <v>30</v>
      </c>
      <c r="CV244" s="402">
        <f ca="1">IF((SUM($G239:CV239)-$E238*0.6)&lt;0,0,IF((SUM($G239:CV239)-$E238*0.6)&lt;CV239,SUM($G239:CV239)-$E238*0.6,CV239))</f>
        <v>31</v>
      </c>
      <c r="CW244" s="402">
        <f ca="1">IF((SUM($G239:CW239)-$E238*0.6)&lt;0,0,IF((SUM($G239:CW239)-$E238*0.6)&lt;CW239,SUM($G239:CW239)-$E238*0.6,CW239))</f>
        <v>31</v>
      </c>
      <c r="CX244" s="402">
        <f ca="1">IF((SUM($G239:CX239)-$E238*0.6)&lt;0,0,IF((SUM($G239:CX239)-$E238*0.6)&lt;CX239,SUM($G239:CX239)-$E238*0.6,CX239))</f>
        <v>28</v>
      </c>
      <c r="CY244" s="402">
        <f ca="1">IF((SUM($G239:CY239)-$E238*0.6)&lt;0,0,IF((SUM($G239:CY239)-$E238*0.6)&lt;CY239,SUM($G239:CY239)-$E238*0.6,CY239))</f>
        <v>31</v>
      </c>
      <c r="CZ244" s="402">
        <f ca="1">IF((SUM($G239:CZ239)-$E238*0.6)&lt;0,0,IF((SUM($G239:CZ239)-$E238*0.6)&lt;CZ239,SUM($G239:CZ239)-$E238*0.6,CZ239))</f>
        <v>30</v>
      </c>
      <c r="DA244" s="402">
        <f ca="1">IF((SUM($G239:DA239)-$E238*0.6)&lt;0,0,IF((SUM($G239:DA239)-$E238*0.6)&lt;DA239,SUM($G239:DA239)-$E238*0.6,DA239))</f>
        <v>31</v>
      </c>
      <c r="DB244" s="402">
        <f ca="1">IF((SUM($G239:DB239)-$E238*0.6)&lt;0,0,IF((SUM($G239:DB239)-$E238*0.6)&lt;DB239,SUM($G239:DB239)-$E238*0.6,DB239))</f>
        <v>30</v>
      </c>
      <c r="DC244" s="402">
        <f ca="1">IF((SUM($G239:DC239)-$E238*0.6)&lt;0,0,IF((SUM($G239:DC239)-$E238*0.6)&lt;DC239,SUM($G239:DC239)-$E238*0.6,DC239))</f>
        <v>31</v>
      </c>
      <c r="DD244" s="402">
        <f ca="1">IF((SUM($G239:DD239)-$E238*0.6)&lt;0,0,IF((SUM($G239:DD239)-$E238*0.6)&lt;DD239,SUM($G239:DD239)-$E238*0.6,DD239))</f>
        <v>31</v>
      </c>
      <c r="DE244" s="402">
        <f ca="1">IF((SUM($G239:DE239)-$E238*0.6)&lt;0,0,IF((SUM($G239:DE239)-$E238*0.6)&lt;DE239,SUM($G239:DE239)-$E238*0.6,DE239))</f>
        <v>30</v>
      </c>
      <c r="DF244" s="402">
        <f ca="1">IF((SUM($G239:DF239)-$E238*0.6)&lt;0,0,IF((SUM($G239:DF239)-$E238*0.6)&lt;DF239,SUM($G239:DF239)-$E238*0.6,DF239))</f>
        <v>31</v>
      </c>
      <c r="DG244" s="402">
        <f ca="1">IF((SUM($G239:DG239)-$E238*0.6)&lt;0,0,IF((SUM($G239:DG239)-$E238*0.6)&lt;DG239,SUM($G239:DG239)-$E238*0.6,DG239))</f>
        <v>30</v>
      </c>
      <c r="DH244" s="402">
        <f ca="1">IF((SUM($G239:DH239)-$E238*0.6)&lt;0,0,IF((SUM($G239:DH239)-$E238*0.6)&lt;DH239,SUM($G239:DH239)-$E238*0.6,DH239))</f>
        <v>31</v>
      </c>
      <c r="DI244" s="402">
        <f ca="1">IF((SUM($G239:DI239)-$E238*0.6)&lt;0,0,IF((SUM($G239:DI239)-$E238*0.6)&lt;DI239,SUM($G239:DI239)-$E238*0.6,DI239))</f>
        <v>31</v>
      </c>
      <c r="DJ244" s="402">
        <f ca="1">IF((SUM($G239:DJ239)-$E238*0.6)&lt;0,0,IF((SUM($G239:DJ239)-$E238*0.6)&lt;DJ239,SUM($G239:DJ239)-$E238*0.6,DJ239))</f>
        <v>29</v>
      </c>
      <c r="DK244" s="402">
        <f ca="1">IF((SUM($G239:DK239)-$E238*0.6)&lt;0,0,IF((SUM($G239:DK239)-$E238*0.6)&lt;DK239,SUM($G239:DK239)-$E238*0.6,DK239))</f>
        <v>31</v>
      </c>
      <c r="DL244" s="402">
        <f ca="1">IF((SUM($G239:DL239)-$E238*0.6)&lt;0,0,IF((SUM($G239:DL239)-$E238*0.6)&lt;DL239,SUM($G239:DL239)-$E238*0.6,DL239))</f>
        <v>30</v>
      </c>
      <c r="DM244" s="402">
        <f ca="1">IF((SUM($G239:DM239)-$E238*0.6)&lt;0,0,IF((SUM($G239:DM239)-$E238*0.6)&lt;DM239,SUM($G239:DM239)-$E238*0.6,DM239))</f>
        <v>31</v>
      </c>
      <c r="DN244" s="402">
        <f ca="1">IF((SUM($G239:DN239)-$E238*0.6)&lt;0,0,IF((SUM($G239:DN239)-$E238*0.6)&lt;DN239,SUM($G239:DN239)-$E238*0.6,DN239))</f>
        <v>30</v>
      </c>
      <c r="DO244" s="402">
        <f ca="1">IF((SUM($G239:DO239)-$E238*0.6)&lt;0,0,IF((SUM($G239:DO239)-$E238*0.6)&lt;DO239,SUM($G239:DO239)-$E238*0.6,DO239))</f>
        <v>31</v>
      </c>
      <c r="DP244" s="402">
        <f ca="1">IF((SUM($G239:DP239)-$E238*0.6)&lt;0,0,IF((SUM($G239:DP239)-$E238*0.6)&lt;DP239,SUM($G239:DP239)-$E238*0.6,DP239))</f>
        <v>31</v>
      </c>
      <c r="DQ244" s="402">
        <f ca="1">IF((SUM($G239:DQ239)-$E238*0.6)&lt;0,0,IF((SUM($G239:DQ239)-$E238*0.6)&lt;DQ239,SUM($G239:DQ239)-$E238*0.6,DQ239))</f>
        <v>30</v>
      </c>
      <c r="DR244" s="402">
        <f ca="1">IF((SUM($G239:DR239)-$E238*0.6)&lt;0,0,IF((SUM($G239:DR239)-$E238*0.6)&lt;DR239,SUM($G239:DR239)-$E238*0.6,DR239))</f>
        <v>31</v>
      </c>
      <c r="DS244" s="402">
        <f ca="1">IF((SUM($G239:DS239)-$E238*0.6)&lt;0,0,IF((SUM($G239:DS239)-$E238*0.6)&lt;DS239,SUM($G239:DS239)-$E238*0.6,DS239))</f>
        <v>30</v>
      </c>
      <c r="DT244" s="402">
        <f ca="1">IF((SUM($G239:DT239)-$E238*0.6)&lt;0,0,IF((SUM($G239:DT239)-$E238*0.6)&lt;DT239,SUM($G239:DT239)-$E238*0.6,DT239))</f>
        <v>31</v>
      </c>
      <c r="DU244" s="402">
        <f ca="1">IF((SUM($G239:DU239)-$E238*0.6)&lt;0,0,IF((SUM($G239:DU239)-$E238*0.6)&lt;DU239,SUM($G239:DU239)-$E238*0.6,DU239))</f>
        <v>31</v>
      </c>
      <c r="DV244" s="402">
        <f ca="1">IF((SUM($G239:DV239)-$E238*0.6)&lt;0,0,IF((SUM($G239:DV239)-$E238*0.6)&lt;DV239,SUM($G239:DV239)-$E238*0.6,DV239))</f>
        <v>28</v>
      </c>
      <c r="DW244" s="402">
        <f ca="1">IF((SUM($G239:DW239)-$E238*0.6)&lt;0,0,IF((SUM($G239:DW239)-$E238*0.6)&lt;DW239,SUM($G239:DW239)-$E238*0.6,DW239))</f>
        <v>31</v>
      </c>
      <c r="DX244" s="402">
        <f ca="1">IF((SUM($G239:DX239)-$E238*0.6)&lt;0,0,IF((SUM($G239:DX239)-$E238*0.6)&lt;DX239,SUM($G239:DX239)-$E238*0.6,DX239))</f>
        <v>30</v>
      </c>
      <c r="DY244" s="402">
        <f ca="1">IF((SUM($G239:DY239)-$E238*0.6)&lt;0,0,IF((SUM($G239:DY239)-$E238*0.6)&lt;DY239,SUM($G239:DY239)-$E238*0.6,DY239))</f>
        <v>31</v>
      </c>
      <c r="DZ244" s="402">
        <f ca="1">IF((SUM($G239:DZ239)-$E238*0.6)&lt;0,0,IF((SUM($G239:DZ239)-$E238*0.6)&lt;DZ239,SUM($G239:DZ239)-$E238*0.6,DZ239))</f>
        <v>30</v>
      </c>
      <c r="EA244" s="402">
        <f ca="1">IF((SUM($G239:EA239)-$E238*0.6)&lt;0,0,IF((SUM($G239:EA239)-$E238*0.6)&lt;EA239,SUM($G239:EA239)-$E238*0.6,EA239))</f>
        <v>31</v>
      </c>
      <c r="EB244" s="402">
        <f ca="1">IF((SUM($G239:EB239)-$E238*0.6)&lt;0,0,IF((SUM($G239:EB239)-$E238*0.6)&lt;EB239,SUM($G239:EB239)-$E238*0.6,EB239))</f>
        <v>31</v>
      </c>
      <c r="EC244" s="402">
        <f ca="1">IF((SUM($G239:EC239)-$E238*0.6)&lt;0,0,IF((SUM($G239:EC239)-$E238*0.6)&lt;EC239,SUM($G239:EC239)-$E238*0.6,EC239))</f>
        <v>30</v>
      </c>
      <c r="ED244" s="402">
        <f ca="1">IF((SUM($G239:ED239)-$E238*0.6)&lt;0,0,IF((SUM($G239:ED239)-$E238*0.6)&lt;ED239,SUM($G239:ED239)-$E238*0.6,ED239))</f>
        <v>31</v>
      </c>
      <c r="EE244" s="402">
        <f ca="1">IF((SUM($G239:EE239)-$E238*0.6)&lt;0,0,IF((SUM($G239:EE239)-$E238*0.6)&lt;EE239,SUM($G239:EE239)-$E238*0.6,EE239))</f>
        <v>30</v>
      </c>
      <c r="EF244" s="402">
        <f ca="1">IF((SUM($G239:EF239)-$E238*0.6)&lt;0,0,IF((SUM($G239:EF239)-$E238*0.6)&lt;EF239,SUM($G239:EF239)-$E238*0.6,EF239))</f>
        <v>31</v>
      </c>
      <c r="EG244" s="402">
        <f ca="1">IF((SUM($G239:EG239)-$E238*0.6)&lt;0,0,IF((SUM($G239:EG239)-$E238*0.6)&lt;EG239,SUM($G239:EG239)-$E238*0.6,EG239))</f>
        <v>31</v>
      </c>
      <c r="EH244" s="402">
        <f ca="1">IF((SUM($G239:EH239)-$E238*0.6)&lt;0,0,IF((SUM($G239:EH239)-$E238*0.6)&lt;EH239,SUM($G239:EH239)-$E238*0.6,EH239))</f>
        <v>28</v>
      </c>
      <c r="EI244" s="402">
        <f ca="1">IF((SUM($G239:EI239)-$E238*0.6)&lt;0,0,IF((SUM($G239:EI239)-$E238*0.6)&lt;EI239,SUM($G239:EI239)-$E238*0.6,EI239))</f>
        <v>31</v>
      </c>
      <c r="EV244" s="321"/>
    </row>
    <row r="245" spans="1:152" hidden="1" outlineLevel="2">
      <c r="A245" s="332"/>
      <c r="B245" s="313"/>
      <c r="D245" s="305" t="s">
        <v>670</v>
      </c>
      <c r="E245" s="403">
        <f ca="1">MIN(G245:EI245)</f>
        <v>45352</v>
      </c>
      <c r="F245" s="404">
        <f ca="1">MAX(G245:EI245)</f>
        <v>45352</v>
      </c>
      <c r="G245" s="403" t="str">
        <f ca="1">IF(G243=0,"",IF(SUM($G243:G243)&gt;=1,OFFSET(G$228,-1,0),""))</f>
        <v/>
      </c>
      <c r="H245" s="403" t="str">
        <f ca="1">IF(SUM($G245:G245)&gt;=1,"",IF(H243=0,"",IF(SUM($G243:H243)&gt;=1,OFFSET(H$228,-1,0),"")))</f>
        <v/>
      </c>
      <c r="I245" s="403" t="str">
        <f ca="1">IF(SUM($G245:H245)&gt;=1,"",IF(I243=0,"",IF(SUM($G243:I243)&gt;=1,OFFSET(I$228,-1,0),"")))</f>
        <v/>
      </c>
      <c r="J245" s="403" t="str">
        <f ca="1">IF(SUM($G245:I245)&gt;=1,"",IF(J243=0,"",IF(SUM($G243:J243)&gt;=1,OFFSET(J$228,-1,0),"")))</f>
        <v/>
      </c>
      <c r="K245" s="403" t="str">
        <f ca="1">IF(SUM($G245:J245)&gt;=1,"",IF(K243=0,"",IF(SUM($G243:K243)&gt;=1,OFFSET(K$228,-1,0),"")))</f>
        <v/>
      </c>
      <c r="L245" s="403" t="str">
        <f ca="1">IF(SUM($G245:K245)&gt;=1,"",IF(L243=0,"",IF(SUM($G243:L243)&gt;=1,OFFSET(L$228,-1,0),"")))</f>
        <v/>
      </c>
      <c r="M245" s="403" t="str">
        <f ca="1">IF(SUM($G245:L245)&gt;=1,"",IF(M243=0,"",IF(SUM($G243:M243)&gt;=1,OFFSET(M$228,-1,0),"")))</f>
        <v/>
      </c>
      <c r="N245" s="403" t="str">
        <f ca="1">IF(SUM($G245:M245)&gt;=1,"",IF(N243=0,"",IF(SUM($G243:N243)&gt;=1,OFFSET(N$228,-1,0),"")))</f>
        <v/>
      </c>
      <c r="O245" s="403" t="str">
        <f ca="1">IF(SUM($G245:N245)&gt;=1,"",IF(O243=0,"",IF(SUM($G243:O243)&gt;=1,OFFSET(O$228,-1,0),"")))</f>
        <v/>
      </c>
      <c r="P245" s="403" t="str">
        <f ca="1">IF(SUM($G245:O245)&gt;=1,"",IF(P243=0,"",IF(SUM($G243:P243)&gt;=1,OFFSET(P$228,-1,0),"")))</f>
        <v/>
      </c>
      <c r="Q245" s="403" t="str">
        <f ca="1">IF(SUM($G245:P245)&gt;=1,"",IF(Q243=0,"",IF(SUM($G243:Q243)&gt;=1,OFFSET(Q$228,-1,0),"")))</f>
        <v/>
      </c>
      <c r="R245" s="403" t="str">
        <f ca="1">IF(SUM($G245:Q245)&gt;=1,"",IF(R243=0,"",IF(SUM($G243:R243)&gt;=1,OFFSET(R$228,-1,0),"")))</f>
        <v/>
      </c>
      <c r="S245" s="403">
        <f ca="1">IF(SUM($G245:R245)&gt;=1,"",IF(S243=0,"",IF(SUM($G243:S243)&gt;=1,OFFSET(S$228,-1,0),"")))</f>
        <v>45352</v>
      </c>
      <c r="T245" s="403" t="str">
        <f ca="1">IF(SUM($G245:S245)&gt;=1,"",IF(T243=0,"",IF(SUM($G243:T243)&gt;=1,OFFSET(T$228,-1,0),"")))</f>
        <v/>
      </c>
      <c r="U245" s="403" t="str">
        <f ca="1">IF(SUM($G245:T245)&gt;=1,"",IF(U243=0,"",IF(SUM($G243:U243)&gt;=1,OFFSET(U$228,-1,0),"")))</f>
        <v/>
      </c>
      <c r="V245" s="403" t="str">
        <f ca="1">IF(SUM($G245:U245)&gt;=1,"",IF(V243=0,"",IF(SUM($G243:V243)&gt;=1,OFFSET(V$228,-1,0),"")))</f>
        <v/>
      </c>
      <c r="W245" s="403" t="str">
        <f ca="1">IF(SUM($G245:V245)&gt;=1,"",IF(W243=0,"",IF(SUM($G243:W243)&gt;=1,OFFSET(W$228,-1,0),"")))</f>
        <v/>
      </c>
      <c r="X245" s="403" t="str">
        <f ca="1">IF(SUM($G245:W245)&gt;=1,"",IF(X243=0,"",IF(SUM($G243:X243)&gt;=1,OFFSET(X$228,-1,0),"")))</f>
        <v/>
      </c>
      <c r="Y245" s="403" t="str">
        <f ca="1">IF(SUM($G245:X245)&gt;=1,"",IF(Y243=0,"",IF(SUM($G243:Y243)&gt;=1,OFFSET(Y$228,-1,0),"")))</f>
        <v/>
      </c>
      <c r="Z245" s="403" t="str">
        <f ca="1">IF(SUM($G245:Y245)&gt;=1,"",IF(Z243=0,"",IF(SUM($G243:Z243)&gt;=1,OFFSET(Z$228,-1,0),"")))</f>
        <v/>
      </c>
      <c r="AA245" s="403" t="str">
        <f ca="1">IF(SUM($G245:Z245)&gt;=1,"",IF(AA243=0,"",IF(SUM($G243:AA243)&gt;=1,OFFSET(AA$228,-1,0),"")))</f>
        <v/>
      </c>
      <c r="AB245" s="403" t="str">
        <f ca="1">IF(SUM($G245:AA245)&gt;=1,"",IF(AB243=0,"",IF(SUM($G243:AB243)&gt;=1,OFFSET(AB$228,-1,0),"")))</f>
        <v/>
      </c>
      <c r="AC245" s="403" t="str">
        <f ca="1">IF(SUM($G245:AB245)&gt;=1,"",IF(AC243=0,"",IF(SUM($G243:AC243)&gt;=1,OFFSET(AC$228,-1,0),"")))</f>
        <v/>
      </c>
      <c r="AD245" s="403" t="str">
        <f ca="1">IF(SUM($G245:AC245)&gt;=1,"",IF(AD243=0,"",IF(SUM($G243:AD243)&gt;=1,OFFSET(AD$228,-1,0),"")))</f>
        <v/>
      </c>
      <c r="AE245" s="403" t="str">
        <f ca="1">IF(SUM($G245:AD245)&gt;=1,"",IF(AE243=0,"",IF(SUM($G243:AE243)&gt;=1,OFFSET(AE$228,-1,0),"")))</f>
        <v/>
      </c>
      <c r="AF245" s="403" t="str">
        <f ca="1">IF(SUM($G245:AE245)&gt;=1,"",IF(AF243=0,"",IF(SUM($G243:AF243)&gt;=1,OFFSET(AF$228,-1,0),"")))</f>
        <v/>
      </c>
      <c r="AG245" s="403" t="str">
        <f ca="1">IF(SUM($G245:AF245)&gt;=1,"",IF(AG243=0,"",IF(SUM($G243:AG243)&gt;=1,OFFSET(AG$228,-1,0),"")))</f>
        <v/>
      </c>
      <c r="AH245" s="403" t="str">
        <f ca="1">IF(SUM($G245:AG245)&gt;=1,"",IF(AH243=0,"",IF(SUM($G243:AH243)&gt;=1,OFFSET(AH$228,-1,0),"")))</f>
        <v/>
      </c>
      <c r="AI245" s="403" t="str">
        <f ca="1">IF(SUM($G245:AH245)&gt;=1,"",IF(AI243=0,"",IF(SUM($G243:AI243)&gt;=1,OFFSET(AI$228,-1,0),"")))</f>
        <v/>
      </c>
      <c r="AJ245" s="403" t="str">
        <f ca="1">IF(SUM($G245:AI245)&gt;=1,"",IF(AJ243=0,"",IF(SUM($G243:AJ243)&gt;=1,OFFSET(AJ$228,-1,0),"")))</f>
        <v/>
      </c>
      <c r="AK245" s="403" t="str">
        <f ca="1">IF(SUM($G245:AJ245)&gt;=1,"",IF(AK243=0,"",IF(SUM($G243:AK243)&gt;=1,OFFSET(AK$228,-1,0),"")))</f>
        <v/>
      </c>
      <c r="AL245" s="403" t="str">
        <f ca="1">IF(SUM($G245:AK245)&gt;=1,"",IF(AL243=0,"",IF(SUM($G243:AL243)&gt;=1,OFFSET(AL$228,-1,0),"")))</f>
        <v/>
      </c>
      <c r="AM245" s="403" t="str">
        <f ca="1">IF(SUM($G245:AL245)&gt;=1,"",IF(AM243=0,"",IF(SUM($G243:AM243)&gt;=1,OFFSET(AM$228,-1,0),"")))</f>
        <v/>
      </c>
      <c r="AN245" s="403" t="str">
        <f ca="1">IF(SUM($G245:AM245)&gt;=1,"",IF(AN243=0,"",IF(SUM($G243:AN243)&gt;=1,OFFSET(AN$228,-1,0),"")))</f>
        <v/>
      </c>
      <c r="AO245" s="403" t="str">
        <f ca="1">IF(SUM($G245:AN245)&gt;=1,"",IF(AO243=0,"",IF(SUM($G243:AO243)&gt;=1,OFFSET(AO$228,-1,0),"")))</f>
        <v/>
      </c>
      <c r="AP245" s="403" t="str">
        <f ca="1">IF(SUM($G245:AO245)&gt;=1,"",IF(AP243=0,"",IF(SUM($G243:AP243)&gt;=1,OFFSET(AP$228,-1,0),"")))</f>
        <v/>
      </c>
      <c r="AQ245" s="403" t="str">
        <f ca="1">IF(SUM($G245:AP245)&gt;=1,"",IF(AQ243=0,"",IF(SUM($G243:AQ243)&gt;=1,OFFSET(AQ$228,-1,0),"")))</f>
        <v/>
      </c>
      <c r="AR245" s="403" t="str">
        <f ca="1">IF(SUM($G245:AQ245)&gt;=1,"",IF(AR243=0,"",IF(SUM($G243:AR243)&gt;=1,OFFSET(AR$228,-1,0),"")))</f>
        <v/>
      </c>
      <c r="AS245" s="403" t="str">
        <f ca="1">IF(SUM($G245:AR245)&gt;=1,"",IF(AS243=0,"",IF(SUM($G243:AS243)&gt;=1,OFFSET(AS$228,-1,0),"")))</f>
        <v/>
      </c>
      <c r="AT245" s="403" t="str">
        <f ca="1">IF(SUM($G245:AS245)&gt;=1,"",IF(AT243=0,"",IF(SUM($G243:AT243)&gt;=1,OFFSET(AT$228,-1,0),"")))</f>
        <v/>
      </c>
      <c r="AU245" s="403" t="str">
        <f ca="1">IF(SUM($G245:AT245)&gt;=1,"",IF(AU243=0,"",IF(SUM($G243:AU243)&gt;=1,OFFSET(AU$228,-1,0),"")))</f>
        <v/>
      </c>
      <c r="AV245" s="403" t="str">
        <f ca="1">IF(SUM($G245:AU245)&gt;=1,"",IF(AV243=0,"",IF(SUM($G243:AV243)&gt;=1,OFFSET(AV$228,-1,0),"")))</f>
        <v/>
      </c>
      <c r="AW245" s="403" t="str">
        <f ca="1">IF(SUM($G245:AV245)&gt;=1,"",IF(AW243=0,"",IF(SUM($G243:AW243)&gt;=1,OFFSET(AW$228,-1,0),"")))</f>
        <v/>
      </c>
      <c r="AX245" s="403" t="str">
        <f ca="1">IF(SUM($G245:AW245)&gt;=1,"",IF(AX243=0,"",IF(SUM($G243:AX243)&gt;=1,OFFSET(AX$228,-1,0),"")))</f>
        <v/>
      </c>
      <c r="AY245" s="403" t="str">
        <f ca="1">IF(SUM($G245:AX245)&gt;=1,"",IF(AY243=0,"",IF(SUM($G243:AY243)&gt;=1,OFFSET(AY$228,-1,0),"")))</f>
        <v/>
      </c>
      <c r="AZ245" s="403" t="str">
        <f ca="1">IF(SUM($G245:AY245)&gt;=1,"",IF(AZ243=0,"",IF(SUM($G243:AZ243)&gt;=1,OFFSET(AZ$228,-1,0),"")))</f>
        <v/>
      </c>
      <c r="BA245" s="403" t="str">
        <f ca="1">IF(SUM($G245:AZ245)&gt;=1,"",IF(BA243=0,"",IF(SUM($G243:BA243)&gt;=1,OFFSET(BA$228,-1,0),"")))</f>
        <v/>
      </c>
      <c r="BB245" s="403" t="str">
        <f ca="1">IF(SUM($G245:BA245)&gt;=1,"",IF(BB243=0,"",IF(SUM($G243:BB243)&gt;=1,OFFSET(BB$228,-1,0),"")))</f>
        <v/>
      </c>
      <c r="BC245" s="403" t="str">
        <f ca="1">IF(SUM($G245:BB245)&gt;=1,"",IF(BC243=0,"",IF(SUM($G243:BC243)&gt;=1,OFFSET(BC$228,-1,0),"")))</f>
        <v/>
      </c>
      <c r="BD245" s="403" t="str">
        <f ca="1">IF(SUM($G245:BC245)&gt;=1,"",IF(BD243=0,"",IF(SUM($G243:BD243)&gt;=1,OFFSET(BD$228,-1,0),"")))</f>
        <v/>
      </c>
      <c r="BE245" s="403" t="str">
        <f ca="1">IF(SUM($G245:BD245)&gt;=1,"",IF(BE243=0,"",IF(SUM($G243:BE243)&gt;=1,OFFSET(BE$228,-1,0),"")))</f>
        <v/>
      </c>
      <c r="BF245" s="403" t="str">
        <f ca="1">IF(SUM($G245:BE245)&gt;=1,"",IF(BF243=0,"",IF(SUM($G243:BF243)&gt;=1,OFFSET(BF$228,-1,0),"")))</f>
        <v/>
      </c>
      <c r="BG245" s="403" t="str">
        <f ca="1">IF(SUM($G245:BF245)&gt;=1,"",IF(BG243=0,"",IF(SUM($G243:BG243)&gt;=1,OFFSET(BG$228,-1,0),"")))</f>
        <v/>
      </c>
      <c r="BH245" s="403" t="str">
        <f ca="1">IF(SUM($G245:BG245)&gt;=1,"",IF(BH243=0,"",IF(SUM($G243:BH243)&gt;=1,OFFSET(BH$228,-1,0),"")))</f>
        <v/>
      </c>
      <c r="BI245" s="403" t="str">
        <f ca="1">IF(SUM($G245:BH245)&gt;=1,"",IF(BI243=0,"",IF(SUM($G243:BI243)&gt;=1,OFFSET(BI$228,-1,0),"")))</f>
        <v/>
      </c>
      <c r="BJ245" s="403" t="str">
        <f ca="1">IF(SUM($G245:BI245)&gt;=1,"",IF(BJ243=0,"",IF(SUM($G243:BJ243)&gt;=1,OFFSET(BJ$228,-1,0),"")))</f>
        <v/>
      </c>
      <c r="BK245" s="403" t="str">
        <f ca="1">IF(SUM($G245:BJ245)&gt;=1,"",IF(BK243=0,"",IF(SUM($G243:BK243)&gt;=1,OFFSET(BK$228,-1,0),"")))</f>
        <v/>
      </c>
      <c r="BL245" s="403" t="str">
        <f ca="1">IF(SUM($G245:BK245)&gt;=1,"",IF(BL243=0,"",IF(SUM($G243:BL243)&gt;=1,OFFSET(BL$228,-1,0),"")))</f>
        <v/>
      </c>
      <c r="BM245" s="403" t="str">
        <f ca="1">IF(SUM($G245:BL245)&gt;=1,"",IF(BM243=0,"",IF(SUM($G243:BM243)&gt;=1,OFFSET(BM$228,-1,0),"")))</f>
        <v/>
      </c>
      <c r="BN245" s="403" t="str">
        <f ca="1">IF(SUM($G245:BM245)&gt;=1,"",IF(BN243=0,"",IF(SUM($G243:BN243)&gt;=1,OFFSET(BN$228,-1,0),"")))</f>
        <v/>
      </c>
      <c r="BO245" s="403" t="str">
        <f ca="1">IF(SUM($G245:BN245)&gt;=1,"",IF(BO243=0,"",IF(SUM($G243:BO243)&gt;=1,OFFSET(BO$228,-1,0),"")))</f>
        <v/>
      </c>
      <c r="BP245" s="403" t="str">
        <f ca="1">IF(SUM($G245:BO245)&gt;=1,"",IF(BP243=0,"",IF(SUM($G243:BP243)&gt;=1,OFFSET(BP$228,-1,0),"")))</f>
        <v/>
      </c>
      <c r="BQ245" s="403" t="str">
        <f ca="1">IF(SUM($G245:BP245)&gt;=1,"",IF(BQ243=0,"",IF(SUM($G243:BQ243)&gt;=1,OFFSET(BQ$228,-1,0),"")))</f>
        <v/>
      </c>
      <c r="BR245" s="403" t="str">
        <f ca="1">IF(SUM($G245:BQ245)&gt;=1,"",IF(BR243=0,"",IF(SUM($G243:BR243)&gt;=1,OFFSET(BR$228,-1,0),"")))</f>
        <v/>
      </c>
      <c r="BS245" s="403" t="str">
        <f ca="1">IF(SUM($G245:BR245)&gt;=1,"",IF(BS243=0,"",IF(SUM($G243:BS243)&gt;=1,OFFSET(BS$228,-1,0),"")))</f>
        <v/>
      </c>
      <c r="BT245" s="403" t="str">
        <f ca="1">IF(SUM($G245:BS245)&gt;=1,"",IF(BT243=0,"",IF(SUM($G243:BT243)&gt;=1,OFFSET(BT$228,-1,0),"")))</f>
        <v/>
      </c>
      <c r="BU245" s="403" t="str">
        <f ca="1">IF(SUM($G245:BT245)&gt;=1,"",IF(BU243=0,"",IF(SUM($G243:BU243)&gt;=1,OFFSET(BU$228,-1,0),"")))</f>
        <v/>
      </c>
      <c r="BV245" s="403" t="str">
        <f ca="1">IF(SUM($G245:BU245)&gt;=1,"",IF(BV243=0,"",IF(SUM($G243:BV243)&gt;=1,OFFSET(BV$228,-1,0),"")))</f>
        <v/>
      </c>
      <c r="BW245" s="403" t="str">
        <f ca="1">IF(SUM($G245:BV245)&gt;=1,"",IF(BW243=0,"",IF(SUM($G243:BW243)&gt;=1,OFFSET(BW$228,-1,0),"")))</f>
        <v/>
      </c>
      <c r="BX245" s="403" t="str">
        <f ca="1">IF(SUM($G245:BW245)&gt;=1,"",IF(BX243=0,"",IF(SUM($G243:BX243)&gt;=1,OFFSET(BX$228,-1,0),"")))</f>
        <v/>
      </c>
      <c r="BY245" s="403" t="str">
        <f ca="1">IF(SUM($G245:BX245)&gt;=1,"",IF(BY243=0,"",IF(SUM($G243:BY243)&gt;=1,OFFSET(BY$228,-1,0),"")))</f>
        <v/>
      </c>
      <c r="BZ245" s="403" t="str">
        <f ca="1">IF(SUM($G245:BY245)&gt;=1,"",IF(BZ243=0,"",IF(SUM($G243:BZ243)&gt;=1,OFFSET(BZ$228,-1,0),"")))</f>
        <v/>
      </c>
      <c r="CA245" s="403" t="str">
        <f ca="1">IF(SUM($G245:BZ245)&gt;=1,"",IF(CA243=0,"",IF(SUM($G243:CA243)&gt;=1,OFFSET(CA$228,-1,0),"")))</f>
        <v/>
      </c>
      <c r="CB245" s="403" t="str">
        <f ca="1">IF(SUM($G245:CA245)&gt;=1,"",IF(CB243=0,"",IF(SUM($G243:CB243)&gt;=1,OFFSET(CB$228,-1,0),"")))</f>
        <v/>
      </c>
      <c r="CC245" s="403" t="str">
        <f ca="1">IF(SUM($G245:CB245)&gt;=1,"",IF(CC243=0,"",IF(SUM($G243:CC243)&gt;=1,OFFSET(CC$228,-1,0),"")))</f>
        <v/>
      </c>
      <c r="CD245" s="403" t="str">
        <f ca="1">IF(SUM($G245:CC245)&gt;=1,"",IF(CD243=0,"",IF(SUM($G243:CD243)&gt;=1,OFFSET(CD$228,-1,0),"")))</f>
        <v/>
      </c>
      <c r="CE245" s="403" t="str">
        <f ca="1">IF(SUM($G245:CD245)&gt;=1,"",IF(CE243=0,"",IF(SUM($G243:CE243)&gt;=1,OFFSET(CE$228,-1,0),"")))</f>
        <v/>
      </c>
      <c r="CF245" s="403" t="str">
        <f ca="1">IF(SUM($G245:CE245)&gt;=1,"",IF(CF243=0,"",IF(SUM($G243:CF243)&gt;=1,OFFSET(CF$228,-1,0),"")))</f>
        <v/>
      </c>
      <c r="CG245" s="403" t="str">
        <f ca="1">IF(SUM($G245:CF245)&gt;=1,"",IF(CG243=0,"",IF(SUM($G243:CG243)&gt;=1,OFFSET(CG$228,-1,0),"")))</f>
        <v/>
      </c>
      <c r="CH245" s="403" t="str">
        <f ca="1">IF(SUM($G245:CG245)&gt;=1,"",IF(CH243=0,"",IF(SUM($G243:CH243)&gt;=1,OFFSET(CH$228,-1,0),"")))</f>
        <v/>
      </c>
      <c r="CI245" s="403" t="str">
        <f ca="1">IF(SUM($G245:CH245)&gt;=1,"",IF(CI243=0,"",IF(SUM($G243:CI243)&gt;=1,OFFSET(CI$228,-1,0),"")))</f>
        <v/>
      </c>
      <c r="CJ245" s="403" t="str">
        <f ca="1">IF(SUM($G245:CI245)&gt;=1,"",IF(CJ243=0,"",IF(SUM($G243:CJ243)&gt;=1,OFFSET(CJ$228,-1,0),"")))</f>
        <v/>
      </c>
      <c r="CK245" s="403" t="str">
        <f ca="1">IF(SUM($G245:CJ245)&gt;=1,"",IF(CK243=0,"",IF(SUM($G243:CK243)&gt;=1,OFFSET(CK$228,-1,0),"")))</f>
        <v/>
      </c>
      <c r="CL245" s="403" t="str">
        <f ca="1">IF(SUM($G245:CK245)&gt;=1,"",IF(CL243=0,"",IF(SUM($G243:CL243)&gt;=1,OFFSET(CL$228,-1,0),"")))</f>
        <v/>
      </c>
      <c r="CM245" s="403" t="str">
        <f ca="1">IF(SUM($G245:CL245)&gt;=1,"",IF(CM243=0,"",IF(SUM($G243:CM243)&gt;=1,OFFSET(CM$228,-1,0),"")))</f>
        <v/>
      </c>
      <c r="CN245" s="403" t="str">
        <f ca="1">IF(SUM($G245:CM245)&gt;=1,"",IF(CN243=0,"",IF(SUM($G243:CN243)&gt;=1,OFFSET(CN$228,-1,0),"")))</f>
        <v/>
      </c>
      <c r="CO245" s="403" t="str">
        <f ca="1">IF(SUM($G245:CN245)&gt;=1,"",IF(CO243=0,"",IF(SUM($G243:CO243)&gt;=1,OFFSET(CO$228,-1,0),"")))</f>
        <v/>
      </c>
      <c r="CP245" s="403" t="str">
        <f ca="1">IF(SUM($G245:CO245)&gt;=1,"",IF(CP243=0,"",IF(SUM($G243:CP243)&gt;=1,OFFSET(CP$228,-1,0),"")))</f>
        <v/>
      </c>
      <c r="CQ245" s="403" t="str">
        <f ca="1">IF(SUM($G245:CP245)&gt;=1,"",IF(CQ243=0,"",IF(SUM($G243:CQ243)&gt;=1,OFFSET(CQ$228,-1,0),"")))</f>
        <v/>
      </c>
      <c r="CR245" s="403" t="str">
        <f ca="1">IF(SUM($G245:CQ245)&gt;=1,"",IF(CR243=0,"",IF(SUM($G243:CR243)&gt;=1,OFFSET(CR$228,-1,0),"")))</f>
        <v/>
      </c>
      <c r="CS245" s="403" t="str">
        <f ca="1">IF(SUM($G245:CR245)&gt;=1,"",IF(CS243=0,"",IF(SUM($G243:CS243)&gt;=1,OFFSET(CS$228,-1,0),"")))</f>
        <v/>
      </c>
      <c r="CT245" s="403" t="str">
        <f ca="1">IF(SUM($G245:CS245)&gt;=1,"",IF(CT243=0,"",IF(SUM($G243:CT243)&gt;=1,OFFSET(CT$228,-1,0),"")))</f>
        <v/>
      </c>
      <c r="CU245" s="403" t="str">
        <f ca="1">IF(SUM($G245:CT245)&gt;=1,"",IF(CU243=0,"",IF(SUM($G243:CU243)&gt;=1,OFFSET(CU$228,-1,0),"")))</f>
        <v/>
      </c>
      <c r="CV245" s="403" t="str">
        <f ca="1">IF(SUM($G245:CU245)&gt;=1,"",IF(CV243=0,"",IF(SUM($G243:CV243)&gt;=1,OFFSET(CV$228,-1,0),"")))</f>
        <v/>
      </c>
      <c r="CW245" s="403" t="str">
        <f ca="1">IF(SUM($G245:CV245)&gt;=1,"",IF(CW243=0,"",IF(SUM($G243:CW243)&gt;=1,OFFSET(CW$228,-1,0),"")))</f>
        <v/>
      </c>
      <c r="CX245" s="403" t="str">
        <f ca="1">IF(SUM($G245:CW245)&gt;=1,"",IF(CX243=0,"",IF(SUM($G243:CX243)&gt;=1,OFFSET(CX$228,-1,0),"")))</f>
        <v/>
      </c>
      <c r="CY245" s="403" t="str">
        <f ca="1">IF(SUM($G245:CX245)&gt;=1,"",IF(CY243=0,"",IF(SUM($G243:CY243)&gt;=1,OFFSET(CY$228,-1,0),"")))</f>
        <v/>
      </c>
      <c r="CZ245" s="403" t="str">
        <f ca="1">IF(SUM($G245:CY245)&gt;=1,"",IF(CZ243=0,"",IF(SUM($G243:CZ243)&gt;=1,OFFSET(CZ$228,-1,0),"")))</f>
        <v/>
      </c>
      <c r="DA245" s="403" t="str">
        <f ca="1">IF(SUM($G245:CZ245)&gt;=1,"",IF(DA243=0,"",IF(SUM($G243:DA243)&gt;=1,OFFSET(DA$228,-1,0),"")))</f>
        <v/>
      </c>
      <c r="DB245" s="403" t="str">
        <f ca="1">IF(SUM($G245:DA245)&gt;=1,"",IF(DB243=0,"",IF(SUM($G243:DB243)&gt;=1,OFFSET(DB$228,-1,0),"")))</f>
        <v/>
      </c>
      <c r="DC245" s="403" t="str">
        <f ca="1">IF(SUM($G245:DB245)&gt;=1,"",IF(DC243=0,"",IF(SUM($G243:DC243)&gt;=1,OFFSET(DC$228,-1,0),"")))</f>
        <v/>
      </c>
      <c r="DD245" s="403" t="str">
        <f ca="1">IF(SUM($G245:DC245)&gt;=1,"",IF(DD243=0,"",IF(SUM($G243:DD243)&gt;=1,OFFSET(DD$228,-1,0),"")))</f>
        <v/>
      </c>
      <c r="DE245" s="403" t="str">
        <f ca="1">IF(SUM($G245:DD245)&gt;=1,"",IF(DE243=0,"",IF(SUM($G243:DE243)&gt;=1,OFFSET(DE$228,-1,0),"")))</f>
        <v/>
      </c>
      <c r="DF245" s="403" t="str">
        <f ca="1">IF(SUM($G245:DE245)&gt;=1,"",IF(DF243=0,"",IF(SUM($G243:DF243)&gt;=1,OFFSET(DF$228,-1,0),"")))</f>
        <v/>
      </c>
      <c r="DG245" s="403" t="str">
        <f ca="1">IF(SUM($G245:DF245)&gt;=1,"",IF(DG243=0,"",IF(SUM($G243:DG243)&gt;=1,OFFSET(DG$228,-1,0),"")))</f>
        <v/>
      </c>
      <c r="DH245" s="403" t="str">
        <f ca="1">IF(SUM($G245:DG245)&gt;=1,"",IF(DH243=0,"",IF(SUM($G243:DH243)&gt;=1,OFFSET(DH$228,-1,0),"")))</f>
        <v/>
      </c>
      <c r="DI245" s="403" t="str">
        <f ca="1">IF(SUM($G245:DH245)&gt;=1,"",IF(DI243=0,"",IF(SUM($G243:DI243)&gt;=1,OFFSET(DI$228,-1,0),"")))</f>
        <v/>
      </c>
      <c r="DJ245" s="403" t="str">
        <f ca="1">IF(SUM($G245:DI245)&gt;=1,"",IF(DJ243=0,"",IF(SUM($G243:DJ243)&gt;=1,OFFSET(DJ$228,-1,0),"")))</f>
        <v/>
      </c>
      <c r="DK245" s="403" t="str">
        <f ca="1">IF(SUM($G245:DJ245)&gt;=1,"",IF(DK243=0,"",IF(SUM($G243:DK243)&gt;=1,OFFSET(DK$228,-1,0),"")))</f>
        <v/>
      </c>
      <c r="DL245" s="403" t="str">
        <f ca="1">IF(SUM($G245:DK245)&gt;=1,"",IF(DL243=0,"",IF(SUM($G243:DL243)&gt;=1,OFFSET(DL$228,-1,0),"")))</f>
        <v/>
      </c>
      <c r="DM245" s="403" t="str">
        <f ca="1">IF(SUM($G245:DL245)&gt;=1,"",IF(DM243=0,"",IF(SUM($G243:DM243)&gt;=1,OFFSET(DM$228,-1,0),"")))</f>
        <v/>
      </c>
      <c r="DN245" s="403" t="str">
        <f ca="1">IF(SUM($G245:DM245)&gt;=1,"",IF(DN243=0,"",IF(SUM($G243:DN243)&gt;=1,OFFSET(DN$228,-1,0),"")))</f>
        <v/>
      </c>
      <c r="DO245" s="403" t="str">
        <f ca="1">IF(SUM($G245:DN245)&gt;=1,"",IF(DO243=0,"",IF(SUM($G243:DO243)&gt;=1,OFFSET(DO$228,-1,0),"")))</f>
        <v/>
      </c>
      <c r="DP245" s="403" t="str">
        <f ca="1">IF(SUM($G245:DO245)&gt;=1,"",IF(DP243=0,"",IF(SUM($G243:DP243)&gt;=1,OFFSET(DP$228,-1,0),"")))</f>
        <v/>
      </c>
      <c r="DQ245" s="403" t="str">
        <f ca="1">IF(SUM($G245:DP245)&gt;=1,"",IF(DQ243=0,"",IF(SUM($G243:DQ243)&gt;=1,OFFSET(DQ$228,-1,0),"")))</f>
        <v/>
      </c>
      <c r="DR245" s="403" t="str">
        <f ca="1">IF(SUM($G245:DQ245)&gt;=1,"",IF(DR243=0,"",IF(SUM($G243:DR243)&gt;=1,OFFSET(DR$228,-1,0),"")))</f>
        <v/>
      </c>
      <c r="DS245" s="403" t="str">
        <f ca="1">IF(SUM($G245:DR245)&gt;=1,"",IF(DS243=0,"",IF(SUM($G243:DS243)&gt;=1,OFFSET(DS$228,-1,0),"")))</f>
        <v/>
      </c>
      <c r="DT245" s="403" t="str">
        <f ca="1">IF(SUM($G245:DS245)&gt;=1,"",IF(DT243=0,"",IF(SUM($G243:DT243)&gt;=1,OFFSET(DT$228,-1,0),"")))</f>
        <v/>
      </c>
      <c r="DU245" s="403" t="str">
        <f ca="1">IF(SUM($G245:DT245)&gt;=1,"",IF(DU243=0,"",IF(SUM($G243:DU243)&gt;=1,OFFSET(DU$228,-1,0),"")))</f>
        <v/>
      </c>
      <c r="DV245" s="403" t="str">
        <f ca="1">IF(SUM($G245:DU245)&gt;=1,"",IF(DV243=0,"",IF(SUM($G243:DV243)&gt;=1,OFFSET(DV$228,-1,0),"")))</f>
        <v/>
      </c>
      <c r="DW245" s="403" t="str">
        <f ca="1">IF(SUM($G245:DV245)&gt;=1,"",IF(DW243=0,"",IF(SUM($G243:DW243)&gt;=1,OFFSET(DW$228,-1,0),"")))</f>
        <v/>
      </c>
      <c r="DX245" s="403" t="str">
        <f ca="1">IF(SUM($G245:DW245)&gt;=1,"",IF(DX243=0,"",IF(SUM($G243:DX243)&gt;=1,OFFSET(DX$228,-1,0),"")))</f>
        <v/>
      </c>
      <c r="DY245" s="403" t="str">
        <f ca="1">IF(SUM($G245:DX245)&gt;=1,"",IF(DY243=0,"",IF(SUM($G243:DY243)&gt;=1,OFFSET(DY$228,-1,0),"")))</f>
        <v/>
      </c>
      <c r="DZ245" s="403" t="str">
        <f ca="1">IF(SUM($G245:DY245)&gt;=1,"",IF(DZ243=0,"",IF(SUM($G243:DZ243)&gt;=1,OFFSET(DZ$228,-1,0),"")))</f>
        <v/>
      </c>
      <c r="EA245" s="403" t="str">
        <f ca="1">IF(SUM($G245:DZ245)&gt;=1,"",IF(EA243=0,"",IF(SUM($G243:EA243)&gt;=1,OFFSET(EA$228,-1,0),"")))</f>
        <v/>
      </c>
      <c r="EB245" s="403" t="str">
        <f ca="1">IF(SUM($G245:EA245)&gt;=1,"",IF(EB243=0,"",IF(SUM($G243:EB243)&gt;=1,OFFSET(EB$228,-1,0),"")))</f>
        <v/>
      </c>
      <c r="EC245" s="403" t="str">
        <f ca="1">IF(SUM($G245:EB245)&gt;=1,"",IF(EC243=0,"",IF(SUM($G243:EC243)&gt;=1,OFFSET(EC$228,-1,0),"")))</f>
        <v/>
      </c>
      <c r="ED245" s="403" t="str">
        <f ca="1">IF(SUM($G245:EC245)&gt;=1,"",IF(ED243=0,"",IF(SUM($G243:ED243)&gt;=1,OFFSET(ED$228,-1,0),"")))</f>
        <v/>
      </c>
      <c r="EE245" s="403" t="str">
        <f ca="1">IF(SUM($G245:ED245)&gt;=1,"",IF(EE243=0,"",IF(SUM($G243:EE243)&gt;=1,OFFSET(EE$228,-1,0),"")))</f>
        <v/>
      </c>
      <c r="EF245" s="403" t="str">
        <f ca="1">IF(SUM($G245:EE245)&gt;=1,"",IF(EF243=0,"",IF(SUM($G243:EF243)&gt;=1,OFFSET(EF$228,-1,0),"")))</f>
        <v/>
      </c>
      <c r="EG245" s="403" t="str">
        <f ca="1">IF(SUM($G245:EF245)&gt;=1,"",IF(EG243=0,"",IF(SUM($G243:EG243)&gt;=1,OFFSET(EG$228,-1,0),"")))</f>
        <v/>
      </c>
      <c r="EH245" s="403" t="str">
        <f ca="1">IF(SUM($G245:EG245)&gt;=1,"",IF(EH243=0,"",IF(SUM($G243:EH243)&gt;=1,OFFSET(EH$228,-1,0),"")))</f>
        <v/>
      </c>
      <c r="EI245" s="403" t="str">
        <f ca="1">IF(SUM($G245:EH245)&gt;=1,"",IF(EI243=0,"",IF(SUM($G243:EI243)&gt;=1,OFFSET(EI$228,-1,0),"")))</f>
        <v/>
      </c>
      <c r="EV245" s="321"/>
    </row>
    <row r="246" spans="1:152" hidden="1" outlineLevel="2">
      <c r="A246" s="332"/>
      <c r="B246" s="313"/>
      <c r="D246" s="305" t="s">
        <v>671</v>
      </c>
      <c r="E246" s="1002">
        <f ca="1">IF(E243=0,"",MIN(G246:EI246))</f>
        <v>45353.8</v>
      </c>
      <c r="F246" s="1003"/>
      <c r="G246" s="403" t="str">
        <f>IF(G243=0,"",IF(G243=G$3,G245,G$5+H$5-G247-1))</f>
        <v/>
      </c>
      <c r="H246" s="403" t="str">
        <f ca="1">IF(H243=0,"",IF(H243=H$3,H245,H$5+I$5-H247-1))</f>
        <v/>
      </c>
      <c r="I246" s="403" t="str">
        <f t="shared" ref="I246:BT246" ca="1" si="463">IF(I243=0,"",IF(I243=I$3,I245,I$5+J$5-I247-1))</f>
        <v/>
      </c>
      <c r="J246" s="403" t="str">
        <f t="shared" ca="1" si="463"/>
        <v/>
      </c>
      <c r="K246" s="403" t="str">
        <f t="shared" ca="1" si="463"/>
        <v/>
      </c>
      <c r="L246" s="403" t="str">
        <f t="shared" ca="1" si="463"/>
        <v/>
      </c>
      <c r="M246" s="403" t="str">
        <f t="shared" ca="1" si="463"/>
        <v/>
      </c>
      <c r="N246" s="403" t="str">
        <f t="shared" ca="1" si="463"/>
        <v/>
      </c>
      <c r="O246" s="403" t="str">
        <f t="shared" ca="1" si="463"/>
        <v/>
      </c>
      <c r="P246" s="403" t="str">
        <f t="shared" ca="1" si="463"/>
        <v/>
      </c>
      <c r="Q246" s="403" t="str">
        <f t="shared" ca="1" si="463"/>
        <v/>
      </c>
      <c r="R246" s="403" t="str">
        <f t="shared" ca="1" si="463"/>
        <v/>
      </c>
      <c r="S246" s="403">
        <f t="shared" ca="1" si="463"/>
        <v>45353.8</v>
      </c>
      <c r="T246" s="403" t="str">
        <f t="shared" ca="1" si="463"/>
        <v/>
      </c>
      <c r="U246" s="403" t="str">
        <f t="shared" ca="1" si="463"/>
        <v/>
      </c>
      <c r="V246" s="403" t="str">
        <f t="shared" ca="1" si="463"/>
        <v/>
      </c>
      <c r="W246" s="403" t="str">
        <f t="shared" ca="1" si="463"/>
        <v/>
      </c>
      <c r="X246" s="403" t="str">
        <f t="shared" ca="1" si="463"/>
        <v/>
      </c>
      <c r="Y246" s="403" t="str">
        <f t="shared" ca="1" si="463"/>
        <v/>
      </c>
      <c r="Z246" s="403" t="str">
        <f t="shared" ca="1" si="463"/>
        <v/>
      </c>
      <c r="AA246" s="403" t="str">
        <f t="shared" ca="1" si="463"/>
        <v/>
      </c>
      <c r="AB246" s="403">
        <f t="shared" ca="1" si="463"/>
        <v>45655.199999999997</v>
      </c>
      <c r="AC246" s="403" t="str">
        <f t="shared" ca="1" si="463"/>
        <v/>
      </c>
      <c r="AD246" s="403" t="str">
        <f t="shared" ca="1" si="463"/>
        <v/>
      </c>
      <c r="AE246" s="403" t="str">
        <f t="shared" ca="1" si="463"/>
        <v/>
      </c>
      <c r="AF246" s="403" t="str">
        <f t="shared" ca="1" si="463"/>
        <v/>
      </c>
      <c r="AG246" s="403" t="str">
        <f t="shared" ca="1" si="463"/>
        <v/>
      </c>
      <c r="AH246" s="403" t="str">
        <f t="shared" ca="1" si="463"/>
        <v/>
      </c>
      <c r="AI246" s="403" t="str">
        <f t="shared" ca="1" si="463"/>
        <v/>
      </c>
      <c r="AJ246" s="403" t="str">
        <f t="shared" ca="1" si="463"/>
        <v/>
      </c>
      <c r="AK246" s="403" t="str">
        <f t="shared" ca="1" si="463"/>
        <v/>
      </c>
      <c r="AL246" s="403" t="str">
        <f t="shared" ca="1" si="463"/>
        <v/>
      </c>
      <c r="AM246" s="403" t="str">
        <f t="shared" ca="1" si="463"/>
        <v/>
      </c>
      <c r="AN246" s="403" t="str">
        <f t="shared" ca="1" si="463"/>
        <v/>
      </c>
      <c r="AO246" s="403" t="str">
        <f t="shared" ca="1" si="463"/>
        <v/>
      </c>
      <c r="AP246" s="403" t="str">
        <f t="shared" ca="1" si="463"/>
        <v/>
      </c>
      <c r="AQ246" s="403" t="str">
        <f t="shared" ca="1" si="463"/>
        <v/>
      </c>
      <c r="AR246" s="403" t="str">
        <f t="shared" ca="1" si="463"/>
        <v/>
      </c>
      <c r="AS246" s="403" t="str">
        <f t="shared" ca="1" si="463"/>
        <v/>
      </c>
      <c r="AT246" s="403" t="str">
        <f t="shared" ca="1" si="463"/>
        <v/>
      </c>
      <c r="AU246" s="403" t="str">
        <f t="shared" ca="1" si="463"/>
        <v/>
      </c>
      <c r="AV246" s="403" t="str">
        <f t="shared" ca="1" si="463"/>
        <v/>
      </c>
      <c r="AW246" s="403" t="str">
        <f t="shared" ca="1" si="463"/>
        <v/>
      </c>
      <c r="AX246" s="403" t="str">
        <f t="shared" ca="1" si="463"/>
        <v/>
      </c>
      <c r="AY246" s="403" t="str">
        <f t="shared" ca="1" si="463"/>
        <v/>
      </c>
      <c r="AZ246" s="403" t="str">
        <f t="shared" ca="1" si="463"/>
        <v/>
      </c>
      <c r="BA246" s="403" t="str">
        <f t="shared" ca="1" si="463"/>
        <v/>
      </c>
      <c r="BB246" s="403" t="str">
        <f t="shared" ca="1" si="463"/>
        <v/>
      </c>
      <c r="BC246" s="403" t="str">
        <f t="shared" ca="1" si="463"/>
        <v/>
      </c>
      <c r="BD246" s="403" t="str">
        <f t="shared" ca="1" si="463"/>
        <v/>
      </c>
      <c r="BE246" s="403" t="str">
        <f t="shared" ca="1" si="463"/>
        <v/>
      </c>
      <c r="BF246" s="403" t="str">
        <f t="shared" ca="1" si="463"/>
        <v/>
      </c>
      <c r="BG246" s="403" t="str">
        <f t="shared" ca="1" si="463"/>
        <v/>
      </c>
      <c r="BH246" s="403" t="str">
        <f t="shared" ca="1" si="463"/>
        <v/>
      </c>
      <c r="BI246" s="403" t="str">
        <f t="shared" ca="1" si="463"/>
        <v/>
      </c>
      <c r="BJ246" s="403" t="str">
        <f t="shared" ca="1" si="463"/>
        <v/>
      </c>
      <c r="BK246" s="403" t="str">
        <f t="shared" ca="1" si="463"/>
        <v/>
      </c>
      <c r="BL246" s="403" t="str">
        <f t="shared" ca="1" si="463"/>
        <v/>
      </c>
      <c r="BM246" s="403" t="str">
        <f t="shared" ca="1" si="463"/>
        <v/>
      </c>
      <c r="BN246" s="403" t="str">
        <f t="shared" ca="1" si="463"/>
        <v/>
      </c>
      <c r="BO246" s="403" t="str">
        <f t="shared" ca="1" si="463"/>
        <v/>
      </c>
      <c r="BP246" s="403" t="str">
        <f t="shared" ca="1" si="463"/>
        <v/>
      </c>
      <c r="BQ246" s="403" t="str">
        <f t="shared" ca="1" si="463"/>
        <v/>
      </c>
      <c r="BR246" s="403" t="str">
        <f t="shared" ca="1" si="463"/>
        <v/>
      </c>
      <c r="BS246" s="403" t="str">
        <f t="shared" ca="1" si="463"/>
        <v/>
      </c>
      <c r="BT246" s="403" t="str">
        <f t="shared" ca="1" si="463"/>
        <v/>
      </c>
      <c r="BU246" s="403" t="str">
        <f t="shared" ref="BU246:EF246" ca="1" si="464">IF(BU243=0,"",IF(BU243=BU$3,BU245,BU$5+BV$5-BU247-1))</f>
        <v/>
      </c>
      <c r="BV246" s="403" t="str">
        <f t="shared" ca="1" si="464"/>
        <v/>
      </c>
      <c r="BW246" s="403" t="str">
        <f t="shared" ca="1" si="464"/>
        <v/>
      </c>
      <c r="BX246" s="403" t="str">
        <f t="shared" ca="1" si="464"/>
        <v/>
      </c>
      <c r="BY246" s="403" t="str">
        <f t="shared" ca="1" si="464"/>
        <v/>
      </c>
      <c r="BZ246" s="403" t="str">
        <f t="shared" ca="1" si="464"/>
        <v/>
      </c>
      <c r="CA246" s="403" t="str">
        <f t="shared" ca="1" si="464"/>
        <v/>
      </c>
      <c r="CB246" s="403" t="str">
        <f t="shared" ca="1" si="464"/>
        <v/>
      </c>
      <c r="CC246" s="403" t="str">
        <f t="shared" ca="1" si="464"/>
        <v/>
      </c>
      <c r="CD246" s="403" t="str">
        <f t="shared" ca="1" si="464"/>
        <v/>
      </c>
      <c r="CE246" s="403" t="str">
        <f t="shared" ca="1" si="464"/>
        <v/>
      </c>
      <c r="CF246" s="403" t="str">
        <f t="shared" ca="1" si="464"/>
        <v/>
      </c>
      <c r="CG246" s="403" t="str">
        <f t="shared" ca="1" si="464"/>
        <v/>
      </c>
      <c r="CH246" s="403" t="str">
        <f t="shared" ca="1" si="464"/>
        <v/>
      </c>
      <c r="CI246" s="403" t="str">
        <f t="shared" ca="1" si="464"/>
        <v/>
      </c>
      <c r="CJ246" s="403" t="str">
        <f t="shared" ca="1" si="464"/>
        <v/>
      </c>
      <c r="CK246" s="403" t="str">
        <f t="shared" ca="1" si="464"/>
        <v/>
      </c>
      <c r="CL246" s="403" t="str">
        <f t="shared" ca="1" si="464"/>
        <v/>
      </c>
      <c r="CM246" s="403" t="str">
        <f t="shared" ca="1" si="464"/>
        <v/>
      </c>
      <c r="CN246" s="403" t="str">
        <f t="shared" ca="1" si="464"/>
        <v/>
      </c>
      <c r="CO246" s="403" t="str">
        <f t="shared" ca="1" si="464"/>
        <v/>
      </c>
      <c r="CP246" s="403" t="str">
        <f t="shared" ca="1" si="464"/>
        <v/>
      </c>
      <c r="CQ246" s="403" t="str">
        <f t="shared" ca="1" si="464"/>
        <v/>
      </c>
      <c r="CR246" s="403" t="str">
        <f t="shared" ca="1" si="464"/>
        <v/>
      </c>
      <c r="CS246" s="403" t="str">
        <f t="shared" ca="1" si="464"/>
        <v/>
      </c>
      <c r="CT246" s="403" t="str">
        <f t="shared" ca="1" si="464"/>
        <v/>
      </c>
      <c r="CU246" s="403" t="str">
        <f t="shared" ca="1" si="464"/>
        <v/>
      </c>
      <c r="CV246" s="403" t="str">
        <f t="shared" ca="1" si="464"/>
        <v/>
      </c>
      <c r="CW246" s="403" t="str">
        <f t="shared" ca="1" si="464"/>
        <v/>
      </c>
      <c r="CX246" s="403" t="str">
        <f t="shared" ca="1" si="464"/>
        <v/>
      </c>
      <c r="CY246" s="403" t="str">
        <f t="shared" ca="1" si="464"/>
        <v/>
      </c>
      <c r="CZ246" s="403" t="str">
        <f t="shared" ca="1" si="464"/>
        <v/>
      </c>
      <c r="DA246" s="403" t="str">
        <f t="shared" ca="1" si="464"/>
        <v/>
      </c>
      <c r="DB246" s="403" t="str">
        <f t="shared" ca="1" si="464"/>
        <v/>
      </c>
      <c r="DC246" s="403" t="str">
        <f t="shared" ca="1" si="464"/>
        <v/>
      </c>
      <c r="DD246" s="403" t="str">
        <f t="shared" ca="1" si="464"/>
        <v/>
      </c>
      <c r="DE246" s="403" t="str">
        <f t="shared" ca="1" si="464"/>
        <v/>
      </c>
      <c r="DF246" s="403" t="str">
        <f t="shared" ca="1" si="464"/>
        <v/>
      </c>
      <c r="DG246" s="403" t="str">
        <f t="shared" ca="1" si="464"/>
        <v/>
      </c>
      <c r="DH246" s="403" t="str">
        <f t="shared" ca="1" si="464"/>
        <v/>
      </c>
      <c r="DI246" s="403" t="str">
        <f t="shared" ca="1" si="464"/>
        <v/>
      </c>
      <c r="DJ246" s="403" t="str">
        <f t="shared" ca="1" si="464"/>
        <v/>
      </c>
      <c r="DK246" s="403" t="str">
        <f t="shared" ca="1" si="464"/>
        <v/>
      </c>
      <c r="DL246" s="403" t="str">
        <f t="shared" ca="1" si="464"/>
        <v/>
      </c>
      <c r="DM246" s="403" t="str">
        <f t="shared" ca="1" si="464"/>
        <v/>
      </c>
      <c r="DN246" s="403" t="str">
        <f t="shared" ca="1" si="464"/>
        <v/>
      </c>
      <c r="DO246" s="403" t="str">
        <f t="shared" ca="1" si="464"/>
        <v/>
      </c>
      <c r="DP246" s="403" t="str">
        <f t="shared" ca="1" si="464"/>
        <v/>
      </c>
      <c r="DQ246" s="403" t="str">
        <f t="shared" ca="1" si="464"/>
        <v/>
      </c>
      <c r="DR246" s="403" t="str">
        <f t="shared" ca="1" si="464"/>
        <v/>
      </c>
      <c r="DS246" s="403" t="str">
        <f t="shared" ca="1" si="464"/>
        <v/>
      </c>
      <c r="DT246" s="403" t="str">
        <f t="shared" ca="1" si="464"/>
        <v/>
      </c>
      <c r="DU246" s="403" t="str">
        <f t="shared" ca="1" si="464"/>
        <v/>
      </c>
      <c r="DV246" s="403" t="str">
        <f t="shared" ca="1" si="464"/>
        <v/>
      </c>
      <c r="DW246" s="403" t="str">
        <f t="shared" ca="1" si="464"/>
        <v/>
      </c>
      <c r="DX246" s="403" t="str">
        <f t="shared" ca="1" si="464"/>
        <v/>
      </c>
      <c r="DY246" s="403" t="str">
        <f t="shared" ca="1" si="464"/>
        <v/>
      </c>
      <c r="DZ246" s="403" t="str">
        <f t="shared" ca="1" si="464"/>
        <v/>
      </c>
      <c r="EA246" s="403" t="str">
        <f t="shared" ca="1" si="464"/>
        <v/>
      </c>
      <c r="EB246" s="403" t="str">
        <f t="shared" ca="1" si="464"/>
        <v/>
      </c>
      <c r="EC246" s="403" t="str">
        <f t="shared" ca="1" si="464"/>
        <v/>
      </c>
      <c r="ED246" s="403" t="str">
        <f t="shared" ca="1" si="464"/>
        <v/>
      </c>
      <c r="EE246" s="403" t="str">
        <f t="shared" ca="1" si="464"/>
        <v/>
      </c>
      <c r="EF246" s="403" t="str">
        <f t="shared" ca="1" si="464"/>
        <v/>
      </c>
      <c r="EG246" s="403" t="str">
        <f t="shared" ref="EG246:EI246" ca="1" si="465">IF(EG243=0,"",IF(EG243=EG$3,EG245,EG$5+EH$5-EG247-1))</f>
        <v/>
      </c>
      <c r="EH246" s="403" t="str">
        <f t="shared" ca="1" si="465"/>
        <v/>
      </c>
      <c r="EI246" s="403" t="str">
        <f t="shared" ca="1" si="465"/>
        <v/>
      </c>
      <c r="EV246" s="321"/>
    </row>
    <row r="247" spans="1:152" hidden="1" outlineLevel="2">
      <c r="A247" s="332"/>
      <c r="B247" s="313"/>
      <c r="D247" s="305" t="s">
        <v>672</v>
      </c>
      <c r="E247" s="1002">
        <f ca="1">IF(E243=0,"",MAX(G247:EI247))</f>
        <v>45628.800000000003</v>
      </c>
      <c r="F247" s="1003"/>
      <c r="G247" s="403">
        <f ca="1">IF(SUM(G243:$EI243)=0,"",IF(G$227="","",G$227+G243-1))</f>
        <v>44985</v>
      </c>
      <c r="H247" s="403">
        <f ca="1">IF(SUM(H243:$EI243)=0,"",IF(H$227="","",H$227+H243-1))</f>
        <v>45016</v>
      </c>
      <c r="I247" s="403">
        <f ca="1">IF(SUM(I243:$EI243)=0,"",IF(I$227="","",I$227+I243-1))</f>
        <v>45046</v>
      </c>
      <c r="J247" s="403">
        <f ca="1">IF(SUM(J243:$EI243)=0,"",IF(J$227="","",J$227+J243-1))</f>
        <v>45077</v>
      </c>
      <c r="K247" s="403">
        <f ca="1">IF(SUM(K243:$EI243)=0,"",IF(K$227="","",K$227+K243-1))</f>
        <v>45107</v>
      </c>
      <c r="L247" s="403">
        <f ca="1">IF(SUM(L243:$EI243)=0,"",IF(L$227="","",L$227+L243-1))</f>
        <v>45138</v>
      </c>
      <c r="M247" s="403">
        <f ca="1">IF(SUM(M243:$EI243)=0,"",IF(M$227="","",M$227+M243-1))</f>
        <v>45169</v>
      </c>
      <c r="N247" s="403">
        <f ca="1">IF(SUM(N243:$EI243)=0,"",IF(N$227="","",N$227+N243-1))</f>
        <v>45199</v>
      </c>
      <c r="O247" s="403">
        <f ca="1">IF(SUM(O243:$EI243)=0,"",IF(O$227="","",O$227+O243-1))</f>
        <v>45230</v>
      </c>
      <c r="P247" s="403">
        <f ca="1">IF(SUM(P243:$EI243)=0,"",IF(P$227="","",P$227+P243-1))</f>
        <v>45260</v>
      </c>
      <c r="Q247" s="403">
        <f ca="1">IF(SUM(Q243:$EI243)=0,"",IF(Q$227="","",Q$227+Q243-1))</f>
        <v>45291</v>
      </c>
      <c r="R247" s="403">
        <f ca="1">IF(SUM(R243:$EI243)=0,"",IF(R$227="","",R$227+R243-1))</f>
        <v>45322</v>
      </c>
      <c r="S247" s="403">
        <f ca="1">IF(SUM(S243:$EI243)=0,"",IF(S$227="","",S$227+S243-1))</f>
        <v>45380.2</v>
      </c>
      <c r="T247" s="403">
        <f ca="1">IF(SUM(T243:$EI243)=0,"",IF(T$227="","",T$227+T243-1))</f>
        <v>45412</v>
      </c>
      <c r="U247" s="403">
        <f ca="1">IF(SUM(U243:$EI243)=0,"",IF(U$227="","",U$227+U243-1))</f>
        <v>45443</v>
      </c>
      <c r="V247" s="403">
        <f ca="1">IF(SUM(V243:$EI243)=0,"",IF(V$227="","",V$227+V243-1))</f>
        <v>45473</v>
      </c>
      <c r="W247" s="403">
        <f ca="1">IF(SUM(W243:$EI243)=0,"",IF(W$227="","",W$227+W243-1))</f>
        <v>45504</v>
      </c>
      <c r="X247" s="403">
        <f ca="1">IF(SUM(X243:$EI243)=0,"",IF(X$227="","",X$227+X243-1))</f>
        <v>45535</v>
      </c>
      <c r="Y247" s="403">
        <f ca="1">IF(SUM(Y243:$EI243)=0,"",IF(Y$227="","",Y$227+Y243-1))</f>
        <v>45565</v>
      </c>
      <c r="Z247" s="403">
        <f ca="1">IF(SUM(Z243:$EI243)=0,"",IF(Z$227="","",Z$227+Z243-1))</f>
        <v>45596</v>
      </c>
      <c r="AA247" s="403">
        <f ca="1">IF(SUM(AA243:$EI243)=0,"",IF(AA$227="","",AA$227+AA243-1))</f>
        <v>45626</v>
      </c>
      <c r="AB247" s="403">
        <f ca="1">IF(SUM(AB243:$EI243)=0,"",IF(AB$227="","",AB$227+AB243-1))</f>
        <v>45628.800000000003</v>
      </c>
      <c r="AC247" s="403" t="str">
        <f ca="1">IF(SUM(AC243:$EI243)=0,"",IF(AC$227="","",AC$227+AC243-1))</f>
        <v/>
      </c>
      <c r="AD247" s="403" t="str">
        <f ca="1">IF(SUM(AD243:$EI243)=0,"",IF(AD$227="","",AD$227+AD243-1))</f>
        <v/>
      </c>
      <c r="AE247" s="403" t="str">
        <f ca="1">IF(SUM(AE243:$EI243)=0,"",IF(AE$227="","",AE$227+AE243-1))</f>
        <v/>
      </c>
      <c r="AF247" s="403" t="str">
        <f ca="1">IF(SUM(AF243:$EI243)=0,"",IF(AF$227="","",AF$227+AF243-1))</f>
        <v/>
      </c>
      <c r="AG247" s="403" t="str">
        <f ca="1">IF(SUM(AG243:$EI243)=0,"",IF(AG$227="","",AG$227+AG243-1))</f>
        <v/>
      </c>
      <c r="AH247" s="403" t="str">
        <f ca="1">IF(SUM(AH243:$EI243)=0,"",IF(AH$227="","",AH$227+AH243-1))</f>
        <v/>
      </c>
      <c r="AI247" s="403" t="str">
        <f ca="1">IF(SUM(AI243:$EI243)=0,"",IF(AI$227="","",AI$227+AI243-1))</f>
        <v/>
      </c>
      <c r="AJ247" s="403" t="str">
        <f ca="1">IF(SUM(AJ243:$EI243)=0,"",IF(AJ$227="","",AJ$227+AJ243-1))</f>
        <v/>
      </c>
      <c r="AK247" s="403" t="str">
        <f ca="1">IF(SUM(AK243:$EI243)=0,"",IF(AK$227="","",AK$227+AK243-1))</f>
        <v/>
      </c>
      <c r="AL247" s="403" t="str">
        <f ca="1">IF(SUM(AL243:$EI243)=0,"",IF(AL$227="","",AL$227+AL243-1))</f>
        <v/>
      </c>
      <c r="AM247" s="403" t="str">
        <f ca="1">IF(SUM(AM243:$EI243)=0,"",IF(AM$227="","",AM$227+AM243-1))</f>
        <v/>
      </c>
      <c r="AN247" s="403" t="str">
        <f ca="1">IF(SUM(AN243:$EI243)=0,"",IF(AN$227="","",AN$227+AN243-1))</f>
        <v/>
      </c>
      <c r="AO247" s="403" t="str">
        <f ca="1">IF(SUM(AO243:$EI243)=0,"",IF(AO$227="","",AO$227+AO243-1))</f>
        <v/>
      </c>
      <c r="AP247" s="403" t="str">
        <f ca="1">IF(SUM(AP243:$EI243)=0,"",IF(AP$227="","",AP$227+AP243-1))</f>
        <v/>
      </c>
      <c r="AQ247" s="403" t="str">
        <f ca="1">IF(SUM(AQ243:$EI243)=0,"",IF(AQ$227="","",AQ$227+AQ243-1))</f>
        <v/>
      </c>
      <c r="AR247" s="403" t="str">
        <f ca="1">IF(SUM(AR243:$EI243)=0,"",IF(AR$227="","",AR$227+AR243-1))</f>
        <v/>
      </c>
      <c r="AS247" s="403" t="str">
        <f ca="1">IF(SUM(AS243:$EI243)=0,"",IF(AS$227="","",AS$227+AS243-1))</f>
        <v/>
      </c>
      <c r="AT247" s="403" t="str">
        <f ca="1">IF(SUM(AT243:$EI243)=0,"",IF(AT$227="","",AT$227+AT243-1))</f>
        <v/>
      </c>
      <c r="AU247" s="403" t="str">
        <f ca="1">IF(SUM(AU243:$EI243)=0,"",IF(AU$227="","",AU$227+AU243-1))</f>
        <v/>
      </c>
      <c r="AV247" s="403" t="str">
        <f ca="1">IF(SUM(AV243:$EI243)=0,"",IF(AV$227="","",AV$227+AV243-1))</f>
        <v/>
      </c>
      <c r="AW247" s="403" t="str">
        <f ca="1">IF(SUM(AW243:$EI243)=0,"",IF(AW$227="","",AW$227+AW243-1))</f>
        <v/>
      </c>
      <c r="AX247" s="403" t="str">
        <f ca="1">IF(SUM(AX243:$EI243)=0,"",IF(AX$227="","",AX$227+AX243-1))</f>
        <v/>
      </c>
      <c r="AY247" s="403" t="str">
        <f ca="1">IF(SUM(AY243:$EI243)=0,"",IF(AY$227="","",AY$227+AY243-1))</f>
        <v/>
      </c>
      <c r="AZ247" s="403" t="str">
        <f ca="1">IF(SUM(AZ243:$EI243)=0,"",IF(AZ$227="","",AZ$227+AZ243-1))</f>
        <v/>
      </c>
      <c r="BA247" s="403" t="str">
        <f ca="1">IF(SUM(BA243:$EI243)=0,"",IF(BA$227="","",BA$227+BA243-1))</f>
        <v/>
      </c>
      <c r="BB247" s="403" t="str">
        <f ca="1">IF(SUM(BB243:$EI243)=0,"",IF(BB$227="","",BB$227+BB243-1))</f>
        <v/>
      </c>
      <c r="BC247" s="403" t="str">
        <f ca="1">IF(SUM(BC243:$EI243)=0,"",IF(BC$227="","",BC$227+BC243-1))</f>
        <v/>
      </c>
      <c r="BD247" s="403" t="str">
        <f ca="1">IF(SUM(BD243:$EI243)=0,"",IF(BD$227="","",BD$227+BD243-1))</f>
        <v/>
      </c>
      <c r="BE247" s="403" t="str">
        <f ca="1">IF(SUM(BE243:$EI243)=0,"",IF(BE$227="","",BE$227+BE243-1))</f>
        <v/>
      </c>
      <c r="BF247" s="403" t="str">
        <f ca="1">IF(SUM(BF243:$EI243)=0,"",IF(BF$227="","",BF$227+BF243-1))</f>
        <v/>
      </c>
      <c r="BG247" s="403" t="str">
        <f ca="1">IF(SUM(BG243:$EI243)=0,"",IF(BG$227="","",BG$227+BG243-1))</f>
        <v/>
      </c>
      <c r="BH247" s="403" t="str">
        <f ca="1">IF(SUM(BH243:$EI243)=0,"",IF(BH$227="","",BH$227+BH243-1))</f>
        <v/>
      </c>
      <c r="BI247" s="403" t="str">
        <f ca="1">IF(SUM(BI243:$EI243)=0,"",IF(BI$227="","",BI$227+BI243-1))</f>
        <v/>
      </c>
      <c r="BJ247" s="403" t="str">
        <f ca="1">IF(SUM(BJ243:$EI243)=0,"",IF(BJ$227="","",BJ$227+BJ243-1))</f>
        <v/>
      </c>
      <c r="BK247" s="403" t="str">
        <f ca="1">IF(SUM(BK243:$EI243)=0,"",IF(BK$227="","",BK$227+BK243-1))</f>
        <v/>
      </c>
      <c r="BL247" s="403" t="str">
        <f ca="1">IF(SUM(BL243:$EI243)=0,"",IF(BL$227="","",BL$227+BL243-1))</f>
        <v/>
      </c>
      <c r="BM247" s="403" t="str">
        <f ca="1">IF(SUM(BM243:$EI243)=0,"",IF(BM$227="","",BM$227+BM243-1))</f>
        <v/>
      </c>
      <c r="BN247" s="403" t="str">
        <f ca="1">IF(SUM(BN243:$EI243)=0,"",IF(BN$227="","",BN$227+BN243-1))</f>
        <v/>
      </c>
      <c r="BO247" s="403" t="str">
        <f ca="1">IF(SUM(BO243:$EI243)=0,"",IF(BO$227="","",BO$227+BO243-1))</f>
        <v/>
      </c>
      <c r="BP247" s="403" t="str">
        <f ca="1">IF(SUM(BP243:$EI243)=0,"",IF(BP$227="","",BP$227+BP243-1))</f>
        <v/>
      </c>
      <c r="BQ247" s="403" t="str">
        <f ca="1">IF(SUM(BQ243:$EI243)=0,"",IF(BQ$227="","",BQ$227+BQ243-1))</f>
        <v/>
      </c>
      <c r="BR247" s="403" t="str">
        <f ca="1">IF(SUM(BR243:$EI243)=0,"",IF(BR$227="","",BR$227+BR243-1))</f>
        <v/>
      </c>
      <c r="BS247" s="403" t="str">
        <f ca="1">IF(SUM(BS243:$EI243)=0,"",IF(BS$227="","",BS$227+BS243-1))</f>
        <v/>
      </c>
      <c r="BT247" s="403" t="str">
        <f ca="1">IF(SUM(BT243:$EI243)=0,"",IF(BT$227="","",BT$227+BT243-1))</f>
        <v/>
      </c>
      <c r="BU247" s="403" t="str">
        <f ca="1">IF(SUM(BU243:$EI243)=0,"",IF(BU$227="","",BU$227+BU243-1))</f>
        <v/>
      </c>
      <c r="BV247" s="403" t="str">
        <f ca="1">IF(SUM(BV243:$EI243)=0,"",IF(BV$227="","",BV$227+BV243-1))</f>
        <v/>
      </c>
      <c r="BW247" s="403" t="str">
        <f ca="1">IF(SUM(BW243:$EI243)=0,"",IF(BW$227="","",BW$227+BW243-1))</f>
        <v/>
      </c>
      <c r="BX247" s="403" t="str">
        <f ca="1">IF(SUM(BX243:$EI243)=0,"",IF(BX$227="","",BX$227+BX243-1))</f>
        <v/>
      </c>
      <c r="BY247" s="403" t="str">
        <f ca="1">IF(SUM(BY243:$EI243)=0,"",IF(BY$227="","",BY$227+BY243-1))</f>
        <v/>
      </c>
      <c r="BZ247" s="403" t="str">
        <f ca="1">IF(SUM(BZ243:$EI243)=0,"",IF(BZ$227="","",BZ$227+BZ243-1))</f>
        <v/>
      </c>
      <c r="CA247" s="403" t="str">
        <f ca="1">IF(SUM(CA243:$EI243)=0,"",IF(CA$227="","",CA$227+CA243-1))</f>
        <v/>
      </c>
      <c r="CB247" s="403" t="str">
        <f ca="1">IF(SUM(CB243:$EI243)=0,"",IF(CB$227="","",CB$227+CB243-1))</f>
        <v/>
      </c>
      <c r="CC247" s="403" t="str">
        <f ca="1">IF(SUM(CC243:$EI243)=0,"",IF(CC$227="","",CC$227+CC243-1))</f>
        <v/>
      </c>
      <c r="CD247" s="403" t="str">
        <f ca="1">IF(SUM(CD243:$EI243)=0,"",IF(CD$227="","",CD$227+CD243-1))</f>
        <v/>
      </c>
      <c r="CE247" s="403" t="str">
        <f ca="1">IF(SUM(CE243:$EI243)=0,"",IF(CE$227="","",CE$227+CE243-1))</f>
        <v/>
      </c>
      <c r="CF247" s="403" t="str">
        <f ca="1">IF(SUM(CF243:$EI243)=0,"",IF(CF$227="","",CF$227+CF243-1))</f>
        <v/>
      </c>
      <c r="CG247" s="403" t="str">
        <f ca="1">IF(SUM(CG243:$EI243)=0,"",IF(CG$227="","",CG$227+CG243-1))</f>
        <v/>
      </c>
      <c r="CH247" s="403" t="str">
        <f ca="1">IF(SUM(CH243:$EI243)=0,"",IF(CH$227="","",CH$227+CH243-1))</f>
        <v/>
      </c>
      <c r="CI247" s="403" t="str">
        <f ca="1">IF(SUM(CI243:$EI243)=0,"",IF(CI$227="","",CI$227+CI243-1))</f>
        <v/>
      </c>
      <c r="CJ247" s="403" t="str">
        <f ca="1">IF(SUM(CJ243:$EI243)=0,"",IF(CJ$227="","",CJ$227+CJ243-1))</f>
        <v/>
      </c>
      <c r="CK247" s="403" t="str">
        <f ca="1">IF(SUM(CK243:$EI243)=0,"",IF(CK$227="","",CK$227+CK243-1))</f>
        <v/>
      </c>
      <c r="CL247" s="403" t="str">
        <f ca="1">IF(SUM(CL243:$EI243)=0,"",IF(CL$227="","",CL$227+CL243-1))</f>
        <v/>
      </c>
      <c r="CM247" s="403" t="str">
        <f ca="1">IF(SUM(CM243:$EI243)=0,"",IF(CM$227="","",CM$227+CM243-1))</f>
        <v/>
      </c>
      <c r="CN247" s="403" t="str">
        <f ca="1">IF(SUM(CN243:$EI243)=0,"",IF(CN$227="","",CN$227+CN243-1))</f>
        <v/>
      </c>
      <c r="CO247" s="403" t="str">
        <f ca="1">IF(SUM(CO243:$EI243)=0,"",IF(CO$227="","",CO$227+CO243-1))</f>
        <v/>
      </c>
      <c r="CP247" s="403" t="str">
        <f ca="1">IF(SUM(CP243:$EI243)=0,"",IF(CP$227="","",CP$227+CP243-1))</f>
        <v/>
      </c>
      <c r="CQ247" s="403" t="str">
        <f ca="1">IF(SUM(CQ243:$EI243)=0,"",IF(CQ$227="","",CQ$227+CQ243-1))</f>
        <v/>
      </c>
      <c r="CR247" s="403" t="str">
        <f ca="1">IF(SUM(CR243:$EI243)=0,"",IF(CR$227="","",CR$227+CR243-1))</f>
        <v/>
      </c>
      <c r="CS247" s="403" t="str">
        <f ca="1">IF(SUM(CS243:$EI243)=0,"",IF(CS$227="","",CS$227+CS243-1))</f>
        <v/>
      </c>
      <c r="CT247" s="403" t="str">
        <f ca="1">IF(SUM(CT243:$EI243)=0,"",IF(CT$227="","",CT$227+CT243-1))</f>
        <v/>
      </c>
      <c r="CU247" s="403" t="str">
        <f ca="1">IF(SUM(CU243:$EI243)=0,"",IF(CU$227="","",CU$227+CU243-1))</f>
        <v/>
      </c>
      <c r="CV247" s="403" t="str">
        <f ca="1">IF(SUM(CV243:$EI243)=0,"",IF(CV$227="","",CV$227+CV243-1))</f>
        <v/>
      </c>
      <c r="CW247" s="403" t="str">
        <f ca="1">IF(SUM(CW243:$EI243)=0,"",IF(CW$227="","",CW$227+CW243-1))</f>
        <v/>
      </c>
      <c r="CX247" s="403" t="str">
        <f ca="1">IF(SUM(CX243:$EI243)=0,"",IF(CX$227="","",CX$227+CX243-1))</f>
        <v/>
      </c>
      <c r="CY247" s="403" t="str">
        <f ca="1">IF(SUM(CY243:$EI243)=0,"",IF(CY$227="","",CY$227+CY243-1))</f>
        <v/>
      </c>
      <c r="CZ247" s="403" t="str">
        <f ca="1">IF(SUM(CZ243:$EI243)=0,"",IF(CZ$227="","",CZ$227+CZ243-1))</f>
        <v/>
      </c>
      <c r="DA247" s="403" t="str">
        <f ca="1">IF(SUM(DA243:$EI243)=0,"",IF(DA$227="","",DA$227+DA243-1))</f>
        <v/>
      </c>
      <c r="DB247" s="403" t="str">
        <f ca="1">IF(SUM(DB243:$EI243)=0,"",IF(DB$227="","",DB$227+DB243-1))</f>
        <v/>
      </c>
      <c r="DC247" s="403" t="str">
        <f ca="1">IF(SUM(DC243:$EI243)=0,"",IF(DC$227="","",DC$227+DC243-1))</f>
        <v/>
      </c>
      <c r="DD247" s="403" t="str">
        <f ca="1">IF(SUM(DD243:$EI243)=0,"",IF(DD$227="","",DD$227+DD243-1))</f>
        <v/>
      </c>
      <c r="DE247" s="403" t="str">
        <f ca="1">IF(SUM(DE243:$EI243)=0,"",IF(DE$227="","",DE$227+DE243-1))</f>
        <v/>
      </c>
      <c r="DF247" s="403" t="str">
        <f ca="1">IF(SUM(DF243:$EI243)=0,"",IF(DF$227="","",DF$227+DF243-1))</f>
        <v/>
      </c>
      <c r="DG247" s="403" t="str">
        <f ca="1">IF(SUM(DG243:$EI243)=0,"",IF(DG$227="","",DG$227+DG243-1))</f>
        <v/>
      </c>
      <c r="DH247" s="403" t="str">
        <f ca="1">IF(SUM(DH243:$EI243)=0,"",IF(DH$227="","",DH$227+DH243-1))</f>
        <v/>
      </c>
      <c r="DI247" s="403" t="str">
        <f ca="1">IF(SUM(DI243:$EI243)=0,"",IF(DI$227="","",DI$227+DI243-1))</f>
        <v/>
      </c>
      <c r="DJ247" s="403" t="str">
        <f ca="1">IF(SUM(DJ243:$EI243)=0,"",IF(DJ$227="","",DJ$227+DJ243-1))</f>
        <v/>
      </c>
      <c r="DK247" s="403" t="str">
        <f ca="1">IF(SUM(DK243:$EI243)=0,"",IF(DK$227="","",DK$227+DK243-1))</f>
        <v/>
      </c>
      <c r="DL247" s="403" t="str">
        <f ca="1">IF(SUM(DL243:$EI243)=0,"",IF(DL$227="","",DL$227+DL243-1))</f>
        <v/>
      </c>
      <c r="DM247" s="403" t="str">
        <f ca="1">IF(SUM(DM243:$EI243)=0,"",IF(DM$227="","",DM$227+DM243-1))</f>
        <v/>
      </c>
      <c r="DN247" s="403" t="str">
        <f ca="1">IF(SUM(DN243:$EI243)=0,"",IF(DN$227="","",DN$227+DN243-1))</f>
        <v/>
      </c>
      <c r="DO247" s="403" t="str">
        <f ca="1">IF(SUM(DO243:$EI243)=0,"",IF(DO$227="","",DO$227+DO243-1))</f>
        <v/>
      </c>
      <c r="DP247" s="403" t="str">
        <f ca="1">IF(SUM(DP243:$EI243)=0,"",IF(DP$227="","",DP$227+DP243-1))</f>
        <v/>
      </c>
      <c r="DQ247" s="403" t="str">
        <f ca="1">IF(SUM(DQ243:$EI243)=0,"",IF(DQ$227="","",DQ$227+DQ243-1))</f>
        <v/>
      </c>
      <c r="DR247" s="403" t="str">
        <f ca="1">IF(SUM(DR243:$EI243)=0,"",IF(DR$227="","",DR$227+DR243-1))</f>
        <v/>
      </c>
      <c r="DS247" s="403" t="str">
        <f ca="1">IF(SUM(DS243:$EI243)=0,"",IF(DS$227="","",DS$227+DS243-1))</f>
        <v/>
      </c>
      <c r="DT247" s="403" t="str">
        <f ca="1">IF(SUM(DT243:$EI243)=0,"",IF(DT$227="","",DT$227+DT243-1))</f>
        <v/>
      </c>
      <c r="DU247" s="403" t="str">
        <f ca="1">IF(SUM(DU243:$EI243)=0,"",IF(DU$227="","",DU$227+DU243-1))</f>
        <v/>
      </c>
      <c r="DV247" s="403" t="str">
        <f ca="1">IF(SUM(DV243:$EI243)=0,"",IF(DV$227="","",DV$227+DV243-1))</f>
        <v/>
      </c>
      <c r="DW247" s="403" t="str">
        <f ca="1">IF(SUM(DW243:$EI243)=0,"",IF(DW$227="","",DW$227+DW243-1))</f>
        <v/>
      </c>
      <c r="DX247" s="403" t="str">
        <f ca="1">IF(SUM(DX243:$EI243)=0,"",IF(DX$227="","",DX$227+DX243-1))</f>
        <v/>
      </c>
      <c r="DY247" s="403" t="str">
        <f ca="1">IF(SUM(DY243:$EI243)=0,"",IF(DY$227="","",DY$227+DY243-1))</f>
        <v/>
      </c>
      <c r="DZ247" s="403" t="str">
        <f ca="1">IF(SUM(DZ243:$EI243)=0,"",IF(DZ$227="","",DZ$227+DZ243-1))</f>
        <v/>
      </c>
      <c r="EA247" s="403" t="str">
        <f ca="1">IF(SUM(EA243:$EI243)=0,"",IF(EA$227="","",EA$227+EA243-1))</f>
        <v/>
      </c>
      <c r="EB247" s="403" t="str">
        <f ca="1">IF(SUM(EB243:$EI243)=0,"",IF(EB$227="","",EB$227+EB243-1))</f>
        <v/>
      </c>
      <c r="EC247" s="403" t="str">
        <f ca="1">IF(SUM(EC243:$EI243)=0,"",IF(EC$227="","",EC$227+EC243-1))</f>
        <v/>
      </c>
      <c r="ED247" s="403" t="str">
        <f ca="1">IF(SUM(ED243:$EI243)=0,"",IF(ED$227="","",ED$227+ED243-1))</f>
        <v/>
      </c>
      <c r="EE247" s="403" t="str">
        <f ca="1">IF(SUM(EE243:$EI243)=0,"",IF(EE$227="","",EE$227+EE243-1))</f>
        <v/>
      </c>
      <c r="EF247" s="403" t="str">
        <f ca="1">IF(SUM(EF243:$EI243)=0,"",IF(EF$227="","",EF$227+EF243-1))</f>
        <v/>
      </c>
      <c r="EG247" s="403" t="str">
        <f ca="1">IF(SUM(EG243:$EI243)=0,"",IF(EG$227="","",EG$227+EG243-1))</f>
        <v/>
      </c>
      <c r="EH247" s="403" t="str">
        <f ca="1">IF(SUM(EH243:$EI243)=0,"",IF(EH$227="","",EH$227+EH243-1))</f>
        <v/>
      </c>
      <c r="EI247" s="403" t="str">
        <f ca="1">IF(SUM(EI243:$EI243)=0,"",IF(EI$227="","",EI$227+EI243-1))</f>
        <v/>
      </c>
      <c r="EV247" s="321"/>
    </row>
    <row r="248" spans="1:152" outlineLevel="1" collapsed="1">
      <c r="A248" s="332"/>
      <c r="B248" s="313"/>
      <c r="C248" s="317" t="s">
        <v>52</v>
      </c>
      <c r="D248" s="317" t="s">
        <v>53</v>
      </c>
      <c r="E248" s="400">
        <f ca="1">IF(ГРП!B10=0,длительность!B59,ГРП!B10)</f>
        <v>17</v>
      </c>
      <c r="F248" s="318">
        <f ca="1">E248-SUM(G248:EJ248)</f>
        <v>0</v>
      </c>
      <c r="G248" s="401"/>
      <c r="H248" s="401">
        <f ca="1">IF(SUM($G248:G248)&gt;=$E248,0,IF($E248-SUM($G248:G248)&gt;H249,H249,$E248-SUM($G249:G249)))</f>
        <v>0</v>
      </c>
      <c r="I248" s="401">
        <f ca="1">IF(SUM($G248:H248)&gt;=$E248,0,IF($E248-SUM($G248:H248)&gt;I249,I249,$E248-SUM($G249:H249)))</f>
        <v>0</v>
      </c>
      <c r="J248" s="401">
        <f ca="1">IF(SUM($G248:I248)&gt;=$E248,0,IF($E248-SUM($G248:I248)&gt;J249,J249,$E248-SUM($G249:I249)))</f>
        <v>0</v>
      </c>
      <c r="K248" s="401">
        <f ca="1">IF(SUM($G248:J248)&gt;=$E248,0,IF($E248-SUM($G248:J248)&gt;K249,K249,$E248-SUM($G249:J249)))</f>
        <v>0</v>
      </c>
      <c r="L248" s="401">
        <f ca="1">IF(SUM($G248:K248)&gt;=$E248,0,IF($E248-SUM($G248:K248)&gt;L249,L249,$E248-SUM($G249:K249)))</f>
        <v>0</v>
      </c>
      <c r="M248" s="401">
        <f ca="1">IF(SUM($G248:L248)&gt;=$E248,0,IF($E248-SUM($G248:L248)&gt;M249,M249,$E248-SUM($G249:L249)))</f>
        <v>0</v>
      </c>
      <c r="N248" s="401">
        <f ca="1">IF(SUM($G248:M248)&gt;=$E248,0,IF($E248-SUM($G248:M248)&gt;N249,N249,$E248-SUM($G249:M249)))</f>
        <v>0</v>
      </c>
      <c r="O248" s="401">
        <f ca="1">IF(SUM($G248:N248)&gt;=$E248,0,IF($E248-SUM($G248:N248)&gt;O249,O249,$E248-SUM($G249:N249)))</f>
        <v>0</v>
      </c>
      <c r="P248" s="401">
        <f ca="1">IF(SUM($G248:O248)&gt;=$E248,0,IF($E248-SUM($G248:O248)&gt;P249,P249,$E248-SUM($G249:O249)))</f>
        <v>0</v>
      </c>
      <c r="Q248" s="401">
        <f ca="1">IF(SUM($G248:P248)&gt;=$E248,0,IF($E248-SUM($G248:P248)&gt;Q249,Q249,$E248-SUM($G249:P249)))</f>
        <v>0</v>
      </c>
      <c r="R248" s="401">
        <f ca="1">IF(SUM($G248:Q248)&gt;=$E248,0,IF($E248-SUM($G248:Q248)&gt;R249,R249,$E248-SUM($G249:Q249)))</f>
        <v>0</v>
      </c>
      <c r="S248" s="401">
        <f ca="1">IF(SUM($G248:R248)&gt;=$E248,0,IF($E248-SUM($G248:R248)&gt;S249,S249,$E248-SUM($G249:R249)))</f>
        <v>11.900000000000006</v>
      </c>
      <c r="T248" s="401">
        <f ca="1">IF(SUM($G248:S248)&gt;=$E248,0,IF($E248-SUM($G248:S248)&gt;T249,T249,$E248-SUM($G249:S249)))</f>
        <v>5.0999999999999943</v>
      </c>
      <c r="U248" s="401">
        <f ca="1">IF(SUM($G248:T248)&gt;=$E248,0,IF($E248-SUM($G248:T248)&gt;U249,U249,$E248-SUM($G249:T249)))</f>
        <v>0</v>
      </c>
      <c r="V248" s="401">
        <f ca="1">IF(SUM($G248:U248)&gt;=$E248,0,IF($E248-SUM($G248:U248)&gt;V249,V249,$E248-SUM($G249:U249)))</f>
        <v>0</v>
      </c>
      <c r="W248" s="401">
        <f ca="1">IF(SUM($G248:V248)&gt;=$E248,0,IF($E248-SUM($G248:V248)&gt;W249,W249,$E248-SUM($G249:V249)))</f>
        <v>0</v>
      </c>
      <c r="X248" s="401">
        <f ca="1">IF(SUM($G248:W248)&gt;=$E248,0,IF($E248-SUM($G248:W248)&gt;X249,X249,$E248-SUM($G249:W249)))</f>
        <v>0</v>
      </c>
      <c r="Y248" s="401">
        <f ca="1">IF(SUM($G248:X248)&gt;=$E248,0,IF($E248-SUM($G248:X248)&gt;Y249,Y249,$E248-SUM($G249:X249)))</f>
        <v>0</v>
      </c>
      <c r="Z248" s="401">
        <f ca="1">IF(SUM($G248:Y248)&gt;=$E248,0,IF($E248-SUM($G248:Y248)&gt;Z249,Z249,$E248-SUM($G249:Y249)))</f>
        <v>0</v>
      </c>
      <c r="AA248" s="401">
        <f ca="1">IF(SUM($G248:Z248)&gt;=$E248,0,IF($E248-SUM($G248:Z248)&gt;AA249,AA249,$E248-SUM($G249:Z249)))</f>
        <v>0</v>
      </c>
      <c r="AB248" s="401">
        <f ca="1">IF(SUM($G248:AA248)&gt;=$E248,0,IF($E248-SUM($G248:AA248)&gt;AB249,AB249,$E248-SUM($G249:AA249)))</f>
        <v>0</v>
      </c>
      <c r="AC248" s="401">
        <f ca="1">IF(SUM($G248:AB248)&gt;=$E248,0,IF($E248-SUM($G248:AB248)&gt;AC249,AC249,$E248-SUM($G249:AB249)))</f>
        <v>0</v>
      </c>
      <c r="AD248" s="401">
        <f ca="1">IF(SUM($G248:AC248)&gt;=$E248,0,IF($E248-SUM($G248:AC248)&gt;AD249,AD249,$E248-SUM($G249:AC249)))</f>
        <v>0</v>
      </c>
      <c r="AE248" s="401">
        <f ca="1">IF(SUM($G248:AD248)&gt;=$E248,0,IF($E248-SUM($G248:AD248)&gt;AE249,AE249,$E248-SUM($G249:AD249)))</f>
        <v>0</v>
      </c>
      <c r="AF248" s="401">
        <f ca="1">IF(SUM($G248:AE248)&gt;=$E248,0,IF($E248-SUM($G248:AE248)&gt;AF249,AF249,$E248-SUM($G249:AE249)))</f>
        <v>0</v>
      </c>
      <c r="AG248" s="401">
        <f ca="1">IF(SUM($G248:AF248)&gt;=$E248,0,IF($E248-SUM($G248:AF248)&gt;AG249,AG249,$E248-SUM($G249:AF249)))</f>
        <v>0</v>
      </c>
      <c r="AH248" s="401">
        <f ca="1">IF(SUM($G248:AG248)&gt;=$E248,0,IF($E248-SUM($G248:AG248)&gt;AH249,AH249,$E248-SUM($G249:AG249)))</f>
        <v>0</v>
      </c>
      <c r="AI248" s="401">
        <f ca="1">IF(SUM($G248:AH248)&gt;=$E248,0,IF($E248-SUM($G248:AH248)&gt;AI249,AI249,$E248-SUM($G249:AH249)))</f>
        <v>0</v>
      </c>
      <c r="AJ248" s="401">
        <f ca="1">IF(SUM($G248:AI248)&gt;=$E248,0,IF($E248-SUM($G248:AI248)&gt;AJ249,AJ249,$E248-SUM($G249:AI249)))</f>
        <v>0</v>
      </c>
      <c r="AK248" s="401">
        <f ca="1">IF(SUM($G248:AJ248)&gt;=$E248,0,IF($E248-SUM($G248:AJ248)&gt;AK249,AK249,$E248-SUM($G249:AJ249)))</f>
        <v>0</v>
      </c>
      <c r="AL248" s="401">
        <f ca="1">IF(SUM($G248:AK248)&gt;=$E248,0,IF($E248-SUM($G248:AK248)&gt;AL249,AL249,$E248-SUM($G249:AK249)))</f>
        <v>0</v>
      </c>
      <c r="AM248" s="401">
        <f ca="1">IF(SUM($G248:AL248)&gt;=$E248,0,IF($E248-SUM($G248:AL248)&gt;AM249,AM249,$E248-SUM($G249:AL249)))</f>
        <v>0</v>
      </c>
      <c r="AN248" s="401">
        <f ca="1">IF(SUM($G248:AM248)&gt;=$E248,0,IF($E248-SUM($G248:AM248)&gt;AN249,AN249,$E248-SUM($G249:AM249)))</f>
        <v>0</v>
      </c>
      <c r="AO248" s="401">
        <f ca="1">IF(SUM($G248:AN248)&gt;=$E248,0,IF($E248-SUM($G248:AN248)&gt;AO249,AO249,$E248-SUM($G249:AN249)))</f>
        <v>0</v>
      </c>
      <c r="AP248" s="401">
        <f ca="1">IF(SUM($G248:AO248)&gt;=$E248,0,IF($E248-SUM($G248:AO248)&gt;AP249,AP249,$E248-SUM($G249:AO249)))</f>
        <v>0</v>
      </c>
      <c r="AQ248" s="401">
        <f ca="1">IF(SUM($G248:AP248)&gt;=$E248,0,IF($E248-SUM($G248:AP248)&gt;AQ249,AQ249,$E248-SUM($G249:AP249)))</f>
        <v>0</v>
      </c>
      <c r="AR248" s="401">
        <f ca="1">IF(SUM($G248:AQ248)&gt;=$E248,0,IF($E248-SUM($G248:AQ248)&gt;AR249,AR249,$E248-SUM($G249:AQ249)))</f>
        <v>0</v>
      </c>
      <c r="AS248" s="401">
        <f ca="1">IF(SUM($G248:AR248)&gt;=$E248,0,IF($E248-SUM($G248:AR248)&gt;AS249,AS249,$E248-SUM($G249:AR249)))</f>
        <v>0</v>
      </c>
      <c r="AT248" s="401">
        <f ca="1">IF(SUM($G248:AS248)&gt;=$E248,0,IF($E248-SUM($G248:AS248)&gt;AT249,AT249,$E248-SUM($G249:AS249)))</f>
        <v>0</v>
      </c>
      <c r="AU248" s="401">
        <f ca="1">IF(SUM($G248:AT248)&gt;=$E248,0,IF($E248-SUM($G248:AT248)&gt;AU249,AU249,$E248-SUM($G249:AT249)))</f>
        <v>0</v>
      </c>
      <c r="AV248" s="401">
        <f ca="1">IF(SUM($G248:AU248)&gt;=$E248,0,IF($E248-SUM($G248:AU248)&gt;AV249,AV249,$E248-SUM($G249:AU249)))</f>
        <v>0</v>
      </c>
      <c r="AW248" s="401">
        <f ca="1">IF(SUM($G248:AV248)&gt;=$E248,0,IF($E248-SUM($G248:AV248)&gt;AW249,AW249,$E248-SUM($G249:AV249)))</f>
        <v>0</v>
      </c>
      <c r="AX248" s="401">
        <f ca="1">IF(SUM($G248:AW248)&gt;=$E248,0,IF($E248-SUM($G248:AW248)&gt;AX249,AX249,$E248-SUM($G249:AW249)))</f>
        <v>0</v>
      </c>
      <c r="AY248" s="401">
        <f ca="1">IF(SUM($G248:AX248)&gt;=$E248,0,IF($E248-SUM($G248:AX248)&gt;AY249,AY249,$E248-SUM($G249:AX249)))</f>
        <v>0</v>
      </c>
      <c r="AZ248" s="401">
        <f ca="1">IF(SUM($G248:AY248)&gt;=$E248,0,IF($E248-SUM($G248:AY248)&gt;AZ249,AZ249,$E248-SUM($G249:AY249)))</f>
        <v>0</v>
      </c>
      <c r="BA248" s="401">
        <f ca="1">IF(SUM($G248:AZ248)&gt;=$E248,0,IF($E248-SUM($G248:AZ248)&gt;BA249,BA249,$E248-SUM($G249:AZ249)))</f>
        <v>0</v>
      </c>
      <c r="BB248" s="401">
        <f ca="1">IF(SUM($G248:BA248)&gt;=$E248,0,IF($E248-SUM($G248:BA248)&gt;BB249,BB249,$E248-SUM($G249:BA249)))</f>
        <v>0</v>
      </c>
      <c r="BC248" s="401">
        <f ca="1">IF(SUM($G248:BB248)&gt;=$E248,0,IF($E248-SUM($G248:BB248)&gt;BC249,BC249,$E248-SUM($G249:BB249)))</f>
        <v>0</v>
      </c>
      <c r="BD248" s="401">
        <f ca="1">IF(SUM($G248:BC248)&gt;=$E248,0,IF($E248-SUM($G248:BC248)&gt;BD249,BD249,$E248-SUM($G249:BC249)))</f>
        <v>0</v>
      </c>
      <c r="BE248" s="401">
        <f ca="1">IF(SUM($G248:BD248)&gt;=$E248,0,IF($E248-SUM($G248:BD248)&gt;BE249,BE249,$E248-SUM($G249:BD249)))</f>
        <v>0</v>
      </c>
      <c r="BF248" s="401">
        <f ca="1">IF(SUM($G248:BE248)&gt;=$E248,0,IF($E248-SUM($G248:BE248)&gt;BF249,BF249,$E248-SUM($G249:BE249)))</f>
        <v>0</v>
      </c>
      <c r="BG248" s="401">
        <f ca="1">IF(SUM($G248:BF248)&gt;=$E248,0,IF($E248-SUM($G248:BF248)&gt;BG249,BG249,$E248-SUM($G249:BF249)))</f>
        <v>0</v>
      </c>
      <c r="BH248" s="401">
        <f ca="1">IF(SUM($G248:BG248)&gt;=$E248,0,IF($E248-SUM($G248:BG248)&gt;BH249,BH249,$E248-SUM($G249:BG249)))</f>
        <v>0</v>
      </c>
      <c r="BI248" s="401">
        <f ca="1">IF(SUM($G248:BH248)&gt;=$E248,0,IF($E248-SUM($G248:BH248)&gt;BI249,BI249,$E248-SUM($G249:BH249)))</f>
        <v>0</v>
      </c>
      <c r="BJ248" s="401">
        <f ca="1">IF(SUM($G248:BI248)&gt;=$E248,0,IF($E248-SUM($G248:BI248)&gt;BJ249,BJ249,$E248-SUM($G249:BI249)))</f>
        <v>0</v>
      </c>
      <c r="BK248" s="401">
        <f ca="1">IF(SUM($G248:BJ248)&gt;=$E248,0,IF($E248-SUM($G248:BJ248)&gt;BK249,BK249,$E248-SUM($G249:BJ249)))</f>
        <v>0</v>
      </c>
      <c r="BL248" s="401">
        <f ca="1">IF(SUM($G248:BK248)&gt;=$E248,0,IF($E248-SUM($G248:BK248)&gt;BL249,BL249,$E248-SUM($G249:BK249)))</f>
        <v>0</v>
      </c>
      <c r="BM248" s="401">
        <f ca="1">IF(SUM($G248:BL248)&gt;=$E248,0,IF($E248-SUM($G248:BL248)&gt;BM249,BM249,$E248-SUM($G249:BL249)))</f>
        <v>0</v>
      </c>
      <c r="BN248" s="401">
        <f ca="1">IF(SUM($G248:BM248)&gt;=$E248,0,IF($E248-SUM($G248:BM248)&gt;BN249,BN249,$E248-SUM($G249:BM249)))</f>
        <v>0</v>
      </c>
      <c r="BO248" s="401">
        <f ca="1">IF(SUM($G248:BN248)&gt;=$E248,0,IF($E248-SUM($G248:BN248)&gt;BO249,BO249,$E248-SUM($G249:BN249)))</f>
        <v>0</v>
      </c>
      <c r="BP248" s="401">
        <f ca="1">IF(SUM($G248:BO248)&gt;=$E248,0,IF($E248-SUM($G248:BO248)&gt;BP249,BP249,$E248-SUM($G249:BO249)))</f>
        <v>0</v>
      </c>
      <c r="BQ248" s="401">
        <f ca="1">IF(SUM($G248:BP248)&gt;=$E248,0,IF($E248-SUM($G248:BP248)&gt;BQ249,BQ249,$E248-SUM($G249:BP249)))</f>
        <v>0</v>
      </c>
      <c r="BR248" s="401">
        <f ca="1">IF(SUM($G248:BQ248)&gt;=$E248,0,IF($E248-SUM($G248:BQ248)&gt;BR249,BR249,$E248-SUM($G249:BQ249)))</f>
        <v>0</v>
      </c>
      <c r="BS248" s="401">
        <f ca="1">IF(SUM($G248:BR248)&gt;=$E248,0,IF($E248-SUM($G248:BR248)&gt;BS249,BS249,$E248-SUM($G249:BR249)))</f>
        <v>0</v>
      </c>
      <c r="BT248" s="401">
        <f ca="1">IF(SUM($G248:BS248)&gt;=$E248,0,IF($E248-SUM($G248:BS248)&gt;BT249,BT249,$E248-SUM($G249:BS249)))</f>
        <v>0</v>
      </c>
      <c r="BU248" s="401">
        <f ca="1">IF(SUM($G248:BT248)&gt;=$E248,0,IF($E248-SUM($G248:BT248)&gt;BU249,BU249,$E248-SUM($G249:BT249)))</f>
        <v>0</v>
      </c>
      <c r="BV248" s="401">
        <f ca="1">IF(SUM($G248:BU248)&gt;=$E248,0,IF($E248-SUM($G248:BU248)&gt;BV249,BV249,$E248-SUM($G249:BU249)))</f>
        <v>0</v>
      </c>
      <c r="BW248" s="401">
        <f ca="1">IF(SUM($G248:BV248)&gt;=$E248,0,IF($E248-SUM($G248:BV248)&gt;BW249,BW249,$E248-SUM($G249:BV249)))</f>
        <v>0</v>
      </c>
      <c r="BX248" s="401">
        <f ca="1">IF(SUM($G248:BW248)&gt;=$E248,0,IF($E248-SUM($G248:BW248)&gt;BX249,BX249,$E248-SUM($G249:BW249)))</f>
        <v>0</v>
      </c>
      <c r="BY248" s="401">
        <f ca="1">IF(SUM($G248:BX248)&gt;=$E248,0,IF($E248-SUM($G248:BX248)&gt;BY249,BY249,$E248-SUM($G249:BX249)))</f>
        <v>0</v>
      </c>
      <c r="BZ248" s="401">
        <f ca="1">IF(SUM($G248:BY248)&gt;=$E248,0,IF($E248-SUM($G248:BY248)&gt;BZ249,BZ249,$E248-SUM($G249:BY249)))</f>
        <v>0</v>
      </c>
      <c r="CA248" s="401">
        <f ca="1">IF(SUM($G248:BZ248)&gt;=$E248,0,IF($E248-SUM($G248:BZ248)&gt;CA249,CA249,$E248-SUM($G249:BZ249)))</f>
        <v>0</v>
      </c>
      <c r="CB248" s="401">
        <f ca="1">IF(SUM($G248:CA248)&gt;=$E248,0,IF($E248-SUM($G248:CA248)&gt;CB249,CB249,$E248-SUM($G249:CA249)))</f>
        <v>0</v>
      </c>
      <c r="CC248" s="401">
        <f ca="1">IF(SUM($G248:CB248)&gt;=$E248,0,IF($E248-SUM($G248:CB248)&gt;CC249,CC249,$E248-SUM($G249:CB249)))</f>
        <v>0</v>
      </c>
      <c r="CD248" s="401">
        <f ca="1">IF(SUM($G248:CC248)&gt;=$E248,0,IF($E248-SUM($G248:CC248)&gt;CD249,CD249,$E248-SUM($G249:CC249)))</f>
        <v>0</v>
      </c>
      <c r="CE248" s="401">
        <f ca="1">IF(SUM($G248:CD248)&gt;=$E248,0,IF($E248-SUM($G248:CD248)&gt;CE249,CE249,$E248-SUM($G249:CD249)))</f>
        <v>0</v>
      </c>
      <c r="CF248" s="401">
        <f ca="1">IF(SUM($G248:CE248)&gt;=$E248,0,IF($E248-SUM($G248:CE248)&gt;CF249,CF249,$E248-SUM($G249:CE249)))</f>
        <v>0</v>
      </c>
      <c r="CG248" s="401">
        <f ca="1">IF(SUM($G248:CF248)&gt;=$E248,0,IF($E248-SUM($G248:CF248)&gt;CG249,CG249,$E248-SUM($G249:CF249)))</f>
        <v>0</v>
      </c>
      <c r="CH248" s="401">
        <f ca="1">IF(SUM($G248:CG248)&gt;=$E248,0,IF($E248-SUM($G248:CG248)&gt;CH249,CH249,$E248-SUM($G249:CG249)))</f>
        <v>0</v>
      </c>
      <c r="CI248" s="401">
        <f ca="1">IF(SUM($G248:CH248)&gt;=$E248,0,IF($E248-SUM($G248:CH248)&gt;CI249,CI249,$E248-SUM($G249:CH249)))</f>
        <v>0</v>
      </c>
      <c r="CJ248" s="401">
        <f ca="1">IF(SUM($G248:CI248)&gt;=$E248,0,IF($E248-SUM($G248:CI248)&gt;CJ249,CJ249,$E248-SUM($G249:CI249)))</f>
        <v>0</v>
      </c>
      <c r="CK248" s="401">
        <f ca="1">IF(SUM($G248:CJ248)&gt;=$E248,0,IF($E248-SUM($G248:CJ248)&gt;CK249,CK249,$E248-SUM($G249:CJ249)))</f>
        <v>0</v>
      </c>
      <c r="CL248" s="401">
        <f ca="1">IF(SUM($G248:CK248)&gt;=$E248,0,IF($E248-SUM($G248:CK248)&gt;CL249,CL249,$E248-SUM($G249:CK249)))</f>
        <v>0</v>
      </c>
      <c r="CM248" s="401">
        <f ca="1">IF(SUM($G248:CL248)&gt;=$E248,0,IF($E248-SUM($G248:CL248)&gt;CM249,CM249,$E248-SUM($G249:CL249)))</f>
        <v>0</v>
      </c>
      <c r="CN248" s="401">
        <f ca="1">IF(SUM($G248:CM248)&gt;=$E248,0,IF($E248-SUM($G248:CM248)&gt;CN249,CN249,$E248-SUM($G249:CM249)))</f>
        <v>0</v>
      </c>
      <c r="CO248" s="401">
        <f ca="1">IF(SUM($G248:CN248)&gt;=$E248,0,IF($E248-SUM($G248:CN248)&gt;CO249,CO249,$E248-SUM($G249:CN249)))</f>
        <v>0</v>
      </c>
      <c r="CP248" s="401">
        <f ca="1">IF(SUM($G248:CO248)&gt;=$E248,0,IF($E248-SUM($G248:CO248)&gt;CP249,CP249,$E248-SUM($G249:CO249)))</f>
        <v>0</v>
      </c>
      <c r="CQ248" s="401">
        <f ca="1">IF(SUM($G248:CP248)&gt;=$E248,0,IF($E248-SUM($G248:CP248)&gt;CQ249,CQ249,$E248-SUM($G249:CP249)))</f>
        <v>0</v>
      </c>
      <c r="CR248" s="401">
        <f ca="1">IF(SUM($G248:CQ248)&gt;=$E248,0,IF($E248-SUM($G248:CQ248)&gt;CR249,CR249,$E248-SUM($G249:CQ249)))</f>
        <v>0</v>
      </c>
      <c r="CS248" s="401">
        <f ca="1">IF(SUM($G248:CR248)&gt;=$E248,0,IF($E248-SUM($G248:CR248)&gt;CS249,CS249,$E248-SUM($G249:CR249)))</f>
        <v>0</v>
      </c>
      <c r="CT248" s="401">
        <f ca="1">IF(SUM($G248:CS248)&gt;=$E248,0,IF($E248-SUM($G248:CS248)&gt;CT249,CT249,$E248-SUM($G249:CS249)))</f>
        <v>0</v>
      </c>
      <c r="CU248" s="401">
        <f ca="1">IF(SUM($G248:CT248)&gt;=$E248,0,IF($E248-SUM($G248:CT248)&gt;CU249,CU249,$E248-SUM($G249:CT249)))</f>
        <v>0</v>
      </c>
      <c r="CV248" s="401">
        <f ca="1">IF(SUM($G248:CU248)&gt;=$E248,0,IF($E248-SUM($G248:CU248)&gt;CV249,CV249,$E248-SUM($G249:CU249)))</f>
        <v>0</v>
      </c>
      <c r="CW248" s="401">
        <f ca="1">IF(SUM($G248:CV248)&gt;=$E248,0,IF($E248-SUM($G248:CV248)&gt;CW249,CW249,$E248-SUM($G249:CV249)))</f>
        <v>0</v>
      </c>
      <c r="CX248" s="401">
        <f ca="1">IF(SUM($G248:CW248)&gt;=$E248,0,IF($E248-SUM($G248:CW248)&gt;CX249,CX249,$E248-SUM($G249:CW249)))</f>
        <v>0</v>
      </c>
      <c r="CY248" s="401">
        <f ca="1">IF(SUM($G248:CX248)&gt;=$E248,0,IF($E248-SUM($G248:CX248)&gt;CY249,CY249,$E248-SUM($G249:CX249)))</f>
        <v>0</v>
      </c>
      <c r="CZ248" s="401">
        <f ca="1">IF(SUM($G248:CY248)&gt;=$E248,0,IF($E248-SUM($G248:CY248)&gt;CZ249,CZ249,$E248-SUM($G249:CY249)))</f>
        <v>0</v>
      </c>
      <c r="DA248" s="401">
        <f ca="1">IF(SUM($G248:CZ248)&gt;=$E248,0,IF($E248-SUM($G248:CZ248)&gt;DA249,DA249,$E248-SUM($G249:CZ249)))</f>
        <v>0</v>
      </c>
      <c r="DB248" s="401">
        <f ca="1">IF(SUM($G248:DA248)&gt;=$E248,0,IF($E248-SUM($G248:DA248)&gt;DB249,DB249,$E248-SUM($G249:DA249)))</f>
        <v>0</v>
      </c>
      <c r="DC248" s="401">
        <f ca="1">IF(SUM($G248:DB248)&gt;=$E248,0,IF($E248-SUM($G248:DB248)&gt;DC249,DC249,$E248-SUM($G249:DB249)))</f>
        <v>0</v>
      </c>
      <c r="DD248" s="401">
        <f ca="1">IF(SUM($G248:DC248)&gt;=$E248,0,IF($E248-SUM($G248:DC248)&gt;DD249,DD249,$E248-SUM($G249:DC249)))</f>
        <v>0</v>
      </c>
      <c r="DE248" s="401">
        <f ca="1">IF(SUM($G248:DD248)&gt;=$E248,0,IF($E248-SUM($G248:DD248)&gt;DE249,DE249,$E248-SUM($G249:DD249)))</f>
        <v>0</v>
      </c>
      <c r="DF248" s="401">
        <f ca="1">IF(SUM($G248:DE248)&gt;=$E248,0,IF($E248-SUM($G248:DE248)&gt;DF249,DF249,$E248-SUM($G249:DE249)))</f>
        <v>0</v>
      </c>
      <c r="DG248" s="401">
        <f ca="1">IF(SUM($G248:DF248)&gt;=$E248,0,IF($E248-SUM($G248:DF248)&gt;DG249,DG249,$E248-SUM($G249:DF249)))</f>
        <v>0</v>
      </c>
      <c r="DH248" s="401">
        <f ca="1">IF(SUM($G248:DG248)&gt;=$E248,0,IF($E248-SUM($G248:DG248)&gt;DH249,DH249,$E248-SUM($G249:DG249)))</f>
        <v>0</v>
      </c>
      <c r="DI248" s="401">
        <f ca="1">IF(SUM($G248:DH248)&gt;=$E248,0,IF($E248-SUM($G248:DH248)&gt;DI249,DI249,$E248-SUM($G249:DH249)))</f>
        <v>0</v>
      </c>
      <c r="DJ248" s="401">
        <f ca="1">IF(SUM($G248:DI248)&gt;=$E248,0,IF($E248-SUM($G248:DI248)&gt;DJ249,DJ249,$E248-SUM($G249:DI249)))</f>
        <v>0</v>
      </c>
      <c r="DK248" s="401">
        <f ca="1">IF(SUM($G248:DJ248)&gt;=$E248,0,IF($E248-SUM($G248:DJ248)&gt;DK249,DK249,$E248-SUM($G249:DJ249)))</f>
        <v>0</v>
      </c>
      <c r="DL248" s="401">
        <f ca="1">IF(SUM($G248:DK248)&gt;=$E248,0,IF($E248-SUM($G248:DK248)&gt;DL249,DL249,$E248-SUM($G249:DK249)))</f>
        <v>0</v>
      </c>
      <c r="DM248" s="401">
        <f ca="1">IF(SUM($G248:DL248)&gt;=$E248,0,IF($E248-SUM($G248:DL248)&gt;DM249,DM249,$E248-SUM($G249:DL249)))</f>
        <v>0</v>
      </c>
      <c r="DN248" s="401">
        <f ca="1">IF(SUM($G248:DM248)&gt;=$E248,0,IF($E248-SUM($G248:DM248)&gt;DN249,DN249,$E248-SUM($G249:DM249)))</f>
        <v>0</v>
      </c>
      <c r="DO248" s="401">
        <f ca="1">IF(SUM($G248:DN248)&gt;=$E248,0,IF($E248-SUM($G248:DN248)&gt;DO249,DO249,$E248-SUM($G249:DN249)))</f>
        <v>0</v>
      </c>
      <c r="DP248" s="401">
        <f ca="1">IF(SUM($G248:DO248)&gt;=$E248,0,IF($E248-SUM($G248:DO248)&gt;DP249,DP249,$E248-SUM($G249:DO249)))</f>
        <v>0</v>
      </c>
      <c r="DQ248" s="401">
        <f ca="1">IF(SUM($G248:DP248)&gt;=$E248,0,IF($E248-SUM($G248:DP248)&gt;DQ249,DQ249,$E248-SUM($G249:DP249)))</f>
        <v>0</v>
      </c>
      <c r="DR248" s="401">
        <f ca="1">IF(SUM($G248:DQ248)&gt;=$E248,0,IF($E248-SUM($G248:DQ248)&gt;DR249,DR249,$E248-SUM($G249:DQ249)))</f>
        <v>0</v>
      </c>
      <c r="DS248" s="401">
        <f ca="1">IF(SUM($G248:DR248)&gt;=$E248,0,IF($E248-SUM($G248:DR248)&gt;DS249,DS249,$E248-SUM($G249:DR249)))</f>
        <v>0</v>
      </c>
      <c r="DT248" s="401">
        <f ca="1">IF(SUM($G248:DS248)&gt;=$E248,0,IF($E248-SUM($G248:DS248)&gt;DT249,DT249,$E248-SUM($G249:DS249)))</f>
        <v>0</v>
      </c>
      <c r="DU248" s="401">
        <f ca="1">IF(SUM($G248:DT248)&gt;=$E248,0,IF($E248-SUM($G248:DT248)&gt;DU249,DU249,$E248-SUM($G249:DT249)))</f>
        <v>0</v>
      </c>
      <c r="DV248" s="401">
        <f ca="1">IF(SUM($G248:DU248)&gt;=$E248,0,IF($E248-SUM($G248:DU248)&gt;DV249,DV249,$E248-SUM($G249:DU249)))</f>
        <v>0</v>
      </c>
      <c r="DW248" s="401">
        <f ca="1">IF(SUM($G248:DV248)&gt;=$E248,0,IF($E248-SUM($G248:DV248)&gt;DW249,DW249,$E248-SUM($G249:DV249)))</f>
        <v>0</v>
      </c>
      <c r="DX248" s="401">
        <f ca="1">IF(SUM($G248:DW248)&gt;=$E248,0,IF($E248-SUM($G248:DW248)&gt;DX249,DX249,$E248-SUM($G249:DW249)))</f>
        <v>0</v>
      </c>
      <c r="DY248" s="401">
        <f ca="1">IF(SUM($G248:DX248)&gt;=$E248,0,IF($E248-SUM($G248:DX248)&gt;DY249,DY249,$E248-SUM($G249:DX249)))</f>
        <v>0</v>
      </c>
      <c r="DZ248" s="401">
        <f ca="1">IF(SUM($G248:DY248)&gt;=$E248,0,IF($E248-SUM($G248:DY248)&gt;DZ249,DZ249,$E248-SUM($G249:DY249)))</f>
        <v>0</v>
      </c>
      <c r="EA248" s="401">
        <f ca="1">IF(SUM($G248:DZ248)&gt;=$E248,0,IF($E248-SUM($G248:DZ248)&gt;EA249,EA249,$E248-SUM($G249:DZ249)))</f>
        <v>0</v>
      </c>
      <c r="EB248" s="401">
        <f ca="1">IF(SUM($G248:EA248)&gt;=$E248,0,IF($E248-SUM($G248:EA248)&gt;EB249,EB249,$E248-SUM($G249:EA249)))</f>
        <v>0</v>
      </c>
      <c r="EC248" s="401">
        <f ca="1">IF(SUM($G248:EB248)&gt;=$E248,0,IF($E248-SUM($G248:EB248)&gt;EC249,EC249,$E248-SUM($G249:EB249)))</f>
        <v>0</v>
      </c>
      <c r="ED248" s="401">
        <f ca="1">IF(SUM($G248:EC248)&gt;=$E248,0,IF($E248-SUM($G248:EC248)&gt;ED249,ED249,$E248-SUM($G249:EC249)))</f>
        <v>0</v>
      </c>
      <c r="EE248" s="401">
        <f ca="1">IF(SUM($G248:ED248)&gt;=$E248,0,IF($E248-SUM($G248:ED248)&gt;EE249,EE249,$E248-SUM($G249:ED249)))</f>
        <v>0</v>
      </c>
      <c r="EF248" s="401">
        <f ca="1">IF(SUM($G248:EE248)&gt;=$E248,0,IF($E248-SUM($G248:EE248)&gt;EF249,EF249,$E248-SUM($G249:EE249)))</f>
        <v>0</v>
      </c>
      <c r="EG248" s="401">
        <f ca="1">IF(SUM($G248:EF248)&gt;=$E248,0,IF($E248-SUM($G248:EF248)&gt;EG249,EG249,$E248-SUM($G249:EF249)))</f>
        <v>0</v>
      </c>
      <c r="EH248" s="401">
        <f ca="1">IF(SUM($G248:EG248)&gt;=$E248,0,IF($E248-SUM($G248:EG248)&gt;EH249,EH249,$E248-SUM($G249:EG249)))</f>
        <v>0</v>
      </c>
      <c r="EI248" s="401">
        <f ca="1">IF(SUM($G248:EH248)&gt;=$E248,0,IF($E248-SUM($G248:EH248)&gt;EI249,EI249,$E248-SUM($G249:EH249)))</f>
        <v>0</v>
      </c>
      <c r="EK248" s="313"/>
      <c r="EV248" s="321"/>
    </row>
    <row r="249" spans="1:152" hidden="1" outlineLevel="2">
      <c r="A249" s="332"/>
      <c r="B249" s="313"/>
      <c r="C249" s="308"/>
      <c r="D249" s="308"/>
      <c r="E249" s="308"/>
      <c r="G249" s="402"/>
      <c r="H249" s="402">
        <f ca="1">IF((SUM($G239:H239)-$E238*0.7)&lt;0,0,IF((SUM($G239:H239)-$E238*0.7)&lt;H239,SUM($G239:H239)-$E238*0.7,H239))</f>
        <v>0</v>
      </c>
      <c r="I249" s="402">
        <f ca="1">IF((SUM($G239:I239)-$E238*0.7)&lt;0,0,IF((SUM($G239:I239)-$E238*0.7)&lt;I239,SUM($G239:I239)-$E238*0.7,I239))</f>
        <v>0</v>
      </c>
      <c r="J249" s="402">
        <f ca="1">IF((SUM($G239:J239)-$E238*0.7)&lt;0,0,IF((SUM($G239:J239)-$E238*0.7)&lt;J239,SUM($G239:J239)-$E238*0.7,J239))</f>
        <v>0</v>
      </c>
      <c r="K249" s="402">
        <f ca="1">IF((SUM($G239:K239)-$E238*0.7)&lt;0,0,IF((SUM($G239:K239)-$E238*0.7)&lt;K239,SUM($G239:K239)-$E238*0.7,K239))</f>
        <v>0</v>
      </c>
      <c r="L249" s="402">
        <f ca="1">IF((SUM($G239:L239)-$E238*0.7)&lt;0,0,IF((SUM($G239:L239)-$E238*0.7)&lt;L239,SUM($G239:L239)-$E238*0.7,L239))</f>
        <v>0</v>
      </c>
      <c r="M249" s="402">
        <f ca="1">IF((SUM($G239:M239)-$E238*0.7)&lt;0,0,IF((SUM($G239:M239)-$E238*0.7)&lt;M239,SUM($G239:M239)-$E238*0.7,M239))</f>
        <v>0</v>
      </c>
      <c r="N249" s="402">
        <f ca="1">IF((SUM($G239:N239)-$E238*0.7)&lt;0,0,IF((SUM($G239:N239)-$E238*0.7)&lt;N239,SUM($G239:N239)-$E238*0.7,N239))</f>
        <v>0</v>
      </c>
      <c r="O249" s="402">
        <f ca="1">IF((SUM($G239:O239)-$E238*0.7)&lt;0,0,IF((SUM($G239:O239)-$E238*0.7)&lt;O239,SUM($G239:O239)-$E238*0.7,O239))</f>
        <v>0</v>
      </c>
      <c r="P249" s="402">
        <f ca="1">IF((SUM($G239:P239)-$E238*0.7)&lt;0,0,IF((SUM($G239:P239)-$E238*0.7)&lt;P239,SUM($G239:P239)-$E238*0.7,P239))</f>
        <v>0</v>
      </c>
      <c r="Q249" s="402">
        <f ca="1">IF((SUM($G239:Q239)-$E238*0.7)&lt;0,0,IF((SUM($G239:Q239)-$E238*0.7)&lt;Q239,SUM($G239:Q239)-$E238*0.7,Q239))</f>
        <v>0</v>
      </c>
      <c r="R249" s="402">
        <f ca="1">IF((SUM($G239:R239)-$E238*0.7)&lt;0,0,IF((SUM($G239:R239)-$E238*0.7)&lt;R239,SUM($G239:R239)-$E238*0.7,R239))</f>
        <v>0</v>
      </c>
      <c r="S249" s="402">
        <f ca="1">IF((SUM($G239:S239)-$E238*0.7)&lt;0,0,IF((SUM($G239:S239)-$E238*0.7)&lt;S239,SUM($G239:S239)-$E238*0.7,S239))</f>
        <v>11.900000000000006</v>
      </c>
      <c r="T249" s="402">
        <f ca="1">IF((SUM($G239:T239)-$E238*0.7)&lt;0,0,IF((SUM($G239:T239)-$E238*0.7)&lt;T239,SUM($G239:T239)-$E238*0.7,T239))</f>
        <v>30</v>
      </c>
      <c r="U249" s="402">
        <f ca="1">IF((SUM($G239:U239)-$E238*0.7)&lt;0,0,IF((SUM($G239:U239)-$E238*0.7)&lt;U239,SUM($G239:U239)-$E238*0.7,U239))</f>
        <v>31</v>
      </c>
      <c r="V249" s="402">
        <f ca="1">IF((SUM($G239:V239)-$E238*0.7)&lt;0,0,IF((SUM($G239:V239)-$E238*0.7)&lt;V239,SUM($G239:V239)-$E238*0.7,V239))</f>
        <v>30</v>
      </c>
      <c r="W249" s="402">
        <f ca="1">IF((SUM($G239:W239)-$E238*0.7)&lt;0,0,IF((SUM($G239:W239)-$E238*0.7)&lt;W239,SUM($G239:W239)-$E238*0.7,W239))</f>
        <v>31</v>
      </c>
      <c r="X249" s="402">
        <f ca="1">IF((SUM($G239:X239)-$E238*0.7)&lt;0,0,IF((SUM($G239:X239)-$E238*0.7)&lt;X239,SUM($G239:X239)-$E238*0.7,X239))</f>
        <v>31</v>
      </c>
      <c r="Y249" s="402">
        <f ca="1">IF((SUM($G239:Y239)-$E238*0.7)&lt;0,0,IF((SUM($G239:Y239)-$E238*0.7)&lt;Y239,SUM($G239:Y239)-$E238*0.7,Y239))</f>
        <v>30</v>
      </c>
      <c r="Z249" s="402">
        <f ca="1">IF((SUM($G239:Z239)-$E238*0.7)&lt;0,0,IF((SUM($G239:Z239)-$E238*0.7)&lt;Z239,SUM($G239:Z239)-$E238*0.7,Z239))</f>
        <v>31</v>
      </c>
      <c r="AA249" s="402">
        <f ca="1">IF((SUM($G239:AA239)-$E238*0.7)&lt;0,0,IF((SUM($G239:AA239)-$E238*0.7)&lt;AA239,SUM($G239:AA239)-$E238*0.7,AA239))</f>
        <v>30</v>
      </c>
      <c r="AB249" s="402">
        <f ca="1">IF((SUM($G239:AB239)-$E238*0.7)&lt;0,0,IF((SUM($G239:AB239)-$E238*0.7)&lt;AB239,SUM($G239:AB239)-$E238*0.7,AB239))</f>
        <v>31</v>
      </c>
      <c r="AC249" s="402">
        <f ca="1">IF((SUM($G239:AC239)-$E238*0.7)&lt;0,0,IF((SUM($G239:AC239)-$E238*0.7)&lt;AC239,SUM($G239:AC239)-$E238*0.7,AC239))</f>
        <v>31</v>
      </c>
      <c r="AD249" s="402">
        <f ca="1">IF((SUM($G239:AD239)-$E238*0.7)&lt;0,0,IF((SUM($G239:AD239)-$E238*0.7)&lt;AD239,SUM($G239:AD239)-$E238*0.7,AD239))</f>
        <v>28</v>
      </c>
      <c r="AE249" s="402">
        <f ca="1">IF((SUM($G239:AE239)-$E238*0.7)&lt;0,0,IF((SUM($G239:AE239)-$E238*0.7)&lt;AE239,SUM($G239:AE239)-$E238*0.7,AE239))</f>
        <v>31</v>
      </c>
      <c r="AF249" s="402">
        <f ca="1">IF((SUM($G239:AF239)-$E238*0.7)&lt;0,0,IF((SUM($G239:AF239)-$E238*0.7)&lt;AF239,SUM($G239:AF239)-$E238*0.7,AF239))</f>
        <v>30</v>
      </c>
      <c r="AG249" s="402">
        <f ca="1">IF((SUM($G239:AG239)-$E238*0.7)&lt;0,0,IF((SUM($G239:AG239)-$E238*0.7)&lt;AG239,SUM($G239:AG239)-$E238*0.7,AG239))</f>
        <v>31</v>
      </c>
      <c r="AH249" s="402">
        <f ca="1">IF((SUM($G239:AH239)-$E238*0.7)&lt;0,0,IF((SUM($G239:AH239)-$E238*0.7)&lt;AH239,SUM($G239:AH239)-$E238*0.7,AH239))</f>
        <v>30</v>
      </c>
      <c r="AI249" s="402">
        <f ca="1">IF((SUM($G239:AI239)-$E238*0.7)&lt;0,0,IF((SUM($G239:AI239)-$E238*0.7)&lt;AI239,SUM($G239:AI239)-$E238*0.7,AI239))</f>
        <v>31</v>
      </c>
      <c r="AJ249" s="402">
        <f ca="1">IF((SUM($G239:AJ239)-$E238*0.7)&lt;0,0,IF((SUM($G239:AJ239)-$E238*0.7)&lt;AJ239,SUM($G239:AJ239)-$E238*0.7,AJ239))</f>
        <v>31</v>
      </c>
      <c r="AK249" s="402">
        <f ca="1">IF((SUM($G239:AK239)-$E238*0.7)&lt;0,0,IF((SUM($G239:AK239)-$E238*0.7)&lt;AK239,SUM($G239:AK239)-$E238*0.7,AK239))</f>
        <v>30</v>
      </c>
      <c r="AL249" s="402">
        <f ca="1">IF((SUM($G239:AL239)-$E238*0.7)&lt;0,0,IF((SUM($G239:AL239)-$E238*0.7)&lt;AL239,SUM($G239:AL239)-$E238*0.7,AL239))</f>
        <v>31</v>
      </c>
      <c r="AM249" s="402">
        <f ca="1">IF((SUM($G239:AM239)-$E238*0.7)&lt;0,0,IF((SUM($G239:AM239)-$E238*0.7)&lt;AM239,SUM($G239:AM239)-$E238*0.7,AM239))</f>
        <v>30</v>
      </c>
      <c r="AN249" s="402">
        <f ca="1">IF((SUM($G239:AN239)-$E238*0.7)&lt;0,0,IF((SUM($G239:AN239)-$E238*0.7)&lt;AN239,SUM($G239:AN239)-$E238*0.7,AN239))</f>
        <v>31</v>
      </c>
      <c r="AO249" s="402">
        <f ca="1">IF((SUM($G239:AO239)-$E238*0.7)&lt;0,0,IF((SUM($G239:AO239)-$E238*0.7)&lt;AO239,SUM($G239:AO239)-$E238*0.7,AO239))</f>
        <v>31</v>
      </c>
      <c r="AP249" s="402">
        <f ca="1">IF((SUM($G239:AP239)-$E238*0.7)&lt;0,0,IF((SUM($G239:AP239)-$E238*0.7)&lt;AP239,SUM($G239:AP239)-$E238*0.7,AP239))</f>
        <v>28</v>
      </c>
      <c r="AQ249" s="402">
        <f ca="1">IF((SUM($G239:AQ239)-$E238*0.7)&lt;0,0,IF((SUM($G239:AQ239)-$E238*0.7)&lt;AQ239,SUM($G239:AQ239)-$E238*0.7,AQ239))</f>
        <v>31</v>
      </c>
      <c r="AR249" s="402">
        <f ca="1">IF((SUM($G239:AR239)-$E238*0.7)&lt;0,0,IF((SUM($G239:AR239)-$E238*0.7)&lt;AR239,SUM($G239:AR239)-$E238*0.7,AR239))</f>
        <v>30</v>
      </c>
      <c r="AS249" s="402">
        <f ca="1">IF((SUM($G239:AS239)-$E238*0.7)&lt;0,0,IF((SUM($G239:AS239)-$E238*0.7)&lt;AS239,SUM($G239:AS239)-$E238*0.7,AS239))</f>
        <v>31</v>
      </c>
      <c r="AT249" s="402">
        <f ca="1">IF((SUM($G239:AT239)-$E238*0.7)&lt;0,0,IF((SUM($G239:AT239)-$E238*0.7)&lt;AT239,SUM($G239:AT239)-$E238*0.7,AT239))</f>
        <v>30</v>
      </c>
      <c r="AU249" s="402">
        <f ca="1">IF((SUM($G239:AU239)-$E238*0.7)&lt;0,0,IF((SUM($G239:AU239)-$E238*0.7)&lt;AU239,SUM($G239:AU239)-$E238*0.7,AU239))</f>
        <v>31</v>
      </c>
      <c r="AV249" s="402">
        <f ca="1">IF((SUM($G239:AV239)-$E238*0.7)&lt;0,0,IF((SUM($G239:AV239)-$E238*0.7)&lt;AV239,SUM($G239:AV239)-$E238*0.7,AV239))</f>
        <v>31</v>
      </c>
      <c r="AW249" s="402">
        <f ca="1">IF((SUM($G239:AW239)-$E238*0.7)&lt;0,0,IF((SUM($G239:AW239)-$E238*0.7)&lt;AW239,SUM($G239:AW239)-$E238*0.7,AW239))</f>
        <v>30</v>
      </c>
      <c r="AX249" s="402">
        <f ca="1">IF((SUM($G239:AX239)-$E238*0.7)&lt;0,0,IF((SUM($G239:AX239)-$E238*0.7)&lt;AX239,SUM($G239:AX239)-$E238*0.7,AX239))</f>
        <v>31</v>
      </c>
      <c r="AY249" s="402">
        <f ca="1">IF((SUM($G239:AY239)-$E238*0.7)&lt;0,0,IF((SUM($G239:AY239)-$E238*0.7)&lt;AY239,SUM($G239:AY239)-$E238*0.7,AY239))</f>
        <v>30</v>
      </c>
      <c r="AZ249" s="402">
        <f ca="1">IF((SUM($G239:AZ239)-$E238*0.7)&lt;0,0,IF((SUM($G239:AZ239)-$E238*0.7)&lt;AZ239,SUM($G239:AZ239)-$E238*0.7,AZ239))</f>
        <v>31</v>
      </c>
      <c r="BA249" s="402">
        <f ca="1">IF((SUM($G239:BA239)-$E238*0.7)&lt;0,0,IF((SUM($G239:BA239)-$E238*0.7)&lt;BA239,SUM($G239:BA239)-$E238*0.7,BA239))</f>
        <v>31</v>
      </c>
      <c r="BB249" s="402">
        <f ca="1">IF((SUM($G239:BB239)-$E238*0.7)&lt;0,0,IF((SUM($G239:BB239)-$E238*0.7)&lt;BB239,SUM($G239:BB239)-$E238*0.7,BB239))</f>
        <v>28</v>
      </c>
      <c r="BC249" s="402">
        <f ca="1">IF((SUM($G239:BC239)-$E238*0.7)&lt;0,0,IF((SUM($G239:BC239)-$E238*0.7)&lt;BC239,SUM($G239:BC239)-$E238*0.7,BC239))</f>
        <v>31</v>
      </c>
      <c r="BD249" s="402">
        <f ca="1">IF((SUM($G239:BD239)-$E238*0.7)&lt;0,0,IF((SUM($G239:BD239)-$E238*0.7)&lt;BD239,SUM($G239:BD239)-$E238*0.7,BD239))</f>
        <v>30</v>
      </c>
      <c r="BE249" s="402">
        <f ca="1">IF((SUM($G239:BE239)-$E238*0.7)&lt;0,0,IF((SUM($G239:BE239)-$E238*0.7)&lt;BE239,SUM($G239:BE239)-$E238*0.7,BE239))</f>
        <v>31</v>
      </c>
      <c r="BF249" s="402">
        <f ca="1">IF((SUM($G239:BF239)-$E238*0.7)&lt;0,0,IF((SUM($G239:BF239)-$E238*0.7)&lt;BF239,SUM($G239:BF239)-$E238*0.7,BF239))</f>
        <v>30</v>
      </c>
      <c r="BG249" s="402">
        <f ca="1">IF((SUM($G239:BG239)-$E238*0.7)&lt;0,0,IF((SUM($G239:BG239)-$E238*0.7)&lt;BG239,SUM($G239:BG239)-$E238*0.7,BG239))</f>
        <v>31</v>
      </c>
      <c r="BH249" s="402">
        <f ca="1">IF((SUM($G239:BH239)-$E238*0.7)&lt;0,0,IF((SUM($G239:BH239)-$E238*0.7)&lt;BH239,SUM($G239:BH239)-$E238*0.7,BH239))</f>
        <v>31</v>
      </c>
      <c r="BI249" s="402">
        <f ca="1">IF((SUM($G239:BI239)-$E238*0.7)&lt;0,0,IF((SUM($G239:BI239)-$E238*0.7)&lt;BI239,SUM($G239:BI239)-$E238*0.7,BI239))</f>
        <v>30</v>
      </c>
      <c r="BJ249" s="402">
        <f ca="1">IF((SUM($G239:BJ239)-$E238*0.7)&lt;0,0,IF((SUM($G239:BJ239)-$E238*0.7)&lt;BJ239,SUM($G239:BJ239)-$E238*0.7,BJ239))</f>
        <v>31</v>
      </c>
      <c r="BK249" s="402">
        <f ca="1">IF((SUM($G239:BK239)-$E238*0.7)&lt;0,0,IF((SUM($G239:BK239)-$E238*0.7)&lt;BK239,SUM($G239:BK239)-$E238*0.7,BK239))</f>
        <v>30</v>
      </c>
      <c r="BL249" s="402">
        <f ca="1">IF((SUM($G239:BL239)-$E238*0.7)&lt;0,0,IF((SUM($G239:BL239)-$E238*0.7)&lt;BL239,SUM($G239:BL239)-$E238*0.7,BL239))</f>
        <v>31</v>
      </c>
      <c r="BM249" s="402">
        <f ca="1">IF((SUM($G239:BM239)-$E238*0.7)&lt;0,0,IF((SUM($G239:BM239)-$E238*0.7)&lt;BM239,SUM($G239:BM239)-$E238*0.7,BM239))</f>
        <v>31</v>
      </c>
      <c r="BN249" s="402">
        <f ca="1">IF((SUM($G239:BN239)-$E238*0.7)&lt;0,0,IF((SUM($G239:BN239)-$E238*0.7)&lt;BN239,SUM($G239:BN239)-$E238*0.7,BN239))</f>
        <v>29</v>
      </c>
      <c r="BO249" s="402">
        <f ca="1">IF((SUM($G239:BO239)-$E238*0.7)&lt;0,0,IF((SUM($G239:BO239)-$E238*0.7)&lt;BO239,SUM($G239:BO239)-$E238*0.7,BO239))</f>
        <v>31</v>
      </c>
      <c r="BP249" s="402">
        <f ca="1">IF((SUM($G239:BP239)-$E238*0.7)&lt;0,0,IF((SUM($G239:BP239)-$E238*0.7)&lt;BP239,SUM($G239:BP239)-$E238*0.7,BP239))</f>
        <v>30</v>
      </c>
      <c r="BQ249" s="402">
        <f ca="1">IF((SUM($G239:BQ239)-$E238*0.7)&lt;0,0,IF((SUM($G239:BQ239)-$E238*0.7)&lt;BQ239,SUM($G239:BQ239)-$E238*0.7,BQ239))</f>
        <v>31</v>
      </c>
      <c r="BR249" s="402">
        <f ca="1">IF((SUM($G239:BR239)-$E238*0.7)&lt;0,0,IF((SUM($G239:BR239)-$E238*0.7)&lt;BR239,SUM($G239:BR239)-$E238*0.7,BR239))</f>
        <v>30</v>
      </c>
      <c r="BS249" s="402">
        <f ca="1">IF((SUM($G239:BS239)-$E238*0.7)&lt;0,0,IF((SUM($G239:BS239)-$E238*0.7)&lt;BS239,SUM($G239:BS239)-$E238*0.7,BS239))</f>
        <v>31</v>
      </c>
      <c r="BT249" s="402">
        <f ca="1">IF((SUM($G239:BT239)-$E238*0.7)&lt;0,0,IF((SUM($G239:BT239)-$E238*0.7)&lt;BT239,SUM($G239:BT239)-$E238*0.7,BT239))</f>
        <v>31</v>
      </c>
      <c r="BU249" s="402">
        <f ca="1">IF((SUM($G239:BU239)-$E238*0.7)&lt;0,0,IF((SUM($G239:BU239)-$E238*0.7)&lt;BU239,SUM($G239:BU239)-$E238*0.7,BU239))</f>
        <v>30</v>
      </c>
      <c r="BV249" s="402">
        <f ca="1">IF((SUM($G239:BV239)-$E238*0.7)&lt;0,0,IF((SUM($G239:BV239)-$E238*0.7)&lt;BV239,SUM($G239:BV239)-$E238*0.7,BV239))</f>
        <v>31</v>
      </c>
      <c r="BW249" s="402">
        <f ca="1">IF((SUM($G239:BW239)-$E238*0.7)&lt;0,0,IF((SUM($G239:BW239)-$E238*0.7)&lt;BW239,SUM($G239:BW239)-$E238*0.7,BW239))</f>
        <v>30</v>
      </c>
      <c r="BX249" s="402">
        <f ca="1">IF((SUM($G239:BX239)-$E238*0.7)&lt;0,0,IF((SUM($G239:BX239)-$E238*0.7)&lt;BX239,SUM($G239:BX239)-$E238*0.7,BX239))</f>
        <v>31</v>
      </c>
      <c r="BY249" s="402">
        <f ca="1">IF((SUM($G239:BY239)-$E238*0.7)&lt;0,0,IF((SUM($G239:BY239)-$E238*0.7)&lt;BY239,SUM($G239:BY239)-$E238*0.7,BY239))</f>
        <v>31</v>
      </c>
      <c r="BZ249" s="402">
        <f ca="1">IF((SUM($G239:BZ239)-$E238*0.7)&lt;0,0,IF((SUM($G239:BZ239)-$E238*0.7)&lt;BZ239,SUM($G239:BZ239)-$E238*0.7,BZ239))</f>
        <v>28</v>
      </c>
      <c r="CA249" s="402">
        <f ca="1">IF((SUM($G239:CA239)-$E238*0.7)&lt;0,0,IF((SUM($G239:CA239)-$E238*0.7)&lt;CA239,SUM($G239:CA239)-$E238*0.7,CA239))</f>
        <v>31</v>
      </c>
      <c r="CB249" s="402">
        <f ca="1">IF((SUM($G239:CB239)-$E238*0.7)&lt;0,0,IF((SUM($G239:CB239)-$E238*0.7)&lt;CB239,SUM($G239:CB239)-$E238*0.7,CB239))</f>
        <v>30</v>
      </c>
      <c r="CC249" s="402">
        <f ca="1">IF((SUM($G239:CC239)-$E238*0.7)&lt;0,0,IF((SUM($G239:CC239)-$E238*0.7)&lt;CC239,SUM($G239:CC239)-$E238*0.7,CC239))</f>
        <v>31</v>
      </c>
      <c r="CD249" s="402">
        <f ca="1">IF((SUM($G239:CD239)-$E238*0.7)&lt;0,0,IF((SUM($G239:CD239)-$E238*0.7)&lt;CD239,SUM($G239:CD239)-$E238*0.7,CD239))</f>
        <v>30</v>
      </c>
      <c r="CE249" s="402">
        <f ca="1">IF((SUM($G239:CE239)-$E238*0.7)&lt;0,0,IF((SUM($G239:CE239)-$E238*0.7)&lt;CE239,SUM($G239:CE239)-$E238*0.7,CE239))</f>
        <v>31</v>
      </c>
      <c r="CF249" s="402">
        <f ca="1">IF((SUM($G239:CF239)-$E238*0.7)&lt;0,0,IF((SUM($G239:CF239)-$E238*0.7)&lt;CF239,SUM($G239:CF239)-$E238*0.7,CF239))</f>
        <v>31</v>
      </c>
      <c r="CG249" s="402">
        <f ca="1">IF((SUM($G239:CG239)-$E238*0.7)&lt;0,0,IF((SUM($G239:CG239)-$E238*0.7)&lt;CG239,SUM($G239:CG239)-$E238*0.7,CG239))</f>
        <v>30</v>
      </c>
      <c r="CH249" s="402">
        <f ca="1">IF((SUM($G239:CH239)-$E238*0.7)&lt;0,0,IF((SUM($G239:CH239)-$E238*0.7)&lt;CH239,SUM($G239:CH239)-$E238*0.7,CH239))</f>
        <v>31</v>
      </c>
      <c r="CI249" s="402">
        <f ca="1">IF((SUM($G239:CI239)-$E238*0.7)&lt;0,0,IF((SUM($G239:CI239)-$E238*0.7)&lt;CI239,SUM($G239:CI239)-$E238*0.7,CI239))</f>
        <v>30</v>
      </c>
      <c r="CJ249" s="402">
        <f ca="1">IF((SUM($G239:CJ239)-$E238*0.7)&lt;0,0,IF((SUM($G239:CJ239)-$E238*0.7)&lt;CJ239,SUM($G239:CJ239)-$E238*0.7,CJ239))</f>
        <v>31</v>
      </c>
      <c r="CK249" s="402">
        <f ca="1">IF((SUM($G239:CK239)-$E238*0.7)&lt;0,0,IF((SUM($G239:CK239)-$E238*0.7)&lt;CK239,SUM($G239:CK239)-$E238*0.7,CK239))</f>
        <v>31</v>
      </c>
      <c r="CL249" s="402">
        <f ca="1">IF((SUM($G239:CL239)-$E238*0.7)&lt;0,0,IF((SUM($G239:CL239)-$E238*0.7)&lt;CL239,SUM($G239:CL239)-$E238*0.7,CL239))</f>
        <v>28</v>
      </c>
      <c r="CM249" s="402">
        <f ca="1">IF((SUM($G239:CM239)-$E238*0.7)&lt;0,0,IF((SUM($G239:CM239)-$E238*0.7)&lt;CM239,SUM($G239:CM239)-$E238*0.7,CM239))</f>
        <v>31</v>
      </c>
      <c r="CN249" s="402">
        <f ca="1">IF((SUM($G239:CN239)-$E238*0.7)&lt;0,0,IF((SUM($G239:CN239)-$E238*0.7)&lt;CN239,SUM($G239:CN239)-$E238*0.7,CN239))</f>
        <v>30</v>
      </c>
      <c r="CO249" s="402">
        <f ca="1">IF((SUM($G239:CO239)-$E238*0.7)&lt;0,0,IF((SUM($G239:CO239)-$E238*0.7)&lt;CO239,SUM($G239:CO239)-$E238*0.7,CO239))</f>
        <v>31</v>
      </c>
      <c r="CP249" s="402">
        <f ca="1">IF((SUM($G239:CP239)-$E238*0.7)&lt;0,0,IF((SUM($G239:CP239)-$E238*0.7)&lt;CP239,SUM($G239:CP239)-$E238*0.7,CP239))</f>
        <v>30</v>
      </c>
      <c r="CQ249" s="402">
        <f ca="1">IF((SUM($G239:CQ239)-$E238*0.7)&lt;0,0,IF((SUM($G239:CQ239)-$E238*0.7)&lt;CQ239,SUM($G239:CQ239)-$E238*0.7,CQ239))</f>
        <v>31</v>
      </c>
      <c r="CR249" s="402">
        <f ca="1">IF((SUM($G239:CR239)-$E238*0.7)&lt;0,0,IF((SUM($G239:CR239)-$E238*0.7)&lt;CR239,SUM($G239:CR239)-$E238*0.7,CR239))</f>
        <v>31</v>
      </c>
      <c r="CS249" s="402">
        <f ca="1">IF((SUM($G239:CS239)-$E238*0.7)&lt;0,0,IF((SUM($G239:CS239)-$E238*0.7)&lt;CS239,SUM($G239:CS239)-$E238*0.7,CS239))</f>
        <v>30</v>
      </c>
      <c r="CT249" s="402">
        <f ca="1">IF((SUM($G239:CT239)-$E238*0.7)&lt;0,0,IF((SUM($G239:CT239)-$E238*0.7)&lt;CT239,SUM($G239:CT239)-$E238*0.7,CT239))</f>
        <v>31</v>
      </c>
      <c r="CU249" s="402">
        <f ca="1">IF((SUM($G239:CU239)-$E238*0.7)&lt;0,0,IF((SUM($G239:CU239)-$E238*0.7)&lt;CU239,SUM($G239:CU239)-$E238*0.7,CU239))</f>
        <v>30</v>
      </c>
      <c r="CV249" s="402">
        <f ca="1">IF((SUM($G239:CV239)-$E238*0.7)&lt;0,0,IF((SUM($G239:CV239)-$E238*0.7)&lt;CV239,SUM($G239:CV239)-$E238*0.7,CV239))</f>
        <v>31</v>
      </c>
      <c r="CW249" s="402">
        <f ca="1">IF((SUM($G239:CW239)-$E238*0.7)&lt;0,0,IF((SUM($G239:CW239)-$E238*0.7)&lt;CW239,SUM($G239:CW239)-$E238*0.7,CW239))</f>
        <v>31</v>
      </c>
      <c r="CX249" s="402">
        <f ca="1">IF((SUM($G239:CX239)-$E238*0.7)&lt;0,0,IF((SUM($G239:CX239)-$E238*0.7)&lt;CX239,SUM($G239:CX239)-$E238*0.7,CX239))</f>
        <v>28</v>
      </c>
      <c r="CY249" s="402">
        <f ca="1">IF((SUM($G239:CY239)-$E238*0.7)&lt;0,0,IF((SUM($G239:CY239)-$E238*0.7)&lt;CY239,SUM($G239:CY239)-$E238*0.7,CY239))</f>
        <v>31</v>
      </c>
      <c r="CZ249" s="402">
        <f ca="1">IF((SUM($G239:CZ239)-$E238*0.7)&lt;0,0,IF((SUM($G239:CZ239)-$E238*0.7)&lt;CZ239,SUM($G239:CZ239)-$E238*0.7,CZ239))</f>
        <v>30</v>
      </c>
      <c r="DA249" s="402">
        <f ca="1">IF((SUM($G239:DA239)-$E238*0.7)&lt;0,0,IF((SUM($G239:DA239)-$E238*0.7)&lt;DA239,SUM($G239:DA239)-$E238*0.7,DA239))</f>
        <v>31</v>
      </c>
      <c r="DB249" s="402">
        <f ca="1">IF((SUM($G239:DB239)-$E238*0.7)&lt;0,0,IF((SUM($G239:DB239)-$E238*0.7)&lt;DB239,SUM($G239:DB239)-$E238*0.7,DB239))</f>
        <v>30</v>
      </c>
      <c r="DC249" s="402">
        <f ca="1">IF((SUM($G239:DC239)-$E238*0.7)&lt;0,0,IF((SUM($G239:DC239)-$E238*0.7)&lt;DC239,SUM($G239:DC239)-$E238*0.7,DC239))</f>
        <v>31</v>
      </c>
      <c r="DD249" s="402">
        <f ca="1">IF((SUM($G239:DD239)-$E238*0.7)&lt;0,0,IF((SUM($G239:DD239)-$E238*0.7)&lt;DD239,SUM($G239:DD239)-$E238*0.7,DD239))</f>
        <v>31</v>
      </c>
      <c r="DE249" s="402">
        <f ca="1">IF((SUM($G239:DE239)-$E238*0.7)&lt;0,0,IF((SUM($G239:DE239)-$E238*0.7)&lt;DE239,SUM($G239:DE239)-$E238*0.7,DE239))</f>
        <v>30</v>
      </c>
      <c r="DF249" s="402">
        <f ca="1">IF((SUM($G239:DF239)-$E238*0.7)&lt;0,0,IF((SUM($G239:DF239)-$E238*0.7)&lt;DF239,SUM($G239:DF239)-$E238*0.7,DF239))</f>
        <v>31</v>
      </c>
      <c r="DG249" s="402">
        <f ca="1">IF((SUM($G239:DG239)-$E238*0.7)&lt;0,0,IF((SUM($G239:DG239)-$E238*0.7)&lt;DG239,SUM($G239:DG239)-$E238*0.7,DG239))</f>
        <v>30</v>
      </c>
      <c r="DH249" s="402">
        <f ca="1">IF((SUM($G239:DH239)-$E238*0.7)&lt;0,0,IF((SUM($G239:DH239)-$E238*0.7)&lt;DH239,SUM($G239:DH239)-$E238*0.7,DH239))</f>
        <v>31</v>
      </c>
      <c r="DI249" s="402">
        <f ca="1">IF((SUM($G239:DI239)-$E238*0.7)&lt;0,0,IF((SUM($G239:DI239)-$E238*0.7)&lt;DI239,SUM($G239:DI239)-$E238*0.7,DI239))</f>
        <v>31</v>
      </c>
      <c r="DJ249" s="402">
        <f ca="1">IF((SUM($G239:DJ239)-$E238*0.7)&lt;0,0,IF((SUM($G239:DJ239)-$E238*0.7)&lt;DJ239,SUM($G239:DJ239)-$E238*0.7,DJ239))</f>
        <v>29</v>
      </c>
      <c r="DK249" s="402">
        <f ca="1">IF((SUM($G239:DK239)-$E238*0.7)&lt;0,0,IF((SUM($G239:DK239)-$E238*0.7)&lt;DK239,SUM($G239:DK239)-$E238*0.7,DK239))</f>
        <v>31</v>
      </c>
      <c r="DL249" s="402">
        <f ca="1">IF((SUM($G239:DL239)-$E238*0.7)&lt;0,0,IF((SUM($G239:DL239)-$E238*0.7)&lt;DL239,SUM($G239:DL239)-$E238*0.7,DL239))</f>
        <v>30</v>
      </c>
      <c r="DM249" s="402">
        <f ca="1">IF((SUM($G239:DM239)-$E238*0.7)&lt;0,0,IF((SUM($G239:DM239)-$E238*0.7)&lt;DM239,SUM($G239:DM239)-$E238*0.7,DM239))</f>
        <v>31</v>
      </c>
      <c r="DN249" s="402">
        <f ca="1">IF((SUM($G239:DN239)-$E238*0.7)&lt;0,0,IF((SUM($G239:DN239)-$E238*0.7)&lt;DN239,SUM($G239:DN239)-$E238*0.7,DN239))</f>
        <v>30</v>
      </c>
      <c r="DO249" s="402">
        <f ca="1">IF((SUM($G239:DO239)-$E238*0.7)&lt;0,0,IF((SUM($G239:DO239)-$E238*0.7)&lt;DO239,SUM($G239:DO239)-$E238*0.7,DO239))</f>
        <v>31</v>
      </c>
      <c r="DP249" s="402">
        <f ca="1">IF((SUM($G239:DP239)-$E238*0.7)&lt;0,0,IF((SUM($G239:DP239)-$E238*0.7)&lt;DP239,SUM($G239:DP239)-$E238*0.7,DP239))</f>
        <v>31</v>
      </c>
      <c r="DQ249" s="402">
        <f ca="1">IF((SUM($G239:DQ239)-$E238*0.7)&lt;0,0,IF((SUM($G239:DQ239)-$E238*0.7)&lt;DQ239,SUM($G239:DQ239)-$E238*0.7,DQ239))</f>
        <v>30</v>
      </c>
      <c r="DR249" s="402">
        <f ca="1">IF((SUM($G239:DR239)-$E238*0.7)&lt;0,0,IF((SUM($G239:DR239)-$E238*0.7)&lt;DR239,SUM($G239:DR239)-$E238*0.7,DR239))</f>
        <v>31</v>
      </c>
      <c r="DS249" s="402">
        <f ca="1">IF((SUM($G239:DS239)-$E238*0.7)&lt;0,0,IF((SUM($G239:DS239)-$E238*0.7)&lt;DS239,SUM($G239:DS239)-$E238*0.7,DS239))</f>
        <v>30</v>
      </c>
      <c r="DT249" s="402">
        <f ca="1">IF((SUM($G239:DT239)-$E238*0.7)&lt;0,0,IF((SUM($G239:DT239)-$E238*0.7)&lt;DT239,SUM($G239:DT239)-$E238*0.7,DT239))</f>
        <v>31</v>
      </c>
      <c r="DU249" s="402">
        <f ca="1">IF((SUM($G239:DU239)-$E238*0.7)&lt;0,0,IF((SUM($G239:DU239)-$E238*0.7)&lt;DU239,SUM($G239:DU239)-$E238*0.7,DU239))</f>
        <v>31</v>
      </c>
      <c r="DV249" s="402">
        <f ca="1">IF((SUM($G239:DV239)-$E238*0.7)&lt;0,0,IF((SUM($G239:DV239)-$E238*0.7)&lt;DV239,SUM($G239:DV239)-$E238*0.7,DV239))</f>
        <v>28</v>
      </c>
      <c r="DW249" s="402">
        <f ca="1">IF((SUM($G239:DW239)-$E238*0.7)&lt;0,0,IF((SUM($G239:DW239)-$E238*0.7)&lt;DW239,SUM($G239:DW239)-$E238*0.7,DW239))</f>
        <v>31</v>
      </c>
      <c r="DX249" s="402">
        <f ca="1">IF((SUM($G239:DX239)-$E238*0.7)&lt;0,0,IF((SUM($G239:DX239)-$E238*0.7)&lt;DX239,SUM($G239:DX239)-$E238*0.7,DX239))</f>
        <v>30</v>
      </c>
      <c r="DY249" s="402">
        <f ca="1">IF((SUM($G239:DY239)-$E238*0.7)&lt;0,0,IF((SUM($G239:DY239)-$E238*0.7)&lt;DY239,SUM($G239:DY239)-$E238*0.7,DY239))</f>
        <v>31</v>
      </c>
      <c r="DZ249" s="402">
        <f ca="1">IF((SUM($G239:DZ239)-$E238*0.7)&lt;0,0,IF((SUM($G239:DZ239)-$E238*0.7)&lt;DZ239,SUM($G239:DZ239)-$E238*0.7,DZ239))</f>
        <v>30</v>
      </c>
      <c r="EA249" s="402">
        <f ca="1">IF((SUM($G239:EA239)-$E238*0.7)&lt;0,0,IF((SUM($G239:EA239)-$E238*0.7)&lt;EA239,SUM($G239:EA239)-$E238*0.7,EA239))</f>
        <v>31</v>
      </c>
      <c r="EB249" s="402">
        <f ca="1">IF((SUM($G239:EB239)-$E238*0.7)&lt;0,0,IF((SUM($G239:EB239)-$E238*0.7)&lt;EB239,SUM($G239:EB239)-$E238*0.7,EB239))</f>
        <v>31</v>
      </c>
      <c r="EC249" s="402">
        <f ca="1">IF((SUM($G239:EC239)-$E238*0.7)&lt;0,0,IF((SUM($G239:EC239)-$E238*0.7)&lt;EC239,SUM($G239:EC239)-$E238*0.7,EC239))</f>
        <v>30</v>
      </c>
      <c r="ED249" s="402">
        <f ca="1">IF((SUM($G239:ED239)-$E238*0.7)&lt;0,0,IF((SUM($G239:ED239)-$E238*0.7)&lt;ED239,SUM($G239:ED239)-$E238*0.7,ED239))</f>
        <v>31</v>
      </c>
      <c r="EE249" s="402">
        <f ca="1">IF((SUM($G239:EE239)-$E238*0.7)&lt;0,0,IF((SUM($G239:EE239)-$E238*0.7)&lt;EE239,SUM($G239:EE239)-$E238*0.7,EE239))</f>
        <v>30</v>
      </c>
      <c r="EF249" s="402">
        <f ca="1">IF((SUM($G239:EF239)-$E238*0.7)&lt;0,0,IF((SUM($G239:EF239)-$E238*0.7)&lt;EF239,SUM($G239:EF239)-$E238*0.7,EF239))</f>
        <v>31</v>
      </c>
      <c r="EG249" s="402">
        <f ca="1">IF((SUM($G239:EG239)-$E238*0.7)&lt;0,0,IF((SUM($G239:EG239)-$E238*0.7)&lt;EG239,SUM($G239:EG239)-$E238*0.7,EG239))</f>
        <v>31</v>
      </c>
      <c r="EH249" s="402">
        <f ca="1">IF((SUM($G239:EH239)-$E238*0.7)&lt;0,0,IF((SUM($G239:EH239)-$E238*0.7)&lt;EH239,SUM($G239:EH239)-$E238*0.7,EH239))</f>
        <v>28</v>
      </c>
      <c r="EI249" s="402">
        <f ca="1">IF((SUM($G239:EI239)-$E238*0.7)&lt;0,0,IF((SUM($G239:EI239)-$E238*0.7)&lt;EI239,SUM($G239:EI239)-$E238*0.7,EI239))</f>
        <v>31</v>
      </c>
      <c r="EV249" s="321"/>
    </row>
    <row r="250" spans="1:152" hidden="1" outlineLevel="2">
      <c r="A250" s="332"/>
      <c r="B250" s="313"/>
      <c r="D250" s="305" t="s">
        <v>670</v>
      </c>
      <c r="E250" s="403">
        <f ca="1">MIN(G250:EI250)</f>
        <v>45352</v>
      </c>
      <c r="F250" s="404">
        <f ca="1">MAX(G250:EI250)</f>
        <v>45352</v>
      </c>
      <c r="G250" s="403" t="str">
        <f ca="1">IF(G248=0,"",IF(SUM($G248:G248)&gt;=1,OFFSET(G$228,-1,0),""))</f>
        <v/>
      </c>
      <c r="H250" s="403" t="str">
        <f ca="1">IF(SUM($G250:G250)&gt;=1,"",IF(H248=0,"",IF(SUM($G248:H248)&gt;=1,OFFSET(H$228,-1,0),"")))</f>
        <v/>
      </c>
      <c r="I250" s="403" t="str">
        <f ca="1">IF(SUM($G250:H250)&gt;=1,"",IF(I248=0,"",IF(SUM($G248:I248)&gt;=1,OFFSET(I$228,-1,0),"")))</f>
        <v/>
      </c>
      <c r="J250" s="403" t="str">
        <f ca="1">IF(SUM($G250:I250)&gt;=1,"",IF(J248=0,"",IF(SUM($G248:J248)&gt;=1,OFFSET(J$228,-1,0),"")))</f>
        <v/>
      </c>
      <c r="K250" s="403" t="str">
        <f ca="1">IF(SUM($G250:J250)&gt;=1,"",IF(K248=0,"",IF(SUM($G248:K248)&gt;=1,OFFSET(K$228,-1,0),"")))</f>
        <v/>
      </c>
      <c r="L250" s="403" t="str">
        <f ca="1">IF(SUM($G250:K250)&gt;=1,"",IF(L248=0,"",IF(SUM($G248:L248)&gt;=1,OFFSET(L$228,-1,0),"")))</f>
        <v/>
      </c>
      <c r="M250" s="403" t="str">
        <f ca="1">IF(SUM($G250:L250)&gt;=1,"",IF(M248=0,"",IF(SUM($G248:M248)&gt;=1,OFFSET(M$228,-1,0),"")))</f>
        <v/>
      </c>
      <c r="N250" s="403" t="str">
        <f ca="1">IF(SUM($G250:M250)&gt;=1,"",IF(N248=0,"",IF(SUM($G248:N248)&gt;=1,OFFSET(N$228,-1,0),"")))</f>
        <v/>
      </c>
      <c r="O250" s="403" t="str">
        <f ca="1">IF(SUM($G250:N250)&gt;=1,"",IF(O248=0,"",IF(SUM($G248:O248)&gt;=1,OFFSET(O$228,-1,0),"")))</f>
        <v/>
      </c>
      <c r="P250" s="403" t="str">
        <f ca="1">IF(SUM($G250:O250)&gt;=1,"",IF(P248=0,"",IF(SUM($G248:P248)&gt;=1,OFFSET(P$228,-1,0),"")))</f>
        <v/>
      </c>
      <c r="Q250" s="403" t="str">
        <f ca="1">IF(SUM($G250:P250)&gt;=1,"",IF(Q248=0,"",IF(SUM($G248:Q248)&gt;=1,OFFSET(Q$228,-1,0),"")))</f>
        <v/>
      </c>
      <c r="R250" s="403" t="str">
        <f ca="1">IF(SUM($G250:Q250)&gt;=1,"",IF(R248=0,"",IF(SUM($G248:R248)&gt;=1,OFFSET(R$228,-1,0),"")))</f>
        <v/>
      </c>
      <c r="S250" s="403">
        <f ca="1">IF(SUM($G250:R250)&gt;=1,"",IF(S248=0,"",IF(SUM($G248:S248)&gt;=1,OFFSET(S$228,-1,0),"")))</f>
        <v>45352</v>
      </c>
      <c r="T250" s="403" t="str">
        <f ca="1">IF(SUM($G250:S250)&gt;=1,"",IF(T248=0,"",IF(SUM($G248:T248)&gt;=1,OFFSET(T$228,-1,0),"")))</f>
        <v/>
      </c>
      <c r="U250" s="403" t="str">
        <f ca="1">IF(SUM($G250:T250)&gt;=1,"",IF(U248=0,"",IF(SUM($G248:U248)&gt;=1,OFFSET(U$228,-1,0),"")))</f>
        <v/>
      </c>
      <c r="V250" s="403" t="str">
        <f ca="1">IF(SUM($G250:U250)&gt;=1,"",IF(V248=0,"",IF(SUM($G248:V248)&gt;=1,OFFSET(V$228,-1,0),"")))</f>
        <v/>
      </c>
      <c r="W250" s="403" t="str">
        <f ca="1">IF(SUM($G250:V250)&gt;=1,"",IF(W248=0,"",IF(SUM($G248:W248)&gt;=1,OFFSET(W$228,-1,0),"")))</f>
        <v/>
      </c>
      <c r="X250" s="403" t="str">
        <f ca="1">IF(SUM($G250:W250)&gt;=1,"",IF(X248=0,"",IF(SUM($G248:X248)&gt;=1,OFFSET(X$228,-1,0),"")))</f>
        <v/>
      </c>
      <c r="Y250" s="403" t="str">
        <f ca="1">IF(SUM($G250:X250)&gt;=1,"",IF(Y248=0,"",IF(SUM($G248:Y248)&gt;=1,OFFSET(Y$228,-1,0),"")))</f>
        <v/>
      </c>
      <c r="Z250" s="403" t="str">
        <f ca="1">IF(SUM($G250:Y250)&gt;=1,"",IF(Z248=0,"",IF(SUM($G248:Z248)&gt;=1,OFFSET(Z$228,-1,0),"")))</f>
        <v/>
      </c>
      <c r="AA250" s="403" t="str">
        <f ca="1">IF(SUM($G250:Z250)&gt;=1,"",IF(AA248=0,"",IF(SUM($G248:AA248)&gt;=1,OFFSET(AA$228,-1,0),"")))</f>
        <v/>
      </c>
      <c r="AB250" s="403" t="str">
        <f ca="1">IF(SUM($G250:AA250)&gt;=1,"",IF(AB248=0,"",IF(SUM($G248:AB248)&gt;=1,OFFSET(AB$228,-1,0),"")))</f>
        <v/>
      </c>
      <c r="AC250" s="403" t="str">
        <f ca="1">IF(SUM($G250:AB250)&gt;=1,"",IF(AC248=0,"",IF(SUM($G248:AC248)&gt;=1,OFFSET(AC$228,-1,0),"")))</f>
        <v/>
      </c>
      <c r="AD250" s="403" t="str">
        <f ca="1">IF(SUM($G250:AC250)&gt;=1,"",IF(AD248=0,"",IF(SUM($G248:AD248)&gt;=1,OFFSET(AD$228,-1,0),"")))</f>
        <v/>
      </c>
      <c r="AE250" s="403" t="str">
        <f ca="1">IF(SUM($G250:AD250)&gt;=1,"",IF(AE248=0,"",IF(SUM($G248:AE248)&gt;=1,OFFSET(AE$228,-1,0),"")))</f>
        <v/>
      </c>
      <c r="AF250" s="403" t="str">
        <f ca="1">IF(SUM($G250:AE250)&gt;=1,"",IF(AF248=0,"",IF(SUM($G248:AF248)&gt;=1,OFFSET(AF$228,-1,0),"")))</f>
        <v/>
      </c>
      <c r="AG250" s="403" t="str">
        <f ca="1">IF(SUM($G250:AF250)&gt;=1,"",IF(AG248=0,"",IF(SUM($G248:AG248)&gt;=1,OFFSET(AG$228,-1,0),"")))</f>
        <v/>
      </c>
      <c r="AH250" s="403" t="str">
        <f ca="1">IF(SUM($G250:AG250)&gt;=1,"",IF(AH248=0,"",IF(SUM($G248:AH248)&gt;=1,OFFSET(AH$228,-1,0),"")))</f>
        <v/>
      </c>
      <c r="AI250" s="403" t="str">
        <f ca="1">IF(SUM($G250:AH250)&gt;=1,"",IF(AI248=0,"",IF(SUM($G248:AI248)&gt;=1,OFFSET(AI$228,-1,0),"")))</f>
        <v/>
      </c>
      <c r="AJ250" s="403" t="str">
        <f ca="1">IF(SUM($G250:AI250)&gt;=1,"",IF(AJ248=0,"",IF(SUM($G248:AJ248)&gt;=1,OFFSET(AJ$228,-1,0),"")))</f>
        <v/>
      </c>
      <c r="AK250" s="403" t="str">
        <f ca="1">IF(SUM($G250:AJ250)&gt;=1,"",IF(AK248=0,"",IF(SUM($G248:AK248)&gt;=1,OFFSET(AK$228,-1,0),"")))</f>
        <v/>
      </c>
      <c r="AL250" s="403" t="str">
        <f ca="1">IF(SUM($G250:AK250)&gt;=1,"",IF(AL248=0,"",IF(SUM($G248:AL248)&gt;=1,OFFSET(AL$228,-1,0),"")))</f>
        <v/>
      </c>
      <c r="AM250" s="403" t="str">
        <f ca="1">IF(SUM($G250:AL250)&gt;=1,"",IF(AM248=0,"",IF(SUM($G248:AM248)&gt;=1,OFFSET(AM$228,-1,0),"")))</f>
        <v/>
      </c>
      <c r="AN250" s="403" t="str">
        <f ca="1">IF(SUM($G250:AM250)&gt;=1,"",IF(AN248=0,"",IF(SUM($G248:AN248)&gt;=1,OFFSET(AN$228,-1,0),"")))</f>
        <v/>
      </c>
      <c r="AO250" s="403" t="str">
        <f ca="1">IF(SUM($G250:AN250)&gt;=1,"",IF(AO248=0,"",IF(SUM($G248:AO248)&gt;=1,OFFSET(AO$228,-1,0),"")))</f>
        <v/>
      </c>
      <c r="AP250" s="403" t="str">
        <f ca="1">IF(SUM($G250:AO250)&gt;=1,"",IF(AP248=0,"",IF(SUM($G248:AP248)&gt;=1,OFFSET(AP$228,-1,0),"")))</f>
        <v/>
      </c>
      <c r="AQ250" s="403" t="str">
        <f ca="1">IF(SUM($G250:AP250)&gt;=1,"",IF(AQ248=0,"",IF(SUM($G248:AQ248)&gt;=1,OFFSET(AQ$228,-1,0),"")))</f>
        <v/>
      </c>
      <c r="AR250" s="403" t="str">
        <f ca="1">IF(SUM($G250:AQ250)&gt;=1,"",IF(AR248=0,"",IF(SUM($G248:AR248)&gt;=1,OFFSET(AR$228,-1,0),"")))</f>
        <v/>
      </c>
      <c r="AS250" s="403" t="str">
        <f ca="1">IF(SUM($G250:AR250)&gt;=1,"",IF(AS248=0,"",IF(SUM($G248:AS248)&gt;=1,OFFSET(AS$228,-1,0),"")))</f>
        <v/>
      </c>
      <c r="AT250" s="403" t="str">
        <f ca="1">IF(SUM($G250:AS250)&gt;=1,"",IF(AT248=0,"",IF(SUM($G248:AT248)&gt;=1,OFFSET(AT$228,-1,0),"")))</f>
        <v/>
      </c>
      <c r="AU250" s="403" t="str">
        <f ca="1">IF(SUM($G250:AT250)&gt;=1,"",IF(AU248=0,"",IF(SUM($G248:AU248)&gt;=1,OFFSET(AU$228,-1,0),"")))</f>
        <v/>
      </c>
      <c r="AV250" s="403" t="str">
        <f ca="1">IF(SUM($G250:AU250)&gt;=1,"",IF(AV248=0,"",IF(SUM($G248:AV248)&gt;=1,OFFSET(AV$228,-1,0),"")))</f>
        <v/>
      </c>
      <c r="AW250" s="403" t="str">
        <f ca="1">IF(SUM($G250:AV250)&gt;=1,"",IF(AW248=0,"",IF(SUM($G248:AW248)&gt;=1,OFFSET(AW$228,-1,0),"")))</f>
        <v/>
      </c>
      <c r="AX250" s="403" t="str">
        <f ca="1">IF(SUM($G250:AW250)&gt;=1,"",IF(AX248=0,"",IF(SUM($G248:AX248)&gt;=1,OFFSET(AX$228,-1,0),"")))</f>
        <v/>
      </c>
      <c r="AY250" s="403" t="str">
        <f ca="1">IF(SUM($G250:AX250)&gt;=1,"",IF(AY248=0,"",IF(SUM($G248:AY248)&gt;=1,OFFSET(AY$228,-1,0),"")))</f>
        <v/>
      </c>
      <c r="AZ250" s="403" t="str">
        <f ca="1">IF(SUM($G250:AY250)&gt;=1,"",IF(AZ248=0,"",IF(SUM($G248:AZ248)&gt;=1,OFFSET(AZ$228,-1,0),"")))</f>
        <v/>
      </c>
      <c r="BA250" s="403" t="str">
        <f ca="1">IF(SUM($G250:AZ250)&gt;=1,"",IF(BA248=0,"",IF(SUM($G248:BA248)&gt;=1,OFFSET(BA$228,-1,0),"")))</f>
        <v/>
      </c>
      <c r="BB250" s="403" t="str">
        <f ca="1">IF(SUM($G250:BA250)&gt;=1,"",IF(BB248=0,"",IF(SUM($G248:BB248)&gt;=1,OFFSET(BB$228,-1,0),"")))</f>
        <v/>
      </c>
      <c r="BC250" s="403" t="str">
        <f ca="1">IF(SUM($G250:BB250)&gt;=1,"",IF(BC248=0,"",IF(SUM($G248:BC248)&gt;=1,OFFSET(BC$228,-1,0),"")))</f>
        <v/>
      </c>
      <c r="BD250" s="403" t="str">
        <f ca="1">IF(SUM($G250:BC250)&gt;=1,"",IF(BD248=0,"",IF(SUM($G248:BD248)&gt;=1,OFFSET(BD$228,-1,0),"")))</f>
        <v/>
      </c>
      <c r="BE250" s="403" t="str">
        <f ca="1">IF(SUM($G250:BD250)&gt;=1,"",IF(BE248=0,"",IF(SUM($G248:BE248)&gt;=1,OFFSET(BE$228,-1,0),"")))</f>
        <v/>
      </c>
      <c r="BF250" s="403" t="str">
        <f ca="1">IF(SUM($G250:BE250)&gt;=1,"",IF(BF248=0,"",IF(SUM($G248:BF248)&gt;=1,OFFSET(BF$228,-1,0),"")))</f>
        <v/>
      </c>
      <c r="BG250" s="403" t="str">
        <f ca="1">IF(SUM($G250:BF250)&gt;=1,"",IF(BG248=0,"",IF(SUM($G248:BG248)&gt;=1,OFFSET(BG$228,-1,0),"")))</f>
        <v/>
      </c>
      <c r="BH250" s="403" t="str">
        <f ca="1">IF(SUM($G250:BG250)&gt;=1,"",IF(BH248=0,"",IF(SUM($G248:BH248)&gt;=1,OFFSET(BH$228,-1,0),"")))</f>
        <v/>
      </c>
      <c r="BI250" s="403" t="str">
        <f ca="1">IF(SUM($G250:BH250)&gt;=1,"",IF(BI248=0,"",IF(SUM($G248:BI248)&gt;=1,OFFSET(BI$228,-1,0),"")))</f>
        <v/>
      </c>
      <c r="BJ250" s="403" t="str">
        <f ca="1">IF(SUM($G250:BI250)&gt;=1,"",IF(BJ248=0,"",IF(SUM($G248:BJ248)&gt;=1,OFFSET(BJ$228,-1,0),"")))</f>
        <v/>
      </c>
      <c r="BK250" s="403" t="str">
        <f ca="1">IF(SUM($G250:BJ250)&gt;=1,"",IF(BK248=0,"",IF(SUM($G248:BK248)&gt;=1,OFFSET(BK$228,-1,0),"")))</f>
        <v/>
      </c>
      <c r="BL250" s="403" t="str">
        <f ca="1">IF(SUM($G250:BK250)&gt;=1,"",IF(BL248=0,"",IF(SUM($G248:BL248)&gt;=1,OFFSET(BL$228,-1,0),"")))</f>
        <v/>
      </c>
      <c r="BM250" s="403" t="str">
        <f ca="1">IF(SUM($G250:BL250)&gt;=1,"",IF(BM248=0,"",IF(SUM($G248:BM248)&gt;=1,OFFSET(BM$228,-1,0),"")))</f>
        <v/>
      </c>
      <c r="BN250" s="403" t="str">
        <f ca="1">IF(SUM($G250:BM250)&gt;=1,"",IF(BN248=0,"",IF(SUM($G248:BN248)&gt;=1,OFFSET(BN$228,-1,0),"")))</f>
        <v/>
      </c>
      <c r="BO250" s="403" t="str">
        <f ca="1">IF(SUM($G250:BN250)&gt;=1,"",IF(BO248=0,"",IF(SUM($G248:BO248)&gt;=1,OFFSET(BO$228,-1,0),"")))</f>
        <v/>
      </c>
      <c r="BP250" s="403" t="str">
        <f ca="1">IF(SUM($G250:BO250)&gt;=1,"",IF(BP248=0,"",IF(SUM($G248:BP248)&gt;=1,OFFSET(BP$228,-1,0),"")))</f>
        <v/>
      </c>
      <c r="BQ250" s="403" t="str">
        <f ca="1">IF(SUM($G250:BP250)&gt;=1,"",IF(BQ248=0,"",IF(SUM($G248:BQ248)&gt;=1,OFFSET(BQ$228,-1,0),"")))</f>
        <v/>
      </c>
      <c r="BR250" s="403" t="str">
        <f ca="1">IF(SUM($G250:BQ250)&gt;=1,"",IF(BR248=0,"",IF(SUM($G248:BR248)&gt;=1,OFFSET(BR$228,-1,0),"")))</f>
        <v/>
      </c>
      <c r="BS250" s="403" t="str">
        <f ca="1">IF(SUM($G250:BR250)&gt;=1,"",IF(BS248=0,"",IF(SUM($G248:BS248)&gt;=1,OFFSET(BS$228,-1,0),"")))</f>
        <v/>
      </c>
      <c r="BT250" s="403" t="str">
        <f ca="1">IF(SUM($G250:BS250)&gt;=1,"",IF(BT248=0,"",IF(SUM($G248:BT248)&gt;=1,OFFSET(BT$228,-1,0),"")))</f>
        <v/>
      </c>
      <c r="BU250" s="403" t="str">
        <f ca="1">IF(SUM($G250:BT250)&gt;=1,"",IF(BU248=0,"",IF(SUM($G248:BU248)&gt;=1,OFFSET(BU$228,-1,0),"")))</f>
        <v/>
      </c>
      <c r="BV250" s="403" t="str">
        <f ca="1">IF(SUM($G250:BU250)&gt;=1,"",IF(BV248=0,"",IF(SUM($G248:BV248)&gt;=1,OFFSET(BV$228,-1,0),"")))</f>
        <v/>
      </c>
      <c r="BW250" s="403" t="str">
        <f ca="1">IF(SUM($G250:BV250)&gt;=1,"",IF(BW248=0,"",IF(SUM($G248:BW248)&gt;=1,OFFSET(BW$228,-1,0),"")))</f>
        <v/>
      </c>
      <c r="BX250" s="403" t="str">
        <f ca="1">IF(SUM($G250:BW250)&gt;=1,"",IF(BX248=0,"",IF(SUM($G248:BX248)&gt;=1,OFFSET(BX$228,-1,0),"")))</f>
        <v/>
      </c>
      <c r="BY250" s="403" t="str">
        <f ca="1">IF(SUM($G250:BX250)&gt;=1,"",IF(BY248=0,"",IF(SUM($G248:BY248)&gt;=1,OFFSET(BY$228,-1,0),"")))</f>
        <v/>
      </c>
      <c r="BZ250" s="403" t="str">
        <f ca="1">IF(SUM($G250:BY250)&gt;=1,"",IF(BZ248=0,"",IF(SUM($G248:BZ248)&gt;=1,OFFSET(BZ$228,-1,0),"")))</f>
        <v/>
      </c>
      <c r="CA250" s="403" t="str">
        <f ca="1">IF(SUM($G250:BZ250)&gt;=1,"",IF(CA248=0,"",IF(SUM($G248:CA248)&gt;=1,OFFSET(CA$228,-1,0),"")))</f>
        <v/>
      </c>
      <c r="CB250" s="403" t="str">
        <f ca="1">IF(SUM($G250:CA250)&gt;=1,"",IF(CB248=0,"",IF(SUM($G248:CB248)&gt;=1,OFFSET(CB$228,-1,0),"")))</f>
        <v/>
      </c>
      <c r="CC250" s="403" t="str">
        <f ca="1">IF(SUM($G250:CB250)&gt;=1,"",IF(CC248=0,"",IF(SUM($G248:CC248)&gt;=1,OFFSET(CC$228,-1,0),"")))</f>
        <v/>
      </c>
      <c r="CD250" s="403" t="str">
        <f ca="1">IF(SUM($G250:CC250)&gt;=1,"",IF(CD248=0,"",IF(SUM($G248:CD248)&gt;=1,OFFSET(CD$228,-1,0),"")))</f>
        <v/>
      </c>
      <c r="CE250" s="403" t="str">
        <f ca="1">IF(SUM($G250:CD250)&gt;=1,"",IF(CE248=0,"",IF(SUM($G248:CE248)&gt;=1,OFFSET(CE$228,-1,0),"")))</f>
        <v/>
      </c>
      <c r="CF250" s="403" t="str">
        <f ca="1">IF(SUM($G250:CE250)&gt;=1,"",IF(CF248=0,"",IF(SUM($G248:CF248)&gt;=1,OFFSET(CF$228,-1,0),"")))</f>
        <v/>
      </c>
      <c r="CG250" s="403" t="str">
        <f ca="1">IF(SUM($G250:CF250)&gt;=1,"",IF(CG248=0,"",IF(SUM($G248:CG248)&gt;=1,OFFSET(CG$228,-1,0),"")))</f>
        <v/>
      </c>
      <c r="CH250" s="403" t="str">
        <f ca="1">IF(SUM($G250:CG250)&gt;=1,"",IF(CH248=0,"",IF(SUM($G248:CH248)&gt;=1,OFFSET(CH$228,-1,0),"")))</f>
        <v/>
      </c>
      <c r="CI250" s="403" t="str">
        <f ca="1">IF(SUM($G250:CH250)&gt;=1,"",IF(CI248=0,"",IF(SUM($G248:CI248)&gt;=1,OFFSET(CI$228,-1,0),"")))</f>
        <v/>
      </c>
      <c r="CJ250" s="403" t="str">
        <f ca="1">IF(SUM($G250:CI250)&gt;=1,"",IF(CJ248=0,"",IF(SUM($G248:CJ248)&gt;=1,OFFSET(CJ$228,-1,0),"")))</f>
        <v/>
      </c>
      <c r="CK250" s="403" t="str">
        <f ca="1">IF(SUM($G250:CJ250)&gt;=1,"",IF(CK248=0,"",IF(SUM($G248:CK248)&gt;=1,OFFSET(CK$228,-1,0),"")))</f>
        <v/>
      </c>
      <c r="CL250" s="403" t="str">
        <f ca="1">IF(SUM($G250:CK250)&gt;=1,"",IF(CL248=0,"",IF(SUM($G248:CL248)&gt;=1,OFFSET(CL$228,-1,0),"")))</f>
        <v/>
      </c>
      <c r="CM250" s="403" t="str">
        <f ca="1">IF(SUM($G250:CL250)&gt;=1,"",IF(CM248=0,"",IF(SUM($G248:CM248)&gt;=1,OFFSET(CM$228,-1,0),"")))</f>
        <v/>
      </c>
      <c r="CN250" s="403" t="str">
        <f ca="1">IF(SUM($G250:CM250)&gt;=1,"",IF(CN248=0,"",IF(SUM($G248:CN248)&gt;=1,OFFSET(CN$228,-1,0),"")))</f>
        <v/>
      </c>
      <c r="CO250" s="403" t="str">
        <f ca="1">IF(SUM($G250:CN250)&gt;=1,"",IF(CO248=0,"",IF(SUM($G248:CO248)&gt;=1,OFFSET(CO$228,-1,0),"")))</f>
        <v/>
      </c>
      <c r="CP250" s="403" t="str">
        <f ca="1">IF(SUM($G250:CO250)&gt;=1,"",IF(CP248=0,"",IF(SUM($G248:CP248)&gt;=1,OFFSET(CP$228,-1,0),"")))</f>
        <v/>
      </c>
      <c r="CQ250" s="403" t="str">
        <f ca="1">IF(SUM($G250:CP250)&gt;=1,"",IF(CQ248=0,"",IF(SUM($G248:CQ248)&gt;=1,OFFSET(CQ$228,-1,0),"")))</f>
        <v/>
      </c>
      <c r="CR250" s="403" t="str">
        <f ca="1">IF(SUM($G250:CQ250)&gt;=1,"",IF(CR248=0,"",IF(SUM($G248:CR248)&gt;=1,OFFSET(CR$228,-1,0),"")))</f>
        <v/>
      </c>
      <c r="CS250" s="403" t="str">
        <f ca="1">IF(SUM($G250:CR250)&gt;=1,"",IF(CS248=0,"",IF(SUM($G248:CS248)&gt;=1,OFFSET(CS$228,-1,0),"")))</f>
        <v/>
      </c>
      <c r="CT250" s="403" t="str">
        <f ca="1">IF(SUM($G250:CS250)&gt;=1,"",IF(CT248=0,"",IF(SUM($G248:CT248)&gt;=1,OFFSET(CT$228,-1,0),"")))</f>
        <v/>
      </c>
      <c r="CU250" s="403" t="str">
        <f ca="1">IF(SUM($G250:CT250)&gt;=1,"",IF(CU248=0,"",IF(SUM($G248:CU248)&gt;=1,OFFSET(CU$228,-1,0),"")))</f>
        <v/>
      </c>
      <c r="CV250" s="403" t="str">
        <f ca="1">IF(SUM($G250:CU250)&gt;=1,"",IF(CV248=0,"",IF(SUM($G248:CV248)&gt;=1,OFFSET(CV$228,-1,0),"")))</f>
        <v/>
      </c>
      <c r="CW250" s="403" t="str">
        <f ca="1">IF(SUM($G250:CV250)&gt;=1,"",IF(CW248=0,"",IF(SUM($G248:CW248)&gt;=1,OFFSET(CW$228,-1,0),"")))</f>
        <v/>
      </c>
      <c r="CX250" s="403" t="str">
        <f ca="1">IF(SUM($G250:CW250)&gt;=1,"",IF(CX248=0,"",IF(SUM($G248:CX248)&gt;=1,OFFSET(CX$228,-1,0),"")))</f>
        <v/>
      </c>
      <c r="CY250" s="403" t="str">
        <f ca="1">IF(SUM($G250:CX250)&gt;=1,"",IF(CY248=0,"",IF(SUM($G248:CY248)&gt;=1,OFFSET(CY$228,-1,0),"")))</f>
        <v/>
      </c>
      <c r="CZ250" s="403" t="str">
        <f ca="1">IF(SUM($G250:CY250)&gt;=1,"",IF(CZ248=0,"",IF(SUM($G248:CZ248)&gt;=1,OFFSET(CZ$228,-1,0),"")))</f>
        <v/>
      </c>
      <c r="DA250" s="403" t="str">
        <f ca="1">IF(SUM($G250:CZ250)&gt;=1,"",IF(DA248=0,"",IF(SUM($G248:DA248)&gt;=1,OFFSET(DA$228,-1,0),"")))</f>
        <v/>
      </c>
      <c r="DB250" s="403" t="str">
        <f ca="1">IF(SUM($G250:DA250)&gt;=1,"",IF(DB248=0,"",IF(SUM($G248:DB248)&gt;=1,OFFSET(DB$228,-1,0),"")))</f>
        <v/>
      </c>
      <c r="DC250" s="403" t="str">
        <f ca="1">IF(SUM($G250:DB250)&gt;=1,"",IF(DC248=0,"",IF(SUM($G248:DC248)&gt;=1,OFFSET(DC$228,-1,0),"")))</f>
        <v/>
      </c>
      <c r="DD250" s="403" t="str">
        <f ca="1">IF(SUM($G250:DC250)&gt;=1,"",IF(DD248=0,"",IF(SUM($G248:DD248)&gt;=1,OFFSET(DD$228,-1,0),"")))</f>
        <v/>
      </c>
      <c r="DE250" s="403" t="str">
        <f ca="1">IF(SUM($G250:DD250)&gt;=1,"",IF(DE248=0,"",IF(SUM($G248:DE248)&gt;=1,OFFSET(DE$228,-1,0),"")))</f>
        <v/>
      </c>
      <c r="DF250" s="403" t="str">
        <f ca="1">IF(SUM($G250:DE250)&gt;=1,"",IF(DF248=0,"",IF(SUM($G248:DF248)&gt;=1,OFFSET(DF$228,-1,0),"")))</f>
        <v/>
      </c>
      <c r="DG250" s="403" t="str">
        <f ca="1">IF(SUM($G250:DF250)&gt;=1,"",IF(DG248=0,"",IF(SUM($G248:DG248)&gt;=1,OFFSET(DG$228,-1,0),"")))</f>
        <v/>
      </c>
      <c r="DH250" s="403" t="str">
        <f ca="1">IF(SUM($G250:DG250)&gt;=1,"",IF(DH248=0,"",IF(SUM($G248:DH248)&gt;=1,OFFSET(DH$228,-1,0),"")))</f>
        <v/>
      </c>
      <c r="DI250" s="403" t="str">
        <f ca="1">IF(SUM($G250:DH250)&gt;=1,"",IF(DI248=0,"",IF(SUM($G248:DI248)&gt;=1,OFFSET(DI$228,-1,0),"")))</f>
        <v/>
      </c>
      <c r="DJ250" s="403" t="str">
        <f ca="1">IF(SUM($G250:DI250)&gt;=1,"",IF(DJ248=0,"",IF(SUM($G248:DJ248)&gt;=1,OFFSET(DJ$228,-1,0),"")))</f>
        <v/>
      </c>
      <c r="DK250" s="403" t="str">
        <f ca="1">IF(SUM($G250:DJ250)&gt;=1,"",IF(DK248=0,"",IF(SUM($G248:DK248)&gt;=1,OFFSET(DK$228,-1,0),"")))</f>
        <v/>
      </c>
      <c r="DL250" s="403" t="str">
        <f ca="1">IF(SUM($G250:DK250)&gt;=1,"",IF(DL248=0,"",IF(SUM($G248:DL248)&gt;=1,OFFSET(DL$228,-1,0),"")))</f>
        <v/>
      </c>
      <c r="DM250" s="403" t="str">
        <f ca="1">IF(SUM($G250:DL250)&gt;=1,"",IF(DM248=0,"",IF(SUM($G248:DM248)&gt;=1,OFFSET(DM$228,-1,0),"")))</f>
        <v/>
      </c>
      <c r="DN250" s="403" t="str">
        <f ca="1">IF(SUM($G250:DM250)&gt;=1,"",IF(DN248=0,"",IF(SUM($G248:DN248)&gt;=1,OFFSET(DN$228,-1,0),"")))</f>
        <v/>
      </c>
      <c r="DO250" s="403" t="str">
        <f ca="1">IF(SUM($G250:DN250)&gt;=1,"",IF(DO248=0,"",IF(SUM($G248:DO248)&gt;=1,OFFSET(DO$228,-1,0),"")))</f>
        <v/>
      </c>
      <c r="DP250" s="403" t="str">
        <f ca="1">IF(SUM($G250:DO250)&gt;=1,"",IF(DP248=0,"",IF(SUM($G248:DP248)&gt;=1,OFFSET(DP$228,-1,0),"")))</f>
        <v/>
      </c>
      <c r="DQ250" s="403" t="str">
        <f ca="1">IF(SUM($G250:DP250)&gt;=1,"",IF(DQ248=0,"",IF(SUM($G248:DQ248)&gt;=1,OFFSET(DQ$228,-1,0),"")))</f>
        <v/>
      </c>
      <c r="DR250" s="403" t="str">
        <f ca="1">IF(SUM($G250:DQ250)&gt;=1,"",IF(DR248=0,"",IF(SUM($G248:DR248)&gt;=1,OFFSET(DR$228,-1,0),"")))</f>
        <v/>
      </c>
      <c r="DS250" s="403" t="str">
        <f ca="1">IF(SUM($G250:DR250)&gt;=1,"",IF(DS248=0,"",IF(SUM($G248:DS248)&gt;=1,OFFSET(DS$228,-1,0),"")))</f>
        <v/>
      </c>
      <c r="DT250" s="403" t="str">
        <f ca="1">IF(SUM($G250:DS250)&gt;=1,"",IF(DT248=0,"",IF(SUM($G248:DT248)&gt;=1,OFFSET(DT$228,-1,0),"")))</f>
        <v/>
      </c>
      <c r="DU250" s="403" t="str">
        <f ca="1">IF(SUM($G250:DT250)&gt;=1,"",IF(DU248=0,"",IF(SUM($G248:DU248)&gt;=1,OFFSET(DU$228,-1,0),"")))</f>
        <v/>
      </c>
      <c r="DV250" s="403" t="str">
        <f ca="1">IF(SUM($G250:DU250)&gt;=1,"",IF(DV248=0,"",IF(SUM($G248:DV248)&gt;=1,OFFSET(DV$228,-1,0),"")))</f>
        <v/>
      </c>
      <c r="DW250" s="403" t="str">
        <f ca="1">IF(SUM($G250:DV250)&gt;=1,"",IF(DW248=0,"",IF(SUM($G248:DW248)&gt;=1,OFFSET(DW$228,-1,0),"")))</f>
        <v/>
      </c>
      <c r="DX250" s="403" t="str">
        <f ca="1">IF(SUM($G250:DW250)&gt;=1,"",IF(DX248=0,"",IF(SUM($G248:DX248)&gt;=1,OFFSET(DX$228,-1,0),"")))</f>
        <v/>
      </c>
      <c r="DY250" s="403" t="str">
        <f ca="1">IF(SUM($G250:DX250)&gt;=1,"",IF(DY248=0,"",IF(SUM($G248:DY248)&gt;=1,OFFSET(DY$228,-1,0),"")))</f>
        <v/>
      </c>
      <c r="DZ250" s="403" t="str">
        <f ca="1">IF(SUM($G250:DY250)&gt;=1,"",IF(DZ248=0,"",IF(SUM($G248:DZ248)&gt;=1,OFFSET(DZ$228,-1,0),"")))</f>
        <v/>
      </c>
      <c r="EA250" s="403" t="str">
        <f ca="1">IF(SUM($G250:DZ250)&gt;=1,"",IF(EA248=0,"",IF(SUM($G248:EA248)&gt;=1,OFFSET(EA$228,-1,0),"")))</f>
        <v/>
      </c>
      <c r="EB250" s="403" t="str">
        <f ca="1">IF(SUM($G250:EA250)&gt;=1,"",IF(EB248=0,"",IF(SUM($G248:EB248)&gt;=1,OFFSET(EB$228,-1,0),"")))</f>
        <v/>
      </c>
      <c r="EC250" s="403" t="str">
        <f ca="1">IF(SUM($G250:EB250)&gt;=1,"",IF(EC248=0,"",IF(SUM($G248:EC248)&gt;=1,OFFSET(EC$228,-1,0),"")))</f>
        <v/>
      </c>
      <c r="ED250" s="403" t="str">
        <f ca="1">IF(SUM($G250:EC250)&gt;=1,"",IF(ED248=0,"",IF(SUM($G248:ED248)&gt;=1,OFFSET(ED$228,-1,0),"")))</f>
        <v/>
      </c>
      <c r="EE250" s="403" t="str">
        <f ca="1">IF(SUM($G250:ED250)&gt;=1,"",IF(EE248=0,"",IF(SUM($G248:EE248)&gt;=1,OFFSET(EE$228,-1,0),"")))</f>
        <v/>
      </c>
      <c r="EF250" s="403" t="str">
        <f ca="1">IF(SUM($G250:EE250)&gt;=1,"",IF(EF248=0,"",IF(SUM($G248:EF248)&gt;=1,OFFSET(EF$228,-1,0),"")))</f>
        <v/>
      </c>
      <c r="EG250" s="403" t="str">
        <f ca="1">IF(SUM($G250:EF250)&gt;=1,"",IF(EG248=0,"",IF(SUM($G248:EG248)&gt;=1,OFFSET(EG$228,-1,0),"")))</f>
        <v/>
      </c>
      <c r="EH250" s="403" t="str">
        <f ca="1">IF(SUM($G250:EG250)&gt;=1,"",IF(EH248=0,"",IF(SUM($G248:EH248)&gt;=1,OFFSET(EH$228,-1,0),"")))</f>
        <v/>
      </c>
      <c r="EI250" s="403" t="str">
        <f ca="1">IF(SUM($G250:EH250)&gt;=1,"",IF(EI248=0,"",IF(SUM($G248:EI248)&gt;=1,OFFSET(EI$228,-1,0),"")))</f>
        <v/>
      </c>
      <c r="EV250" s="321"/>
    </row>
    <row r="251" spans="1:152" hidden="1" outlineLevel="2">
      <c r="A251" s="332"/>
      <c r="B251" s="313"/>
      <c r="D251" s="305" t="s">
        <v>671</v>
      </c>
      <c r="E251" s="1002">
        <f ca="1">IF(E248=0,"",MIN(G251:EI251))</f>
        <v>45371.1</v>
      </c>
      <c r="F251" s="1003"/>
      <c r="G251" s="403" t="str">
        <f>IF(G248=0,"",IF(G248=G$3,G250,G$5+H$5-G252-1))</f>
        <v/>
      </c>
      <c r="H251" s="403" t="str">
        <f ca="1">IF(H248=0,"",IF(H248=H$3,H250,H$5+I$5-H252-1))</f>
        <v/>
      </c>
      <c r="I251" s="403" t="str">
        <f t="shared" ref="I251:BT251" ca="1" si="466">IF(I248=0,"",IF(I248=I$3,I250,I$5+J$5-I252-1))</f>
        <v/>
      </c>
      <c r="J251" s="403" t="str">
        <f t="shared" ca="1" si="466"/>
        <v/>
      </c>
      <c r="K251" s="403" t="str">
        <f t="shared" ca="1" si="466"/>
        <v/>
      </c>
      <c r="L251" s="403" t="str">
        <f t="shared" ca="1" si="466"/>
        <v/>
      </c>
      <c r="M251" s="403" t="str">
        <f t="shared" ca="1" si="466"/>
        <v/>
      </c>
      <c r="N251" s="403" t="str">
        <f t="shared" ca="1" si="466"/>
        <v/>
      </c>
      <c r="O251" s="403" t="str">
        <f t="shared" ca="1" si="466"/>
        <v/>
      </c>
      <c r="P251" s="403" t="str">
        <f t="shared" ca="1" si="466"/>
        <v/>
      </c>
      <c r="Q251" s="403" t="str">
        <f t="shared" ca="1" si="466"/>
        <v/>
      </c>
      <c r="R251" s="403" t="str">
        <f t="shared" ca="1" si="466"/>
        <v/>
      </c>
      <c r="S251" s="403">
        <f t="shared" ca="1" si="466"/>
        <v>45371.1</v>
      </c>
      <c r="T251" s="403">
        <f t="shared" ca="1" si="466"/>
        <v>45407.9</v>
      </c>
      <c r="U251" s="403" t="str">
        <f t="shared" ca="1" si="466"/>
        <v/>
      </c>
      <c r="V251" s="403" t="str">
        <f t="shared" ca="1" si="466"/>
        <v/>
      </c>
      <c r="W251" s="403" t="str">
        <f t="shared" ca="1" si="466"/>
        <v/>
      </c>
      <c r="X251" s="403" t="str">
        <f t="shared" ca="1" si="466"/>
        <v/>
      </c>
      <c r="Y251" s="403" t="str">
        <f t="shared" ca="1" si="466"/>
        <v/>
      </c>
      <c r="Z251" s="403" t="str">
        <f t="shared" ca="1" si="466"/>
        <v/>
      </c>
      <c r="AA251" s="403" t="str">
        <f t="shared" ca="1" si="466"/>
        <v/>
      </c>
      <c r="AB251" s="403" t="str">
        <f t="shared" ca="1" si="466"/>
        <v/>
      </c>
      <c r="AC251" s="403" t="str">
        <f t="shared" ca="1" si="466"/>
        <v/>
      </c>
      <c r="AD251" s="403" t="str">
        <f t="shared" ca="1" si="466"/>
        <v/>
      </c>
      <c r="AE251" s="403" t="str">
        <f t="shared" ca="1" si="466"/>
        <v/>
      </c>
      <c r="AF251" s="403" t="str">
        <f t="shared" ca="1" si="466"/>
        <v/>
      </c>
      <c r="AG251" s="403" t="str">
        <f t="shared" ca="1" si="466"/>
        <v/>
      </c>
      <c r="AH251" s="403" t="str">
        <f t="shared" ca="1" si="466"/>
        <v/>
      </c>
      <c r="AI251" s="403" t="str">
        <f t="shared" ca="1" si="466"/>
        <v/>
      </c>
      <c r="AJ251" s="403" t="str">
        <f t="shared" ca="1" si="466"/>
        <v/>
      </c>
      <c r="AK251" s="403" t="str">
        <f t="shared" ca="1" si="466"/>
        <v/>
      </c>
      <c r="AL251" s="403" t="str">
        <f t="shared" ca="1" si="466"/>
        <v/>
      </c>
      <c r="AM251" s="403" t="str">
        <f t="shared" ca="1" si="466"/>
        <v/>
      </c>
      <c r="AN251" s="403" t="str">
        <f t="shared" ca="1" si="466"/>
        <v/>
      </c>
      <c r="AO251" s="403" t="str">
        <f t="shared" ca="1" si="466"/>
        <v/>
      </c>
      <c r="AP251" s="403" t="str">
        <f t="shared" ca="1" si="466"/>
        <v/>
      </c>
      <c r="AQ251" s="403" t="str">
        <f t="shared" ca="1" si="466"/>
        <v/>
      </c>
      <c r="AR251" s="403" t="str">
        <f t="shared" ca="1" si="466"/>
        <v/>
      </c>
      <c r="AS251" s="403" t="str">
        <f t="shared" ca="1" si="466"/>
        <v/>
      </c>
      <c r="AT251" s="403" t="str">
        <f t="shared" ca="1" si="466"/>
        <v/>
      </c>
      <c r="AU251" s="403" t="str">
        <f t="shared" ca="1" si="466"/>
        <v/>
      </c>
      <c r="AV251" s="403" t="str">
        <f t="shared" ca="1" si="466"/>
        <v/>
      </c>
      <c r="AW251" s="403" t="str">
        <f t="shared" ca="1" si="466"/>
        <v/>
      </c>
      <c r="AX251" s="403" t="str">
        <f t="shared" ca="1" si="466"/>
        <v/>
      </c>
      <c r="AY251" s="403" t="str">
        <f t="shared" ca="1" si="466"/>
        <v/>
      </c>
      <c r="AZ251" s="403" t="str">
        <f t="shared" ca="1" si="466"/>
        <v/>
      </c>
      <c r="BA251" s="403" t="str">
        <f t="shared" ca="1" si="466"/>
        <v/>
      </c>
      <c r="BB251" s="403" t="str">
        <f t="shared" ca="1" si="466"/>
        <v/>
      </c>
      <c r="BC251" s="403" t="str">
        <f t="shared" ca="1" si="466"/>
        <v/>
      </c>
      <c r="BD251" s="403" t="str">
        <f t="shared" ca="1" si="466"/>
        <v/>
      </c>
      <c r="BE251" s="403" t="str">
        <f t="shared" ca="1" si="466"/>
        <v/>
      </c>
      <c r="BF251" s="403" t="str">
        <f t="shared" ca="1" si="466"/>
        <v/>
      </c>
      <c r="BG251" s="403" t="str">
        <f t="shared" ca="1" si="466"/>
        <v/>
      </c>
      <c r="BH251" s="403" t="str">
        <f t="shared" ca="1" si="466"/>
        <v/>
      </c>
      <c r="BI251" s="403" t="str">
        <f t="shared" ca="1" si="466"/>
        <v/>
      </c>
      <c r="BJ251" s="403" t="str">
        <f t="shared" ca="1" si="466"/>
        <v/>
      </c>
      <c r="BK251" s="403" t="str">
        <f t="shared" ca="1" si="466"/>
        <v/>
      </c>
      <c r="BL251" s="403" t="str">
        <f t="shared" ca="1" si="466"/>
        <v/>
      </c>
      <c r="BM251" s="403" t="str">
        <f t="shared" ca="1" si="466"/>
        <v/>
      </c>
      <c r="BN251" s="403" t="str">
        <f t="shared" ca="1" si="466"/>
        <v/>
      </c>
      <c r="BO251" s="403" t="str">
        <f t="shared" ca="1" si="466"/>
        <v/>
      </c>
      <c r="BP251" s="403" t="str">
        <f t="shared" ca="1" si="466"/>
        <v/>
      </c>
      <c r="BQ251" s="403" t="str">
        <f t="shared" ca="1" si="466"/>
        <v/>
      </c>
      <c r="BR251" s="403" t="str">
        <f t="shared" ca="1" si="466"/>
        <v/>
      </c>
      <c r="BS251" s="403" t="str">
        <f t="shared" ca="1" si="466"/>
        <v/>
      </c>
      <c r="BT251" s="403" t="str">
        <f t="shared" ca="1" si="466"/>
        <v/>
      </c>
      <c r="BU251" s="403" t="str">
        <f t="shared" ref="BU251:EF251" ca="1" si="467">IF(BU248=0,"",IF(BU248=BU$3,BU250,BU$5+BV$5-BU252-1))</f>
        <v/>
      </c>
      <c r="BV251" s="403" t="str">
        <f t="shared" ca="1" si="467"/>
        <v/>
      </c>
      <c r="BW251" s="403" t="str">
        <f t="shared" ca="1" si="467"/>
        <v/>
      </c>
      <c r="BX251" s="403" t="str">
        <f t="shared" ca="1" si="467"/>
        <v/>
      </c>
      <c r="BY251" s="403" t="str">
        <f t="shared" ca="1" si="467"/>
        <v/>
      </c>
      <c r="BZ251" s="403" t="str">
        <f t="shared" ca="1" si="467"/>
        <v/>
      </c>
      <c r="CA251" s="403" t="str">
        <f t="shared" ca="1" si="467"/>
        <v/>
      </c>
      <c r="CB251" s="403" t="str">
        <f t="shared" ca="1" si="467"/>
        <v/>
      </c>
      <c r="CC251" s="403" t="str">
        <f t="shared" ca="1" si="467"/>
        <v/>
      </c>
      <c r="CD251" s="403" t="str">
        <f t="shared" ca="1" si="467"/>
        <v/>
      </c>
      <c r="CE251" s="403" t="str">
        <f t="shared" ca="1" si="467"/>
        <v/>
      </c>
      <c r="CF251" s="403" t="str">
        <f t="shared" ca="1" si="467"/>
        <v/>
      </c>
      <c r="CG251" s="403" t="str">
        <f t="shared" ca="1" si="467"/>
        <v/>
      </c>
      <c r="CH251" s="403" t="str">
        <f t="shared" ca="1" si="467"/>
        <v/>
      </c>
      <c r="CI251" s="403" t="str">
        <f t="shared" ca="1" si="467"/>
        <v/>
      </c>
      <c r="CJ251" s="403" t="str">
        <f t="shared" ca="1" si="467"/>
        <v/>
      </c>
      <c r="CK251" s="403" t="str">
        <f t="shared" ca="1" si="467"/>
        <v/>
      </c>
      <c r="CL251" s="403" t="str">
        <f t="shared" ca="1" si="467"/>
        <v/>
      </c>
      <c r="CM251" s="403" t="str">
        <f t="shared" ca="1" si="467"/>
        <v/>
      </c>
      <c r="CN251" s="403" t="str">
        <f t="shared" ca="1" si="467"/>
        <v/>
      </c>
      <c r="CO251" s="403" t="str">
        <f t="shared" ca="1" si="467"/>
        <v/>
      </c>
      <c r="CP251" s="403" t="str">
        <f t="shared" ca="1" si="467"/>
        <v/>
      </c>
      <c r="CQ251" s="403" t="str">
        <f t="shared" ca="1" si="467"/>
        <v/>
      </c>
      <c r="CR251" s="403" t="str">
        <f t="shared" ca="1" si="467"/>
        <v/>
      </c>
      <c r="CS251" s="403" t="str">
        <f t="shared" ca="1" si="467"/>
        <v/>
      </c>
      <c r="CT251" s="403" t="str">
        <f t="shared" ca="1" si="467"/>
        <v/>
      </c>
      <c r="CU251" s="403" t="str">
        <f t="shared" ca="1" si="467"/>
        <v/>
      </c>
      <c r="CV251" s="403" t="str">
        <f t="shared" ca="1" si="467"/>
        <v/>
      </c>
      <c r="CW251" s="403" t="str">
        <f t="shared" ca="1" si="467"/>
        <v/>
      </c>
      <c r="CX251" s="403" t="str">
        <f t="shared" ca="1" si="467"/>
        <v/>
      </c>
      <c r="CY251" s="403" t="str">
        <f t="shared" ca="1" si="467"/>
        <v/>
      </c>
      <c r="CZ251" s="403" t="str">
        <f t="shared" ca="1" si="467"/>
        <v/>
      </c>
      <c r="DA251" s="403" t="str">
        <f t="shared" ca="1" si="467"/>
        <v/>
      </c>
      <c r="DB251" s="403" t="str">
        <f t="shared" ca="1" si="467"/>
        <v/>
      </c>
      <c r="DC251" s="403" t="str">
        <f t="shared" ca="1" si="467"/>
        <v/>
      </c>
      <c r="DD251" s="403" t="str">
        <f t="shared" ca="1" si="467"/>
        <v/>
      </c>
      <c r="DE251" s="403" t="str">
        <f t="shared" ca="1" si="467"/>
        <v/>
      </c>
      <c r="DF251" s="403" t="str">
        <f t="shared" ca="1" si="467"/>
        <v/>
      </c>
      <c r="DG251" s="403" t="str">
        <f t="shared" ca="1" si="467"/>
        <v/>
      </c>
      <c r="DH251" s="403" t="str">
        <f t="shared" ca="1" si="467"/>
        <v/>
      </c>
      <c r="DI251" s="403" t="str">
        <f t="shared" ca="1" si="467"/>
        <v/>
      </c>
      <c r="DJ251" s="403" t="str">
        <f t="shared" ca="1" si="467"/>
        <v/>
      </c>
      <c r="DK251" s="403" t="str">
        <f t="shared" ca="1" si="467"/>
        <v/>
      </c>
      <c r="DL251" s="403" t="str">
        <f t="shared" ca="1" si="467"/>
        <v/>
      </c>
      <c r="DM251" s="403" t="str">
        <f t="shared" ca="1" si="467"/>
        <v/>
      </c>
      <c r="DN251" s="403" t="str">
        <f t="shared" ca="1" si="467"/>
        <v/>
      </c>
      <c r="DO251" s="403" t="str">
        <f t="shared" ca="1" si="467"/>
        <v/>
      </c>
      <c r="DP251" s="403" t="str">
        <f t="shared" ca="1" si="467"/>
        <v/>
      </c>
      <c r="DQ251" s="403" t="str">
        <f t="shared" ca="1" si="467"/>
        <v/>
      </c>
      <c r="DR251" s="403" t="str">
        <f t="shared" ca="1" si="467"/>
        <v/>
      </c>
      <c r="DS251" s="403" t="str">
        <f t="shared" ca="1" si="467"/>
        <v/>
      </c>
      <c r="DT251" s="403" t="str">
        <f t="shared" ca="1" si="467"/>
        <v/>
      </c>
      <c r="DU251" s="403" t="str">
        <f t="shared" ca="1" si="467"/>
        <v/>
      </c>
      <c r="DV251" s="403" t="str">
        <f t="shared" ca="1" si="467"/>
        <v/>
      </c>
      <c r="DW251" s="403" t="str">
        <f t="shared" ca="1" si="467"/>
        <v/>
      </c>
      <c r="DX251" s="403" t="str">
        <f t="shared" ca="1" si="467"/>
        <v/>
      </c>
      <c r="DY251" s="403" t="str">
        <f t="shared" ca="1" si="467"/>
        <v/>
      </c>
      <c r="DZ251" s="403" t="str">
        <f t="shared" ca="1" si="467"/>
        <v/>
      </c>
      <c r="EA251" s="403" t="str">
        <f t="shared" ca="1" si="467"/>
        <v/>
      </c>
      <c r="EB251" s="403" t="str">
        <f t="shared" ca="1" si="467"/>
        <v/>
      </c>
      <c r="EC251" s="403" t="str">
        <f t="shared" ca="1" si="467"/>
        <v/>
      </c>
      <c r="ED251" s="403" t="str">
        <f t="shared" ca="1" si="467"/>
        <v/>
      </c>
      <c r="EE251" s="403" t="str">
        <f t="shared" ca="1" si="467"/>
        <v/>
      </c>
      <c r="EF251" s="403" t="str">
        <f t="shared" ca="1" si="467"/>
        <v/>
      </c>
      <c r="EG251" s="403" t="str">
        <f t="shared" ref="EG251:EI251" ca="1" si="468">IF(EG248=0,"",IF(EG248=EG$3,EG250,EG$5+EH$5-EG252-1))</f>
        <v/>
      </c>
      <c r="EH251" s="403" t="str">
        <f t="shared" ca="1" si="468"/>
        <v/>
      </c>
      <c r="EI251" s="403" t="str">
        <f t="shared" ca="1" si="468"/>
        <v/>
      </c>
      <c r="EV251" s="321"/>
    </row>
    <row r="252" spans="1:152" hidden="1" outlineLevel="2">
      <c r="A252" s="332"/>
      <c r="B252" s="313"/>
      <c r="D252" s="305" t="s">
        <v>672</v>
      </c>
      <c r="E252" s="1002">
        <f ca="1">IF(E248=0,"",MAX(G252:EI252))</f>
        <v>45387.1</v>
      </c>
      <c r="F252" s="1003"/>
      <c r="G252" s="403">
        <f ca="1">IF(SUM(G248:$EI248)=0,"",IF(G$227="","",G$227+G248-1))</f>
        <v>44985</v>
      </c>
      <c r="H252" s="403">
        <f ca="1">IF(SUM(H248:$EI248)=0,"",IF(H$227="","",H$227+H248-1))</f>
        <v>45016</v>
      </c>
      <c r="I252" s="403">
        <f ca="1">IF(SUM(I248:$EI248)=0,"",IF(I$227="","",I$227+I248-1))</f>
        <v>45046</v>
      </c>
      <c r="J252" s="403">
        <f ca="1">IF(SUM(J248:$EI248)=0,"",IF(J$227="","",J$227+J248-1))</f>
        <v>45077</v>
      </c>
      <c r="K252" s="403">
        <f ca="1">IF(SUM(K248:$EI248)=0,"",IF(K$227="","",K$227+K248-1))</f>
        <v>45107</v>
      </c>
      <c r="L252" s="403">
        <f ca="1">IF(SUM(L248:$EI248)=0,"",IF(L$227="","",L$227+L248-1))</f>
        <v>45138</v>
      </c>
      <c r="M252" s="403">
        <f ca="1">IF(SUM(M248:$EI248)=0,"",IF(M$227="","",M$227+M248-1))</f>
        <v>45169</v>
      </c>
      <c r="N252" s="403">
        <f ca="1">IF(SUM(N248:$EI248)=0,"",IF(N$227="","",N$227+N248-1))</f>
        <v>45199</v>
      </c>
      <c r="O252" s="403">
        <f ca="1">IF(SUM(O248:$EI248)=0,"",IF(O$227="","",O$227+O248-1))</f>
        <v>45230</v>
      </c>
      <c r="P252" s="403">
        <f ca="1">IF(SUM(P248:$EI248)=0,"",IF(P$227="","",P$227+P248-1))</f>
        <v>45260</v>
      </c>
      <c r="Q252" s="403">
        <f ca="1">IF(SUM(Q248:$EI248)=0,"",IF(Q$227="","",Q$227+Q248-1))</f>
        <v>45291</v>
      </c>
      <c r="R252" s="403">
        <f ca="1">IF(SUM(R248:$EI248)=0,"",IF(R$227="","",R$227+R248-1))</f>
        <v>45322</v>
      </c>
      <c r="S252" s="403">
        <f ca="1">IF(SUM(S248:$EI248)=0,"",IF(S$227="","",S$227+S248-1))</f>
        <v>45362.9</v>
      </c>
      <c r="T252" s="403">
        <f ca="1">IF(SUM(T248:$EI248)=0,"",IF(T$227="","",T$227+T248-1))</f>
        <v>45387.1</v>
      </c>
      <c r="U252" s="403" t="str">
        <f ca="1">IF(SUM(U248:$EI248)=0,"",IF(U$227="","",U$227+U248-1))</f>
        <v/>
      </c>
      <c r="V252" s="403" t="str">
        <f ca="1">IF(SUM(V248:$EI248)=0,"",IF(V$227="","",V$227+V248-1))</f>
        <v/>
      </c>
      <c r="W252" s="403" t="str">
        <f ca="1">IF(SUM(W248:$EI248)=0,"",IF(W$227="","",W$227+W248-1))</f>
        <v/>
      </c>
      <c r="X252" s="403" t="str">
        <f ca="1">IF(SUM(X248:$EI248)=0,"",IF(X$227="","",X$227+X248-1))</f>
        <v/>
      </c>
      <c r="Y252" s="403" t="str">
        <f ca="1">IF(SUM(Y248:$EI248)=0,"",IF(Y$227="","",Y$227+Y248-1))</f>
        <v/>
      </c>
      <c r="Z252" s="403" t="str">
        <f ca="1">IF(SUM(Z248:$EI248)=0,"",IF(Z$227="","",Z$227+Z248-1))</f>
        <v/>
      </c>
      <c r="AA252" s="403" t="str">
        <f ca="1">IF(SUM(AA248:$EI248)=0,"",IF(AA$227="","",AA$227+AA248-1))</f>
        <v/>
      </c>
      <c r="AB252" s="403" t="str">
        <f ca="1">IF(SUM(AB248:$EI248)=0,"",IF(AB$227="","",AB$227+AB248-1))</f>
        <v/>
      </c>
      <c r="AC252" s="403" t="str">
        <f ca="1">IF(SUM(AC248:$EI248)=0,"",IF(AC$227="","",AC$227+AC248-1))</f>
        <v/>
      </c>
      <c r="AD252" s="403" t="str">
        <f ca="1">IF(SUM(AD248:$EI248)=0,"",IF(AD$227="","",AD$227+AD248-1))</f>
        <v/>
      </c>
      <c r="AE252" s="403" t="str">
        <f ca="1">IF(SUM(AE248:$EI248)=0,"",IF(AE$227="","",AE$227+AE248-1))</f>
        <v/>
      </c>
      <c r="AF252" s="403" t="str">
        <f ca="1">IF(SUM(AF248:$EI248)=0,"",IF(AF$227="","",AF$227+AF248-1))</f>
        <v/>
      </c>
      <c r="AG252" s="403" t="str">
        <f ca="1">IF(SUM(AG248:$EI248)=0,"",IF(AG$227="","",AG$227+AG248-1))</f>
        <v/>
      </c>
      <c r="AH252" s="403" t="str">
        <f ca="1">IF(SUM(AH248:$EI248)=0,"",IF(AH$227="","",AH$227+AH248-1))</f>
        <v/>
      </c>
      <c r="AI252" s="403" t="str">
        <f ca="1">IF(SUM(AI248:$EI248)=0,"",IF(AI$227="","",AI$227+AI248-1))</f>
        <v/>
      </c>
      <c r="AJ252" s="403" t="str">
        <f ca="1">IF(SUM(AJ248:$EI248)=0,"",IF(AJ$227="","",AJ$227+AJ248-1))</f>
        <v/>
      </c>
      <c r="AK252" s="403" t="str">
        <f ca="1">IF(SUM(AK248:$EI248)=0,"",IF(AK$227="","",AK$227+AK248-1))</f>
        <v/>
      </c>
      <c r="AL252" s="403" t="str">
        <f ca="1">IF(SUM(AL248:$EI248)=0,"",IF(AL$227="","",AL$227+AL248-1))</f>
        <v/>
      </c>
      <c r="AM252" s="403" t="str">
        <f ca="1">IF(SUM(AM248:$EI248)=0,"",IF(AM$227="","",AM$227+AM248-1))</f>
        <v/>
      </c>
      <c r="AN252" s="403" t="str">
        <f ca="1">IF(SUM(AN248:$EI248)=0,"",IF(AN$227="","",AN$227+AN248-1))</f>
        <v/>
      </c>
      <c r="AO252" s="403" t="str">
        <f ca="1">IF(SUM(AO248:$EI248)=0,"",IF(AO$227="","",AO$227+AO248-1))</f>
        <v/>
      </c>
      <c r="AP252" s="403" t="str">
        <f ca="1">IF(SUM(AP248:$EI248)=0,"",IF(AP$227="","",AP$227+AP248-1))</f>
        <v/>
      </c>
      <c r="AQ252" s="403" t="str">
        <f ca="1">IF(SUM(AQ248:$EI248)=0,"",IF(AQ$227="","",AQ$227+AQ248-1))</f>
        <v/>
      </c>
      <c r="AR252" s="403" t="str">
        <f ca="1">IF(SUM(AR248:$EI248)=0,"",IF(AR$227="","",AR$227+AR248-1))</f>
        <v/>
      </c>
      <c r="AS252" s="403" t="str">
        <f ca="1">IF(SUM(AS248:$EI248)=0,"",IF(AS$227="","",AS$227+AS248-1))</f>
        <v/>
      </c>
      <c r="AT252" s="403" t="str">
        <f ca="1">IF(SUM(AT248:$EI248)=0,"",IF(AT$227="","",AT$227+AT248-1))</f>
        <v/>
      </c>
      <c r="AU252" s="403" t="str">
        <f ca="1">IF(SUM(AU248:$EI248)=0,"",IF(AU$227="","",AU$227+AU248-1))</f>
        <v/>
      </c>
      <c r="AV252" s="403" t="str">
        <f ca="1">IF(SUM(AV248:$EI248)=0,"",IF(AV$227="","",AV$227+AV248-1))</f>
        <v/>
      </c>
      <c r="AW252" s="403" t="str">
        <f ca="1">IF(SUM(AW248:$EI248)=0,"",IF(AW$227="","",AW$227+AW248-1))</f>
        <v/>
      </c>
      <c r="AX252" s="403" t="str">
        <f ca="1">IF(SUM(AX248:$EI248)=0,"",IF(AX$227="","",AX$227+AX248-1))</f>
        <v/>
      </c>
      <c r="AY252" s="403" t="str">
        <f ca="1">IF(SUM(AY248:$EI248)=0,"",IF(AY$227="","",AY$227+AY248-1))</f>
        <v/>
      </c>
      <c r="AZ252" s="403" t="str">
        <f ca="1">IF(SUM(AZ248:$EI248)=0,"",IF(AZ$227="","",AZ$227+AZ248-1))</f>
        <v/>
      </c>
      <c r="BA252" s="403" t="str">
        <f ca="1">IF(SUM(BA248:$EI248)=0,"",IF(BA$227="","",BA$227+BA248-1))</f>
        <v/>
      </c>
      <c r="BB252" s="403" t="str">
        <f ca="1">IF(SUM(BB248:$EI248)=0,"",IF(BB$227="","",BB$227+BB248-1))</f>
        <v/>
      </c>
      <c r="BC252" s="403" t="str">
        <f ca="1">IF(SUM(BC248:$EI248)=0,"",IF(BC$227="","",BC$227+BC248-1))</f>
        <v/>
      </c>
      <c r="BD252" s="403" t="str">
        <f ca="1">IF(SUM(BD248:$EI248)=0,"",IF(BD$227="","",BD$227+BD248-1))</f>
        <v/>
      </c>
      <c r="BE252" s="403" t="str">
        <f ca="1">IF(SUM(BE248:$EI248)=0,"",IF(BE$227="","",BE$227+BE248-1))</f>
        <v/>
      </c>
      <c r="BF252" s="403" t="str">
        <f ca="1">IF(SUM(BF248:$EI248)=0,"",IF(BF$227="","",BF$227+BF248-1))</f>
        <v/>
      </c>
      <c r="BG252" s="403" t="str">
        <f ca="1">IF(SUM(BG248:$EI248)=0,"",IF(BG$227="","",BG$227+BG248-1))</f>
        <v/>
      </c>
      <c r="BH252" s="403" t="str">
        <f ca="1">IF(SUM(BH248:$EI248)=0,"",IF(BH$227="","",BH$227+BH248-1))</f>
        <v/>
      </c>
      <c r="BI252" s="403" t="str">
        <f ca="1">IF(SUM(BI248:$EI248)=0,"",IF(BI$227="","",BI$227+BI248-1))</f>
        <v/>
      </c>
      <c r="BJ252" s="403" t="str">
        <f ca="1">IF(SUM(BJ248:$EI248)=0,"",IF(BJ$227="","",BJ$227+BJ248-1))</f>
        <v/>
      </c>
      <c r="BK252" s="403" t="str">
        <f ca="1">IF(SUM(BK248:$EI248)=0,"",IF(BK$227="","",BK$227+BK248-1))</f>
        <v/>
      </c>
      <c r="BL252" s="403" t="str">
        <f ca="1">IF(SUM(BL248:$EI248)=0,"",IF(BL$227="","",BL$227+BL248-1))</f>
        <v/>
      </c>
      <c r="BM252" s="403" t="str">
        <f ca="1">IF(SUM(BM248:$EI248)=0,"",IF(BM$227="","",BM$227+BM248-1))</f>
        <v/>
      </c>
      <c r="BN252" s="403" t="str">
        <f ca="1">IF(SUM(BN248:$EI248)=0,"",IF(BN$227="","",BN$227+BN248-1))</f>
        <v/>
      </c>
      <c r="BO252" s="403" t="str">
        <f ca="1">IF(SUM(BO248:$EI248)=0,"",IF(BO$227="","",BO$227+BO248-1))</f>
        <v/>
      </c>
      <c r="BP252" s="403" t="str">
        <f ca="1">IF(SUM(BP248:$EI248)=0,"",IF(BP$227="","",BP$227+BP248-1))</f>
        <v/>
      </c>
      <c r="BQ252" s="403" t="str">
        <f ca="1">IF(SUM(BQ248:$EI248)=0,"",IF(BQ$227="","",BQ$227+BQ248-1))</f>
        <v/>
      </c>
      <c r="BR252" s="403" t="str">
        <f ca="1">IF(SUM(BR248:$EI248)=0,"",IF(BR$227="","",BR$227+BR248-1))</f>
        <v/>
      </c>
      <c r="BS252" s="403" t="str">
        <f ca="1">IF(SUM(BS248:$EI248)=0,"",IF(BS$227="","",BS$227+BS248-1))</f>
        <v/>
      </c>
      <c r="BT252" s="403" t="str">
        <f ca="1">IF(SUM(BT248:$EI248)=0,"",IF(BT$227="","",BT$227+BT248-1))</f>
        <v/>
      </c>
      <c r="BU252" s="403" t="str">
        <f ca="1">IF(SUM(BU248:$EI248)=0,"",IF(BU$227="","",BU$227+BU248-1))</f>
        <v/>
      </c>
      <c r="BV252" s="403" t="str">
        <f ca="1">IF(SUM(BV248:$EI248)=0,"",IF(BV$227="","",BV$227+BV248-1))</f>
        <v/>
      </c>
      <c r="BW252" s="403" t="str">
        <f ca="1">IF(SUM(BW248:$EI248)=0,"",IF(BW$227="","",BW$227+BW248-1))</f>
        <v/>
      </c>
      <c r="BX252" s="403" t="str">
        <f ca="1">IF(SUM(BX248:$EI248)=0,"",IF(BX$227="","",BX$227+BX248-1))</f>
        <v/>
      </c>
      <c r="BY252" s="403" t="str">
        <f ca="1">IF(SUM(BY248:$EI248)=0,"",IF(BY$227="","",BY$227+BY248-1))</f>
        <v/>
      </c>
      <c r="BZ252" s="403" t="str">
        <f ca="1">IF(SUM(BZ248:$EI248)=0,"",IF(BZ$227="","",BZ$227+BZ248-1))</f>
        <v/>
      </c>
      <c r="CA252" s="403" t="str">
        <f ca="1">IF(SUM(CA248:$EI248)=0,"",IF(CA$227="","",CA$227+CA248-1))</f>
        <v/>
      </c>
      <c r="CB252" s="403" t="str">
        <f ca="1">IF(SUM(CB248:$EI248)=0,"",IF(CB$227="","",CB$227+CB248-1))</f>
        <v/>
      </c>
      <c r="CC252" s="403" t="str">
        <f ca="1">IF(SUM(CC248:$EI248)=0,"",IF(CC$227="","",CC$227+CC248-1))</f>
        <v/>
      </c>
      <c r="CD252" s="403" t="str">
        <f ca="1">IF(SUM(CD248:$EI248)=0,"",IF(CD$227="","",CD$227+CD248-1))</f>
        <v/>
      </c>
      <c r="CE252" s="403" t="str">
        <f ca="1">IF(SUM(CE248:$EI248)=0,"",IF(CE$227="","",CE$227+CE248-1))</f>
        <v/>
      </c>
      <c r="CF252" s="403" t="str">
        <f ca="1">IF(SUM(CF248:$EI248)=0,"",IF(CF$227="","",CF$227+CF248-1))</f>
        <v/>
      </c>
      <c r="CG252" s="403" t="str">
        <f ca="1">IF(SUM(CG248:$EI248)=0,"",IF(CG$227="","",CG$227+CG248-1))</f>
        <v/>
      </c>
      <c r="CH252" s="403" t="str">
        <f ca="1">IF(SUM(CH248:$EI248)=0,"",IF(CH$227="","",CH$227+CH248-1))</f>
        <v/>
      </c>
      <c r="CI252" s="403" t="str">
        <f ca="1">IF(SUM(CI248:$EI248)=0,"",IF(CI$227="","",CI$227+CI248-1))</f>
        <v/>
      </c>
      <c r="CJ252" s="403" t="str">
        <f ca="1">IF(SUM(CJ248:$EI248)=0,"",IF(CJ$227="","",CJ$227+CJ248-1))</f>
        <v/>
      </c>
      <c r="CK252" s="403" t="str">
        <f ca="1">IF(SUM(CK248:$EI248)=0,"",IF(CK$227="","",CK$227+CK248-1))</f>
        <v/>
      </c>
      <c r="CL252" s="403" t="str">
        <f ca="1">IF(SUM(CL248:$EI248)=0,"",IF(CL$227="","",CL$227+CL248-1))</f>
        <v/>
      </c>
      <c r="CM252" s="403" t="str">
        <f ca="1">IF(SUM(CM248:$EI248)=0,"",IF(CM$227="","",CM$227+CM248-1))</f>
        <v/>
      </c>
      <c r="CN252" s="403" t="str">
        <f ca="1">IF(SUM(CN248:$EI248)=0,"",IF(CN$227="","",CN$227+CN248-1))</f>
        <v/>
      </c>
      <c r="CO252" s="403" t="str">
        <f ca="1">IF(SUM(CO248:$EI248)=0,"",IF(CO$227="","",CO$227+CO248-1))</f>
        <v/>
      </c>
      <c r="CP252" s="403" t="str">
        <f ca="1">IF(SUM(CP248:$EI248)=0,"",IF(CP$227="","",CP$227+CP248-1))</f>
        <v/>
      </c>
      <c r="CQ252" s="403" t="str">
        <f ca="1">IF(SUM(CQ248:$EI248)=0,"",IF(CQ$227="","",CQ$227+CQ248-1))</f>
        <v/>
      </c>
      <c r="CR252" s="403" t="str">
        <f ca="1">IF(SUM(CR248:$EI248)=0,"",IF(CR$227="","",CR$227+CR248-1))</f>
        <v/>
      </c>
      <c r="CS252" s="403" t="str">
        <f ca="1">IF(SUM(CS248:$EI248)=0,"",IF(CS$227="","",CS$227+CS248-1))</f>
        <v/>
      </c>
      <c r="CT252" s="403" t="str">
        <f ca="1">IF(SUM(CT248:$EI248)=0,"",IF(CT$227="","",CT$227+CT248-1))</f>
        <v/>
      </c>
      <c r="CU252" s="403" t="str">
        <f ca="1">IF(SUM(CU248:$EI248)=0,"",IF(CU$227="","",CU$227+CU248-1))</f>
        <v/>
      </c>
      <c r="CV252" s="403" t="str">
        <f ca="1">IF(SUM(CV248:$EI248)=0,"",IF(CV$227="","",CV$227+CV248-1))</f>
        <v/>
      </c>
      <c r="CW252" s="403" t="str">
        <f ca="1">IF(SUM(CW248:$EI248)=0,"",IF(CW$227="","",CW$227+CW248-1))</f>
        <v/>
      </c>
      <c r="CX252" s="403" t="str">
        <f ca="1">IF(SUM(CX248:$EI248)=0,"",IF(CX$227="","",CX$227+CX248-1))</f>
        <v/>
      </c>
      <c r="CY252" s="403" t="str">
        <f ca="1">IF(SUM(CY248:$EI248)=0,"",IF(CY$227="","",CY$227+CY248-1))</f>
        <v/>
      </c>
      <c r="CZ252" s="403" t="str">
        <f ca="1">IF(SUM(CZ248:$EI248)=0,"",IF(CZ$227="","",CZ$227+CZ248-1))</f>
        <v/>
      </c>
      <c r="DA252" s="403" t="str">
        <f ca="1">IF(SUM(DA248:$EI248)=0,"",IF(DA$227="","",DA$227+DA248-1))</f>
        <v/>
      </c>
      <c r="DB252" s="403" t="str">
        <f ca="1">IF(SUM(DB248:$EI248)=0,"",IF(DB$227="","",DB$227+DB248-1))</f>
        <v/>
      </c>
      <c r="DC252" s="403" t="str">
        <f ca="1">IF(SUM(DC248:$EI248)=0,"",IF(DC$227="","",DC$227+DC248-1))</f>
        <v/>
      </c>
      <c r="DD252" s="403" t="str">
        <f ca="1">IF(SUM(DD248:$EI248)=0,"",IF(DD$227="","",DD$227+DD248-1))</f>
        <v/>
      </c>
      <c r="DE252" s="403" t="str">
        <f ca="1">IF(SUM(DE248:$EI248)=0,"",IF(DE$227="","",DE$227+DE248-1))</f>
        <v/>
      </c>
      <c r="DF252" s="403" t="str">
        <f ca="1">IF(SUM(DF248:$EI248)=0,"",IF(DF$227="","",DF$227+DF248-1))</f>
        <v/>
      </c>
      <c r="DG252" s="403" t="str">
        <f ca="1">IF(SUM(DG248:$EI248)=0,"",IF(DG$227="","",DG$227+DG248-1))</f>
        <v/>
      </c>
      <c r="DH252" s="403" t="str">
        <f ca="1">IF(SUM(DH248:$EI248)=0,"",IF(DH$227="","",DH$227+DH248-1))</f>
        <v/>
      </c>
      <c r="DI252" s="403" t="str">
        <f ca="1">IF(SUM(DI248:$EI248)=0,"",IF(DI$227="","",DI$227+DI248-1))</f>
        <v/>
      </c>
      <c r="DJ252" s="403" t="str">
        <f ca="1">IF(SUM(DJ248:$EI248)=0,"",IF(DJ$227="","",DJ$227+DJ248-1))</f>
        <v/>
      </c>
      <c r="DK252" s="403" t="str">
        <f ca="1">IF(SUM(DK248:$EI248)=0,"",IF(DK$227="","",DK$227+DK248-1))</f>
        <v/>
      </c>
      <c r="DL252" s="403" t="str">
        <f ca="1">IF(SUM(DL248:$EI248)=0,"",IF(DL$227="","",DL$227+DL248-1))</f>
        <v/>
      </c>
      <c r="DM252" s="403" t="str">
        <f ca="1">IF(SUM(DM248:$EI248)=0,"",IF(DM$227="","",DM$227+DM248-1))</f>
        <v/>
      </c>
      <c r="DN252" s="403" t="str">
        <f ca="1">IF(SUM(DN248:$EI248)=0,"",IF(DN$227="","",DN$227+DN248-1))</f>
        <v/>
      </c>
      <c r="DO252" s="403" t="str">
        <f ca="1">IF(SUM(DO248:$EI248)=0,"",IF(DO$227="","",DO$227+DO248-1))</f>
        <v/>
      </c>
      <c r="DP252" s="403" t="str">
        <f ca="1">IF(SUM(DP248:$EI248)=0,"",IF(DP$227="","",DP$227+DP248-1))</f>
        <v/>
      </c>
      <c r="DQ252" s="403" t="str">
        <f ca="1">IF(SUM(DQ248:$EI248)=0,"",IF(DQ$227="","",DQ$227+DQ248-1))</f>
        <v/>
      </c>
      <c r="DR252" s="403" t="str">
        <f ca="1">IF(SUM(DR248:$EI248)=0,"",IF(DR$227="","",DR$227+DR248-1))</f>
        <v/>
      </c>
      <c r="DS252" s="403" t="str">
        <f ca="1">IF(SUM(DS248:$EI248)=0,"",IF(DS$227="","",DS$227+DS248-1))</f>
        <v/>
      </c>
      <c r="DT252" s="403" t="str">
        <f ca="1">IF(SUM(DT248:$EI248)=0,"",IF(DT$227="","",DT$227+DT248-1))</f>
        <v/>
      </c>
      <c r="DU252" s="403" t="str">
        <f ca="1">IF(SUM(DU248:$EI248)=0,"",IF(DU$227="","",DU$227+DU248-1))</f>
        <v/>
      </c>
      <c r="DV252" s="403" t="str">
        <f ca="1">IF(SUM(DV248:$EI248)=0,"",IF(DV$227="","",DV$227+DV248-1))</f>
        <v/>
      </c>
      <c r="DW252" s="403" t="str">
        <f ca="1">IF(SUM(DW248:$EI248)=0,"",IF(DW$227="","",DW$227+DW248-1))</f>
        <v/>
      </c>
      <c r="DX252" s="403" t="str">
        <f ca="1">IF(SUM(DX248:$EI248)=0,"",IF(DX$227="","",DX$227+DX248-1))</f>
        <v/>
      </c>
      <c r="DY252" s="403" t="str">
        <f ca="1">IF(SUM(DY248:$EI248)=0,"",IF(DY$227="","",DY$227+DY248-1))</f>
        <v/>
      </c>
      <c r="DZ252" s="403" t="str">
        <f ca="1">IF(SUM(DZ248:$EI248)=0,"",IF(DZ$227="","",DZ$227+DZ248-1))</f>
        <v/>
      </c>
      <c r="EA252" s="403" t="str">
        <f ca="1">IF(SUM(EA248:$EI248)=0,"",IF(EA$227="","",EA$227+EA248-1))</f>
        <v/>
      </c>
      <c r="EB252" s="403" t="str">
        <f ca="1">IF(SUM(EB248:$EI248)=0,"",IF(EB$227="","",EB$227+EB248-1))</f>
        <v/>
      </c>
      <c r="EC252" s="403" t="str">
        <f ca="1">IF(SUM(EC248:$EI248)=0,"",IF(EC$227="","",EC$227+EC248-1))</f>
        <v/>
      </c>
      <c r="ED252" s="403" t="str">
        <f ca="1">IF(SUM(ED248:$EI248)=0,"",IF(ED$227="","",ED$227+ED248-1))</f>
        <v/>
      </c>
      <c r="EE252" s="403" t="str">
        <f ca="1">IF(SUM(EE248:$EI248)=0,"",IF(EE$227="","",EE$227+EE248-1))</f>
        <v/>
      </c>
      <c r="EF252" s="403" t="str">
        <f ca="1">IF(SUM(EF248:$EI248)=0,"",IF(EF$227="","",EF$227+EF248-1))</f>
        <v/>
      </c>
      <c r="EG252" s="403" t="str">
        <f ca="1">IF(SUM(EG248:$EI248)=0,"",IF(EG$227="","",EG$227+EG248-1))</f>
        <v/>
      </c>
      <c r="EH252" s="403" t="str">
        <f ca="1">IF(SUM(EH248:$EI248)=0,"",IF(EH$227="","",EH$227+EH248-1))</f>
        <v/>
      </c>
      <c r="EI252" s="403" t="str">
        <f ca="1">IF(SUM(EI248:$EI248)=0,"",IF(EI$227="","",EI$227+EI248-1))</f>
        <v/>
      </c>
      <c r="EV252" s="321"/>
    </row>
    <row r="253" spans="1:152" hidden="1" outlineLevel="2">
      <c r="A253" s="332"/>
      <c r="B253" s="313"/>
      <c r="C253" s="308"/>
      <c r="D253" s="308" t="s">
        <v>673</v>
      </c>
      <c r="E253" s="400">
        <f>длительность!B61</f>
        <v>15</v>
      </c>
      <c r="G253" s="402"/>
      <c r="H253" s="402">
        <f t="shared" ref="H253:AM253" ca="1" si="469">IF((H239+H249)&gt;H3,H3,H249+H239)</f>
        <v>0</v>
      </c>
      <c r="I253" s="402">
        <f t="shared" ca="1" si="469"/>
        <v>0</v>
      </c>
      <c r="J253" s="402">
        <f t="shared" ca="1" si="469"/>
        <v>0</v>
      </c>
      <c r="K253" s="402">
        <f t="shared" ca="1" si="469"/>
        <v>0</v>
      </c>
      <c r="L253" s="402">
        <f t="shared" ca="1" si="469"/>
        <v>0</v>
      </c>
      <c r="M253" s="402">
        <f t="shared" ca="1" si="469"/>
        <v>0</v>
      </c>
      <c r="N253" s="402">
        <f t="shared" ca="1" si="469"/>
        <v>0</v>
      </c>
      <c r="O253" s="402">
        <f t="shared" ca="1" si="469"/>
        <v>11</v>
      </c>
      <c r="P253" s="402">
        <f t="shared" ca="1" si="469"/>
        <v>31</v>
      </c>
      <c r="Q253" s="402">
        <f t="shared" ca="1" si="469"/>
        <v>31</v>
      </c>
      <c r="R253" s="402">
        <f t="shared" ca="1" si="469"/>
        <v>29</v>
      </c>
      <c r="S253" s="402">
        <f t="shared" ca="1" si="469"/>
        <v>31</v>
      </c>
      <c r="T253" s="402">
        <f t="shared" ca="1" si="469"/>
        <v>30</v>
      </c>
      <c r="U253" s="402">
        <f t="shared" ca="1" si="469"/>
        <v>31</v>
      </c>
      <c r="V253" s="402">
        <f t="shared" ca="1" si="469"/>
        <v>30</v>
      </c>
      <c r="W253" s="402">
        <f t="shared" ca="1" si="469"/>
        <v>31</v>
      </c>
      <c r="X253" s="402">
        <f t="shared" ca="1" si="469"/>
        <v>31</v>
      </c>
      <c r="Y253" s="402">
        <f t="shared" ca="1" si="469"/>
        <v>30</v>
      </c>
      <c r="Z253" s="402">
        <f t="shared" ca="1" si="469"/>
        <v>31</v>
      </c>
      <c r="AA253" s="402">
        <f t="shared" ca="1" si="469"/>
        <v>30</v>
      </c>
      <c r="AB253" s="402">
        <f t="shared" ca="1" si="469"/>
        <v>31</v>
      </c>
      <c r="AC253" s="402">
        <f t="shared" ca="1" si="469"/>
        <v>31</v>
      </c>
      <c r="AD253" s="402">
        <f t="shared" ca="1" si="469"/>
        <v>28</v>
      </c>
      <c r="AE253" s="402">
        <f t="shared" ca="1" si="469"/>
        <v>31</v>
      </c>
      <c r="AF253" s="402">
        <f t="shared" ca="1" si="469"/>
        <v>30</v>
      </c>
      <c r="AG253" s="402">
        <f t="shared" ca="1" si="469"/>
        <v>31</v>
      </c>
      <c r="AH253" s="402">
        <f t="shared" ca="1" si="469"/>
        <v>30</v>
      </c>
      <c r="AI253" s="402">
        <f t="shared" ca="1" si="469"/>
        <v>31</v>
      </c>
      <c r="AJ253" s="402">
        <f t="shared" ca="1" si="469"/>
        <v>31</v>
      </c>
      <c r="AK253" s="402">
        <f t="shared" ca="1" si="469"/>
        <v>30</v>
      </c>
      <c r="AL253" s="402">
        <f t="shared" ca="1" si="469"/>
        <v>31</v>
      </c>
      <c r="AM253" s="402">
        <f t="shared" ca="1" si="469"/>
        <v>30</v>
      </c>
      <c r="AN253" s="402">
        <f t="shared" ref="AN253:BS253" ca="1" si="470">IF((AN239+AN249)&gt;AN3,AN3,AN249+AN239)</f>
        <v>31</v>
      </c>
      <c r="AO253" s="402">
        <f t="shared" ca="1" si="470"/>
        <v>31</v>
      </c>
      <c r="AP253" s="402">
        <f t="shared" ca="1" si="470"/>
        <v>28</v>
      </c>
      <c r="AQ253" s="402">
        <f t="shared" ca="1" si="470"/>
        <v>31</v>
      </c>
      <c r="AR253" s="402">
        <f t="shared" ca="1" si="470"/>
        <v>30</v>
      </c>
      <c r="AS253" s="402">
        <f t="shared" ca="1" si="470"/>
        <v>31</v>
      </c>
      <c r="AT253" s="402">
        <f t="shared" ca="1" si="470"/>
        <v>30</v>
      </c>
      <c r="AU253" s="402">
        <f t="shared" ca="1" si="470"/>
        <v>31</v>
      </c>
      <c r="AV253" s="402">
        <f t="shared" ca="1" si="470"/>
        <v>31</v>
      </c>
      <c r="AW253" s="402">
        <f t="shared" ca="1" si="470"/>
        <v>30</v>
      </c>
      <c r="AX253" s="402">
        <f t="shared" ca="1" si="470"/>
        <v>31</v>
      </c>
      <c r="AY253" s="402">
        <f t="shared" ca="1" si="470"/>
        <v>30</v>
      </c>
      <c r="AZ253" s="402">
        <f t="shared" ca="1" si="470"/>
        <v>31</v>
      </c>
      <c r="BA253" s="402">
        <f t="shared" ca="1" si="470"/>
        <v>31</v>
      </c>
      <c r="BB253" s="402">
        <f t="shared" ca="1" si="470"/>
        <v>28</v>
      </c>
      <c r="BC253" s="402">
        <f t="shared" ca="1" si="470"/>
        <v>31</v>
      </c>
      <c r="BD253" s="402">
        <f t="shared" ca="1" si="470"/>
        <v>30</v>
      </c>
      <c r="BE253" s="402">
        <f t="shared" ca="1" si="470"/>
        <v>31</v>
      </c>
      <c r="BF253" s="402">
        <f t="shared" ca="1" si="470"/>
        <v>30</v>
      </c>
      <c r="BG253" s="402">
        <f t="shared" ca="1" si="470"/>
        <v>31</v>
      </c>
      <c r="BH253" s="402">
        <f t="shared" ca="1" si="470"/>
        <v>31</v>
      </c>
      <c r="BI253" s="402">
        <f t="shared" ca="1" si="470"/>
        <v>30</v>
      </c>
      <c r="BJ253" s="402">
        <f t="shared" ca="1" si="470"/>
        <v>31</v>
      </c>
      <c r="BK253" s="402">
        <f t="shared" ca="1" si="470"/>
        <v>30</v>
      </c>
      <c r="BL253" s="402">
        <f t="shared" ca="1" si="470"/>
        <v>31</v>
      </c>
      <c r="BM253" s="402">
        <f t="shared" ca="1" si="470"/>
        <v>31</v>
      </c>
      <c r="BN253" s="402">
        <f t="shared" ca="1" si="470"/>
        <v>29</v>
      </c>
      <c r="BO253" s="402">
        <f t="shared" ca="1" si="470"/>
        <v>31</v>
      </c>
      <c r="BP253" s="402">
        <f t="shared" ca="1" si="470"/>
        <v>30</v>
      </c>
      <c r="BQ253" s="402">
        <f t="shared" ca="1" si="470"/>
        <v>31</v>
      </c>
      <c r="BR253" s="402">
        <f t="shared" ca="1" si="470"/>
        <v>30</v>
      </c>
      <c r="BS253" s="402">
        <f t="shared" ca="1" si="470"/>
        <v>31</v>
      </c>
      <c r="BT253" s="402">
        <f t="shared" ref="BT253:CY253" ca="1" si="471">IF((BT239+BT249)&gt;BT3,BT3,BT249+BT239)</f>
        <v>31</v>
      </c>
      <c r="BU253" s="402">
        <f t="shared" ca="1" si="471"/>
        <v>30</v>
      </c>
      <c r="BV253" s="402">
        <f t="shared" ca="1" si="471"/>
        <v>31</v>
      </c>
      <c r="BW253" s="402">
        <f t="shared" ca="1" si="471"/>
        <v>30</v>
      </c>
      <c r="BX253" s="402">
        <f t="shared" ca="1" si="471"/>
        <v>31</v>
      </c>
      <c r="BY253" s="402">
        <f t="shared" ca="1" si="471"/>
        <v>31</v>
      </c>
      <c r="BZ253" s="402">
        <f t="shared" ca="1" si="471"/>
        <v>28</v>
      </c>
      <c r="CA253" s="402">
        <f t="shared" ca="1" si="471"/>
        <v>31</v>
      </c>
      <c r="CB253" s="402">
        <f t="shared" ca="1" si="471"/>
        <v>30</v>
      </c>
      <c r="CC253" s="402">
        <f t="shared" ca="1" si="471"/>
        <v>31</v>
      </c>
      <c r="CD253" s="402">
        <f t="shared" ca="1" si="471"/>
        <v>30</v>
      </c>
      <c r="CE253" s="402">
        <f t="shared" ca="1" si="471"/>
        <v>31</v>
      </c>
      <c r="CF253" s="402">
        <f t="shared" ca="1" si="471"/>
        <v>31</v>
      </c>
      <c r="CG253" s="402">
        <f t="shared" ca="1" si="471"/>
        <v>30</v>
      </c>
      <c r="CH253" s="402">
        <f t="shared" ca="1" si="471"/>
        <v>31</v>
      </c>
      <c r="CI253" s="402">
        <f t="shared" ca="1" si="471"/>
        <v>30</v>
      </c>
      <c r="CJ253" s="402">
        <f t="shared" ca="1" si="471"/>
        <v>31</v>
      </c>
      <c r="CK253" s="402">
        <f t="shared" ca="1" si="471"/>
        <v>31</v>
      </c>
      <c r="CL253" s="402">
        <f t="shared" ca="1" si="471"/>
        <v>28</v>
      </c>
      <c r="CM253" s="402">
        <f t="shared" ca="1" si="471"/>
        <v>31</v>
      </c>
      <c r="CN253" s="402">
        <f t="shared" ca="1" si="471"/>
        <v>30</v>
      </c>
      <c r="CO253" s="402">
        <f t="shared" ca="1" si="471"/>
        <v>31</v>
      </c>
      <c r="CP253" s="402">
        <f t="shared" ca="1" si="471"/>
        <v>30</v>
      </c>
      <c r="CQ253" s="402">
        <f t="shared" ca="1" si="471"/>
        <v>31</v>
      </c>
      <c r="CR253" s="402">
        <f t="shared" ca="1" si="471"/>
        <v>31</v>
      </c>
      <c r="CS253" s="402">
        <f t="shared" ca="1" si="471"/>
        <v>30</v>
      </c>
      <c r="CT253" s="402">
        <f t="shared" ca="1" si="471"/>
        <v>31</v>
      </c>
      <c r="CU253" s="402">
        <f t="shared" ca="1" si="471"/>
        <v>30</v>
      </c>
      <c r="CV253" s="402">
        <f t="shared" ca="1" si="471"/>
        <v>31</v>
      </c>
      <c r="CW253" s="402">
        <f t="shared" ca="1" si="471"/>
        <v>31</v>
      </c>
      <c r="CX253" s="402">
        <f t="shared" ca="1" si="471"/>
        <v>28</v>
      </c>
      <c r="CY253" s="402">
        <f t="shared" ca="1" si="471"/>
        <v>31</v>
      </c>
      <c r="CZ253" s="402">
        <f t="shared" ref="CZ253:EI253" ca="1" si="472">IF((CZ239+CZ249)&gt;CZ3,CZ3,CZ249+CZ239)</f>
        <v>30</v>
      </c>
      <c r="DA253" s="402">
        <f t="shared" ca="1" si="472"/>
        <v>31</v>
      </c>
      <c r="DB253" s="402">
        <f t="shared" ca="1" si="472"/>
        <v>30</v>
      </c>
      <c r="DC253" s="402">
        <f t="shared" ca="1" si="472"/>
        <v>31</v>
      </c>
      <c r="DD253" s="402">
        <f t="shared" ca="1" si="472"/>
        <v>31</v>
      </c>
      <c r="DE253" s="402">
        <f t="shared" ca="1" si="472"/>
        <v>30</v>
      </c>
      <c r="DF253" s="402">
        <f t="shared" ca="1" si="472"/>
        <v>31</v>
      </c>
      <c r="DG253" s="402">
        <f t="shared" ca="1" si="472"/>
        <v>30</v>
      </c>
      <c r="DH253" s="402">
        <f t="shared" ca="1" si="472"/>
        <v>31</v>
      </c>
      <c r="DI253" s="402">
        <f t="shared" ca="1" si="472"/>
        <v>31</v>
      </c>
      <c r="DJ253" s="402">
        <f t="shared" ca="1" si="472"/>
        <v>29</v>
      </c>
      <c r="DK253" s="402">
        <f t="shared" ca="1" si="472"/>
        <v>31</v>
      </c>
      <c r="DL253" s="402">
        <f t="shared" ca="1" si="472"/>
        <v>30</v>
      </c>
      <c r="DM253" s="402">
        <f t="shared" ca="1" si="472"/>
        <v>31</v>
      </c>
      <c r="DN253" s="402">
        <f t="shared" ca="1" si="472"/>
        <v>30</v>
      </c>
      <c r="DO253" s="402">
        <f t="shared" ca="1" si="472"/>
        <v>31</v>
      </c>
      <c r="DP253" s="402">
        <f t="shared" ca="1" si="472"/>
        <v>31</v>
      </c>
      <c r="DQ253" s="402">
        <f t="shared" ca="1" si="472"/>
        <v>30</v>
      </c>
      <c r="DR253" s="402">
        <f t="shared" ca="1" si="472"/>
        <v>31</v>
      </c>
      <c r="DS253" s="402">
        <f t="shared" ca="1" si="472"/>
        <v>30</v>
      </c>
      <c r="DT253" s="402">
        <f t="shared" ca="1" si="472"/>
        <v>31</v>
      </c>
      <c r="DU253" s="402">
        <f t="shared" ca="1" si="472"/>
        <v>31</v>
      </c>
      <c r="DV253" s="402">
        <f t="shared" ca="1" si="472"/>
        <v>28</v>
      </c>
      <c r="DW253" s="402">
        <f t="shared" ca="1" si="472"/>
        <v>31</v>
      </c>
      <c r="DX253" s="402">
        <f t="shared" ca="1" si="472"/>
        <v>30</v>
      </c>
      <c r="DY253" s="402">
        <f t="shared" ca="1" si="472"/>
        <v>31</v>
      </c>
      <c r="DZ253" s="402">
        <f t="shared" ca="1" si="472"/>
        <v>30</v>
      </c>
      <c r="EA253" s="402">
        <f t="shared" ca="1" si="472"/>
        <v>31</v>
      </c>
      <c r="EB253" s="402">
        <f t="shared" ca="1" si="472"/>
        <v>31</v>
      </c>
      <c r="EC253" s="402">
        <f t="shared" ca="1" si="472"/>
        <v>30</v>
      </c>
      <c r="ED253" s="402">
        <f t="shared" ca="1" si="472"/>
        <v>31</v>
      </c>
      <c r="EE253" s="402">
        <f t="shared" ca="1" si="472"/>
        <v>30</v>
      </c>
      <c r="EF253" s="402">
        <f t="shared" ca="1" si="472"/>
        <v>31</v>
      </c>
      <c r="EG253" s="402">
        <f t="shared" ca="1" si="472"/>
        <v>31</v>
      </c>
      <c r="EH253" s="402">
        <f t="shared" ca="1" si="472"/>
        <v>28</v>
      </c>
      <c r="EI253" s="402">
        <f t="shared" ca="1" si="472"/>
        <v>31</v>
      </c>
    </row>
    <row r="254" spans="1:152" outlineLevel="1" collapsed="1">
      <c r="A254" s="332"/>
      <c r="B254" s="313"/>
      <c r="C254" s="317" t="s">
        <v>54</v>
      </c>
      <c r="D254" s="317" t="s">
        <v>27</v>
      </c>
      <c r="E254" s="400">
        <f ca="1">IF(ГРП!B12=0,длительность!C51,ГРП!B12)</f>
        <v>110</v>
      </c>
      <c r="F254" s="318">
        <f ca="1">E254-SUM(G254:EJ254)</f>
        <v>0</v>
      </c>
      <c r="G254" s="401"/>
      <c r="H254" s="401">
        <f ca="1">IF(SUM($G254:G254)&gt;=$E254,0,IF($E254-SUM($G254:G254)&gt;H255,H255,$E254-SUM($G255:G255)))</f>
        <v>0</v>
      </c>
      <c r="I254" s="401">
        <f ca="1">IF(SUM($G254:H254)&gt;=$E254,0,IF($E254-SUM($G254:H254)&gt;I255,I255,$E254-SUM($G255:H255)))</f>
        <v>0</v>
      </c>
      <c r="J254" s="401">
        <f ca="1">IF(SUM($G254:I254)&gt;=$E254,0,IF($E254-SUM($G254:I254)&gt;J255,J255,$E254-SUM($G255:I255)))</f>
        <v>0</v>
      </c>
      <c r="K254" s="401">
        <f ca="1">IF(SUM($G254:J254)&gt;=$E254,0,IF($E254-SUM($G254:J254)&gt;K255,K255,$E254-SUM($G255:J255)))</f>
        <v>0</v>
      </c>
      <c r="L254" s="401">
        <f ca="1">IF(SUM($G254:K254)&gt;=$E254,0,IF($E254-SUM($G254:K254)&gt;L255,L255,$E254-SUM($G255:K255)))</f>
        <v>0</v>
      </c>
      <c r="M254" s="401">
        <f ca="1">IF(SUM($G254:L254)&gt;=$E254,0,IF($E254-SUM($G254:L254)&gt;M255,M255,$E254-SUM($G255:L255)))</f>
        <v>0</v>
      </c>
      <c r="N254" s="401">
        <f ca="1">IF(SUM($G254:M254)&gt;=$E254,0,IF($E254-SUM($G254:M254)&gt;N255,N255,$E254-SUM($G255:M255)))</f>
        <v>0</v>
      </c>
      <c r="O254" s="401">
        <f ca="1">IF(SUM($G254:N254)&gt;=$E254,0,IF($E254-SUM($G254:N254)&gt;O255,O255,$E254-SUM($G255:N255)))</f>
        <v>0</v>
      </c>
      <c r="P254" s="401">
        <f ca="1">IF(SUM($G254:O254)&gt;=$E254,0,IF($E254-SUM($G254:O254)&gt;P255,P255,$E254-SUM($G255:O255)))</f>
        <v>0</v>
      </c>
      <c r="Q254" s="401">
        <f ca="1">IF(SUM($G254:P254)&gt;=$E254,0,IF($E254-SUM($G254:P254)&gt;Q255,Q255,$E254-SUM($G255:P255)))</f>
        <v>0</v>
      </c>
      <c r="R254" s="401">
        <f ca="1">IF(SUM($G254:Q254)&gt;=$E254,0,IF($E254-SUM($G254:Q254)&gt;R255,R255,$E254-SUM($G255:Q255)))</f>
        <v>0</v>
      </c>
      <c r="S254" s="401">
        <f ca="1">IF(SUM($G254:R254)&gt;=$E254,0,IF($E254-SUM($G254:R254)&gt;S255,S255,$E254-SUM($G255:R255)))</f>
        <v>0</v>
      </c>
      <c r="T254" s="401">
        <f ca="1">IF(SUM($G254:S254)&gt;=$E254,0,IF($E254-SUM($G254:S254)&gt;T255,T255,$E254-SUM($G255:S255)))</f>
        <v>0</v>
      </c>
      <c r="U254" s="401">
        <f ca="1">IF(SUM($G254:T254)&gt;=$E254,0,IF($E254-SUM($G254:T254)&gt;U255,U255,$E254-SUM($G255:T255)))</f>
        <v>14</v>
      </c>
      <c r="V254" s="401">
        <f ca="1">IF(SUM($G254:U254)&gt;=$E254,0,IF($E254-SUM($G254:U254)&gt;V255,V255,$E254-SUM($G255:U255)))</f>
        <v>30</v>
      </c>
      <c r="W254" s="401">
        <f ca="1">IF(SUM($G254:V254)&gt;=$E254,0,IF($E254-SUM($G254:V254)&gt;W255,W255,$E254-SUM($G255:V255)))</f>
        <v>31</v>
      </c>
      <c r="X254" s="401">
        <f ca="1">IF(SUM($G254:W254)&gt;=$E254,0,IF($E254-SUM($G254:W254)&gt;X255,X255,$E254-SUM($G255:W255)))</f>
        <v>31</v>
      </c>
      <c r="Y254" s="401">
        <f ca="1">IF(SUM($G254:X254)&gt;=$E254,0,IF($E254-SUM($G254:X254)&gt;Y255,Y255,$E254-SUM($G255:X255)))</f>
        <v>4</v>
      </c>
      <c r="Z254" s="401">
        <f ca="1">IF(SUM($G254:Y254)&gt;=$E254,0,IF($E254-SUM($G254:Y254)&gt;Z255,Z255,$E254-SUM($G255:Y255)))</f>
        <v>0</v>
      </c>
      <c r="AA254" s="401">
        <f ca="1">IF(SUM($G254:Z254)&gt;=$E254,0,IF($E254-SUM($G254:Z254)&gt;AA255,AA255,$E254-SUM($G255:Z255)))</f>
        <v>0</v>
      </c>
      <c r="AB254" s="401">
        <f ca="1">IF(SUM($G254:AA254)&gt;=$E254,0,IF($E254-SUM($G254:AA254)&gt;AB255,AB255,$E254-SUM($G255:AA255)))</f>
        <v>0</v>
      </c>
      <c r="AC254" s="401">
        <f ca="1">IF(SUM($G254:AB254)&gt;=$E254,0,IF($E254-SUM($G254:AB254)&gt;AC255,AC255,$E254-SUM($G255:AB255)))</f>
        <v>0</v>
      </c>
      <c r="AD254" s="401">
        <f ca="1">IF(SUM($G254:AC254)&gt;=$E254,0,IF($E254-SUM($G254:AC254)&gt;AD255,AD255,$E254-SUM($G255:AC255)))</f>
        <v>0</v>
      </c>
      <c r="AE254" s="401">
        <f ca="1">IF(SUM($G254:AD254)&gt;=$E254,0,IF($E254-SUM($G254:AD254)&gt;AE255,AE255,$E254-SUM($G255:AD255)))</f>
        <v>0</v>
      </c>
      <c r="AF254" s="401">
        <f ca="1">IF(SUM($G254:AE254)&gt;=$E254,0,IF($E254-SUM($G254:AE254)&gt;AF255,AF255,$E254-SUM($G255:AE255)))</f>
        <v>0</v>
      </c>
      <c r="AG254" s="401">
        <f ca="1">IF(SUM($G254:AF254)&gt;=$E254,0,IF($E254-SUM($G254:AF254)&gt;AG255,AG255,$E254-SUM($G255:AF255)))</f>
        <v>0</v>
      </c>
      <c r="AH254" s="401">
        <f ca="1">IF(SUM($G254:AG254)&gt;=$E254,0,IF($E254-SUM($G254:AG254)&gt;AH255,AH255,$E254-SUM($G255:AG255)))</f>
        <v>0</v>
      </c>
      <c r="AI254" s="401">
        <f ca="1">IF(SUM($G254:AH254)&gt;=$E254,0,IF($E254-SUM($G254:AH254)&gt;AI255,AI255,$E254-SUM($G255:AH255)))</f>
        <v>0</v>
      </c>
      <c r="AJ254" s="401">
        <f ca="1">IF(SUM($G254:AI254)&gt;=$E254,0,IF($E254-SUM($G254:AI254)&gt;AJ255,AJ255,$E254-SUM($G255:AI255)))</f>
        <v>0</v>
      </c>
      <c r="AK254" s="401">
        <f ca="1">IF(SUM($G254:AJ254)&gt;=$E254,0,IF($E254-SUM($G254:AJ254)&gt;AK255,AK255,$E254-SUM($G255:AJ255)))</f>
        <v>0</v>
      </c>
      <c r="AL254" s="401">
        <f ca="1">IF(SUM($G254:AK254)&gt;=$E254,0,IF($E254-SUM($G254:AK254)&gt;AL255,AL255,$E254-SUM($G255:AK255)))</f>
        <v>0</v>
      </c>
      <c r="AM254" s="401">
        <f ca="1">IF(SUM($G254:AL254)&gt;=$E254,0,IF($E254-SUM($G254:AL254)&gt;AM255,AM255,$E254-SUM($G255:AL255)))</f>
        <v>0</v>
      </c>
      <c r="AN254" s="401">
        <f ca="1">IF(SUM($G254:AM254)&gt;=$E254,0,IF($E254-SUM($G254:AM254)&gt;AN255,AN255,$E254-SUM($G255:AM255)))</f>
        <v>0</v>
      </c>
      <c r="AO254" s="401">
        <f ca="1">IF(SUM($G254:AN254)&gt;=$E254,0,IF($E254-SUM($G254:AN254)&gt;AO255,AO255,$E254-SUM($G255:AN255)))</f>
        <v>0</v>
      </c>
      <c r="AP254" s="401">
        <f ca="1">IF(SUM($G254:AO254)&gt;=$E254,0,IF($E254-SUM($G254:AO254)&gt;AP255,AP255,$E254-SUM($G255:AO255)))</f>
        <v>0</v>
      </c>
      <c r="AQ254" s="401">
        <f ca="1">IF(SUM($G254:AP254)&gt;=$E254,0,IF($E254-SUM($G254:AP254)&gt;AQ255,AQ255,$E254-SUM($G255:AP255)))</f>
        <v>0</v>
      </c>
      <c r="AR254" s="401">
        <f ca="1">IF(SUM($G254:AQ254)&gt;=$E254,0,IF($E254-SUM($G254:AQ254)&gt;AR255,AR255,$E254-SUM($G255:AQ255)))</f>
        <v>0</v>
      </c>
      <c r="AS254" s="401">
        <f ca="1">IF(SUM($G254:AR254)&gt;=$E254,0,IF($E254-SUM($G254:AR254)&gt;AS255,AS255,$E254-SUM($G255:AR255)))</f>
        <v>0</v>
      </c>
      <c r="AT254" s="401">
        <f ca="1">IF(SUM($G254:AS254)&gt;=$E254,0,IF($E254-SUM($G254:AS254)&gt;AT255,AT255,$E254-SUM($G255:AS255)))</f>
        <v>0</v>
      </c>
      <c r="AU254" s="401">
        <f ca="1">IF(SUM($G254:AT254)&gt;=$E254,0,IF($E254-SUM($G254:AT254)&gt;AU255,AU255,$E254-SUM($G255:AT255)))</f>
        <v>0</v>
      </c>
      <c r="AV254" s="401">
        <f ca="1">IF(SUM($G254:AU254)&gt;=$E254,0,IF($E254-SUM($G254:AU254)&gt;AV255,AV255,$E254-SUM($G255:AU255)))</f>
        <v>0</v>
      </c>
      <c r="AW254" s="401">
        <f ca="1">IF(SUM($G254:AV254)&gt;=$E254,0,IF($E254-SUM($G254:AV254)&gt;AW255,AW255,$E254-SUM($G255:AV255)))</f>
        <v>0</v>
      </c>
      <c r="AX254" s="401">
        <f ca="1">IF(SUM($G254:AW254)&gt;=$E254,0,IF($E254-SUM($G254:AW254)&gt;AX255,AX255,$E254-SUM($G255:AW255)))</f>
        <v>0</v>
      </c>
      <c r="AY254" s="401">
        <f ca="1">IF(SUM($G254:AX254)&gt;=$E254,0,IF($E254-SUM($G254:AX254)&gt;AY255,AY255,$E254-SUM($G255:AX255)))</f>
        <v>0</v>
      </c>
      <c r="AZ254" s="401">
        <f ca="1">IF(SUM($G254:AY254)&gt;=$E254,0,IF($E254-SUM($G254:AY254)&gt;AZ255,AZ255,$E254-SUM($G255:AY255)))</f>
        <v>0</v>
      </c>
      <c r="BA254" s="401">
        <f ca="1">IF(SUM($G254:AZ254)&gt;=$E254,0,IF($E254-SUM($G254:AZ254)&gt;BA255,BA255,$E254-SUM($G255:AZ255)))</f>
        <v>0</v>
      </c>
      <c r="BB254" s="401">
        <f ca="1">IF(SUM($G254:BA254)&gt;=$E254,0,IF($E254-SUM($G254:BA254)&gt;BB255,BB255,$E254-SUM($G255:BA255)))</f>
        <v>0</v>
      </c>
      <c r="BC254" s="401">
        <f ca="1">IF(SUM($G254:BB254)&gt;=$E254,0,IF($E254-SUM($G254:BB254)&gt;BC255,BC255,$E254-SUM($G255:BB255)))</f>
        <v>0</v>
      </c>
      <c r="BD254" s="401">
        <f ca="1">IF(SUM($G254:BC254)&gt;=$E254,0,IF($E254-SUM($G254:BC254)&gt;BD255,BD255,$E254-SUM($G255:BC255)))</f>
        <v>0</v>
      </c>
      <c r="BE254" s="401">
        <f ca="1">IF(SUM($G254:BD254)&gt;=$E254,0,IF($E254-SUM($G254:BD254)&gt;BE255,BE255,$E254-SUM($G255:BD255)))</f>
        <v>0</v>
      </c>
      <c r="BF254" s="401">
        <f ca="1">IF(SUM($G254:BE254)&gt;=$E254,0,IF($E254-SUM($G254:BE254)&gt;BF255,BF255,$E254-SUM($G255:BE255)))</f>
        <v>0</v>
      </c>
      <c r="BG254" s="401">
        <f ca="1">IF(SUM($G254:BF254)&gt;=$E254,0,IF($E254-SUM($G254:BF254)&gt;BG255,BG255,$E254-SUM($G255:BF255)))</f>
        <v>0</v>
      </c>
      <c r="BH254" s="401">
        <f ca="1">IF(SUM($G254:BG254)&gt;=$E254,0,IF($E254-SUM($G254:BG254)&gt;BH255,BH255,$E254-SUM($G255:BG255)))</f>
        <v>0</v>
      </c>
      <c r="BI254" s="401">
        <f ca="1">IF(SUM($G254:BH254)&gt;=$E254,0,IF($E254-SUM($G254:BH254)&gt;BI255,BI255,$E254-SUM($G255:BH255)))</f>
        <v>0</v>
      </c>
      <c r="BJ254" s="401">
        <f ca="1">IF(SUM($G254:BI254)&gt;=$E254,0,IF($E254-SUM($G254:BI254)&gt;BJ255,BJ255,$E254-SUM($G255:BI255)))</f>
        <v>0</v>
      </c>
      <c r="BK254" s="401">
        <f ca="1">IF(SUM($G254:BJ254)&gt;=$E254,0,IF($E254-SUM($G254:BJ254)&gt;BK255,BK255,$E254-SUM($G255:BJ255)))</f>
        <v>0</v>
      </c>
      <c r="BL254" s="401">
        <f ca="1">IF(SUM($G254:BK254)&gt;=$E254,0,IF($E254-SUM($G254:BK254)&gt;BL255,BL255,$E254-SUM($G255:BK255)))</f>
        <v>0</v>
      </c>
      <c r="BM254" s="401">
        <f ca="1">IF(SUM($G254:BL254)&gt;=$E254,0,IF($E254-SUM($G254:BL254)&gt;BM255,BM255,$E254-SUM($G255:BL255)))</f>
        <v>0</v>
      </c>
      <c r="BN254" s="401">
        <f ca="1">IF(SUM($G254:BM254)&gt;=$E254,0,IF($E254-SUM($G254:BM254)&gt;BN255,BN255,$E254-SUM($G255:BM255)))</f>
        <v>0</v>
      </c>
      <c r="BO254" s="401">
        <f ca="1">IF(SUM($G254:BN254)&gt;=$E254,0,IF($E254-SUM($G254:BN254)&gt;BO255,BO255,$E254-SUM($G255:BN255)))</f>
        <v>0</v>
      </c>
      <c r="BP254" s="401">
        <f ca="1">IF(SUM($G254:BO254)&gt;=$E254,0,IF($E254-SUM($G254:BO254)&gt;BP255,BP255,$E254-SUM($G255:BO255)))</f>
        <v>0</v>
      </c>
      <c r="BQ254" s="401">
        <f ca="1">IF(SUM($G254:BP254)&gt;=$E254,0,IF($E254-SUM($G254:BP254)&gt;BQ255,BQ255,$E254-SUM($G255:BP255)))</f>
        <v>0</v>
      </c>
      <c r="BR254" s="401">
        <f ca="1">IF(SUM($G254:BQ254)&gt;=$E254,0,IF($E254-SUM($G254:BQ254)&gt;BR255,BR255,$E254-SUM($G255:BQ255)))</f>
        <v>0</v>
      </c>
      <c r="BS254" s="401">
        <f ca="1">IF(SUM($G254:BR254)&gt;=$E254,0,IF($E254-SUM($G254:BR254)&gt;BS255,BS255,$E254-SUM($G255:BR255)))</f>
        <v>0</v>
      </c>
      <c r="BT254" s="401">
        <f ca="1">IF(SUM($G254:BS254)&gt;=$E254,0,IF($E254-SUM($G254:BS254)&gt;BT255,BT255,$E254-SUM($G255:BS255)))</f>
        <v>0</v>
      </c>
      <c r="BU254" s="401">
        <f ca="1">IF(SUM($G254:BT254)&gt;=$E254,0,IF($E254-SUM($G254:BT254)&gt;BU255,BU255,$E254-SUM($G255:BT255)))</f>
        <v>0</v>
      </c>
      <c r="BV254" s="401">
        <f ca="1">IF(SUM($G254:BU254)&gt;=$E254,0,IF($E254-SUM($G254:BU254)&gt;BV255,BV255,$E254-SUM($G255:BU255)))</f>
        <v>0</v>
      </c>
      <c r="BW254" s="401">
        <f ca="1">IF(SUM($G254:BV254)&gt;=$E254,0,IF($E254-SUM($G254:BV254)&gt;BW255,BW255,$E254-SUM($G255:BV255)))</f>
        <v>0</v>
      </c>
      <c r="BX254" s="401">
        <f ca="1">IF(SUM($G254:BW254)&gt;=$E254,0,IF($E254-SUM($G254:BW254)&gt;BX255,BX255,$E254-SUM($G255:BW255)))</f>
        <v>0</v>
      </c>
      <c r="BY254" s="401">
        <f ca="1">IF(SUM($G254:BX254)&gt;=$E254,0,IF($E254-SUM($G254:BX254)&gt;BY255,BY255,$E254-SUM($G255:BX255)))</f>
        <v>0</v>
      </c>
      <c r="BZ254" s="401">
        <f ca="1">IF(SUM($G254:BY254)&gt;=$E254,0,IF($E254-SUM($G254:BY254)&gt;BZ255,BZ255,$E254-SUM($G255:BY255)))</f>
        <v>0</v>
      </c>
      <c r="CA254" s="401">
        <f ca="1">IF(SUM($G254:BZ254)&gt;=$E254,0,IF($E254-SUM($G254:BZ254)&gt;CA255,CA255,$E254-SUM($G255:BZ255)))</f>
        <v>0</v>
      </c>
      <c r="CB254" s="401">
        <f ca="1">IF(SUM($G254:CA254)&gt;=$E254,0,IF($E254-SUM($G254:CA254)&gt;CB255,CB255,$E254-SUM($G255:CA255)))</f>
        <v>0</v>
      </c>
      <c r="CC254" s="401">
        <f ca="1">IF(SUM($G254:CB254)&gt;=$E254,0,IF($E254-SUM($G254:CB254)&gt;CC255,CC255,$E254-SUM($G255:CB255)))</f>
        <v>0</v>
      </c>
      <c r="CD254" s="401">
        <f ca="1">IF(SUM($G254:CC254)&gt;=$E254,0,IF($E254-SUM($G254:CC254)&gt;CD255,CD255,$E254-SUM($G255:CC255)))</f>
        <v>0</v>
      </c>
      <c r="CE254" s="401">
        <f ca="1">IF(SUM($G254:CD254)&gt;=$E254,0,IF($E254-SUM($G254:CD254)&gt;CE255,CE255,$E254-SUM($G255:CD255)))</f>
        <v>0</v>
      </c>
      <c r="CF254" s="401">
        <f ca="1">IF(SUM($G254:CE254)&gt;=$E254,0,IF($E254-SUM($G254:CE254)&gt;CF255,CF255,$E254-SUM($G255:CE255)))</f>
        <v>0</v>
      </c>
      <c r="CG254" s="401">
        <f ca="1">IF(SUM($G254:CF254)&gt;=$E254,0,IF($E254-SUM($G254:CF254)&gt;CG255,CG255,$E254-SUM($G255:CF255)))</f>
        <v>0</v>
      </c>
      <c r="CH254" s="401">
        <f ca="1">IF(SUM($G254:CG254)&gt;=$E254,0,IF($E254-SUM($G254:CG254)&gt;CH255,CH255,$E254-SUM($G255:CG255)))</f>
        <v>0</v>
      </c>
      <c r="CI254" s="401">
        <f ca="1">IF(SUM($G254:CH254)&gt;=$E254,0,IF($E254-SUM($G254:CH254)&gt;CI255,CI255,$E254-SUM($G255:CH255)))</f>
        <v>0</v>
      </c>
      <c r="CJ254" s="401">
        <f ca="1">IF(SUM($G254:CI254)&gt;=$E254,0,IF($E254-SUM($G254:CI254)&gt;CJ255,CJ255,$E254-SUM($G255:CI255)))</f>
        <v>0</v>
      </c>
      <c r="CK254" s="401">
        <f ca="1">IF(SUM($G254:CJ254)&gt;=$E254,0,IF($E254-SUM($G254:CJ254)&gt;CK255,CK255,$E254-SUM($G255:CJ255)))</f>
        <v>0</v>
      </c>
      <c r="CL254" s="401">
        <f ca="1">IF(SUM($G254:CK254)&gt;=$E254,0,IF($E254-SUM($G254:CK254)&gt;CL255,CL255,$E254-SUM($G255:CK255)))</f>
        <v>0</v>
      </c>
      <c r="CM254" s="401">
        <f ca="1">IF(SUM($G254:CL254)&gt;=$E254,0,IF($E254-SUM($G254:CL254)&gt;CM255,CM255,$E254-SUM($G255:CL255)))</f>
        <v>0</v>
      </c>
      <c r="CN254" s="401">
        <f ca="1">IF(SUM($G254:CM254)&gt;=$E254,0,IF($E254-SUM($G254:CM254)&gt;CN255,CN255,$E254-SUM($G255:CM255)))</f>
        <v>0</v>
      </c>
      <c r="CO254" s="401">
        <f ca="1">IF(SUM($G254:CN254)&gt;=$E254,0,IF($E254-SUM($G254:CN254)&gt;CO255,CO255,$E254-SUM($G255:CN255)))</f>
        <v>0</v>
      </c>
      <c r="CP254" s="401">
        <f ca="1">IF(SUM($G254:CO254)&gt;=$E254,0,IF($E254-SUM($G254:CO254)&gt;CP255,CP255,$E254-SUM($G255:CO255)))</f>
        <v>0</v>
      </c>
      <c r="CQ254" s="401">
        <f ca="1">IF(SUM($G254:CP254)&gt;=$E254,0,IF($E254-SUM($G254:CP254)&gt;CQ255,CQ255,$E254-SUM($G255:CP255)))</f>
        <v>0</v>
      </c>
      <c r="CR254" s="401">
        <f ca="1">IF(SUM($G254:CQ254)&gt;=$E254,0,IF($E254-SUM($G254:CQ254)&gt;CR255,CR255,$E254-SUM($G255:CQ255)))</f>
        <v>0</v>
      </c>
      <c r="CS254" s="401">
        <f ca="1">IF(SUM($G254:CR254)&gt;=$E254,0,IF($E254-SUM($G254:CR254)&gt;CS255,CS255,$E254-SUM($G255:CR255)))</f>
        <v>0</v>
      </c>
      <c r="CT254" s="401">
        <f ca="1">IF(SUM($G254:CS254)&gt;=$E254,0,IF($E254-SUM($G254:CS254)&gt;CT255,CT255,$E254-SUM($G255:CS255)))</f>
        <v>0</v>
      </c>
      <c r="CU254" s="401">
        <f ca="1">IF(SUM($G254:CT254)&gt;=$E254,0,IF($E254-SUM($G254:CT254)&gt;CU255,CU255,$E254-SUM($G255:CT255)))</f>
        <v>0</v>
      </c>
      <c r="CV254" s="401">
        <f ca="1">IF(SUM($G254:CU254)&gt;=$E254,0,IF($E254-SUM($G254:CU254)&gt;CV255,CV255,$E254-SUM($G255:CU255)))</f>
        <v>0</v>
      </c>
      <c r="CW254" s="401">
        <f ca="1">IF(SUM($G254:CV254)&gt;=$E254,0,IF($E254-SUM($G254:CV254)&gt;CW255,CW255,$E254-SUM($G255:CV255)))</f>
        <v>0</v>
      </c>
      <c r="CX254" s="401">
        <f ca="1">IF(SUM($G254:CW254)&gt;=$E254,0,IF($E254-SUM($G254:CW254)&gt;CX255,CX255,$E254-SUM($G255:CW255)))</f>
        <v>0</v>
      </c>
      <c r="CY254" s="401">
        <f ca="1">IF(SUM($G254:CX254)&gt;=$E254,0,IF($E254-SUM($G254:CX254)&gt;CY255,CY255,$E254-SUM($G255:CX255)))</f>
        <v>0</v>
      </c>
      <c r="CZ254" s="401">
        <f ca="1">IF(SUM($G254:CY254)&gt;=$E254,0,IF($E254-SUM($G254:CY254)&gt;CZ255,CZ255,$E254-SUM($G255:CY255)))</f>
        <v>0</v>
      </c>
      <c r="DA254" s="401">
        <f ca="1">IF(SUM($G254:CZ254)&gt;=$E254,0,IF($E254-SUM($G254:CZ254)&gt;DA255,DA255,$E254-SUM($G255:CZ255)))</f>
        <v>0</v>
      </c>
      <c r="DB254" s="401">
        <f ca="1">IF(SUM($G254:DA254)&gt;=$E254,0,IF($E254-SUM($G254:DA254)&gt;DB255,DB255,$E254-SUM($G255:DA255)))</f>
        <v>0</v>
      </c>
      <c r="DC254" s="401">
        <f ca="1">IF(SUM($G254:DB254)&gt;=$E254,0,IF($E254-SUM($G254:DB254)&gt;DC255,DC255,$E254-SUM($G255:DB255)))</f>
        <v>0</v>
      </c>
      <c r="DD254" s="401">
        <f ca="1">IF(SUM($G254:DC254)&gt;=$E254,0,IF($E254-SUM($G254:DC254)&gt;DD255,DD255,$E254-SUM($G255:DC255)))</f>
        <v>0</v>
      </c>
      <c r="DE254" s="401">
        <f ca="1">IF(SUM($G254:DD254)&gt;=$E254,0,IF($E254-SUM($G254:DD254)&gt;DE255,DE255,$E254-SUM($G255:DD255)))</f>
        <v>0</v>
      </c>
      <c r="DF254" s="401">
        <f ca="1">IF(SUM($G254:DE254)&gt;=$E254,0,IF($E254-SUM($G254:DE254)&gt;DF255,DF255,$E254-SUM($G255:DE255)))</f>
        <v>0</v>
      </c>
      <c r="DG254" s="401">
        <f ca="1">IF(SUM($G254:DF254)&gt;=$E254,0,IF($E254-SUM($G254:DF254)&gt;DG255,DG255,$E254-SUM($G255:DF255)))</f>
        <v>0</v>
      </c>
      <c r="DH254" s="401">
        <f ca="1">IF(SUM($G254:DG254)&gt;=$E254,0,IF($E254-SUM($G254:DG254)&gt;DH255,DH255,$E254-SUM($G255:DG255)))</f>
        <v>0</v>
      </c>
      <c r="DI254" s="401">
        <f ca="1">IF(SUM($G254:DH254)&gt;=$E254,0,IF($E254-SUM($G254:DH254)&gt;DI255,DI255,$E254-SUM($G255:DH255)))</f>
        <v>0</v>
      </c>
      <c r="DJ254" s="401">
        <f ca="1">IF(SUM($G254:DI254)&gt;=$E254,0,IF($E254-SUM($G254:DI254)&gt;DJ255,DJ255,$E254-SUM($G255:DI255)))</f>
        <v>0</v>
      </c>
      <c r="DK254" s="401">
        <f ca="1">IF(SUM($G254:DJ254)&gt;=$E254,0,IF($E254-SUM($G254:DJ254)&gt;DK255,DK255,$E254-SUM($G255:DJ255)))</f>
        <v>0</v>
      </c>
      <c r="DL254" s="401">
        <f ca="1">IF(SUM($G254:DK254)&gt;=$E254,0,IF($E254-SUM($G254:DK254)&gt;DL255,DL255,$E254-SUM($G255:DK255)))</f>
        <v>0</v>
      </c>
      <c r="DM254" s="401">
        <f ca="1">IF(SUM($G254:DL254)&gt;=$E254,0,IF($E254-SUM($G254:DL254)&gt;DM255,DM255,$E254-SUM($G255:DL255)))</f>
        <v>0</v>
      </c>
      <c r="DN254" s="401">
        <f ca="1">IF(SUM($G254:DM254)&gt;=$E254,0,IF($E254-SUM($G254:DM254)&gt;DN255,DN255,$E254-SUM($G255:DM255)))</f>
        <v>0</v>
      </c>
      <c r="DO254" s="401">
        <f ca="1">IF(SUM($G254:DN254)&gt;=$E254,0,IF($E254-SUM($G254:DN254)&gt;DO255,DO255,$E254-SUM($G255:DN255)))</f>
        <v>0</v>
      </c>
      <c r="DP254" s="401">
        <f ca="1">IF(SUM($G254:DO254)&gt;=$E254,0,IF($E254-SUM($G254:DO254)&gt;DP255,DP255,$E254-SUM($G255:DO255)))</f>
        <v>0</v>
      </c>
      <c r="DQ254" s="401">
        <f ca="1">IF(SUM($G254:DP254)&gt;=$E254,0,IF($E254-SUM($G254:DP254)&gt;DQ255,DQ255,$E254-SUM($G255:DP255)))</f>
        <v>0</v>
      </c>
      <c r="DR254" s="401">
        <f ca="1">IF(SUM($G254:DQ254)&gt;=$E254,0,IF($E254-SUM($G254:DQ254)&gt;DR255,DR255,$E254-SUM($G255:DQ255)))</f>
        <v>0</v>
      </c>
      <c r="DS254" s="401">
        <f ca="1">IF(SUM($G254:DR254)&gt;=$E254,0,IF($E254-SUM($G254:DR254)&gt;DS255,DS255,$E254-SUM($G255:DR255)))</f>
        <v>0</v>
      </c>
      <c r="DT254" s="401">
        <f ca="1">IF(SUM($G254:DS254)&gt;=$E254,0,IF($E254-SUM($G254:DS254)&gt;DT255,DT255,$E254-SUM($G255:DS255)))</f>
        <v>0</v>
      </c>
      <c r="DU254" s="401">
        <f ca="1">IF(SUM($G254:DT254)&gt;=$E254,0,IF($E254-SUM($G254:DT254)&gt;DU255,DU255,$E254-SUM($G255:DT255)))</f>
        <v>0</v>
      </c>
      <c r="DV254" s="401">
        <f ca="1">IF(SUM($G254:DU254)&gt;=$E254,0,IF($E254-SUM($G254:DU254)&gt;DV255,DV255,$E254-SUM($G255:DU255)))</f>
        <v>0</v>
      </c>
      <c r="DW254" s="401">
        <f ca="1">IF(SUM($G254:DV254)&gt;=$E254,0,IF($E254-SUM($G254:DV254)&gt;DW255,DW255,$E254-SUM($G255:DV255)))</f>
        <v>0</v>
      </c>
      <c r="DX254" s="401">
        <f ca="1">IF(SUM($G254:DW254)&gt;=$E254,0,IF($E254-SUM($G254:DW254)&gt;DX255,DX255,$E254-SUM($G255:DW255)))</f>
        <v>0</v>
      </c>
      <c r="DY254" s="401">
        <f ca="1">IF(SUM($G254:DX254)&gt;=$E254,0,IF($E254-SUM($G254:DX254)&gt;DY255,DY255,$E254-SUM($G255:DX255)))</f>
        <v>0</v>
      </c>
      <c r="DZ254" s="401">
        <f ca="1">IF(SUM($G254:DY254)&gt;=$E254,0,IF($E254-SUM($G254:DY254)&gt;DZ255,DZ255,$E254-SUM($G255:DY255)))</f>
        <v>0</v>
      </c>
      <c r="EA254" s="401">
        <f ca="1">IF(SUM($G254:DZ254)&gt;=$E254,0,IF($E254-SUM($G254:DZ254)&gt;EA255,EA255,$E254-SUM($G255:DZ255)))</f>
        <v>0</v>
      </c>
      <c r="EB254" s="401">
        <f ca="1">IF(SUM($G254:EA254)&gt;=$E254,0,IF($E254-SUM($G254:EA254)&gt;EB255,EB255,$E254-SUM($G255:EA255)))</f>
        <v>0</v>
      </c>
      <c r="EC254" s="401">
        <f ca="1">IF(SUM($G254:EB254)&gt;=$E254,0,IF($E254-SUM($G254:EB254)&gt;EC255,EC255,$E254-SUM($G255:EB255)))</f>
        <v>0</v>
      </c>
      <c r="ED254" s="401">
        <f ca="1">IF(SUM($G254:EC254)&gt;=$E254,0,IF($E254-SUM($G254:EC254)&gt;ED255,ED255,$E254-SUM($G255:EC255)))</f>
        <v>0</v>
      </c>
      <c r="EE254" s="401">
        <f ca="1">IF(SUM($G254:ED254)&gt;=$E254,0,IF($E254-SUM($G254:ED254)&gt;EE255,EE255,$E254-SUM($G255:ED255)))</f>
        <v>0</v>
      </c>
      <c r="EF254" s="401">
        <f ca="1">IF(SUM($G254:EE254)&gt;=$E254,0,IF($E254-SUM($G254:EE254)&gt;EF255,EF255,$E254-SUM($G255:EE255)))</f>
        <v>0</v>
      </c>
      <c r="EG254" s="401">
        <f ca="1">IF(SUM($G254:EF254)&gt;=$E254,0,IF($E254-SUM($G254:EF254)&gt;EG255,EG255,$E254-SUM($G255:EF255)))</f>
        <v>0</v>
      </c>
      <c r="EH254" s="401">
        <f ca="1">IF(SUM($G254:EG254)&gt;=$E254,0,IF($E254-SUM($G254:EG254)&gt;EH255,EH255,$E254-SUM($G255:EG255)))</f>
        <v>0</v>
      </c>
      <c r="EI254" s="401">
        <f ca="1">IF(SUM($G254:EH254)&gt;=$E254,0,IF($E254-SUM($G254:EH254)&gt;EI255,EI255,$E254-SUM($G255:EH255)))</f>
        <v>0</v>
      </c>
      <c r="EK254" s="313"/>
    </row>
    <row r="255" spans="1:152" hidden="1" outlineLevel="2">
      <c r="A255" s="332"/>
      <c r="B255" s="313"/>
      <c r="C255" s="308"/>
      <c r="D255" s="308"/>
      <c r="E255" s="308"/>
      <c r="G255" s="402"/>
      <c r="H255" s="402">
        <f ca="1">IF((IF(SUM(I238:$EI$238,I248:$EI$248)=0,H238+H248,0)+IF((SUM($G253:H253)-($E248+$E238))&lt;0,0,IF((SUM($G253:H253)-($E248+$E238))&lt;H253,SUM($G253:H253)-($E248+$E238),H253)))&gt;=H3,H3,IF(SUM(I238:$EI$238,I248:$EI$248)=0,H238+H248,0)+IF((SUM($G253:H253)-($E248+$E238))&lt;0,0,IF((SUM($G253:H253)-($E248+$E238))&lt;H253,SUM($G253:H253)-($E248+$E238),H253)))</f>
        <v>0</v>
      </c>
      <c r="I255" s="402">
        <f ca="1">IF((IF(SUM(J238:$EI$238,J248:$EI$248)=0,I238+I248,0)+IF((SUM($G253:I253)-($E248+$E238))&lt;0,0,IF((SUM($G253:I253)-($E248+$E238))&lt;I253,SUM($G253:I253)-($E248+$E238),I253)))&gt;=I3,I3,IF(SUM(J238:$EI$238,J248:$EI$248)=0,I238+I248,0)+IF((SUM($G253:I253)-($E248+$E238))&lt;0,0,IF((SUM($G253:I253)-($E248+$E238))&lt;I253,SUM($G253:I253)-($E248+$E238),I253)))</f>
        <v>0</v>
      </c>
      <c r="J255" s="402">
        <f ca="1">IF((IF(SUM(K238:$EI$238,K248:$EI$248)=0,J238+J248,0)+IF((SUM($G253:J253)-($E248+$E238))&lt;0,0,IF((SUM($G253:J253)-($E248+$E238))&lt;J253,SUM($G253:J253)-($E248+$E238),J253)))&gt;=J3,J3,IF(SUM(K238:$EI$238,K248:$EI$248)=0,J238+J248,0)+IF((SUM($G253:J253)-($E248+$E238))&lt;0,0,IF((SUM($G253:J253)-($E248+$E238))&lt;J253,SUM($G253:J253)-($E248+$E238),J253)))</f>
        <v>0</v>
      </c>
      <c r="K255" s="402">
        <f ca="1">IF((IF(SUM(L238:$EI$238,L248:$EI$248)=0,K238+K248,0)+IF((SUM($G253:K253)-($E248+$E238))&lt;0,0,IF((SUM($G253:K253)-($E248+$E238))&lt;K253,SUM($G253:K253)-($E248+$E238),K253)))&gt;=K3,K3,IF(SUM(L238:$EI$238,L248:$EI$248)=0,K238+K248,0)+IF((SUM($G253:K253)-($E248+$E238))&lt;0,0,IF((SUM($G253:K253)-($E248+$E238))&lt;K253,SUM($G253:K253)-($E248+$E238),K253)))</f>
        <v>0</v>
      </c>
      <c r="L255" s="402">
        <f ca="1">IF((IF(SUM(M238:$EI$238,M248:$EI$248)=0,L238+L248,0)+IF((SUM($G253:L253)-($E248+$E238))&lt;0,0,IF((SUM($G253:L253)-($E248+$E238))&lt;L253,SUM($G253:L253)-($E248+$E238),L253)))&gt;=L3,L3,IF(SUM(M238:$EI$238,M248:$EI$248)=0,L238+L248,0)+IF((SUM($G253:L253)-($E248+$E238))&lt;0,0,IF((SUM($G253:L253)-($E248+$E238))&lt;L253,SUM($G253:L253)-($E248+$E238),L253)))</f>
        <v>0</v>
      </c>
      <c r="M255" s="402">
        <f ca="1">IF((IF(SUM(N238:$EI$238,N248:$EI$248)=0,M238+M248,0)+IF((SUM($G253:M253)-($E248+$E238))&lt;0,0,IF((SUM($G253:M253)-($E248+$E238))&lt;M253,SUM($G253:M253)-($E248+$E238),M253)))&gt;=M3,M3,IF(SUM(N238:$EI$238,N248:$EI$248)=0,M238+M248,0)+IF((SUM($G253:M253)-($E248+$E238))&lt;0,0,IF((SUM($G253:M253)-($E248+$E238))&lt;M253,SUM($G253:M253)-($E248+$E238),M253)))</f>
        <v>0</v>
      </c>
      <c r="N255" s="402">
        <f ca="1">IF((IF(SUM(O238:$EI$238,O248:$EI$248)=0,N238+N248,0)+IF((SUM($G253:N253)-($E248+$E238))&lt;0,0,IF((SUM($G253:N253)-($E248+$E238))&lt;N253,SUM($G253:N253)-($E248+$E238),N253)))&gt;=N3,N3,IF(SUM(O238:$EI$238,O248:$EI$248)=0,N238+N248,0)+IF((SUM($G253:N253)-($E248+$E238))&lt;0,0,IF((SUM($G253:N253)-($E248+$E238))&lt;N253,SUM($G253:N253)-($E248+$E238),N253)))</f>
        <v>0</v>
      </c>
      <c r="O255" s="402">
        <f ca="1">IF((IF(SUM(P238:$EI$238,P248:$EI$248)=0,O238+O248,0)+IF((SUM($G253:O253)-($E248+$E238))&lt;0,0,IF((SUM($G253:O253)-($E248+$E238))&lt;O253,SUM($G253:O253)-($E248+$E238),O253)))&gt;=O3,O3,IF(SUM(P238:$EI$238,P248:$EI$248)=0,O238+O248,0)+IF((SUM($G253:O253)-($E248+$E238))&lt;0,0,IF((SUM($G253:O253)-($E248+$E238))&lt;O253,SUM($G253:O253)-($E248+$E238),O253)))</f>
        <v>0</v>
      </c>
      <c r="P255" s="402">
        <f ca="1">IF((IF(SUM(Q238:$EI$238,Q248:$EI$248)=0,P238+P248,0)+IF((SUM($G253:P253)-($E248+$E238))&lt;0,0,IF((SUM($G253:P253)-($E248+$E238))&lt;P253,SUM($G253:P253)-($E248+$E238),P253)))&gt;=P3,P3,IF(SUM(Q238:$EI$238,Q248:$EI$248)=0,P238+P248,0)+IF((SUM($G253:P253)-($E248+$E238))&lt;0,0,IF((SUM($G253:P253)-($E248+$E238))&lt;P253,SUM($G253:P253)-($E248+$E238),P253)))</f>
        <v>0</v>
      </c>
      <c r="Q255" s="402">
        <f ca="1">IF((IF(SUM(R238:$EI$238,R248:$EI$248)=0,Q238+Q248,0)+IF((SUM($G253:Q253)-($E248+$E238))&lt;0,0,IF((SUM($G253:Q253)-($E248+$E238))&lt;Q253,SUM($G253:Q253)-($E248+$E238),Q253)))&gt;=Q3,Q3,IF(SUM(R238:$EI$238,R248:$EI$248)=0,Q238+Q248,0)+IF((SUM($G253:Q253)-($E248+$E238))&lt;0,0,IF((SUM($G253:Q253)-($E248+$E238))&lt;Q253,SUM($G253:Q253)-($E248+$E238),Q253)))</f>
        <v>0</v>
      </c>
      <c r="R255" s="402">
        <f ca="1">IF((IF(SUM(S238:$EI$238,S248:$EI$248)=0,R238+R248,0)+IF((SUM($G253:R253)-($E248+$E238))&lt;0,0,IF((SUM($G253:R253)-($E248+$E238))&lt;R253,SUM($G253:R253)-($E248+$E238),R253)))&gt;=R3,R3,IF(SUM(S238:$EI$238,S248:$EI$248)=0,R238+R248,0)+IF((SUM($G253:R253)-($E248+$E238))&lt;0,0,IF((SUM($G253:R253)-($E248+$E238))&lt;R253,SUM($G253:R253)-($E248+$E238),R253)))</f>
        <v>0</v>
      </c>
      <c r="S255" s="402">
        <f ca="1">IF((IF(SUM(T238:$EI$238,T248:$EI$248)=0,S238+S248,0)+IF((SUM($G253:S253)-($E248+$E238))&lt;0,0,IF((SUM($G253:S253)-($E248+$E238))&lt;S253,SUM($G253:S253)-($E248+$E238),S253)))&gt;=S3,S3,IF(SUM(T238:$EI$238,T248:$EI$248)=0,S238+S248,0)+IF((SUM($G253:S253)-($E248+$E238))&lt;0,0,IF((SUM($G253:S253)-($E248+$E238))&lt;S253,SUM($G253:S253)-($E248+$E238),S253)))</f>
        <v>0</v>
      </c>
      <c r="T255" s="402">
        <f ca="1">IF((IF(SUM(U238:$EI$238,U248:$EI$248)=0,T238+T248,0)+IF((SUM($G253:T253)-($E248+$E238))&lt;0,0,IF((SUM($G253:T253)-($E248+$E238))&lt;T253,SUM($G253:T253)-($E248+$E238),T253)))&gt;=T3,T3,IF(SUM(U238:$EI$238,U248:$EI$248)=0,T238+T248,0)+IF((SUM($G253:T253)-($E248+$E238))&lt;0,0,IF((SUM($G253:T253)-($E248+$E238))&lt;T253,SUM($G253:T253)-($E248+$E238),T253)))</f>
        <v>0</v>
      </c>
      <c r="U255" s="402">
        <f ca="1">IF((IF(SUM(V238:$EI$238,V248:$EI$248)=0,U238+U248,0)+IF((SUM($G253:U253)-($E248+$E238))&lt;0,0,IF((SUM($G253:U253)-($E248+$E238))&lt;U253,SUM($G253:U253)-($E248+$E238),U253)))&gt;=U3,U3,IF(SUM(V238:$EI$238,V248:$EI$248)=0,U238+U248,0)+IF((SUM($G253:U253)-($E248+$E238))&lt;0,0,IF((SUM($G253:U253)-($E248+$E238))&lt;U253,SUM($G253:U253)-($E248+$E238),U253)))</f>
        <v>14</v>
      </c>
      <c r="V255" s="402">
        <f ca="1">IF((IF(SUM(W238:$EI$238,W248:$EI$248)=0,V238+V248,0)+IF((SUM($G253:V253)-($E248+$E238))&lt;0,0,IF((SUM($G253:V253)-($E248+$E238))&lt;V253,SUM($G253:V253)-($E248+$E238),V253)))&gt;=V3,V3,IF(SUM(W238:$EI$238,W248:$EI$248)=0,V238+V248,0)+IF((SUM($G253:V253)-($E248+$E238))&lt;0,0,IF((SUM($G253:V253)-($E248+$E238))&lt;V253,SUM($G253:V253)-($E248+$E238),V253)))</f>
        <v>30</v>
      </c>
      <c r="W255" s="402">
        <f ca="1">IF((IF(SUM(X238:$EI$238,X248:$EI$248)=0,W238+W248,0)+IF((SUM($G253:W253)-($E248+$E238))&lt;0,0,IF((SUM($G253:W253)-($E248+$E238))&lt;W253,SUM($G253:W253)-($E248+$E238),W253)))&gt;=W3,W3,IF(SUM(X238:$EI$238,X248:$EI$248)=0,W238+W248,0)+IF((SUM($G253:W253)-($E248+$E238))&lt;0,0,IF((SUM($G253:W253)-($E248+$E238))&lt;W253,SUM($G253:W253)-($E248+$E238),W253)))</f>
        <v>31</v>
      </c>
      <c r="X255" s="402">
        <f ca="1">IF((IF(SUM(Y238:$EI$238,Y248:$EI$248)=0,X238+X248,0)+IF((SUM($G253:X253)-($E248+$E238))&lt;0,0,IF((SUM($G253:X253)-($E248+$E238))&lt;X253,SUM($G253:X253)-($E248+$E238),X253)))&gt;=X3,X3,IF(SUM(Y238:$EI$238,Y248:$EI$248)=0,X238+X248,0)+IF((SUM($G253:X253)-($E248+$E238))&lt;0,0,IF((SUM($G253:X253)-($E248+$E238))&lt;X253,SUM($G253:X253)-($E248+$E238),X253)))</f>
        <v>31</v>
      </c>
      <c r="Y255" s="402">
        <f ca="1">IF((IF(SUM(Z238:$EI$238,Z248:$EI$248)=0,Y238+Y248,0)+IF((SUM($G253:Y253)-($E248+$E238))&lt;0,0,IF((SUM($G253:Y253)-($E248+$E238))&lt;Y253,SUM($G253:Y253)-($E248+$E238),Y253)))&gt;=Y3,Y3,IF(SUM(Z238:$EI$238,Z248:$EI$248)=0,Y238+Y248,0)+IF((SUM($G253:Y253)-($E248+$E238))&lt;0,0,IF((SUM($G253:Y253)-($E248+$E238))&lt;Y253,SUM($G253:Y253)-($E248+$E238),Y253)))</f>
        <v>30</v>
      </c>
      <c r="Z255" s="402">
        <f ca="1">IF((IF(SUM(AA238:$EI$238,AA248:$EI$248)=0,Z238+Z248,0)+IF((SUM($G253:Z253)-($E248+$E238))&lt;0,0,IF((SUM($G253:Z253)-($E248+$E238))&lt;Z253,SUM($G253:Z253)-($E248+$E238),Z253)))&gt;=Z3,Z3,IF(SUM(AA238:$EI$238,AA248:$EI$248)=0,Z238+Z248,0)+IF((SUM($G253:Z253)-($E248+$E238))&lt;0,0,IF((SUM($G253:Z253)-($E248+$E238))&lt;Z253,SUM($G253:Z253)-($E248+$E238),Z253)))</f>
        <v>31</v>
      </c>
      <c r="AA255" s="402">
        <f ca="1">IF((IF(SUM(AB238:$EI$238,AB248:$EI$248)=0,AA238+AA248,0)+IF((SUM($G253:AA253)-($E248+$E238))&lt;0,0,IF((SUM($G253:AA253)-($E248+$E238))&lt;AA253,SUM($G253:AA253)-($E248+$E238),AA253)))&gt;=AA3,AA3,IF(SUM(AB238:$EI$238,AB248:$EI$248)=0,AA238+AA248,0)+IF((SUM($G253:AA253)-($E248+$E238))&lt;0,0,IF((SUM($G253:AA253)-($E248+$E238))&lt;AA253,SUM($G253:AA253)-($E248+$E238),AA253)))</f>
        <v>30</v>
      </c>
      <c r="AB255" s="402">
        <f ca="1">IF((IF(SUM(AC238:$EI$238,AC248:$EI$248)=0,AB238+AB248,0)+IF((SUM($G253:AB253)-($E248+$E238))&lt;0,0,IF((SUM($G253:AB253)-($E248+$E238))&lt;AB253,SUM($G253:AB253)-($E248+$E238),AB253)))&gt;=AB3,AB3,IF(SUM(AC238:$EI$238,AC248:$EI$248)=0,AB238+AB248,0)+IF((SUM($G253:AB253)-($E248+$E238))&lt;0,0,IF((SUM($G253:AB253)-($E248+$E238))&lt;AB253,SUM($G253:AB253)-($E248+$E238),AB253)))</f>
        <v>31</v>
      </c>
      <c r="AC255" s="402">
        <f ca="1">IF((IF(SUM(AD238:$EI$238,AD248:$EI$248)=0,AC238+AC248,0)+IF((SUM($G253:AC253)-($E248+$E238))&lt;0,0,IF((SUM($G253:AC253)-($E248+$E238))&lt;AC253,SUM($G253:AC253)-($E248+$E238),AC253)))&gt;=AC3,AC3,IF(SUM(AD238:$EI$238,AD248:$EI$248)=0,AC238+AC248,0)+IF((SUM($G253:AC253)-($E248+$E238))&lt;0,0,IF((SUM($G253:AC253)-($E248+$E238))&lt;AC253,SUM($G253:AC253)-($E248+$E238),AC253)))</f>
        <v>31</v>
      </c>
      <c r="AD255" s="402">
        <f ca="1">IF((IF(SUM(AE238:$EI$238,AE248:$EI$248)=0,AD238+AD248,0)+IF((SUM($G253:AD253)-($E248+$E238))&lt;0,0,IF((SUM($G253:AD253)-($E248+$E238))&lt;AD253,SUM($G253:AD253)-($E248+$E238),AD253)))&gt;=AD3,AD3,IF(SUM(AE238:$EI$238,AE248:$EI$248)=0,AD238+AD248,0)+IF((SUM($G253:AD253)-($E248+$E238))&lt;0,0,IF((SUM($G253:AD253)-($E248+$E238))&lt;AD253,SUM($G253:AD253)-($E248+$E238),AD253)))</f>
        <v>28</v>
      </c>
      <c r="AE255" s="402">
        <f ca="1">IF((IF(SUM(AF238:$EI$238,AF248:$EI$248)=0,AE238+AE248,0)+IF((SUM($G253:AE253)-($E248+$E238))&lt;0,0,IF((SUM($G253:AE253)-($E248+$E238))&lt;AE253,SUM($G253:AE253)-($E248+$E238),AE253)))&gt;=AE3,AE3,IF(SUM(AF238:$EI$238,AF248:$EI$248)=0,AE238+AE248,0)+IF((SUM($G253:AE253)-($E248+$E238))&lt;0,0,IF((SUM($G253:AE253)-($E248+$E238))&lt;AE253,SUM($G253:AE253)-($E248+$E238),AE253)))</f>
        <v>31</v>
      </c>
      <c r="AF255" s="402">
        <f ca="1">IF((IF(SUM(AG238:$EI$238,AG248:$EI$248)=0,AF238+AF248,0)+IF((SUM($G253:AF253)-($E248+$E238))&lt;0,0,IF((SUM($G253:AF253)-($E248+$E238))&lt;AF253,SUM($G253:AF253)-($E248+$E238),AF253)))&gt;=AF3,AF3,IF(SUM(AG238:$EI$238,AG248:$EI$248)=0,AF238+AF248,0)+IF((SUM($G253:AF253)-($E248+$E238))&lt;0,0,IF((SUM($G253:AF253)-($E248+$E238))&lt;AF253,SUM($G253:AF253)-($E248+$E238),AF253)))</f>
        <v>30</v>
      </c>
      <c r="AG255" s="402">
        <f ca="1">IF((IF(SUM(AH238:$EI$238,AH248:$EI$248)=0,AG238+AG248,0)+IF((SUM($G253:AG253)-($E248+$E238))&lt;0,0,IF((SUM($G253:AG253)-($E248+$E238))&lt;AG253,SUM($G253:AG253)-($E248+$E238),AG253)))&gt;=AG3,AG3,IF(SUM(AH238:$EI$238,AH248:$EI$248)=0,AG238+AG248,0)+IF((SUM($G253:AG253)-($E248+$E238))&lt;0,0,IF((SUM($G253:AG253)-($E248+$E238))&lt;AG253,SUM($G253:AG253)-($E248+$E238),AG253)))</f>
        <v>31</v>
      </c>
      <c r="AH255" s="402">
        <f ca="1">IF((IF(SUM(AI238:$EI$238,AI248:$EI$248)=0,AH238+AH248,0)+IF((SUM($G253:AH253)-($E248+$E238))&lt;0,0,IF((SUM($G253:AH253)-($E248+$E238))&lt;AH253,SUM($G253:AH253)-($E248+$E238),AH253)))&gt;=AH3,AH3,IF(SUM(AI238:$EI$238,AI248:$EI$248)=0,AH238+AH248,0)+IF((SUM($G253:AH253)-($E248+$E238))&lt;0,0,IF((SUM($G253:AH253)-($E248+$E238))&lt;AH253,SUM($G253:AH253)-($E248+$E238),AH253)))</f>
        <v>30</v>
      </c>
      <c r="AI255" s="402">
        <f ca="1">IF((IF(SUM(AJ238:$EI$238,AJ248:$EI$248)=0,AI238+AI248,0)+IF((SUM($G253:AI253)-($E248+$E238))&lt;0,0,IF((SUM($G253:AI253)-($E248+$E238))&lt;AI253,SUM($G253:AI253)-($E248+$E238),AI253)))&gt;=AI3,AI3,IF(SUM(AJ238:$EI$238,AJ248:$EI$248)=0,AI238+AI248,0)+IF((SUM($G253:AI253)-($E248+$E238))&lt;0,0,IF((SUM($G253:AI253)-($E248+$E238))&lt;AI253,SUM($G253:AI253)-($E248+$E238),AI253)))</f>
        <v>31</v>
      </c>
      <c r="AJ255" s="402">
        <f ca="1">IF((IF(SUM(AK238:$EI$238,AK248:$EI$248)=0,AJ238+AJ248,0)+IF((SUM($G253:AJ253)-($E248+$E238))&lt;0,0,IF((SUM($G253:AJ253)-($E248+$E238))&lt;AJ253,SUM($G253:AJ253)-($E248+$E238),AJ253)))&gt;=AJ3,AJ3,IF(SUM(AK238:$EI$238,AK248:$EI$248)=0,AJ238+AJ248,0)+IF((SUM($G253:AJ253)-($E248+$E238))&lt;0,0,IF((SUM($G253:AJ253)-($E248+$E238))&lt;AJ253,SUM($G253:AJ253)-($E248+$E238),AJ253)))</f>
        <v>31</v>
      </c>
      <c r="AK255" s="402">
        <f ca="1">IF((IF(SUM(AL238:$EI$238,AL248:$EI$248)=0,AK238+AK248,0)+IF((SUM($G253:AK253)-($E248+$E238))&lt;0,0,IF((SUM($G253:AK253)-($E248+$E238))&lt;AK253,SUM($G253:AK253)-($E248+$E238),AK253)))&gt;=AK3,AK3,IF(SUM(AL238:$EI$238,AL248:$EI$248)=0,AK238+AK248,0)+IF((SUM($G253:AK253)-($E248+$E238))&lt;0,0,IF((SUM($G253:AK253)-($E248+$E238))&lt;AK253,SUM($G253:AK253)-($E248+$E238),AK253)))</f>
        <v>30</v>
      </c>
      <c r="AL255" s="402">
        <f ca="1">IF((IF(SUM(AM238:$EI$238,AM248:$EI$248)=0,AL238+AL248,0)+IF((SUM($G253:AL253)-($E248+$E238))&lt;0,0,IF((SUM($G253:AL253)-($E248+$E238))&lt;AL253,SUM($G253:AL253)-($E248+$E238),AL253)))&gt;=AL3,AL3,IF(SUM(AM238:$EI$238,AM248:$EI$248)=0,AL238+AL248,0)+IF((SUM($G253:AL253)-($E248+$E238))&lt;0,0,IF((SUM($G253:AL253)-($E248+$E238))&lt;AL253,SUM($G253:AL253)-($E248+$E238),AL253)))</f>
        <v>31</v>
      </c>
      <c r="AM255" s="402">
        <f ca="1">IF((IF(SUM(AN238:$EI$238,AN248:$EI$248)=0,AM238+AM248,0)+IF((SUM($G253:AM253)-($E248+$E238))&lt;0,0,IF((SUM($G253:AM253)-($E248+$E238))&lt;AM253,SUM($G253:AM253)-($E248+$E238),AM253)))&gt;=AM3,AM3,IF(SUM(AN238:$EI$238,AN248:$EI$248)=0,AM238+AM248,0)+IF((SUM($G253:AM253)-($E248+$E238))&lt;0,0,IF((SUM($G253:AM253)-($E248+$E238))&lt;AM253,SUM($G253:AM253)-($E248+$E238),AM253)))</f>
        <v>30</v>
      </c>
      <c r="AN255" s="402">
        <f ca="1">IF((IF(SUM(AO238:$EI$238,AO248:$EI$248)=0,AN238+AN248,0)+IF((SUM($G253:AN253)-($E248+$E238))&lt;0,0,IF((SUM($G253:AN253)-($E248+$E238))&lt;AN253,SUM($G253:AN253)-($E248+$E238),AN253)))&gt;=AN3,AN3,IF(SUM(AO238:$EI$238,AO248:$EI$248)=0,AN238+AN248,0)+IF((SUM($G253:AN253)-($E248+$E238))&lt;0,0,IF((SUM($G253:AN253)-($E248+$E238))&lt;AN253,SUM($G253:AN253)-($E248+$E238),AN253)))</f>
        <v>31</v>
      </c>
      <c r="AO255" s="402">
        <f ca="1">IF((IF(SUM(AP238:$EI$238,AP248:$EI$248)=0,AO238+AO248,0)+IF((SUM($G253:AO253)-($E248+$E238))&lt;0,0,IF((SUM($G253:AO253)-($E248+$E238))&lt;AO253,SUM($G253:AO253)-($E248+$E238),AO253)))&gt;=AO3,AO3,IF(SUM(AP238:$EI$238,AP248:$EI$248)=0,AO238+AO248,0)+IF((SUM($G253:AO253)-($E248+$E238))&lt;0,0,IF((SUM($G253:AO253)-($E248+$E238))&lt;AO253,SUM($G253:AO253)-($E248+$E238),AO253)))</f>
        <v>31</v>
      </c>
      <c r="AP255" s="402">
        <f ca="1">IF((IF(SUM(AQ238:$EI$238,AQ248:$EI$248)=0,AP238+AP248,0)+IF((SUM($G253:AP253)-($E248+$E238))&lt;0,0,IF((SUM($G253:AP253)-($E248+$E238))&lt;AP253,SUM($G253:AP253)-($E248+$E238),AP253)))&gt;=AP3,AP3,IF(SUM(AQ238:$EI$238,AQ248:$EI$248)=0,AP238+AP248,0)+IF((SUM($G253:AP253)-($E248+$E238))&lt;0,0,IF((SUM($G253:AP253)-($E248+$E238))&lt;AP253,SUM($G253:AP253)-($E248+$E238),AP253)))</f>
        <v>28</v>
      </c>
      <c r="AQ255" s="402">
        <f ca="1">IF((IF(SUM(AR238:$EI$238,AR248:$EI$248)=0,AQ238+AQ248,0)+IF((SUM($G253:AQ253)-($E248+$E238))&lt;0,0,IF((SUM($G253:AQ253)-($E248+$E238))&lt;AQ253,SUM($G253:AQ253)-($E248+$E238),AQ253)))&gt;=AQ3,AQ3,IF(SUM(AR238:$EI$238,AR248:$EI$248)=0,AQ238+AQ248,0)+IF((SUM($G253:AQ253)-($E248+$E238))&lt;0,0,IF((SUM($G253:AQ253)-($E248+$E238))&lt;AQ253,SUM($G253:AQ253)-($E248+$E238),AQ253)))</f>
        <v>31</v>
      </c>
      <c r="AR255" s="402">
        <f ca="1">IF((IF(SUM(AS238:$EI$238,AS248:$EI$248)=0,AR238+AR248,0)+IF((SUM($G253:AR253)-($E248+$E238))&lt;0,0,IF((SUM($G253:AR253)-($E248+$E238))&lt;AR253,SUM($G253:AR253)-($E248+$E238),AR253)))&gt;=AR3,AR3,IF(SUM(AS238:$EI$238,AS248:$EI$248)=0,AR238+AR248,0)+IF((SUM($G253:AR253)-($E248+$E238))&lt;0,0,IF((SUM($G253:AR253)-($E248+$E238))&lt;AR253,SUM($G253:AR253)-($E248+$E238),AR253)))</f>
        <v>30</v>
      </c>
      <c r="AS255" s="402">
        <f ca="1">IF((IF(SUM(AT238:$EI$238,AT248:$EI$248)=0,AS238+AS248,0)+IF((SUM($G253:AS253)-($E248+$E238))&lt;0,0,IF((SUM($G253:AS253)-($E248+$E238))&lt;AS253,SUM($G253:AS253)-($E248+$E238),AS253)))&gt;=AS3,AS3,IF(SUM(AT238:$EI$238,AT248:$EI$248)=0,AS238+AS248,0)+IF((SUM($G253:AS253)-($E248+$E238))&lt;0,0,IF((SUM($G253:AS253)-($E248+$E238))&lt;AS253,SUM($G253:AS253)-($E248+$E238),AS253)))</f>
        <v>31</v>
      </c>
      <c r="AT255" s="402">
        <f ca="1">IF((IF(SUM(AU238:$EI$238,AU248:$EI$248)=0,AT238+AT248,0)+IF((SUM($G253:AT253)-($E248+$E238))&lt;0,0,IF((SUM($G253:AT253)-($E248+$E238))&lt;AT253,SUM($G253:AT253)-($E248+$E238),AT253)))&gt;=AT3,AT3,IF(SUM(AU238:$EI$238,AU248:$EI$248)=0,AT238+AT248,0)+IF((SUM($G253:AT253)-($E248+$E238))&lt;0,0,IF((SUM($G253:AT253)-($E248+$E238))&lt;AT253,SUM($G253:AT253)-($E248+$E238),AT253)))</f>
        <v>30</v>
      </c>
      <c r="AU255" s="402">
        <f ca="1">IF((IF(SUM(AV238:$EI$238,AV248:$EI$248)=0,AU238+AU248,0)+IF((SUM($G253:AU253)-($E248+$E238))&lt;0,0,IF((SUM($G253:AU253)-($E248+$E238))&lt;AU253,SUM($G253:AU253)-($E248+$E238),AU253)))&gt;=AU3,AU3,IF(SUM(AV238:$EI$238,AV248:$EI$248)=0,AU238+AU248,0)+IF((SUM($G253:AU253)-($E248+$E238))&lt;0,0,IF((SUM($G253:AU253)-($E248+$E238))&lt;AU253,SUM($G253:AU253)-($E248+$E238),AU253)))</f>
        <v>31</v>
      </c>
      <c r="AV255" s="402">
        <f ca="1">IF((IF(SUM(AW238:$EI$238,AW248:$EI$248)=0,AV238+AV248,0)+IF((SUM($G253:AV253)-($E248+$E238))&lt;0,0,IF((SUM($G253:AV253)-($E248+$E238))&lt;AV253,SUM($G253:AV253)-($E248+$E238),AV253)))&gt;=AV3,AV3,IF(SUM(AW238:$EI$238,AW248:$EI$248)=0,AV238+AV248,0)+IF((SUM($G253:AV253)-($E248+$E238))&lt;0,0,IF((SUM($G253:AV253)-($E248+$E238))&lt;AV253,SUM($G253:AV253)-($E248+$E238),AV253)))</f>
        <v>31</v>
      </c>
      <c r="AW255" s="402">
        <f ca="1">IF((IF(SUM(AX238:$EI$238,AX248:$EI$248)=0,AW238+AW248,0)+IF((SUM($G253:AW253)-($E248+$E238))&lt;0,0,IF((SUM($G253:AW253)-($E248+$E238))&lt;AW253,SUM($G253:AW253)-($E248+$E238),AW253)))&gt;=AW3,AW3,IF(SUM(AX238:$EI$238,AX248:$EI$248)=0,AW238+AW248,0)+IF((SUM($G253:AW253)-($E248+$E238))&lt;0,0,IF((SUM($G253:AW253)-($E248+$E238))&lt;AW253,SUM($G253:AW253)-($E248+$E238),AW253)))</f>
        <v>30</v>
      </c>
      <c r="AX255" s="402">
        <f ca="1">IF((IF(SUM(AY238:$EI$238,AY248:$EI$248)=0,AX238+AX248,0)+IF((SUM($G253:AX253)-($E248+$E238))&lt;0,0,IF((SUM($G253:AX253)-($E248+$E238))&lt;AX253,SUM($G253:AX253)-($E248+$E238),AX253)))&gt;=AX3,AX3,IF(SUM(AY238:$EI$238,AY248:$EI$248)=0,AX238+AX248,0)+IF((SUM($G253:AX253)-($E248+$E238))&lt;0,0,IF((SUM($G253:AX253)-($E248+$E238))&lt;AX253,SUM($G253:AX253)-($E248+$E238),AX253)))</f>
        <v>31</v>
      </c>
      <c r="AY255" s="402">
        <f ca="1">IF((IF(SUM(AZ238:$EI$238,AZ248:$EI$248)=0,AY238+AY248,0)+IF((SUM($G253:AY253)-($E248+$E238))&lt;0,0,IF((SUM($G253:AY253)-($E248+$E238))&lt;AY253,SUM($G253:AY253)-($E248+$E238),AY253)))&gt;=AY3,AY3,IF(SUM(AZ238:$EI$238,AZ248:$EI$248)=0,AY238+AY248,0)+IF((SUM($G253:AY253)-($E248+$E238))&lt;0,0,IF((SUM($G253:AY253)-($E248+$E238))&lt;AY253,SUM($G253:AY253)-($E248+$E238),AY253)))</f>
        <v>30</v>
      </c>
      <c r="AZ255" s="402">
        <f ca="1">IF((IF(SUM(BA238:$EI$238,BA248:$EI$248)=0,AZ238+AZ248,0)+IF((SUM($G253:AZ253)-($E248+$E238))&lt;0,0,IF((SUM($G253:AZ253)-($E248+$E238))&lt;AZ253,SUM($G253:AZ253)-($E248+$E238),AZ253)))&gt;=AZ3,AZ3,IF(SUM(BA238:$EI$238,BA248:$EI$248)=0,AZ238+AZ248,0)+IF((SUM($G253:AZ253)-($E248+$E238))&lt;0,0,IF((SUM($G253:AZ253)-($E248+$E238))&lt;AZ253,SUM($G253:AZ253)-($E248+$E238),AZ253)))</f>
        <v>31</v>
      </c>
      <c r="BA255" s="402">
        <f ca="1">IF((IF(SUM(BB238:$EI$238,BB248:$EI$248)=0,BA238+BA248,0)+IF((SUM($G253:BA253)-($E248+$E238))&lt;0,0,IF((SUM($G253:BA253)-($E248+$E238))&lt;BA253,SUM($G253:BA253)-($E248+$E238),BA253)))&gt;=BA3,BA3,IF(SUM(BB238:$EI$238,BB248:$EI$248)=0,BA238+BA248,0)+IF((SUM($G253:BA253)-($E248+$E238))&lt;0,0,IF((SUM($G253:BA253)-($E248+$E238))&lt;BA253,SUM($G253:BA253)-($E248+$E238),BA253)))</f>
        <v>31</v>
      </c>
      <c r="BB255" s="402">
        <f ca="1">IF((IF(SUM(BC238:$EI$238,BC248:$EI$248)=0,BB238+BB248,0)+IF((SUM($G253:BB253)-($E248+$E238))&lt;0,0,IF((SUM($G253:BB253)-($E248+$E238))&lt;BB253,SUM($G253:BB253)-($E248+$E238),BB253)))&gt;=BB3,BB3,IF(SUM(BC238:$EI$238,BC248:$EI$248)=0,BB238+BB248,0)+IF((SUM($G253:BB253)-($E248+$E238))&lt;0,0,IF((SUM($G253:BB253)-($E248+$E238))&lt;BB253,SUM($G253:BB253)-($E248+$E238),BB253)))</f>
        <v>28</v>
      </c>
      <c r="BC255" s="402">
        <f ca="1">IF((IF(SUM(BD238:$EI$238,BD248:$EI$248)=0,BC238+BC248,0)+IF((SUM($G253:BC253)-($E248+$E238))&lt;0,0,IF((SUM($G253:BC253)-($E248+$E238))&lt;BC253,SUM($G253:BC253)-($E248+$E238),BC253)))&gt;=BC3,BC3,IF(SUM(BD238:$EI$238,BD248:$EI$248)=0,BC238+BC248,0)+IF((SUM($G253:BC253)-($E248+$E238))&lt;0,0,IF((SUM($G253:BC253)-($E248+$E238))&lt;BC253,SUM($G253:BC253)-($E248+$E238),BC253)))</f>
        <v>31</v>
      </c>
      <c r="BD255" s="402">
        <f ca="1">IF((IF(SUM(BE238:$EI$238,BE248:$EI$248)=0,BD238+BD248,0)+IF((SUM($G253:BD253)-($E248+$E238))&lt;0,0,IF((SUM($G253:BD253)-($E248+$E238))&lt;BD253,SUM($G253:BD253)-($E248+$E238),BD253)))&gt;=BD3,BD3,IF(SUM(BE238:$EI$238,BE248:$EI$248)=0,BD238+BD248,0)+IF((SUM($G253:BD253)-($E248+$E238))&lt;0,0,IF((SUM($G253:BD253)-($E248+$E238))&lt;BD253,SUM($G253:BD253)-($E248+$E238),BD253)))</f>
        <v>30</v>
      </c>
      <c r="BE255" s="402">
        <f ca="1">IF((IF(SUM(BF238:$EI$238,BF248:$EI$248)=0,BE238+BE248,0)+IF((SUM($G253:BE253)-($E248+$E238))&lt;0,0,IF((SUM($G253:BE253)-($E248+$E238))&lt;BE253,SUM($G253:BE253)-($E248+$E238),BE253)))&gt;=BE3,BE3,IF(SUM(BF238:$EI$238,BF248:$EI$248)=0,BE238+BE248,0)+IF((SUM($G253:BE253)-($E248+$E238))&lt;0,0,IF((SUM($G253:BE253)-($E248+$E238))&lt;BE253,SUM($G253:BE253)-($E248+$E238),BE253)))</f>
        <v>31</v>
      </c>
      <c r="BF255" s="402">
        <f ca="1">IF((IF(SUM(BG238:$EI$238,BG248:$EI$248)=0,BF238+BF248,0)+IF((SUM($G253:BF253)-($E248+$E238))&lt;0,0,IF((SUM($G253:BF253)-($E248+$E238))&lt;BF253,SUM($G253:BF253)-($E248+$E238),BF253)))&gt;=BF3,BF3,IF(SUM(BG238:$EI$238,BG248:$EI$248)=0,BF238+BF248,0)+IF((SUM($G253:BF253)-($E248+$E238))&lt;0,0,IF((SUM($G253:BF253)-($E248+$E238))&lt;BF253,SUM($G253:BF253)-($E248+$E238),BF253)))</f>
        <v>30</v>
      </c>
      <c r="BG255" s="402">
        <f ca="1">IF((IF(SUM(BH238:$EI$238,BH248:$EI$248)=0,BG238+BG248,0)+IF((SUM($G253:BG253)-($E248+$E238))&lt;0,0,IF((SUM($G253:BG253)-($E248+$E238))&lt;BG253,SUM($G253:BG253)-($E248+$E238),BG253)))&gt;=BG3,BG3,IF(SUM(BH238:$EI$238,BH248:$EI$248)=0,BG238+BG248,0)+IF((SUM($G253:BG253)-($E248+$E238))&lt;0,0,IF((SUM($G253:BG253)-($E248+$E238))&lt;BG253,SUM($G253:BG253)-($E248+$E238),BG253)))</f>
        <v>31</v>
      </c>
      <c r="BH255" s="402">
        <f ca="1">IF((IF(SUM(BI238:$EI$238,BI248:$EI$248)=0,BH238+BH248,0)+IF((SUM($G253:BH253)-($E248+$E238))&lt;0,0,IF((SUM($G253:BH253)-($E248+$E238))&lt;BH253,SUM($G253:BH253)-($E248+$E238),BH253)))&gt;=BH3,BH3,IF(SUM(BI238:$EI$238,BI248:$EI$248)=0,BH238+BH248,0)+IF((SUM($G253:BH253)-($E248+$E238))&lt;0,0,IF((SUM($G253:BH253)-($E248+$E238))&lt;BH253,SUM($G253:BH253)-($E248+$E238),BH253)))</f>
        <v>31</v>
      </c>
      <c r="BI255" s="402">
        <f ca="1">IF((IF(SUM(BJ238:$EI$238,BJ248:$EI$248)=0,BI238+BI248,0)+IF((SUM($G253:BI253)-($E248+$E238))&lt;0,0,IF((SUM($G253:BI253)-($E248+$E238))&lt;BI253,SUM($G253:BI253)-($E248+$E238),BI253)))&gt;=BI3,BI3,IF(SUM(BJ238:$EI$238,BJ248:$EI$248)=0,BI238+BI248,0)+IF((SUM($G253:BI253)-($E248+$E238))&lt;0,0,IF((SUM($G253:BI253)-($E248+$E238))&lt;BI253,SUM($G253:BI253)-($E248+$E238),BI253)))</f>
        <v>30</v>
      </c>
      <c r="BJ255" s="402">
        <f ca="1">IF((IF(SUM(BK238:$EI$238,BK248:$EI$248)=0,BJ238+BJ248,0)+IF((SUM($G253:BJ253)-($E248+$E238))&lt;0,0,IF((SUM($G253:BJ253)-($E248+$E238))&lt;BJ253,SUM($G253:BJ253)-($E248+$E238),BJ253)))&gt;=BJ3,BJ3,IF(SUM(BK238:$EI$238,BK248:$EI$248)=0,BJ238+BJ248,0)+IF((SUM($G253:BJ253)-($E248+$E238))&lt;0,0,IF((SUM($G253:BJ253)-($E248+$E238))&lt;BJ253,SUM($G253:BJ253)-($E248+$E238),BJ253)))</f>
        <v>31</v>
      </c>
      <c r="BK255" s="402">
        <f ca="1">IF((IF(SUM(BL238:$EI$238,BL248:$EI$248)=0,BK238+BK248,0)+IF((SUM($G253:BK253)-($E248+$E238))&lt;0,0,IF((SUM($G253:BK253)-($E248+$E238))&lt;BK253,SUM($G253:BK253)-($E248+$E238),BK253)))&gt;=BK3,BK3,IF(SUM(BL238:$EI$238,BL248:$EI$248)=0,BK238+BK248,0)+IF((SUM($G253:BK253)-($E248+$E238))&lt;0,0,IF((SUM($G253:BK253)-($E248+$E238))&lt;BK253,SUM($G253:BK253)-($E248+$E238),BK253)))</f>
        <v>30</v>
      </c>
      <c r="BL255" s="402">
        <f ca="1">IF((IF(SUM(BM238:$EI$238,BM248:$EI$248)=0,BL238+BL248,0)+IF((SUM($G253:BL253)-($E248+$E238))&lt;0,0,IF((SUM($G253:BL253)-($E248+$E238))&lt;BL253,SUM($G253:BL253)-($E248+$E238),BL253)))&gt;=BL3,BL3,IF(SUM(BM238:$EI$238,BM248:$EI$248)=0,BL238+BL248,0)+IF((SUM($G253:BL253)-($E248+$E238))&lt;0,0,IF((SUM($G253:BL253)-($E248+$E238))&lt;BL253,SUM($G253:BL253)-($E248+$E238),BL253)))</f>
        <v>31</v>
      </c>
      <c r="BM255" s="402">
        <f ca="1">IF((IF(SUM(BN238:$EI$238,BN248:$EI$248)=0,BM238+BM248,0)+IF((SUM($G253:BM253)-($E248+$E238))&lt;0,0,IF((SUM($G253:BM253)-($E248+$E238))&lt;BM253,SUM($G253:BM253)-($E248+$E238),BM253)))&gt;=BM3,BM3,IF(SUM(BN238:$EI$238,BN248:$EI$248)=0,BM238+BM248,0)+IF((SUM($G253:BM253)-($E248+$E238))&lt;0,0,IF((SUM($G253:BM253)-($E248+$E238))&lt;BM253,SUM($G253:BM253)-($E248+$E238),BM253)))</f>
        <v>31</v>
      </c>
      <c r="BN255" s="402">
        <f ca="1">IF((IF(SUM(BO238:$EI$238,BO248:$EI$248)=0,BN238+BN248,0)+IF((SUM($G253:BN253)-($E248+$E238))&lt;0,0,IF((SUM($G253:BN253)-($E248+$E238))&lt;BN253,SUM($G253:BN253)-($E248+$E238),BN253)))&gt;=BN3,BN3,IF(SUM(BO238:$EI$238,BO248:$EI$248)=0,BN238+BN248,0)+IF((SUM($G253:BN253)-($E248+$E238))&lt;0,0,IF((SUM($G253:BN253)-($E248+$E238))&lt;BN253,SUM($G253:BN253)-($E248+$E238),BN253)))</f>
        <v>29</v>
      </c>
      <c r="BO255" s="402">
        <f ca="1">IF((IF(SUM(BP238:$EI$238,BP248:$EI$248)=0,BO238+BO248,0)+IF((SUM($G253:BO253)-($E248+$E238))&lt;0,0,IF((SUM($G253:BO253)-($E248+$E238))&lt;BO253,SUM($G253:BO253)-($E248+$E238),BO253)))&gt;=BO3,BO3,IF(SUM(BP238:$EI$238,BP248:$EI$248)=0,BO238+BO248,0)+IF((SUM($G253:BO253)-($E248+$E238))&lt;0,0,IF((SUM($G253:BO253)-($E248+$E238))&lt;BO253,SUM($G253:BO253)-($E248+$E238),BO253)))</f>
        <v>31</v>
      </c>
      <c r="BP255" s="402">
        <f ca="1">IF((IF(SUM(BQ238:$EI$238,BQ248:$EI$248)=0,BP238+BP248,0)+IF((SUM($G253:BP253)-($E248+$E238))&lt;0,0,IF((SUM($G253:BP253)-($E248+$E238))&lt;BP253,SUM($G253:BP253)-($E248+$E238),BP253)))&gt;=BP3,BP3,IF(SUM(BQ238:$EI$238,BQ248:$EI$248)=0,BP238+BP248,0)+IF((SUM($G253:BP253)-($E248+$E238))&lt;0,0,IF((SUM($G253:BP253)-($E248+$E238))&lt;BP253,SUM($G253:BP253)-($E248+$E238),BP253)))</f>
        <v>30</v>
      </c>
      <c r="BQ255" s="402">
        <f ca="1">IF((IF(SUM(BR238:$EI$238,BR248:$EI$248)=0,BQ238+BQ248,0)+IF((SUM($G253:BQ253)-($E248+$E238))&lt;0,0,IF((SUM($G253:BQ253)-($E248+$E238))&lt;BQ253,SUM($G253:BQ253)-($E248+$E238),BQ253)))&gt;=BQ3,BQ3,IF(SUM(BR238:$EI$238,BR248:$EI$248)=0,BQ238+BQ248,0)+IF((SUM($G253:BQ253)-($E248+$E238))&lt;0,0,IF((SUM($G253:BQ253)-($E248+$E238))&lt;BQ253,SUM($G253:BQ253)-($E248+$E238),BQ253)))</f>
        <v>31</v>
      </c>
      <c r="BR255" s="402">
        <f ca="1">IF((IF(SUM(BS238:$EI$238,BS248:$EI$248)=0,BR238+BR248,0)+IF((SUM($G253:BR253)-($E248+$E238))&lt;0,0,IF((SUM($G253:BR253)-($E248+$E238))&lt;BR253,SUM($G253:BR253)-($E248+$E238),BR253)))&gt;=BR3,BR3,IF(SUM(BS238:$EI$238,BS248:$EI$248)=0,BR238+BR248,0)+IF((SUM($G253:BR253)-($E248+$E238))&lt;0,0,IF((SUM($G253:BR253)-($E248+$E238))&lt;BR253,SUM($G253:BR253)-($E248+$E238),BR253)))</f>
        <v>30</v>
      </c>
      <c r="BS255" s="402">
        <f ca="1">IF((IF(SUM(BT238:$EI$238,BT248:$EI$248)=0,BS238+BS248,0)+IF((SUM($G253:BS253)-($E248+$E238))&lt;0,0,IF((SUM($G253:BS253)-($E248+$E238))&lt;BS253,SUM($G253:BS253)-($E248+$E238),BS253)))&gt;=BS3,BS3,IF(SUM(BT238:$EI$238,BT248:$EI$248)=0,BS238+BS248,0)+IF((SUM($G253:BS253)-($E248+$E238))&lt;0,0,IF((SUM($G253:BS253)-($E248+$E238))&lt;BS253,SUM($G253:BS253)-($E248+$E238),BS253)))</f>
        <v>31</v>
      </c>
      <c r="BT255" s="402">
        <f ca="1">IF((IF(SUM(BU238:$EI$238,BU248:$EI$248)=0,BT238+BT248,0)+IF((SUM($G253:BT253)-($E248+$E238))&lt;0,0,IF((SUM($G253:BT253)-($E248+$E238))&lt;BT253,SUM($G253:BT253)-($E248+$E238),BT253)))&gt;=BT3,BT3,IF(SUM(BU238:$EI$238,BU248:$EI$248)=0,BT238+BT248,0)+IF((SUM($G253:BT253)-($E248+$E238))&lt;0,0,IF((SUM($G253:BT253)-($E248+$E238))&lt;BT253,SUM($G253:BT253)-($E248+$E238),BT253)))</f>
        <v>31</v>
      </c>
      <c r="BU255" s="402">
        <f ca="1">IF((IF(SUM(BV238:$EI$238,BV248:$EI$248)=0,BU238+BU248,0)+IF((SUM($G253:BU253)-($E248+$E238))&lt;0,0,IF((SUM($G253:BU253)-($E248+$E238))&lt;BU253,SUM($G253:BU253)-($E248+$E238),BU253)))&gt;=BU3,BU3,IF(SUM(BV238:$EI$238,BV248:$EI$248)=0,BU238+BU248,0)+IF((SUM($G253:BU253)-($E248+$E238))&lt;0,0,IF((SUM($G253:BU253)-($E248+$E238))&lt;BU253,SUM($G253:BU253)-($E248+$E238),BU253)))</f>
        <v>30</v>
      </c>
      <c r="BV255" s="402">
        <f ca="1">IF((IF(SUM(BW238:$EI$238,BW248:$EI$248)=0,BV238+BV248,0)+IF((SUM($G253:BV253)-($E248+$E238))&lt;0,0,IF((SUM($G253:BV253)-($E248+$E238))&lt;BV253,SUM($G253:BV253)-($E248+$E238),BV253)))&gt;=BV3,BV3,IF(SUM(BW238:$EI$238,BW248:$EI$248)=0,BV238+BV248,0)+IF((SUM($G253:BV253)-($E248+$E238))&lt;0,0,IF((SUM($G253:BV253)-($E248+$E238))&lt;BV253,SUM($G253:BV253)-($E248+$E238),BV253)))</f>
        <v>31</v>
      </c>
      <c r="BW255" s="402">
        <f ca="1">IF((IF(SUM(BX238:$EI$238,BX248:$EI$248)=0,BW238+BW248,0)+IF((SUM($G253:BW253)-($E248+$E238))&lt;0,0,IF((SUM($G253:BW253)-($E248+$E238))&lt;BW253,SUM($G253:BW253)-($E248+$E238),BW253)))&gt;=BW3,BW3,IF(SUM(BX238:$EI$238,BX248:$EI$248)=0,BW238+BW248,0)+IF((SUM($G253:BW253)-($E248+$E238))&lt;0,0,IF((SUM($G253:BW253)-($E248+$E238))&lt;BW253,SUM($G253:BW253)-($E248+$E238),BW253)))</f>
        <v>30</v>
      </c>
      <c r="BX255" s="402">
        <f ca="1">IF((IF(SUM(BY238:$EI$238,BY248:$EI$248)=0,BX238+BX248,0)+IF((SUM($G253:BX253)-($E248+$E238))&lt;0,0,IF((SUM($G253:BX253)-($E248+$E238))&lt;BX253,SUM($G253:BX253)-($E248+$E238),BX253)))&gt;=BX3,BX3,IF(SUM(BY238:$EI$238,BY248:$EI$248)=0,BX238+BX248,0)+IF((SUM($G253:BX253)-($E248+$E238))&lt;0,0,IF((SUM($G253:BX253)-($E248+$E238))&lt;BX253,SUM($G253:BX253)-($E248+$E238),BX253)))</f>
        <v>31</v>
      </c>
      <c r="BY255" s="402">
        <f ca="1">IF((IF(SUM(BZ238:$EI$238,BZ248:$EI$248)=0,BY238+BY248,0)+IF((SUM($G253:BY253)-($E248+$E238))&lt;0,0,IF((SUM($G253:BY253)-($E248+$E238))&lt;BY253,SUM($G253:BY253)-($E248+$E238),BY253)))&gt;=BY3,BY3,IF(SUM(BZ238:$EI$238,BZ248:$EI$248)=0,BY238+BY248,0)+IF((SUM($G253:BY253)-($E248+$E238))&lt;0,0,IF((SUM($G253:BY253)-($E248+$E238))&lt;BY253,SUM($G253:BY253)-($E248+$E238),BY253)))</f>
        <v>31</v>
      </c>
      <c r="BZ255" s="402">
        <f ca="1">IF((IF(SUM(CA238:$EI$238,CA248:$EI$248)=0,BZ238+BZ248,0)+IF((SUM($G253:BZ253)-($E248+$E238))&lt;0,0,IF((SUM($G253:BZ253)-($E248+$E238))&lt;BZ253,SUM($G253:BZ253)-($E248+$E238),BZ253)))&gt;=BZ3,BZ3,IF(SUM(CA238:$EI$238,CA248:$EI$248)=0,BZ238+BZ248,0)+IF((SUM($G253:BZ253)-($E248+$E238))&lt;0,0,IF((SUM($G253:BZ253)-($E248+$E238))&lt;BZ253,SUM($G253:BZ253)-($E248+$E238),BZ253)))</f>
        <v>28</v>
      </c>
      <c r="CA255" s="402">
        <f ca="1">IF((IF(SUM(CB238:$EI$238,CB248:$EI$248)=0,CA238+CA248,0)+IF((SUM($G253:CA253)-($E248+$E238))&lt;0,0,IF((SUM($G253:CA253)-($E248+$E238))&lt;CA253,SUM($G253:CA253)-($E248+$E238),CA253)))&gt;=CA3,CA3,IF(SUM(CB238:$EI$238,CB248:$EI$248)=0,CA238+CA248,0)+IF((SUM($G253:CA253)-($E248+$E238))&lt;0,0,IF((SUM($G253:CA253)-($E248+$E238))&lt;CA253,SUM($G253:CA253)-($E248+$E238),CA253)))</f>
        <v>31</v>
      </c>
      <c r="CB255" s="402">
        <f ca="1">IF((IF(SUM(CC238:$EI$238,CC248:$EI$248)=0,CB238+CB248,0)+IF((SUM($G253:CB253)-($E248+$E238))&lt;0,0,IF((SUM($G253:CB253)-($E248+$E238))&lt;CB253,SUM($G253:CB253)-($E248+$E238),CB253)))&gt;=CB3,CB3,IF(SUM(CC238:$EI$238,CC248:$EI$248)=0,CB238+CB248,0)+IF((SUM($G253:CB253)-($E248+$E238))&lt;0,0,IF((SUM($G253:CB253)-($E248+$E238))&lt;CB253,SUM($G253:CB253)-($E248+$E238),CB253)))</f>
        <v>30</v>
      </c>
      <c r="CC255" s="402">
        <f ca="1">IF((IF(SUM(CD238:$EI$238,CD248:$EI$248)=0,CC238+CC248,0)+IF((SUM($G253:CC253)-($E248+$E238))&lt;0,0,IF((SUM($G253:CC253)-($E248+$E238))&lt;CC253,SUM($G253:CC253)-($E248+$E238),CC253)))&gt;=CC3,CC3,IF(SUM(CD238:$EI$238,CD248:$EI$248)=0,CC238+CC248,0)+IF((SUM($G253:CC253)-($E248+$E238))&lt;0,0,IF((SUM($G253:CC253)-($E248+$E238))&lt;CC253,SUM($G253:CC253)-($E248+$E238),CC253)))</f>
        <v>31</v>
      </c>
      <c r="CD255" s="402">
        <f ca="1">IF((IF(SUM(CE238:$EI$238,CE248:$EI$248)=0,CD238+CD248,0)+IF((SUM($G253:CD253)-($E248+$E238))&lt;0,0,IF((SUM($G253:CD253)-($E248+$E238))&lt;CD253,SUM($G253:CD253)-($E248+$E238),CD253)))&gt;=CD3,CD3,IF(SUM(CE238:$EI$238,CE248:$EI$248)=0,CD238+CD248,0)+IF((SUM($G253:CD253)-($E248+$E238))&lt;0,0,IF((SUM($G253:CD253)-($E248+$E238))&lt;CD253,SUM($G253:CD253)-($E248+$E238),CD253)))</f>
        <v>30</v>
      </c>
      <c r="CE255" s="402">
        <f ca="1">IF((IF(SUM(CF238:$EI$238,CF248:$EI$248)=0,CE238+CE248,0)+IF((SUM($G253:CE253)-($E248+$E238))&lt;0,0,IF((SUM($G253:CE253)-($E248+$E238))&lt;CE253,SUM($G253:CE253)-($E248+$E238),CE253)))&gt;=CE3,CE3,IF(SUM(CF238:$EI$238,CF248:$EI$248)=0,CE238+CE248,0)+IF((SUM($G253:CE253)-($E248+$E238))&lt;0,0,IF((SUM($G253:CE253)-($E248+$E238))&lt;CE253,SUM($G253:CE253)-($E248+$E238),CE253)))</f>
        <v>31</v>
      </c>
      <c r="CF255" s="402">
        <f ca="1">IF((IF(SUM(CG238:$EI$238,CG248:$EI$248)=0,CF238+CF248,0)+IF((SUM($G253:CF253)-($E248+$E238))&lt;0,0,IF((SUM($G253:CF253)-($E248+$E238))&lt;CF253,SUM($G253:CF253)-($E248+$E238),CF253)))&gt;=CF3,CF3,IF(SUM(CG238:$EI$238,CG248:$EI$248)=0,CF238+CF248,0)+IF((SUM($G253:CF253)-($E248+$E238))&lt;0,0,IF((SUM($G253:CF253)-($E248+$E238))&lt;CF253,SUM($G253:CF253)-($E248+$E238),CF253)))</f>
        <v>31</v>
      </c>
      <c r="CG255" s="402">
        <f ca="1">IF((IF(SUM(CH238:$EI$238,CH248:$EI$248)=0,CG238+CG248,0)+IF((SUM($G253:CG253)-($E248+$E238))&lt;0,0,IF((SUM($G253:CG253)-($E248+$E238))&lt;CG253,SUM($G253:CG253)-($E248+$E238),CG253)))&gt;=CG3,CG3,IF(SUM(CH238:$EI$238,CH248:$EI$248)=0,CG238+CG248,0)+IF((SUM($G253:CG253)-($E248+$E238))&lt;0,0,IF((SUM($G253:CG253)-($E248+$E238))&lt;CG253,SUM($G253:CG253)-($E248+$E238),CG253)))</f>
        <v>30</v>
      </c>
      <c r="CH255" s="402">
        <f ca="1">IF((IF(SUM(CI238:$EI$238,CI248:$EI$248)=0,CH238+CH248,0)+IF((SUM($G253:CH253)-($E248+$E238))&lt;0,0,IF((SUM($G253:CH253)-($E248+$E238))&lt;CH253,SUM($G253:CH253)-($E248+$E238),CH253)))&gt;=CH3,CH3,IF(SUM(CI238:$EI$238,CI248:$EI$248)=0,CH238+CH248,0)+IF((SUM($G253:CH253)-($E248+$E238))&lt;0,0,IF((SUM($G253:CH253)-($E248+$E238))&lt;CH253,SUM($G253:CH253)-($E248+$E238),CH253)))</f>
        <v>31</v>
      </c>
      <c r="CI255" s="402">
        <f ca="1">IF((IF(SUM(CJ238:$EI$238,CJ248:$EI$248)=0,CI238+CI248,0)+IF((SUM($G253:CI253)-($E248+$E238))&lt;0,0,IF((SUM($G253:CI253)-($E248+$E238))&lt;CI253,SUM($G253:CI253)-($E248+$E238),CI253)))&gt;=CI3,CI3,IF(SUM(CJ238:$EI$238,CJ248:$EI$248)=0,CI238+CI248,0)+IF((SUM($G253:CI253)-($E248+$E238))&lt;0,0,IF((SUM($G253:CI253)-($E248+$E238))&lt;CI253,SUM($G253:CI253)-($E248+$E238),CI253)))</f>
        <v>30</v>
      </c>
      <c r="CJ255" s="402">
        <f ca="1">IF((IF(SUM(CK238:$EI$238,CK248:$EI$248)=0,CJ238+CJ248,0)+IF((SUM($G253:CJ253)-($E248+$E238))&lt;0,0,IF((SUM($G253:CJ253)-($E248+$E238))&lt;CJ253,SUM($G253:CJ253)-($E248+$E238),CJ253)))&gt;=CJ3,CJ3,IF(SUM(CK238:$EI$238,CK248:$EI$248)=0,CJ238+CJ248,0)+IF((SUM($G253:CJ253)-($E248+$E238))&lt;0,0,IF((SUM($G253:CJ253)-($E248+$E238))&lt;CJ253,SUM($G253:CJ253)-($E248+$E238),CJ253)))</f>
        <v>31</v>
      </c>
      <c r="CK255" s="402">
        <f ca="1">IF((IF(SUM(CL238:$EI$238,CL248:$EI$248)=0,CK238+CK248,0)+IF((SUM($G253:CK253)-($E248+$E238))&lt;0,0,IF((SUM($G253:CK253)-($E248+$E238))&lt;CK253,SUM($G253:CK253)-($E248+$E238),CK253)))&gt;=CK3,CK3,IF(SUM(CL238:$EI$238,CL248:$EI$248)=0,CK238+CK248,0)+IF((SUM($G253:CK253)-($E248+$E238))&lt;0,0,IF((SUM($G253:CK253)-($E248+$E238))&lt;CK253,SUM($G253:CK253)-($E248+$E238),CK253)))</f>
        <v>31</v>
      </c>
      <c r="CL255" s="402">
        <f ca="1">IF((IF(SUM(CM238:$EI$238,CM248:$EI$248)=0,CL238+CL248,0)+IF((SUM($G253:CL253)-($E248+$E238))&lt;0,0,IF((SUM($G253:CL253)-($E248+$E238))&lt;CL253,SUM($G253:CL253)-($E248+$E238),CL253)))&gt;=CL3,CL3,IF(SUM(CM238:$EI$238,CM248:$EI$248)=0,CL238+CL248,0)+IF((SUM($G253:CL253)-($E248+$E238))&lt;0,0,IF((SUM($G253:CL253)-($E248+$E238))&lt;CL253,SUM($G253:CL253)-($E248+$E238),CL253)))</f>
        <v>28</v>
      </c>
      <c r="CM255" s="402">
        <f ca="1">IF((IF(SUM(CN238:$EI$238,CN248:$EI$248)=0,CM238+CM248,0)+IF((SUM($G253:CM253)-($E248+$E238))&lt;0,0,IF((SUM($G253:CM253)-($E248+$E238))&lt;CM253,SUM($G253:CM253)-($E248+$E238),CM253)))&gt;=CM3,CM3,IF(SUM(CN238:$EI$238,CN248:$EI$248)=0,CM238+CM248,0)+IF((SUM($G253:CM253)-($E248+$E238))&lt;0,0,IF((SUM($G253:CM253)-($E248+$E238))&lt;CM253,SUM($G253:CM253)-($E248+$E238),CM253)))</f>
        <v>31</v>
      </c>
      <c r="CN255" s="402">
        <f ca="1">IF((IF(SUM(CO238:$EI$238,CO248:$EI$248)=0,CN238+CN248,0)+IF((SUM($G253:CN253)-($E248+$E238))&lt;0,0,IF((SUM($G253:CN253)-($E248+$E238))&lt;CN253,SUM($G253:CN253)-($E248+$E238),CN253)))&gt;=CN3,CN3,IF(SUM(CO238:$EI$238,CO248:$EI$248)=0,CN238+CN248,0)+IF((SUM($G253:CN253)-($E248+$E238))&lt;0,0,IF((SUM($G253:CN253)-($E248+$E238))&lt;CN253,SUM($G253:CN253)-($E248+$E238),CN253)))</f>
        <v>30</v>
      </c>
      <c r="CO255" s="402">
        <f ca="1">IF((IF(SUM(CP238:$EI$238,CP248:$EI$248)=0,CO238+CO248,0)+IF((SUM($G253:CO253)-($E248+$E238))&lt;0,0,IF((SUM($G253:CO253)-($E248+$E238))&lt;CO253,SUM($G253:CO253)-($E248+$E238),CO253)))&gt;=CO3,CO3,IF(SUM(CP238:$EI$238,CP248:$EI$248)=0,CO238+CO248,0)+IF((SUM($G253:CO253)-($E248+$E238))&lt;0,0,IF((SUM($G253:CO253)-($E248+$E238))&lt;CO253,SUM($G253:CO253)-($E248+$E238),CO253)))</f>
        <v>31</v>
      </c>
      <c r="CP255" s="402">
        <f ca="1">IF((IF(SUM(CQ238:$EI$238,CQ248:$EI$248)=0,CP238+CP248,0)+IF((SUM($G253:CP253)-($E248+$E238))&lt;0,0,IF((SUM($G253:CP253)-($E248+$E238))&lt;CP253,SUM($G253:CP253)-($E248+$E238),CP253)))&gt;=CP3,CP3,IF(SUM(CQ238:$EI$238,CQ248:$EI$248)=0,CP238+CP248,0)+IF((SUM($G253:CP253)-($E248+$E238))&lt;0,0,IF((SUM($G253:CP253)-($E248+$E238))&lt;CP253,SUM($G253:CP253)-($E248+$E238),CP253)))</f>
        <v>30</v>
      </c>
      <c r="CQ255" s="402">
        <f ca="1">IF((IF(SUM(CR238:$EI$238,CR248:$EI$248)=0,CQ238+CQ248,0)+IF((SUM($G253:CQ253)-($E248+$E238))&lt;0,0,IF((SUM($G253:CQ253)-($E248+$E238))&lt;CQ253,SUM($G253:CQ253)-($E248+$E238),CQ253)))&gt;=CQ3,CQ3,IF(SUM(CR238:$EI$238,CR248:$EI$248)=0,CQ238+CQ248,0)+IF((SUM($G253:CQ253)-($E248+$E238))&lt;0,0,IF((SUM($G253:CQ253)-($E248+$E238))&lt;CQ253,SUM($G253:CQ253)-($E248+$E238),CQ253)))</f>
        <v>31</v>
      </c>
      <c r="CR255" s="402">
        <f ca="1">IF((IF(SUM(CS238:$EI$238,CS248:$EI$248)=0,CR238+CR248,0)+IF((SUM($G253:CR253)-($E248+$E238))&lt;0,0,IF((SUM($G253:CR253)-($E248+$E238))&lt;CR253,SUM($G253:CR253)-($E248+$E238),CR253)))&gt;=CR3,CR3,IF(SUM(CS238:$EI$238,CS248:$EI$248)=0,CR238+CR248,0)+IF((SUM($G253:CR253)-($E248+$E238))&lt;0,0,IF((SUM($G253:CR253)-($E248+$E238))&lt;CR253,SUM($G253:CR253)-($E248+$E238),CR253)))</f>
        <v>31</v>
      </c>
      <c r="CS255" s="402">
        <f ca="1">IF((IF(SUM(CT238:$EI$238,CT248:$EI$248)=0,CS238+CS248,0)+IF((SUM($G253:CS253)-($E248+$E238))&lt;0,0,IF((SUM($G253:CS253)-($E248+$E238))&lt;CS253,SUM($G253:CS253)-($E248+$E238),CS253)))&gt;=CS3,CS3,IF(SUM(CT238:$EI$238,CT248:$EI$248)=0,CS238+CS248,0)+IF((SUM($G253:CS253)-($E248+$E238))&lt;0,0,IF((SUM($G253:CS253)-($E248+$E238))&lt;CS253,SUM($G253:CS253)-($E248+$E238),CS253)))</f>
        <v>30</v>
      </c>
      <c r="CT255" s="402">
        <f ca="1">IF((IF(SUM(CU238:$EI$238,CU248:$EI$248)=0,CT238+CT248,0)+IF((SUM($G253:CT253)-($E248+$E238))&lt;0,0,IF((SUM($G253:CT253)-($E248+$E238))&lt;CT253,SUM($G253:CT253)-($E248+$E238),CT253)))&gt;=CT3,CT3,IF(SUM(CU238:$EI$238,CU248:$EI$248)=0,CT238+CT248,0)+IF((SUM($G253:CT253)-($E248+$E238))&lt;0,0,IF((SUM($G253:CT253)-($E248+$E238))&lt;CT253,SUM($G253:CT253)-($E248+$E238),CT253)))</f>
        <v>31</v>
      </c>
      <c r="CU255" s="402">
        <f ca="1">IF((IF(SUM(CV238:$EI$238,CV248:$EI$248)=0,CU238+CU248,0)+IF((SUM($G253:CU253)-($E248+$E238))&lt;0,0,IF((SUM($G253:CU253)-($E248+$E238))&lt;CU253,SUM($G253:CU253)-($E248+$E238),CU253)))&gt;=CU3,CU3,IF(SUM(CV238:$EI$238,CV248:$EI$248)=0,CU238+CU248,0)+IF((SUM($G253:CU253)-($E248+$E238))&lt;0,0,IF((SUM($G253:CU253)-($E248+$E238))&lt;CU253,SUM($G253:CU253)-($E248+$E238),CU253)))</f>
        <v>30</v>
      </c>
      <c r="CV255" s="402">
        <f ca="1">IF((IF(SUM(CW238:$EI$238,CW248:$EI$248)=0,CV238+CV248,0)+IF((SUM($G253:CV253)-($E248+$E238))&lt;0,0,IF((SUM($G253:CV253)-($E248+$E238))&lt;CV253,SUM($G253:CV253)-($E248+$E238),CV253)))&gt;=CV3,CV3,IF(SUM(CW238:$EI$238,CW248:$EI$248)=0,CV238+CV248,0)+IF((SUM($G253:CV253)-($E248+$E238))&lt;0,0,IF((SUM($G253:CV253)-($E248+$E238))&lt;CV253,SUM($G253:CV253)-($E248+$E238),CV253)))</f>
        <v>31</v>
      </c>
      <c r="CW255" s="402">
        <f ca="1">IF((IF(SUM(CX238:$EI$238,CX248:$EI$248)=0,CW238+CW248,0)+IF((SUM($G253:CW253)-($E248+$E238))&lt;0,0,IF((SUM($G253:CW253)-($E248+$E238))&lt;CW253,SUM($G253:CW253)-($E248+$E238),CW253)))&gt;=CW3,CW3,IF(SUM(CX238:$EI$238,CX248:$EI$248)=0,CW238+CW248,0)+IF((SUM($G253:CW253)-($E248+$E238))&lt;0,0,IF((SUM($G253:CW253)-($E248+$E238))&lt;CW253,SUM($G253:CW253)-($E248+$E238),CW253)))</f>
        <v>31</v>
      </c>
      <c r="CX255" s="402">
        <f ca="1">IF((IF(SUM(CY238:$EI$238,CY248:$EI$248)=0,CX238+CX248,0)+IF((SUM($G253:CX253)-($E248+$E238))&lt;0,0,IF((SUM($G253:CX253)-($E248+$E238))&lt;CX253,SUM($G253:CX253)-($E248+$E238),CX253)))&gt;=CX3,CX3,IF(SUM(CY238:$EI$238,CY248:$EI$248)=0,CX238+CX248,0)+IF((SUM($G253:CX253)-($E248+$E238))&lt;0,0,IF((SUM($G253:CX253)-($E248+$E238))&lt;CX253,SUM($G253:CX253)-($E248+$E238),CX253)))</f>
        <v>28</v>
      </c>
      <c r="CY255" s="402">
        <f ca="1">IF((IF(SUM(CZ238:$EI$238,CZ248:$EI$248)=0,CY238+CY248,0)+IF((SUM($G253:CY253)-($E248+$E238))&lt;0,0,IF((SUM($G253:CY253)-($E248+$E238))&lt;CY253,SUM($G253:CY253)-($E248+$E238),CY253)))&gt;=CY3,CY3,IF(SUM(CZ238:$EI$238,CZ248:$EI$248)=0,CY238+CY248,0)+IF((SUM($G253:CY253)-($E248+$E238))&lt;0,0,IF((SUM($G253:CY253)-($E248+$E238))&lt;CY253,SUM($G253:CY253)-($E248+$E238),CY253)))</f>
        <v>31</v>
      </c>
      <c r="CZ255" s="402">
        <f ca="1">IF((IF(SUM(DA238:$EI$238,DA248:$EI$248)=0,CZ238+CZ248,0)+IF((SUM($G253:CZ253)-($E248+$E238))&lt;0,0,IF((SUM($G253:CZ253)-($E248+$E238))&lt;CZ253,SUM($G253:CZ253)-($E248+$E238),CZ253)))&gt;=CZ3,CZ3,IF(SUM(DA238:$EI$238,DA248:$EI$248)=0,CZ238+CZ248,0)+IF((SUM($G253:CZ253)-($E248+$E238))&lt;0,0,IF((SUM($G253:CZ253)-($E248+$E238))&lt;CZ253,SUM($G253:CZ253)-($E248+$E238),CZ253)))</f>
        <v>30</v>
      </c>
      <c r="DA255" s="402">
        <f ca="1">IF((IF(SUM(DB238:$EI$238,DB248:$EI$248)=0,DA238+DA248,0)+IF((SUM($G253:DA253)-($E248+$E238))&lt;0,0,IF((SUM($G253:DA253)-($E248+$E238))&lt;DA253,SUM($G253:DA253)-($E248+$E238),DA253)))&gt;=DA3,DA3,IF(SUM(DB238:$EI$238,DB248:$EI$248)=0,DA238+DA248,0)+IF((SUM($G253:DA253)-($E248+$E238))&lt;0,0,IF((SUM($G253:DA253)-($E248+$E238))&lt;DA253,SUM($G253:DA253)-($E248+$E238),DA253)))</f>
        <v>31</v>
      </c>
      <c r="DB255" s="402">
        <f ca="1">IF((IF(SUM(DC238:$EI$238,DC248:$EI$248)=0,DB238+DB248,0)+IF((SUM($G253:DB253)-($E248+$E238))&lt;0,0,IF((SUM($G253:DB253)-($E248+$E238))&lt;DB253,SUM($G253:DB253)-($E248+$E238),DB253)))&gt;=DB3,DB3,IF(SUM(DC238:$EI$238,DC248:$EI$248)=0,DB238+DB248,0)+IF((SUM($G253:DB253)-($E248+$E238))&lt;0,0,IF((SUM($G253:DB253)-($E248+$E238))&lt;DB253,SUM($G253:DB253)-($E248+$E238),DB253)))</f>
        <v>30</v>
      </c>
      <c r="DC255" s="402">
        <f ca="1">IF((IF(SUM(DD238:$EI$238,DD248:$EI$248)=0,DC238+DC248,0)+IF((SUM($G253:DC253)-($E248+$E238))&lt;0,0,IF((SUM($G253:DC253)-($E248+$E238))&lt;DC253,SUM($G253:DC253)-($E248+$E238),DC253)))&gt;=DC3,DC3,IF(SUM(DD238:$EI$238,DD248:$EI$248)=0,DC238+DC248,0)+IF((SUM($G253:DC253)-($E248+$E238))&lt;0,0,IF((SUM($G253:DC253)-($E248+$E238))&lt;DC253,SUM($G253:DC253)-($E248+$E238),DC253)))</f>
        <v>31</v>
      </c>
      <c r="DD255" s="402">
        <f ca="1">IF((IF(SUM(DE238:$EI$238,DE248:$EI$248)=0,DD238+DD248,0)+IF((SUM($G253:DD253)-($E248+$E238))&lt;0,0,IF((SUM($G253:DD253)-($E248+$E238))&lt;DD253,SUM($G253:DD253)-($E248+$E238),DD253)))&gt;=DD3,DD3,IF(SUM(DE238:$EI$238,DE248:$EI$248)=0,DD238+DD248,0)+IF((SUM($G253:DD253)-($E248+$E238))&lt;0,0,IF((SUM($G253:DD253)-($E248+$E238))&lt;DD253,SUM($G253:DD253)-($E248+$E238),DD253)))</f>
        <v>31</v>
      </c>
      <c r="DE255" s="402">
        <f ca="1">IF((IF(SUM(DF238:$EI$238,DF248:$EI$248)=0,DE238+DE248,0)+IF((SUM($G253:DE253)-($E248+$E238))&lt;0,0,IF((SUM($G253:DE253)-($E248+$E238))&lt;DE253,SUM($G253:DE253)-($E248+$E238),DE253)))&gt;=DE3,DE3,IF(SUM(DF238:$EI$238,DF248:$EI$248)=0,DE238+DE248,0)+IF((SUM($G253:DE253)-($E248+$E238))&lt;0,0,IF((SUM($G253:DE253)-($E248+$E238))&lt;DE253,SUM($G253:DE253)-($E248+$E238),DE253)))</f>
        <v>30</v>
      </c>
      <c r="DF255" s="402">
        <f ca="1">IF((IF(SUM(DG238:$EI$238,DG248:$EI$248)=0,DF238+DF248,0)+IF((SUM($G253:DF253)-($E248+$E238))&lt;0,0,IF((SUM($G253:DF253)-($E248+$E238))&lt;DF253,SUM($G253:DF253)-($E248+$E238),DF253)))&gt;=DF3,DF3,IF(SUM(DG238:$EI$238,DG248:$EI$248)=0,DF238+DF248,0)+IF((SUM($G253:DF253)-($E248+$E238))&lt;0,0,IF((SUM($G253:DF253)-($E248+$E238))&lt;DF253,SUM($G253:DF253)-($E248+$E238),DF253)))</f>
        <v>31</v>
      </c>
      <c r="DG255" s="402">
        <f ca="1">IF((IF(SUM(DH238:$EI$238,DH248:$EI$248)=0,DG238+DG248,0)+IF((SUM($G253:DG253)-($E248+$E238))&lt;0,0,IF((SUM($G253:DG253)-($E248+$E238))&lt;DG253,SUM($G253:DG253)-($E248+$E238),DG253)))&gt;=DG3,DG3,IF(SUM(DH238:$EI$238,DH248:$EI$248)=0,DG238+DG248,0)+IF((SUM($G253:DG253)-($E248+$E238))&lt;0,0,IF((SUM($G253:DG253)-($E248+$E238))&lt;DG253,SUM($G253:DG253)-($E248+$E238),DG253)))</f>
        <v>30</v>
      </c>
      <c r="DH255" s="402">
        <f ca="1">IF((IF(SUM(DI238:$EI$238,DI248:$EI$248)=0,DH238+DH248,0)+IF((SUM($G253:DH253)-($E248+$E238))&lt;0,0,IF((SUM($G253:DH253)-($E248+$E238))&lt;DH253,SUM($G253:DH253)-($E248+$E238),DH253)))&gt;=DH3,DH3,IF(SUM(DI238:$EI$238,DI248:$EI$248)=0,DH238+DH248,0)+IF((SUM($G253:DH253)-($E248+$E238))&lt;0,0,IF((SUM($G253:DH253)-($E248+$E238))&lt;DH253,SUM($G253:DH253)-($E248+$E238),DH253)))</f>
        <v>31</v>
      </c>
      <c r="DI255" s="402">
        <f ca="1">IF((IF(SUM(DJ238:$EI$238,DJ248:$EI$248)=0,DI238+DI248,0)+IF((SUM($G253:DI253)-($E248+$E238))&lt;0,0,IF((SUM($G253:DI253)-($E248+$E238))&lt;DI253,SUM($G253:DI253)-($E248+$E238),DI253)))&gt;=DI3,DI3,IF(SUM(DJ238:$EI$238,DJ248:$EI$248)=0,DI238+DI248,0)+IF((SUM($G253:DI253)-($E248+$E238))&lt;0,0,IF((SUM($G253:DI253)-($E248+$E238))&lt;DI253,SUM($G253:DI253)-($E248+$E238),DI253)))</f>
        <v>31</v>
      </c>
      <c r="DJ255" s="402">
        <f ca="1">IF((IF(SUM(DK238:$EI$238,DK248:$EI$248)=0,DJ238+DJ248,0)+IF((SUM($G253:DJ253)-($E248+$E238))&lt;0,0,IF((SUM($G253:DJ253)-($E248+$E238))&lt;DJ253,SUM($G253:DJ253)-($E248+$E238),DJ253)))&gt;=DJ3,DJ3,IF(SUM(DK238:$EI$238,DK248:$EI$248)=0,DJ238+DJ248,0)+IF((SUM($G253:DJ253)-($E248+$E238))&lt;0,0,IF((SUM($G253:DJ253)-($E248+$E238))&lt;DJ253,SUM($G253:DJ253)-($E248+$E238),DJ253)))</f>
        <v>29</v>
      </c>
      <c r="DK255" s="402">
        <f ca="1">IF((IF(SUM(DL238:$EI$238,DL248:$EI$248)=0,DK238+DK248,0)+IF((SUM($G253:DK253)-($E248+$E238))&lt;0,0,IF((SUM($G253:DK253)-($E248+$E238))&lt;DK253,SUM($G253:DK253)-($E248+$E238),DK253)))&gt;=DK3,DK3,IF(SUM(DL238:$EI$238,DL248:$EI$248)=0,DK238+DK248,0)+IF((SUM($G253:DK253)-($E248+$E238))&lt;0,0,IF((SUM($G253:DK253)-($E248+$E238))&lt;DK253,SUM($G253:DK253)-($E248+$E238),DK253)))</f>
        <v>31</v>
      </c>
      <c r="DL255" s="402">
        <f ca="1">IF((IF(SUM(DM238:$EI$238,DM248:$EI$248)=0,DL238+DL248,0)+IF((SUM($G253:DL253)-($E248+$E238))&lt;0,0,IF((SUM($G253:DL253)-($E248+$E238))&lt;DL253,SUM($G253:DL253)-($E248+$E238),DL253)))&gt;=DL3,DL3,IF(SUM(DM238:$EI$238,DM248:$EI$248)=0,DL238+DL248,0)+IF((SUM($G253:DL253)-($E248+$E238))&lt;0,0,IF((SUM($G253:DL253)-($E248+$E238))&lt;DL253,SUM($G253:DL253)-($E248+$E238),DL253)))</f>
        <v>30</v>
      </c>
      <c r="DM255" s="402">
        <f ca="1">IF((IF(SUM(DN238:$EI$238,DN248:$EI$248)=0,DM238+DM248,0)+IF((SUM($G253:DM253)-($E248+$E238))&lt;0,0,IF((SUM($G253:DM253)-($E248+$E238))&lt;DM253,SUM($G253:DM253)-($E248+$E238),DM253)))&gt;=DM3,DM3,IF(SUM(DN238:$EI$238,DN248:$EI$248)=0,DM238+DM248,0)+IF((SUM($G253:DM253)-($E248+$E238))&lt;0,0,IF((SUM($G253:DM253)-($E248+$E238))&lt;DM253,SUM($G253:DM253)-($E248+$E238),DM253)))</f>
        <v>31</v>
      </c>
      <c r="DN255" s="402">
        <f ca="1">IF((IF(SUM(DO238:$EI$238,DO248:$EI$248)=0,DN238+DN248,0)+IF((SUM($G253:DN253)-($E248+$E238))&lt;0,0,IF((SUM($G253:DN253)-($E248+$E238))&lt;DN253,SUM($G253:DN253)-($E248+$E238),DN253)))&gt;=DN3,DN3,IF(SUM(DO238:$EI$238,DO248:$EI$248)=0,DN238+DN248,0)+IF((SUM($G253:DN253)-($E248+$E238))&lt;0,0,IF((SUM($G253:DN253)-($E248+$E238))&lt;DN253,SUM($G253:DN253)-($E248+$E238),DN253)))</f>
        <v>30</v>
      </c>
      <c r="DO255" s="402">
        <f ca="1">IF((IF(SUM(DP238:$EI$238,DP248:$EI$248)=0,DO238+DO248,0)+IF((SUM($G253:DO253)-($E248+$E238))&lt;0,0,IF((SUM($G253:DO253)-($E248+$E238))&lt;DO253,SUM($G253:DO253)-($E248+$E238),DO253)))&gt;=DO3,DO3,IF(SUM(DP238:$EI$238,DP248:$EI$248)=0,DO238+DO248,0)+IF((SUM($G253:DO253)-($E248+$E238))&lt;0,0,IF((SUM($G253:DO253)-($E248+$E238))&lt;DO253,SUM($G253:DO253)-($E248+$E238),DO253)))</f>
        <v>31</v>
      </c>
      <c r="DP255" s="402">
        <f ca="1">IF((IF(SUM(DQ238:$EI$238,DQ248:$EI$248)=0,DP238+DP248,0)+IF((SUM($G253:DP253)-($E248+$E238))&lt;0,0,IF((SUM($G253:DP253)-($E248+$E238))&lt;DP253,SUM($G253:DP253)-($E248+$E238),DP253)))&gt;=DP3,DP3,IF(SUM(DQ238:$EI$238,DQ248:$EI$248)=0,DP238+DP248,0)+IF((SUM($G253:DP253)-($E248+$E238))&lt;0,0,IF((SUM($G253:DP253)-($E248+$E238))&lt;DP253,SUM($G253:DP253)-($E248+$E238),DP253)))</f>
        <v>31</v>
      </c>
      <c r="DQ255" s="402">
        <f ca="1">IF((IF(SUM(DR238:$EI$238,DR248:$EI$248)=0,DQ238+DQ248,0)+IF((SUM($G253:DQ253)-($E248+$E238))&lt;0,0,IF((SUM($G253:DQ253)-($E248+$E238))&lt;DQ253,SUM($G253:DQ253)-($E248+$E238),DQ253)))&gt;=DQ3,DQ3,IF(SUM(DR238:$EI$238,DR248:$EI$248)=0,DQ238+DQ248,0)+IF((SUM($G253:DQ253)-($E248+$E238))&lt;0,0,IF((SUM($G253:DQ253)-($E248+$E238))&lt;DQ253,SUM($G253:DQ253)-($E248+$E238),DQ253)))</f>
        <v>30</v>
      </c>
      <c r="DR255" s="402">
        <f ca="1">IF((IF(SUM(DS238:$EI$238,DS248:$EI$248)=0,DR238+DR248,0)+IF((SUM($G253:DR253)-($E248+$E238))&lt;0,0,IF((SUM($G253:DR253)-($E248+$E238))&lt;DR253,SUM($G253:DR253)-($E248+$E238),DR253)))&gt;=DR3,DR3,IF(SUM(DS238:$EI$238,DS248:$EI$248)=0,DR238+DR248,0)+IF((SUM($G253:DR253)-($E248+$E238))&lt;0,0,IF((SUM($G253:DR253)-($E248+$E238))&lt;DR253,SUM($G253:DR253)-($E248+$E238),DR253)))</f>
        <v>31</v>
      </c>
      <c r="DS255" s="402">
        <f ca="1">IF((IF(SUM(DT238:$EI$238,DT248:$EI$248)=0,DS238+DS248,0)+IF((SUM($G253:DS253)-($E248+$E238))&lt;0,0,IF((SUM($G253:DS253)-($E248+$E238))&lt;DS253,SUM($G253:DS253)-($E248+$E238),DS253)))&gt;=DS3,DS3,IF(SUM(DT238:$EI$238,DT248:$EI$248)=0,DS238+DS248,0)+IF((SUM($G253:DS253)-($E248+$E238))&lt;0,0,IF((SUM($G253:DS253)-($E248+$E238))&lt;DS253,SUM($G253:DS253)-($E248+$E238),DS253)))</f>
        <v>30</v>
      </c>
      <c r="DT255" s="402">
        <f ca="1">IF((IF(SUM(DU238:$EI$238,DU248:$EI$248)=0,DT238+DT248,0)+IF((SUM($G253:DT253)-($E248+$E238))&lt;0,0,IF((SUM($G253:DT253)-($E248+$E238))&lt;DT253,SUM($G253:DT253)-($E248+$E238),DT253)))&gt;=DT3,DT3,IF(SUM(DU238:$EI$238,DU248:$EI$248)=0,DT238+DT248,0)+IF((SUM($G253:DT253)-($E248+$E238))&lt;0,0,IF((SUM($G253:DT253)-($E248+$E238))&lt;DT253,SUM($G253:DT253)-($E248+$E238),DT253)))</f>
        <v>31</v>
      </c>
      <c r="DU255" s="402">
        <f ca="1">IF((IF(SUM(DV238:$EI$238,DV248:$EI$248)=0,DU238+DU248,0)+IF((SUM($G253:DU253)-($E248+$E238))&lt;0,0,IF((SUM($G253:DU253)-($E248+$E238))&lt;DU253,SUM($G253:DU253)-($E248+$E238),DU253)))&gt;=DU3,DU3,IF(SUM(DV238:$EI$238,DV248:$EI$248)=0,DU238+DU248,0)+IF((SUM($G253:DU253)-($E248+$E238))&lt;0,0,IF((SUM($G253:DU253)-($E248+$E238))&lt;DU253,SUM($G253:DU253)-($E248+$E238),DU253)))</f>
        <v>31</v>
      </c>
      <c r="DV255" s="402">
        <f ca="1">IF((IF(SUM(DW238:$EI$238,DW248:$EI$248)=0,DV238+DV248,0)+IF((SUM($G253:DV253)-($E248+$E238))&lt;0,0,IF((SUM($G253:DV253)-($E248+$E238))&lt;DV253,SUM($G253:DV253)-($E248+$E238),DV253)))&gt;=DV3,DV3,IF(SUM(DW238:$EI$238,DW248:$EI$248)=0,DV238+DV248,0)+IF((SUM($G253:DV253)-($E248+$E238))&lt;0,0,IF((SUM($G253:DV253)-($E248+$E238))&lt;DV253,SUM($G253:DV253)-($E248+$E238),DV253)))</f>
        <v>28</v>
      </c>
      <c r="DW255" s="402">
        <f ca="1">IF((IF(SUM(DX238:$EI$238,DX248:$EI$248)=0,DW238+DW248,0)+IF((SUM($G253:DW253)-($E248+$E238))&lt;0,0,IF((SUM($G253:DW253)-($E248+$E238))&lt;DW253,SUM($G253:DW253)-($E248+$E238),DW253)))&gt;=DW3,DW3,IF(SUM(DX238:$EI$238,DX248:$EI$248)=0,DW238+DW248,0)+IF((SUM($G253:DW253)-($E248+$E238))&lt;0,0,IF((SUM($G253:DW253)-($E248+$E238))&lt;DW253,SUM($G253:DW253)-($E248+$E238),DW253)))</f>
        <v>31</v>
      </c>
      <c r="DX255" s="402">
        <f ca="1">IF((IF(SUM(DY238:$EI$238,DY248:$EI$248)=0,DX238+DX248,0)+IF((SUM($G253:DX253)-($E248+$E238))&lt;0,0,IF((SUM($G253:DX253)-($E248+$E238))&lt;DX253,SUM($G253:DX253)-($E248+$E238),DX253)))&gt;=DX3,DX3,IF(SUM(DY238:$EI$238,DY248:$EI$248)=0,DX238+DX248,0)+IF((SUM($G253:DX253)-($E248+$E238))&lt;0,0,IF((SUM($G253:DX253)-($E248+$E238))&lt;DX253,SUM($G253:DX253)-($E248+$E238),DX253)))</f>
        <v>30</v>
      </c>
      <c r="DY255" s="402">
        <f ca="1">IF((IF(SUM(DZ238:$EI$238,DZ248:$EI$248)=0,DY238+DY248,0)+IF((SUM($G253:DY253)-($E248+$E238))&lt;0,0,IF((SUM($G253:DY253)-($E248+$E238))&lt;DY253,SUM($G253:DY253)-($E248+$E238),DY253)))&gt;=DY3,DY3,IF(SUM(DZ238:$EI$238,DZ248:$EI$248)=0,DY238+DY248,0)+IF((SUM($G253:DY253)-($E248+$E238))&lt;0,0,IF((SUM($G253:DY253)-($E248+$E238))&lt;DY253,SUM($G253:DY253)-($E248+$E238),DY253)))</f>
        <v>31</v>
      </c>
      <c r="DZ255" s="402">
        <f ca="1">IF((IF(SUM(EA238:$EI$238,EA248:$EI$248)=0,DZ238+DZ248,0)+IF((SUM($G253:DZ253)-($E248+$E238))&lt;0,0,IF((SUM($G253:DZ253)-($E248+$E238))&lt;DZ253,SUM($G253:DZ253)-($E248+$E238),DZ253)))&gt;=DZ3,DZ3,IF(SUM(EA238:$EI$238,EA248:$EI$248)=0,DZ238+DZ248,0)+IF((SUM($G253:DZ253)-($E248+$E238))&lt;0,0,IF((SUM($G253:DZ253)-($E248+$E238))&lt;DZ253,SUM($G253:DZ253)-($E248+$E238),DZ253)))</f>
        <v>30</v>
      </c>
      <c r="EA255" s="402">
        <f ca="1">IF((IF(SUM(EB238:$EI$238,EB248:$EI$248)=0,EA238+EA248,0)+IF((SUM($G253:EA253)-($E248+$E238))&lt;0,0,IF((SUM($G253:EA253)-($E248+$E238))&lt;EA253,SUM($G253:EA253)-($E248+$E238),EA253)))&gt;=EA3,EA3,IF(SUM(EB238:$EI$238,EB248:$EI$248)=0,EA238+EA248,0)+IF((SUM($G253:EA253)-($E248+$E238))&lt;0,0,IF((SUM($G253:EA253)-($E248+$E238))&lt;EA253,SUM($G253:EA253)-($E248+$E238),EA253)))</f>
        <v>31</v>
      </c>
      <c r="EB255" s="402">
        <f ca="1">IF((IF(SUM(EC238:$EI$238,EC248:$EI$248)=0,EB238+EB248,0)+IF((SUM($G253:EB253)-($E248+$E238))&lt;0,0,IF((SUM($G253:EB253)-($E248+$E238))&lt;EB253,SUM($G253:EB253)-($E248+$E238),EB253)))&gt;=EB3,EB3,IF(SUM(EC238:$EI$238,EC248:$EI$248)=0,EB238+EB248,0)+IF((SUM($G253:EB253)-($E248+$E238))&lt;0,0,IF((SUM($G253:EB253)-($E248+$E238))&lt;EB253,SUM($G253:EB253)-($E248+$E238),EB253)))</f>
        <v>31</v>
      </c>
      <c r="EC255" s="402">
        <f ca="1">IF((IF(SUM(ED238:$EI$238,ED248:$EI$248)=0,EC238+EC248,0)+IF((SUM($G253:EC253)-($E248+$E238))&lt;0,0,IF((SUM($G253:EC253)-($E248+$E238))&lt;EC253,SUM($G253:EC253)-($E248+$E238),EC253)))&gt;=EC3,EC3,IF(SUM(ED238:$EI$238,ED248:$EI$248)=0,EC238+EC248,0)+IF((SUM($G253:EC253)-($E248+$E238))&lt;0,0,IF((SUM($G253:EC253)-($E248+$E238))&lt;EC253,SUM($G253:EC253)-($E248+$E238),EC253)))</f>
        <v>30</v>
      </c>
      <c r="ED255" s="402">
        <f ca="1">IF((IF(SUM(EE238:$EI$238,EE248:$EI$248)=0,ED238+ED248,0)+IF((SUM($G253:ED253)-($E248+$E238))&lt;0,0,IF((SUM($G253:ED253)-($E248+$E238))&lt;ED253,SUM($G253:ED253)-($E248+$E238),ED253)))&gt;=ED3,ED3,IF(SUM(EE238:$EI$238,EE248:$EI$248)=0,ED238+ED248,0)+IF((SUM($G253:ED253)-($E248+$E238))&lt;0,0,IF((SUM($G253:ED253)-($E248+$E238))&lt;ED253,SUM($G253:ED253)-($E248+$E238),ED253)))</f>
        <v>31</v>
      </c>
      <c r="EE255" s="402">
        <f ca="1">IF((IF(SUM(EF238:$EI$238,EF248:$EI$248)=0,EE238+EE248,0)+IF((SUM($G253:EE253)-($E248+$E238))&lt;0,0,IF((SUM($G253:EE253)-($E248+$E238))&lt;EE253,SUM($G253:EE253)-($E248+$E238),EE253)))&gt;=EE3,EE3,IF(SUM(EF238:$EI$238,EF248:$EI$248)=0,EE238+EE248,0)+IF((SUM($G253:EE253)-($E248+$E238))&lt;0,0,IF((SUM($G253:EE253)-($E248+$E238))&lt;EE253,SUM($G253:EE253)-($E248+$E238),EE253)))</f>
        <v>30</v>
      </c>
      <c r="EF255" s="402">
        <f ca="1">IF((IF(SUM(EG238:$EI$238,EG248:$EI$248)=0,EF238+EF248,0)+IF((SUM($G253:EF253)-($E248+$E238))&lt;0,0,IF((SUM($G253:EF253)-($E248+$E238))&lt;EF253,SUM($G253:EF253)-($E248+$E238),EF253)))&gt;=EF3,EF3,IF(SUM(EG238:$EI$238,EG248:$EI$248)=0,EF238+EF248,0)+IF((SUM($G253:EF253)-($E248+$E238))&lt;0,0,IF((SUM($G253:EF253)-($E248+$E238))&lt;EF253,SUM($G253:EF253)-($E248+$E238),EF253)))</f>
        <v>31</v>
      </c>
      <c r="EG255" s="402">
        <f ca="1">IF((IF(SUM(EH238:$EI$238,EH248:$EI$248)=0,EG238+EG248,0)+IF((SUM($G253:EG253)-($E248+$E238))&lt;0,0,IF((SUM($G253:EG253)-($E248+$E238))&lt;EG253,SUM($G253:EG253)-($E248+$E238),EG253)))&gt;=EG3,EG3,IF(SUM(EH238:$EI$238,EH248:$EI$248)=0,EG238+EG248,0)+IF((SUM($G253:EG253)-($E248+$E238))&lt;0,0,IF((SUM($G253:EG253)-($E248+$E238))&lt;EG253,SUM($G253:EG253)-($E248+$E238),EG253)))</f>
        <v>31</v>
      </c>
      <c r="EH255" s="402">
        <f ca="1">IF((IF(SUM(EI238:$EI$238,EI248:$EI$248)=0,EH238+EH248,0)+IF((SUM($G253:EH253)-($E248+$E238))&lt;0,0,IF((SUM($G253:EH253)-($E248+$E238))&lt;EH253,SUM($G253:EH253)-($E248+$E238),EH253)))&gt;=EH3,EH3,IF(SUM(EI238:$EI$238,EI248:$EI$248)=0,EH238+EH248,0)+IF((SUM($G253:EH253)-($E248+$E238))&lt;0,0,IF((SUM($G253:EH253)-($E248+$E238))&lt;EH253,SUM($G253:EH253)-($E248+$E238),EH253)))</f>
        <v>28</v>
      </c>
      <c r="EI255" s="402">
        <f ca="1">IF((IF(SUM($EI238:EJ$238,$EI248:EJ$248)=0,EI238+EI248,0)+IF((SUM($G253:EI253)-($E248+$E238))&lt;0,0,IF((SUM($G253:EI253)-($E248+$E238))&lt;EI253,SUM($G253:EI253)-($E248+$E238),EI253)))&gt;=EI3,EI3,IF(SUM($EI238:EJ$238,$EI248:EJ$248)=0,EI238+EI248,0)+IF((SUM($G253:EI253)-($E248+$E238))&lt;0,0,IF((SUM($G253:EI253)-($E248+$E238))&lt;EI253,SUM($G253:EI253)-($E248+$E238),EI253)))</f>
        <v>31</v>
      </c>
    </row>
    <row r="256" spans="1:152" hidden="1" outlineLevel="2">
      <c r="A256" s="332"/>
      <c r="B256" s="313"/>
      <c r="D256" s="305" t="s">
        <v>670</v>
      </c>
      <c r="E256" s="403">
        <f ca="1">MIN(G256:EI256)</f>
        <v>45413</v>
      </c>
      <c r="F256" s="404">
        <f ca="1">MAX(G256:EI256)</f>
        <v>45413</v>
      </c>
      <c r="G256" s="403" t="str">
        <f ca="1">IF(G254=0,"",IF(SUM($G254:G254)&gt;=1,OFFSET(G$228,-1,0),""))</f>
        <v/>
      </c>
      <c r="H256" s="403" t="str">
        <f ca="1">IF(SUM($G256:G256)&gt;=1,"",IF(H254=0,"",IF(SUM($G254:H254)&gt;=1,OFFSET(H$228,-1,0),"")))</f>
        <v/>
      </c>
      <c r="I256" s="403" t="str">
        <f ca="1">IF(SUM($G256:H256)&gt;=1,"",IF(I254=0,"",IF(SUM($G254:I254)&gt;=1,OFFSET(I$228,-1,0),"")))</f>
        <v/>
      </c>
      <c r="J256" s="403" t="str">
        <f ca="1">IF(SUM($G256:I256)&gt;=1,"",IF(J254=0,"",IF(SUM($G254:J254)&gt;=1,OFFSET(J$228,-1,0),"")))</f>
        <v/>
      </c>
      <c r="K256" s="403" t="str">
        <f ca="1">IF(SUM($G256:J256)&gt;=1,"",IF(K254=0,"",IF(SUM($G254:K254)&gt;=1,OFFSET(K$228,-1,0),"")))</f>
        <v/>
      </c>
      <c r="L256" s="403" t="str">
        <f ca="1">IF(SUM($G256:K256)&gt;=1,"",IF(L254=0,"",IF(SUM($G254:L254)&gt;=1,OFFSET(L$228,-1,0),"")))</f>
        <v/>
      </c>
      <c r="M256" s="403" t="str">
        <f ca="1">IF(SUM($G256:L256)&gt;=1,"",IF(M254=0,"",IF(SUM($G254:M254)&gt;=1,OFFSET(M$228,-1,0),"")))</f>
        <v/>
      </c>
      <c r="N256" s="403" t="str">
        <f ca="1">IF(SUM($G256:M256)&gt;=1,"",IF(N254=0,"",IF(SUM($G254:N254)&gt;=1,OFFSET(N$228,-1,0),"")))</f>
        <v/>
      </c>
      <c r="O256" s="403" t="str">
        <f ca="1">IF(SUM($G256:N256)&gt;=1,"",IF(O254=0,"",IF(SUM($G254:O254)&gt;=1,OFFSET(O$228,-1,0),"")))</f>
        <v/>
      </c>
      <c r="P256" s="403" t="str">
        <f ca="1">IF(SUM($G256:O256)&gt;=1,"",IF(P254=0,"",IF(SUM($G254:P254)&gt;=1,OFFSET(P$228,-1,0),"")))</f>
        <v/>
      </c>
      <c r="Q256" s="403" t="str">
        <f ca="1">IF(SUM($G256:P256)&gt;=1,"",IF(Q254=0,"",IF(SUM($G254:Q254)&gt;=1,OFFSET(Q$228,-1,0),"")))</f>
        <v/>
      </c>
      <c r="R256" s="403" t="str">
        <f ca="1">IF(SUM($G256:Q256)&gt;=1,"",IF(R254=0,"",IF(SUM($G254:R254)&gt;=1,OFFSET(R$228,-1,0),"")))</f>
        <v/>
      </c>
      <c r="S256" s="403" t="str">
        <f ca="1">IF(SUM($G256:R256)&gt;=1,"",IF(S254=0,"",IF(SUM($G254:S254)&gt;=1,OFFSET(S$228,-1,0),"")))</f>
        <v/>
      </c>
      <c r="T256" s="403" t="str">
        <f ca="1">IF(SUM($G256:S256)&gt;=1,"",IF(T254=0,"",IF(SUM($G254:T254)&gt;=1,OFFSET(T$228,-1,0),"")))</f>
        <v/>
      </c>
      <c r="U256" s="403">
        <f ca="1">IF(SUM($G256:T256)&gt;=1,"",IF(U254=0,"",IF(SUM($G254:U254)&gt;=1,OFFSET(U$228,-1,0),"")))</f>
        <v>45413</v>
      </c>
      <c r="V256" s="403" t="str">
        <f ca="1">IF(SUM($G256:U256)&gt;=1,"",IF(V254=0,"",IF(SUM($G254:V254)&gt;=1,OFFSET(V$228,-1,0),"")))</f>
        <v/>
      </c>
      <c r="W256" s="403" t="str">
        <f ca="1">IF(SUM($G256:V256)&gt;=1,"",IF(W254=0,"",IF(SUM($G254:W254)&gt;=1,OFFSET(W$228,-1,0),"")))</f>
        <v/>
      </c>
      <c r="X256" s="403" t="str">
        <f ca="1">IF(SUM($G256:W256)&gt;=1,"",IF(X254=0,"",IF(SUM($G254:X254)&gt;=1,OFFSET(X$228,-1,0),"")))</f>
        <v/>
      </c>
      <c r="Y256" s="403" t="str">
        <f ca="1">IF(SUM($G256:X256)&gt;=1,"",IF(Y254=0,"",IF(SUM($G254:Y254)&gt;=1,OFFSET(Y$228,-1,0),"")))</f>
        <v/>
      </c>
      <c r="Z256" s="403" t="str">
        <f ca="1">IF(SUM($G256:Y256)&gt;=1,"",IF(Z254=0,"",IF(SUM($G254:Z254)&gt;=1,OFFSET(Z$228,-1,0),"")))</f>
        <v/>
      </c>
      <c r="AA256" s="403" t="str">
        <f ca="1">IF(SUM($G256:Z256)&gt;=1,"",IF(AA254=0,"",IF(SUM($G254:AA254)&gt;=1,OFFSET(AA$228,-1,0),"")))</f>
        <v/>
      </c>
      <c r="AB256" s="403" t="str">
        <f ca="1">IF(SUM($G256:AA256)&gt;=1,"",IF(AB254=0,"",IF(SUM($G254:AB254)&gt;=1,OFFSET(AB$228,-1,0),"")))</f>
        <v/>
      </c>
      <c r="AC256" s="403" t="str">
        <f ca="1">IF(SUM($G256:AB256)&gt;=1,"",IF(AC254=0,"",IF(SUM($G254:AC254)&gt;=1,OFFSET(AC$228,-1,0),"")))</f>
        <v/>
      </c>
      <c r="AD256" s="403" t="str">
        <f ca="1">IF(SUM($G256:AC256)&gt;=1,"",IF(AD254=0,"",IF(SUM($G254:AD254)&gt;=1,OFFSET(AD$228,-1,0),"")))</f>
        <v/>
      </c>
      <c r="AE256" s="403" t="str">
        <f ca="1">IF(SUM($G256:AD256)&gt;=1,"",IF(AE254=0,"",IF(SUM($G254:AE254)&gt;=1,OFFSET(AE$228,-1,0),"")))</f>
        <v/>
      </c>
      <c r="AF256" s="403" t="str">
        <f ca="1">IF(SUM($G256:AE256)&gt;=1,"",IF(AF254=0,"",IF(SUM($G254:AF254)&gt;=1,OFFSET(AF$228,-1,0),"")))</f>
        <v/>
      </c>
      <c r="AG256" s="403" t="str">
        <f ca="1">IF(SUM($G256:AF256)&gt;=1,"",IF(AG254=0,"",IF(SUM($G254:AG254)&gt;=1,OFFSET(AG$228,-1,0),"")))</f>
        <v/>
      </c>
      <c r="AH256" s="403" t="str">
        <f ca="1">IF(SUM($G256:AG256)&gt;=1,"",IF(AH254=0,"",IF(SUM($G254:AH254)&gt;=1,OFFSET(AH$228,-1,0),"")))</f>
        <v/>
      </c>
      <c r="AI256" s="403" t="str">
        <f ca="1">IF(SUM($G256:AH256)&gt;=1,"",IF(AI254=0,"",IF(SUM($G254:AI254)&gt;=1,OFFSET(AI$228,-1,0),"")))</f>
        <v/>
      </c>
      <c r="AJ256" s="403" t="str">
        <f ca="1">IF(SUM($G256:AI256)&gt;=1,"",IF(AJ254=0,"",IF(SUM($G254:AJ254)&gt;=1,OFFSET(AJ$228,-1,0),"")))</f>
        <v/>
      </c>
      <c r="AK256" s="403" t="str">
        <f ca="1">IF(SUM($G256:AJ256)&gt;=1,"",IF(AK254=0,"",IF(SUM($G254:AK254)&gt;=1,OFFSET(AK$228,-1,0),"")))</f>
        <v/>
      </c>
      <c r="AL256" s="403" t="str">
        <f ca="1">IF(SUM($G256:AK256)&gt;=1,"",IF(AL254=0,"",IF(SUM($G254:AL254)&gt;=1,OFFSET(AL$228,-1,0),"")))</f>
        <v/>
      </c>
      <c r="AM256" s="403" t="str">
        <f ca="1">IF(SUM($G256:AL256)&gt;=1,"",IF(AM254=0,"",IF(SUM($G254:AM254)&gt;=1,OFFSET(AM$228,-1,0),"")))</f>
        <v/>
      </c>
      <c r="AN256" s="403" t="str">
        <f ca="1">IF(SUM($G256:AM256)&gt;=1,"",IF(AN254=0,"",IF(SUM($G254:AN254)&gt;=1,OFFSET(AN$228,-1,0),"")))</f>
        <v/>
      </c>
      <c r="AO256" s="403" t="str">
        <f ca="1">IF(SUM($G256:AN256)&gt;=1,"",IF(AO254=0,"",IF(SUM($G254:AO254)&gt;=1,OFFSET(AO$228,-1,0),"")))</f>
        <v/>
      </c>
      <c r="AP256" s="403" t="str">
        <f ca="1">IF(SUM($G256:AO256)&gt;=1,"",IF(AP254=0,"",IF(SUM($G254:AP254)&gt;=1,OFFSET(AP$228,-1,0),"")))</f>
        <v/>
      </c>
      <c r="AQ256" s="403" t="str">
        <f ca="1">IF(SUM($G256:AP256)&gt;=1,"",IF(AQ254=0,"",IF(SUM($G254:AQ254)&gt;=1,OFFSET(AQ$228,-1,0),"")))</f>
        <v/>
      </c>
      <c r="AR256" s="403" t="str">
        <f ca="1">IF(SUM($G256:AQ256)&gt;=1,"",IF(AR254=0,"",IF(SUM($G254:AR254)&gt;=1,OFFSET(AR$228,-1,0),"")))</f>
        <v/>
      </c>
      <c r="AS256" s="403" t="str">
        <f ca="1">IF(SUM($G256:AR256)&gt;=1,"",IF(AS254=0,"",IF(SUM($G254:AS254)&gt;=1,OFFSET(AS$228,-1,0),"")))</f>
        <v/>
      </c>
      <c r="AT256" s="403" t="str">
        <f ca="1">IF(SUM($G256:AS256)&gt;=1,"",IF(AT254=0,"",IF(SUM($G254:AT254)&gt;=1,OFFSET(AT$228,-1,0),"")))</f>
        <v/>
      </c>
      <c r="AU256" s="403" t="str">
        <f ca="1">IF(SUM($G256:AT256)&gt;=1,"",IF(AU254=0,"",IF(SUM($G254:AU254)&gt;=1,OFFSET(AU$228,-1,0),"")))</f>
        <v/>
      </c>
      <c r="AV256" s="403" t="str">
        <f ca="1">IF(SUM($G256:AU256)&gt;=1,"",IF(AV254=0,"",IF(SUM($G254:AV254)&gt;=1,OFFSET(AV$228,-1,0),"")))</f>
        <v/>
      </c>
      <c r="AW256" s="403" t="str">
        <f ca="1">IF(SUM($G256:AV256)&gt;=1,"",IF(AW254=0,"",IF(SUM($G254:AW254)&gt;=1,OFFSET(AW$228,-1,0),"")))</f>
        <v/>
      </c>
      <c r="AX256" s="403" t="str">
        <f ca="1">IF(SUM($G256:AW256)&gt;=1,"",IF(AX254=0,"",IF(SUM($G254:AX254)&gt;=1,OFFSET(AX$228,-1,0),"")))</f>
        <v/>
      </c>
      <c r="AY256" s="403" t="str">
        <f ca="1">IF(SUM($G256:AX256)&gt;=1,"",IF(AY254=0,"",IF(SUM($G254:AY254)&gt;=1,OFFSET(AY$228,-1,0),"")))</f>
        <v/>
      </c>
      <c r="AZ256" s="403" t="str">
        <f ca="1">IF(SUM($G256:AY256)&gt;=1,"",IF(AZ254=0,"",IF(SUM($G254:AZ254)&gt;=1,OFFSET(AZ$228,-1,0),"")))</f>
        <v/>
      </c>
      <c r="BA256" s="403" t="str">
        <f ca="1">IF(SUM($G256:AZ256)&gt;=1,"",IF(BA254=0,"",IF(SUM($G254:BA254)&gt;=1,OFFSET(BA$228,-1,0),"")))</f>
        <v/>
      </c>
      <c r="BB256" s="403" t="str">
        <f ca="1">IF(SUM($G256:BA256)&gt;=1,"",IF(BB254=0,"",IF(SUM($G254:BB254)&gt;=1,OFFSET(BB$228,-1,0),"")))</f>
        <v/>
      </c>
      <c r="BC256" s="403" t="str">
        <f ca="1">IF(SUM($G256:BB256)&gt;=1,"",IF(BC254=0,"",IF(SUM($G254:BC254)&gt;=1,OFFSET(BC$228,-1,0),"")))</f>
        <v/>
      </c>
      <c r="BD256" s="403" t="str">
        <f ca="1">IF(SUM($G256:BC256)&gt;=1,"",IF(BD254=0,"",IF(SUM($G254:BD254)&gt;=1,OFFSET(BD$228,-1,0),"")))</f>
        <v/>
      </c>
      <c r="BE256" s="403" t="str">
        <f ca="1">IF(SUM($G256:BD256)&gt;=1,"",IF(BE254=0,"",IF(SUM($G254:BE254)&gt;=1,OFFSET(BE$228,-1,0),"")))</f>
        <v/>
      </c>
      <c r="BF256" s="403" t="str">
        <f ca="1">IF(SUM($G256:BE256)&gt;=1,"",IF(BF254=0,"",IF(SUM($G254:BF254)&gt;=1,OFFSET(BF$228,-1,0),"")))</f>
        <v/>
      </c>
      <c r="BG256" s="403" t="str">
        <f ca="1">IF(SUM($G256:BF256)&gt;=1,"",IF(BG254=0,"",IF(SUM($G254:BG254)&gt;=1,OFFSET(BG$228,-1,0),"")))</f>
        <v/>
      </c>
      <c r="BH256" s="403" t="str">
        <f ca="1">IF(SUM($G256:BG256)&gt;=1,"",IF(BH254=0,"",IF(SUM($G254:BH254)&gt;=1,OFFSET(BH$228,-1,0),"")))</f>
        <v/>
      </c>
      <c r="BI256" s="403" t="str">
        <f ca="1">IF(SUM($G256:BH256)&gt;=1,"",IF(BI254=0,"",IF(SUM($G254:BI254)&gt;=1,OFFSET(BI$228,-1,0),"")))</f>
        <v/>
      </c>
      <c r="BJ256" s="403" t="str">
        <f ca="1">IF(SUM($G256:BI256)&gt;=1,"",IF(BJ254=0,"",IF(SUM($G254:BJ254)&gt;=1,OFFSET(BJ$228,-1,0),"")))</f>
        <v/>
      </c>
      <c r="BK256" s="403" t="str">
        <f ca="1">IF(SUM($G256:BJ256)&gt;=1,"",IF(BK254=0,"",IF(SUM($G254:BK254)&gt;=1,OFFSET(BK$228,-1,0),"")))</f>
        <v/>
      </c>
      <c r="BL256" s="403" t="str">
        <f ca="1">IF(SUM($G256:BK256)&gt;=1,"",IF(BL254=0,"",IF(SUM($G254:BL254)&gt;=1,OFFSET(BL$228,-1,0),"")))</f>
        <v/>
      </c>
      <c r="BM256" s="403" t="str">
        <f ca="1">IF(SUM($G256:BL256)&gt;=1,"",IF(BM254=0,"",IF(SUM($G254:BM254)&gt;=1,OFFSET(BM$228,-1,0),"")))</f>
        <v/>
      </c>
      <c r="BN256" s="403" t="str">
        <f ca="1">IF(SUM($G256:BM256)&gt;=1,"",IF(BN254=0,"",IF(SUM($G254:BN254)&gt;=1,OFFSET(BN$228,-1,0),"")))</f>
        <v/>
      </c>
      <c r="BO256" s="403" t="str">
        <f ca="1">IF(SUM($G256:BN256)&gt;=1,"",IF(BO254=0,"",IF(SUM($G254:BO254)&gt;=1,OFFSET(BO$228,-1,0),"")))</f>
        <v/>
      </c>
      <c r="BP256" s="403" t="str">
        <f ca="1">IF(SUM($G256:BO256)&gt;=1,"",IF(BP254=0,"",IF(SUM($G254:BP254)&gt;=1,OFFSET(BP$228,-1,0),"")))</f>
        <v/>
      </c>
      <c r="BQ256" s="403" t="str">
        <f ca="1">IF(SUM($G256:BP256)&gt;=1,"",IF(BQ254=0,"",IF(SUM($G254:BQ254)&gt;=1,OFFSET(BQ$228,-1,0),"")))</f>
        <v/>
      </c>
      <c r="BR256" s="403" t="str">
        <f ca="1">IF(SUM($G256:BQ256)&gt;=1,"",IF(BR254=0,"",IF(SUM($G254:BR254)&gt;=1,OFFSET(BR$228,-1,0),"")))</f>
        <v/>
      </c>
      <c r="BS256" s="403" t="str">
        <f ca="1">IF(SUM($G256:BR256)&gt;=1,"",IF(BS254=0,"",IF(SUM($G254:BS254)&gt;=1,OFFSET(BS$228,-1,0),"")))</f>
        <v/>
      </c>
      <c r="BT256" s="403" t="str">
        <f ca="1">IF(SUM($G256:BS256)&gt;=1,"",IF(BT254=0,"",IF(SUM($G254:BT254)&gt;=1,OFFSET(BT$228,-1,0),"")))</f>
        <v/>
      </c>
      <c r="BU256" s="403" t="str">
        <f ca="1">IF(SUM($G256:BT256)&gt;=1,"",IF(BU254=0,"",IF(SUM($G254:BU254)&gt;=1,OFFSET(BU$228,-1,0),"")))</f>
        <v/>
      </c>
      <c r="BV256" s="403" t="str">
        <f ca="1">IF(SUM($G256:BU256)&gt;=1,"",IF(BV254=0,"",IF(SUM($G254:BV254)&gt;=1,OFFSET(BV$228,-1,0),"")))</f>
        <v/>
      </c>
      <c r="BW256" s="403" t="str">
        <f ca="1">IF(SUM($G256:BV256)&gt;=1,"",IF(BW254=0,"",IF(SUM($G254:BW254)&gt;=1,OFFSET(BW$228,-1,0),"")))</f>
        <v/>
      </c>
      <c r="BX256" s="403" t="str">
        <f ca="1">IF(SUM($G256:BW256)&gt;=1,"",IF(BX254=0,"",IF(SUM($G254:BX254)&gt;=1,OFFSET(BX$228,-1,0),"")))</f>
        <v/>
      </c>
      <c r="BY256" s="403" t="str">
        <f ca="1">IF(SUM($G256:BX256)&gt;=1,"",IF(BY254=0,"",IF(SUM($G254:BY254)&gt;=1,OFFSET(BY$228,-1,0),"")))</f>
        <v/>
      </c>
      <c r="BZ256" s="403" t="str">
        <f ca="1">IF(SUM($G256:BY256)&gt;=1,"",IF(BZ254=0,"",IF(SUM($G254:BZ254)&gt;=1,OFFSET(BZ$228,-1,0),"")))</f>
        <v/>
      </c>
      <c r="CA256" s="403" t="str">
        <f ca="1">IF(SUM($G256:BZ256)&gt;=1,"",IF(CA254=0,"",IF(SUM($G254:CA254)&gt;=1,OFFSET(CA$228,-1,0),"")))</f>
        <v/>
      </c>
      <c r="CB256" s="403" t="str">
        <f ca="1">IF(SUM($G256:CA256)&gt;=1,"",IF(CB254=0,"",IF(SUM($G254:CB254)&gt;=1,OFFSET(CB$228,-1,0),"")))</f>
        <v/>
      </c>
      <c r="CC256" s="403" t="str">
        <f ca="1">IF(SUM($G256:CB256)&gt;=1,"",IF(CC254=0,"",IF(SUM($G254:CC254)&gt;=1,OFFSET(CC$228,-1,0),"")))</f>
        <v/>
      </c>
      <c r="CD256" s="403" t="str">
        <f ca="1">IF(SUM($G256:CC256)&gt;=1,"",IF(CD254=0,"",IF(SUM($G254:CD254)&gt;=1,OFFSET(CD$228,-1,0),"")))</f>
        <v/>
      </c>
      <c r="CE256" s="403" t="str">
        <f ca="1">IF(SUM($G256:CD256)&gt;=1,"",IF(CE254=0,"",IF(SUM($G254:CE254)&gt;=1,OFFSET(CE$228,-1,0),"")))</f>
        <v/>
      </c>
      <c r="CF256" s="403" t="str">
        <f ca="1">IF(SUM($G256:CE256)&gt;=1,"",IF(CF254=0,"",IF(SUM($G254:CF254)&gt;=1,OFFSET(CF$228,-1,0),"")))</f>
        <v/>
      </c>
      <c r="CG256" s="403" t="str">
        <f ca="1">IF(SUM($G256:CF256)&gt;=1,"",IF(CG254=0,"",IF(SUM($G254:CG254)&gt;=1,OFFSET(CG$228,-1,0),"")))</f>
        <v/>
      </c>
      <c r="CH256" s="403" t="str">
        <f ca="1">IF(SUM($G256:CG256)&gt;=1,"",IF(CH254=0,"",IF(SUM($G254:CH254)&gt;=1,OFFSET(CH$228,-1,0),"")))</f>
        <v/>
      </c>
      <c r="CI256" s="403" t="str">
        <f ca="1">IF(SUM($G256:CH256)&gt;=1,"",IF(CI254=0,"",IF(SUM($G254:CI254)&gt;=1,OFFSET(CI$228,-1,0),"")))</f>
        <v/>
      </c>
      <c r="CJ256" s="403" t="str">
        <f ca="1">IF(SUM($G256:CI256)&gt;=1,"",IF(CJ254=0,"",IF(SUM($G254:CJ254)&gt;=1,OFFSET(CJ$228,-1,0),"")))</f>
        <v/>
      </c>
      <c r="CK256" s="403" t="str">
        <f ca="1">IF(SUM($G256:CJ256)&gt;=1,"",IF(CK254=0,"",IF(SUM($G254:CK254)&gt;=1,OFFSET(CK$228,-1,0),"")))</f>
        <v/>
      </c>
      <c r="CL256" s="403" t="str">
        <f ca="1">IF(SUM($G256:CK256)&gt;=1,"",IF(CL254=0,"",IF(SUM($G254:CL254)&gt;=1,OFFSET(CL$228,-1,0),"")))</f>
        <v/>
      </c>
      <c r="CM256" s="403" t="str">
        <f ca="1">IF(SUM($G256:CL256)&gt;=1,"",IF(CM254=0,"",IF(SUM($G254:CM254)&gt;=1,OFFSET(CM$228,-1,0),"")))</f>
        <v/>
      </c>
      <c r="CN256" s="403" t="str">
        <f ca="1">IF(SUM($G256:CM256)&gt;=1,"",IF(CN254=0,"",IF(SUM($G254:CN254)&gt;=1,OFFSET(CN$228,-1,0),"")))</f>
        <v/>
      </c>
      <c r="CO256" s="403" t="str">
        <f ca="1">IF(SUM($G256:CN256)&gt;=1,"",IF(CO254=0,"",IF(SUM($G254:CO254)&gt;=1,OFFSET(CO$228,-1,0),"")))</f>
        <v/>
      </c>
      <c r="CP256" s="403" t="str">
        <f ca="1">IF(SUM($G256:CO256)&gt;=1,"",IF(CP254=0,"",IF(SUM($G254:CP254)&gt;=1,OFFSET(CP$228,-1,0),"")))</f>
        <v/>
      </c>
      <c r="CQ256" s="403" t="str">
        <f ca="1">IF(SUM($G256:CP256)&gt;=1,"",IF(CQ254=0,"",IF(SUM($G254:CQ254)&gt;=1,OFFSET(CQ$228,-1,0),"")))</f>
        <v/>
      </c>
      <c r="CR256" s="403" t="str">
        <f ca="1">IF(SUM($G256:CQ256)&gt;=1,"",IF(CR254=0,"",IF(SUM($G254:CR254)&gt;=1,OFFSET(CR$228,-1,0),"")))</f>
        <v/>
      </c>
      <c r="CS256" s="403" t="str">
        <f ca="1">IF(SUM($G256:CR256)&gt;=1,"",IF(CS254=0,"",IF(SUM($G254:CS254)&gt;=1,OFFSET(CS$228,-1,0),"")))</f>
        <v/>
      </c>
      <c r="CT256" s="403" t="str">
        <f ca="1">IF(SUM($G256:CS256)&gt;=1,"",IF(CT254=0,"",IF(SUM($G254:CT254)&gt;=1,OFFSET(CT$228,-1,0),"")))</f>
        <v/>
      </c>
      <c r="CU256" s="403" t="str">
        <f ca="1">IF(SUM($G256:CT256)&gt;=1,"",IF(CU254=0,"",IF(SUM($G254:CU254)&gt;=1,OFFSET(CU$228,-1,0),"")))</f>
        <v/>
      </c>
      <c r="CV256" s="403" t="str">
        <f ca="1">IF(SUM($G256:CU256)&gt;=1,"",IF(CV254=0,"",IF(SUM($G254:CV254)&gt;=1,OFFSET(CV$228,-1,0),"")))</f>
        <v/>
      </c>
      <c r="CW256" s="403" t="str">
        <f ca="1">IF(SUM($G256:CV256)&gt;=1,"",IF(CW254=0,"",IF(SUM($G254:CW254)&gt;=1,OFFSET(CW$228,-1,0),"")))</f>
        <v/>
      </c>
      <c r="CX256" s="403" t="str">
        <f ca="1">IF(SUM($G256:CW256)&gt;=1,"",IF(CX254=0,"",IF(SUM($G254:CX254)&gt;=1,OFFSET(CX$228,-1,0),"")))</f>
        <v/>
      </c>
      <c r="CY256" s="403" t="str">
        <f ca="1">IF(SUM($G256:CX256)&gt;=1,"",IF(CY254=0,"",IF(SUM($G254:CY254)&gt;=1,OFFSET(CY$228,-1,0),"")))</f>
        <v/>
      </c>
      <c r="CZ256" s="403" t="str">
        <f ca="1">IF(SUM($G256:CY256)&gt;=1,"",IF(CZ254=0,"",IF(SUM($G254:CZ254)&gt;=1,OFFSET(CZ$228,-1,0),"")))</f>
        <v/>
      </c>
      <c r="DA256" s="403" t="str">
        <f ca="1">IF(SUM($G256:CZ256)&gt;=1,"",IF(DA254=0,"",IF(SUM($G254:DA254)&gt;=1,OFFSET(DA$228,-1,0),"")))</f>
        <v/>
      </c>
      <c r="DB256" s="403" t="str">
        <f ca="1">IF(SUM($G256:DA256)&gt;=1,"",IF(DB254=0,"",IF(SUM($G254:DB254)&gt;=1,OFFSET(DB$228,-1,0),"")))</f>
        <v/>
      </c>
      <c r="DC256" s="403" t="str">
        <f ca="1">IF(SUM($G256:DB256)&gt;=1,"",IF(DC254=0,"",IF(SUM($G254:DC254)&gt;=1,OFFSET(DC$228,-1,0),"")))</f>
        <v/>
      </c>
      <c r="DD256" s="403" t="str">
        <f ca="1">IF(SUM($G256:DC256)&gt;=1,"",IF(DD254=0,"",IF(SUM($G254:DD254)&gt;=1,OFFSET(DD$228,-1,0),"")))</f>
        <v/>
      </c>
      <c r="DE256" s="403" t="str">
        <f ca="1">IF(SUM($G256:DD256)&gt;=1,"",IF(DE254=0,"",IF(SUM($G254:DE254)&gt;=1,OFFSET(DE$228,-1,0),"")))</f>
        <v/>
      </c>
      <c r="DF256" s="403" t="str">
        <f ca="1">IF(SUM($G256:DE256)&gt;=1,"",IF(DF254=0,"",IF(SUM($G254:DF254)&gt;=1,OFFSET(DF$228,-1,0),"")))</f>
        <v/>
      </c>
      <c r="DG256" s="403" t="str">
        <f ca="1">IF(SUM($G256:DF256)&gt;=1,"",IF(DG254=0,"",IF(SUM($G254:DG254)&gt;=1,OFFSET(DG$228,-1,0),"")))</f>
        <v/>
      </c>
      <c r="DH256" s="403" t="str">
        <f ca="1">IF(SUM($G256:DG256)&gt;=1,"",IF(DH254=0,"",IF(SUM($G254:DH254)&gt;=1,OFFSET(DH$228,-1,0),"")))</f>
        <v/>
      </c>
      <c r="DI256" s="403" t="str">
        <f ca="1">IF(SUM($G256:DH256)&gt;=1,"",IF(DI254=0,"",IF(SUM($G254:DI254)&gt;=1,OFFSET(DI$228,-1,0),"")))</f>
        <v/>
      </c>
      <c r="DJ256" s="403" t="str">
        <f ca="1">IF(SUM($G256:DI256)&gt;=1,"",IF(DJ254=0,"",IF(SUM($G254:DJ254)&gt;=1,OFFSET(DJ$228,-1,0),"")))</f>
        <v/>
      </c>
      <c r="DK256" s="403" t="str">
        <f ca="1">IF(SUM($G256:DJ256)&gt;=1,"",IF(DK254=0,"",IF(SUM($G254:DK254)&gt;=1,OFFSET(DK$228,-1,0),"")))</f>
        <v/>
      </c>
      <c r="DL256" s="403" t="str">
        <f ca="1">IF(SUM($G256:DK256)&gt;=1,"",IF(DL254=0,"",IF(SUM($G254:DL254)&gt;=1,OFFSET(DL$228,-1,0),"")))</f>
        <v/>
      </c>
      <c r="DM256" s="403" t="str">
        <f ca="1">IF(SUM($G256:DL256)&gt;=1,"",IF(DM254=0,"",IF(SUM($G254:DM254)&gt;=1,OFFSET(DM$228,-1,0),"")))</f>
        <v/>
      </c>
      <c r="DN256" s="403" t="str">
        <f ca="1">IF(SUM($G256:DM256)&gt;=1,"",IF(DN254=0,"",IF(SUM($G254:DN254)&gt;=1,OFFSET(DN$228,-1,0),"")))</f>
        <v/>
      </c>
      <c r="DO256" s="403" t="str">
        <f ca="1">IF(SUM($G256:DN256)&gt;=1,"",IF(DO254=0,"",IF(SUM($G254:DO254)&gt;=1,OFFSET(DO$228,-1,0),"")))</f>
        <v/>
      </c>
      <c r="DP256" s="403" t="str">
        <f ca="1">IF(SUM($G256:DO256)&gt;=1,"",IF(DP254=0,"",IF(SUM($G254:DP254)&gt;=1,OFFSET(DP$228,-1,0),"")))</f>
        <v/>
      </c>
      <c r="DQ256" s="403" t="str">
        <f ca="1">IF(SUM($G256:DP256)&gt;=1,"",IF(DQ254=0,"",IF(SUM($G254:DQ254)&gt;=1,OFFSET(DQ$228,-1,0),"")))</f>
        <v/>
      </c>
      <c r="DR256" s="403" t="str">
        <f ca="1">IF(SUM($G256:DQ256)&gt;=1,"",IF(DR254=0,"",IF(SUM($G254:DR254)&gt;=1,OFFSET(DR$228,-1,0),"")))</f>
        <v/>
      </c>
      <c r="DS256" s="403" t="str">
        <f ca="1">IF(SUM($G256:DR256)&gt;=1,"",IF(DS254=0,"",IF(SUM($G254:DS254)&gt;=1,OFFSET(DS$228,-1,0),"")))</f>
        <v/>
      </c>
      <c r="DT256" s="403" t="str">
        <f ca="1">IF(SUM($G256:DS256)&gt;=1,"",IF(DT254=0,"",IF(SUM($G254:DT254)&gt;=1,OFFSET(DT$228,-1,0),"")))</f>
        <v/>
      </c>
      <c r="DU256" s="403" t="str">
        <f ca="1">IF(SUM($G256:DT256)&gt;=1,"",IF(DU254=0,"",IF(SUM($G254:DU254)&gt;=1,OFFSET(DU$228,-1,0),"")))</f>
        <v/>
      </c>
      <c r="DV256" s="403" t="str">
        <f ca="1">IF(SUM($G256:DU256)&gt;=1,"",IF(DV254=0,"",IF(SUM($G254:DV254)&gt;=1,OFFSET(DV$228,-1,0),"")))</f>
        <v/>
      </c>
      <c r="DW256" s="403" t="str">
        <f ca="1">IF(SUM($G256:DV256)&gt;=1,"",IF(DW254=0,"",IF(SUM($G254:DW254)&gt;=1,OFFSET(DW$228,-1,0),"")))</f>
        <v/>
      </c>
      <c r="DX256" s="403" t="str">
        <f ca="1">IF(SUM($G256:DW256)&gt;=1,"",IF(DX254=0,"",IF(SUM($G254:DX254)&gt;=1,OFFSET(DX$228,-1,0),"")))</f>
        <v/>
      </c>
      <c r="DY256" s="403" t="str">
        <f ca="1">IF(SUM($G256:DX256)&gt;=1,"",IF(DY254=0,"",IF(SUM($G254:DY254)&gt;=1,OFFSET(DY$228,-1,0),"")))</f>
        <v/>
      </c>
      <c r="DZ256" s="403" t="str">
        <f ca="1">IF(SUM($G256:DY256)&gt;=1,"",IF(DZ254=0,"",IF(SUM($G254:DZ254)&gt;=1,OFFSET(DZ$228,-1,0),"")))</f>
        <v/>
      </c>
      <c r="EA256" s="403" t="str">
        <f ca="1">IF(SUM($G256:DZ256)&gt;=1,"",IF(EA254=0,"",IF(SUM($G254:EA254)&gt;=1,OFFSET(EA$228,-1,0),"")))</f>
        <v/>
      </c>
      <c r="EB256" s="403" t="str">
        <f ca="1">IF(SUM($G256:EA256)&gt;=1,"",IF(EB254=0,"",IF(SUM($G254:EB254)&gt;=1,OFFSET(EB$228,-1,0),"")))</f>
        <v/>
      </c>
      <c r="EC256" s="403" t="str">
        <f ca="1">IF(SUM($G256:EB256)&gt;=1,"",IF(EC254=0,"",IF(SUM($G254:EC254)&gt;=1,OFFSET(EC$228,-1,0),"")))</f>
        <v/>
      </c>
      <c r="ED256" s="403" t="str">
        <f ca="1">IF(SUM($G256:EC256)&gt;=1,"",IF(ED254=0,"",IF(SUM($G254:ED254)&gt;=1,OFFSET(ED$228,-1,0),"")))</f>
        <v/>
      </c>
      <c r="EE256" s="403" t="str">
        <f ca="1">IF(SUM($G256:ED256)&gt;=1,"",IF(EE254=0,"",IF(SUM($G254:EE254)&gt;=1,OFFSET(EE$228,-1,0),"")))</f>
        <v/>
      </c>
      <c r="EF256" s="403" t="str">
        <f ca="1">IF(SUM($G256:EE256)&gt;=1,"",IF(EF254=0,"",IF(SUM($G254:EF254)&gt;=1,OFFSET(EF$228,-1,0),"")))</f>
        <v/>
      </c>
      <c r="EG256" s="403" t="str">
        <f ca="1">IF(SUM($G256:EF256)&gt;=1,"",IF(EG254=0,"",IF(SUM($G254:EG254)&gt;=1,OFFSET(EG$228,-1,0),"")))</f>
        <v/>
      </c>
      <c r="EH256" s="403" t="str">
        <f ca="1">IF(SUM($G256:EG256)&gt;=1,"",IF(EH254=0,"",IF(SUM($G254:EH254)&gt;=1,OFFSET(EH$228,-1,0),"")))</f>
        <v/>
      </c>
      <c r="EI256" s="403" t="str">
        <f ca="1">IF(SUM($G256:EH256)&gt;=1,"",IF(EI254=0,"",IF(SUM($G254:EI254)&gt;=1,OFFSET(EI$228,-1,0),"")))</f>
        <v/>
      </c>
    </row>
    <row r="257" spans="1:141" hidden="1" outlineLevel="2">
      <c r="A257" s="332"/>
      <c r="B257" s="313"/>
      <c r="D257" s="305" t="s">
        <v>671</v>
      </c>
      <c r="E257" s="1002">
        <f ca="1">IF(E254=0,"",MIN(G257:EI257))</f>
        <v>45430</v>
      </c>
      <c r="F257" s="1003"/>
      <c r="G257" s="403" t="str">
        <f>IF(G254=0,"",IF(G254=G$3,G256,G$5+H$5-G258-1))</f>
        <v/>
      </c>
      <c r="H257" s="403" t="str">
        <f ca="1">IF(H254=0,"",IF(H254=H$3,H256,H$5+I$5-H258-1))</f>
        <v/>
      </c>
      <c r="I257" s="403" t="str">
        <f t="shared" ref="I257:R257" ca="1" si="473">IF(I254=0,"",IF(I254=I$3,I256,I$5+J$5-I258-1))</f>
        <v/>
      </c>
      <c r="J257" s="403" t="str">
        <f t="shared" ca="1" si="473"/>
        <v/>
      </c>
      <c r="K257" s="403" t="str">
        <f t="shared" ca="1" si="473"/>
        <v/>
      </c>
      <c r="L257" s="403" t="str">
        <f t="shared" ca="1" si="473"/>
        <v/>
      </c>
      <c r="M257" s="403" t="str">
        <f t="shared" ca="1" si="473"/>
        <v/>
      </c>
      <c r="N257" s="403" t="str">
        <f t="shared" ca="1" si="473"/>
        <v/>
      </c>
      <c r="O257" s="403" t="str">
        <f t="shared" ca="1" si="473"/>
        <v/>
      </c>
      <c r="P257" s="403" t="str">
        <f t="shared" ca="1" si="473"/>
        <v/>
      </c>
      <c r="Q257" s="403" t="str">
        <f t="shared" ca="1" si="473"/>
        <v/>
      </c>
      <c r="R257" s="403" t="str">
        <f t="shared" ca="1" si="473"/>
        <v/>
      </c>
      <c r="S257" s="403" t="str">
        <f ca="1">IF(S254=0,"",IF(S254=S$3,S256,S$5+T$5-S258-1))</f>
        <v/>
      </c>
      <c r="T257" s="403" t="str">
        <f t="shared" ref="T257:CE257" ca="1" si="474">IF(T254=0,"",IF(T254=T$3,T256,T$5+U$5-T258-1))</f>
        <v/>
      </c>
      <c r="U257" s="403">
        <f t="shared" ca="1" si="474"/>
        <v>45430</v>
      </c>
      <c r="V257" s="403" t="str">
        <f t="shared" ca="1" si="474"/>
        <v/>
      </c>
      <c r="W257" s="403" t="str">
        <f t="shared" ca="1" si="474"/>
        <v/>
      </c>
      <c r="X257" s="403" t="str">
        <f t="shared" ca="1" si="474"/>
        <v/>
      </c>
      <c r="Y257" s="403">
        <f t="shared" ca="1" si="474"/>
        <v>45562</v>
      </c>
      <c r="Z257" s="403" t="str">
        <f t="shared" ca="1" si="474"/>
        <v/>
      </c>
      <c r="AA257" s="403" t="str">
        <f t="shared" ca="1" si="474"/>
        <v/>
      </c>
      <c r="AB257" s="403" t="str">
        <f t="shared" ca="1" si="474"/>
        <v/>
      </c>
      <c r="AC257" s="403" t="str">
        <f t="shared" ca="1" si="474"/>
        <v/>
      </c>
      <c r="AD257" s="403" t="str">
        <f t="shared" ca="1" si="474"/>
        <v/>
      </c>
      <c r="AE257" s="403" t="str">
        <f t="shared" ca="1" si="474"/>
        <v/>
      </c>
      <c r="AF257" s="403" t="str">
        <f t="shared" ca="1" si="474"/>
        <v/>
      </c>
      <c r="AG257" s="403" t="str">
        <f t="shared" ca="1" si="474"/>
        <v/>
      </c>
      <c r="AH257" s="403" t="str">
        <f t="shared" ca="1" si="474"/>
        <v/>
      </c>
      <c r="AI257" s="403" t="str">
        <f t="shared" ca="1" si="474"/>
        <v/>
      </c>
      <c r="AJ257" s="403" t="str">
        <f t="shared" ca="1" si="474"/>
        <v/>
      </c>
      <c r="AK257" s="403" t="str">
        <f t="shared" ca="1" si="474"/>
        <v/>
      </c>
      <c r="AL257" s="403" t="str">
        <f t="shared" ca="1" si="474"/>
        <v/>
      </c>
      <c r="AM257" s="403" t="str">
        <f t="shared" ca="1" si="474"/>
        <v/>
      </c>
      <c r="AN257" s="403" t="str">
        <f t="shared" ca="1" si="474"/>
        <v/>
      </c>
      <c r="AO257" s="403" t="str">
        <f t="shared" ca="1" si="474"/>
        <v/>
      </c>
      <c r="AP257" s="403" t="str">
        <f t="shared" ca="1" si="474"/>
        <v/>
      </c>
      <c r="AQ257" s="403" t="str">
        <f t="shared" ca="1" si="474"/>
        <v/>
      </c>
      <c r="AR257" s="403" t="str">
        <f t="shared" ca="1" si="474"/>
        <v/>
      </c>
      <c r="AS257" s="403" t="str">
        <f t="shared" ca="1" si="474"/>
        <v/>
      </c>
      <c r="AT257" s="403" t="str">
        <f t="shared" ca="1" si="474"/>
        <v/>
      </c>
      <c r="AU257" s="403" t="str">
        <f t="shared" ca="1" si="474"/>
        <v/>
      </c>
      <c r="AV257" s="403" t="str">
        <f t="shared" ca="1" si="474"/>
        <v/>
      </c>
      <c r="AW257" s="403" t="str">
        <f t="shared" ca="1" si="474"/>
        <v/>
      </c>
      <c r="AX257" s="403" t="str">
        <f t="shared" ca="1" si="474"/>
        <v/>
      </c>
      <c r="AY257" s="403" t="str">
        <f t="shared" ca="1" si="474"/>
        <v/>
      </c>
      <c r="AZ257" s="403" t="str">
        <f t="shared" ca="1" si="474"/>
        <v/>
      </c>
      <c r="BA257" s="403" t="str">
        <f t="shared" ca="1" si="474"/>
        <v/>
      </c>
      <c r="BB257" s="403" t="str">
        <f t="shared" ca="1" si="474"/>
        <v/>
      </c>
      <c r="BC257" s="403" t="str">
        <f t="shared" ca="1" si="474"/>
        <v/>
      </c>
      <c r="BD257" s="403" t="str">
        <f t="shared" ca="1" si="474"/>
        <v/>
      </c>
      <c r="BE257" s="403" t="str">
        <f t="shared" ca="1" si="474"/>
        <v/>
      </c>
      <c r="BF257" s="403" t="str">
        <f t="shared" ca="1" si="474"/>
        <v/>
      </c>
      <c r="BG257" s="403" t="str">
        <f t="shared" ca="1" si="474"/>
        <v/>
      </c>
      <c r="BH257" s="403" t="str">
        <f t="shared" ca="1" si="474"/>
        <v/>
      </c>
      <c r="BI257" s="403" t="str">
        <f t="shared" ca="1" si="474"/>
        <v/>
      </c>
      <c r="BJ257" s="403" t="str">
        <f t="shared" ca="1" si="474"/>
        <v/>
      </c>
      <c r="BK257" s="403" t="str">
        <f t="shared" ca="1" si="474"/>
        <v/>
      </c>
      <c r="BL257" s="403" t="str">
        <f t="shared" ca="1" si="474"/>
        <v/>
      </c>
      <c r="BM257" s="403" t="str">
        <f t="shared" ca="1" si="474"/>
        <v/>
      </c>
      <c r="BN257" s="403" t="str">
        <f t="shared" ca="1" si="474"/>
        <v/>
      </c>
      <c r="BO257" s="403" t="str">
        <f t="shared" ca="1" si="474"/>
        <v/>
      </c>
      <c r="BP257" s="403" t="str">
        <f t="shared" ca="1" si="474"/>
        <v/>
      </c>
      <c r="BQ257" s="403" t="str">
        <f t="shared" ca="1" si="474"/>
        <v/>
      </c>
      <c r="BR257" s="403" t="str">
        <f t="shared" ca="1" si="474"/>
        <v/>
      </c>
      <c r="BS257" s="403" t="str">
        <f t="shared" ca="1" si="474"/>
        <v/>
      </c>
      <c r="BT257" s="403" t="str">
        <f t="shared" ca="1" si="474"/>
        <v/>
      </c>
      <c r="BU257" s="403" t="str">
        <f t="shared" ca="1" si="474"/>
        <v/>
      </c>
      <c r="BV257" s="403" t="str">
        <f t="shared" ca="1" si="474"/>
        <v/>
      </c>
      <c r="BW257" s="403" t="str">
        <f t="shared" ca="1" si="474"/>
        <v/>
      </c>
      <c r="BX257" s="403" t="str">
        <f t="shared" ca="1" si="474"/>
        <v/>
      </c>
      <c r="BY257" s="403" t="str">
        <f t="shared" ca="1" si="474"/>
        <v/>
      </c>
      <c r="BZ257" s="403" t="str">
        <f t="shared" ca="1" si="474"/>
        <v/>
      </c>
      <c r="CA257" s="403" t="str">
        <f t="shared" ca="1" si="474"/>
        <v/>
      </c>
      <c r="CB257" s="403" t="str">
        <f t="shared" ca="1" si="474"/>
        <v/>
      </c>
      <c r="CC257" s="403" t="str">
        <f t="shared" ca="1" si="474"/>
        <v/>
      </c>
      <c r="CD257" s="403" t="str">
        <f t="shared" ca="1" si="474"/>
        <v/>
      </c>
      <c r="CE257" s="403" t="str">
        <f t="shared" ca="1" si="474"/>
        <v/>
      </c>
      <c r="CF257" s="403" t="str">
        <f t="shared" ref="CF257:EI257" ca="1" si="475">IF(CF254=0,"",IF(CF254=CF$3,CF256,CF$5+CG$5-CF258-1))</f>
        <v/>
      </c>
      <c r="CG257" s="403" t="str">
        <f t="shared" ca="1" si="475"/>
        <v/>
      </c>
      <c r="CH257" s="403" t="str">
        <f t="shared" ca="1" si="475"/>
        <v/>
      </c>
      <c r="CI257" s="403" t="str">
        <f t="shared" ca="1" si="475"/>
        <v/>
      </c>
      <c r="CJ257" s="403" t="str">
        <f t="shared" ca="1" si="475"/>
        <v/>
      </c>
      <c r="CK257" s="403" t="str">
        <f t="shared" ca="1" si="475"/>
        <v/>
      </c>
      <c r="CL257" s="403" t="str">
        <f t="shared" ca="1" si="475"/>
        <v/>
      </c>
      <c r="CM257" s="403" t="str">
        <f t="shared" ca="1" si="475"/>
        <v/>
      </c>
      <c r="CN257" s="403" t="str">
        <f t="shared" ca="1" si="475"/>
        <v/>
      </c>
      <c r="CO257" s="403" t="str">
        <f t="shared" ca="1" si="475"/>
        <v/>
      </c>
      <c r="CP257" s="403" t="str">
        <f t="shared" ca="1" si="475"/>
        <v/>
      </c>
      <c r="CQ257" s="403" t="str">
        <f t="shared" ca="1" si="475"/>
        <v/>
      </c>
      <c r="CR257" s="403" t="str">
        <f t="shared" ca="1" si="475"/>
        <v/>
      </c>
      <c r="CS257" s="403" t="str">
        <f t="shared" ca="1" si="475"/>
        <v/>
      </c>
      <c r="CT257" s="403" t="str">
        <f t="shared" ca="1" si="475"/>
        <v/>
      </c>
      <c r="CU257" s="403" t="str">
        <f t="shared" ca="1" si="475"/>
        <v/>
      </c>
      <c r="CV257" s="403" t="str">
        <f t="shared" ca="1" si="475"/>
        <v/>
      </c>
      <c r="CW257" s="403" t="str">
        <f t="shared" ca="1" si="475"/>
        <v/>
      </c>
      <c r="CX257" s="403" t="str">
        <f t="shared" ca="1" si="475"/>
        <v/>
      </c>
      <c r="CY257" s="403" t="str">
        <f t="shared" ca="1" si="475"/>
        <v/>
      </c>
      <c r="CZ257" s="403" t="str">
        <f t="shared" ca="1" si="475"/>
        <v/>
      </c>
      <c r="DA257" s="403" t="str">
        <f t="shared" ca="1" si="475"/>
        <v/>
      </c>
      <c r="DB257" s="403" t="str">
        <f t="shared" ca="1" si="475"/>
        <v/>
      </c>
      <c r="DC257" s="403" t="str">
        <f t="shared" ca="1" si="475"/>
        <v/>
      </c>
      <c r="DD257" s="403" t="str">
        <f t="shared" ca="1" si="475"/>
        <v/>
      </c>
      <c r="DE257" s="403" t="str">
        <f t="shared" ca="1" si="475"/>
        <v/>
      </c>
      <c r="DF257" s="403" t="str">
        <f t="shared" ca="1" si="475"/>
        <v/>
      </c>
      <c r="DG257" s="403" t="str">
        <f t="shared" ca="1" si="475"/>
        <v/>
      </c>
      <c r="DH257" s="403" t="str">
        <f t="shared" ca="1" si="475"/>
        <v/>
      </c>
      <c r="DI257" s="403" t="str">
        <f t="shared" ca="1" si="475"/>
        <v/>
      </c>
      <c r="DJ257" s="403" t="str">
        <f t="shared" ca="1" si="475"/>
        <v/>
      </c>
      <c r="DK257" s="403" t="str">
        <f t="shared" ca="1" si="475"/>
        <v/>
      </c>
      <c r="DL257" s="403" t="str">
        <f t="shared" ca="1" si="475"/>
        <v/>
      </c>
      <c r="DM257" s="403" t="str">
        <f t="shared" ca="1" si="475"/>
        <v/>
      </c>
      <c r="DN257" s="403" t="str">
        <f t="shared" ca="1" si="475"/>
        <v/>
      </c>
      <c r="DO257" s="403" t="str">
        <f t="shared" ca="1" si="475"/>
        <v/>
      </c>
      <c r="DP257" s="403" t="str">
        <f t="shared" ca="1" si="475"/>
        <v/>
      </c>
      <c r="DQ257" s="403" t="str">
        <f t="shared" ca="1" si="475"/>
        <v/>
      </c>
      <c r="DR257" s="403" t="str">
        <f t="shared" ca="1" si="475"/>
        <v/>
      </c>
      <c r="DS257" s="403" t="str">
        <f t="shared" ca="1" si="475"/>
        <v/>
      </c>
      <c r="DT257" s="403" t="str">
        <f t="shared" ca="1" si="475"/>
        <v/>
      </c>
      <c r="DU257" s="403" t="str">
        <f t="shared" ca="1" si="475"/>
        <v/>
      </c>
      <c r="DV257" s="403" t="str">
        <f t="shared" ca="1" si="475"/>
        <v/>
      </c>
      <c r="DW257" s="403" t="str">
        <f t="shared" ca="1" si="475"/>
        <v/>
      </c>
      <c r="DX257" s="403" t="str">
        <f t="shared" ca="1" si="475"/>
        <v/>
      </c>
      <c r="DY257" s="403" t="str">
        <f t="shared" ca="1" si="475"/>
        <v/>
      </c>
      <c r="DZ257" s="403" t="str">
        <f t="shared" ca="1" si="475"/>
        <v/>
      </c>
      <c r="EA257" s="403" t="str">
        <f t="shared" ca="1" si="475"/>
        <v/>
      </c>
      <c r="EB257" s="403" t="str">
        <f t="shared" ca="1" si="475"/>
        <v/>
      </c>
      <c r="EC257" s="403" t="str">
        <f t="shared" ca="1" si="475"/>
        <v/>
      </c>
      <c r="ED257" s="403" t="str">
        <f t="shared" ca="1" si="475"/>
        <v/>
      </c>
      <c r="EE257" s="403" t="str">
        <f t="shared" ca="1" si="475"/>
        <v/>
      </c>
      <c r="EF257" s="403" t="str">
        <f t="shared" ca="1" si="475"/>
        <v/>
      </c>
      <c r="EG257" s="403" t="str">
        <f t="shared" ca="1" si="475"/>
        <v/>
      </c>
      <c r="EH257" s="403" t="str">
        <f t="shared" ca="1" si="475"/>
        <v/>
      </c>
      <c r="EI257" s="403" t="str">
        <f t="shared" ca="1" si="475"/>
        <v/>
      </c>
    </row>
    <row r="258" spans="1:141" hidden="1" outlineLevel="2">
      <c r="A258" s="332"/>
      <c r="B258" s="313"/>
      <c r="D258" s="305" t="s">
        <v>672</v>
      </c>
      <c r="E258" s="1002">
        <f ca="1">IF(E254=0,"",MAX(G258:EI258))</f>
        <v>45539</v>
      </c>
      <c r="F258" s="1003"/>
      <c r="G258" s="403">
        <f ca="1">IF(SUM(G254:$EI254)=0,"",IF(G$227="","",G$227+G254-1))</f>
        <v>44985</v>
      </c>
      <c r="H258" s="403">
        <f ca="1">IF(SUM(H254:$EI254)=0,"",IF(H$227="","",H$227+H254-1))</f>
        <v>45016</v>
      </c>
      <c r="I258" s="403">
        <f ca="1">IF(SUM(I254:$EI254)=0,"",IF(I$227="","",I$227+I254-1))</f>
        <v>45046</v>
      </c>
      <c r="J258" s="403">
        <f ca="1">IF(SUM(J254:$EI254)=0,"",IF(J$227="","",J$227+J254-1))</f>
        <v>45077</v>
      </c>
      <c r="K258" s="403">
        <f ca="1">IF(SUM(K254:$EI254)=0,"",IF(K$227="","",K$227+K254-1))</f>
        <v>45107</v>
      </c>
      <c r="L258" s="403">
        <f ca="1">IF(SUM(L254:$EI254)=0,"",IF(L$227="","",L$227+L254-1))</f>
        <v>45138</v>
      </c>
      <c r="M258" s="403">
        <f ca="1">IF(SUM(M254:$EI254)=0,"",IF(M$227="","",M$227+M254-1))</f>
        <v>45169</v>
      </c>
      <c r="N258" s="403">
        <f ca="1">IF(SUM(N254:$EI254)=0,"",IF(N$227="","",N$227+N254-1))</f>
        <v>45199</v>
      </c>
      <c r="O258" s="403">
        <f ca="1">IF(SUM(O254:$EI254)=0,"",IF(O$227="","",O$227+O254-1))</f>
        <v>45230</v>
      </c>
      <c r="P258" s="403">
        <f ca="1">IF(SUM(P254:$EI254)=0,"",IF(P$227="","",P$227+P254-1))</f>
        <v>45260</v>
      </c>
      <c r="Q258" s="403">
        <f ca="1">IF(SUM(Q254:$EI254)=0,"",IF(Q$227="","",Q$227+Q254-1))</f>
        <v>45291</v>
      </c>
      <c r="R258" s="403">
        <f ca="1">IF(SUM(R254:$EI254)=0,"",IF(R$227="","",R$227+R254-1))</f>
        <v>45322</v>
      </c>
      <c r="S258" s="403">
        <f ca="1">IF(SUM(S254:$EI254)=0,"",IF(S$227="","",S$227+S254-1))</f>
        <v>45351</v>
      </c>
      <c r="T258" s="403">
        <f ca="1">IF(SUM(T254:$EI254)=0,"",IF(T$227="","",T$227+T254-1))</f>
        <v>45382</v>
      </c>
      <c r="U258" s="403">
        <f ca="1">IF(SUM(U254:$EI254)=0,"",IF(U$227="","",U$227+U254-1))</f>
        <v>45426</v>
      </c>
      <c r="V258" s="403">
        <f ca="1">IF(SUM(V254:$EI254)=0,"",IF(V$227="","",V$227+V254-1))</f>
        <v>45473</v>
      </c>
      <c r="W258" s="403">
        <f ca="1">IF(SUM(W254:$EI254)=0,"",IF(W$227="","",W$227+W254-1))</f>
        <v>45504</v>
      </c>
      <c r="X258" s="403">
        <f ca="1">IF(SUM(X254:$EI254)=0,"",IF(X$227="","",X$227+X254-1))</f>
        <v>45535</v>
      </c>
      <c r="Y258" s="403">
        <f ca="1">IF(SUM(Y254:$EI254)=0,"",IF(Y$227="","",Y$227+Y254-1))</f>
        <v>45539</v>
      </c>
      <c r="Z258" s="403" t="str">
        <f ca="1">IF(SUM(Z254:$EI254)=0,"",IF(Z$227="","",Z$227+Z254-1))</f>
        <v/>
      </c>
      <c r="AA258" s="403" t="str">
        <f ca="1">IF(SUM(AA254:$EI254)=0,"",IF(AA$227="","",AA$227+AA254-1))</f>
        <v/>
      </c>
      <c r="AB258" s="403" t="str">
        <f ca="1">IF(SUM(AB254:$EI254)=0,"",IF(AB$227="","",AB$227+AB254-1))</f>
        <v/>
      </c>
      <c r="AC258" s="403" t="str">
        <f ca="1">IF(SUM(AC254:$EI254)=0,"",IF(AC$227="","",AC$227+AC254-1))</f>
        <v/>
      </c>
      <c r="AD258" s="403" t="str">
        <f ca="1">IF(SUM(AD254:$EI254)=0,"",IF(AD$227="","",AD$227+AD254-1))</f>
        <v/>
      </c>
      <c r="AE258" s="403" t="str">
        <f ca="1">IF(SUM(AE254:$EI254)=0,"",IF(AE$227="","",AE$227+AE254-1))</f>
        <v/>
      </c>
      <c r="AF258" s="403" t="str">
        <f ca="1">IF(SUM(AF254:$EI254)=0,"",IF(AF$227="","",AF$227+AF254-1))</f>
        <v/>
      </c>
      <c r="AG258" s="403" t="str">
        <f ca="1">IF(SUM(AG254:$EI254)=0,"",IF(AG$227="","",AG$227+AG254-1))</f>
        <v/>
      </c>
      <c r="AH258" s="403" t="str">
        <f ca="1">IF(SUM(AH254:$EI254)=0,"",IF(AH$227="","",AH$227+AH254-1))</f>
        <v/>
      </c>
      <c r="AI258" s="403" t="str">
        <f ca="1">IF(SUM(AI254:$EI254)=0,"",IF(AI$227="","",AI$227+AI254-1))</f>
        <v/>
      </c>
      <c r="AJ258" s="403" t="str">
        <f ca="1">IF(SUM(AJ254:$EI254)=0,"",IF(AJ$227="","",AJ$227+AJ254-1))</f>
        <v/>
      </c>
      <c r="AK258" s="403" t="str">
        <f ca="1">IF(SUM(AK254:$EI254)=0,"",IF(AK$227="","",AK$227+AK254-1))</f>
        <v/>
      </c>
      <c r="AL258" s="403" t="str">
        <f ca="1">IF(SUM(AL254:$EI254)=0,"",IF(AL$227="","",AL$227+AL254-1))</f>
        <v/>
      </c>
      <c r="AM258" s="403" t="str">
        <f ca="1">IF(SUM(AM254:$EI254)=0,"",IF(AM$227="","",AM$227+AM254-1))</f>
        <v/>
      </c>
      <c r="AN258" s="403" t="str">
        <f ca="1">IF(SUM(AN254:$EI254)=0,"",IF(AN$227="","",AN$227+AN254-1))</f>
        <v/>
      </c>
      <c r="AO258" s="403" t="str">
        <f ca="1">IF(SUM(AO254:$EI254)=0,"",IF(AO$227="","",AO$227+AO254-1))</f>
        <v/>
      </c>
      <c r="AP258" s="403" t="str">
        <f ca="1">IF(SUM(AP254:$EI254)=0,"",IF(AP$227="","",AP$227+AP254-1))</f>
        <v/>
      </c>
      <c r="AQ258" s="403" t="str">
        <f ca="1">IF(SUM(AQ254:$EI254)=0,"",IF(AQ$227="","",AQ$227+AQ254-1))</f>
        <v/>
      </c>
      <c r="AR258" s="403" t="str">
        <f ca="1">IF(SUM(AR254:$EI254)=0,"",IF(AR$227="","",AR$227+AR254-1))</f>
        <v/>
      </c>
      <c r="AS258" s="403" t="str">
        <f ca="1">IF(SUM(AS254:$EI254)=0,"",IF(AS$227="","",AS$227+AS254-1))</f>
        <v/>
      </c>
      <c r="AT258" s="403" t="str">
        <f ca="1">IF(SUM(AT254:$EI254)=0,"",IF(AT$227="","",AT$227+AT254-1))</f>
        <v/>
      </c>
      <c r="AU258" s="403" t="str">
        <f ca="1">IF(SUM(AU254:$EI254)=0,"",IF(AU$227="","",AU$227+AU254-1))</f>
        <v/>
      </c>
      <c r="AV258" s="403" t="str">
        <f ca="1">IF(SUM(AV254:$EI254)=0,"",IF(AV$227="","",AV$227+AV254-1))</f>
        <v/>
      </c>
      <c r="AW258" s="403" t="str">
        <f ca="1">IF(SUM(AW254:$EI254)=0,"",IF(AW$227="","",AW$227+AW254-1))</f>
        <v/>
      </c>
      <c r="AX258" s="403" t="str">
        <f ca="1">IF(SUM(AX254:$EI254)=0,"",IF(AX$227="","",AX$227+AX254-1))</f>
        <v/>
      </c>
      <c r="AY258" s="403" t="str">
        <f ca="1">IF(SUM(AY254:$EI254)=0,"",IF(AY$227="","",AY$227+AY254-1))</f>
        <v/>
      </c>
      <c r="AZ258" s="403" t="str">
        <f ca="1">IF(SUM(AZ254:$EI254)=0,"",IF(AZ$227="","",AZ$227+AZ254-1))</f>
        <v/>
      </c>
      <c r="BA258" s="403" t="str">
        <f ca="1">IF(SUM(BA254:$EI254)=0,"",IF(BA$227="","",BA$227+BA254-1))</f>
        <v/>
      </c>
      <c r="BB258" s="403" t="str">
        <f ca="1">IF(SUM(BB254:$EI254)=0,"",IF(BB$227="","",BB$227+BB254-1))</f>
        <v/>
      </c>
      <c r="BC258" s="403" t="str">
        <f ca="1">IF(SUM(BC254:$EI254)=0,"",IF(BC$227="","",BC$227+BC254-1))</f>
        <v/>
      </c>
      <c r="BD258" s="403" t="str">
        <f ca="1">IF(SUM(BD254:$EI254)=0,"",IF(BD$227="","",BD$227+BD254-1))</f>
        <v/>
      </c>
      <c r="BE258" s="403" t="str">
        <f ca="1">IF(SUM(BE254:$EI254)=0,"",IF(BE$227="","",BE$227+BE254-1))</f>
        <v/>
      </c>
      <c r="BF258" s="403" t="str">
        <f ca="1">IF(SUM(BF254:$EI254)=0,"",IF(BF$227="","",BF$227+BF254-1))</f>
        <v/>
      </c>
      <c r="BG258" s="403" t="str">
        <f ca="1">IF(SUM(BG254:$EI254)=0,"",IF(BG$227="","",BG$227+BG254-1))</f>
        <v/>
      </c>
      <c r="BH258" s="403" t="str">
        <f ca="1">IF(SUM(BH254:$EI254)=0,"",IF(BH$227="","",BH$227+BH254-1))</f>
        <v/>
      </c>
      <c r="BI258" s="403" t="str">
        <f ca="1">IF(SUM(BI254:$EI254)=0,"",IF(BI$227="","",BI$227+BI254-1))</f>
        <v/>
      </c>
      <c r="BJ258" s="403" t="str">
        <f ca="1">IF(SUM(BJ254:$EI254)=0,"",IF(BJ$227="","",BJ$227+BJ254-1))</f>
        <v/>
      </c>
      <c r="BK258" s="403" t="str">
        <f ca="1">IF(SUM(BK254:$EI254)=0,"",IF(BK$227="","",BK$227+BK254-1))</f>
        <v/>
      </c>
      <c r="BL258" s="403" t="str">
        <f ca="1">IF(SUM(BL254:$EI254)=0,"",IF(BL$227="","",BL$227+BL254-1))</f>
        <v/>
      </c>
      <c r="BM258" s="403" t="str">
        <f ca="1">IF(SUM(BM254:$EI254)=0,"",IF(BM$227="","",BM$227+BM254-1))</f>
        <v/>
      </c>
      <c r="BN258" s="403" t="str">
        <f ca="1">IF(SUM(BN254:$EI254)=0,"",IF(BN$227="","",BN$227+BN254-1))</f>
        <v/>
      </c>
      <c r="BO258" s="403" t="str">
        <f ca="1">IF(SUM(BO254:$EI254)=0,"",IF(BO$227="","",BO$227+BO254-1))</f>
        <v/>
      </c>
      <c r="BP258" s="403" t="str">
        <f ca="1">IF(SUM(BP254:$EI254)=0,"",IF(BP$227="","",BP$227+BP254-1))</f>
        <v/>
      </c>
      <c r="BQ258" s="403" t="str">
        <f ca="1">IF(SUM(BQ254:$EI254)=0,"",IF(BQ$227="","",BQ$227+BQ254-1))</f>
        <v/>
      </c>
      <c r="BR258" s="403" t="str">
        <f ca="1">IF(SUM(BR254:$EI254)=0,"",IF(BR$227="","",BR$227+BR254-1))</f>
        <v/>
      </c>
      <c r="BS258" s="403" t="str">
        <f ca="1">IF(SUM(BS254:$EI254)=0,"",IF(BS$227="","",BS$227+BS254-1))</f>
        <v/>
      </c>
      <c r="BT258" s="403" t="str">
        <f ca="1">IF(SUM(BT254:$EI254)=0,"",IF(BT$227="","",BT$227+BT254-1))</f>
        <v/>
      </c>
      <c r="BU258" s="403" t="str">
        <f ca="1">IF(SUM(BU254:$EI254)=0,"",IF(BU$227="","",BU$227+BU254-1))</f>
        <v/>
      </c>
      <c r="BV258" s="403" t="str">
        <f ca="1">IF(SUM(BV254:$EI254)=0,"",IF(BV$227="","",BV$227+BV254-1))</f>
        <v/>
      </c>
      <c r="BW258" s="403" t="str">
        <f ca="1">IF(SUM(BW254:$EI254)=0,"",IF(BW$227="","",BW$227+BW254-1))</f>
        <v/>
      </c>
      <c r="BX258" s="403" t="str">
        <f ca="1">IF(SUM(BX254:$EI254)=0,"",IF(BX$227="","",BX$227+BX254-1))</f>
        <v/>
      </c>
      <c r="BY258" s="403" t="str">
        <f ca="1">IF(SUM(BY254:$EI254)=0,"",IF(BY$227="","",BY$227+BY254-1))</f>
        <v/>
      </c>
      <c r="BZ258" s="403" t="str">
        <f ca="1">IF(SUM(BZ254:$EI254)=0,"",IF(BZ$227="","",BZ$227+BZ254-1))</f>
        <v/>
      </c>
      <c r="CA258" s="403" t="str">
        <f ca="1">IF(SUM(CA254:$EI254)=0,"",IF(CA$227="","",CA$227+CA254-1))</f>
        <v/>
      </c>
      <c r="CB258" s="403" t="str">
        <f ca="1">IF(SUM(CB254:$EI254)=0,"",IF(CB$227="","",CB$227+CB254-1))</f>
        <v/>
      </c>
      <c r="CC258" s="403" t="str">
        <f ca="1">IF(SUM(CC254:$EI254)=0,"",IF(CC$227="","",CC$227+CC254-1))</f>
        <v/>
      </c>
      <c r="CD258" s="403" t="str">
        <f ca="1">IF(SUM(CD254:$EI254)=0,"",IF(CD$227="","",CD$227+CD254-1))</f>
        <v/>
      </c>
      <c r="CE258" s="403" t="str">
        <f ca="1">IF(SUM(CE254:$EI254)=0,"",IF(CE$227="","",CE$227+CE254-1))</f>
        <v/>
      </c>
      <c r="CF258" s="403" t="str">
        <f ca="1">IF(SUM(CF254:$EI254)=0,"",IF(CF$227="","",CF$227+CF254-1))</f>
        <v/>
      </c>
      <c r="CG258" s="403" t="str">
        <f ca="1">IF(SUM(CG254:$EI254)=0,"",IF(CG$227="","",CG$227+CG254-1))</f>
        <v/>
      </c>
      <c r="CH258" s="403" t="str">
        <f ca="1">IF(SUM(CH254:$EI254)=0,"",IF(CH$227="","",CH$227+CH254-1))</f>
        <v/>
      </c>
      <c r="CI258" s="403" t="str">
        <f ca="1">IF(SUM(CI254:$EI254)=0,"",IF(CI$227="","",CI$227+CI254-1))</f>
        <v/>
      </c>
      <c r="CJ258" s="403" t="str">
        <f ca="1">IF(SUM(CJ254:$EI254)=0,"",IF(CJ$227="","",CJ$227+CJ254-1))</f>
        <v/>
      </c>
      <c r="CK258" s="403" t="str">
        <f ca="1">IF(SUM(CK254:$EI254)=0,"",IF(CK$227="","",CK$227+CK254-1))</f>
        <v/>
      </c>
      <c r="CL258" s="403" t="str">
        <f ca="1">IF(SUM(CL254:$EI254)=0,"",IF(CL$227="","",CL$227+CL254-1))</f>
        <v/>
      </c>
      <c r="CM258" s="403" t="str">
        <f ca="1">IF(SUM(CM254:$EI254)=0,"",IF(CM$227="","",CM$227+CM254-1))</f>
        <v/>
      </c>
      <c r="CN258" s="403" t="str">
        <f ca="1">IF(SUM(CN254:$EI254)=0,"",IF(CN$227="","",CN$227+CN254-1))</f>
        <v/>
      </c>
      <c r="CO258" s="403" t="str">
        <f ca="1">IF(SUM(CO254:$EI254)=0,"",IF(CO$227="","",CO$227+CO254-1))</f>
        <v/>
      </c>
      <c r="CP258" s="403" t="str">
        <f ca="1">IF(SUM(CP254:$EI254)=0,"",IF(CP$227="","",CP$227+CP254-1))</f>
        <v/>
      </c>
      <c r="CQ258" s="403" t="str">
        <f ca="1">IF(SUM(CQ254:$EI254)=0,"",IF(CQ$227="","",CQ$227+CQ254-1))</f>
        <v/>
      </c>
      <c r="CR258" s="403" t="str">
        <f ca="1">IF(SUM(CR254:$EI254)=0,"",IF(CR$227="","",CR$227+CR254-1))</f>
        <v/>
      </c>
      <c r="CS258" s="403" t="str">
        <f ca="1">IF(SUM(CS254:$EI254)=0,"",IF(CS$227="","",CS$227+CS254-1))</f>
        <v/>
      </c>
      <c r="CT258" s="403" t="str">
        <f ca="1">IF(SUM(CT254:$EI254)=0,"",IF(CT$227="","",CT$227+CT254-1))</f>
        <v/>
      </c>
      <c r="CU258" s="403" t="str">
        <f ca="1">IF(SUM(CU254:$EI254)=0,"",IF(CU$227="","",CU$227+CU254-1))</f>
        <v/>
      </c>
      <c r="CV258" s="403" t="str">
        <f ca="1">IF(SUM(CV254:$EI254)=0,"",IF(CV$227="","",CV$227+CV254-1))</f>
        <v/>
      </c>
      <c r="CW258" s="403" t="str">
        <f ca="1">IF(SUM(CW254:$EI254)=0,"",IF(CW$227="","",CW$227+CW254-1))</f>
        <v/>
      </c>
      <c r="CX258" s="403" t="str">
        <f ca="1">IF(SUM(CX254:$EI254)=0,"",IF(CX$227="","",CX$227+CX254-1))</f>
        <v/>
      </c>
      <c r="CY258" s="403" t="str">
        <f ca="1">IF(SUM(CY254:$EI254)=0,"",IF(CY$227="","",CY$227+CY254-1))</f>
        <v/>
      </c>
      <c r="CZ258" s="403" t="str">
        <f ca="1">IF(SUM(CZ254:$EI254)=0,"",IF(CZ$227="","",CZ$227+CZ254-1))</f>
        <v/>
      </c>
      <c r="DA258" s="403" t="str">
        <f ca="1">IF(SUM(DA254:$EI254)=0,"",IF(DA$227="","",DA$227+DA254-1))</f>
        <v/>
      </c>
      <c r="DB258" s="403" t="str">
        <f ca="1">IF(SUM(DB254:$EI254)=0,"",IF(DB$227="","",DB$227+DB254-1))</f>
        <v/>
      </c>
      <c r="DC258" s="403" t="str">
        <f ca="1">IF(SUM(DC254:$EI254)=0,"",IF(DC$227="","",DC$227+DC254-1))</f>
        <v/>
      </c>
      <c r="DD258" s="403" t="str">
        <f ca="1">IF(SUM(DD254:$EI254)=0,"",IF(DD$227="","",DD$227+DD254-1))</f>
        <v/>
      </c>
      <c r="DE258" s="403" t="str">
        <f ca="1">IF(SUM(DE254:$EI254)=0,"",IF(DE$227="","",DE$227+DE254-1))</f>
        <v/>
      </c>
      <c r="DF258" s="403" t="str">
        <f ca="1">IF(SUM(DF254:$EI254)=0,"",IF(DF$227="","",DF$227+DF254-1))</f>
        <v/>
      </c>
      <c r="DG258" s="403" t="str">
        <f ca="1">IF(SUM(DG254:$EI254)=0,"",IF(DG$227="","",DG$227+DG254-1))</f>
        <v/>
      </c>
      <c r="DH258" s="403" t="str">
        <f ca="1">IF(SUM(DH254:$EI254)=0,"",IF(DH$227="","",DH$227+DH254-1))</f>
        <v/>
      </c>
      <c r="DI258" s="403" t="str">
        <f ca="1">IF(SUM(DI254:$EI254)=0,"",IF(DI$227="","",DI$227+DI254-1))</f>
        <v/>
      </c>
      <c r="DJ258" s="403" t="str">
        <f ca="1">IF(SUM(DJ254:$EI254)=0,"",IF(DJ$227="","",DJ$227+DJ254-1))</f>
        <v/>
      </c>
      <c r="DK258" s="403" t="str">
        <f ca="1">IF(SUM(DK254:$EI254)=0,"",IF(DK$227="","",DK$227+DK254-1))</f>
        <v/>
      </c>
      <c r="DL258" s="403" t="str">
        <f ca="1">IF(SUM(DL254:$EI254)=0,"",IF(DL$227="","",DL$227+DL254-1))</f>
        <v/>
      </c>
      <c r="DM258" s="403" t="str">
        <f ca="1">IF(SUM(DM254:$EI254)=0,"",IF(DM$227="","",DM$227+DM254-1))</f>
        <v/>
      </c>
      <c r="DN258" s="403" t="str">
        <f ca="1">IF(SUM(DN254:$EI254)=0,"",IF(DN$227="","",DN$227+DN254-1))</f>
        <v/>
      </c>
      <c r="DO258" s="403" t="str">
        <f ca="1">IF(SUM(DO254:$EI254)=0,"",IF(DO$227="","",DO$227+DO254-1))</f>
        <v/>
      </c>
      <c r="DP258" s="403" t="str">
        <f ca="1">IF(SUM(DP254:$EI254)=0,"",IF(DP$227="","",DP$227+DP254-1))</f>
        <v/>
      </c>
      <c r="DQ258" s="403" t="str">
        <f ca="1">IF(SUM(DQ254:$EI254)=0,"",IF(DQ$227="","",DQ$227+DQ254-1))</f>
        <v/>
      </c>
      <c r="DR258" s="403" t="str">
        <f ca="1">IF(SUM(DR254:$EI254)=0,"",IF(DR$227="","",DR$227+DR254-1))</f>
        <v/>
      </c>
      <c r="DS258" s="403" t="str">
        <f ca="1">IF(SUM(DS254:$EI254)=0,"",IF(DS$227="","",DS$227+DS254-1))</f>
        <v/>
      </c>
      <c r="DT258" s="403" t="str">
        <f ca="1">IF(SUM(DT254:$EI254)=0,"",IF(DT$227="","",DT$227+DT254-1))</f>
        <v/>
      </c>
      <c r="DU258" s="403" t="str">
        <f ca="1">IF(SUM(DU254:$EI254)=0,"",IF(DU$227="","",DU$227+DU254-1))</f>
        <v/>
      </c>
      <c r="DV258" s="403" t="str">
        <f ca="1">IF(SUM(DV254:$EI254)=0,"",IF(DV$227="","",DV$227+DV254-1))</f>
        <v/>
      </c>
      <c r="DW258" s="403" t="str">
        <f ca="1">IF(SUM(DW254:$EI254)=0,"",IF(DW$227="","",DW$227+DW254-1))</f>
        <v/>
      </c>
      <c r="DX258" s="403" t="str">
        <f ca="1">IF(SUM(DX254:$EI254)=0,"",IF(DX$227="","",DX$227+DX254-1))</f>
        <v/>
      </c>
      <c r="DY258" s="403" t="str">
        <f ca="1">IF(SUM(DY254:$EI254)=0,"",IF(DY$227="","",DY$227+DY254-1))</f>
        <v/>
      </c>
      <c r="DZ258" s="403" t="str">
        <f ca="1">IF(SUM(DZ254:$EI254)=0,"",IF(DZ$227="","",DZ$227+DZ254-1))</f>
        <v/>
      </c>
      <c r="EA258" s="403" t="str">
        <f ca="1">IF(SUM(EA254:$EI254)=0,"",IF(EA$227="","",EA$227+EA254-1))</f>
        <v/>
      </c>
      <c r="EB258" s="403" t="str">
        <f ca="1">IF(SUM(EB254:$EI254)=0,"",IF(EB$227="","",EB$227+EB254-1))</f>
        <v/>
      </c>
      <c r="EC258" s="403" t="str">
        <f ca="1">IF(SUM(EC254:$EI254)=0,"",IF(EC$227="","",EC$227+EC254-1))</f>
        <v/>
      </c>
      <c r="ED258" s="403" t="str">
        <f ca="1">IF(SUM(ED254:$EI254)=0,"",IF(ED$227="","",ED$227+ED254-1))</f>
        <v/>
      </c>
      <c r="EE258" s="403" t="str">
        <f ca="1">IF(SUM(EE254:$EI254)=0,"",IF(EE$227="","",EE$227+EE254-1))</f>
        <v/>
      </c>
      <c r="EF258" s="403" t="str">
        <f ca="1">IF(SUM(EF254:$EI254)=0,"",IF(EF$227="","",EF$227+EF254-1))</f>
        <v/>
      </c>
      <c r="EG258" s="403" t="str">
        <f ca="1">IF(SUM(EG254:$EI254)=0,"",IF(EG$227="","",EG$227+EG254-1))</f>
        <v/>
      </c>
      <c r="EH258" s="403" t="str">
        <f ca="1">IF(SUM(EH254:$EI254)=0,"",IF(EH$227="","",EH$227+EH254-1))</f>
        <v/>
      </c>
      <c r="EI258" s="403" t="str">
        <f ca="1">IF(SUM(EI254:$EI254)=0,"",IF(EI$227="","",EI$227+EI254-1))</f>
        <v/>
      </c>
    </row>
    <row r="259" spans="1:141" outlineLevel="1" collapsed="1">
      <c r="A259" s="332"/>
      <c r="B259" s="313"/>
      <c r="C259" s="317" t="s">
        <v>56</v>
      </c>
      <c r="D259" s="317" t="s">
        <v>11</v>
      </c>
      <c r="E259" s="400">
        <f ca="1">IF(ГРП!B13=0,длительность!J46,ГРП!B13)</f>
        <v>495</v>
      </c>
      <c r="F259" s="318">
        <f ca="1">E259-SUM(G259:EJ259)</f>
        <v>0</v>
      </c>
      <c r="G259" s="401"/>
      <c r="H259" s="401">
        <f ca="1">IF(SUM($G259:G259)&gt;=$E259,0,IF($E259-SUM($G259:G259)&gt;H260,H260,$E259-SUM($G260:G260)))</f>
        <v>0</v>
      </c>
      <c r="I259" s="401">
        <f ca="1">IF(SUM($G259:H259)&gt;=$E259,0,IF($E259-SUM($G259:H259)&gt;I260,I260,$E259-SUM($G260:H260)))</f>
        <v>0</v>
      </c>
      <c r="J259" s="401">
        <f ca="1">IF(SUM($G259:I259)&gt;=$E259,0,IF($E259-SUM($G259:I259)&gt;J260,J260,$E259-SUM($G260:I260)))</f>
        <v>0</v>
      </c>
      <c r="K259" s="401">
        <f ca="1">IF(SUM($G259:J259)&gt;=$E259,0,IF($E259-SUM($G259:J259)&gt;K260,K260,$E259-SUM($G260:J260)))</f>
        <v>0</v>
      </c>
      <c r="L259" s="401">
        <f ca="1">IF(SUM($G259:K259)&gt;=$E259,0,IF($E259-SUM($G259:K259)&gt;L260,L260,$E259-SUM($G260:K260)))</f>
        <v>0</v>
      </c>
      <c r="M259" s="401">
        <f ca="1">IF(SUM($G259:L259)&gt;=$E259,0,IF($E259-SUM($G259:L259)&gt;M260,M260,$E259-SUM($G260:L260)))</f>
        <v>0</v>
      </c>
      <c r="N259" s="401">
        <f ca="1">IF(SUM($G259:M259)&gt;=$E259,0,IF($E259-SUM($G259:M259)&gt;N260,N260,$E259-SUM($G260:M260)))</f>
        <v>0</v>
      </c>
      <c r="O259" s="401">
        <f ca="1">IF(SUM($G259:N259)&gt;=$E259,0,IF($E259-SUM($G259:N259)&gt;O260,O260,$E259-SUM($G260:N260)))</f>
        <v>0</v>
      </c>
      <c r="P259" s="401">
        <f ca="1">IF(SUM($G259:O259)&gt;=$E259,0,IF($E259-SUM($G259:O259)&gt;P260,P260,$E259-SUM($G260:O260)))</f>
        <v>0</v>
      </c>
      <c r="Q259" s="401">
        <f ca="1">IF(SUM($G259:P259)&gt;=$E259,0,IF($E259-SUM($G259:P259)&gt;Q260,Q260,$E259-SUM($G260:P260)))</f>
        <v>0</v>
      </c>
      <c r="R259" s="401">
        <f ca="1">IF(SUM($G259:Q259)&gt;=$E259,0,IF($E259-SUM($G259:Q259)&gt;R260,R260,$E259-SUM($G260:Q260)))</f>
        <v>0</v>
      </c>
      <c r="S259" s="401">
        <f ca="1">IF(SUM($G259:R259)&gt;=$E259,0,IF($E259-SUM($G259:R259)&gt;S260,S260,$E259-SUM($G260:R260)))</f>
        <v>0</v>
      </c>
      <c r="T259" s="401">
        <f ca="1">IF(SUM($G259:S259)&gt;=$E259,0,IF($E259-SUM($G259:S259)&gt;T260,T260,$E259-SUM($G260:S260)))</f>
        <v>0</v>
      </c>
      <c r="U259" s="401">
        <f ca="1">IF(SUM($G259:T259)&gt;=$E259,0,IF($E259-SUM($G259:T259)&gt;U260,U260,$E259-SUM($G260:T260)))</f>
        <v>0</v>
      </c>
      <c r="V259" s="401">
        <f ca="1">IF(SUM($G259:U259)&gt;=$E259,0,IF($E259-SUM($G259:U259)&gt;V260,V260,$E259-SUM($G260:U260)))</f>
        <v>0</v>
      </c>
      <c r="W259" s="401">
        <f ca="1">IF(SUM($G259:V259)&gt;=$E259,0,IF($E259-SUM($G259:V259)&gt;W260,W260,$E259-SUM($G260:V260)))</f>
        <v>0</v>
      </c>
      <c r="X259" s="401">
        <f ca="1">IF(SUM($G259:W259)&gt;=$E259,0,IF($E259-SUM($G259:W259)&gt;X260,X260,$E259-SUM($G260:W260)))</f>
        <v>0</v>
      </c>
      <c r="Y259" s="401">
        <f ca="1">IF(SUM($G259:X259)&gt;=$E259,0,IF($E259-SUM($G259:X259)&gt;Y260,Y260,$E259-SUM($G260:X260)))</f>
        <v>26</v>
      </c>
      <c r="Z259" s="401">
        <f ca="1">IF(SUM($G259:Y259)&gt;=$E259,0,IF($E259-SUM($G259:Y259)&gt;Z260,Z260,$E259-SUM($G260:Y260)))</f>
        <v>31</v>
      </c>
      <c r="AA259" s="401">
        <f ca="1">IF(SUM($G259:Z259)&gt;=$E259,0,IF($E259-SUM($G259:Z259)&gt;AA260,AA260,$E259-SUM($G260:Z260)))</f>
        <v>30</v>
      </c>
      <c r="AB259" s="401">
        <f ca="1">IF(SUM($G259:AA259)&gt;=$E259,0,IF($E259-SUM($G259:AA259)&gt;AB260,AB260,$E259-SUM($G260:AA260)))</f>
        <v>31</v>
      </c>
      <c r="AC259" s="401">
        <f ca="1">IF(SUM($G259:AB259)&gt;=$E259,0,IF($E259-SUM($G259:AB259)&gt;AC260,AC260,$E259-SUM($G260:AB260)))</f>
        <v>31</v>
      </c>
      <c r="AD259" s="401">
        <f ca="1">IF(SUM($G259:AC259)&gt;=$E259,0,IF($E259-SUM($G259:AC259)&gt;AD260,AD260,$E259-SUM($G260:AC260)))</f>
        <v>28</v>
      </c>
      <c r="AE259" s="401">
        <f ca="1">IF(SUM($G259:AD259)&gt;=$E259,0,IF($E259-SUM($G259:AD259)&gt;AE260,AE260,$E259-SUM($G260:AD260)))</f>
        <v>31</v>
      </c>
      <c r="AF259" s="401">
        <f ca="1">IF(SUM($G259:AE259)&gt;=$E259,0,IF($E259-SUM($G259:AE259)&gt;AF260,AF260,$E259-SUM($G260:AE260)))</f>
        <v>30</v>
      </c>
      <c r="AG259" s="401">
        <f ca="1">IF(SUM($G259:AF259)&gt;=$E259,0,IF($E259-SUM($G259:AF259)&gt;AG260,AG260,$E259-SUM($G260:AF260)))</f>
        <v>31</v>
      </c>
      <c r="AH259" s="401">
        <f ca="1">IF(SUM($G259:AG259)&gt;=$E259,0,IF($E259-SUM($G259:AG259)&gt;AH260,AH260,$E259-SUM($G260:AG260)))</f>
        <v>30</v>
      </c>
      <c r="AI259" s="401">
        <f ca="1">IF(SUM($G259:AH259)&gt;=$E259,0,IF($E259-SUM($G259:AH259)&gt;AI260,AI260,$E259-SUM($G260:AH260)))</f>
        <v>31</v>
      </c>
      <c r="AJ259" s="401">
        <f ca="1">IF(SUM($G259:AI259)&gt;=$E259,0,IF($E259-SUM($G259:AI259)&gt;AJ260,AJ260,$E259-SUM($G260:AI260)))</f>
        <v>31</v>
      </c>
      <c r="AK259" s="401">
        <f ca="1">IF(SUM($G259:AJ259)&gt;=$E259,0,IF($E259-SUM($G259:AJ259)&gt;AK260,AK260,$E259-SUM($G260:AJ260)))</f>
        <v>30</v>
      </c>
      <c r="AL259" s="401">
        <f ca="1">IF(SUM($G259:AK259)&gt;=$E259,0,IF($E259-SUM($G259:AK259)&gt;AL260,AL260,$E259-SUM($G260:AK260)))</f>
        <v>31</v>
      </c>
      <c r="AM259" s="401">
        <f ca="1">IF(SUM($G259:AL259)&gt;=$E259,0,IF($E259-SUM($G259:AL259)&gt;AM260,AM260,$E259-SUM($G260:AL260)))</f>
        <v>30</v>
      </c>
      <c r="AN259" s="401">
        <f ca="1">IF(SUM($G259:AM259)&gt;=$E259,0,IF($E259-SUM($G259:AM259)&gt;AN260,AN260,$E259-SUM($G260:AM260)))</f>
        <v>31</v>
      </c>
      <c r="AO259" s="401">
        <f ca="1">IF(SUM($G259:AN259)&gt;=$E259,0,IF($E259-SUM($G259:AN259)&gt;AO260,AO260,$E259-SUM($G260:AN260)))</f>
        <v>12</v>
      </c>
      <c r="AP259" s="401">
        <f ca="1">IF(SUM($G259:AO259)&gt;=$E259,0,IF($E259-SUM($G259:AO259)&gt;AP260,AP260,$E259-SUM($G260:AO260)))</f>
        <v>0</v>
      </c>
      <c r="AQ259" s="401">
        <f ca="1">IF(SUM($G259:AP259)&gt;=$E259,0,IF($E259-SUM($G259:AP259)&gt;AQ260,AQ260,$E259-SUM($G260:AP260)))</f>
        <v>0</v>
      </c>
      <c r="AR259" s="401">
        <f ca="1">IF(SUM($G259:AQ259)&gt;=$E259,0,IF($E259-SUM($G259:AQ259)&gt;AR260,AR260,$E259-SUM($G260:AQ260)))</f>
        <v>0</v>
      </c>
      <c r="AS259" s="401">
        <f ca="1">IF(SUM($G259:AR259)&gt;=$E259,0,IF($E259-SUM($G259:AR259)&gt;AS260,AS260,$E259-SUM($G260:AR260)))</f>
        <v>0</v>
      </c>
      <c r="AT259" s="401">
        <f ca="1">IF(SUM($G259:AS259)&gt;=$E259,0,IF($E259-SUM($G259:AS259)&gt;AT260,AT260,$E259-SUM($G260:AS260)))</f>
        <v>0</v>
      </c>
      <c r="AU259" s="401">
        <f ca="1">IF(SUM($G259:AT259)&gt;=$E259,0,IF($E259-SUM($G259:AT259)&gt;AU260,AU260,$E259-SUM($G260:AT260)))</f>
        <v>0</v>
      </c>
      <c r="AV259" s="401">
        <f ca="1">IF(SUM($G259:AU259)&gt;=$E259,0,IF($E259-SUM($G259:AU259)&gt;AV260,AV260,$E259-SUM($G260:AU260)))</f>
        <v>0</v>
      </c>
      <c r="AW259" s="401">
        <f ca="1">IF(SUM($G259:AV259)&gt;=$E259,0,IF($E259-SUM($G259:AV259)&gt;AW260,AW260,$E259-SUM($G260:AV260)))</f>
        <v>0</v>
      </c>
      <c r="AX259" s="401">
        <f ca="1">IF(SUM($G259:AW259)&gt;=$E259,0,IF($E259-SUM($G259:AW259)&gt;AX260,AX260,$E259-SUM($G260:AW260)))</f>
        <v>0</v>
      </c>
      <c r="AY259" s="401">
        <f ca="1">IF(SUM($G259:AX259)&gt;=$E259,0,IF($E259-SUM($G259:AX259)&gt;AY260,AY260,$E259-SUM($G260:AX260)))</f>
        <v>0</v>
      </c>
      <c r="AZ259" s="401">
        <f ca="1">IF(SUM($G259:AY259)&gt;=$E259,0,IF($E259-SUM($G259:AY259)&gt;AZ260,AZ260,$E259-SUM($G260:AY260)))</f>
        <v>0</v>
      </c>
      <c r="BA259" s="401">
        <f ca="1">IF(SUM($G259:AZ259)&gt;=$E259,0,IF($E259-SUM($G259:AZ259)&gt;BA260,BA260,$E259-SUM($G260:AZ260)))</f>
        <v>0</v>
      </c>
      <c r="BB259" s="401">
        <f ca="1">IF(SUM($G259:BA259)&gt;=$E259,0,IF($E259-SUM($G259:BA259)&gt;BB260,BB260,$E259-SUM($G260:BA260)))</f>
        <v>0</v>
      </c>
      <c r="BC259" s="401">
        <f ca="1">IF(SUM($G259:BB259)&gt;=$E259,0,IF($E259-SUM($G259:BB259)&gt;BC260,BC260,$E259-SUM($G260:BB260)))</f>
        <v>0</v>
      </c>
      <c r="BD259" s="401">
        <f ca="1">IF(SUM($G259:BC259)&gt;=$E259,0,IF($E259-SUM($G259:BC259)&gt;BD260,BD260,$E259-SUM($G260:BC260)))</f>
        <v>0</v>
      </c>
      <c r="BE259" s="401">
        <f ca="1">IF(SUM($G259:BD259)&gt;=$E259,0,IF($E259-SUM($G259:BD259)&gt;BE260,BE260,$E259-SUM($G260:BD260)))</f>
        <v>0</v>
      </c>
      <c r="BF259" s="401">
        <f ca="1">IF(SUM($G259:BE259)&gt;=$E259,0,IF($E259-SUM($G259:BE259)&gt;BF260,BF260,$E259-SUM($G260:BE260)))</f>
        <v>0</v>
      </c>
      <c r="BG259" s="401">
        <f ca="1">IF(SUM($G259:BF259)&gt;=$E259,0,IF($E259-SUM($G259:BF259)&gt;BG260,BG260,$E259-SUM($G260:BF260)))</f>
        <v>0</v>
      </c>
      <c r="BH259" s="401">
        <f ca="1">IF(SUM($G259:BG259)&gt;=$E259,0,IF($E259-SUM($G259:BG259)&gt;BH260,BH260,$E259-SUM($G260:BG260)))</f>
        <v>0</v>
      </c>
      <c r="BI259" s="401">
        <f ca="1">IF(SUM($G259:BH259)&gt;=$E259,0,IF($E259-SUM($G259:BH259)&gt;BI260,BI260,$E259-SUM($G260:BH260)))</f>
        <v>0</v>
      </c>
      <c r="BJ259" s="401">
        <f ca="1">IF(SUM($G259:BI259)&gt;=$E259,0,IF($E259-SUM($G259:BI259)&gt;BJ260,BJ260,$E259-SUM($G260:BI260)))</f>
        <v>0</v>
      </c>
      <c r="BK259" s="401">
        <f ca="1">IF(SUM($G259:BJ259)&gt;=$E259,0,IF($E259-SUM($G259:BJ259)&gt;BK260,BK260,$E259-SUM($G260:BJ260)))</f>
        <v>0</v>
      </c>
      <c r="BL259" s="401">
        <f ca="1">IF(SUM($G259:BK259)&gt;=$E259,0,IF($E259-SUM($G259:BK259)&gt;BL260,BL260,$E259-SUM($G260:BK260)))</f>
        <v>0</v>
      </c>
      <c r="BM259" s="401">
        <f ca="1">IF(SUM($G259:BL259)&gt;=$E259,0,IF($E259-SUM($G259:BL259)&gt;BM260,BM260,$E259-SUM($G260:BL260)))</f>
        <v>0</v>
      </c>
      <c r="BN259" s="401">
        <f ca="1">IF(SUM($G259:BM259)&gt;=$E259,0,IF($E259-SUM($G259:BM259)&gt;BN260,BN260,$E259-SUM($G260:BM260)))</f>
        <v>0</v>
      </c>
      <c r="BO259" s="401">
        <f ca="1">IF(SUM($G259:BN259)&gt;=$E259,0,IF($E259-SUM($G259:BN259)&gt;BO260,BO260,$E259-SUM($G260:BN260)))</f>
        <v>0</v>
      </c>
      <c r="BP259" s="401">
        <f ca="1">IF(SUM($G259:BO259)&gt;=$E259,0,IF($E259-SUM($G259:BO259)&gt;BP260,BP260,$E259-SUM($G260:BO260)))</f>
        <v>0</v>
      </c>
      <c r="BQ259" s="401">
        <f ca="1">IF(SUM($G259:BP259)&gt;=$E259,0,IF($E259-SUM($G259:BP259)&gt;BQ260,BQ260,$E259-SUM($G260:BP260)))</f>
        <v>0</v>
      </c>
      <c r="BR259" s="401">
        <f ca="1">IF(SUM($G259:BQ259)&gt;=$E259,0,IF($E259-SUM($G259:BQ259)&gt;BR260,BR260,$E259-SUM($G260:BQ260)))</f>
        <v>0</v>
      </c>
      <c r="BS259" s="401">
        <f ca="1">IF(SUM($G259:BR259)&gt;=$E259,0,IF($E259-SUM($G259:BR259)&gt;BS260,BS260,$E259-SUM($G260:BR260)))</f>
        <v>0</v>
      </c>
      <c r="BT259" s="401">
        <f ca="1">IF(SUM($G259:BS259)&gt;=$E259,0,IF($E259-SUM($G259:BS259)&gt;BT260,BT260,$E259-SUM($G260:BS260)))</f>
        <v>0</v>
      </c>
      <c r="BU259" s="401">
        <f ca="1">IF(SUM($G259:BT259)&gt;=$E259,0,IF($E259-SUM($G259:BT259)&gt;BU260,BU260,$E259-SUM($G260:BT260)))</f>
        <v>0</v>
      </c>
      <c r="BV259" s="401">
        <f ca="1">IF(SUM($G259:BU259)&gt;=$E259,0,IF($E259-SUM($G259:BU259)&gt;BV260,BV260,$E259-SUM($G260:BU260)))</f>
        <v>0</v>
      </c>
      <c r="BW259" s="401">
        <f ca="1">IF(SUM($G259:BV259)&gt;=$E259,0,IF($E259-SUM($G259:BV259)&gt;BW260,BW260,$E259-SUM($G260:BV260)))</f>
        <v>0</v>
      </c>
      <c r="BX259" s="401">
        <f ca="1">IF(SUM($G259:BW259)&gt;=$E259,0,IF($E259-SUM($G259:BW259)&gt;BX260,BX260,$E259-SUM($G260:BW260)))</f>
        <v>0</v>
      </c>
      <c r="BY259" s="401">
        <f ca="1">IF(SUM($G259:BX259)&gt;=$E259,0,IF($E259-SUM($G259:BX259)&gt;BY260,BY260,$E259-SUM($G260:BX260)))</f>
        <v>0</v>
      </c>
      <c r="BZ259" s="401">
        <f ca="1">IF(SUM($G259:BY259)&gt;=$E259,0,IF($E259-SUM($G259:BY259)&gt;BZ260,BZ260,$E259-SUM($G260:BY260)))</f>
        <v>0</v>
      </c>
      <c r="CA259" s="401">
        <f ca="1">IF(SUM($G259:BZ259)&gt;=$E259,0,IF($E259-SUM($G259:BZ259)&gt;CA260,CA260,$E259-SUM($G260:BZ260)))</f>
        <v>0</v>
      </c>
      <c r="CB259" s="401">
        <f ca="1">IF(SUM($G259:CA259)&gt;=$E259,0,IF($E259-SUM($G259:CA259)&gt;CB260,CB260,$E259-SUM($G260:CA260)))</f>
        <v>0</v>
      </c>
      <c r="CC259" s="401">
        <f ca="1">IF(SUM($G259:CB259)&gt;=$E259,0,IF($E259-SUM($G259:CB259)&gt;CC260,CC260,$E259-SUM($G260:CB260)))</f>
        <v>0</v>
      </c>
      <c r="CD259" s="401">
        <f ca="1">IF(SUM($G259:CC259)&gt;=$E259,0,IF($E259-SUM($G259:CC259)&gt;CD260,CD260,$E259-SUM($G260:CC260)))</f>
        <v>0</v>
      </c>
      <c r="CE259" s="401">
        <f ca="1">IF(SUM($G259:CD259)&gt;=$E259,0,IF($E259-SUM($G259:CD259)&gt;CE260,CE260,$E259-SUM($G260:CD260)))</f>
        <v>0</v>
      </c>
      <c r="CF259" s="401">
        <f ca="1">IF(SUM($G259:CE259)&gt;=$E259,0,IF($E259-SUM($G259:CE259)&gt;CF260,CF260,$E259-SUM($G260:CE260)))</f>
        <v>0</v>
      </c>
      <c r="CG259" s="401">
        <f ca="1">IF(SUM($G259:CF259)&gt;=$E259,0,IF($E259-SUM($G259:CF259)&gt;CG260,CG260,$E259-SUM($G260:CF260)))</f>
        <v>0</v>
      </c>
      <c r="CH259" s="401">
        <f ca="1">IF(SUM($G259:CG259)&gt;=$E259,0,IF($E259-SUM($G259:CG259)&gt;CH260,CH260,$E259-SUM($G260:CG260)))</f>
        <v>0</v>
      </c>
      <c r="CI259" s="401">
        <f ca="1">IF(SUM($G259:CH259)&gt;=$E259,0,IF($E259-SUM($G259:CH259)&gt;CI260,CI260,$E259-SUM($G260:CH260)))</f>
        <v>0</v>
      </c>
      <c r="CJ259" s="401">
        <f ca="1">IF(SUM($G259:CI259)&gt;=$E259,0,IF($E259-SUM($G259:CI259)&gt;CJ260,CJ260,$E259-SUM($G260:CI260)))</f>
        <v>0</v>
      </c>
      <c r="CK259" s="401">
        <f ca="1">IF(SUM($G259:CJ259)&gt;=$E259,0,IF($E259-SUM($G259:CJ259)&gt;CK260,CK260,$E259-SUM($G260:CJ260)))</f>
        <v>0</v>
      </c>
      <c r="CL259" s="401">
        <f ca="1">IF(SUM($G259:CK259)&gt;=$E259,0,IF($E259-SUM($G259:CK259)&gt;CL260,CL260,$E259-SUM($G260:CK260)))</f>
        <v>0</v>
      </c>
      <c r="CM259" s="401">
        <f ca="1">IF(SUM($G259:CL259)&gt;=$E259,0,IF($E259-SUM($G259:CL259)&gt;CM260,CM260,$E259-SUM($G260:CL260)))</f>
        <v>0</v>
      </c>
      <c r="CN259" s="401">
        <f ca="1">IF(SUM($G259:CM259)&gt;=$E259,0,IF($E259-SUM($G259:CM259)&gt;CN260,CN260,$E259-SUM($G260:CM260)))</f>
        <v>0</v>
      </c>
      <c r="CO259" s="401">
        <f ca="1">IF(SUM($G259:CN259)&gt;=$E259,0,IF($E259-SUM($G259:CN259)&gt;CO260,CO260,$E259-SUM($G260:CN260)))</f>
        <v>0</v>
      </c>
      <c r="CP259" s="401">
        <f ca="1">IF(SUM($G259:CO259)&gt;=$E259,0,IF($E259-SUM($G259:CO259)&gt;CP260,CP260,$E259-SUM($G260:CO260)))</f>
        <v>0</v>
      </c>
      <c r="CQ259" s="401">
        <f ca="1">IF(SUM($G259:CP259)&gt;=$E259,0,IF($E259-SUM($G259:CP259)&gt;CQ260,CQ260,$E259-SUM($G260:CP260)))</f>
        <v>0</v>
      </c>
      <c r="CR259" s="401">
        <f ca="1">IF(SUM($G259:CQ259)&gt;=$E259,0,IF($E259-SUM($G259:CQ259)&gt;CR260,CR260,$E259-SUM($G260:CQ260)))</f>
        <v>0</v>
      </c>
      <c r="CS259" s="401">
        <f ca="1">IF(SUM($G259:CR259)&gt;=$E259,0,IF($E259-SUM($G259:CR259)&gt;CS260,CS260,$E259-SUM($G260:CR260)))</f>
        <v>0</v>
      </c>
      <c r="CT259" s="401">
        <f ca="1">IF(SUM($G259:CS259)&gt;=$E259,0,IF($E259-SUM($G259:CS259)&gt;CT260,CT260,$E259-SUM($G260:CS260)))</f>
        <v>0</v>
      </c>
      <c r="CU259" s="401">
        <f ca="1">IF(SUM($G259:CT259)&gt;=$E259,0,IF($E259-SUM($G259:CT259)&gt;CU260,CU260,$E259-SUM($G260:CT260)))</f>
        <v>0</v>
      </c>
      <c r="CV259" s="401">
        <f ca="1">IF(SUM($G259:CU259)&gt;=$E259,0,IF($E259-SUM($G259:CU259)&gt;CV260,CV260,$E259-SUM($G260:CU260)))</f>
        <v>0</v>
      </c>
      <c r="CW259" s="401">
        <f ca="1">IF(SUM($G259:CV259)&gt;=$E259,0,IF($E259-SUM($G259:CV259)&gt;CW260,CW260,$E259-SUM($G260:CV260)))</f>
        <v>0</v>
      </c>
      <c r="CX259" s="401">
        <f ca="1">IF(SUM($G259:CW259)&gt;=$E259,0,IF($E259-SUM($G259:CW259)&gt;CX260,CX260,$E259-SUM($G260:CW260)))</f>
        <v>0</v>
      </c>
      <c r="CY259" s="401">
        <f ca="1">IF(SUM($G259:CX259)&gt;=$E259,0,IF($E259-SUM($G259:CX259)&gt;CY260,CY260,$E259-SUM($G260:CX260)))</f>
        <v>0</v>
      </c>
      <c r="CZ259" s="401">
        <f ca="1">IF(SUM($G259:CY259)&gt;=$E259,0,IF($E259-SUM($G259:CY259)&gt;CZ260,CZ260,$E259-SUM($G260:CY260)))</f>
        <v>0</v>
      </c>
      <c r="DA259" s="401">
        <f ca="1">IF(SUM($G259:CZ259)&gt;=$E259,0,IF($E259-SUM($G259:CZ259)&gt;DA260,DA260,$E259-SUM($G260:CZ260)))</f>
        <v>0</v>
      </c>
      <c r="DB259" s="401">
        <f ca="1">IF(SUM($G259:DA259)&gt;=$E259,0,IF($E259-SUM($G259:DA259)&gt;DB260,DB260,$E259-SUM($G260:DA260)))</f>
        <v>0</v>
      </c>
      <c r="DC259" s="401">
        <f ca="1">IF(SUM($G259:DB259)&gt;=$E259,0,IF($E259-SUM($G259:DB259)&gt;DC260,DC260,$E259-SUM($G260:DB260)))</f>
        <v>0</v>
      </c>
      <c r="DD259" s="401">
        <f ca="1">IF(SUM($G259:DC259)&gt;=$E259,0,IF($E259-SUM($G259:DC259)&gt;DD260,DD260,$E259-SUM($G260:DC260)))</f>
        <v>0</v>
      </c>
      <c r="DE259" s="401">
        <f ca="1">IF(SUM($G259:DD259)&gt;=$E259,0,IF($E259-SUM($G259:DD259)&gt;DE260,DE260,$E259-SUM($G260:DD260)))</f>
        <v>0</v>
      </c>
      <c r="DF259" s="401">
        <f ca="1">IF(SUM($G259:DE259)&gt;=$E259,0,IF($E259-SUM($G259:DE259)&gt;DF260,DF260,$E259-SUM($G260:DE260)))</f>
        <v>0</v>
      </c>
      <c r="DG259" s="401">
        <f ca="1">IF(SUM($G259:DF259)&gt;=$E259,0,IF($E259-SUM($G259:DF259)&gt;DG260,DG260,$E259-SUM($G260:DF260)))</f>
        <v>0</v>
      </c>
      <c r="DH259" s="401">
        <f ca="1">IF(SUM($G259:DG259)&gt;=$E259,0,IF($E259-SUM($G259:DG259)&gt;DH260,DH260,$E259-SUM($G260:DG260)))</f>
        <v>0</v>
      </c>
      <c r="DI259" s="401">
        <f ca="1">IF(SUM($G259:DH259)&gt;=$E259,0,IF($E259-SUM($G259:DH259)&gt;DI260,DI260,$E259-SUM($G260:DH260)))</f>
        <v>0</v>
      </c>
      <c r="DJ259" s="401">
        <f ca="1">IF(SUM($G259:DI259)&gt;=$E259,0,IF($E259-SUM($G259:DI259)&gt;DJ260,DJ260,$E259-SUM($G260:DI260)))</f>
        <v>0</v>
      </c>
      <c r="DK259" s="401">
        <f ca="1">IF(SUM($G259:DJ259)&gt;=$E259,0,IF($E259-SUM($G259:DJ259)&gt;DK260,DK260,$E259-SUM($G260:DJ260)))</f>
        <v>0</v>
      </c>
      <c r="DL259" s="401">
        <f ca="1">IF(SUM($G259:DK259)&gt;=$E259,0,IF($E259-SUM($G259:DK259)&gt;DL260,DL260,$E259-SUM($G260:DK260)))</f>
        <v>0</v>
      </c>
      <c r="DM259" s="401">
        <f ca="1">IF(SUM($G259:DL259)&gt;=$E259,0,IF($E259-SUM($G259:DL259)&gt;DM260,DM260,$E259-SUM($G260:DL260)))</f>
        <v>0</v>
      </c>
      <c r="DN259" s="401">
        <f ca="1">IF(SUM($G259:DM259)&gt;=$E259,0,IF($E259-SUM($G259:DM259)&gt;DN260,DN260,$E259-SUM($G260:DM260)))</f>
        <v>0</v>
      </c>
      <c r="DO259" s="401">
        <f ca="1">IF(SUM($G259:DN259)&gt;=$E259,0,IF($E259-SUM($G259:DN259)&gt;DO260,DO260,$E259-SUM($G260:DN260)))</f>
        <v>0</v>
      </c>
      <c r="DP259" s="401">
        <f ca="1">IF(SUM($G259:DO259)&gt;=$E259,0,IF($E259-SUM($G259:DO259)&gt;DP260,DP260,$E259-SUM($G260:DO260)))</f>
        <v>0</v>
      </c>
      <c r="DQ259" s="401">
        <f ca="1">IF(SUM($G259:DP259)&gt;=$E259,0,IF($E259-SUM($G259:DP259)&gt;DQ260,DQ260,$E259-SUM($G260:DP260)))</f>
        <v>0</v>
      </c>
      <c r="DR259" s="401">
        <f ca="1">IF(SUM($G259:DQ259)&gt;=$E259,0,IF($E259-SUM($G259:DQ259)&gt;DR260,DR260,$E259-SUM($G260:DQ260)))</f>
        <v>0</v>
      </c>
      <c r="DS259" s="401">
        <f ca="1">IF(SUM($G259:DR259)&gt;=$E259,0,IF($E259-SUM($G259:DR259)&gt;DS260,DS260,$E259-SUM($G260:DR260)))</f>
        <v>0</v>
      </c>
      <c r="DT259" s="401">
        <f ca="1">IF(SUM($G259:DS259)&gt;=$E259,0,IF($E259-SUM($G259:DS259)&gt;DT260,DT260,$E259-SUM($G260:DS260)))</f>
        <v>0</v>
      </c>
      <c r="DU259" s="401">
        <f ca="1">IF(SUM($G259:DT259)&gt;=$E259,0,IF($E259-SUM($G259:DT259)&gt;DU260,DU260,$E259-SUM($G260:DT260)))</f>
        <v>0</v>
      </c>
      <c r="DV259" s="401">
        <f ca="1">IF(SUM($G259:DU259)&gt;=$E259,0,IF($E259-SUM($G259:DU259)&gt;DV260,DV260,$E259-SUM($G260:DU260)))</f>
        <v>0</v>
      </c>
      <c r="DW259" s="401">
        <f ca="1">IF(SUM($G259:DV259)&gt;=$E259,0,IF($E259-SUM($G259:DV259)&gt;DW260,DW260,$E259-SUM($G260:DV260)))</f>
        <v>0</v>
      </c>
      <c r="DX259" s="401">
        <f ca="1">IF(SUM($G259:DW259)&gt;=$E259,0,IF($E259-SUM($G259:DW259)&gt;DX260,DX260,$E259-SUM($G260:DW260)))</f>
        <v>0</v>
      </c>
      <c r="DY259" s="401">
        <f ca="1">IF(SUM($G259:DX259)&gt;=$E259,0,IF($E259-SUM($G259:DX259)&gt;DY260,DY260,$E259-SUM($G260:DX260)))</f>
        <v>0</v>
      </c>
      <c r="DZ259" s="401">
        <f ca="1">IF(SUM($G259:DY259)&gt;=$E259,0,IF($E259-SUM($G259:DY259)&gt;DZ260,DZ260,$E259-SUM($G260:DY260)))</f>
        <v>0</v>
      </c>
      <c r="EA259" s="401">
        <f ca="1">IF(SUM($G259:DZ259)&gt;=$E259,0,IF($E259-SUM($G259:DZ259)&gt;EA260,EA260,$E259-SUM($G260:DZ260)))</f>
        <v>0</v>
      </c>
      <c r="EB259" s="401">
        <f ca="1">IF(SUM($G259:EA259)&gt;=$E259,0,IF($E259-SUM($G259:EA259)&gt;EB260,EB260,$E259-SUM($G260:EA260)))</f>
        <v>0</v>
      </c>
      <c r="EC259" s="401">
        <f ca="1">IF(SUM($G259:EB259)&gt;=$E259,0,IF($E259-SUM($G259:EB259)&gt;EC260,EC260,$E259-SUM($G260:EB260)))</f>
        <v>0</v>
      </c>
      <c r="ED259" s="401">
        <f ca="1">IF(SUM($G259:EC259)&gt;=$E259,0,IF($E259-SUM($G259:EC259)&gt;ED260,ED260,$E259-SUM($G260:EC260)))</f>
        <v>0</v>
      </c>
      <c r="EE259" s="401">
        <f ca="1">IF(SUM($G259:ED259)&gt;=$E259,0,IF($E259-SUM($G259:ED259)&gt;EE260,EE260,$E259-SUM($G260:ED260)))</f>
        <v>0</v>
      </c>
      <c r="EF259" s="401">
        <f ca="1">IF(SUM($G259:EE259)&gt;=$E259,0,IF($E259-SUM($G259:EE259)&gt;EF260,EF260,$E259-SUM($G260:EE260)))</f>
        <v>0</v>
      </c>
      <c r="EG259" s="401">
        <f ca="1">IF(SUM($G259:EF259)&gt;=$E259,0,IF($E259-SUM($G259:EF259)&gt;EG260,EG260,$E259-SUM($G260:EF260)))</f>
        <v>0</v>
      </c>
      <c r="EH259" s="401">
        <f ca="1">IF(SUM($G259:EG259)&gt;=$E259,0,IF($E259-SUM($G259:EG259)&gt;EH260,EH260,$E259-SUM($G260:EG260)))</f>
        <v>0</v>
      </c>
      <c r="EI259" s="401">
        <f ca="1">IF(SUM($G259:EH259)&gt;=$E259,0,IF($E259-SUM($G259:EH259)&gt;EI260,EI260,$E259-SUM($G260:EH260)))</f>
        <v>0</v>
      </c>
      <c r="EK259" s="313"/>
    </row>
    <row r="260" spans="1:141" hidden="1" outlineLevel="2">
      <c r="A260" s="332"/>
      <c r="B260" s="313"/>
      <c r="C260" s="308"/>
      <c r="D260" s="308"/>
      <c r="E260" s="308"/>
      <c r="G260" s="402"/>
      <c r="H260" s="402">
        <f ca="1">IF((SUM($G255:H255)-$E254)&lt;0,0,IF((SUM($G255:H255)-$E254)&lt;H255,SUM($G255:H255)-$E254,H255))</f>
        <v>0</v>
      </c>
      <c r="I260" s="402">
        <f ca="1">IF((SUM($G255:I255)-$E254)&lt;0,0,IF((SUM($G255:I255)-$E254)&lt;I255,SUM($G255:I255)-$E254,I255))</f>
        <v>0</v>
      </c>
      <c r="J260" s="402">
        <f ca="1">IF((SUM($G255:J255)-$E254)&lt;0,0,IF((SUM($G255:J255)-$E254)&lt;J255,SUM($G255:J255)-$E254,J255))</f>
        <v>0</v>
      </c>
      <c r="K260" s="402">
        <f ca="1">IF((SUM($G255:K255)-$E254)&lt;0,0,IF((SUM($G255:K255)-$E254)&lt;K255,SUM($G255:K255)-$E254,K255))</f>
        <v>0</v>
      </c>
      <c r="L260" s="402">
        <f ca="1">IF((SUM($G255:L255)-$E254)&lt;0,0,IF((SUM($G255:L255)-$E254)&lt;L255,SUM($G255:L255)-$E254,L255))</f>
        <v>0</v>
      </c>
      <c r="M260" s="402">
        <f ca="1">IF((SUM($G255:M255)-$E254)&lt;0,0,IF((SUM($G255:M255)-$E254)&lt;M255,SUM($G255:M255)-$E254,M255))</f>
        <v>0</v>
      </c>
      <c r="N260" s="402">
        <f ca="1">IF((SUM($G255:N255)-$E254)&lt;0,0,IF((SUM($G255:N255)-$E254)&lt;N255,SUM($G255:N255)-$E254,N255))</f>
        <v>0</v>
      </c>
      <c r="O260" s="402">
        <f ca="1">IF((SUM($G255:O255)-$E254)&lt;0,0,IF((SUM($G255:O255)-$E254)&lt;O255,SUM($G255:O255)-$E254,O255))</f>
        <v>0</v>
      </c>
      <c r="P260" s="402">
        <f ca="1">IF((SUM($G255:P255)-$E254)&lt;0,0,IF((SUM($G255:P255)-$E254)&lt;P255,SUM($G255:P255)-$E254,P255))</f>
        <v>0</v>
      </c>
      <c r="Q260" s="402">
        <f ca="1">IF((SUM($G255:Q255)-$E254)&lt;0,0,IF((SUM($G255:Q255)-$E254)&lt;Q255,SUM($G255:Q255)-$E254,Q255))</f>
        <v>0</v>
      </c>
      <c r="R260" s="402">
        <f ca="1">IF((SUM($G255:R255)-$E254)&lt;0,0,IF((SUM($G255:R255)-$E254)&lt;R255,SUM($G255:R255)-$E254,R255))</f>
        <v>0</v>
      </c>
      <c r="S260" s="402">
        <f ca="1">IF((SUM($G255:S255)-$E254)&lt;0,0,IF((SUM($G255:S255)-$E254)&lt;S255,SUM($G255:S255)-$E254,S255))</f>
        <v>0</v>
      </c>
      <c r="T260" s="402">
        <f ca="1">IF((SUM($G255:T255)-$E254)&lt;0,0,IF((SUM($G255:T255)-$E254)&lt;T255,SUM($G255:T255)-$E254,T255))</f>
        <v>0</v>
      </c>
      <c r="U260" s="402">
        <f ca="1">IF((SUM($G255:U255)-$E254)&lt;0,0,IF((SUM($G255:U255)-$E254)&lt;U255,SUM($G255:U255)-$E254,U255))</f>
        <v>0</v>
      </c>
      <c r="V260" s="402">
        <f ca="1">IF((SUM($G255:V255)-$E254)&lt;0,0,IF((SUM($G255:V255)-$E254)&lt;V255,SUM($G255:V255)-$E254,V255))</f>
        <v>0</v>
      </c>
      <c r="W260" s="402">
        <f ca="1">IF((SUM($G255:W255)-$E254)&lt;0,0,IF((SUM($G255:W255)-$E254)&lt;W255,SUM($G255:W255)-$E254,W255))</f>
        <v>0</v>
      </c>
      <c r="X260" s="402">
        <f ca="1">IF((SUM($G255:X255)-$E254)&lt;0,0,IF((SUM($G255:X255)-$E254)&lt;X255,SUM($G255:X255)-$E254,X255))</f>
        <v>0</v>
      </c>
      <c r="Y260" s="402">
        <f ca="1">IF((SUM($G255:Y255)-$E254)&lt;0,0,IF((SUM($G255:Y255)-$E254)&lt;Y255,SUM($G255:Y255)-$E254,Y255))</f>
        <v>26</v>
      </c>
      <c r="Z260" s="402">
        <f ca="1">IF((SUM($G255:Z255)-$E254)&lt;0,0,IF((SUM($G255:Z255)-$E254)&lt;Z255,SUM($G255:Z255)-$E254,Z255))</f>
        <v>31</v>
      </c>
      <c r="AA260" s="402">
        <f ca="1">IF((SUM($G255:AA255)-$E254)&lt;0,0,IF((SUM($G255:AA255)-$E254)&lt;AA255,SUM($G255:AA255)-$E254,AA255))</f>
        <v>30</v>
      </c>
      <c r="AB260" s="402">
        <f ca="1">IF((SUM($G255:AB255)-$E254)&lt;0,0,IF((SUM($G255:AB255)-$E254)&lt;AB255,SUM($G255:AB255)-$E254,AB255))</f>
        <v>31</v>
      </c>
      <c r="AC260" s="402">
        <f ca="1">IF((SUM($G255:AC255)-$E254)&lt;0,0,IF((SUM($G255:AC255)-$E254)&lt;AC255,SUM($G255:AC255)-$E254,AC255))</f>
        <v>31</v>
      </c>
      <c r="AD260" s="402">
        <f ca="1">IF((SUM($G255:AD255)-$E254)&lt;0,0,IF((SUM($G255:AD255)-$E254)&lt;AD255,SUM($G255:AD255)-$E254,AD255))</f>
        <v>28</v>
      </c>
      <c r="AE260" s="402">
        <f ca="1">IF((SUM($G255:AE255)-$E254)&lt;0,0,IF((SUM($G255:AE255)-$E254)&lt;AE255,SUM($G255:AE255)-$E254,AE255))</f>
        <v>31</v>
      </c>
      <c r="AF260" s="402">
        <f ca="1">IF((SUM($G255:AF255)-$E254)&lt;0,0,IF((SUM($G255:AF255)-$E254)&lt;AF255,SUM($G255:AF255)-$E254,AF255))</f>
        <v>30</v>
      </c>
      <c r="AG260" s="402">
        <f ca="1">IF((SUM($G255:AG255)-$E254)&lt;0,0,IF((SUM($G255:AG255)-$E254)&lt;AG255,SUM($G255:AG255)-$E254,AG255))</f>
        <v>31</v>
      </c>
      <c r="AH260" s="402">
        <f ca="1">IF((SUM($G255:AH255)-$E254)&lt;0,0,IF((SUM($G255:AH255)-$E254)&lt;AH255,SUM($G255:AH255)-$E254,AH255))</f>
        <v>30</v>
      </c>
      <c r="AI260" s="402">
        <f ca="1">IF((SUM($G255:AI255)-$E254)&lt;0,0,IF((SUM($G255:AI255)-$E254)&lt;AI255,SUM($G255:AI255)-$E254,AI255))</f>
        <v>31</v>
      </c>
      <c r="AJ260" s="402">
        <f ca="1">IF((SUM($G255:AJ255)-$E254)&lt;0,0,IF((SUM($G255:AJ255)-$E254)&lt;AJ255,SUM($G255:AJ255)-$E254,AJ255))</f>
        <v>31</v>
      </c>
      <c r="AK260" s="402">
        <f ca="1">IF((SUM($G255:AK255)-$E254)&lt;0,0,IF((SUM($G255:AK255)-$E254)&lt;AK255,SUM($G255:AK255)-$E254,AK255))</f>
        <v>30</v>
      </c>
      <c r="AL260" s="402">
        <f ca="1">IF((SUM($G255:AL255)-$E254)&lt;0,0,IF((SUM($G255:AL255)-$E254)&lt;AL255,SUM($G255:AL255)-$E254,AL255))</f>
        <v>31</v>
      </c>
      <c r="AM260" s="402">
        <f ca="1">IF((SUM($G255:AM255)-$E254)&lt;0,0,IF((SUM($G255:AM255)-$E254)&lt;AM255,SUM($G255:AM255)-$E254,AM255))</f>
        <v>30</v>
      </c>
      <c r="AN260" s="402">
        <f ca="1">IF((SUM($G255:AN255)-$E254)&lt;0,0,IF((SUM($G255:AN255)-$E254)&lt;AN255,SUM($G255:AN255)-$E254,AN255))</f>
        <v>31</v>
      </c>
      <c r="AO260" s="402">
        <f ca="1">IF((SUM($G255:AO255)-$E254)&lt;0,0,IF((SUM($G255:AO255)-$E254)&lt;AO255,SUM($G255:AO255)-$E254,AO255))</f>
        <v>31</v>
      </c>
      <c r="AP260" s="402">
        <f ca="1">IF((SUM($G255:AP255)-$E254)&lt;0,0,IF((SUM($G255:AP255)-$E254)&lt;AP255,SUM($G255:AP255)-$E254,AP255))</f>
        <v>28</v>
      </c>
      <c r="AQ260" s="402">
        <f ca="1">IF((SUM($G255:AQ255)-$E254)&lt;0,0,IF((SUM($G255:AQ255)-$E254)&lt;AQ255,SUM($G255:AQ255)-$E254,AQ255))</f>
        <v>31</v>
      </c>
      <c r="AR260" s="402">
        <f ca="1">IF((SUM($G255:AR255)-$E254)&lt;0,0,IF((SUM($G255:AR255)-$E254)&lt;AR255,SUM($G255:AR255)-$E254,AR255))</f>
        <v>30</v>
      </c>
      <c r="AS260" s="402">
        <f ca="1">IF((SUM($G255:AS255)-$E254)&lt;0,0,IF((SUM($G255:AS255)-$E254)&lt;AS255,SUM($G255:AS255)-$E254,AS255))</f>
        <v>31</v>
      </c>
      <c r="AT260" s="402">
        <f ca="1">IF((SUM($G255:AT255)-$E254)&lt;0,0,IF((SUM($G255:AT255)-$E254)&lt;AT255,SUM($G255:AT255)-$E254,AT255))</f>
        <v>30</v>
      </c>
      <c r="AU260" s="402">
        <f ca="1">IF((SUM($G255:AU255)-$E254)&lt;0,0,IF((SUM($G255:AU255)-$E254)&lt;AU255,SUM($G255:AU255)-$E254,AU255))</f>
        <v>31</v>
      </c>
      <c r="AV260" s="402">
        <f ca="1">IF((SUM($G255:AV255)-$E254)&lt;0,0,IF((SUM($G255:AV255)-$E254)&lt;AV255,SUM($G255:AV255)-$E254,AV255))</f>
        <v>31</v>
      </c>
      <c r="AW260" s="402">
        <f ca="1">IF((SUM($G255:AW255)-$E254)&lt;0,0,IF((SUM($G255:AW255)-$E254)&lt;AW255,SUM($G255:AW255)-$E254,AW255))</f>
        <v>30</v>
      </c>
      <c r="AX260" s="402">
        <f ca="1">IF((SUM($G255:AX255)-$E254)&lt;0,0,IF((SUM($G255:AX255)-$E254)&lt;AX255,SUM($G255:AX255)-$E254,AX255))</f>
        <v>31</v>
      </c>
      <c r="AY260" s="402">
        <f ca="1">IF((SUM($G255:AY255)-$E254)&lt;0,0,IF((SUM($G255:AY255)-$E254)&lt;AY255,SUM($G255:AY255)-$E254,AY255))</f>
        <v>30</v>
      </c>
      <c r="AZ260" s="402">
        <f ca="1">IF((SUM($G255:AZ255)-$E254)&lt;0,0,IF((SUM($G255:AZ255)-$E254)&lt;AZ255,SUM($G255:AZ255)-$E254,AZ255))</f>
        <v>31</v>
      </c>
      <c r="BA260" s="402">
        <f ca="1">IF((SUM($G255:BA255)-$E254)&lt;0,0,IF((SUM($G255:BA255)-$E254)&lt;BA255,SUM($G255:BA255)-$E254,BA255))</f>
        <v>31</v>
      </c>
      <c r="BB260" s="402">
        <f ca="1">IF((SUM($G255:BB255)-$E254)&lt;0,0,IF((SUM($G255:BB255)-$E254)&lt;BB255,SUM($G255:BB255)-$E254,BB255))</f>
        <v>28</v>
      </c>
      <c r="BC260" s="402">
        <f ca="1">IF((SUM($G255:BC255)-$E254)&lt;0,0,IF((SUM($G255:BC255)-$E254)&lt;BC255,SUM($G255:BC255)-$E254,BC255))</f>
        <v>31</v>
      </c>
      <c r="BD260" s="402">
        <f ca="1">IF((SUM($G255:BD255)-$E254)&lt;0,0,IF((SUM($G255:BD255)-$E254)&lt;BD255,SUM($G255:BD255)-$E254,BD255))</f>
        <v>30</v>
      </c>
      <c r="BE260" s="402">
        <f ca="1">IF((SUM($G255:BE255)-$E254)&lt;0,0,IF((SUM($G255:BE255)-$E254)&lt;BE255,SUM($G255:BE255)-$E254,BE255))</f>
        <v>31</v>
      </c>
      <c r="BF260" s="402">
        <f ca="1">IF((SUM($G255:BF255)-$E254)&lt;0,0,IF((SUM($G255:BF255)-$E254)&lt;BF255,SUM($G255:BF255)-$E254,BF255))</f>
        <v>30</v>
      </c>
      <c r="BG260" s="402">
        <f ca="1">IF((SUM($G255:BG255)-$E254)&lt;0,0,IF((SUM($G255:BG255)-$E254)&lt;BG255,SUM($G255:BG255)-$E254,BG255))</f>
        <v>31</v>
      </c>
      <c r="BH260" s="402">
        <f ca="1">IF((SUM($G255:BH255)-$E254)&lt;0,0,IF((SUM($G255:BH255)-$E254)&lt;BH255,SUM($G255:BH255)-$E254,BH255))</f>
        <v>31</v>
      </c>
      <c r="BI260" s="402">
        <f ca="1">IF((SUM($G255:BI255)-$E254)&lt;0,0,IF((SUM($G255:BI255)-$E254)&lt;BI255,SUM($G255:BI255)-$E254,BI255))</f>
        <v>30</v>
      </c>
      <c r="BJ260" s="402">
        <f ca="1">IF((SUM($G255:BJ255)-$E254)&lt;0,0,IF((SUM($G255:BJ255)-$E254)&lt;BJ255,SUM($G255:BJ255)-$E254,BJ255))</f>
        <v>31</v>
      </c>
      <c r="BK260" s="402">
        <f ca="1">IF((SUM($G255:BK255)-$E254)&lt;0,0,IF((SUM($G255:BK255)-$E254)&lt;BK255,SUM($G255:BK255)-$E254,BK255))</f>
        <v>30</v>
      </c>
      <c r="BL260" s="402">
        <f ca="1">IF((SUM($G255:BL255)-$E254)&lt;0,0,IF((SUM($G255:BL255)-$E254)&lt;BL255,SUM($G255:BL255)-$E254,BL255))</f>
        <v>31</v>
      </c>
      <c r="BM260" s="402">
        <f ca="1">IF((SUM($G255:BM255)-$E254)&lt;0,0,IF((SUM($G255:BM255)-$E254)&lt;BM255,SUM($G255:BM255)-$E254,BM255))</f>
        <v>31</v>
      </c>
      <c r="BN260" s="402">
        <f ca="1">IF((SUM($G255:BN255)-$E254)&lt;0,0,IF((SUM($G255:BN255)-$E254)&lt;BN255,SUM($G255:BN255)-$E254,BN255))</f>
        <v>29</v>
      </c>
      <c r="BO260" s="402">
        <f ca="1">IF((SUM($G255:BO255)-$E254)&lt;0,0,IF((SUM($G255:BO255)-$E254)&lt;BO255,SUM($G255:BO255)-$E254,BO255))</f>
        <v>31</v>
      </c>
      <c r="BP260" s="402">
        <f ca="1">IF((SUM($G255:BP255)-$E254)&lt;0,0,IF((SUM($G255:BP255)-$E254)&lt;BP255,SUM($G255:BP255)-$E254,BP255))</f>
        <v>30</v>
      </c>
      <c r="BQ260" s="402">
        <f ca="1">IF((SUM($G255:BQ255)-$E254)&lt;0,0,IF((SUM($G255:BQ255)-$E254)&lt;BQ255,SUM($G255:BQ255)-$E254,BQ255))</f>
        <v>31</v>
      </c>
      <c r="BR260" s="402">
        <f ca="1">IF((SUM($G255:BR255)-$E254)&lt;0,0,IF((SUM($G255:BR255)-$E254)&lt;BR255,SUM($G255:BR255)-$E254,BR255))</f>
        <v>30</v>
      </c>
      <c r="BS260" s="402">
        <f ca="1">IF((SUM($G255:BS255)-$E254)&lt;0,0,IF((SUM($G255:BS255)-$E254)&lt;BS255,SUM($G255:BS255)-$E254,BS255))</f>
        <v>31</v>
      </c>
      <c r="BT260" s="402">
        <f ca="1">IF((SUM($G255:BT255)-$E254)&lt;0,0,IF((SUM($G255:BT255)-$E254)&lt;BT255,SUM($G255:BT255)-$E254,BT255))</f>
        <v>31</v>
      </c>
      <c r="BU260" s="402">
        <f ca="1">IF((SUM($G255:BU255)-$E254)&lt;0,0,IF((SUM($G255:BU255)-$E254)&lt;BU255,SUM($G255:BU255)-$E254,BU255))</f>
        <v>30</v>
      </c>
      <c r="BV260" s="402">
        <f ca="1">IF((SUM($G255:BV255)-$E254)&lt;0,0,IF((SUM($G255:BV255)-$E254)&lt;BV255,SUM($G255:BV255)-$E254,BV255))</f>
        <v>31</v>
      </c>
      <c r="BW260" s="402">
        <f ca="1">IF((SUM($G255:BW255)-$E254)&lt;0,0,IF((SUM($G255:BW255)-$E254)&lt;BW255,SUM($G255:BW255)-$E254,BW255))</f>
        <v>30</v>
      </c>
      <c r="BX260" s="402">
        <f ca="1">IF((SUM($G255:BX255)-$E254)&lt;0,0,IF((SUM($G255:BX255)-$E254)&lt;BX255,SUM($G255:BX255)-$E254,BX255))</f>
        <v>31</v>
      </c>
      <c r="BY260" s="402">
        <f ca="1">IF((SUM($G255:BY255)-$E254)&lt;0,0,IF((SUM($G255:BY255)-$E254)&lt;BY255,SUM($G255:BY255)-$E254,BY255))</f>
        <v>31</v>
      </c>
      <c r="BZ260" s="402">
        <f ca="1">IF((SUM($G255:BZ255)-$E254)&lt;0,0,IF((SUM($G255:BZ255)-$E254)&lt;BZ255,SUM($G255:BZ255)-$E254,BZ255))</f>
        <v>28</v>
      </c>
      <c r="CA260" s="402">
        <f ca="1">IF((SUM($G255:CA255)-$E254)&lt;0,0,IF((SUM($G255:CA255)-$E254)&lt;CA255,SUM($G255:CA255)-$E254,CA255))</f>
        <v>31</v>
      </c>
      <c r="CB260" s="402">
        <f ca="1">IF((SUM($G255:CB255)-$E254)&lt;0,0,IF((SUM($G255:CB255)-$E254)&lt;CB255,SUM($G255:CB255)-$E254,CB255))</f>
        <v>30</v>
      </c>
      <c r="CC260" s="402">
        <f ca="1">IF((SUM($G255:CC255)-$E254)&lt;0,0,IF((SUM($G255:CC255)-$E254)&lt;CC255,SUM($G255:CC255)-$E254,CC255))</f>
        <v>31</v>
      </c>
      <c r="CD260" s="402">
        <f ca="1">IF((SUM($G255:CD255)-$E254)&lt;0,0,IF((SUM($G255:CD255)-$E254)&lt;CD255,SUM($G255:CD255)-$E254,CD255))</f>
        <v>30</v>
      </c>
      <c r="CE260" s="402">
        <f ca="1">IF((SUM($G255:CE255)-$E254)&lt;0,0,IF((SUM($G255:CE255)-$E254)&lt;CE255,SUM($G255:CE255)-$E254,CE255))</f>
        <v>31</v>
      </c>
      <c r="CF260" s="402">
        <f ca="1">IF((SUM($G255:CF255)-$E254)&lt;0,0,IF((SUM($G255:CF255)-$E254)&lt;CF255,SUM($G255:CF255)-$E254,CF255))</f>
        <v>31</v>
      </c>
      <c r="CG260" s="402">
        <f ca="1">IF((SUM($G255:CG255)-$E254)&lt;0,0,IF((SUM($G255:CG255)-$E254)&lt;CG255,SUM($G255:CG255)-$E254,CG255))</f>
        <v>30</v>
      </c>
      <c r="CH260" s="402">
        <f ca="1">IF((SUM($G255:CH255)-$E254)&lt;0,0,IF((SUM($G255:CH255)-$E254)&lt;CH255,SUM($G255:CH255)-$E254,CH255))</f>
        <v>31</v>
      </c>
      <c r="CI260" s="402">
        <f ca="1">IF((SUM($G255:CI255)-$E254)&lt;0,0,IF((SUM($G255:CI255)-$E254)&lt;CI255,SUM($G255:CI255)-$E254,CI255))</f>
        <v>30</v>
      </c>
      <c r="CJ260" s="402">
        <f ca="1">IF((SUM($G255:CJ255)-$E254)&lt;0,0,IF((SUM($G255:CJ255)-$E254)&lt;CJ255,SUM($G255:CJ255)-$E254,CJ255))</f>
        <v>31</v>
      </c>
      <c r="CK260" s="402">
        <f ca="1">IF((SUM($G255:CK255)-$E254)&lt;0,0,IF((SUM($G255:CK255)-$E254)&lt;CK255,SUM($G255:CK255)-$E254,CK255))</f>
        <v>31</v>
      </c>
      <c r="CL260" s="402">
        <f ca="1">IF((SUM($G255:CL255)-$E254)&lt;0,0,IF((SUM($G255:CL255)-$E254)&lt;CL255,SUM($G255:CL255)-$E254,CL255))</f>
        <v>28</v>
      </c>
      <c r="CM260" s="402">
        <f ca="1">IF((SUM($G255:CM255)-$E254)&lt;0,0,IF((SUM($G255:CM255)-$E254)&lt;CM255,SUM($G255:CM255)-$E254,CM255))</f>
        <v>31</v>
      </c>
      <c r="CN260" s="402">
        <f ca="1">IF((SUM($G255:CN255)-$E254)&lt;0,0,IF((SUM($G255:CN255)-$E254)&lt;CN255,SUM($G255:CN255)-$E254,CN255))</f>
        <v>30</v>
      </c>
      <c r="CO260" s="402">
        <f ca="1">IF((SUM($G255:CO255)-$E254)&lt;0,0,IF((SUM($G255:CO255)-$E254)&lt;CO255,SUM($G255:CO255)-$E254,CO255))</f>
        <v>31</v>
      </c>
      <c r="CP260" s="402">
        <f ca="1">IF((SUM($G255:CP255)-$E254)&lt;0,0,IF((SUM($G255:CP255)-$E254)&lt;CP255,SUM($G255:CP255)-$E254,CP255))</f>
        <v>30</v>
      </c>
      <c r="CQ260" s="402">
        <f ca="1">IF((SUM($G255:CQ255)-$E254)&lt;0,0,IF((SUM($G255:CQ255)-$E254)&lt;CQ255,SUM($G255:CQ255)-$E254,CQ255))</f>
        <v>31</v>
      </c>
      <c r="CR260" s="402">
        <f ca="1">IF((SUM($G255:CR255)-$E254)&lt;0,0,IF((SUM($G255:CR255)-$E254)&lt;CR255,SUM($G255:CR255)-$E254,CR255))</f>
        <v>31</v>
      </c>
      <c r="CS260" s="402">
        <f ca="1">IF((SUM($G255:CS255)-$E254)&lt;0,0,IF((SUM($G255:CS255)-$E254)&lt;CS255,SUM($G255:CS255)-$E254,CS255))</f>
        <v>30</v>
      </c>
      <c r="CT260" s="402">
        <f ca="1">IF((SUM($G255:CT255)-$E254)&lt;0,0,IF((SUM($G255:CT255)-$E254)&lt;CT255,SUM($G255:CT255)-$E254,CT255))</f>
        <v>31</v>
      </c>
      <c r="CU260" s="402">
        <f ca="1">IF((SUM($G255:CU255)-$E254)&lt;0,0,IF((SUM($G255:CU255)-$E254)&lt;CU255,SUM($G255:CU255)-$E254,CU255))</f>
        <v>30</v>
      </c>
      <c r="CV260" s="402">
        <f ca="1">IF((SUM($G255:CV255)-$E254)&lt;0,0,IF((SUM($G255:CV255)-$E254)&lt;CV255,SUM($G255:CV255)-$E254,CV255))</f>
        <v>31</v>
      </c>
      <c r="CW260" s="402">
        <f ca="1">IF((SUM($G255:CW255)-$E254)&lt;0,0,IF((SUM($G255:CW255)-$E254)&lt;CW255,SUM($G255:CW255)-$E254,CW255))</f>
        <v>31</v>
      </c>
      <c r="CX260" s="402">
        <f ca="1">IF((SUM($G255:CX255)-$E254)&lt;0,0,IF((SUM($G255:CX255)-$E254)&lt;CX255,SUM($G255:CX255)-$E254,CX255))</f>
        <v>28</v>
      </c>
      <c r="CY260" s="402">
        <f ca="1">IF((SUM($G255:CY255)-$E254)&lt;0,0,IF((SUM($G255:CY255)-$E254)&lt;CY255,SUM($G255:CY255)-$E254,CY255))</f>
        <v>31</v>
      </c>
      <c r="CZ260" s="402">
        <f ca="1">IF((SUM($G255:CZ255)-$E254)&lt;0,0,IF((SUM($G255:CZ255)-$E254)&lt;CZ255,SUM($G255:CZ255)-$E254,CZ255))</f>
        <v>30</v>
      </c>
      <c r="DA260" s="402">
        <f ca="1">IF((SUM($G255:DA255)-$E254)&lt;0,0,IF((SUM($G255:DA255)-$E254)&lt;DA255,SUM($G255:DA255)-$E254,DA255))</f>
        <v>31</v>
      </c>
      <c r="DB260" s="402">
        <f ca="1">IF((SUM($G255:DB255)-$E254)&lt;0,0,IF((SUM($G255:DB255)-$E254)&lt;DB255,SUM($G255:DB255)-$E254,DB255))</f>
        <v>30</v>
      </c>
      <c r="DC260" s="402">
        <f ca="1">IF((SUM($G255:DC255)-$E254)&lt;0,0,IF((SUM($G255:DC255)-$E254)&lt;DC255,SUM($G255:DC255)-$E254,DC255))</f>
        <v>31</v>
      </c>
      <c r="DD260" s="402">
        <f ca="1">IF((SUM($G255:DD255)-$E254)&lt;0,0,IF((SUM($G255:DD255)-$E254)&lt;DD255,SUM($G255:DD255)-$E254,DD255))</f>
        <v>31</v>
      </c>
      <c r="DE260" s="402">
        <f ca="1">IF((SUM($G255:DE255)-$E254)&lt;0,0,IF((SUM($G255:DE255)-$E254)&lt;DE255,SUM($G255:DE255)-$E254,DE255))</f>
        <v>30</v>
      </c>
      <c r="DF260" s="402">
        <f ca="1">IF((SUM($G255:DF255)-$E254)&lt;0,0,IF((SUM($G255:DF255)-$E254)&lt;DF255,SUM($G255:DF255)-$E254,DF255))</f>
        <v>31</v>
      </c>
      <c r="DG260" s="402">
        <f ca="1">IF((SUM($G255:DG255)-$E254)&lt;0,0,IF((SUM($G255:DG255)-$E254)&lt;DG255,SUM($G255:DG255)-$E254,DG255))</f>
        <v>30</v>
      </c>
      <c r="DH260" s="402">
        <f ca="1">IF((SUM($G255:DH255)-$E254)&lt;0,0,IF((SUM($G255:DH255)-$E254)&lt;DH255,SUM($G255:DH255)-$E254,DH255))</f>
        <v>31</v>
      </c>
      <c r="DI260" s="402">
        <f ca="1">IF((SUM($G255:DI255)-$E254)&lt;0,0,IF((SUM($G255:DI255)-$E254)&lt;DI255,SUM($G255:DI255)-$E254,DI255))</f>
        <v>31</v>
      </c>
      <c r="DJ260" s="402">
        <f ca="1">IF((SUM($G255:DJ255)-$E254)&lt;0,0,IF((SUM($G255:DJ255)-$E254)&lt;DJ255,SUM($G255:DJ255)-$E254,DJ255))</f>
        <v>29</v>
      </c>
      <c r="DK260" s="402">
        <f ca="1">IF((SUM($G255:DK255)-$E254)&lt;0,0,IF((SUM($G255:DK255)-$E254)&lt;DK255,SUM($G255:DK255)-$E254,DK255))</f>
        <v>31</v>
      </c>
      <c r="DL260" s="402">
        <f ca="1">IF((SUM($G255:DL255)-$E254)&lt;0,0,IF((SUM($G255:DL255)-$E254)&lt;DL255,SUM($G255:DL255)-$E254,DL255))</f>
        <v>30</v>
      </c>
      <c r="DM260" s="402">
        <f ca="1">IF((SUM($G255:DM255)-$E254)&lt;0,0,IF((SUM($G255:DM255)-$E254)&lt;DM255,SUM($G255:DM255)-$E254,DM255))</f>
        <v>31</v>
      </c>
      <c r="DN260" s="402">
        <f ca="1">IF((SUM($G255:DN255)-$E254)&lt;0,0,IF((SUM($G255:DN255)-$E254)&lt;DN255,SUM($G255:DN255)-$E254,DN255))</f>
        <v>30</v>
      </c>
      <c r="DO260" s="402">
        <f ca="1">IF((SUM($G255:DO255)-$E254)&lt;0,0,IF((SUM($G255:DO255)-$E254)&lt;DO255,SUM($G255:DO255)-$E254,DO255))</f>
        <v>31</v>
      </c>
      <c r="DP260" s="402">
        <f ca="1">IF((SUM($G255:DP255)-$E254)&lt;0,0,IF((SUM($G255:DP255)-$E254)&lt;DP255,SUM($G255:DP255)-$E254,DP255))</f>
        <v>31</v>
      </c>
      <c r="DQ260" s="402">
        <f ca="1">IF((SUM($G255:DQ255)-$E254)&lt;0,0,IF((SUM($G255:DQ255)-$E254)&lt;DQ255,SUM($G255:DQ255)-$E254,DQ255))</f>
        <v>30</v>
      </c>
      <c r="DR260" s="402">
        <f ca="1">IF((SUM($G255:DR255)-$E254)&lt;0,0,IF((SUM($G255:DR255)-$E254)&lt;DR255,SUM($G255:DR255)-$E254,DR255))</f>
        <v>31</v>
      </c>
      <c r="DS260" s="402">
        <f ca="1">IF((SUM($G255:DS255)-$E254)&lt;0,0,IF((SUM($G255:DS255)-$E254)&lt;DS255,SUM($G255:DS255)-$E254,DS255))</f>
        <v>30</v>
      </c>
      <c r="DT260" s="402">
        <f ca="1">IF((SUM($G255:DT255)-$E254)&lt;0,0,IF((SUM($G255:DT255)-$E254)&lt;DT255,SUM($G255:DT255)-$E254,DT255))</f>
        <v>31</v>
      </c>
      <c r="DU260" s="402">
        <f ca="1">IF((SUM($G255:DU255)-$E254)&lt;0,0,IF((SUM($G255:DU255)-$E254)&lt;DU255,SUM($G255:DU255)-$E254,DU255))</f>
        <v>31</v>
      </c>
      <c r="DV260" s="402">
        <f ca="1">IF((SUM($G255:DV255)-$E254)&lt;0,0,IF((SUM($G255:DV255)-$E254)&lt;DV255,SUM($G255:DV255)-$E254,DV255))</f>
        <v>28</v>
      </c>
      <c r="DW260" s="402">
        <f ca="1">IF((SUM($G255:DW255)-$E254)&lt;0,0,IF((SUM($G255:DW255)-$E254)&lt;DW255,SUM($G255:DW255)-$E254,DW255))</f>
        <v>31</v>
      </c>
      <c r="DX260" s="402">
        <f ca="1">IF((SUM($G255:DX255)-$E254)&lt;0,0,IF((SUM($G255:DX255)-$E254)&lt;DX255,SUM($G255:DX255)-$E254,DX255))</f>
        <v>30</v>
      </c>
      <c r="DY260" s="402">
        <f ca="1">IF((SUM($G255:DY255)-$E254)&lt;0,0,IF((SUM($G255:DY255)-$E254)&lt;DY255,SUM($G255:DY255)-$E254,DY255))</f>
        <v>31</v>
      </c>
      <c r="DZ260" s="402">
        <f ca="1">IF((SUM($G255:DZ255)-$E254)&lt;0,0,IF((SUM($G255:DZ255)-$E254)&lt;DZ255,SUM($G255:DZ255)-$E254,DZ255))</f>
        <v>30</v>
      </c>
      <c r="EA260" s="402">
        <f ca="1">IF((SUM($G255:EA255)-$E254)&lt;0,0,IF((SUM($G255:EA255)-$E254)&lt;EA255,SUM($G255:EA255)-$E254,EA255))</f>
        <v>31</v>
      </c>
      <c r="EB260" s="402">
        <f ca="1">IF((SUM($G255:EB255)-$E254)&lt;0,0,IF((SUM($G255:EB255)-$E254)&lt;EB255,SUM($G255:EB255)-$E254,EB255))</f>
        <v>31</v>
      </c>
      <c r="EC260" s="402">
        <f ca="1">IF((SUM($G255:EC255)-$E254)&lt;0,0,IF((SUM($G255:EC255)-$E254)&lt;EC255,SUM($G255:EC255)-$E254,EC255))</f>
        <v>30</v>
      </c>
      <c r="ED260" s="402">
        <f ca="1">IF((SUM($G255:ED255)-$E254)&lt;0,0,IF((SUM($G255:ED255)-$E254)&lt;ED255,SUM($G255:ED255)-$E254,ED255))</f>
        <v>31</v>
      </c>
      <c r="EE260" s="402">
        <f ca="1">IF((SUM($G255:EE255)-$E254)&lt;0,0,IF((SUM($G255:EE255)-$E254)&lt;EE255,SUM($G255:EE255)-$E254,EE255))</f>
        <v>30</v>
      </c>
      <c r="EF260" s="402">
        <f ca="1">IF((SUM($G255:EF255)-$E254)&lt;0,0,IF((SUM($G255:EF255)-$E254)&lt;EF255,SUM($G255:EF255)-$E254,EF255))</f>
        <v>31</v>
      </c>
      <c r="EG260" s="402">
        <f ca="1">IF((SUM($G255:EG255)-$E254)&lt;0,0,IF((SUM($G255:EG255)-$E254)&lt;EG255,SUM($G255:EG255)-$E254,EG255))</f>
        <v>31</v>
      </c>
      <c r="EH260" s="402">
        <f ca="1">IF((SUM($G255:EH255)-$E254)&lt;0,0,IF((SUM($G255:EH255)-$E254)&lt;EH255,SUM($G255:EH255)-$E254,EH255))</f>
        <v>28</v>
      </c>
      <c r="EI260" s="402">
        <f ca="1">IF((SUM($G255:EI255)-$E254)&lt;0,0,IF((SUM($G255:EI255)-$E254)&lt;EI255,SUM($G255:EI255)-$E254,EI255))</f>
        <v>31</v>
      </c>
    </row>
    <row r="261" spans="1:141" hidden="1" outlineLevel="2">
      <c r="A261" s="332"/>
      <c r="B261" s="313"/>
      <c r="D261" s="305" t="s">
        <v>670</v>
      </c>
      <c r="E261" s="403">
        <f ca="1">MIN(G261:EI261)</f>
        <v>45536</v>
      </c>
      <c r="F261" s="404">
        <f ca="1">MAX(G261:EI261)</f>
        <v>45536</v>
      </c>
      <c r="G261" s="403" t="str">
        <f ca="1">IF(G259=0,"",IF(SUM($G259:G259)&gt;=1,OFFSET(G$228,-1,0),""))</f>
        <v/>
      </c>
      <c r="H261" s="403" t="str">
        <f ca="1">IF(SUM($G261:G261)&gt;=1,"",IF(H259=0,"",IF(SUM($G259:H259)&gt;=1,OFFSET(H$228,-1,0),"")))</f>
        <v/>
      </c>
      <c r="I261" s="403" t="str">
        <f ca="1">IF(SUM($G261:H261)&gt;=1,"",IF(I259=0,"",IF(SUM($G259:I259)&gt;=1,OFFSET(I$228,-1,0),"")))</f>
        <v/>
      </c>
      <c r="J261" s="403" t="str">
        <f ca="1">IF(SUM($G261:I261)&gt;=1,"",IF(J259=0,"",IF(SUM($G259:J259)&gt;=1,OFFSET(J$228,-1,0),"")))</f>
        <v/>
      </c>
      <c r="K261" s="403" t="str">
        <f ca="1">IF(SUM($G261:J261)&gt;=1,"",IF(K259=0,"",IF(SUM($G259:K259)&gt;=1,OFFSET(K$228,-1,0),"")))</f>
        <v/>
      </c>
      <c r="L261" s="403" t="str">
        <f ca="1">IF(SUM($G261:K261)&gt;=1,"",IF(L259=0,"",IF(SUM($G259:L259)&gt;=1,OFFSET(L$228,-1,0),"")))</f>
        <v/>
      </c>
      <c r="M261" s="403" t="str">
        <f ca="1">IF(SUM($G261:L261)&gt;=1,"",IF(M259=0,"",IF(SUM($G259:M259)&gt;=1,OFFSET(M$228,-1,0),"")))</f>
        <v/>
      </c>
      <c r="N261" s="403" t="str">
        <f ca="1">IF(SUM($G261:M261)&gt;=1,"",IF(N259=0,"",IF(SUM($G259:N259)&gt;=1,OFFSET(N$228,-1,0),"")))</f>
        <v/>
      </c>
      <c r="O261" s="403" t="str">
        <f ca="1">IF(SUM($G261:N261)&gt;=1,"",IF(O259=0,"",IF(SUM($G259:O259)&gt;=1,OFFSET(O$228,-1,0),"")))</f>
        <v/>
      </c>
      <c r="P261" s="403" t="str">
        <f ca="1">IF(SUM($G261:O261)&gt;=1,"",IF(P259=0,"",IF(SUM($G259:P259)&gt;=1,OFFSET(P$228,-1,0),"")))</f>
        <v/>
      </c>
      <c r="Q261" s="403" t="str">
        <f ca="1">IF(SUM($G261:P261)&gt;=1,"",IF(Q259=0,"",IF(SUM($G259:Q259)&gt;=1,OFFSET(Q$228,-1,0),"")))</f>
        <v/>
      </c>
      <c r="R261" s="403" t="str">
        <f ca="1">IF(SUM($G261:Q261)&gt;=1,"",IF(R259=0,"",IF(SUM($G259:R259)&gt;=1,OFFSET(R$228,-1,0),"")))</f>
        <v/>
      </c>
      <c r="S261" s="403" t="str">
        <f ca="1">IF(SUM($G261:R261)&gt;=1,"",IF(S259=0,"",IF(SUM($G259:S259)&gt;=1,OFFSET(S$228,-1,0),"")))</f>
        <v/>
      </c>
      <c r="T261" s="403" t="str">
        <f ca="1">IF(SUM($G261:S261)&gt;=1,"",IF(T259=0,"",IF(SUM($G259:T259)&gt;=1,OFFSET(T$228,-1,0),"")))</f>
        <v/>
      </c>
      <c r="U261" s="403" t="str">
        <f ca="1">IF(SUM($G261:T261)&gt;=1,"",IF(U259=0,"",IF(SUM($G259:U259)&gt;=1,OFFSET(U$228,-1,0),"")))</f>
        <v/>
      </c>
      <c r="V261" s="403" t="str">
        <f ca="1">IF(SUM($G261:U261)&gt;=1,"",IF(V259=0,"",IF(SUM($G259:V259)&gt;=1,OFFSET(V$228,-1,0),"")))</f>
        <v/>
      </c>
      <c r="W261" s="403" t="str">
        <f ca="1">IF(SUM($G261:V261)&gt;=1,"",IF(W259=0,"",IF(SUM($G259:W259)&gt;=1,OFFSET(W$228,-1,0),"")))</f>
        <v/>
      </c>
      <c r="X261" s="403" t="str">
        <f ca="1">IF(SUM($G261:W261)&gt;=1,"",IF(X259=0,"",IF(SUM($G259:X259)&gt;=1,OFFSET(X$228,-1,0),"")))</f>
        <v/>
      </c>
      <c r="Y261" s="403">
        <f ca="1">IF(SUM($G261:X261)&gt;=1,"",IF(Y259=0,"",IF(SUM($G259:Y259)&gt;=1,OFFSET(Y$228,-1,0),"")))</f>
        <v>45536</v>
      </c>
      <c r="Z261" s="403" t="str">
        <f ca="1">IF(SUM($G261:Y261)&gt;=1,"",IF(Z259=0,"",IF(SUM($G259:Z259)&gt;=1,OFFSET(Z$228,-1,0),"")))</f>
        <v/>
      </c>
      <c r="AA261" s="403" t="str">
        <f ca="1">IF(SUM($G261:Z261)&gt;=1,"",IF(AA259=0,"",IF(SUM($G259:AA259)&gt;=1,OFFSET(AA$228,-1,0),"")))</f>
        <v/>
      </c>
      <c r="AB261" s="403" t="str">
        <f ca="1">IF(SUM($G261:AA261)&gt;=1,"",IF(AB259=0,"",IF(SUM($G259:AB259)&gt;=1,OFFSET(AB$228,-1,0),"")))</f>
        <v/>
      </c>
      <c r="AC261" s="403" t="str">
        <f ca="1">IF(SUM($G261:AB261)&gt;=1,"",IF(AC259=0,"",IF(SUM($G259:AC259)&gt;=1,OFFSET(AC$228,-1,0),"")))</f>
        <v/>
      </c>
      <c r="AD261" s="403" t="str">
        <f ca="1">IF(SUM($G261:AC261)&gt;=1,"",IF(AD259=0,"",IF(SUM($G259:AD259)&gt;=1,OFFSET(AD$228,-1,0),"")))</f>
        <v/>
      </c>
      <c r="AE261" s="403" t="str">
        <f ca="1">IF(SUM($G261:AD261)&gt;=1,"",IF(AE259=0,"",IF(SUM($G259:AE259)&gt;=1,OFFSET(AE$228,-1,0),"")))</f>
        <v/>
      </c>
      <c r="AF261" s="403" t="str">
        <f ca="1">IF(SUM($G261:AE261)&gt;=1,"",IF(AF259=0,"",IF(SUM($G259:AF259)&gt;=1,OFFSET(AF$228,-1,0),"")))</f>
        <v/>
      </c>
      <c r="AG261" s="403" t="str">
        <f ca="1">IF(SUM($G261:AF261)&gt;=1,"",IF(AG259=0,"",IF(SUM($G259:AG259)&gt;=1,OFFSET(AG$228,-1,0),"")))</f>
        <v/>
      </c>
      <c r="AH261" s="403" t="str">
        <f ca="1">IF(SUM($G261:AG261)&gt;=1,"",IF(AH259=0,"",IF(SUM($G259:AH259)&gt;=1,OFFSET(AH$228,-1,0),"")))</f>
        <v/>
      </c>
      <c r="AI261" s="403" t="str">
        <f ca="1">IF(SUM($G261:AH261)&gt;=1,"",IF(AI259=0,"",IF(SUM($G259:AI259)&gt;=1,OFFSET(AI$228,-1,0),"")))</f>
        <v/>
      </c>
      <c r="AJ261" s="403" t="str">
        <f ca="1">IF(SUM($G261:AI261)&gt;=1,"",IF(AJ259=0,"",IF(SUM($G259:AJ259)&gt;=1,OFFSET(AJ$228,-1,0),"")))</f>
        <v/>
      </c>
      <c r="AK261" s="403" t="str">
        <f ca="1">IF(SUM($G261:AJ261)&gt;=1,"",IF(AK259=0,"",IF(SUM($G259:AK259)&gt;=1,OFFSET(AK$228,-1,0),"")))</f>
        <v/>
      </c>
      <c r="AL261" s="403" t="str">
        <f ca="1">IF(SUM($G261:AK261)&gt;=1,"",IF(AL259=0,"",IF(SUM($G259:AL259)&gt;=1,OFFSET(AL$228,-1,0),"")))</f>
        <v/>
      </c>
      <c r="AM261" s="403" t="str">
        <f ca="1">IF(SUM($G261:AL261)&gt;=1,"",IF(AM259=0,"",IF(SUM($G259:AM259)&gt;=1,OFFSET(AM$228,-1,0),"")))</f>
        <v/>
      </c>
      <c r="AN261" s="403" t="str">
        <f ca="1">IF(SUM($G261:AM261)&gt;=1,"",IF(AN259=0,"",IF(SUM($G259:AN259)&gt;=1,OFFSET(AN$228,-1,0),"")))</f>
        <v/>
      </c>
      <c r="AO261" s="403" t="str">
        <f ca="1">IF(SUM($G261:AN261)&gt;=1,"",IF(AO259=0,"",IF(SUM($G259:AO259)&gt;=1,OFFSET(AO$228,-1,0),"")))</f>
        <v/>
      </c>
      <c r="AP261" s="403" t="str">
        <f ca="1">IF(SUM($G261:AO261)&gt;=1,"",IF(AP259=0,"",IF(SUM($G259:AP259)&gt;=1,OFFSET(AP$228,-1,0),"")))</f>
        <v/>
      </c>
      <c r="AQ261" s="403" t="str">
        <f ca="1">IF(SUM($G261:AP261)&gt;=1,"",IF(AQ259=0,"",IF(SUM($G259:AQ259)&gt;=1,OFFSET(AQ$228,-1,0),"")))</f>
        <v/>
      </c>
      <c r="AR261" s="403" t="str">
        <f ca="1">IF(SUM($G261:AQ261)&gt;=1,"",IF(AR259=0,"",IF(SUM($G259:AR259)&gt;=1,OFFSET(AR$228,-1,0),"")))</f>
        <v/>
      </c>
      <c r="AS261" s="403" t="str">
        <f ca="1">IF(SUM($G261:AR261)&gt;=1,"",IF(AS259=0,"",IF(SUM($G259:AS259)&gt;=1,OFFSET(AS$228,-1,0),"")))</f>
        <v/>
      </c>
      <c r="AT261" s="403" t="str">
        <f ca="1">IF(SUM($G261:AS261)&gt;=1,"",IF(AT259=0,"",IF(SUM($G259:AT259)&gt;=1,OFFSET(AT$228,-1,0),"")))</f>
        <v/>
      </c>
      <c r="AU261" s="403" t="str">
        <f ca="1">IF(SUM($G261:AT261)&gt;=1,"",IF(AU259=0,"",IF(SUM($G259:AU259)&gt;=1,OFFSET(AU$228,-1,0),"")))</f>
        <v/>
      </c>
      <c r="AV261" s="403" t="str">
        <f ca="1">IF(SUM($G261:AU261)&gt;=1,"",IF(AV259=0,"",IF(SUM($G259:AV259)&gt;=1,OFFSET(AV$228,-1,0),"")))</f>
        <v/>
      </c>
      <c r="AW261" s="403" t="str">
        <f ca="1">IF(SUM($G261:AV261)&gt;=1,"",IF(AW259=0,"",IF(SUM($G259:AW259)&gt;=1,OFFSET(AW$228,-1,0),"")))</f>
        <v/>
      </c>
      <c r="AX261" s="403" t="str">
        <f ca="1">IF(SUM($G261:AW261)&gt;=1,"",IF(AX259=0,"",IF(SUM($G259:AX259)&gt;=1,OFFSET(AX$228,-1,0),"")))</f>
        <v/>
      </c>
      <c r="AY261" s="403" t="str">
        <f ca="1">IF(SUM($G261:AX261)&gt;=1,"",IF(AY259=0,"",IF(SUM($G259:AY259)&gt;=1,OFFSET(AY$228,-1,0),"")))</f>
        <v/>
      </c>
      <c r="AZ261" s="403" t="str">
        <f ca="1">IF(SUM($G261:AY261)&gt;=1,"",IF(AZ259=0,"",IF(SUM($G259:AZ259)&gt;=1,OFFSET(AZ$228,-1,0),"")))</f>
        <v/>
      </c>
      <c r="BA261" s="403" t="str">
        <f ca="1">IF(SUM($G261:AZ261)&gt;=1,"",IF(BA259=0,"",IF(SUM($G259:BA259)&gt;=1,OFFSET(BA$228,-1,0),"")))</f>
        <v/>
      </c>
      <c r="BB261" s="403" t="str">
        <f ca="1">IF(SUM($G261:BA261)&gt;=1,"",IF(BB259=0,"",IF(SUM($G259:BB259)&gt;=1,OFFSET(BB$228,-1,0),"")))</f>
        <v/>
      </c>
      <c r="BC261" s="403" t="str">
        <f ca="1">IF(SUM($G261:BB261)&gt;=1,"",IF(BC259=0,"",IF(SUM($G259:BC259)&gt;=1,OFFSET(BC$228,-1,0),"")))</f>
        <v/>
      </c>
      <c r="BD261" s="403" t="str">
        <f ca="1">IF(SUM($G261:BC261)&gt;=1,"",IF(BD259=0,"",IF(SUM($G259:BD259)&gt;=1,OFFSET(BD$228,-1,0),"")))</f>
        <v/>
      </c>
      <c r="BE261" s="403" t="str">
        <f ca="1">IF(SUM($G261:BD261)&gt;=1,"",IF(BE259=0,"",IF(SUM($G259:BE259)&gt;=1,OFFSET(BE$228,-1,0),"")))</f>
        <v/>
      </c>
      <c r="BF261" s="403" t="str">
        <f ca="1">IF(SUM($G261:BE261)&gt;=1,"",IF(BF259=0,"",IF(SUM($G259:BF259)&gt;=1,OFFSET(BF$228,-1,0),"")))</f>
        <v/>
      </c>
      <c r="BG261" s="403" t="str">
        <f ca="1">IF(SUM($G261:BF261)&gt;=1,"",IF(BG259=0,"",IF(SUM($G259:BG259)&gt;=1,OFFSET(BG$228,-1,0),"")))</f>
        <v/>
      </c>
      <c r="BH261" s="403" t="str">
        <f ca="1">IF(SUM($G261:BG261)&gt;=1,"",IF(BH259=0,"",IF(SUM($G259:BH259)&gt;=1,OFFSET(BH$228,-1,0),"")))</f>
        <v/>
      </c>
      <c r="BI261" s="403" t="str">
        <f ca="1">IF(SUM($G261:BH261)&gt;=1,"",IF(BI259=0,"",IF(SUM($G259:BI259)&gt;=1,OFFSET(BI$228,-1,0),"")))</f>
        <v/>
      </c>
      <c r="BJ261" s="403" t="str">
        <f ca="1">IF(SUM($G261:BI261)&gt;=1,"",IF(BJ259=0,"",IF(SUM($G259:BJ259)&gt;=1,OFFSET(BJ$228,-1,0),"")))</f>
        <v/>
      </c>
      <c r="BK261" s="403" t="str">
        <f ca="1">IF(SUM($G261:BJ261)&gt;=1,"",IF(BK259=0,"",IF(SUM($G259:BK259)&gt;=1,OFFSET(BK$228,-1,0),"")))</f>
        <v/>
      </c>
      <c r="BL261" s="403" t="str">
        <f ca="1">IF(SUM($G261:BK261)&gt;=1,"",IF(BL259=0,"",IF(SUM($G259:BL259)&gt;=1,OFFSET(BL$228,-1,0),"")))</f>
        <v/>
      </c>
      <c r="BM261" s="403" t="str">
        <f ca="1">IF(SUM($G261:BL261)&gt;=1,"",IF(BM259=0,"",IF(SUM($G259:BM259)&gt;=1,OFFSET(BM$228,-1,0),"")))</f>
        <v/>
      </c>
      <c r="BN261" s="403" t="str">
        <f ca="1">IF(SUM($G261:BM261)&gt;=1,"",IF(BN259=0,"",IF(SUM($G259:BN259)&gt;=1,OFFSET(BN$228,-1,0),"")))</f>
        <v/>
      </c>
      <c r="BO261" s="403" t="str">
        <f ca="1">IF(SUM($G261:BN261)&gt;=1,"",IF(BO259=0,"",IF(SUM($G259:BO259)&gt;=1,OFFSET(BO$228,-1,0),"")))</f>
        <v/>
      </c>
      <c r="BP261" s="403" t="str">
        <f ca="1">IF(SUM($G261:BO261)&gt;=1,"",IF(BP259=0,"",IF(SUM($G259:BP259)&gt;=1,OFFSET(BP$228,-1,0),"")))</f>
        <v/>
      </c>
      <c r="BQ261" s="403" t="str">
        <f ca="1">IF(SUM($G261:BP261)&gt;=1,"",IF(BQ259=0,"",IF(SUM($G259:BQ259)&gt;=1,OFFSET(BQ$228,-1,0),"")))</f>
        <v/>
      </c>
      <c r="BR261" s="403" t="str">
        <f ca="1">IF(SUM($G261:BQ261)&gt;=1,"",IF(BR259=0,"",IF(SUM($G259:BR259)&gt;=1,OFFSET(BR$228,-1,0),"")))</f>
        <v/>
      </c>
      <c r="BS261" s="403" t="str">
        <f ca="1">IF(SUM($G261:BR261)&gt;=1,"",IF(BS259=0,"",IF(SUM($G259:BS259)&gt;=1,OFFSET(BS$228,-1,0),"")))</f>
        <v/>
      </c>
      <c r="BT261" s="403" t="str">
        <f ca="1">IF(SUM($G261:BS261)&gt;=1,"",IF(BT259=0,"",IF(SUM($G259:BT259)&gt;=1,OFFSET(BT$228,-1,0),"")))</f>
        <v/>
      </c>
      <c r="BU261" s="403" t="str">
        <f ca="1">IF(SUM($G261:BT261)&gt;=1,"",IF(BU259=0,"",IF(SUM($G259:BU259)&gt;=1,OFFSET(BU$228,-1,0),"")))</f>
        <v/>
      </c>
      <c r="BV261" s="403" t="str">
        <f ca="1">IF(SUM($G261:BU261)&gt;=1,"",IF(BV259=0,"",IF(SUM($G259:BV259)&gt;=1,OFFSET(BV$228,-1,0),"")))</f>
        <v/>
      </c>
      <c r="BW261" s="403" t="str">
        <f ca="1">IF(SUM($G261:BV261)&gt;=1,"",IF(BW259=0,"",IF(SUM($G259:BW259)&gt;=1,OFFSET(BW$228,-1,0),"")))</f>
        <v/>
      </c>
      <c r="BX261" s="403" t="str">
        <f ca="1">IF(SUM($G261:BW261)&gt;=1,"",IF(BX259=0,"",IF(SUM($G259:BX259)&gt;=1,OFFSET(BX$228,-1,0),"")))</f>
        <v/>
      </c>
      <c r="BY261" s="403" t="str">
        <f ca="1">IF(SUM($G261:BX261)&gt;=1,"",IF(BY259=0,"",IF(SUM($G259:BY259)&gt;=1,OFFSET(BY$228,-1,0),"")))</f>
        <v/>
      </c>
      <c r="BZ261" s="403" t="str">
        <f ca="1">IF(SUM($G261:BY261)&gt;=1,"",IF(BZ259=0,"",IF(SUM($G259:BZ259)&gt;=1,OFFSET(BZ$228,-1,0),"")))</f>
        <v/>
      </c>
      <c r="CA261" s="403" t="str">
        <f ca="1">IF(SUM($G261:BZ261)&gt;=1,"",IF(CA259=0,"",IF(SUM($G259:CA259)&gt;=1,OFFSET(CA$228,-1,0),"")))</f>
        <v/>
      </c>
      <c r="CB261" s="403" t="str">
        <f ca="1">IF(SUM($G261:CA261)&gt;=1,"",IF(CB259=0,"",IF(SUM($G259:CB259)&gt;=1,OFFSET(CB$228,-1,0),"")))</f>
        <v/>
      </c>
      <c r="CC261" s="403" t="str">
        <f ca="1">IF(SUM($G261:CB261)&gt;=1,"",IF(CC259=0,"",IF(SUM($G259:CC259)&gt;=1,OFFSET(CC$228,-1,0),"")))</f>
        <v/>
      </c>
      <c r="CD261" s="403" t="str">
        <f ca="1">IF(SUM($G261:CC261)&gt;=1,"",IF(CD259=0,"",IF(SUM($G259:CD259)&gt;=1,OFFSET(CD$228,-1,0),"")))</f>
        <v/>
      </c>
      <c r="CE261" s="403" t="str">
        <f ca="1">IF(SUM($G261:CD261)&gt;=1,"",IF(CE259=0,"",IF(SUM($G259:CE259)&gt;=1,OFFSET(CE$228,-1,0),"")))</f>
        <v/>
      </c>
      <c r="CF261" s="403" t="str">
        <f ca="1">IF(SUM($G261:CE261)&gt;=1,"",IF(CF259=0,"",IF(SUM($G259:CF259)&gt;=1,OFFSET(CF$228,-1,0),"")))</f>
        <v/>
      </c>
      <c r="CG261" s="403" t="str">
        <f ca="1">IF(SUM($G261:CF261)&gt;=1,"",IF(CG259=0,"",IF(SUM($G259:CG259)&gt;=1,OFFSET(CG$228,-1,0),"")))</f>
        <v/>
      </c>
      <c r="CH261" s="403" t="str">
        <f ca="1">IF(SUM($G261:CG261)&gt;=1,"",IF(CH259=0,"",IF(SUM($G259:CH259)&gt;=1,OFFSET(CH$228,-1,0),"")))</f>
        <v/>
      </c>
      <c r="CI261" s="403" t="str">
        <f ca="1">IF(SUM($G261:CH261)&gt;=1,"",IF(CI259=0,"",IF(SUM($G259:CI259)&gt;=1,OFFSET(CI$228,-1,0),"")))</f>
        <v/>
      </c>
      <c r="CJ261" s="403" t="str">
        <f ca="1">IF(SUM($G261:CI261)&gt;=1,"",IF(CJ259=0,"",IF(SUM($G259:CJ259)&gt;=1,OFFSET(CJ$228,-1,0),"")))</f>
        <v/>
      </c>
      <c r="CK261" s="403" t="str">
        <f ca="1">IF(SUM($G261:CJ261)&gt;=1,"",IF(CK259=0,"",IF(SUM($G259:CK259)&gt;=1,OFFSET(CK$228,-1,0),"")))</f>
        <v/>
      </c>
      <c r="CL261" s="403" t="str">
        <f ca="1">IF(SUM($G261:CK261)&gt;=1,"",IF(CL259=0,"",IF(SUM($G259:CL259)&gt;=1,OFFSET(CL$228,-1,0),"")))</f>
        <v/>
      </c>
      <c r="CM261" s="403" t="str">
        <f ca="1">IF(SUM($G261:CL261)&gt;=1,"",IF(CM259=0,"",IF(SUM($G259:CM259)&gt;=1,OFFSET(CM$228,-1,0),"")))</f>
        <v/>
      </c>
      <c r="CN261" s="403" t="str">
        <f ca="1">IF(SUM($G261:CM261)&gt;=1,"",IF(CN259=0,"",IF(SUM($G259:CN259)&gt;=1,OFFSET(CN$228,-1,0),"")))</f>
        <v/>
      </c>
      <c r="CO261" s="403" t="str">
        <f ca="1">IF(SUM($G261:CN261)&gt;=1,"",IF(CO259=0,"",IF(SUM($G259:CO259)&gt;=1,OFFSET(CO$228,-1,0),"")))</f>
        <v/>
      </c>
      <c r="CP261" s="403" t="str">
        <f ca="1">IF(SUM($G261:CO261)&gt;=1,"",IF(CP259=0,"",IF(SUM($G259:CP259)&gt;=1,OFFSET(CP$228,-1,0),"")))</f>
        <v/>
      </c>
      <c r="CQ261" s="403" t="str">
        <f ca="1">IF(SUM($G261:CP261)&gt;=1,"",IF(CQ259=0,"",IF(SUM($G259:CQ259)&gt;=1,OFFSET(CQ$228,-1,0),"")))</f>
        <v/>
      </c>
      <c r="CR261" s="403" t="str">
        <f ca="1">IF(SUM($G261:CQ261)&gt;=1,"",IF(CR259=0,"",IF(SUM($G259:CR259)&gt;=1,OFFSET(CR$228,-1,0),"")))</f>
        <v/>
      </c>
      <c r="CS261" s="403" t="str">
        <f ca="1">IF(SUM($G261:CR261)&gt;=1,"",IF(CS259=0,"",IF(SUM($G259:CS259)&gt;=1,OFFSET(CS$228,-1,0),"")))</f>
        <v/>
      </c>
      <c r="CT261" s="403" t="str">
        <f ca="1">IF(SUM($G261:CS261)&gt;=1,"",IF(CT259=0,"",IF(SUM($G259:CT259)&gt;=1,OFFSET(CT$228,-1,0),"")))</f>
        <v/>
      </c>
      <c r="CU261" s="403" t="str">
        <f ca="1">IF(SUM($G261:CT261)&gt;=1,"",IF(CU259=0,"",IF(SUM($G259:CU259)&gt;=1,OFFSET(CU$228,-1,0),"")))</f>
        <v/>
      </c>
      <c r="CV261" s="403" t="str">
        <f ca="1">IF(SUM($G261:CU261)&gt;=1,"",IF(CV259=0,"",IF(SUM($G259:CV259)&gt;=1,OFFSET(CV$228,-1,0),"")))</f>
        <v/>
      </c>
      <c r="CW261" s="403" t="str">
        <f ca="1">IF(SUM($G261:CV261)&gt;=1,"",IF(CW259=0,"",IF(SUM($G259:CW259)&gt;=1,OFFSET(CW$228,-1,0),"")))</f>
        <v/>
      </c>
      <c r="CX261" s="403" t="str">
        <f ca="1">IF(SUM($G261:CW261)&gt;=1,"",IF(CX259=0,"",IF(SUM($G259:CX259)&gt;=1,OFFSET(CX$228,-1,0),"")))</f>
        <v/>
      </c>
      <c r="CY261" s="403" t="str">
        <f ca="1">IF(SUM($G261:CX261)&gt;=1,"",IF(CY259=0,"",IF(SUM($G259:CY259)&gt;=1,OFFSET(CY$228,-1,0),"")))</f>
        <v/>
      </c>
      <c r="CZ261" s="403" t="str">
        <f ca="1">IF(SUM($G261:CY261)&gt;=1,"",IF(CZ259=0,"",IF(SUM($G259:CZ259)&gt;=1,OFFSET(CZ$228,-1,0),"")))</f>
        <v/>
      </c>
      <c r="DA261" s="403" t="str">
        <f ca="1">IF(SUM($G261:CZ261)&gt;=1,"",IF(DA259=0,"",IF(SUM($G259:DA259)&gt;=1,OFFSET(DA$228,-1,0),"")))</f>
        <v/>
      </c>
      <c r="DB261" s="403" t="str">
        <f ca="1">IF(SUM($G261:DA261)&gt;=1,"",IF(DB259=0,"",IF(SUM($G259:DB259)&gt;=1,OFFSET(DB$228,-1,0),"")))</f>
        <v/>
      </c>
      <c r="DC261" s="403" t="str">
        <f ca="1">IF(SUM($G261:DB261)&gt;=1,"",IF(DC259=0,"",IF(SUM($G259:DC259)&gt;=1,OFFSET(DC$228,-1,0),"")))</f>
        <v/>
      </c>
      <c r="DD261" s="403" t="str">
        <f ca="1">IF(SUM($G261:DC261)&gt;=1,"",IF(DD259=0,"",IF(SUM($G259:DD259)&gt;=1,OFFSET(DD$228,-1,0),"")))</f>
        <v/>
      </c>
      <c r="DE261" s="403" t="str">
        <f ca="1">IF(SUM($G261:DD261)&gt;=1,"",IF(DE259=0,"",IF(SUM($G259:DE259)&gt;=1,OFFSET(DE$228,-1,0),"")))</f>
        <v/>
      </c>
      <c r="DF261" s="403" t="str">
        <f ca="1">IF(SUM($G261:DE261)&gt;=1,"",IF(DF259=0,"",IF(SUM($G259:DF259)&gt;=1,OFFSET(DF$228,-1,0),"")))</f>
        <v/>
      </c>
      <c r="DG261" s="403" t="str">
        <f ca="1">IF(SUM($G261:DF261)&gt;=1,"",IF(DG259=0,"",IF(SUM($G259:DG259)&gt;=1,OFFSET(DG$228,-1,0),"")))</f>
        <v/>
      </c>
      <c r="DH261" s="403" t="str">
        <f ca="1">IF(SUM($G261:DG261)&gt;=1,"",IF(DH259=0,"",IF(SUM($G259:DH259)&gt;=1,OFFSET(DH$228,-1,0),"")))</f>
        <v/>
      </c>
      <c r="DI261" s="403" t="str">
        <f ca="1">IF(SUM($G261:DH261)&gt;=1,"",IF(DI259=0,"",IF(SUM($G259:DI259)&gt;=1,OFFSET(DI$228,-1,0),"")))</f>
        <v/>
      </c>
      <c r="DJ261" s="403" t="str">
        <f ca="1">IF(SUM($G261:DI261)&gt;=1,"",IF(DJ259=0,"",IF(SUM($G259:DJ259)&gt;=1,OFFSET(DJ$228,-1,0),"")))</f>
        <v/>
      </c>
      <c r="DK261" s="403" t="str">
        <f ca="1">IF(SUM($G261:DJ261)&gt;=1,"",IF(DK259=0,"",IF(SUM($G259:DK259)&gt;=1,OFFSET(DK$228,-1,0),"")))</f>
        <v/>
      </c>
      <c r="DL261" s="403" t="str">
        <f ca="1">IF(SUM($G261:DK261)&gt;=1,"",IF(DL259=0,"",IF(SUM($G259:DL259)&gt;=1,OFFSET(DL$228,-1,0),"")))</f>
        <v/>
      </c>
      <c r="DM261" s="403" t="str">
        <f ca="1">IF(SUM($G261:DL261)&gt;=1,"",IF(DM259=0,"",IF(SUM($G259:DM259)&gt;=1,OFFSET(DM$228,-1,0),"")))</f>
        <v/>
      </c>
      <c r="DN261" s="403" t="str">
        <f ca="1">IF(SUM($G261:DM261)&gt;=1,"",IF(DN259=0,"",IF(SUM($G259:DN259)&gt;=1,OFFSET(DN$228,-1,0),"")))</f>
        <v/>
      </c>
      <c r="DO261" s="403" t="str">
        <f ca="1">IF(SUM($G261:DN261)&gt;=1,"",IF(DO259=0,"",IF(SUM($G259:DO259)&gt;=1,OFFSET(DO$228,-1,0),"")))</f>
        <v/>
      </c>
      <c r="DP261" s="403" t="str">
        <f ca="1">IF(SUM($G261:DO261)&gt;=1,"",IF(DP259=0,"",IF(SUM($G259:DP259)&gt;=1,OFFSET(DP$228,-1,0),"")))</f>
        <v/>
      </c>
      <c r="DQ261" s="403" t="str">
        <f ca="1">IF(SUM($G261:DP261)&gt;=1,"",IF(DQ259=0,"",IF(SUM($G259:DQ259)&gt;=1,OFFSET(DQ$228,-1,0),"")))</f>
        <v/>
      </c>
      <c r="DR261" s="403" t="str">
        <f ca="1">IF(SUM($G261:DQ261)&gt;=1,"",IF(DR259=0,"",IF(SUM($G259:DR259)&gt;=1,OFFSET(DR$228,-1,0),"")))</f>
        <v/>
      </c>
      <c r="DS261" s="403" t="str">
        <f ca="1">IF(SUM($G261:DR261)&gt;=1,"",IF(DS259=0,"",IF(SUM($G259:DS259)&gt;=1,OFFSET(DS$228,-1,0),"")))</f>
        <v/>
      </c>
      <c r="DT261" s="403" t="str">
        <f ca="1">IF(SUM($G261:DS261)&gt;=1,"",IF(DT259=0,"",IF(SUM($G259:DT259)&gt;=1,OFFSET(DT$228,-1,0),"")))</f>
        <v/>
      </c>
      <c r="DU261" s="403" t="str">
        <f ca="1">IF(SUM($G261:DT261)&gt;=1,"",IF(DU259=0,"",IF(SUM($G259:DU259)&gt;=1,OFFSET(DU$228,-1,0),"")))</f>
        <v/>
      </c>
      <c r="DV261" s="403" t="str">
        <f ca="1">IF(SUM($G261:DU261)&gt;=1,"",IF(DV259=0,"",IF(SUM($G259:DV259)&gt;=1,OFFSET(DV$228,-1,0),"")))</f>
        <v/>
      </c>
      <c r="DW261" s="403" t="str">
        <f ca="1">IF(SUM($G261:DV261)&gt;=1,"",IF(DW259=0,"",IF(SUM($G259:DW259)&gt;=1,OFFSET(DW$228,-1,0),"")))</f>
        <v/>
      </c>
      <c r="DX261" s="403" t="str">
        <f ca="1">IF(SUM($G261:DW261)&gt;=1,"",IF(DX259=0,"",IF(SUM($G259:DX259)&gt;=1,OFFSET(DX$228,-1,0),"")))</f>
        <v/>
      </c>
      <c r="DY261" s="403" t="str">
        <f ca="1">IF(SUM($G261:DX261)&gt;=1,"",IF(DY259=0,"",IF(SUM($G259:DY259)&gt;=1,OFFSET(DY$228,-1,0),"")))</f>
        <v/>
      </c>
      <c r="DZ261" s="403" t="str">
        <f ca="1">IF(SUM($G261:DY261)&gt;=1,"",IF(DZ259=0,"",IF(SUM($G259:DZ259)&gt;=1,OFFSET(DZ$228,-1,0),"")))</f>
        <v/>
      </c>
      <c r="EA261" s="403" t="str">
        <f ca="1">IF(SUM($G261:DZ261)&gt;=1,"",IF(EA259=0,"",IF(SUM($G259:EA259)&gt;=1,OFFSET(EA$228,-1,0),"")))</f>
        <v/>
      </c>
      <c r="EB261" s="403" t="str">
        <f ca="1">IF(SUM($G261:EA261)&gt;=1,"",IF(EB259=0,"",IF(SUM($G259:EB259)&gt;=1,OFFSET(EB$228,-1,0),"")))</f>
        <v/>
      </c>
      <c r="EC261" s="403" t="str">
        <f ca="1">IF(SUM($G261:EB261)&gt;=1,"",IF(EC259=0,"",IF(SUM($G259:EC259)&gt;=1,OFFSET(EC$228,-1,0),"")))</f>
        <v/>
      </c>
      <c r="ED261" s="403" t="str">
        <f ca="1">IF(SUM($G261:EC261)&gt;=1,"",IF(ED259=0,"",IF(SUM($G259:ED259)&gt;=1,OFFSET(ED$228,-1,0),"")))</f>
        <v/>
      </c>
      <c r="EE261" s="403" t="str">
        <f ca="1">IF(SUM($G261:ED261)&gt;=1,"",IF(EE259=0,"",IF(SUM($G259:EE259)&gt;=1,OFFSET(EE$228,-1,0),"")))</f>
        <v/>
      </c>
      <c r="EF261" s="403" t="str">
        <f ca="1">IF(SUM($G261:EE261)&gt;=1,"",IF(EF259=0,"",IF(SUM($G259:EF259)&gt;=1,OFFSET(EF$228,-1,0),"")))</f>
        <v/>
      </c>
      <c r="EG261" s="403" t="str">
        <f ca="1">IF(SUM($G261:EF261)&gt;=1,"",IF(EG259=0,"",IF(SUM($G259:EG259)&gt;=1,OFFSET(EG$228,-1,0),"")))</f>
        <v/>
      </c>
      <c r="EH261" s="403" t="str">
        <f ca="1">IF(SUM($G261:EG261)&gt;=1,"",IF(EH259=0,"",IF(SUM($G259:EH259)&gt;=1,OFFSET(EH$228,-1,0),"")))</f>
        <v/>
      </c>
      <c r="EI261" s="403" t="str">
        <f ca="1">IF(SUM($G261:EH261)&gt;=1,"",IF(EI259=0,"",IF(SUM($G259:EI259)&gt;=1,OFFSET(EI$228,-1,0),"")))</f>
        <v/>
      </c>
    </row>
    <row r="262" spans="1:141" hidden="1" outlineLevel="2">
      <c r="A262" s="332"/>
      <c r="B262" s="313"/>
      <c r="D262" s="305" t="s">
        <v>671</v>
      </c>
      <c r="E262" s="1002">
        <f ca="1">IF(E259=0,"",MIN(G262:EI262))</f>
        <v>45540</v>
      </c>
      <c r="F262" s="1003"/>
      <c r="G262" s="403" t="str">
        <f>IF(G259=0,"",IF(G259=G$3,G261,G$5+H$5-G263-1))</f>
        <v/>
      </c>
      <c r="H262" s="403" t="str">
        <f ca="1">IF(H259=0,"",IF(H259=H$3,H261,H$5+I$5-H263-1))</f>
        <v/>
      </c>
      <c r="I262" s="403" t="str">
        <f t="shared" ref="I262:BT262" ca="1" si="476">IF(I259=0,"",IF(I259=I$3,I261,I$5+J$5-I263-1))</f>
        <v/>
      </c>
      <c r="J262" s="403" t="str">
        <f t="shared" ca="1" si="476"/>
        <v/>
      </c>
      <c r="K262" s="403" t="str">
        <f t="shared" ca="1" si="476"/>
        <v/>
      </c>
      <c r="L262" s="403" t="str">
        <f t="shared" ca="1" si="476"/>
        <v/>
      </c>
      <c r="M262" s="403" t="str">
        <f t="shared" ca="1" si="476"/>
        <v/>
      </c>
      <c r="N262" s="403" t="str">
        <f t="shared" ca="1" si="476"/>
        <v/>
      </c>
      <c r="O262" s="403" t="str">
        <f t="shared" ca="1" si="476"/>
        <v/>
      </c>
      <c r="P262" s="403" t="str">
        <f t="shared" ca="1" si="476"/>
        <v/>
      </c>
      <c r="Q262" s="403" t="str">
        <f t="shared" ca="1" si="476"/>
        <v/>
      </c>
      <c r="R262" s="403" t="str">
        <f t="shared" ca="1" si="476"/>
        <v/>
      </c>
      <c r="S262" s="403" t="str">
        <f t="shared" ca="1" si="476"/>
        <v/>
      </c>
      <c r="T262" s="403" t="str">
        <f t="shared" ca="1" si="476"/>
        <v/>
      </c>
      <c r="U262" s="403" t="str">
        <f t="shared" ca="1" si="476"/>
        <v/>
      </c>
      <c r="V262" s="403" t="str">
        <f t="shared" ca="1" si="476"/>
        <v/>
      </c>
      <c r="W262" s="403" t="str">
        <f t="shared" ca="1" si="476"/>
        <v/>
      </c>
      <c r="X262" s="403" t="str">
        <f t="shared" ca="1" si="476"/>
        <v/>
      </c>
      <c r="Y262" s="403">
        <f t="shared" ca="1" si="476"/>
        <v>45540</v>
      </c>
      <c r="Z262" s="403" t="str">
        <f t="shared" ca="1" si="476"/>
        <v/>
      </c>
      <c r="AA262" s="403" t="str">
        <f t="shared" ca="1" si="476"/>
        <v/>
      </c>
      <c r="AB262" s="403" t="str">
        <f t="shared" ca="1" si="476"/>
        <v/>
      </c>
      <c r="AC262" s="403" t="str">
        <f t="shared" ca="1" si="476"/>
        <v/>
      </c>
      <c r="AD262" s="403" t="str">
        <f t="shared" ca="1" si="476"/>
        <v/>
      </c>
      <c r="AE262" s="403" t="str">
        <f t="shared" ca="1" si="476"/>
        <v/>
      </c>
      <c r="AF262" s="403" t="str">
        <f t="shared" ca="1" si="476"/>
        <v/>
      </c>
      <c r="AG262" s="403" t="str">
        <f t="shared" ca="1" si="476"/>
        <v/>
      </c>
      <c r="AH262" s="403" t="str">
        <f t="shared" ca="1" si="476"/>
        <v/>
      </c>
      <c r="AI262" s="403" t="str">
        <f t="shared" ca="1" si="476"/>
        <v/>
      </c>
      <c r="AJ262" s="403" t="str">
        <f t="shared" ca="1" si="476"/>
        <v/>
      </c>
      <c r="AK262" s="403" t="str">
        <f t="shared" ca="1" si="476"/>
        <v/>
      </c>
      <c r="AL262" s="403" t="str">
        <f t="shared" ca="1" si="476"/>
        <v/>
      </c>
      <c r="AM262" s="403" t="str">
        <f t="shared" ca="1" si="476"/>
        <v/>
      </c>
      <c r="AN262" s="403" t="str">
        <f t="shared" ca="1" si="476"/>
        <v/>
      </c>
      <c r="AO262" s="403">
        <f t="shared" ca="1" si="476"/>
        <v>46042</v>
      </c>
      <c r="AP262" s="403" t="str">
        <f t="shared" ca="1" si="476"/>
        <v/>
      </c>
      <c r="AQ262" s="403" t="str">
        <f t="shared" ca="1" si="476"/>
        <v/>
      </c>
      <c r="AR262" s="403" t="str">
        <f t="shared" ca="1" si="476"/>
        <v/>
      </c>
      <c r="AS262" s="403" t="str">
        <f t="shared" ca="1" si="476"/>
        <v/>
      </c>
      <c r="AT262" s="403" t="str">
        <f t="shared" ca="1" si="476"/>
        <v/>
      </c>
      <c r="AU262" s="403" t="str">
        <f t="shared" ca="1" si="476"/>
        <v/>
      </c>
      <c r="AV262" s="403" t="str">
        <f t="shared" ca="1" si="476"/>
        <v/>
      </c>
      <c r="AW262" s="403" t="str">
        <f t="shared" ca="1" si="476"/>
        <v/>
      </c>
      <c r="AX262" s="403" t="str">
        <f t="shared" ca="1" si="476"/>
        <v/>
      </c>
      <c r="AY262" s="403" t="str">
        <f t="shared" ca="1" si="476"/>
        <v/>
      </c>
      <c r="AZ262" s="403" t="str">
        <f t="shared" ca="1" si="476"/>
        <v/>
      </c>
      <c r="BA262" s="403" t="str">
        <f t="shared" ca="1" si="476"/>
        <v/>
      </c>
      <c r="BB262" s="403" t="str">
        <f t="shared" ca="1" si="476"/>
        <v/>
      </c>
      <c r="BC262" s="403" t="str">
        <f t="shared" ca="1" si="476"/>
        <v/>
      </c>
      <c r="BD262" s="403" t="str">
        <f t="shared" ca="1" si="476"/>
        <v/>
      </c>
      <c r="BE262" s="403" t="str">
        <f t="shared" ca="1" si="476"/>
        <v/>
      </c>
      <c r="BF262" s="403" t="str">
        <f t="shared" ca="1" si="476"/>
        <v/>
      </c>
      <c r="BG262" s="403" t="str">
        <f t="shared" ca="1" si="476"/>
        <v/>
      </c>
      <c r="BH262" s="403" t="str">
        <f t="shared" ca="1" si="476"/>
        <v/>
      </c>
      <c r="BI262" s="403" t="str">
        <f t="shared" ca="1" si="476"/>
        <v/>
      </c>
      <c r="BJ262" s="403" t="str">
        <f t="shared" ca="1" si="476"/>
        <v/>
      </c>
      <c r="BK262" s="403" t="str">
        <f t="shared" ca="1" si="476"/>
        <v/>
      </c>
      <c r="BL262" s="403" t="str">
        <f t="shared" ca="1" si="476"/>
        <v/>
      </c>
      <c r="BM262" s="403" t="str">
        <f t="shared" ca="1" si="476"/>
        <v/>
      </c>
      <c r="BN262" s="403" t="str">
        <f t="shared" ca="1" si="476"/>
        <v/>
      </c>
      <c r="BO262" s="403" t="str">
        <f t="shared" ca="1" si="476"/>
        <v/>
      </c>
      <c r="BP262" s="403" t="str">
        <f t="shared" ca="1" si="476"/>
        <v/>
      </c>
      <c r="BQ262" s="403" t="str">
        <f t="shared" ca="1" si="476"/>
        <v/>
      </c>
      <c r="BR262" s="403" t="str">
        <f t="shared" ca="1" si="476"/>
        <v/>
      </c>
      <c r="BS262" s="403" t="str">
        <f t="shared" ca="1" si="476"/>
        <v/>
      </c>
      <c r="BT262" s="403" t="str">
        <f t="shared" ca="1" si="476"/>
        <v/>
      </c>
      <c r="BU262" s="403" t="str">
        <f t="shared" ref="BU262:EF262" ca="1" si="477">IF(BU259=0,"",IF(BU259=BU$3,BU261,BU$5+BV$5-BU263-1))</f>
        <v/>
      </c>
      <c r="BV262" s="403" t="str">
        <f t="shared" ca="1" si="477"/>
        <v/>
      </c>
      <c r="BW262" s="403" t="str">
        <f t="shared" ca="1" si="477"/>
        <v/>
      </c>
      <c r="BX262" s="403" t="str">
        <f t="shared" ca="1" si="477"/>
        <v/>
      </c>
      <c r="BY262" s="403" t="str">
        <f t="shared" ca="1" si="477"/>
        <v/>
      </c>
      <c r="BZ262" s="403" t="str">
        <f t="shared" ca="1" si="477"/>
        <v/>
      </c>
      <c r="CA262" s="403" t="str">
        <f t="shared" ca="1" si="477"/>
        <v/>
      </c>
      <c r="CB262" s="403" t="str">
        <f t="shared" ca="1" si="477"/>
        <v/>
      </c>
      <c r="CC262" s="403" t="str">
        <f t="shared" ca="1" si="477"/>
        <v/>
      </c>
      <c r="CD262" s="403" t="str">
        <f t="shared" ca="1" si="477"/>
        <v/>
      </c>
      <c r="CE262" s="403" t="str">
        <f t="shared" ca="1" si="477"/>
        <v/>
      </c>
      <c r="CF262" s="403" t="str">
        <f t="shared" ca="1" si="477"/>
        <v/>
      </c>
      <c r="CG262" s="403" t="str">
        <f t="shared" ca="1" si="477"/>
        <v/>
      </c>
      <c r="CH262" s="403" t="str">
        <f t="shared" ca="1" si="477"/>
        <v/>
      </c>
      <c r="CI262" s="403" t="str">
        <f t="shared" ca="1" si="477"/>
        <v/>
      </c>
      <c r="CJ262" s="403" t="str">
        <f t="shared" ca="1" si="477"/>
        <v/>
      </c>
      <c r="CK262" s="403" t="str">
        <f t="shared" ca="1" si="477"/>
        <v/>
      </c>
      <c r="CL262" s="403" t="str">
        <f t="shared" ca="1" si="477"/>
        <v/>
      </c>
      <c r="CM262" s="403" t="str">
        <f t="shared" ca="1" si="477"/>
        <v/>
      </c>
      <c r="CN262" s="403" t="str">
        <f t="shared" ca="1" si="477"/>
        <v/>
      </c>
      <c r="CO262" s="403" t="str">
        <f t="shared" ca="1" si="477"/>
        <v/>
      </c>
      <c r="CP262" s="403" t="str">
        <f t="shared" ca="1" si="477"/>
        <v/>
      </c>
      <c r="CQ262" s="403" t="str">
        <f t="shared" ca="1" si="477"/>
        <v/>
      </c>
      <c r="CR262" s="403" t="str">
        <f t="shared" ca="1" si="477"/>
        <v/>
      </c>
      <c r="CS262" s="403" t="str">
        <f t="shared" ca="1" si="477"/>
        <v/>
      </c>
      <c r="CT262" s="403" t="str">
        <f t="shared" ca="1" si="477"/>
        <v/>
      </c>
      <c r="CU262" s="403" t="str">
        <f t="shared" ca="1" si="477"/>
        <v/>
      </c>
      <c r="CV262" s="403" t="str">
        <f t="shared" ca="1" si="477"/>
        <v/>
      </c>
      <c r="CW262" s="403" t="str">
        <f t="shared" ca="1" si="477"/>
        <v/>
      </c>
      <c r="CX262" s="403" t="str">
        <f t="shared" ca="1" si="477"/>
        <v/>
      </c>
      <c r="CY262" s="403" t="str">
        <f t="shared" ca="1" si="477"/>
        <v/>
      </c>
      <c r="CZ262" s="403" t="str">
        <f t="shared" ca="1" si="477"/>
        <v/>
      </c>
      <c r="DA262" s="403" t="str">
        <f t="shared" ca="1" si="477"/>
        <v/>
      </c>
      <c r="DB262" s="403" t="str">
        <f t="shared" ca="1" si="477"/>
        <v/>
      </c>
      <c r="DC262" s="403" t="str">
        <f t="shared" ca="1" si="477"/>
        <v/>
      </c>
      <c r="DD262" s="403" t="str">
        <f t="shared" ca="1" si="477"/>
        <v/>
      </c>
      <c r="DE262" s="403" t="str">
        <f t="shared" ca="1" si="477"/>
        <v/>
      </c>
      <c r="DF262" s="403" t="str">
        <f t="shared" ca="1" si="477"/>
        <v/>
      </c>
      <c r="DG262" s="403" t="str">
        <f t="shared" ca="1" si="477"/>
        <v/>
      </c>
      <c r="DH262" s="403" t="str">
        <f t="shared" ca="1" si="477"/>
        <v/>
      </c>
      <c r="DI262" s="403" t="str">
        <f t="shared" ca="1" si="477"/>
        <v/>
      </c>
      <c r="DJ262" s="403" t="str">
        <f t="shared" ca="1" si="477"/>
        <v/>
      </c>
      <c r="DK262" s="403" t="str">
        <f t="shared" ca="1" si="477"/>
        <v/>
      </c>
      <c r="DL262" s="403" t="str">
        <f t="shared" ca="1" si="477"/>
        <v/>
      </c>
      <c r="DM262" s="403" t="str">
        <f t="shared" ca="1" si="477"/>
        <v/>
      </c>
      <c r="DN262" s="403" t="str">
        <f t="shared" ca="1" si="477"/>
        <v/>
      </c>
      <c r="DO262" s="403" t="str">
        <f t="shared" ca="1" si="477"/>
        <v/>
      </c>
      <c r="DP262" s="403" t="str">
        <f t="shared" ca="1" si="477"/>
        <v/>
      </c>
      <c r="DQ262" s="403" t="str">
        <f t="shared" ca="1" si="477"/>
        <v/>
      </c>
      <c r="DR262" s="403" t="str">
        <f t="shared" ca="1" si="477"/>
        <v/>
      </c>
      <c r="DS262" s="403" t="str">
        <f t="shared" ca="1" si="477"/>
        <v/>
      </c>
      <c r="DT262" s="403" t="str">
        <f t="shared" ca="1" si="477"/>
        <v/>
      </c>
      <c r="DU262" s="403" t="str">
        <f t="shared" ca="1" si="477"/>
        <v/>
      </c>
      <c r="DV262" s="403" t="str">
        <f t="shared" ca="1" si="477"/>
        <v/>
      </c>
      <c r="DW262" s="403" t="str">
        <f t="shared" ca="1" si="477"/>
        <v/>
      </c>
      <c r="DX262" s="403" t="str">
        <f t="shared" ca="1" si="477"/>
        <v/>
      </c>
      <c r="DY262" s="403" t="str">
        <f t="shared" ca="1" si="477"/>
        <v/>
      </c>
      <c r="DZ262" s="403" t="str">
        <f t="shared" ca="1" si="477"/>
        <v/>
      </c>
      <c r="EA262" s="403" t="str">
        <f t="shared" ca="1" si="477"/>
        <v/>
      </c>
      <c r="EB262" s="403" t="str">
        <f t="shared" ca="1" si="477"/>
        <v/>
      </c>
      <c r="EC262" s="403" t="str">
        <f t="shared" ca="1" si="477"/>
        <v/>
      </c>
      <c r="ED262" s="403" t="str">
        <f t="shared" ca="1" si="477"/>
        <v/>
      </c>
      <c r="EE262" s="403" t="str">
        <f t="shared" ca="1" si="477"/>
        <v/>
      </c>
      <c r="EF262" s="403" t="str">
        <f t="shared" ca="1" si="477"/>
        <v/>
      </c>
      <c r="EG262" s="403" t="str">
        <f t="shared" ref="EG262:EI262" ca="1" si="478">IF(EG259=0,"",IF(EG259=EG$3,EG261,EG$5+EH$5-EG263-1))</f>
        <v/>
      </c>
      <c r="EH262" s="403" t="str">
        <f t="shared" ca="1" si="478"/>
        <v/>
      </c>
      <c r="EI262" s="403" t="str">
        <f t="shared" ca="1" si="478"/>
        <v/>
      </c>
    </row>
    <row r="263" spans="1:141" hidden="1" outlineLevel="2">
      <c r="A263" s="332"/>
      <c r="B263" s="313"/>
      <c r="D263" s="305" t="s">
        <v>672</v>
      </c>
      <c r="E263" s="1002">
        <f ca="1">IF(E259=0,"",MAX(G263:EI263))</f>
        <v>46034</v>
      </c>
      <c r="F263" s="1003"/>
      <c r="G263" s="403">
        <f ca="1">IF(SUM(G259:$EI259)=0,"",IF(G$227="","",G$227+G259-1))</f>
        <v>44985</v>
      </c>
      <c r="H263" s="403">
        <f ca="1">IF(SUM(H259:$EI259)=0,"",IF(H$227="","",H$227+H259-1))</f>
        <v>45016</v>
      </c>
      <c r="I263" s="403">
        <f ca="1">IF(SUM(I259:$EI259)=0,"",IF(I$227="","",I$227+I259-1))</f>
        <v>45046</v>
      </c>
      <c r="J263" s="403">
        <f ca="1">IF(SUM(J259:$EI259)=0,"",IF(J$227="","",J$227+J259-1))</f>
        <v>45077</v>
      </c>
      <c r="K263" s="403">
        <f ca="1">IF(SUM(K259:$EI259)=0,"",IF(K$227="","",K$227+K259-1))</f>
        <v>45107</v>
      </c>
      <c r="L263" s="403">
        <f ca="1">IF(SUM(L259:$EI259)=0,"",IF(L$227="","",L$227+L259-1))</f>
        <v>45138</v>
      </c>
      <c r="M263" s="403">
        <f ca="1">IF(SUM(M259:$EI259)=0,"",IF(M$227="","",M$227+M259-1))</f>
        <v>45169</v>
      </c>
      <c r="N263" s="403">
        <f ca="1">IF(SUM(N259:$EI259)=0,"",IF(N$227="","",N$227+N259-1))</f>
        <v>45199</v>
      </c>
      <c r="O263" s="403">
        <f ca="1">IF(SUM(O259:$EI259)=0,"",IF(O$227="","",O$227+O259-1))</f>
        <v>45230</v>
      </c>
      <c r="P263" s="403">
        <f ca="1">IF(SUM(P259:$EI259)=0,"",IF(P$227="","",P$227+P259-1))</f>
        <v>45260</v>
      </c>
      <c r="Q263" s="403">
        <f ca="1">IF(SUM(Q259:$EI259)=0,"",IF(Q$227="","",Q$227+Q259-1))</f>
        <v>45291</v>
      </c>
      <c r="R263" s="403">
        <f ca="1">IF(SUM(R259:$EI259)=0,"",IF(R$227="","",R$227+R259-1))</f>
        <v>45322</v>
      </c>
      <c r="S263" s="403">
        <f ca="1">IF(SUM(S259:$EI259)=0,"",IF(S$227="","",S$227+S259-1))</f>
        <v>45351</v>
      </c>
      <c r="T263" s="403">
        <f ca="1">IF(SUM(T259:$EI259)=0,"",IF(T$227="","",T$227+T259-1))</f>
        <v>45382</v>
      </c>
      <c r="U263" s="403">
        <f ca="1">IF(SUM(U259:$EI259)=0,"",IF(U$227="","",U$227+U259-1))</f>
        <v>45412</v>
      </c>
      <c r="V263" s="403">
        <f ca="1">IF(SUM(V259:$EI259)=0,"",IF(V$227="","",V$227+V259-1))</f>
        <v>45443</v>
      </c>
      <c r="W263" s="403">
        <f ca="1">IF(SUM(W259:$EI259)=0,"",IF(W$227="","",W$227+W259-1))</f>
        <v>45473</v>
      </c>
      <c r="X263" s="403">
        <f ca="1">IF(SUM(X259:$EI259)=0,"",IF(X$227="","",X$227+X259-1))</f>
        <v>45504</v>
      </c>
      <c r="Y263" s="403">
        <f ca="1">IF(SUM(Y259:$EI259)=0,"",IF(Y$227="","",Y$227+Y259-1))</f>
        <v>45561</v>
      </c>
      <c r="Z263" s="403">
        <f ca="1">IF(SUM(Z259:$EI259)=0,"",IF(Z$227="","",Z$227+Z259-1))</f>
        <v>45596</v>
      </c>
      <c r="AA263" s="403">
        <f ca="1">IF(SUM(AA259:$EI259)=0,"",IF(AA$227="","",AA$227+AA259-1))</f>
        <v>45626</v>
      </c>
      <c r="AB263" s="403">
        <f ca="1">IF(SUM(AB259:$EI259)=0,"",IF(AB$227="","",AB$227+AB259-1))</f>
        <v>45657</v>
      </c>
      <c r="AC263" s="403">
        <f ca="1">IF(SUM(AC259:$EI259)=0,"",IF(AC$227="","",AC$227+AC259-1))</f>
        <v>45688</v>
      </c>
      <c r="AD263" s="403">
        <f ca="1">IF(SUM(AD259:$EI259)=0,"",IF(AD$227="","",AD$227+AD259-1))</f>
        <v>45716</v>
      </c>
      <c r="AE263" s="403">
        <f ca="1">IF(SUM(AE259:$EI259)=0,"",IF(AE$227="","",AE$227+AE259-1))</f>
        <v>45747</v>
      </c>
      <c r="AF263" s="403">
        <f ca="1">IF(SUM(AF259:$EI259)=0,"",IF(AF$227="","",AF$227+AF259-1))</f>
        <v>45777</v>
      </c>
      <c r="AG263" s="403">
        <f ca="1">IF(SUM(AG259:$EI259)=0,"",IF(AG$227="","",AG$227+AG259-1))</f>
        <v>45808</v>
      </c>
      <c r="AH263" s="403">
        <f ca="1">IF(SUM(AH259:$EI259)=0,"",IF(AH$227="","",AH$227+AH259-1))</f>
        <v>45838</v>
      </c>
      <c r="AI263" s="403">
        <f ca="1">IF(SUM(AI259:$EI259)=0,"",IF(AI$227="","",AI$227+AI259-1))</f>
        <v>45869</v>
      </c>
      <c r="AJ263" s="403">
        <f ca="1">IF(SUM(AJ259:$EI259)=0,"",IF(AJ$227="","",AJ$227+AJ259-1))</f>
        <v>45900</v>
      </c>
      <c r="AK263" s="403">
        <f ca="1">IF(SUM(AK259:$EI259)=0,"",IF(AK$227="","",AK$227+AK259-1))</f>
        <v>45930</v>
      </c>
      <c r="AL263" s="403">
        <f ca="1">IF(SUM(AL259:$EI259)=0,"",IF(AL$227="","",AL$227+AL259-1))</f>
        <v>45961</v>
      </c>
      <c r="AM263" s="403">
        <f ca="1">IF(SUM(AM259:$EI259)=0,"",IF(AM$227="","",AM$227+AM259-1))</f>
        <v>45991</v>
      </c>
      <c r="AN263" s="403">
        <f ca="1">IF(SUM(AN259:$EI259)=0,"",IF(AN$227="","",AN$227+AN259-1))</f>
        <v>46022</v>
      </c>
      <c r="AO263" s="403">
        <f ca="1">IF(SUM(AO259:$EI259)=0,"",IF(AO$227="","",AO$227+AO259-1))</f>
        <v>46034</v>
      </c>
      <c r="AP263" s="403" t="str">
        <f ca="1">IF(SUM(AP259:$EI259)=0,"",IF(AP$227="","",AP$227+AP259-1))</f>
        <v/>
      </c>
      <c r="AQ263" s="403" t="str">
        <f ca="1">IF(SUM(AQ259:$EI259)=0,"",IF(AQ$227="","",AQ$227+AQ259-1))</f>
        <v/>
      </c>
      <c r="AR263" s="403" t="str">
        <f ca="1">IF(SUM(AR259:$EI259)=0,"",IF(AR$227="","",AR$227+AR259-1))</f>
        <v/>
      </c>
      <c r="AS263" s="403" t="str">
        <f ca="1">IF(SUM(AS259:$EI259)=0,"",IF(AS$227="","",AS$227+AS259-1))</f>
        <v/>
      </c>
      <c r="AT263" s="403" t="str">
        <f ca="1">IF(SUM(AT259:$EI259)=0,"",IF(AT$227="","",AT$227+AT259-1))</f>
        <v/>
      </c>
      <c r="AU263" s="403" t="str">
        <f ca="1">IF(SUM(AU259:$EI259)=0,"",IF(AU$227="","",AU$227+AU259-1))</f>
        <v/>
      </c>
      <c r="AV263" s="403" t="str">
        <f ca="1">IF(SUM(AV259:$EI259)=0,"",IF(AV$227="","",AV$227+AV259-1))</f>
        <v/>
      </c>
      <c r="AW263" s="403" t="str">
        <f ca="1">IF(SUM(AW259:$EI259)=0,"",IF(AW$227="","",AW$227+AW259-1))</f>
        <v/>
      </c>
      <c r="AX263" s="403" t="str">
        <f ca="1">IF(SUM(AX259:$EI259)=0,"",IF(AX$227="","",AX$227+AX259-1))</f>
        <v/>
      </c>
      <c r="AY263" s="403" t="str">
        <f ca="1">IF(SUM(AY259:$EI259)=0,"",IF(AY$227="","",AY$227+AY259-1))</f>
        <v/>
      </c>
      <c r="AZ263" s="403" t="str">
        <f ca="1">IF(SUM(AZ259:$EI259)=0,"",IF(AZ$227="","",AZ$227+AZ259-1))</f>
        <v/>
      </c>
      <c r="BA263" s="403" t="str">
        <f ca="1">IF(SUM(BA259:$EI259)=0,"",IF(BA$227="","",BA$227+BA259-1))</f>
        <v/>
      </c>
      <c r="BB263" s="403" t="str">
        <f ca="1">IF(SUM(BB259:$EI259)=0,"",IF(BB$227="","",BB$227+BB259-1))</f>
        <v/>
      </c>
      <c r="BC263" s="403" t="str">
        <f ca="1">IF(SUM(BC259:$EI259)=0,"",IF(BC$227="","",BC$227+BC259-1))</f>
        <v/>
      </c>
      <c r="BD263" s="403" t="str">
        <f ca="1">IF(SUM(BD259:$EI259)=0,"",IF(BD$227="","",BD$227+BD259-1))</f>
        <v/>
      </c>
      <c r="BE263" s="403" t="str">
        <f ca="1">IF(SUM(BE259:$EI259)=0,"",IF(BE$227="","",BE$227+BE259-1))</f>
        <v/>
      </c>
      <c r="BF263" s="403" t="str">
        <f ca="1">IF(SUM(BF259:$EI259)=0,"",IF(BF$227="","",BF$227+BF259-1))</f>
        <v/>
      </c>
      <c r="BG263" s="403" t="str">
        <f ca="1">IF(SUM(BG259:$EI259)=0,"",IF(BG$227="","",BG$227+BG259-1))</f>
        <v/>
      </c>
      <c r="BH263" s="403" t="str">
        <f ca="1">IF(SUM(BH259:$EI259)=0,"",IF(BH$227="","",BH$227+BH259-1))</f>
        <v/>
      </c>
      <c r="BI263" s="403" t="str">
        <f ca="1">IF(SUM(BI259:$EI259)=0,"",IF(BI$227="","",BI$227+BI259-1))</f>
        <v/>
      </c>
      <c r="BJ263" s="403" t="str">
        <f ca="1">IF(SUM(BJ259:$EI259)=0,"",IF(BJ$227="","",BJ$227+BJ259-1))</f>
        <v/>
      </c>
      <c r="BK263" s="403" t="str">
        <f ca="1">IF(SUM(BK259:$EI259)=0,"",IF(BK$227="","",BK$227+BK259-1))</f>
        <v/>
      </c>
      <c r="BL263" s="403" t="str">
        <f ca="1">IF(SUM(BL259:$EI259)=0,"",IF(BL$227="","",BL$227+BL259-1))</f>
        <v/>
      </c>
      <c r="BM263" s="403" t="str">
        <f ca="1">IF(SUM(BM259:$EI259)=0,"",IF(BM$227="","",BM$227+BM259-1))</f>
        <v/>
      </c>
      <c r="BN263" s="403" t="str">
        <f ca="1">IF(SUM(BN259:$EI259)=0,"",IF(BN$227="","",BN$227+BN259-1))</f>
        <v/>
      </c>
      <c r="BO263" s="403" t="str">
        <f ca="1">IF(SUM(BO259:$EI259)=0,"",IF(BO$227="","",BO$227+BO259-1))</f>
        <v/>
      </c>
      <c r="BP263" s="403" t="str">
        <f ca="1">IF(SUM(BP259:$EI259)=0,"",IF(BP$227="","",BP$227+BP259-1))</f>
        <v/>
      </c>
      <c r="BQ263" s="403" t="str">
        <f ca="1">IF(SUM(BQ259:$EI259)=0,"",IF(BQ$227="","",BQ$227+BQ259-1))</f>
        <v/>
      </c>
      <c r="BR263" s="403" t="str">
        <f ca="1">IF(SUM(BR259:$EI259)=0,"",IF(BR$227="","",BR$227+BR259-1))</f>
        <v/>
      </c>
      <c r="BS263" s="403" t="str">
        <f ca="1">IF(SUM(BS259:$EI259)=0,"",IF(BS$227="","",BS$227+BS259-1))</f>
        <v/>
      </c>
      <c r="BT263" s="403" t="str">
        <f ca="1">IF(SUM(BT259:$EI259)=0,"",IF(BT$227="","",BT$227+BT259-1))</f>
        <v/>
      </c>
      <c r="BU263" s="403" t="str">
        <f ca="1">IF(SUM(BU259:$EI259)=0,"",IF(BU$227="","",BU$227+BU259-1))</f>
        <v/>
      </c>
      <c r="BV263" s="403" t="str">
        <f ca="1">IF(SUM(BV259:$EI259)=0,"",IF(BV$227="","",BV$227+BV259-1))</f>
        <v/>
      </c>
      <c r="BW263" s="403" t="str">
        <f ca="1">IF(SUM(BW259:$EI259)=0,"",IF(BW$227="","",BW$227+BW259-1))</f>
        <v/>
      </c>
      <c r="BX263" s="403" t="str">
        <f ca="1">IF(SUM(BX259:$EI259)=0,"",IF(BX$227="","",BX$227+BX259-1))</f>
        <v/>
      </c>
      <c r="BY263" s="403" t="str">
        <f ca="1">IF(SUM(BY259:$EI259)=0,"",IF(BY$227="","",BY$227+BY259-1))</f>
        <v/>
      </c>
      <c r="BZ263" s="403" t="str">
        <f ca="1">IF(SUM(BZ259:$EI259)=0,"",IF(BZ$227="","",BZ$227+BZ259-1))</f>
        <v/>
      </c>
      <c r="CA263" s="403" t="str">
        <f ca="1">IF(SUM(CA259:$EI259)=0,"",IF(CA$227="","",CA$227+CA259-1))</f>
        <v/>
      </c>
      <c r="CB263" s="403" t="str">
        <f ca="1">IF(SUM(CB259:$EI259)=0,"",IF(CB$227="","",CB$227+CB259-1))</f>
        <v/>
      </c>
      <c r="CC263" s="403" t="str">
        <f ca="1">IF(SUM(CC259:$EI259)=0,"",IF(CC$227="","",CC$227+CC259-1))</f>
        <v/>
      </c>
      <c r="CD263" s="403" t="str">
        <f ca="1">IF(SUM(CD259:$EI259)=0,"",IF(CD$227="","",CD$227+CD259-1))</f>
        <v/>
      </c>
      <c r="CE263" s="403" t="str">
        <f ca="1">IF(SUM(CE259:$EI259)=0,"",IF(CE$227="","",CE$227+CE259-1))</f>
        <v/>
      </c>
      <c r="CF263" s="403" t="str">
        <f ca="1">IF(SUM(CF259:$EI259)=0,"",IF(CF$227="","",CF$227+CF259-1))</f>
        <v/>
      </c>
      <c r="CG263" s="403" t="str">
        <f ca="1">IF(SUM(CG259:$EI259)=0,"",IF(CG$227="","",CG$227+CG259-1))</f>
        <v/>
      </c>
      <c r="CH263" s="403" t="str">
        <f ca="1">IF(SUM(CH259:$EI259)=0,"",IF(CH$227="","",CH$227+CH259-1))</f>
        <v/>
      </c>
      <c r="CI263" s="403" t="str">
        <f ca="1">IF(SUM(CI259:$EI259)=0,"",IF(CI$227="","",CI$227+CI259-1))</f>
        <v/>
      </c>
      <c r="CJ263" s="403" t="str">
        <f ca="1">IF(SUM(CJ259:$EI259)=0,"",IF(CJ$227="","",CJ$227+CJ259-1))</f>
        <v/>
      </c>
      <c r="CK263" s="403" t="str">
        <f ca="1">IF(SUM(CK259:$EI259)=0,"",IF(CK$227="","",CK$227+CK259-1))</f>
        <v/>
      </c>
      <c r="CL263" s="403" t="str">
        <f ca="1">IF(SUM(CL259:$EI259)=0,"",IF(CL$227="","",CL$227+CL259-1))</f>
        <v/>
      </c>
      <c r="CM263" s="403" t="str">
        <f ca="1">IF(SUM(CM259:$EI259)=0,"",IF(CM$227="","",CM$227+CM259-1))</f>
        <v/>
      </c>
      <c r="CN263" s="403" t="str">
        <f ca="1">IF(SUM(CN259:$EI259)=0,"",IF(CN$227="","",CN$227+CN259-1))</f>
        <v/>
      </c>
      <c r="CO263" s="403" t="str">
        <f ca="1">IF(SUM(CO259:$EI259)=0,"",IF(CO$227="","",CO$227+CO259-1))</f>
        <v/>
      </c>
      <c r="CP263" s="403" t="str">
        <f ca="1">IF(SUM(CP259:$EI259)=0,"",IF(CP$227="","",CP$227+CP259-1))</f>
        <v/>
      </c>
      <c r="CQ263" s="403" t="str">
        <f ca="1">IF(SUM(CQ259:$EI259)=0,"",IF(CQ$227="","",CQ$227+CQ259-1))</f>
        <v/>
      </c>
      <c r="CR263" s="403" t="str">
        <f ca="1">IF(SUM(CR259:$EI259)=0,"",IF(CR$227="","",CR$227+CR259-1))</f>
        <v/>
      </c>
      <c r="CS263" s="403" t="str">
        <f ca="1">IF(SUM(CS259:$EI259)=0,"",IF(CS$227="","",CS$227+CS259-1))</f>
        <v/>
      </c>
      <c r="CT263" s="403" t="str">
        <f ca="1">IF(SUM(CT259:$EI259)=0,"",IF(CT$227="","",CT$227+CT259-1))</f>
        <v/>
      </c>
      <c r="CU263" s="403" t="str">
        <f ca="1">IF(SUM(CU259:$EI259)=0,"",IF(CU$227="","",CU$227+CU259-1))</f>
        <v/>
      </c>
      <c r="CV263" s="403" t="str">
        <f ca="1">IF(SUM(CV259:$EI259)=0,"",IF(CV$227="","",CV$227+CV259-1))</f>
        <v/>
      </c>
      <c r="CW263" s="403" t="str">
        <f ca="1">IF(SUM(CW259:$EI259)=0,"",IF(CW$227="","",CW$227+CW259-1))</f>
        <v/>
      </c>
      <c r="CX263" s="403" t="str">
        <f ca="1">IF(SUM(CX259:$EI259)=0,"",IF(CX$227="","",CX$227+CX259-1))</f>
        <v/>
      </c>
      <c r="CY263" s="403" t="str">
        <f ca="1">IF(SUM(CY259:$EI259)=0,"",IF(CY$227="","",CY$227+CY259-1))</f>
        <v/>
      </c>
      <c r="CZ263" s="403" t="str">
        <f ca="1">IF(SUM(CZ259:$EI259)=0,"",IF(CZ$227="","",CZ$227+CZ259-1))</f>
        <v/>
      </c>
      <c r="DA263" s="403" t="str">
        <f ca="1">IF(SUM(DA259:$EI259)=0,"",IF(DA$227="","",DA$227+DA259-1))</f>
        <v/>
      </c>
      <c r="DB263" s="403" t="str">
        <f ca="1">IF(SUM(DB259:$EI259)=0,"",IF(DB$227="","",DB$227+DB259-1))</f>
        <v/>
      </c>
      <c r="DC263" s="403" t="str">
        <f ca="1">IF(SUM(DC259:$EI259)=0,"",IF(DC$227="","",DC$227+DC259-1))</f>
        <v/>
      </c>
      <c r="DD263" s="403" t="str">
        <f ca="1">IF(SUM(DD259:$EI259)=0,"",IF(DD$227="","",DD$227+DD259-1))</f>
        <v/>
      </c>
      <c r="DE263" s="403" t="str">
        <f ca="1">IF(SUM(DE259:$EI259)=0,"",IF(DE$227="","",DE$227+DE259-1))</f>
        <v/>
      </c>
      <c r="DF263" s="403" t="str">
        <f ca="1">IF(SUM(DF259:$EI259)=0,"",IF(DF$227="","",DF$227+DF259-1))</f>
        <v/>
      </c>
      <c r="DG263" s="403" t="str">
        <f ca="1">IF(SUM(DG259:$EI259)=0,"",IF(DG$227="","",DG$227+DG259-1))</f>
        <v/>
      </c>
      <c r="DH263" s="403" t="str">
        <f ca="1">IF(SUM(DH259:$EI259)=0,"",IF(DH$227="","",DH$227+DH259-1))</f>
        <v/>
      </c>
      <c r="DI263" s="403" t="str">
        <f ca="1">IF(SUM(DI259:$EI259)=0,"",IF(DI$227="","",DI$227+DI259-1))</f>
        <v/>
      </c>
      <c r="DJ263" s="403" t="str">
        <f ca="1">IF(SUM(DJ259:$EI259)=0,"",IF(DJ$227="","",DJ$227+DJ259-1))</f>
        <v/>
      </c>
      <c r="DK263" s="403" t="str">
        <f ca="1">IF(SUM(DK259:$EI259)=0,"",IF(DK$227="","",DK$227+DK259-1))</f>
        <v/>
      </c>
      <c r="DL263" s="403" t="str">
        <f ca="1">IF(SUM(DL259:$EI259)=0,"",IF(DL$227="","",DL$227+DL259-1))</f>
        <v/>
      </c>
      <c r="DM263" s="403" t="str">
        <f ca="1">IF(SUM(DM259:$EI259)=0,"",IF(DM$227="","",DM$227+DM259-1))</f>
        <v/>
      </c>
      <c r="DN263" s="403" t="str">
        <f ca="1">IF(SUM(DN259:$EI259)=0,"",IF(DN$227="","",DN$227+DN259-1))</f>
        <v/>
      </c>
      <c r="DO263" s="403" t="str">
        <f ca="1">IF(SUM(DO259:$EI259)=0,"",IF(DO$227="","",DO$227+DO259-1))</f>
        <v/>
      </c>
      <c r="DP263" s="403" t="str">
        <f ca="1">IF(SUM(DP259:$EI259)=0,"",IF(DP$227="","",DP$227+DP259-1))</f>
        <v/>
      </c>
      <c r="DQ263" s="403" t="str">
        <f ca="1">IF(SUM(DQ259:$EI259)=0,"",IF(DQ$227="","",DQ$227+DQ259-1))</f>
        <v/>
      </c>
      <c r="DR263" s="403" t="str">
        <f ca="1">IF(SUM(DR259:$EI259)=0,"",IF(DR$227="","",DR$227+DR259-1))</f>
        <v/>
      </c>
      <c r="DS263" s="403" t="str">
        <f ca="1">IF(SUM(DS259:$EI259)=0,"",IF(DS$227="","",DS$227+DS259-1))</f>
        <v/>
      </c>
      <c r="DT263" s="403" t="str">
        <f ca="1">IF(SUM(DT259:$EI259)=0,"",IF(DT$227="","",DT$227+DT259-1))</f>
        <v/>
      </c>
      <c r="DU263" s="403" t="str">
        <f ca="1">IF(SUM(DU259:$EI259)=0,"",IF(DU$227="","",DU$227+DU259-1))</f>
        <v/>
      </c>
      <c r="DV263" s="403" t="str">
        <f ca="1">IF(SUM(DV259:$EI259)=0,"",IF(DV$227="","",DV$227+DV259-1))</f>
        <v/>
      </c>
      <c r="DW263" s="403" t="str">
        <f ca="1">IF(SUM(DW259:$EI259)=0,"",IF(DW$227="","",DW$227+DW259-1))</f>
        <v/>
      </c>
      <c r="DX263" s="403" t="str">
        <f ca="1">IF(SUM(DX259:$EI259)=0,"",IF(DX$227="","",DX$227+DX259-1))</f>
        <v/>
      </c>
      <c r="DY263" s="403" t="str">
        <f ca="1">IF(SUM(DY259:$EI259)=0,"",IF(DY$227="","",DY$227+DY259-1))</f>
        <v/>
      </c>
      <c r="DZ263" s="403" t="str">
        <f ca="1">IF(SUM(DZ259:$EI259)=0,"",IF(DZ$227="","",DZ$227+DZ259-1))</f>
        <v/>
      </c>
      <c r="EA263" s="403" t="str">
        <f ca="1">IF(SUM(EA259:$EI259)=0,"",IF(EA$227="","",EA$227+EA259-1))</f>
        <v/>
      </c>
      <c r="EB263" s="403" t="str">
        <f ca="1">IF(SUM(EB259:$EI259)=0,"",IF(EB$227="","",EB$227+EB259-1))</f>
        <v/>
      </c>
      <c r="EC263" s="403" t="str">
        <f ca="1">IF(SUM(EC259:$EI259)=0,"",IF(EC$227="","",EC$227+EC259-1))</f>
        <v/>
      </c>
      <c r="ED263" s="403" t="str">
        <f ca="1">IF(SUM(ED259:$EI259)=0,"",IF(ED$227="","",ED$227+ED259-1))</f>
        <v/>
      </c>
      <c r="EE263" s="403" t="str">
        <f ca="1">IF(SUM(EE259:$EI259)=0,"",IF(EE$227="","",EE$227+EE259-1))</f>
        <v/>
      </c>
      <c r="EF263" s="403" t="str">
        <f ca="1">IF(SUM(EF259:$EI259)=0,"",IF(EF$227="","",EF$227+EF259-1))</f>
        <v/>
      </c>
      <c r="EG263" s="403" t="str">
        <f ca="1">IF(SUM(EG259:$EI259)=0,"",IF(EG$227="","",EG$227+EG259-1))</f>
        <v/>
      </c>
      <c r="EH263" s="403" t="str">
        <f ca="1">IF(SUM(EH259:$EI259)=0,"",IF(EH$227="","",EH$227+EH259-1))</f>
        <v/>
      </c>
      <c r="EI263" s="403" t="str">
        <f ca="1">IF(SUM(EI259:$EI259)=0,"",IF(EI$227="","",EI$227+EI259-1))</f>
        <v/>
      </c>
    </row>
    <row r="264" spans="1:141" outlineLevel="1" collapsed="1">
      <c r="A264" s="332"/>
      <c r="B264" s="313"/>
      <c r="C264" s="317" t="s">
        <v>57</v>
      </c>
      <c r="D264" s="317" t="s">
        <v>58</v>
      </c>
      <c r="E264" s="400">
        <f ca="1">IF(ГРП!B14=0,длительность!L46,ГРП!B14)</f>
        <v>396</v>
      </c>
      <c r="F264" s="318">
        <f ca="1">E264-SUM(G264:EJ264)</f>
        <v>0</v>
      </c>
      <c r="G264" s="401"/>
      <c r="H264" s="401">
        <f ca="1">IF(SUM($G264:G264)&gt;=$E264,0,IF($E264-SUM($G264:G264)&gt;H265,H265,$E264-SUM($G265:G265)))</f>
        <v>0</v>
      </c>
      <c r="I264" s="401">
        <f ca="1">IF(SUM($G264:H264)&gt;=$E264,0,IF($E264-SUM($G264:H264)&gt;I265,I265,$E264-SUM($G265:H265)))</f>
        <v>0</v>
      </c>
      <c r="J264" s="401">
        <f ca="1">IF(SUM($G264:I264)&gt;=$E264,0,IF($E264-SUM($G264:I264)&gt;J265,J265,$E264-SUM($G265:I265)))</f>
        <v>0</v>
      </c>
      <c r="K264" s="401">
        <f ca="1">IF(SUM($G264:J264)&gt;=$E264,0,IF($E264-SUM($G264:J264)&gt;K265,K265,$E264-SUM($G265:J265)))</f>
        <v>0</v>
      </c>
      <c r="L264" s="401">
        <f ca="1">IF(SUM($G264:K264)&gt;=$E264,0,IF($E264-SUM($G264:K264)&gt;L265,L265,$E264-SUM($G265:K265)))</f>
        <v>0</v>
      </c>
      <c r="M264" s="401">
        <f ca="1">IF(SUM($G264:L264)&gt;=$E264,0,IF($E264-SUM($G264:L264)&gt;M265,M265,$E264-SUM($G265:L265)))</f>
        <v>0</v>
      </c>
      <c r="N264" s="401">
        <f ca="1">IF(SUM($G264:M264)&gt;=$E264,0,IF($E264-SUM($G264:M264)&gt;N265,N265,$E264-SUM($G265:M265)))</f>
        <v>0</v>
      </c>
      <c r="O264" s="401">
        <f ca="1">IF(SUM($G264:N264)&gt;=$E264,0,IF($E264-SUM($G264:N264)&gt;O265,O265,$E264-SUM($G265:N265)))</f>
        <v>0</v>
      </c>
      <c r="P264" s="401">
        <f ca="1">IF(SUM($G264:O264)&gt;=$E264,0,IF($E264-SUM($G264:O264)&gt;P265,P265,$E264-SUM($G265:O265)))</f>
        <v>0</v>
      </c>
      <c r="Q264" s="401">
        <f ca="1">IF(SUM($G264:P264)&gt;=$E264,0,IF($E264-SUM($G264:P264)&gt;Q265,Q265,$E264-SUM($G265:P265)))</f>
        <v>0</v>
      </c>
      <c r="R264" s="401">
        <f ca="1">IF(SUM($G264:Q264)&gt;=$E264,0,IF($E264-SUM($G264:Q264)&gt;R265,R265,$E264-SUM($G265:Q265)))</f>
        <v>0</v>
      </c>
      <c r="S264" s="401">
        <f ca="1">IF(SUM($G264:R264)&gt;=$E264,0,IF($E264-SUM($G264:R264)&gt;S265,S265,$E264-SUM($G265:R265)))</f>
        <v>0</v>
      </c>
      <c r="T264" s="401">
        <f ca="1">IF(SUM($G264:S264)&gt;=$E264,0,IF($E264-SUM($G264:S264)&gt;T265,T265,$E264-SUM($G265:S265)))</f>
        <v>0</v>
      </c>
      <c r="U264" s="401">
        <f ca="1">IF(SUM($G264:T264)&gt;=$E264,0,IF($E264-SUM($G264:T264)&gt;U265,U265,$E264-SUM($G265:T265)))</f>
        <v>0</v>
      </c>
      <c r="V264" s="401">
        <f ca="1">IF(SUM($G264:U264)&gt;=$E264,0,IF($E264-SUM($G264:U264)&gt;V265,V265,$E264-SUM($G265:U265)))</f>
        <v>0</v>
      </c>
      <c r="W264" s="401">
        <f ca="1">IF(SUM($G264:V264)&gt;=$E264,0,IF($E264-SUM($G264:V264)&gt;W265,W265,$E264-SUM($G265:V265)))</f>
        <v>0</v>
      </c>
      <c r="X264" s="401">
        <f ca="1">IF(SUM($G264:W264)&gt;=$E264,0,IF($E264-SUM($G264:W264)&gt;X265,X265,$E264-SUM($G265:W265)))</f>
        <v>0</v>
      </c>
      <c r="Y264" s="401">
        <f ca="1">IF(SUM($G264:X264)&gt;=$E264,0,IF($E264-SUM($G264:X264)&gt;Y265,Y265,$E264-SUM($G265:X265)))</f>
        <v>0</v>
      </c>
      <c r="Z264" s="401">
        <f ca="1">IF(SUM($G264:Y264)&gt;=$E264,0,IF($E264-SUM($G264:Y264)&gt;Z265,Z265,$E264-SUM($G265:Y265)))</f>
        <v>0</v>
      </c>
      <c r="AA264" s="401">
        <f ca="1">IF(SUM($G264:Z264)&gt;=$E264,0,IF($E264-SUM($G264:Z264)&gt;AA265,AA265,$E264-SUM($G265:Z265)))</f>
        <v>0</v>
      </c>
      <c r="AB264" s="401">
        <f ca="1">IF(SUM($G264:AA264)&gt;=$E264,0,IF($E264-SUM($G264:AA264)&gt;AB265,AB265,$E264-SUM($G265:AA265)))</f>
        <v>19</v>
      </c>
      <c r="AC264" s="401">
        <f ca="1">IF(SUM($G264:AB264)&gt;=$E264,0,IF($E264-SUM($G264:AB264)&gt;AC265,AC265,$E264-SUM($G265:AB265)))</f>
        <v>31</v>
      </c>
      <c r="AD264" s="401">
        <f ca="1">IF(SUM($G264:AC264)&gt;=$E264,0,IF($E264-SUM($G264:AC264)&gt;AD265,AD265,$E264-SUM($G265:AC265)))</f>
        <v>28</v>
      </c>
      <c r="AE264" s="401">
        <f ca="1">IF(SUM($G264:AD264)&gt;=$E264,0,IF($E264-SUM($G264:AD264)&gt;AE265,AE265,$E264-SUM($G265:AD265)))</f>
        <v>31</v>
      </c>
      <c r="AF264" s="401">
        <f ca="1">IF(SUM($G264:AE264)&gt;=$E264,0,IF($E264-SUM($G264:AE264)&gt;AF265,AF265,$E264-SUM($G265:AE265)))</f>
        <v>30</v>
      </c>
      <c r="AG264" s="401">
        <f ca="1">IF(SUM($G264:AF264)&gt;=$E264,0,IF($E264-SUM($G264:AF264)&gt;AG265,AG265,$E264-SUM($G265:AF265)))</f>
        <v>31</v>
      </c>
      <c r="AH264" s="401">
        <f ca="1">IF(SUM($G264:AG264)&gt;=$E264,0,IF($E264-SUM($G264:AG264)&gt;AH265,AH265,$E264-SUM($G265:AG265)))</f>
        <v>30</v>
      </c>
      <c r="AI264" s="401">
        <f ca="1">IF(SUM($G264:AH264)&gt;=$E264,0,IF($E264-SUM($G264:AH264)&gt;AI265,AI265,$E264-SUM($G265:AH265)))</f>
        <v>31</v>
      </c>
      <c r="AJ264" s="401">
        <f ca="1">IF(SUM($G264:AI264)&gt;=$E264,0,IF($E264-SUM($G264:AI264)&gt;AJ265,AJ265,$E264-SUM($G265:AI265)))</f>
        <v>31</v>
      </c>
      <c r="AK264" s="401">
        <f ca="1">IF(SUM($G264:AJ264)&gt;=$E264,0,IF($E264-SUM($G264:AJ264)&gt;AK265,AK265,$E264-SUM($G265:AJ265)))</f>
        <v>30</v>
      </c>
      <c r="AL264" s="401">
        <f ca="1">IF(SUM($G264:AK264)&gt;=$E264,0,IF($E264-SUM($G264:AK264)&gt;AL265,AL265,$E264-SUM($G265:AK265)))</f>
        <v>31</v>
      </c>
      <c r="AM264" s="401">
        <f ca="1">IF(SUM($G264:AL264)&gt;=$E264,0,IF($E264-SUM($G264:AL264)&gt;AM265,AM265,$E264-SUM($G265:AL265)))</f>
        <v>30</v>
      </c>
      <c r="AN264" s="401">
        <f ca="1">IF(SUM($G264:AM264)&gt;=$E264,0,IF($E264-SUM($G264:AM264)&gt;AN265,AN265,$E264-SUM($G265:AM265)))</f>
        <v>31</v>
      </c>
      <c r="AO264" s="401">
        <f ca="1">IF(SUM($G264:AN264)&gt;=$E264,0,IF($E264-SUM($G264:AN264)&gt;AO265,AO265,$E264-SUM($G265:AN265)))</f>
        <v>12</v>
      </c>
      <c r="AP264" s="401">
        <f ca="1">IF(SUM($G264:AO264)&gt;=$E264,0,IF($E264-SUM($G264:AO264)&gt;AP265,AP265,$E264-SUM($G265:AO265)))</f>
        <v>0</v>
      </c>
      <c r="AQ264" s="401">
        <f ca="1">IF(SUM($G264:AP264)&gt;=$E264,0,IF($E264-SUM($G264:AP264)&gt;AQ265,AQ265,$E264-SUM($G265:AP265)))</f>
        <v>0</v>
      </c>
      <c r="AR264" s="401">
        <f ca="1">IF(SUM($G264:AQ264)&gt;=$E264,0,IF($E264-SUM($G264:AQ264)&gt;AR265,AR265,$E264-SUM($G265:AQ265)))</f>
        <v>0</v>
      </c>
      <c r="AS264" s="401">
        <f ca="1">IF(SUM($G264:AR264)&gt;=$E264,0,IF($E264-SUM($G264:AR264)&gt;AS265,AS265,$E264-SUM($G265:AR265)))</f>
        <v>0</v>
      </c>
      <c r="AT264" s="401">
        <f ca="1">IF(SUM($G264:AS264)&gt;=$E264,0,IF($E264-SUM($G264:AS264)&gt;AT265,AT265,$E264-SUM($G265:AS265)))</f>
        <v>0</v>
      </c>
      <c r="AU264" s="401">
        <f ca="1">IF(SUM($G264:AT264)&gt;=$E264,0,IF($E264-SUM($G264:AT264)&gt;AU265,AU265,$E264-SUM($G265:AT265)))</f>
        <v>0</v>
      </c>
      <c r="AV264" s="401">
        <f ca="1">IF(SUM($G264:AU264)&gt;=$E264,0,IF($E264-SUM($G264:AU264)&gt;AV265,AV265,$E264-SUM($G265:AU265)))</f>
        <v>0</v>
      </c>
      <c r="AW264" s="401">
        <f ca="1">IF(SUM($G264:AV264)&gt;=$E264,0,IF($E264-SUM($G264:AV264)&gt;AW265,AW265,$E264-SUM($G265:AV265)))</f>
        <v>0</v>
      </c>
      <c r="AX264" s="401">
        <f ca="1">IF(SUM($G264:AW264)&gt;=$E264,0,IF($E264-SUM($G264:AW264)&gt;AX265,AX265,$E264-SUM($G265:AW265)))</f>
        <v>0</v>
      </c>
      <c r="AY264" s="401">
        <f ca="1">IF(SUM($G264:AX264)&gt;=$E264,0,IF($E264-SUM($G264:AX264)&gt;AY265,AY265,$E264-SUM($G265:AX265)))</f>
        <v>0</v>
      </c>
      <c r="AZ264" s="401">
        <f ca="1">IF(SUM($G264:AY264)&gt;=$E264,0,IF($E264-SUM($G264:AY264)&gt;AZ265,AZ265,$E264-SUM($G265:AY265)))</f>
        <v>0</v>
      </c>
      <c r="BA264" s="401">
        <f ca="1">IF(SUM($G264:AZ264)&gt;=$E264,0,IF($E264-SUM($G264:AZ264)&gt;BA265,BA265,$E264-SUM($G265:AZ265)))</f>
        <v>0</v>
      </c>
      <c r="BB264" s="401">
        <f ca="1">IF(SUM($G264:BA264)&gt;=$E264,0,IF($E264-SUM($G264:BA264)&gt;BB265,BB265,$E264-SUM($G265:BA265)))</f>
        <v>0</v>
      </c>
      <c r="BC264" s="401">
        <f ca="1">IF(SUM($G264:BB264)&gt;=$E264,0,IF($E264-SUM($G264:BB264)&gt;BC265,BC265,$E264-SUM($G265:BB265)))</f>
        <v>0</v>
      </c>
      <c r="BD264" s="401">
        <f ca="1">IF(SUM($G264:BC264)&gt;=$E264,0,IF($E264-SUM($G264:BC264)&gt;BD265,BD265,$E264-SUM($G265:BC265)))</f>
        <v>0</v>
      </c>
      <c r="BE264" s="401">
        <f ca="1">IF(SUM($G264:BD264)&gt;=$E264,0,IF($E264-SUM($G264:BD264)&gt;BE265,BE265,$E264-SUM($G265:BD265)))</f>
        <v>0</v>
      </c>
      <c r="BF264" s="401">
        <f ca="1">IF(SUM($G264:BE264)&gt;=$E264,0,IF($E264-SUM($G264:BE264)&gt;BF265,BF265,$E264-SUM($G265:BE265)))</f>
        <v>0</v>
      </c>
      <c r="BG264" s="401">
        <f ca="1">IF(SUM($G264:BF264)&gt;=$E264,0,IF($E264-SUM($G264:BF264)&gt;BG265,BG265,$E264-SUM($G265:BF265)))</f>
        <v>0</v>
      </c>
      <c r="BH264" s="401">
        <f ca="1">IF(SUM($G264:BG264)&gt;=$E264,0,IF($E264-SUM($G264:BG264)&gt;BH265,BH265,$E264-SUM($G265:BG265)))</f>
        <v>0</v>
      </c>
      <c r="BI264" s="401">
        <f ca="1">IF(SUM($G264:BH264)&gt;=$E264,0,IF($E264-SUM($G264:BH264)&gt;BI265,BI265,$E264-SUM($G265:BH265)))</f>
        <v>0</v>
      </c>
      <c r="BJ264" s="401">
        <f ca="1">IF(SUM($G264:BI264)&gt;=$E264,0,IF($E264-SUM($G264:BI264)&gt;BJ265,BJ265,$E264-SUM($G265:BI265)))</f>
        <v>0</v>
      </c>
      <c r="BK264" s="401">
        <f ca="1">IF(SUM($G264:BJ264)&gt;=$E264,0,IF($E264-SUM($G264:BJ264)&gt;BK265,BK265,$E264-SUM($G265:BJ265)))</f>
        <v>0</v>
      </c>
      <c r="BL264" s="401">
        <f ca="1">IF(SUM($G264:BK264)&gt;=$E264,0,IF($E264-SUM($G264:BK264)&gt;BL265,BL265,$E264-SUM($G265:BK265)))</f>
        <v>0</v>
      </c>
      <c r="BM264" s="401">
        <f ca="1">IF(SUM($G264:BL264)&gt;=$E264,0,IF($E264-SUM($G264:BL264)&gt;BM265,BM265,$E264-SUM($G265:BL265)))</f>
        <v>0</v>
      </c>
      <c r="BN264" s="401">
        <f ca="1">IF(SUM($G264:BM264)&gt;=$E264,0,IF($E264-SUM($G264:BM264)&gt;BN265,BN265,$E264-SUM($G265:BM265)))</f>
        <v>0</v>
      </c>
      <c r="BO264" s="401">
        <f ca="1">IF(SUM($G264:BN264)&gt;=$E264,0,IF($E264-SUM($G264:BN264)&gt;BO265,BO265,$E264-SUM($G265:BN265)))</f>
        <v>0</v>
      </c>
      <c r="BP264" s="401">
        <f ca="1">IF(SUM($G264:BO264)&gt;=$E264,0,IF($E264-SUM($G264:BO264)&gt;BP265,BP265,$E264-SUM($G265:BO265)))</f>
        <v>0</v>
      </c>
      <c r="BQ264" s="401">
        <f ca="1">IF(SUM($G264:BP264)&gt;=$E264,0,IF($E264-SUM($G264:BP264)&gt;BQ265,BQ265,$E264-SUM($G265:BP265)))</f>
        <v>0</v>
      </c>
      <c r="BR264" s="401">
        <f ca="1">IF(SUM($G264:BQ264)&gt;=$E264,0,IF($E264-SUM($G264:BQ264)&gt;BR265,BR265,$E264-SUM($G265:BQ265)))</f>
        <v>0</v>
      </c>
      <c r="BS264" s="401">
        <f ca="1">IF(SUM($G264:BR264)&gt;=$E264,0,IF($E264-SUM($G264:BR264)&gt;BS265,BS265,$E264-SUM($G265:BR265)))</f>
        <v>0</v>
      </c>
      <c r="BT264" s="401">
        <f ca="1">IF(SUM($G264:BS264)&gt;=$E264,0,IF($E264-SUM($G264:BS264)&gt;BT265,BT265,$E264-SUM($G265:BS265)))</f>
        <v>0</v>
      </c>
      <c r="BU264" s="401">
        <f ca="1">IF(SUM($G264:BT264)&gt;=$E264,0,IF($E264-SUM($G264:BT264)&gt;BU265,BU265,$E264-SUM($G265:BT265)))</f>
        <v>0</v>
      </c>
      <c r="BV264" s="401">
        <f ca="1">IF(SUM($G264:BU264)&gt;=$E264,0,IF($E264-SUM($G264:BU264)&gt;BV265,BV265,$E264-SUM($G265:BU265)))</f>
        <v>0</v>
      </c>
      <c r="BW264" s="401">
        <f ca="1">IF(SUM($G264:BV264)&gt;=$E264,0,IF($E264-SUM($G264:BV264)&gt;BW265,BW265,$E264-SUM($G265:BV265)))</f>
        <v>0</v>
      </c>
      <c r="BX264" s="401">
        <f ca="1">IF(SUM($G264:BW264)&gt;=$E264,0,IF($E264-SUM($G264:BW264)&gt;BX265,BX265,$E264-SUM($G265:BW265)))</f>
        <v>0</v>
      </c>
      <c r="BY264" s="401">
        <f ca="1">IF(SUM($G264:BX264)&gt;=$E264,0,IF($E264-SUM($G264:BX264)&gt;BY265,BY265,$E264-SUM($G265:BX265)))</f>
        <v>0</v>
      </c>
      <c r="BZ264" s="401">
        <f ca="1">IF(SUM($G264:BY264)&gt;=$E264,0,IF($E264-SUM($G264:BY264)&gt;BZ265,BZ265,$E264-SUM($G265:BY265)))</f>
        <v>0</v>
      </c>
      <c r="CA264" s="401">
        <f ca="1">IF(SUM($G264:BZ264)&gt;=$E264,0,IF($E264-SUM($G264:BZ264)&gt;CA265,CA265,$E264-SUM($G265:BZ265)))</f>
        <v>0</v>
      </c>
      <c r="CB264" s="401">
        <f ca="1">IF(SUM($G264:CA264)&gt;=$E264,0,IF($E264-SUM($G264:CA264)&gt;CB265,CB265,$E264-SUM($G265:CA265)))</f>
        <v>0</v>
      </c>
      <c r="CC264" s="401">
        <f ca="1">IF(SUM($G264:CB264)&gt;=$E264,0,IF($E264-SUM($G264:CB264)&gt;CC265,CC265,$E264-SUM($G265:CB265)))</f>
        <v>0</v>
      </c>
      <c r="CD264" s="401">
        <f ca="1">IF(SUM($G264:CC264)&gt;=$E264,0,IF($E264-SUM($G264:CC264)&gt;CD265,CD265,$E264-SUM($G265:CC265)))</f>
        <v>0</v>
      </c>
      <c r="CE264" s="401">
        <f ca="1">IF(SUM($G264:CD264)&gt;=$E264,0,IF($E264-SUM($G264:CD264)&gt;CE265,CE265,$E264-SUM($G265:CD265)))</f>
        <v>0</v>
      </c>
      <c r="CF264" s="401">
        <f ca="1">IF(SUM($G264:CE264)&gt;=$E264,0,IF($E264-SUM($G264:CE264)&gt;CF265,CF265,$E264-SUM($G265:CE265)))</f>
        <v>0</v>
      </c>
      <c r="CG264" s="401">
        <f ca="1">IF(SUM($G264:CF264)&gt;=$E264,0,IF($E264-SUM($G264:CF264)&gt;CG265,CG265,$E264-SUM($G265:CF265)))</f>
        <v>0</v>
      </c>
      <c r="CH264" s="401">
        <f ca="1">IF(SUM($G264:CG264)&gt;=$E264,0,IF($E264-SUM($G264:CG264)&gt;CH265,CH265,$E264-SUM($G265:CG265)))</f>
        <v>0</v>
      </c>
      <c r="CI264" s="401">
        <f ca="1">IF(SUM($G264:CH264)&gt;=$E264,0,IF($E264-SUM($G264:CH264)&gt;CI265,CI265,$E264-SUM($G265:CH265)))</f>
        <v>0</v>
      </c>
      <c r="CJ264" s="401">
        <f ca="1">IF(SUM($G264:CI264)&gt;=$E264,0,IF($E264-SUM($G264:CI264)&gt;CJ265,CJ265,$E264-SUM($G265:CI265)))</f>
        <v>0</v>
      </c>
      <c r="CK264" s="401">
        <f ca="1">IF(SUM($G264:CJ264)&gt;=$E264,0,IF($E264-SUM($G264:CJ264)&gt;CK265,CK265,$E264-SUM($G265:CJ265)))</f>
        <v>0</v>
      </c>
      <c r="CL264" s="401">
        <f ca="1">IF(SUM($G264:CK264)&gt;=$E264,0,IF($E264-SUM($G264:CK264)&gt;CL265,CL265,$E264-SUM($G265:CK265)))</f>
        <v>0</v>
      </c>
      <c r="CM264" s="401">
        <f ca="1">IF(SUM($G264:CL264)&gt;=$E264,0,IF($E264-SUM($G264:CL264)&gt;CM265,CM265,$E264-SUM($G265:CL265)))</f>
        <v>0</v>
      </c>
      <c r="CN264" s="401">
        <f ca="1">IF(SUM($G264:CM264)&gt;=$E264,0,IF($E264-SUM($G264:CM264)&gt;CN265,CN265,$E264-SUM($G265:CM265)))</f>
        <v>0</v>
      </c>
      <c r="CO264" s="401">
        <f ca="1">IF(SUM($G264:CN264)&gt;=$E264,0,IF($E264-SUM($G264:CN264)&gt;CO265,CO265,$E264-SUM($G265:CN265)))</f>
        <v>0</v>
      </c>
      <c r="CP264" s="401">
        <f ca="1">IF(SUM($G264:CO264)&gt;=$E264,0,IF($E264-SUM($G264:CO264)&gt;CP265,CP265,$E264-SUM($G265:CO265)))</f>
        <v>0</v>
      </c>
      <c r="CQ264" s="401">
        <f ca="1">IF(SUM($G264:CP264)&gt;=$E264,0,IF($E264-SUM($G264:CP264)&gt;CQ265,CQ265,$E264-SUM($G265:CP265)))</f>
        <v>0</v>
      </c>
      <c r="CR264" s="401">
        <f ca="1">IF(SUM($G264:CQ264)&gt;=$E264,0,IF($E264-SUM($G264:CQ264)&gt;CR265,CR265,$E264-SUM($G265:CQ265)))</f>
        <v>0</v>
      </c>
      <c r="CS264" s="401">
        <f ca="1">IF(SUM($G264:CR264)&gt;=$E264,0,IF($E264-SUM($G264:CR264)&gt;CS265,CS265,$E264-SUM($G265:CR265)))</f>
        <v>0</v>
      </c>
      <c r="CT264" s="401">
        <f ca="1">IF(SUM($G264:CS264)&gt;=$E264,0,IF($E264-SUM($G264:CS264)&gt;CT265,CT265,$E264-SUM($G265:CS265)))</f>
        <v>0</v>
      </c>
      <c r="CU264" s="401">
        <f ca="1">IF(SUM($G264:CT264)&gt;=$E264,0,IF($E264-SUM($G264:CT264)&gt;CU265,CU265,$E264-SUM($G265:CT265)))</f>
        <v>0</v>
      </c>
      <c r="CV264" s="401">
        <f ca="1">IF(SUM($G264:CU264)&gt;=$E264,0,IF($E264-SUM($G264:CU264)&gt;CV265,CV265,$E264-SUM($G265:CU265)))</f>
        <v>0</v>
      </c>
      <c r="CW264" s="401">
        <f ca="1">IF(SUM($G264:CV264)&gt;=$E264,0,IF($E264-SUM($G264:CV264)&gt;CW265,CW265,$E264-SUM($G265:CV265)))</f>
        <v>0</v>
      </c>
      <c r="CX264" s="401">
        <f ca="1">IF(SUM($G264:CW264)&gt;=$E264,0,IF($E264-SUM($G264:CW264)&gt;CX265,CX265,$E264-SUM($G265:CW265)))</f>
        <v>0</v>
      </c>
      <c r="CY264" s="401">
        <f ca="1">IF(SUM($G264:CX264)&gt;=$E264,0,IF($E264-SUM($G264:CX264)&gt;CY265,CY265,$E264-SUM($G265:CX265)))</f>
        <v>0</v>
      </c>
      <c r="CZ264" s="401">
        <f ca="1">IF(SUM($G264:CY264)&gt;=$E264,0,IF($E264-SUM($G264:CY264)&gt;CZ265,CZ265,$E264-SUM($G265:CY265)))</f>
        <v>0</v>
      </c>
      <c r="DA264" s="401">
        <f ca="1">IF(SUM($G264:CZ264)&gt;=$E264,0,IF($E264-SUM($G264:CZ264)&gt;DA265,DA265,$E264-SUM($G265:CZ265)))</f>
        <v>0</v>
      </c>
      <c r="DB264" s="401">
        <f ca="1">IF(SUM($G264:DA264)&gt;=$E264,0,IF($E264-SUM($G264:DA264)&gt;DB265,DB265,$E264-SUM($G265:DA265)))</f>
        <v>0</v>
      </c>
      <c r="DC264" s="401">
        <f ca="1">IF(SUM($G264:DB264)&gt;=$E264,0,IF($E264-SUM($G264:DB264)&gt;DC265,DC265,$E264-SUM($G265:DB265)))</f>
        <v>0</v>
      </c>
      <c r="DD264" s="401">
        <f ca="1">IF(SUM($G264:DC264)&gt;=$E264,0,IF($E264-SUM($G264:DC264)&gt;DD265,DD265,$E264-SUM($G265:DC265)))</f>
        <v>0</v>
      </c>
      <c r="DE264" s="401">
        <f ca="1">IF(SUM($G264:DD264)&gt;=$E264,0,IF($E264-SUM($G264:DD264)&gt;DE265,DE265,$E264-SUM($G265:DD265)))</f>
        <v>0</v>
      </c>
      <c r="DF264" s="401">
        <f ca="1">IF(SUM($G264:DE264)&gt;=$E264,0,IF($E264-SUM($G264:DE264)&gt;DF265,DF265,$E264-SUM($G265:DE265)))</f>
        <v>0</v>
      </c>
      <c r="DG264" s="401">
        <f ca="1">IF(SUM($G264:DF264)&gt;=$E264,0,IF($E264-SUM($G264:DF264)&gt;DG265,DG265,$E264-SUM($G265:DF265)))</f>
        <v>0</v>
      </c>
      <c r="DH264" s="401">
        <f ca="1">IF(SUM($G264:DG264)&gt;=$E264,0,IF($E264-SUM($G264:DG264)&gt;DH265,DH265,$E264-SUM($G265:DG265)))</f>
        <v>0</v>
      </c>
      <c r="DI264" s="401">
        <f ca="1">IF(SUM($G264:DH264)&gt;=$E264,0,IF($E264-SUM($G264:DH264)&gt;DI265,DI265,$E264-SUM($G265:DH265)))</f>
        <v>0</v>
      </c>
      <c r="DJ264" s="401">
        <f ca="1">IF(SUM($G264:DI264)&gt;=$E264,0,IF($E264-SUM($G264:DI264)&gt;DJ265,DJ265,$E264-SUM($G265:DI265)))</f>
        <v>0</v>
      </c>
      <c r="DK264" s="401">
        <f ca="1">IF(SUM($G264:DJ264)&gt;=$E264,0,IF($E264-SUM($G264:DJ264)&gt;DK265,DK265,$E264-SUM($G265:DJ265)))</f>
        <v>0</v>
      </c>
      <c r="DL264" s="401">
        <f ca="1">IF(SUM($G264:DK264)&gt;=$E264,0,IF($E264-SUM($G264:DK264)&gt;DL265,DL265,$E264-SUM($G265:DK265)))</f>
        <v>0</v>
      </c>
      <c r="DM264" s="401">
        <f ca="1">IF(SUM($G264:DL264)&gt;=$E264,0,IF($E264-SUM($G264:DL264)&gt;DM265,DM265,$E264-SUM($G265:DL265)))</f>
        <v>0</v>
      </c>
      <c r="DN264" s="401">
        <f ca="1">IF(SUM($G264:DM264)&gt;=$E264,0,IF($E264-SUM($G264:DM264)&gt;DN265,DN265,$E264-SUM($G265:DM265)))</f>
        <v>0</v>
      </c>
      <c r="DO264" s="401">
        <f ca="1">IF(SUM($G264:DN264)&gt;=$E264,0,IF($E264-SUM($G264:DN264)&gt;DO265,DO265,$E264-SUM($G265:DN265)))</f>
        <v>0</v>
      </c>
      <c r="DP264" s="401">
        <f ca="1">IF(SUM($G264:DO264)&gt;=$E264,0,IF($E264-SUM($G264:DO264)&gt;DP265,DP265,$E264-SUM($G265:DO265)))</f>
        <v>0</v>
      </c>
      <c r="DQ264" s="401">
        <f ca="1">IF(SUM($G264:DP264)&gt;=$E264,0,IF($E264-SUM($G264:DP264)&gt;DQ265,DQ265,$E264-SUM($G265:DP265)))</f>
        <v>0</v>
      </c>
      <c r="DR264" s="401">
        <f ca="1">IF(SUM($G264:DQ264)&gt;=$E264,0,IF($E264-SUM($G264:DQ264)&gt;DR265,DR265,$E264-SUM($G265:DQ265)))</f>
        <v>0</v>
      </c>
      <c r="DS264" s="401">
        <f ca="1">IF(SUM($G264:DR264)&gt;=$E264,0,IF($E264-SUM($G264:DR264)&gt;DS265,DS265,$E264-SUM($G265:DR265)))</f>
        <v>0</v>
      </c>
      <c r="DT264" s="401">
        <f ca="1">IF(SUM($G264:DS264)&gt;=$E264,0,IF($E264-SUM($G264:DS264)&gt;DT265,DT265,$E264-SUM($G265:DS265)))</f>
        <v>0</v>
      </c>
      <c r="DU264" s="401">
        <f ca="1">IF(SUM($G264:DT264)&gt;=$E264,0,IF($E264-SUM($G264:DT264)&gt;DU265,DU265,$E264-SUM($G265:DT265)))</f>
        <v>0</v>
      </c>
      <c r="DV264" s="401">
        <f ca="1">IF(SUM($G264:DU264)&gt;=$E264,0,IF($E264-SUM($G264:DU264)&gt;DV265,DV265,$E264-SUM($G265:DU265)))</f>
        <v>0</v>
      </c>
      <c r="DW264" s="401">
        <f ca="1">IF(SUM($G264:DV264)&gt;=$E264,0,IF($E264-SUM($G264:DV264)&gt;DW265,DW265,$E264-SUM($G265:DV265)))</f>
        <v>0</v>
      </c>
      <c r="DX264" s="401">
        <f ca="1">IF(SUM($G264:DW264)&gt;=$E264,0,IF($E264-SUM($G264:DW264)&gt;DX265,DX265,$E264-SUM($G265:DW265)))</f>
        <v>0</v>
      </c>
      <c r="DY264" s="401">
        <f ca="1">IF(SUM($G264:DX264)&gt;=$E264,0,IF($E264-SUM($G264:DX264)&gt;DY265,DY265,$E264-SUM($G265:DX265)))</f>
        <v>0</v>
      </c>
      <c r="DZ264" s="401">
        <f ca="1">IF(SUM($G264:DY264)&gt;=$E264,0,IF($E264-SUM($G264:DY264)&gt;DZ265,DZ265,$E264-SUM($G265:DY265)))</f>
        <v>0</v>
      </c>
      <c r="EA264" s="401">
        <f ca="1">IF(SUM($G264:DZ264)&gt;=$E264,0,IF($E264-SUM($G264:DZ264)&gt;EA265,EA265,$E264-SUM($G265:DZ265)))</f>
        <v>0</v>
      </c>
      <c r="EB264" s="401">
        <f ca="1">IF(SUM($G264:EA264)&gt;=$E264,0,IF($E264-SUM($G264:EA264)&gt;EB265,EB265,$E264-SUM($G265:EA265)))</f>
        <v>0</v>
      </c>
      <c r="EC264" s="401">
        <f ca="1">IF(SUM($G264:EB264)&gt;=$E264,0,IF($E264-SUM($G264:EB264)&gt;EC265,EC265,$E264-SUM($G265:EB265)))</f>
        <v>0</v>
      </c>
      <c r="ED264" s="401">
        <f ca="1">IF(SUM($G264:EC264)&gt;=$E264,0,IF($E264-SUM($G264:EC264)&gt;ED265,ED265,$E264-SUM($G265:EC265)))</f>
        <v>0</v>
      </c>
      <c r="EE264" s="401">
        <f ca="1">IF(SUM($G264:ED264)&gt;=$E264,0,IF($E264-SUM($G264:ED264)&gt;EE265,EE265,$E264-SUM($G265:ED265)))</f>
        <v>0</v>
      </c>
      <c r="EF264" s="401">
        <f ca="1">IF(SUM($G264:EE264)&gt;=$E264,0,IF($E264-SUM($G264:EE264)&gt;EF265,EF265,$E264-SUM($G265:EE265)))</f>
        <v>0</v>
      </c>
      <c r="EG264" s="401">
        <f ca="1">IF(SUM($G264:EF264)&gt;=$E264,0,IF($E264-SUM($G264:EF264)&gt;EG265,EG265,$E264-SUM($G265:EF265)))</f>
        <v>0</v>
      </c>
      <c r="EH264" s="401">
        <f ca="1">IF(SUM($G264:EG264)&gt;=$E264,0,IF($E264-SUM($G264:EG264)&gt;EH265,EH265,$E264-SUM($G265:EG265)))</f>
        <v>0</v>
      </c>
      <c r="EI264" s="401">
        <f ca="1">IF(SUM($G264:EH264)&gt;=$E264,0,IF($E264-SUM($G264:EH264)&gt;EI265,EI265,$E264-SUM($G265:EH265)))</f>
        <v>0</v>
      </c>
      <c r="EK264" s="313"/>
    </row>
    <row r="265" spans="1:141" hidden="1" outlineLevel="2">
      <c r="A265" s="332"/>
      <c r="B265" s="313"/>
      <c r="C265" s="308"/>
      <c r="D265" s="308"/>
      <c r="E265" s="308"/>
      <c r="G265" s="402"/>
      <c r="H265" s="402">
        <f ca="1">IF((SUM($G260:H260)-$E259*0.3)&lt;0,0,IF((SUM($G260:H260)-$E259*0.3)&lt;H260,SUM($G260:H260)-$E259*0.3,H260))*IF(длительность!$B$11="шпунтовое ограждение",1,0)+IF((SUM($G260:H260)-$E259*0.08)&lt;0,0,IF((SUM($G260:H260)-$E259*0.08)&lt;H260,SUM($G260:H260)-$E259*0.08,H260))*IF(длительность!$B$11="up-down",1,0)+IF((SUM($G260:H260)-$E259*0.2)&lt;0,0,IF((SUM($G260:H260)-$E259*0.2)&lt;H260,SUM($G260:H260)-$E259*0.2,H260))*IF(длительность!$B$11="стена в грунте",1,0)</f>
        <v>0</v>
      </c>
      <c r="I265" s="402">
        <f ca="1">IF((SUM($G260:I260)-$E259*0.3)&lt;0,0,IF((SUM($G260:I260)-$E259*0.3)&lt;I260,SUM($G260:I260)-$E259*0.3,I260))*IF(длительность!$B$11="шпунтовое ограждение",1,0)+IF((SUM($G260:I260)-$E259*0.08)&lt;0,0,IF((SUM($G260:I260)-$E259*0.08)&lt;I260,SUM($G260:I260)-$E259*0.08,I260))*IF(длительность!$B$11="up-down",1,0)+IF((SUM($G260:I260)-$E259*0.2)&lt;0,0,IF((SUM($G260:I260)-$E259*0.2)&lt;I260,SUM($G260:I260)-$E259*0.2,I260))*IF(длительность!$B$11="стена в грунте",1,0)</f>
        <v>0</v>
      </c>
      <c r="J265" s="402">
        <f ca="1">IF((SUM($G260:J260)-$E259*0.3)&lt;0,0,IF((SUM($G260:J260)-$E259*0.3)&lt;J260,SUM($G260:J260)-$E259*0.3,J260))*IF(длительность!$B$11="шпунтовое ограждение",1,0)+IF((SUM($G260:J260)-$E259*0.08)&lt;0,0,IF((SUM($G260:J260)-$E259*0.08)&lt;J260,SUM($G260:J260)-$E259*0.08,J260))*IF(длительность!$B$11="up-down",1,0)+IF((SUM($G260:J260)-$E259*0.2)&lt;0,0,IF((SUM($G260:J260)-$E259*0.2)&lt;J260,SUM($G260:J260)-$E259*0.2,J260))*IF(длительность!$B$11="стена в грунте",1,0)</f>
        <v>0</v>
      </c>
      <c r="K265" s="402">
        <f ca="1">IF((SUM($G260:K260)-$E259*0.3)&lt;0,0,IF((SUM($G260:K260)-$E259*0.3)&lt;K260,SUM($G260:K260)-$E259*0.3,K260))*IF(длительность!$B$11="шпунтовое ограждение",1,0)+IF((SUM($G260:K260)-$E259*0.08)&lt;0,0,IF((SUM($G260:K260)-$E259*0.08)&lt;K260,SUM($G260:K260)-$E259*0.08,K260))*IF(длительность!$B$11="up-down",1,0)+IF((SUM($G260:K260)-$E259*0.2)&lt;0,0,IF((SUM($G260:K260)-$E259*0.2)&lt;K260,SUM($G260:K260)-$E259*0.2,K260))*IF(длительность!$B$11="стена в грунте",1,0)</f>
        <v>0</v>
      </c>
      <c r="L265" s="402">
        <f ca="1">IF((SUM($G260:L260)-$E259*0.3)&lt;0,0,IF((SUM($G260:L260)-$E259*0.3)&lt;L260,SUM($G260:L260)-$E259*0.3,L260))*IF(длительность!$B$11="шпунтовое ограждение",1,0)+IF((SUM($G260:L260)-$E259*0.08)&lt;0,0,IF((SUM($G260:L260)-$E259*0.08)&lt;L260,SUM($G260:L260)-$E259*0.08,L260))*IF(длительность!$B$11="up-down",1,0)+IF((SUM($G260:L260)-$E259*0.2)&lt;0,0,IF((SUM($G260:L260)-$E259*0.2)&lt;L260,SUM($G260:L260)-$E259*0.2,L260))*IF(длительность!$B$11="стена в грунте",1,0)</f>
        <v>0</v>
      </c>
      <c r="M265" s="402">
        <f ca="1">IF((SUM($G260:M260)-$E259*0.3)&lt;0,0,IF((SUM($G260:M260)-$E259*0.3)&lt;M260,SUM($G260:M260)-$E259*0.3,M260))*IF(длительность!$B$11="шпунтовое ограждение",1,0)+IF((SUM($G260:M260)-$E259*0.08)&lt;0,0,IF((SUM($G260:M260)-$E259*0.08)&lt;M260,SUM($G260:M260)-$E259*0.08,M260))*IF(длительность!$B$11="up-down",1,0)+IF((SUM($G260:M260)-$E259*0.2)&lt;0,0,IF((SUM($G260:M260)-$E259*0.2)&lt;M260,SUM($G260:M260)-$E259*0.2,M260))*IF(длительность!$B$11="стена в грунте",1,0)</f>
        <v>0</v>
      </c>
      <c r="N265" s="402">
        <f ca="1">IF((SUM($G260:N260)-$E259*0.3)&lt;0,0,IF((SUM($G260:N260)-$E259*0.3)&lt;N260,SUM($G260:N260)-$E259*0.3,N260))*IF(длительность!$B$11="шпунтовое ограждение",1,0)+IF((SUM($G260:N260)-$E259*0.08)&lt;0,0,IF((SUM($G260:N260)-$E259*0.08)&lt;N260,SUM($G260:N260)-$E259*0.08,N260))*IF(длительность!$B$11="up-down",1,0)+IF((SUM($G260:N260)-$E259*0.2)&lt;0,0,IF((SUM($G260:N260)-$E259*0.2)&lt;N260,SUM($G260:N260)-$E259*0.2,N260))*IF(длительность!$B$11="стена в грунте",1,0)</f>
        <v>0</v>
      </c>
      <c r="O265" s="402">
        <f ca="1">IF((SUM($G260:O260)-$E259*0.3)&lt;0,0,IF((SUM($G260:O260)-$E259*0.3)&lt;O260,SUM($G260:O260)-$E259*0.3,O260))*IF(длительность!$B$11="шпунтовое ограждение",1,0)+IF((SUM($G260:O260)-$E259*0.08)&lt;0,0,IF((SUM($G260:O260)-$E259*0.08)&lt;O260,SUM($G260:O260)-$E259*0.08,O260))*IF(длительность!$B$11="up-down",1,0)+IF((SUM($G260:O260)-$E259*0.2)&lt;0,0,IF((SUM($G260:O260)-$E259*0.2)&lt;O260,SUM($G260:O260)-$E259*0.2,O260))*IF(длительность!$B$11="стена в грунте",1,0)</f>
        <v>0</v>
      </c>
      <c r="P265" s="402">
        <f ca="1">IF((SUM($G260:P260)-$E259*0.3)&lt;0,0,IF((SUM($G260:P260)-$E259*0.3)&lt;P260,SUM($G260:P260)-$E259*0.3,P260))*IF(длительность!$B$11="шпунтовое ограждение",1,0)+IF((SUM($G260:P260)-$E259*0.08)&lt;0,0,IF((SUM($G260:P260)-$E259*0.08)&lt;P260,SUM($G260:P260)-$E259*0.08,P260))*IF(длительность!$B$11="up-down",1,0)+IF((SUM($G260:P260)-$E259*0.2)&lt;0,0,IF((SUM($G260:P260)-$E259*0.2)&lt;P260,SUM($G260:P260)-$E259*0.2,P260))*IF(длительность!$B$11="стена в грунте",1,0)</f>
        <v>0</v>
      </c>
      <c r="Q265" s="402">
        <f ca="1">IF((SUM($G260:Q260)-$E259*0.3)&lt;0,0,IF((SUM($G260:Q260)-$E259*0.3)&lt;Q260,SUM($G260:Q260)-$E259*0.3,Q260))*IF(длительность!$B$11="шпунтовое ограждение",1,0)+IF((SUM($G260:Q260)-$E259*0.08)&lt;0,0,IF((SUM($G260:Q260)-$E259*0.08)&lt;Q260,SUM($G260:Q260)-$E259*0.08,Q260))*IF(длительность!$B$11="up-down",1,0)+IF((SUM($G260:Q260)-$E259*0.2)&lt;0,0,IF((SUM($G260:Q260)-$E259*0.2)&lt;Q260,SUM($G260:Q260)-$E259*0.2,Q260))*IF(длительность!$B$11="стена в грунте",1,0)</f>
        <v>0</v>
      </c>
      <c r="R265" s="402">
        <f ca="1">IF((SUM($G260:R260)-$E259*0.3)&lt;0,0,IF((SUM($G260:R260)-$E259*0.3)&lt;R260,SUM($G260:R260)-$E259*0.3,R260))*IF(длительность!$B$11="шпунтовое ограждение",1,0)+IF((SUM($G260:R260)-$E259*0.08)&lt;0,0,IF((SUM($G260:R260)-$E259*0.08)&lt;R260,SUM($G260:R260)-$E259*0.08,R260))*IF(длительность!$B$11="up-down",1,0)+IF((SUM($G260:R260)-$E259*0.2)&lt;0,0,IF((SUM($G260:R260)-$E259*0.2)&lt;R260,SUM($G260:R260)-$E259*0.2,R260))*IF(длительность!$B$11="стена в грунте",1,0)</f>
        <v>0</v>
      </c>
      <c r="S265" s="402">
        <f ca="1">IF((SUM($G260:S260)-$E259*0.3)&lt;0,0,IF((SUM($G260:S260)-$E259*0.3)&lt;S260,SUM($G260:S260)-$E259*0.3,S260))*IF(длительность!$B$11="шпунтовое ограждение",1,0)+IF((SUM($G260:S260)-$E259*0.08)&lt;0,0,IF((SUM($G260:S260)-$E259*0.08)&lt;S260,SUM($G260:S260)-$E259*0.08,S260))*IF(длительность!$B$11="up-down",1,0)+IF((SUM($G260:S260)-$E259*0.2)&lt;0,0,IF((SUM($G260:S260)-$E259*0.2)&lt;S260,SUM($G260:S260)-$E259*0.2,S260))*IF(длительность!$B$11="стена в грунте",1,0)</f>
        <v>0</v>
      </c>
      <c r="T265" s="402">
        <f ca="1">IF((SUM($G260:T260)-$E259*0.3)&lt;0,0,IF((SUM($G260:T260)-$E259*0.3)&lt;T260,SUM($G260:T260)-$E259*0.3,T260))*IF(длительность!$B$11="шпунтовое ограждение",1,0)+IF((SUM($G260:T260)-$E259*0.08)&lt;0,0,IF((SUM($G260:T260)-$E259*0.08)&lt;T260,SUM($G260:T260)-$E259*0.08,T260))*IF(длительность!$B$11="up-down",1,0)+IF((SUM($G260:T260)-$E259*0.2)&lt;0,0,IF((SUM($G260:T260)-$E259*0.2)&lt;T260,SUM($G260:T260)-$E259*0.2,T260))*IF(длительность!$B$11="стена в грунте",1,0)</f>
        <v>0</v>
      </c>
      <c r="U265" s="402">
        <f ca="1">IF((SUM($G260:U260)-$E259*0.3)&lt;0,0,IF((SUM($G260:U260)-$E259*0.3)&lt;U260,SUM($G260:U260)-$E259*0.3,U260))*IF(длительность!$B$11="шпунтовое ограждение",1,0)+IF((SUM($G260:U260)-$E259*0.08)&lt;0,0,IF((SUM($G260:U260)-$E259*0.08)&lt;U260,SUM($G260:U260)-$E259*0.08,U260))*IF(длительность!$B$11="up-down",1,0)+IF((SUM($G260:U260)-$E259*0.2)&lt;0,0,IF((SUM($G260:U260)-$E259*0.2)&lt;U260,SUM($G260:U260)-$E259*0.2,U260))*IF(длительность!$B$11="стена в грунте",1,0)</f>
        <v>0</v>
      </c>
      <c r="V265" s="402">
        <f ca="1">IF((SUM($G260:V260)-$E259*0.3)&lt;0,0,IF((SUM($G260:V260)-$E259*0.3)&lt;V260,SUM($G260:V260)-$E259*0.3,V260))*IF(длительность!$B$11="шпунтовое ограждение",1,0)+IF((SUM($G260:V260)-$E259*0.08)&lt;0,0,IF((SUM($G260:V260)-$E259*0.08)&lt;V260,SUM($G260:V260)-$E259*0.08,V260))*IF(длительность!$B$11="up-down",1,0)+IF((SUM($G260:V260)-$E259*0.2)&lt;0,0,IF((SUM($G260:V260)-$E259*0.2)&lt;V260,SUM($G260:V260)-$E259*0.2,V260))*IF(длительность!$B$11="стена в грунте",1,0)</f>
        <v>0</v>
      </c>
      <c r="W265" s="402">
        <f ca="1">IF((SUM($G260:W260)-$E259*0.3)&lt;0,0,IF((SUM($G260:W260)-$E259*0.3)&lt;W260,SUM($G260:W260)-$E259*0.3,W260))*IF(длительность!$B$11="шпунтовое ограждение",1,0)+IF((SUM($G260:W260)-$E259*0.08)&lt;0,0,IF((SUM($G260:W260)-$E259*0.08)&lt;W260,SUM($G260:W260)-$E259*0.08,W260))*IF(длительность!$B$11="up-down",1,0)+IF((SUM($G260:W260)-$E259*0.2)&lt;0,0,IF((SUM($G260:W260)-$E259*0.2)&lt;W260,SUM($G260:W260)-$E259*0.2,W260))*IF(длительность!$B$11="стена в грунте",1,0)</f>
        <v>0</v>
      </c>
      <c r="X265" s="402">
        <f ca="1">IF((SUM($G260:X260)-$E259*0.3)&lt;0,0,IF((SUM($G260:X260)-$E259*0.3)&lt;X260,SUM($G260:X260)-$E259*0.3,X260))*IF(длительность!$B$11="шпунтовое ограждение",1,0)+IF((SUM($G260:X260)-$E259*0.08)&lt;0,0,IF((SUM($G260:X260)-$E259*0.08)&lt;X260,SUM($G260:X260)-$E259*0.08,X260))*IF(длительность!$B$11="up-down",1,0)+IF((SUM($G260:X260)-$E259*0.2)&lt;0,0,IF((SUM($G260:X260)-$E259*0.2)&lt;X260,SUM($G260:X260)-$E259*0.2,X260))*IF(длительность!$B$11="стена в грунте",1,0)</f>
        <v>0</v>
      </c>
      <c r="Y265" s="402">
        <f ca="1">IF((SUM($G260:Y260)-$E259*0.3)&lt;0,0,IF((SUM($G260:Y260)-$E259*0.3)&lt;Y260,SUM($G260:Y260)-$E259*0.3,Y260))*IF(длительность!$B$11="шпунтовое ограждение",1,0)+IF((SUM($G260:Y260)-$E259*0.08)&lt;0,0,IF((SUM($G260:Y260)-$E259*0.08)&lt;Y260,SUM($G260:Y260)-$E259*0.08,Y260))*IF(длительность!$B$11="up-down",1,0)+IF((SUM($G260:Y260)-$E259*0.2)&lt;0,0,IF((SUM($G260:Y260)-$E259*0.2)&lt;Y260,SUM($G260:Y260)-$E259*0.2,Y260))*IF(длительность!$B$11="стена в грунте",1,0)</f>
        <v>0</v>
      </c>
      <c r="Z265" s="402">
        <f ca="1">IF((SUM($G260:Z260)-$E259*0.3)&lt;0,0,IF((SUM($G260:Z260)-$E259*0.3)&lt;Z260,SUM($G260:Z260)-$E259*0.3,Z260))*IF(длительность!$B$11="шпунтовое ограждение",1,0)+IF((SUM($G260:Z260)-$E259*0.08)&lt;0,0,IF((SUM($G260:Z260)-$E259*0.08)&lt;Z260,SUM($G260:Z260)-$E259*0.08,Z260))*IF(длительность!$B$11="up-down",1,0)+IF((SUM($G260:Z260)-$E259*0.2)&lt;0,0,IF((SUM($G260:Z260)-$E259*0.2)&lt;Z260,SUM($G260:Z260)-$E259*0.2,Z260))*IF(длительность!$B$11="стена в грунте",1,0)</f>
        <v>0</v>
      </c>
      <c r="AA265" s="402">
        <f ca="1">IF((SUM($G260:AA260)-$E259*0.3)&lt;0,0,IF((SUM($G260:AA260)-$E259*0.3)&lt;AA260,SUM($G260:AA260)-$E259*0.3,AA260))*IF(длительность!$B$11="шпунтовое ограждение",1,0)+IF((SUM($G260:AA260)-$E259*0.08)&lt;0,0,IF((SUM($G260:AA260)-$E259*0.08)&lt;AA260,SUM($G260:AA260)-$E259*0.08,AA260))*IF(длительность!$B$11="up-down",1,0)+IF((SUM($G260:AA260)-$E259*0.2)&lt;0,0,IF((SUM($G260:AA260)-$E259*0.2)&lt;AA260,SUM($G260:AA260)-$E259*0.2,AA260))*IF(длительность!$B$11="стена в грунте",1,0)</f>
        <v>0</v>
      </c>
      <c r="AB265" s="402">
        <f ca="1">IF((SUM($G260:AB260)-$E259*0.3)&lt;0,0,IF((SUM($G260:AB260)-$E259*0.3)&lt;AB260,SUM($G260:AB260)-$E259*0.3,AB260))*IF(длительность!$B$11="шпунтовое ограждение",1,0)+IF((SUM($G260:AB260)-$E259*0.08)&lt;0,0,IF((SUM($G260:AB260)-$E259*0.08)&lt;AB260,SUM($G260:AB260)-$E259*0.08,AB260))*IF(длительность!$B$11="up-down",1,0)+IF((SUM($G260:AB260)-$E259*0.2)&lt;0,0,IF((SUM($G260:AB260)-$E259*0.2)&lt;AB260,SUM($G260:AB260)-$E259*0.2,AB260))*IF(длительность!$B$11="стена в грунте",1,0)</f>
        <v>19</v>
      </c>
      <c r="AC265" s="402">
        <f ca="1">IF((SUM($G260:AC260)-$E259*0.3)&lt;0,0,IF((SUM($G260:AC260)-$E259*0.3)&lt;AC260,SUM($G260:AC260)-$E259*0.3,AC260))*IF(длительность!$B$11="шпунтовое ограждение",1,0)+IF((SUM($G260:AC260)-$E259*0.08)&lt;0,0,IF((SUM($G260:AC260)-$E259*0.08)&lt;AC260,SUM($G260:AC260)-$E259*0.08,AC260))*IF(длительность!$B$11="up-down",1,0)+IF((SUM($G260:AC260)-$E259*0.2)&lt;0,0,IF((SUM($G260:AC260)-$E259*0.2)&lt;AC260,SUM($G260:AC260)-$E259*0.2,AC260))*IF(длительность!$B$11="стена в грунте",1,0)</f>
        <v>31</v>
      </c>
      <c r="AD265" s="402">
        <f ca="1">IF((SUM($G260:AD260)-$E259*0.3)&lt;0,0,IF((SUM($G260:AD260)-$E259*0.3)&lt;AD260,SUM($G260:AD260)-$E259*0.3,AD260))*IF(длительность!$B$11="шпунтовое ограждение",1,0)+IF((SUM($G260:AD260)-$E259*0.08)&lt;0,0,IF((SUM($G260:AD260)-$E259*0.08)&lt;AD260,SUM($G260:AD260)-$E259*0.08,AD260))*IF(длительность!$B$11="up-down",1,0)+IF((SUM($G260:AD260)-$E259*0.2)&lt;0,0,IF((SUM($G260:AD260)-$E259*0.2)&lt;AD260,SUM($G260:AD260)-$E259*0.2,AD260))*IF(длительность!$B$11="стена в грунте",1,0)</f>
        <v>28</v>
      </c>
      <c r="AE265" s="402">
        <f ca="1">IF((SUM($G260:AE260)-$E259*0.3)&lt;0,0,IF((SUM($G260:AE260)-$E259*0.3)&lt;AE260,SUM($G260:AE260)-$E259*0.3,AE260))*IF(длительность!$B$11="шпунтовое ограждение",1,0)+IF((SUM($G260:AE260)-$E259*0.08)&lt;0,0,IF((SUM($G260:AE260)-$E259*0.08)&lt;AE260,SUM($G260:AE260)-$E259*0.08,AE260))*IF(длительность!$B$11="up-down",1,0)+IF((SUM($G260:AE260)-$E259*0.2)&lt;0,0,IF((SUM($G260:AE260)-$E259*0.2)&lt;AE260,SUM($G260:AE260)-$E259*0.2,AE260))*IF(длительность!$B$11="стена в грунте",1,0)</f>
        <v>31</v>
      </c>
      <c r="AF265" s="402">
        <f ca="1">IF((SUM($G260:AF260)-$E259*0.3)&lt;0,0,IF((SUM($G260:AF260)-$E259*0.3)&lt;AF260,SUM($G260:AF260)-$E259*0.3,AF260))*IF(длительность!$B$11="шпунтовое ограждение",1,0)+IF((SUM($G260:AF260)-$E259*0.08)&lt;0,0,IF((SUM($G260:AF260)-$E259*0.08)&lt;AF260,SUM($G260:AF260)-$E259*0.08,AF260))*IF(длительность!$B$11="up-down",1,0)+IF((SUM($G260:AF260)-$E259*0.2)&lt;0,0,IF((SUM($G260:AF260)-$E259*0.2)&lt;AF260,SUM($G260:AF260)-$E259*0.2,AF260))*IF(длительность!$B$11="стена в грунте",1,0)</f>
        <v>30</v>
      </c>
      <c r="AG265" s="402">
        <f ca="1">IF((SUM($G260:AG260)-$E259*0.3)&lt;0,0,IF((SUM($G260:AG260)-$E259*0.3)&lt;AG260,SUM($G260:AG260)-$E259*0.3,AG260))*IF(длительность!$B$11="шпунтовое ограждение",1,0)+IF((SUM($G260:AG260)-$E259*0.08)&lt;0,0,IF((SUM($G260:AG260)-$E259*0.08)&lt;AG260,SUM($G260:AG260)-$E259*0.08,AG260))*IF(длительность!$B$11="up-down",1,0)+IF((SUM($G260:AG260)-$E259*0.2)&lt;0,0,IF((SUM($G260:AG260)-$E259*0.2)&lt;AG260,SUM($G260:AG260)-$E259*0.2,AG260))*IF(длительность!$B$11="стена в грунте",1,0)</f>
        <v>31</v>
      </c>
      <c r="AH265" s="402">
        <f ca="1">IF((SUM($G260:AH260)-$E259*0.3)&lt;0,0,IF((SUM($G260:AH260)-$E259*0.3)&lt;AH260,SUM($G260:AH260)-$E259*0.3,AH260))*IF(длительность!$B$11="шпунтовое ограждение",1,0)+IF((SUM($G260:AH260)-$E259*0.08)&lt;0,0,IF((SUM($G260:AH260)-$E259*0.08)&lt;AH260,SUM($G260:AH260)-$E259*0.08,AH260))*IF(длительность!$B$11="up-down",1,0)+IF((SUM($G260:AH260)-$E259*0.2)&lt;0,0,IF((SUM($G260:AH260)-$E259*0.2)&lt;AH260,SUM($G260:AH260)-$E259*0.2,AH260))*IF(длительность!$B$11="стена в грунте",1,0)</f>
        <v>30</v>
      </c>
      <c r="AI265" s="402">
        <f ca="1">IF((SUM($G260:AI260)-$E259*0.3)&lt;0,0,IF((SUM($G260:AI260)-$E259*0.3)&lt;AI260,SUM($G260:AI260)-$E259*0.3,AI260))*IF(длительность!$B$11="шпунтовое ограждение",1,0)+IF((SUM($G260:AI260)-$E259*0.08)&lt;0,0,IF((SUM($G260:AI260)-$E259*0.08)&lt;AI260,SUM($G260:AI260)-$E259*0.08,AI260))*IF(длительность!$B$11="up-down",1,0)+IF((SUM($G260:AI260)-$E259*0.2)&lt;0,0,IF((SUM($G260:AI260)-$E259*0.2)&lt;AI260,SUM($G260:AI260)-$E259*0.2,AI260))*IF(длительность!$B$11="стена в грунте",1,0)</f>
        <v>31</v>
      </c>
      <c r="AJ265" s="402">
        <f ca="1">IF((SUM($G260:AJ260)-$E259*0.3)&lt;0,0,IF((SUM($G260:AJ260)-$E259*0.3)&lt;AJ260,SUM($G260:AJ260)-$E259*0.3,AJ260))*IF(длительность!$B$11="шпунтовое ограждение",1,0)+IF((SUM($G260:AJ260)-$E259*0.08)&lt;0,0,IF((SUM($G260:AJ260)-$E259*0.08)&lt;AJ260,SUM($G260:AJ260)-$E259*0.08,AJ260))*IF(длительность!$B$11="up-down",1,0)+IF((SUM($G260:AJ260)-$E259*0.2)&lt;0,0,IF((SUM($G260:AJ260)-$E259*0.2)&lt;AJ260,SUM($G260:AJ260)-$E259*0.2,AJ260))*IF(длительность!$B$11="стена в грунте",1,0)</f>
        <v>31</v>
      </c>
      <c r="AK265" s="402">
        <f ca="1">IF((SUM($G260:AK260)-$E259*0.3)&lt;0,0,IF((SUM($G260:AK260)-$E259*0.3)&lt;AK260,SUM($G260:AK260)-$E259*0.3,AK260))*IF(длительность!$B$11="шпунтовое ограждение",1,0)+IF((SUM($G260:AK260)-$E259*0.08)&lt;0,0,IF((SUM($G260:AK260)-$E259*0.08)&lt;AK260,SUM($G260:AK260)-$E259*0.08,AK260))*IF(длительность!$B$11="up-down",1,0)+IF((SUM($G260:AK260)-$E259*0.2)&lt;0,0,IF((SUM($G260:AK260)-$E259*0.2)&lt;AK260,SUM($G260:AK260)-$E259*0.2,AK260))*IF(длительность!$B$11="стена в грунте",1,0)</f>
        <v>30</v>
      </c>
      <c r="AL265" s="402">
        <f ca="1">IF((SUM($G260:AL260)-$E259*0.3)&lt;0,0,IF((SUM($G260:AL260)-$E259*0.3)&lt;AL260,SUM($G260:AL260)-$E259*0.3,AL260))*IF(длительность!$B$11="шпунтовое ограждение",1,0)+IF((SUM($G260:AL260)-$E259*0.08)&lt;0,0,IF((SUM($G260:AL260)-$E259*0.08)&lt;AL260,SUM($G260:AL260)-$E259*0.08,AL260))*IF(длительность!$B$11="up-down",1,0)+IF((SUM($G260:AL260)-$E259*0.2)&lt;0,0,IF((SUM($G260:AL260)-$E259*0.2)&lt;AL260,SUM($G260:AL260)-$E259*0.2,AL260))*IF(длительность!$B$11="стена в грунте",1,0)</f>
        <v>31</v>
      </c>
      <c r="AM265" s="402">
        <f ca="1">IF((SUM($G260:AM260)-$E259*0.3)&lt;0,0,IF((SUM($G260:AM260)-$E259*0.3)&lt;AM260,SUM($G260:AM260)-$E259*0.3,AM260))*IF(длительность!$B$11="шпунтовое ограждение",1,0)+IF((SUM($G260:AM260)-$E259*0.08)&lt;0,0,IF((SUM($G260:AM260)-$E259*0.08)&lt;AM260,SUM($G260:AM260)-$E259*0.08,AM260))*IF(длительность!$B$11="up-down",1,0)+IF((SUM($G260:AM260)-$E259*0.2)&lt;0,0,IF((SUM($G260:AM260)-$E259*0.2)&lt;AM260,SUM($G260:AM260)-$E259*0.2,AM260))*IF(длительность!$B$11="стена в грунте",1,0)</f>
        <v>30</v>
      </c>
      <c r="AN265" s="402">
        <f ca="1">IF((SUM($G260:AN260)-$E259*0.3)&lt;0,0,IF((SUM($G260:AN260)-$E259*0.3)&lt;AN260,SUM($G260:AN260)-$E259*0.3,AN260))*IF(длительность!$B$11="шпунтовое ограждение",1,0)+IF((SUM($G260:AN260)-$E259*0.08)&lt;0,0,IF((SUM($G260:AN260)-$E259*0.08)&lt;AN260,SUM($G260:AN260)-$E259*0.08,AN260))*IF(длительность!$B$11="up-down",1,0)+IF((SUM($G260:AN260)-$E259*0.2)&lt;0,0,IF((SUM($G260:AN260)-$E259*0.2)&lt;AN260,SUM($G260:AN260)-$E259*0.2,AN260))*IF(длительность!$B$11="стена в грунте",1,0)</f>
        <v>31</v>
      </c>
      <c r="AO265" s="402">
        <f ca="1">IF((SUM($G260:AO260)-$E259*0.3)&lt;0,0,IF((SUM($G260:AO260)-$E259*0.3)&lt;AO260,SUM($G260:AO260)-$E259*0.3,AO260))*IF(длительность!$B$11="шпунтовое ограждение",1,0)+IF((SUM($G260:AO260)-$E259*0.08)&lt;0,0,IF((SUM($G260:AO260)-$E259*0.08)&lt;AO260,SUM($G260:AO260)-$E259*0.08,AO260))*IF(длительность!$B$11="up-down",1,0)+IF((SUM($G260:AO260)-$E259*0.2)&lt;0,0,IF((SUM($G260:AO260)-$E259*0.2)&lt;AO260,SUM($G260:AO260)-$E259*0.2,AO260))*IF(длительность!$B$11="стена в грунте",1,0)</f>
        <v>31</v>
      </c>
      <c r="AP265" s="402">
        <f ca="1">IF((SUM($G260:AP260)-$E259*0.3)&lt;0,0,IF((SUM($G260:AP260)-$E259*0.3)&lt;AP260,SUM($G260:AP260)-$E259*0.3,AP260))*IF(длительность!$B$11="шпунтовое ограждение",1,0)+IF((SUM($G260:AP260)-$E259*0.08)&lt;0,0,IF((SUM($G260:AP260)-$E259*0.08)&lt;AP260,SUM($G260:AP260)-$E259*0.08,AP260))*IF(длительность!$B$11="up-down",1,0)+IF((SUM($G260:AP260)-$E259*0.2)&lt;0,0,IF((SUM($G260:AP260)-$E259*0.2)&lt;AP260,SUM($G260:AP260)-$E259*0.2,AP260))*IF(длительность!$B$11="стена в грунте",1,0)</f>
        <v>28</v>
      </c>
      <c r="AQ265" s="402">
        <f ca="1">IF((SUM($G260:AQ260)-$E259*0.3)&lt;0,0,IF((SUM($G260:AQ260)-$E259*0.3)&lt;AQ260,SUM($G260:AQ260)-$E259*0.3,AQ260))*IF(длительность!$B$11="шпунтовое ограждение",1,0)+IF((SUM($G260:AQ260)-$E259*0.08)&lt;0,0,IF((SUM($G260:AQ260)-$E259*0.08)&lt;AQ260,SUM($G260:AQ260)-$E259*0.08,AQ260))*IF(длительность!$B$11="up-down",1,0)+IF((SUM($G260:AQ260)-$E259*0.2)&lt;0,0,IF((SUM($G260:AQ260)-$E259*0.2)&lt;AQ260,SUM($G260:AQ260)-$E259*0.2,AQ260))*IF(длительность!$B$11="стена в грунте",1,0)</f>
        <v>31</v>
      </c>
      <c r="AR265" s="402">
        <f ca="1">IF((SUM($G260:AR260)-$E259*0.3)&lt;0,0,IF((SUM($G260:AR260)-$E259*0.3)&lt;AR260,SUM($G260:AR260)-$E259*0.3,AR260))*IF(длительность!$B$11="шпунтовое ограждение",1,0)+IF((SUM($G260:AR260)-$E259*0.08)&lt;0,0,IF((SUM($G260:AR260)-$E259*0.08)&lt;AR260,SUM($G260:AR260)-$E259*0.08,AR260))*IF(длительность!$B$11="up-down",1,0)+IF((SUM($G260:AR260)-$E259*0.2)&lt;0,0,IF((SUM($G260:AR260)-$E259*0.2)&lt;AR260,SUM($G260:AR260)-$E259*0.2,AR260))*IF(длительность!$B$11="стена в грунте",1,0)</f>
        <v>30</v>
      </c>
      <c r="AS265" s="402">
        <f ca="1">IF((SUM($G260:AS260)-$E259*0.3)&lt;0,0,IF((SUM($G260:AS260)-$E259*0.3)&lt;AS260,SUM($G260:AS260)-$E259*0.3,AS260))*IF(длительность!$B$11="шпунтовое ограждение",1,0)+IF((SUM($G260:AS260)-$E259*0.08)&lt;0,0,IF((SUM($G260:AS260)-$E259*0.08)&lt;AS260,SUM($G260:AS260)-$E259*0.08,AS260))*IF(длительность!$B$11="up-down",1,0)+IF((SUM($G260:AS260)-$E259*0.2)&lt;0,0,IF((SUM($G260:AS260)-$E259*0.2)&lt;AS260,SUM($G260:AS260)-$E259*0.2,AS260))*IF(длительность!$B$11="стена в грунте",1,0)</f>
        <v>31</v>
      </c>
      <c r="AT265" s="402">
        <f ca="1">IF((SUM($G260:AT260)-$E259*0.3)&lt;0,0,IF((SUM($G260:AT260)-$E259*0.3)&lt;AT260,SUM($G260:AT260)-$E259*0.3,AT260))*IF(длительность!$B$11="шпунтовое ограждение",1,0)+IF((SUM($G260:AT260)-$E259*0.08)&lt;0,0,IF((SUM($G260:AT260)-$E259*0.08)&lt;AT260,SUM($G260:AT260)-$E259*0.08,AT260))*IF(длительность!$B$11="up-down",1,0)+IF((SUM($G260:AT260)-$E259*0.2)&lt;0,0,IF((SUM($G260:AT260)-$E259*0.2)&lt;AT260,SUM($G260:AT260)-$E259*0.2,AT260))*IF(длительность!$B$11="стена в грунте",1,0)</f>
        <v>30</v>
      </c>
      <c r="AU265" s="402">
        <f ca="1">IF((SUM($G260:AU260)-$E259*0.3)&lt;0,0,IF((SUM($G260:AU260)-$E259*0.3)&lt;AU260,SUM($G260:AU260)-$E259*0.3,AU260))*IF(длительность!$B$11="шпунтовое ограждение",1,0)+IF((SUM($G260:AU260)-$E259*0.08)&lt;0,0,IF((SUM($G260:AU260)-$E259*0.08)&lt;AU260,SUM($G260:AU260)-$E259*0.08,AU260))*IF(длительность!$B$11="up-down",1,0)+IF((SUM($G260:AU260)-$E259*0.2)&lt;0,0,IF((SUM($G260:AU260)-$E259*0.2)&lt;AU260,SUM($G260:AU260)-$E259*0.2,AU260))*IF(длительность!$B$11="стена в грунте",1,0)</f>
        <v>31</v>
      </c>
      <c r="AV265" s="402">
        <f ca="1">IF((SUM($G260:AV260)-$E259*0.3)&lt;0,0,IF((SUM($G260:AV260)-$E259*0.3)&lt;AV260,SUM($G260:AV260)-$E259*0.3,AV260))*IF(длительность!$B$11="шпунтовое ограждение",1,0)+IF((SUM($G260:AV260)-$E259*0.08)&lt;0,0,IF((SUM($G260:AV260)-$E259*0.08)&lt;AV260,SUM($G260:AV260)-$E259*0.08,AV260))*IF(длительность!$B$11="up-down",1,0)+IF((SUM($G260:AV260)-$E259*0.2)&lt;0,0,IF((SUM($G260:AV260)-$E259*0.2)&lt;AV260,SUM($G260:AV260)-$E259*0.2,AV260))*IF(длительность!$B$11="стена в грунте",1,0)</f>
        <v>31</v>
      </c>
      <c r="AW265" s="402">
        <f ca="1">IF((SUM($G260:AW260)-$E259*0.3)&lt;0,0,IF((SUM($G260:AW260)-$E259*0.3)&lt;AW260,SUM($G260:AW260)-$E259*0.3,AW260))*IF(длительность!$B$11="шпунтовое ограждение",1,0)+IF((SUM($G260:AW260)-$E259*0.08)&lt;0,0,IF((SUM($G260:AW260)-$E259*0.08)&lt;AW260,SUM($G260:AW260)-$E259*0.08,AW260))*IF(длительность!$B$11="up-down",1,0)+IF((SUM($G260:AW260)-$E259*0.2)&lt;0,0,IF((SUM($G260:AW260)-$E259*0.2)&lt;AW260,SUM($G260:AW260)-$E259*0.2,AW260))*IF(длительность!$B$11="стена в грунте",1,0)</f>
        <v>30</v>
      </c>
      <c r="AX265" s="402">
        <f ca="1">IF((SUM($G260:AX260)-$E259*0.3)&lt;0,0,IF((SUM($G260:AX260)-$E259*0.3)&lt;AX260,SUM($G260:AX260)-$E259*0.3,AX260))*IF(длительность!$B$11="шпунтовое ограждение",1,0)+IF((SUM($G260:AX260)-$E259*0.08)&lt;0,0,IF((SUM($G260:AX260)-$E259*0.08)&lt;AX260,SUM($G260:AX260)-$E259*0.08,AX260))*IF(длительность!$B$11="up-down",1,0)+IF((SUM($G260:AX260)-$E259*0.2)&lt;0,0,IF((SUM($G260:AX260)-$E259*0.2)&lt;AX260,SUM($G260:AX260)-$E259*0.2,AX260))*IF(длительность!$B$11="стена в грунте",1,0)</f>
        <v>31</v>
      </c>
      <c r="AY265" s="402">
        <f ca="1">IF((SUM($G260:AY260)-$E259*0.3)&lt;0,0,IF((SUM($G260:AY260)-$E259*0.3)&lt;AY260,SUM($G260:AY260)-$E259*0.3,AY260))*IF(длительность!$B$11="шпунтовое ограждение",1,0)+IF((SUM($G260:AY260)-$E259*0.08)&lt;0,0,IF((SUM($G260:AY260)-$E259*0.08)&lt;AY260,SUM($G260:AY260)-$E259*0.08,AY260))*IF(длительность!$B$11="up-down",1,0)+IF((SUM($G260:AY260)-$E259*0.2)&lt;0,0,IF((SUM($G260:AY260)-$E259*0.2)&lt;AY260,SUM($G260:AY260)-$E259*0.2,AY260))*IF(длительность!$B$11="стена в грунте",1,0)</f>
        <v>30</v>
      </c>
      <c r="AZ265" s="402">
        <f ca="1">IF((SUM($G260:AZ260)-$E259*0.3)&lt;0,0,IF((SUM($G260:AZ260)-$E259*0.3)&lt;AZ260,SUM($G260:AZ260)-$E259*0.3,AZ260))*IF(длительность!$B$11="шпунтовое ограждение",1,0)+IF((SUM($G260:AZ260)-$E259*0.08)&lt;0,0,IF((SUM($G260:AZ260)-$E259*0.08)&lt;AZ260,SUM($G260:AZ260)-$E259*0.08,AZ260))*IF(длительность!$B$11="up-down",1,0)+IF((SUM($G260:AZ260)-$E259*0.2)&lt;0,0,IF((SUM($G260:AZ260)-$E259*0.2)&lt;AZ260,SUM($G260:AZ260)-$E259*0.2,AZ260))*IF(длительность!$B$11="стена в грунте",1,0)</f>
        <v>31</v>
      </c>
      <c r="BA265" s="402">
        <f ca="1">IF((SUM($G260:BA260)-$E259*0.3)&lt;0,0,IF((SUM($G260:BA260)-$E259*0.3)&lt;BA260,SUM($G260:BA260)-$E259*0.3,BA260))*IF(длительность!$B$11="шпунтовое ограждение",1,0)+IF((SUM($G260:BA260)-$E259*0.08)&lt;0,0,IF((SUM($G260:BA260)-$E259*0.08)&lt;BA260,SUM($G260:BA260)-$E259*0.08,BA260))*IF(длительность!$B$11="up-down",1,0)+IF((SUM($G260:BA260)-$E259*0.2)&lt;0,0,IF((SUM($G260:BA260)-$E259*0.2)&lt;BA260,SUM($G260:BA260)-$E259*0.2,BA260))*IF(длительность!$B$11="стена в грунте",1,0)</f>
        <v>31</v>
      </c>
      <c r="BB265" s="402">
        <f ca="1">IF((SUM($G260:BB260)-$E259*0.3)&lt;0,0,IF((SUM($G260:BB260)-$E259*0.3)&lt;BB260,SUM($G260:BB260)-$E259*0.3,BB260))*IF(длительность!$B$11="шпунтовое ограждение",1,0)+IF((SUM($G260:BB260)-$E259*0.08)&lt;0,0,IF((SUM($G260:BB260)-$E259*0.08)&lt;BB260,SUM($G260:BB260)-$E259*0.08,BB260))*IF(длительность!$B$11="up-down",1,0)+IF((SUM($G260:BB260)-$E259*0.2)&lt;0,0,IF((SUM($G260:BB260)-$E259*0.2)&lt;BB260,SUM($G260:BB260)-$E259*0.2,BB260))*IF(длительность!$B$11="стена в грунте",1,0)</f>
        <v>28</v>
      </c>
      <c r="BC265" s="402">
        <f ca="1">IF((SUM($G260:BC260)-$E259*0.3)&lt;0,0,IF((SUM($G260:BC260)-$E259*0.3)&lt;BC260,SUM($G260:BC260)-$E259*0.3,BC260))*IF(длительность!$B$11="шпунтовое ограждение",1,0)+IF((SUM($G260:BC260)-$E259*0.08)&lt;0,0,IF((SUM($G260:BC260)-$E259*0.08)&lt;BC260,SUM($G260:BC260)-$E259*0.08,BC260))*IF(длительность!$B$11="up-down",1,0)+IF((SUM($G260:BC260)-$E259*0.2)&lt;0,0,IF((SUM($G260:BC260)-$E259*0.2)&lt;BC260,SUM($G260:BC260)-$E259*0.2,BC260))*IF(длительность!$B$11="стена в грунте",1,0)</f>
        <v>31</v>
      </c>
      <c r="BD265" s="402">
        <f ca="1">IF((SUM($G260:BD260)-$E259*0.3)&lt;0,0,IF((SUM($G260:BD260)-$E259*0.3)&lt;BD260,SUM($G260:BD260)-$E259*0.3,BD260))*IF(длительность!$B$11="шпунтовое ограждение",1,0)+IF((SUM($G260:BD260)-$E259*0.08)&lt;0,0,IF((SUM($G260:BD260)-$E259*0.08)&lt;BD260,SUM($G260:BD260)-$E259*0.08,BD260))*IF(длительность!$B$11="up-down",1,0)+IF((SUM($G260:BD260)-$E259*0.2)&lt;0,0,IF((SUM($G260:BD260)-$E259*0.2)&lt;BD260,SUM($G260:BD260)-$E259*0.2,BD260))*IF(длительность!$B$11="стена в грунте",1,0)</f>
        <v>30</v>
      </c>
      <c r="BE265" s="402">
        <f ca="1">IF((SUM($G260:BE260)-$E259*0.3)&lt;0,0,IF((SUM($G260:BE260)-$E259*0.3)&lt;BE260,SUM($G260:BE260)-$E259*0.3,BE260))*IF(длительность!$B$11="шпунтовое ограждение",1,0)+IF((SUM($G260:BE260)-$E259*0.08)&lt;0,0,IF((SUM($G260:BE260)-$E259*0.08)&lt;BE260,SUM($G260:BE260)-$E259*0.08,BE260))*IF(длительность!$B$11="up-down",1,0)+IF((SUM($G260:BE260)-$E259*0.2)&lt;0,0,IF((SUM($G260:BE260)-$E259*0.2)&lt;BE260,SUM($G260:BE260)-$E259*0.2,BE260))*IF(длительность!$B$11="стена в грунте",1,0)</f>
        <v>31</v>
      </c>
      <c r="BF265" s="402">
        <f ca="1">IF((SUM($G260:BF260)-$E259*0.3)&lt;0,0,IF((SUM($G260:BF260)-$E259*0.3)&lt;BF260,SUM($G260:BF260)-$E259*0.3,BF260))*IF(длительность!$B$11="шпунтовое ограждение",1,0)+IF((SUM($G260:BF260)-$E259*0.08)&lt;0,0,IF((SUM($G260:BF260)-$E259*0.08)&lt;BF260,SUM($G260:BF260)-$E259*0.08,BF260))*IF(длительность!$B$11="up-down",1,0)+IF((SUM($G260:BF260)-$E259*0.2)&lt;0,0,IF((SUM($G260:BF260)-$E259*0.2)&lt;BF260,SUM($G260:BF260)-$E259*0.2,BF260))*IF(длительность!$B$11="стена в грунте",1,0)</f>
        <v>30</v>
      </c>
      <c r="BG265" s="402">
        <f ca="1">IF((SUM($G260:BG260)-$E259*0.3)&lt;0,0,IF((SUM($G260:BG260)-$E259*0.3)&lt;BG260,SUM($G260:BG260)-$E259*0.3,BG260))*IF(длительность!$B$11="шпунтовое ограждение",1,0)+IF((SUM($G260:BG260)-$E259*0.08)&lt;0,0,IF((SUM($G260:BG260)-$E259*0.08)&lt;BG260,SUM($G260:BG260)-$E259*0.08,BG260))*IF(длительность!$B$11="up-down",1,0)+IF((SUM($G260:BG260)-$E259*0.2)&lt;0,0,IF((SUM($G260:BG260)-$E259*0.2)&lt;BG260,SUM($G260:BG260)-$E259*0.2,BG260))*IF(длительность!$B$11="стена в грунте",1,0)</f>
        <v>31</v>
      </c>
      <c r="BH265" s="402">
        <f ca="1">IF((SUM($G260:BH260)-$E259*0.3)&lt;0,0,IF((SUM($G260:BH260)-$E259*0.3)&lt;BH260,SUM($G260:BH260)-$E259*0.3,BH260))*IF(длительность!$B$11="шпунтовое ограждение",1,0)+IF((SUM($G260:BH260)-$E259*0.08)&lt;0,0,IF((SUM($G260:BH260)-$E259*0.08)&lt;BH260,SUM($G260:BH260)-$E259*0.08,BH260))*IF(длительность!$B$11="up-down",1,0)+IF((SUM($G260:BH260)-$E259*0.2)&lt;0,0,IF((SUM($G260:BH260)-$E259*0.2)&lt;BH260,SUM($G260:BH260)-$E259*0.2,BH260))*IF(длительность!$B$11="стена в грунте",1,0)</f>
        <v>31</v>
      </c>
      <c r="BI265" s="402">
        <f ca="1">IF((SUM($G260:BI260)-$E259*0.3)&lt;0,0,IF((SUM($G260:BI260)-$E259*0.3)&lt;BI260,SUM($G260:BI260)-$E259*0.3,BI260))*IF(длительность!$B$11="шпунтовое ограждение",1,0)+IF((SUM($G260:BI260)-$E259*0.08)&lt;0,0,IF((SUM($G260:BI260)-$E259*0.08)&lt;BI260,SUM($G260:BI260)-$E259*0.08,BI260))*IF(длительность!$B$11="up-down",1,0)+IF((SUM($G260:BI260)-$E259*0.2)&lt;0,0,IF((SUM($G260:BI260)-$E259*0.2)&lt;BI260,SUM($G260:BI260)-$E259*0.2,BI260))*IF(длительность!$B$11="стена в грунте",1,0)</f>
        <v>30</v>
      </c>
      <c r="BJ265" s="402">
        <f ca="1">IF((SUM($G260:BJ260)-$E259*0.3)&lt;0,0,IF((SUM($G260:BJ260)-$E259*0.3)&lt;BJ260,SUM($G260:BJ260)-$E259*0.3,BJ260))*IF(длительность!$B$11="шпунтовое ограждение",1,0)+IF((SUM($G260:BJ260)-$E259*0.08)&lt;0,0,IF((SUM($G260:BJ260)-$E259*0.08)&lt;BJ260,SUM($G260:BJ260)-$E259*0.08,BJ260))*IF(длительность!$B$11="up-down",1,0)+IF((SUM($G260:BJ260)-$E259*0.2)&lt;0,0,IF((SUM($G260:BJ260)-$E259*0.2)&lt;BJ260,SUM($G260:BJ260)-$E259*0.2,BJ260))*IF(длительность!$B$11="стена в грунте",1,0)</f>
        <v>31</v>
      </c>
      <c r="BK265" s="402">
        <f ca="1">IF((SUM($G260:BK260)-$E259*0.3)&lt;0,0,IF((SUM($G260:BK260)-$E259*0.3)&lt;BK260,SUM($G260:BK260)-$E259*0.3,BK260))*IF(длительность!$B$11="шпунтовое ограждение",1,0)+IF((SUM($G260:BK260)-$E259*0.08)&lt;0,0,IF((SUM($G260:BK260)-$E259*0.08)&lt;BK260,SUM($G260:BK260)-$E259*0.08,BK260))*IF(длительность!$B$11="up-down",1,0)+IF((SUM($G260:BK260)-$E259*0.2)&lt;0,0,IF((SUM($G260:BK260)-$E259*0.2)&lt;BK260,SUM($G260:BK260)-$E259*0.2,BK260))*IF(длительность!$B$11="стена в грунте",1,0)</f>
        <v>30</v>
      </c>
      <c r="BL265" s="402">
        <f ca="1">IF((SUM($G260:BL260)-$E259*0.3)&lt;0,0,IF((SUM($G260:BL260)-$E259*0.3)&lt;BL260,SUM($G260:BL260)-$E259*0.3,BL260))*IF(длительность!$B$11="шпунтовое ограждение",1,0)+IF((SUM($G260:BL260)-$E259*0.08)&lt;0,0,IF((SUM($G260:BL260)-$E259*0.08)&lt;BL260,SUM($G260:BL260)-$E259*0.08,BL260))*IF(длительность!$B$11="up-down",1,0)+IF((SUM($G260:BL260)-$E259*0.2)&lt;0,0,IF((SUM($G260:BL260)-$E259*0.2)&lt;BL260,SUM($G260:BL260)-$E259*0.2,BL260))*IF(длительность!$B$11="стена в грунте",1,0)</f>
        <v>31</v>
      </c>
      <c r="BM265" s="402">
        <f ca="1">IF((SUM($G260:BM260)-$E259*0.3)&lt;0,0,IF((SUM($G260:BM260)-$E259*0.3)&lt;BM260,SUM($G260:BM260)-$E259*0.3,BM260))*IF(длительность!$B$11="шпунтовое ограждение",1,0)+IF((SUM($G260:BM260)-$E259*0.08)&lt;0,0,IF((SUM($G260:BM260)-$E259*0.08)&lt;BM260,SUM($G260:BM260)-$E259*0.08,BM260))*IF(длительность!$B$11="up-down",1,0)+IF((SUM($G260:BM260)-$E259*0.2)&lt;0,0,IF((SUM($G260:BM260)-$E259*0.2)&lt;BM260,SUM($G260:BM260)-$E259*0.2,BM260))*IF(длительность!$B$11="стена в грунте",1,0)</f>
        <v>31</v>
      </c>
      <c r="BN265" s="402">
        <f ca="1">IF((SUM($G260:BN260)-$E259*0.3)&lt;0,0,IF((SUM($G260:BN260)-$E259*0.3)&lt;BN260,SUM($G260:BN260)-$E259*0.3,BN260))*IF(длительность!$B$11="шпунтовое ограждение",1,0)+IF((SUM($G260:BN260)-$E259*0.08)&lt;0,0,IF((SUM($G260:BN260)-$E259*0.08)&lt;BN260,SUM($G260:BN260)-$E259*0.08,BN260))*IF(длительность!$B$11="up-down",1,0)+IF((SUM($G260:BN260)-$E259*0.2)&lt;0,0,IF((SUM($G260:BN260)-$E259*0.2)&lt;BN260,SUM($G260:BN260)-$E259*0.2,BN260))*IF(длительность!$B$11="стена в грунте",1,0)</f>
        <v>29</v>
      </c>
      <c r="BO265" s="402">
        <f ca="1">IF((SUM($G260:BO260)-$E259*0.3)&lt;0,0,IF((SUM($G260:BO260)-$E259*0.3)&lt;BO260,SUM($G260:BO260)-$E259*0.3,BO260))*IF(длительность!$B$11="шпунтовое ограждение",1,0)+IF((SUM($G260:BO260)-$E259*0.08)&lt;0,0,IF((SUM($G260:BO260)-$E259*0.08)&lt;BO260,SUM($G260:BO260)-$E259*0.08,BO260))*IF(длительность!$B$11="up-down",1,0)+IF((SUM($G260:BO260)-$E259*0.2)&lt;0,0,IF((SUM($G260:BO260)-$E259*0.2)&lt;BO260,SUM($G260:BO260)-$E259*0.2,BO260))*IF(длительность!$B$11="стена в грунте",1,0)</f>
        <v>31</v>
      </c>
      <c r="BP265" s="402">
        <f ca="1">IF((SUM($G260:BP260)-$E259*0.3)&lt;0,0,IF((SUM($G260:BP260)-$E259*0.3)&lt;BP260,SUM($G260:BP260)-$E259*0.3,BP260))*IF(длительность!$B$11="шпунтовое ограждение",1,0)+IF((SUM($G260:BP260)-$E259*0.08)&lt;0,0,IF((SUM($G260:BP260)-$E259*0.08)&lt;BP260,SUM($G260:BP260)-$E259*0.08,BP260))*IF(длительность!$B$11="up-down",1,0)+IF((SUM($G260:BP260)-$E259*0.2)&lt;0,0,IF((SUM($G260:BP260)-$E259*0.2)&lt;BP260,SUM($G260:BP260)-$E259*0.2,BP260))*IF(длительность!$B$11="стена в грунте",1,0)</f>
        <v>30</v>
      </c>
      <c r="BQ265" s="402">
        <f ca="1">IF((SUM($G260:BQ260)-$E259*0.3)&lt;0,0,IF((SUM($G260:BQ260)-$E259*0.3)&lt;BQ260,SUM($G260:BQ260)-$E259*0.3,BQ260))*IF(длительность!$B$11="шпунтовое ограждение",1,0)+IF((SUM($G260:BQ260)-$E259*0.08)&lt;0,0,IF((SUM($G260:BQ260)-$E259*0.08)&lt;BQ260,SUM($G260:BQ260)-$E259*0.08,BQ260))*IF(длительность!$B$11="up-down",1,0)+IF((SUM($G260:BQ260)-$E259*0.2)&lt;0,0,IF((SUM($G260:BQ260)-$E259*0.2)&lt;BQ260,SUM($G260:BQ260)-$E259*0.2,BQ260))*IF(длительность!$B$11="стена в грунте",1,0)</f>
        <v>31</v>
      </c>
      <c r="BR265" s="402">
        <f ca="1">IF((SUM($G260:BR260)-$E259*0.3)&lt;0,0,IF((SUM($G260:BR260)-$E259*0.3)&lt;BR260,SUM($G260:BR260)-$E259*0.3,BR260))*IF(длительность!$B$11="шпунтовое ограждение",1,0)+IF((SUM($G260:BR260)-$E259*0.08)&lt;0,0,IF((SUM($G260:BR260)-$E259*0.08)&lt;BR260,SUM($G260:BR260)-$E259*0.08,BR260))*IF(длительность!$B$11="up-down",1,0)+IF((SUM($G260:BR260)-$E259*0.2)&lt;0,0,IF((SUM($G260:BR260)-$E259*0.2)&lt;BR260,SUM($G260:BR260)-$E259*0.2,BR260))*IF(длительность!$B$11="стена в грунте",1,0)</f>
        <v>30</v>
      </c>
      <c r="BS265" s="402">
        <f ca="1">IF((SUM($G260:BS260)-$E259*0.3)&lt;0,0,IF((SUM($G260:BS260)-$E259*0.3)&lt;BS260,SUM($G260:BS260)-$E259*0.3,BS260))*IF(длительность!$B$11="шпунтовое ограждение",1,0)+IF((SUM($G260:BS260)-$E259*0.08)&lt;0,0,IF((SUM($G260:BS260)-$E259*0.08)&lt;BS260,SUM($G260:BS260)-$E259*0.08,BS260))*IF(длительность!$B$11="up-down",1,0)+IF((SUM($G260:BS260)-$E259*0.2)&lt;0,0,IF((SUM($G260:BS260)-$E259*0.2)&lt;BS260,SUM($G260:BS260)-$E259*0.2,BS260))*IF(длительность!$B$11="стена в грунте",1,0)</f>
        <v>31</v>
      </c>
      <c r="BT265" s="402">
        <f ca="1">IF((SUM($G260:BT260)-$E259*0.3)&lt;0,0,IF((SUM($G260:BT260)-$E259*0.3)&lt;BT260,SUM($G260:BT260)-$E259*0.3,BT260))*IF(длительность!$B$11="шпунтовое ограждение",1,0)+IF((SUM($G260:BT260)-$E259*0.08)&lt;0,0,IF((SUM($G260:BT260)-$E259*0.08)&lt;BT260,SUM($G260:BT260)-$E259*0.08,BT260))*IF(длительность!$B$11="up-down",1,0)+IF((SUM($G260:BT260)-$E259*0.2)&lt;0,0,IF((SUM($G260:BT260)-$E259*0.2)&lt;BT260,SUM($G260:BT260)-$E259*0.2,BT260))*IF(длительность!$B$11="стена в грунте",1,0)</f>
        <v>31</v>
      </c>
      <c r="BU265" s="402">
        <f ca="1">IF((SUM($G260:BU260)-$E259*0.3)&lt;0,0,IF((SUM($G260:BU260)-$E259*0.3)&lt;BU260,SUM($G260:BU260)-$E259*0.3,BU260))*IF(длительность!$B$11="шпунтовое ограждение",1,0)+IF((SUM($G260:BU260)-$E259*0.08)&lt;0,0,IF((SUM($G260:BU260)-$E259*0.08)&lt;BU260,SUM($G260:BU260)-$E259*0.08,BU260))*IF(длительность!$B$11="up-down",1,0)+IF((SUM($G260:BU260)-$E259*0.2)&lt;0,0,IF((SUM($G260:BU260)-$E259*0.2)&lt;BU260,SUM($G260:BU260)-$E259*0.2,BU260))*IF(длительность!$B$11="стена в грунте",1,0)</f>
        <v>30</v>
      </c>
      <c r="BV265" s="402">
        <f ca="1">IF((SUM($G260:BV260)-$E259*0.3)&lt;0,0,IF((SUM($G260:BV260)-$E259*0.3)&lt;BV260,SUM($G260:BV260)-$E259*0.3,BV260))*IF(длительность!$B$11="шпунтовое ограждение",1,0)+IF((SUM($G260:BV260)-$E259*0.08)&lt;0,0,IF((SUM($G260:BV260)-$E259*0.08)&lt;BV260,SUM($G260:BV260)-$E259*0.08,BV260))*IF(длительность!$B$11="up-down",1,0)+IF((SUM($G260:BV260)-$E259*0.2)&lt;0,0,IF((SUM($G260:BV260)-$E259*0.2)&lt;BV260,SUM($G260:BV260)-$E259*0.2,BV260))*IF(длительность!$B$11="стена в грунте",1,0)</f>
        <v>31</v>
      </c>
      <c r="BW265" s="402">
        <f ca="1">IF((SUM($G260:BW260)-$E259*0.3)&lt;0,0,IF((SUM($G260:BW260)-$E259*0.3)&lt;BW260,SUM($G260:BW260)-$E259*0.3,BW260))*IF(длительность!$B$11="шпунтовое ограждение",1,0)+IF((SUM($G260:BW260)-$E259*0.08)&lt;0,0,IF((SUM($G260:BW260)-$E259*0.08)&lt;BW260,SUM($G260:BW260)-$E259*0.08,BW260))*IF(длительность!$B$11="up-down",1,0)+IF((SUM($G260:BW260)-$E259*0.2)&lt;0,0,IF((SUM($G260:BW260)-$E259*0.2)&lt;BW260,SUM($G260:BW260)-$E259*0.2,BW260))*IF(длительность!$B$11="стена в грунте",1,0)</f>
        <v>30</v>
      </c>
      <c r="BX265" s="402">
        <f ca="1">IF((SUM($G260:BX260)-$E259*0.3)&lt;0,0,IF((SUM($G260:BX260)-$E259*0.3)&lt;BX260,SUM($G260:BX260)-$E259*0.3,BX260))*IF(длительность!$B$11="шпунтовое ограждение",1,0)+IF((SUM($G260:BX260)-$E259*0.08)&lt;0,0,IF((SUM($G260:BX260)-$E259*0.08)&lt;BX260,SUM($G260:BX260)-$E259*0.08,BX260))*IF(длительность!$B$11="up-down",1,0)+IF((SUM($G260:BX260)-$E259*0.2)&lt;0,0,IF((SUM($G260:BX260)-$E259*0.2)&lt;BX260,SUM($G260:BX260)-$E259*0.2,BX260))*IF(длительность!$B$11="стена в грунте",1,0)</f>
        <v>31</v>
      </c>
      <c r="BY265" s="402">
        <f ca="1">IF((SUM($G260:BY260)-$E259*0.3)&lt;0,0,IF((SUM($G260:BY260)-$E259*0.3)&lt;BY260,SUM($G260:BY260)-$E259*0.3,BY260))*IF(длительность!$B$11="шпунтовое ограждение",1,0)+IF((SUM($G260:BY260)-$E259*0.08)&lt;0,0,IF((SUM($G260:BY260)-$E259*0.08)&lt;BY260,SUM($G260:BY260)-$E259*0.08,BY260))*IF(длительность!$B$11="up-down",1,0)+IF((SUM($G260:BY260)-$E259*0.2)&lt;0,0,IF((SUM($G260:BY260)-$E259*0.2)&lt;BY260,SUM($G260:BY260)-$E259*0.2,BY260))*IF(длительность!$B$11="стена в грунте",1,0)</f>
        <v>31</v>
      </c>
      <c r="BZ265" s="402">
        <f ca="1">IF((SUM($G260:BZ260)-$E259*0.3)&lt;0,0,IF((SUM($G260:BZ260)-$E259*0.3)&lt;BZ260,SUM($G260:BZ260)-$E259*0.3,BZ260))*IF(длительность!$B$11="шпунтовое ограждение",1,0)+IF((SUM($G260:BZ260)-$E259*0.08)&lt;0,0,IF((SUM($G260:BZ260)-$E259*0.08)&lt;BZ260,SUM($G260:BZ260)-$E259*0.08,BZ260))*IF(длительность!$B$11="up-down",1,0)+IF((SUM($G260:BZ260)-$E259*0.2)&lt;0,0,IF((SUM($G260:BZ260)-$E259*0.2)&lt;BZ260,SUM($G260:BZ260)-$E259*0.2,BZ260))*IF(длительность!$B$11="стена в грунте",1,0)</f>
        <v>28</v>
      </c>
      <c r="CA265" s="402">
        <f ca="1">IF((SUM($G260:CA260)-$E259*0.3)&lt;0,0,IF((SUM($G260:CA260)-$E259*0.3)&lt;CA260,SUM($G260:CA260)-$E259*0.3,CA260))*IF(длительность!$B$11="шпунтовое ограждение",1,0)+IF((SUM($G260:CA260)-$E259*0.08)&lt;0,0,IF((SUM($G260:CA260)-$E259*0.08)&lt;CA260,SUM($G260:CA260)-$E259*0.08,CA260))*IF(длительность!$B$11="up-down",1,0)+IF((SUM($G260:CA260)-$E259*0.2)&lt;0,0,IF((SUM($G260:CA260)-$E259*0.2)&lt;CA260,SUM($G260:CA260)-$E259*0.2,CA260))*IF(длительность!$B$11="стена в грунте",1,0)</f>
        <v>31</v>
      </c>
      <c r="CB265" s="402">
        <f ca="1">IF((SUM($G260:CB260)-$E259*0.3)&lt;0,0,IF((SUM($G260:CB260)-$E259*0.3)&lt;CB260,SUM($G260:CB260)-$E259*0.3,CB260))*IF(длительность!$B$11="шпунтовое ограждение",1,0)+IF((SUM($G260:CB260)-$E259*0.08)&lt;0,0,IF((SUM($G260:CB260)-$E259*0.08)&lt;CB260,SUM($G260:CB260)-$E259*0.08,CB260))*IF(длительность!$B$11="up-down",1,0)+IF((SUM($G260:CB260)-$E259*0.2)&lt;0,0,IF((SUM($G260:CB260)-$E259*0.2)&lt;CB260,SUM($G260:CB260)-$E259*0.2,CB260))*IF(длительность!$B$11="стена в грунте",1,0)</f>
        <v>30</v>
      </c>
      <c r="CC265" s="402">
        <f ca="1">IF((SUM($G260:CC260)-$E259*0.3)&lt;0,0,IF((SUM($G260:CC260)-$E259*0.3)&lt;CC260,SUM($G260:CC260)-$E259*0.3,CC260))*IF(длительность!$B$11="шпунтовое ограждение",1,0)+IF((SUM($G260:CC260)-$E259*0.08)&lt;0,0,IF((SUM($G260:CC260)-$E259*0.08)&lt;CC260,SUM($G260:CC260)-$E259*0.08,CC260))*IF(длительность!$B$11="up-down",1,0)+IF((SUM($G260:CC260)-$E259*0.2)&lt;0,0,IF((SUM($G260:CC260)-$E259*0.2)&lt;CC260,SUM($G260:CC260)-$E259*0.2,CC260))*IF(длительность!$B$11="стена в грунте",1,0)</f>
        <v>31</v>
      </c>
      <c r="CD265" s="402">
        <f ca="1">IF((SUM($G260:CD260)-$E259*0.3)&lt;0,0,IF((SUM($G260:CD260)-$E259*0.3)&lt;CD260,SUM($G260:CD260)-$E259*0.3,CD260))*IF(длительность!$B$11="шпунтовое ограждение",1,0)+IF((SUM($G260:CD260)-$E259*0.08)&lt;0,0,IF((SUM($G260:CD260)-$E259*0.08)&lt;CD260,SUM($G260:CD260)-$E259*0.08,CD260))*IF(длительность!$B$11="up-down",1,0)+IF((SUM($G260:CD260)-$E259*0.2)&lt;0,0,IF((SUM($G260:CD260)-$E259*0.2)&lt;CD260,SUM($G260:CD260)-$E259*0.2,CD260))*IF(длительность!$B$11="стена в грунте",1,0)</f>
        <v>30</v>
      </c>
      <c r="CE265" s="402">
        <f ca="1">IF((SUM($G260:CE260)-$E259*0.3)&lt;0,0,IF((SUM($G260:CE260)-$E259*0.3)&lt;CE260,SUM($G260:CE260)-$E259*0.3,CE260))*IF(длительность!$B$11="шпунтовое ограждение",1,0)+IF((SUM($G260:CE260)-$E259*0.08)&lt;0,0,IF((SUM($G260:CE260)-$E259*0.08)&lt;CE260,SUM($G260:CE260)-$E259*0.08,CE260))*IF(длительность!$B$11="up-down",1,0)+IF((SUM($G260:CE260)-$E259*0.2)&lt;0,0,IF((SUM($G260:CE260)-$E259*0.2)&lt;CE260,SUM($G260:CE260)-$E259*0.2,CE260))*IF(длительность!$B$11="стена в грунте",1,0)</f>
        <v>31</v>
      </c>
      <c r="CF265" s="402">
        <f ca="1">IF((SUM($G260:CF260)-$E259*0.3)&lt;0,0,IF((SUM($G260:CF260)-$E259*0.3)&lt;CF260,SUM($G260:CF260)-$E259*0.3,CF260))*IF(длительность!$B$11="шпунтовое ограждение",1,0)+IF((SUM($G260:CF260)-$E259*0.08)&lt;0,0,IF((SUM($G260:CF260)-$E259*0.08)&lt;CF260,SUM($G260:CF260)-$E259*0.08,CF260))*IF(длительность!$B$11="up-down",1,0)+IF((SUM($G260:CF260)-$E259*0.2)&lt;0,0,IF((SUM($G260:CF260)-$E259*0.2)&lt;CF260,SUM($G260:CF260)-$E259*0.2,CF260))*IF(длительность!$B$11="стена в грунте",1,0)</f>
        <v>31</v>
      </c>
      <c r="CG265" s="402">
        <f ca="1">IF((SUM($G260:CG260)-$E259*0.3)&lt;0,0,IF((SUM($G260:CG260)-$E259*0.3)&lt;CG260,SUM($G260:CG260)-$E259*0.3,CG260))*IF(длительность!$B$11="шпунтовое ограждение",1,0)+IF((SUM($G260:CG260)-$E259*0.08)&lt;0,0,IF((SUM($G260:CG260)-$E259*0.08)&lt;CG260,SUM($G260:CG260)-$E259*0.08,CG260))*IF(длительность!$B$11="up-down",1,0)+IF((SUM($G260:CG260)-$E259*0.2)&lt;0,0,IF((SUM($G260:CG260)-$E259*0.2)&lt;CG260,SUM($G260:CG260)-$E259*0.2,CG260))*IF(длительность!$B$11="стена в грунте",1,0)</f>
        <v>30</v>
      </c>
      <c r="CH265" s="402">
        <f ca="1">IF((SUM($G260:CH260)-$E259*0.3)&lt;0,0,IF((SUM($G260:CH260)-$E259*0.3)&lt;CH260,SUM($G260:CH260)-$E259*0.3,CH260))*IF(длительность!$B$11="шпунтовое ограждение",1,0)+IF((SUM($G260:CH260)-$E259*0.08)&lt;0,0,IF((SUM($G260:CH260)-$E259*0.08)&lt;CH260,SUM($G260:CH260)-$E259*0.08,CH260))*IF(длительность!$B$11="up-down",1,0)+IF((SUM($G260:CH260)-$E259*0.2)&lt;0,0,IF((SUM($G260:CH260)-$E259*0.2)&lt;CH260,SUM($G260:CH260)-$E259*0.2,CH260))*IF(длительность!$B$11="стена в грунте",1,0)</f>
        <v>31</v>
      </c>
      <c r="CI265" s="402">
        <f ca="1">IF((SUM($G260:CI260)-$E259*0.3)&lt;0,0,IF((SUM($G260:CI260)-$E259*0.3)&lt;CI260,SUM($G260:CI260)-$E259*0.3,CI260))*IF(длительность!$B$11="шпунтовое ограждение",1,0)+IF((SUM($G260:CI260)-$E259*0.08)&lt;0,0,IF((SUM($G260:CI260)-$E259*0.08)&lt;CI260,SUM($G260:CI260)-$E259*0.08,CI260))*IF(длительность!$B$11="up-down",1,0)+IF((SUM($G260:CI260)-$E259*0.2)&lt;0,0,IF((SUM($G260:CI260)-$E259*0.2)&lt;CI260,SUM($G260:CI260)-$E259*0.2,CI260))*IF(длительность!$B$11="стена в грунте",1,0)</f>
        <v>30</v>
      </c>
      <c r="CJ265" s="402">
        <f ca="1">IF((SUM($G260:CJ260)-$E259*0.3)&lt;0,0,IF((SUM($G260:CJ260)-$E259*0.3)&lt;CJ260,SUM($G260:CJ260)-$E259*0.3,CJ260))*IF(длительность!$B$11="шпунтовое ограждение",1,0)+IF((SUM($G260:CJ260)-$E259*0.08)&lt;0,0,IF((SUM($G260:CJ260)-$E259*0.08)&lt;CJ260,SUM($G260:CJ260)-$E259*0.08,CJ260))*IF(длительность!$B$11="up-down",1,0)+IF((SUM($G260:CJ260)-$E259*0.2)&lt;0,0,IF((SUM($G260:CJ260)-$E259*0.2)&lt;CJ260,SUM($G260:CJ260)-$E259*0.2,CJ260))*IF(длительность!$B$11="стена в грунте",1,0)</f>
        <v>31</v>
      </c>
      <c r="CK265" s="402">
        <f ca="1">IF((SUM($G260:CK260)-$E259*0.3)&lt;0,0,IF((SUM($G260:CK260)-$E259*0.3)&lt;CK260,SUM($G260:CK260)-$E259*0.3,CK260))*IF(длительность!$B$11="шпунтовое ограждение",1,0)+IF((SUM($G260:CK260)-$E259*0.08)&lt;0,0,IF((SUM($G260:CK260)-$E259*0.08)&lt;CK260,SUM($G260:CK260)-$E259*0.08,CK260))*IF(длительность!$B$11="up-down",1,0)+IF((SUM($G260:CK260)-$E259*0.2)&lt;0,0,IF((SUM($G260:CK260)-$E259*0.2)&lt;CK260,SUM($G260:CK260)-$E259*0.2,CK260))*IF(длительность!$B$11="стена в грунте",1,0)</f>
        <v>31</v>
      </c>
      <c r="CL265" s="402">
        <f ca="1">IF((SUM($G260:CL260)-$E259*0.3)&lt;0,0,IF((SUM($G260:CL260)-$E259*0.3)&lt;CL260,SUM($G260:CL260)-$E259*0.3,CL260))*IF(длительность!$B$11="шпунтовое ограждение",1,0)+IF((SUM($G260:CL260)-$E259*0.08)&lt;0,0,IF((SUM($G260:CL260)-$E259*0.08)&lt;CL260,SUM($G260:CL260)-$E259*0.08,CL260))*IF(длительность!$B$11="up-down",1,0)+IF((SUM($G260:CL260)-$E259*0.2)&lt;0,0,IF((SUM($G260:CL260)-$E259*0.2)&lt;CL260,SUM($G260:CL260)-$E259*0.2,CL260))*IF(длительность!$B$11="стена в грунте",1,0)</f>
        <v>28</v>
      </c>
      <c r="CM265" s="402">
        <f ca="1">IF((SUM($G260:CM260)-$E259*0.3)&lt;0,0,IF((SUM($G260:CM260)-$E259*0.3)&lt;CM260,SUM($G260:CM260)-$E259*0.3,CM260))*IF(длительность!$B$11="шпунтовое ограждение",1,0)+IF((SUM($G260:CM260)-$E259*0.08)&lt;0,0,IF((SUM($G260:CM260)-$E259*0.08)&lt;CM260,SUM($G260:CM260)-$E259*0.08,CM260))*IF(длительность!$B$11="up-down",1,0)+IF((SUM($G260:CM260)-$E259*0.2)&lt;0,0,IF((SUM($G260:CM260)-$E259*0.2)&lt;CM260,SUM($G260:CM260)-$E259*0.2,CM260))*IF(длительность!$B$11="стена в грунте",1,0)</f>
        <v>31</v>
      </c>
      <c r="CN265" s="402">
        <f ca="1">IF((SUM($G260:CN260)-$E259*0.3)&lt;0,0,IF((SUM($G260:CN260)-$E259*0.3)&lt;CN260,SUM($G260:CN260)-$E259*0.3,CN260))*IF(длительность!$B$11="шпунтовое ограждение",1,0)+IF((SUM($G260:CN260)-$E259*0.08)&lt;0,0,IF((SUM($G260:CN260)-$E259*0.08)&lt;CN260,SUM($G260:CN260)-$E259*0.08,CN260))*IF(длительность!$B$11="up-down",1,0)+IF((SUM($G260:CN260)-$E259*0.2)&lt;0,0,IF((SUM($G260:CN260)-$E259*0.2)&lt;CN260,SUM($G260:CN260)-$E259*0.2,CN260))*IF(длительность!$B$11="стена в грунте",1,0)</f>
        <v>30</v>
      </c>
      <c r="CO265" s="402">
        <f ca="1">IF((SUM($G260:CO260)-$E259*0.3)&lt;0,0,IF((SUM($G260:CO260)-$E259*0.3)&lt;CO260,SUM($G260:CO260)-$E259*0.3,CO260))*IF(длительность!$B$11="шпунтовое ограждение",1,0)+IF((SUM($G260:CO260)-$E259*0.08)&lt;0,0,IF((SUM($G260:CO260)-$E259*0.08)&lt;CO260,SUM($G260:CO260)-$E259*0.08,CO260))*IF(длительность!$B$11="up-down",1,0)+IF((SUM($G260:CO260)-$E259*0.2)&lt;0,0,IF((SUM($G260:CO260)-$E259*0.2)&lt;CO260,SUM($G260:CO260)-$E259*0.2,CO260))*IF(длительность!$B$11="стена в грунте",1,0)</f>
        <v>31</v>
      </c>
      <c r="CP265" s="402">
        <f ca="1">IF((SUM($G260:CP260)-$E259*0.3)&lt;0,0,IF((SUM($G260:CP260)-$E259*0.3)&lt;CP260,SUM($G260:CP260)-$E259*0.3,CP260))*IF(длительность!$B$11="шпунтовое ограждение",1,0)+IF((SUM($G260:CP260)-$E259*0.08)&lt;0,0,IF((SUM($G260:CP260)-$E259*0.08)&lt;CP260,SUM($G260:CP260)-$E259*0.08,CP260))*IF(длительность!$B$11="up-down",1,0)+IF((SUM($G260:CP260)-$E259*0.2)&lt;0,0,IF((SUM($G260:CP260)-$E259*0.2)&lt;CP260,SUM($G260:CP260)-$E259*0.2,CP260))*IF(длительность!$B$11="стена в грунте",1,0)</f>
        <v>30</v>
      </c>
      <c r="CQ265" s="402">
        <f ca="1">IF((SUM($G260:CQ260)-$E259*0.3)&lt;0,0,IF((SUM($G260:CQ260)-$E259*0.3)&lt;CQ260,SUM($G260:CQ260)-$E259*0.3,CQ260))*IF(длительность!$B$11="шпунтовое ограждение",1,0)+IF((SUM($G260:CQ260)-$E259*0.08)&lt;0,0,IF((SUM($G260:CQ260)-$E259*0.08)&lt;CQ260,SUM($G260:CQ260)-$E259*0.08,CQ260))*IF(длительность!$B$11="up-down",1,0)+IF((SUM($G260:CQ260)-$E259*0.2)&lt;0,0,IF((SUM($G260:CQ260)-$E259*0.2)&lt;CQ260,SUM($G260:CQ260)-$E259*0.2,CQ260))*IF(длительность!$B$11="стена в грунте",1,0)</f>
        <v>31</v>
      </c>
      <c r="CR265" s="402">
        <f ca="1">IF((SUM($G260:CR260)-$E259*0.3)&lt;0,0,IF((SUM($G260:CR260)-$E259*0.3)&lt;CR260,SUM($G260:CR260)-$E259*0.3,CR260))*IF(длительность!$B$11="шпунтовое ограждение",1,0)+IF((SUM($G260:CR260)-$E259*0.08)&lt;0,0,IF((SUM($G260:CR260)-$E259*0.08)&lt;CR260,SUM($G260:CR260)-$E259*0.08,CR260))*IF(длительность!$B$11="up-down",1,0)+IF((SUM($G260:CR260)-$E259*0.2)&lt;0,0,IF((SUM($G260:CR260)-$E259*0.2)&lt;CR260,SUM($G260:CR260)-$E259*0.2,CR260))*IF(длительность!$B$11="стена в грунте",1,0)</f>
        <v>31</v>
      </c>
      <c r="CS265" s="402">
        <f ca="1">IF((SUM($G260:CS260)-$E259*0.3)&lt;0,0,IF((SUM($G260:CS260)-$E259*0.3)&lt;CS260,SUM($G260:CS260)-$E259*0.3,CS260))*IF(длительность!$B$11="шпунтовое ограждение",1,0)+IF((SUM($G260:CS260)-$E259*0.08)&lt;0,0,IF((SUM($G260:CS260)-$E259*0.08)&lt;CS260,SUM($G260:CS260)-$E259*0.08,CS260))*IF(длительность!$B$11="up-down",1,0)+IF((SUM($G260:CS260)-$E259*0.2)&lt;0,0,IF((SUM($G260:CS260)-$E259*0.2)&lt;CS260,SUM($G260:CS260)-$E259*0.2,CS260))*IF(длительность!$B$11="стена в грунте",1,0)</f>
        <v>30</v>
      </c>
      <c r="CT265" s="402">
        <f ca="1">IF((SUM($G260:CT260)-$E259*0.3)&lt;0,0,IF((SUM($G260:CT260)-$E259*0.3)&lt;CT260,SUM($G260:CT260)-$E259*0.3,CT260))*IF(длительность!$B$11="шпунтовое ограждение",1,0)+IF((SUM($G260:CT260)-$E259*0.08)&lt;0,0,IF((SUM($G260:CT260)-$E259*0.08)&lt;CT260,SUM($G260:CT260)-$E259*0.08,CT260))*IF(длительность!$B$11="up-down",1,0)+IF((SUM($G260:CT260)-$E259*0.2)&lt;0,0,IF((SUM($G260:CT260)-$E259*0.2)&lt;CT260,SUM($G260:CT260)-$E259*0.2,CT260))*IF(длительность!$B$11="стена в грунте",1,0)</f>
        <v>31</v>
      </c>
      <c r="CU265" s="402">
        <f ca="1">IF((SUM($G260:CU260)-$E259*0.3)&lt;0,0,IF((SUM($G260:CU260)-$E259*0.3)&lt;CU260,SUM($G260:CU260)-$E259*0.3,CU260))*IF(длительность!$B$11="шпунтовое ограждение",1,0)+IF((SUM($G260:CU260)-$E259*0.08)&lt;0,0,IF((SUM($G260:CU260)-$E259*0.08)&lt;CU260,SUM($G260:CU260)-$E259*0.08,CU260))*IF(длительность!$B$11="up-down",1,0)+IF((SUM($G260:CU260)-$E259*0.2)&lt;0,0,IF((SUM($G260:CU260)-$E259*0.2)&lt;CU260,SUM($G260:CU260)-$E259*0.2,CU260))*IF(длительность!$B$11="стена в грунте",1,0)</f>
        <v>30</v>
      </c>
      <c r="CV265" s="402">
        <f ca="1">IF((SUM($G260:CV260)-$E259*0.3)&lt;0,0,IF((SUM($G260:CV260)-$E259*0.3)&lt;CV260,SUM($G260:CV260)-$E259*0.3,CV260))*IF(длительность!$B$11="шпунтовое ограждение",1,0)+IF((SUM($G260:CV260)-$E259*0.08)&lt;0,0,IF((SUM($G260:CV260)-$E259*0.08)&lt;CV260,SUM($G260:CV260)-$E259*0.08,CV260))*IF(длительность!$B$11="up-down",1,0)+IF((SUM($G260:CV260)-$E259*0.2)&lt;0,0,IF((SUM($G260:CV260)-$E259*0.2)&lt;CV260,SUM($G260:CV260)-$E259*0.2,CV260))*IF(длительность!$B$11="стена в грунте",1,0)</f>
        <v>31</v>
      </c>
      <c r="CW265" s="402">
        <f ca="1">IF((SUM($G260:CW260)-$E259*0.3)&lt;0,0,IF((SUM($G260:CW260)-$E259*0.3)&lt;CW260,SUM($G260:CW260)-$E259*0.3,CW260))*IF(длительность!$B$11="шпунтовое ограждение",1,0)+IF((SUM($G260:CW260)-$E259*0.08)&lt;0,0,IF((SUM($G260:CW260)-$E259*0.08)&lt;CW260,SUM($G260:CW260)-$E259*0.08,CW260))*IF(длительность!$B$11="up-down",1,0)+IF((SUM($G260:CW260)-$E259*0.2)&lt;0,0,IF((SUM($G260:CW260)-$E259*0.2)&lt;CW260,SUM($G260:CW260)-$E259*0.2,CW260))*IF(длительность!$B$11="стена в грунте",1,0)</f>
        <v>31</v>
      </c>
      <c r="CX265" s="402">
        <f ca="1">IF((SUM($G260:CX260)-$E259*0.3)&lt;0,0,IF((SUM($G260:CX260)-$E259*0.3)&lt;CX260,SUM($G260:CX260)-$E259*0.3,CX260))*IF(длительность!$B$11="шпунтовое ограждение",1,0)+IF((SUM($G260:CX260)-$E259*0.08)&lt;0,0,IF((SUM($G260:CX260)-$E259*0.08)&lt;CX260,SUM($G260:CX260)-$E259*0.08,CX260))*IF(длительность!$B$11="up-down",1,0)+IF((SUM($G260:CX260)-$E259*0.2)&lt;0,0,IF((SUM($G260:CX260)-$E259*0.2)&lt;CX260,SUM($G260:CX260)-$E259*0.2,CX260))*IF(длительность!$B$11="стена в грунте",1,0)</f>
        <v>28</v>
      </c>
      <c r="CY265" s="402">
        <f ca="1">IF((SUM($G260:CY260)-$E259*0.3)&lt;0,0,IF((SUM($G260:CY260)-$E259*0.3)&lt;CY260,SUM($G260:CY260)-$E259*0.3,CY260))*IF(длительность!$B$11="шпунтовое ограждение",1,0)+IF((SUM($G260:CY260)-$E259*0.08)&lt;0,0,IF((SUM($G260:CY260)-$E259*0.08)&lt;CY260,SUM($G260:CY260)-$E259*0.08,CY260))*IF(длительность!$B$11="up-down",1,0)+IF((SUM($G260:CY260)-$E259*0.2)&lt;0,0,IF((SUM($G260:CY260)-$E259*0.2)&lt;CY260,SUM($G260:CY260)-$E259*0.2,CY260))*IF(длительность!$B$11="стена в грунте",1,0)</f>
        <v>31</v>
      </c>
      <c r="CZ265" s="402">
        <f ca="1">IF((SUM($G260:CZ260)-$E259*0.3)&lt;0,0,IF((SUM($G260:CZ260)-$E259*0.3)&lt;CZ260,SUM($G260:CZ260)-$E259*0.3,CZ260))*IF(длительность!$B$11="шпунтовое ограждение",1,0)+IF((SUM($G260:CZ260)-$E259*0.08)&lt;0,0,IF((SUM($G260:CZ260)-$E259*0.08)&lt;CZ260,SUM($G260:CZ260)-$E259*0.08,CZ260))*IF(длительность!$B$11="up-down",1,0)+IF((SUM($G260:CZ260)-$E259*0.2)&lt;0,0,IF((SUM($G260:CZ260)-$E259*0.2)&lt;CZ260,SUM($G260:CZ260)-$E259*0.2,CZ260))*IF(длительность!$B$11="стена в грунте",1,0)</f>
        <v>30</v>
      </c>
      <c r="DA265" s="402">
        <f ca="1">IF((SUM($G260:DA260)-$E259*0.3)&lt;0,0,IF((SUM($G260:DA260)-$E259*0.3)&lt;DA260,SUM($G260:DA260)-$E259*0.3,DA260))*IF(длительность!$B$11="шпунтовое ограждение",1,0)+IF((SUM($G260:DA260)-$E259*0.08)&lt;0,0,IF((SUM($G260:DA260)-$E259*0.08)&lt;DA260,SUM($G260:DA260)-$E259*0.08,DA260))*IF(длительность!$B$11="up-down",1,0)+IF((SUM($G260:DA260)-$E259*0.2)&lt;0,0,IF((SUM($G260:DA260)-$E259*0.2)&lt;DA260,SUM($G260:DA260)-$E259*0.2,DA260))*IF(длительность!$B$11="стена в грунте",1,0)</f>
        <v>31</v>
      </c>
      <c r="DB265" s="402">
        <f ca="1">IF((SUM($G260:DB260)-$E259*0.3)&lt;0,0,IF((SUM($G260:DB260)-$E259*0.3)&lt;DB260,SUM($G260:DB260)-$E259*0.3,DB260))*IF(длительность!$B$11="шпунтовое ограждение",1,0)+IF((SUM($G260:DB260)-$E259*0.08)&lt;0,0,IF((SUM($G260:DB260)-$E259*0.08)&lt;DB260,SUM($G260:DB260)-$E259*0.08,DB260))*IF(длительность!$B$11="up-down",1,0)+IF((SUM($G260:DB260)-$E259*0.2)&lt;0,0,IF((SUM($G260:DB260)-$E259*0.2)&lt;DB260,SUM($G260:DB260)-$E259*0.2,DB260))*IF(длительность!$B$11="стена в грунте",1,0)</f>
        <v>30</v>
      </c>
      <c r="DC265" s="402">
        <f ca="1">IF((SUM($G260:DC260)-$E259*0.3)&lt;0,0,IF((SUM($G260:DC260)-$E259*0.3)&lt;DC260,SUM($G260:DC260)-$E259*0.3,DC260))*IF(длительность!$B$11="шпунтовое ограждение",1,0)+IF((SUM($G260:DC260)-$E259*0.08)&lt;0,0,IF((SUM($G260:DC260)-$E259*0.08)&lt;DC260,SUM($G260:DC260)-$E259*0.08,DC260))*IF(длительность!$B$11="up-down",1,0)+IF((SUM($G260:DC260)-$E259*0.2)&lt;0,0,IF((SUM($G260:DC260)-$E259*0.2)&lt;DC260,SUM($G260:DC260)-$E259*0.2,DC260))*IF(длительность!$B$11="стена в грунте",1,0)</f>
        <v>31</v>
      </c>
      <c r="DD265" s="402">
        <f ca="1">IF((SUM($G260:DD260)-$E259*0.3)&lt;0,0,IF((SUM($G260:DD260)-$E259*0.3)&lt;DD260,SUM($G260:DD260)-$E259*0.3,DD260))*IF(длительность!$B$11="шпунтовое ограждение",1,0)+IF((SUM($G260:DD260)-$E259*0.08)&lt;0,0,IF((SUM($G260:DD260)-$E259*0.08)&lt;DD260,SUM($G260:DD260)-$E259*0.08,DD260))*IF(длительность!$B$11="up-down",1,0)+IF((SUM($G260:DD260)-$E259*0.2)&lt;0,0,IF((SUM($G260:DD260)-$E259*0.2)&lt;DD260,SUM($G260:DD260)-$E259*0.2,DD260))*IF(длительность!$B$11="стена в грунте",1,0)</f>
        <v>31</v>
      </c>
      <c r="DE265" s="402">
        <f ca="1">IF((SUM($G260:DE260)-$E259*0.3)&lt;0,0,IF((SUM($G260:DE260)-$E259*0.3)&lt;DE260,SUM($G260:DE260)-$E259*0.3,DE260))*IF(длительность!$B$11="шпунтовое ограждение",1,0)+IF((SUM($G260:DE260)-$E259*0.08)&lt;0,0,IF((SUM($G260:DE260)-$E259*0.08)&lt;DE260,SUM($G260:DE260)-$E259*0.08,DE260))*IF(длительность!$B$11="up-down",1,0)+IF((SUM($G260:DE260)-$E259*0.2)&lt;0,0,IF((SUM($G260:DE260)-$E259*0.2)&lt;DE260,SUM($G260:DE260)-$E259*0.2,DE260))*IF(длительность!$B$11="стена в грунте",1,0)</f>
        <v>30</v>
      </c>
      <c r="DF265" s="402">
        <f ca="1">IF((SUM($G260:DF260)-$E259*0.3)&lt;0,0,IF((SUM($G260:DF260)-$E259*0.3)&lt;DF260,SUM($G260:DF260)-$E259*0.3,DF260))*IF(длительность!$B$11="шпунтовое ограждение",1,0)+IF((SUM($G260:DF260)-$E259*0.08)&lt;0,0,IF((SUM($G260:DF260)-$E259*0.08)&lt;DF260,SUM($G260:DF260)-$E259*0.08,DF260))*IF(длительность!$B$11="up-down",1,0)+IF((SUM($G260:DF260)-$E259*0.2)&lt;0,0,IF((SUM($G260:DF260)-$E259*0.2)&lt;DF260,SUM($G260:DF260)-$E259*0.2,DF260))*IF(длительность!$B$11="стена в грунте",1,0)</f>
        <v>31</v>
      </c>
      <c r="DG265" s="402">
        <f ca="1">IF((SUM($G260:DG260)-$E259*0.3)&lt;0,0,IF((SUM($G260:DG260)-$E259*0.3)&lt;DG260,SUM($G260:DG260)-$E259*0.3,DG260))*IF(длительность!$B$11="шпунтовое ограждение",1,0)+IF((SUM($G260:DG260)-$E259*0.08)&lt;0,0,IF((SUM($G260:DG260)-$E259*0.08)&lt;DG260,SUM($G260:DG260)-$E259*0.08,DG260))*IF(длительность!$B$11="up-down",1,0)+IF((SUM($G260:DG260)-$E259*0.2)&lt;0,0,IF((SUM($G260:DG260)-$E259*0.2)&lt;DG260,SUM($G260:DG260)-$E259*0.2,DG260))*IF(длительность!$B$11="стена в грунте",1,0)</f>
        <v>30</v>
      </c>
      <c r="DH265" s="402">
        <f ca="1">IF((SUM($G260:DH260)-$E259*0.3)&lt;0,0,IF((SUM($G260:DH260)-$E259*0.3)&lt;DH260,SUM($G260:DH260)-$E259*0.3,DH260))*IF(длительность!$B$11="шпунтовое ограждение",1,0)+IF((SUM($G260:DH260)-$E259*0.08)&lt;0,0,IF((SUM($G260:DH260)-$E259*0.08)&lt;DH260,SUM($G260:DH260)-$E259*0.08,DH260))*IF(длительность!$B$11="up-down",1,0)+IF((SUM($G260:DH260)-$E259*0.2)&lt;0,0,IF((SUM($G260:DH260)-$E259*0.2)&lt;DH260,SUM($G260:DH260)-$E259*0.2,DH260))*IF(длительность!$B$11="стена в грунте",1,0)</f>
        <v>31</v>
      </c>
      <c r="DI265" s="402">
        <f ca="1">IF((SUM($G260:DI260)-$E259*0.3)&lt;0,0,IF((SUM($G260:DI260)-$E259*0.3)&lt;DI260,SUM($G260:DI260)-$E259*0.3,DI260))*IF(длительность!$B$11="шпунтовое ограждение",1,0)+IF((SUM($G260:DI260)-$E259*0.08)&lt;0,0,IF((SUM($G260:DI260)-$E259*0.08)&lt;DI260,SUM($G260:DI260)-$E259*0.08,DI260))*IF(длительность!$B$11="up-down",1,0)+IF((SUM($G260:DI260)-$E259*0.2)&lt;0,0,IF((SUM($G260:DI260)-$E259*0.2)&lt;DI260,SUM($G260:DI260)-$E259*0.2,DI260))*IF(длительность!$B$11="стена в грунте",1,0)</f>
        <v>31</v>
      </c>
      <c r="DJ265" s="402">
        <f ca="1">IF((SUM($G260:DJ260)-$E259*0.3)&lt;0,0,IF((SUM($G260:DJ260)-$E259*0.3)&lt;DJ260,SUM($G260:DJ260)-$E259*0.3,DJ260))*IF(длительность!$B$11="шпунтовое ограждение",1,0)+IF((SUM($G260:DJ260)-$E259*0.08)&lt;0,0,IF((SUM($G260:DJ260)-$E259*0.08)&lt;DJ260,SUM($G260:DJ260)-$E259*0.08,DJ260))*IF(длительность!$B$11="up-down",1,0)+IF((SUM($G260:DJ260)-$E259*0.2)&lt;0,0,IF((SUM($G260:DJ260)-$E259*0.2)&lt;DJ260,SUM($G260:DJ260)-$E259*0.2,DJ260))*IF(длительность!$B$11="стена в грунте",1,0)</f>
        <v>29</v>
      </c>
      <c r="DK265" s="402">
        <f ca="1">IF((SUM($G260:DK260)-$E259*0.3)&lt;0,0,IF((SUM($G260:DK260)-$E259*0.3)&lt;DK260,SUM($G260:DK260)-$E259*0.3,DK260))*IF(длительность!$B$11="шпунтовое ограждение",1,0)+IF((SUM($G260:DK260)-$E259*0.08)&lt;0,0,IF((SUM($G260:DK260)-$E259*0.08)&lt;DK260,SUM($G260:DK260)-$E259*0.08,DK260))*IF(длительность!$B$11="up-down",1,0)+IF((SUM($G260:DK260)-$E259*0.2)&lt;0,0,IF((SUM($G260:DK260)-$E259*0.2)&lt;DK260,SUM($G260:DK260)-$E259*0.2,DK260))*IF(длительность!$B$11="стена в грунте",1,0)</f>
        <v>31</v>
      </c>
      <c r="DL265" s="402">
        <f ca="1">IF((SUM($G260:DL260)-$E259*0.3)&lt;0,0,IF((SUM($G260:DL260)-$E259*0.3)&lt;DL260,SUM($G260:DL260)-$E259*0.3,DL260))*IF(длительность!$B$11="шпунтовое ограждение",1,0)+IF((SUM($G260:DL260)-$E259*0.08)&lt;0,0,IF((SUM($G260:DL260)-$E259*0.08)&lt;DL260,SUM($G260:DL260)-$E259*0.08,DL260))*IF(длительность!$B$11="up-down",1,0)+IF((SUM($G260:DL260)-$E259*0.2)&lt;0,0,IF((SUM($G260:DL260)-$E259*0.2)&lt;DL260,SUM($G260:DL260)-$E259*0.2,DL260))*IF(длительность!$B$11="стена в грунте",1,0)</f>
        <v>30</v>
      </c>
      <c r="DM265" s="402">
        <f ca="1">IF((SUM($G260:DM260)-$E259*0.3)&lt;0,0,IF((SUM($G260:DM260)-$E259*0.3)&lt;DM260,SUM($G260:DM260)-$E259*0.3,DM260))*IF(длительность!$B$11="шпунтовое ограждение",1,0)+IF((SUM($G260:DM260)-$E259*0.08)&lt;0,0,IF((SUM($G260:DM260)-$E259*0.08)&lt;DM260,SUM($G260:DM260)-$E259*0.08,DM260))*IF(длительность!$B$11="up-down",1,0)+IF((SUM($G260:DM260)-$E259*0.2)&lt;0,0,IF((SUM($G260:DM260)-$E259*0.2)&lt;DM260,SUM($G260:DM260)-$E259*0.2,DM260))*IF(длительность!$B$11="стена в грунте",1,0)</f>
        <v>31</v>
      </c>
      <c r="DN265" s="402">
        <f ca="1">IF((SUM($G260:DN260)-$E259*0.3)&lt;0,0,IF((SUM($G260:DN260)-$E259*0.3)&lt;DN260,SUM($G260:DN260)-$E259*0.3,DN260))*IF(длительность!$B$11="шпунтовое ограждение",1,0)+IF((SUM($G260:DN260)-$E259*0.08)&lt;0,0,IF((SUM($G260:DN260)-$E259*0.08)&lt;DN260,SUM($G260:DN260)-$E259*0.08,DN260))*IF(длительность!$B$11="up-down",1,0)+IF((SUM($G260:DN260)-$E259*0.2)&lt;0,0,IF((SUM($G260:DN260)-$E259*0.2)&lt;DN260,SUM($G260:DN260)-$E259*0.2,DN260))*IF(длительность!$B$11="стена в грунте",1,0)</f>
        <v>30</v>
      </c>
      <c r="DO265" s="402">
        <f ca="1">IF((SUM($G260:DO260)-$E259*0.3)&lt;0,0,IF((SUM($G260:DO260)-$E259*0.3)&lt;DO260,SUM($G260:DO260)-$E259*0.3,DO260))*IF(длительность!$B$11="шпунтовое ограждение",1,0)+IF((SUM($G260:DO260)-$E259*0.08)&lt;0,0,IF((SUM($G260:DO260)-$E259*0.08)&lt;DO260,SUM($G260:DO260)-$E259*0.08,DO260))*IF(длительность!$B$11="up-down",1,0)+IF((SUM($G260:DO260)-$E259*0.2)&lt;0,0,IF((SUM($G260:DO260)-$E259*0.2)&lt;DO260,SUM($G260:DO260)-$E259*0.2,DO260))*IF(длительность!$B$11="стена в грунте",1,0)</f>
        <v>31</v>
      </c>
      <c r="DP265" s="402">
        <f ca="1">IF((SUM($G260:DP260)-$E259*0.3)&lt;0,0,IF((SUM($G260:DP260)-$E259*0.3)&lt;DP260,SUM($G260:DP260)-$E259*0.3,DP260))*IF(длительность!$B$11="шпунтовое ограждение",1,0)+IF((SUM($G260:DP260)-$E259*0.08)&lt;0,0,IF((SUM($G260:DP260)-$E259*0.08)&lt;DP260,SUM($G260:DP260)-$E259*0.08,DP260))*IF(длительность!$B$11="up-down",1,0)+IF((SUM($G260:DP260)-$E259*0.2)&lt;0,0,IF((SUM($G260:DP260)-$E259*0.2)&lt;DP260,SUM($G260:DP260)-$E259*0.2,DP260))*IF(длительность!$B$11="стена в грунте",1,0)</f>
        <v>31</v>
      </c>
      <c r="DQ265" s="402">
        <f ca="1">IF((SUM($G260:DQ260)-$E259*0.3)&lt;0,0,IF((SUM($G260:DQ260)-$E259*0.3)&lt;DQ260,SUM($G260:DQ260)-$E259*0.3,DQ260))*IF(длительность!$B$11="шпунтовое ограждение",1,0)+IF((SUM($G260:DQ260)-$E259*0.08)&lt;0,0,IF((SUM($G260:DQ260)-$E259*0.08)&lt;DQ260,SUM($G260:DQ260)-$E259*0.08,DQ260))*IF(длительность!$B$11="up-down",1,0)+IF((SUM($G260:DQ260)-$E259*0.2)&lt;0,0,IF((SUM($G260:DQ260)-$E259*0.2)&lt;DQ260,SUM($G260:DQ260)-$E259*0.2,DQ260))*IF(длительность!$B$11="стена в грунте",1,0)</f>
        <v>30</v>
      </c>
      <c r="DR265" s="402">
        <f ca="1">IF((SUM($G260:DR260)-$E259*0.3)&lt;0,0,IF((SUM($G260:DR260)-$E259*0.3)&lt;DR260,SUM($G260:DR260)-$E259*0.3,DR260))*IF(длительность!$B$11="шпунтовое ограждение",1,0)+IF((SUM($G260:DR260)-$E259*0.08)&lt;0,0,IF((SUM($G260:DR260)-$E259*0.08)&lt;DR260,SUM($G260:DR260)-$E259*0.08,DR260))*IF(длительность!$B$11="up-down",1,0)+IF((SUM($G260:DR260)-$E259*0.2)&lt;0,0,IF((SUM($G260:DR260)-$E259*0.2)&lt;DR260,SUM($G260:DR260)-$E259*0.2,DR260))*IF(длительность!$B$11="стена в грунте",1,0)</f>
        <v>31</v>
      </c>
      <c r="DS265" s="402">
        <f ca="1">IF((SUM($G260:DS260)-$E259*0.3)&lt;0,0,IF((SUM($G260:DS260)-$E259*0.3)&lt;DS260,SUM($G260:DS260)-$E259*0.3,DS260))*IF(длительность!$B$11="шпунтовое ограждение",1,0)+IF((SUM($G260:DS260)-$E259*0.08)&lt;0,0,IF((SUM($G260:DS260)-$E259*0.08)&lt;DS260,SUM($G260:DS260)-$E259*0.08,DS260))*IF(длительность!$B$11="up-down",1,0)+IF((SUM($G260:DS260)-$E259*0.2)&lt;0,0,IF((SUM($G260:DS260)-$E259*0.2)&lt;DS260,SUM($G260:DS260)-$E259*0.2,DS260))*IF(длительность!$B$11="стена в грунте",1,0)</f>
        <v>30</v>
      </c>
      <c r="DT265" s="402">
        <f ca="1">IF((SUM($G260:DT260)-$E259*0.3)&lt;0,0,IF((SUM($G260:DT260)-$E259*0.3)&lt;DT260,SUM($G260:DT260)-$E259*0.3,DT260))*IF(длительность!$B$11="шпунтовое ограждение",1,0)+IF((SUM($G260:DT260)-$E259*0.08)&lt;0,0,IF((SUM($G260:DT260)-$E259*0.08)&lt;DT260,SUM($G260:DT260)-$E259*0.08,DT260))*IF(длительность!$B$11="up-down",1,0)+IF((SUM($G260:DT260)-$E259*0.2)&lt;0,0,IF((SUM($G260:DT260)-$E259*0.2)&lt;DT260,SUM($G260:DT260)-$E259*0.2,DT260))*IF(длительность!$B$11="стена в грунте",1,0)</f>
        <v>31</v>
      </c>
      <c r="DU265" s="402">
        <f ca="1">IF((SUM($G260:DU260)-$E259*0.3)&lt;0,0,IF((SUM($G260:DU260)-$E259*0.3)&lt;DU260,SUM($G260:DU260)-$E259*0.3,DU260))*IF(длительность!$B$11="шпунтовое ограждение",1,0)+IF((SUM($G260:DU260)-$E259*0.08)&lt;0,0,IF((SUM($G260:DU260)-$E259*0.08)&lt;DU260,SUM($G260:DU260)-$E259*0.08,DU260))*IF(длительность!$B$11="up-down",1,0)+IF((SUM($G260:DU260)-$E259*0.2)&lt;0,0,IF((SUM($G260:DU260)-$E259*0.2)&lt;DU260,SUM($G260:DU260)-$E259*0.2,DU260))*IF(длительность!$B$11="стена в грунте",1,0)</f>
        <v>31</v>
      </c>
      <c r="DV265" s="402">
        <f ca="1">IF((SUM($G260:DV260)-$E259*0.3)&lt;0,0,IF((SUM($G260:DV260)-$E259*0.3)&lt;DV260,SUM($G260:DV260)-$E259*0.3,DV260))*IF(длительность!$B$11="шпунтовое ограждение",1,0)+IF((SUM($G260:DV260)-$E259*0.08)&lt;0,0,IF((SUM($G260:DV260)-$E259*0.08)&lt;DV260,SUM($G260:DV260)-$E259*0.08,DV260))*IF(длительность!$B$11="up-down",1,0)+IF((SUM($G260:DV260)-$E259*0.2)&lt;0,0,IF((SUM($G260:DV260)-$E259*0.2)&lt;DV260,SUM($G260:DV260)-$E259*0.2,DV260))*IF(длительность!$B$11="стена в грунте",1,0)</f>
        <v>28</v>
      </c>
      <c r="DW265" s="402">
        <f ca="1">IF((SUM($G260:DW260)-$E259*0.3)&lt;0,0,IF((SUM($G260:DW260)-$E259*0.3)&lt;DW260,SUM($G260:DW260)-$E259*0.3,DW260))*IF(длительность!$B$11="шпунтовое ограждение",1,0)+IF((SUM($G260:DW260)-$E259*0.08)&lt;0,0,IF((SUM($G260:DW260)-$E259*0.08)&lt;DW260,SUM($G260:DW260)-$E259*0.08,DW260))*IF(длительность!$B$11="up-down",1,0)+IF((SUM($G260:DW260)-$E259*0.2)&lt;0,0,IF((SUM($G260:DW260)-$E259*0.2)&lt;DW260,SUM($G260:DW260)-$E259*0.2,DW260))*IF(длительность!$B$11="стена в грунте",1,0)</f>
        <v>31</v>
      </c>
      <c r="DX265" s="402">
        <f ca="1">IF((SUM($G260:DX260)-$E259*0.3)&lt;0,0,IF((SUM($G260:DX260)-$E259*0.3)&lt;DX260,SUM($G260:DX260)-$E259*0.3,DX260))*IF(длительность!$B$11="шпунтовое ограждение",1,0)+IF((SUM($G260:DX260)-$E259*0.08)&lt;0,0,IF((SUM($G260:DX260)-$E259*0.08)&lt;DX260,SUM($G260:DX260)-$E259*0.08,DX260))*IF(длительность!$B$11="up-down",1,0)+IF((SUM($G260:DX260)-$E259*0.2)&lt;0,0,IF((SUM($G260:DX260)-$E259*0.2)&lt;DX260,SUM($G260:DX260)-$E259*0.2,DX260))*IF(длительность!$B$11="стена в грунте",1,0)</f>
        <v>30</v>
      </c>
      <c r="DY265" s="402">
        <f ca="1">IF((SUM($G260:DY260)-$E259*0.3)&lt;0,0,IF((SUM($G260:DY260)-$E259*0.3)&lt;DY260,SUM($G260:DY260)-$E259*0.3,DY260))*IF(длительность!$B$11="шпунтовое ограждение",1,0)+IF((SUM($G260:DY260)-$E259*0.08)&lt;0,0,IF((SUM($G260:DY260)-$E259*0.08)&lt;DY260,SUM($G260:DY260)-$E259*0.08,DY260))*IF(длительность!$B$11="up-down",1,0)+IF((SUM($G260:DY260)-$E259*0.2)&lt;0,0,IF((SUM($G260:DY260)-$E259*0.2)&lt;DY260,SUM($G260:DY260)-$E259*0.2,DY260))*IF(длительность!$B$11="стена в грунте",1,0)</f>
        <v>31</v>
      </c>
      <c r="DZ265" s="402">
        <f ca="1">IF((SUM($G260:DZ260)-$E259*0.3)&lt;0,0,IF((SUM($G260:DZ260)-$E259*0.3)&lt;DZ260,SUM($G260:DZ260)-$E259*0.3,DZ260))*IF(длительность!$B$11="шпунтовое ограждение",1,0)+IF((SUM($G260:DZ260)-$E259*0.08)&lt;0,0,IF((SUM($G260:DZ260)-$E259*0.08)&lt;DZ260,SUM($G260:DZ260)-$E259*0.08,DZ260))*IF(длительность!$B$11="up-down",1,0)+IF((SUM($G260:DZ260)-$E259*0.2)&lt;0,0,IF((SUM($G260:DZ260)-$E259*0.2)&lt;DZ260,SUM($G260:DZ260)-$E259*0.2,DZ260))*IF(длительность!$B$11="стена в грунте",1,0)</f>
        <v>30</v>
      </c>
      <c r="EA265" s="402">
        <f ca="1">IF((SUM($G260:EA260)-$E259*0.3)&lt;0,0,IF((SUM($G260:EA260)-$E259*0.3)&lt;EA260,SUM($G260:EA260)-$E259*0.3,EA260))*IF(длительность!$B$11="шпунтовое ограждение",1,0)+IF((SUM($G260:EA260)-$E259*0.08)&lt;0,0,IF((SUM($G260:EA260)-$E259*0.08)&lt;EA260,SUM($G260:EA260)-$E259*0.08,EA260))*IF(длительность!$B$11="up-down",1,0)+IF((SUM($G260:EA260)-$E259*0.2)&lt;0,0,IF((SUM($G260:EA260)-$E259*0.2)&lt;EA260,SUM($G260:EA260)-$E259*0.2,EA260))*IF(длительность!$B$11="стена в грунте",1,0)</f>
        <v>31</v>
      </c>
      <c r="EB265" s="402">
        <f ca="1">IF((SUM($G260:EB260)-$E259*0.3)&lt;0,0,IF((SUM($G260:EB260)-$E259*0.3)&lt;EB260,SUM($G260:EB260)-$E259*0.3,EB260))*IF(длительность!$B$11="шпунтовое ограждение",1,0)+IF((SUM($G260:EB260)-$E259*0.08)&lt;0,0,IF((SUM($G260:EB260)-$E259*0.08)&lt;EB260,SUM($G260:EB260)-$E259*0.08,EB260))*IF(длительность!$B$11="up-down",1,0)+IF((SUM($G260:EB260)-$E259*0.2)&lt;0,0,IF((SUM($G260:EB260)-$E259*0.2)&lt;EB260,SUM($G260:EB260)-$E259*0.2,EB260))*IF(длительность!$B$11="стена в грунте",1,0)</f>
        <v>31</v>
      </c>
      <c r="EC265" s="402">
        <f ca="1">IF((SUM($G260:EC260)-$E259*0.3)&lt;0,0,IF((SUM($G260:EC260)-$E259*0.3)&lt;EC260,SUM($G260:EC260)-$E259*0.3,EC260))*IF(длительность!$B$11="шпунтовое ограждение",1,0)+IF((SUM($G260:EC260)-$E259*0.08)&lt;0,0,IF((SUM($G260:EC260)-$E259*0.08)&lt;EC260,SUM($G260:EC260)-$E259*0.08,EC260))*IF(длительность!$B$11="up-down",1,0)+IF((SUM($G260:EC260)-$E259*0.2)&lt;0,0,IF((SUM($G260:EC260)-$E259*0.2)&lt;EC260,SUM($G260:EC260)-$E259*0.2,EC260))*IF(длительность!$B$11="стена в грунте",1,0)</f>
        <v>30</v>
      </c>
      <c r="ED265" s="402">
        <f ca="1">IF((SUM($G260:ED260)-$E259*0.3)&lt;0,0,IF((SUM($G260:ED260)-$E259*0.3)&lt;ED260,SUM($G260:ED260)-$E259*0.3,ED260))*IF(длительность!$B$11="шпунтовое ограждение",1,0)+IF((SUM($G260:ED260)-$E259*0.08)&lt;0,0,IF((SUM($G260:ED260)-$E259*0.08)&lt;ED260,SUM($G260:ED260)-$E259*0.08,ED260))*IF(длительность!$B$11="up-down",1,0)+IF((SUM($G260:ED260)-$E259*0.2)&lt;0,0,IF((SUM($G260:ED260)-$E259*0.2)&lt;ED260,SUM($G260:ED260)-$E259*0.2,ED260))*IF(длительность!$B$11="стена в грунте",1,0)</f>
        <v>31</v>
      </c>
      <c r="EE265" s="402">
        <f ca="1">IF((SUM($G260:EE260)-$E259*0.3)&lt;0,0,IF((SUM($G260:EE260)-$E259*0.3)&lt;EE260,SUM($G260:EE260)-$E259*0.3,EE260))*IF(длительность!$B$11="шпунтовое ограждение",1,0)+IF((SUM($G260:EE260)-$E259*0.08)&lt;0,0,IF((SUM($G260:EE260)-$E259*0.08)&lt;EE260,SUM($G260:EE260)-$E259*0.08,EE260))*IF(длительность!$B$11="up-down",1,0)+IF((SUM($G260:EE260)-$E259*0.2)&lt;0,0,IF((SUM($G260:EE260)-$E259*0.2)&lt;EE260,SUM($G260:EE260)-$E259*0.2,EE260))*IF(длительность!$B$11="стена в грунте",1,0)</f>
        <v>30</v>
      </c>
      <c r="EF265" s="402">
        <f ca="1">IF((SUM($G260:EF260)-$E259*0.3)&lt;0,0,IF((SUM($G260:EF260)-$E259*0.3)&lt;EF260,SUM($G260:EF260)-$E259*0.3,EF260))*IF(длительность!$B$11="шпунтовое ограждение",1,0)+IF((SUM($G260:EF260)-$E259*0.08)&lt;0,0,IF((SUM($G260:EF260)-$E259*0.08)&lt;EF260,SUM($G260:EF260)-$E259*0.08,EF260))*IF(длительность!$B$11="up-down",1,0)+IF((SUM($G260:EF260)-$E259*0.2)&lt;0,0,IF((SUM($G260:EF260)-$E259*0.2)&lt;EF260,SUM($G260:EF260)-$E259*0.2,EF260))*IF(длительность!$B$11="стена в грунте",1,0)</f>
        <v>31</v>
      </c>
      <c r="EG265" s="402">
        <f ca="1">IF((SUM($G260:EG260)-$E259*0.3)&lt;0,0,IF((SUM($G260:EG260)-$E259*0.3)&lt;EG260,SUM($G260:EG260)-$E259*0.3,EG260))*IF(длительность!$B$11="шпунтовое ограждение",1,0)+IF((SUM($G260:EG260)-$E259*0.08)&lt;0,0,IF((SUM($G260:EG260)-$E259*0.08)&lt;EG260,SUM($G260:EG260)-$E259*0.08,EG260))*IF(длительность!$B$11="up-down",1,0)+IF((SUM($G260:EG260)-$E259*0.2)&lt;0,0,IF((SUM($G260:EG260)-$E259*0.2)&lt;EG260,SUM($G260:EG260)-$E259*0.2,EG260))*IF(длительность!$B$11="стена в грунте",1,0)</f>
        <v>31</v>
      </c>
      <c r="EH265" s="402">
        <f ca="1">IF((SUM($G260:EH260)-$E259*0.3)&lt;0,0,IF((SUM($G260:EH260)-$E259*0.3)&lt;EH260,SUM($G260:EH260)-$E259*0.3,EH260))*IF(длительность!$B$11="шпунтовое ограждение",1,0)+IF((SUM($G260:EH260)-$E259*0.08)&lt;0,0,IF((SUM($G260:EH260)-$E259*0.08)&lt;EH260,SUM($G260:EH260)-$E259*0.08,EH260))*IF(длительность!$B$11="up-down",1,0)+IF((SUM($G260:EH260)-$E259*0.2)&lt;0,0,IF((SUM($G260:EH260)-$E259*0.2)&lt;EH260,SUM($G260:EH260)-$E259*0.2,EH260))*IF(длительность!$B$11="стена в грунте",1,0)</f>
        <v>28</v>
      </c>
      <c r="EI265" s="402">
        <f ca="1">IF((SUM($G260:EI260)-$E259*0.3)&lt;0,0,IF((SUM($G260:EI260)-$E259*0.3)&lt;EI260,SUM($G260:EI260)-$E259*0.3,EI260))*IF(длительность!$B$11="шпунтовое ограждение",1,0)+IF((SUM($G260:EI260)-$E259*0.08)&lt;0,0,IF((SUM($G260:EI260)-$E259*0.08)&lt;EI260,SUM($G260:EI260)-$E259*0.08,EI260))*IF(длительность!$B$11="up-down",1,0)+IF((SUM($G260:EI260)-$E259*0.2)&lt;0,0,IF((SUM($G260:EI260)-$E259*0.2)&lt;EI260,SUM($G260:EI260)-$E259*0.2,EI260))*IF(длительность!$B$11="стена в грунте",1,0)</f>
        <v>31</v>
      </c>
    </row>
    <row r="266" spans="1:141" hidden="1" outlineLevel="2">
      <c r="A266" s="332"/>
      <c r="B266" s="313"/>
      <c r="D266" s="305" t="s">
        <v>670</v>
      </c>
      <c r="E266" s="403">
        <f ca="1">MIN(G266:EI266)</f>
        <v>45627</v>
      </c>
      <c r="F266" s="404">
        <f ca="1">MAX(G266:EI266)</f>
        <v>45627</v>
      </c>
      <c r="G266" s="403" t="str">
        <f ca="1">IF(G264=0,"",IF(SUM($G264:G264)&gt;=1,OFFSET(G$228,-1,0),""))</f>
        <v/>
      </c>
      <c r="H266" s="403" t="str">
        <f ca="1">IF(SUM($G266:G266)&gt;=1,"",IF(H264=0,"",IF(SUM($G264:H264)&gt;=1,OFFSET(H$228,-1,0),"")))</f>
        <v/>
      </c>
      <c r="I266" s="403" t="str">
        <f ca="1">IF(SUM($G266:H266)&gt;=1,"",IF(I264=0,"",IF(SUM($G264:I264)&gt;=1,OFFSET(I$228,-1,0),"")))</f>
        <v/>
      </c>
      <c r="J266" s="403" t="str">
        <f ca="1">IF(SUM($G266:I266)&gt;=1,"",IF(J264=0,"",IF(SUM($G264:J264)&gt;=1,OFFSET(J$228,-1,0),"")))</f>
        <v/>
      </c>
      <c r="K266" s="403" t="str">
        <f ca="1">IF(SUM($G266:J266)&gt;=1,"",IF(K264=0,"",IF(SUM($G264:K264)&gt;=1,OFFSET(K$228,-1,0),"")))</f>
        <v/>
      </c>
      <c r="L266" s="403" t="str">
        <f ca="1">IF(SUM($G266:K266)&gt;=1,"",IF(L264=0,"",IF(SUM($G264:L264)&gt;=1,OFFSET(L$228,-1,0),"")))</f>
        <v/>
      </c>
      <c r="M266" s="403" t="str">
        <f ca="1">IF(SUM($G266:L266)&gt;=1,"",IF(M264=0,"",IF(SUM($G264:M264)&gt;=1,OFFSET(M$228,-1,0),"")))</f>
        <v/>
      </c>
      <c r="N266" s="403" t="str">
        <f ca="1">IF(SUM($G266:M266)&gt;=1,"",IF(N264=0,"",IF(SUM($G264:N264)&gt;=1,OFFSET(N$228,-1,0),"")))</f>
        <v/>
      </c>
      <c r="O266" s="403" t="str">
        <f ca="1">IF(SUM($G266:N266)&gt;=1,"",IF(O264=0,"",IF(SUM($G264:O264)&gt;=1,OFFSET(O$228,-1,0),"")))</f>
        <v/>
      </c>
      <c r="P266" s="403" t="str">
        <f ca="1">IF(SUM($G266:O266)&gt;=1,"",IF(P264=0,"",IF(SUM($G264:P264)&gt;=1,OFFSET(P$228,-1,0),"")))</f>
        <v/>
      </c>
      <c r="Q266" s="403" t="str">
        <f ca="1">IF(SUM($G266:P266)&gt;=1,"",IF(Q264=0,"",IF(SUM($G264:Q264)&gt;=1,OFFSET(Q$228,-1,0),"")))</f>
        <v/>
      </c>
      <c r="R266" s="403" t="str">
        <f ca="1">IF(SUM($G266:Q266)&gt;=1,"",IF(R264=0,"",IF(SUM($G264:R264)&gt;=1,OFFSET(R$228,-1,0),"")))</f>
        <v/>
      </c>
      <c r="S266" s="403" t="str">
        <f ca="1">IF(SUM($G266:R266)&gt;=1,"",IF(S264=0,"",IF(SUM($G264:S264)&gt;=1,OFFSET(S$228,-1,0),"")))</f>
        <v/>
      </c>
      <c r="T266" s="403" t="str">
        <f ca="1">IF(SUM($G266:S266)&gt;=1,"",IF(T264=0,"",IF(SUM($G264:T264)&gt;=1,OFFSET(T$228,-1,0),"")))</f>
        <v/>
      </c>
      <c r="U266" s="403" t="str">
        <f ca="1">IF(SUM($G266:T266)&gt;=1,"",IF(U264=0,"",IF(SUM($G264:U264)&gt;=1,OFFSET(U$228,-1,0),"")))</f>
        <v/>
      </c>
      <c r="V266" s="403" t="str">
        <f ca="1">IF(SUM($G266:U266)&gt;=1,"",IF(V264=0,"",IF(SUM($G264:V264)&gt;=1,OFFSET(V$228,-1,0),"")))</f>
        <v/>
      </c>
      <c r="W266" s="403" t="str">
        <f ca="1">IF(SUM($G266:V266)&gt;=1,"",IF(W264=0,"",IF(SUM($G264:W264)&gt;=1,OFFSET(W$228,-1,0),"")))</f>
        <v/>
      </c>
      <c r="X266" s="403" t="str">
        <f ca="1">IF(SUM($G266:W266)&gt;=1,"",IF(X264=0,"",IF(SUM($G264:X264)&gt;=1,OFFSET(X$228,-1,0),"")))</f>
        <v/>
      </c>
      <c r="Y266" s="403" t="str">
        <f ca="1">IF(SUM($G266:X266)&gt;=1,"",IF(Y264=0,"",IF(SUM($G264:Y264)&gt;=1,OFFSET(Y$228,-1,0),"")))</f>
        <v/>
      </c>
      <c r="Z266" s="403" t="str">
        <f ca="1">IF(SUM($G266:Y266)&gt;=1,"",IF(Z264=0,"",IF(SUM($G264:Z264)&gt;=1,OFFSET(Z$228,-1,0),"")))</f>
        <v/>
      </c>
      <c r="AA266" s="403" t="str">
        <f ca="1">IF(SUM($G266:Z266)&gt;=1,"",IF(AA264=0,"",IF(SUM($G264:AA264)&gt;=1,OFFSET(AA$228,-1,0),"")))</f>
        <v/>
      </c>
      <c r="AB266" s="403">
        <f ca="1">IF(SUM($G266:AA266)&gt;=1,"",IF(AB264=0,"",IF(SUM($G264:AB264)&gt;=1,OFFSET(AB$228,-1,0),"")))</f>
        <v>45627</v>
      </c>
      <c r="AC266" s="403" t="str">
        <f ca="1">IF(SUM($G266:AB266)&gt;=1,"",IF(AC264=0,"",IF(SUM($G264:AC264)&gt;=1,OFFSET(AC$228,-1,0),"")))</f>
        <v/>
      </c>
      <c r="AD266" s="403" t="str">
        <f ca="1">IF(SUM($G266:AC266)&gt;=1,"",IF(AD264=0,"",IF(SUM($G264:AD264)&gt;=1,OFFSET(AD$228,-1,0),"")))</f>
        <v/>
      </c>
      <c r="AE266" s="403" t="str">
        <f ca="1">IF(SUM($G266:AD266)&gt;=1,"",IF(AE264=0,"",IF(SUM($G264:AE264)&gt;=1,OFFSET(AE$228,-1,0),"")))</f>
        <v/>
      </c>
      <c r="AF266" s="403" t="str">
        <f ca="1">IF(SUM($G266:AE266)&gt;=1,"",IF(AF264=0,"",IF(SUM($G264:AF264)&gt;=1,OFFSET(AF$228,-1,0),"")))</f>
        <v/>
      </c>
      <c r="AG266" s="403" t="str">
        <f ca="1">IF(SUM($G266:AF266)&gt;=1,"",IF(AG264=0,"",IF(SUM($G264:AG264)&gt;=1,OFFSET(AG$228,-1,0),"")))</f>
        <v/>
      </c>
      <c r="AH266" s="403" t="str">
        <f ca="1">IF(SUM($G266:AG266)&gt;=1,"",IF(AH264=0,"",IF(SUM($G264:AH264)&gt;=1,OFFSET(AH$228,-1,0),"")))</f>
        <v/>
      </c>
      <c r="AI266" s="403" t="str">
        <f ca="1">IF(SUM($G266:AH266)&gt;=1,"",IF(AI264=0,"",IF(SUM($G264:AI264)&gt;=1,OFFSET(AI$228,-1,0),"")))</f>
        <v/>
      </c>
      <c r="AJ266" s="403" t="str">
        <f ca="1">IF(SUM($G266:AI266)&gt;=1,"",IF(AJ264=0,"",IF(SUM($G264:AJ264)&gt;=1,OFFSET(AJ$228,-1,0),"")))</f>
        <v/>
      </c>
      <c r="AK266" s="403" t="str">
        <f ca="1">IF(SUM($G266:AJ266)&gt;=1,"",IF(AK264=0,"",IF(SUM($G264:AK264)&gt;=1,OFFSET(AK$228,-1,0),"")))</f>
        <v/>
      </c>
      <c r="AL266" s="403" t="str">
        <f ca="1">IF(SUM($G266:AK266)&gt;=1,"",IF(AL264=0,"",IF(SUM($G264:AL264)&gt;=1,OFFSET(AL$228,-1,0),"")))</f>
        <v/>
      </c>
      <c r="AM266" s="403" t="str">
        <f ca="1">IF(SUM($G266:AL266)&gt;=1,"",IF(AM264=0,"",IF(SUM($G264:AM264)&gt;=1,OFFSET(AM$228,-1,0),"")))</f>
        <v/>
      </c>
      <c r="AN266" s="403" t="str">
        <f ca="1">IF(SUM($G266:AM266)&gt;=1,"",IF(AN264=0,"",IF(SUM($G264:AN264)&gt;=1,OFFSET(AN$228,-1,0),"")))</f>
        <v/>
      </c>
      <c r="AO266" s="403" t="str">
        <f ca="1">IF(SUM($G266:AN266)&gt;=1,"",IF(AO264=0,"",IF(SUM($G264:AO264)&gt;=1,OFFSET(AO$228,-1,0),"")))</f>
        <v/>
      </c>
      <c r="AP266" s="403" t="str">
        <f ca="1">IF(SUM($G266:AO266)&gt;=1,"",IF(AP264=0,"",IF(SUM($G264:AP264)&gt;=1,OFFSET(AP$228,-1,0),"")))</f>
        <v/>
      </c>
      <c r="AQ266" s="403" t="str">
        <f ca="1">IF(SUM($G266:AP266)&gt;=1,"",IF(AQ264=0,"",IF(SUM($G264:AQ264)&gt;=1,OFFSET(AQ$228,-1,0),"")))</f>
        <v/>
      </c>
      <c r="AR266" s="403" t="str">
        <f ca="1">IF(SUM($G266:AQ266)&gt;=1,"",IF(AR264=0,"",IF(SUM($G264:AR264)&gt;=1,OFFSET(AR$228,-1,0),"")))</f>
        <v/>
      </c>
      <c r="AS266" s="403" t="str">
        <f ca="1">IF(SUM($G266:AR266)&gt;=1,"",IF(AS264=0,"",IF(SUM($G264:AS264)&gt;=1,OFFSET(AS$228,-1,0),"")))</f>
        <v/>
      </c>
      <c r="AT266" s="403" t="str">
        <f ca="1">IF(SUM($G266:AS266)&gt;=1,"",IF(AT264=0,"",IF(SUM($G264:AT264)&gt;=1,OFFSET(AT$228,-1,0),"")))</f>
        <v/>
      </c>
      <c r="AU266" s="403" t="str">
        <f ca="1">IF(SUM($G266:AT266)&gt;=1,"",IF(AU264=0,"",IF(SUM($G264:AU264)&gt;=1,OFFSET(AU$228,-1,0),"")))</f>
        <v/>
      </c>
      <c r="AV266" s="403" t="str">
        <f ca="1">IF(SUM($G266:AU266)&gt;=1,"",IF(AV264=0,"",IF(SUM($G264:AV264)&gt;=1,OFFSET(AV$228,-1,0),"")))</f>
        <v/>
      </c>
      <c r="AW266" s="403" t="str">
        <f ca="1">IF(SUM($G266:AV266)&gt;=1,"",IF(AW264=0,"",IF(SUM($G264:AW264)&gt;=1,OFFSET(AW$228,-1,0),"")))</f>
        <v/>
      </c>
      <c r="AX266" s="403" t="str">
        <f ca="1">IF(SUM($G266:AW266)&gt;=1,"",IF(AX264=0,"",IF(SUM($G264:AX264)&gt;=1,OFFSET(AX$228,-1,0),"")))</f>
        <v/>
      </c>
      <c r="AY266" s="403" t="str">
        <f ca="1">IF(SUM($G266:AX266)&gt;=1,"",IF(AY264=0,"",IF(SUM($G264:AY264)&gt;=1,OFFSET(AY$228,-1,0),"")))</f>
        <v/>
      </c>
      <c r="AZ266" s="403" t="str">
        <f ca="1">IF(SUM($G266:AY266)&gt;=1,"",IF(AZ264=0,"",IF(SUM($G264:AZ264)&gt;=1,OFFSET(AZ$228,-1,0),"")))</f>
        <v/>
      </c>
      <c r="BA266" s="403" t="str">
        <f ca="1">IF(SUM($G266:AZ266)&gt;=1,"",IF(BA264=0,"",IF(SUM($G264:BA264)&gt;=1,OFFSET(BA$228,-1,0),"")))</f>
        <v/>
      </c>
      <c r="BB266" s="403" t="str">
        <f ca="1">IF(SUM($G266:BA266)&gt;=1,"",IF(BB264=0,"",IF(SUM($G264:BB264)&gt;=1,OFFSET(BB$228,-1,0),"")))</f>
        <v/>
      </c>
      <c r="BC266" s="403" t="str">
        <f ca="1">IF(SUM($G266:BB266)&gt;=1,"",IF(BC264=0,"",IF(SUM($G264:BC264)&gt;=1,OFFSET(BC$228,-1,0),"")))</f>
        <v/>
      </c>
      <c r="BD266" s="403" t="str">
        <f ca="1">IF(SUM($G266:BC266)&gt;=1,"",IF(BD264=0,"",IF(SUM($G264:BD264)&gt;=1,OFFSET(BD$228,-1,0),"")))</f>
        <v/>
      </c>
      <c r="BE266" s="403" t="str">
        <f ca="1">IF(SUM($G266:BD266)&gt;=1,"",IF(BE264=0,"",IF(SUM($G264:BE264)&gt;=1,OFFSET(BE$228,-1,0),"")))</f>
        <v/>
      </c>
      <c r="BF266" s="403" t="str">
        <f ca="1">IF(SUM($G266:BE266)&gt;=1,"",IF(BF264=0,"",IF(SUM($G264:BF264)&gt;=1,OFFSET(BF$228,-1,0),"")))</f>
        <v/>
      </c>
      <c r="BG266" s="403" t="str">
        <f ca="1">IF(SUM($G266:BF266)&gt;=1,"",IF(BG264=0,"",IF(SUM($G264:BG264)&gt;=1,OFFSET(BG$228,-1,0),"")))</f>
        <v/>
      </c>
      <c r="BH266" s="403" t="str">
        <f ca="1">IF(SUM($G266:BG266)&gt;=1,"",IF(BH264=0,"",IF(SUM($G264:BH264)&gt;=1,OFFSET(BH$228,-1,0),"")))</f>
        <v/>
      </c>
      <c r="BI266" s="403" t="str">
        <f ca="1">IF(SUM($G266:BH266)&gt;=1,"",IF(BI264=0,"",IF(SUM($G264:BI264)&gt;=1,OFFSET(BI$228,-1,0),"")))</f>
        <v/>
      </c>
      <c r="BJ266" s="403" t="str">
        <f ca="1">IF(SUM($G266:BI266)&gt;=1,"",IF(BJ264=0,"",IF(SUM($G264:BJ264)&gt;=1,OFFSET(BJ$228,-1,0),"")))</f>
        <v/>
      </c>
      <c r="BK266" s="403" t="str">
        <f ca="1">IF(SUM($G266:BJ266)&gt;=1,"",IF(BK264=0,"",IF(SUM($G264:BK264)&gt;=1,OFFSET(BK$228,-1,0),"")))</f>
        <v/>
      </c>
      <c r="BL266" s="403" t="str">
        <f ca="1">IF(SUM($G266:BK266)&gt;=1,"",IF(BL264=0,"",IF(SUM($G264:BL264)&gt;=1,OFFSET(BL$228,-1,0),"")))</f>
        <v/>
      </c>
      <c r="BM266" s="403" t="str">
        <f ca="1">IF(SUM($G266:BL266)&gt;=1,"",IF(BM264=0,"",IF(SUM($G264:BM264)&gt;=1,OFFSET(BM$228,-1,0),"")))</f>
        <v/>
      </c>
      <c r="BN266" s="403" t="str">
        <f ca="1">IF(SUM($G266:BM266)&gt;=1,"",IF(BN264=0,"",IF(SUM($G264:BN264)&gt;=1,OFFSET(BN$228,-1,0),"")))</f>
        <v/>
      </c>
      <c r="BO266" s="403" t="str">
        <f ca="1">IF(SUM($G266:BN266)&gt;=1,"",IF(BO264=0,"",IF(SUM($G264:BO264)&gt;=1,OFFSET(BO$228,-1,0),"")))</f>
        <v/>
      </c>
      <c r="BP266" s="403" t="str">
        <f ca="1">IF(SUM($G266:BO266)&gt;=1,"",IF(BP264=0,"",IF(SUM($G264:BP264)&gt;=1,OFFSET(BP$228,-1,0),"")))</f>
        <v/>
      </c>
      <c r="BQ266" s="403" t="str">
        <f ca="1">IF(SUM($G266:BP266)&gt;=1,"",IF(BQ264=0,"",IF(SUM($G264:BQ264)&gt;=1,OFFSET(BQ$228,-1,0),"")))</f>
        <v/>
      </c>
      <c r="BR266" s="403" t="str">
        <f ca="1">IF(SUM($G266:BQ266)&gt;=1,"",IF(BR264=0,"",IF(SUM($G264:BR264)&gt;=1,OFFSET(BR$228,-1,0),"")))</f>
        <v/>
      </c>
      <c r="BS266" s="403" t="str">
        <f ca="1">IF(SUM($G266:BR266)&gt;=1,"",IF(BS264=0,"",IF(SUM($G264:BS264)&gt;=1,OFFSET(BS$228,-1,0),"")))</f>
        <v/>
      </c>
      <c r="BT266" s="403" t="str">
        <f ca="1">IF(SUM($G266:BS266)&gt;=1,"",IF(BT264=0,"",IF(SUM($G264:BT264)&gt;=1,OFFSET(BT$228,-1,0),"")))</f>
        <v/>
      </c>
      <c r="BU266" s="403" t="str">
        <f ca="1">IF(SUM($G266:BT266)&gt;=1,"",IF(BU264=0,"",IF(SUM($G264:BU264)&gt;=1,OFFSET(BU$228,-1,0),"")))</f>
        <v/>
      </c>
      <c r="BV266" s="403" t="str">
        <f ca="1">IF(SUM($G266:BU266)&gt;=1,"",IF(BV264=0,"",IF(SUM($G264:BV264)&gt;=1,OFFSET(BV$228,-1,0),"")))</f>
        <v/>
      </c>
      <c r="BW266" s="403" t="str">
        <f ca="1">IF(SUM($G266:BV266)&gt;=1,"",IF(BW264=0,"",IF(SUM($G264:BW264)&gt;=1,OFFSET(BW$228,-1,0),"")))</f>
        <v/>
      </c>
      <c r="BX266" s="403" t="str">
        <f ca="1">IF(SUM($G266:BW266)&gt;=1,"",IF(BX264=0,"",IF(SUM($G264:BX264)&gt;=1,OFFSET(BX$228,-1,0),"")))</f>
        <v/>
      </c>
      <c r="BY266" s="403" t="str">
        <f ca="1">IF(SUM($G266:BX266)&gt;=1,"",IF(BY264=0,"",IF(SUM($G264:BY264)&gt;=1,OFFSET(BY$228,-1,0),"")))</f>
        <v/>
      </c>
      <c r="BZ266" s="403" t="str">
        <f ca="1">IF(SUM($G266:BY266)&gt;=1,"",IF(BZ264=0,"",IF(SUM($G264:BZ264)&gt;=1,OFFSET(BZ$228,-1,0),"")))</f>
        <v/>
      </c>
      <c r="CA266" s="403" t="str">
        <f ca="1">IF(SUM($G266:BZ266)&gt;=1,"",IF(CA264=0,"",IF(SUM($G264:CA264)&gt;=1,OFFSET(CA$228,-1,0),"")))</f>
        <v/>
      </c>
      <c r="CB266" s="403" t="str">
        <f ca="1">IF(SUM($G266:CA266)&gt;=1,"",IF(CB264=0,"",IF(SUM($G264:CB264)&gt;=1,OFFSET(CB$228,-1,0),"")))</f>
        <v/>
      </c>
      <c r="CC266" s="403" t="str">
        <f ca="1">IF(SUM($G266:CB266)&gt;=1,"",IF(CC264=0,"",IF(SUM($G264:CC264)&gt;=1,OFFSET(CC$228,-1,0),"")))</f>
        <v/>
      </c>
      <c r="CD266" s="403" t="str">
        <f ca="1">IF(SUM($G266:CC266)&gt;=1,"",IF(CD264=0,"",IF(SUM($G264:CD264)&gt;=1,OFFSET(CD$228,-1,0),"")))</f>
        <v/>
      </c>
      <c r="CE266" s="403" t="str">
        <f ca="1">IF(SUM($G266:CD266)&gt;=1,"",IF(CE264=0,"",IF(SUM($G264:CE264)&gt;=1,OFFSET(CE$228,-1,0),"")))</f>
        <v/>
      </c>
      <c r="CF266" s="403" t="str">
        <f ca="1">IF(SUM($G266:CE266)&gt;=1,"",IF(CF264=0,"",IF(SUM($G264:CF264)&gt;=1,OFFSET(CF$228,-1,0),"")))</f>
        <v/>
      </c>
      <c r="CG266" s="403" t="str">
        <f ca="1">IF(SUM($G266:CF266)&gt;=1,"",IF(CG264=0,"",IF(SUM($G264:CG264)&gt;=1,OFFSET(CG$228,-1,0),"")))</f>
        <v/>
      </c>
      <c r="CH266" s="403" t="str">
        <f ca="1">IF(SUM($G266:CG266)&gt;=1,"",IF(CH264=0,"",IF(SUM($G264:CH264)&gt;=1,OFFSET(CH$228,-1,0),"")))</f>
        <v/>
      </c>
      <c r="CI266" s="403" t="str">
        <f ca="1">IF(SUM($G266:CH266)&gt;=1,"",IF(CI264=0,"",IF(SUM($G264:CI264)&gt;=1,OFFSET(CI$228,-1,0),"")))</f>
        <v/>
      </c>
      <c r="CJ266" s="403" t="str">
        <f ca="1">IF(SUM($G266:CI266)&gt;=1,"",IF(CJ264=0,"",IF(SUM($G264:CJ264)&gt;=1,OFFSET(CJ$228,-1,0),"")))</f>
        <v/>
      </c>
      <c r="CK266" s="403" t="str">
        <f ca="1">IF(SUM($G266:CJ266)&gt;=1,"",IF(CK264=0,"",IF(SUM($G264:CK264)&gt;=1,OFFSET(CK$228,-1,0),"")))</f>
        <v/>
      </c>
      <c r="CL266" s="403" t="str">
        <f ca="1">IF(SUM($G266:CK266)&gt;=1,"",IF(CL264=0,"",IF(SUM($G264:CL264)&gt;=1,OFFSET(CL$228,-1,0),"")))</f>
        <v/>
      </c>
      <c r="CM266" s="403" t="str">
        <f ca="1">IF(SUM($G266:CL266)&gt;=1,"",IF(CM264=0,"",IF(SUM($G264:CM264)&gt;=1,OFFSET(CM$228,-1,0),"")))</f>
        <v/>
      </c>
      <c r="CN266" s="403" t="str">
        <f ca="1">IF(SUM($G266:CM266)&gt;=1,"",IF(CN264=0,"",IF(SUM($G264:CN264)&gt;=1,OFFSET(CN$228,-1,0),"")))</f>
        <v/>
      </c>
      <c r="CO266" s="403" t="str">
        <f ca="1">IF(SUM($G266:CN266)&gt;=1,"",IF(CO264=0,"",IF(SUM($G264:CO264)&gt;=1,OFFSET(CO$228,-1,0),"")))</f>
        <v/>
      </c>
      <c r="CP266" s="403" t="str">
        <f ca="1">IF(SUM($G266:CO266)&gt;=1,"",IF(CP264=0,"",IF(SUM($G264:CP264)&gt;=1,OFFSET(CP$228,-1,0),"")))</f>
        <v/>
      </c>
      <c r="CQ266" s="403" t="str">
        <f ca="1">IF(SUM($G266:CP266)&gt;=1,"",IF(CQ264=0,"",IF(SUM($G264:CQ264)&gt;=1,OFFSET(CQ$228,-1,0),"")))</f>
        <v/>
      </c>
      <c r="CR266" s="403" t="str">
        <f ca="1">IF(SUM($G266:CQ266)&gt;=1,"",IF(CR264=0,"",IF(SUM($G264:CR264)&gt;=1,OFFSET(CR$228,-1,0),"")))</f>
        <v/>
      </c>
      <c r="CS266" s="403" t="str">
        <f ca="1">IF(SUM($G266:CR266)&gt;=1,"",IF(CS264=0,"",IF(SUM($G264:CS264)&gt;=1,OFFSET(CS$228,-1,0),"")))</f>
        <v/>
      </c>
      <c r="CT266" s="403" t="str">
        <f ca="1">IF(SUM($G266:CS266)&gt;=1,"",IF(CT264=0,"",IF(SUM($G264:CT264)&gt;=1,OFFSET(CT$228,-1,0),"")))</f>
        <v/>
      </c>
      <c r="CU266" s="403" t="str">
        <f ca="1">IF(SUM($G266:CT266)&gt;=1,"",IF(CU264=0,"",IF(SUM($G264:CU264)&gt;=1,OFFSET(CU$228,-1,0),"")))</f>
        <v/>
      </c>
      <c r="CV266" s="403" t="str">
        <f ca="1">IF(SUM($G266:CU266)&gt;=1,"",IF(CV264=0,"",IF(SUM($G264:CV264)&gt;=1,OFFSET(CV$228,-1,0),"")))</f>
        <v/>
      </c>
      <c r="CW266" s="403" t="str">
        <f ca="1">IF(SUM($G266:CV266)&gt;=1,"",IF(CW264=0,"",IF(SUM($G264:CW264)&gt;=1,OFFSET(CW$228,-1,0),"")))</f>
        <v/>
      </c>
      <c r="CX266" s="403" t="str">
        <f ca="1">IF(SUM($G266:CW266)&gt;=1,"",IF(CX264=0,"",IF(SUM($G264:CX264)&gt;=1,OFFSET(CX$228,-1,0),"")))</f>
        <v/>
      </c>
      <c r="CY266" s="403" t="str">
        <f ca="1">IF(SUM($G266:CX266)&gt;=1,"",IF(CY264=0,"",IF(SUM($G264:CY264)&gt;=1,OFFSET(CY$228,-1,0),"")))</f>
        <v/>
      </c>
      <c r="CZ266" s="403" t="str">
        <f ca="1">IF(SUM($G266:CY266)&gt;=1,"",IF(CZ264=0,"",IF(SUM($G264:CZ264)&gt;=1,OFFSET(CZ$228,-1,0),"")))</f>
        <v/>
      </c>
      <c r="DA266" s="403" t="str">
        <f ca="1">IF(SUM($G266:CZ266)&gt;=1,"",IF(DA264=0,"",IF(SUM($G264:DA264)&gt;=1,OFFSET(DA$228,-1,0),"")))</f>
        <v/>
      </c>
      <c r="DB266" s="403" t="str">
        <f ca="1">IF(SUM($G266:DA266)&gt;=1,"",IF(DB264=0,"",IF(SUM($G264:DB264)&gt;=1,OFFSET(DB$228,-1,0),"")))</f>
        <v/>
      </c>
      <c r="DC266" s="403" t="str">
        <f ca="1">IF(SUM($G266:DB266)&gt;=1,"",IF(DC264=0,"",IF(SUM($G264:DC264)&gt;=1,OFFSET(DC$228,-1,0),"")))</f>
        <v/>
      </c>
      <c r="DD266" s="403" t="str">
        <f ca="1">IF(SUM($G266:DC266)&gt;=1,"",IF(DD264=0,"",IF(SUM($G264:DD264)&gt;=1,OFFSET(DD$228,-1,0),"")))</f>
        <v/>
      </c>
      <c r="DE266" s="403" t="str">
        <f ca="1">IF(SUM($G266:DD266)&gt;=1,"",IF(DE264=0,"",IF(SUM($G264:DE264)&gt;=1,OFFSET(DE$228,-1,0),"")))</f>
        <v/>
      </c>
      <c r="DF266" s="403" t="str">
        <f ca="1">IF(SUM($G266:DE266)&gt;=1,"",IF(DF264=0,"",IF(SUM($G264:DF264)&gt;=1,OFFSET(DF$228,-1,0),"")))</f>
        <v/>
      </c>
      <c r="DG266" s="403" t="str">
        <f ca="1">IF(SUM($G266:DF266)&gt;=1,"",IF(DG264=0,"",IF(SUM($G264:DG264)&gt;=1,OFFSET(DG$228,-1,0),"")))</f>
        <v/>
      </c>
      <c r="DH266" s="403" t="str">
        <f ca="1">IF(SUM($G266:DG266)&gt;=1,"",IF(DH264=0,"",IF(SUM($G264:DH264)&gt;=1,OFFSET(DH$228,-1,0),"")))</f>
        <v/>
      </c>
      <c r="DI266" s="403" t="str">
        <f ca="1">IF(SUM($G266:DH266)&gt;=1,"",IF(DI264=0,"",IF(SUM($G264:DI264)&gt;=1,OFFSET(DI$228,-1,0),"")))</f>
        <v/>
      </c>
      <c r="DJ266" s="403" t="str">
        <f ca="1">IF(SUM($G266:DI266)&gt;=1,"",IF(DJ264=0,"",IF(SUM($G264:DJ264)&gt;=1,OFFSET(DJ$228,-1,0),"")))</f>
        <v/>
      </c>
      <c r="DK266" s="403" t="str">
        <f ca="1">IF(SUM($G266:DJ266)&gt;=1,"",IF(DK264=0,"",IF(SUM($G264:DK264)&gt;=1,OFFSET(DK$228,-1,0),"")))</f>
        <v/>
      </c>
      <c r="DL266" s="403" t="str">
        <f ca="1">IF(SUM($G266:DK266)&gt;=1,"",IF(DL264=0,"",IF(SUM($G264:DL264)&gt;=1,OFFSET(DL$228,-1,0),"")))</f>
        <v/>
      </c>
      <c r="DM266" s="403" t="str">
        <f ca="1">IF(SUM($G266:DL266)&gt;=1,"",IF(DM264=0,"",IF(SUM($G264:DM264)&gt;=1,OFFSET(DM$228,-1,0),"")))</f>
        <v/>
      </c>
      <c r="DN266" s="403" t="str">
        <f ca="1">IF(SUM($G266:DM266)&gt;=1,"",IF(DN264=0,"",IF(SUM($G264:DN264)&gt;=1,OFFSET(DN$228,-1,0),"")))</f>
        <v/>
      </c>
      <c r="DO266" s="403" t="str">
        <f ca="1">IF(SUM($G266:DN266)&gt;=1,"",IF(DO264=0,"",IF(SUM($G264:DO264)&gt;=1,OFFSET(DO$228,-1,0),"")))</f>
        <v/>
      </c>
      <c r="DP266" s="403" t="str">
        <f ca="1">IF(SUM($G266:DO266)&gt;=1,"",IF(DP264=0,"",IF(SUM($G264:DP264)&gt;=1,OFFSET(DP$228,-1,0),"")))</f>
        <v/>
      </c>
      <c r="DQ266" s="403" t="str">
        <f ca="1">IF(SUM($G266:DP266)&gt;=1,"",IF(DQ264=0,"",IF(SUM($G264:DQ264)&gt;=1,OFFSET(DQ$228,-1,0),"")))</f>
        <v/>
      </c>
      <c r="DR266" s="403" t="str">
        <f ca="1">IF(SUM($G266:DQ266)&gt;=1,"",IF(DR264=0,"",IF(SUM($G264:DR264)&gt;=1,OFFSET(DR$228,-1,0),"")))</f>
        <v/>
      </c>
      <c r="DS266" s="403" t="str">
        <f ca="1">IF(SUM($G266:DR266)&gt;=1,"",IF(DS264=0,"",IF(SUM($G264:DS264)&gt;=1,OFFSET(DS$228,-1,0),"")))</f>
        <v/>
      </c>
      <c r="DT266" s="403" t="str">
        <f ca="1">IF(SUM($G266:DS266)&gt;=1,"",IF(DT264=0,"",IF(SUM($G264:DT264)&gt;=1,OFFSET(DT$228,-1,0),"")))</f>
        <v/>
      </c>
      <c r="DU266" s="403" t="str">
        <f ca="1">IF(SUM($G266:DT266)&gt;=1,"",IF(DU264=0,"",IF(SUM($G264:DU264)&gt;=1,OFFSET(DU$228,-1,0),"")))</f>
        <v/>
      </c>
      <c r="DV266" s="403" t="str">
        <f ca="1">IF(SUM($G266:DU266)&gt;=1,"",IF(DV264=0,"",IF(SUM($G264:DV264)&gt;=1,OFFSET(DV$228,-1,0),"")))</f>
        <v/>
      </c>
      <c r="DW266" s="403" t="str">
        <f ca="1">IF(SUM($G266:DV266)&gt;=1,"",IF(DW264=0,"",IF(SUM($G264:DW264)&gt;=1,OFFSET(DW$228,-1,0),"")))</f>
        <v/>
      </c>
      <c r="DX266" s="403" t="str">
        <f ca="1">IF(SUM($G266:DW266)&gt;=1,"",IF(DX264=0,"",IF(SUM($G264:DX264)&gt;=1,OFFSET(DX$228,-1,0),"")))</f>
        <v/>
      </c>
      <c r="DY266" s="403" t="str">
        <f ca="1">IF(SUM($G266:DX266)&gt;=1,"",IF(DY264=0,"",IF(SUM($G264:DY264)&gt;=1,OFFSET(DY$228,-1,0),"")))</f>
        <v/>
      </c>
      <c r="DZ266" s="403" t="str">
        <f ca="1">IF(SUM($G266:DY266)&gt;=1,"",IF(DZ264=0,"",IF(SUM($G264:DZ264)&gt;=1,OFFSET(DZ$228,-1,0),"")))</f>
        <v/>
      </c>
      <c r="EA266" s="403" t="str">
        <f ca="1">IF(SUM($G266:DZ266)&gt;=1,"",IF(EA264=0,"",IF(SUM($G264:EA264)&gt;=1,OFFSET(EA$228,-1,0),"")))</f>
        <v/>
      </c>
      <c r="EB266" s="403" t="str">
        <f ca="1">IF(SUM($G266:EA266)&gt;=1,"",IF(EB264=0,"",IF(SUM($G264:EB264)&gt;=1,OFFSET(EB$228,-1,0),"")))</f>
        <v/>
      </c>
      <c r="EC266" s="403" t="str">
        <f ca="1">IF(SUM($G266:EB266)&gt;=1,"",IF(EC264=0,"",IF(SUM($G264:EC264)&gt;=1,OFFSET(EC$228,-1,0),"")))</f>
        <v/>
      </c>
      <c r="ED266" s="403" t="str">
        <f ca="1">IF(SUM($G266:EC266)&gt;=1,"",IF(ED264=0,"",IF(SUM($G264:ED264)&gt;=1,OFFSET(ED$228,-1,0),"")))</f>
        <v/>
      </c>
      <c r="EE266" s="403" t="str">
        <f ca="1">IF(SUM($G266:ED266)&gt;=1,"",IF(EE264=0,"",IF(SUM($G264:EE264)&gt;=1,OFFSET(EE$228,-1,0),"")))</f>
        <v/>
      </c>
      <c r="EF266" s="403" t="str">
        <f ca="1">IF(SUM($G266:EE266)&gt;=1,"",IF(EF264=0,"",IF(SUM($G264:EF264)&gt;=1,OFFSET(EF$228,-1,0),"")))</f>
        <v/>
      </c>
      <c r="EG266" s="403" t="str">
        <f ca="1">IF(SUM($G266:EF266)&gt;=1,"",IF(EG264=0,"",IF(SUM($G264:EG264)&gt;=1,OFFSET(EG$228,-1,0),"")))</f>
        <v/>
      </c>
      <c r="EH266" s="403" t="str">
        <f ca="1">IF(SUM($G266:EG266)&gt;=1,"",IF(EH264=0,"",IF(SUM($G264:EH264)&gt;=1,OFFSET(EH$228,-1,0),"")))</f>
        <v/>
      </c>
      <c r="EI266" s="403" t="str">
        <f ca="1">IF(SUM($G266:EH266)&gt;=1,"",IF(EI264=0,"",IF(SUM($G264:EI264)&gt;=1,OFFSET(EI$228,-1,0),"")))</f>
        <v/>
      </c>
    </row>
    <row r="267" spans="1:141" hidden="1" outlineLevel="2">
      <c r="A267" s="332"/>
      <c r="B267" s="313"/>
      <c r="D267" s="305" t="s">
        <v>671</v>
      </c>
      <c r="E267" s="1002">
        <f ca="1">IF(E264=0,"",MIN(G267:EI267))</f>
        <v>45639</v>
      </c>
      <c r="F267" s="1003"/>
      <c r="G267" s="403" t="str">
        <f>IF(G264=0,"",IF(G264=G$3,G266,G$5+H$5-G268-1))</f>
        <v/>
      </c>
      <c r="H267" s="403" t="str">
        <f ca="1">IF(H264=0,"",IF(H264=H$3,H266,H$5+I$5-H268-1))</f>
        <v/>
      </c>
      <c r="I267" s="403" t="str">
        <f t="shared" ref="I267:W267" ca="1" si="479">IF(I264=0,"",IF(I264=I$3,I266,I$5+J$5-I268-1))</f>
        <v/>
      </c>
      <c r="J267" s="403" t="str">
        <f t="shared" ca="1" si="479"/>
        <v/>
      </c>
      <c r="K267" s="403" t="str">
        <f t="shared" ca="1" si="479"/>
        <v/>
      </c>
      <c r="L267" s="403" t="str">
        <f t="shared" ca="1" si="479"/>
        <v/>
      </c>
      <c r="M267" s="403" t="str">
        <f t="shared" ca="1" si="479"/>
        <v/>
      </c>
      <c r="N267" s="403" t="str">
        <f t="shared" ca="1" si="479"/>
        <v/>
      </c>
      <c r="O267" s="403" t="str">
        <f t="shared" ca="1" si="479"/>
        <v/>
      </c>
      <c r="P267" s="403" t="str">
        <f t="shared" ca="1" si="479"/>
        <v/>
      </c>
      <c r="Q267" s="403" t="str">
        <f t="shared" ca="1" si="479"/>
        <v/>
      </c>
      <c r="R267" s="403" t="str">
        <f t="shared" ca="1" si="479"/>
        <v/>
      </c>
      <c r="S267" s="403" t="str">
        <f t="shared" ca="1" si="479"/>
        <v/>
      </c>
      <c r="T267" s="403" t="str">
        <f t="shared" ca="1" si="479"/>
        <v/>
      </c>
      <c r="U267" s="403" t="str">
        <f t="shared" ca="1" si="479"/>
        <v/>
      </c>
      <c r="V267" s="403" t="str">
        <f t="shared" ca="1" si="479"/>
        <v/>
      </c>
      <c r="W267" s="403" t="str">
        <f t="shared" ca="1" si="479"/>
        <v/>
      </c>
      <c r="X267" s="403" t="str">
        <f ca="1">IF(X264=0,"",IF(X264=X$3,X266,X$5+Y$5-X268-1))</f>
        <v/>
      </c>
      <c r="Y267" s="403" t="str">
        <f t="shared" ref="Y267:CJ267" ca="1" si="480">IF(Y264=0,"",IF(Y264=Y$3,Y266,Y$5+Z$5-Y268-1))</f>
        <v/>
      </c>
      <c r="Z267" s="403" t="str">
        <f t="shared" ca="1" si="480"/>
        <v/>
      </c>
      <c r="AA267" s="403" t="str">
        <f t="shared" ca="1" si="480"/>
        <v/>
      </c>
      <c r="AB267" s="403">
        <f t="shared" ca="1" si="480"/>
        <v>45639</v>
      </c>
      <c r="AC267" s="403" t="str">
        <f t="shared" ca="1" si="480"/>
        <v/>
      </c>
      <c r="AD267" s="403" t="str">
        <f t="shared" ca="1" si="480"/>
        <v/>
      </c>
      <c r="AE267" s="403" t="str">
        <f t="shared" ca="1" si="480"/>
        <v/>
      </c>
      <c r="AF267" s="403" t="str">
        <f t="shared" ca="1" si="480"/>
        <v/>
      </c>
      <c r="AG267" s="403" t="str">
        <f t="shared" ca="1" si="480"/>
        <v/>
      </c>
      <c r="AH267" s="403" t="str">
        <f t="shared" ca="1" si="480"/>
        <v/>
      </c>
      <c r="AI267" s="403" t="str">
        <f t="shared" ca="1" si="480"/>
        <v/>
      </c>
      <c r="AJ267" s="403" t="str">
        <f t="shared" ca="1" si="480"/>
        <v/>
      </c>
      <c r="AK267" s="403" t="str">
        <f t="shared" ca="1" si="480"/>
        <v/>
      </c>
      <c r="AL267" s="403" t="str">
        <f t="shared" ca="1" si="480"/>
        <v/>
      </c>
      <c r="AM267" s="403" t="str">
        <f t="shared" ca="1" si="480"/>
        <v/>
      </c>
      <c r="AN267" s="403" t="str">
        <f t="shared" ca="1" si="480"/>
        <v/>
      </c>
      <c r="AO267" s="403">
        <f t="shared" ca="1" si="480"/>
        <v>46042</v>
      </c>
      <c r="AP267" s="403" t="str">
        <f t="shared" ca="1" si="480"/>
        <v/>
      </c>
      <c r="AQ267" s="403" t="str">
        <f t="shared" ca="1" si="480"/>
        <v/>
      </c>
      <c r="AR267" s="403" t="str">
        <f t="shared" ca="1" si="480"/>
        <v/>
      </c>
      <c r="AS267" s="403" t="str">
        <f t="shared" ca="1" si="480"/>
        <v/>
      </c>
      <c r="AT267" s="403" t="str">
        <f t="shared" ca="1" si="480"/>
        <v/>
      </c>
      <c r="AU267" s="403" t="str">
        <f t="shared" ca="1" si="480"/>
        <v/>
      </c>
      <c r="AV267" s="403" t="str">
        <f t="shared" ca="1" si="480"/>
        <v/>
      </c>
      <c r="AW267" s="403" t="str">
        <f t="shared" ca="1" si="480"/>
        <v/>
      </c>
      <c r="AX267" s="403" t="str">
        <f t="shared" ca="1" si="480"/>
        <v/>
      </c>
      <c r="AY267" s="403" t="str">
        <f t="shared" ca="1" si="480"/>
        <v/>
      </c>
      <c r="AZ267" s="403" t="str">
        <f t="shared" ca="1" si="480"/>
        <v/>
      </c>
      <c r="BA267" s="403" t="str">
        <f t="shared" ca="1" si="480"/>
        <v/>
      </c>
      <c r="BB267" s="403" t="str">
        <f t="shared" ca="1" si="480"/>
        <v/>
      </c>
      <c r="BC267" s="403" t="str">
        <f t="shared" ca="1" si="480"/>
        <v/>
      </c>
      <c r="BD267" s="403" t="str">
        <f t="shared" ca="1" si="480"/>
        <v/>
      </c>
      <c r="BE267" s="403" t="str">
        <f t="shared" ca="1" si="480"/>
        <v/>
      </c>
      <c r="BF267" s="403" t="str">
        <f t="shared" ca="1" si="480"/>
        <v/>
      </c>
      <c r="BG267" s="403" t="str">
        <f t="shared" ca="1" si="480"/>
        <v/>
      </c>
      <c r="BH267" s="403" t="str">
        <f t="shared" ca="1" si="480"/>
        <v/>
      </c>
      <c r="BI267" s="403" t="str">
        <f t="shared" ca="1" si="480"/>
        <v/>
      </c>
      <c r="BJ267" s="403" t="str">
        <f t="shared" ca="1" si="480"/>
        <v/>
      </c>
      <c r="BK267" s="403" t="str">
        <f t="shared" ca="1" si="480"/>
        <v/>
      </c>
      <c r="BL267" s="403" t="str">
        <f t="shared" ca="1" si="480"/>
        <v/>
      </c>
      <c r="BM267" s="403" t="str">
        <f t="shared" ca="1" si="480"/>
        <v/>
      </c>
      <c r="BN267" s="403" t="str">
        <f t="shared" ca="1" si="480"/>
        <v/>
      </c>
      <c r="BO267" s="403" t="str">
        <f t="shared" ca="1" si="480"/>
        <v/>
      </c>
      <c r="BP267" s="403" t="str">
        <f t="shared" ca="1" si="480"/>
        <v/>
      </c>
      <c r="BQ267" s="403" t="str">
        <f t="shared" ca="1" si="480"/>
        <v/>
      </c>
      <c r="BR267" s="403" t="str">
        <f t="shared" ca="1" si="480"/>
        <v/>
      </c>
      <c r="BS267" s="403" t="str">
        <f t="shared" ca="1" si="480"/>
        <v/>
      </c>
      <c r="BT267" s="403" t="str">
        <f t="shared" ca="1" si="480"/>
        <v/>
      </c>
      <c r="BU267" s="403" t="str">
        <f t="shared" ca="1" si="480"/>
        <v/>
      </c>
      <c r="BV267" s="403" t="str">
        <f t="shared" ca="1" si="480"/>
        <v/>
      </c>
      <c r="BW267" s="403" t="str">
        <f t="shared" ca="1" si="480"/>
        <v/>
      </c>
      <c r="BX267" s="403" t="str">
        <f t="shared" ca="1" si="480"/>
        <v/>
      </c>
      <c r="BY267" s="403" t="str">
        <f t="shared" ca="1" si="480"/>
        <v/>
      </c>
      <c r="BZ267" s="403" t="str">
        <f t="shared" ca="1" si="480"/>
        <v/>
      </c>
      <c r="CA267" s="403" t="str">
        <f t="shared" ca="1" si="480"/>
        <v/>
      </c>
      <c r="CB267" s="403" t="str">
        <f t="shared" ca="1" si="480"/>
        <v/>
      </c>
      <c r="CC267" s="403" t="str">
        <f t="shared" ca="1" si="480"/>
        <v/>
      </c>
      <c r="CD267" s="403" t="str">
        <f t="shared" ca="1" si="480"/>
        <v/>
      </c>
      <c r="CE267" s="403" t="str">
        <f t="shared" ca="1" si="480"/>
        <v/>
      </c>
      <c r="CF267" s="403" t="str">
        <f t="shared" ca="1" si="480"/>
        <v/>
      </c>
      <c r="CG267" s="403" t="str">
        <f t="shared" ca="1" si="480"/>
        <v/>
      </c>
      <c r="CH267" s="403" t="str">
        <f t="shared" ca="1" si="480"/>
        <v/>
      </c>
      <c r="CI267" s="403" t="str">
        <f t="shared" ca="1" si="480"/>
        <v/>
      </c>
      <c r="CJ267" s="403" t="str">
        <f t="shared" ca="1" si="480"/>
        <v/>
      </c>
      <c r="CK267" s="403" t="str">
        <f t="shared" ref="CK267:EI267" ca="1" si="481">IF(CK264=0,"",IF(CK264=CK$3,CK266,CK$5+CL$5-CK268-1))</f>
        <v/>
      </c>
      <c r="CL267" s="403" t="str">
        <f t="shared" ca="1" si="481"/>
        <v/>
      </c>
      <c r="CM267" s="403" t="str">
        <f t="shared" ca="1" si="481"/>
        <v/>
      </c>
      <c r="CN267" s="403" t="str">
        <f t="shared" ca="1" si="481"/>
        <v/>
      </c>
      <c r="CO267" s="403" t="str">
        <f t="shared" ca="1" si="481"/>
        <v/>
      </c>
      <c r="CP267" s="403" t="str">
        <f t="shared" ca="1" si="481"/>
        <v/>
      </c>
      <c r="CQ267" s="403" t="str">
        <f t="shared" ca="1" si="481"/>
        <v/>
      </c>
      <c r="CR267" s="403" t="str">
        <f t="shared" ca="1" si="481"/>
        <v/>
      </c>
      <c r="CS267" s="403" t="str">
        <f t="shared" ca="1" si="481"/>
        <v/>
      </c>
      <c r="CT267" s="403" t="str">
        <f t="shared" ca="1" si="481"/>
        <v/>
      </c>
      <c r="CU267" s="403" t="str">
        <f t="shared" ca="1" si="481"/>
        <v/>
      </c>
      <c r="CV267" s="403" t="str">
        <f t="shared" ca="1" si="481"/>
        <v/>
      </c>
      <c r="CW267" s="403" t="str">
        <f t="shared" ca="1" si="481"/>
        <v/>
      </c>
      <c r="CX267" s="403" t="str">
        <f t="shared" ca="1" si="481"/>
        <v/>
      </c>
      <c r="CY267" s="403" t="str">
        <f t="shared" ca="1" si="481"/>
        <v/>
      </c>
      <c r="CZ267" s="403" t="str">
        <f t="shared" ca="1" si="481"/>
        <v/>
      </c>
      <c r="DA267" s="403" t="str">
        <f t="shared" ca="1" si="481"/>
        <v/>
      </c>
      <c r="DB267" s="403" t="str">
        <f t="shared" ca="1" si="481"/>
        <v/>
      </c>
      <c r="DC267" s="403" t="str">
        <f t="shared" ca="1" si="481"/>
        <v/>
      </c>
      <c r="DD267" s="403" t="str">
        <f t="shared" ca="1" si="481"/>
        <v/>
      </c>
      <c r="DE267" s="403" t="str">
        <f t="shared" ca="1" si="481"/>
        <v/>
      </c>
      <c r="DF267" s="403" t="str">
        <f t="shared" ca="1" si="481"/>
        <v/>
      </c>
      <c r="DG267" s="403" t="str">
        <f t="shared" ca="1" si="481"/>
        <v/>
      </c>
      <c r="DH267" s="403" t="str">
        <f t="shared" ca="1" si="481"/>
        <v/>
      </c>
      <c r="DI267" s="403" t="str">
        <f t="shared" ca="1" si="481"/>
        <v/>
      </c>
      <c r="DJ267" s="403" t="str">
        <f t="shared" ca="1" si="481"/>
        <v/>
      </c>
      <c r="DK267" s="403" t="str">
        <f t="shared" ca="1" si="481"/>
        <v/>
      </c>
      <c r="DL267" s="403" t="str">
        <f t="shared" ca="1" si="481"/>
        <v/>
      </c>
      <c r="DM267" s="403" t="str">
        <f t="shared" ca="1" si="481"/>
        <v/>
      </c>
      <c r="DN267" s="403" t="str">
        <f t="shared" ca="1" si="481"/>
        <v/>
      </c>
      <c r="DO267" s="403" t="str">
        <f t="shared" ca="1" si="481"/>
        <v/>
      </c>
      <c r="DP267" s="403" t="str">
        <f t="shared" ca="1" si="481"/>
        <v/>
      </c>
      <c r="DQ267" s="403" t="str">
        <f t="shared" ca="1" si="481"/>
        <v/>
      </c>
      <c r="DR267" s="403" t="str">
        <f t="shared" ca="1" si="481"/>
        <v/>
      </c>
      <c r="DS267" s="403" t="str">
        <f t="shared" ca="1" si="481"/>
        <v/>
      </c>
      <c r="DT267" s="403" t="str">
        <f t="shared" ca="1" si="481"/>
        <v/>
      </c>
      <c r="DU267" s="403" t="str">
        <f t="shared" ca="1" si="481"/>
        <v/>
      </c>
      <c r="DV267" s="403" t="str">
        <f t="shared" ca="1" si="481"/>
        <v/>
      </c>
      <c r="DW267" s="403" t="str">
        <f t="shared" ca="1" si="481"/>
        <v/>
      </c>
      <c r="DX267" s="403" t="str">
        <f t="shared" ca="1" si="481"/>
        <v/>
      </c>
      <c r="DY267" s="403" t="str">
        <f t="shared" ca="1" si="481"/>
        <v/>
      </c>
      <c r="DZ267" s="403" t="str">
        <f t="shared" ca="1" si="481"/>
        <v/>
      </c>
      <c r="EA267" s="403" t="str">
        <f t="shared" ca="1" si="481"/>
        <v/>
      </c>
      <c r="EB267" s="403" t="str">
        <f t="shared" ca="1" si="481"/>
        <v/>
      </c>
      <c r="EC267" s="403" t="str">
        <f t="shared" ca="1" si="481"/>
        <v/>
      </c>
      <c r="ED267" s="403" t="str">
        <f t="shared" ca="1" si="481"/>
        <v/>
      </c>
      <c r="EE267" s="403" t="str">
        <f t="shared" ca="1" si="481"/>
        <v/>
      </c>
      <c r="EF267" s="403" t="str">
        <f t="shared" ca="1" si="481"/>
        <v/>
      </c>
      <c r="EG267" s="403" t="str">
        <f t="shared" ca="1" si="481"/>
        <v/>
      </c>
      <c r="EH267" s="403" t="str">
        <f t="shared" ca="1" si="481"/>
        <v/>
      </c>
      <c r="EI267" s="403" t="str">
        <f t="shared" ca="1" si="481"/>
        <v/>
      </c>
    </row>
    <row r="268" spans="1:141" hidden="1" outlineLevel="2">
      <c r="A268" s="332"/>
      <c r="B268" s="313"/>
      <c r="D268" s="305" t="s">
        <v>672</v>
      </c>
      <c r="E268" s="1002">
        <f ca="1">IF(E264=0,"",MAX(G268:EI268))</f>
        <v>46034</v>
      </c>
      <c r="F268" s="1003"/>
      <c r="G268" s="403">
        <f ca="1">IF(SUM(G264:$EI264)=0,"",IF(G$227="","",G$227+G264-1))</f>
        <v>44985</v>
      </c>
      <c r="H268" s="403">
        <f ca="1">IF(SUM(H264:$EI264)=0,"",IF(H$227="","",H$227+H264-1))</f>
        <v>45016</v>
      </c>
      <c r="I268" s="403">
        <f ca="1">IF(SUM(I264:$EI264)=0,"",IF(I$227="","",I$227+I264-1))</f>
        <v>45046</v>
      </c>
      <c r="J268" s="403">
        <f ca="1">IF(SUM(J264:$EI264)=0,"",IF(J$227="","",J$227+J264-1))</f>
        <v>45077</v>
      </c>
      <c r="K268" s="403">
        <f ca="1">IF(SUM(K264:$EI264)=0,"",IF(K$227="","",K$227+K264-1))</f>
        <v>45107</v>
      </c>
      <c r="L268" s="403">
        <f ca="1">IF(SUM(L264:$EI264)=0,"",IF(L$227="","",L$227+L264-1))</f>
        <v>45138</v>
      </c>
      <c r="M268" s="403">
        <f ca="1">IF(SUM(M264:$EI264)=0,"",IF(M$227="","",M$227+M264-1))</f>
        <v>45169</v>
      </c>
      <c r="N268" s="403">
        <f ca="1">IF(SUM(N264:$EI264)=0,"",IF(N$227="","",N$227+N264-1))</f>
        <v>45199</v>
      </c>
      <c r="O268" s="403">
        <f ca="1">IF(SUM(O264:$EI264)=0,"",IF(O$227="","",O$227+O264-1))</f>
        <v>45230</v>
      </c>
      <c r="P268" s="403">
        <f ca="1">IF(SUM(P264:$EI264)=0,"",IF(P$227="","",P$227+P264-1))</f>
        <v>45260</v>
      </c>
      <c r="Q268" s="403">
        <f ca="1">IF(SUM(Q264:$EI264)=0,"",IF(Q$227="","",Q$227+Q264-1))</f>
        <v>45291</v>
      </c>
      <c r="R268" s="403">
        <f ca="1">IF(SUM(R264:$EI264)=0,"",IF(R$227="","",R$227+R264-1))</f>
        <v>45322</v>
      </c>
      <c r="S268" s="403">
        <f ca="1">IF(SUM(S264:$EI264)=0,"",IF(S$227="","",S$227+S264-1))</f>
        <v>45351</v>
      </c>
      <c r="T268" s="403">
        <f ca="1">IF(SUM(T264:$EI264)=0,"",IF(T$227="","",T$227+T264-1))</f>
        <v>45382</v>
      </c>
      <c r="U268" s="403">
        <f ca="1">IF(SUM(U264:$EI264)=0,"",IF(U$227="","",U$227+U264-1))</f>
        <v>45412</v>
      </c>
      <c r="V268" s="403">
        <f ca="1">IF(SUM(V264:$EI264)=0,"",IF(V$227="","",V$227+V264-1))</f>
        <v>45443</v>
      </c>
      <c r="W268" s="403">
        <f ca="1">IF(SUM(W264:$EI264)=0,"",IF(W$227="","",W$227+W264-1))</f>
        <v>45473</v>
      </c>
      <c r="X268" s="403">
        <f ca="1">IF(SUM(X264:$EI264)=0,"",IF(X$227="","",X$227+X264-1))</f>
        <v>45504</v>
      </c>
      <c r="Y268" s="403">
        <f ca="1">IF(SUM(Y264:$EI264)=0,"",IF(Y$227="","",Y$227+Y264-1))</f>
        <v>45535</v>
      </c>
      <c r="Z268" s="403">
        <f ca="1">IF(SUM(Z264:$EI264)=0,"",IF(Z$227="","",Z$227+Z264-1))</f>
        <v>45565</v>
      </c>
      <c r="AA268" s="403">
        <f ca="1">IF(SUM(AA264:$EI264)=0,"",IF(AA$227="","",AA$227+AA264-1))</f>
        <v>45596</v>
      </c>
      <c r="AB268" s="403">
        <f ca="1">IF(SUM(AB264:$EI264)=0,"",IF(AB$227="","",AB$227+AB264-1))</f>
        <v>45645</v>
      </c>
      <c r="AC268" s="403">
        <f ca="1">IF(SUM(AC264:$EI264)=0,"",IF(AC$227="","",AC$227+AC264-1))</f>
        <v>45688</v>
      </c>
      <c r="AD268" s="403">
        <f ca="1">IF(SUM(AD264:$EI264)=0,"",IF(AD$227="","",AD$227+AD264-1))</f>
        <v>45716</v>
      </c>
      <c r="AE268" s="403">
        <f ca="1">IF(SUM(AE264:$EI264)=0,"",IF(AE$227="","",AE$227+AE264-1))</f>
        <v>45747</v>
      </c>
      <c r="AF268" s="403">
        <f ca="1">IF(SUM(AF264:$EI264)=0,"",IF(AF$227="","",AF$227+AF264-1))</f>
        <v>45777</v>
      </c>
      <c r="AG268" s="403">
        <f ca="1">IF(SUM(AG264:$EI264)=0,"",IF(AG$227="","",AG$227+AG264-1))</f>
        <v>45808</v>
      </c>
      <c r="AH268" s="403">
        <f ca="1">IF(SUM(AH264:$EI264)=0,"",IF(AH$227="","",AH$227+AH264-1))</f>
        <v>45838</v>
      </c>
      <c r="AI268" s="403">
        <f ca="1">IF(SUM(AI264:$EI264)=0,"",IF(AI$227="","",AI$227+AI264-1))</f>
        <v>45869</v>
      </c>
      <c r="AJ268" s="403">
        <f ca="1">IF(SUM(AJ264:$EI264)=0,"",IF(AJ$227="","",AJ$227+AJ264-1))</f>
        <v>45900</v>
      </c>
      <c r="AK268" s="403">
        <f ca="1">IF(SUM(AK264:$EI264)=0,"",IF(AK$227="","",AK$227+AK264-1))</f>
        <v>45930</v>
      </c>
      <c r="AL268" s="403">
        <f ca="1">IF(SUM(AL264:$EI264)=0,"",IF(AL$227="","",AL$227+AL264-1))</f>
        <v>45961</v>
      </c>
      <c r="AM268" s="403">
        <f ca="1">IF(SUM(AM264:$EI264)=0,"",IF(AM$227="","",AM$227+AM264-1))</f>
        <v>45991</v>
      </c>
      <c r="AN268" s="403">
        <f ca="1">IF(SUM(AN264:$EI264)=0,"",IF(AN$227="","",AN$227+AN264-1))</f>
        <v>46022</v>
      </c>
      <c r="AO268" s="403">
        <f ca="1">IF(SUM(AO264:$EI264)=0,"",IF(AO$227="","",AO$227+AO264-1))</f>
        <v>46034</v>
      </c>
      <c r="AP268" s="403" t="str">
        <f ca="1">IF(SUM(AP264:$EI264)=0,"",IF(AP$227="","",AP$227+AP264-1))</f>
        <v/>
      </c>
      <c r="AQ268" s="403" t="str">
        <f ca="1">IF(SUM(AQ264:$EI264)=0,"",IF(AQ$227="","",AQ$227+AQ264-1))</f>
        <v/>
      </c>
      <c r="AR268" s="403" t="str">
        <f ca="1">IF(SUM(AR264:$EI264)=0,"",IF(AR$227="","",AR$227+AR264-1))</f>
        <v/>
      </c>
      <c r="AS268" s="403" t="str">
        <f ca="1">IF(SUM(AS264:$EI264)=0,"",IF(AS$227="","",AS$227+AS264-1))</f>
        <v/>
      </c>
      <c r="AT268" s="403" t="str">
        <f ca="1">IF(SUM(AT264:$EI264)=0,"",IF(AT$227="","",AT$227+AT264-1))</f>
        <v/>
      </c>
      <c r="AU268" s="403" t="str">
        <f ca="1">IF(SUM(AU264:$EI264)=0,"",IF(AU$227="","",AU$227+AU264-1))</f>
        <v/>
      </c>
      <c r="AV268" s="403" t="str">
        <f ca="1">IF(SUM(AV264:$EI264)=0,"",IF(AV$227="","",AV$227+AV264-1))</f>
        <v/>
      </c>
      <c r="AW268" s="403" t="str">
        <f ca="1">IF(SUM(AW264:$EI264)=0,"",IF(AW$227="","",AW$227+AW264-1))</f>
        <v/>
      </c>
      <c r="AX268" s="403" t="str">
        <f ca="1">IF(SUM(AX264:$EI264)=0,"",IF(AX$227="","",AX$227+AX264-1))</f>
        <v/>
      </c>
      <c r="AY268" s="403" t="str">
        <f ca="1">IF(SUM(AY264:$EI264)=0,"",IF(AY$227="","",AY$227+AY264-1))</f>
        <v/>
      </c>
      <c r="AZ268" s="403" t="str">
        <f ca="1">IF(SUM(AZ264:$EI264)=0,"",IF(AZ$227="","",AZ$227+AZ264-1))</f>
        <v/>
      </c>
      <c r="BA268" s="403" t="str">
        <f ca="1">IF(SUM(BA264:$EI264)=0,"",IF(BA$227="","",BA$227+BA264-1))</f>
        <v/>
      </c>
      <c r="BB268" s="403" t="str">
        <f ca="1">IF(SUM(BB264:$EI264)=0,"",IF(BB$227="","",BB$227+BB264-1))</f>
        <v/>
      </c>
      <c r="BC268" s="403" t="str">
        <f ca="1">IF(SUM(BC264:$EI264)=0,"",IF(BC$227="","",BC$227+BC264-1))</f>
        <v/>
      </c>
      <c r="BD268" s="403" t="str">
        <f ca="1">IF(SUM(BD264:$EI264)=0,"",IF(BD$227="","",BD$227+BD264-1))</f>
        <v/>
      </c>
      <c r="BE268" s="403" t="str">
        <f ca="1">IF(SUM(BE264:$EI264)=0,"",IF(BE$227="","",BE$227+BE264-1))</f>
        <v/>
      </c>
      <c r="BF268" s="403" t="str">
        <f ca="1">IF(SUM(BF264:$EI264)=0,"",IF(BF$227="","",BF$227+BF264-1))</f>
        <v/>
      </c>
      <c r="BG268" s="403" t="str">
        <f ca="1">IF(SUM(BG264:$EI264)=0,"",IF(BG$227="","",BG$227+BG264-1))</f>
        <v/>
      </c>
      <c r="BH268" s="403" t="str">
        <f ca="1">IF(SUM(BH264:$EI264)=0,"",IF(BH$227="","",BH$227+BH264-1))</f>
        <v/>
      </c>
      <c r="BI268" s="403" t="str">
        <f ca="1">IF(SUM(BI264:$EI264)=0,"",IF(BI$227="","",BI$227+BI264-1))</f>
        <v/>
      </c>
      <c r="BJ268" s="403" t="str">
        <f ca="1">IF(SUM(BJ264:$EI264)=0,"",IF(BJ$227="","",BJ$227+BJ264-1))</f>
        <v/>
      </c>
      <c r="BK268" s="403" t="str">
        <f ca="1">IF(SUM(BK264:$EI264)=0,"",IF(BK$227="","",BK$227+BK264-1))</f>
        <v/>
      </c>
      <c r="BL268" s="403" t="str">
        <f ca="1">IF(SUM(BL264:$EI264)=0,"",IF(BL$227="","",BL$227+BL264-1))</f>
        <v/>
      </c>
      <c r="BM268" s="403" t="str">
        <f ca="1">IF(SUM(BM264:$EI264)=0,"",IF(BM$227="","",BM$227+BM264-1))</f>
        <v/>
      </c>
      <c r="BN268" s="403" t="str">
        <f ca="1">IF(SUM(BN264:$EI264)=0,"",IF(BN$227="","",BN$227+BN264-1))</f>
        <v/>
      </c>
      <c r="BO268" s="403" t="str">
        <f ca="1">IF(SUM(BO264:$EI264)=0,"",IF(BO$227="","",BO$227+BO264-1))</f>
        <v/>
      </c>
      <c r="BP268" s="403" t="str">
        <f ca="1">IF(SUM(BP264:$EI264)=0,"",IF(BP$227="","",BP$227+BP264-1))</f>
        <v/>
      </c>
      <c r="BQ268" s="403" t="str">
        <f ca="1">IF(SUM(BQ264:$EI264)=0,"",IF(BQ$227="","",BQ$227+BQ264-1))</f>
        <v/>
      </c>
      <c r="BR268" s="403" t="str">
        <f ca="1">IF(SUM(BR264:$EI264)=0,"",IF(BR$227="","",BR$227+BR264-1))</f>
        <v/>
      </c>
      <c r="BS268" s="403" t="str">
        <f ca="1">IF(SUM(BS264:$EI264)=0,"",IF(BS$227="","",BS$227+BS264-1))</f>
        <v/>
      </c>
      <c r="BT268" s="403" t="str">
        <f ca="1">IF(SUM(BT264:$EI264)=0,"",IF(BT$227="","",BT$227+BT264-1))</f>
        <v/>
      </c>
      <c r="BU268" s="403" t="str">
        <f ca="1">IF(SUM(BU264:$EI264)=0,"",IF(BU$227="","",BU$227+BU264-1))</f>
        <v/>
      </c>
      <c r="BV268" s="403" t="str">
        <f ca="1">IF(SUM(BV264:$EI264)=0,"",IF(BV$227="","",BV$227+BV264-1))</f>
        <v/>
      </c>
      <c r="BW268" s="403" t="str">
        <f ca="1">IF(SUM(BW264:$EI264)=0,"",IF(BW$227="","",BW$227+BW264-1))</f>
        <v/>
      </c>
      <c r="BX268" s="403" t="str">
        <f ca="1">IF(SUM(BX264:$EI264)=0,"",IF(BX$227="","",BX$227+BX264-1))</f>
        <v/>
      </c>
      <c r="BY268" s="403" t="str">
        <f ca="1">IF(SUM(BY264:$EI264)=0,"",IF(BY$227="","",BY$227+BY264-1))</f>
        <v/>
      </c>
      <c r="BZ268" s="403" t="str">
        <f ca="1">IF(SUM(BZ264:$EI264)=0,"",IF(BZ$227="","",BZ$227+BZ264-1))</f>
        <v/>
      </c>
      <c r="CA268" s="403" t="str">
        <f ca="1">IF(SUM(CA264:$EI264)=0,"",IF(CA$227="","",CA$227+CA264-1))</f>
        <v/>
      </c>
      <c r="CB268" s="403" t="str">
        <f ca="1">IF(SUM(CB264:$EI264)=0,"",IF(CB$227="","",CB$227+CB264-1))</f>
        <v/>
      </c>
      <c r="CC268" s="403" t="str">
        <f ca="1">IF(SUM(CC264:$EI264)=0,"",IF(CC$227="","",CC$227+CC264-1))</f>
        <v/>
      </c>
      <c r="CD268" s="403" t="str">
        <f ca="1">IF(SUM(CD264:$EI264)=0,"",IF(CD$227="","",CD$227+CD264-1))</f>
        <v/>
      </c>
      <c r="CE268" s="403" t="str">
        <f ca="1">IF(SUM(CE264:$EI264)=0,"",IF(CE$227="","",CE$227+CE264-1))</f>
        <v/>
      </c>
      <c r="CF268" s="403" t="str">
        <f ca="1">IF(SUM(CF264:$EI264)=0,"",IF(CF$227="","",CF$227+CF264-1))</f>
        <v/>
      </c>
      <c r="CG268" s="403" t="str">
        <f ca="1">IF(SUM(CG264:$EI264)=0,"",IF(CG$227="","",CG$227+CG264-1))</f>
        <v/>
      </c>
      <c r="CH268" s="403" t="str">
        <f ca="1">IF(SUM(CH264:$EI264)=0,"",IF(CH$227="","",CH$227+CH264-1))</f>
        <v/>
      </c>
      <c r="CI268" s="403" t="str">
        <f ca="1">IF(SUM(CI264:$EI264)=0,"",IF(CI$227="","",CI$227+CI264-1))</f>
        <v/>
      </c>
      <c r="CJ268" s="403" t="str">
        <f ca="1">IF(SUM(CJ264:$EI264)=0,"",IF(CJ$227="","",CJ$227+CJ264-1))</f>
        <v/>
      </c>
      <c r="CK268" s="403" t="str">
        <f ca="1">IF(SUM(CK264:$EI264)=0,"",IF(CK$227="","",CK$227+CK264-1))</f>
        <v/>
      </c>
      <c r="CL268" s="403" t="str">
        <f ca="1">IF(SUM(CL264:$EI264)=0,"",IF(CL$227="","",CL$227+CL264-1))</f>
        <v/>
      </c>
      <c r="CM268" s="403" t="str">
        <f ca="1">IF(SUM(CM264:$EI264)=0,"",IF(CM$227="","",CM$227+CM264-1))</f>
        <v/>
      </c>
      <c r="CN268" s="403" t="str">
        <f ca="1">IF(SUM(CN264:$EI264)=0,"",IF(CN$227="","",CN$227+CN264-1))</f>
        <v/>
      </c>
      <c r="CO268" s="403" t="str">
        <f ca="1">IF(SUM(CO264:$EI264)=0,"",IF(CO$227="","",CO$227+CO264-1))</f>
        <v/>
      </c>
      <c r="CP268" s="403" t="str">
        <f ca="1">IF(SUM(CP264:$EI264)=0,"",IF(CP$227="","",CP$227+CP264-1))</f>
        <v/>
      </c>
      <c r="CQ268" s="403" t="str">
        <f ca="1">IF(SUM(CQ264:$EI264)=0,"",IF(CQ$227="","",CQ$227+CQ264-1))</f>
        <v/>
      </c>
      <c r="CR268" s="403" t="str">
        <f ca="1">IF(SUM(CR264:$EI264)=0,"",IF(CR$227="","",CR$227+CR264-1))</f>
        <v/>
      </c>
      <c r="CS268" s="403" t="str">
        <f ca="1">IF(SUM(CS264:$EI264)=0,"",IF(CS$227="","",CS$227+CS264-1))</f>
        <v/>
      </c>
      <c r="CT268" s="403" t="str">
        <f ca="1">IF(SUM(CT264:$EI264)=0,"",IF(CT$227="","",CT$227+CT264-1))</f>
        <v/>
      </c>
      <c r="CU268" s="403" t="str">
        <f ca="1">IF(SUM(CU264:$EI264)=0,"",IF(CU$227="","",CU$227+CU264-1))</f>
        <v/>
      </c>
      <c r="CV268" s="403" t="str">
        <f ca="1">IF(SUM(CV264:$EI264)=0,"",IF(CV$227="","",CV$227+CV264-1))</f>
        <v/>
      </c>
      <c r="CW268" s="403" t="str">
        <f ca="1">IF(SUM(CW264:$EI264)=0,"",IF(CW$227="","",CW$227+CW264-1))</f>
        <v/>
      </c>
      <c r="CX268" s="403" t="str">
        <f ca="1">IF(SUM(CX264:$EI264)=0,"",IF(CX$227="","",CX$227+CX264-1))</f>
        <v/>
      </c>
      <c r="CY268" s="403" t="str">
        <f ca="1">IF(SUM(CY264:$EI264)=0,"",IF(CY$227="","",CY$227+CY264-1))</f>
        <v/>
      </c>
      <c r="CZ268" s="403" t="str">
        <f ca="1">IF(SUM(CZ264:$EI264)=0,"",IF(CZ$227="","",CZ$227+CZ264-1))</f>
        <v/>
      </c>
      <c r="DA268" s="403" t="str">
        <f ca="1">IF(SUM(DA264:$EI264)=0,"",IF(DA$227="","",DA$227+DA264-1))</f>
        <v/>
      </c>
      <c r="DB268" s="403" t="str">
        <f ca="1">IF(SUM(DB264:$EI264)=0,"",IF(DB$227="","",DB$227+DB264-1))</f>
        <v/>
      </c>
      <c r="DC268" s="403" t="str">
        <f ca="1">IF(SUM(DC264:$EI264)=0,"",IF(DC$227="","",DC$227+DC264-1))</f>
        <v/>
      </c>
      <c r="DD268" s="403" t="str">
        <f ca="1">IF(SUM(DD264:$EI264)=0,"",IF(DD$227="","",DD$227+DD264-1))</f>
        <v/>
      </c>
      <c r="DE268" s="403" t="str">
        <f ca="1">IF(SUM(DE264:$EI264)=0,"",IF(DE$227="","",DE$227+DE264-1))</f>
        <v/>
      </c>
      <c r="DF268" s="403" t="str">
        <f ca="1">IF(SUM(DF264:$EI264)=0,"",IF(DF$227="","",DF$227+DF264-1))</f>
        <v/>
      </c>
      <c r="DG268" s="403" t="str">
        <f ca="1">IF(SUM(DG264:$EI264)=0,"",IF(DG$227="","",DG$227+DG264-1))</f>
        <v/>
      </c>
      <c r="DH268" s="403" t="str">
        <f ca="1">IF(SUM(DH264:$EI264)=0,"",IF(DH$227="","",DH$227+DH264-1))</f>
        <v/>
      </c>
      <c r="DI268" s="403" t="str">
        <f ca="1">IF(SUM(DI264:$EI264)=0,"",IF(DI$227="","",DI$227+DI264-1))</f>
        <v/>
      </c>
      <c r="DJ268" s="403" t="str">
        <f ca="1">IF(SUM(DJ264:$EI264)=0,"",IF(DJ$227="","",DJ$227+DJ264-1))</f>
        <v/>
      </c>
      <c r="DK268" s="403" t="str">
        <f ca="1">IF(SUM(DK264:$EI264)=0,"",IF(DK$227="","",DK$227+DK264-1))</f>
        <v/>
      </c>
      <c r="DL268" s="403" t="str">
        <f ca="1">IF(SUM(DL264:$EI264)=0,"",IF(DL$227="","",DL$227+DL264-1))</f>
        <v/>
      </c>
      <c r="DM268" s="403" t="str">
        <f ca="1">IF(SUM(DM264:$EI264)=0,"",IF(DM$227="","",DM$227+DM264-1))</f>
        <v/>
      </c>
      <c r="DN268" s="403" t="str">
        <f ca="1">IF(SUM(DN264:$EI264)=0,"",IF(DN$227="","",DN$227+DN264-1))</f>
        <v/>
      </c>
      <c r="DO268" s="403" t="str">
        <f ca="1">IF(SUM(DO264:$EI264)=0,"",IF(DO$227="","",DO$227+DO264-1))</f>
        <v/>
      </c>
      <c r="DP268" s="403" t="str">
        <f ca="1">IF(SUM(DP264:$EI264)=0,"",IF(DP$227="","",DP$227+DP264-1))</f>
        <v/>
      </c>
      <c r="DQ268" s="403" t="str">
        <f ca="1">IF(SUM(DQ264:$EI264)=0,"",IF(DQ$227="","",DQ$227+DQ264-1))</f>
        <v/>
      </c>
      <c r="DR268" s="403" t="str">
        <f ca="1">IF(SUM(DR264:$EI264)=0,"",IF(DR$227="","",DR$227+DR264-1))</f>
        <v/>
      </c>
      <c r="DS268" s="403" t="str">
        <f ca="1">IF(SUM(DS264:$EI264)=0,"",IF(DS$227="","",DS$227+DS264-1))</f>
        <v/>
      </c>
      <c r="DT268" s="403" t="str">
        <f ca="1">IF(SUM(DT264:$EI264)=0,"",IF(DT$227="","",DT$227+DT264-1))</f>
        <v/>
      </c>
      <c r="DU268" s="403" t="str">
        <f ca="1">IF(SUM(DU264:$EI264)=0,"",IF(DU$227="","",DU$227+DU264-1))</f>
        <v/>
      </c>
      <c r="DV268" s="403" t="str">
        <f ca="1">IF(SUM(DV264:$EI264)=0,"",IF(DV$227="","",DV$227+DV264-1))</f>
        <v/>
      </c>
      <c r="DW268" s="403" t="str">
        <f ca="1">IF(SUM(DW264:$EI264)=0,"",IF(DW$227="","",DW$227+DW264-1))</f>
        <v/>
      </c>
      <c r="DX268" s="403" t="str">
        <f ca="1">IF(SUM(DX264:$EI264)=0,"",IF(DX$227="","",DX$227+DX264-1))</f>
        <v/>
      </c>
      <c r="DY268" s="403" t="str">
        <f ca="1">IF(SUM(DY264:$EI264)=0,"",IF(DY$227="","",DY$227+DY264-1))</f>
        <v/>
      </c>
      <c r="DZ268" s="403" t="str">
        <f ca="1">IF(SUM(DZ264:$EI264)=0,"",IF(DZ$227="","",DZ$227+DZ264-1))</f>
        <v/>
      </c>
      <c r="EA268" s="403" t="str">
        <f ca="1">IF(SUM(EA264:$EI264)=0,"",IF(EA$227="","",EA$227+EA264-1))</f>
        <v/>
      </c>
      <c r="EB268" s="403" t="str">
        <f ca="1">IF(SUM(EB264:$EI264)=0,"",IF(EB$227="","",EB$227+EB264-1))</f>
        <v/>
      </c>
      <c r="EC268" s="403" t="str">
        <f ca="1">IF(SUM(EC264:$EI264)=0,"",IF(EC$227="","",EC$227+EC264-1))</f>
        <v/>
      </c>
      <c r="ED268" s="403" t="str">
        <f ca="1">IF(SUM(ED264:$EI264)=0,"",IF(ED$227="","",ED$227+ED264-1))</f>
        <v/>
      </c>
      <c r="EE268" s="403" t="str">
        <f ca="1">IF(SUM(EE264:$EI264)=0,"",IF(EE$227="","",EE$227+EE264-1))</f>
        <v/>
      </c>
      <c r="EF268" s="403" t="str">
        <f ca="1">IF(SUM(EF264:$EI264)=0,"",IF(EF$227="","",EF$227+EF264-1))</f>
        <v/>
      </c>
      <c r="EG268" s="403" t="str">
        <f ca="1">IF(SUM(EG264:$EI264)=0,"",IF(EG$227="","",EG$227+EG264-1))</f>
        <v/>
      </c>
      <c r="EH268" s="403" t="str">
        <f ca="1">IF(SUM(EH264:$EI264)=0,"",IF(EH$227="","",EH$227+EH264-1))</f>
        <v/>
      </c>
      <c r="EI268" s="403" t="str">
        <f ca="1">IF(SUM(EI264:$EI264)=0,"",IF(EI$227="","",EI$227+EI264-1))</f>
        <v/>
      </c>
    </row>
    <row r="269" spans="1:141" outlineLevel="1" collapsed="1">
      <c r="A269" s="332"/>
      <c r="B269" s="313"/>
      <c r="C269" s="317" t="s">
        <v>64</v>
      </c>
      <c r="D269" s="317" t="s">
        <v>65</v>
      </c>
      <c r="E269" s="400">
        <f ca="1">IF(ГРП!B15=0,длительность!J70,ГРП!B15)</f>
        <v>379</v>
      </c>
      <c r="F269" s="318">
        <f ca="1">E269-SUM(G269:EJ269)</f>
        <v>0</v>
      </c>
      <c r="G269" s="401"/>
      <c r="H269" s="401">
        <f ca="1">IF(SUM($G269:G269)&gt;=$E269,0,IF($E269-SUM($G269:G269)&gt;H270,H270,$E269-SUM($G270:G270)))</f>
        <v>0</v>
      </c>
      <c r="I269" s="401">
        <f ca="1">IF(SUM($G269:H269)&gt;=$E269,0,IF($E269-SUM($G269:H269)&gt;I270,I270,$E269-SUM($G270:H270)))</f>
        <v>0</v>
      </c>
      <c r="J269" s="401">
        <f ca="1">IF(SUM($G269:I269)&gt;=$E269,0,IF($E269-SUM($G269:I269)&gt;J270,J270,$E269-SUM($G270:I270)))</f>
        <v>0</v>
      </c>
      <c r="K269" s="401">
        <f ca="1">IF(SUM($G269:J269)&gt;=$E269,0,IF($E269-SUM($G269:J269)&gt;K270,K270,$E269-SUM($G270:J270)))</f>
        <v>0</v>
      </c>
      <c r="L269" s="401">
        <f ca="1">IF(SUM($G269:K269)&gt;=$E269,0,IF($E269-SUM($G269:K269)&gt;L270,L270,$E269-SUM($G270:K270)))</f>
        <v>0</v>
      </c>
      <c r="M269" s="401">
        <f ca="1">IF(SUM($G269:L269)&gt;=$E269,0,IF($E269-SUM($G269:L269)&gt;M270,M270,$E269-SUM($G270:L270)))</f>
        <v>0</v>
      </c>
      <c r="N269" s="401">
        <f ca="1">IF(SUM($G269:M269)&gt;=$E269,0,IF($E269-SUM($G269:M269)&gt;N270,N270,$E269-SUM($G270:M270)))</f>
        <v>0</v>
      </c>
      <c r="O269" s="401">
        <f ca="1">IF(SUM($G269:N269)&gt;=$E269,0,IF($E269-SUM($G269:N269)&gt;O270,O270,$E269-SUM($G270:N270)))</f>
        <v>0</v>
      </c>
      <c r="P269" s="401">
        <f ca="1">IF(SUM($G269:O269)&gt;=$E269,0,IF($E269-SUM($G269:O269)&gt;P270,P270,$E269-SUM($G270:O270)))</f>
        <v>0</v>
      </c>
      <c r="Q269" s="401">
        <f ca="1">IF(SUM($G269:P269)&gt;=$E269,0,IF($E269-SUM($G269:P269)&gt;Q270,Q270,$E269-SUM($G270:P270)))</f>
        <v>0</v>
      </c>
      <c r="R269" s="401">
        <f ca="1">IF(SUM($G269:Q269)&gt;=$E269,0,IF($E269-SUM($G269:Q269)&gt;R270,R270,$E269-SUM($G270:Q270)))</f>
        <v>0</v>
      </c>
      <c r="S269" s="401">
        <f ca="1">IF(SUM($G269:R269)&gt;=$E269,0,IF($E269-SUM($G269:R269)&gt;S270,S270,$E269-SUM($G270:R270)))</f>
        <v>0</v>
      </c>
      <c r="T269" s="401">
        <f ca="1">IF(SUM($G269:S269)&gt;=$E269,0,IF($E269-SUM($G269:S269)&gt;T270,T270,$E269-SUM($G270:S270)))</f>
        <v>0</v>
      </c>
      <c r="U269" s="401">
        <f ca="1">IF(SUM($G269:T269)&gt;=$E269,0,IF($E269-SUM($G269:T269)&gt;U270,U270,$E269-SUM($G270:T270)))</f>
        <v>0</v>
      </c>
      <c r="V269" s="401">
        <f ca="1">IF(SUM($G269:U269)&gt;=$E269,0,IF($E269-SUM($G269:U269)&gt;V270,V270,$E269-SUM($G270:U270)))</f>
        <v>0</v>
      </c>
      <c r="W269" s="401">
        <f ca="1">IF(SUM($G269:V269)&gt;=$E269,0,IF($E269-SUM($G269:V269)&gt;W270,W270,$E269-SUM($G270:V270)))</f>
        <v>0</v>
      </c>
      <c r="X269" s="401">
        <f ca="1">IF(SUM($G269:W269)&gt;=$E269,0,IF($E269-SUM($G269:W269)&gt;X270,X270,$E269-SUM($G270:W270)))</f>
        <v>0</v>
      </c>
      <c r="Y269" s="401">
        <f ca="1">IF(SUM($G269:X269)&gt;=$E269,0,IF($E269-SUM($G269:X269)&gt;Y270,Y270,$E269-SUM($G270:X270)))</f>
        <v>0</v>
      </c>
      <c r="Z269" s="401">
        <f ca="1">IF(SUM($G269:Y269)&gt;=$E269,0,IF($E269-SUM($G269:Y269)&gt;Z270,Z270,$E269-SUM($G270:Y270)))</f>
        <v>0</v>
      </c>
      <c r="AA269" s="401">
        <f ca="1">IF(SUM($G269:Z269)&gt;=$E269,0,IF($E269-SUM($G269:Z269)&gt;AA270,AA270,$E269-SUM($G270:Z270)))</f>
        <v>0</v>
      </c>
      <c r="AB269" s="401">
        <f ca="1">IF(SUM($G269:AA269)&gt;=$E269,0,IF($E269-SUM($G269:AA269)&gt;AB270,AB270,$E269-SUM($G270:AA270)))</f>
        <v>0</v>
      </c>
      <c r="AC269" s="401">
        <f ca="1">IF(SUM($G269:AB269)&gt;=$E269,0,IF($E269-SUM($G269:AB269)&gt;AC270,AC270,$E269-SUM($G270:AB270)))</f>
        <v>0</v>
      </c>
      <c r="AD269" s="401">
        <f ca="1">IF(SUM($G269:AC269)&gt;=$E269,0,IF($E269-SUM($G269:AC269)&gt;AD270,AD270,$E269-SUM($G270:AC270)))</f>
        <v>0</v>
      </c>
      <c r="AE269" s="401">
        <f ca="1">IF(SUM($G269:AD269)&gt;=$E269,0,IF($E269-SUM($G269:AD269)&gt;AE270,AE270,$E269-SUM($G270:AD270)))</f>
        <v>0</v>
      </c>
      <c r="AF269" s="401">
        <f ca="1">IF(SUM($G269:AE269)&gt;=$E269,0,IF($E269-SUM($G269:AE269)&gt;AF270,AF270,$E269-SUM($G270:AE270)))</f>
        <v>0</v>
      </c>
      <c r="AG269" s="401">
        <f ca="1">IF(SUM($G269:AF269)&gt;=$E269,0,IF($E269-SUM($G269:AF269)&gt;AG270,AG270,$E269-SUM($G270:AF270)))</f>
        <v>0</v>
      </c>
      <c r="AH269" s="401">
        <f ca="1">IF(SUM($G269:AG269)&gt;=$E269,0,IF($E269-SUM($G269:AG269)&gt;AH270,AH270,$E269-SUM($G270:AG270)))</f>
        <v>0</v>
      </c>
      <c r="AI269" s="401">
        <f ca="1">IF(SUM($G269:AH269)&gt;=$E269,0,IF($E269-SUM($G269:AH269)&gt;AI270,AI270,$E269-SUM($G270:AH270)))</f>
        <v>0</v>
      </c>
      <c r="AJ269" s="401">
        <f ca="1">IF(SUM($G269:AI269)&gt;=$E269,0,IF($E269-SUM($G269:AI269)&gt;AJ270,AJ270,$E269-SUM($G270:AI270)))</f>
        <v>0</v>
      </c>
      <c r="AK269" s="401">
        <f ca="1">IF(SUM($G269:AJ269)&gt;=$E269,0,IF($E269-SUM($G269:AJ269)&gt;AK270,AK270,$E269-SUM($G270:AJ270)))</f>
        <v>0</v>
      </c>
      <c r="AL269" s="401">
        <f ca="1">IF(SUM($G269:AK269)&gt;=$E269,0,IF($E269-SUM($G269:AK269)&gt;AL270,AL270,$E269-SUM($G270:AK270)))</f>
        <v>0</v>
      </c>
      <c r="AM269" s="401">
        <f ca="1">IF(SUM($G269:AL269)&gt;=$E269,0,IF($E269-SUM($G269:AL269)&gt;AM270,AM270,$E269-SUM($G270:AL270)))</f>
        <v>0</v>
      </c>
      <c r="AN269" s="401">
        <f ca="1">IF(SUM($G269:AM269)&gt;=$E269,0,IF($E269-SUM($G269:AM269)&gt;AN270,AN270,$E269-SUM($G270:AM270)))</f>
        <v>0</v>
      </c>
      <c r="AO269" s="401">
        <f ca="1">IF(SUM($G269:AN269)&gt;=$E269,0,IF($E269-SUM($G269:AN269)&gt;AO270,AO270,$E269-SUM($G270:AN270)))</f>
        <v>19</v>
      </c>
      <c r="AP269" s="401">
        <f ca="1">IF(SUM($G269:AO269)&gt;=$E269,0,IF($E269-SUM($G269:AO269)&gt;AP270,AP270,$E269-SUM($G270:AO270)))</f>
        <v>28</v>
      </c>
      <c r="AQ269" s="401">
        <f ca="1">IF(SUM($G269:AP269)&gt;=$E269,0,IF($E269-SUM($G269:AP269)&gt;AQ270,AQ270,$E269-SUM($G270:AP270)))</f>
        <v>31</v>
      </c>
      <c r="AR269" s="401">
        <f ca="1">IF(SUM($G269:AQ269)&gt;=$E269,0,IF($E269-SUM($G269:AQ269)&gt;AR270,AR270,$E269-SUM($G270:AQ270)))</f>
        <v>30</v>
      </c>
      <c r="AS269" s="401">
        <f ca="1">IF(SUM($G269:AR269)&gt;=$E269,0,IF($E269-SUM($G269:AR269)&gt;AS270,AS270,$E269-SUM($G270:AR270)))</f>
        <v>31</v>
      </c>
      <c r="AT269" s="401">
        <f ca="1">IF(SUM($G269:AS269)&gt;=$E269,0,IF($E269-SUM($G269:AS269)&gt;AT270,AT270,$E269-SUM($G270:AS270)))</f>
        <v>30</v>
      </c>
      <c r="AU269" s="401">
        <f ca="1">IF(SUM($G269:AT269)&gt;=$E269,0,IF($E269-SUM($G269:AT269)&gt;AU270,AU270,$E269-SUM($G270:AT270)))</f>
        <v>31</v>
      </c>
      <c r="AV269" s="401">
        <f ca="1">IF(SUM($G269:AU269)&gt;=$E269,0,IF($E269-SUM($G269:AU269)&gt;AV270,AV270,$E269-SUM($G270:AU270)))</f>
        <v>31</v>
      </c>
      <c r="AW269" s="401">
        <f ca="1">IF(SUM($G269:AV269)&gt;=$E269,0,IF($E269-SUM($G269:AV269)&gt;AW270,AW270,$E269-SUM($G270:AV270)))</f>
        <v>30</v>
      </c>
      <c r="AX269" s="401">
        <f ca="1">IF(SUM($G269:AW269)&gt;=$E269,0,IF($E269-SUM($G269:AW269)&gt;AX270,AX270,$E269-SUM($G270:AW270)))</f>
        <v>31</v>
      </c>
      <c r="AY269" s="401">
        <f ca="1">IF(SUM($G269:AX269)&gt;=$E269,0,IF($E269-SUM($G269:AX269)&gt;AY270,AY270,$E269-SUM($G270:AX270)))</f>
        <v>30</v>
      </c>
      <c r="AZ269" s="401">
        <f ca="1">IF(SUM($G269:AY269)&gt;=$E269,0,IF($E269-SUM($G269:AY269)&gt;AZ270,AZ270,$E269-SUM($G270:AY270)))</f>
        <v>31</v>
      </c>
      <c r="BA269" s="401">
        <f ca="1">IF(SUM($G269:AZ269)&gt;=$E269,0,IF($E269-SUM($G269:AZ269)&gt;BA270,BA270,$E269-SUM($G270:AZ270)))</f>
        <v>26</v>
      </c>
      <c r="BB269" s="401">
        <f ca="1">IF(SUM($G269:BA269)&gt;=$E269,0,IF($E269-SUM($G269:BA269)&gt;BB270,BB270,$E269-SUM($G270:BA270)))</f>
        <v>0</v>
      </c>
      <c r="BC269" s="401">
        <f ca="1">IF(SUM($G269:BB269)&gt;=$E269,0,IF($E269-SUM($G269:BB269)&gt;BC270,BC270,$E269-SUM($G270:BB270)))</f>
        <v>0</v>
      </c>
      <c r="BD269" s="401">
        <f ca="1">IF(SUM($G269:BC269)&gt;=$E269,0,IF($E269-SUM($G269:BC269)&gt;BD270,BD270,$E269-SUM($G270:BC270)))</f>
        <v>0</v>
      </c>
      <c r="BE269" s="401">
        <f ca="1">IF(SUM($G269:BD269)&gt;=$E269,0,IF($E269-SUM($G269:BD269)&gt;BE270,BE270,$E269-SUM($G270:BD270)))</f>
        <v>0</v>
      </c>
      <c r="BF269" s="401">
        <f ca="1">IF(SUM($G269:BE269)&gt;=$E269,0,IF($E269-SUM($G269:BE269)&gt;BF270,BF270,$E269-SUM($G270:BE270)))</f>
        <v>0</v>
      </c>
      <c r="BG269" s="401">
        <f ca="1">IF(SUM($G269:BF269)&gt;=$E269,0,IF($E269-SUM($G269:BF269)&gt;BG270,BG270,$E269-SUM($G270:BF270)))</f>
        <v>0</v>
      </c>
      <c r="BH269" s="401">
        <f ca="1">IF(SUM($G269:BG269)&gt;=$E269,0,IF($E269-SUM($G269:BG269)&gt;BH270,BH270,$E269-SUM($G270:BG270)))</f>
        <v>0</v>
      </c>
      <c r="BI269" s="401">
        <f ca="1">IF(SUM($G269:BH269)&gt;=$E269,0,IF($E269-SUM($G269:BH269)&gt;BI270,BI270,$E269-SUM($G270:BH270)))</f>
        <v>0</v>
      </c>
      <c r="BJ269" s="401">
        <f ca="1">IF(SUM($G269:BI269)&gt;=$E269,0,IF($E269-SUM($G269:BI269)&gt;BJ270,BJ270,$E269-SUM($G270:BI270)))</f>
        <v>0</v>
      </c>
      <c r="BK269" s="401">
        <f ca="1">IF(SUM($G269:BJ269)&gt;=$E269,0,IF($E269-SUM($G269:BJ269)&gt;BK270,BK270,$E269-SUM($G270:BJ270)))</f>
        <v>0</v>
      </c>
      <c r="BL269" s="401">
        <f ca="1">IF(SUM($G269:BK269)&gt;=$E269,0,IF($E269-SUM($G269:BK269)&gt;BL270,BL270,$E269-SUM($G270:BK270)))</f>
        <v>0</v>
      </c>
      <c r="BM269" s="401">
        <f ca="1">IF(SUM($G269:BL269)&gt;=$E269,0,IF($E269-SUM($G269:BL269)&gt;BM270,BM270,$E269-SUM($G270:BL270)))</f>
        <v>0</v>
      </c>
      <c r="BN269" s="401">
        <f ca="1">IF(SUM($G269:BM269)&gt;=$E269,0,IF($E269-SUM($G269:BM269)&gt;BN270,BN270,$E269-SUM($G270:BM270)))</f>
        <v>0</v>
      </c>
      <c r="BO269" s="401">
        <f ca="1">IF(SUM($G269:BN269)&gt;=$E269,0,IF($E269-SUM($G269:BN269)&gt;BO270,BO270,$E269-SUM($G270:BN270)))</f>
        <v>0</v>
      </c>
      <c r="BP269" s="401">
        <f ca="1">IF(SUM($G269:BO269)&gt;=$E269,0,IF($E269-SUM($G269:BO269)&gt;BP270,BP270,$E269-SUM($G270:BO270)))</f>
        <v>0</v>
      </c>
      <c r="BQ269" s="401">
        <f ca="1">IF(SUM($G269:BP269)&gt;=$E269,0,IF($E269-SUM($G269:BP269)&gt;BQ270,BQ270,$E269-SUM($G270:BP270)))</f>
        <v>0</v>
      </c>
      <c r="BR269" s="401">
        <f ca="1">IF(SUM($G269:BQ269)&gt;=$E269,0,IF($E269-SUM($G269:BQ269)&gt;BR270,BR270,$E269-SUM($G270:BQ270)))</f>
        <v>0</v>
      </c>
      <c r="BS269" s="401">
        <f ca="1">IF(SUM($G269:BR269)&gt;=$E269,0,IF($E269-SUM($G269:BR269)&gt;BS270,BS270,$E269-SUM($G270:BR270)))</f>
        <v>0</v>
      </c>
      <c r="BT269" s="401">
        <f ca="1">IF(SUM($G269:BS269)&gt;=$E269,0,IF($E269-SUM($G269:BS269)&gt;BT270,BT270,$E269-SUM($G270:BS270)))</f>
        <v>0</v>
      </c>
      <c r="BU269" s="401">
        <f ca="1">IF(SUM($G269:BT269)&gt;=$E269,0,IF($E269-SUM($G269:BT269)&gt;BU270,BU270,$E269-SUM($G270:BT270)))</f>
        <v>0</v>
      </c>
      <c r="BV269" s="401">
        <f ca="1">IF(SUM($G269:BU269)&gt;=$E269,0,IF($E269-SUM($G269:BU269)&gt;BV270,BV270,$E269-SUM($G270:BU270)))</f>
        <v>0</v>
      </c>
      <c r="BW269" s="401">
        <f ca="1">IF(SUM($G269:BV269)&gt;=$E269,0,IF($E269-SUM($G269:BV269)&gt;BW270,BW270,$E269-SUM($G270:BV270)))</f>
        <v>0</v>
      </c>
      <c r="BX269" s="401">
        <f ca="1">IF(SUM($G269:BW269)&gt;=$E269,0,IF($E269-SUM($G269:BW269)&gt;BX270,BX270,$E269-SUM($G270:BW270)))</f>
        <v>0</v>
      </c>
      <c r="BY269" s="401">
        <f ca="1">IF(SUM($G269:BX269)&gt;=$E269,0,IF($E269-SUM($G269:BX269)&gt;BY270,BY270,$E269-SUM($G270:BX270)))</f>
        <v>0</v>
      </c>
      <c r="BZ269" s="401">
        <f ca="1">IF(SUM($G269:BY269)&gt;=$E269,0,IF($E269-SUM($G269:BY269)&gt;BZ270,BZ270,$E269-SUM($G270:BY270)))</f>
        <v>0</v>
      </c>
      <c r="CA269" s="401">
        <f ca="1">IF(SUM($G269:BZ269)&gt;=$E269,0,IF($E269-SUM($G269:BZ269)&gt;CA270,CA270,$E269-SUM($G270:BZ270)))</f>
        <v>0</v>
      </c>
      <c r="CB269" s="401">
        <f ca="1">IF(SUM($G269:CA269)&gt;=$E269,0,IF($E269-SUM($G269:CA269)&gt;CB270,CB270,$E269-SUM($G270:CA270)))</f>
        <v>0</v>
      </c>
      <c r="CC269" s="401">
        <f ca="1">IF(SUM($G269:CB269)&gt;=$E269,0,IF($E269-SUM($G269:CB269)&gt;CC270,CC270,$E269-SUM($G270:CB270)))</f>
        <v>0</v>
      </c>
      <c r="CD269" s="401">
        <f ca="1">IF(SUM($G269:CC269)&gt;=$E269,0,IF($E269-SUM($G269:CC269)&gt;CD270,CD270,$E269-SUM($G270:CC270)))</f>
        <v>0</v>
      </c>
      <c r="CE269" s="401">
        <f ca="1">IF(SUM($G269:CD269)&gt;=$E269,0,IF($E269-SUM($G269:CD269)&gt;CE270,CE270,$E269-SUM($G270:CD270)))</f>
        <v>0</v>
      </c>
      <c r="CF269" s="401">
        <f ca="1">IF(SUM($G269:CE269)&gt;=$E269,0,IF($E269-SUM($G269:CE269)&gt;CF270,CF270,$E269-SUM($G270:CE270)))</f>
        <v>0</v>
      </c>
      <c r="CG269" s="401">
        <f ca="1">IF(SUM($G269:CF269)&gt;=$E269,0,IF($E269-SUM($G269:CF269)&gt;CG270,CG270,$E269-SUM($G270:CF270)))</f>
        <v>0</v>
      </c>
      <c r="CH269" s="401">
        <f ca="1">IF(SUM($G269:CG269)&gt;=$E269,0,IF($E269-SUM($G269:CG269)&gt;CH270,CH270,$E269-SUM($G270:CG270)))</f>
        <v>0</v>
      </c>
      <c r="CI269" s="401">
        <f ca="1">IF(SUM($G269:CH269)&gt;=$E269,0,IF($E269-SUM($G269:CH269)&gt;CI270,CI270,$E269-SUM($G270:CH270)))</f>
        <v>0</v>
      </c>
      <c r="CJ269" s="401">
        <f ca="1">IF(SUM($G269:CI269)&gt;=$E269,0,IF($E269-SUM($G269:CI269)&gt;CJ270,CJ270,$E269-SUM($G270:CI270)))</f>
        <v>0</v>
      </c>
      <c r="CK269" s="401">
        <f ca="1">IF(SUM($G269:CJ269)&gt;=$E269,0,IF($E269-SUM($G269:CJ269)&gt;CK270,CK270,$E269-SUM($G270:CJ270)))</f>
        <v>0</v>
      </c>
      <c r="CL269" s="401">
        <f ca="1">IF(SUM($G269:CK269)&gt;=$E269,0,IF($E269-SUM($G269:CK269)&gt;CL270,CL270,$E269-SUM($G270:CK270)))</f>
        <v>0</v>
      </c>
      <c r="CM269" s="401">
        <f ca="1">IF(SUM($G269:CL269)&gt;=$E269,0,IF($E269-SUM($G269:CL269)&gt;CM270,CM270,$E269-SUM($G270:CL270)))</f>
        <v>0</v>
      </c>
      <c r="CN269" s="401">
        <f ca="1">IF(SUM($G269:CM269)&gt;=$E269,0,IF($E269-SUM($G269:CM269)&gt;CN270,CN270,$E269-SUM($G270:CM270)))</f>
        <v>0</v>
      </c>
      <c r="CO269" s="401">
        <f ca="1">IF(SUM($G269:CN269)&gt;=$E269,0,IF($E269-SUM($G269:CN269)&gt;CO270,CO270,$E269-SUM($G270:CN270)))</f>
        <v>0</v>
      </c>
      <c r="CP269" s="401">
        <f ca="1">IF(SUM($G269:CO269)&gt;=$E269,0,IF($E269-SUM($G269:CO269)&gt;CP270,CP270,$E269-SUM($G270:CO270)))</f>
        <v>0</v>
      </c>
      <c r="CQ269" s="401">
        <f ca="1">IF(SUM($G269:CP269)&gt;=$E269,0,IF($E269-SUM($G269:CP269)&gt;CQ270,CQ270,$E269-SUM($G270:CP270)))</f>
        <v>0</v>
      </c>
      <c r="CR269" s="401">
        <f ca="1">IF(SUM($G269:CQ269)&gt;=$E269,0,IF($E269-SUM($G269:CQ269)&gt;CR270,CR270,$E269-SUM($G270:CQ270)))</f>
        <v>0</v>
      </c>
      <c r="CS269" s="401">
        <f ca="1">IF(SUM($G269:CR269)&gt;=$E269,0,IF($E269-SUM($G269:CR269)&gt;CS270,CS270,$E269-SUM($G270:CR270)))</f>
        <v>0</v>
      </c>
      <c r="CT269" s="401">
        <f ca="1">IF(SUM($G269:CS269)&gt;=$E269,0,IF($E269-SUM($G269:CS269)&gt;CT270,CT270,$E269-SUM($G270:CS270)))</f>
        <v>0</v>
      </c>
      <c r="CU269" s="401">
        <f ca="1">IF(SUM($G269:CT269)&gt;=$E269,0,IF($E269-SUM($G269:CT269)&gt;CU270,CU270,$E269-SUM($G270:CT270)))</f>
        <v>0</v>
      </c>
      <c r="CV269" s="401">
        <f ca="1">IF(SUM($G269:CU269)&gt;=$E269,0,IF($E269-SUM($G269:CU269)&gt;CV270,CV270,$E269-SUM($G270:CU270)))</f>
        <v>0</v>
      </c>
      <c r="CW269" s="401">
        <f ca="1">IF(SUM($G269:CV269)&gt;=$E269,0,IF($E269-SUM($G269:CV269)&gt;CW270,CW270,$E269-SUM($G270:CV270)))</f>
        <v>0</v>
      </c>
      <c r="CX269" s="401">
        <f ca="1">IF(SUM($G269:CW269)&gt;=$E269,0,IF($E269-SUM($G269:CW269)&gt;CX270,CX270,$E269-SUM($G270:CW270)))</f>
        <v>0</v>
      </c>
      <c r="CY269" s="401">
        <f ca="1">IF(SUM($G269:CX269)&gt;=$E269,0,IF($E269-SUM($G269:CX269)&gt;CY270,CY270,$E269-SUM($G270:CX270)))</f>
        <v>0</v>
      </c>
      <c r="CZ269" s="401">
        <f ca="1">IF(SUM($G269:CY269)&gt;=$E269,0,IF($E269-SUM($G269:CY269)&gt;CZ270,CZ270,$E269-SUM($G270:CY270)))</f>
        <v>0</v>
      </c>
      <c r="DA269" s="401">
        <f ca="1">IF(SUM($G269:CZ269)&gt;=$E269,0,IF($E269-SUM($G269:CZ269)&gt;DA270,DA270,$E269-SUM($G270:CZ270)))</f>
        <v>0</v>
      </c>
      <c r="DB269" s="401">
        <f ca="1">IF(SUM($G269:DA269)&gt;=$E269,0,IF($E269-SUM($G269:DA269)&gt;DB270,DB270,$E269-SUM($G270:DA270)))</f>
        <v>0</v>
      </c>
      <c r="DC269" s="401">
        <f ca="1">IF(SUM($G269:DB269)&gt;=$E269,0,IF($E269-SUM($G269:DB269)&gt;DC270,DC270,$E269-SUM($G270:DB270)))</f>
        <v>0</v>
      </c>
      <c r="DD269" s="401">
        <f ca="1">IF(SUM($G269:DC269)&gt;=$E269,0,IF($E269-SUM($G269:DC269)&gt;DD270,DD270,$E269-SUM($G270:DC270)))</f>
        <v>0</v>
      </c>
      <c r="DE269" s="401">
        <f ca="1">IF(SUM($G269:DD269)&gt;=$E269,0,IF($E269-SUM($G269:DD269)&gt;DE270,DE270,$E269-SUM($G270:DD270)))</f>
        <v>0</v>
      </c>
      <c r="DF269" s="401">
        <f ca="1">IF(SUM($G269:DE269)&gt;=$E269,0,IF($E269-SUM($G269:DE269)&gt;DF270,DF270,$E269-SUM($G270:DE270)))</f>
        <v>0</v>
      </c>
      <c r="DG269" s="401">
        <f ca="1">IF(SUM($G269:DF269)&gt;=$E269,0,IF($E269-SUM($G269:DF269)&gt;DG270,DG270,$E269-SUM($G270:DF270)))</f>
        <v>0</v>
      </c>
      <c r="DH269" s="401">
        <f ca="1">IF(SUM($G269:DG269)&gt;=$E269,0,IF($E269-SUM($G269:DG269)&gt;DH270,DH270,$E269-SUM($G270:DG270)))</f>
        <v>0</v>
      </c>
      <c r="DI269" s="401">
        <f ca="1">IF(SUM($G269:DH269)&gt;=$E269,0,IF($E269-SUM($G269:DH269)&gt;DI270,DI270,$E269-SUM($G270:DH270)))</f>
        <v>0</v>
      </c>
      <c r="DJ269" s="401">
        <f ca="1">IF(SUM($G269:DI269)&gt;=$E269,0,IF($E269-SUM($G269:DI269)&gt;DJ270,DJ270,$E269-SUM($G270:DI270)))</f>
        <v>0</v>
      </c>
      <c r="DK269" s="401">
        <f ca="1">IF(SUM($G269:DJ269)&gt;=$E269,0,IF($E269-SUM($G269:DJ269)&gt;DK270,DK270,$E269-SUM($G270:DJ270)))</f>
        <v>0</v>
      </c>
      <c r="DL269" s="401">
        <f ca="1">IF(SUM($G269:DK269)&gt;=$E269,0,IF($E269-SUM($G269:DK269)&gt;DL270,DL270,$E269-SUM($G270:DK270)))</f>
        <v>0</v>
      </c>
      <c r="DM269" s="401">
        <f ca="1">IF(SUM($G269:DL269)&gt;=$E269,0,IF($E269-SUM($G269:DL269)&gt;DM270,DM270,$E269-SUM($G270:DL270)))</f>
        <v>0</v>
      </c>
      <c r="DN269" s="401">
        <f ca="1">IF(SUM($G269:DM269)&gt;=$E269,0,IF($E269-SUM($G269:DM269)&gt;DN270,DN270,$E269-SUM($G270:DM270)))</f>
        <v>0</v>
      </c>
      <c r="DO269" s="401">
        <f ca="1">IF(SUM($G269:DN269)&gt;=$E269,0,IF($E269-SUM($G269:DN269)&gt;DO270,DO270,$E269-SUM($G270:DN270)))</f>
        <v>0</v>
      </c>
      <c r="DP269" s="401">
        <f ca="1">IF(SUM($G269:DO269)&gt;=$E269,0,IF($E269-SUM($G269:DO269)&gt;DP270,DP270,$E269-SUM($G270:DO270)))</f>
        <v>0</v>
      </c>
      <c r="DQ269" s="401">
        <f ca="1">IF(SUM($G269:DP269)&gt;=$E269,0,IF($E269-SUM($G269:DP269)&gt;DQ270,DQ270,$E269-SUM($G270:DP270)))</f>
        <v>0</v>
      </c>
      <c r="DR269" s="401">
        <f ca="1">IF(SUM($G269:DQ269)&gt;=$E269,0,IF($E269-SUM($G269:DQ269)&gt;DR270,DR270,$E269-SUM($G270:DQ270)))</f>
        <v>0</v>
      </c>
      <c r="DS269" s="401">
        <f ca="1">IF(SUM($G269:DR269)&gt;=$E269,0,IF($E269-SUM($G269:DR269)&gt;DS270,DS270,$E269-SUM($G270:DR270)))</f>
        <v>0</v>
      </c>
      <c r="DT269" s="401">
        <f ca="1">IF(SUM($G269:DS269)&gt;=$E269,0,IF($E269-SUM($G269:DS269)&gt;DT270,DT270,$E269-SUM($G270:DS270)))</f>
        <v>0</v>
      </c>
      <c r="DU269" s="401">
        <f ca="1">IF(SUM($G269:DT269)&gt;=$E269,0,IF($E269-SUM($G269:DT269)&gt;DU270,DU270,$E269-SUM($G270:DT270)))</f>
        <v>0</v>
      </c>
      <c r="DV269" s="401">
        <f ca="1">IF(SUM($G269:DU269)&gt;=$E269,0,IF($E269-SUM($G269:DU269)&gt;DV270,DV270,$E269-SUM($G270:DU270)))</f>
        <v>0</v>
      </c>
      <c r="DW269" s="401">
        <f ca="1">IF(SUM($G269:DV269)&gt;=$E269,0,IF($E269-SUM($G269:DV269)&gt;DW270,DW270,$E269-SUM($G270:DV270)))</f>
        <v>0</v>
      </c>
      <c r="DX269" s="401">
        <f ca="1">IF(SUM($G269:DW269)&gt;=$E269,0,IF($E269-SUM($G269:DW269)&gt;DX270,DX270,$E269-SUM($G270:DW270)))</f>
        <v>0</v>
      </c>
      <c r="DY269" s="401">
        <f ca="1">IF(SUM($G269:DX269)&gt;=$E269,0,IF($E269-SUM($G269:DX269)&gt;DY270,DY270,$E269-SUM($G270:DX270)))</f>
        <v>0</v>
      </c>
      <c r="DZ269" s="401">
        <f ca="1">IF(SUM($G269:DY269)&gt;=$E269,0,IF($E269-SUM($G269:DY269)&gt;DZ270,DZ270,$E269-SUM($G270:DY270)))</f>
        <v>0</v>
      </c>
      <c r="EA269" s="401">
        <f ca="1">IF(SUM($G269:DZ269)&gt;=$E269,0,IF($E269-SUM($G269:DZ269)&gt;EA270,EA270,$E269-SUM($G270:DZ270)))</f>
        <v>0</v>
      </c>
      <c r="EB269" s="401">
        <f ca="1">IF(SUM($G269:EA269)&gt;=$E269,0,IF($E269-SUM($G269:EA269)&gt;EB270,EB270,$E269-SUM($G270:EA270)))</f>
        <v>0</v>
      </c>
      <c r="EC269" s="401">
        <f ca="1">IF(SUM($G269:EB269)&gt;=$E269,0,IF($E269-SUM($G269:EB269)&gt;EC270,EC270,$E269-SUM($G270:EB270)))</f>
        <v>0</v>
      </c>
      <c r="ED269" s="401">
        <f ca="1">IF(SUM($G269:EC269)&gt;=$E269,0,IF($E269-SUM($G269:EC269)&gt;ED270,ED270,$E269-SUM($G270:EC270)))</f>
        <v>0</v>
      </c>
      <c r="EE269" s="401">
        <f ca="1">IF(SUM($G269:ED269)&gt;=$E269,0,IF($E269-SUM($G269:ED269)&gt;EE270,EE270,$E269-SUM($G270:ED270)))</f>
        <v>0</v>
      </c>
      <c r="EF269" s="401">
        <f ca="1">IF(SUM($G269:EE269)&gt;=$E269,0,IF($E269-SUM($G269:EE269)&gt;EF270,EF270,$E269-SUM($G270:EE270)))</f>
        <v>0</v>
      </c>
      <c r="EG269" s="401">
        <f ca="1">IF(SUM($G269:EF269)&gt;=$E269,0,IF($E269-SUM($G269:EF269)&gt;EG270,EG270,$E269-SUM($G270:EF270)))</f>
        <v>0</v>
      </c>
      <c r="EH269" s="401">
        <f ca="1">IF(SUM($G269:EG269)&gt;=$E269,0,IF($E269-SUM($G269:EG269)&gt;EH270,EH270,$E269-SUM($G270:EG270)))</f>
        <v>0</v>
      </c>
      <c r="EI269" s="401">
        <f ca="1">IF(SUM($G269:EH269)&gt;=$E269,0,IF($E269-SUM($G269:EH269)&gt;EI270,EI270,$E269-SUM($G270:EH270)))</f>
        <v>0</v>
      </c>
      <c r="EK269" s="313"/>
    </row>
    <row r="270" spans="1:141" hidden="1" outlineLevel="2">
      <c r="A270" s="332"/>
      <c r="B270" s="313"/>
      <c r="C270" s="308"/>
      <c r="D270" s="308"/>
      <c r="E270" s="308"/>
      <c r="G270" s="402"/>
      <c r="H270" s="402">
        <f ca="1">IF((SUM($G265:H265)-$E264)&lt;0,0,IF((SUM($G265:H265)-$E264)&lt;H265,SUM($G265:H265)-$E264,H265))*IF(длительность!$B$11="up-down",0,1)+IF((SUM($G265:H265)-$E264*0.4)&lt;0,0,IF((SUM($G265:H265)-$E264*0.4)&lt;H265,SUM($G265:H265)-$E264*0.4,H265))*IF(длительность!$B$11="up-down",1,0)</f>
        <v>0</v>
      </c>
      <c r="I270" s="402">
        <f ca="1">IF((SUM($G265:I265)-$E264)&lt;0,0,IF((SUM($G265:I265)-$E264)&lt;I265,SUM($G265:I265)-$E264,I265))*IF(длительность!$B$11="up-down",0,1)+IF((SUM($G265:I265)-$E264*0.4)&lt;0,0,IF((SUM($G265:I265)-$E264*0.4)&lt;I265,SUM($G265:I265)-$E264*0.4,I265))*IF(длительность!$B$11="up-down",1,0)</f>
        <v>0</v>
      </c>
      <c r="J270" s="402">
        <f ca="1">IF((SUM($G265:J265)-$E264)&lt;0,0,IF((SUM($G265:J265)-$E264)&lt;J265,SUM($G265:J265)-$E264,J265))*IF(длительность!$B$11="up-down",0,1)+IF((SUM($G265:J265)-$E264*0.4)&lt;0,0,IF((SUM($G265:J265)-$E264*0.4)&lt;J265,SUM($G265:J265)-$E264*0.4,J265))*IF(длительность!$B$11="up-down",1,0)</f>
        <v>0</v>
      </c>
      <c r="K270" s="402">
        <f ca="1">IF((SUM($G265:K265)-$E264)&lt;0,0,IF((SUM($G265:K265)-$E264)&lt;K265,SUM($G265:K265)-$E264,K265))*IF(длительность!$B$11="up-down",0,1)+IF((SUM($G265:K265)-$E264*0.4)&lt;0,0,IF((SUM($G265:K265)-$E264*0.4)&lt;K265,SUM($G265:K265)-$E264*0.4,K265))*IF(длительность!$B$11="up-down",1,0)</f>
        <v>0</v>
      </c>
      <c r="L270" s="402">
        <f ca="1">IF((SUM($G265:L265)-$E264)&lt;0,0,IF((SUM($G265:L265)-$E264)&lt;L265,SUM($G265:L265)-$E264,L265))*IF(длительность!$B$11="up-down",0,1)+IF((SUM($G265:L265)-$E264*0.4)&lt;0,0,IF((SUM($G265:L265)-$E264*0.4)&lt;L265,SUM($G265:L265)-$E264*0.4,L265))*IF(длительность!$B$11="up-down",1,0)</f>
        <v>0</v>
      </c>
      <c r="M270" s="402">
        <f ca="1">IF((SUM($G265:M265)-$E264)&lt;0,0,IF((SUM($G265:M265)-$E264)&lt;M265,SUM($G265:M265)-$E264,M265))*IF(длительность!$B$11="up-down",0,1)+IF((SUM($G265:M265)-$E264*0.4)&lt;0,0,IF((SUM($G265:M265)-$E264*0.4)&lt;M265,SUM($G265:M265)-$E264*0.4,M265))*IF(длительность!$B$11="up-down",1,0)</f>
        <v>0</v>
      </c>
      <c r="N270" s="402">
        <f ca="1">IF((SUM($G265:N265)-$E264)&lt;0,0,IF((SUM($G265:N265)-$E264)&lt;N265,SUM($G265:N265)-$E264,N265))*IF(длительность!$B$11="up-down",0,1)+IF((SUM($G265:N265)-$E264*0.4)&lt;0,0,IF((SUM($G265:N265)-$E264*0.4)&lt;N265,SUM($G265:N265)-$E264*0.4,N265))*IF(длительность!$B$11="up-down",1,0)</f>
        <v>0</v>
      </c>
      <c r="O270" s="402">
        <f ca="1">IF((SUM($G265:O265)-$E264)&lt;0,0,IF((SUM($G265:O265)-$E264)&lt;O265,SUM($G265:O265)-$E264,O265))*IF(длительность!$B$11="up-down",0,1)+IF((SUM($G265:O265)-$E264*0.4)&lt;0,0,IF((SUM($G265:O265)-$E264*0.4)&lt;O265,SUM($G265:O265)-$E264*0.4,O265))*IF(длительность!$B$11="up-down",1,0)</f>
        <v>0</v>
      </c>
      <c r="P270" s="402">
        <f ca="1">IF((SUM($G265:P265)-$E264)&lt;0,0,IF((SUM($G265:P265)-$E264)&lt;P265,SUM($G265:P265)-$E264,P265))*IF(длительность!$B$11="up-down",0,1)+IF((SUM($G265:P265)-$E264*0.4)&lt;0,0,IF((SUM($G265:P265)-$E264*0.4)&lt;P265,SUM($G265:P265)-$E264*0.4,P265))*IF(длительность!$B$11="up-down",1,0)</f>
        <v>0</v>
      </c>
      <c r="Q270" s="402">
        <f ca="1">IF((SUM($G265:Q265)-$E264)&lt;0,0,IF((SUM($G265:Q265)-$E264)&lt;Q265,SUM($G265:Q265)-$E264,Q265))*IF(длительность!$B$11="up-down",0,1)+IF((SUM($G265:Q265)-$E264*0.4)&lt;0,0,IF((SUM($G265:Q265)-$E264*0.4)&lt;Q265,SUM($G265:Q265)-$E264*0.4,Q265))*IF(длительность!$B$11="up-down",1,0)</f>
        <v>0</v>
      </c>
      <c r="R270" s="402">
        <f ca="1">IF((SUM($G265:R265)-$E264)&lt;0,0,IF((SUM($G265:R265)-$E264)&lt;R265,SUM($G265:R265)-$E264,R265))*IF(длительность!$B$11="up-down",0,1)+IF((SUM($G265:R265)-$E264*0.4)&lt;0,0,IF((SUM($G265:R265)-$E264*0.4)&lt;R265,SUM($G265:R265)-$E264*0.4,R265))*IF(длительность!$B$11="up-down",1,0)</f>
        <v>0</v>
      </c>
      <c r="S270" s="402">
        <f ca="1">IF((SUM($G265:S265)-$E264)&lt;0,0,IF((SUM($G265:S265)-$E264)&lt;S265,SUM($G265:S265)-$E264,S265))*IF(длительность!$B$11="up-down",0,1)+IF((SUM($G265:S265)-$E264*0.4)&lt;0,0,IF((SUM($G265:S265)-$E264*0.4)&lt;S265,SUM($G265:S265)-$E264*0.4,S265))*IF(длительность!$B$11="up-down",1,0)</f>
        <v>0</v>
      </c>
      <c r="T270" s="402">
        <f ca="1">IF((SUM($G265:T265)-$E264)&lt;0,0,IF((SUM($G265:T265)-$E264)&lt;T265,SUM($G265:T265)-$E264,T265))*IF(длительность!$B$11="up-down",0,1)+IF((SUM($G265:T265)-$E264*0.4)&lt;0,0,IF((SUM($G265:T265)-$E264*0.4)&lt;T265,SUM($G265:T265)-$E264*0.4,T265))*IF(длительность!$B$11="up-down",1,0)</f>
        <v>0</v>
      </c>
      <c r="U270" s="402">
        <f ca="1">IF((SUM($G265:U265)-$E264)&lt;0,0,IF((SUM($G265:U265)-$E264)&lt;U265,SUM($G265:U265)-$E264,U265))*IF(длительность!$B$11="up-down",0,1)+IF((SUM($G265:U265)-$E264*0.4)&lt;0,0,IF((SUM($G265:U265)-$E264*0.4)&lt;U265,SUM($G265:U265)-$E264*0.4,U265))*IF(длительность!$B$11="up-down",1,0)</f>
        <v>0</v>
      </c>
      <c r="V270" s="402">
        <f ca="1">IF((SUM($G265:V265)-$E264)&lt;0,0,IF((SUM($G265:V265)-$E264)&lt;V265,SUM($G265:V265)-$E264,V265))*IF(длительность!$B$11="up-down",0,1)+IF((SUM($G265:V265)-$E264*0.4)&lt;0,0,IF((SUM($G265:V265)-$E264*0.4)&lt;V265,SUM($G265:V265)-$E264*0.4,V265))*IF(длительность!$B$11="up-down",1,0)</f>
        <v>0</v>
      </c>
      <c r="W270" s="402">
        <f ca="1">IF((SUM($G265:W265)-$E264)&lt;0,0,IF((SUM($G265:W265)-$E264)&lt;W265,SUM($G265:W265)-$E264,W265))*IF(длительность!$B$11="up-down",0,1)+IF((SUM($G265:W265)-$E264*0.4)&lt;0,0,IF((SUM($G265:W265)-$E264*0.4)&lt;W265,SUM($G265:W265)-$E264*0.4,W265))*IF(длительность!$B$11="up-down",1,0)</f>
        <v>0</v>
      </c>
      <c r="X270" s="402">
        <f ca="1">IF((SUM($G265:X265)-$E264)&lt;0,0,IF((SUM($G265:X265)-$E264)&lt;X265,SUM($G265:X265)-$E264,X265))*IF(длительность!$B$11="up-down",0,1)+IF((SUM($G265:X265)-$E264*0.4)&lt;0,0,IF((SUM($G265:X265)-$E264*0.4)&lt;X265,SUM($G265:X265)-$E264*0.4,X265))*IF(длительность!$B$11="up-down",1,0)</f>
        <v>0</v>
      </c>
      <c r="Y270" s="402">
        <f ca="1">IF((SUM($G265:Y265)-$E264)&lt;0,0,IF((SUM($G265:Y265)-$E264)&lt;Y265,SUM($G265:Y265)-$E264,Y265))*IF(длительность!$B$11="up-down",0,1)+IF((SUM($G265:Y265)-$E264*0.4)&lt;0,0,IF((SUM($G265:Y265)-$E264*0.4)&lt;Y265,SUM($G265:Y265)-$E264*0.4,Y265))*IF(длительность!$B$11="up-down",1,0)</f>
        <v>0</v>
      </c>
      <c r="Z270" s="402">
        <f ca="1">IF((SUM($G265:Z265)-$E264)&lt;0,0,IF((SUM($G265:Z265)-$E264)&lt;Z265,SUM($G265:Z265)-$E264,Z265))*IF(длительность!$B$11="up-down",0,1)+IF((SUM($G265:Z265)-$E264*0.4)&lt;0,0,IF((SUM($G265:Z265)-$E264*0.4)&lt;Z265,SUM($G265:Z265)-$E264*0.4,Z265))*IF(длительность!$B$11="up-down",1,0)</f>
        <v>0</v>
      </c>
      <c r="AA270" s="402">
        <f ca="1">IF((SUM($G265:AA265)-$E264)&lt;0,0,IF((SUM($G265:AA265)-$E264)&lt;AA265,SUM($G265:AA265)-$E264,AA265))*IF(длительность!$B$11="up-down",0,1)+IF((SUM($G265:AA265)-$E264*0.4)&lt;0,0,IF((SUM($G265:AA265)-$E264*0.4)&lt;AA265,SUM($G265:AA265)-$E264*0.4,AA265))*IF(длительность!$B$11="up-down",1,0)</f>
        <v>0</v>
      </c>
      <c r="AB270" s="402">
        <f ca="1">IF((SUM($G265:AB265)-$E264)&lt;0,0,IF((SUM($G265:AB265)-$E264)&lt;AB265,SUM($G265:AB265)-$E264,AB265))*IF(длительность!$B$11="up-down",0,1)+IF((SUM($G265:AB265)-$E264*0.4)&lt;0,0,IF((SUM($G265:AB265)-$E264*0.4)&lt;AB265,SUM($G265:AB265)-$E264*0.4,AB265))*IF(длительность!$B$11="up-down",1,0)</f>
        <v>0</v>
      </c>
      <c r="AC270" s="402">
        <f ca="1">IF((SUM($G265:AC265)-$E264)&lt;0,0,IF((SUM($G265:AC265)-$E264)&lt;AC265,SUM($G265:AC265)-$E264,AC265))*IF(длительность!$B$11="up-down",0,1)+IF((SUM($G265:AC265)-$E264*0.4)&lt;0,0,IF((SUM($G265:AC265)-$E264*0.4)&lt;AC265,SUM($G265:AC265)-$E264*0.4,AC265))*IF(длительность!$B$11="up-down",1,0)</f>
        <v>0</v>
      </c>
      <c r="AD270" s="402">
        <f ca="1">IF((SUM($G265:AD265)-$E264)&lt;0,0,IF((SUM($G265:AD265)-$E264)&lt;AD265,SUM($G265:AD265)-$E264,AD265))*IF(длительность!$B$11="up-down",0,1)+IF((SUM($G265:AD265)-$E264*0.4)&lt;0,0,IF((SUM($G265:AD265)-$E264*0.4)&lt;AD265,SUM($G265:AD265)-$E264*0.4,AD265))*IF(длительность!$B$11="up-down",1,0)</f>
        <v>0</v>
      </c>
      <c r="AE270" s="402">
        <f ca="1">IF((SUM($G265:AE265)-$E264)&lt;0,0,IF((SUM($G265:AE265)-$E264)&lt;AE265,SUM($G265:AE265)-$E264,AE265))*IF(длительность!$B$11="up-down",0,1)+IF((SUM($G265:AE265)-$E264*0.4)&lt;0,0,IF((SUM($G265:AE265)-$E264*0.4)&lt;AE265,SUM($G265:AE265)-$E264*0.4,AE265))*IF(длительность!$B$11="up-down",1,0)</f>
        <v>0</v>
      </c>
      <c r="AF270" s="402">
        <f ca="1">IF((SUM($G265:AF265)-$E264)&lt;0,0,IF((SUM($G265:AF265)-$E264)&lt;AF265,SUM($G265:AF265)-$E264,AF265))*IF(длительность!$B$11="up-down",0,1)+IF((SUM($G265:AF265)-$E264*0.4)&lt;0,0,IF((SUM($G265:AF265)-$E264*0.4)&lt;AF265,SUM($G265:AF265)-$E264*0.4,AF265))*IF(длительность!$B$11="up-down",1,0)</f>
        <v>0</v>
      </c>
      <c r="AG270" s="402">
        <f ca="1">IF((SUM($G265:AG265)-$E264)&lt;0,0,IF((SUM($G265:AG265)-$E264)&lt;AG265,SUM($G265:AG265)-$E264,AG265))*IF(длительность!$B$11="up-down",0,1)+IF((SUM($G265:AG265)-$E264*0.4)&lt;0,0,IF((SUM($G265:AG265)-$E264*0.4)&lt;AG265,SUM($G265:AG265)-$E264*0.4,AG265))*IF(длительность!$B$11="up-down",1,0)</f>
        <v>0</v>
      </c>
      <c r="AH270" s="402">
        <f ca="1">IF((SUM($G265:AH265)-$E264)&lt;0,0,IF((SUM($G265:AH265)-$E264)&lt;AH265,SUM($G265:AH265)-$E264,AH265))*IF(длительность!$B$11="up-down",0,1)+IF((SUM($G265:AH265)-$E264*0.4)&lt;0,0,IF((SUM($G265:AH265)-$E264*0.4)&lt;AH265,SUM($G265:AH265)-$E264*0.4,AH265))*IF(длительность!$B$11="up-down",1,0)</f>
        <v>0</v>
      </c>
      <c r="AI270" s="402">
        <f ca="1">IF((SUM($G265:AI265)-$E264)&lt;0,0,IF((SUM($G265:AI265)-$E264)&lt;AI265,SUM($G265:AI265)-$E264,AI265))*IF(длительность!$B$11="up-down",0,1)+IF((SUM($G265:AI265)-$E264*0.4)&lt;0,0,IF((SUM($G265:AI265)-$E264*0.4)&lt;AI265,SUM($G265:AI265)-$E264*0.4,AI265))*IF(длительность!$B$11="up-down",1,0)</f>
        <v>0</v>
      </c>
      <c r="AJ270" s="402">
        <f ca="1">IF((SUM($G265:AJ265)-$E264)&lt;0,0,IF((SUM($G265:AJ265)-$E264)&lt;AJ265,SUM($G265:AJ265)-$E264,AJ265))*IF(длительность!$B$11="up-down",0,1)+IF((SUM($G265:AJ265)-$E264*0.4)&lt;0,0,IF((SUM($G265:AJ265)-$E264*0.4)&lt;AJ265,SUM($G265:AJ265)-$E264*0.4,AJ265))*IF(длительность!$B$11="up-down",1,0)</f>
        <v>0</v>
      </c>
      <c r="AK270" s="402">
        <f ca="1">IF((SUM($G265:AK265)-$E264)&lt;0,0,IF((SUM($G265:AK265)-$E264)&lt;AK265,SUM($G265:AK265)-$E264,AK265))*IF(длительность!$B$11="up-down",0,1)+IF((SUM($G265:AK265)-$E264*0.4)&lt;0,0,IF((SUM($G265:AK265)-$E264*0.4)&lt;AK265,SUM($G265:AK265)-$E264*0.4,AK265))*IF(длительность!$B$11="up-down",1,0)</f>
        <v>0</v>
      </c>
      <c r="AL270" s="402">
        <f ca="1">IF((SUM($G265:AL265)-$E264)&lt;0,0,IF((SUM($G265:AL265)-$E264)&lt;AL265,SUM($G265:AL265)-$E264,AL265))*IF(длительность!$B$11="up-down",0,1)+IF((SUM($G265:AL265)-$E264*0.4)&lt;0,0,IF((SUM($G265:AL265)-$E264*0.4)&lt;AL265,SUM($G265:AL265)-$E264*0.4,AL265))*IF(длительность!$B$11="up-down",1,0)</f>
        <v>0</v>
      </c>
      <c r="AM270" s="402">
        <f ca="1">IF((SUM($G265:AM265)-$E264)&lt;0,0,IF((SUM($G265:AM265)-$E264)&lt;AM265,SUM($G265:AM265)-$E264,AM265))*IF(длительность!$B$11="up-down",0,1)+IF((SUM($G265:AM265)-$E264*0.4)&lt;0,0,IF((SUM($G265:AM265)-$E264*0.4)&lt;AM265,SUM($G265:AM265)-$E264*0.4,AM265))*IF(длительность!$B$11="up-down",1,0)</f>
        <v>0</v>
      </c>
      <c r="AN270" s="402">
        <f ca="1">IF((SUM($G265:AN265)-$E264)&lt;0,0,IF((SUM($G265:AN265)-$E264)&lt;AN265,SUM($G265:AN265)-$E264,AN265))*IF(длительность!$B$11="up-down",0,1)+IF((SUM($G265:AN265)-$E264*0.4)&lt;0,0,IF((SUM($G265:AN265)-$E264*0.4)&lt;AN265,SUM($G265:AN265)-$E264*0.4,AN265))*IF(длительность!$B$11="up-down",1,0)</f>
        <v>0</v>
      </c>
      <c r="AO270" s="402">
        <f ca="1">IF((SUM($G265:AO265)-$E264)&lt;0,0,IF((SUM($G265:AO265)-$E264)&lt;AO265,SUM($G265:AO265)-$E264,AO265))*IF(длительность!$B$11="up-down",0,1)+IF((SUM($G265:AO265)-$E264*0.4)&lt;0,0,IF((SUM($G265:AO265)-$E264*0.4)&lt;AO265,SUM($G265:AO265)-$E264*0.4,AO265))*IF(длительность!$B$11="up-down",1,0)</f>
        <v>19</v>
      </c>
      <c r="AP270" s="402">
        <f ca="1">IF((SUM($G265:AP265)-$E264)&lt;0,0,IF((SUM($G265:AP265)-$E264)&lt;AP265,SUM($G265:AP265)-$E264,AP265))*IF(длительность!$B$11="up-down",0,1)+IF((SUM($G265:AP265)-$E264*0.4)&lt;0,0,IF((SUM($G265:AP265)-$E264*0.4)&lt;AP265,SUM($G265:AP265)-$E264*0.4,AP265))*IF(длительность!$B$11="up-down",1,0)</f>
        <v>28</v>
      </c>
      <c r="AQ270" s="402">
        <f ca="1">IF((SUM($G265:AQ265)-$E264)&lt;0,0,IF((SUM($G265:AQ265)-$E264)&lt;AQ265,SUM($G265:AQ265)-$E264,AQ265))*IF(длительность!$B$11="up-down",0,1)+IF((SUM($G265:AQ265)-$E264*0.4)&lt;0,0,IF((SUM($G265:AQ265)-$E264*0.4)&lt;AQ265,SUM($G265:AQ265)-$E264*0.4,AQ265))*IF(длительность!$B$11="up-down",1,0)</f>
        <v>31</v>
      </c>
      <c r="AR270" s="402">
        <f ca="1">IF((SUM($G265:AR265)-$E264)&lt;0,0,IF((SUM($G265:AR265)-$E264)&lt;AR265,SUM($G265:AR265)-$E264,AR265))*IF(длительность!$B$11="up-down",0,1)+IF((SUM($G265:AR265)-$E264*0.4)&lt;0,0,IF((SUM($G265:AR265)-$E264*0.4)&lt;AR265,SUM($G265:AR265)-$E264*0.4,AR265))*IF(длительность!$B$11="up-down",1,0)</f>
        <v>30</v>
      </c>
      <c r="AS270" s="402">
        <f ca="1">IF((SUM($G265:AS265)-$E264)&lt;0,0,IF((SUM($G265:AS265)-$E264)&lt;AS265,SUM($G265:AS265)-$E264,AS265))*IF(длительность!$B$11="up-down",0,1)+IF((SUM($G265:AS265)-$E264*0.4)&lt;0,0,IF((SUM($G265:AS265)-$E264*0.4)&lt;AS265,SUM($G265:AS265)-$E264*0.4,AS265))*IF(длительность!$B$11="up-down",1,0)</f>
        <v>31</v>
      </c>
      <c r="AT270" s="402">
        <f ca="1">IF((SUM($G265:AT265)-$E264)&lt;0,0,IF((SUM($G265:AT265)-$E264)&lt;AT265,SUM($G265:AT265)-$E264,AT265))*IF(длительность!$B$11="up-down",0,1)+IF((SUM($G265:AT265)-$E264*0.4)&lt;0,0,IF((SUM($G265:AT265)-$E264*0.4)&lt;AT265,SUM($G265:AT265)-$E264*0.4,AT265))*IF(длительность!$B$11="up-down",1,0)</f>
        <v>30</v>
      </c>
      <c r="AU270" s="402">
        <f ca="1">IF((SUM($G265:AU265)-$E264)&lt;0,0,IF((SUM($G265:AU265)-$E264)&lt;AU265,SUM($G265:AU265)-$E264,AU265))*IF(длительность!$B$11="up-down",0,1)+IF((SUM($G265:AU265)-$E264*0.4)&lt;0,0,IF((SUM($G265:AU265)-$E264*0.4)&lt;AU265,SUM($G265:AU265)-$E264*0.4,AU265))*IF(длительность!$B$11="up-down",1,0)</f>
        <v>31</v>
      </c>
      <c r="AV270" s="402">
        <f ca="1">IF((SUM($G265:AV265)-$E264)&lt;0,0,IF((SUM($G265:AV265)-$E264)&lt;AV265,SUM($G265:AV265)-$E264,AV265))*IF(длительность!$B$11="up-down",0,1)+IF((SUM($G265:AV265)-$E264*0.4)&lt;0,0,IF((SUM($G265:AV265)-$E264*0.4)&lt;AV265,SUM($G265:AV265)-$E264*0.4,AV265))*IF(длительность!$B$11="up-down",1,0)</f>
        <v>31</v>
      </c>
      <c r="AW270" s="402">
        <f ca="1">IF((SUM($G265:AW265)-$E264)&lt;0,0,IF((SUM($G265:AW265)-$E264)&lt;AW265,SUM($G265:AW265)-$E264,AW265))*IF(длительность!$B$11="up-down",0,1)+IF((SUM($G265:AW265)-$E264*0.4)&lt;0,0,IF((SUM($G265:AW265)-$E264*0.4)&lt;AW265,SUM($G265:AW265)-$E264*0.4,AW265))*IF(длительность!$B$11="up-down",1,0)</f>
        <v>30</v>
      </c>
      <c r="AX270" s="402">
        <f ca="1">IF((SUM($G265:AX265)-$E264)&lt;0,0,IF((SUM($G265:AX265)-$E264)&lt;AX265,SUM($G265:AX265)-$E264,AX265))*IF(длительность!$B$11="up-down",0,1)+IF((SUM($G265:AX265)-$E264*0.4)&lt;0,0,IF((SUM($G265:AX265)-$E264*0.4)&lt;AX265,SUM($G265:AX265)-$E264*0.4,AX265))*IF(длительность!$B$11="up-down",1,0)</f>
        <v>31</v>
      </c>
      <c r="AY270" s="402">
        <f ca="1">IF((SUM($G265:AY265)-$E264)&lt;0,0,IF((SUM($G265:AY265)-$E264)&lt;AY265,SUM($G265:AY265)-$E264,AY265))*IF(длительность!$B$11="up-down",0,1)+IF((SUM($G265:AY265)-$E264*0.4)&lt;0,0,IF((SUM($G265:AY265)-$E264*0.4)&lt;AY265,SUM($G265:AY265)-$E264*0.4,AY265))*IF(длительность!$B$11="up-down",1,0)</f>
        <v>30</v>
      </c>
      <c r="AZ270" s="402">
        <f ca="1">IF((SUM($G265:AZ265)-$E264)&lt;0,0,IF((SUM($G265:AZ265)-$E264)&lt;AZ265,SUM($G265:AZ265)-$E264,AZ265))*IF(длительность!$B$11="up-down",0,1)+IF((SUM($G265:AZ265)-$E264*0.4)&lt;0,0,IF((SUM($G265:AZ265)-$E264*0.4)&lt;AZ265,SUM($G265:AZ265)-$E264*0.4,AZ265))*IF(длительность!$B$11="up-down",1,0)</f>
        <v>31</v>
      </c>
      <c r="BA270" s="402">
        <f ca="1">IF((SUM($G265:BA265)-$E264)&lt;0,0,IF((SUM($G265:BA265)-$E264)&lt;BA265,SUM($G265:BA265)-$E264,BA265))*IF(длительность!$B$11="up-down",0,1)+IF((SUM($G265:BA265)-$E264*0.4)&lt;0,0,IF((SUM($G265:BA265)-$E264*0.4)&lt;BA265,SUM($G265:BA265)-$E264*0.4,BA265))*IF(длительность!$B$11="up-down",1,0)</f>
        <v>31</v>
      </c>
      <c r="BB270" s="402">
        <f ca="1">IF((SUM($G265:BB265)-$E264)&lt;0,0,IF((SUM($G265:BB265)-$E264)&lt;BB265,SUM($G265:BB265)-$E264,BB265))*IF(длительность!$B$11="up-down",0,1)+IF((SUM($G265:BB265)-$E264*0.4)&lt;0,0,IF((SUM($G265:BB265)-$E264*0.4)&lt;BB265,SUM($G265:BB265)-$E264*0.4,BB265))*IF(длительность!$B$11="up-down",1,0)</f>
        <v>28</v>
      </c>
      <c r="BC270" s="402">
        <f ca="1">IF((SUM($G265:BC265)-$E264)&lt;0,0,IF((SUM($G265:BC265)-$E264)&lt;BC265,SUM($G265:BC265)-$E264,BC265))*IF(длительность!$B$11="up-down",0,1)+IF((SUM($G265:BC265)-$E264*0.4)&lt;0,0,IF((SUM($G265:BC265)-$E264*0.4)&lt;BC265,SUM($G265:BC265)-$E264*0.4,BC265))*IF(длительность!$B$11="up-down",1,0)</f>
        <v>31</v>
      </c>
      <c r="BD270" s="402">
        <f ca="1">IF((SUM($G265:BD265)-$E264)&lt;0,0,IF((SUM($G265:BD265)-$E264)&lt;BD265,SUM($G265:BD265)-$E264,BD265))*IF(длительность!$B$11="up-down",0,1)+IF((SUM($G265:BD265)-$E264*0.4)&lt;0,0,IF((SUM($G265:BD265)-$E264*0.4)&lt;BD265,SUM($G265:BD265)-$E264*0.4,BD265))*IF(длительность!$B$11="up-down",1,0)</f>
        <v>30</v>
      </c>
      <c r="BE270" s="402">
        <f ca="1">IF((SUM($G265:BE265)-$E264)&lt;0,0,IF((SUM($G265:BE265)-$E264)&lt;BE265,SUM($G265:BE265)-$E264,BE265))*IF(длительность!$B$11="up-down",0,1)+IF((SUM($G265:BE265)-$E264*0.4)&lt;0,0,IF((SUM($G265:BE265)-$E264*0.4)&lt;BE265,SUM($G265:BE265)-$E264*0.4,BE265))*IF(длительность!$B$11="up-down",1,0)</f>
        <v>31</v>
      </c>
      <c r="BF270" s="402">
        <f ca="1">IF((SUM($G265:BF265)-$E264)&lt;0,0,IF((SUM($G265:BF265)-$E264)&lt;BF265,SUM($G265:BF265)-$E264,BF265))*IF(длительность!$B$11="up-down",0,1)+IF((SUM($G265:BF265)-$E264*0.4)&lt;0,0,IF((SUM($G265:BF265)-$E264*0.4)&lt;BF265,SUM($G265:BF265)-$E264*0.4,BF265))*IF(длительность!$B$11="up-down",1,0)</f>
        <v>30</v>
      </c>
      <c r="BG270" s="402">
        <f ca="1">IF((SUM($G265:BG265)-$E264)&lt;0,0,IF((SUM($G265:BG265)-$E264)&lt;BG265,SUM($G265:BG265)-$E264,BG265))*IF(длительность!$B$11="up-down",0,1)+IF((SUM($G265:BG265)-$E264*0.4)&lt;0,0,IF((SUM($G265:BG265)-$E264*0.4)&lt;BG265,SUM($G265:BG265)-$E264*0.4,BG265))*IF(длительность!$B$11="up-down",1,0)</f>
        <v>31</v>
      </c>
      <c r="BH270" s="402">
        <f ca="1">IF((SUM($G265:BH265)-$E264)&lt;0,0,IF((SUM($G265:BH265)-$E264)&lt;BH265,SUM($G265:BH265)-$E264,BH265))*IF(длительность!$B$11="up-down",0,1)+IF((SUM($G265:BH265)-$E264*0.4)&lt;0,0,IF((SUM($G265:BH265)-$E264*0.4)&lt;BH265,SUM($G265:BH265)-$E264*0.4,BH265))*IF(длительность!$B$11="up-down",1,0)</f>
        <v>31</v>
      </c>
      <c r="BI270" s="402">
        <f ca="1">IF((SUM($G265:BI265)-$E264)&lt;0,0,IF((SUM($G265:BI265)-$E264)&lt;BI265,SUM($G265:BI265)-$E264,BI265))*IF(длительность!$B$11="up-down",0,1)+IF((SUM($G265:BI265)-$E264*0.4)&lt;0,0,IF((SUM($G265:BI265)-$E264*0.4)&lt;BI265,SUM($G265:BI265)-$E264*0.4,BI265))*IF(длительность!$B$11="up-down",1,0)</f>
        <v>30</v>
      </c>
      <c r="BJ270" s="402">
        <f ca="1">IF((SUM($G265:BJ265)-$E264)&lt;0,0,IF((SUM($G265:BJ265)-$E264)&lt;BJ265,SUM($G265:BJ265)-$E264,BJ265))*IF(длительность!$B$11="up-down",0,1)+IF((SUM($G265:BJ265)-$E264*0.4)&lt;0,0,IF((SUM($G265:BJ265)-$E264*0.4)&lt;BJ265,SUM($G265:BJ265)-$E264*0.4,BJ265))*IF(длительность!$B$11="up-down",1,0)</f>
        <v>31</v>
      </c>
      <c r="BK270" s="402">
        <f ca="1">IF((SUM($G265:BK265)-$E264)&lt;0,0,IF((SUM($G265:BK265)-$E264)&lt;BK265,SUM($G265:BK265)-$E264,BK265))*IF(длительность!$B$11="up-down",0,1)+IF((SUM($G265:BK265)-$E264*0.4)&lt;0,0,IF((SUM($G265:BK265)-$E264*0.4)&lt;BK265,SUM($G265:BK265)-$E264*0.4,BK265))*IF(длительность!$B$11="up-down",1,0)</f>
        <v>30</v>
      </c>
      <c r="BL270" s="402">
        <f ca="1">IF((SUM($G265:BL265)-$E264)&lt;0,0,IF((SUM($G265:BL265)-$E264)&lt;BL265,SUM($G265:BL265)-$E264,BL265))*IF(длительность!$B$11="up-down",0,1)+IF((SUM($G265:BL265)-$E264*0.4)&lt;0,0,IF((SUM($G265:BL265)-$E264*0.4)&lt;BL265,SUM($G265:BL265)-$E264*0.4,BL265))*IF(длительность!$B$11="up-down",1,0)</f>
        <v>31</v>
      </c>
      <c r="BM270" s="402">
        <f ca="1">IF((SUM($G265:BM265)-$E264)&lt;0,0,IF((SUM($G265:BM265)-$E264)&lt;BM265,SUM($G265:BM265)-$E264,BM265))*IF(длительность!$B$11="up-down",0,1)+IF((SUM($G265:BM265)-$E264*0.4)&lt;0,0,IF((SUM($G265:BM265)-$E264*0.4)&lt;BM265,SUM($G265:BM265)-$E264*0.4,BM265))*IF(длительность!$B$11="up-down",1,0)</f>
        <v>31</v>
      </c>
      <c r="BN270" s="402">
        <f ca="1">IF((SUM($G265:BN265)-$E264)&lt;0,0,IF((SUM($G265:BN265)-$E264)&lt;BN265,SUM($G265:BN265)-$E264,BN265))*IF(длительность!$B$11="up-down",0,1)+IF((SUM($G265:BN265)-$E264*0.4)&lt;0,0,IF((SUM($G265:BN265)-$E264*0.4)&lt;BN265,SUM($G265:BN265)-$E264*0.4,BN265))*IF(длительность!$B$11="up-down",1,0)</f>
        <v>29</v>
      </c>
      <c r="BO270" s="402">
        <f ca="1">IF((SUM($G265:BO265)-$E264)&lt;0,0,IF((SUM($G265:BO265)-$E264)&lt;BO265,SUM($G265:BO265)-$E264,BO265))*IF(длительность!$B$11="up-down",0,1)+IF((SUM($G265:BO265)-$E264*0.4)&lt;0,0,IF((SUM($G265:BO265)-$E264*0.4)&lt;BO265,SUM($G265:BO265)-$E264*0.4,BO265))*IF(длительность!$B$11="up-down",1,0)</f>
        <v>31</v>
      </c>
      <c r="BP270" s="402">
        <f ca="1">IF((SUM($G265:BP265)-$E264)&lt;0,0,IF((SUM($G265:BP265)-$E264)&lt;BP265,SUM($G265:BP265)-$E264,BP265))*IF(длительность!$B$11="up-down",0,1)+IF((SUM($G265:BP265)-$E264*0.4)&lt;0,0,IF((SUM($G265:BP265)-$E264*0.4)&lt;BP265,SUM($G265:BP265)-$E264*0.4,BP265))*IF(длительность!$B$11="up-down",1,0)</f>
        <v>30</v>
      </c>
      <c r="BQ270" s="402">
        <f ca="1">IF((SUM($G265:BQ265)-$E264)&lt;0,0,IF((SUM($G265:BQ265)-$E264)&lt;BQ265,SUM($G265:BQ265)-$E264,BQ265))*IF(длительность!$B$11="up-down",0,1)+IF((SUM($G265:BQ265)-$E264*0.4)&lt;0,0,IF((SUM($G265:BQ265)-$E264*0.4)&lt;BQ265,SUM($G265:BQ265)-$E264*0.4,BQ265))*IF(длительность!$B$11="up-down",1,0)</f>
        <v>31</v>
      </c>
      <c r="BR270" s="402">
        <f ca="1">IF((SUM($G265:BR265)-$E264)&lt;0,0,IF((SUM($G265:BR265)-$E264)&lt;BR265,SUM($G265:BR265)-$E264,BR265))*IF(длительность!$B$11="up-down",0,1)+IF((SUM($G265:BR265)-$E264*0.4)&lt;0,0,IF((SUM($G265:BR265)-$E264*0.4)&lt;BR265,SUM($G265:BR265)-$E264*0.4,BR265))*IF(длительность!$B$11="up-down",1,0)</f>
        <v>30</v>
      </c>
      <c r="BS270" s="402">
        <f ca="1">IF((SUM($G265:BS265)-$E264)&lt;0,0,IF((SUM($G265:BS265)-$E264)&lt;BS265,SUM($G265:BS265)-$E264,BS265))*IF(длительность!$B$11="up-down",0,1)+IF((SUM($G265:BS265)-$E264*0.4)&lt;0,0,IF((SUM($G265:BS265)-$E264*0.4)&lt;BS265,SUM($G265:BS265)-$E264*0.4,BS265))*IF(длительность!$B$11="up-down",1,0)</f>
        <v>31</v>
      </c>
      <c r="BT270" s="402">
        <f ca="1">IF((SUM($G265:BT265)-$E264)&lt;0,0,IF((SUM($G265:BT265)-$E264)&lt;BT265,SUM($G265:BT265)-$E264,BT265))*IF(длительность!$B$11="up-down",0,1)+IF((SUM($G265:BT265)-$E264*0.4)&lt;0,0,IF((SUM($G265:BT265)-$E264*0.4)&lt;BT265,SUM($G265:BT265)-$E264*0.4,BT265))*IF(длительность!$B$11="up-down",1,0)</f>
        <v>31</v>
      </c>
      <c r="BU270" s="402">
        <f ca="1">IF((SUM($G265:BU265)-$E264)&lt;0,0,IF((SUM($G265:BU265)-$E264)&lt;BU265,SUM($G265:BU265)-$E264,BU265))*IF(длительность!$B$11="up-down",0,1)+IF((SUM($G265:BU265)-$E264*0.4)&lt;0,0,IF((SUM($G265:BU265)-$E264*0.4)&lt;BU265,SUM($G265:BU265)-$E264*0.4,BU265))*IF(длительность!$B$11="up-down",1,0)</f>
        <v>30</v>
      </c>
      <c r="BV270" s="402">
        <f ca="1">IF((SUM($G265:BV265)-$E264)&lt;0,0,IF((SUM($G265:BV265)-$E264)&lt;BV265,SUM($G265:BV265)-$E264,BV265))*IF(длительность!$B$11="up-down",0,1)+IF((SUM($G265:BV265)-$E264*0.4)&lt;0,0,IF((SUM($G265:BV265)-$E264*0.4)&lt;BV265,SUM($G265:BV265)-$E264*0.4,BV265))*IF(длительность!$B$11="up-down",1,0)</f>
        <v>31</v>
      </c>
      <c r="BW270" s="402">
        <f ca="1">IF((SUM($G265:BW265)-$E264)&lt;0,0,IF((SUM($G265:BW265)-$E264)&lt;BW265,SUM($G265:BW265)-$E264,BW265))*IF(длительность!$B$11="up-down",0,1)+IF((SUM($G265:BW265)-$E264*0.4)&lt;0,0,IF((SUM($G265:BW265)-$E264*0.4)&lt;BW265,SUM($G265:BW265)-$E264*0.4,BW265))*IF(длительность!$B$11="up-down",1,0)</f>
        <v>30</v>
      </c>
      <c r="BX270" s="402">
        <f ca="1">IF((SUM($G265:BX265)-$E264)&lt;0,0,IF((SUM($G265:BX265)-$E264)&lt;BX265,SUM($G265:BX265)-$E264,BX265))*IF(длительность!$B$11="up-down",0,1)+IF((SUM($G265:BX265)-$E264*0.4)&lt;0,0,IF((SUM($G265:BX265)-$E264*0.4)&lt;BX265,SUM($G265:BX265)-$E264*0.4,BX265))*IF(длительность!$B$11="up-down",1,0)</f>
        <v>31</v>
      </c>
      <c r="BY270" s="402">
        <f ca="1">IF((SUM($G265:BY265)-$E264)&lt;0,0,IF((SUM($G265:BY265)-$E264)&lt;BY265,SUM($G265:BY265)-$E264,BY265))*IF(длительность!$B$11="up-down",0,1)+IF((SUM($G265:BY265)-$E264*0.4)&lt;0,0,IF((SUM($G265:BY265)-$E264*0.4)&lt;BY265,SUM($G265:BY265)-$E264*0.4,BY265))*IF(длительность!$B$11="up-down",1,0)</f>
        <v>31</v>
      </c>
      <c r="BZ270" s="402">
        <f ca="1">IF((SUM($G265:BZ265)-$E264)&lt;0,0,IF((SUM($G265:BZ265)-$E264)&lt;BZ265,SUM($G265:BZ265)-$E264,BZ265))*IF(длительность!$B$11="up-down",0,1)+IF((SUM($G265:BZ265)-$E264*0.4)&lt;0,0,IF((SUM($G265:BZ265)-$E264*0.4)&lt;BZ265,SUM($G265:BZ265)-$E264*0.4,BZ265))*IF(длительность!$B$11="up-down",1,0)</f>
        <v>28</v>
      </c>
      <c r="CA270" s="402">
        <f ca="1">IF((SUM($G265:CA265)-$E264)&lt;0,0,IF((SUM($G265:CA265)-$E264)&lt;CA265,SUM($G265:CA265)-$E264,CA265))*IF(длительность!$B$11="up-down",0,1)+IF((SUM($G265:CA265)-$E264*0.4)&lt;0,0,IF((SUM($G265:CA265)-$E264*0.4)&lt;CA265,SUM($G265:CA265)-$E264*0.4,CA265))*IF(длительность!$B$11="up-down",1,0)</f>
        <v>31</v>
      </c>
      <c r="CB270" s="402">
        <f ca="1">IF((SUM($G265:CB265)-$E264)&lt;0,0,IF((SUM($G265:CB265)-$E264)&lt;CB265,SUM($G265:CB265)-$E264,CB265))*IF(длительность!$B$11="up-down",0,1)+IF((SUM($G265:CB265)-$E264*0.4)&lt;0,0,IF((SUM($G265:CB265)-$E264*0.4)&lt;CB265,SUM($G265:CB265)-$E264*0.4,CB265))*IF(длительность!$B$11="up-down",1,0)</f>
        <v>30</v>
      </c>
      <c r="CC270" s="402">
        <f ca="1">IF((SUM($G265:CC265)-$E264)&lt;0,0,IF((SUM($G265:CC265)-$E264)&lt;CC265,SUM($G265:CC265)-$E264,CC265))*IF(длительность!$B$11="up-down",0,1)+IF((SUM($G265:CC265)-$E264*0.4)&lt;0,0,IF((SUM($G265:CC265)-$E264*0.4)&lt;CC265,SUM($G265:CC265)-$E264*0.4,CC265))*IF(длительность!$B$11="up-down",1,0)</f>
        <v>31</v>
      </c>
      <c r="CD270" s="402">
        <f ca="1">IF((SUM($G265:CD265)-$E264)&lt;0,0,IF((SUM($G265:CD265)-$E264)&lt;CD265,SUM($G265:CD265)-$E264,CD265))*IF(длительность!$B$11="up-down",0,1)+IF((SUM($G265:CD265)-$E264*0.4)&lt;0,0,IF((SUM($G265:CD265)-$E264*0.4)&lt;CD265,SUM($G265:CD265)-$E264*0.4,CD265))*IF(длительность!$B$11="up-down",1,0)</f>
        <v>30</v>
      </c>
      <c r="CE270" s="402">
        <f ca="1">IF((SUM($G265:CE265)-$E264)&lt;0,0,IF((SUM($G265:CE265)-$E264)&lt;CE265,SUM($G265:CE265)-$E264,CE265))*IF(длительность!$B$11="up-down",0,1)+IF((SUM($G265:CE265)-$E264*0.4)&lt;0,0,IF((SUM($G265:CE265)-$E264*0.4)&lt;CE265,SUM($G265:CE265)-$E264*0.4,CE265))*IF(длительность!$B$11="up-down",1,0)</f>
        <v>31</v>
      </c>
      <c r="CF270" s="402">
        <f ca="1">IF((SUM($G265:CF265)-$E264)&lt;0,0,IF((SUM($G265:CF265)-$E264)&lt;CF265,SUM($G265:CF265)-$E264,CF265))*IF(длительность!$B$11="up-down",0,1)+IF((SUM($G265:CF265)-$E264*0.4)&lt;0,0,IF((SUM($G265:CF265)-$E264*0.4)&lt;CF265,SUM($G265:CF265)-$E264*0.4,CF265))*IF(длительность!$B$11="up-down",1,0)</f>
        <v>31</v>
      </c>
      <c r="CG270" s="402">
        <f ca="1">IF((SUM($G265:CG265)-$E264)&lt;0,0,IF((SUM($G265:CG265)-$E264)&lt;CG265,SUM($G265:CG265)-$E264,CG265))*IF(длительность!$B$11="up-down",0,1)+IF((SUM($G265:CG265)-$E264*0.4)&lt;0,0,IF((SUM($G265:CG265)-$E264*0.4)&lt;CG265,SUM($G265:CG265)-$E264*0.4,CG265))*IF(длительность!$B$11="up-down",1,0)</f>
        <v>30</v>
      </c>
      <c r="CH270" s="402">
        <f ca="1">IF((SUM($G265:CH265)-$E264)&lt;0,0,IF((SUM($G265:CH265)-$E264)&lt;CH265,SUM($G265:CH265)-$E264,CH265))*IF(длительность!$B$11="up-down",0,1)+IF((SUM($G265:CH265)-$E264*0.4)&lt;0,0,IF((SUM($G265:CH265)-$E264*0.4)&lt;CH265,SUM($G265:CH265)-$E264*0.4,CH265))*IF(длительность!$B$11="up-down",1,0)</f>
        <v>31</v>
      </c>
      <c r="CI270" s="402">
        <f ca="1">IF((SUM($G265:CI265)-$E264)&lt;0,0,IF((SUM($G265:CI265)-$E264)&lt;CI265,SUM($G265:CI265)-$E264,CI265))*IF(длительность!$B$11="up-down",0,1)+IF((SUM($G265:CI265)-$E264*0.4)&lt;0,0,IF((SUM($G265:CI265)-$E264*0.4)&lt;CI265,SUM($G265:CI265)-$E264*0.4,CI265))*IF(длительность!$B$11="up-down",1,0)</f>
        <v>30</v>
      </c>
      <c r="CJ270" s="402">
        <f ca="1">IF((SUM($G265:CJ265)-$E264)&lt;0,0,IF((SUM($G265:CJ265)-$E264)&lt;CJ265,SUM($G265:CJ265)-$E264,CJ265))*IF(длительность!$B$11="up-down",0,1)+IF((SUM($G265:CJ265)-$E264*0.4)&lt;0,0,IF((SUM($G265:CJ265)-$E264*0.4)&lt;CJ265,SUM($G265:CJ265)-$E264*0.4,CJ265))*IF(длительность!$B$11="up-down",1,0)</f>
        <v>31</v>
      </c>
      <c r="CK270" s="402">
        <f ca="1">IF((SUM($G265:CK265)-$E264)&lt;0,0,IF((SUM($G265:CK265)-$E264)&lt;CK265,SUM($G265:CK265)-$E264,CK265))*IF(длительность!$B$11="up-down",0,1)+IF((SUM($G265:CK265)-$E264*0.4)&lt;0,0,IF((SUM($G265:CK265)-$E264*0.4)&lt;CK265,SUM($G265:CK265)-$E264*0.4,CK265))*IF(длительность!$B$11="up-down",1,0)</f>
        <v>31</v>
      </c>
      <c r="CL270" s="402">
        <f ca="1">IF((SUM($G265:CL265)-$E264)&lt;0,0,IF((SUM($G265:CL265)-$E264)&lt;CL265,SUM($G265:CL265)-$E264,CL265))*IF(длительность!$B$11="up-down",0,1)+IF((SUM($G265:CL265)-$E264*0.4)&lt;0,0,IF((SUM($G265:CL265)-$E264*0.4)&lt;CL265,SUM($G265:CL265)-$E264*0.4,CL265))*IF(длительность!$B$11="up-down",1,0)</f>
        <v>28</v>
      </c>
      <c r="CM270" s="402">
        <f ca="1">IF((SUM($G265:CM265)-$E264)&lt;0,0,IF((SUM($G265:CM265)-$E264)&lt;CM265,SUM($G265:CM265)-$E264,CM265))*IF(длительность!$B$11="up-down",0,1)+IF((SUM($G265:CM265)-$E264*0.4)&lt;0,0,IF((SUM($G265:CM265)-$E264*0.4)&lt;CM265,SUM($G265:CM265)-$E264*0.4,CM265))*IF(длительность!$B$11="up-down",1,0)</f>
        <v>31</v>
      </c>
      <c r="CN270" s="402">
        <f ca="1">IF((SUM($G265:CN265)-$E264)&lt;0,0,IF((SUM($G265:CN265)-$E264)&lt;CN265,SUM($G265:CN265)-$E264,CN265))*IF(длительность!$B$11="up-down",0,1)+IF((SUM($G265:CN265)-$E264*0.4)&lt;0,0,IF((SUM($G265:CN265)-$E264*0.4)&lt;CN265,SUM($G265:CN265)-$E264*0.4,CN265))*IF(длительность!$B$11="up-down",1,0)</f>
        <v>30</v>
      </c>
      <c r="CO270" s="402">
        <f ca="1">IF((SUM($G265:CO265)-$E264)&lt;0,0,IF((SUM($G265:CO265)-$E264)&lt;CO265,SUM($G265:CO265)-$E264,CO265))*IF(длительность!$B$11="up-down",0,1)+IF((SUM($G265:CO265)-$E264*0.4)&lt;0,0,IF((SUM($G265:CO265)-$E264*0.4)&lt;CO265,SUM($G265:CO265)-$E264*0.4,CO265))*IF(длительность!$B$11="up-down",1,0)</f>
        <v>31</v>
      </c>
      <c r="CP270" s="402">
        <f ca="1">IF((SUM($G265:CP265)-$E264)&lt;0,0,IF((SUM($G265:CP265)-$E264)&lt;CP265,SUM($G265:CP265)-$E264,CP265))*IF(длительность!$B$11="up-down",0,1)+IF((SUM($G265:CP265)-$E264*0.4)&lt;0,0,IF((SUM($G265:CP265)-$E264*0.4)&lt;CP265,SUM($G265:CP265)-$E264*0.4,CP265))*IF(длительность!$B$11="up-down",1,0)</f>
        <v>30</v>
      </c>
      <c r="CQ270" s="402">
        <f ca="1">IF((SUM($G265:CQ265)-$E264)&lt;0,0,IF((SUM($G265:CQ265)-$E264)&lt;CQ265,SUM($G265:CQ265)-$E264,CQ265))*IF(длительность!$B$11="up-down",0,1)+IF((SUM($G265:CQ265)-$E264*0.4)&lt;0,0,IF((SUM($G265:CQ265)-$E264*0.4)&lt;CQ265,SUM($G265:CQ265)-$E264*0.4,CQ265))*IF(длительность!$B$11="up-down",1,0)</f>
        <v>31</v>
      </c>
      <c r="CR270" s="402">
        <f ca="1">IF((SUM($G265:CR265)-$E264)&lt;0,0,IF((SUM($G265:CR265)-$E264)&lt;CR265,SUM($G265:CR265)-$E264,CR265))*IF(длительность!$B$11="up-down",0,1)+IF((SUM($G265:CR265)-$E264*0.4)&lt;0,0,IF((SUM($G265:CR265)-$E264*0.4)&lt;CR265,SUM($G265:CR265)-$E264*0.4,CR265))*IF(длительность!$B$11="up-down",1,0)</f>
        <v>31</v>
      </c>
      <c r="CS270" s="402">
        <f ca="1">IF((SUM($G265:CS265)-$E264)&lt;0,0,IF((SUM($G265:CS265)-$E264)&lt;CS265,SUM($G265:CS265)-$E264,CS265))*IF(длительность!$B$11="up-down",0,1)+IF((SUM($G265:CS265)-$E264*0.4)&lt;0,0,IF((SUM($G265:CS265)-$E264*0.4)&lt;CS265,SUM($G265:CS265)-$E264*0.4,CS265))*IF(длительность!$B$11="up-down",1,0)</f>
        <v>30</v>
      </c>
      <c r="CT270" s="402">
        <f ca="1">IF((SUM($G265:CT265)-$E264)&lt;0,0,IF((SUM($G265:CT265)-$E264)&lt;CT265,SUM($G265:CT265)-$E264,CT265))*IF(длительность!$B$11="up-down",0,1)+IF((SUM($G265:CT265)-$E264*0.4)&lt;0,0,IF((SUM($G265:CT265)-$E264*0.4)&lt;CT265,SUM($G265:CT265)-$E264*0.4,CT265))*IF(длительность!$B$11="up-down",1,0)</f>
        <v>31</v>
      </c>
      <c r="CU270" s="402">
        <f ca="1">IF((SUM($G265:CU265)-$E264)&lt;0,0,IF((SUM($G265:CU265)-$E264)&lt;CU265,SUM($G265:CU265)-$E264,CU265))*IF(длительность!$B$11="up-down",0,1)+IF((SUM($G265:CU265)-$E264*0.4)&lt;0,0,IF((SUM($G265:CU265)-$E264*0.4)&lt;CU265,SUM($G265:CU265)-$E264*0.4,CU265))*IF(длительность!$B$11="up-down",1,0)</f>
        <v>30</v>
      </c>
      <c r="CV270" s="402">
        <f ca="1">IF((SUM($G265:CV265)-$E264)&lt;0,0,IF((SUM($G265:CV265)-$E264)&lt;CV265,SUM($G265:CV265)-$E264,CV265))*IF(длительность!$B$11="up-down",0,1)+IF((SUM($G265:CV265)-$E264*0.4)&lt;0,0,IF((SUM($G265:CV265)-$E264*0.4)&lt;CV265,SUM($G265:CV265)-$E264*0.4,CV265))*IF(длительность!$B$11="up-down",1,0)</f>
        <v>31</v>
      </c>
      <c r="CW270" s="402">
        <f ca="1">IF((SUM($G265:CW265)-$E264)&lt;0,0,IF((SUM($G265:CW265)-$E264)&lt;CW265,SUM($G265:CW265)-$E264,CW265))*IF(длительность!$B$11="up-down",0,1)+IF((SUM($G265:CW265)-$E264*0.4)&lt;0,0,IF((SUM($G265:CW265)-$E264*0.4)&lt;CW265,SUM($G265:CW265)-$E264*0.4,CW265))*IF(длительность!$B$11="up-down",1,0)</f>
        <v>31</v>
      </c>
      <c r="CX270" s="402">
        <f ca="1">IF((SUM($G265:CX265)-$E264)&lt;0,0,IF((SUM($G265:CX265)-$E264)&lt;CX265,SUM($G265:CX265)-$E264,CX265))*IF(длительность!$B$11="up-down",0,1)+IF((SUM($G265:CX265)-$E264*0.4)&lt;0,0,IF((SUM($G265:CX265)-$E264*0.4)&lt;CX265,SUM($G265:CX265)-$E264*0.4,CX265))*IF(длительность!$B$11="up-down",1,0)</f>
        <v>28</v>
      </c>
      <c r="CY270" s="402">
        <f ca="1">IF((SUM($G265:CY265)-$E264)&lt;0,0,IF((SUM($G265:CY265)-$E264)&lt;CY265,SUM($G265:CY265)-$E264,CY265))*IF(длительность!$B$11="up-down",0,1)+IF((SUM($G265:CY265)-$E264*0.4)&lt;0,0,IF((SUM($G265:CY265)-$E264*0.4)&lt;CY265,SUM($G265:CY265)-$E264*0.4,CY265))*IF(длительность!$B$11="up-down",1,0)</f>
        <v>31</v>
      </c>
      <c r="CZ270" s="402">
        <f ca="1">IF((SUM($G265:CZ265)-$E264)&lt;0,0,IF((SUM($G265:CZ265)-$E264)&lt;CZ265,SUM($G265:CZ265)-$E264,CZ265))*IF(длительность!$B$11="up-down",0,1)+IF((SUM($G265:CZ265)-$E264*0.4)&lt;0,0,IF((SUM($G265:CZ265)-$E264*0.4)&lt;CZ265,SUM($G265:CZ265)-$E264*0.4,CZ265))*IF(длительность!$B$11="up-down",1,0)</f>
        <v>30</v>
      </c>
      <c r="DA270" s="402">
        <f ca="1">IF((SUM($G265:DA265)-$E264)&lt;0,0,IF((SUM($G265:DA265)-$E264)&lt;DA265,SUM($G265:DA265)-$E264,DA265))*IF(длительность!$B$11="up-down",0,1)+IF((SUM($G265:DA265)-$E264*0.4)&lt;0,0,IF((SUM($G265:DA265)-$E264*0.4)&lt;DA265,SUM($G265:DA265)-$E264*0.4,DA265))*IF(длительность!$B$11="up-down",1,0)</f>
        <v>31</v>
      </c>
      <c r="DB270" s="402">
        <f ca="1">IF((SUM($G265:DB265)-$E264)&lt;0,0,IF((SUM($G265:DB265)-$E264)&lt;DB265,SUM($G265:DB265)-$E264,DB265))*IF(длительность!$B$11="up-down",0,1)+IF((SUM($G265:DB265)-$E264*0.4)&lt;0,0,IF((SUM($G265:DB265)-$E264*0.4)&lt;DB265,SUM($G265:DB265)-$E264*0.4,DB265))*IF(длительность!$B$11="up-down",1,0)</f>
        <v>30</v>
      </c>
      <c r="DC270" s="402">
        <f ca="1">IF((SUM($G265:DC265)-$E264)&lt;0,0,IF((SUM($G265:DC265)-$E264)&lt;DC265,SUM($G265:DC265)-$E264,DC265))*IF(длительность!$B$11="up-down",0,1)+IF((SUM($G265:DC265)-$E264*0.4)&lt;0,0,IF((SUM($G265:DC265)-$E264*0.4)&lt;DC265,SUM($G265:DC265)-$E264*0.4,DC265))*IF(длительность!$B$11="up-down",1,0)</f>
        <v>31</v>
      </c>
      <c r="DD270" s="402">
        <f ca="1">IF((SUM($G265:DD265)-$E264)&lt;0,0,IF((SUM($G265:DD265)-$E264)&lt;DD265,SUM($G265:DD265)-$E264,DD265))*IF(длительность!$B$11="up-down",0,1)+IF((SUM($G265:DD265)-$E264*0.4)&lt;0,0,IF((SUM($G265:DD265)-$E264*0.4)&lt;DD265,SUM($G265:DD265)-$E264*0.4,DD265))*IF(длительность!$B$11="up-down",1,0)</f>
        <v>31</v>
      </c>
      <c r="DE270" s="402">
        <f ca="1">IF((SUM($G265:DE265)-$E264)&lt;0,0,IF((SUM($G265:DE265)-$E264)&lt;DE265,SUM($G265:DE265)-$E264,DE265))*IF(длительность!$B$11="up-down",0,1)+IF((SUM($G265:DE265)-$E264*0.4)&lt;0,0,IF((SUM($G265:DE265)-$E264*0.4)&lt;DE265,SUM($G265:DE265)-$E264*0.4,DE265))*IF(длительность!$B$11="up-down",1,0)</f>
        <v>30</v>
      </c>
      <c r="DF270" s="402">
        <f ca="1">IF((SUM($G265:DF265)-$E264)&lt;0,0,IF((SUM($G265:DF265)-$E264)&lt;DF265,SUM($G265:DF265)-$E264,DF265))*IF(длительность!$B$11="up-down",0,1)+IF((SUM($G265:DF265)-$E264*0.4)&lt;0,0,IF((SUM($G265:DF265)-$E264*0.4)&lt;DF265,SUM($G265:DF265)-$E264*0.4,DF265))*IF(длительность!$B$11="up-down",1,0)</f>
        <v>31</v>
      </c>
      <c r="DG270" s="402">
        <f ca="1">IF((SUM($G265:DG265)-$E264)&lt;0,0,IF((SUM($G265:DG265)-$E264)&lt;DG265,SUM($G265:DG265)-$E264,DG265))*IF(длительность!$B$11="up-down",0,1)+IF((SUM($G265:DG265)-$E264*0.4)&lt;0,0,IF((SUM($G265:DG265)-$E264*0.4)&lt;DG265,SUM($G265:DG265)-$E264*0.4,DG265))*IF(длительность!$B$11="up-down",1,0)</f>
        <v>30</v>
      </c>
      <c r="DH270" s="402">
        <f ca="1">IF((SUM($G265:DH265)-$E264)&lt;0,0,IF((SUM($G265:DH265)-$E264)&lt;DH265,SUM($G265:DH265)-$E264,DH265))*IF(длительность!$B$11="up-down",0,1)+IF((SUM($G265:DH265)-$E264*0.4)&lt;0,0,IF((SUM($G265:DH265)-$E264*0.4)&lt;DH265,SUM($G265:DH265)-$E264*0.4,DH265))*IF(длительность!$B$11="up-down",1,0)</f>
        <v>31</v>
      </c>
      <c r="DI270" s="402">
        <f ca="1">IF((SUM($G265:DI265)-$E264)&lt;0,0,IF((SUM($G265:DI265)-$E264)&lt;DI265,SUM($G265:DI265)-$E264,DI265))*IF(длительность!$B$11="up-down",0,1)+IF((SUM($G265:DI265)-$E264*0.4)&lt;0,0,IF((SUM($G265:DI265)-$E264*0.4)&lt;DI265,SUM($G265:DI265)-$E264*0.4,DI265))*IF(длительность!$B$11="up-down",1,0)</f>
        <v>31</v>
      </c>
      <c r="DJ270" s="402">
        <f ca="1">IF((SUM($G265:DJ265)-$E264)&lt;0,0,IF((SUM($G265:DJ265)-$E264)&lt;DJ265,SUM($G265:DJ265)-$E264,DJ265))*IF(длительность!$B$11="up-down",0,1)+IF((SUM($G265:DJ265)-$E264*0.4)&lt;0,0,IF((SUM($G265:DJ265)-$E264*0.4)&lt;DJ265,SUM($G265:DJ265)-$E264*0.4,DJ265))*IF(длительность!$B$11="up-down",1,0)</f>
        <v>29</v>
      </c>
      <c r="DK270" s="402">
        <f ca="1">IF((SUM($G265:DK265)-$E264)&lt;0,0,IF((SUM($G265:DK265)-$E264)&lt;DK265,SUM($G265:DK265)-$E264,DK265))*IF(длительность!$B$11="up-down",0,1)+IF((SUM($G265:DK265)-$E264*0.4)&lt;0,0,IF((SUM($G265:DK265)-$E264*0.4)&lt;DK265,SUM($G265:DK265)-$E264*0.4,DK265))*IF(длительность!$B$11="up-down",1,0)</f>
        <v>31</v>
      </c>
      <c r="DL270" s="402">
        <f ca="1">IF((SUM($G265:DL265)-$E264)&lt;0,0,IF((SUM($G265:DL265)-$E264)&lt;DL265,SUM($G265:DL265)-$E264,DL265))*IF(длительность!$B$11="up-down",0,1)+IF((SUM($G265:DL265)-$E264*0.4)&lt;0,0,IF((SUM($G265:DL265)-$E264*0.4)&lt;DL265,SUM($G265:DL265)-$E264*0.4,DL265))*IF(длительность!$B$11="up-down",1,0)</f>
        <v>30</v>
      </c>
      <c r="DM270" s="402">
        <f ca="1">IF((SUM($G265:DM265)-$E264)&lt;0,0,IF((SUM($G265:DM265)-$E264)&lt;DM265,SUM($G265:DM265)-$E264,DM265))*IF(длительность!$B$11="up-down",0,1)+IF((SUM($G265:DM265)-$E264*0.4)&lt;0,0,IF((SUM($G265:DM265)-$E264*0.4)&lt;DM265,SUM($G265:DM265)-$E264*0.4,DM265))*IF(длительность!$B$11="up-down",1,0)</f>
        <v>31</v>
      </c>
      <c r="DN270" s="402">
        <f ca="1">IF((SUM($G265:DN265)-$E264)&lt;0,0,IF((SUM($G265:DN265)-$E264)&lt;DN265,SUM($G265:DN265)-$E264,DN265))*IF(длительность!$B$11="up-down",0,1)+IF((SUM($G265:DN265)-$E264*0.4)&lt;0,0,IF((SUM($G265:DN265)-$E264*0.4)&lt;DN265,SUM($G265:DN265)-$E264*0.4,DN265))*IF(длительность!$B$11="up-down",1,0)</f>
        <v>30</v>
      </c>
      <c r="DO270" s="402">
        <f ca="1">IF((SUM($G265:DO265)-$E264)&lt;0,0,IF((SUM($G265:DO265)-$E264)&lt;DO265,SUM($G265:DO265)-$E264,DO265))*IF(длительность!$B$11="up-down",0,1)+IF((SUM($G265:DO265)-$E264*0.4)&lt;0,0,IF((SUM($G265:DO265)-$E264*0.4)&lt;DO265,SUM($G265:DO265)-$E264*0.4,DO265))*IF(длительность!$B$11="up-down",1,0)</f>
        <v>31</v>
      </c>
      <c r="DP270" s="402">
        <f ca="1">IF((SUM($G265:DP265)-$E264)&lt;0,0,IF((SUM($G265:DP265)-$E264)&lt;DP265,SUM($G265:DP265)-$E264,DP265))*IF(длительность!$B$11="up-down",0,1)+IF((SUM($G265:DP265)-$E264*0.4)&lt;0,0,IF((SUM($G265:DP265)-$E264*0.4)&lt;DP265,SUM($G265:DP265)-$E264*0.4,DP265))*IF(длительность!$B$11="up-down",1,0)</f>
        <v>31</v>
      </c>
      <c r="DQ270" s="402">
        <f ca="1">IF((SUM($G265:DQ265)-$E264)&lt;0,0,IF((SUM($G265:DQ265)-$E264)&lt;DQ265,SUM($G265:DQ265)-$E264,DQ265))*IF(длительность!$B$11="up-down",0,1)+IF((SUM($G265:DQ265)-$E264*0.4)&lt;0,0,IF((SUM($G265:DQ265)-$E264*0.4)&lt;DQ265,SUM($G265:DQ265)-$E264*0.4,DQ265))*IF(длительность!$B$11="up-down",1,0)</f>
        <v>30</v>
      </c>
      <c r="DR270" s="402">
        <f ca="1">IF((SUM($G265:DR265)-$E264)&lt;0,0,IF((SUM($G265:DR265)-$E264)&lt;DR265,SUM($G265:DR265)-$E264,DR265))*IF(длительность!$B$11="up-down",0,1)+IF((SUM($G265:DR265)-$E264*0.4)&lt;0,0,IF((SUM($G265:DR265)-$E264*0.4)&lt;DR265,SUM($G265:DR265)-$E264*0.4,DR265))*IF(длительность!$B$11="up-down",1,0)</f>
        <v>31</v>
      </c>
      <c r="DS270" s="402">
        <f ca="1">IF((SUM($G265:DS265)-$E264)&lt;0,0,IF((SUM($G265:DS265)-$E264)&lt;DS265,SUM($G265:DS265)-$E264,DS265))*IF(длительность!$B$11="up-down",0,1)+IF((SUM($G265:DS265)-$E264*0.4)&lt;0,0,IF((SUM($G265:DS265)-$E264*0.4)&lt;DS265,SUM($G265:DS265)-$E264*0.4,DS265))*IF(длительность!$B$11="up-down",1,0)</f>
        <v>30</v>
      </c>
      <c r="DT270" s="402">
        <f ca="1">IF((SUM($G265:DT265)-$E264)&lt;0,0,IF((SUM($G265:DT265)-$E264)&lt;DT265,SUM($G265:DT265)-$E264,DT265))*IF(длительность!$B$11="up-down",0,1)+IF((SUM($G265:DT265)-$E264*0.4)&lt;0,0,IF((SUM($G265:DT265)-$E264*0.4)&lt;DT265,SUM($G265:DT265)-$E264*0.4,DT265))*IF(длительность!$B$11="up-down",1,0)</f>
        <v>31</v>
      </c>
      <c r="DU270" s="402">
        <f ca="1">IF((SUM($G265:DU265)-$E264)&lt;0,0,IF((SUM($G265:DU265)-$E264)&lt;DU265,SUM($G265:DU265)-$E264,DU265))*IF(длительность!$B$11="up-down",0,1)+IF((SUM($G265:DU265)-$E264*0.4)&lt;0,0,IF((SUM($G265:DU265)-$E264*0.4)&lt;DU265,SUM($G265:DU265)-$E264*0.4,DU265))*IF(длительность!$B$11="up-down",1,0)</f>
        <v>31</v>
      </c>
      <c r="DV270" s="402">
        <f ca="1">IF((SUM($G265:DV265)-$E264)&lt;0,0,IF((SUM($G265:DV265)-$E264)&lt;DV265,SUM($G265:DV265)-$E264,DV265))*IF(длительность!$B$11="up-down",0,1)+IF((SUM($G265:DV265)-$E264*0.4)&lt;0,0,IF((SUM($G265:DV265)-$E264*0.4)&lt;DV265,SUM($G265:DV265)-$E264*0.4,DV265))*IF(длительность!$B$11="up-down",1,0)</f>
        <v>28</v>
      </c>
      <c r="DW270" s="402">
        <f ca="1">IF((SUM($G265:DW265)-$E264)&lt;0,0,IF((SUM($G265:DW265)-$E264)&lt;DW265,SUM($G265:DW265)-$E264,DW265))*IF(длительность!$B$11="up-down",0,1)+IF((SUM($G265:DW265)-$E264*0.4)&lt;0,0,IF((SUM($G265:DW265)-$E264*0.4)&lt;DW265,SUM($G265:DW265)-$E264*0.4,DW265))*IF(длительность!$B$11="up-down",1,0)</f>
        <v>31</v>
      </c>
      <c r="DX270" s="402">
        <f ca="1">IF((SUM($G265:DX265)-$E264)&lt;0,0,IF((SUM($G265:DX265)-$E264)&lt;DX265,SUM($G265:DX265)-$E264,DX265))*IF(длительность!$B$11="up-down",0,1)+IF((SUM($G265:DX265)-$E264*0.4)&lt;0,0,IF((SUM($G265:DX265)-$E264*0.4)&lt;DX265,SUM($G265:DX265)-$E264*0.4,DX265))*IF(длительность!$B$11="up-down",1,0)</f>
        <v>30</v>
      </c>
      <c r="DY270" s="402">
        <f ca="1">IF((SUM($G265:DY265)-$E264)&lt;0,0,IF((SUM($G265:DY265)-$E264)&lt;DY265,SUM($G265:DY265)-$E264,DY265))*IF(длительность!$B$11="up-down",0,1)+IF((SUM($G265:DY265)-$E264*0.4)&lt;0,0,IF((SUM($G265:DY265)-$E264*0.4)&lt;DY265,SUM($G265:DY265)-$E264*0.4,DY265))*IF(длительность!$B$11="up-down",1,0)</f>
        <v>31</v>
      </c>
      <c r="DZ270" s="402">
        <f ca="1">IF((SUM($G265:DZ265)-$E264)&lt;0,0,IF((SUM($G265:DZ265)-$E264)&lt;DZ265,SUM($G265:DZ265)-$E264,DZ265))*IF(длительность!$B$11="up-down",0,1)+IF((SUM($G265:DZ265)-$E264*0.4)&lt;0,0,IF((SUM($G265:DZ265)-$E264*0.4)&lt;DZ265,SUM($G265:DZ265)-$E264*0.4,DZ265))*IF(длительность!$B$11="up-down",1,0)</f>
        <v>30</v>
      </c>
      <c r="EA270" s="402">
        <f ca="1">IF((SUM($G265:EA265)-$E264)&lt;0,0,IF((SUM($G265:EA265)-$E264)&lt;EA265,SUM($G265:EA265)-$E264,EA265))*IF(длительность!$B$11="up-down",0,1)+IF((SUM($G265:EA265)-$E264*0.4)&lt;0,0,IF((SUM($G265:EA265)-$E264*0.4)&lt;EA265,SUM($G265:EA265)-$E264*0.4,EA265))*IF(длительность!$B$11="up-down",1,0)</f>
        <v>31</v>
      </c>
      <c r="EB270" s="402">
        <f ca="1">IF((SUM($G265:EB265)-$E264)&lt;0,0,IF((SUM($G265:EB265)-$E264)&lt;EB265,SUM($G265:EB265)-$E264,EB265))*IF(длительность!$B$11="up-down",0,1)+IF((SUM($G265:EB265)-$E264*0.4)&lt;0,0,IF((SUM($G265:EB265)-$E264*0.4)&lt;EB265,SUM($G265:EB265)-$E264*0.4,EB265))*IF(длительность!$B$11="up-down",1,0)</f>
        <v>31</v>
      </c>
      <c r="EC270" s="402">
        <f ca="1">IF((SUM($G265:EC265)-$E264)&lt;0,0,IF((SUM($G265:EC265)-$E264)&lt;EC265,SUM($G265:EC265)-$E264,EC265))*IF(длительность!$B$11="up-down",0,1)+IF((SUM($G265:EC265)-$E264*0.4)&lt;0,0,IF((SUM($G265:EC265)-$E264*0.4)&lt;EC265,SUM($G265:EC265)-$E264*0.4,EC265))*IF(длительность!$B$11="up-down",1,0)</f>
        <v>30</v>
      </c>
      <c r="ED270" s="402">
        <f ca="1">IF((SUM($G265:ED265)-$E264)&lt;0,0,IF((SUM($G265:ED265)-$E264)&lt;ED265,SUM($G265:ED265)-$E264,ED265))*IF(длительность!$B$11="up-down",0,1)+IF((SUM($G265:ED265)-$E264*0.4)&lt;0,0,IF((SUM($G265:ED265)-$E264*0.4)&lt;ED265,SUM($G265:ED265)-$E264*0.4,ED265))*IF(длительность!$B$11="up-down",1,0)</f>
        <v>31</v>
      </c>
      <c r="EE270" s="402">
        <f ca="1">IF((SUM($G265:EE265)-$E264)&lt;0,0,IF((SUM($G265:EE265)-$E264)&lt;EE265,SUM($G265:EE265)-$E264,EE265))*IF(длительность!$B$11="up-down",0,1)+IF((SUM($G265:EE265)-$E264*0.4)&lt;0,0,IF((SUM($G265:EE265)-$E264*0.4)&lt;EE265,SUM($G265:EE265)-$E264*0.4,EE265))*IF(длительность!$B$11="up-down",1,0)</f>
        <v>30</v>
      </c>
      <c r="EF270" s="402">
        <f ca="1">IF((SUM($G265:EF265)-$E264)&lt;0,0,IF((SUM($G265:EF265)-$E264)&lt;EF265,SUM($G265:EF265)-$E264,EF265))*IF(длительность!$B$11="up-down",0,1)+IF((SUM($G265:EF265)-$E264*0.4)&lt;0,0,IF((SUM($G265:EF265)-$E264*0.4)&lt;EF265,SUM($G265:EF265)-$E264*0.4,EF265))*IF(длительность!$B$11="up-down",1,0)</f>
        <v>31</v>
      </c>
      <c r="EG270" s="402">
        <f ca="1">IF((SUM($G265:EG265)-$E264)&lt;0,0,IF((SUM($G265:EG265)-$E264)&lt;EG265,SUM($G265:EG265)-$E264,EG265))*IF(длительность!$B$11="up-down",0,1)+IF((SUM($G265:EG265)-$E264*0.4)&lt;0,0,IF((SUM($G265:EG265)-$E264*0.4)&lt;EG265,SUM($G265:EG265)-$E264*0.4,EG265))*IF(длительность!$B$11="up-down",1,0)</f>
        <v>31</v>
      </c>
      <c r="EH270" s="402">
        <f ca="1">IF((SUM($G265:EH265)-$E264)&lt;0,0,IF((SUM($G265:EH265)-$E264)&lt;EH265,SUM($G265:EH265)-$E264,EH265))*IF(длительность!$B$11="up-down",0,1)+IF((SUM($G265:EH265)-$E264*0.4)&lt;0,0,IF((SUM($G265:EH265)-$E264*0.4)&lt;EH265,SUM($G265:EH265)-$E264*0.4,EH265))*IF(длительность!$B$11="up-down",1,0)</f>
        <v>28</v>
      </c>
      <c r="EI270" s="402">
        <f ca="1">IF((SUM($G265:EI265)-$E264)&lt;0,0,IF((SUM($G265:EI265)-$E264)&lt;EI265,SUM($G265:EI265)-$E264,EI265))*IF(длительность!$B$11="up-down",0,1)+IF((SUM($G265:EI265)-$E264*0.4)&lt;0,0,IF((SUM($G265:EI265)-$E264*0.4)&lt;EI265,SUM($G265:EI265)-$E264*0.4,EI265))*IF(длительность!$B$11="up-down",1,0)</f>
        <v>31</v>
      </c>
    </row>
    <row r="271" spans="1:141" hidden="1" outlineLevel="2">
      <c r="A271" s="332"/>
      <c r="B271" s="313"/>
      <c r="D271" s="305" t="s">
        <v>670</v>
      </c>
      <c r="E271" s="403">
        <f ca="1">MIN(G271:EI271)</f>
        <v>46023</v>
      </c>
      <c r="F271" s="404">
        <f ca="1">MAX(G271:EI271)</f>
        <v>46023</v>
      </c>
      <c r="G271" s="403" t="str">
        <f ca="1">IF(G269=0,"",IF(SUM($G269:G269)&gt;=1,OFFSET(G$228,-1,0),""))</f>
        <v/>
      </c>
      <c r="H271" s="403" t="str">
        <f ca="1">IF(SUM($G271:G271)&gt;=1,"",IF(H269=0,"",IF(SUM($G269:H269)&gt;=1,OFFSET(H$228,-1,0),"")))</f>
        <v/>
      </c>
      <c r="I271" s="403" t="str">
        <f ca="1">IF(SUM($G271:H271)&gt;=1,"",IF(I269=0,"",IF(SUM($G269:I269)&gt;=1,OFFSET(I$228,-1,0),"")))</f>
        <v/>
      </c>
      <c r="J271" s="403" t="str">
        <f ca="1">IF(SUM($G271:I271)&gt;=1,"",IF(J269=0,"",IF(SUM($G269:J269)&gt;=1,OFFSET(J$228,-1,0),"")))</f>
        <v/>
      </c>
      <c r="K271" s="403" t="str">
        <f ca="1">IF(SUM($G271:J271)&gt;=1,"",IF(K269=0,"",IF(SUM($G269:K269)&gt;=1,OFFSET(K$228,-1,0),"")))</f>
        <v/>
      </c>
      <c r="L271" s="403" t="str">
        <f ca="1">IF(SUM($G271:K271)&gt;=1,"",IF(L269=0,"",IF(SUM($G269:L269)&gt;=1,OFFSET(L$228,-1,0),"")))</f>
        <v/>
      </c>
      <c r="M271" s="403" t="str">
        <f ca="1">IF(SUM($G271:L271)&gt;=1,"",IF(M269=0,"",IF(SUM($G269:M269)&gt;=1,OFFSET(M$228,-1,0),"")))</f>
        <v/>
      </c>
      <c r="N271" s="403" t="str">
        <f ca="1">IF(SUM($G271:M271)&gt;=1,"",IF(N269=0,"",IF(SUM($G269:N269)&gt;=1,OFFSET(N$228,-1,0),"")))</f>
        <v/>
      </c>
      <c r="O271" s="403" t="str">
        <f ca="1">IF(SUM($G271:N271)&gt;=1,"",IF(O269=0,"",IF(SUM($G269:O269)&gt;=1,OFFSET(O$228,-1,0),"")))</f>
        <v/>
      </c>
      <c r="P271" s="403" t="str">
        <f ca="1">IF(SUM($G271:O271)&gt;=1,"",IF(P269=0,"",IF(SUM($G269:P269)&gt;=1,OFFSET(P$228,-1,0),"")))</f>
        <v/>
      </c>
      <c r="Q271" s="403" t="str">
        <f ca="1">IF(SUM($G271:P271)&gt;=1,"",IF(Q269=0,"",IF(SUM($G269:Q269)&gt;=1,OFFSET(Q$228,-1,0),"")))</f>
        <v/>
      </c>
      <c r="R271" s="403" t="str">
        <f ca="1">IF(SUM($G271:Q271)&gt;=1,"",IF(R269=0,"",IF(SUM($G269:R269)&gt;=1,OFFSET(R$228,-1,0),"")))</f>
        <v/>
      </c>
      <c r="S271" s="403" t="str">
        <f ca="1">IF(SUM($G271:R271)&gt;=1,"",IF(S269=0,"",IF(SUM($G269:S269)&gt;=1,OFFSET(S$228,-1,0),"")))</f>
        <v/>
      </c>
      <c r="T271" s="403" t="str">
        <f ca="1">IF(SUM($G271:S271)&gt;=1,"",IF(T269=0,"",IF(SUM($G269:T269)&gt;=1,OFFSET(T$228,-1,0),"")))</f>
        <v/>
      </c>
      <c r="U271" s="403" t="str">
        <f ca="1">IF(SUM($G271:T271)&gt;=1,"",IF(U269=0,"",IF(SUM($G269:U269)&gt;=1,OFFSET(U$228,-1,0),"")))</f>
        <v/>
      </c>
      <c r="V271" s="403" t="str">
        <f ca="1">IF(SUM($G271:U271)&gt;=1,"",IF(V269=0,"",IF(SUM($G269:V269)&gt;=1,OFFSET(V$228,-1,0),"")))</f>
        <v/>
      </c>
      <c r="W271" s="403" t="str">
        <f ca="1">IF(SUM($G271:V271)&gt;=1,"",IF(W269=0,"",IF(SUM($G269:W269)&gt;=1,OFFSET(W$228,-1,0),"")))</f>
        <v/>
      </c>
      <c r="X271" s="403" t="str">
        <f ca="1">IF(SUM($G271:W271)&gt;=1,"",IF(X269=0,"",IF(SUM($G269:X269)&gt;=1,OFFSET(X$228,-1,0),"")))</f>
        <v/>
      </c>
      <c r="Y271" s="403" t="str">
        <f ca="1">IF(SUM($G271:X271)&gt;=1,"",IF(Y269=0,"",IF(SUM($G269:Y269)&gt;=1,OFFSET(Y$228,-1,0),"")))</f>
        <v/>
      </c>
      <c r="Z271" s="403" t="str">
        <f ca="1">IF(SUM($G271:Y271)&gt;=1,"",IF(Z269=0,"",IF(SUM($G269:Z269)&gt;=1,OFFSET(Z$228,-1,0),"")))</f>
        <v/>
      </c>
      <c r="AA271" s="403" t="str">
        <f ca="1">IF(SUM($G271:Z271)&gt;=1,"",IF(AA269=0,"",IF(SUM($G269:AA269)&gt;=1,OFFSET(AA$228,-1,0),"")))</f>
        <v/>
      </c>
      <c r="AB271" s="403" t="str">
        <f ca="1">IF(SUM($G271:AA271)&gt;=1,"",IF(AB269=0,"",IF(SUM($G269:AB269)&gt;=1,OFFSET(AB$228,-1,0),"")))</f>
        <v/>
      </c>
      <c r="AC271" s="403" t="str">
        <f ca="1">IF(SUM($G271:AB271)&gt;=1,"",IF(AC269=0,"",IF(SUM($G269:AC269)&gt;=1,OFFSET(AC$228,-1,0),"")))</f>
        <v/>
      </c>
      <c r="AD271" s="403" t="str">
        <f ca="1">IF(SUM($G271:AC271)&gt;=1,"",IF(AD269=0,"",IF(SUM($G269:AD269)&gt;=1,OFFSET(AD$228,-1,0),"")))</f>
        <v/>
      </c>
      <c r="AE271" s="403" t="str">
        <f ca="1">IF(SUM($G271:AD271)&gt;=1,"",IF(AE269=0,"",IF(SUM($G269:AE269)&gt;=1,OFFSET(AE$228,-1,0),"")))</f>
        <v/>
      </c>
      <c r="AF271" s="403" t="str">
        <f ca="1">IF(SUM($G271:AE271)&gt;=1,"",IF(AF269=0,"",IF(SUM($G269:AF269)&gt;=1,OFFSET(AF$228,-1,0),"")))</f>
        <v/>
      </c>
      <c r="AG271" s="403" t="str">
        <f ca="1">IF(SUM($G271:AF271)&gt;=1,"",IF(AG269=0,"",IF(SUM($G269:AG269)&gt;=1,OFFSET(AG$228,-1,0),"")))</f>
        <v/>
      </c>
      <c r="AH271" s="403" t="str">
        <f ca="1">IF(SUM($G271:AG271)&gt;=1,"",IF(AH269=0,"",IF(SUM($G269:AH269)&gt;=1,OFFSET(AH$228,-1,0),"")))</f>
        <v/>
      </c>
      <c r="AI271" s="403" t="str">
        <f ca="1">IF(SUM($G271:AH271)&gt;=1,"",IF(AI269=0,"",IF(SUM($G269:AI269)&gt;=1,OFFSET(AI$228,-1,0),"")))</f>
        <v/>
      </c>
      <c r="AJ271" s="403" t="str">
        <f ca="1">IF(SUM($G271:AI271)&gt;=1,"",IF(AJ269=0,"",IF(SUM($G269:AJ269)&gt;=1,OFFSET(AJ$228,-1,0),"")))</f>
        <v/>
      </c>
      <c r="AK271" s="403" t="str">
        <f ca="1">IF(SUM($G271:AJ271)&gt;=1,"",IF(AK269=0,"",IF(SUM($G269:AK269)&gt;=1,OFFSET(AK$228,-1,0),"")))</f>
        <v/>
      </c>
      <c r="AL271" s="403" t="str">
        <f ca="1">IF(SUM($G271:AK271)&gt;=1,"",IF(AL269=0,"",IF(SUM($G269:AL269)&gt;=1,OFFSET(AL$228,-1,0),"")))</f>
        <v/>
      </c>
      <c r="AM271" s="403" t="str">
        <f ca="1">IF(SUM($G271:AL271)&gt;=1,"",IF(AM269=0,"",IF(SUM($G269:AM269)&gt;=1,OFFSET(AM$228,-1,0),"")))</f>
        <v/>
      </c>
      <c r="AN271" s="403" t="str">
        <f ca="1">IF(SUM($G271:AM271)&gt;=1,"",IF(AN269=0,"",IF(SUM($G269:AN269)&gt;=1,OFFSET(AN$228,-1,0),"")))</f>
        <v/>
      </c>
      <c r="AO271" s="403">
        <f ca="1">IF(SUM($G271:AN271)&gt;=1,"",IF(AO269=0,"",IF(SUM($G269:AO269)&gt;=1,OFFSET(AO$228,-1,0),"")))</f>
        <v>46023</v>
      </c>
      <c r="AP271" s="403" t="str">
        <f ca="1">IF(SUM($G271:AO271)&gt;=1,"",IF(AP269=0,"",IF(SUM($G269:AP269)&gt;=1,OFFSET(AP$228,-1,0),"")))</f>
        <v/>
      </c>
      <c r="AQ271" s="403" t="str">
        <f ca="1">IF(SUM($G271:AP271)&gt;=1,"",IF(AQ269=0,"",IF(SUM($G269:AQ269)&gt;=1,OFFSET(AQ$228,-1,0),"")))</f>
        <v/>
      </c>
      <c r="AR271" s="403" t="str">
        <f ca="1">IF(SUM($G271:AQ271)&gt;=1,"",IF(AR269=0,"",IF(SUM($G269:AR269)&gt;=1,OFFSET(AR$228,-1,0),"")))</f>
        <v/>
      </c>
      <c r="AS271" s="403" t="str">
        <f ca="1">IF(SUM($G271:AR271)&gt;=1,"",IF(AS269=0,"",IF(SUM($G269:AS269)&gt;=1,OFFSET(AS$228,-1,0),"")))</f>
        <v/>
      </c>
      <c r="AT271" s="403" t="str">
        <f ca="1">IF(SUM($G271:AS271)&gt;=1,"",IF(AT269=0,"",IF(SUM($G269:AT269)&gt;=1,OFFSET(AT$228,-1,0),"")))</f>
        <v/>
      </c>
      <c r="AU271" s="403" t="str">
        <f ca="1">IF(SUM($G271:AT271)&gt;=1,"",IF(AU269=0,"",IF(SUM($G269:AU269)&gt;=1,OFFSET(AU$228,-1,0),"")))</f>
        <v/>
      </c>
      <c r="AV271" s="403" t="str">
        <f ca="1">IF(SUM($G271:AU271)&gt;=1,"",IF(AV269=0,"",IF(SUM($G269:AV269)&gt;=1,OFFSET(AV$228,-1,0),"")))</f>
        <v/>
      </c>
      <c r="AW271" s="403" t="str">
        <f ca="1">IF(SUM($G271:AV271)&gt;=1,"",IF(AW269=0,"",IF(SUM($G269:AW269)&gt;=1,OFFSET(AW$228,-1,0),"")))</f>
        <v/>
      </c>
      <c r="AX271" s="403" t="str">
        <f ca="1">IF(SUM($G271:AW271)&gt;=1,"",IF(AX269=0,"",IF(SUM($G269:AX269)&gt;=1,OFFSET(AX$228,-1,0),"")))</f>
        <v/>
      </c>
      <c r="AY271" s="403" t="str">
        <f ca="1">IF(SUM($G271:AX271)&gt;=1,"",IF(AY269=0,"",IF(SUM($G269:AY269)&gt;=1,OFFSET(AY$228,-1,0),"")))</f>
        <v/>
      </c>
      <c r="AZ271" s="403" t="str">
        <f ca="1">IF(SUM($G271:AY271)&gt;=1,"",IF(AZ269=0,"",IF(SUM($G269:AZ269)&gt;=1,OFFSET(AZ$228,-1,0),"")))</f>
        <v/>
      </c>
      <c r="BA271" s="403" t="str">
        <f ca="1">IF(SUM($G271:AZ271)&gt;=1,"",IF(BA269=0,"",IF(SUM($G269:BA269)&gt;=1,OFFSET(BA$228,-1,0),"")))</f>
        <v/>
      </c>
      <c r="BB271" s="403" t="str">
        <f ca="1">IF(SUM($G271:BA271)&gt;=1,"",IF(BB269=0,"",IF(SUM($G269:BB269)&gt;=1,OFFSET(BB$228,-1,0),"")))</f>
        <v/>
      </c>
      <c r="BC271" s="403" t="str">
        <f ca="1">IF(SUM($G271:BB271)&gt;=1,"",IF(BC269=0,"",IF(SUM($G269:BC269)&gt;=1,OFFSET(BC$228,-1,0),"")))</f>
        <v/>
      </c>
      <c r="BD271" s="403" t="str">
        <f ca="1">IF(SUM($G271:BC271)&gt;=1,"",IF(BD269=0,"",IF(SUM($G269:BD269)&gt;=1,OFFSET(BD$228,-1,0),"")))</f>
        <v/>
      </c>
      <c r="BE271" s="403" t="str">
        <f ca="1">IF(SUM($G271:BD271)&gt;=1,"",IF(BE269=0,"",IF(SUM($G269:BE269)&gt;=1,OFFSET(BE$228,-1,0),"")))</f>
        <v/>
      </c>
      <c r="BF271" s="403" t="str">
        <f ca="1">IF(SUM($G271:BE271)&gt;=1,"",IF(BF269=0,"",IF(SUM($G269:BF269)&gt;=1,OFFSET(BF$228,-1,0),"")))</f>
        <v/>
      </c>
      <c r="BG271" s="403" t="str">
        <f ca="1">IF(SUM($G271:BF271)&gt;=1,"",IF(BG269=0,"",IF(SUM($G269:BG269)&gt;=1,OFFSET(BG$228,-1,0),"")))</f>
        <v/>
      </c>
      <c r="BH271" s="403" t="str">
        <f ca="1">IF(SUM($G271:BG271)&gt;=1,"",IF(BH269=0,"",IF(SUM($G269:BH269)&gt;=1,OFFSET(BH$228,-1,0),"")))</f>
        <v/>
      </c>
      <c r="BI271" s="403" t="str">
        <f ca="1">IF(SUM($G271:BH271)&gt;=1,"",IF(BI269=0,"",IF(SUM($G269:BI269)&gt;=1,OFFSET(BI$228,-1,0),"")))</f>
        <v/>
      </c>
      <c r="BJ271" s="403" t="str">
        <f ca="1">IF(SUM($G271:BI271)&gt;=1,"",IF(BJ269=0,"",IF(SUM($G269:BJ269)&gt;=1,OFFSET(BJ$228,-1,0),"")))</f>
        <v/>
      </c>
      <c r="BK271" s="403" t="str">
        <f ca="1">IF(SUM($G271:BJ271)&gt;=1,"",IF(BK269=0,"",IF(SUM($G269:BK269)&gt;=1,OFFSET(BK$228,-1,0),"")))</f>
        <v/>
      </c>
      <c r="BL271" s="403" t="str">
        <f ca="1">IF(SUM($G271:BK271)&gt;=1,"",IF(BL269=0,"",IF(SUM($G269:BL269)&gt;=1,OFFSET(BL$228,-1,0),"")))</f>
        <v/>
      </c>
      <c r="BM271" s="403" t="str">
        <f ca="1">IF(SUM($G271:BL271)&gt;=1,"",IF(BM269=0,"",IF(SUM($G269:BM269)&gt;=1,OFFSET(BM$228,-1,0),"")))</f>
        <v/>
      </c>
      <c r="BN271" s="403" t="str">
        <f ca="1">IF(SUM($G271:BM271)&gt;=1,"",IF(BN269=0,"",IF(SUM($G269:BN269)&gt;=1,OFFSET(BN$228,-1,0),"")))</f>
        <v/>
      </c>
      <c r="BO271" s="403" t="str">
        <f ca="1">IF(SUM($G271:BN271)&gt;=1,"",IF(BO269=0,"",IF(SUM($G269:BO269)&gt;=1,OFFSET(BO$228,-1,0),"")))</f>
        <v/>
      </c>
      <c r="BP271" s="403" t="str">
        <f ca="1">IF(SUM($G271:BO271)&gt;=1,"",IF(BP269=0,"",IF(SUM($G269:BP269)&gt;=1,OFFSET(BP$228,-1,0),"")))</f>
        <v/>
      </c>
      <c r="BQ271" s="403" t="str">
        <f ca="1">IF(SUM($G271:BP271)&gt;=1,"",IF(BQ269=0,"",IF(SUM($G269:BQ269)&gt;=1,OFFSET(BQ$228,-1,0),"")))</f>
        <v/>
      </c>
      <c r="BR271" s="403" t="str">
        <f ca="1">IF(SUM($G271:BQ271)&gt;=1,"",IF(BR269=0,"",IF(SUM($G269:BR269)&gt;=1,OFFSET(BR$228,-1,0),"")))</f>
        <v/>
      </c>
      <c r="BS271" s="403" t="str">
        <f ca="1">IF(SUM($G271:BR271)&gt;=1,"",IF(BS269=0,"",IF(SUM($G269:BS269)&gt;=1,OFFSET(BS$228,-1,0),"")))</f>
        <v/>
      </c>
      <c r="BT271" s="403" t="str">
        <f ca="1">IF(SUM($G271:BS271)&gt;=1,"",IF(BT269=0,"",IF(SUM($G269:BT269)&gt;=1,OFFSET(BT$228,-1,0),"")))</f>
        <v/>
      </c>
      <c r="BU271" s="403" t="str">
        <f ca="1">IF(SUM($G271:BT271)&gt;=1,"",IF(BU269=0,"",IF(SUM($G269:BU269)&gt;=1,OFFSET(BU$228,-1,0),"")))</f>
        <v/>
      </c>
      <c r="BV271" s="403" t="str">
        <f ca="1">IF(SUM($G271:BU271)&gt;=1,"",IF(BV269=0,"",IF(SUM($G269:BV269)&gt;=1,OFFSET(BV$228,-1,0),"")))</f>
        <v/>
      </c>
      <c r="BW271" s="403" t="str">
        <f ca="1">IF(SUM($G271:BV271)&gt;=1,"",IF(BW269=0,"",IF(SUM($G269:BW269)&gt;=1,OFFSET(BW$228,-1,0),"")))</f>
        <v/>
      </c>
      <c r="BX271" s="403" t="str">
        <f ca="1">IF(SUM($G271:BW271)&gt;=1,"",IF(BX269=0,"",IF(SUM($G269:BX269)&gt;=1,OFFSET(BX$228,-1,0),"")))</f>
        <v/>
      </c>
      <c r="BY271" s="403" t="str">
        <f ca="1">IF(SUM($G271:BX271)&gt;=1,"",IF(BY269=0,"",IF(SUM($G269:BY269)&gt;=1,OFFSET(BY$228,-1,0),"")))</f>
        <v/>
      </c>
      <c r="BZ271" s="403" t="str">
        <f ca="1">IF(SUM($G271:BY271)&gt;=1,"",IF(BZ269=0,"",IF(SUM($G269:BZ269)&gt;=1,OFFSET(BZ$228,-1,0),"")))</f>
        <v/>
      </c>
      <c r="CA271" s="403" t="str">
        <f ca="1">IF(SUM($G271:BZ271)&gt;=1,"",IF(CA269=0,"",IF(SUM($G269:CA269)&gt;=1,OFFSET(CA$228,-1,0),"")))</f>
        <v/>
      </c>
      <c r="CB271" s="403" t="str">
        <f ca="1">IF(SUM($G271:CA271)&gt;=1,"",IF(CB269=0,"",IF(SUM($G269:CB269)&gt;=1,OFFSET(CB$228,-1,0),"")))</f>
        <v/>
      </c>
      <c r="CC271" s="403" t="str">
        <f ca="1">IF(SUM($G271:CB271)&gt;=1,"",IF(CC269=0,"",IF(SUM($G269:CC269)&gt;=1,OFFSET(CC$228,-1,0),"")))</f>
        <v/>
      </c>
      <c r="CD271" s="403" t="str">
        <f ca="1">IF(SUM($G271:CC271)&gt;=1,"",IF(CD269=0,"",IF(SUM($G269:CD269)&gt;=1,OFFSET(CD$228,-1,0),"")))</f>
        <v/>
      </c>
      <c r="CE271" s="403" t="str">
        <f ca="1">IF(SUM($G271:CD271)&gt;=1,"",IF(CE269=0,"",IF(SUM($G269:CE269)&gt;=1,OFFSET(CE$228,-1,0),"")))</f>
        <v/>
      </c>
      <c r="CF271" s="403" t="str">
        <f ca="1">IF(SUM($G271:CE271)&gt;=1,"",IF(CF269=0,"",IF(SUM($G269:CF269)&gt;=1,OFFSET(CF$228,-1,0),"")))</f>
        <v/>
      </c>
      <c r="CG271" s="403" t="str">
        <f ca="1">IF(SUM($G271:CF271)&gt;=1,"",IF(CG269=0,"",IF(SUM($G269:CG269)&gt;=1,OFFSET(CG$228,-1,0),"")))</f>
        <v/>
      </c>
      <c r="CH271" s="403" t="str">
        <f ca="1">IF(SUM($G271:CG271)&gt;=1,"",IF(CH269=0,"",IF(SUM($G269:CH269)&gt;=1,OFFSET(CH$228,-1,0),"")))</f>
        <v/>
      </c>
      <c r="CI271" s="403" t="str">
        <f ca="1">IF(SUM($G271:CH271)&gt;=1,"",IF(CI269=0,"",IF(SUM($G269:CI269)&gt;=1,OFFSET(CI$228,-1,0),"")))</f>
        <v/>
      </c>
      <c r="CJ271" s="403" t="str">
        <f ca="1">IF(SUM($G271:CI271)&gt;=1,"",IF(CJ269=0,"",IF(SUM($G269:CJ269)&gt;=1,OFFSET(CJ$228,-1,0),"")))</f>
        <v/>
      </c>
      <c r="CK271" s="403" t="str">
        <f ca="1">IF(SUM($G271:CJ271)&gt;=1,"",IF(CK269=0,"",IF(SUM($G269:CK269)&gt;=1,OFFSET(CK$228,-1,0),"")))</f>
        <v/>
      </c>
      <c r="CL271" s="403" t="str">
        <f ca="1">IF(SUM($G271:CK271)&gt;=1,"",IF(CL269=0,"",IF(SUM($G269:CL269)&gt;=1,OFFSET(CL$228,-1,0),"")))</f>
        <v/>
      </c>
      <c r="CM271" s="403" t="str">
        <f ca="1">IF(SUM($G271:CL271)&gt;=1,"",IF(CM269=0,"",IF(SUM($G269:CM269)&gt;=1,OFFSET(CM$228,-1,0),"")))</f>
        <v/>
      </c>
      <c r="CN271" s="403" t="str">
        <f ca="1">IF(SUM($G271:CM271)&gt;=1,"",IF(CN269=0,"",IF(SUM($G269:CN269)&gt;=1,OFFSET(CN$228,-1,0),"")))</f>
        <v/>
      </c>
      <c r="CO271" s="403" t="str">
        <f ca="1">IF(SUM($G271:CN271)&gt;=1,"",IF(CO269=0,"",IF(SUM($G269:CO269)&gt;=1,OFFSET(CO$228,-1,0),"")))</f>
        <v/>
      </c>
      <c r="CP271" s="403" t="str">
        <f ca="1">IF(SUM($G271:CO271)&gt;=1,"",IF(CP269=0,"",IF(SUM($G269:CP269)&gt;=1,OFFSET(CP$228,-1,0),"")))</f>
        <v/>
      </c>
      <c r="CQ271" s="403" t="str">
        <f ca="1">IF(SUM($G271:CP271)&gt;=1,"",IF(CQ269=0,"",IF(SUM($G269:CQ269)&gt;=1,OFFSET(CQ$228,-1,0),"")))</f>
        <v/>
      </c>
      <c r="CR271" s="403" t="str">
        <f ca="1">IF(SUM($G271:CQ271)&gt;=1,"",IF(CR269=0,"",IF(SUM($G269:CR269)&gt;=1,OFFSET(CR$228,-1,0),"")))</f>
        <v/>
      </c>
      <c r="CS271" s="403" t="str">
        <f ca="1">IF(SUM($G271:CR271)&gt;=1,"",IF(CS269=0,"",IF(SUM($G269:CS269)&gt;=1,OFFSET(CS$228,-1,0),"")))</f>
        <v/>
      </c>
      <c r="CT271" s="403" t="str">
        <f ca="1">IF(SUM($G271:CS271)&gt;=1,"",IF(CT269=0,"",IF(SUM($G269:CT269)&gt;=1,OFFSET(CT$228,-1,0),"")))</f>
        <v/>
      </c>
      <c r="CU271" s="403" t="str">
        <f ca="1">IF(SUM($G271:CT271)&gt;=1,"",IF(CU269=0,"",IF(SUM($G269:CU269)&gt;=1,OFFSET(CU$228,-1,0),"")))</f>
        <v/>
      </c>
      <c r="CV271" s="403" t="str">
        <f ca="1">IF(SUM($G271:CU271)&gt;=1,"",IF(CV269=0,"",IF(SUM($G269:CV269)&gt;=1,OFFSET(CV$228,-1,0),"")))</f>
        <v/>
      </c>
      <c r="CW271" s="403" t="str">
        <f ca="1">IF(SUM($G271:CV271)&gt;=1,"",IF(CW269=0,"",IF(SUM($G269:CW269)&gt;=1,OFFSET(CW$228,-1,0),"")))</f>
        <v/>
      </c>
      <c r="CX271" s="403" t="str">
        <f ca="1">IF(SUM($G271:CW271)&gt;=1,"",IF(CX269=0,"",IF(SUM($G269:CX269)&gt;=1,OFFSET(CX$228,-1,0),"")))</f>
        <v/>
      </c>
      <c r="CY271" s="403" t="str">
        <f ca="1">IF(SUM($G271:CX271)&gt;=1,"",IF(CY269=0,"",IF(SUM($G269:CY269)&gt;=1,OFFSET(CY$228,-1,0),"")))</f>
        <v/>
      </c>
      <c r="CZ271" s="403" t="str">
        <f ca="1">IF(SUM($G271:CY271)&gt;=1,"",IF(CZ269=0,"",IF(SUM($G269:CZ269)&gt;=1,OFFSET(CZ$228,-1,0),"")))</f>
        <v/>
      </c>
      <c r="DA271" s="403" t="str">
        <f ca="1">IF(SUM($G271:CZ271)&gt;=1,"",IF(DA269=0,"",IF(SUM($G269:DA269)&gt;=1,OFFSET(DA$228,-1,0),"")))</f>
        <v/>
      </c>
      <c r="DB271" s="403" t="str">
        <f ca="1">IF(SUM($G271:DA271)&gt;=1,"",IF(DB269=0,"",IF(SUM($G269:DB269)&gt;=1,OFFSET(DB$228,-1,0),"")))</f>
        <v/>
      </c>
      <c r="DC271" s="403" t="str">
        <f ca="1">IF(SUM($G271:DB271)&gt;=1,"",IF(DC269=0,"",IF(SUM($G269:DC269)&gt;=1,OFFSET(DC$228,-1,0),"")))</f>
        <v/>
      </c>
      <c r="DD271" s="403" t="str">
        <f ca="1">IF(SUM($G271:DC271)&gt;=1,"",IF(DD269=0,"",IF(SUM($G269:DD269)&gt;=1,OFFSET(DD$228,-1,0),"")))</f>
        <v/>
      </c>
      <c r="DE271" s="403" t="str">
        <f ca="1">IF(SUM($G271:DD271)&gt;=1,"",IF(DE269=0,"",IF(SUM($G269:DE269)&gt;=1,OFFSET(DE$228,-1,0),"")))</f>
        <v/>
      </c>
      <c r="DF271" s="403" t="str">
        <f ca="1">IF(SUM($G271:DE271)&gt;=1,"",IF(DF269=0,"",IF(SUM($G269:DF269)&gt;=1,OFFSET(DF$228,-1,0),"")))</f>
        <v/>
      </c>
      <c r="DG271" s="403" t="str">
        <f ca="1">IF(SUM($G271:DF271)&gt;=1,"",IF(DG269=0,"",IF(SUM($G269:DG269)&gt;=1,OFFSET(DG$228,-1,0),"")))</f>
        <v/>
      </c>
      <c r="DH271" s="403" t="str">
        <f ca="1">IF(SUM($G271:DG271)&gt;=1,"",IF(DH269=0,"",IF(SUM($G269:DH269)&gt;=1,OFFSET(DH$228,-1,0),"")))</f>
        <v/>
      </c>
      <c r="DI271" s="403" t="str">
        <f ca="1">IF(SUM($G271:DH271)&gt;=1,"",IF(DI269=0,"",IF(SUM($G269:DI269)&gt;=1,OFFSET(DI$228,-1,0),"")))</f>
        <v/>
      </c>
      <c r="DJ271" s="403" t="str">
        <f ca="1">IF(SUM($G271:DI271)&gt;=1,"",IF(DJ269=0,"",IF(SUM($G269:DJ269)&gt;=1,OFFSET(DJ$228,-1,0),"")))</f>
        <v/>
      </c>
      <c r="DK271" s="403" t="str">
        <f ca="1">IF(SUM($G271:DJ271)&gt;=1,"",IF(DK269=0,"",IF(SUM($G269:DK269)&gt;=1,OFFSET(DK$228,-1,0),"")))</f>
        <v/>
      </c>
      <c r="DL271" s="403" t="str">
        <f ca="1">IF(SUM($G271:DK271)&gt;=1,"",IF(DL269=0,"",IF(SUM($G269:DL269)&gt;=1,OFFSET(DL$228,-1,0),"")))</f>
        <v/>
      </c>
      <c r="DM271" s="403" t="str">
        <f ca="1">IF(SUM($G271:DL271)&gt;=1,"",IF(DM269=0,"",IF(SUM($G269:DM269)&gt;=1,OFFSET(DM$228,-1,0),"")))</f>
        <v/>
      </c>
      <c r="DN271" s="403" t="str">
        <f ca="1">IF(SUM($G271:DM271)&gt;=1,"",IF(DN269=0,"",IF(SUM($G269:DN269)&gt;=1,OFFSET(DN$228,-1,0),"")))</f>
        <v/>
      </c>
      <c r="DO271" s="403" t="str">
        <f ca="1">IF(SUM($G271:DN271)&gt;=1,"",IF(DO269=0,"",IF(SUM($G269:DO269)&gt;=1,OFFSET(DO$228,-1,0),"")))</f>
        <v/>
      </c>
      <c r="DP271" s="403" t="str">
        <f ca="1">IF(SUM($G271:DO271)&gt;=1,"",IF(DP269=0,"",IF(SUM($G269:DP269)&gt;=1,OFFSET(DP$228,-1,0),"")))</f>
        <v/>
      </c>
      <c r="DQ271" s="403" t="str">
        <f ca="1">IF(SUM($G271:DP271)&gt;=1,"",IF(DQ269=0,"",IF(SUM($G269:DQ269)&gt;=1,OFFSET(DQ$228,-1,0),"")))</f>
        <v/>
      </c>
      <c r="DR271" s="403" t="str">
        <f ca="1">IF(SUM($G271:DQ271)&gt;=1,"",IF(DR269=0,"",IF(SUM($G269:DR269)&gt;=1,OFFSET(DR$228,-1,0),"")))</f>
        <v/>
      </c>
      <c r="DS271" s="403" t="str">
        <f ca="1">IF(SUM($G271:DR271)&gt;=1,"",IF(DS269=0,"",IF(SUM($G269:DS269)&gt;=1,OFFSET(DS$228,-1,0),"")))</f>
        <v/>
      </c>
      <c r="DT271" s="403" t="str">
        <f ca="1">IF(SUM($G271:DS271)&gt;=1,"",IF(DT269=0,"",IF(SUM($G269:DT269)&gt;=1,OFFSET(DT$228,-1,0),"")))</f>
        <v/>
      </c>
      <c r="DU271" s="403" t="str">
        <f ca="1">IF(SUM($G271:DT271)&gt;=1,"",IF(DU269=0,"",IF(SUM($G269:DU269)&gt;=1,OFFSET(DU$228,-1,0),"")))</f>
        <v/>
      </c>
      <c r="DV271" s="403" t="str">
        <f ca="1">IF(SUM($G271:DU271)&gt;=1,"",IF(DV269=0,"",IF(SUM($G269:DV269)&gt;=1,OFFSET(DV$228,-1,0),"")))</f>
        <v/>
      </c>
      <c r="DW271" s="403" t="str">
        <f ca="1">IF(SUM($G271:DV271)&gt;=1,"",IF(DW269=0,"",IF(SUM($G269:DW269)&gt;=1,OFFSET(DW$228,-1,0),"")))</f>
        <v/>
      </c>
      <c r="DX271" s="403" t="str">
        <f ca="1">IF(SUM($G271:DW271)&gt;=1,"",IF(DX269=0,"",IF(SUM($G269:DX269)&gt;=1,OFFSET(DX$228,-1,0),"")))</f>
        <v/>
      </c>
      <c r="DY271" s="403" t="str">
        <f ca="1">IF(SUM($G271:DX271)&gt;=1,"",IF(DY269=0,"",IF(SUM($G269:DY269)&gt;=1,OFFSET(DY$228,-1,0),"")))</f>
        <v/>
      </c>
      <c r="DZ271" s="403" t="str">
        <f ca="1">IF(SUM($G271:DY271)&gt;=1,"",IF(DZ269=0,"",IF(SUM($G269:DZ269)&gt;=1,OFFSET(DZ$228,-1,0),"")))</f>
        <v/>
      </c>
      <c r="EA271" s="403" t="str">
        <f ca="1">IF(SUM($G271:DZ271)&gt;=1,"",IF(EA269=0,"",IF(SUM($G269:EA269)&gt;=1,OFFSET(EA$228,-1,0),"")))</f>
        <v/>
      </c>
      <c r="EB271" s="403" t="str">
        <f ca="1">IF(SUM($G271:EA271)&gt;=1,"",IF(EB269=0,"",IF(SUM($G269:EB269)&gt;=1,OFFSET(EB$228,-1,0),"")))</f>
        <v/>
      </c>
      <c r="EC271" s="403" t="str">
        <f ca="1">IF(SUM($G271:EB271)&gt;=1,"",IF(EC269=0,"",IF(SUM($G269:EC269)&gt;=1,OFFSET(EC$228,-1,0),"")))</f>
        <v/>
      </c>
      <c r="ED271" s="403" t="str">
        <f ca="1">IF(SUM($G271:EC271)&gt;=1,"",IF(ED269=0,"",IF(SUM($G269:ED269)&gt;=1,OFFSET(ED$228,-1,0),"")))</f>
        <v/>
      </c>
      <c r="EE271" s="403" t="str">
        <f ca="1">IF(SUM($G271:ED271)&gt;=1,"",IF(EE269=0,"",IF(SUM($G269:EE269)&gt;=1,OFFSET(EE$228,-1,0),"")))</f>
        <v/>
      </c>
      <c r="EF271" s="403" t="str">
        <f ca="1">IF(SUM($G271:EE271)&gt;=1,"",IF(EF269=0,"",IF(SUM($G269:EF269)&gt;=1,OFFSET(EF$228,-1,0),"")))</f>
        <v/>
      </c>
      <c r="EG271" s="403" t="str">
        <f ca="1">IF(SUM($G271:EF271)&gt;=1,"",IF(EG269=0,"",IF(SUM($G269:EG269)&gt;=1,OFFSET(EG$228,-1,0),"")))</f>
        <v/>
      </c>
      <c r="EH271" s="403" t="str">
        <f ca="1">IF(SUM($G271:EG271)&gt;=1,"",IF(EH269=0,"",IF(SUM($G269:EH269)&gt;=1,OFFSET(EH$228,-1,0),"")))</f>
        <v/>
      </c>
      <c r="EI271" s="403" t="str">
        <f ca="1">IF(SUM($G271:EH271)&gt;=1,"",IF(EI269=0,"",IF(SUM($G269:EI269)&gt;=1,OFFSET(EI$228,-1,0),"")))</f>
        <v/>
      </c>
    </row>
    <row r="272" spans="1:141" hidden="1" outlineLevel="2">
      <c r="A272" s="332"/>
      <c r="B272" s="313"/>
      <c r="D272" s="305" t="s">
        <v>671</v>
      </c>
      <c r="E272" s="1002">
        <f ca="1">IF(E269=0,"",MIN(G272:EI272))</f>
        <v>46035</v>
      </c>
      <c r="F272" s="1003"/>
      <c r="G272" s="403" t="str">
        <f>IF(G269=0,"",IF(G269=G$3,G271,G$5+H$5-G273-1))</f>
        <v/>
      </c>
      <c r="H272" s="403" t="str">
        <f ca="1">IF(H269=0,"",IF(H269=H$3,H271,H$5+I$5-H273-1))</f>
        <v/>
      </c>
      <c r="I272" s="403" t="str">
        <f t="shared" ref="I272:AG272" ca="1" si="482">IF(I269=0,"",IF(I269=I$3,I271,I$5+J$5-I273-1))</f>
        <v/>
      </c>
      <c r="J272" s="403" t="str">
        <f t="shared" ca="1" si="482"/>
        <v/>
      </c>
      <c r="K272" s="403" t="str">
        <f t="shared" ca="1" si="482"/>
        <v/>
      </c>
      <c r="L272" s="403" t="str">
        <f t="shared" ca="1" si="482"/>
        <v/>
      </c>
      <c r="M272" s="403" t="str">
        <f t="shared" ca="1" si="482"/>
        <v/>
      </c>
      <c r="N272" s="403" t="str">
        <f t="shared" ca="1" si="482"/>
        <v/>
      </c>
      <c r="O272" s="403" t="str">
        <f t="shared" ca="1" si="482"/>
        <v/>
      </c>
      <c r="P272" s="403" t="str">
        <f t="shared" ca="1" si="482"/>
        <v/>
      </c>
      <c r="Q272" s="403" t="str">
        <f t="shared" ca="1" si="482"/>
        <v/>
      </c>
      <c r="R272" s="403" t="str">
        <f t="shared" ca="1" si="482"/>
        <v/>
      </c>
      <c r="S272" s="403" t="str">
        <f t="shared" ca="1" si="482"/>
        <v/>
      </c>
      <c r="T272" s="403" t="str">
        <f t="shared" ca="1" si="482"/>
        <v/>
      </c>
      <c r="U272" s="403" t="str">
        <f t="shared" ca="1" si="482"/>
        <v/>
      </c>
      <c r="V272" s="403" t="str">
        <f t="shared" ca="1" si="482"/>
        <v/>
      </c>
      <c r="W272" s="403" t="str">
        <f t="shared" ca="1" si="482"/>
        <v/>
      </c>
      <c r="X272" s="403" t="str">
        <f t="shared" ca="1" si="482"/>
        <v/>
      </c>
      <c r="Y272" s="403" t="str">
        <f t="shared" ca="1" si="482"/>
        <v/>
      </c>
      <c r="Z272" s="403" t="str">
        <f t="shared" ca="1" si="482"/>
        <v/>
      </c>
      <c r="AA272" s="403" t="str">
        <f t="shared" ca="1" si="482"/>
        <v/>
      </c>
      <c r="AB272" s="403" t="str">
        <f t="shared" ca="1" si="482"/>
        <v/>
      </c>
      <c r="AC272" s="403" t="str">
        <f t="shared" ca="1" si="482"/>
        <v/>
      </c>
      <c r="AD272" s="403" t="str">
        <f t="shared" ca="1" si="482"/>
        <v/>
      </c>
      <c r="AE272" s="403" t="str">
        <f t="shared" ca="1" si="482"/>
        <v/>
      </c>
      <c r="AF272" s="403" t="str">
        <f t="shared" ca="1" si="482"/>
        <v/>
      </c>
      <c r="AG272" s="403" t="str">
        <f t="shared" ca="1" si="482"/>
        <v/>
      </c>
      <c r="AH272" s="403" t="str">
        <f ca="1">IF(AH269=0,"",IF(AH269=AH$3,AH271,AH$5+AI$5-AH273-1))</f>
        <v/>
      </c>
      <c r="AI272" s="403" t="str">
        <f t="shared" ref="AI272:CT272" ca="1" si="483">IF(AI269=0,"",IF(AI269=AI$3,AI271,AI$5+AJ$5-AI273-1))</f>
        <v/>
      </c>
      <c r="AJ272" s="403" t="str">
        <f t="shared" ca="1" si="483"/>
        <v/>
      </c>
      <c r="AK272" s="403" t="str">
        <f t="shared" ca="1" si="483"/>
        <v/>
      </c>
      <c r="AL272" s="403" t="str">
        <f t="shared" ca="1" si="483"/>
        <v/>
      </c>
      <c r="AM272" s="403" t="str">
        <f t="shared" ca="1" si="483"/>
        <v/>
      </c>
      <c r="AN272" s="403" t="str">
        <f t="shared" ca="1" si="483"/>
        <v/>
      </c>
      <c r="AO272" s="403">
        <f t="shared" ca="1" si="483"/>
        <v>46035</v>
      </c>
      <c r="AP272" s="403" t="str">
        <f t="shared" ca="1" si="483"/>
        <v/>
      </c>
      <c r="AQ272" s="403" t="str">
        <f t="shared" ca="1" si="483"/>
        <v/>
      </c>
      <c r="AR272" s="403" t="str">
        <f t="shared" ca="1" si="483"/>
        <v/>
      </c>
      <c r="AS272" s="403" t="str">
        <f t="shared" ca="1" si="483"/>
        <v/>
      </c>
      <c r="AT272" s="403" t="str">
        <f t="shared" ca="1" si="483"/>
        <v/>
      </c>
      <c r="AU272" s="403" t="str">
        <f t="shared" ca="1" si="483"/>
        <v/>
      </c>
      <c r="AV272" s="403" t="str">
        <f t="shared" ca="1" si="483"/>
        <v/>
      </c>
      <c r="AW272" s="403" t="str">
        <f t="shared" ca="1" si="483"/>
        <v/>
      </c>
      <c r="AX272" s="403" t="str">
        <f t="shared" ca="1" si="483"/>
        <v/>
      </c>
      <c r="AY272" s="403" t="str">
        <f t="shared" ca="1" si="483"/>
        <v/>
      </c>
      <c r="AZ272" s="403" t="str">
        <f t="shared" ca="1" si="483"/>
        <v/>
      </c>
      <c r="BA272" s="403">
        <f t="shared" ca="1" si="483"/>
        <v>46393</v>
      </c>
      <c r="BB272" s="403" t="str">
        <f t="shared" ca="1" si="483"/>
        <v/>
      </c>
      <c r="BC272" s="403" t="str">
        <f t="shared" ca="1" si="483"/>
        <v/>
      </c>
      <c r="BD272" s="403" t="str">
        <f t="shared" ca="1" si="483"/>
        <v/>
      </c>
      <c r="BE272" s="403" t="str">
        <f t="shared" ca="1" si="483"/>
        <v/>
      </c>
      <c r="BF272" s="403" t="str">
        <f t="shared" ca="1" si="483"/>
        <v/>
      </c>
      <c r="BG272" s="403" t="str">
        <f t="shared" ca="1" si="483"/>
        <v/>
      </c>
      <c r="BH272" s="403" t="str">
        <f t="shared" ca="1" si="483"/>
        <v/>
      </c>
      <c r="BI272" s="403" t="str">
        <f t="shared" ca="1" si="483"/>
        <v/>
      </c>
      <c r="BJ272" s="403" t="str">
        <f t="shared" ca="1" si="483"/>
        <v/>
      </c>
      <c r="BK272" s="403" t="str">
        <f t="shared" ca="1" si="483"/>
        <v/>
      </c>
      <c r="BL272" s="403" t="str">
        <f t="shared" ca="1" si="483"/>
        <v/>
      </c>
      <c r="BM272" s="403" t="str">
        <f t="shared" ca="1" si="483"/>
        <v/>
      </c>
      <c r="BN272" s="403" t="str">
        <f t="shared" ca="1" si="483"/>
        <v/>
      </c>
      <c r="BO272" s="403" t="str">
        <f t="shared" ca="1" si="483"/>
        <v/>
      </c>
      <c r="BP272" s="403" t="str">
        <f t="shared" ca="1" si="483"/>
        <v/>
      </c>
      <c r="BQ272" s="403" t="str">
        <f t="shared" ca="1" si="483"/>
        <v/>
      </c>
      <c r="BR272" s="403" t="str">
        <f t="shared" ca="1" si="483"/>
        <v/>
      </c>
      <c r="BS272" s="403" t="str">
        <f t="shared" ca="1" si="483"/>
        <v/>
      </c>
      <c r="BT272" s="403" t="str">
        <f t="shared" ca="1" si="483"/>
        <v/>
      </c>
      <c r="BU272" s="403" t="str">
        <f t="shared" ca="1" si="483"/>
        <v/>
      </c>
      <c r="BV272" s="403" t="str">
        <f t="shared" ca="1" si="483"/>
        <v/>
      </c>
      <c r="BW272" s="403" t="str">
        <f t="shared" ca="1" si="483"/>
        <v/>
      </c>
      <c r="BX272" s="403" t="str">
        <f t="shared" ca="1" si="483"/>
        <v/>
      </c>
      <c r="BY272" s="403" t="str">
        <f t="shared" ca="1" si="483"/>
        <v/>
      </c>
      <c r="BZ272" s="403" t="str">
        <f t="shared" ca="1" si="483"/>
        <v/>
      </c>
      <c r="CA272" s="403" t="str">
        <f t="shared" ca="1" si="483"/>
        <v/>
      </c>
      <c r="CB272" s="403" t="str">
        <f t="shared" ca="1" si="483"/>
        <v/>
      </c>
      <c r="CC272" s="403" t="str">
        <f t="shared" ca="1" si="483"/>
        <v/>
      </c>
      <c r="CD272" s="403" t="str">
        <f t="shared" ca="1" si="483"/>
        <v/>
      </c>
      <c r="CE272" s="403" t="str">
        <f t="shared" ca="1" si="483"/>
        <v/>
      </c>
      <c r="CF272" s="403" t="str">
        <f t="shared" ca="1" si="483"/>
        <v/>
      </c>
      <c r="CG272" s="403" t="str">
        <f t="shared" ca="1" si="483"/>
        <v/>
      </c>
      <c r="CH272" s="403" t="str">
        <f t="shared" ca="1" si="483"/>
        <v/>
      </c>
      <c r="CI272" s="403" t="str">
        <f t="shared" ca="1" si="483"/>
        <v/>
      </c>
      <c r="CJ272" s="403" t="str">
        <f t="shared" ca="1" si="483"/>
        <v/>
      </c>
      <c r="CK272" s="403" t="str">
        <f t="shared" ca="1" si="483"/>
        <v/>
      </c>
      <c r="CL272" s="403" t="str">
        <f t="shared" ca="1" si="483"/>
        <v/>
      </c>
      <c r="CM272" s="403" t="str">
        <f t="shared" ca="1" si="483"/>
        <v/>
      </c>
      <c r="CN272" s="403" t="str">
        <f t="shared" ca="1" si="483"/>
        <v/>
      </c>
      <c r="CO272" s="403" t="str">
        <f t="shared" ca="1" si="483"/>
        <v/>
      </c>
      <c r="CP272" s="403" t="str">
        <f t="shared" ca="1" si="483"/>
        <v/>
      </c>
      <c r="CQ272" s="403" t="str">
        <f t="shared" ca="1" si="483"/>
        <v/>
      </c>
      <c r="CR272" s="403" t="str">
        <f t="shared" ca="1" si="483"/>
        <v/>
      </c>
      <c r="CS272" s="403" t="str">
        <f t="shared" ca="1" si="483"/>
        <v/>
      </c>
      <c r="CT272" s="403" t="str">
        <f t="shared" ca="1" si="483"/>
        <v/>
      </c>
      <c r="CU272" s="403" t="str">
        <f t="shared" ref="CU272:EI272" ca="1" si="484">IF(CU269=0,"",IF(CU269=CU$3,CU271,CU$5+CV$5-CU273-1))</f>
        <v/>
      </c>
      <c r="CV272" s="403" t="str">
        <f t="shared" ca="1" si="484"/>
        <v/>
      </c>
      <c r="CW272" s="403" t="str">
        <f t="shared" ca="1" si="484"/>
        <v/>
      </c>
      <c r="CX272" s="403" t="str">
        <f t="shared" ca="1" si="484"/>
        <v/>
      </c>
      <c r="CY272" s="403" t="str">
        <f t="shared" ca="1" si="484"/>
        <v/>
      </c>
      <c r="CZ272" s="403" t="str">
        <f t="shared" ca="1" si="484"/>
        <v/>
      </c>
      <c r="DA272" s="403" t="str">
        <f t="shared" ca="1" si="484"/>
        <v/>
      </c>
      <c r="DB272" s="403" t="str">
        <f t="shared" ca="1" si="484"/>
        <v/>
      </c>
      <c r="DC272" s="403" t="str">
        <f t="shared" ca="1" si="484"/>
        <v/>
      </c>
      <c r="DD272" s="403" t="str">
        <f t="shared" ca="1" si="484"/>
        <v/>
      </c>
      <c r="DE272" s="403" t="str">
        <f t="shared" ca="1" si="484"/>
        <v/>
      </c>
      <c r="DF272" s="403" t="str">
        <f t="shared" ca="1" si="484"/>
        <v/>
      </c>
      <c r="DG272" s="403" t="str">
        <f t="shared" ca="1" si="484"/>
        <v/>
      </c>
      <c r="DH272" s="403" t="str">
        <f t="shared" ca="1" si="484"/>
        <v/>
      </c>
      <c r="DI272" s="403" t="str">
        <f t="shared" ca="1" si="484"/>
        <v/>
      </c>
      <c r="DJ272" s="403" t="str">
        <f t="shared" ca="1" si="484"/>
        <v/>
      </c>
      <c r="DK272" s="403" t="str">
        <f t="shared" ca="1" si="484"/>
        <v/>
      </c>
      <c r="DL272" s="403" t="str">
        <f t="shared" ca="1" si="484"/>
        <v/>
      </c>
      <c r="DM272" s="403" t="str">
        <f t="shared" ca="1" si="484"/>
        <v/>
      </c>
      <c r="DN272" s="403" t="str">
        <f t="shared" ca="1" si="484"/>
        <v/>
      </c>
      <c r="DO272" s="403" t="str">
        <f t="shared" ca="1" si="484"/>
        <v/>
      </c>
      <c r="DP272" s="403" t="str">
        <f t="shared" ca="1" si="484"/>
        <v/>
      </c>
      <c r="DQ272" s="403" t="str">
        <f t="shared" ca="1" si="484"/>
        <v/>
      </c>
      <c r="DR272" s="403" t="str">
        <f t="shared" ca="1" si="484"/>
        <v/>
      </c>
      <c r="DS272" s="403" t="str">
        <f t="shared" ca="1" si="484"/>
        <v/>
      </c>
      <c r="DT272" s="403" t="str">
        <f t="shared" ca="1" si="484"/>
        <v/>
      </c>
      <c r="DU272" s="403" t="str">
        <f t="shared" ca="1" si="484"/>
        <v/>
      </c>
      <c r="DV272" s="403" t="str">
        <f t="shared" ca="1" si="484"/>
        <v/>
      </c>
      <c r="DW272" s="403" t="str">
        <f t="shared" ca="1" si="484"/>
        <v/>
      </c>
      <c r="DX272" s="403" t="str">
        <f t="shared" ca="1" si="484"/>
        <v/>
      </c>
      <c r="DY272" s="403" t="str">
        <f t="shared" ca="1" si="484"/>
        <v/>
      </c>
      <c r="DZ272" s="403" t="str">
        <f t="shared" ca="1" si="484"/>
        <v/>
      </c>
      <c r="EA272" s="403" t="str">
        <f t="shared" ca="1" si="484"/>
        <v/>
      </c>
      <c r="EB272" s="403" t="str">
        <f t="shared" ca="1" si="484"/>
        <v/>
      </c>
      <c r="EC272" s="403" t="str">
        <f t="shared" ca="1" si="484"/>
        <v/>
      </c>
      <c r="ED272" s="403" t="str">
        <f t="shared" ca="1" si="484"/>
        <v/>
      </c>
      <c r="EE272" s="403" t="str">
        <f t="shared" ca="1" si="484"/>
        <v/>
      </c>
      <c r="EF272" s="403" t="str">
        <f t="shared" ca="1" si="484"/>
        <v/>
      </c>
      <c r="EG272" s="403" t="str">
        <f t="shared" ca="1" si="484"/>
        <v/>
      </c>
      <c r="EH272" s="403" t="str">
        <f t="shared" ca="1" si="484"/>
        <v/>
      </c>
      <c r="EI272" s="403" t="str">
        <f t="shared" ca="1" si="484"/>
        <v/>
      </c>
    </row>
    <row r="273" spans="1:141" hidden="1" outlineLevel="2">
      <c r="A273" s="332"/>
      <c r="B273" s="313"/>
      <c r="D273" s="305" t="s">
        <v>672</v>
      </c>
      <c r="E273" s="1002">
        <f ca="1">IF(E269=0,"",MAX(G273:EI273))</f>
        <v>46413</v>
      </c>
      <c r="F273" s="1003"/>
      <c r="G273" s="403">
        <f ca="1">IF(SUM(G269:$EI269)=0,"",IF(G$227="","",G$227+G269-1))</f>
        <v>44985</v>
      </c>
      <c r="H273" s="403">
        <f ca="1">IF(SUM(H269:$EI269)=0,"",IF(H$227="","",H$227+H269-1))</f>
        <v>45016</v>
      </c>
      <c r="I273" s="403">
        <f ca="1">IF(SUM(I269:$EI269)=0,"",IF(I$227="","",I$227+I269-1))</f>
        <v>45046</v>
      </c>
      <c r="J273" s="403">
        <f ca="1">IF(SUM(J269:$EI269)=0,"",IF(J$227="","",J$227+J269-1))</f>
        <v>45077</v>
      </c>
      <c r="K273" s="403">
        <f ca="1">IF(SUM(K269:$EI269)=0,"",IF(K$227="","",K$227+K269-1))</f>
        <v>45107</v>
      </c>
      <c r="L273" s="403">
        <f ca="1">IF(SUM(L269:$EI269)=0,"",IF(L$227="","",L$227+L269-1))</f>
        <v>45138</v>
      </c>
      <c r="M273" s="403">
        <f ca="1">IF(SUM(M269:$EI269)=0,"",IF(M$227="","",M$227+M269-1))</f>
        <v>45169</v>
      </c>
      <c r="N273" s="403">
        <f ca="1">IF(SUM(N269:$EI269)=0,"",IF(N$227="","",N$227+N269-1))</f>
        <v>45199</v>
      </c>
      <c r="O273" s="403">
        <f ca="1">IF(SUM(O269:$EI269)=0,"",IF(O$227="","",O$227+O269-1))</f>
        <v>45230</v>
      </c>
      <c r="P273" s="403">
        <f ca="1">IF(SUM(P269:$EI269)=0,"",IF(P$227="","",P$227+P269-1))</f>
        <v>45260</v>
      </c>
      <c r="Q273" s="403">
        <f ca="1">IF(SUM(Q269:$EI269)=0,"",IF(Q$227="","",Q$227+Q269-1))</f>
        <v>45291</v>
      </c>
      <c r="R273" s="403">
        <f ca="1">IF(SUM(R269:$EI269)=0,"",IF(R$227="","",R$227+R269-1))</f>
        <v>45322</v>
      </c>
      <c r="S273" s="403">
        <f ca="1">IF(SUM(S269:$EI269)=0,"",IF(S$227="","",S$227+S269-1))</f>
        <v>45351</v>
      </c>
      <c r="T273" s="403">
        <f ca="1">IF(SUM(T269:$EI269)=0,"",IF(T$227="","",T$227+T269-1))</f>
        <v>45382</v>
      </c>
      <c r="U273" s="403">
        <f ca="1">IF(SUM(U269:$EI269)=0,"",IF(U$227="","",U$227+U269-1))</f>
        <v>45412</v>
      </c>
      <c r="V273" s="403">
        <f ca="1">IF(SUM(V269:$EI269)=0,"",IF(V$227="","",V$227+V269-1))</f>
        <v>45443</v>
      </c>
      <c r="W273" s="403">
        <f ca="1">IF(SUM(W269:$EI269)=0,"",IF(W$227="","",W$227+W269-1))</f>
        <v>45473</v>
      </c>
      <c r="X273" s="403">
        <f ca="1">IF(SUM(X269:$EI269)=0,"",IF(X$227="","",X$227+X269-1))</f>
        <v>45504</v>
      </c>
      <c r="Y273" s="403">
        <f ca="1">IF(SUM(Y269:$EI269)=0,"",IF(Y$227="","",Y$227+Y269-1))</f>
        <v>45535</v>
      </c>
      <c r="Z273" s="403">
        <f ca="1">IF(SUM(Z269:$EI269)=0,"",IF(Z$227="","",Z$227+Z269-1))</f>
        <v>45565</v>
      </c>
      <c r="AA273" s="403">
        <f ca="1">IF(SUM(AA269:$EI269)=0,"",IF(AA$227="","",AA$227+AA269-1))</f>
        <v>45596</v>
      </c>
      <c r="AB273" s="403">
        <f ca="1">IF(SUM(AB269:$EI269)=0,"",IF(AB$227="","",AB$227+AB269-1))</f>
        <v>45626</v>
      </c>
      <c r="AC273" s="403">
        <f ca="1">IF(SUM(AC269:$EI269)=0,"",IF(AC$227="","",AC$227+AC269-1))</f>
        <v>45657</v>
      </c>
      <c r="AD273" s="403">
        <f ca="1">IF(SUM(AD269:$EI269)=0,"",IF(AD$227="","",AD$227+AD269-1))</f>
        <v>45688</v>
      </c>
      <c r="AE273" s="403">
        <f ca="1">IF(SUM(AE269:$EI269)=0,"",IF(AE$227="","",AE$227+AE269-1))</f>
        <v>45716</v>
      </c>
      <c r="AF273" s="403">
        <f ca="1">IF(SUM(AF269:$EI269)=0,"",IF(AF$227="","",AF$227+AF269-1))</f>
        <v>45747</v>
      </c>
      <c r="AG273" s="403">
        <f ca="1">IF(SUM(AG269:$EI269)=0,"",IF(AG$227="","",AG$227+AG269-1))</f>
        <v>45777</v>
      </c>
      <c r="AH273" s="403">
        <f ca="1">IF(SUM(AH269:$EI269)=0,"",IF(AH$227="","",AH$227+AH269-1))</f>
        <v>45808</v>
      </c>
      <c r="AI273" s="403">
        <f ca="1">IF(SUM(AI269:$EI269)=0,"",IF(AI$227="","",AI$227+AI269-1))</f>
        <v>45838</v>
      </c>
      <c r="AJ273" s="403">
        <f ca="1">IF(SUM(AJ269:$EI269)=0,"",IF(AJ$227="","",AJ$227+AJ269-1))</f>
        <v>45869</v>
      </c>
      <c r="AK273" s="403">
        <f ca="1">IF(SUM(AK269:$EI269)=0,"",IF(AK$227="","",AK$227+AK269-1))</f>
        <v>45900</v>
      </c>
      <c r="AL273" s="403">
        <f ca="1">IF(SUM(AL269:$EI269)=0,"",IF(AL$227="","",AL$227+AL269-1))</f>
        <v>45930</v>
      </c>
      <c r="AM273" s="403">
        <f ca="1">IF(SUM(AM269:$EI269)=0,"",IF(AM$227="","",AM$227+AM269-1))</f>
        <v>45961</v>
      </c>
      <c r="AN273" s="403">
        <f ca="1">IF(SUM(AN269:$EI269)=0,"",IF(AN$227="","",AN$227+AN269-1))</f>
        <v>45991</v>
      </c>
      <c r="AO273" s="403">
        <f ca="1">IF(SUM(AO269:$EI269)=0,"",IF(AO$227="","",AO$227+AO269-1))</f>
        <v>46041</v>
      </c>
      <c r="AP273" s="403">
        <f ca="1">IF(SUM(AP269:$EI269)=0,"",IF(AP$227="","",AP$227+AP269-1))</f>
        <v>46081</v>
      </c>
      <c r="AQ273" s="403">
        <f ca="1">IF(SUM(AQ269:$EI269)=0,"",IF(AQ$227="","",AQ$227+AQ269-1))</f>
        <v>46112</v>
      </c>
      <c r="AR273" s="403">
        <f ca="1">IF(SUM(AR269:$EI269)=0,"",IF(AR$227="","",AR$227+AR269-1))</f>
        <v>46142</v>
      </c>
      <c r="AS273" s="403">
        <f ca="1">IF(SUM(AS269:$EI269)=0,"",IF(AS$227="","",AS$227+AS269-1))</f>
        <v>46173</v>
      </c>
      <c r="AT273" s="403">
        <f ca="1">IF(SUM(AT269:$EI269)=0,"",IF(AT$227="","",AT$227+AT269-1))</f>
        <v>46203</v>
      </c>
      <c r="AU273" s="403">
        <f ca="1">IF(SUM(AU269:$EI269)=0,"",IF(AU$227="","",AU$227+AU269-1))</f>
        <v>46234</v>
      </c>
      <c r="AV273" s="403">
        <f ca="1">IF(SUM(AV269:$EI269)=0,"",IF(AV$227="","",AV$227+AV269-1))</f>
        <v>46265</v>
      </c>
      <c r="AW273" s="403">
        <f ca="1">IF(SUM(AW269:$EI269)=0,"",IF(AW$227="","",AW$227+AW269-1))</f>
        <v>46295</v>
      </c>
      <c r="AX273" s="403">
        <f ca="1">IF(SUM(AX269:$EI269)=0,"",IF(AX$227="","",AX$227+AX269-1))</f>
        <v>46326</v>
      </c>
      <c r="AY273" s="403">
        <f ca="1">IF(SUM(AY269:$EI269)=0,"",IF(AY$227="","",AY$227+AY269-1))</f>
        <v>46356</v>
      </c>
      <c r="AZ273" s="403">
        <f ca="1">IF(SUM(AZ269:$EI269)=0,"",IF(AZ$227="","",AZ$227+AZ269-1))</f>
        <v>46387</v>
      </c>
      <c r="BA273" s="403">
        <f ca="1">IF(SUM(BA269:$EI269)=0,"",IF(BA$227="","",BA$227+BA269-1))</f>
        <v>46413</v>
      </c>
      <c r="BB273" s="403" t="str">
        <f ca="1">IF(SUM(BB269:$EI269)=0,"",IF(BB$227="","",BB$227+BB269-1))</f>
        <v/>
      </c>
      <c r="BC273" s="403" t="str">
        <f ca="1">IF(SUM(BC269:$EI269)=0,"",IF(BC$227="","",BC$227+BC269-1))</f>
        <v/>
      </c>
      <c r="BD273" s="403" t="str">
        <f ca="1">IF(SUM(BD269:$EI269)=0,"",IF(BD$227="","",BD$227+BD269-1))</f>
        <v/>
      </c>
      <c r="BE273" s="403" t="str">
        <f ca="1">IF(SUM(BE269:$EI269)=0,"",IF(BE$227="","",BE$227+BE269-1))</f>
        <v/>
      </c>
      <c r="BF273" s="403" t="str">
        <f ca="1">IF(SUM(BF269:$EI269)=0,"",IF(BF$227="","",BF$227+BF269-1))</f>
        <v/>
      </c>
      <c r="BG273" s="403" t="str">
        <f ca="1">IF(SUM(BG269:$EI269)=0,"",IF(BG$227="","",BG$227+BG269-1))</f>
        <v/>
      </c>
      <c r="BH273" s="403" t="str">
        <f ca="1">IF(SUM(BH269:$EI269)=0,"",IF(BH$227="","",BH$227+BH269-1))</f>
        <v/>
      </c>
      <c r="BI273" s="403" t="str">
        <f ca="1">IF(SUM(BI269:$EI269)=0,"",IF(BI$227="","",BI$227+BI269-1))</f>
        <v/>
      </c>
      <c r="BJ273" s="403" t="str">
        <f ca="1">IF(SUM(BJ269:$EI269)=0,"",IF(BJ$227="","",BJ$227+BJ269-1))</f>
        <v/>
      </c>
      <c r="BK273" s="403" t="str">
        <f ca="1">IF(SUM(BK269:$EI269)=0,"",IF(BK$227="","",BK$227+BK269-1))</f>
        <v/>
      </c>
      <c r="BL273" s="403" t="str">
        <f ca="1">IF(SUM(BL269:$EI269)=0,"",IF(BL$227="","",BL$227+BL269-1))</f>
        <v/>
      </c>
      <c r="BM273" s="403" t="str">
        <f ca="1">IF(SUM(BM269:$EI269)=0,"",IF(BM$227="","",BM$227+BM269-1))</f>
        <v/>
      </c>
      <c r="BN273" s="403" t="str">
        <f ca="1">IF(SUM(BN269:$EI269)=0,"",IF(BN$227="","",BN$227+BN269-1))</f>
        <v/>
      </c>
      <c r="BO273" s="403" t="str">
        <f ca="1">IF(SUM(BO269:$EI269)=0,"",IF(BO$227="","",BO$227+BO269-1))</f>
        <v/>
      </c>
      <c r="BP273" s="403" t="str">
        <f ca="1">IF(SUM(BP269:$EI269)=0,"",IF(BP$227="","",BP$227+BP269-1))</f>
        <v/>
      </c>
      <c r="BQ273" s="403" t="str">
        <f ca="1">IF(SUM(BQ269:$EI269)=0,"",IF(BQ$227="","",BQ$227+BQ269-1))</f>
        <v/>
      </c>
      <c r="BR273" s="403" t="str">
        <f ca="1">IF(SUM(BR269:$EI269)=0,"",IF(BR$227="","",BR$227+BR269-1))</f>
        <v/>
      </c>
      <c r="BS273" s="403" t="str">
        <f ca="1">IF(SUM(BS269:$EI269)=0,"",IF(BS$227="","",BS$227+BS269-1))</f>
        <v/>
      </c>
      <c r="BT273" s="403" t="str">
        <f ca="1">IF(SUM(BT269:$EI269)=0,"",IF(BT$227="","",BT$227+BT269-1))</f>
        <v/>
      </c>
      <c r="BU273" s="403" t="str">
        <f ca="1">IF(SUM(BU269:$EI269)=0,"",IF(BU$227="","",BU$227+BU269-1))</f>
        <v/>
      </c>
      <c r="BV273" s="403" t="str">
        <f ca="1">IF(SUM(BV269:$EI269)=0,"",IF(BV$227="","",BV$227+BV269-1))</f>
        <v/>
      </c>
      <c r="BW273" s="403" t="str">
        <f ca="1">IF(SUM(BW269:$EI269)=0,"",IF(BW$227="","",BW$227+BW269-1))</f>
        <v/>
      </c>
      <c r="BX273" s="403" t="str">
        <f ca="1">IF(SUM(BX269:$EI269)=0,"",IF(BX$227="","",BX$227+BX269-1))</f>
        <v/>
      </c>
      <c r="BY273" s="403" t="str">
        <f ca="1">IF(SUM(BY269:$EI269)=0,"",IF(BY$227="","",BY$227+BY269-1))</f>
        <v/>
      </c>
      <c r="BZ273" s="403" t="str">
        <f ca="1">IF(SUM(BZ269:$EI269)=0,"",IF(BZ$227="","",BZ$227+BZ269-1))</f>
        <v/>
      </c>
      <c r="CA273" s="403" t="str">
        <f ca="1">IF(SUM(CA269:$EI269)=0,"",IF(CA$227="","",CA$227+CA269-1))</f>
        <v/>
      </c>
      <c r="CB273" s="403" t="str">
        <f ca="1">IF(SUM(CB269:$EI269)=0,"",IF(CB$227="","",CB$227+CB269-1))</f>
        <v/>
      </c>
      <c r="CC273" s="403" t="str">
        <f ca="1">IF(SUM(CC269:$EI269)=0,"",IF(CC$227="","",CC$227+CC269-1))</f>
        <v/>
      </c>
      <c r="CD273" s="403" t="str">
        <f ca="1">IF(SUM(CD269:$EI269)=0,"",IF(CD$227="","",CD$227+CD269-1))</f>
        <v/>
      </c>
      <c r="CE273" s="403" t="str">
        <f ca="1">IF(SUM(CE269:$EI269)=0,"",IF(CE$227="","",CE$227+CE269-1))</f>
        <v/>
      </c>
      <c r="CF273" s="403" t="str">
        <f ca="1">IF(SUM(CF269:$EI269)=0,"",IF(CF$227="","",CF$227+CF269-1))</f>
        <v/>
      </c>
      <c r="CG273" s="403" t="str">
        <f ca="1">IF(SUM(CG269:$EI269)=0,"",IF(CG$227="","",CG$227+CG269-1))</f>
        <v/>
      </c>
      <c r="CH273" s="403" t="str">
        <f ca="1">IF(SUM(CH269:$EI269)=0,"",IF(CH$227="","",CH$227+CH269-1))</f>
        <v/>
      </c>
      <c r="CI273" s="403" t="str">
        <f ca="1">IF(SUM(CI269:$EI269)=0,"",IF(CI$227="","",CI$227+CI269-1))</f>
        <v/>
      </c>
      <c r="CJ273" s="403" t="str">
        <f ca="1">IF(SUM(CJ269:$EI269)=0,"",IF(CJ$227="","",CJ$227+CJ269-1))</f>
        <v/>
      </c>
      <c r="CK273" s="403" t="str">
        <f ca="1">IF(SUM(CK269:$EI269)=0,"",IF(CK$227="","",CK$227+CK269-1))</f>
        <v/>
      </c>
      <c r="CL273" s="403" t="str">
        <f ca="1">IF(SUM(CL269:$EI269)=0,"",IF(CL$227="","",CL$227+CL269-1))</f>
        <v/>
      </c>
      <c r="CM273" s="403" t="str">
        <f ca="1">IF(SUM(CM269:$EI269)=0,"",IF(CM$227="","",CM$227+CM269-1))</f>
        <v/>
      </c>
      <c r="CN273" s="403" t="str">
        <f ca="1">IF(SUM(CN269:$EI269)=0,"",IF(CN$227="","",CN$227+CN269-1))</f>
        <v/>
      </c>
      <c r="CO273" s="403" t="str">
        <f ca="1">IF(SUM(CO269:$EI269)=0,"",IF(CO$227="","",CO$227+CO269-1))</f>
        <v/>
      </c>
      <c r="CP273" s="403" t="str">
        <f ca="1">IF(SUM(CP269:$EI269)=0,"",IF(CP$227="","",CP$227+CP269-1))</f>
        <v/>
      </c>
      <c r="CQ273" s="403" t="str">
        <f ca="1">IF(SUM(CQ269:$EI269)=0,"",IF(CQ$227="","",CQ$227+CQ269-1))</f>
        <v/>
      </c>
      <c r="CR273" s="403" t="str">
        <f ca="1">IF(SUM(CR269:$EI269)=0,"",IF(CR$227="","",CR$227+CR269-1))</f>
        <v/>
      </c>
      <c r="CS273" s="403" t="str">
        <f ca="1">IF(SUM(CS269:$EI269)=0,"",IF(CS$227="","",CS$227+CS269-1))</f>
        <v/>
      </c>
      <c r="CT273" s="403" t="str">
        <f ca="1">IF(SUM(CT269:$EI269)=0,"",IF(CT$227="","",CT$227+CT269-1))</f>
        <v/>
      </c>
      <c r="CU273" s="403" t="str">
        <f ca="1">IF(SUM(CU269:$EI269)=0,"",IF(CU$227="","",CU$227+CU269-1))</f>
        <v/>
      </c>
      <c r="CV273" s="403" t="str">
        <f ca="1">IF(SUM(CV269:$EI269)=0,"",IF(CV$227="","",CV$227+CV269-1))</f>
        <v/>
      </c>
      <c r="CW273" s="403" t="str">
        <f ca="1">IF(SUM(CW269:$EI269)=0,"",IF(CW$227="","",CW$227+CW269-1))</f>
        <v/>
      </c>
      <c r="CX273" s="403" t="str">
        <f ca="1">IF(SUM(CX269:$EI269)=0,"",IF(CX$227="","",CX$227+CX269-1))</f>
        <v/>
      </c>
      <c r="CY273" s="403" t="str">
        <f ca="1">IF(SUM(CY269:$EI269)=0,"",IF(CY$227="","",CY$227+CY269-1))</f>
        <v/>
      </c>
      <c r="CZ273" s="403" t="str">
        <f ca="1">IF(SUM(CZ269:$EI269)=0,"",IF(CZ$227="","",CZ$227+CZ269-1))</f>
        <v/>
      </c>
      <c r="DA273" s="403" t="str">
        <f ca="1">IF(SUM(DA269:$EI269)=0,"",IF(DA$227="","",DA$227+DA269-1))</f>
        <v/>
      </c>
      <c r="DB273" s="403" t="str">
        <f ca="1">IF(SUM(DB269:$EI269)=0,"",IF(DB$227="","",DB$227+DB269-1))</f>
        <v/>
      </c>
      <c r="DC273" s="403" t="str">
        <f ca="1">IF(SUM(DC269:$EI269)=0,"",IF(DC$227="","",DC$227+DC269-1))</f>
        <v/>
      </c>
      <c r="DD273" s="403" t="str">
        <f ca="1">IF(SUM(DD269:$EI269)=0,"",IF(DD$227="","",DD$227+DD269-1))</f>
        <v/>
      </c>
      <c r="DE273" s="403" t="str">
        <f ca="1">IF(SUM(DE269:$EI269)=0,"",IF(DE$227="","",DE$227+DE269-1))</f>
        <v/>
      </c>
      <c r="DF273" s="403" t="str">
        <f ca="1">IF(SUM(DF269:$EI269)=0,"",IF(DF$227="","",DF$227+DF269-1))</f>
        <v/>
      </c>
      <c r="DG273" s="403" t="str">
        <f ca="1">IF(SUM(DG269:$EI269)=0,"",IF(DG$227="","",DG$227+DG269-1))</f>
        <v/>
      </c>
      <c r="DH273" s="403" t="str">
        <f ca="1">IF(SUM(DH269:$EI269)=0,"",IF(DH$227="","",DH$227+DH269-1))</f>
        <v/>
      </c>
      <c r="DI273" s="403" t="str">
        <f ca="1">IF(SUM(DI269:$EI269)=0,"",IF(DI$227="","",DI$227+DI269-1))</f>
        <v/>
      </c>
      <c r="DJ273" s="403" t="str">
        <f ca="1">IF(SUM(DJ269:$EI269)=0,"",IF(DJ$227="","",DJ$227+DJ269-1))</f>
        <v/>
      </c>
      <c r="DK273" s="403" t="str">
        <f ca="1">IF(SUM(DK269:$EI269)=0,"",IF(DK$227="","",DK$227+DK269-1))</f>
        <v/>
      </c>
      <c r="DL273" s="403" t="str">
        <f ca="1">IF(SUM(DL269:$EI269)=0,"",IF(DL$227="","",DL$227+DL269-1))</f>
        <v/>
      </c>
      <c r="DM273" s="403" t="str">
        <f ca="1">IF(SUM(DM269:$EI269)=0,"",IF(DM$227="","",DM$227+DM269-1))</f>
        <v/>
      </c>
      <c r="DN273" s="403" t="str">
        <f ca="1">IF(SUM(DN269:$EI269)=0,"",IF(DN$227="","",DN$227+DN269-1))</f>
        <v/>
      </c>
      <c r="DO273" s="403" t="str">
        <f ca="1">IF(SUM(DO269:$EI269)=0,"",IF(DO$227="","",DO$227+DO269-1))</f>
        <v/>
      </c>
      <c r="DP273" s="403" t="str">
        <f ca="1">IF(SUM(DP269:$EI269)=0,"",IF(DP$227="","",DP$227+DP269-1))</f>
        <v/>
      </c>
      <c r="DQ273" s="403" t="str">
        <f ca="1">IF(SUM(DQ269:$EI269)=0,"",IF(DQ$227="","",DQ$227+DQ269-1))</f>
        <v/>
      </c>
      <c r="DR273" s="403" t="str">
        <f ca="1">IF(SUM(DR269:$EI269)=0,"",IF(DR$227="","",DR$227+DR269-1))</f>
        <v/>
      </c>
      <c r="DS273" s="403" t="str">
        <f ca="1">IF(SUM(DS269:$EI269)=0,"",IF(DS$227="","",DS$227+DS269-1))</f>
        <v/>
      </c>
      <c r="DT273" s="403" t="str">
        <f ca="1">IF(SUM(DT269:$EI269)=0,"",IF(DT$227="","",DT$227+DT269-1))</f>
        <v/>
      </c>
      <c r="DU273" s="403" t="str">
        <f ca="1">IF(SUM(DU269:$EI269)=0,"",IF(DU$227="","",DU$227+DU269-1))</f>
        <v/>
      </c>
      <c r="DV273" s="403" t="str">
        <f ca="1">IF(SUM(DV269:$EI269)=0,"",IF(DV$227="","",DV$227+DV269-1))</f>
        <v/>
      </c>
      <c r="DW273" s="403" t="str">
        <f ca="1">IF(SUM(DW269:$EI269)=0,"",IF(DW$227="","",DW$227+DW269-1))</f>
        <v/>
      </c>
      <c r="DX273" s="403" t="str">
        <f ca="1">IF(SUM(DX269:$EI269)=0,"",IF(DX$227="","",DX$227+DX269-1))</f>
        <v/>
      </c>
      <c r="DY273" s="403" t="str">
        <f ca="1">IF(SUM(DY269:$EI269)=0,"",IF(DY$227="","",DY$227+DY269-1))</f>
        <v/>
      </c>
      <c r="DZ273" s="403" t="str">
        <f ca="1">IF(SUM(DZ269:$EI269)=0,"",IF(DZ$227="","",DZ$227+DZ269-1))</f>
        <v/>
      </c>
      <c r="EA273" s="403" t="str">
        <f ca="1">IF(SUM(EA269:$EI269)=0,"",IF(EA$227="","",EA$227+EA269-1))</f>
        <v/>
      </c>
      <c r="EB273" s="403" t="str">
        <f ca="1">IF(SUM(EB269:$EI269)=0,"",IF(EB$227="","",EB$227+EB269-1))</f>
        <v/>
      </c>
      <c r="EC273" s="403" t="str">
        <f ca="1">IF(SUM(EC269:$EI269)=0,"",IF(EC$227="","",EC$227+EC269-1))</f>
        <v/>
      </c>
      <c r="ED273" s="403" t="str">
        <f ca="1">IF(SUM(ED269:$EI269)=0,"",IF(ED$227="","",ED$227+ED269-1))</f>
        <v/>
      </c>
      <c r="EE273" s="403" t="str">
        <f ca="1">IF(SUM(EE269:$EI269)=0,"",IF(EE$227="","",EE$227+EE269-1))</f>
        <v/>
      </c>
      <c r="EF273" s="403" t="str">
        <f ca="1">IF(SUM(EF269:$EI269)=0,"",IF(EF$227="","",EF$227+EF269-1))</f>
        <v/>
      </c>
      <c r="EG273" s="403" t="str">
        <f ca="1">IF(SUM(EG269:$EI269)=0,"",IF(EG$227="","",EG$227+EG269-1))</f>
        <v/>
      </c>
      <c r="EH273" s="403" t="str">
        <f ca="1">IF(SUM(EH269:$EI269)=0,"",IF(EH$227="","",EH$227+EH269-1))</f>
        <v/>
      </c>
      <c r="EI273" s="403" t="str">
        <f ca="1">IF(SUM(EI269:$EI269)=0,"",IF(EI$227="","",EI$227+EI269-1))</f>
        <v/>
      </c>
    </row>
    <row r="274" spans="1:141" outlineLevel="1" collapsed="1">
      <c r="A274" s="332"/>
      <c r="B274" s="313"/>
      <c r="C274" s="317" t="s">
        <v>74</v>
      </c>
      <c r="D274" s="317" t="s">
        <v>667</v>
      </c>
      <c r="E274" s="400">
        <f ca="1">IF(ГРП!B18=0,длительность!S59,ГРП!B18)</f>
        <v>70</v>
      </c>
      <c r="F274" s="318">
        <f ca="1">E274-SUM(G274:EJ274)</f>
        <v>0</v>
      </c>
      <c r="G274" s="401"/>
      <c r="H274" s="401">
        <f ca="1">IF(SUM($G274:G274)&gt;=$E274,0,IF($E274-SUM($G274:G274)&gt;H275,H275,$E274-SUM($G275:G275)))</f>
        <v>0</v>
      </c>
      <c r="I274" s="401">
        <f ca="1">IF(SUM($G274:H274)&gt;=$E274,0,IF($E274-SUM($G274:H274)&gt;I275,I275,$E274-SUM($G275:H275)))</f>
        <v>0</v>
      </c>
      <c r="J274" s="401">
        <f ca="1">IF(SUM($G274:I274)&gt;=$E274,0,IF($E274-SUM($G274:I274)&gt;J275,J275,$E274-SUM($G275:I275)))</f>
        <v>0</v>
      </c>
      <c r="K274" s="401">
        <f ca="1">IF(SUM($G274:J274)&gt;=$E274,0,IF($E274-SUM($G274:J274)&gt;K275,K275,$E274-SUM($G275:J275)))</f>
        <v>0</v>
      </c>
      <c r="L274" s="401">
        <f ca="1">IF(SUM($G274:K274)&gt;=$E274,0,IF($E274-SUM($G274:K274)&gt;L275,L275,$E274-SUM($G275:K275)))</f>
        <v>0</v>
      </c>
      <c r="M274" s="401">
        <f ca="1">IF(SUM($G274:L274)&gt;=$E274,0,IF($E274-SUM($G274:L274)&gt;M275,M275,$E274-SUM($G275:L275)))</f>
        <v>0</v>
      </c>
      <c r="N274" s="401">
        <f ca="1">IF(SUM($G274:M274)&gt;=$E274,0,IF($E274-SUM($G274:M274)&gt;N275,N275,$E274-SUM($G275:M275)))</f>
        <v>0</v>
      </c>
      <c r="O274" s="401">
        <f ca="1">IF(SUM($G274:N274)&gt;=$E274,0,IF($E274-SUM($G274:N274)&gt;O275,O275,$E274-SUM($G275:N275)))</f>
        <v>0</v>
      </c>
      <c r="P274" s="401">
        <f ca="1">IF(SUM($G274:O274)&gt;=$E274,0,IF($E274-SUM($G274:O274)&gt;P275,P275,$E274-SUM($G275:O275)))</f>
        <v>0</v>
      </c>
      <c r="Q274" s="401">
        <f ca="1">IF(SUM($G274:P274)&gt;=$E274,0,IF($E274-SUM($G274:P274)&gt;Q275,Q275,$E274-SUM($G275:P275)))</f>
        <v>0</v>
      </c>
      <c r="R274" s="401">
        <f ca="1">IF(SUM($G274:Q274)&gt;=$E274,0,IF($E274-SUM($G274:Q274)&gt;R275,R275,$E274-SUM($G275:Q275)))</f>
        <v>0</v>
      </c>
      <c r="S274" s="401">
        <f ca="1">IF(SUM($G274:R274)&gt;=$E274,0,IF($E274-SUM($G274:R274)&gt;S275,S275,$E274-SUM($G275:R275)))</f>
        <v>0</v>
      </c>
      <c r="T274" s="401">
        <f ca="1">IF(SUM($G274:S274)&gt;=$E274,0,IF($E274-SUM($G274:S274)&gt;T275,T275,$E274-SUM($G275:S275)))</f>
        <v>0</v>
      </c>
      <c r="U274" s="401">
        <f ca="1">IF(SUM($G274:T274)&gt;=$E274,0,IF($E274-SUM($G274:T274)&gt;U275,U275,$E274-SUM($G275:T275)))</f>
        <v>0</v>
      </c>
      <c r="V274" s="401">
        <f ca="1">IF(SUM($G274:U274)&gt;=$E274,0,IF($E274-SUM($G274:U274)&gt;V275,V275,$E274-SUM($G275:U275)))</f>
        <v>0</v>
      </c>
      <c r="W274" s="401">
        <f ca="1">IF(SUM($G274:V274)&gt;=$E274,0,IF($E274-SUM($G274:V274)&gt;W275,W275,$E274-SUM($G275:V275)))</f>
        <v>0</v>
      </c>
      <c r="X274" s="401">
        <f ca="1">IF(SUM($G274:W274)&gt;=$E274,0,IF($E274-SUM($G274:W274)&gt;X275,X275,$E274-SUM($G275:W275)))</f>
        <v>0</v>
      </c>
      <c r="Y274" s="401">
        <f ca="1">IF(SUM($G274:X274)&gt;=$E274,0,IF($E274-SUM($G274:X274)&gt;Y275,Y275,$E274-SUM($G275:X275)))</f>
        <v>0</v>
      </c>
      <c r="Z274" s="401">
        <f ca="1">IF(SUM($G274:Y274)&gt;=$E274,0,IF($E274-SUM($G274:Y274)&gt;Z275,Z275,$E274-SUM($G275:Y275)))</f>
        <v>0</v>
      </c>
      <c r="AA274" s="401">
        <f ca="1">IF(SUM($G274:Z274)&gt;=$E274,0,IF($E274-SUM($G274:Z274)&gt;AA275,AA275,$E274-SUM($G275:Z275)))</f>
        <v>0</v>
      </c>
      <c r="AB274" s="401">
        <f ca="1">IF(SUM($G274:AA274)&gt;=$E274,0,IF($E274-SUM($G274:AA274)&gt;AB275,AB275,$E274-SUM($G275:AA275)))</f>
        <v>0</v>
      </c>
      <c r="AC274" s="401">
        <f ca="1">IF(SUM($G274:AB274)&gt;=$E274,0,IF($E274-SUM($G274:AB274)&gt;AC275,AC275,$E274-SUM($G275:AB275)))</f>
        <v>0</v>
      </c>
      <c r="AD274" s="401">
        <f ca="1">IF(SUM($G274:AC274)&gt;=$E274,0,IF($E274-SUM($G274:AC274)&gt;AD275,AD275,$E274-SUM($G275:AC275)))</f>
        <v>0</v>
      </c>
      <c r="AE274" s="401">
        <f ca="1">IF(SUM($G274:AD274)&gt;=$E274,0,IF($E274-SUM($G274:AD274)&gt;AE275,AE275,$E274-SUM($G275:AD275)))</f>
        <v>0</v>
      </c>
      <c r="AF274" s="401">
        <f ca="1">IF(SUM($G274:AE274)&gt;=$E274,0,IF($E274-SUM($G274:AE274)&gt;AF275,AF275,$E274-SUM($G275:AE275)))</f>
        <v>0</v>
      </c>
      <c r="AG274" s="401">
        <f ca="1">IF(SUM($G274:AF274)&gt;=$E274,0,IF($E274-SUM($G274:AF274)&gt;AG275,AG275,$E274-SUM($G275:AF275)))</f>
        <v>0</v>
      </c>
      <c r="AH274" s="401">
        <f ca="1">IF(SUM($G274:AG274)&gt;=$E274,0,IF($E274-SUM($G274:AG274)&gt;AH275,AH275,$E274-SUM($G275:AG275)))</f>
        <v>0</v>
      </c>
      <c r="AI274" s="401">
        <f ca="1">IF(SUM($G274:AH274)&gt;=$E274,0,IF($E274-SUM($G274:AH274)&gt;AI275,AI275,$E274-SUM($G275:AH275)))</f>
        <v>0</v>
      </c>
      <c r="AJ274" s="401">
        <f ca="1">IF(SUM($G274:AI274)&gt;=$E274,0,IF($E274-SUM($G274:AI274)&gt;AJ275,AJ275,$E274-SUM($G275:AI275)))</f>
        <v>0</v>
      </c>
      <c r="AK274" s="401">
        <f ca="1">IF(SUM($G274:AJ274)&gt;=$E274,0,IF($E274-SUM($G274:AJ274)&gt;AK275,AK275,$E274-SUM($G275:AJ275)))</f>
        <v>0</v>
      </c>
      <c r="AL274" s="401">
        <f ca="1">IF(SUM($G274:AK274)&gt;=$E274,0,IF($E274-SUM($G274:AK274)&gt;AL275,AL275,$E274-SUM($G275:AK275)))</f>
        <v>0</v>
      </c>
      <c r="AM274" s="401">
        <f ca="1">IF(SUM($G274:AL274)&gt;=$E274,0,IF($E274-SUM($G274:AL274)&gt;AM275,AM275,$E274-SUM($G275:AL275)))</f>
        <v>0</v>
      </c>
      <c r="AN274" s="401">
        <f ca="1">IF(SUM($G274:AM274)&gt;=$E274,0,IF($E274-SUM($G274:AM274)&gt;AN275,AN275,$E274-SUM($G275:AM275)))</f>
        <v>0</v>
      </c>
      <c r="AO274" s="401">
        <f ca="1">IF(SUM($G274:AN274)&gt;=$E274,0,IF($E274-SUM($G274:AN274)&gt;AO275,AO275,$E274-SUM($G275:AN275)))</f>
        <v>0</v>
      </c>
      <c r="AP274" s="401">
        <f ca="1">IF(SUM($G274:AO274)&gt;=$E274,0,IF($E274-SUM($G274:AO274)&gt;AP275,AP275,$E274-SUM($G275:AO275)))</f>
        <v>0</v>
      </c>
      <c r="AQ274" s="401">
        <f ca="1">IF(SUM($G274:AP274)&gt;=$E274,0,IF($E274-SUM($G274:AP274)&gt;AQ275,AQ275,$E274-SUM($G275:AP275)))</f>
        <v>0</v>
      </c>
      <c r="AR274" s="401">
        <f ca="1">IF(SUM($G274:AQ274)&gt;=$E274,0,IF($E274-SUM($G274:AQ274)&gt;AR275,AR275,$E274-SUM($G275:AQ275)))</f>
        <v>0</v>
      </c>
      <c r="AS274" s="401">
        <f ca="1">IF(SUM($G274:AR274)&gt;=$E274,0,IF($E274-SUM($G274:AR274)&gt;AS275,AS275,$E274-SUM($G275:AR275)))</f>
        <v>0</v>
      </c>
      <c r="AT274" s="401">
        <f ca="1">IF(SUM($G274:AS274)&gt;=$E274,0,IF($E274-SUM($G274:AS274)&gt;AT275,AT275,$E274-SUM($G275:AS275)))</f>
        <v>0</v>
      </c>
      <c r="AU274" s="401">
        <f ca="1">IF(SUM($G274:AT274)&gt;=$E274,0,IF($E274-SUM($G274:AT274)&gt;AU275,AU275,$E274-SUM($G275:AT275)))</f>
        <v>0</v>
      </c>
      <c r="AV274" s="401">
        <f ca="1">IF(SUM($G274:AU274)&gt;=$E274,0,IF($E274-SUM($G274:AU274)&gt;AV275,AV275,$E274-SUM($G275:AU275)))</f>
        <v>0</v>
      </c>
      <c r="AW274" s="401">
        <f ca="1">IF(SUM($G274:AV274)&gt;=$E274,0,IF($E274-SUM($G274:AV274)&gt;AW275,AW275,$E274-SUM($G275:AV275)))</f>
        <v>0</v>
      </c>
      <c r="AX274" s="401">
        <f ca="1">IF(SUM($G274:AW274)&gt;=$E274,0,IF($E274-SUM($G274:AW274)&gt;AX275,AX275,$E274-SUM($G275:AW275)))</f>
        <v>0</v>
      </c>
      <c r="AY274" s="401">
        <f ca="1">IF(SUM($G274:AX274)&gt;=$E274,0,IF($E274-SUM($G274:AX274)&gt;AY275,AY275,$E274-SUM($G275:AX275)))</f>
        <v>0</v>
      </c>
      <c r="AZ274" s="401">
        <f ca="1">IF(SUM($G274:AY274)&gt;=$E274,0,IF($E274-SUM($G274:AY274)&gt;AZ275,AZ275,$E274-SUM($G275:AY275)))</f>
        <v>0</v>
      </c>
      <c r="BA274" s="401">
        <f ca="1">IF(SUM($G274:AZ274)&gt;=$E274,0,IF($E274-SUM($G274:AZ274)&gt;BA275,BA275,$E274-SUM($G275:AZ275)))</f>
        <v>5</v>
      </c>
      <c r="BB274" s="401">
        <f ca="1">IF(SUM($G274:BA274)&gt;=$E274,0,IF($E274-SUM($G274:BA274)&gt;BB275,BB275,$E274-SUM($G275:BA275)))</f>
        <v>28</v>
      </c>
      <c r="BC274" s="401">
        <f ca="1">IF(SUM($G274:BB274)&gt;=$E274,0,IF($E274-SUM($G274:BB274)&gt;BC275,BC275,$E274-SUM($G275:BB275)))</f>
        <v>31</v>
      </c>
      <c r="BD274" s="401">
        <f ca="1">IF(SUM($G274:BC274)&gt;=$E274,0,IF($E274-SUM($G274:BC274)&gt;BD275,BD275,$E274-SUM($G275:BC275)))</f>
        <v>6</v>
      </c>
      <c r="BE274" s="401">
        <f ca="1">IF(SUM($G274:BD274)&gt;=$E274,0,IF($E274-SUM($G274:BD274)&gt;BE275,BE275,$E274-SUM($G275:BD275)))</f>
        <v>0</v>
      </c>
      <c r="BF274" s="401">
        <f ca="1">IF(SUM($G274:BE274)&gt;=$E274,0,IF($E274-SUM($G274:BE274)&gt;BF275,BF275,$E274-SUM($G275:BE275)))</f>
        <v>0</v>
      </c>
      <c r="BG274" s="401">
        <f ca="1">IF(SUM($G274:BF274)&gt;=$E274,0,IF($E274-SUM($G274:BF274)&gt;BG275,BG275,$E274-SUM($G275:BF275)))</f>
        <v>0</v>
      </c>
      <c r="BH274" s="401">
        <f ca="1">IF(SUM($G274:BG274)&gt;=$E274,0,IF($E274-SUM($G274:BG274)&gt;BH275,BH275,$E274-SUM($G275:BG275)))</f>
        <v>0</v>
      </c>
      <c r="BI274" s="401">
        <f ca="1">IF(SUM($G274:BH274)&gt;=$E274,0,IF($E274-SUM($G274:BH274)&gt;BI275,BI275,$E274-SUM($G275:BH275)))</f>
        <v>0</v>
      </c>
      <c r="BJ274" s="401">
        <f ca="1">IF(SUM($G274:BI274)&gt;=$E274,0,IF($E274-SUM($G274:BI274)&gt;BJ275,BJ275,$E274-SUM($G275:BI275)))</f>
        <v>0</v>
      </c>
      <c r="BK274" s="401">
        <f ca="1">IF(SUM($G274:BJ274)&gt;=$E274,0,IF($E274-SUM($G274:BJ274)&gt;BK275,BK275,$E274-SUM($G275:BJ275)))</f>
        <v>0</v>
      </c>
      <c r="BL274" s="401">
        <f ca="1">IF(SUM($G274:BK274)&gt;=$E274,0,IF($E274-SUM($G274:BK274)&gt;BL275,BL275,$E274-SUM($G275:BK275)))</f>
        <v>0</v>
      </c>
      <c r="BM274" s="401">
        <f ca="1">IF(SUM($G274:BL274)&gt;=$E274,0,IF($E274-SUM($G274:BL274)&gt;BM275,BM275,$E274-SUM($G275:BL275)))</f>
        <v>0</v>
      </c>
      <c r="BN274" s="401">
        <f ca="1">IF(SUM($G274:BM274)&gt;=$E274,0,IF($E274-SUM($G274:BM274)&gt;BN275,BN275,$E274-SUM($G275:BM275)))</f>
        <v>0</v>
      </c>
      <c r="BO274" s="401">
        <f ca="1">IF(SUM($G274:BN274)&gt;=$E274,0,IF($E274-SUM($G274:BN274)&gt;BO275,BO275,$E274-SUM($G275:BN275)))</f>
        <v>0</v>
      </c>
      <c r="BP274" s="401">
        <f ca="1">IF(SUM($G274:BO274)&gt;=$E274,0,IF($E274-SUM($G274:BO274)&gt;BP275,BP275,$E274-SUM($G275:BO275)))</f>
        <v>0</v>
      </c>
      <c r="BQ274" s="401">
        <f ca="1">IF(SUM($G274:BP274)&gt;=$E274,0,IF($E274-SUM($G274:BP274)&gt;BQ275,BQ275,$E274-SUM($G275:BP275)))</f>
        <v>0</v>
      </c>
      <c r="BR274" s="401">
        <f ca="1">IF(SUM($G274:BQ274)&gt;=$E274,0,IF($E274-SUM($G274:BQ274)&gt;BR275,BR275,$E274-SUM($G275:BQ275)))</f>
        <v>0</v>
      </c>
      <c r="BS274" s="401">
        <f ca="1">IF(SUM($G274:BR274)&gt;=$E274,0,IF($E274-SUM($G274:BR274)&gt;BS275,BS275,$E274-SUM($G275:BR275)))</f>
        <v>0</v>
      </c>
      <c r="BT274" s="401">
        <f ca="1">IF(SUM($G274:BS274)&gt;=$E274,0,IF($E274-SUM($G274:BS274)&gt;BT275,BT275,$E274-SUM($G275:BS275)))</f>
        <v>0</v>
      </c>
      <c r="BU274" s="401">
        <f ca="1">IF(SUM($G274:BT274)&gt;=$E274,0,IF($E274-SUM($G274:BT274)&gt;BU275,BU275,$E274-SUM($G275:BT275)))</f>
        <v>0</v>
      </c>
      <c r="BV274" s="401">
        <f ca="1">IF(SUM($G274:BU274)&gt;=$E274,0,IF($E274-SUM($G274:BU274)&gt;BV275,BV275,$E274-SUM($G275:BU275)))</f>
        <v>0</v>
      </c>
      <c r="BW274" s="401">
        <f ca="1">IF(SUM($G274:BV274)&gt;=$E274,0,IF($E274-SUM($G274:BV274)&gt;BW275,BW275,$E274-SUM($G275:BV275)))</f>
        <v>0</v>
      </c>
      <c r="BX274" s="401">
        <f ca="1">IF(SUM($G274:BW274)&gt;=$E274,0,IF($E274-SUM($G274:BW274)&gt;BX275,BX275,$E274-SUM($G275:BW275)))</f>
        <v>0</v>
      </c>
      <c r="BY274" s="401">
        <f ca="1">IF(SUM($G274:BX274)&gt;=$E274,0,IF($E274-SUM($G274:BX274)&gt;BY275,BY275,$E274-SUM($G275:BX275)))</f>
        <v>0</v>
      </c>
      <c r="BZ274" s="401">
        <f ca="1">IF(SUM($G274:BY274)&gt;=$E274,0,IF($E274-SUM($G274:BY274)&gt;BZ275,BZ275,$E274-SUM($G275:BY275)))</f>
        <v>0</v>
      </c>
      <c r="CA274" s="401">
        <f ca="1">IF(SUM($G274:BZ274)&gt;=$E274,0,IF($E274-SUM($G274:BZ274)&gt;CA275,CA275,$E274-SUM($G275:BZ275)))</f>
        <v>0</v>
      </c>
      <c r="CB274" s="401">
        <f ca="1">IF(SUM($G274:CA274)&gt;=$E274,0,IF($E274-SUM($G274:CA274)&gt;CB275,CB275,$E274-SUM($G275:CA275)))</f>
        <v>0</v>
      </c>
      <c r="CC274" s="401">
        <f ca="1">IF(SUM($G274:CB274)&gt;=$E274,0,IF($E274-SUM($G274:CB274)&gt;CC275,CC275,$E274-SUM($G275:CB275)))</f>
        <v>0</v>
      </c>
      <c r="CD274" s="401">
        <f ca="1">IF(SUM($G274:CC274)&gt;=$E274,0,IF($E274-SUM($G274:CC274)&gt;CD275,CD275,$E274-SUM($G275:CC275)))</f>
        <v>0</v>
      </c>
      <c r="CE274" s="401">
        <f ca="1">IF(SUM($G274:CD274)&gt;=$E274,0,IF($E274-SUM($G274:CD274)&gt;CE275,CE275,$E274-SUM($G275:CD275)))</f>
        <v>0</v>
      </c>
      <c r="CF274" s="401">
        <f ca="1">IF(SUM($G274:CE274)&gt;=$E274,0,IF($E274-SUM($G274:CE274)&gt;CF275,CF275,$E274-SUM($G275:CE275)))</f>
        <v>0</v>
      </c>
      <c r="CG274" s="401">
        <f ca="1">IF(SUM($G274:CF274)&gt;=$E274,0,IF($E274-SUM($G274:CF274)&gt;CG275,CG275,$E274-SUM($G275:CF275)))</f>
        <v>0</v>
      </c>
      <c r="CH274" s="401">
        <f ca="1">IF(SUM($G274:CG274)&gt;=$E274,0,IF($E274-SUM($G274:CG274)&gt;CH275,CH275,$E274-SUM($G275:CG275)))</f>
        <v>0</v>
      </c>
      <c r="CI274" s="401">
        <f ca="1">IF(SUM($G274:CH274)&gt;=$E274,0,IF($E274-SUM($G274:CH274)&gt;CI275,CI275,$E274-SUM($G275:CH275)))</f>
        <v>0</v>
      </c>
      <c r="CJ274" s="401">
        <f ca="1">IF(SUM($G274:CI274)&gt;=$E274,0,IF($E274-SUM($G274:CI274)&gt;CJ275,CJ275,$E274-SUM($G275:CI275)))</f>
        <v>0</v>
      </c>
      <c r="CK274" s="401">
        <f ca="1">IF(SUM($G274:CJ274)&gt;=$E274,0,IF($E274-SUM($G274:CJ274)&gt;CK275,CK275,$E274-SUM($G275:CJ275)))</f>
        <v>0</v>
      </c>
      <c r="CL274" s="401">
        <f ca="1">IF(SUM($G274:CK274)&gt;=$E274,0,IF($E274-SUM($G274:CK274)&gt;CL275,CL275,$E274-SUM($G275:CK275)))</f>
        <v>0</v>
      </c>
      <c r="CM274" s="401">
        <f ca="1">IF(SUM($G274:CL274)&gt;=$E274,0,IF($E274-SUM($G274:CL274)&gt;CM275,CM275,$E274-SUM($G275:CL275)))</f>
        <v>0</v>
      </c>
      <c r="CN274" s="401">
        <f ca="1">IF(SUM($G274:CM274)&gt;=$E274,0,IF($E274-SUM($G274:CM274)&gt;CN275,CN275,$E274-SUM($G275:CM275)))</f>
        <v>0</v>
      </c>
      <c r="CO274" s="401">
        <f ca="1">IF(SUM($G274:CN274)&gt;=$E274,0,IF($E274-SUM($G274:CN274)&gt;CO275,CO275,$E274-SUM($G275:CN275)))</f>
        <v>0</v>
      </c>
      <c r="CP274" s="401">
        <f ca="1">IF(SUM($G274:CO274)&gt;=$E274,0,IF($E274-SUM($G274:CO274)&gt;CP275,CP275,$E274-SUM($G275:CO275)))</f>
        <v>0</v>
      </c>
      <c r="CQ274" s="401">
        <f ca="1">IF(SUM($G274:CP274)&gt;=$E274,0,IF($E274-SUM($G274:CP274)&gt;CQ275,CQ275,$E274-SUM($G275:CP275)))</f>
        <v>0</v>
      </c>
      <c r="CR274" s="401">
        <f ca="1">IF(SUM($G274:CQ274)&gt;=$E274,0,IF($E274-SUM($G274:CQ274)&gt;CR275,CR275,$E274-SUM($G275:CQ275)))</f>
        <v>0</v>
      </c>
      <c r="CS274" s="401">
        <f ca="1">IF(SUM($G274:CR274)&gt;=$E274,0,IF($E274-SUM($G274:CR274)&gt;CS275,CS275,$E274-SUM($G275:CR275)))</f>
        <v>0</v>
      </c>
      <c r="CT274" s="401">
        <f ca="1">IF(SUM($G274:CS274)&gt;=$E274,0,IF($E274-SUM($G274:CS274)&gt;CT275,CT275,$E274-SUM($G275:CS275)))</f>
        <v>0</v>
      </c>
      <c r="CU274" s="401">
        <f ca="1">IF(SUM($G274:CT274)&gt;=$E274,0,IF($E274-SUM($G274:CT274)&gt;CU275,CU275,$E274-SUM($G275:CT275)))</f>
        <v>0</v>
      </c>
      <c r="CV274" s="401">
        <f ca="1">IF(SUM($G274:CU274)&gt;=$E274,0,IF($E274-SUM($G274:CU274)&gt;CV275,CV275,$E274-SUM($G275:CU275)))</f>
        <v>0</v>
      </c>
      <c r="CW274" s="401">
        <f ca="1">IF(SUM($G274:CV274)&gt;=$E274,0,IF($E274-SUM($G274:CV274)&gt;CW275,CW275,$E274-SUM($G275:CV275)))</f>
        <v>0</v>
      </c>
      <c r="CX274" s="401">
        <f ca="1">IF(SUM($G274:CW274)&gt;=$E274,0,IF($E274-SUM($G274:CW274)&gt;CX275,CX275,$E274-SUM($G275:CW275)))</f>
        <v>0</v>
      </c>
      <c r="CY274" s="401">
        <f ca="1">IF(SUM($G274:CX274)&gt;=$E274,0,IF($E274-SUM($G274:CX274)&gt;CY275,CY275,$E274-SUM($G275:CX275)))</f>
        <v>0</v>
      </c>
      <c r="CZ274" s="401">
        <f ca="1">IF(SUM($G274:CY274)&gt;=$E274,0,IF($E274-SUM($G274:CY274)&gt;CZ275,CZ275,$E274-SUM($G275:CY275)))</f>
        <v>0</v>
      </c>
      <c r="DA274" s="401">
        <f ca="1">IF(SUM($G274:CZ274)&gt;=$E274,0,IF($E274-SUM($G274:CZ274)&gt;DA275,DA275,$E274-SUM($G275:CZ275)))</f>
        <v>0</v>
      </c>
      <c r="DB274" s="401">
        <f ca="1">IF(SUM($G274:DA274)&gt;=$E274,0,IF($E274-SUM($G274:DA274)&gt;DB275,DB275,$E274-SUM($G275:DA275)))</f>
        <v>0</v>
      </c>
      <c r="DC274" s="401">
        <f ca="1">IF(SUM($G274:DB274)&gt;=$E274,0,IF($E274-SUM($G274:DB274)&gt;DC275,DC275,$E274-SUM($G275:DB275)))</f>
        <v>0</v>
      </c>
      <c r="DD274" s="401">
        <f ca="1">IF(SUM($G274:DC274)&gt;=$E274,0,IF($E274-SUM($G274:DC274)&gt;DD275,DD275,$E274-SUM($G275:DC275)))</f>
        <v>0</v>
      </c>
      <c r="DE274" s="401">
        <f ca="1">IF(SUM($G274:DD274)&gt;=$E274,0,IF($E274-SUM($G274:DD274)&gt;DE275,DE275,$E274-SUM($G275:DD275)))</f>
        <v>0</v>
      </c>
      <c r="DF274" s="401">
        <f ca="1">IF(SUM($G274:DE274)&gt;=$E274,0,IF($E274-SUM($G274:DE274)&gt;DF275,DF275,$E274-SUM($G275:DE275)))</f>
        <v>0</v>
      </c>
      <c r="DG274" s="401">
        <f ca="1">IF(SUM($G274:DF274)&gt;=$E274,0,IF($E274-SUM($G274:DF274)&gt;DG275,DG275,$E274-SUM($G275:DF275)))</f>
        <v>0</v>
      </c>
      <c r="DH274" s="401">
        <f ca="1">IF(SUM($G274:DG274)&gt;=$E274,0,IF($E274-SUM($G274:DG274)&gt;DH275,DH275,$E274-SUM($G275:DG275)))</f>
        <v>0</v>
      </c>
      <c r="DI274" s="401">
        <f ca="1">IF(SUM($G274:DH274)&gt;=$E274,0,IF($E274-SUM($G274:DH274)&gt;DI275,DI275,$E274-SUM($G275:DH275)))</f>
        <v>0</v>
      </c>
      <c r="DJ274" s="401">
        <f ca="1">IF(SUM($G274:DI274)&gt;=$E274,0,IF($E274-SUM($G274:DI274)&gt;DJ275,DJ275,$E274-SUM($G275:DI275)))</f>
        <v>0</v>
      </c>
      <c r="DK274" s="401">
        <f ca="1">IF(SUM($G274:DJ274)&gt;=$E274,0,IF($E274-SUM($G274:DJ274)&gt;DK275,DK275,$E274-SUM($G275:DJ275)))</f>
        <v>0</v>
      </c>
      <c r="DL274" s="401">
        <f ca="1">IF(SUM($G274:DK274)&gt;=$E274,0,IF($E274-SUM($G274:DK274)&gt;DL275,DL275,$E274-SUM($G275:DK275)))</f>
        <v>0</v>
      </c>
      <c r="DM274" s="401">
        <f ca="1">IF(SUM($G274:DL274)&gt;=$E274,0,IF($E274-SUM($G274:DL274)&gt;DM275,DM275,$E274-SUM($G275:DL275)))</f>
        <v>0</v>
      </c>
      <c r="DN274" s="401">
        <f ca="1">IF(SUM($G274:DM274)&gt;=$E274,0,IF($E274-SUM($G274:DM274)&gt;DN275,DN275,$E274-SUM($G275:DM275)))</f>
        <v>0</v>
      </c>
      <c r="DO274" s="401">
        <f ca="1">IF(SUM($G274:DN274)&gt;=$E274,0,IF($E274-SUM($G274:DN274)&gt;DO275,DO275,$E274-SUM($G275:DN275)))</f>
        <v>0</v>
      </c>
      <c r="DP274" s="401">
        <f ca="1">IF(SUM($G274:DO274)&gt;=$E274,0,IF($E274-SUM($G274:DO274)&gt;DP275,DP275,$E274-SUM($G275:DO275)))</f>
        <v>0</v>
      </c>
      <c r="DQ274" s="401">
        <f ca="1">IF(SUM($G274:DP274)&gt;=$E274,0,IF($E274-SUM($G274:DP274)&gt;DQ275,DQ275,$E274-SUM($G275:DP275)))</f>
        <v>0</v>
      </c>
      <c r="DR274" s="401">
        <f ca="1">IF(SUM($G274:DQ274)&gt;=$E274,0,IF($E274-SUM($G274:DQ274)&gt;DR275,DR275,$E274-SUM($G275:DQ275)))</f>
        <v>0</v>
      </c>
      <c r="DS274" s="401">
        <f ca="1">IF(SUM($G274:DR274)&gt;=$E274,0,IF($E274-SUM($G274:DR274)&gt;DS275,DS275,$E274-SUM($G275:DR275)))</f>
        <v>0</v>
      </c>
      <c r="DT274" s="401">
        <f ca="1">IF(SUM($G274:DS274)&gt;=$E274,0,IF($E274-SUM($G274:DS274)&gt;DT275,DT275,$E274-SUM($G275:DS275)))</f>
        <v>0</v>
      </c>
      <c r="DU274" s="401">
        <f ca="1">IF(SUM($G274:DT274)&gt;=$E274,0,IF($E274-SUM($G274:DT274)&gt;DU275,DU275,$E274-SUM($G275:DT275)))</f>
        <v>0</v>
      </c>
      <c r="DV274" s="401">
        <f ca="1">IF(SUM($G274:DU274)&gt;=$E274,0,IF($E274-SUM($G274:DU274)&gt;DV275,DV275,$E274-SUM($G275:DU275)))</f>
        <v>0</v>
      </c>
      <c r="DW274" s="401">
        <f ca="1">IF(SUM($G274:DV274)&gt;=$E274,0,IF($E274-SUM($G274:DV274)&gt;DW275,DW275,$E274-SUM($G275:DV275)))</f>
        <v>0</v>
      </c>
      <c r="DX274" s="401">
        <f ca="1">IF(SUM($G274:DW274)&gt;=$E274,0,IF($E274-SUM($G274:DW274)&gt;DX275,DX275,$E274-SUM($G275:DW275)))</f>
        <v>0</v>
      </c>
      <c r="DY274" s="401">
        <f ca="1">IF(SUM($G274:DX274)&gt;=$E274,0,IF($E274-SUM($G274:DX274)&gt;DY275,DY275,$E274-SUM($G275:DX275)))</f>
        <v>0</v>
      </c>
      <c r="DZ274" s="401">
        <f ca="1">IF(SUM($G274:DY274)&gt;=$E274,0,IF($E274-SUM($G274:DY274)&gt;DZ275,DZ275,$E274-SUM($G275:DY275)))</f>
        <v>0</v>
      </c>
      <c r="EA274" s="401">
        <f ca="1">IF(SUM($G274:DZ274)&gt;=$E274,0,IF($E274-SUM($G274:DZ274)&gt;EA275,EA275,$E274-SUM($G275:DZ275)))</f>
        <v>0</v>
      </c>
      <c r="EB274" s="401">
        <f ca="1">IF(SUM($G274:EA274)&gt;=$E274,0,IF($E274-SUM($G274:EA274)&gt;EB275,EB275,$E274-SUM($G275:EA275)))</f>
        <v>0</v>
      </c>
      <c r="EC274" s="401">
        <f ca="1">IF(SUM($G274:EB274)&gt;=$E274,0,IF($E274-SUM($G274:EB274)&gt;EC275,EC275,$E274-SUM($G275:EB275)))</f>
        <v>0</v>
      </c>
      <c r="ED274" s="401">
        <f ca="1">IF(SUM($G274:EC274)&gt;=$E274,0,IF($E274-SUM($G274:EC274)&gt;ED275,ED275,$E274-SUM($G275:EC275)))</f>
        <v>0</v>
      </c>
      <c r="EE274" s="401">
        <f ca="1">IF(SUM($G274:ED274)&gt;=$E274,0,IF($E274-SUM($G274:ED274)&gt;EE275,EE275,$E274-SUM($G275:ED275)))</f>
        <v>0</v>
      </c>
      <c r="EF274" s="401">
        <f ca="1">IF(SUM($G274:EE274)&gt;=$E274,0,IF($E274-SUM($G274:EE274)&gt;EF275,EF275,$E274-SUM($G275:EE275)))</f>
        <v>0</v>
      </c>
      <c r="EG274" s="401">
        <f ca="1">IF(SUM($G274:EF274)&gt;=$E274,0,IF($E274-SUM($G274:EF274)&gt;EG275,EG275,$E274-SUM($G275:EF275)))</f>
        <v>0</v>
      </c>
      <c r="EH274" s="401">
        <f ca="1">IF(SUM($G274:EG274)&gt;=$E274,0,IF($E274-SUM($G274:EG274)&gt;EH275,EH275,$E274-SUM($G275:EG275)))</f>
        <v>0</v>
      </c>
      <c r="EI274" s="401">
        <f ca="1">IF(SUM($G274:EH274)&gt;=$E274,0,IF($E274-SUM($G274:EH274)&gt;EI275,EI275,$E274-SUM($G275:EH275)))</f>
        <v>0</v>
      </c>
      <c r="EK274" s="313"/>
    </row>
    <row r="275" spans="1:141" hidden="1" outlineLevel="2">
      <c r="A275" s="332"/>
      <c r="B275" s="313"/>
      <c r="C275" s="308"/>
      <c r="D275" s="308"/>
      <c r="E275" s="308"/>
      <c r="G275" s="402"/>
      <c r="H275" s="402">
        <f ca="1">IF((SUM($G270:H270)-$E269)&lt;0,0,IF((SUM($G270:H270)-$E269)&lt;H270,SUM($G270:H270)-$E269,H270))</f>
        <v>0</v>
      </c>
      <c r="I275" s="402">
        <f ca="1">IF((SUM($G270:I270)-$E269)&lt;0,0,IF((SUM($G270:I270)-$E269)&lt;I270,SUM($G270:I270)-$E269,I270))</f>
        <v>0</v>
      </c>
      <c r="J275" s="402">
        <f ca="1">IF((SUM($G270:J270)-$E269)&lt;0,0,IF((SUM($G270:J270)-$E269)&lt;J270,SUM($G270:J270)-$E269,J270))</f>
        <v>0</v>
      </c>
      <c r="K275" s="402">
        <f ca="1">IF((SUM($G270:K270)-$E269)&lt;0,0,IF((SUM($G270:K270)-$E269)&lt;K270,SUM($G270:K270)-$E269,K270))</f>
        <v>0</v>
      </c>
      <c r="L275" s="402">
        <f ca="1">IF((SUM($G270:L270)-$E269)&lt;0,0,IF((SUM($G270:L270)-$E269)&lt;L270,SUM($G270:L270)-$E269,L270))</f>
        <v>0</v>
      </c>
      <c r="M275" s="402">
        <f ca="1">IF((SUM($G270:M270)-$E269)&lt;0,0,IF((SUM($G270:M270)-$E269)&lt;M270,SUM($G270:M270)-$E269,M270))</f>
        <v>0</v>
      </c>
      <c r="N275" s="402">
        <f ca="1">IF((SUM($G270:N270)-$E269)&lt;0,0,IF((SUM($G270:N270)-$E269)&lt;N270,SUM($G270:N270)-$E269,N270))</f>
        <v>0</v>
      </c>
      <c r="O275" s="402">
        <f ca="1">IF((SUM($G270:O270)-$E269)&lt;0,0,IF((SUM($G270:O270)-$E269)&lt;O270,SUM($G270:O270)-$E269,O270))</f>
        <v>0</v>
      </c>
      <c r="P275" s="402">
        <f ca="1">IF((SUM($G270:P270)-$E269)&lt;0,0,IF((SUM($G270:P270)-$E269)&lt;P270,SUM($G270:P270)-$E269,P270))</f>
        <v>0</v>
      </c>
      <c r="Q275" s="402">
        <f ca="1">IF((SUM($G270:Q270)-$E269)&lt;0,0,IF((SUM($G270:Q270)-$E269)&lt;Q270,SUM($G270:Q270)-$E269,Q270))</f>
        <v>0</v>
      </c>
      <c r="R275" s="402">
        <f ca="1">IF((SUM($G270:R270)-$E269)&lt;0,0,IF((SUM($G270:R270)-$E269)&lt;R270,SUM($G270:R270)-$E269,R270))</f>
        <v>0</v>
      </c>
      <c r="S275" s="402">
        <f ca="1">IF((SUM($G270:S270)-$E269)&lt;0,0,IF((SUM($G270:S270)-$E269)&lt;S270,SUM($G270:S270)-$E269,S270))</f>
        <v>0</v>
      </c>
      <c r="T275" s="402">
        <f ca="1">IF((SUM($G270:T270)-$E269)&lt;0,0,IF((SUM($G270:T270)-$E269)&lt;T270,SUM($G270:T270)-$E269,T270))</f>
        <v>0</v>
      </c>
      <c r="U275" s="402">
        <f ca="1">IF((SUM($G270:U270)-$E269)&lt;0,0,IF((SUM($G270:U270)-$E269)&lt;U270,SUM($G270:U270)-$E269,U270))</f>
        <v>0</v>
      </c>
      <c r="V275" s="402">
        <f ca="1">IF((SUM($G270:V270)-$E269)&lt;0,0,IF((SUM($G270:V270)-$E269)&lt;V270,SUM($G270:V270)-$E269,V270))</f>
        <v>0</v>
      </c>
      <c r="W275" s="402">
        <f ca="1">IF((SUM($G270:W270)-$E269)&lt;0,0,IF((SUM($G270:W270)-$E269)&lt;W270,SUM($G270:W270)-$E269,W270))</f>
        <v>0</v>
      </c>
      <c r="X275" s="402">
        <f ca="1">IF((SUM($G270:X270)-$E269)&lt;0,0,IF((SUM($G270:X270)-$E269)&lt;X270,SUM($G270:X270)-$E269,X270))</f>
        <v>0</v>
      </c>
      <c r="Y275" s="402">
        <f ca="1">IF((SUM($G270:Y270)-$E269)&lt;0,0,IF((SUM($G270:Y270)-$E269)&lt;Y270,SUM($G270:Y270)-$E269,Y270))</f>
        <v>0</v>
      </c>
      <c r="Z275" s="402">
        <f ca="1">IF((SUM($G270:Z270)-$E269)&lt;0,0,IF((SUM($G270:Z270)-$E269)&lt;Z270,SUM($G270:Z270)-$E269,Z270))</f>
        <v>0</v>
      </c>
      <c r="AA275" s="402">
        <f ca="1">IF((SUM($G270:AA270)-$E269)&lt;0,0,IF((SUM($G270:AA270)-$E269)&lt;AA270,SUM($G270:AA270)-$E269,AA270))</f>
        <v>0</v>
      </c>
      <c r="AB275" s="402">
        <f ca="1">IF((SUM($G270:AB270)-$E269)&lt;0,0,IF((SUM($G270:AB270)-$E269)&lt;AB270,SUM($G270:AB270)-$E269,AB270))</f>
        <v>0</v>
      </c>
      <c r="AC275" s="402">
        <f ca="1">IF((SUM($G270:AC270)-$E269)&lt;0,0,IF((SUM($G270:AC270)-$E269)&lt;AC270,SUM($G270:AC270)-$E269,AC270))</f>
        <v>0</v>
      </c>
      <c r="AD275" s="402">
        <f ca="1">IF((SUM($G270:AD270)-$E269)&lt;0,0,IF((SUM($G270:AD270)-$E269)&lt;AD270,SUM($G270:AD270)-$E269,AD270))</f>
        <v>0</v>
      </c>
      <c r="AE275" s="402">
        <f ca="1">IF((SUM($G270:AE270)-$E269)&lt;0,0,IF((SUM($G270:AE270)-$E269)&lt;AE270,SUM($G270:AE270)-$E269,AE270))</f>
        <v>0</v>
      </c>
      <c r="AF275" s="402">
        <f ca="1">IF((SUM($G270:AF270)-$E269)&lt;0,0,IF((SUM($G270:AF270)-$E269)&lt;AF270,SUM($G270:AF270)-$E269,AF270))</f>
        <v>0</v>
      </c>
      <c r="AG275" s="402">
        <f ca="1">IF((SUM($G270:AG270)-$E269)&lt;0,0,IF((SUM($G270:AG270)-$E269)&lt;AG270,SUM($G270:AG270)-$E269,AG270))</f>
        <v>0</v>
      </c>
      <c r="AH275" s="402">
        <f ca="1">IF((SUM($G270:AH270)-$E269)&lt;0,0,IF((SUM($G270:AH270)-$E269)&lt;AH270,SUM($G270:AH270)-$E269,AH270))</f>
        <v>0</v>
      </c>
      <c r="AI275" s="402">
        <f ca="1">IF((SUM($G270:AI270)-$E269)&lt;0,0,IF((SUM($G270:AI270)-$E269)&lt;AI270,SUM($G270:AI270)-$E269,AI270))</f>
        <v>0</v>
      </c>
      <c r="AJ275" s="402">
        <f ca="1">IF((SUM($G270:AJ270)-$E269)&lt;0,0,IF((SUM($G270:AJ270)-$E269)&lt;AJ270,SUM($G270:AJ270)-$E269,AJ270))</f>
        <v>0</v>
      </c>
      <c r="AK275" s="402">
        <f ca="1">IF((SUM($G270:AK270)-$E269)&lt;0,0,IF((SUM($G270:AK270)-$E269)&lt;AK270,SUM($G270:AK270)-$E269,AK270))</f>
        <v>0</v>
      </c>
      <c r="AL275" s="402">
        <f ca="1">IF((SUM($G270:AL270)-$E269)&lt;0,0,IF((SUM($G270:AL270)-$E269)&lt;AL270,SUM($G270:AL270)-$E269,AL270))</f>
        <v>0</v>
      </c>
      <c r="AM275" s="402">
        <f ca="1">IF((SUM($G270:AM270)-$E269)&lt;0,0,IF((SUM($G270:AM270)-$E269)&lt;AM270,SUM($G270:AM270)-$E269,AM270))</f>
        <v>0</v>
      </c>
      <c r="AN275" s="402">
        <f ca="1">IF((SUM($G270:AN270)-$E269)&lt;0,0,IF((SUM($G270:AN270)-$E269)&lt;AN270,SUM($G270:AN270)-$E269,AN270))</f>
        <v>0</v>
      </c>
      <c r="AO275" s="402">
        <f ca="1">IF((SUM($G270:AO270)-$E269)&lt;0,0,IF((SUM($G270:AO270)-$E269)&lt;AO270,SUM($G270:AO270)-$E269,AO270))</f>
        <v>0</v>
      </c>
      <c r="AP275" s="402">
        <f ca="1">IF((SUM($G270:AP270)-$E269)&lt;0,0,IF((SUM($G270:AP270)-$E269)&lt;AP270,SUM($G270:AP270)-$E269,AP270))</f>
        <v>0</v>
      </c>
      <c r="AQ275" s="402">
        <f ca="1">IF((SUM($G270:AQ270)-$E269)&lt;0,0,IF((SUM($G270:AQ270)-$E269)&lt;AQ270,SUM($G270:AQ270)-$E269,AQ270))</f>
        <v>0</v>
      </c>
      <c r="AR275" s="402">
        <f ca="1">IF((SUM($G270:AR270)-$E269)&lt;0,0,IF((SUM($G270:AR270)-$E269)&lt;AR270,SUM($G270:AR270)-$E269,AR270))</f>
        <v>0</v>
      </c>
      <c r="AS275" s="402">
        <f ca="1">IF((SUM($G270:AS270)-$E269)&lt;0,0,IF((SUM($G270:AS270)-$E269)&lt;AS270,SUM($G270:AS270)-$E269,AS270))</f>
        <v>0</v>
      </c>
      <c r="AT275" s="402">
        <f ca="1">IF((SUM($G270:AT270)-$E269)&lt;0,0,IF((SUM($G270:AT270)-$E269)&lt;AT270,SUM($G270:AT270)-$E269,AT270))</f>
        <v>0</v>
      </c>
      <c r="AU275" s="402">
        <f ca="1">IF((SUM($G270:AU270)-$E269)&lt;0,0,IF((SUM($G270:AU270)-$E269)&lt;AU270,SUM($G270:AU270)-$E269,AU270))</f>
        <v>0</v>
      </c>
      <c r="AV275" s="402">
        <f ca="1">IF((SUM($G270:AV270)-$E269)&lt;0,0,IF((SUM($G270:AV270)-$E269)&lt;AV270,SUM($G270:AV270)-$E269,AV270))</f>
        <v>0</v>
      </c>
      <c r="AW275" s="402">
        <f ca="1">IF((SUM($G270:AW270)-$E269)&lt;0,0,IF((SUM($G270:AW270)-$E269)&lt;AW270,SUM($G270:AW270)-$E269,AW270))</f>
        <v>0</v>
      </c>
      <c r="AX275" s="402">
        <f ca="1">IF((SUM($G270:AX270)-$E269)&lt;0,0,IF((SUM($G270:AX270)-$E269)&lt;AX270,SUM($G270:AX270)-$E269,AX270))</f>
        <v>0</v>
      </c>
      <c r="AY275" s="402">
        <f ca="1">IF((SUM($G270:AY270)-$E269)&lt;0,0,IF((SUM($G270:AY270)-$E269)&lt;AY270,SUM($G270:AY270)-$E269,AY270))</f>
        <v>0</v>
      </c>
      <c r="AZ275" s="402">
        <f ca="1">IF((SUM($G270:AZ270)-$E269)&lt;0,0,IF((SUM($G270:AZ270)-$E269)&lt;AZ270,SUM($G270:AZ270)-$E269,AZ270))</f>
        <v>0</v>
      </c>
      <c r="BA275" s="402">
        <f ca="1">IF((SUM($G270:BA270)-$E269)&lt;0,0,IF((SUM($G270:BA270)-$E269)&lt;BA270,SUM($G270:BA270)-$E269,BA270))</f>
        <v>5</v>
      </c>
      <c r="BB275" s="402">
        <f ca="1">IF((SUM($G270:BB270)-$E269)&lt;0,0,IF((SUM($G270:BB270)-$E269)&lt;BB270,SUM($G270:BB270)-$E269,BB270))</f>
        <v>28</v>
      </c>
      <c r="BC275" s="402">
        <f ca="1">IF((SUM($G270:BC270)-$E269)&lt;0,0,IF((SUM($G270:BC270)-$E269)&lt;BC270,SUM($G270:BC270)-$E269,BC270))</f>
        <v>31</v>
      </c>
      <c r="BD275" s="402">
        <f ca="1">IF((SUM($G270:BD270)-$E269)&lt;0,0,IF((SUM($G270:BD270)-$E269)&lt;BD270,SUM($G270:BD270)-$E269,BD270))</f>
        <v>30</v>
      </c>
      <c r="BE275" s="402">
        <f ca="1">IF((SUM($G270:BE270)-$E269)&lt;0,0,IF((SUM($G270:BE270)-$E269)&lt;BE270,SUM($G270:BE270)-$E269,BE270))</f>
        <v>31</v>
      </c>
      <c r="BF275" s="402">
        <f ca="1">IF((SUM($G270:BF270)-$E269)&lt;0,0,IF((SUM($G270:BF270)-$E269)&lt;BF270,SUM($G270:BF270)-$E269,BF270))</f>
        <v>30</v>
      </c>
      <c r="BG275" s="402">
        <f ca="1">IF((SUM($G270:BG270)-$E269)&lt;0,0,IF((SUM($G270:BG270)-$E269)&lt;BG270,SUM($G270:BG270)-$E269,BG270))</f>
        <v>31</v>
      </c>
      <c r="BH275" s="402">
        <f ca="1">IF((SUM($G270:BH270)-$E269)&lt;0,0,IF((SUM($G270:BH270)-$E269)&lt;BH270,SUM($G270:BH270)-$E269,BH270))</f>
        <v>31</v>
      </c>
      <c r="BI275" s="402">
        <f ca="1">IF((SUM($G270:BI270)-$E269)&lt;0,0,IF((SUM($G270:BI270)-$E269)&lt;BI270,SUM($G270:BI270)-$E269,BI270))</f>
        <v>30</v>
      </c>
      <c r="BJ275" s="402">
        <f ca="1">IF((SUM($G270:BJ270)-$E269)&lt;0,0,IF((SUM($G270:BJ270)-$E269)&lt;BJ270,SUM($G270:BJ270)-$E269,BJ270))</f>
        <v>31</v>
      </c>
      <c r="BK275" s="402">
        <f ca="1">IF((SUM($G270:BK270)-$E269)&lt;0,0,IF((SUM($G270:BK270)-$E269)&lt;BK270,SUM($G270:BK270)-$E269,BK270))</f>
        <v>30</v>
      </c>
      <c r="BL275" s="402">
        <f ca="1">IF((SUM($G270:BL270)-$E269)&lt;0,0,IF((SUM($G270:BL270)-$E269)&lt;BL270,SUM($G270:BL270)-$E269,BL270))</f>
        <v>31</v>
      </c>
      <c r="BM275" s="402">
        <f ca="1">IF((SUM($G270:BM270)-$E269)&lt;0,0,IF((SUM($G270:BM270)-$E269)&lt;BM270,SUM($G270:BM270)-$E269,BM270))</f>
        <v>31</v>
      </c>
      <c r="BN275" s="402">
        <f ca="1">IF((SUM($G270:BN270)-$E269)&lt;0,0,IF((SUM($G270:BN270)-$E269)&lt;BN270,SUM($G270:BN270)-$E269,BN270))</f>
        <v>29</v>
      </c>
      <c r="BO275" s="402">
        <f ca="1">IF((SUM($G270:BO270)-$E269)&lt;0,0,IF((SUM($G270:BO270)-$E269)&lt;BO270,SUM($G270:BO270)-$E269,BO270))</f>
        <v>31</v>
      </c>
      <c r="BP275" s="402">
        <f ca="1">IF((SUM($G270:BP270)-$E269)&lt;0,0,IF((SUM($G270:BP270)-$E269)&lt;BP270,SUM($G270:BP270)-$E269,BP270))</f>
        <v>30</v>
      </c>
      <c r="BQ275" s="402">
        <f ca="1">IF((SUM($G270:BQ270)-$E269)&lt;0,0,IF((SUM($G270:BQ270)-$E269)&lt;BQ270,SUM($G270:BQ270)-$E269,BQ270))</f>
        <v>31</v>
      </c>
      <c r="BR275" s="402">
        <f ca="1">IF((SUM($G270:BR270)-$E269)&lt;0,0,IF((SUM($G270:BR270)-$E269)&lt;BR270,SUM($G270:BR270)-$E269,BR270))</f>
        <v>30</v>
      </c>
      <c r="BS275" s="402">
        <f ca="1">IF((SUM($G270:BS270)-$E269)&lt;0,0,IF((SUM($G270:BS270)-$E269)&lt;BS270,SUM($G270:BS270)-$E269,BS270))</f>
        <v>31</v>
      </c>
      <c r="BT275" s="402">
        <f ca="1">IF((SUM($G270:BT270)-$E269)&lt;0,0,IF((SUM($G270:BT270)-$E269)&lt;BT270,SUM($G270:BT270)-$E269,BT270))</f>
        <v>31</v>
      </c>
      <c r="BU275" s="402">
        <f ca="1">IF((SUM($G270:BU270)-$E269)&lt;0,0,IF((SUM($G270:BU270)-$E269)&lt;BU270,SUM($G270:BU270)-$E269,BU270))</f>
        <v>30</v>
      </c>
      <c r="BV275" s="402">
        <f ca="1">IF((SUM($G270:BV270)-$E269)&lt;0,0,IF((SUM($G270:BV270)-$E269)&lt;BV270,SUM($G270:BV270)-$E269,BV270))</f>
        <v>31</v>
      </c>
      <c r="BW275" s="402">
        <f ca="1">IF((SUM($G270:BW270)-$E269)&lt;0,0,IF((SUM($G270:BW270)-$E269)&lt;BW270,SUM($G270:BW270)-$E269,BW270))</f>
        <v>30</v>
      </c>
      <c r="BX275" s="402">
        <f ca="1">IF((SUM($G270:BX270)-$E269)&lt;0,0,IF((SUM($G270:BX270)-$E269)&lt;BX270,SUM($G270:BX270)-$E269,BX270))</f>
        <v>31</v>
      </c>
      <c r="BY275" s="402">
        <f ca="1">IF((SUM($G270:BY270)-$E269)&lt;0,0,IF((SUM($G270:BY270)-$E269)&lt;BY270,SUM($G270:BY270)-$E269,BY270))</f>
        <v>31</v>
      </c>
      <c r="BZ275" s="402">
        <f ca="1">IF((SUM($G270:BZ270)-$E269)&lt;0,0,IF((SUM($G270:BZ270)-$E269)&lt;BZ270,SUM($G270:BZ270)-$E269,BZ270))</f>
        <v>28</v>
      </c>
      <c r="CA275" s="402">
        <f ca="1">IF((SUM($G270:CA270)-$E269)&lt;0,0,IF((SUM($G270:CA270)-$E269)&lt;CA270,SUM($G270:CA270)-$E269,CA270))</f>
        <v>31</v>
      </c>
      <c r="CB275" s="402">
        <f ca="1">IF((SUM($G270:CB270)-$E269)&lt;0,0,IF((SUM($G270:CB270)-$E269)&lt;CB270,SUM($G270:CB270)-$E269,CB270))</f>
        <v>30</v>
      </c>
      <c r="CC275" s="402">
        <f ca="1">IF((SUM($G270:CC270)-$E269)&lt;0,0,IF((SUM($G270:CC270)-$E269)&lt;CC270,SUM($G270:CC270)-$E269,CC270))</f>
        <v>31</v>
      </c>
      <c r="CD275" s="402">
        <f ca="1">IF((SUM($G270:CD270)-$E269)&lt;0,0,IF((SUM($G270:CD270)-$E269)&lt;CD270,SUM($G270:CD270)-$E269,CD270))</f>
        <v>30</v>
      </c>
      <c r="CE275" s="402">
        <f ca="1">IF((SUM($G270:CE270)-$E269)&lt;0,0,IF((SUM($G270:CE270)-$E269)&lt;CE270,SUM($G270:CE270)-$E269,CE270))</f>
        <v>31</v>
      </c>
      <c r="CF275" s="402">
        <f ca="1">IF((SUM($G270:CF270)-$E269)&lt;0,0,IF((SUM($G270:CF270)-$E269)&lt;CF270,SUM($G270:CF270)-$E269,CF270))</f>
        <v>31</v>
      </c>
      <c r="CG275" s="402">
        <f ca="1">IF((SUM($G270:CG270)-$E269)&lt;0,0,IF((SUM($G270:CG270)-$E269)&lt;CG270,SUM($G270:CG270)-$E269,CG270))</f>
        <v>30</v>
      </c>
      <c r="CH275" s="402">
        <f ca="1">IF((SUM($G270:CH270)-$E269)&lt;0,0,IF((SUM($G270:CH270)-$E269)&lt;CH270,SUM($G270:CH270)-$E269,CH270))</f>
        <v>31</v>
      </c>
      <c r="CI275" s="402">
        <f ca="1">IF((SUM($G270:CI270)-$E269)&lt;0,0,IF((SUM($G270:CI270)-$E269)&lt;CI270,SUM($G270:CI270)-$E269,CI270))</f>
        <v>30</v>
      </c>
      <c r="CJ275" s="402">
        <f ca="1">IF((SUM($G270:CJ270)-$E269)&lt;0,0,IF((SUM($G270:CJ270)-$E269)&lt;CJ270,SUM($G270:CJ270)-$E269,CJ270))</f>
        <v>31</v>
      </c>
      <c r="CK275" s="402">
        <f ca="1">IF((SUM($G270:CK270)-$E269)&lt;0,0,IF((SUM($G270:CK270)-$E269)&lt;CK270,SUM($G270:CK270)-$E269,CK270))</f>
        <v>31</v>
      </c>
      <c r="CL275" s="402">
        <f ca="1">IF((SUM($G270:CL270)-$E269)&lt;0,0,IF((SUM($G270:CL270)-$E269)&lt;CL270,SUM($G270:CL270)-$E269,CL270))</f>
        <v>28</v>
      </c>
      <c r="CM275" s="402">
        <f ca="1">IF((SUM($G270:CM270)-$E269)&lt;0,0,IF((SUM($G270:CM270)-$E269)&lt;CM270,SUM($G270:CM270)-$E269,CM270))</f>
        <v>31</v>
      </c>
      <c r="CN275" s="402">
        <f ca="1">IF((SUM($G270:CN270)-$E269)&lt;0,0,IF((SUM($G270:CN270)-$E269)&lt;CN270,SUM($G270:CN270)-$E269,CN270))</f>
        <v>30</v>
      </c>
      <c r="CO275" s="402">
        <f ca="1">IF((SUM($G270:CO270)-$E269)&lt;0,0,IF((SUM($G270:CO270)-$E269)&lt;CO270,SUM($G270:CO270)-$E269,CO270))</f>
        <v>31</v>
      </c>
      <c r="CP275" s="402">
        <f ca="1">IF((SUM($G270:CP270)-$E269)&lt;0,0,IF((SUM($G270:CP270)-$E269)&lt;CP270,SUM($G270:CP270)-$E269,CP270))</f>
        <v>30</v>
      </c>
      <c r="CQ275" s="402">
        <f ca="1">IF((SUM($G270:CQ270)-$E269)&lt;0,0,IF((SUM($G270:CQ270)-$E269)&lt;CQ270,SUM($G270:CQ270)-$E269,CQ270))</f>
        <v>31</v>
      </c>
      <c r="CR275" s="402">
        <f ca="1">IF((SUM($G270:CR270)-$E269)&lt;0,0,IF((SUM($G270:CR270)-$E269)&lt;CR270,SUM($G270:CR270)-$E269,CR270))</f>
        <v>31</v>
      </c>
      <c r="CS275" s="402">
        <f ca="1">IF((SUM($G270:CS270)-$E269)&lt;0,0,IF((SUM($G270:CS270)-$E269)&lt;CS270,SUM($G270:CS270)-$E269,CS270))</f>
        <v>30</v>
      </c>
      <c r="CT275" s="402">
        <f ca="1">IF((SUM($G270:CT270)-$E269)&lt;0,0,IF((SUM($G270:CT270)-$E269)&lt;CT270,SUM($G270:CT270)-$E269,CT270))</f>
        <v>31</v>
      </c>
      <c r="CU275" s="402">
        <f ca="1">IF((SUM($G270:CU270)-$E269)&lt;0,0,IF((SUM($G270:CU270)-$E269)&lt;CU270,SUM($G270:CU270)-$E269,CU270))</f>
        <v>30</v>
      </c>
      <c r="CV275" s="402">
        <f ca="1">IF((SUM($G270:CV270)-$E269)&lt;0,0,IF((SUM($G270:CV270)-$E269)&lt;CV270,SUM($G270:CV270)-$E269,CV270))</f>
        <v>31</v>
      </c>
      <c r="CW275" s="402">
        <f ca="1">IF((SUM($G270:CW270)-$E269)&lt;0,0,IF((SUM($G270:CW270)-$E269)&lt;CW270,SUM($G270:CW270)-$E269,CW270))</f>
        <v>31</v>
      </c>
      <c r="CX275" s="402">
        <f ca="1">IF((SUM($G270:CX270)-$E269)&lt;0,0,IF((SUM($G270:CX270)-$E269)&lt;CX270,SUM($G270:CX270)-$E269,CX270))</f>
        <v>28</v>
      </c>
      <c r="CY275" s="402">
        <f ca="1">IF((SUM($G270:CY270)-$E269)&lt;0,0,IF((SUM($G270:CY270)-$E269)&lt;CY270,SUM($G270:CY270)-$E269,CY270))</f>
        <v>31</v>
      </c>
      <c r="CZ275" s="402">
        <f ca="1">IF((SUM($G270:CZ270)-$E269)&lt;0,0,IF((SUM($G270:CZ270)-$E269)&lt;CZ270,SUM($G270:CZ270)-$E269,CZ270))</f>
        <v>30</v>
      </c>
      <c r="DA275" s="402">
        <f ca="1">IF((SUM($G270:DA270)-$E269)&lt;0,0,IF((SUM($G270:DA270)-$E269)&lt;DA270,SUM($G270:DA270)-$E269,DA270))</f>
        <v>31</v>
      </c>
      <c r="DB275" s="402">
        <f ca="1">IF((SUM($G270:DB270)-$E269)&lt;0,0,IF((SUM($G270:DB270)-$E269)&lt;DB270,SUM($G270:DB270)-$E269,DB270))</f>
        <v>30</v>
      </c>
      <c r="DC275" s="402">
        <f ca="1">IF((SUM($G270:DC270)-$E269)&lt;0,0,IF((SUM($G270:DC270)-$E269)&lt;DC270,SUM($G270:DC270)-$E269,DC270))</f>
        <v>31</v>
      </c>
      <c r="DD275" s="402">
        <f ca="1">IF((SUM($G270:DD270)-$E269)&lt;0,0,IF((SUM($G270:DD270)-$E269)&lt;DD270,SUM($G270:DD270)-$E269,DD270))</f>
        <v>31</v>
      </c>
      <c r="DE275" s="402">
        <f ca="1">IF((SUM($G270:DE270)-$E269)&lt;0,0,IF((SUM($G270:DE270)-$E269)&lt;DE270,SUM($G270:DE270)-$E269,DE270))</f>
        <v>30</v>
      </c>
      <c r="DF275" s="402">
        <f ca="1">IF((SUM($G270:DF270)-$E269)&lt;0,0,IF((SUM($G270:DF270)-$E269)&lt;DF270,SUM($G270:DF270)-$E269,DF270))</f>
        <v>31</v>
      </c>
      <c r="DG275" s="402">
        <f ca="1">IF((SUM($G270:DG270)-$E269)&lt;0,0,IF((SUM($G270:DG270)-$E269)&lt;DG270,SUM($G270:DG270)-$E269,DG270))</f>
        <v>30</v>
      </c>
      <c r="DH275" s="402">
        <f ca="1">IF((SUM($G270:DH270)-$E269)&lt;0,0,IF((SUM($G270:DH270)-$E269)&lt;DH270,SUM($G270:DH270)-$E269,DH270))</f>
        <v>31</v>
      </c>
      <c r="DI275" s="402">
        <f ca="1">IF((SUM($G270:DI270)-$E269)&lt;0,0,IF((SUM($G270:DI270)-$E269)&lt;DI270,SUM($G270:DI270)-$E269,DI270))</f>
        <v>31</v>
      </c>
      <c r="DJ275" s="402">
        <f ca="1">IF((SUM($G270:DJ270)-$E269)&lt;0,0,IF((SUM($G270:DJ270)-$E269)&lt;DJ270,SUM($G270:DJ270)-$E269,DJ270))</f>
        <v>29</v>
      </c>
      <c r="DK275" s="402">
        <f ca="1">IF((SUM($G270:DK270)-$E269)&lt;0,0,IF((SUM($G270:DK270)-$E269)&lt;DK270,SUM($G270:DK270)-$E269,DK270))</f>
        <v>31</v>
      </c>
      <c r="DL275" s="402">
        <f ca="1">IF((SUM($G270:DL270)-$E269)&lt;0,0,IF((SUM($G270:DL270)-$E269)&lt;DL270,SUM($G270:DL270)-$E269,DL270))</f>
        <v>30</v>
      </c>
      <c r="DM275" s="402">
        <f ca="1">IF((SUM($G270:DM270)-$E269)&lt;0,0,IF((SUM($G270:DM270)-$E269)&lt;DM270,SUM($G270:DM270)-$E269,DM270))</f>
        <v>31</v>
      </c>
      <c r="DN275" s="402">
        <f ca="1">IF((SUM($G270:DN270)-$E269)&lt;0,0,IF((SUM($G270:DN270)-$E269)&lt;DN270,SUM($G270:DN270)-$E269,DN270))</f>
        <v>30</v>
      </c>
      <c r="DO275" s="402">
        <f ca="1">IF((SUM($G270:DO270)-$E269)&lt;0,0,IF((SUM($G270:DO270)-$E269)&lt;DO270,SUM($G270:DO270)-$E269,DO270))</f>
        <v>31</v>
      </c>
      <c r="DP275" s="402">
        <f ca="1">IF((SUM($G270:DP270)-$E269)&lt;0,0,IF((SUM($G270:DP270)-$E269)&lt;DP270,SUM($G270:DP270)-$E269,DP270))</f>
        <v>31</v>
      </c>
      <c r="DQ275" s="402">
        <f ca="1">IF((SUM($G270:DQ270)-$E269)&lt;0,0,IF((SUM($G270:DQ270)-$E269)&lt;DQ270,SUM($G270:DQ270)-$E269,DQ270))</f>
        <v>30</v>
      </c>
      <c r="DR275" s="402">
        <f ca="1">IF((SUM($G270:DR270)-$E269)&lt;0,0,IF((SUM($G270:DR270)-$E269)&lt;DR270,SUM($G270:DR270)-$E269,DR270))</f>
        <v>31</v>
      </c>
      <c r="DS275" s="402">
        <f ca="1">IF((SUM($G270:DS270)-$E269)&lt;0,0,IF((SUM($G270:DS270)-$E269)&lt;DS270,SUM($G270:DS270)-$E269,DS270))</f>
        <v>30</v>
      </c>
      <c r="DT275" s="402">
        <f ca="1">IF((SUM($G270:DT270)-$E269)&lt;0,0,IF((SUM($G270:DT270)-$E269)&lt;DT270,SUM($G270:DT270)-$E269,DT270))</f>
        <v>31</v>
      </c>
      <c r="DU275" s="402">
        <f ca="1">IF((SUM($G270:DU270)-$E269)&lt;0,0,IF((SUM($G270:DU270)-$E269)&lt;DU270,SUM($G270:DU270)-$E269,DU270))</f>
        <v>31</v>
      </c>
      <c r="DV275" s="402">
        <f ca="1">IF((SUM($G270:DV270)-$E269)&lt;0,0,IF((SUM($G270:DV270)-$E269)&lt;DV270,SUM($G270:DV270)-$E269,DV270))</f>
        <v>28</v>
      </c>
      <c r="DW275" s="402">
        <f ca="1">IF((SUM($G270:DW270)-$E269)&lt;0,0,IF((SUM($G270:DW270)-$E269)&lt;DW270,SUM($G270:DW270)-$E269,DW270))</f>
        <v>31</v>
      </c>
      <c r="DX275" s="402">
        <f ca="1">IF((SUM($G270:DX270)-$E269)&lt;0,0,IF((SUM($G270:DX270)-$E269)&lt;DX270,SUM($G270:DX270)-$E269,DX270))</f>
        <v>30</v>
      </c>
      <c r="DY275" s="402">
        <f ca="1">IF((SUM($G270:DY270)-$E269)&lt;0,0,IF((SUM($G270:DY270)-$E269)&lt;DY270,SUM($G270:DY270)-$E269,DY270))</f>
        <v>31</v>
      </c>
      <c r="DZ275" s="402">
        <f ca="1">IF((SUM($G270:DZ270)-$E269)&lt;0,0,IF((SUM($G270:DZ270)-$E269)&lt;DZ270,SUM($G270:DZ270)-$E269,DZ270))</f>
        <v>30</v>
      </c>
      <c r="EA275" s="402">
        <f ca="1">IF((SUM($G270:EA270)-$E269)&lt;0,0,IF((SUM($G270:EA270)-$E269)&lt;EA270,SUM($G270:EA270)-$E269,EA270))</f>
        <v>31</v>
      </c>
      <c r="EB275" s="402">
        <f ca="1">IF((SUM($G270:EB270)-$E269)&lt;0,0,IF((SUM($G270:EB270)-$E269)&lt;EB270,SUM($G270:EB270)-$E269,EB270))</f>
        <v>31</v>
      </c>
      <c r="EC275" s="402">
        <f ca="1">IF((SUM($G270:EC270)-$E269)&lt;0,0,IF((SUM($G270:EC270)-$E269)&lt;EC270,SUM($G270:EC270)-$E269,EC270))</f>
        <v>30</v>
      </c>
      <c r="ED275" s="402">
        <f ca="1">IF((SUM($G270:ED270)-$E269)&lt;0,0,IF((SUM($G270:ED270)-$E269)&lt;ED270,SUM($G270:ED270)-$E269,ED270))</f>
        <v>31</v>
      </c>
      <c r="EE275" s="402">
        <f ca="1">IF((SUM($G270:EE270)-$E269)&lt;0,0,IF((SUM($G270:EE270)-$E269)&lt;EE270,SUM($G270:EE270)-$E269,EE270))</f>
        <v>30</v>
      </c>
      <c r="EF275" s="402">
        <f ca="1">IF((SUM($G270:EF270)-$E269)&lt;0,0,IF((SUM($G270:EF270)-$E269)&lt;EF270,SUM($G270:EF270)-$E269,EF270))</f>
        <v>31</v>
      </c>
      <c r="EG275" s="402">
        <f ca="1">IF((SUM($G270:EG270)-$E269)&lt;0,0,IF((SUM($G270:EG270)-$E269)&lt;EG270,SUM($G270:EG270)-$E269,EG270))</f>
        <v>31</v>
      </c>
      <c r="EH275" s="402">
        <f ca="1">IF((SUM($G270:EH270)-$E269)&lt;0,0,IF((SUM($G270:EH270)-$E269)&lt;EH270,SUM($G270:EH270)-$E269,EH270))</f>
        <v>28</v>
      </c>
      <c r="EI275" s="402">
        <f ca="1">IF((SUM($G270:EI270)-$E269)&lt;0,0,IF((SUM($G270:EI270)-$E269)&lt;EI270,SUM($G270:EI270)-$E269,EI270))</f>
        <v>31</v>
      </c>
    </row>
    <row r="276" spans="1:141" hidden="1" outlineLevel="2">
      <c r="A276" s="332"/>
      <c r="B276" s="313"/>
      <c r="D276" s="305" t="s">
        <v>670</v>
      </c>
      <c r="E276" s="403">
        <f ca="1">MIN(G276:EI276)</f>
        <v>46388</v>
      </c>
      <c r="F276" s="404">
        <f ca="1">MAX(G276:EI276)</f>
        <v>46388</v>
      </c>
      <c r="G276" s="403" t="str">
        <f ca="1">IF(G274=0,"",IF(SUM($G274:G274)&gt;=1,OFFSET(G$228,-1,0),""))</f>
        <v/>
      </c>
      <c r="H276" s="403" t="str">
        <f ca="1">IF(SUM($G276:G276)&gt;=1,"",IF(H274=0,"",IF(SUM($G274:H274)&gt;=1,OFFSET(H$228,-1,0),"")))</f>
        <v/>
      </c>
      <c r="I276" s="403" t="str">
        <f ca="1">IF(SUM($G276:H276)&gt;=1,"",IF(I274=0,"",IF(SUM($G274:I274)&gt;=1,OFFSET(I$228,-1,0),"")))</f>
        <v/>
      </c>
      <c r="J276" s="403" t="str">
        <f ca="1">IF(SUM($G276:I276)&gt;=1,"",IF(J274=0,"",IF(SUM($G274:J274)&gt;=1,OFFSET(J$228,-1,0),"")))</f>
        <v/>
      </c>
      <c r="K276" s="403" t="str">
        <f ca="1">IF(SUM($G276:J276)&gt;=1,"",IF(K274=0,"",IF(SUM($G274:K274)&gt;=1,OFFSET(K$228,-1,0),"")))</f>
        <v/>
      </c>
      <c r="L276" s="403" t="str">
        <f ca="1">IF(SUM($G276:K276)&gt;=1,"",IF(L274=0,"",IF(SUM($G274:L274)&gt;=1,OFFSET(L$228,-1,0),"")))</f>
        <v/>
      </c>
      <c r="M276" s="403" t="str">
        <f ca="1">IF(SUM($G276:L276)&gt;=1,"",IF(M274=0,"",IF(SUM($G274:M274)&gt;=1,OFFSET(M$228,-1,0),"")))</f>
        <v/>
      </c>
      <c r="N276" s="403" t="str">
        <f ca="1">IF(SUM($G276:M276)&gt;=1,"",IF(N274=0,"",IF(SUM($G274:N274)&gt;=1,OFFSET(N$228,-1,0),"")))</f>
        <v/>
      </c>
      <c r="O276" s="403" t="str">
        <f ca="1">IF(SUM($G276:N276)&gt;=1,"",IF(O274=0,"",IF(SUM($G274:O274)&gt;=1,OFFSET(O$228,-1,0),"")))</f>
        <v/>
      </c>
      <c r="P276" s="403" t="str">
        <f ca="1">IF(SUM($G276:O276)&gt;=1,"",IF(P274=0,"",IF(SUM($G274:P274)&gt;=1,OFFSET(P$228,-1,0),"")))</f>
        <v/>
      </c>
      <c r="Q276" s="403" t="str">
        <f ca="1">IF(SUM($G276:P276)&gt;=1,"",IF(Q274=0,"",IF(SUM($G274:Q274)&gt;=1,OFFSET(Q$228,-1,0),"")))</f>
        <v/>
      </c>
      <c r="R276" s="403" t="str">
        <f ca="1">IF(SUM($G276:Q276)&gt;=1,"",IF(R274=0,"",IF(SUM($G274:R274)&gt;=1,OFFSET(R$228,-1,0),"")))</f>
        <v/>
      </c>
      <c r="S276" s="403" t="str">
        <f ca="1">IF(SUM($G276:R276)&gt;=1,"",IF(S274=0,"",IF(SUM($G274:S274)&gt;=1,OFFSET(S$228,-1,0),"")))</f>
        <v/>
      </c>
      <c r="T276" s="403" t="str">
        <f ca="1">IF(SUM($G276:S276)&gt;=1,"",IF(T274=0,"",IF(SUM($G274:T274)&gt;=1,OFFSET(T$228,-1,0),"")))</f>
        <v/>
      </c>
      <c r="U276" s="403" t="str">
        <f ca="1">IF(SUM($G276:T276)&gt;=1,"",IF(U274=0,"",IF(SUM($G274:U274)&gt;=1,OFFSET(U$228,-1,0),"")))</f>
        <v/>
      </c>
      <c r="V276" s="403" t="str">
        <f ca="1">IF(SUM($G276:U276)&gt;=1,"",IF(V274=0,"",IF(SUM($G274:V274)&gt;=1,OFFSET(V$228,-1,0),"")))</f>
        <v/>
      </c>
      <c r="W276" s="403" t="str">
        <f ca="1">IF(SUM($G276:V276)&gt;=1,"",IF(W274=0,"",IF(SUM($G274:W274)&gt;=1,OFFSET(W$228,-1,0),"")))</f>
        <v/>
      </c>
      <c r="X276" s="403" t="str">
        <f ca="1">IF(SUM($G276:W276)&gt;=1,"",IF(X274=0,"",IF(SUM($G274:X274)&gt;=1,OFFSET(X$228,-1,0),"")))</f>
        <v/>
      </c>
      <c r="Y276" s="403" t="str">
        <f ca="1">IF(SUM($G276:X276)&gt;=1,"",IF(Y274=0,"",IF(SUM($G274:Y274)&gt;=1,OFFSET(Y$228,-1,0),"")))</f>
        <v/>
      </c>
      <c r="Z276" s="403" t="str">
        <f ca="1">IF(SUM($G276:Y276)&gt;=1,"",IF(Z274=0,"",IF(SUM($G274:Z274)&gt;=1,OFFSET(Z$228,-1,0),"")))</f>
        <v/>
      </c>
      <c r="AA276" s="403" t="str">
        <f ca="1">IF(SUM($G276:Z276)&gt;=1,"",IF(AA274=0,"",IF(SUM($G274:AA274)&gt;=1,OFFSET(AA$228,-1,0),"")))</f>
        <v/>
      </c>
      <c r="AB276" s="403" t="str">
        <f ca="1">IF(SUM($G276:AA276)&gt;=1,"",IF(AB274=0,"",IF(SUM($G274:AB274)&gt;=1,OFFSET(AB$228,-1,0),"")))</f>
        <v/>
      </c>
      <c r="AC276" s="403" t="str">
        <f ca="1">IF(SUM($G276:AB276)&gt;=1,"",IF(AC274=0,"",IF(SUM($G274:AC274)&gt;=1,OFFSET(AC$228,-1,0),"")))</f>
        <v/>
      </c>
      <c r="AD276" s="403" t="str">
        <f ca="1">IF(SUM($G276:AC276)&gt;=1,"",IF(AD274=0,"",IF(SUM($G274:AD274)&gt;=1,OFFSET(AD$228,-1,0),"")))</f>
        <v/>
      </c>
      <c r="AE276" s="403" t="str">
        <f ca="1">IF(SUM($G276:AD276)&gt;=1,"",IF(AE274=0,"",IF(SUM($G274:AE274)&gt;=1,OFFSET(AE$228,-1,0),"")))</f>
        <v/>
      </c>
      <c r="AF276" s="403" t="str">
        <f ca="1">IF(SUM($G276:AE276)&gt;=1,"",IF(AF274=0,"",IF(SUM($G274:AF274)&gt;=1,OFFSET(AF$228,-1,0),"")))</f>
        <v/>
      </c>
      <c r="AG276" s="403" t="str">
        <f ca="1">IF(SUM($G276:AF276)&gt;=1,"",IF(AG274=0,"",IF(SUM($G274:AG274)&gt;=1,OFFSET(AG$228,-1,0),"")))</f>
        <v/>
      </c>
      <c r="AH276" s="403" t="str">
        <f ca="1">IF(SUM($G276:AG276)&gt;=1,"",IF(AH274=0,"",IF(SUM($G274:AH274)&gt;=1,OFFSET(AH$228,-1,0),"")))</f>
        <v/>
      </c>
      <c r="AI276" s="403" t="str">
        <f ca="1">IF(SUM($G276:AH276)&gt;=1,"",IF(AI274=0,"",IF(SUM($G274:AI274)&gt;=1,OFFSET(AI$228,-1,0),"")))</f>
        <v/>
      </c>
      <c r="AJ276" s="403" t="str">
        <f ca="1">IF(SUM($G276:AI276)&gt;=1,"",IF(AJ274=0,"",IF(SUM($G274:AJ274)&gt;=1,OFFSET(AJ$228,-1,0),"")))</f>
        <v/>
      </c>
      <c r="AK276" s="403" t="str">
        <f ca="1">IF(SUM($G276:AJ276)&gt;=1,"",IF(AK274=0,"",IF(SUM($G274:AK274)&gt;=1,OFFSET(AK$228,-1,0),"")))</f>
        <v/>
      </c>
      <c r="AL276" s="403" t="str">
        <f ca="1">IF(SUM($G276:AK276)&gt;=1,"",IF(AL274=0,"",IF(SUM($G274:AL274)&gt;=1,OFFSET(AL$228,-1,0),"")))</f>
        <v/>
      </c>
      <c r="AM276" s="403" t="str">
        <f ca="1">IF(SUM($G276:AL276)&gt;=1,"",IF(AM274=0,"",IF(SUM($G274:AM274)&gt;=1,OFFSET(AM$228,-1,0),"")))</f>
        <v/>
      </c>
      <c r="AN276" s="403" t="str">
        <f ca="1">IF(SUM($G276:AM276)&gt;=1,"",IF(AN274=0,"",IF(SUM($G274:AN274)&gt;=1,OFFSET(AN$228,-1,0),"")))</f>
        <v/>
      </c>
      <c r="AO276" s="403" t="str">
        <f ca="1">IF(SUM($G276:AN276)&gt;=1,"",IF(AO274=0,"",IF(SUM($G274:AO274)&gt;=1,OFFSET(AO$228,-1,0),"")))</f>
        <v/>
      </c>
      <c r="AP276" s="403" t="str">
        <f ca="1">IF(SUM($G276:AO276)&gt;=1,"",IF(AP274=0,"",IF(SUM($G274:AP274)&gt;=1,OFFSET(AP$228,-1,0),"")))</f>
        <v/>
      </c>
      <c r="AQ276" s="403" t="str">
        <f ca="1">IF(SUM($G276:AP276)&gt;=1,"",IF(AQ274=0,"",IF(SUM($G274:AQ274)&gt;=1,OFFSET(AQ$228,-1,0),"")))</f>
        <v/>
      </c>
      <c r="AR276" s="403" t="str">
        <f ca="1">IF(SUM($G276:AQ276)&gt;=1,"",IF(AR274=0,"",IF(SUM($G274:AR274)&gt;=1,OFFSET(AR$228,-1,0),"")))</f>
        <v/>
      </c>
      <c r="AS276" s="403" t="str">
        <f ca="1">IF(SUM($G276:AR276)&gt;=1,"",IF(AS274=0,"",IF(SUM($G274:AS274)&gt;=1,OFFSET(AS$228,-1,0),"")))</f>
        <v/>
      </c>
      <c r="AT276" s="403" t="str">
        <f ca="1">IF(SUM($G276:AS276)&gt;=1,"",IF(AT274=0,"",IF(SUM($G274:AT274)&gt;=1,OFFSET(AT$228,-1,0),"")))</f>
        <v/>
      </c>
      <c r="AU276" s="403" t="str">
        <f ca="1">IF(SUM($G276:AT276)&gt;=1,"",IF(AU274=0,"",IF(SUM($G274:AU274)&gt;=1,OFFSET(AU$228,-1,0),"")))</f>
        <v/>
      </c>
      <c r="AV276" s="403" t="str">
        <f ca="1">IF(SUM($G276:AU276)&gt;=1,"",IF(AV274=0,"",IF(SUM($G274:AV274)&gt;=1,OFFSET(AV$228,-1,0),"")))</f>
        <v/>
      </c>
      <c r="AW276" s="403" t="str">
        <f ca="1">IF(SUM($G276:AV276)&gt;=1,"",IF(AW274=0,"",IF(SUM($G274:AW274)&gt;=1,OFFSET(AW$228,-1,0),"")))</f>
        <v/>
      </c>
      <c r="AX276" s="403" t="str">
        <f ca="1">IF(SUM($G276:AW276)&gt;=1,"",IF(AX274=0,"",IF(SUM($G274:AX274)&gt;=1,OFFSET(AX$228,-1,0),"")))</f>
        <v/>
      </c>
      <c r="AY276" s="403" t="str">
        <f ca="1">IF(SUM($G276:AX276)&gt;=1,"",IF(AY274=0,"",IF(SUM($G274:AY274)&gt;=1,OFFSET(AY$228,-1,0),"")))</f>
        <v/>
      </c>
      <c r="AZ276" s="403" t="str">
        <f ca="1">IF(SUM($G276:AY276)&gt;=1,"",IF(AZ274=0,"",IF(SUM($G274:AZ274)&gt;=1,OFFSET(AZ$228,-1,0),"")))</f>
        <v/>
      </c>
      <c r="BA276" s="403">
        <f ca="1">IF(SUM($G276:AZ276)&gt;=1,"",IF(BA274=0,"",IF(SUM($G274:BA274)&gt;=1,OFFSET(BA$228,-1,0),"")))</f>
        <v>46388</v>
      </c>
      <c r="BB276" s="403" t="str">
        <f ca="1">IF(SUM($G276:BA276)&gt;=1,"",IF(BB274=0,"",IF(SUM($G274:BB274)&gt;=1,OFFSET(BB$228,-1,0),"")))</f>
        <v/>
      </c>
      <c r="BC276" s="403" t="str">
        <f ca="1">IF(SUM($G276:BB276)&gt;=1,"",IF(BC274=0,"",IF(SUM($G274:BC274)&gt;=1,OFFSET(BC$228,-1,0),"")))</f>
        <v/>
      </c>
      <c r="BD276" s="403" t="str">
        <f ca="1">IF(SUM($G276:BC276)&gt;=1,"",IF(BD274=0,"",IF(SUM($G274:BD274)&gt;=1,OFFSET(BD$228,-1,0),"")))</f>
        <v/>
      </c>
      <c r="BE276" s="403" t="str">
        <f ca="1">IF(SUM($G276:BD276)&gt;=1,"",IF(BE274=0,"",IF(SUM($G274:BE274)&gt;=1,OFFSET(BE$228,-1,0),"")))</f>
        <v/>
      </c>
      <c r="BF276" s="403" t="str">
        <f ca="1">IF(SUM($G276:BE276)&gt;=1,"",IF(BF274=0,"",IF(SUM($G274:BF274)&gt;=1,OFFSET(BF$228,-1,0),"")))</f>
        <v/>
      </c>
      <c r="BG276" s="403" t="str">
        <f ca="1">IF(SUM($G276:BF276)&gt;=1,"",IF(BG274=0,"",IF(SUM($G274:BG274)&gt;=1,OFFSET(BG$228,-1,0),"")))</f>
        <v/>
      </c>
      <c r="BH276" s="403" t="str">
        <f ca="1">IF(SUM($G276:BG276)&gt;=1,"",IF(BH274=0,"",IF(SUM($G274:BH274)&gt;=1,OFFSET(BH$228,-1,0),"")))</f>
        <v/>
      </c>
      <c r="BI276" s="403" t="str">
        <f ca="1">IF(SUM($G276:BH276)&gt;=1,"",IF(BI274=0,"",IF(SUM($G274:BI274)&gt;=1,OFFSET(BI$228,-1,0),"")))</f>
        <v/>
      </c>
      <c r="BJ276" s="403" t="str">
        <f ca="1">IF(SUM($G276:BI276)&gt;=1,"",IF(BJ274=0,"",IF(SUM($G274:BJ274)&gt;=1,OFFSET(BJ$228,-1,0),"")))</f>
        <v/>
      </c>
      <c r="BK276" s="403" t="str">
        <f ca="1">IF(SUM($G276:BJ276)&gt;=1,"",IF(BK274=0,"",IF(SUM($G274:BK274)&gt;=1,OFFSET(BK$228,-1,0),"")))</f>
        <v/>
      </c>
      <c r="BL276" s="403" t="str">
        <f ca="1">IF(SUM($G276:BK276)&gt;=1,"",IF(BL274=0,"",IF(SUM($G274:BL274)&gt;=1,OFFSET(BL$228,-1,0),"")))</f>
        <v/>
      </c>
      <c r="BM276" s="403" t="str">
        <f ca="1">IF(SUM($G276:BL276)&gt;=1,"",IF(BM274=0,"",IF(SUM($G274:BM274)&gt;=1,OFFSET(BM$228,-1,0),"")))</f>
        <v/>
      </c>
      <c r="BN276" s="403" t="str">
        <f ca="1">IF(SUM($G276:BM276)&gt;=1,"",IF(BN274=0,"",IF(SUM($G274:BN274)&gt;=1,OFFSET(BN$228,-1,0),"")))</f>
        <v/>
      </c>
      <c r="BO276" s="403" t="str">
        <f ca="1">IF(SUM($G276:BN276)&gt;=1,"",IF(BO274=0,"",IF(SUM($G274:BO274)&gt;=1,OFFSET(BO$228,-1,0),"")))</f>
        <v/>
      </c>
      <c r="BP276" s="403" t="str">
        <f ca="1">IF(SUM($G276:BO276)&gt;=1,"",IF(BP274=0,"",IF(SUM($G274:BP274)&gt;=1,OFFSET(BP$228,-1,0),"")))</f>
        <v/>
      </c>
      <c r="BQ276" s="403" t="str">
        <f ca="1">IF(SUM($G276:BP276)&gt;=1,"",IF(BQ274=0,"",IF(SUM($G274:BQ274)&gt;=1,OFFSET(BQ$228,-1,0),"")))</f>
        <v/>
      </c>
      <c r="BR276" s="403" t="str">
        <f ca="1">IF(SUM($G276:BQ276)&gt;=1,"",IF(BR274=0,"",IF(SUM($G274:BR274)&gt;=1,OFFSET(BR$228,-1,0),"")))</f>
        <v/>
      </c>
      <c r="BS276" s="403" t="str">
        <f ca="1">IF(SUM($G276:BR276)&gt;=1,"",IF(BS274=0,"",IF(SUM($G274:BS274)&gt;=1,OFFSET(BS$228,-1,0),"")))</f>
        <v/>
      </c>
      <c r="BT276" s="403" t="str">
        <f ca="1">IF(SUM($G276:BS276)&gt;=1,"",IF(BT274=0,"",IF(SUM($G274:BT274)&gt;=1,OFFSET(BT$228,-1,0),"")))</f>
        <v/>
      </c>
      <c r="BU276" s="403" t="str">
        <f ca="1">IF(SUM($G276:BT276)&gt;=1,"",IF(BU274=0,"",IF(SUM($G274:BU274)&gt;=1,OFFSET(BU$228,-1,0),"")))</f>
        <v/>
      </c>
      <c r="BV276" s="403" t="str">
        <f ca="1">IF(SUM($G276:BU276)&gt;=1,"",IF(BV274=0,"",IF(SUM($G274:BV274)&gt;=1,OFFSET(BV$228,-1,0),"")))</f>
        <v/>
      </c>
      <c r="BW276" s="403" t="str">
        <f ca="1">IF(SUM($G276:BV276)&gt;=1,"",IF(BW274=0,"",IF(SUM($G274:BW274)&gt;=1,OFFSET(BW$228,-1,0),"")))</f>
        <v/>
      </c>
      <c r="BX276" s="403" t="str">
        <f ca="1">IF(SUM($G276:BW276)&gt;=1,"",IF(BX274=0,"",IF(SUM($G274:BX274)&gt;=1,OFFSET(BX$228,-1,0),"")))</f>
        <v/>
      </c>
      <c r="BY276" s="403" t="str">
        <f ca="1">IF(SUM($G276:BX276)&gt;=1,"",IF(BY274=0,"",IF(SUM($G274:BY274)&gt;=1,OFFSET(BY$228,-1,0),"")))</f>
        <v/>
      </c>
      <c r="BZ276" s="403" t="str">
        <f ca="1">IF(SUM($G276:BY276)&gt;=1,"",IF(BZ274=0,"",IF(SUM($G274:BZ274)&gt;=1,OFFSET(BZ$228,-1,0),"")))</f>
        <v/>
      </c>
      <c r="CA276" s="403" t="str">
        <f ca="1">IF(SUM($G276:BZ276)&gt;=1,"",IF(CA274=0,"",IF(SUM($G274:CA274)&gt;=1,OFFSET(CA$228,-1,0),"")))</f>
        <v/>
      </c>
      <c r="CB276" s="403" t="str">
        <f ca="1">IF(SUM($G276:CA276)&gt;=1,"",IF(CB274=0,"",IF(SUM($G274:CB274)&gt;=1,OFFSET(CB$228,-1,0),"")))</f>
        <v/>
      </c>
      <c r="CC276" s="403" t="str">
        <f ca="1">IF(SUM($G276:CB276)&gt;=1,"",IF(CC274=0,"",IF(SUM($G274:CC274)&gt;=1,OFFSET(CC$228,-1,0),"")))</f>
        <v/>
      </c>
      <c r="CD276" s="403" t="str">
        <f ca="1">IF(SUM($G276:CC276)&gt;=1,"",IF(CD274=0,"",IF(SUM($G274:CD274)&gt;=1,OFFSET(CD$228,-1,0),"")))</f>
        <v/>
      </c>
      <c r="CE276" s="403" t="str">
        <f ca="1">IF(SUM($G276:CD276)&gt;=1,"",IF(CE274=0,"",IF(SUM($G274:CE274)&gt;=1,OFFSET(CE$228,-1,0),"")))</f>
        <v/>
      </c>
      <c r="CF276" s="403" t="str">
        <f ca="1">IF(SUM($G276:CE276)&gt;=1,"",IF(CF274=0,"",IF(SUM($G274:CF274)&gt;=1,OFFSET(CF$228,-1,0),"")))</f>
        <v/>
      </c>
      <c r="CG276" s="403" t="str">
        <f ca="1">IF(SUM($G276:CF276)&gt;=1,"",IF(CG274=0,"",IF(SUM($G274:CG274)&gt;=1,OFFSET(CG$228,-1,0),"")))</f>
        <v/>
      </c>
      <c r="CH276" s="403" t="str">
        <f ca="1">IF(SUM($G276:CG276)&gt;=1,"",IF(CH274=0,"",IF(SUM($G274:CH274)&gt;=1,OFFSET(CH$228,-1,0),"")))</f>
        <v/>
      </c>
      <c r="CI276" s="403" t="str">
        <f ca="1">IF(SUM($G276:CH276)&gt;=1,"",IF(CI274=0,"",IF(SUM($G274:CI274)&gt;=1,OFFSET(CI$228,-1,0),"")))</f>
        <v/>
      </c>
      <c r="CJ276" s="403" t="str">
        <f ca="1">IF(SUM($G276:CI276)&gt;=1,"",IF(CJ274=0,"",IF(SUM($G274:CJ274)&gt;=1,OFFSET(CJ$228,-1,0),"")))</f>
        <v/>
      </c>
      <c r="CK276" s="403" t="str">
        <f ca="1">IF(SUM($G276:CJ276)&gt;=1,"",IF(CK274=0,"",IF(SUM($G274:CK274)&gt;=1,OFFSET(CK$228,-1,0),"")))</f>
        <v/>
      </c>
      <c r="CL276" s="403" t="str">
        <f ca="1">IF(SUM($G276:CK276)&gt;=1,"",IF(CL274=0,"",IF(SUM($G274:CL274)&gt;=1,OFFSET(CL$228,-1,0),"")))</f>
        <v/>
      </c>
      <c r="CM276" s="403" t="str">
        <f ca="1">IF(SUM($G276:CL276)&gt;=1,"",IF(CM274=0,"",IF(SUM($G274:CM274)&gt;=1,OFFSET(CM$228,-1,0),"")))</f>
        <v/>
      </c>
      <c r="CN276" s="403" t="str">
        <f ca="1">IF(SUM($G276:CM276)&gt;=1,"",IF(CN274=0,"",IF(SUM($G274:CN274)&gt;=1,OFFSET(CN$228,-1,0),"")))</f>
        <v/>
      </c>
      <c r="CO276" s="403" t="str">
        <f ca="1">IF(SUM($G276:CN276)&gt;=1,"",IF(CO274=0,"",IF(SUM($G274:CO274)&gt;=1,OFFSET(CO$228,-1,0),"")))</f>
        <v/>
      </c>
      <c r="CP276" s="403" t="str">
        <f ca="1">IF(SUM($G276:CO276)&gt;=1,"",IF(CP274=0,"",IF(SUM($G274:CP274)&gt;=1,OFFSET(CP$228,-1,0),"")))</f>
        <v/>
      </c>
      <c r="CQ276" s="403" t="str">
        <f ca="1">IF(SUM($G276:CP276)&gt;=1,"",IF(CQ274=0,"",IF(SUM($G274:CQ274)&gt;=1,OFFSET(CQ$228,-1,0),"")))</f>
        <v/>
      </c>
      <c r="CR276" s="403" t="str">
        <f ca="1">IF(SUM($G276:CQ276)&gt;=1,"",IF(CR274=0,"",IF(SUM($G274:CR274)&gt;=1,OFFSET(CR$228,-1,0),"")))</f>
        <v/>
      </c>
      <c r="CS276" s="403" t="str">
        <f ca="1">IF(SUM($G276:CR276)&gt;=1,"",IF(CS274=0,"",IF(SUM($G274:CS274)&gt;=1,OFFSET(CS$228,-1,0),"")))</f>
        <v/>
      </c>
      <c r="CT276" s="403" t="str">
        <f ca="1">IF(SUM($G276:CS276)&gt;=1,"",IF(CT274=0,"",IF(SUM($G274:CT274)&gt;=1,OFFSET(CT$228,-1,0),"")))</f>
        <v/>
      </c>
      <c r="CU276" s="403" t="str">
        <f ca="1">IF(SUM($G276:CT276)&gt;=1,"",IF(CU274=0,"",IF(SUM($G274:CU274)&gt;=1,OFFSET(CU$228,-1,0),"")))</f>
        <v/>
      </c>
      <c r="CV276" s="403" t="str">
        <f ca="1">IF(SUM($G276:CU276)&gt;=1,"",IF(CV274=0,"",IF(SUM($G274:CV274)&gt;=1,OFFSET(CV$228,-1,0),"")))</f>
        <v/>
      </c>
      <c r="CW276" s="403" t="str">
        <f ca="1">IF(SUM($G276:CV276)&gt;=1,"",IF(CW274=0,"",IF(SUM($G274:CW274)&gt;=1,OFFSET(CW$228,-1,0),"")))</f>
        <v/>
      </c>
      <c r="CX276" s="403" t="str">
        <f ca="1">IF(SUM($G276:CW276)&gt;=1,"",IF(CX274=0,"",IF(SUM($G274:CX274)&gt;=1,OFFSET(CX$228,-1,0),"")))</f>
        <v/>
      </c>
      <c r="CY276" s="403" t="str">
        <f ca="1">IF(SUM($G276:CX276)&gt;=1,"",IF(CY274=0,"",IF(SUM($G274:CY274)&gt;=1,OFFSET(CY$228,-1,0),"")))</f>
        <v/>
      </c>
      <c r="CZ276" s="403" t="str">
        <f ca="1">IF(SUM($G276:CY276)&gt;=1,"",IF(CZ274=0,"",IF(SUM($G274:CZ274)&gt;=1,OFFSET(CZ$228,-1,0),"")))</f>
        <v/>
      </c>
      <c r="DA276" s="403" t="str">
        <f ca="1">IF(SUM($G276:CZ276)&gt;=1,"",IF(DA274=0,"",IF(SUM($G274:DA274)&gt;=1,OFFSET(DA$228,-1,0),"")))</f>
        <v/>
      </c>
      <c r="DB276" s="403" t="str">
        <f ca="1">IF(SUM($G276:DA276)&gt;=1,"",IF(DB274=0,"",IF(SUM($G274:DB274)&gt;=1,OFFSET(DB$228,-1,0),"")))</f>
        <v/>
      </c>
      <c r="DC276" s="403" t="str">
        <f ca="1">IF(SUM($G276:DB276)&gt;=1,"",IF(DC274=0,"",IF(SUM($G274:DC274)&gt;=1,OFFSET(DC$228,-1,0),"")))</f>
        <v/>
      </c>
      <c r="DD276" s="403" t="str">
        <f ca="1">IF(SUM($G276:DC276)&gt;=1,"",IF(DD274=0,"",IF(SUM($G274:DD274)&gt;=1,OFFSET(DD$228,-1,0),"")))</f>
        <v/>
      </c>
      <c r="DE276" s="403" t="str">
        <f ca="1">IF(SUM($G276:DD276)&gt;=1,"",IF(DE274=0,"",IF(SUM($G274:DE274)&gt;=1,OFFSET(DE$228,-1,0),"")))</f>
        <v/>
      </c>
      <c r="DF276" s="403" t="str">
        <f ca="1">IF(SUM($G276:DE276)&gt;=1,"",IF(DF274=0,"",IF(SUM($G274:DF274)&gt;=1,OFFSET(DF$228,-1,0),"")))</f>
        <v/>
      </c>
      <c r="DG276" s="403" t="str">
        <f ca="1">IF(SUM($G276:DF276)&gt;=1,"",IF(DG274=0,"",IF(SUM($G274:DG274)&gt;=1,OFFSET(DG$228,-1,0),"")))</f>
        <v/>
      </c>
      <c r="DH276" s="403" t="str">
        <f ca="1">IF(SUM($G276:DG276)&gt;=1,"",IF(DH274=0,"",IF(SUM($G274:DH274)&gt;=1,OFFSET(DH$228,-1,0),"")))</f>
        <v/>
      </c>
      <c r="DI276" s="403" t="str">
        <f ca="1">IF(SUM($G276:DH276)&gt;=1,"",IF(DI274=0,"",IF(SUM($G274:DI274)&gt;=1,OFFSET(DI$228,-1,0),"")))</f>
        <v/>
      </c>
      <c r="DJ276" s="403" t="str">
        <f ca="1">IF(SUM($G276:DI276)&gt;=1,"",IF(DJ274=0,"",IF(SUM($G274:DJ274)&gt;=1,OFFSET(DJ$228,-1,0),"")))</f>
        <v/>
      </c>
      <c r="DK276" s="403" t="str">
        <f ca="1">IF(SUM($G276:DJ276)&gt;=1,"",IF(DK274=0,"",IF(SUM($G274:DK274)&gt;=1,OFFSET(DK$228,-1,0),"")))</f>
        <v/>
      </c>
      <c r="DL276" s="403" t="str">
        <f ca="1">IF(SUM($G276:DK276)&gt;=1,"",IF(DL274=0,"",IF(SUM($G274:DL274)&gt;=1,OFFSET(DL$228,-1,0),"")))</f>
        <v/>
      </c>
      <c r="DM276" s="403" t="str">
        <f ca="1">IF(SUM($G276:DL276)&gt;=1,"",IF(DM274=0,"",IF(SUM($G274:DM274)&gt;=1,OFFSET(DM$228,-1,0),"")))</f>
        <v/>
      </c>
      <c r="DN276" s="403" t="str">
        <f ca="1">IF(SUM($G276:DM276)&gt;=1,"",IF(DN274=0,"",IF(SUM($G274:DN274)&gt;=1,OFFSET(DN$228,-1,0),"")))</f>
        <v/>
      </c>
      <c r="DO276" s="403" t="str">
        <f ca="1">IF(SUM($G276:DN276)&gt;=1,"",IF(DO274=0,"",IF(SUM($G274:DO274)&gt;=1,OFFSET(DO$228,-1,0),"")))</f>
        <v/>
      </c>
      <c r="DP276" s="403" t="str">
        <f ca="1">IF(SUM($G276:DO276)&gt;=1,"",IF(DP274=0,"",IF(SUM($G274:DP274)&gt;=1,OFFSET(DP$228,-1,0),"")))</f>
        <v/>
      </c>
      <c r="DQ276" s="403" t="str">
        <f ca="1">IF(SUM($G276:DP276)&gt;=1,"",IF(DQ274=0,"",IF(SUM($G274:DQ274)&gt;=1,OFFSET(DQ$228,-1,0),"")))</f>
        <v/>
      </c>
      <c r="DR276" s="403" t="str">
        <f ca="1">IF(SUM($G276:DQ276)&gt;=1,"",IF(DR274=0,"",IF(SUM($G274:DR274)&gt;=1,OFFSET(DR$228,-1,0),"")))</f>
        <v/>
      </c>
      <c r="DS276" s="403" t="str">
        <f ca="1">IF(SUM($G276:DR276)&gt;=1,"",IF(DS274=0,"",IF(SUM($G274:DS274)&gt;=1,OFFSET(DS$228,-1,0),"")))</f>
        <v/>
      </c>
      <c r="DT276" s="403" t="str">
        <f ca="1">IF(SUM($G276:DS276)&gt;=1,"",IF(DT274=0,"",IF(SUM($G274:DT274)&gt;=1,OFFSET(DT$228,-1,0),"")))</f>
        <v/>
      </c>
      <c r="DU276" s="403" t="str">
        <f ca="1">IF(SUM($G276:DT276)&gt;=1,"",IF(DU274=0,"",IF(SUM($G274:DU274)&gt;=1,OFFSET(DU$228,-1,0),"")))</f>
        <v/>
      </c>
      <c r="DV276" s="403" t="str">
        <f ca="1">IF(SUM($G276:DU276)&gt;=1,"",IF(DV274=0,"",IF(SUM($G274:DV274)&gt;=1,OFFSET(DV$228,-1,0),"")))</f>
        <v/>
      </c>
      <c r="DW276" s="403" t="str">
        <f ca="1">IF(SUM($G276:DV276)&gt;=1,"",IF(DW274=0,"",IF(SUM($G274:DW274)&gt;=1,OFFSET(DW$228,-1,0),"")))</f>
        <v/>
      </c>
      <c r="DX276" s="403" t="str">
        <f ca="1">IF(SUM($G276:DW276)&gt;=1,"",IF(DX274=0,"",IF(SUM($G274:DX274)&gt;=1,OFFSET(DX$228,-1,0),"")))</f>
        <v/>
      </c>
      <c r="DY276" s="403" t="str">
        <f ca="1">IF(SUM($G276:DX276)&gt;=1,"",IF(DY274=0,"",IF(SUM($G274:DY274)&gt;=1,OFFSET(DY$228,-1,0),"")))</f>
        <v/>
      </c>
      <c r="DZ276" s="403" t="str">
        <f ca="1">IF(SUM($G276:DY276)&gt;=1,"",IF(DZ274=0,"",IF(SUM($G274:DZ274)&gt;=1,OFFSET(DZ$228,-1,0),"")))</f>
        <v/>
      </c>
      <c r="EA276" s="403" t="str">
        <f ca="1">IF(SUM($G276:DZ276)&gt;=1,"",IF(EA274=0,"",IF(SUM($G274:EA274)&gt;=1,OFFSET(EA$228,-1,0),"")))</f>
        <v/>
      </c>
      <c r="EB276" s="403" t="str">
        <f ca="1">IF(SUM($G276:EA276)&gt;=1,"",IF(EB274=0,"",IF(SUM($G274:EB274)&gt;=1,OFFSET(EB$228,-1,0),"")))</f>
        <v/>
      </c>
      <c r="EC276" s="403" t="str">
        <f ca="1">IF(SUM($G276:EB276)&gt;=1,"",IF(EC274=0,"",IF(SUM($G274:EC274)&gt;=1,OFFSET(EC$228,-1,0),"")))</f>
        <v/>
      </c>
      <c r="ED276" s="403" t="str">
        <f ca="1">IF(SUM($G276:EC276)&gt;=1,"",IF(ED274=0,"",IF(SUM($G274:ED274)&gt;=1,OFFSET(ED$228,-1,0),"")))</f>
        <v/>
      </c>
      <c r="EE276" s="403" t="str">
        <f ca="1">IF(SUM($G276:ED276)&gt;=1,"",IF(EE274=0,"",IF(SUM($G274:EE274)&gt;=1,OFFSET(EE$228,-1,0),"")))</f>
        <v/>
      </c>
      <c r="EF276" s="403" t="str">
        <f ca="1">IF(SUM($G276:EE276)&gt;=1,"",IF(EF274=0,"",IF(SUM($G274:EF274)&gt;=1,OFFSET(EF$228,-1,0),"")))</f>
        <v/>
      </c>
      <c r="EG276" s="403" t="str">
        <f ca="1">IF(SUM($G276:EF276)&gt;=1,"",IF(EG274=0,"",IF(SUM($G274:EG274)&gt;=1,OFFSET(EG$228,-1,0),"")))</f>
        <v/>
      </c>
      <c r="EH276" s="403" t="str">
        <f ca="1">IF(SUM($G276:EG276)&gt;=1,"",IF(EH274=0,"",IF(SUM($G274:EH274)&gt;=1,OFFSET(EH$228,-1,0),"")))</f>
        <v/>
      </c>
      <c r="EI276" s="403" t="str">
        <f ca="1">IF(SUM($G276:EH276)&gt;=1,"",IF(EI274=0,"",IF(SUM($G274:EI274)&gt;=1,OFFSET(EI$228,-1,0),"")))</f>
        <v/>
      </c>
    </row>
    <row r="277" spans="1:141" hidden="1" outlineLevel="2">
      <c r="A277" s="332"/>
      <c r="B277" s="313"/>
      <c r="D277" s="305" t="s">
        <v>671</v>
      </c>
      <c r="E277" s="1002">
        <f ca="1">IF(E274=0,"",MIN(G277:EI277))</f>
        <v>46414</v>
      </c>
      <c r="F277" s="1003"/>
      <c r="G277" s="403" t="str">
        <f>IF(G274=0,"",IF(G274=G$3,G276,G$5+H$5-G278-1))</f>
        <v/>
      </c>
      <c r="H277" s="403" t="str">
        <f ca="1">IF(H274=0,"",IF(H274=H$3,H276,H$5+I$5-H278-1))</f>
        <v/>
      </c>
      <c r="I277" s="403" t="str">
        <f t="shared" ref="I277:BT277" ca="1" si="485">IF(I274=0,"",IF(I274=I$3,I276,I$5+J$5-I278-1))</f>
        <v/>
      </c>
      <c r="J277" s="403" t="str">
        <f t="shared" ca="1" si="485"/>
        <v/>
      </c>
      <c r="K277" s="403" t="str">
        <f t="shared" ca="1" si="485"/>
        <v/>
      </c>
      <c r="L277" s="403" t="str">
        <f t="shared" ca="1" si="485"/>
        <v/>
      </c>
      <c r="M277" s="403" t="str">
        <f t="shared" ca="1" si="485"/>
        <v/>
      </c>
      <c r="N277" s="403" t="str">
        <f t="shared" ca="1" si="485"/>
        <v/>
      </c>
      <c r="O277" s="403" t="str">
        <f t="shared" ca="1" si="485"/>
        <v/>
      </c>
      <c r="P277" s="403" t="str">
        <f t="shared" ca="1" si="485"/>
        <v/>
      </c>
      <c r="Q277" s="403" t="str">
        <f t="shared" ca="1" si="485"/>
        <v/>
      </c>
      <c r="R277" s="403" t="str">
        <f t="shared" ca="1" si="485"/>
        <v/>
      </c>
      <c r="S277" s="403" t="str">
        <f t="shared" ca="1" si="485"/>
        <v/>
      </c>
      <c r="T277" s="403" t="str">
        <f t="shared" ca="1" si="485"/>
        <v/>
      </c>
      <c r="U277" s="403" t="str">
        <f t="shared" ca="1" si="485"/>
        <v/>
      </c>
      <c r="V277" s="403" t="str">
        <f t="shared" ca="1" si="485"/>
        <v/>
      </c>
      <c r="W277" s="403" t="str">
        <f t="shared" ca="1" si="485"/>
        <v/>
      </c>
      <c r="X277" s="403" t="str">
        <f t="shared" ca="1" si="485"/>
        <v/>
      </c>
      <c r="Y277" s="403" t="str">
        <f t="shared" ca="1" si="485"/>
        <v/>
      </c>
      <c r="Z277" s="403" t="str">
        <f t="shared" ca="1" si="485"/>
        <v/>
      </c>
      <c r="AA277" s="403" t="str">
        <f t="shared" ca="1" si="485"/>
        <v/>
      </c>
      <c r="AB277" s="403" t="str">
        <f t="shared" ca="1" si="485"/>
        <v/>
      </c>
      <c r="AC277" s="403" t="str">
        <f t="shared" ca="1" si="485"/>
        <v/>
      </c>
      <c r="AD277" s="403" t="str">
        <f t="shared" ca="1" si="485"/>
        <v/>
      </c>
      <c r="AE277" s="403" t="str">
        <f t="shared" ca="1" si="485"/>
        <v/>
      </c>
      <c r="AF277" s="403" t="str">
        <f t="shared" ca="1" si="485"/>
        <v/>
      </c>
      <c r="AG277" s="403" t="str">
        <f t="shared" ca="1" si="485"/>
        <v/>
      </c>
      <c r="AH277" s="403" t="str">
        <f t="shared" ca="1" si="485"/>
        <v/>
      </c>
      <c r="AI277" s="403" t="str">
        <f t="shared" ca="1" si="485"/>
        <v/>
      </c>
      <c r="AJ277" s="403" t="str">
        <f t="shared" ca="1" si="485"/>
        <v/>
      </c>
      <c r="AK277" s="403" t="str">
        <f t="shared" ca="1" si="485"/>
        <v/>
      </c>
      <c r="AL277" s="403" t="str">
        <f t="shared" ca="1" si="485"/>
        <v/>
      </c>
      <c r="AM277" s="403" t="str">
        <f t="shared" ca="1" si="485"/>
        <v/>
      </c>
      <c r="AN277" s="403" t="str">
        <f t="shared" ca="1" si="485"/>
        <v/>
      </c>
      <c r="AO277" s="403" t="str">
        <f t="shared" ca="1" si="485"/>
        <v/>
      </c>
      <c r="AP277" s="403" t="str">
        <f t="shared" ca="1" si="485"/>
        <v/>
      </c>
      <c r="AQ277" s="403" t="str">
        <f t="shared" ca="1" si="485"/>
        <v/>
      </c>
      <c r="AR277" s="403" t="str">
        <f t="shared" ca="1" si="485"/>
        <v/>
      </c>
      <c r="AS277" s="403" t="str">
        <f t="shared" ca="1" si="485"/>
        <v/>
      </c>
      <c r="AT277" s="403" t="str">
        <f t="shared" ca="1" si="485"/>
        <v/>
      </c>
      <c r="AU277" s="403" t="str">
        <f t="shared" ca="1" si="485"/>
        <v/>
      </c>
      <c r="AV277" s="403" t="str">
        <f t="shared" ca="1" si="485"/>
        <v/>
      </c>
      <c r="AW277" s="403" t="str">
        <f t="shared" ca="1" si="485"/>
        <v/>
      </c>
      <c r="AX277" s="403" t="str">
        <f t="shared" ca="1" si="485"/>
        <v/>
      </c>
      <c r="AY277" s="403" t="str">
        <f t="shared" ca="1" si="485"/>
        <v/>
      </c>
      <c r="AZ277" s="403" t="str">
        <f t="shared" ca="1" si="485"/>
        <v/>
      </c>
      <c r="BA277" s="403">
        <f t="shared" ca="1" si="485"/>
        <v>46414</v>
      </c>
      <c r="BB277" s="403" t="str">
        <f t="shared" ca="1" si="485"/>
        <v/>
      </c>
      <c r="BC277" s="403" t="str">
        <f t="shared" ca="1" si="485"/>
        <v/>
      </c>
      <c r="BD277" s="403">
        <f t="shared" ca="1" si="485"/>
        <v>46502</v>
      </c>
      <c r="BE277" s="403" t="str">
        <f t="shared" ca="1" si="485"/>
        <v/>
      </c>
      <c r="BF277" s="403" t="str">
        <f t="shared" ca="1" si="485"/>
        <v/>
      </c>
      <c r="BG277" s="403" t="str">
        <f t="shared" ca="1" si="485"/>
        <v/>
      </c>
      <c r="BH277" s="403" t="str">
        <f t="shared" ca="1" si="485"/>
        <v/>
      </c>
      <c r="BI277" s="403" t="str">
        <f t="shared" ca="1" si="485"/>
        <v/>
      </c>
      <c r="BJ277" s="403" t="str">
        <f t="shared" ca="1" si="485"/>
        <v/>
      </c>
      <c r="BK277" s="403" t="str">
        <f t="shared" ca="1" si="485"/>
        <v/>
      </c>
      <c r="BL277" s="403" t="str">
        <f t="shared" ca="1" si="485"/>
        <v/>
      </c>
      <c r="BM277" s="403" t="str">
        <f t="shared" ca="1" si="485"/>
        <v/>
      </c>
      <c r="BN277" s="403" t="str">
        <f t="shared" ca="1" si="485"/>
        <v/>
      </c>
      <c r="BO277" s="403" t="str">
        <f t="shared" ca="1" si="485"/>
        <v/>
      </c>
      <c r="BP277" s="403" t="str">
        <f t="shared" ca="1" si="485"/>
        <v/>
      </c>
      <c r="BQ277" s="403" t="str">
        <f t="shared" ca="1" si="485"/>
        <v/>
      </c>
      <c r="BR277" s="403" t="str">
        <f t="shared" ca="1" si="485"/>
        <v/>
      </c>
      <c r="BS277" s="403" t="str">
        <f t="shared" ca="1" si="485"/>
        <v/>
      </c>
      <c r="BT277" s="403" t="str">
        <f t="shared" ca="1" si="485"/>
        <v/>
      </c>
      <c r="BU277" s="403" t="str">
        <f t="shared" ref="BU277:EF277" ca="1" si="486">IF(BU274=0,"",IF(BU274=BU$3,BU276,BU$5+BV$5-BU278-1))</f>
        <v/>
      </c>
      <c r="BV277" s="403" t="str">
        <f t="shared" ca="1" si="486"/>
        <v/>
      </c>
      <c r="BW277" s="403" t="str">
        <f t="shared" ca="1" si="486"/>
        <v/>
      </c>
      <c r="BX277" s="403" t="str">
        <f t="shared" ca="1" si="486"/>
        <v/>
      </c>
      <c r="BY277" s="403" t="str">
        <f t="shared" ca="1" si="486"/>
        <v/>
      </c>
      <c r="BZ277" s="403" t="str">
        <f t="shared" ca="1" si="486"/>
        <v/>
      </c>
      <c r="CA277" s="403" t="str">
        <f t="shared" ca="1" si="486"/>
        <v/>
      </c>
      <c r="CB277" s="403" t="str">
        <f t="shared" ca="1" si="486"/>
        <v/>
      </c>
      <c r="CC277" s="403" t="str">
        <f t="shared" ca="1" si="486"/>
        <v/>
      </c>
      <c r="CD277" s="403" t="str">
        <f t="shared" ca="1" si="486"/>
        <v/>
      </c>
      <c r="CE277" s="403" t="str">
        <f t="shared" ca="1" si="486"/>
        <v/>
      </c>
      <c r="CF277" s="403" t="str">
        <f t="shared" ca="1" si="486"/>
        <v/>
      </c>
      <c r="CG277" s="403" t="str">
        <f t="shared" ca="1" si="486"/>
        <v/>
      </c>
      <c r="CH277" s="403" t="str">
        <f t="shared" ca="1" si="486"/>
        <v/>
      </c>
      <c r="CI277" s="403" t="str">
        <f t="shared" ca="1" si="486"/>
        <v/>
      </c>
      <c r="CJ277" s="403" t="str">
        <f t="shared" ca="1" si="486"/>
        <v/>
      </c>
      <c r="CK277" s="403" t="str">
        <f t="shared" ca="1" si="486"/>
        <v/>
      </c>
      <c r="CL277" s="403" t="str">
        <f t="shared" ca="1" si="486"/>
        <v/>
      </c>
      <c r="CM277" s="403" t="str">
        <f t="shared" ca="1" si="486"/>
        <v/>
      </c>
      <c r="CN277" s="403" t="str">
        <f t="shared" ca="1" si="486"/>
        <v/>
      </c>
      <c r="CO277" s="403" t="str">
        <f t="shared" ca="1" si="486"/>
        <v/>
      </c>
      <c r="CP277" s="403" t="str">
        <f t="shared" ca="1" si="486"/>
        <v/>
      </c>
      <c r="CQ277" s="403" t="str">
        <f t="shared" ca="1" si="486"/>
        <v/>
      </c>
      <c r="CR277" s="403" t="str">
        <f t="shared" ca="1" si="486"/>
        <v/>
      </c>
      <c r="CS277" s="403" t="str">
        <f t="shared" ca="1" si="486"/>
        <v/>
      </c>
      <c r="CT277" s="403" t="str">
        <f t="shared" ca="1" si="486"/>
        <v/>
      </c>
      <c r="CU277" s="403" t="str">
        <f t="shared" ca="1" si="486"/>
        <v/>
      </c>
      <c r="CV277" s="403" t="str">
        <f t="shared" ca="1" si="486"/>
        <v/>
      </c>
      <c r="CW277" s="403" t="str">
        <f t="shared" ca="1" si="486"/>
        <v/>
      </c>
      <c r="CX277" s="403" t="str">
        <f t="shared" ca="1" si="486"/>
        <v/>
      </c>
      <c r="CY277" s="403" t="str">
        <f t="shared" ca="1" si="486"/>
        <v/>
      </c>
      <c r="CZ277" s="403" t="str">
        <f t="shared" ca="1" si="486"/>
        <v/>
      </c>
      <c r="DA277" s="403" t="str">
        <f t="shared" ca="1" si="486"/>
        <v/>
      </c>
      <c r="DB277" s="403" t="str">
        <f t="shared" ca="1" si="486"/>
        <v/>
      </c>
      <c r="DC277" s="403" t="str">
        <f t="shared" ca="1" si="486"/>
        <v/>
      </c>
      <c r="DD277" s="403" t="str">
        <f t="shared" ca="1" si="486"/>
        <v/>
      </c>
      <c r="DE277" s="403" t="str">
        <f t="shared" ca="1" si="486"/>
        <v/>
      </c>
      <c r="DF277" s="403" t="str">
        <f t="shared" ca="1" si="486"/>
        <v/>
      </c>
      <c r="DG277" s="403" t="str">
        <f t="shared" ca="1" si="486"/>
        <v/>
      </c>
      <c r="DH277" s="403" t="str">
        <f t="shared" ca="1" si="486"/>
        <v/>
      </c>
      <c r="DI277" s="403" t="str">
        <f t="shared" ca="1" si="486"/>
        <v/>
      </c>
      <c r="DJ277" s="403" t="str">
        <f t="shared" ca="1" si="486"/>
        <v/>
      </c>
      <c r="DK277" s="403" t="str">
        <f t="shared" ca="1" si="486"/>
        <v/>
      </c>
      <c r="DL277" s="403" t="str">
        <f t="shared" ca="1" si="486"/>
        <v/>
      </c>
      <c r="DM277" s="403" t="str">
        <f t="shared" ca="1" si="486"/>
        <v/>
      </c>
      <c r="DN277" s="403" t="str">
        <f t="shared" ca="1" si="486"/>
        <v/>
      </c>
      <c r="DO277" s="403" t="str">
        <f t="shared" ca="1" si="486"/>
        <v/>
      </c>
      <c r="DP277" s="403" t="str">
        <f t="shared" ca="1" si="486"/>
        <v/>
      </c>
      <c r="DQ277" s="403" t="str">
        <f t="shared" ca="1" si="486"/>
        <v/>
      </c>
      <c r="DR277" s="403" t="str">
        <f t="shared" ca="1" si="486"/>
        <v/>
      </c>
      <c r="DS277" s="403" t="str">
        <f t="shared" ca="1" si="486"/>
        <v/>
      </c>
      <c r="DT277" s="403" t="str">
        <f t="shared" ca="1" si="486"/>
        <v/>
      </c>
      <c r="DU277" s="403" t="str">
        <f t="shared" ca="1" si="486"/>
        <v/>
      </c>
      <c r="DV277" s="403" t="str">
        <f t="shared" ca="1" si="486"/>
        <v/>
      </c>
      <c r="DW277" s="403" t="str">
        <f t="shared" ca="1" si="486"/>
        <v/>
      </c>
      <c r="DX277" s="403" t="str">
        <f t="shared" ca="1" si="486"/>
        <v/>
      </c>
      <c r="DY277" s="403" t="str">
        <f t="shared" ca="1" si="486"/>
        <v/>
      </c>
      <c r="DZ277" s="403" t="str">
        <f t="shared" ca="1" si="486"/>
        <v/>
      </c>
      <c r="EA277" s="403" t="str">
        <f t="shared" ca="1" si="486"/>
        <v/>
      </c>
      <c r="EB277" s="403" t="str">
        <f t="shared" ca="1" si="486"/>
        <v/>
      </c>
      <c r="EC277" s="403" t="str">
        <f t="shared" ca="1" si="486"/>
        <v/>
      </c>
      <c r="ED277" s="403" t="str">
        <f t="shared" ca="1" si="486"/>
        <v/>
      </c>
      <c r="EE277" s="403" t="str">
        <f t="shared" ca="1" si="486"/>
        <v/>
      </c>
      <c r="EF277" s="403" t="str">
        <f t="shared" ca="1" si="486"/>
        <v/>
      </c>
      <c r="EG277" s="403" t="str">
        <f t="shared" ref="EG277:EI277" ca="1" si="487">IF(EG274=0,"",IF(EG274=EG$3,EG276,EG$5+EH$5-EG278-1))</f>
        <v/>
      </c>
      <c r="EH277" s="403" t="str">
        <f t="shared" ca="1" si="487"/>
        <v/>
      </c>
      <c r="EI277" s="403" t="str">
        <f t="shared" ca="1" si="487"/>
        <v/>
      </c>
    </row>
    <row r="278" spans="1:141" hidden="1" outlineLevel="2">
      <c r="A278" s="332"/>
      <c r="B278" s="313"/>
      <c r="D278" s="305" t="s">
        <v>672</v>
      </c>
      <c r="E278" s="1002">
        <f ca="1">IF(E274=0,"",MAX(G278:EI278))</f>
        <v>46483</v>
      </c>
      <c r="F278" s="1003"/>
      <c r="G278" s="403">
        <f ca="1">IF(SUM(G274:$EI274)=0,"",IF(G$227="","",G$227+G274-1))</f>
        <v>44985</v>
      </c>
      <c r="H278" s="403">
        <f ca="1">IF(SUM(H274:$EI274)=0,"",IF(H$227="","",H$227+H274-1))</f>
        <v>45016</v>
      </c>
      <c r="I278" s="403">
        <f ca="1">IF(SUM(I274:$EI274)=0,"",IF(I$227="","",I$227+I274-1))</f>
        <v>45046</v>
      </c>
      <c r="J278" s="403">
        <f ca="1">IF(SUM(J274:$EI274)=0,"",IF(J$227="","",J$227+J274-1))</f>
        <v>45077</v>
      </c>
      <c r="K278" s="403">
        <f ca="1">IF(SUM(K274:$EI274)=0,"",IF(K$227="","",K$227+K274-1))</f>
        <v>45107</v>
      </c>
      <c r="L278" s="403">
        <f ca="1">IF(SUM(L274:$EI274)=0,"",IF(L$227="","",L$227+L274-1))</f>
        <v>45138</v>
      </c>
      <c r="M278" s="403">
        <f ca="1">IF(SUM(M274:$EI274)=0,"",IF(M$227="","",M$227+M274-1))</f>
        <v>45169</v>
      </c>
      <c r="N278" s="403">
        <f ca="1">IF(SUM(N274:$EI274)=0,"",IF(N$227="","",N$227+N274-1))</f>
        <v>45199</v>
      </c>
      <c r="O278" s="403">
        <f ca="1">IF(SUM(O274:$EI274)=0,"",IF(O$227="","",O$227+O274-1))</f>
        <v>45230</v>
      </c>
      <c r="P278" s="403">
        <f ca="1">IF(SUM(P274:$EI274)=0,"",IF(P$227="","",P$227+P274-1))</f>
        <v>45260</v>
      </c>
      <c r="Q278" s="403">
        <f ca="1">IF(SUM(Q274:$EI274)=0,"",IF(Q$227="","",Q$227+Q274-1))</f>
        <v>45291</v>
      </c>
      <c r="R278" s="403">
        <f ca="1">IF(SUM(R274:$EI274)=0,"",IF(R$227="","",R$227+R274-1))</f>
        <v>45322</v>
      </c>
      <c r="S278" s="403">
        <f ca="1">IF(SUM(S274:$EI274)=0,"",IF(S$227="","",S$227+S274-1))</f>
        <v>45351</v>
      </c>
      <c r="T278" s="403">
        <f ca="1">IF(SUM(T274:$EI274)=0,"",IF(T$227="","",T$227+T274-1))</f>
        <v>45382</v>
      </c>
      <c r="U278" s="403">
        <f ca="1">IF(SUM(U274:$EI274)=0,"",IF(U$227="","",U$227+U274-1))</f>
        <v>45412</v>
      </c>
      <c r="V278" s="403">
        <f ca="1">IF(SUM(V274:$EI274)=0,"",IF(V$227="","",V$227+V274-1))</f>
        <v>45443</v>
      </c>
      <c r="W278" s="403">
        <f ca="1">IF(SUM(W274:$EI274)=0,"",IF(W$227="","",W$227+W274-1))</f>
        <v>45473</v>
      </c>
      <c r="X278" s="403">
        <f ca="1">IF(SUM(X274:$EI274)=0,"",IF(X$227="","",X$227+X274-1))</f>
        <v>45504</v>
      </c>
      <c r="Y278" s="403">
        <f ca="1">IF(SUM(Y274:$EI274)=0,"",IF(Y$227="","",Y$227+Y274-1))</f>
        <v>45535</v>
      </c>
      <c r="Z278" s="403">
        <f ca="1">IF(SUM(Z274:$EI274)=0,"",IF(Z$227="","",Z$227+Z274-1))</f>
        <v>45565</v>
      </c>
      <c r="AA278" s="403">
        <f ca="1">IF(SUM(AA274:$EI274)=0,"",IF(AA$227="","",AA$227+AA274-1))</f>
        <v>45596</v>
      </c>
      <c r="AB278" s="403">
        <f ca="1">IF(SUM(AB274:$EI274)=0,"",IF(AB$227="","",AB$227+AB274-1))</f>
        <v>45626</v>
      </c>
      <c r="AC278" s="403">
        <f ca="1">IF(SUM(AC274:$EI274)=0,"",IF(AC$227="","",AC$227+AC274-1))</f>
        <v>45657</v>
      </c>
      <c r="AD278" s="403">
        <f ca="1">IF(SUM(AD274:$EI274)=0,"",IF(AD$227="","",AD$227+AD274-1))</f>
        <v>45688</v>
      </c>
      <c r="AE278" s="403">
        <f ca="1">IF(SUM(AE274:$EI274)=0,"",IF(AE$227="","",AE$227+AE274-1))</f>
        <v>45716</v>
      </c>
      <c r="AF278" s="403">
        <f ca="1">IF(SUM(AF274:$EI274)=0,"",IF(AF$227="","",AF$227+AF274-1))</f>
        <v>45747</v>
      </c>
      <c r="AG278" s="403">
        <f ca="1">IF(SUM(AG274:$EI274)=0,"",IF(AG$227="","",AG$227+AG274-1))</f>
        <v>45777</v>
      </c>
      <c r="AH278" s="403">
        <f ca="1">IF(SUM(AH274:$EI274)=0,"",IF(AH$227="","",AH$227+AH274-1))</f>
        <v>45808</v>
      </c>
      <c r="AI278" s="403">
        <f ca="1">IF(SUM(AI274:$EI274)=0,"",IF(AI$227="","",AI$227+AI274-1))</f>
        <v>45838</v>
      </c>
      <c r="AJ278" s="403">
        <f ca="1">IF(SUM(AJ274:$EI274)=0,"",IF(AJ$227="","",AJ$227+AJ274-1))</f>
        <v>45869</v>
      </c>
      <c r="AK278" s="403">
        <f ca="1">IF(SUM(AK274:$EI274)=0,"",IF(AK$227="","",AK$227+AK274-1))</f>
        <v>45900</v>
      </c>
      <c r="AL278" s="403">
        <f ca="1">IF(SUM(AL274:$EI274)=0,"",IF(AL$227="","",AL$227+AL274-1))</f>
        <v>45930</v>
      </c>
      <c r="AM278" s="403">
        <f ca="1">IF(SUM(AM274:$EI274)=0,"",IF(AM$227="","",AM$227+AM274-1))</f>
        <v>45961</v>
      </c>
      <c r="AN278" s="403">
        <f ca="1">IF(SUM(AN274:$EI274)=0,"",IF(AN$227="","",AN$227+AN274-1))</f>
        <v>45991</v>
      </c>
      <c r="AO278" s="403">
        <f ca="1">IF(SUM(AO274:$EI274)=0,"",IF(AO$227="","",AO$227+AO274-1))</f>
        <v>46022</v>
      </c>
      <c r="AP278" s="403">
        <f ca="1">IF(SUM(AP274:$EI274)=0,"",IF(AP$227="","",AP$227+AP274-1))</f>
        <v>46053</v>
      </c>
      <c r="AQ278" s="403">
        <f ca="1">IF(SUM(AQ274:$EI274)=0,"",IF(AQ$227="","",AQ$227+AQ274-1))</f>
        <v>46081</v>
      </c>
      <c r="AR278" s="403">
        <f ca="1">IF(SUM(AR274:$EI274)=0,"",IF(AR$227="","",AR$227+AR274-1))</f>
        <v>46112</v>
      </c>
      <c r="AS278" s="403">
        <f ca="1">IF(SUM(AS274:$EI274)=0,"",IF(AS$227="","",AS$227+AS274-1))</f>
        <v>46142</v>
      </c>
      <c r="AT278" s="403">
        <f ca="1">IF(SUM(AT274:$EI274)=0,"",IF(AT$227="","",AT$227+AT274-1))</f>
        <v>46173</v>
      </c>
      <c r="AU278" s="403">
        <f ca="1">IF(SUM(AU274:$EI274)=0,"",IF(AU$227="","",AU$227+AU274-1))</f>
        <v>46203</v>
      </c>
      <c r="AV278" s="403">
        <f ca="1">IF(SUM(AV274:$EI274)=0,"",IF(AV$227="","",AV$227+AV274-1))</f>
        <v>46234</v>
      </c>
      <c r="AW278" s="403">
        <f ca="1">IF(SUM(AW274:$EI274)=0,"",IF(AW$227="","",AW$227+AW274-1))</f>
        <v>46265</v>
      </c>
      <c r="AX278" s="403">
        <f ca="1">IF(SUM(AX274:$EI274)=0,"",IF(AX$227="","",AX$227+AX274-1))</f>
        <v>46295</v>
      </c>
      <c r="AY278" s="403">
        <f ca="1">IF(SUM(AY274:$EI274)=0,"",IF(AY$227="","",AY$227+AY274-1))</f>
        <v>46326</v>
      </c>
      <c r="AZ278" s="403">
        <f ca="1">IF(SUM(AZ274:$EI274)=0,"",IF(AZ$227="","",AZ$227+AZ274-1))</f>
        <v>46356</v>
      </c>
      <c r="BA278" s="403">
        <f ca="1">IF(SUM(BA274:$EI274)=0,"",IF(BA$227="","",BA$227+BA274-1))</f>
        <v>46392</v>
      </c>
      <c r="BB278" s="403">
        <f ca="1">IF(SUM(BB274:$EI274)=0,"",IF(BB$227="","",BB$227+BB274-1))</f>
        <v>46446</v>
      </c>
      <c r="BC278" s="403">
        <f ca="1">IF(SUM(BC274:$EI274)=0,"",IF(BC$227="","",BC$227+BC274-1))</f>
        <v>46477</v>
      </c>
      <c r="BD278" s="403">
        <f ca="1">IF(SUM(BD274:$EI274)=0,"",IF(BD$227="","",BD$227+BD274-1))</f>
        <v>46483</v>
      </c>
      <c r="BE278" s="403" t="str">
        <f ca="1">IF(SUM(BE274:$EI274)=0,"",IF(BE$227="","",BE$227+BE274-1))</f>
        <v/>
      </c>
      <c r="BF278" s="403" t="str">
        <f ca="1">IF(SUM(BF274:$EI274)=0,"",IF(BF$227="","",BF$227+BF274-1))</f>
        <v/>
      </c>
      <c r="BG278" s="403" t="str">
        <f ca="1">IF(SUM(BG274:$EI274)=0,"",IF(BG$227="","",BG$227+BG274-1))</f>
        <v/>
      </c>
      <c r="BH278" s="403" t="str">
        <f ca="1">IF(SUM(BH274:$EI274)=0,"",IF(BH$227="","",BH$227+BH274-1))</f>
        <v/>
      </c>
      <c r="BI278" s="403" t="str">
        <f ca="1">IF(SUM(BI274:$EI274)=0,"",IF(BI$227="","",BI$227+BI274-1))</f>
        <v/>
      </c>
      <c r="BJ278" s="403" t="str">
        <f ca="1">IF(SUM(BJ274:$EI274)=0,"",IF(BJ$227="","",BJ$227+BJ274-1))</f>
        <v/>
      </c>
      <c r="BK278" s="403" t="str">
        <f ca="1">IF(SUM(BK274:$EI274)=0,"",IF(BK$227="","",BK$227+BK274-1))</f>
        <v/>
      </c>
      <c r="BL278" s="403" t="str">
        <f ca="1">IF(SUM(BL274:$EI274)=0,"",IF(BL$227="","",BL$227+BL274-1))</f>
        <v/>
      </c>
      <c r="BM278" s="403" t="str">
        <f ca="1">IF(SUM(BM274:$EI274)=0,"",IF(BM$227="","",BM$227+BM274-1))</f>
        <v/>
      </c>
      <c r="BN278" s="403" t="str">
        <f ca="1">IF(SUM(BN274:$EI274)=0,"",IF(BN$227="","",BN$227+BN274-1))</f>
        <v/>
      </c>
      <c r="BO278" s="403" t="str">
        <f ca="1">IF(SUM(BO274:$EI274)=0,"",IF(BO$227="","",BO$227+BO274-1))</f>
        <v/>
      </c>
      <c r="BP278" s="403" t="str">
        <f ca="1">IF(SUM(BP274:$EI274)=0,"",IF(BP$227="","",BP$227+BP274-1))</f>
        <v/>
      </c>
      <c r="BQ278" s="403" t="str">
        <f ca="1">IF(SUM(BQ274:$EI274)=0,"",IF(BQ$227="","",BQ$227+BQ274-1))</f>
        <v/>
      </c>
      <c r="BR278" s="403" t="str">
        <f ca="1">IF(SUM(BR274:$EI274)=0,"",IF(BR$227="","",BR$227+BR274-1))</f>
        <v/>
      </c>
      <c r="BS278" s="403" t="str">
        <f ca="1">IF(SUM(BS274:$EI274)=0,"",IF(BS$227="","",BS$227+BS274-1))</f>
        <v/>
      </c>
      <c r="BT278" s="403" t="str">
        <f ca="1">IF(SUM(BT274:$EI274)=0,"",IF(BT$227="","",BT$227+BT274-1))</f>
        <v/>
      </c>
      <c r="BU278" s="403" t="str">
        <f ca="1">IF(SUM(BU274:$EI274)=0,"",IF(BU$227="","",BU$227+BU274-1))</f>
        <v/>
      </c>
      <c r="BV278" s="403" t="str">
        <f ca="1">IF(SUM(BV274:$EI274)=0,"",IF(BV$227="","",BV$227+BV274-1))</f>
        <v/>
      </c>
      <c r="BW278" s="403" t="str">
        <f ca="1">IF(SUM(BW274:$EI274)=0,"",IF(BW$227="","",BW$227+BW274-1))</f>
        <v/>
      </c>
      <c r="BX278" s="403" t="str">
        <f ca="1">IF(SUM(BX274:$EI274)=0,"",IF(BX$227="","",BX$227+BX274-1))</f>
        <v/>
      </c>
      <c r="BY278" s="403" t="str">
        <f ca="1">IF(SUM(BY274:$EI274)=0,"",IF(BY$227="","",BY$227+BY274-1))</f>
        <v/>
      </c>
      <c r="BZ278" s="403" t="str">
        <f ca="1">IF(SUM(BZ274:$EI274)=0,"",IF(BZ$227="","",BZ$227+BZ274-1))</f>
        <v/>
      </c>
      <c r="CA278" s="403" t="str">
        <f ca="1">IF(SUM(CA274:$EI274)=0,"",IF(CA$227="","",CA$227+CA274-1))</f>
        <v/>
      </c>
      <c r="CB278" s="403" t="str">
        <f ca="1">IF(SUM(CB274:$EI274)=0,"",IF(CB$227="","",CB$227+CB274-1))</f>
        <v/>
      </c>
      <c r="CC278" s="403" t="str">
        <f ca="1">IF(SUM(CC274:$EI274)=0,"",IF(CC$227="","",CC$227+CC274-1))</f>
        <v/>
      </c>
      <c r="CD278" s="403" t="str">
        <f ca="1">IF(SUM(CD274:$EI274)=0,"",IF(CD$227="","",CD$227+CD274-1))</f>
        <v/>
      </c>
      <c r="CE278" s="403" t="str">
        <f ca="1">IF(SUM(CE274:$EI274)=0,"",IF(CE$227="","",CE$227+CE274-1))</f>
        <v/>
      </c>
      <c r="CF278" s="403" t="str">
        <f ca="1">IF(SUM(CF274:$EI274)=0,"",IF(CF$227="","",CF$227+CF274-1))</f>
        <v/>
      </c>
      <c r="CG278" s="403" t="str">
        <f ca="1">IF(SUM(CG274:$EI274)=0,"",IF(CG$227="","",CG$227+CG274-1))</f>
        <v/>
      </c>
      <c r="CH278" s="403" t="str">
        <f ca="1">IF(SUM(CH274:$EI274)=0,"",IF(CH$227="","",CH$227+CH274-1))</f>
        <v/>
      </c>
      <c r="CI278" s="403" t="str">
        <f ca="1">IF(SUM(CI274:$EI274)=0,"",IF(CI$227="","",CI$227+CI274-1))</f>
        <v/>
      </c>
      <c r="CJ278" s="403" t="str">
        <f ca="1">IF(SUM(CJ274:$EI274)=0,"",IF(CJ$227="","",CJ$227+CJ274-1))</f>
        <v/>
      </c>
      <c r="CK278" s="403" t="str">
        <f ca="1">IF(SUM(CK274:$EI274)=0,"",IF(CK$227="","",CK$227+CK274-1))</f>
        <v/>
      </c>
      <c r="CL278" s="403" t="str">
        <f ca="1">IF(SUM(CL274:$EI274)=0,"",IF(CL$227="","",CL$227+CL274-1))</f>
        <v/>
      </c>
      <c r="CM278" s="403" t="str">
        <f ca="1">IF(SUM(CM274:$EI274)=0,"",IF(CM$227="","",CM$227+CM274-1))</f>
        <v/>
      </c>
      <c r="CN278" s="403" t="str">
        <f ca="1">IF(SUM(CN274:$EI274)=0,"",IF(CN$227="","",CN$227+CN274-1))</f>
        <v/>
      </c>
      <c r="CO278" s="403" t="str">
        <f ca="1">IF(SUM(CO274:$EI274)=0,"",IF(CO$227="","",CO$227+CO274-1))</f>
        <v/>
      </c>
      <c r="CP278" s="403" t="str">
        <f ca="1">IF(SUM(CP274:$EI274)=0,"",IF(CP$227="","",CP$227+CP274-1))</f>
        <v/>
      </c>
      <c r="CQ278" s="403" t="str">
        <f ca="1">IF(SUM(CQ274:$EI274)=0,"",IF(CQ$227="","",CQ$227+CQ274-1))</f>
        <v/>
      </c>
      <c r="CR278" s="403" t="str">
        <f ca="1">IF(SUM(CR274:$EI274)=0,"",IF(CR$227="","",CR$227+CR274-1))</f>
        <v/>
      </c>
      <c r="CS278" s="403" t="str">
        <f ca="1">IF(SUM(CS274:$EI274)=0,"",IF(CS$227="","",CS$227+CS274-1))</f>
        <v/>
      </c>
      <c r="CT278" s="403" t="str">
        <f ca="1">IF(SUM(CT274:$EI274)=0,"",IF(CT$227="","",CT$227+CT274-1))</f>
        <v/>
      </c>
      <c r="CU278" s="403" t="str">
        <f ca="1">IF(SUM(CU274:$EI274)=0,"",IF(CU$227="","",CU$227+CU274-1))</f>
        <v/>
      </c>
      <c r="CV278" s="403" t="str">
        <f ca="1">IF(SUM(CV274:$EI274)=0,"",IF(CV$227="","",CV$227+CV274-1))</f>
        <v/>
      </c>
      <c r="CW278" s="403" t="str">
        <f ca="1">IF(SUM(CW274:$EI274)=0,"",IF(CW$227="","",CW$227+CW274-1))</f>
        <v/>
      </c>
      <c r="CX278" s="403" t="str">
        <f ca="1">IF(SUM(CX274:$EI274)=0,"",IF(CX$227="","",CX$227+CX274-1))</f>
        <v/>
      </c>
      <c r="CY278" s="403" t="str">
        <f ca="1">IF(SUM(CY274:$EI274)=0,"",IF(CY$227="","",CY$227+CY274-1))</f>
        <v/>
      </c>
      <c r="CZ278" s="403" t="str">
        <f ca="1">IF(SUM(CZ274:$EI274)=0,"",IF(CZ$227="","",CZ$227+CZ274-1))</f>
        <v/>
      </c>
      <c r="DA278" s="403" t="str">
        <f ca="1">IF(SUM(DA274:$EI274)=0,"",IF(DA$227="","",DA$227+DA274-1))</f>
        <v/>
      </c>
      <c r="DB278" s="403" t="str">
        <f ca="1">IF(SUM(DB274:$EI274)=0,"",IF(DB$227="","",DB$227+DB274-1))</f>
        <v/>
      </c>
      <c r="DC278" s="403" t="str">
        <f ca="1">IF(SUM(DC274:$EI274)=0,"",IF(DC$227="","",DC$227+DC274-1))</f>
        <v/>
      </c>
      <c r="DD278" s="403" t="str">
        <f ca="1">IF(SUM(DD274:$EI274)=0,"",IF(DD$227="","",DD$227+DD274-1))</f>
        <v/>
      </c>
      <c r="DE278" s="403" t="str">
        <f ca="1">IF(SUM(DE274:$EI274)=0,"",IF(DE$227="","",DE$227+DE274-1))</f>
        <v/>
      </c>
      <c r="DF278" s="403" t="str">
        <f ca="1">IF(SUM(DF274:$EI274)=0,"",IF(DF$227="","",DF$227+DF274-1))</f>
        <v/>
      </c>
      <c r="DG278" s="403" t="str">
        <f ca="1">IF(SUM(DG274:$EI274)=0,"",IF(DG$227="","",DG$227+DG274-1))</f>
        <v/>
      </c>
      <c r="DH278" s="403" t="str">
        <f ca="1">IF(SUM(DH274:$EI274)=0,"",IF(DH$227="","",DH$227+DH274-1))</f>
        <v/>
      </c>
      <c r="DI278" s="403" t="str">
        <f ca="1">IF(SUM(DI274:$EI274)=0,"",IF(DI$227="","",DI$227+DI274-1))</f>
        <v/>
      </c>
      <c r="DJ278" s="403" t="str">
        <f ca="1">IF(SUM(DJ274:$EI274)=0,"",IF(DJ$227="","",DJ$227+DJ274-1))</f>
        <v/>
      </c>
      <c r="DK278" s="403" t="str">
        <f ca="1">IF(SUM(DK274:$EI274)=0,"",IF(DK$227="","",DK$227+DK274-1))</f>
        <v/>
      </c>
      <c r="DL278" s="403" t="str">
        <f ca="1">IF(SUM(DL274:$EI274)=0,"",IF(DL$227="","",DL$227+DL274-1))</f>
        <v/>
      </c>
      <c r="DM278" s="403" t="str">
        <f ca="1">IF(SUM(DM274:$EI274)=0,"",IF(DM$227="","",DM$227+DM274-1))</f>
        <v/>
      </c>
      <c r="DN278" s="403" t="str">
        <f ca="1">IF(SUM(DN274:$EI274)=0,"",IF(DN$227="","",DN$227+DN274-1))</f>
        <v/>
      </c>
      <c r="DO278" s="403" t="str">
        <f ca="1">IF(SUM(DO274:$EI274)=0,"",IF(DO$227="","",DO$227+DO274-1))</f>
        <v/>
      </c>
      <c r="DP278" s="403" t="str">
        <f ca="1">IF(SUM(DP274:$EI274)=0,"",IF(DP$227="","",DP$227+DP274-1))</f>
        <v/>
      </c>
      <c r="DQ278" s="403" t="str">
        <f ca="1">IF(SUM(DQ274:$EI274)=0,"",IF(DQ$227="","",DQ$227+DQ274-1))</f>
        <v/>
      </c>
      <c r="DR278" s="403" t="str">
        <f ca="1">IF(SUM(DR274:$EI274)=0,"",IF(DR$227="","",DR$227+DR274-1))</f>
        <v/>
      </c>
      <c r="DS278" s="403" t="str">
        <f ca="1">IF(SUM(DS274:$EI274)=0,"",IF(DS$227="","",DS$227+DS274-1))</f>
        <v/>
      </c>
      <c r="DT278" s="403" t="str">
        <f ca="1">IF(SUM(DT274:$EI274)=0,"",IF(DT$227="","",DT$227+DT274-1))</f>
        <v/>
      </c>
      <c r="DU278" s="403" t="str">
        <f ca="1">IF(SUM(DU274:$EI274)=0,"",IF(DU$227="","",DU$227+DU274-1))</f>
        <v/>
      </c>
      <c r="DV278" s="403" t="str">
        <f ca="1">IF(SUM(DV274:$EI274)=0,"",IF(DV$227="","",DV$227+DV274-1))</f>
        <v/>
      </c>
      <c r="DW278" s="403" t="str">
        <f ca="1">IF(SUM(DW274:$EI274)=0,"",IF(DW$227="","",DW$227+DW274-1))</f>
        <v/>
      </c>
      <c r="DX278" s="403" t="str">
        <f ca="1">IF(SUM(DX274:$EI274)=0,"",IF(DX$227="","",DX$227+DX274-1))</f>
        <v/>
      </c>
      <c r="DY278" s="403" t="str">
        <f ca="1">IF(SUM(DY274:$EI274)=0,"",IF(DY$227="","",DY$227+DY274-1))</f>
        <v/>
      </c>
      <c r="DZ278" s="403" t="str">
        <f ca="1">IF(SUM(DZ274:$EI274)=0,"",IF(DZ$227="","",DZ$227+DZ274-1))</f>
        <v/>
      </c>
      <c r="EA278" s="403" t="str">
        <f ca="1">IF(SUM(EA274:$EI274)=0,"",IF(EA$227="","",EA$227+EA274-1))</f>
        <v/>
      </c>
      <c r="EB278" s="403" t="str">
        <f ca="1">IF(SUM(EB274:$EI274)=0,"",IF(EB$227="","",EB$227+EB274-1))</f>
        <v/>
      </c>
      <c r="EC278" s="403" t="str">
        <f ca="1">IF(SUM(EC274:$EI274)=0,"",IF(EC$227="","",EC$227+EC274-1))</f>
        <v/>
      </c>
      <c r="ED278" s="403" t="str">
        <f ca="1">IF(SUM(ED274:$EI274)=0,"",IF(ED$227="","",ED$227+ED274-1))</f>
        <v/>
      </c>
      <c r="EE278" s="403" t="str">
        <f ca="1">IF(SUM(EE274:$EI274)=0,"",IF(EE$227="","",EE$227+EE274-1))</f>
        <v/>
      </c>
      <c r="EF278" s="403" t="str">
        <f ca="1">IF(SUM(EF274:$EI274)=0,"",IF(EF$227="","",EF$227+EF274-1))</f>
        <v/>
      </c>
      <c r="EG278" s="403" t="str">
        <f ca="1">IF(SUM(EG274:$EI274)=0,"",IF(EG$227="","",EG$227+EG274-1))</f>
        <v/>
      </c>
      <c r="EH278" s="403" t="str">
        <f ca="1">IF(SUM(EH274:$EI274)=0,"",IF(EH$227="","",EH$227+EH274-1))</f>
        <v/>
      </c>
      <c r="EI278" s="403" t="str">
        <f ca="1">IF(SUM(EI274:$EI274)=0,"",IF(EI$227="","",EI$227+EI274-1))</f>
        <v/>
      </c>
    </row>
    <row r="279" spans="1:141" ht="30" outlineLevel="1" collapsed="1">
      <c r="A279" s="332"/>
      <c r="B279" s="313"/>
      <c r="C279" s="317" t="s">
        <v>74</v>
      </c>
      <c r="D279" s="317" t="s">
        <v>674</v>
      </c>
      <c r="E279" s="400">
        <f ca="1">IF(ГРП!B19=0,длительность!U59,ГРП!B19)</f>
        <v>115</v>
      </c>
      <c r="F279" s="318">
        <f ca="1">E279-SUM(G279:EJ279)</f>
        <v>0</v>
      </c>
      <c r="G279" s="401"/>
      <c r="H279" s="401">
        <f ca="1">IF(SUM($G279:G279)&gt;=$E279,0,IF($E279-SUM($G279:G279)&gt;H280,H280,$E279-SUM($G280:G280)))</f>
        <v>0</v>
      </c>
      <c r="I279" s="401">
        <f ca="1">IF(SUM($G279:H279)&gt;=$E279,0,IF($E279-SUM($G279:H279)&gt;I280,I280,$E279-SUM($G280:H280)))</f>
        <v>0</v>
      </c>
      <c r="J279" s="401">
        <f ca="1">IF(SUM($G279:I279)&gt;=$E279,0,IF($E279-SUM($G279:I279)&gt;J280,J280,$E279-SUM($G280:I280)))</f>
        <v>0</v>
      </c>
      <c r="K279" s="401">
        <f ca="1">IF(SUM($G279:J279)&gt;=$E279,0,IF($E279-SUM($G279:J279)&gt;K280,K280,$E279-SUM($G280:J280)))</f>
        <v>0</v>
      </c>
      <c r="L279" s="401">
        <f ca="1">IF(SUM($G279:K279)&gt;=$E279,0,IF($E279-SUM($G279:K279)&gt;L280,L280,$E279-SUM($G280:K280)))</f>
        <v>0</v>
      </c>
      <c r="M279" s="401">
        <f ca="1">IF(SUM($G279:L279)&gt;=$E279,0,IF($E279-SUM($G279:L279)&gt;M280,M280,$E279-SUM($G280:L280)))</f>
        <v>0</v>
      </c>
      <c r="N279" s="401">
        <f ca="1">IF(SUM($G279:M279)&gt;=$E279,0,IF($E279-SUM($G279:M279)&gt;N280,N280,$E279-SUM($G280:M280)))</f>
        <v>0</v>
      </c>
      <c r="O279" s="401">
        <f ca="1">IF(SUM($G279:N279)&gt;=$E279,0,IF($E279-SUM($G279:N279)&gt;O280,O280,$E279-SUM($G280:N280)))</f>
        <v>0</v>
      </c>
      <c r="P279" s="401">
        <f ca="1">IF(SUM($G279:O279)&gt;=$E279,0,IF($E279-SUM($G279:O279)&gt;P280,P280,$E279-SUM($G280:O280)))</f>
        <v>0</v>
      </c>
      <c r="Q279" s="401">
        <f ca="1">IF(SUM($G279:P279)&gt;=$E279,0,IF($E279-SUM($G279:P279)&gt;Q280,Q280,$E279-SUM($G280:P280)))</f>
        <v>0</v>
      </c>
      <c r="R279" s="401">
        <f ca="1">IF(SUM($G279:Q279)&gt;=$E279,0,IF($E279-SUM($G279:Q279)&gt;R280,R280,$E279-SUM($G280:Q280)))</f>
        <v>0</v>
      </c>
      <c r="S279" s="401">
        <f ca="1">IF(SUM($G279:R279)&gt;=$E279,0,IF($E279-SUM($G279:R279)&gt;S280,S280,$E279-SUM($G280:R280)))</f>
        <v>0</v>
      </c>
      <c r="T279" s="401">
        <f ca="1">IF(SUM($G279:S279)&gt;=$E279,0,IF($E279-SUM($G279:S279)&gt;T280,T280,$E279-SUM($G280:S280)))</f>
        <v>0</v>
      </c>
      <c r="U279" s="401">
        <f ca="1">IF(SUM($G279:T279)&gt;=$E279,0,IF($E279-SUM($G279:T279)&gt;U280,U280,$E279-SUM($G280:T280)))</f>
        <v>0</v>
      </c>
      <c r="V279" s="401">
        <f ca="1">IF(SUM($G279:U279)&gt;=$E279,0,IF($E279-SUM($G279:U279)&gt;V280,V280,$E279-SUM($G280:U280)))</f>
        <v>0</v>
      </c>
      <c r="W279" s="401">
        <f ca="1">IF(SUM($G279:V279)&gt;=$E279,0,IF($E279-SUM($G279:V279)&gt;W280,W280,$E279-SUM($G280:V280)))</f>
        <v>0</v>
      </c>
      <c r="X279" s="401">
        <f ca="1">IF(SUM($G279:W279)&gt;=$E279,0,IF($E279-SUM($G279:W279)&gt;X280,X280,$E279-SUM($G280:W280)))</f>
        <v>0</v>
      </c>
      <c r="Y279" s="401">
        <f ca="1">IF(SUM($G279:X279)&gt;=$E279,0,IF($E279-SUM($G279:X279)&gt;Y280,Y280,$E279-SUM($G280:X280)))</f>
        <v>0</v>
      </c>
      <c r="Z279" s="401">
        <f ca="1">IF(SUM($G279:Y279)&gt;=$E279,0,IF($E279-SUM($G279:Y279)&gt;Z280,Z280,$E279-SUM($G280:Y280)))</f>
        <v>0</v>
      </c>
      <c r="AA279" s="401">
        <f ca="1">IF(SUM($G279:Z279)&gt;=$E279,0,IF($E279-SUM($G279:Z279)&gt;AA280,AA280,$E279-SUM($G280:Z280)))</f>
        <v>0</v>
      </c>
      <c r="AB279" s="401">
        <f ca="1">IF(SUM($G279:AA279)&gt;=$E279,0,IF($E279-SUM($G279:AA279)&gt;AB280,AB280,$E279-SUM($G280:AA280)))</f>
        <v>0</v>
      </c>
      <c r="AC279" s="401">
        <f ca="1">IF(SUM($G279:AB279)&gt;=$E279,0,IF($E279-SUM($G279:AB279)&gt;AC280,AC280,$E279-SUM($G280:AB280)))</f>
        <v>0</v>
      </c>
      <c r="AD279" s="401">
        <f ca="1">IF(SUM($G279:AC279)&gt;=$E279,0,IF($E279-SUM($G279:AC279)&gt;AD280,AD280,$E279-SUM($G280:AC280)))</f>
        <v>0</v>
      </c>
      <c r="AE279" s="401">
        <f ca="1">IF(SUM($G279:AD279)&gt;=$E279,0,IF($E279-SUM($G279:AD279)&gt;AE280,AE280,$E279-SUM($G280:AD280)))</f>
        <v>0</v>
      </c>
      <c r="AF279" s="401">
        <f ca="1">IF(SUM($G279:AE279)&gt;=$E279,0,IF($E279-SUM($G279:AE279)&gt;AF280,AF280,$E279-SUM($G280:AE280)))</f>
        <v>0</v>
      </c>
      <c r="AG279" s="401">
        <f ca="1">IF(SUM($G279:AF279)&gt;=$E279,0,IF($E279-SUM($G279:AF279)&gt;AG280,AG280,$E279-SUM($G280:AF280)))</f>
        <v>0</v>
      </c>
      <c r="AH279" s="401">
        <f ca="1">IF(SUM($G279:AG279)&gt;=$E279,0,IF($E279-SUM($G279:AG279)&gt;AH280,AH280,$E279-SUM($G280:AG280)))</f>
        <v>0</v>
      </c>
      <c r="AI279" s="401">
        <f ca="1">IF(SUM($G279:AH279)&gt;=$E279,0,IF($E279-SUM($G279:AH279)&gt;AI280,AI280,$E279-SUM($G280:AH280)))</f>
        <v>0</v>
      </c>
      <c r="AJ279" s="401">
        <f ca="1">IF(SUM($G279:AI279)&gt;=$E279,0,IF($E279-SUM($G279:AI279)&gt;AJ280,AJ280,$E279-SUM($G280:AI280)))</f>
        <v>0</v>
      </c>
      <c r="AK279" s="401">
        <f ca="1">IF(SUM($G279:AJ279)&gt;=$E279,0,IF($E279-SUM($G279:AJ279)&gt;AK280,AK280,$E279-SUM($G280:AJ280)))</f>
        <v>0</v>
      </c>
      <c r="AL279" s="401">
        <f ca="1">IF(SUM($G279:AK279)&gt;=$E279,0,IF($E279-SUM($G279:AK279)&gt;AL280,AL280,$E279-SUM($G280:AK280)))</f>
        <v>0</v>
      </c>
      <c r="AM279" s="401">
        <f ca="1">IF(SUM($G279:AL279)&gt;=$E279,0,IF($E279-SUM($G279:AL279)&gt;AM280,AM280,$E279-SUM($G280:AL280)))</f>
        <v>0</v>
      </c>
      <c r="AN279" s="401">
        <f ca="1">IF(SUM($G279:AM279)&gt;=$E279,0,IF($E279-SUM($G279:AM279)&gt;AN280,AN280,$E279-SUM($G280:AM280)))</f>
        <v>0</v>
      </c>
      <c r="AO279" s="401">
        <f ca="1">IF(SUM($G279:AN279)&gt;=$E279,0,IF($E279-SUM($G279:AN279)&gt;AO280,AO280,$E279-SUM($G280:AN280)))</f>
        <v>0</v>
      </c>
      <c r="AP279" s="401">
        <f ca="1">IF(SUM($G279:AO279)&gt;=$E279,0,IF($E279-SUM($G279:AO279)&gt;AP280,AP280,$E279-SUM($G280:AO280)))</f>
        <v>0</v>
      </c>
      <c r="AQ279" s="401">
        <f ca="1">IF(SUM($G279:AP279)&gt;=$E279,0,IF($E279-SUM($G279:AP279)&gt;AQ280,AQ280,$E279-SUM($G280:AP280)))</f>
        <v>0</v>
      </c>
      <c r="AR279" s="401">
        <f ca="1">IF(SUM($G279:AQ279)&gt;=$E279,0,IF($E279-SUM($G279:AQ279)&gt;AR280,AR280,$E279-SUM($G280:AQ280)))</f>
        <v>0</v>
      </c>
      <c r="AS279" s="401">
        <f ca="1">IF(SUM($G279:AR279)&gt;=$E279,0,IF($E279-SUM($G279:AR279)&gt;AS280,AS280,$E279-SUM($G280:AR280)))</f>
        <v>0</v>
      </c>
      <c r="AT279" s="401">
        <f ca="1">IF(SUM($G279:AS279)&gt;=$E279,0,IF($E279-SUM($G279:AS279)&gt;AT280,AT280,$E279-SUM($G280:AS280)))</f>
        <v>0</v>
      </c>
      <c r="AU279" s="401">
        <f ca="1">IF(SUM($G279:AT279)&gt;=$E279,0,IF($E279-SUM($G279:AT279)&gt;AU280,AU280,$E279-SUM($G280:AT280)))</f>
        <v>0</v>
      </c>
      <c r="AV279" s="401">
        <f ca="1">IF(SUM($G279:AU279)&gt;=$E279,0,IF($E279-SUM($G279:AU279)&gt;AV280,AV280,$E279-SUM($G280:AU280)))</f>
        <v>0</v>
      </c>
      <c r="AW279" s="401">
        <f ca="1">IF(SUM($G279:AV279)&gt;=$E279,0,IF($E279-SUM($G279:AV279)&gt;AW280,AW280,$E279-SUM($G280:AV280)))</f>
        <v>0</v>
      </c>
      <c r="AX279" s="401">
        <f ca="1">IF(SUM($G279:AW279)&gt;=$E279,0,IF($E279-SUM($G279:AW279)&gt;AX280,AX280,$E279-SUM($G280:AW280)))</f>
        <v>0</v>
      </c>
      <c r="AY279" s="401">
        <f ca="1">IF(SUM($G279:AX279)&gt;=$E279,0,IF($E279-SUM($G279:AX279)&gt;AY280,AY280,$E279-SUM($G280:AX280)))</f>
        <v>0</v>
      </c>
      <c r="AZ279" s="401">
        <f ca="1">IF(SUM($G279:AY279)&gt;=$E279,0,IF($E279-SUM($G279:AY279)&gt;AZ280,AZ280,$E279-SUM($G280:AY280)))</f>
        <v>0</v>
      </c>
      <c r="BA279" s="401">
        <f ca="1">IF(SUM($G279:AZ279)&gt;=$E279,0,IF($E279-SUM($G279:AZ279)&gt;BA280,BA280,$E279-SUM($G280:AZ280)))</f>
        <v>5</v>
      </c>
      <c r="BB279" s="401">
        <f ca="1">IF(SUM($G279:BA279)&gt;=$E279,0,IF($E279-SUM($G279:BA279)&gt;BB280,BB280,$E279-SUM($G280:BA280)))</f>
        <v>28</v>
      </c>
      <c r="BC279" s="401">
        <f ca="1">IF(SUM($G279:BB279)&gt;=$E279,0,IF($E279-SUM($G279:BB279)&gt;BC280,BC280,$E279-SUM($G280:BB280)))</f>
        <v>31</v>
      </c>
      <c r="BD279" s="401">
        <f ca="1">IF(SUM($G279:BC279)&gt;=$E279,0,IF($E279-SUM($G279:BC279)&gt;BD280,BD280,$E279-SUM($G280:BC280)))</f>
        <v>30</v>
      </c>
      <c r="BE279" s="401">
        <f ca="1">IF(SUM($G279:BD279)&gt;=$E279,0,IF($E279-SUM($G279:BD279)&gt;BE280,BE280,$E279-SUM($G280:BD280)))</f>
        <v>21</v>
      </c>
      <c r="BF279" s="401">
        <f ca="1">IF(SUM($G279:BE279)&gt;=$E279,0,IF($E279-SUM($G279:BE279)&gt;BF280,BF280,$E279-SUM($G280:BE280)))</f>
        <v>0</v>
      </c>
      <c r="BG279" s="401">
        <f ca="1">IF(SUM($G279:BF279)&gt;=$E279,0,IF($E279-SUM($G279:BF279)&gt;BG280,BG280,$E279-SUM($G280:BF280)))</f>
        <v>0</v>
      </c>
      <c r="BH279" s="401">
        <f ca="1">IF(SUM($G279:BG279)&gt;=$E279,0,IF($E279-SUM($G279:BG279)&gt;BH280,BH280,$E279-SUM($G280:BG280)))</f>
        <v>0</v>
      </c>
      <c r="BI279" s="401">
        <f ca="1">IF(SUM($G279:BH279)&gt;=$E279,0,IF($E279-SUM($G279:BH279)&gt;BI280,BI280,$E279-SUM($G280:BH280)))</f>
        <v>0</v>
      </c>
      <c r="BJ279" s="401">
        <f ca="1">IF(SUM($G279:BI279)&gt;=$E279,0,IF($E279-SUM($G279:BI279)&gt;BJ280,BJ280,$E279-SUM($G280:BI280)))</f>
        <v>0</v>
      </c>
      <c r="BK279" s="401">
        <f ca="1">IF(SUM($G279:BJ279)&gt;=$E279,0,IF($E279-SUM($G279:BJ279)&gt;BK280,BK280,$E279-SUM($G280:BJ280)))</f>
        <v>0</v>
      </c>
      <c r="BL279" s="401">
        <f ca="1">IF(SUM($G279:BK279)&gt;=$E279,0,IF($E279-SUM($G279:BK279)&gt;BL280,BL280,$E279-SUM($G280:BK280)))</f>
        <v>0</v>
      </c>
      <c r="BM279" s="401">
        <f ca="1">IF(SUM($G279:BL279)&gt;=$E279,0,IF($E279-SUM($G279:BL279)&gt;BM280,BM280,$E279-SUM($G280:BL280)))</f>
        <v>0</v>
      </c>
      <c r="BN279" s="401">
        <f ca="1">IF(SUM($G279:BM279)&gt;=$E279,0,IF($E279-SUM($G279:BM279)&gt;BN280,BN280,$E279-SUM($G280:BM280)))</f>
        <v>0</v>
      </c>
      <c r="BO279" s="401">
        <f ca="1">IF(SUM($G279:BN279)&gt;=$E279,0,IF($E279-SUM($G279:BN279)&gt;BO280,BO280,$E279-SUM($G280:BN280)))</f>
        <v>0</v>
      </c>
      <c r="BP279" s="401">
        <f ca="1">IF(SUM($G279:BO279)&gt;=$E279,0,IF($E279-SUM($G279:BO279)&gt;BP280,BP280,$E279-SUM($G280:BO280)))</f>
        <v>0</v>
      </c>
      <c r="BQ279" s="401">
        <f ca="1">IF(SUM($G279:BP279)&gt;=$E279,0,IF($E279-SUM($G279:BP279)&gt;BQ280,BQ280,$E279-SUM($G280:BP280)))</f>
        <v>0</v>
      </c>
      <c r="BR279" s="401">
        <f ca="1">IF(SUM($G279:BQ279)&gt;=$E279,0,IF($E279-SUM($G279:BQ279)&gt;BR280,BR280,$E279-SUM($G280:BQ280)))</f>
        <v>0</v>
      </c>
      <c r="BS279" s="401">
        <f ca="1">IF(SUM($G279:BR279)&gt;=$E279,0,IF($E279-SUM($G279:BR279)&gt;BS280,BS280,$E279-SUM($G280:BR280)))</f>
        <v>0</v>
      </c>
      <c r="BT279" s="401">
        <f ca="1">IF(SUM($G279:BS279)&gt;=$E279,0,IF($E279-SUM($G279:BS279)&gt;BT280,BT280,$E279-SUM($G280:BS280)))</f>
        <v>0</v>
      </c>
      <c r="BU279" s="401">
        <f ca="1">IF(SUM($G279:BT279)&gt;=$E279,0,IF($E279-SUM($G279:BT279)&gt;BU280,BU280,$E279-SUM($G280:BT280)))</f>
        <v>0</v>
      </c>
      <c r="BV279" s="401">
        <f ca="1">IF(SUM($G279:BU279)&gt;=$E279,0,IF($E279-SUM($G279:BU279)&gt;BV280,BV280,$E279-SUM($G280:BU280)))</f>
        <v>0</v>
      </c>
      <c r="BW279" s="401">
        <f ca="1">IF(SUM($G279:BV279)&gt;=$E279,0,IF($E279-SUM($G279:BV279)&gt;BW280,BW280,$E279-SUM($G280:BV280)))</f>
        <v>0</v>
      </c>
      <c r="BX279" s="401">
        <f ca="1">IF(SUM($G279:BW279)&gt;=$E279,0,IF($E279-SUM($G279:BW279)&gt;BX280,BX280,$E279-SUM($G280:BW280)))</f>
        <v>0</v>
      </c>
      <c r="BY279" s="401">
        <f ca="1">IF(SUM($G279:BX279)&gt;=$E279,0,IF($E279-SUM($G279:BX279)&gt;BY280,BY280,$E279-SUM($G280:BX280)))</f>
        <v>0</v>
      </c>
      <c r="BZ279" s="401">
        <f ca="1">IF(SUM($G279:BY279)&gt;=$E279,0,IF($E279-SUM($G279:BY279)&gt;BZ280,BZ280,$E279-SUM($G280:BY280)))</f>
        <v>0</v>
      </c>
      <c r="CA279" s="401">
        <f ca="1">IF(SUM($G279:BZ279)&gt;=$E279,0,IF($E279-SUM($G279:BZ279)&gt;CA280,CA280,$E279-SUM($G280:BZ280)))</f>
        <v>0</v>
      </c>
      <c r="CB279" s="401">
        <f ca="1">IF(SUM($G279:CA279)&gt;=$E279,0,IF($E279-SUM($G279:CA279)&gt;CB280,CB280,$E279-SUM($G280:CA280)))</f>
        <v>0</v>
      </c>
      <c r="CC279" s="401">
        <f ca="1">IF(SUM($G279:CB279)&gt;=$E279,0,IF($E279-SUM($G279:CB279)&gt;CC280,CC280,$E279-SUM($G280:CB280)))</f>
        <v>0</v>
      </c>
      <c r="CD279" s="401">
        <f ca="1">IF(SUM($G279:CC279)&gt;=$E279,0,IF($E279-SUM($G279:CC279)&gt;CD280,CD280,$E279-SUM($G280:CC280)))</f>
        <v>0</v>
      </c>
      <c r="CE279" s="401">
        <f ca="1">IF(SUM($G279:CD279)&gt;=$E279,0,IF($E279-SUM($G279:CD279)&gt;CE280,CE280,$E279-SUM($G280:CD280)))</f>
        <v>0</v>
      </c>
      <c r="CF279" s="401">
        <f ca="1">IF(SUM($G279:CE279)&gt;=$E279,0,IF($E279-SUM($G279:CE279)&gt;CF280,CF280,$E279-SUM($G280:CE280)))</f>
        <v>0</v>
      </c>
      <c r="CG279" s="401">
        <f ca="1">IF(SUM($G279:CF279)&gt;=$E279,0,IF($E279-SUM($G279:CF279)&gt;CG280,CG280,$E279-SUM($G280:CF280)))</f>
        <v>0</v>
      </c>
      <c r="CH279" s="401">
        <f ca="1">IF(SUM($G279:CG279)&gt;=$E279,0,IF($E279-SUM($G279:CG279)&gt;CH280,CH280,$E279-SUM($G280:CG280)))</f>
        <v>0</v>
      </c>
      <c r="CI279" s="401">
        <f ca="1">IF(SUM($G279:CH279)&gt;=$E279,0,IF($E279-SUM($G279:CH279)&gt;CI280,CI280,$E279-SUM($G280:CH280)))</f>
        <v>0</v>
      </c>
      <c r="CJ279" s="401">
        <f ca="1">IF(SUM($G279:CI279)&gt;=$E279,0,IF($E279-SUM($G279:CI279)&gt;CJ280,CJ280,$E279-SUM($G280:CI280)))</f>
        <v>0</v>
      </c>
      <c r="CK279" s="401">
        <f ca="1">IF(SUM($G279:CJ279)&gt;=$E279,0,IF($E279-SUM($G279:CJ279)&gt;CK280,CK280,$E279-SUM($G280:CJ280)))</f>
        <v>0</v>
      </c>
      <c r="CL279" s="401">
        <f ca="1">IF(SUM($G279:CK279)&gt;=$E279,0,IF($E279-SUM($G279:CK279)&gt;CL280,CL280,$E279-SUM($G280:CK280)))</f>
        <v>0</v>
      </c>
      <c r="CM279" s="401">
        <f ca="1">IF(SUM($G279:CL279)&gt;=$E279,0,IF($E279-SUM($G279:CL279)&gt;CM280,CM280,$E279-SUM($G280:CL280)))</f>
        <v>0</v>
      </c>
      <c r="CN279" s="401">
        <f ca="1">IF(SUM($G279:CM279)&gt;=$E279,0,IF($E279-SUM($G279:CM279)&gt;CN280,CN280,$E279-SUM($G280:CM280)))</f>
        <v>0</v>
      </c>
      <c r="CO279" s="401">
        <f ca="1">IF(SUM($G279:CN279)&gt;=$E279,0,IF($E279-SUM($G279:CN279)&gt;CO280,CO280,$E279-SUM($G280:CN280)))</f>
        <v>0</v>
      </c>
      <c r="CP279" s="401">
        <f ca="1">IF(SUM($G279:CO279)&gt;=$E279,0,IF($E279-SUM($G279:CO279)&gt;CP280,CP280,$E279-SUM($G280:CO280)))</f>
        <v>0</v>
      </c>
      <c r="CQ279" s="401">
        <f ca="1">IF(SUM($G279:CP279)&gt;=$E279,0,IF($E279-SUM($G279:CP279)&gt;CQ280,CQ280,$E279-SUM($G280:CP280)))</f>
        <v>0</v>
      </c>
      <c r="CR279" s="401">
        <f ca="1">IF(SUM($G279:CQ279)&gt;=$E279,0,IF($E279-SUM($G279:CQ279)&gt;CR280,CR280,$E279-SUM($G280:CQ280)))</f>
        <v>0</v>
      </c>
      <c r="CS279" s="401">
        <f ca="1">IF(SUM($G279:CR279)&gt;=$E279,0,IF($E279-SUM($G279:CR279)&gt;CS280,CS280,$E279-SUM($G280:CR280)))</f>
        <v>0</v>
      </c>
      <c r="CT279" s="401">
        <f ca="1">IF(SUM($G279:CS279)&gt;=$E279,0,IF($E279-SUM($G279:CS279)&gt;CT280,CT280,$E279-SUM($G280:CS280)))</f>
        <v>0</v>
      </c>
      <c r="CU279" s="401">
        <f ca="1">IF(SUM($G279:CT279)&gt;=$E279,0,IF($E279-SUM($G279:CT279)&gt;CU280,CU280,$E279-SUM($G280:CT280)))</f>
        <v>0</v>
      </c>
      <c r="CV279" s="401">
        <f ca="1">IF(SUM($G279:CU279)&gt;=$E279,0,IF($E279-SUM($G279:CU279)&gt;CV280,CV280,$E279-SUM($G280:CU280)))</f>
        <v>0</v>
      </c>
      <c r="CW279" s="401">
        <f ca="1">IF(SUM($G279:CV279)&gt;=$E279,0,IF($E279-SUM($G279:CV279)&gt;CW280,CW280,$E279-SUM($G280:CV280)))</f>
        <v>0</v>
      </c>
      <c r="CX279" s="401">
        <f ca="1">IF(SUM($G279:CW279)&gt;=$E279,0,IF($E279-SUM($G279:CW279)&gt;CX280,CX280,$E279-SUM($G280:CW280)))</f>
        <v>0</v>
      </c>
      <c r="CY279" s="401">
        <f ca="1">IF(SUM($G279:CX279)&gt;=$E279,0,IF($E279-SUM($G279:CX279)&gt;CY280,CY280,$E279-SUM($G280:CX280)))</f>
        <v>0</v>
      </c>
      <c r="CZ279" s="401">
        <f ca="1">IF(SUM($G279:CY279)&gt;=$E279,0,IF($E279-SUM($G279:CY279)&gt;CZ280,CZ280,$E279-SUM($G280:CY280)))</f>
        <v>0</v>
      </c>
      <c r="DA279" s="401">
        <f ca="1">IF(SUM($G279:CZ279)&gt;=$E279,0,IF($E279-SUM($G279:CZ279)&gt;DA280,DA280,$E279-SUM($G280:CZ280)))</f>
        <v>0</v>
      </c>
      <c r="DB279" s="401">
        <f ca="1">IF(SUM($G279:DA279)&gt;=$E279,0,IF($E279-SUM($G279:DA279)&gt;DB280,DB280,$E279-SUM($G280:DA280)))</f>
        <v>0</v>
      </c>
      <c r="DC279" s="401">
        <f ca="1">IF(SUM($G279:DB279)&gt;=$E279,0,IF($E279-SUM($G279:DB279)&gt;DC280,DC280,$E279-SUM($G280:DB280)))</f>
        <v>0</v>
      </c>
      <c r="DD279" s="401">
        <f ca="1">IF(SUM($G279:DC279)&gt;=$E279,0,IF($E279-SUM($G279:DC279)&gt;DD280,DD280,$E279-SUM($G280:DC280)))</f>
        <v>0</v>
      </c>
      <c r="DE279" s="401">
        <f ca="1">IF(SUM($G279:DD279)&gt;=$E279,0,IF($E279-SUM($G279:DD279)&gt;DE280,DE280,$E279-SUM($G280:DD280)))</f>
        <v>0</v>
      </c>
      <c r="DF279" s="401">
        <f ca="1">IF(SUM($G279:DE279)&gt;=$E279,0,IF($E279-SUM($G279:DE279)&gt;DF280,DF280,$E279-SUM($G280:DE280)))</f>
        <v>0</v>
      </c>
      <c r="DG279" s="401">
        <f ca="1">IF(SUM($G279:DF279)&gt;=$E279,0,IF($E279-SUM($G279:DF279)&gt;DG280,DG280,$E279-SUM($G280:DF280)))</f>
        <v>0</v>
      </c>
      <c r="DH279" s="401">
        <f ca="1">IF(SUM($G279:DG279)&gt;=$E279,0,IF($E279-SUM($G279:DG279)&gt;DH280,DH280,$E279-SUM($G280:DG280)))</f>
        <v>0</v>
      </c>
      <c r="DI279" s="401">
        <f ca="1">IF(SUM($G279:DH279)&gt;=$E279,0,IF($E279-SUM($G279:DH279)&gt;DI280,DI280,$E279-SUM($G280:DH280)))</f>
        <v>0</v>
      </c>
      <c r="DJ279" s="401">
        <f ca="1">IF(SUM($G279:DI279)&gt;=$E279,0,IF($E279-SUM($G279:DI279)&gt;DJ280,DJ280,$E279-SUM($G280:DI280)))</f>
        <v>0</v>
      </c>
      <c r="DK279" s="401">
        <f ca="1">IF(SUM($G279:DJ279)&gt;=$E279,0,IF($E279-SUM($G279:DJ279)&gt;DK280,DK280,$E279-SUM($G280:DJ280)))</f>
        <v>0</v>
      </c>
      <c r="DL279" s="401">
        <f ca="1">IF(SUM($G279:DK279)&gt;=$E279,0,IF($E279-SUM($G279:DK279)&gt;DL280,DL280,$E279-SUM($G280:DK280)))</f>
        <v>0</v>
      </c>
      <c r="DM279" s="401">
        <f ca="1">IF(SUM($G279:DL279)&gt;=$E279,0,IF($E279-SUM($G279:DL279)&gt;DM280,DM280,$E279-SUM($G280:DL280)))</f>
        <v>0</v>
      </c>
      <c r="DN279" s="401">
        <f ca="1">IF(SUM($G279:DM279)&gt;=$E279,0,IF($E279-SUM($G279:DM279)&gt;DN280,DN280,$E279-SUM($G280:DM280)))</f>
        <v>0</v>
      </c>
      <c r="DO279" s="401">
        <f ca="1">IF(SUM($G279:DN279)&gt;=$E279,0,IF($E279-SUM($G279:DN279)&gt;DO280,DO280,$E279-SUM($G280:DN280)))</f>
        <v>0</v>
      </c>
      <c r="DP279" s="401">
        <f ca="1">IF(SUM($G279:DO279)&gt;=$E279,0,IF($E279-SUM($G279:DO279)&gt;DP280,DP280,$E279-SUM($G280:DO280)))</f>
        <v>0</v>
      </c>
      <c r="DQ279" s="401">
        <f ca="1">IF(SUM($G279:DP279)&gt;=$E279,0,IF($E279-SUM($G279:DP279)&gt;DQ280,DQ280,$E279-SUM($G280:DP280)))</f>
        <v>0</v>
      </c>
      <c r="DR279" s="401">
        <f ca="1">IF(SUM($G279:DQ279)&gt;=$E279,0,IF($E279-SUM($G279:DQ279)&gt;DR280,DR280,$E279-SUM($G280:DQ280)))</f>
        <v>0</v>
      </c>
      <c r="DS279" s="401">
        <f ca="1">IF(SUM($G279:DR279)&gt;=$E279,0,IF($E279-SUM($G279:DR279)&gt;DS280,DS280,$E279-SUM($G280:DR280)))</f>
        <v>0</v>
      </c>
      <c r="DT279" s="401">
        <f ca="1">IF(SUM($G279:DS279)&gt;=$E279,0,IF($E279-SUM($G279:DS279)&gt;DT280,DT280,$E279-SUM($G280:DS280)))</f>
        <v>0</v>
      </c>
      <c r="DU279" s="401">
        <f ca="1">IF(SUM($G279:DT279)&gt;=$E279,0,IF($E279-SUM($G279:DT279)&gt;DU280,DU280,$E279-SUM($G280:DT280)))</f>
        <v>0</v>
      </c>
      <c r="DV279" s="401">
        <f ca="1">IF(SUM($G279:DU279)&gt;=$E279,0,IF($E279-SUM($G279:DU279)&gt;DV280,DV280,$E279-SUM($G280:DU280)))</f>
        <v>0</v>
      </c>
      <c r="DW279" s="401">
        <f ca="1">IF(SUM($G279:DV279)&gt;=$E279,0,IF($E279-SUM($G279:DV279)&gt;DW280,DW280,$E279-SUM($G280:DV280)))</f>
        <v>0</v>
      </c>
      <c r="DX279" s="401">
        <f ca="1">IF(SUM($G279:DW279)&gt;=$E279,0,IF($E279-SUM($G279:DW279)&gt;DX280,DX280,$E279-SUM($G280:DW280)))</f>
        <v>0</v>
      </c>
      <c r="DY279" s="401">
        <f ca="1">IF(SUM($G279:DX279)&gt;=$E279,0,IF($E279-SUM($G279:DX279)&gt;DY280,DY280,$E279-SUM($G280:DX280)))</f>
        <v>0</v>
      </c>
      <c r="DZ279" s="401">
        <f ca="1">IF(SUM($G279:DY279)&gt;=$E279,0,IF($E279-SUM($G279:DY279)&gt;DZ280,DZ280,$E279-SUM($G280:DY280)))</f>
        <v>0</v>
      </c>
      <c r="EA279" s="401">
        <f ca="1">IF(SUM($G279:DZ279)&gt;=$E279,0,IF($E279-SUM($G279:DZ279)&gt;EA280,EA280,$E279-SUM($G280:DZ280)))</f>
        <v>0</v>
      </c>
      <c r="EB279" s="401">
        <f ca="1">IF(SUM($G279:EA279)&gt;=$E279,0,IF($E279-SUM($G279:EA279)&gt;EB280,EB280,$E279-SUM($G280:EA280)))</f>
        <v>0</v>
      </c>
      <c r="EC279" s="401">
        <f ca="1">IF(SUM($G279:EB279)&gt;=$E279,0,IF($E279-SUM($G279:EB279)&gt;EC280,EC280,$E279-SUM($G280:EB280)))</f>
        <v>0</v>
      </c>
      <c r="ED279" s="401">
        <f ca="1">IF(SUM($G279:EC279)&gt;=$E279,0,IF($E279-SUM($G279:EC279)&gt;ED280,ED280,$E279-SUM($G280:EC280)))</f>
        <v>0</v>
      </c>
      <c r="EE279" s="401">
        <f ca="1">IF(SUM($G279:ED279)&gt;=$E279,0,IF($E279-SUM($G279:ED279)&gt;EE280,EE280,$E279-SUM($G280:ED280)))</f>
        <v>0</v>
      </c>
      <c r="EF279" s="401">
        <f ca="1">IF(SUM($G279:EE279)&gt;=$E279,0,IF($E279-SUM($G279:EE279)&gt;EF280,EF280,$E279-SUM($G280:EE280)))</f>
        <v>0</v>
      </c>
      <c r="EG279" s="401">
        <f ca="1">IF(SUM($G279:EF279)&gt;=$E279,0,IF($E279-SUM($G279:EF279)&gt;EG280,EG280,$E279-SUM($G280:EF280)))</f>
        <v>0</v>
      </c>
      <c r="EH279" s="401">
        <f ca="1">IF(SUM($G279:EG279)&gt;=$E279,0,IF($E279-SUM($G279:EG279)&gt;EH280,EH280,$E279-SUM($G280:EG280)))</f>
        <v>0</v>
      </c>
      <c r="EI279" s="401">
        <f ca="1">IF(SUM($G279:EH279)&gt;=$E279,0,IF($E279-SUM($G279:EH279)&gt;EI280,EI280,$E279-SUM($G280:EH280)))</f>
        <v>0</v>
      </c>
      <c r="EK279" s="313"/>
    </row>
    <row r="280" spans="1:141" hidden="1" outlineLevel="2">
      <c r="A280" s="332"/>
      <c r="B280" s="313"/>
      <c r="C280" s="308"/>
      <c r="D280" s="308"/>
      <c r="E280" s="308"/>
      <c r="G280" s="402"/>
      <c r="H280" s="402">
        <f ca="1">IF((SUM($G270:H270)-$E269)&lt;0,0,IF((SUM($G270:H270)-$E269)&lt;H270,SUM($G270:H270)-$E269,H270))</f>
        <v>0</v>
      </c>
      <c r="I280" s="402">
        <f ca="1">IF((SUM($G270:I270)-$E269)&lt;0,0,IF((SUM($G270:I270)-$E269)&lt;I270,SUM($G270:I270)-$E269,I270))</f>
        <v>0</v>
      </c>
      <c r="J280" s="402">
        <f ca="1">IF((SUM($G270:J270)-$E269)&lt;0,0,IF((SUM($G270:J270)-$E269)&lt;J270,SUM($G270:J270)-$E269,J270))</f>
        <v>0</v>
      </c>
      <c r="K280" s="402">
        <f ca="1">IF((SUM($G270:K270)-$E269)&lt;0,0,IF((SUM($G270:K270)-$E269)&lt;K270,SUM($G270:K270)-$E269,K270))</f>
        <v>0</v>
      </c>
      <c r="L280" s="402">
        <f ca="1">IF((SUM($G270:L270)-$E269)&lt;0,0,IF((SUM($G270:L270)-$E269)&lt;L270,SUM($G270:L270)-$E269,L270))</f>
        <v>0</v>
      </c>
      <c r="M280" s="402">
        <f ca="1">IF((SUM($G270:M270)-$E269)&lt;0,0,IF((SUM($G270:M270)-$E269)&lt;M270,SUM($G270:M270)-$E269,M270))</f>
        <v>0</v>
      </c>
      <c r="N280" s="402">
        <f ca="1">IF((SUM($G270:N270)-$E269)&lt;0,0,IF((SUM($G270:N270)-$E269)&lt;N270,SUM($G270:N270)-$E269,N270))</f>
        <v>0</v>
      </c>
      <c r="O280" s="402">
        <f ca="1">IF((SUM($G270:O270)-$E269)&lt;0,0,IF((SUM($G270:O270)-$E269)&lt;O270,SUM($G270:O270)-$E269,O270))</f>
        <v>0</v>
      </c>
      <c r="P280" s="402">
        <f ca="1">IF((SUM($G270:P270)-$E269)&lt;0,0,IF((SUM($G270:P270)-$E269)&lt;P270,SUM($G270:P270)-$E269,P270))</f>
        <v>0</v>
      </c>
      <c r="Q280" s="402">
        <f ca="1">IF((SUM($G270:Q270)-$E269)&lt;0,0,IF((SUM($G270:Q270)-$E269)&lt;Q270,SUM($G270:Q270)-$E269,Q270))</f>
        <v>0</v>
      </c>
      <c r="R280" s="402">
        <f ca="1">IF((SUM($G270:R270)-$E269)&lt;0,0,IF((SUM($G270:R270)-$E269)&lt;R270,SUM($G270:R270)-$E269,R270))</f>
        <v>0</v>
      </c>
      <c r="S280" s="402">
        <f ca="1">IF((SUM($G270:S270)-$E269)&lt;0,0,IF((SUM($G270:S270)-$E269)&lt;S270,SUM($G270:S270)-$E269,S270))</f>
        <v>0</v>
      </c>
      <c r="T280" s="402">
        <f ca="1">IF((SUM($G270:T270)-$E269)&lt;0,0,IF((SUM($G270:T270)-$E269)&lt;T270,SUM($G270:T270)-$E269,T270))</f>
        <v>0</v>
      </c>
      <c r="U280" s="402">
        <f ca="1">IF((SUM($G270:U270)-$E269)&lt;0,0,IF((SUM($G270:U270)-$E269)&lt;U270,SUM($G270:U270)-$E269,U270))</f>
        <v>0</v>
      </c>
      <c r="V280" s="402">
        <f ca="1">IF((SUM($G270:V270)-$E269)&lt;0,0,IF((SUM($G270:V270)-$E269)&lt;V270,SUM($G270:V270)-$E269,V270))</f>
        <v>0</v>
      </c>
      <c r="W280" s="402">
        <f ca="1">IF((SUM($G270:W270)-$E269)&lt;0,0,IF((SUM($G270:W270)-$E269)&lt;W270,SUM($G270:W270)-$E269,W270))</f>
        <v>0</v>
      </c>
      <c r="X280" s="402">
        <f ca="1">IF((SUM($G270:X270)-$E269)&lt;0,0,IF((SUM($G270:X270)-$E269)&lt;X270,SUM($G270:X270)-$E269,X270))</f>
        <v>0</v>
      </c>
      <c r="Y280" s="402">
        <f ca="1">IF((SUM($G270:Y270)-$E269)&lt;0,0,IF((SUM($G270:Y270)-$E269)&lt;Y270,SUM($G270:Y270)-$E269,Y270))</f>
        <v>0</v>
      </c>
      <c r="Z280" s="402">
        <f ca="1">IF((SUM($G270:Z270)-$E269)&lt;0,0,IF((SUM($G270:Z270)-$E269)&lt;Z270,SUM($G270:Z270)-$E269,Z270))</f>
        <v>0</v>
      </c>
      <c r="AA280" s="402">
        <f ca="1">IF((SUM($G270:AA270)-$E269)&lt;0,0,IF((SUM($G270:AA270)-$E269)&lt;AA270,SUM($G270:AA270)-$E269,AA270))</f>
        <v>0</v>
      </c>
      <c r="AB280" s="402">
        <f ca="1">IF((SUM($G270:AB270)-$E269)&lt;0,0,IF((SUM($G270:AB270)-$E269)&lt;AB270,SUM($G270:AB270)-$E269,AB270))</f>
        <v>0</v>
      </c>
      <c r="AC280" s="402">
        <f ca="1">IF((SUM($G270:AC270)-$E269)&lt;0,0,IF((SUM($G270:AC270)-$E269)&lt;AC270,SUM($G270:AC270)-$E269,AC270))</f>
        <v>0</v>
      </c>
      <c r="AD280" s="402">
        <f ca="1">IF((SUM($G270:AD270)-$E269)&lt;0,0,IF((SUM($G270:AD270)-$E269)&lt;AD270,SUM($G270:AD270)-$E269,AD270))</f>
        <v>0</v>
      </c>
      <c r="AE280" s="402">
        <f ca="1">IF((SUM($G270:AE270)-$E269)&lt;0,0,IF((SUM($G270:AE270)-$E269)&lt;AE270,SUM($G270:AE270)-$E269,AE270))</f>
        <v>0</v>
      </c>
      <c r="AF280" s="402">
        <f ca="1">IF((SUM($G270:AF270)-$E269)&lt;0,0,IF((SUM($G270:AF270)-$E269)&lt;AF270,SUM($G270:AF270)-$E269,AF270))</f>
        <v>0</v>
      </c>
      <c r="AG280" s="402">
        <f ca="1">IF((SUM($G270:AG270)-$E269)&lt;0,0,IF((SUM($G270:AG270)-$E269)&lt;AG270,SUM($G270:AG270)-$E269,AG270))</f>
        <v>0</v>
      </c>
      <c r="AH280" s="402">
        <f ca="1">IF((SUM($G270:AH270)-$E269)&lt;0,0,IF((SUM($G270:AH270)-$E269)&lt;AH270,SUM($G270:AH270)-$E269,AH270))</f>
        <v>0</v>
      </c>
      <c r="AI280" s="402">
        <f ca="1">IF((SUM($G270:AI270)-$E269)&lt;0,0,IF((SUM($G270:AI270)-$E269)&lt;AI270,SUM($G270:AI270)-$E269,AI270))</f>
        <v>0</v>
      </c>
      <c r="AJ280" s="402">
        <f ca="1">IF((SUM($G270:AJ270)-$E269)&lt;0,0,IF((SUM($G270:AJ270)-$E269)&lt;AJ270,SUM($G270:AJ270)-$E269,AJ270))</f>
        <v>0</v>
      </c>
      <c r="AK280" s="402">
        <f ca="1">IF((SUM($G270:AK270)-$E269)&lt;0,0,IF((SUM($G270:AK270)-$E269)&lt;AK270,SUM($G270:AK270)-$E269,AK270))</f>
        <v>0</v>
      </c>
      <c r="AL280" s="402">
        <f ca="1">IF((SUM($G270:AL270)-$E269)&lt;0,0,IF((SUM($G270:AL270)-$E269)&lt;AL270,SUM($G270:AL270)-$E269,AL270))</f>
        <v>0</v>
      </c>
      <c r="AM280" s="402">
        <f ca="1">IF((SUM($G270:AM270)-$E269)&lt;0,0,IF((SUM($G270:AM270)-$E269)&lt;AM270,SUM($G270:AM270)-$E269,AM270))</f>
        <v>0</v>
      </c>
      <c r="AN280" s="402">
        <f ca="1">IF((SUM($G270:AN270)-$E269)&lt;0,0,IF((SUM($G270:AN270)-$E269)&lt;AN270,SUM($G270:AN270)-$E269,AN270))</f>
        <v>0</v>
      </c>
      <c r="AO280" s="402">
        <f ca="1">IF((SUM($G270:AO270)-$E269)&lt;0,0,IF((SUM($G270:AO270)-$E269)&lt;AO270,SUM($G270:AO270)-$E269,AO270))</f>
        <v>0</v>
      </c>
      <c r="AP280" s="402">
        <f ca="1">IF((SUM($G270:AP270)-$E269)&lt;0,0,IF((SUM($G270:AP270)-$E269)&lt;AP270,SUM($G270:AP270)-$E269,AP270))</f>
        <v>0</v>
      </c>
      <c r="AQ280" s="402">
        <f ca="1">IF((SUM($G270:AQ270)-$E269)&lt;0,0,IF((SUM($G270:AQ270)-$E269)&lt;AQ270,SUM($G270:AQ270)-$E269,AQ270))</f>
        <v>0</v>
      </c>
      <c r="AR280" s="402">
        <f ca="1">IF((SUM($G270:AR270)-$E269)&lt;0,0,IF((SUM($G270:AR270)-$E269)&lt;AR270,SUM($G270:AR270)-$E269,AR270))</f>
        <v>0</v>
      </c>
      <c r="AS280" s="402">
        <f ca="1">IF((SUM($G270:AS270)-$E269)&lt;0,0,IF((SUM($G270:AS270)-$E269)&lt;AS270,SUM($G270:AS270)-$E269,AS270))</f>
        <v>0</v>
      </c>
      <c r="AT280" s="402">
        <f ca="1">IF((SUM($G270:AT270)-$E269)&lt;0,0,IF((SUM($G270:AT270)-$E269)&lt;AT270,SUM($G270:AT270)-$E269,AT270))</f>
        <v>0</v>
      </c>
      <c r="AU280" s="402">
        <f ca="1">IF((SUM($G270:AU270)-$E269)&lt;0,0,IF((SUM($G270:AU270)-$E269)&lt;AU270,SUM($G270:AU270)-$E269,AU270))</f>
        <v>0</v>
      </c>
      <c r="AV280" s="402">
        <f ca="1">IF((SUM($G270:AV270)-$E269)&lt;0,0,IF((SUM($G270:AV270)-$E269)&lt;AV270,SUM($G270:AV270)-$E269,AV270))</f>
        <v>0</v>
      </c>
      <c r="AW280" s="402">
        <f ca="1">IF((SUM($G270:AW270)-$E269)&lt;0,0,IF((SUM($G270:AW270)-$E269)&lt;AW270,SUM($G270:AW270)-$E269,AW270))</f>
        <v>0</v>
      </c>
      <c r="AX280" s="402">
        <f ca="1">IF((SUM($G270:AX270)-$E269)&lt;0,0,IF((SUM($G270:AX270)-$E269)&lt;AX270,SUM($G270:AX270)-$E269,AX270))</f>
        <v>0</v>
      </c>
      <c r="AY280" s="402">
        <f ca="1">IF((SUM($G270:AY270)-$E269)&lt;0,0,IF((SUM($G270:AY270)-$E269)&lt;AY270,SUM($G270:AY270)-$E269,AY270))</f>
        <v>0</v>
      </c>
      <c r="AZ280" s="402">
        <f ca="1">IF((SUM($G270:AZ270)-$E269)&lt;0,0,IF((SUM($G270:AZ270)-$E269)&lt;AZ270,SUM($G270:AZ270)-$E269,AZ270))</f>
        <v>0</v>
      </c>
      <c r="BA280" s="402">
        <f ca="1">IF((SUM($G270:BA270)-$E269)&lt;0,0,IF((SUM($G270:BA270)-$E269)&lt;BA270,SUM($G270:BA270)-$E269,BA270))</f>
        <v>5</v>
      </c>
      <c r="BB280" s="402">
        <f ca="1">IF((SUM($G270:BB270)-$E269)&lt;0,0,IF((SUM($G270:BB270)-$E269)&lt;BB270,SUM($G270:BB270)-$E269,BB270))</f>
        <v>28</v>
      </c>
      <c r="BC280" s="402">
        <f ca="1">IF((SUM($G270:BC270)-$E269)&lt;0,0,IF((SUM($G270:BC270)-$E269)&lt;BC270,SUM($G270:BC270)-$E269,BC270))</f>
        <v>31</v>
      </c>
      <c r="BD280" s="402">
        <f ca="1">IF((SUM($G270:BD270)-$E269)&lt;0,0,IF((SUM($G270:BD270)-$E269)&lt;BD270,SUM($G270:BD270)-$E269,BD270))</f>
        <v>30</v>
      </c>
      <c r="BE280" s="402">
        <f ca="1">IF((SUM($G270:BE270)-$E269)&lt;0,0,IF((SUM($G270:BE270)-$E269)&lt;BE270,SUM($G270:BE270)-$E269,BE270))</f>
        <v>31</v>
      </c>
      <c r="BF280" s="402">
        <f ca="1">IF((SUM($G270:BF270)-$E269)&lt;0,0,IF((SUM($G270:BF270)-$E269)&lt;BF270,SUM($G270:BF270)-$E269,BF270))</f>
        <v>30</v>
      </c>
      <c r="BG280" s="402">
        <f ca="1">IF((SUM($G270:BG270)-$E269)&lt;0,0,IF((SUM($G270:BG270)-$E269)&lt;BG270,SUM($G270:BG270)-$E269,BG270))</f>
        <v>31</v>
      </c>
      <c r="BH280" s="402">
        <f ca="1">IF((SUM($G270:BH270)-$E269)&lt;0,0,IF((SUM($G270:BH270)-$E269)&lt;BH270,SUM($G270:BH270)-$E269,BH270))</f>
        <v>31</v>
      </c>
      <c r="BI280" s="402">
        <f ca="1">IF((SUM($G270:BI270)-$E269)&lt;0,0,IF((SUM($G270:BI270)-$E269)&lt;BI270,SUM($G270:BI270)-$E269,BI270))</f>
        <v>30</v>
      </c>
      <c r="BJ280" s="402">
        <f ca="1">IF((SUM($G270:BJ270)-$E269)&lt;0,0,IF((SUM($G270:BJ270)-$E269)&lt;BJ270,SUM($G270:BJ270)-$E269,BJ270))</f>
        <v>31</v>
      </c>
      <c r="BK280" s="402">
        <f ca="1">IF((SUM($G270:BK270)-$E269)&lt;0,0,IF((SUM($G270:BK270)-$E269)&lt;BK270,SUM($G270:BK270)-$E269,BK270))</f>
        <v>30</v>
      </c>
      <c r="BL280" s="402">
        <f ca="1">IF((SUM($G270:BL270)-$E269)&lt;0,0,IF((SUM($G270:BL270)-$E269)&lt;BL270,SUM($G270:BL270)-$E269,BL270))</f>
        <v>31</v>
      </c>
      <c r="BM280" s="402">
        <f ca="1">IF((SUM($G270:BM270)-$E269)&lt;0,0,IF((SUM($G270:BM270)-$E269)&lt;BM270,SUM($G270:BM270)-$E269,BM270))</f>
        <v>31</v>
      </c>
      <c r="BN280" s="402">
        <f ca="1">IF((SUM($G270:BN270)-$E269)&lt;0,0,IF((SUM($G270:BN270)-$E269)&lt;BN270,SUM($G270:BN270)-$E269,BN270))</f>
        <v>29</v>
      </c>
      <c r="BO280" s="402">
        <f ca="1">IF((SUM($G270:BO270)-$E269)&lt;0,0,IF((SUM($G270:BO270)-$E269)&lt;BO270,SUM($G270:BO270)-$E269,BO270))</f>
        <v>31</v>
      </c>
      <c r="BP280" s="402">
        <f ca="1">IF((SUM($G270:BP270)-$E269)&lt;0,0,IF((SUM($G270:BP270)-$E269)&lt;BP270,SUM($G270:BP270)-$E269,BP270))</f>
        <v>30</v>
      </c>
      <c r="BQ280" s="402">
        <f ca="1">IF((SUM($G270:BQ270)-$E269)&lt;0,0,IF((SUM($G270:BQ270)-$E269)&lt;BQ270,SUM($G270:BQ270)-$E269,BQ270))</f>
        <v>31</v>
      </c>
      <c r="BR280" s="402">
        <f ca="1">IF((SUM($G270:BR270)-$E269)&lt;0,0,IF((SUM($G270:BR270)-$E269)&lt;BR270,SUM($G270:BR270)-$E269,BR270))</f>
        <v>30</v>
      </c>
      <c r="BS280" s="402">
        <f ca="1">IF((SUM($G270:BS270)-$E269)&lt;0,0,IF((SUM($G270:BS270)-$E269)&lt;BS270,SUM($G270:BS270)-$E269,BS270))</f>
        <v>31</v>
      </c>
      <c r="BT280" s="402">
        <f ca="1">IF((SUM($G270:BT270)-$E269)&lt;0,0,IF((SUM($G270:BT270)-$E269)&lt;BT270,SUM($G270:BT270)-$E269,BT270))</f>
        <v>31</v>
      </c>
      <c r="BU280" s="402">
        <f ca="1">IF((SUM($G270:BU270)-$E269)&lt;0,0,IF((SUM($G270:BU270)-$E269)&lt;BU270,SUM($G270:BU270)-$E269,BU270))</f>
        <v>30</v>
      </c>
      <c r="BV280" s="402">
        <f ca="1">IF((SUM($G270:BV270)-$E269)&lt;0,0,IF((SUM($G270:BV270)-$E269)&lt;BV270,SUM($G270:BV270)-$E269,BV270))</f>
        <v>31</v>
      </c>
      <c r="BW280" s="402">
        <f ca="1">IF((SUM($G270:BW270)-$E269)&lt;0,0,IF((SUM($G270:BW270)-$E269)&lt;BW270,SUM($G270:BW270)-$E269,BW270))</f>
        <v>30</v>
      </c>
      <c r="BX280" s="402">
        <f ca="1">IF((SUM($G270:BX270)-$E269)&lt;0,0,IF((SUM($G270:BX270)-$E269)&lt;BX270,SUM($G270:BX270)-$E269,BX270))</f>
        <v>31</v>
      </c>
      <c r="BY280" s="402">
        <f ca="1">IF((SUM($G270:BY270)-$E269)&lt;0,0,IF((SUM($G270:BY270)-$E269)&lt;BY270,SUM($G270:BY270)-$E269,BY270))</f>
        <v>31</v>
      </c>
      <c r="BZ280" s="402">
        <f ca="1">IF((SUM($G270:BZ270)-$E269)&lt;0,0,IF((SUM($G270:BZ270)-$E269)&lt;BZ270,SUM($G270:BZ270)-$E269,BZ270))</f>
        <v>28</v>
      </c>
      <c r="CA280" s="402">
        <f ca="1">IF((SUM($G270:CA270)-$E269)&lt;0,0,IF((SUM($G270:CA270)-$E269)&lt;CA270,SUM($G270:CA270)-$E269,CA270))</f>
        <v>31</v>
      </c>
      <c r="CB280" s="402">
        <f ca="1">IF((SUM($G270:CB270)-$E269)&lt;0,0,IF((SUM($G270:CB270)-$E269)&lt;CB270,SUM($G270:CB270)-$E269,CB270))</f>
        <v>30</v>
      </c>
      <c r="CC280" s="402">
        <f ca="1">IF((SUM($G270:CC270)-$E269)&lt;0,0,IF((SUM($G270:CC270)-$E269)&lt;CC270,SUM($G270:CC270)-$E269,CC270))</f>
        <v>31</v>
      </c>
      <c r="CD280" s="402">
        <f ca="1">IF((SUM($G270:CD270)-$E269)&lt;0,0,IF((SUM($G270:CD270)-$E269)&lt;CD270,SUM($G270:CD270)-$E269,CD270))</f>
        <v>30</v>
      </c>
      <c r="CE280" s="402">
        <f ca="1">IF((SUM($G270:CE270)-$E269)&lt;0,0,IF((SUM($G270:CE270)-$E269)&lt;CE270,SUM($G270:CE270)-$E269,CE270))</f>
        <v>31</v>
      </c>
      <c r="CF280" s="402">
        <f ca="1">IF((SUM($G270:CF270)-$E269)&lt;0,0,IF((SUM($G270:CF270)-$E269)&lt;CF270,SUM($G270:CF270)-$E269,CF270))</f>
        <v>31</v>
      </c>
      <c r="CG280" s="402">
        <f ca="1">IF((SUM($G270:CG270)-$E269)&lt;0,0,IF((SUM($G270:CG270)-$E269)&lt;CG270,SUM($G270:CG270)-$E269,CG270))</f>
        <v>30</v>
      </c>
      <c r="CH280" s="402">
        <f ca="1">IF((SUM($G270:CH270)-$E269)&lt;0,0,IF((SUM($G270:CH270)-$E269)&lt;CH270,SUM($G270:CH270)-$E269,CH270))</f>
        <v>31</v>
      </c>
      <c r="CI280" s="402">
        <f ca="1">IF((SUM($G270:CI270)-$E269)&lt;0,0,IF((SUM($G270:CI270)-$E269)&lt;CI270,SUM($G270:CI270)-$E269,CI270))</f>
        <v>30</v>
      </c>
      <c r="CJ280" s="402">
        <f ca="1">IF((SUM($G270:CJ270)-$E269)&lt;0,0,IF((SUM($G270:CJ270)-$E269)&lt;CJ270,SUM($G270:CJ270)-$E269,CJ270))</f>
        <v>31</v>
      </c>
      <c r="CK280" s="402">
        <f ca="1">IF((SUM($G270:CK270)-$E269)&lt;0,0,IF((SUM($G270:CK270)-$E269)&lt;CK270,SUM($G270:CK270)-$E269,CK270))</f>
        <v>31</v>
      </c>
      <c r="CL280" s="402">
        <f ca="1">IF((SUM($G270:CL270)-$E269)&lt;0,0,IF((SUM($G270:CL270)-$E269)&lt;CL270,SUM($G270:CL270)-$E269,CL270))</f>
        <v>28</v>
      </c>
      <c r="CM280" s="402">
        <f ca="1">IF((SUM($G270:CM270)-$E269)&lt;0,0,IF((SUM($G270:CM270)-$E269)&lt;CM270,SUM($G270:CM270)-$E269,CM270))</f>
        <v>31</v>
      </c>
      <c r="CN280" s="402">
        <f ca="1">IF((SUM($G270:CN270)-$E269)&lt;0,0,IF((SUM($G270:CN270)-$E269)&lt;CN270,SUM($G270:CN270)-$E269,CN270))</f>
        <v>30</v>
      </c>
      <c r="CO280" s="402">
        <f ca="1">IF((SUM($G270:CO270)-$E269)&lt;0,0,IF((SUM($G270:CO270)-$E269)&lt;CO270,SUM($G270:CO270)-$E269,CO270))</f>
        <v>31</v>
      </c>
      <c r="CP280" s="402">
        <f ca="1">IF((SUM($G270:CP270)-$E269)&lt;0,0,IF((SUM($G270:CP270)-$E269)&lt;CP270,SUM($G270:CP270)-$E269,CP270))</f>
        <v>30</v>
      </c>
      <c r="CQ280" s="402">
        <f ca="1">IF((SUM($G270:CQ270)-$E269)&lt;0,0,IF((SUM($G270:CQ270)-$E269)&lt;CQ270,SUM($G270:CQ270)-$E269,CQ270))</f>
        <v>31</v>
      </c>
      <c r="CR280" s="402">
        <f ca="1">IF((SUM($G270:CR270)-$E269)&lt;0,0,IF((SUM($G270:CR270)-$E269)&lt;CR270,SUM($G270:CR270)-$E269,CR270))</f>
        <v>31</v>
      </c>
      <c r="CS280" s="402">
        <f ca="1">IF((SUM($G270:CS270)-$E269)&lt;0,0,IF((SUM($G270:CS270)-$E269)&lt;CS270,SUM($G270:CS270)-$E269,CS270))</f>
        <v>30</v>
      </c>
      <c r="CT280" s="402">
        <f ca="1">IF((SUM($G270:CT270)-$E269)&lt;0,0,IF((SUM($G270:CT270)-$E269)&lt;CT270,SUM($G270:CT270)-$E269,CT270))</f>
        <v>31</v>
      </c>
      <c r="CU280" s="402">
        <f ca="1">IF((SUM($G270:CU270)-$E269)&lt;0,0,IF((SUM($G270:CU270)-$E269)&lt;CU270,SUM($G270:CU270)-$E269,CU270))</f>
        <v>30</v>
      </c>
      <c r="CV280" s="402">
        <f ca="1">IF((SUM($G270:CV270)-$E269)&lt;0,0,IF((SUM($G270:CV270)-$E269)&lt;CV270,SUM($G270:CV270)-$E269,CV270))</f>
        <v>31</v>
      </c>
      <c r="CW280" s="402">
        <f ca="1">IF((SUM($G270:CW270)-$E269)&lt;0,0,IF((SUM($G270:CW270)-$E269)&lt;CW270,SUM($G270:CW270)-$E269,CW270))</f>
        <v>31</v>
      </c>
      <c r="CX280" s="402">
        <f ca="1">IF((SUM($G270:CX270)-$E269)&lt;0,0,IF((SUM($G270:CX270)-$E269)&lt;CX270,SUM($G270:CX270)-$E269,CX270))</f>
        <v>28</v>
      </c>
      <c r="CY280" s="402">
        <f ca="1">IF((SUM($G270:CY270)-$E269)&lt;0,0,IF((SUM($G270:CY270)-$E269)&lt;CY270,SUM($G270:CY270)-$E269,CY270))</f>
        <v>31</v>
      </c>
      <c r="CZ280" s="402">
        <f ca="1">IF((SUM($G270:CZ270)-$E269)&lt;0,0,IF((SUM($G270:CZ270)-$E269)&lt;CZ270,SUM($G270:CZ270)-$E269,CZ270))</f>
        <v>30</v>
      </c>
      <c r="DA280" s="402">
        <f ca="1">IF((SUM($G270:DA270)-$E269)&lt;0,0,IF((SUM($G270:DA270)-$E269)&lt;DA270,SUM($G270:DA270)-$E269,DA270))</f>
        <v>31</v>
      </c>
      <c r="DB280" s="402">
        <f ca="1">IF((SUM($G270:DB270)-$E269)&lt;0,0,IF((SUM($G270:DB270)-$E269)&lt;DB270,SUM($G270:DB270)-$E269,DB270))</f>
        <v>30</v>
      </c>
      <c r="DC280" s="402">
        <f ca="1">IF((SUM($G270:DC270)-$E269)&lt;0,0,IF((SUM($G270:DC270)-$E269)&lt;DC270,SUM($G270:DC270)-$E269,DC270))</f>
        <v>31</v>
      </c>
      <c r="DD280" s="402">
        <f ca="1">IF((SUM($G270:DD270)-$E269)&lt;0,0,IF((SUM($G270:DD270)-$E269)&lt;DD270,SUM($G270:DD270)-$E269,DD270))</f>
        <v>31</v>
      </c>
      <c r="DE280" s="402">
        <f ca="1">IF((SUM($G270:DE270)-$E269)&lt;0,0,IF((SUM($G270:DE270)-$E269)&lt;DE270,SUM($G270:DE270)-$E269,DE270))</f>
        <v>30</v>
      </c>
      <c r="DF280" s="402">
        <f ca="1">IF((SUM($G270:DF270)-$E269)&lt;0,0,IF((SUM($G270:DF270)-$E269)&lt;DF270,SUM($G270:DF270)-$E269,DF270))</f>
        <v>31</v>
      </c>
      <c r="DG280" s="402">
        <f ca="1">IF((SUM($G270:DG270)-$E269)&lt;0,0,IF((SUM($G270:DG270)-$E269)&lt;DG270,SUM($G270:DG270)-$E269,DG270))</f>
        <v>30</v>
      </c>
      <c r="DH280" s="402">
        <f ca="1">IF((SUM($G270:DH270)-$E269)&lt;0,0,IF((SUM($G270:DH270)-$E269)&lt;DH270,SUM($G270:DH270)-$E269,DH270))</f>
        <v>31</v>
      </c>
      <c r="DI280" s="402">
        <f ca="1">IF((SUM($G270:DI270)-$E269)&lt;0,0,IF((SUM($G270:DI270)-$E269)&lt;DI270,SUM($G270:DI270)-$E269,DI270))</f>
        <v>31</v>
      </c>
      <c r="DJ280" s="402">
        <f ca="1">IF((SUM($G270:DJ270)-$E269)&lt;0,0,IF((SUM($G270:DJ270)-$E269)&lt;DJ270,SUM($G270:DJ270)-$E269,DJ270))</f>
        <v>29</v>
      </c>
      <c r="DK280" s="402">
        <f ca="1">IF((SUM($G270:DK270)-$E269)&lt;0,0,IF((SUM($G270:DK270)-$E269)&lt;DK270,SUM($G270:DK270)-$E269,DK270))</f>
        <v>31</v>
      </c>
      <c r="DL280" s="402">
        <f ca="1">IF((SUM($G270:DL270)-$E269)&lt;0,0,IF((SUM($G270:DL270)-$E269)&lt;DL270,SUM($G270:DL270)-$E269,DL270))</f>
        <v>30</v>
      </c>
      <c r="DM280" s="402">
        <f ca="1">IF((SUM($G270:DM270)-$E269)&lt;0,0,IF((SUM($G270:DM270)-$E269)&lt;DM270,SUM($G270:DM270)-$E269,DM270))</f>
        <v>31</v>
      </c>
      <c r="DN280" s="402">
        <f ca="1">IF((SUM($G270:DN270)-$E269)&lt;0,0,IF((SUM($G270:DN270)-$E269)&lt;DN270,SUM($G270:DN270)-$E269,DN270))</f>
        <v>30</v>
      </c>
      <c r="DO280" s="402">
        <f ca="1">IF((SUM($G270:DO270)-$E269)&lt;0,0,IF((SUM($G270:DO270)-$E269)&lt;DO270,SUM($G270:DO270)-$E269,DO270))</f>
        <v>31</v>
      </c>
      <c r="DP280" s="402">
        <f ca="1">IF((SUM($G270:DP270)-$E269)&lt;0,0,IF((SUM($G270:DP270)-$E269)&lt;DP270,SUM($G270:DP270)-$E269,DP270))</f>
        <v>31</v>
      </c>
      <c r="DQ280" s="402">
        <f ca="1">IF((SUM($G270:DQ270)-$E269)&lt;0,0,IF((SUM($G270:DQ270)-$E269)&lt;DQ270,SUM($G270:DQ270)-$E269,DQ270))</f>
        <v>30</v>
      </c>
      <c r="DR280" s="402">
        <f ca="1">IF((SUM($G270:DR270)-$E269)&lt;0,0,IF((SUM($G270:DR270)-$E269)&lt;DR270,SUM($G270:DR270)-$E269,DR270))</f>
        <v>31</v>
      </c>
      <c r="DS280" s="402">
        <f ca="1">IF((SUM($G270:DS270)-$E269)&lt;0,0,IF((SUM($G270:DS270)-$E269)&lt;DS270,SUM($G270:DS270)-$E269,DS270))</f>
        <v>30</v>
      </c>
      <c r="DT280" s="402">
        <f ca="1">IF((SUM($G270:DT270)-$E269)&lt;0,0,IF((SUM($G270:DT270)-$E269)&lt;DT270,SUM($G270:DT270)-$E269,DT270))</f>
        <v>31</v>
      </c>
      <c r="DU280" s="402">
        <f ca="1">IF((SUM($G270:DU270)-$E269)&lt;0,0,IF((SUM($G270:DU270)-$E269)&lt;DU270,SUM($G270:DU270)-$E269,DU270))</f>
        <v>31</v>
      </c>
      <c r="DV280" s="402">
        <f ca="1">IF((SUM($G270:DV270)-$E269)&lt;0,0,IF((SUM($G270:DV270)-$E269)&lt;DV270,SUM($G270:DV270)-$E269,DV270))</f>
        <v>28</v>
      </c>
      <c r="DW280" s="402">
        <f ca="1">IF((SUM($G270:DW270)-$E269)&lt;0,0,IF((SUM($G270:DW270)-$E269)&lt;DW270,SUM($G270:DW270)-$E269,DW270))</f>
        <v>31</v>
      </c>
      <c r="DX280" s="402">
        <f ca="1">IF((SUM($G270:DX270)-$E269)&lt;0,0,IF((SUM($G270:DX270)-$E269)&lt;DX270,SUM($G270:DX270)-$E269,DX270))</f>
        <v>30</v>
      </c>
      <c r="DY280" s="402">
        <f ca="1">IF((SUM($G270:DY270)-$E269)&lt;0,0,IF((SUM($G270:DY270)-$E269)&lt;DY270,SUM($G270:DY270)-$E269,DY270))</f>
        <v>31</v>
      </c>
      <c r="DZ280" s="402">
        <f ca="1">IF((SUM($G270:DZ270)-$E269)&lt;0,0,IF((SUM($G270:DZ270)-$E269)&lt;DZ270,SUM($G270:DZ270)-$E269,DZ270))</f>
        <v>30</v>
      </c>
      <c r="EA280" s="402">
        <f ca="1">IF((SUM($G270:EA270)-$E269)&lt;0,0,IF((SUM($G270:EA270)-$E269)&lt;EA270,SUM($G270:EA270)-$E269,EA270))</f>
        <v>31</v>
      </c>
      <c r="EB280" s="402">
        <f ca="1">IF((SUM($G270:EB270)-$E269)&lt;0,0,IF((SUM($G270:EB270)-$E269)&lt;EB270,SUM($G270:EB270)-$E269,EB270))</f>
        <v>31</v>
      </c>
      <c r="EC280" s="402">
        <f ca="1">IF((SUM($G270:EC270)-$E269)&lt;0,0,IF((SUM($G270:EC270)-$E269)&lt;EC270,SUM($G270:EC270)-$E269,EC270))</f>
        <v>30</v>
      </c>
      <c r="ED280" s="402">
        <f ca="1">IF((SUM($G270:ED270)-$E269)&lt;0,0,IF((SUM($G270:ED270)-$E269)&lt;ED270,SUM($G270:ED270)-$E269,ED270))</f>
        <v>31</v>
      </c>
      <c r="EE280" s="402">
        <f ca="1">IF((SUM($G270:EE270)-$E269)&lt;0,0,IF((SUM($G270:EE270)-$E269)&lt;EE270,SUM($G270:EE270)-$E269,EE270))</f>
        <v>30</v>
      </c>
      <c r="EF280" s="402">
        <f ca="1">IF((SUM($G270:EF270)-$E269)&lt;0,0,IF((SUM($G270:EF270)-$E269)&lt;EF270,SUM($G270:EF270)-$E269,EF270))</f>
        <v>31</v>
      </c>
      <c r="EG280" s="402">
        <f ca="1">IF((SUM($G270:EG270)-$E269)&lt;0,0,IF((SUM($G270:EG270)-$E269)&lt;EG270,SUM($G270:EG270)-$E269,EG270))</f>
        <v>31</v>
      </c>
      <c r="EH280" s="402">
        <f ca="1">IF((SUM($G270:EH270)-$E269)&lt;0,0,IF((SUM($G270:EH270)-$E269)&lt;EH270,SUM($G270:EH270)-$E269,EH270))</f>
        <v>28</v>
      </c>
      <c r="EI280" s="402">
        <f ca="1">IF((SUM($G270:EI270)-$E269)&lt;0,0,IF((SUM($G270:EI270)-$E269)&lt;EI270,SUM($G270:EI270)-$E269,EI270))</f>
        <v>31</v>
      </c>
    </row>
    <row r="281" spans="1:141" hidden="1" outlineLevel="2">
      <c r="A281" s="332"/>
      <c r="B281" s="313"/>
      <c r="D281" s="305" t="s">
        <v>670</v>
      </c>
      <c r="E281" s="403">
        <f ca="1">MIN(G281:EI281)</f>
        <v>46388</v>
      </c>
      <c r="F281" s="404">
        <f ca="1">MAX(G281:EI281)</f>
        <v>46388</v>
      </c>
      <c r="G281" s="403" t="str">
        <f ca="1">IF(G279=0,"",IF(SUM($G279:G279)&gt;=1,OFFSET(G$228,-1,0),""))</f>
        <v/>
      </c>
      <c r="H281" s="403" t="str">
        <f ca="1">IF(SUM($G281:G281)&gt;=1,"",IF(H279=0,"",IF(SUM($G279:H279)&gt;=1,OFFSET(H$228,-1,0),"")))</f>
        <v/>
      </c>
      <c r="I281" s="403" t="str">
        <f ca="1">IF(SUM($G281:H281)&gt;=1,"",IF(I279=0,"",IF(SUM($G279:I279)&gt;=1,OFFSET(I$228,-1,0),"")))</f>
        <v/>
      </c>
      <c r="J281" s="403" t="str">
        <f ca="1">IF(SUM($G281:I281)&gt;=1,"",IF(J279=0,"",IF(SUM($G279:J279)&gt;=1,OFFSET(J$228,-1,0),"")))</f>
        <v/>
      </c>
      <c r="K281" s="403" t="str">
        <f ca="1">IF(SUM($G281:J281)&gt;=1,"",IF(K279=0,"",IF(SUM($G279:K279)&gt;=1,OFFSET(K$228,-1,0),"")))</f>
        <v/>
      </c>
      <c r="L281" s="403" t="str">
        <f ca="1">IF(SUM($G281:K281)&gt;=1,"",IF(L279=0,"",IF(SUM($G279:L279)&gt;=1,OFFSET(L$228,-1,0),"")))</f>
        <v/>
      </c>
      <c r="M281" s="403" t="str">
        <f ca="1">IF(SUM($G281:L281)&gt;=1,"",IF(M279=0,"",IF(SUM($G279:M279)&gt;=1,OFFSET(M$228,-1,0),"")))</f>
        <v/>
      </c>
      <c r="N281" s="403" t="str">
        <f ca="1">IF(SUM($G281:M281)&gt;=1,"",IF(N279=0,"",IF(SUM($G279:N279)&gt;=1,OFFSET(N$228,-1,0),"")))</f>
        <v/>
      </c>
      <c r="O281" s="403" t="str">
        <f ca="1">IF(SUM($G281:N281)&gt;=1,"",IF(O279=0,"",IF(SUM($G279:O279)&gt;=1,OFFSET(O$228,-1,0),"")))</f>
        <v/>
      </c>
      <c r="P281" s="403" t="str">
        <f ca="1">IF(SUM($G281:O281)&gt;=1,"",IF(P279=0,"",IF(SUM($G279:P279)&gt;=1,OFFSET(P$228,-1,0),"")))</f>
        <v/>
      </c>
      <c r="Q281" s="403" t="str">
        <f ca="1">IF(SUM($G281:P281)&gt;=1,"",IF(Q279=0,"",IF(SUM($G279:Q279)&gt;=1,OFFSET(Q$228,-1,0),"")))</f>
        <v/>
      </c>
      <c r="R281" s="403" t="str">
        <f ca="1">IF(SUM($G281:Q281)&gt;=1,"",IF(R279=0,"",IF(SUM($G279:R279)&gt;=1,OFFSET(R$228,-1,0),"")))</f>
        <v/>
      </c>
      <c r="S281" s="403" t="str">
        <f ca="1">IF(SUM($G281:R281)&gt;=1,"",IF(S279=0,"",IF(SUM($G279:S279)&gt;=1,OFFSET(S$228,-1,0),"")))</f>
        <v/>
      </c>
      <c r="T281" s="403" t="str">
        <f ca="1">IF(SUM($G281:S281)&gt;=1,"",IF(T279=0,"",IF(SUM($G279:T279)&gt;=1,OFFSET(T$228,-1,0),"")))</f>
        <v/>
      </c>
      <c r="U281" s="403" t="str">
        <f ca="1">IF(SUM($G281:T281)&gt;=1,"",IF(U279=0,"",IF(SUM($G279:U279)&gt;=1,OFFSET(U$228,-1,0),"")))</f>
        <v/>
      </c>
      <c r="V281" s="403" t="str">
        <f ca="1">IF(SUM($G281:U281)&gt;=1,"",IF(V279=0,"",IF(SUM($G279:V279)&gt;=1,OFFSET(V$228,-1,0),"")))</f>
        <v/>
      </c>
      <c r="W281" s="403" t="str">
        <f ca="1">IF(SUM($G281:V281)&gt;=1,"",IF(W279=0,"",IF(SUM($G279:W279)&gt;=1,OFFSET(W$228,-1,0),"")))</f>
        <v/>
      </c>
      <c r="X281" s="403" t="str">
        <f ca="1">IF(SUM($G281:W281)&gt;=1,"",IF(X279=0,"",IF(SUM($G279:X279)&gt;=1,OFFSET(X$228,-1,0),"")))</f>
        <v/>
      </c>
      <c r="Y281" s="403" t="str">
        <f ca="1">IF(SUM($G281:X281)&gt;=1,"",IF(Y279=0,"",IF(SUM($G279:Y279)&gt;=1,OFFSET(Y$228,-1,0),"")))</f>
        <v/>
      </c>
      <c r="Z281" s="403" t="str">
        <f ca="1">IF(SUM($G281:Y281)&gt;=1,"",IF(Z279=0,"",IF(SUM($G279:Z279)&gt;=1,OFFSET(Z$228,-1,0),"")))</f>
        <v/>
      </c>
      <c r="AA281" s="403" t="str">
        <f ca="1">IF(SUM($G281:Z281)&gt;=1,"",IF(AA279=0,"",IF(SUM($G279:AA279)&gt;=1,OFFSET(AA$228,-1,0),"")))</f>
        <v/>
      </c>
      <c r="AB281" s="403" t="str">
        <f ca="1">IF(SUM($G281:AA281)&gt;=1,"",IF(AB279=0,"",IF(SUM($G279:AB279)&gt;=1,OFFSET(AB$228,-1,0),"")))</f>
        <v/>
      </c>
      <c r="AC281" s="403" t="str">
        <f ca="1">IF(SUM($G281:AB281)&gt;=1,"",IF(AC279=0,"",IF(SUM($G279:AC279)&gt;=1,OFFSET(AC$228,-1,0),"")))</f>
        <v/>
      </c>
      <c r="AD281" s="403" t="str">
        <f ca="1">IF(SUM($G281:AC281)&gt;=1,"",IF(AD279=0,"",IF(SUM($G279:AD279)&gt;=1,OFFSET(AD$228,-1,0),"")))</f>
        <v/>
      </c>
      <c r="AE281" s="403" t="str">
        <f ca="1">IF(SUM($G281:AD281)&gt;=1,"",IF(AE279=0,"",IF(SUM($G279:AE279)&gt;=1,OFFSET(AE$228,-1,0),"")))</f>
        <v/>
      </c>
      <c r="AF281" s="403" t="str">
        <f ca="1">IF(SUM($G281:AE281)&gt;=1,"",IF(AF279=0,"",IF(SUM($G279:AF279)&gt;=1,OFFSET(AF$228,-1,0),"")))</f>
        <v/>
      </c>
      <c r="AG281" s="403" t="str">
        <f ca="1">IF(SUM($G281:AF281)&gt;=1,"",IF(AG279=0,"",IF(SUM($G279:AG279)&gt;=1,OFFSET(AG$228,-1,0),"")))</f>
        <v/>
      </c>
      <c r="AH281" s="403" t="str">
        <f ca="1">IF(SUM($G281:AG281)&gt;=1,"",IF(AH279=0,"",IF(SUM($G279:AH279)&gt;=1,OFFSET(AH$228,-1,0),"")))</f>
        <v/>
      </c>
      <c r="AI281" s="403" t="str">
        <f ca="1">IF(SUM($G281:AH281)&gt;=1,"",IF(AI279=0,"",IF(SUM($G279:AI279)&gt;=1,OFFSET(AI$228,-1,0),"")))</f>
        <v/>
      </c>
      <c r="AJ281" s="403" t="str">
        <f ca="1">IF(SUM($G281:AI281)&gt;=1,"",IF(AJ279=0,"",IF(SUM($G279:AJ279)&gt;=1,OFFSET(AJ$228,-1,0),"")))</f>
        <v/>
      </c>
      <c r="AK281" s="403" t="str">
        <f ca="1">IF(SUM($G281:AJ281)&gt;=1,"",IF(AK279=0,"",IF(SUM($G279:AK279)&gt;=1,OFFSET(AK$228,-1,0),"")))</f>
        <v/>
      </c>
      <c r="AL281" s="403" t="str">
        <f ca="1">IF(SUM($G281:AK281)&gt;=1,"",IF(AL279=0,"",IF(SUM($G279:AL279)&gt;=1,OFFSET(AL$228,-1,0),"")))</f>
        <v/>
      </c>
      <c r="AM281" s="403" t="str">
        <f ca="1">IF(SUM($G281:AL281)&gt;=1,"",IF(AM279=0,"",IF(SUM($G279:AM279)&gt;=1,OFFSET(AM$228,-1,0),"")))</f>
        <v/>
      </c>
      <c r="AN281" s="403" t="str">
        <f ca="1">IF(SUM($G281:AM281)&gt;=1,"",IF(AN279=0,"",IF(SUM($G279:AN279)&gt;=1,OFFSET(AN$228,-1,0),"")))</f>
        <v/>
      </c>
      <c r="AO281" s="403" t="str">
        <f ca="1">IF(SUM($G281:AN281)&gt;=1,"",IF(AO279=0,"",IF(SUM($G279:AO279)&gt;=1,OFFSET(AO$228,-1,0),"")))</f>
        <v/>
      </c>
      <c r="AP281" s="403" t="str">
        <f ca="1">IF(SUM($G281:AO281)&gt;=1,"",IF(AP279=0,"",IF(SUM($G279:AP279)&gt;=1,OFFSET(AP$228,-1,0),"")))</f>
        <v/>
      </c>
      <c r="AQ281" s="403" t="str">
        <f ca="1">IF(SUM($G281:AP281)&gt;=1,"",IF(AQ279=0,"",IF(SUM($G279:AQ279)&gt;=1,OFFSET(AQ$228,-1,0),"")))</f>
        <v/>
      </c>
      <c r="AR281" s="403" t="str">
        <f ca="1">IF(SUM($G281:AQ281)&gt;=1,"",IF(AR279=0,"",IF(SUM($G279:AR279)&gt;=1,OFFSET(AR$228,-1,0),"")))</f>
        <v/>
      </c>
      <c r="AS281" s="403" t="str">
        <f ca="1">IF(SUM($G281:AR281)&gt;=1,"",IF(AS279=0,"",IF(SUM($G279:AS279)&gt;=1,OFFSET(AS$228,-1,0),"")))</f>
        <v/>
      </c>
      <c r="AT281" s="403" t="str">
        <f ca="1">IF(SUM($G281:AS281)&gt;=1,"",IF(AT279=0,"",IF(SUM($G279:AT279)&gt;=1,OFFSET(AT$228,-1,0),"")))</f>
        <v/>
      </c>
      <c r="AU281" s="403" t="str">
        <f ca="1">IF(SUM($G281:AT281)&gt;=1,"",IF(AU279=0,"",IF(SUM($G279:AU279)&gt;=1,OFFSET(AU$228,-1,0),"")))</f>
        <v/>
      </c>
      <c r="AV281" s="403" t="str">
        <f ca="1">IF(SUM($G281:AU281)&gt;=1,"",IF(AV279=0,"",IF(SUM($G279:AV279)&gt;=1,OFFSET(AV$228,-1,0),"")))</f>
        <v/>
      </c>
      <c r="AW281" s="403" t="str">
        <f ca="1">IF(SUM($G281:AV281)&gt;=1,"",IF(AW279=0,"",IF(SUM($G279:AW279)&gt;=1,OFFSET(AW$228,-1,0),"")))</f>
        <v/>
      </c>
      <c r="AX281" s="403" t="str">
        <f ca="1">IF(SUM($G281:AW281)&gt;=1,"",IF(AX279=0,"",IF(SUM($G279:AX279)&gt;=1,OFFSET(AX$228,-1,0),"")))</f>
        <v/>
      </c>
      <c r="AY281" s="403" t="str">
        <f ca="1">IF(SUM($G281:AX281)&gt;=1,"",IF(AY279=0,"",IF(SUM($G279:AY279)&gt;=1,OFFSET(AY$228,-1,0),"")))</f>
        <v/>
      </c>
      <c r="AZ281" s="403" t="str">
        <f ca="1">IF(SUM($G281:AY281)&gt;=1,"",IF(AZ279=0,"",IF(SUM($G279:AZ279)&gt;=1,OFFSET(AZ$228,-1,0),"")))</f>
        <v/>
      </c>
      <c r="BA281" s="403">
        <f ca="1">IF(SUM($G281:AZ281)&gt;=1,"",IF(BA279=0,"",IF(SUM($G279:BA279)&gt;=1,OFFSET(BA$228,-1,0),"")))</f>
        <v>46388</v>
      </c>
      <c r="BB281" s="403" t="str">
        <f ca="1">IF(SUM($G281:BA281)&gt;=1,"",IF(BB279=0,"",IF(SUM($G279:BB279)&gt;=1,OFFSET(BB$228,-1,0),"")))</f>
        <v/>
      </c>
      <c r="BC281" s="403" t="str">
        <f ca="1">IF(SUM($G281:BB281)&gt;=1,"",IF(BC279=0,"",IF(SUM($G279:BC279)&gt;=1,OFFSET(BC$228,-1,0),"")))</f>
        <v/>
      </c>
      <c r="BD281" s="403" t="str">
        <f ca="1">IF(SUM($G281:BC281)&gt;=1,"",IF(BD279=0,"",IF(SUM($G279:BD279)&gt;=1,OFFSET(BD$228,-1,0),"")))</f>
        <v/>
      </c>
      <c r="BE281" s="403" t="str">
        <f ca="1">IF(SUM($G281:BD281)&gt;=1,"",IF(BE279=0,"",IF(SUM($G279:BE279)&gt;=1,OFFSET(BE$228,-1,0),"")))</f>
        <v/>
      </c>
      <c r="BF281" s="403" t="str">
        <f ca="1">IF(SUM($G281:BE281)&gt;=1,"",IF(BF279=0,"",IF(SUM($G279:BF279)&gt;=1,OFFSET(BF$228,-1,0),"")))</f>
        <v/>
      </c>
      <c r="BG281" s="403" t="str">
        <f ca="1">IF(SUM($G281:BF281)&gt;=1,"",IF(BG279=0,"",IF(SUM($G279:BG279)&gt;=1,OFFSET(BG$228,-1,0),"")))</f>
        <v/>
      </c>
      <c r="BH281" s="403" t="str">
        <f ca="1">IF(SUM($G281:BG281)&gt;=1,"",IF(BH279=0,"",IF(SUM($G279:BH279)&gt;=1,OFFSET(BH$228,-1,0),"")))</f>
        <v/>
      </c>
      <c r="BI281" s="403" t="str">
        <f ca="1">IF(SUM($G281:BH281)&gt;=1,"",IF(BI279=0,"",IF(SUM($G279:BI279)&gt;=1,OFFSET(BI$228,-1,0),"")))</f>
        <v/>
      </c>
      <c r="BJ281" s="403" t="str">
        <f ca="1">IF(SUM($G281:BI281)&gt;=1,"",IF(BJ279=0,"",IF(SUM($G279:BJ279)&gt;=1,OFFSET(BJ$228,-1,0),"")))</f>
        <v/>
      </c>
      <c r="BK281" s="403" t="str">
        <f ca="1">IF(SUM($G281:BJ281)&gt;=1,"",IF(BK279=0,"",IF(SUM($G279:BK279)&gt;=1,OFFSET(BK$228,-1,0),"")))</f>
        <v/>
      </c>
      <c r="BL281" s="403" t="str">
        <f ca="1">IF(SUM($G281:BK281)&gt;=1,"",IF(BL279=0,"",IF(SUM($G279:BL279)&gt;=1,OFFSET(BL$228,-1,0),"")))</f>
        <v/>
      </c>
      <c r="BM281" s="403" t="str">
        <f ca="1">IF(SUM($G281:BL281)&gt;=1,"",IF(BM279=0,"",IF(SUM($G279:BM279)&gt;=1,OFFSET(BM$228,-1,0),"")))</f>
        <v/>
      </c>
      <c r="BN281" s="403" t="str">
        <f ca="1">IF(SUM($G281:BM281)&gt;=1,"",IF(BN279=0,"",IF(SUM($G279:BN279)&gt;=1,OFFSET(BN$228,-1,0),"")))</f>
        <v/>
      </c>
      <c r="BO281" s="403" t="str">
        <f ca="1">IF(SUM($G281:BN281)&gt;=1,"",IF(BO279=0,"",IF(SUM($G279:BO279)&gt;=1,OFFSET(BO$228,-1,0),"")))</f>
        <v/>
      </c>
      <c r="BP281" s="403" t="str">
        <f ca="1">IF(SUM($G281:BO281)&gt;=1,"",IF(BP279=0,"",IF(SUM($G279:BP279)&gt;=1,OFFSET(BP$228,-1,0),"")))</f>
        <v/>
      </c>
      <c r="BQ281" s="403" t="str">
        <f ca="1">IF(SUM($G281:BP281)&gt;=1,"",IF(BQ279=0,"",IF(SUM($G279:BQ279)&gt;=1,OFFSET(BQ$228,-1,0),"")))</f>
        <v/>
      </c>
      <c r="BR281" s="403" t="str">
        <f ca="1">IF(SUM($G281:BQ281)&gt;=1,"",IF(BR279=0,"",IF(SUM($G279:BR279)&gt;=1,OFFSET(BR$228,-1,0),"")))</f>
        <v/>
      </c>
      <c r="BS281" s="403" t="str">
        <f ca="1">IF(SUM($G281:BR281)&gt;=1,"",IF(BS279=0,"",IF(SUM($G279:BS279)&gt;=1,OFFSET(BS$228,-1,0),"")))</f>
        <v/>
      </c>
      <c r="BT281" s="403" t="str">
        <f ca="1">IF(SUM($G281:BS281)&gt;=1,"",IF(BT279=0,"",IF(SUM($G279:BT279)&gt;=1,OFFSET(BT$228,-1,0),"")))</f>
        <v/>
      </c>
      <c r="BU281" s="403" t="str">
        <f ca="1">IF(SUM($G281:BT281)&gt;=1,"",IF(BU279=0,"",IF(SUM($G279:BU279)&gt;=1,OFFSET(BU$228,-1,0),"")))</f>
        <v/>
      </c>
      <c r="BV281" s="403" t="str">
        <f ca="1">IF(SUM($G281:BU281)&gt;=1,"",IF(BV279=0,"",IF(SUM($G279:BV279)&gt;=1,OFFSET(BV$228,-1,0),"")))</f>
        <v/>
      </c>
      <c r="BW281" s="403" t="str">
        <f ca="1">IF(SUM($G281:BV281)&gt;=1,"",IF(BW279=0,"",IF(SUM($G279:BW279)&gt;=1,OFFSET(BW$228,-1,0),"")))</f>
        <v/>
      </c>
      <c r="BX281" s="403" t="str">
        <f ca="1">IF(SUM($G281:BW281)&gt;=1,"",IF(BX279=0,"",IF(SUM($G279:BX279)&gt;=1,OFFSET(BX$228,-1,0),"")))</f>
        <v/>
      </c>
      <c r="BY281" s="403" t="str">
        <f ca="1">IF(SUM($G281:BX281)&gt;=1,"",IF(BY279=0,"",IF(SUM($G279:BY279)&gt;=1,OFFSET(BY$228,-1,0),"")))</f>
        <v/>
      </c>
      <c r="BZ281" s="403" t="str">
        <f ca="1">IF(SUM($G281:BY281)&gt;=1,"",IF(BZ279=0,"",IF(SUM($G279:BZ279)&gt;=1,OFFSET(BZ$228,-1,0),"")))</f>
        <v/>
      </c>
      <c r="CA281" s="403" t="str">
        <f ca="1">IF(SUM($G281:BZ281)&gt;=1,"",IF(CA279=0,"",IF(SUM($G279:CA279)&gt;=1,OFFSET(CA$228,-1,0),"")))</f>
        <v/>
      </c>
      <c r="CB281" s="403" t="str">
        <f ca="1">IF(SUM($G281:CA281)&gt;=1,"",IF(CB279=0,"",IF(SUM($G279:CB279)&gt;=1,OFFSET(CB$228,-1,0),"")))</f>
        <v/>
      </c>
      <c r="CC281" s="403" t="str">
        <f ca="1">IF(SUM($G281:CB281)&gt;=1,"",IF(CC279=0,"",IF(SUM($G279:CC279)&gt;=1,OFFSET(CC$228,-1,0),"")))</f>
        <v/>
      </c>
      <c r="CD281" s="403" t="str">
        <f ca="1">IF(SUM($G281:CC281)&gt;=1,"",IF(CD279=0,"",IF(SUM($G279:CD279)&gt;=1,OFFSET(CD$228,-1,0),"")))</f>
        <v/>
      </c>
      <c r="CE281" s="403" t="str">
        <f ca="1">IF(SUM($G281:CD281)&gt;=1,"",IF(CE279=0,"",IF(SUM($G279:CE279)&gt;=1,OFFSET(CE$228,-1,0),"")))</f>
        <v/>
      </c>
      <c r="CF281" s="403" t="str">
        <f ca="1">IF(SUM($G281:CE281)&gt;=1,"",IF(CF279=0,"",IF(SUM($G279:CF279)&gt;=1,OFFSET(CF$228,-1,0),"")))</f>
        <v/>
      </c>
      <c r="CG281" s="403" t="str">
        <f ca="1">IF(SUM($G281:CF281)&gt;=1,"",IF(CG279=0,"",IF(SUM($G279:CG279)&gt;=1,OFFSET(CG$228,-1,0),"")))</f>
        <v/>
      </c>
      <c r="CH281" s="403" t="str">
        <f ca="1">IF(SUM($G281:CG281)&gt;=1,"",IF(CH279=0,"",IF(SUM($G279:CH279)&gt;=1,OFFSET(CH$228,-1,0),"")))</f>
        <v/>
      </c>
      <c r="CI281" s="403" t="str">
        <f ca="1">IF(SUM($G281:CH281)&gt;=1,"",IF(CI279=0,"",IF(SUM($G279:CI279)&gt;=1,OFFSET(CI$228,-1,0),"")))</f>
        <v/>
      </c>
      <c r="CJ281" s="403" t="str">
        <f ca="1">IF(SUM($G281:CI281)&gt;=1,"",IF(CJ279=0,"",IF(SUM($G279:CJ279)&gt;=1,OFFSET(CJ$228,-1,0),"")))</f>
        <v/>
      </c>
      <c r="CK281" s="403" t="str">
        <f ca="1">IF(SUM($G281:CJ281)&gt;=1,"",IF(CK279=0,"",IF(SUM($G279:CK279)&gt;=1,OFFSET(CK$228,-1,0),"")))</f>
        <v/>
      </c>
      <c r="CL281" s="403" t="str">
        <f ca="1">IF(SUM($G281:CK281)&gt;=1,"",IF(CL279=0,"",IF(SUM($G279:CL279)&gt;=1,OFFSET(CL$228,-1,0),"")))</f>
        <v/>
      </c>
      <c r="CM281" s="403" t="str">
        <f ca="1">IF(SUM($G281:CL281)&gt;=1,"",IF(CM279=0,"",IF(SUM($G279:CM279)&gt;=1,OFFSET(CM$228,-1,0),"")))</f>
        <v/>
      </c>
      <c r="CN281" s="403" t="str">
        <f ca="1">IF(SUM($G281:CM281)&gt;=1,"",IF(CN279=0,"",IF(SUM($G279:CN279)&gt;=1,OFFSET(CN$228,-1,0),"")))</f>
        <v/>
      </c>
      <c r="CO281" s="403" t="str">
        <f ca="1">IF(SUM($G281:CN281)&gt;=1,"",IF(CO279=0,"",IF(SUM($G279:CO279)&gt;=1,OFFSET(CO$228,-1,0),"")))</f>
        <v/>
      </c>
      <c r="CP281" s="403" t="str">
        <f ca="1">IF(SUM($G281:CO281)&gt;=1,"",IF(CP279=0,"",IF(SUM($G279:CP279)&gt;=1,OFFSET(CP$228,-1,0),"")))</f>
        <v/>
      </c>
      <c r="CQ281" s="403" t="str">
        <f ca="1">IF(SUM($G281:CP281)&gt;=1,"",IF(CQ279=0,"",IF(SUM($G279:CQ279)&gt;=1,OFFSET(CQ$228,-1,0),"")))</f>
        <v/>
      </c>
      <c r="CR281" s="403" t="str">
        <f ca="1">IF(SUM($G281:CQ281)&gt;=1,"",IF(CR279=0,"",IF(SUM($G279:CR279)&gt;=1,OFFSET(CR$228,-1,0),"")))</f>
        <v/>
      </c>
      <c r="CS281" s="403" t="str">
        <f ca="1">IF(SUM($G281:CR281)&gt;=1,"",IF(CS279=0,"",IF(SUM($G279:CS279)&gt;=1,OFFSET(CS$228,-1,0),"")))</f>
        <v/>
      </c>
      <c r="CT281" s="403" t="str">
        <f ca="1">IF(SUM($G281:CS281)&gt;=1,"",IF(CT279=0,"",IF(SUM($G279:CT279)&gt;=1,OFFSET(CT$228,-1,0),"")))</f>
        <v/>
      </c>
      <c r="CU281" s="403" t="str">
        <f ca="1">IF(SUM($G281:CT281)&gt;=1,"",IF(CU279=0,"",IF(SUM($G279:CU279)&gt;=1,OFFSET(CU$228,-1,0),"")))</f>
        <v/>
      </c>
      <c r="CV281" s="403" t="str">
        <f ca="1">IF(SUM($G281:CU281)&gt;=1,"",IF(CV279=0,"",IF(SUM($G279:CV279)&gt;=1,OFFSET(CV$228,-1,0),"")))</f>
        <v/>
      </c>
      <c r="CW281" s="403" t="str">
        <f ca="1">IF(SUM($G281:CV281)&gt;=1,"",IF(CW279=0,"",IF(SUM($G279:CW279)&gt;=1,OFFSET(CW$228,-1,0),"")))</f>
        <v/>
      </c>
      <c r="CX281" s="403" t="str">
        <f ca="1">IF(SUM($G281:CW281)&gt;=1,"",IF(CX279=0,"",IF(SUM($G279:CX279)&gt;=1,OFFSET(CX$228,-1,0),"")))</f>
        <v/>
      </c>
      <c r="CY281" s="403" t="str">
        <f ca="1">IF(SUM($G281:CX281)&gt;=1,"",IF(CY279=0,"",IF(SUM($G279:CY279)&gt;=1,OFFSET(CY$228,-1,0),"")))</f>
        <v/>
      </c>
      <c r="CZ281" s="403" t="str">
        <f ca="1">IF(SUM($G281:CY281)&gt;=1,"",IF(CZ279=0,"",IF(SUM($G279:CZ279)&gt;=1,OFFSET(CZ$228,-1,0),"")))</f>
        <v/>
      </c>
      <c r="DA281" s="403" t="str">
        <f ca="1">IF(SUM($G281:CZ281)&gt;=1,"",IF(DA279=0,"",IF(SUM($G279:DA279)&gt;=1,OFFSET(DA$228,-1,0),"")))</f>
        <v/>
      </c>
      <c r="DB281" s="403" t="str">
        <f ca="1">IF(SUM($G281:DA281)&gt;=1,"",IF(DB279=0,"",IF(SUM($G279:DB279)&gt;=1,OFFSET(DB$228,-1,0),"")))</f>
        <v/>
      </c>
      <c r="DC281" s="403" t="str">
        <f ca="1">IF(SUM($G281:DB281)&gt;=1,"",IF(DC279=0,"",IF(SUM($G279:DC279)&gt;=1,OFFSET(DC$228,-1,0),"")))</f>
        <v/>
      </c>
      <c r="DD281" s="403" t="str">
        <f ca="1">IF(SUM($G281:DC281)&gt;=1,"",IF(DD279=0,"",IF(SUM($G279:DD279)&gt;=1,OFFSET(DD$228,-1,0),"")))</f>
        <v/>
      </c>
      <c r="DE281" s="403" t="str">
        <f ca="1">IF(SUM($G281:DD281)&gt;=1,"",IF(DE279=0,"",IF(SUM($G279:DE279)&gt;=1,OFFSET(DE$228,-1,0),"")))</f>
        <v/>
      </c>
      <c r="DF281" s="403" t="str">
        <f ca="1">IF(SUM($G281:DE281)&gt;=1,"",IF(DF279=0,"",IF(SUM($G279:DF279)&gt;=1,OFFSET(DF$228,-1,0),"")))</f>
        <v/>
      </c>
      <c r="DG281" s="403" t="str">
        <f ca="1">IF(SUM($G281:DF281)&gt;=1,"",IF(DG279=0,"",IF(SUM($G279:DG279)&gt;=1,OFFSET(DG$228,-1,0),"")))</f>
        <v/>
      </c>
      <c r="DH281" s="403" t="str">
        <f ca="1">IF(SUM($G281:DG281)&gt;=1,"",IF(DH279=0,"",IF(SUM($G279:DH279)&gt;=1,OFFSET(DH$228,-1,0),"")))</f>
        <v/>
      </c>
      <c r="DI281" s="403" t="str">
        <f ca="1">IF(SUM($G281:DH281)&gt;=1,"",IF(DI279=0,"",IF(SUM($G279:DI279)&gt;=1,OFFSET(DI$228,-1,0),"")))</f>
        <v/>
      </c>
      <c r="DJ281" s="403" t="str">
        <f ca="1">IF(SUM($G281:DI281)&gt;=1,"",IF(DJ279=0,"",IF(SUM($G279:DJ279)&gt;=1,OFFSET(DJ$228,-1,0),"")))</f>
        <v/>
      </c>
      <c r="DK281" s="403" t="str">
        <f ca="1">IF(SUM($G281:DJ281)&gt;=1,"",IF(DK279=0,"",IF(SUM($G279:DK279)&gt;=1,OFFSET(DK$228,-1,0),"")))</f>
        <v/>
      </c>
      <c r="DL281" s="403" t="str">
        <f ca="1">IF(SUM($G281:DK281)&gt;=1,"",IF(DL279=0,"",IF(SUM($G279:DL279)&gt;=1,OFFSET(DL$228,-1,0),"")))</f>
        <v/>
      </c>
      <c r="DM281" s="403" t="str">
        <f ca="1">IF(SUM($G281:DL281)&gt;=1,"",IF(DM279=0,"",IF(SUM($G279:DM279)&gt;=1,OFFSET(DM$228,-1,0),"")))</f>
        <v/>
      </c>
      <c r="DN281" s="403" t="str">
        <f ca="1">IF(SUM($G281:DM281)&gt;=1,"",IF(DN279=0,"",IF(SUM($G279:DN279)&gt;=1,OFFSET(DN$228,-1,0),"")))</f>
        <v/>
      </c>
      <c r="DO281" s="403" t="str">
        <f ca="1">IF(SUM($G281:DN281)&gt;=1,"",IF(DO279=0,"",IF(SUM($G279:DO279)&gt;=1,OFFSET(DO$228,-1,0),"")))</f>
        <v/>
      </c>
      <c r="DP281" s="403" t="str">
        <f ca="1">IF(SUM($G281:DO281)&gt;=1,"",IF(DP279=0,"",IF(SUM($G279:DP279)&gt;=1,OFFSET(DP$228,-1,0),"")))</f>
        <v/>
      </c>
      <c r="DQ281" s="403" t="str">
        <f ca="1">IF(SUM($G281:DP281)&gt;=1,"",IF(DQ279=0,"",IF(SUM($G279:DQ279)&gt;=1,OFFSET(DQ$228,-1,0),"")))</f>
        <v/>
      </c>
      <c r="DR281" s="403" t="str">
        <f ca="1">IF(SUM($G281:DQ281)&gt;=1,"",IF(DR279=0,"",IF(SUM($G279:DR279)&gt;=1,OFFSET(DR$228,-1,0),"")))</f>
        <v/>
      </c>
      <c r="DS281" s="403" t="str">
        <f ca="1">IF(SUM($G281:DR281)&gt;=1,"",IF(DS279=0,"",IF(SUM($G279:DS279)&gt;=1,OFFSET(DS$228,-1,0),"")))</f>
        <v/>
      </c>
      <c r="DT281" s="403" t="str">
        <f ca="1">IF(SUM($G281:DS281)&gt;=1,"",IF(DT279=0,"",IF(SUM($G279:DT279)&gt;=1,OFFSET(DT$228,-1,0),"")))</f>
        <v/>
      </c>
      <c r="DU281" s="403" t="str">
        <f ca="1">IF(SUM($G281:DT281)&gt;=1,"",IF(DU279=0,"",IF(SUM($G279:DU279)&gt;=1,OFFSET(DU$228,-1,0),"")))</f>
        <v/>
      </c>
      <c r="DV281" s="403" t="str">
        <f ca="1">IF(SUM($G281:DU281)&gt;=1,"",IF(DV279=0,"",IF(SUM($G279:DV279)&gt;=1,OFFSET(DV$228,-1,0),"")))</f>
        <v/>
      </c>
      <c r="DW281" s="403" t="str">
        <f ca="1">IF(SUM($G281:DV281)&gt;=1,"",IF(DW279=0,"",IF(SUM($G279:DW279)&gt;=1,OFFSET(DW$228,-1,0),"")))</f>
        <v/>
      </c>
      <c r="DX281" s="403" t="str">
        <f ca="1">IF(SUM($G281:DW281)&gt;=1,"",IF(DX279=0,"",IF(SUM($G279:DX279)&gt;=1,OFFSET(DX$228,-1,0),"")))</f>
        <v/>
      </c>
      <c r="DY281" s="403" t="str">
        <f ca="1">IF(SUM($G281:DX281)&gt;=1,"",IF(DY279=0,"",IF(SUM($G279:DY279)&gt;=1,OFFSET(DY$228,-1,0),"")))</f>
        <v/>
      </c>
      <c r="DZ281" s="403" t="str">
        <f ca="1">IF(SUM($G281:DY281)&gt;=1,"",IF(DZ279=0,"",IF(SUM($G279:DZ279)&gt;=1,OFFSET(DZ$228,-1,0),"")))</f>
        <v/>
      </c>
      <c r="EA281" s="403" t="str">
        <f ca="1">IF(SUM($G281:DZ281)&gt;=1,"",IF(EA279=0,"",IF(SUM($G279:EA279)&gt;=1,OFFSET(EA$228,-1,0),"")))</f>
        <v/>
      </c>
      <c r="EB281" s="403" t="str">
        <f ca="1">IF(SUM($G281:EA281)&gt;=1,"",IF(EB279=0,"",IF(SUM($G279:EB279)&gt;=1,OFFSET(EB$228,-1,0),"")))</f>
        <v/>
      </c>
      <c r="EC281" s="403" t="str">
        <f ca="1">IF(SUM($G281:EB281)&gt;=1,"",IF(EC279=0,"",IF(SUM($G279:EC279)&gt;=1,OFFSET(EC$228,-1,0),"")))</f>
        <v/>
      </c>
      <c r="ED281" s="403" t="str">
        <f ca="1">IF(SUM($G281:EC281)&gt;=1,"",IF(ED279=0,"",IF(SUM($G279:ED279)&gt;=1,OFFSET(ED$228,-1,0),"")))</f>
        <v/>
      </c>
      <c r="EE281" s="403" t="str">
        <f ca="1">IF(SUM($G281:ED281)&gt;=1,"",IF(EE279=0,"",IF(SUM($G279:EE279)&gt;=1,OFFSET(EE$228,-1,0),"")))</f>
        <v/>
      </c>
      <c r="EF281" s="403" t="str">
        <f ca="1">IF(SUM($G281:EE281)&gt;=1,"",IF(EF279=0,"",IF(SUM($G279:EF279)&gt;=1,OFFSET(EF$228,-1,0),"")))</f>
        <v/>
      </c>
      <c r="EG281" s="403" t="str">
        <f ca="1">IF(SUM($G281:EF281)&gt;=1,"",IF(EG279=0,"",IF(SUM($G279:EG279)&gt;=1,OFFSET(EG$228,-1,0),"")))</f>
        <v/>
      </c>
      <c r="EH281" s="403" t="str">
        <f ca="1">IF(SUM($G281:EG281)&gt;=1,"",IF(EH279=0,"",IF(SUM($G279:EH279)&gt;=1,OFFSET(EH$228,-1,0),"")))</f>
        <v/>
      </c>
      <c r="EI281" s="403" t="str">
        <f ca="1">IF(SUM($G281:EH281)&gt;=1,"",IF(EI279=0,"",IF(SUM($G279:EI279)&gt;=1,OFFSET(EI$228,-1,0),"")))</f>
        <v/>
      </c>
    </row>
    <row r="282" spans="1:141" hidden="1" outlineLevel="2">
      <c r="A282" s="332"/>
      <c r="B282" s="313"/>
      <c r="D282" s="305" t="s">
        <v>671</v>
      </c>
      <c r="E282" s="1002">
        <f ca="1">IF(E279=0,"",MIN(G282:EI282))</f>
        <v>46414</v>
      </c>
      <c r="F282" s="1003"/>
      <c r="G282" s="403" t="str">
        <f>IF(G279=0,"",IF(G279=G$3,G281,G$5+H$5-G283-1))</f>
        <v/>
      </c>
      <c r="H282" s="403" t="str">
        <f ca="1">IF(H279=0,"",IF(H279=H$3,H281,H$5+I$5-H283-1))</f>
        <v/>
      </c>
      <c r="I282" s="403" t="str">
        <f t="shared" ref="I282:BT282" ca="1" si="488">IF(I279=0,"",IF(I279=I$3,I281,I$5+J$5-I283-1))</f>
        <v/>
      </c>
      <c r="J282" s="403" t="str">
        <f t="shared" ca="1" si="488"/>
        <v/>
      </c>
      <c r="K282" s="403" t="str">
        <f t="shared" ca="1" si="488"/>
        <v/>
      </c>
      <c r="L282" s="403" t="str">
        <f t="shared" ca="1" si="488"/>
        <v/>
      </c>
      <c r="M282" s="403" t="str">
        <f t="shared" ca="1" si="488"/>
        <v/>
      </c>
      <c r="N282" s="403" t="str">
        <f t="shared" ca="1" si="488"/>
        <v/>
      </c>
      <c r="O282" s="403" t="str">
        <f t="shared" ca="1" si="488"/>
        <v/>
      </c>
      <c r="P282" s="403" t="str">
        <f t="shared" ca="1" si="488"/>
        <v/>
      </c>
      <c r="Q282" s="403" t="str">
        <f t="shared" ca="1" si="488"/>
        <v/>
      </c>
      <c r="R282" s="403" t="str">
        <f t="shared" ca="1" si="488"/>
        <v/>
      </c>
      <c r="S282" s="403" t="str">
        <f t="shared" ca="1" si="488"/>
        <v/>
      </c>
      <c r="T282" s="403" t="str">
        <f t="shared" ca="1" si="488"/>
        <v/>
      </c>
      <c r="U282" s="403" t="str">
        <f t="shared" ca="1" si="488"/>
        <v/>
      </c>
      <c r="V282" s="403" t="str">
        <f t="shared" ca="1" si="488"/>
        <v/>
      </c>
      <c r="W282" s="403" t="str">
        <f t="shared" ca="1" si="488"/>
        <v/>
      </c>
      <c r="X282" s="403" t="str">
        <f t="shared" ca="1" si="488"/>
        <v/>
      </c>
      <c r="Y282" s="403" t="str">
        <f t="shared" ca="1" si="488"/>
        <v/>
      </c>
      <c r="Z282" s="403" t="str">
        <f t="shared" ca="1" si="488"/>
        <v/>
      </c>
      <c r="AA282" s="403" t="str">
        <f t="shared" ca="1" si="488"/>
        <v/>
      </c>
      <c r="AB282" s="403" t="str">
        <f t="shared" ca="1" si="488"/>
        <v/>
      </c>
      <c r="AC282" s="403" t="str">
        <f t="shared" ca="1" si="488"/>
        <v/>
      </c>
      <c r="AD282" s="403" t="str">
        <f t="shared" ca="1" si="488"/>
        <v/>
      </c>
      <c r="AE282" s="403" t="str">
        <f t="shared" ca="1" si="488"/>
        <v/>
      </c>
      <c r="AF282" s="403" t="str">
        <f t="shared" ca="1" si="488"/>
        <v/>
      </c>
      <c r="AG282" s="403" t="str">
        <f t="shared" ca="1" si="488"/>
        <v/>
      </c>
      <c r="AH282" s="403" t="str">
        <f t="shared" ca="1" si="488"/>
        <v/>
      </c>
      <c r="AI282" s="403" t="str">
        <f t="shared" ca="1" si="488"/>
        <v/>
      </c>
      <c r="AJ282" s="403" t="str">
        <f t="shared" ca="1" si="488"/>
        <v/>
      </c>
      <c r="AK282" s="403" t="str">
        <f t="shared" ca="1" si="488"/>
        <v/>
      </c>
      <c r="AL282" s="403" t="str">
        <f t="shared" ca="1" si="488"/>
        <v/>
      </c>
      <c r="AM282" s="403" t="str">
        <f t="shared" ca="1" si="488"/>
        <v/>
      </c>
      <c r="AN282" s="403" t="str">
        <f t="shared" ca="1" si="488"/>
        <v/>
      </c>
      <c r="AO282" s="403" t="str">
        <f t="shared" ca="1" si="488"/>
        <v/>
      </c>
      <c r="AP282" s="403" t="str">
        <f t="shared" ca="1" si="488"/>
        <v/>
      </c>
      <c r="AQ282" s="403" t="str">
        <f t="shared" ca="1" si="488"/>
        <v/>
      </c>
      <c r="AR282" s="403" t="str">
        <f t="shared" ca="1" si="488"/>
        <v/>
      </c>
      <c r="AS282" s="403" t="str">
        <f t="shared" ca="1" si="488"/>
        <v/>
      </c>
      <c r="AT282" s="403" t="str">
        <f t="shared" ca="1" si="488"/>
        <v/>
      </c>
      <c r="AU282" s="403" t="str">
        <f t="shared" ca="1" si="488"/>
        <v/>
      </c>
      <c r="AV282" s="403" t="str">
        <f t="shared" ca="1" si="488"/>
        <v/>
      </c>
      <c r="AW282" s="403" t="str">
        <f t="shared" ca="1" si="488"/>
        <v/>
      </c>
      <c r="AX282" s="403" t="str">
        <f t="shared" ca="1" si="488"/>
        <v/>
      </c>
      <c r="AY282" s="403" t="str">
        <f t="shared" ca="1" si="488"/>
        <v/>
      </c>
      <c r="AZ282" s="403" t="str">
        <f t="shared" ca="1" si="488"/>
        <v/>
      </c>
      <c r="BA282" s="403">
        <f t="shared" ca="1" si="488"/>
        <v>46414</v>
      </c>
      <c r="BB282" s="403" t="str">
        <f t="shared" ca="1" si="488"/>
        <v/>
      </c>
      <c r="BC282" s="403" t="str">
        <f t="shared" ca="1" si="488"/>
        <v/>
      </c>
      <c r="BD282" s="403" t="str">
        <f t="shared" ca="1" si="488"/>
        <v/>
      </c>
      <c r="BE282" s="403">
        <f t="shared" ca="1" si="488"/>
        <v>46518</v>
      </c>
      <c r="BF282" s="403" t="str">
        <f t="shared" ca="1" si="488"/>
        <v/>
      </c>
      <c r="BG282" s="403" t="str">
        <f t="shared" ca="1" si="488"/>
        <v/>
      </c>
      <c r="BH282" s="403" t="str">
        <f t="shared" ca="1" si="488"/>
        <v/>
      </c>
      <c r="BI282" s="403" t="str">
        <f t="shared" ca="1" si="488"/>
        <v/>
      </c>
      <c r="BJ282" s="403" t="str">
        <f t="shared" ca="1" si="488"/>
        <v/>
      </c>
      <c r="BK282" s="403" t="str">
        <f t="shared" ca="1" si="488"/>
        <v/>
      </c>
      <c r="BL282" s="403" t="str">
        <f t="shared" ca="1" si="488"/>
        <v/>
      </c>
      <c r="BM282" s="403" t="str">
        <f t="shared" ca="1" si="488"/>
        <v/>
      </c>
      <c r="BN282" s="403" t="str">
        <f t="shared" ca="1" si="488"/>
        <v/>
      </c>
      <c r="BO282" s="403" t="str">
        <f t="shared" ca="1" si="488"/>
        <v/>
      </c>
      <c r="BP282" s="403" t="str">
        <f t="shared" ca="1" si="488"/>
        <v/>
      </c>
      <c r="BQ282" s="403" t="str">
        <f t="shared" ca="1" si="488"/>
        <v/>
      </c>
      <c r="BR282" s="403" t="str">
        <f t="shared" ca="1" si="488"/>
        <v/>
      </c>
      <c r="BS282" s="403" t="str">
        <f t="shared" ca="1" si="488"/>
        <v/>
      </c>
      <c r="BT282" s="403" t="str">
        <f t="shared" ca="1" si="488"/>
        <v/>
      </c>
      <c r="BU282" s="403" t="str">
        <f t="shared" ref="BU282:EF282" ca="1" si="489">IF(BU279=0,"",IF(BU279=BU$3,BU281,BU$5+BV$5-BU283-1))</f>
        <v/>
      </c>
      <c r="BV282" s="403" t="str">
        <f t="shared" ca="1" si="489"/>
        <v/>
      </c>
      <c r="BW282" s="403" t="str">
        <f t="shared" ca="1" si="489"/>
        <v/>
      </c>
      <c r="BX282" s="403" t="str">
        <f t="shared" ca="1" si="489"/>
        <v/>
      </c>
      <c r="BY282" s="403" t="str">
        <f t="shared" ca="1" si="489"/>
        <v/>
      </c>
      <c r="BZ282" s="403" t="str">
        <f t="shared" ca="1" si="489"/>
        <v/>
      </c>
      <c r="CA282" s="403" t="str">
        <f t="shared" ca="1" si="489"/>
        <v/>
      </c>
      <c r="CB282" s="403" t="str">
        <f t="shared" ca="1" si="489"/>
        <v/>
      </c>
      <c r="CC282" s="403" t="str">
        <f t="shared" ca="1" si="489"/>
        <v/>
      </c>
      <c r="CD282" s="403" t="str">
        <f t="shared" ca="1" si="489"/>
        <v/>
      </c>
      <c r="CE282" s="403" t="str">
        <f t="shared" ca="1" si="489"/>
        <v/>
      </c>
      <c r="CF282" s="403" t="str">
        <f t="shared" ca="1" si="489"/>
        <v/>
      </c>
      <c r="CG282" s="403" t="str">
        <f t="shared" ca="1" si="489"/>
        <v/>
      </c>
      <c r="CH282" s="403" t="str">
        <f t="shared" ca="1" si="489"/>
        <v/>
      </c>
      <c r="CI282" s="403" t="str">
        <f t="shared" ca="1" si="489"/>
        <v/>
      </c>
      <c r="CJ282" s="403" t="str">
        <f t="shared" ca="1" si="489"/>
        <v/>
      </c>
      <c r="CK282" s="403" t="str">
        <f t="shared" ca="1" si="489"/>
        <v/>
      </c>
      <c r="CL282" s="403" t="str">
        <f t="shared" ca="1" si="489"/>
        <v/>
      </c>
      <c r="CM282" s="403" t="str">
        <f t="shared" ca="1" si="489"/>
        <v/>
      </c>
      <c r="CN282" s="403" t="str">
        <f t="shared" ca="1" si="489"/>
        <v/>
      </c>
      <c r="CO282" s="403" t="str">
        <f t="shared" ca="1" si="489"/>
        <v/>
      </c>
      <c r="CP282" s="403" t="str">
        <f t="shared" ca="1" si="489"/>
        <v/>
      </c>
      <c r="CQ282" s="403" t="str">
        <f t="shared" ca="1" si="489"/>
        <v/>
      </c>
      <c r="CR282" s="403" t="str">
        <f t="shared" ca="1" si="489"/>
        <v/>
      </c>
      <c r="CS282" s="403" t="str">
        <f t="shared" ca="1" si="489"/>
        <v/>
      </c>
      <c r="CT282" s="403" t="str">
        <f t="shared" ca="1" si="489"/>
        <v/>
      </c>
      <c r="CU282" s="403" t="str">
        <f t="shared" ca="1" si="489"/>
        <v/>
      </c>
      <c r="CV282" s="403" t="str">
        <f t="shared" ca="1" si="489"/>
        <v/>
      </c>
      <c r="CW282" s="403" t="str">
        <f t="shared" ca="1" si="489"/>
        <v/>
      </c>
      <c r="CX282" s="403" t="str">
        <f t="shared" ca="1" si="489"/>
        <v/>
      </c>
      <c r="CY282" s="403" t="str">
        <f t="shared" ca="1" si="489"/>
        <v/>
      </c>
      <c r="CZ282" s="403" t="str">
        <f t="shared" ca="1" si="489"/>
        <v/>
      </c>
      <c r="DA282" s="403" t="str">
        <f t="shared" ca="1" si="489"/>
        <v/>
      </c>
      <c r="DB282" s="403" t="str">
        <f t="shared" ca="1" si="489"/>
        <v/>
      </c>
      <c r="DC282" s="403" t="str">
        <f t="shared" ca="1" si="489"/>
        <v/>
      </c>
      <c r="DD282" s="403" t="str">
        <f t="shared" ca="1" si="489"/>
        <v/>
      </c>
      <c r="DE282" s="403" t="str">
        <f t="shared" ca="1" si="489"/>
        <v/>
      </c>
      <c r="DF282" s="403" t="str">
        <f t="shared" ca="1" si="489"/>
        <v/>
      </c>
      <c r="DG282" s="403" t="str">
        <f t="shared" ca="1" si="489"/>
        <v/>
      </c>
      <c r="DH282" s="403" t="str">
        <f t="shared" ca="1" si="489"/>
        <v/>
      </c>
      <c r="DI282" s="403" t="str">
        <f t="shared" ca="1" si="489"/>
        <v/>
      </c>
      <c r="DJ282" s="403" t="str">
        <f t="shared" ca="1" si="489"/>
        <v/>
      </c>
      <c r="DK282" s="403" t="str">
        <f t="shared" ca="1" si="489"/>
        <v/>
      </c>
      <c r="DL282" s="403" t="str">
        <f t="shared" ca="1" si="489"/>
        <v/>
      </c>
      <c r="DM282" s="403" t="str">
        <f t="shared" ca="1" si="489"/>
        <v/>
      </c>
      <c r="DN282" s="403" t="str">
        <f t="shared" ca="1" si="489"/>
        <v/>
      </c>
      <c r="DO282" s="403" t="str">
        <f t="shared" ca="1" si="489"/>
        <v/>
      </c>
      <c r="DP282" s="403" t="str">
        <f t="shared" ca="1" si="489"/>
        <v/>
      </c>
      <c r="DQ282" s="403" t="str">
        <f t="shared" ca="1" si="489"/>
        <v/>
      </c>
      <c r="DR282" s="403" t="str">
        <f t="shared" ca="1" si="489"/>
        <v/>
      </c>
      <c r="DS282" s="403" t="str">
        <f t="shared" ca="1" si="489"/>
        <v/>
      </c>
      <c r="DT282" s="403" t="str">
        <f t="shared" ca="1" si="489"/>
        <v/>
      </c>
      <c r="DU282" s="403" t="str">
        <f t="shared" ca="1" si="489"/>
        <v/>
      </c>
      <c r="DV282" s="403" t="str">
        <f t="shared" ca="1" si="489"/>
        <v/>
      </c>
      <c r="DW282" s="403" t="str">
        <f t="shared" ca="1" si="489"/>
        <v/>
      </c>
      <c r="DX282" s="403" t="str">
        <f t="shared" ca="1" si="489"/>
        <v/>
      </c>
      <c r="DY282" s="403" t="str">
        <f t="shared" ca="1" si="489"/>
        <v/>
      </c>
      <c r="DZ282" s="403" t="str">
        <f t="shared" ca="1" si="489"/>
        <v/>
      </c>
      <c r="EA282" s="403" t="str">
        <f t="shared" ca="1" si="489"/>
        <v/>
      </c>
      <c r="EB282" s="403" t="str">
        <f t="shared" ca="1" si="489"/>
        <v/>
      </c>
      <c r="EC282" s="403" t="str">
        <f t="shared" ca="1" si="489"/>
        <v/>
      </c>
      <c r="ED282" s="403" t="str">
        <f t="shared" ca="1" si="489"/>
        <v/>
      </c>
      <c r="EE282" s="403" t="str">
        <f t="shared" ca="1" si="489"/>
        <v/>
      </c>
      <c r="EF282" s="403" t="str">
        <f t="shared" ca="1" si="489"/>
        <v/>
      </c>
      <c r="EG282" s="403" t="str">
        <f t="shared" ref="EG282:EI282" ca="1" si="490">IF(EG279=0,"",IF(EG279=EG$3,EG281,EG$5+EH$5-EG283-1))</f>
        <v/>
      </c>
      <c r="EH282" s="403" t="str">
        <f t="shared" ca="1" si="490"/>
        <v/>
      </c>
      <c r="EI282" s="403" t="str">
        <f t="shared" ca="1" si="490"/>
        <v/>
      </c>
    </row>
    <row r="283" spans="1:141" hidden="1" outlineLevel="2">
      <c r="A283" s="332"/>
      <c r="B283" s="313"/>
      <c r="D283" s="305" t="s">
        <v>672</v>
      </c>
      <c r="E283" s="1002">
        <f ca="1">IF(E279=0,"",MAX(G283:EI283))</f>
        <v>46528</v>
      </c>
      <c r="F283" s="1003"/>
      <c r="G283" s="403">
        <f ca="1">IF(SUM(G279:$EI279)=0,"",IF(G$227="","",G$227+G279-1))</f>
        <v>44985</v>
      </c>
      <c r="H283" s="403">
        <f ca="1">IF(SUM(H279:$EI279)=0,"",IF(H$227="","",H$227+H279-1))</f>
        <v>45016</v>
      </c>
      <c r="I283" s="403">
        <f ca="1">IF(SUM(I279:$EI279)=0,"",IF(I$227="","",I$227+I279-1))</f>
        <v>45046</v>
      </c>
      <c r="J283" s="403">
        <f ca="1">IF(SUM(J279:$EI279)=0,"",IF(J$227="","",J$227+J279-1))</f>
        <v>45077</v>
      </c>
      <c r="K283" s="403">
        <f ca="1">IF(SUM(K279:$EI279)=0,"",IF(K$227="","",K$227+K279-1))</f>
        <v>45107</v>
      </c>
      <c r="L283" s="403">
        <f ca="1">IF(SUM(L279:$EI279)=0,"",IF(L$227="","",L$227+L279-1))</f>
        <v>45138</v>
      </c>
      <c r="M283" s="403">
        <f ca="1">IF(SUM(M279:$EI279)=0,"",IF(M$227="","",M$227+M279-1))</f>
        <v>45169</v>
      </c>
      <c r="N283" s="403">
        <f ca="1">IF(SUM(N279:$EI279)=0,"",IF(N$227="","",N$227+N279-1))</f>
        <v>45199</v>
      </c>
      <c r="O283" s="403">
        <f ca="1">IF(SUM(O279:$EI279)=0,"",IF(O$227="","",O$227+O279-1))</f>
        <v>45230</v>
      </c>
      <c r="P283" s="403">
        <f ca="1">IF(SUM(P279:$EI279)=0,"",IF(P$227="","",P$227+P279-1))</f>
        <v>45260</v>
      </c>
      <c r="Q283" s="403">
        <f ca="1">IF(SUM(Q279:$EI279)=0,"",IF(Q$227="","",Q$227+Q279-1))</f>
        <v>45291</v>
      </c>
      <c r="R283" s="403">
        <f ca="1">IF(SUM(R279:$EI279)=0,"",IF(R$227="","",R$227+R279-1))</f>
        <v>45322</v>
      </c>
      <c r="S283" s="403">
        <f ca="1">IF(SUM(S279:$EI279)=0,"",IF(S$227="","",S$227+S279-1))</f>
        <v>45351</v>
      </c>
      <c r="T283" s="403">
        <f ca="1">IF(SUM(T279:$EI279)=0,"",IF(T$227="","",T$227+T279-1))</f>
        <v>45382</v>
      </c>
      <c r="U283" s="403">
        <f ca="1">IF(SUM(U279:$EI279)=0,"",IF(U$227="","",U$227+U279-1))</f>
        <v>45412</v>
      </c>
      <c r="V283" s="403">
        <f ca="1">IF(SUM(V279:$EI279)=0,"",IF(V$227="","",V$227+V279-1))</f>
        <v>45443</v>
      </c>
      <c r="W283" s="403">
        <f ca="1">IF(SUM(W279:$EI279)=0,"",IF(W$227="","",W$227+W279-1))</f>
        <v>45473</v>
      </c>
      <c r="X283" s="403">
        <f ca="1">IF(SUM(X279:$EI279)=0,"",IF(X$227="","",X$227+X279-1))</f>
        <v>45504</v>
      </c>
      <c r="Y283" s="403">
        <f ca="1">IF(SUM(Y279:$EI279)=0,"",IF(Y$227="","",Y$227+Y279-1))</f>
        <v>45535</v>
      </c>
      <c r="Z283" s="403">
        <f ca="1">IF(SUM(Z279:$EI279)=0,"",IF(Z$227="","",Z$227+Z279-1))</f>
        <v>45565</v>
      </c>
      <c r="AA283" s="403">
        <f ca="1">IF(SUM(AA279:$EI279)=0,"",IF(AA$227="","",AA$227+AA279-1))</f>
        <v>45596</v>
      </c>
      <c r="AB283" s="403">
        <f ca="1">IF(SUM(AB279:$EI279)=0,"",IF(AB$227="","",AB$227+AB279-1))</f>
        <v>45626</v>
      </c>
      <c r="AC283" s="403">
        <f ca="1">IF(SUM(AC279:$EI279)=0,"",IF(AC$227="","",AC$227+AC279-1))</f>
        <v>45657</v>
      </c>
      <c r="AD283" s="403">
        <f ca="1">IF(SUM(AD279:$EI279)=0,"",IF(AD$227="","",AD$227+AD279-1))</f>
        <v>45688</v>
      </c>
      <c r="AE283" s="403">
        <f ca="1">IF(SUM(AE279:$EI279)=0,"",IF(AE$227="","",AE$227+AE279-1))</f>
        <v>45716</v>
      </c>
      <c r="AF283" s="403">
        <f ca="1">IF(SUM(AF279:$EI279)=0,"",IF(AF$227="","",AF$227+AF279-1))</f>
        <v>45747</v>
      </c>
      <c r="AG283" s="403">
        <f ca="1">IF(SUM(AG279:$EI279)=0,"",IF(AG$227="","",AG$227+AG279-1))</f>
        <v>45777</v>
      </c>
      <c r="AH283" s="403">
        <f ca="1">IF(SUM(AH279:$EI279)=0,"",IF(AH$227="","",AH$227+AH279-1))</f>
        <v>45808</v>
      </c>
      <c r="AI283" s="403">
        <f ca="1">IF(SUM(AI279:$EI279)=0,"",IF(AI$227="","",AI$227+AI279-1))</f>
        <v>45838</v>
      </c>
      <c r="AJ283" s="403">
        <f ca="1">IF(SUM(AJ279:$EI279)=0,"",IF(AJ$227="","",AJ$227+AJ279-1))</f>
        <v>45869</v>
      </c>
      <c r="AK283" s="403">
        <f ca="1">IF(SUM(AK279:$EI279)=0,"",IF(AK$227="","",AK$227+AK279-1))</f>
        <v>45900</v>
      </c>
      <c r="AL283" s="403">
        <f ca="1">IF(SUM(AL279:$EI279)=0,"",IF(AL$227="","",AL$227+AL279-1))</f>
        <v>45930</v>
      </c>
      <c r="AM283" s="403">
        <f ca="1">IF(SUM(AM279:$EI279)=0,"",IF(AM$227="","",AM$227+AM279-1))</f>
        <v>45961</v>
      </c>
      <c r="AN283" s="403">
        <f ca="1">IF(SUM(AN279:$EI279)=0,"",IF(AN$227="","",AN$227+AN279-1))</f>
        <v>45991</v>
      </c>
      <c r="AO283" s="403">
        <f ca="1">IF(SUM(AO279:$EI279)=0,"",IF(AO$227="","",AO$227+AO279-1))</f>
        <v>46022</v>
      </c>
      <c r="AP283" s="403">
        <f ca="1">IF(SUM(AP279:$EI279)=0,"",IF(AP$227="","",AP$227+AP279-1))</f>
        <v>46053</v>
      </c>
      <c r="AQ283" s="403">
        <f ca="1">IF(SUM(AQ279:$EI279)=0,"",IF(AQ$227="","",AQ$227+AQ279-1))</f>
        <v>46081</v>
      </c>
      <c r="AR283" s="403">
        <f ca="1">IF(SUM(AR279:$EI279)=0,"",IF(AR$227="","",AR$227+AR279-1))</f>
        <v>46112</v>
      </c>
      <c r="AS283" s="403">
        <f ca="1">IF(SUM(AS279:$EI279)=0,"",IF(AS$227="","",AS$227+AS279-1))</f>
        <v>46142</v>
      </c>
      <c r="AT283" s="403">
        <f ca="1">IF(SUM(AT279:$EI279)=0,"",IF(AT$227="","",AT$227+AT279-1))</f>
        <v>46173</v>
      </c>
      <c r="AU283" s="403">
        <f ca="1">IF(SUM(AU279:$EI279)=0,"",IF(AU$227="","",AU$227+AU279-1))</f>
        <v>46203</v>
      </c>
      <c r="AV283" s="403">
        <f ca="1">IF(SUM(AV279:$EI279)=0,"",IF(AV$227="","",AV$227+AV279-1))</f>
        <v>46234</v>
      </c>
      <c r="AW283" s="403">
        <f ca="1">IF(SUM(AW279:$EI279)=0,"",IF(AW$227="","",AW$227+AW279-1))</f>
        <v>46265</v>
      </c>
      <c r="AX283" s="403">
        <f ca="1">IF(SUM(AX279:$EI279)=0,"",IF(AX$227="","",AX$227+AX279-1))</f>
        <v>46295</v>
      </c>
      <c r="AY283" s="403">
        <f ca="1">IF(SUM(AY279:$EI279)=0,"",IF(AY$227="","",AY$227+AY279-1))</f>
        <v>46326</v>
      </c>
      <c r="AZ283" s="403">
        <f ca="1">IF(SUM(AZ279:$EI279)=0,"",IF(AZ$227="","",AZ$227+AZ279-1))</f>
        <v>46356</v>
      </c>
      <c r="BA283" s="403">
        <f ca="1">IF(SUM(BA279:$EI279)=0,"",IF(BA$227="","",BA$227+BA279-1))</f>
        <v>46392</v>
      </c>
      <c r="BB283" s="403">
        <f ca="1">IF(SUM(BB279:$EI279)=0,"",IF(BB$227="","",BB$227+BB279-1))</f>
        <v>46446</v>
      </c>
      <c r="BC283" s="403">
        <f ca="1">IF(SUM(BC279:$EI279)=0,"",IF(BC$227="","",BC$227+BC279-1))</f>
        <v>46477</v>
      </c>
      <c r="BD283" s="403">
        <f ca="1">IF(SUM(BD279:$EI279)=0,"",IF(BD$227="","",BD$227+BD279-1))</f>
        <v>46507</v>
      </c>
      <c r="BE283" s="403">
        <f ca="1">IF(SUM(BE279:$EI279)=0,"",IF(BE$227="","",BE$227+BE279-1))</f>
        <v>46528</v>
      </c>
      <c r="BF283" s="403" t="str">
        <f ca="1">IF(SUM(BF279:$EI279)=0,"",IF(BF$227="","",BF$227+BF279-1))</f>
        <v/>
      </c>
      <c r="BG283" s="403" t="str">
        <f ca="1">IF(SUM(BG279:$EI279)=0,"",IF(BG$227="","",BG$227+BG279-1))</f>
        <v/>
      </c>
      <c r="BH283" s="403" t="str">
        <f ca="1">IF(SUM(BH279:$EI279)=0,"",IF(BH$227="","",BH$227+BH279-1))</f>
        <v/>
      </c>
      <c r="BI283" s="403" t="str">
        <f ca="1">IF(SUM(BI279:$EI279)=0,"",IF(BI$227="","",BI$227+BI279-1))</f>
        <v/>
      </c>
      <c r="BJ283" s="403" t="str">
        <f ca="1">IF(SUM(BJ279:$EI279)=0,"",IF(BJ$227="","",BJ$227+BJ279-1))</f>
        <v/>
      </c>
      <c r="BK283" s="403" t="str">
        <f ca="1">IF(SUM(BK279:$EI279)=0,"",IF(BK$227="","",BK$227+BK279-1))</f>
        <v/>
      </c>
      <c r="BL283" s="403" t="str">
        <f ca="1">IF(SUM(BL279:$EI279)=0,"",IF(BL$227="","",BL$227+BL279-1))</f>
        <v/>
      </c>
      <c r="BM283" s="403" t="str">
        <f ca="1">IF(SUM(BM279:$EI279)=0,"",IF(BM$227="","",BM$227+BM279-1))</f>
        <v/>
      </c>
      <c r="BN283" s="403" t="str">
        <f ca="1">IF(SUM(BN279:$EI279)=0,"",IF(BN$227="","",BN$227+BN279-1))</f>
        <v/>
      </c>
      <c r="BO283" s="403" t="str">
        <f ca="1">IF(SUM(BO279:$EI279)=0,"",IF(BO$227="","",BO$227+BO279-1))</f>
        <v/>
      </c>
      <c r="BP283" s="403" t="str">
        <f ca="1">IF(SUM(BP279:$EI279)=0,"",IF(BP$227="","",BP$227+BP279-1))</f>
        <v/>
      </c>
      <c r="BQ283" s="403" t="str">
        <f ca="1">IF(SUM(BQ279:$EI279)=0,"",IF(BQ$227="","",BQ$227+BQ279-1))</f>
        <v/>
      </c>
      <c r="BR283" s="403" t="str">
        <f ca="1">IF(SUM(BR279:$EI279)=0,"",IF(BR$227="","",BR$227+BR279-1))</f>
        <v/>
      </c>
      <c r="BS283" s="403" t="str">
        <f ca="1">IF(SUM(BS279:$EI279)=0,"",IF(BS$227="","",BS$227+BS279-1))</f>
        <v/>
      </c>
      <c r="BT283" s="403" t="str">
        <f ca="1">IF(SUM(BT279:$EI279)=0,"",IF(BT$227="","",BT$227+BT279-1))</f>
        <v/>
      </c>
      <c r="BU283" s="403" t="str">
        <f ca="1">IF(SUM(BU279:$EI279)=0,"",IF(BU$227="","",BU$227+BU279-1))</f>
        <v/>
      </c>
      <c r="BV283" s="403" t="str">
        <f ca="1">IF(SUM(BV279:$EI279)=0,"",IF(BV$227="","",BV$227+BV279-1))</f>
        <v/>
      </c>
      <c r="BW283" s="403" t="str">
        <f ca="1">IF(SUM(BW279:$EI279)=0,"",IF(BW$227="","",BW$227+BW279-1))</f>
        <v/>
      </c>
      <c r="BX283" s="403" t="str">
        <f ca="1">IF(SUM(BX279:$EI279)=0,"",IF(BX$227="","",BX$227+BX279-1))</f>
        <v/>
      </c>
      <c r="BY283" s="403" t="str">
        <f ca="1">IF(SUM(BY279:$EI279)=0,"",IF(BY$227="","",BY$227+BY279-1))</f>
        <v/>
      </c>
      <c r="BZ283" s="403" t="str">
        <f ca="1">IF(SUM(BZ279:$EI279)=0,"",IF(BZ$227="","",BZ$227+BZ279-1))</f>
        <v/>
      </c>
      <c r="CA283" s="403" t="str">
        <f ca="1">IF(SUM(CA279:$EI279)=0,"",IF(CA$227="","",CA$227+CA279-1))</f>
        <v/>
      </c>
      <c r="CB283" s="403" t="str">
        <f ca="1">IF(SUM(CB279:$EI279)=0,"",IF(CB$227="","",CB$227+CB279-1))</f>
        <v/>
      </c>
      <c r="CC283" s="403" t="str">
        <f ca="1">IF(SUM(CC279:$EI279)=0,"",IF(CC$227="","",CC$227+CC279-1))</f>
        <v/>
      </c>
      <c r="CD283" s="403" t="str">
        <f ca="1">IF(SUM(CD279:$EI279)=0,"",IF(CD$227="","",CD$227+CD279-1))</f>
        <v/>
      </c>
      <c r="CE283" s="403" t="str">
        <f ca="1">IF(SUM(CE279:$EI279)=0,"",IF(CE$227="","",CE$227+CE279-1))</f>
        <v/>
      </c>
      <c r="CF283" s="403" t="str">
        <f ca="1">IF(SUM(CF279:$EI279)=0,"",IF(CF$227="","",CF$227+CF279-1))</f>
        <v/>
      </c>
      <c r="CG283" s="403" t="str">
        <f ca="1">IF(SUM(CG279:$EI279)=0,"",IF(CG$227="","",CG$227+CG279-1))</f>
        <v/>
      </c>
      <c r="CH283" s="403" t="str">
        <f ca="1">IF(SUM(CH279:$EI279)=0,"",IF(CH$227="","",CH$227+CH279-1))</f>
        <v/>
      </c>
      <c r="CI283" s="403" t="str">
        <f ca="1">IF(SUM(CI279:$EI279)=0,"",IF(CI$227="","",CI$227+CI279-1))</f>
        <v/>
      </c>
      <c r="CJ283" s="403" t="str">
        <f ca="1">IF(SUM(CJ279:$EI279)=0,"",IF(CJ$227="","",CJ$227+CJ279-1))</f>
        <v/>
      </c>
      <c r="CK283" s="403" t="str">
        <f ca="1">IF(SUM(CK279:$EI279)=0,"",IF(CK$227="","",CK$227+CK279-1))</f>
        <v/>
      </c>
      <c r="CL283" s="403" t="str">
        <f ca="1">IF(SUM(CL279:$EI279)=0,"",IF(CL$227="","",CL$227+CL279-1))</f>
        <v/>
      </c>
      <c r="CM283" s="403" t="str">
        <f ca="1">IF(SUM(CM279:$EI279)=0,"",IF(CM$227="","",CM$227+CM279-1))</f>
        <v/>
      </c>
      <c r="CN283" s="403" t="str">
        <f ca="1">IF(SUM(CN279:$EI279)=0,"",IF(CN$227="","",CN$227+CN279-1))</f>
        <v/>
      </c>
      <c r="CO283" s="403" t="str">
        <f ca="1">IF(SUM(CO279:$EI279)=0,"",IF(CO$227="","",CO$227+CO279-1))</f>
        <v/>
      </c>
      <c r="CP283" s="403" t="str">
        <f ca="1">IF(SUM(CP279:$EI279)=0,"",IF(CP$227="","",CP$227+CP279-1))</f>
        <v/>
      </c>
      <c r="CQ283" s="403" t="str">
        <f ca="1">IF(SUM(CQ279:$EI279)=0,"",IF(CQ$227="","",CQ$227+CQ279-1))</f>
        <v/>
      </c>
      <c r="CR283" s="403" t="str">
        <f ca="1">IF(SUM(CR279:$EI279)=0,"",IF(CR$227="","",CR$227+CR279-1))</f>
        <v/>
      </c>
      <c r="CS283" s="403" t="str">
        <f ca="1">IF(SUM(CS279:$EI279)=0,"",IF(CS$227="","",CS$227+CS279-1))</f>
        <v/>
      </c>
      <c r="CT283" s="403" t="str">
        <f ca="1">IF(SUM(CT279:$EI279)=0,"",IF(CT$227="","",CT$227+CT279-1))</f>
        <v/>
      </c>
      <c r="CU283" s="403" t="str">
        <f ca="1">IF(SUM(CU279:$EI279)=0,"",IF(CU$227="","",CU$227+CU279-1))</f>
        <v/>
      </c>
      <c r="CV283" s="403" t="str">
        <f ca="1">IF(SUM(CV279:$EI279)=0,"",IF(CV$227="","",CV$227+CV279-1))</f>
        <v/>
      </c>
      <c r="CW283" s="403" t="str">
        <f ca="1">IF(SUM(CW279:$EI279)=0,"",IF(CW$227="","",CW$227+CW279-1))</f>
        <v/>
      </c>
      <c r="CX283" s="403" t="str">
        <f ca="1">IF(SUM(CX279:$EI279)=0,"",IF(CX$227="","",CX$227+CX279-1))</f>
        <v/>
      </c>
      <c r="CY283" s="403" t="str">
        <f ca="1">IF(SUM(CY279:$EI279)=0,"",IF(CY$227="","",CY$227+CY279-1))</f>
        <v/>
      </c>
      <c r="CZ283" s="403" t="str">
        <f ca="1">IF(SUM(CZ279:$EI279)=0,"",IF(CZ$227="","",CZ$227+CZ279-1))</f>
        <v/>
      </c>
      <c r="DA283" s="403" t="str">
        <f ca="1">IF(SUM(DA279:$EI279)=0,"",IF(DA$227="","",DA$227+DA279-1))</f>
        <v/>
      </c>
      <c r="DB283" s="403" t="str">
        <f ca="1">IF(SUM(DB279:$EI279)=0,"",IF(DB$227="","",DB$227+DB279-1))</f>
        <v/>
      </c>
      <c r="DC283" s="403" t="str">
        <f ca="1">IF(SUM(DC279:$EI279)=0,"",IF(DC$227="","",DC$227+DC279-1))</f>
        <v/>
      </c>
      <c r="DD283" s="403" t="str">
        <f ca="1">IF(SUM(DD279:$EI279)=0,"",IF(DD$227="","",DD$227+DD279-1))</f>
        <v/>
      </c>
      <c r="DE283" s="403" t="str">
        <f ca="1">IF(SUM(DE279:$EI279)=0,"",IF(DE$227="","",DE$227+DE279-1))</f>
        <v/>
      </c>
      <c r="DF283" s="403" t="str">
        <f ca="1">IF(SUM(DF279:$EI279)=0,"",IF(DF$227="","",DF$227+DF279-1))</f>
        <v/>
      </c>
      <c r="DG283" s="403" t="str">
        <f ca="1">IF(SUM(DG279:$EI279)=0,"",IF(DG$227="","",DG$227+DG279-1))</f>
        <v/>
      </c>
      <c r="DH283" s="403" t="str">
        <f ca="1">IF(SUM(DH279:$EI279)=0,"",IF(DH$227="","",DH$227+DH279-1))</f>
        <v/>
      </c>
      <c r="DI283" s="403" t="str">
        <f ca="1">IF(SUM(DI279:$EI279)=0,"",IF(DI$227="","",DI$227+DI279-1))</f>
        <v/>
      </c>
      <c r="DJ283" s="403" t="str">
        <f ca="1">IF(SUM(DJ279:$EI279)=0,"",IF(DJ$227="","",DJ$227+DJ279-1))</f>
        <v/>
      </c>
      <c r="DK283" s="403" t="str">
        <f ca="1">IF(SUM(DK279:$EI279)=0,"",IF(DK$227="","",DK$227+DK279-1))</f>
        <v/>
      </c>
      <c r="DL283" s="403" t="str">
        <f ca="1">IF(SUM(DL279:$EI279)=0,"",IF(DL$227="","",DL$227+DL279-1))</f>
        <v/>
      </c>
      <c r="DM283" s="403" t="str">
        <f ca="1">IF(SUM(DM279:$EI279)=0,"",IF(DM$227="","",DM$227+DM279-1))</f>
        <v/>
      </c>
      <c r="DN283" s="403" t="str">
        <f ca="1">IF(SUM(DN279:$EI279)=0,"",IF(DN$227="","",DN$227+DN279-1))</f>
        <v/>
      </c>
      <c r="DO283" s="403" t="str">
        <f ca="1">IF(SUM(DO279:$EI279)=0,"",IF(DO$227="","",DO$227+DO279-1))</f>
        <v/>
      </c>
      <c r="DP283" s="403" t="str">
        <f ca="1">IF(SUM(DP279:$EI279)=0,"",IF(DP$227="","",DP$227+DP279-1))</f>
        <v/>
      </c>
      <c r="DQ283" s="403" t="str">
        <f ca="1">IF(SUM(DQ279:$EI279)=0,"",IF(DQ$227="","",DQ$227+DQ279-1))</f>
        <v/>
      </c>
      <c r="DR283" s="403" t="str">
        <f ca="1">IF(SUM(DR279:$EI279)=0,"",IF(DR$227="","",DR$227+DR279-1))</f>
        <v/>
      </c>
      <c r="DS283" s="403" t="str">
        <f ca="1">IF(SUM(DS279:$EI279)=0,"",IF(DS$227="","",DS$227+DS279-1))</f>
        <v/>
      </c>
      <c r="DT283" s="403" t="str">
        <f ca="1">IF(SUM(DT279:$EI279)=0,"",IF(DT$227="","",DT$227+DT279-1))</f>
        <v/>
      </c>
      <c r="DU283" s="403" t="str">
        <f ca="1">IF(SUM(DU279:$EI279)=0,"",IF(DU$227="","",DU$227+DU279-1))</f>
        <v/>
      </c>
      <c r="DV283" s="403" t="str">
        <f ca="1">IF(SUM(DV279:$EI279)=0,"",IF(DV$227="","",DV$227+DV279-1))</f>
        <v/>
      </c>
      <c r="DW283" s="403" t="str">
        <f ca="1">IF(SUM(DW279:$EI279)=0,"",IF(DW$227="","",DW$227+DW279-1))</f>
        <v/>
      </c>
      <c r="DX283" s="403" t="str">
        <f ca="1">IF(SUM(DX279:$EI279)=0,"",IF(DX$227="","",DX$227+DX279-1))</f>
        <v/>
      </c>
      <c r="DY283" s="403" t="str">
        <f ca="1">IF(SUM(DY279:$EI279)=0,"",IF(DY$227="","",DY$227+DY279-1))</f>
        <v/>
      </c>
      <c r="DZ283" s="403" t="str">
        <f ca="1">IF(SUM(DZ279:$EI279)=0,"",IF(DZ$227="","",DZ$227+DZ279-1))</f>
        <v/>
      </c>
      <c r="EA283" s="403" t="str">
        <f ca="1">IF(SUM(EA279:$EI279)=0,"",IF(EA$227="","",EA$227+EA279-1))</f>
        <v/>
      </c>
      <c r="EB283" s="403" t="str">
        <f ca="1">IF(SUM(EB279:$EI279)=0,"",IF(EB$227="","",EB$227+EB279-1))</f>
        <v/>
      </c>
      <c r="EC283" s="403" t="str">
        <f ca="1">IF(SUM(EC279:$EI279)=0,"",IF(EC$227="","",EC$227+EC279-1))</f>
        <v/>
      </c>
      <c r="ED283" s="403" t="str">
        <f ca="1">IF(SUM(ED279:$EI279)=0,"",IF(ED$227="","",ED$227+ED279-1))</f>
        <v/>
      </c>
      <c r="EE283" s="403" t="str">
        <f ca="1">IF(SUM(EE279:$EI279)=0,"",IF(EE$227="","",EE$227+EE279-1))</f>
        <v/>
      </c>
      <c r="EF283" s="403" t="str">
        <f ca="1">IF(SUM(EF279:$EI279)=0,"",IF(EF$227="","",EF$227+EF279-1))</f>
        <v/>
      </c>
      <c r="EG283" s="403" t="str">
        <f ca="1">IF(SUM(EG279:$EI279)=0,"",IF(EG$227="","",EG$227+EG279-1))</f>
        <v/>
      </c>
      <c r="EH283" s="403" t="str">
        <f ca="1">IF(SUM(EH279:$EI279)=0,"",IF(EH$227="","",EH$227+EH279-1))</f>
        <v/>
      </c>
      <c r="EI283" s="403" t="str">
        <f ca="1">IF(SUM(EI279:$EI279)=0,"",IF(EI$227="","",EI$227+EI279-1))</f>
        <v/>
      </c>
    </row>
    <row r="284" spans="1:141" outlineLevel="1" collapsed="1">
      <c r="A284" s="332"/>
      <c r="B284" s="313"/>
      <c r="C284" s="317" t="s">
        <v>74</v>
      </c>
      <c r="D284" s="317" t="s">
        <v>666</v>
      </c>
      <c r="E284" s="400">
        <f ca="1">IF(ГРП!B20=0,длительность!V59,ГРП!B20)</f>
        <v>0</v>
      </c>
      <c r="F284" s="318">
        <f ca="1">E284-SUM(G284:EJ284)</f>
        <v>0</v>
      </c>
      <c r="G284" s="401"/>
      <c r="H284" s="401">
        <f ca="1">IF(SUM($G284:G284)&gt;=$E284,0,IF($E284-SUM($G284:G284)&gt;H285,H285,$E284-SUM($G285:G285)))</f>
        <v>0</v>
      </c>
      <c r="I284" s="401">
        <f ca="1">IF(SUM($G284:H284)&gt;=$E284,0,IF($E284-SUM($G284:H284)&gt;I285,I285,$E284-SUM($G285:H285)))</f>
        <v>0</v>
      </c>
      <c r="J284" s="401">
        <f ca="1">IF(SUM($G284:I284)&gt;=$E284,0,IF($E284-SUM($G284:I284)&gt;J285,J285,$E284-SUM($G285:I285)))</f>
        <v>0</v>
      </c>
      <c r="K284" s="401">
        <f ca="1">IF(SUM($G284:J284)&gt;=$E284,0,IF($E284-SUM($G284:J284)&gt;K285,K285,$E284-SUM($G285:J285)))</f>
        <v>0</v>
      </c>
      <c r="L284" s="401">
        <f ca="1">IF(SUM($G284:K284)&gt;=$E284,0,IF($E284-SUM($G284:K284)&gt;L285,L285,$E284-SUM($G285:K285)))</f>
        <v>0</v>
      </c>
      <c r="M284" s="401">
        <f ca="1">IF(SUM($G284:L284)&gt;=$E284,0,IF($E284-SUM($G284:L284)&gt;M285,M285,$E284-SUM($G285:L285)))</f>
        <v>0</v>
      </c>
      <c r="N284" s="401">
        <f ca="1">IF(SUM($G284:M284)&gt;=$E284,0,IF($E284-SUM($G284:M284)&gt;N285,N285,$E284-SUM($G285:M285)))</f>
        <v>0</v>
      </c>
      <c r="O284" s="401">
        <f ca="1">IF(SUM($G284:N284)&gt;=$E284,0,IF($E284-SUM($G284:N284)&gt;O285,O285,$E284-SUM($G285:N285)))</f>
        <v>0</v>
      </c>
      <c r="P284" s="401">
        <f ca="1">IF(SUM($G284:O284)&gt;=$E284,0,IF($E284-SUM($G284:O284)&gt;P285,P285,$E284-SUM($G285:O285)))</f>
        <v>0</v>
      </c>
      <c r="Q284" s="401">
        <f ca="1">IF(SUM($G284:P284)&gt;=$E284,0,IF($E284-SUM($G284:P284)&gt;Q285,Q285,$E284-SUM($G285:P285)))</f>
        <v>0</v>
      </c>
      <c r="R284" s="401">
        <f ca="1">IF(SUM($G284:Q284)&gt;=$E284,0,IF($E284-SUM($G284:Q284)&gt;R285,R285,$E284-SUM($G285:Q285)))</f>
        <v>0</v>
      </c>
      <c r="S284" s="401">
        <f ca="1">IF(SUM($G284:R284)&gt;=$E284,0,IF($E284-SUM($G284:R284)&gt;S285,S285,$E284-SUM($G285:R285)))</f>
        <v>0</v>
      </c>
      <c r="T284" s="401">
        <f ca="1">IF(SUM($G284:S284)&gt;=$E284,0,IF($E284-SUM($G284:S284)&gt;T285,T285,$E284-SUM($G285:S285)))</f>
        <v>0</v>
      </c>
      <c r="U284" s="401">
        <f ca="1">IF(SUM($G284:T284)&gt;=$E284,0,IF($E284-SUM($G284:T284)&gt;U285,U285,$E284-SUM($G285:T285)))</f>
        <v>0</v>
      </c>
      <c r="V284" s="401">
        <f ca="1">IF(SUM($G284:U284)&gt;=$E284,0,IF($E284-SUM($G284:U284)&gt;V285,V285,$E284-SUM($G285:U285)))</f>
        <v>0</v>
      </c>
      <c r="W284" s="401">
        <f ca="1">IF(SUM($G284:V284)&gt;=$E284,0,IF($E284-SUM($G284:V284)&gt;W285,W285,$E284-SUM($G285:V285)))</f>
        <v>0</v>
      </c>
      <c r="X284" s="401">
        <f ca="1">IF(SUM($G284:W284)&gt;=$E284,0,IF($E284-SUM($G284:W284)&gt;X285,X285,$E284-SUM($G285:W285)))</f>
        <v>0</v>
      </c>
      <c r="Y284" s="401">
        <f ca="1">IF(SUM($G284:X284)&gt;=$E284,0,IF($E284-SUM($G284:X284)&gt;Y285,Y285,$E284-SUM($G285:X285)))</f>
        <v>0</v>
      </c>
      <c r="Z284" s="401">
        <f ca="1">IF(SUM($G284:Y284)&gt;=$E284,0,IF($E284-SUM($G284:Y284)&gt;Z285,Z285,$E284-SUM($G285:Y285)))</f>
        <v>0</v>
      </c>
      <c r="AA284" s="401">
        <f ca="1">IF(SUM($G284:Z284)&gt;=$E284,0,IF($E284-SUM($G284:Z284)&gt;AA285,AA285,$E284-SUM($G285:Z285)))</f>
        <v>0</v>
      </c>
      <c r="AB284" s="401">
        <f ca="1">IF(SUM($G284:AA284)&gt;=$E284,0,IF($E284-SUM($G284:AA284)&gt;AB285,AB285,$E284-SUM($G285:AA285)))</f>
        <v>0</v>
      </c>
      <c r="AC284" s="401">
        <f ca="1">IF(SUM($G284:AB284)&gt;=$E284,0,IF($E284-SUM($G284:AB284)&gt;AC285,AC285,$E284-SUM($G285:AB285)))</f>
        <v>0</v>
      </c>
      <c r="AD284" s="401">
        <f ca="1">IF(SUM($G284:AC284)&gt;=$E284,0,IF($E284-SUM($G284:AC284)&gt;AD285,AD285,$E284-SUM($G285:AC285)))</f>
        <v>0</v>
      </c>
      <c r="AE284" s="401">
        <f ca="1">IF(SUM($G284:AD284)&gt;=$E284,0,IF($E284-SUM($G284:AD284)&gt;AE285,AE285,$E284-SUM($G285:AD285)))</f>
        <v>0</v>
      </c>
      <c r="AF284" s="401">
        <f ca="1">IF(SUM($G284:AE284)&gt;=$E284,0,IF($E284-SUM($G284:AE284)&gt;AF285,AF285,$E284-SUM($G285:AE285)))</f>
        <v>0</v>
      </c>
      <c r="AG284" s="401">
        <f ca="1">IF(SUM($G284:AF284)&gt;=$E284,0,IF($E284-SUM($G284:AF284)&gt;AG285,AG285,$E284-SUM($G285:AF285)))</f>
        <v>0</v>
      </c>
      <c r="AH284" s="401">
        <f ca="1">IF(SUM($G284:AG284)&gt;=$E284,0,IF($E284-SUM($G284:AG284)&gt;AH285,AH285,$E284-SUM($G285:AG285)))</f>
        <v>0</v>
      </c>
      <c r="AI284" s="401">
        <f ca="1">IF(SUM($G284:AH284)&gt;=$E284,0,IF($E284-SUM($G284:AH284)&gt;AI285,AI285,$E284-SUM($G285:AH285)))</f>
        <v>0</v>
      </c>
      <c r="AJ284" s="401">
        <f ca="1">IF(SUM($G284:AI284)&gt;=$E284,0,IF($E284-SUM($G284:AI284)&gt;AJ285,AJ285,$E284-SUM($G285:AI285)))</f>
        <v>0</v>
      </c>
      <c r="AK284" s="401">
        <f ca="1">IF(SUM($G284:AJ284)&gt;=$E284,0,IF($E284-SUM($G284:AJ284)&gt;AK285,AK285,$E284-SUM($G285:AJ285)))</f>
        <v>0</v>
      </c>
      <c r="AL284" s="401">
        <f ca="1">IF(SUM($G284:AK284)&gt;=$E284,0,IF($E284-SUM($G284:AK284)&gt;AL285,AL285,$E284-SUM($G285:AK285)))</f>
        <v>0</v>
      </c>
      <c r="AM284" s="401">
        <f ca="1">IF(SUM($G284:AL284)&gt;=$E284,0,IF($E284-SUM($G284:AL284)&gt;AM285,AM285,$E284-SUM($G285:AL285)))</f>
        <v>0</v>
      </c>
      <c r="AN284" s="401">
        <f ca="1">IF(SUM($G284:AM284)&gt;=$E284,0,IF($E284-SUM($G284:AM284)&gt;AN285,AN285,$E284-SUM($G285:AM285)))</f>
        <v>0</v>
      </c>
      <c r="AO284" s="401">
        <f ca="1">IF(SUM($G284:AN284)&gt;=$E284,0,IF($E284-SUM($G284:AN284)&gt;AO285,AO285,$E284-SUM($G285:AN285)))</f>
        <v>0</v>
      </c>
      <c r="AP284" s="401">
        <f ca="1">IF(SUM($G284:AO284)&gt;=$E284,0,IF($E284-SUM($G284:AO284)&gt;AP285,AP285,$E284-SUM($G285:AO285)))</f>
        <v>0</v>
      </c>
      <c r="AQ284" s="401">
        <f ca="1">IF(SUM($G284:AP284)&gt;=$E284,0,IF($E284-SUM($G284:AP284)&gt;AQ285,AQ285,$E284-SUM($G285:AP285)))</f>
        <v>0</v>
      </c>
      <c r="AR284" s="401">
        <f ca="1">IF(SUM($G284:AQ284)&gt;=$E284,0,IF($E284-SUM($G284:AQ284)&gt;AR285,AR285,$E284-SUM($G285:AQ285)))</f>
        <v>0</v>
      </c>
      <c r="AS284" s="401">
        <f ca="1">IF(SUM($G284:AR284)&gt;=$E284,0,IF($E284-SUM($G284:AR284)&gt;AS285,AS285,$E284-SUM($G285:AR285)))</f>
        <v>0</v>
      </c>
      <c r="AT284" s="401">
        <f ca="1">IF(SUM($G284:AS284)&gt;=$E284,0,IF($E284-SUM($G284:AS284)&gt;AT285,AT285,$E284-SUM($G285:AS285)))</f>
        <v>0</v>
      </c>
      <c r="AU284" s="401">
        <f ca="1">IF(SUM($G284:AT284)&gt;=$E284,0,IF($E284-SUM($G284:AT284)&gt;AU285,AU285,$E284-SUM($G285:AT285)))</f>
        <v>0</v>
      </c>
      <c r="AV284" s="401">
        <f ca="1">IF(SUM($G284:AU284)&gt;=$E284,0,IF($E284-SUM($G284:AU284)&gt;AV285,AV285,$E284-SUM($G285:AU285)))</f>
        <v>0</v>
      </c>
      <c r="AW284" s="401">
        <f ca="1">IF(SUM($G284:AV284)&gt;=$E284,0,IF($E284-SUM($G284:AV284)&gt;AW285,AW285,$E284-SUM($G285:AV285)))</f>
        <v>0</v>
      </c>
      <c r="AX284" s="401">
        <f ca="1">IF(SUM($G284:AW284)&gt;=$E284,0,IF($E284-SUM($G284:AW284)&gt;AX285,AX285,$E284-SUM($G285:AW285)))</f>
        <v>0</v>
      </c>
      <c r="AY284" s="401">
        <f ca="1">IF(SUM($G284:AX284)&gt;=$E284,0,IF($E284-SUM($G284:AX284)&gt;AY285,AY285,$E284-SUM($G285:AX285)))</f>
        <v>0</v>
      </c>
      <c r="AZ284" s="401">
        <f ca="1">IF(SUM($G284:AY284)&gt;=$E284,0,IF($E284-SUM($G284:AY284)&gt;AZ285,AZ285,$E284-SUM($G285:AY285)))</f>
        <v>0</v>
      </c>
      <c r="BA284" s="401">
        <f ca="1">IF(SUM($G284:AZ284)&gt;=$E284,0,IF($E284-SUM($G284:AZ284)&gt;BA285,BA285,$E284-SUM($G285:AZ285)))</f>
        <v>0</v>
      </c>
      <c r="BB284" s="401">
        <f ca="1">IF(SUM($G284:BA284)&gt;=$E284,0,IF($E284-SUM($G284:BA284)&gt;BB285,BB285,$E284-SUM($G285:BA285)))</f>
        <v>0</v>
      </c>
      <c r="BC284" s="401">
        <f ca="1">IF(SUM($G284:BB284)&gt;=$E284,0,IF($E284-SUM($G284:BB284)&gt;BC285,BC285,$E284-SUM($G285:BB285)))</f>
        <v>0</v>
      </c>
      <c r="BD284" s="401">
        <f ca="1">IF(SUM($G284:BC284)&gt;=$E284,0,IF($E284-SUM($G284:BC284)&gt;BD285,BD285,$E284-SUM($G285:BC285)))</f>
        <v>0</v>
      </c>
      <c r="BE284" s="401">
        <f ca="1">IF(SUM($G284:BD284)&gt;=$E284,0,IF($E284-SUM($G284:BD284)&gt;BE285,BE285,$E284-SUM($G285:BD285)))</f>
        <v>0</v>
      </c>
      <c r="BF284" s="401">
        <f ca="1">IF(SUM($G284:BE284)&gt;=$E284,0,IF($E284-SUM($G284:BE284)&gt;BF285,BF285,$E284-SUM($G285:BE285)))</f>
        <v>0</v>
      </c>
      <c r="BG284" s="401">
        <f ca="1">IF(SUM($G284:BF284)&gt;=$E284,0,IF($E284-SUM($G284:BF284)&gt;BG285,BG285,$E284-SUM($G285:BF285)))</f>
        <v>0</v>
      </c>
      <c r="BH284" s="401">
        <f ca="1">IF(SUM($G284:BG284)&gt;=$E284,0,IF($E284-SUM($G284:BG284)&gt;BH285,BH285,$E284-SUM($G285:BG285)))</f>
        <v>0</v>
      </c>
      <c r="BI284" s="401">
        <f ca="1">IF(SUM($G284:BH284)&gt;=$E284,0,IF($E284-SUM($G284:BH284)&gt;BI285,BI285,$E284-SUM($G285:BH285)))</f>
        <v>0</v>
      </c>
      <c r="BJ284" s="401">
        <f ca="1">IF(SUM($G284:BI284)&gt;=$E284,0,IF($E284-SUM($G284:BI284)&gt;BJ285,BJ285,$E284-SUM($G285:BI285)))</f>
        <v>0</v>
      </c>
      <c r="BK284" s="401">
        <f ca="1">IF(SUM($G284:BJ284)&gt;=$E284,0,IF($E284-SUM($G284:BJ284)&gt;BK285,BK285,$E284-SUM($G285:BJ285)))</f>
        <v>0</v>
      </c>
      <c r="BL284" s="401">
        <f ca="1">IF(SUM($G284:BK284)&gt;=$E284,0,IF($E284-SUM($G284:BK284)&gt;BL285,BL285,$E284-SUM($G285:BK285)))</f>
        <v>0</v>
      </c>
      <c r="BM284" s="401">
        <f ca="1">IF(SUM($G284:BL284)&gt;=$E284,0,IF($E284-SUM($G284:BL284)&gt;BM285,BM285,$E284-SUM($G285:BL285)))</f>
        <v>0</v>
      </c>
      <c r="BN284" s="401">
        <f ca="1">IF(SUM($G284:BM284)&gt;=$E284,0,IF($E284-SUM($G284:BM284)&gt;BN285,BN285,$E284-SUM($G285:BM285)))</f>
        <v>0</v>
      </c>
      <c r="BO284" s="401">
        <f ca="1">IF(SUM($G284:BN284)&gt;=$E284,0,IF($E284-SUM($G284:BN284)&gt;BO285,BO285,$E284-SUM($G285:BN285)))</f>
        <v>0</v>
      </c>
      <c r="BP284" s="401">
        <f ca="1">IF(SUM($G284:BO284)&gt;=$E284,0,IF($E284-SUM($G284:BO284)&gt;BP285,BP285,$E284-SUM($G285:BO285)))</f>
        <v>0</v>
      </c>
      <c r="BQ284" s="401">
        <f ca="1">IF(SUM($G284:BP284)&gt;=$E284,0,IF($E284-SUM($G284:BP284)&gt;BQ285,BQ285,$E284-SUM($G285:BP285)))</f>
        <v>0</v>
      </c>
      <c r="BR284" s="401">
        <f ca="1">IF(SUM($G284:BQ284)&gt;=$E284,0,IF($E284-SUM($G284:BQ284)&gt;BR285,BR285,$E284-SUM($G285:BQ285)))</f>
        <v>0</v>
      </c>
      <c r="BS284" s="401">
        <f ca="1">IF(SUM($G284:BR284)&gt;=$E284,0,IF($E284-SUM($G284:BR284)&gt;BS285,BS285,$E284-SUM($G285:BR285)))</f>
        <v>0</v>
      </c>
      <c r="BT284" s="401">
        <f ca="1">IF(SUM($G284:BS284)&gt;=$E284,0,IF($E284-SUM($G284:BS284)&gt;BT285,BT285,$E284-SUM($G285:BS285)))</f>
        <v>0</v>
      </c>
      <c r="BU284" s="401">
        <f ca="1">IF(SUM($G284:BT284)&gt;=$E284,0,IF($E284-SUM($G284:BT284)&gt;BU285,BU285,$E284-SUM($G285:BT285)))</f>
        <v>0</v>
      </c>
      <c r="BV284" s="401">
        <f ca="1">IF(SUM($G284:BU284)&gt;=$E284,0,IF($E284-SUM($G284:BU284)&gt;BV285,BV285,$E284-SUM($G285:BU285)))</f>
        <v>0</v>
      </c>
      <c r="BW284" s="401">
        <f ca="1">IF(SUM($G284:BV284)&gt;=$E284,0,IF($E284-SUM($G284:BV284)&gt;BW285,BW285,$E284-SUM($G285:BV285)))</f>
        <v>0</v>
      </c>
      <c r="BX284" s="401">
        <f ca="1">IF(SUM($G284:BW284)&gt;=$E284,0,IF($E284-SUM($G284:BW284)&gt;BX285,BX285,$E284-SUM($G285:BW285)))</f>
        <v>0</v>
      </c>
      <c r="BY284" s="401">
        <f ca="1">IF(SUM($G284:BX284)&gt;=$E284,0,IF($E284-SUM($G284:BX284)&gt;BY285,BY285,$E284-SUM($G285:BX285)))</f>
        <v>0</v>
      </c>
      <c r="BZ284" s="401">
        <f ca="1">IF(SUM($G284:BY284)&gt;=$E284,0,IF($E284-SUM($G284:BY284)&gt;BZ285,BZ285,$E284-SUM($G285:BY285)))</f>
        <v>0</v>
      </c>
      <c r="CA284" s="401">
        <f ca="1">IF(SUM($G284:BZ284)&gt;=$E284,0,IF($E284-SUM($G284:BZ284)&gt;CA285,CA285,$E284-SUM($G285:BZ285)))</f>
        <v>0</v>
      </c>
      <c r="CB284" s="401">
        <f ca="1">IF(SUM($G284:CA284)&gt;=$E284,0,IF($E284-SUM($G284:CA284)&gt;CB285,CB285,$E284-SUM($G285:CA285)))</f>
        <v>0</v>
      </c>
      <c r="CC284" s="401">
        <f ca="1">IF(SUM($G284:CB284)&gt;=$E284,0,IF($E284-SUM($G284:CB284)&gt;CC285,CC285,$E284-SUM($G285:CB285)))</f>
        <v>0</v>
      </c>
      <c r="CD284" s="401">
        <f ca="1">IF(SUM($G284:CC284)&gt;=$E284,0,IF($E284-SUM($G284:CC284)&gt;CD285,CD285,$E284-SUM($G285:CC285)))</f>
        <v>0</v>
      </c>
      <c r="CE284" s="401">
        <f ca="1">IF(SUM($G284:CD284)&gt;=$E284,0,IF($E284-SUM($G284:CD284)&gt;CE285,CE285,$E284-SUM($G285:CD285)))</f>
        <v>0</v>
      </c>
      <c r="CF284" s="401">
        <f ca="1">IF(SUM($G284:CE284)&gt;=$E284,0,IF($E284-SUM($G284:CE284)&gt;CF285,CF285,$E284-SUM($G285:CE285)))</f>
        <v>0</v>
      </c>
      <c r="CG284" s="401">
        <f ca="1">IF(SUM($G284:CF284)&gt;=$E284,0,IF($E284-SUM($G284:CF284)&gt;CG285,CG285,$E284-SUM($G285:CF285)))</f>
        <v>0</v>
      </c>
      <c r="CH284" s="401">
        <f ca="1">IF(SUM($G284:CG284)&gt;=$E284,0,IF($E284-SUM($G284:CG284)&gt;CH285,CH285,$E284-SUM($G285:CG285)))</f>
        <v>0</v>
      </c>
      <c r="CI284" s="401">
        <f ca="1">IF(SUM($G284:CH284)&gt;=$E284,0,IF($E284-SUM($G284:CH284)&gt;CI285,CI285,$E284-SUM($G285:CH285)))</f>
        <v>0</v>
      </c>
      <c r="CJ284" s="401">
        <f ca="1">IF(SUM($G284:CI284)&gt;=$E284,0,IF($E284-SUM($G284:CI284)&gt;CJ285,CJ285,$E284-SUM($G285:CI285)))</f>
        <v>0</v>
      </c>
      <c r="CK284" s="401">
        <f ca="1">IF(SUM($G284:CJ284)&gt;=$E284,0,IF($E284-SUM($G284:CJ284)&gt;CK285,CK285,$E284-SUM($G285:CJ285)))</f>
        <v>0</v>
      </c>
      <c r="CL284" s="401">
        <f ca="1">IF(SUM($G284:CK284)&gt;=$E284,0,IF($E284-SUM($G284:CK284)&gt;CL285,CL285,$E284-SUM($G285:CK285)))</f>
        <v>0</v>
      </c>
      <c r="CM284" s="401">
        <f ca="1">IF(SUM($G284:CL284)&gt;=$E284,0,IF($E284-SUM($G284:CL284)&gt;CM285,CM285,$E284-SUM($G285:CL285)))</f>
        <v>0</v>
      </c>
      <c r="CN284" s="401">
        <f ca="1">IF(SUM($G284:CM284)&gt;=$E284,0,IF($E284-SUM($G284:CM284)&gt;CN285,CN285,$E284-SUM($G285:CM285)))</f>
        <v>0</v>
      </c>
      <c r="CO284" s="401">
        <f ca="1">IF(SUM($G284:CN284)&gt;=$E284,0,IF($E284-SUM($G284:CN284)&gt;CO285,CO285,$E284-SUM($G285:CN285)))</f>
        <v>0</v>
      </c>
      <c r="CP284" s="401">
        <f ca="1">IF(SUM($G284:CO284)&gt;=$E284,0,IF($E284-SUM($G284:CO284)&gt;CP285,CP285,$E284-SUM($G285:CO285)))</f>
        <v>0</v>
      </c>
      <c r="CQ284" s="401">
        <f ca="1">IF(SUM($G284:CP284)&gt;=$E284,0,IF($E284-SUM($G284:CP284)&gt;CQ285,CQ285,$E284-SUM($G285:CP285)))</f>
        <v>0</v>
      </c>
      <c r="CR284" s="401">
        <f ca="1">IF(SUM($G284:CQ284)&gt;=$E284,0,IF($E284-SUM($G284:CQ284)&gt;CR285,CR285,$E284-SUM($G285:CQ285)))</f>
        <v>0</v>
      </c>
      <c r="CS284" s="401">
        <f ca="1">IF(SUM($G284:CR284)&gt;=$E284,0,IF($E284-SUM($G284:CR284)&gt;CS285,CS285,$E284-SUM($G285:CR285)))</f>
        <v>0</v>
      </c>
      <c r="CT284" s="401">
        <f ca="1">IF(SUM($G284:CS284)&gt;=$E284,0,IF($E284-SUM($G284:CS284)&gt;CT285,CT285,$E284-SUM($G285:CS285)))</f>
        <v>0</v>
      </c>
      <c r="CU284" s="401">
        <f ca="1">IF(SUM($G284:CT284)&gt;=$E284,0,IF($E284-SUM($G284:CT284)&gt;CU285,CU285,$E284-SUM($G285:CT285)))</f>
        <v>0</v>
      </c>
      <c r="CV284" s="401">
        <f ca="1">IF(SUM($G284:CU284)&gt;=$E284,0,IF($E284-SUM($G284:CU284)&gt;CV285,CV285,$E284-SUM($G285:CU285)))</f>
        <v>0</v>
      </c>
      <c r="CW284" s="401">
        <f ca="1">IF(SUM($G284:CV284)&gt;=$E284,0,IF($E284-SUM($G284:CV284)&gt;CW285,CW285,$E284-SUM($G285:CV285)))</f>
        <v>0</v>
      </c>
      <c r="CX284" s="401">
        <f ca="1">IF(SUM($G284:CW284)&gt;=$E284,0,IF($E284-SUM($G284:CW284)&gt;CX285,CX285,$E284-SUM($G285:CW285)))</f>
        <v>0</v>
      </c>
      <c r="CY284" s="401">
        <f ca="1">IF(SUM($G284:CX284)&gt;=$E284,0,IF($E284-SUM($G284:CX284)&gt;CY285,CY285,$E284-SUM($G285:CX285)))</f>
        <v>0</v>
      </c>
      <c r="CZ284" s="401">
        <f ca="1">IF(SUM($G284:CY284)&gt;=$E284,0,IF($E284-SUM($G284:CY284)&gt;CZ285,CZ285,$E284-SUM($G285:CY285)))</f>
        <v>0</v>
      </c>
      <c r="DA284" s="401">
        <f ca="1">IF(SUM($G284:CZ284)&gt;=$E284,0,IF($E284-SUM($G284:CZ284)&gt;DA285,DA285,$E284-SUM($G285:CZ285)))</f>
        <v>0</v>
      </c>
      <c r="DB284" s="401">
        <f ca="1">IF(SUM($G284:DA284)&gt;=$E284,0,IF($E284-SUM($G284:DA284)&gt;DB285,DB285,$E284-SUM($G285:DA285)))</f>
        <v>0</v>
      </c>
      <c r="DC284" s="401">
        <f ca="1">IF(SUM($G284:DB284)&gt;=$E284,0,IF($E284-SUM($G284:DB284)&gt;DC285,DC285,$E284-SUM($G285:DB285)))</f>
        <v>0</v>
      </c>
      <c r="DD284" s="401">
        <f ca="1">IF(SUM($G284:DC284)&gt;=$E284,0,IF($E284-SUM($G284:DC284)&gt;DD285,DD285,$E284-SUM($G285:DC285)))</f>
        <v>0</v>
      </c>
      <c r="DE284" s="401">
        <f ca="1">IF(SUM($G284:DD284)&gt;=$E284,0,IF($E284-SUM($G284:DD284)&gt;DE285,DE285,$E284-SUM($G285:DD285)))</f>
        <v>0</v>
      </c>
      <c r="DF284" s="401">
        <f ca="1">IF(SUM($G284:DE284)&gt;=$E284,0,IF($E284-SUM($G284:DE284)&gt;DF285,DF285,$E284-SUM($G285:DE285)))</f>
        <v>0</v>
      </c>
      <c r="DG284" s="401">
        <f ca="1">IF(SUM($G284:DF284)&gt;=$E284,0,IF($E284-SUM($G284:DF284)&gt;DG285,DG285,$E284-SUM($G285:DF285)))</f>
        <v>0</v>
      </c>
      <c r="DH284" s="401">
        <f ca="1">IF(SUM($G284:DG284)&gt;=$E284,0,IF($E284-SUM($G284:DG284)&gt;DH285,DH285,$E284-SUM($G285:DG285)))</f>
        <v>0</v>
      </c>
      <c r="DI284" s="401">
        <f ca="1">IF(SUM($G284:DH284)&gt;=$E284,0,IF($E284-SUM($G284:DH284)&gt;DI285,DI285,$E284-SUM($G285:DH285)))</f>
        <v>0</v>
      </c>
      <c r="DJ284" s="401">
        <f ca="1">IF(SUM($G284:DI284)&gt;=$E284,0,IF($E284-SUM($G284:DI284)&gt;DJ285,DJ285,$E284-SUM($G285:DI285)))</f>
        <v>0</v>
      </c>
      <c r="DK284" s="401">
        <f ca="1">IF(SUM($G284:DJ284)&gt;=$E284,0,IF($E284-SUM($G284:DJ284)&gt;DK285,DK285,$E284-SUM($G285:DJ285)))</f>
        <v>0</v>
      </c>
      <c r="DL284" s="401">
        <f ca="1">IF(SUM($G284:DK284)&gt;=$E284,0,IF($E284-SUM($G284:DK284)&gt;DL285,DL285,$E284-SUM($G285:DK285)))</f>
        <v>0</v>
      </c>
      <c r="DM284" s="401">
        <f ca="1">IF(SUM($G284:DL284)&gt;=$E284,0,IF($E284-SUM($G284:DL284)&gt;DM285,DM285,$E284-SUM($G285:DL285)))</f>
        <v>0</v>
      </c>
      <c r="DN284" s="401">
        <f ca="1">IF(SUM($G284:DM284)&gt;=$E284,0,IF($E284-SUM($G284:DM284)&gt;DN285,DN285,$E284-SUM($G285:DM285)))</f>
        <v>0</v>
      </c>
      <c r="DO284" s="401">
        <f ca="1">IF(SUM($G284:DN284)&gt;=$E284,0,IF($E284-SUM($G284:DN284)&gt;DO285,DO285,$E284-SUM($G285:DN285)))</f>
        <v>0</v>
      </c>
      <c r="DP284" s="401">
        <f ca="1">IF(SUM($G284:DO284)&gt;=$E284,0,IF($E284-SUM($G284:DO284)&gt;DP285,DP285,$E284-SUM($G285:DO285)))</f>
        <v>0</v>
      </c>
      <c r="DQ284" s="401">
        <f ca="1">IF(SUM($G284:DP284)&gt;=$E284,0,IF($E284-SUM($G284:DP284)&gt;DQ285,DQ285,$E284-SUM($G285:DP285)))</f>
        <v>0</v>
      </c>
      <c r="DR284" s="401">
        <f ca="1">IF(SUM($G284:DQ284)&gt;=$E284,0,IF($E284-SUM($G284:DQ284)&gt;DR285,DR285,$E284-SUM($G285:DQ285)))</f>
        <v>0</v>
      </c>
      <c r="DS284" s="401">
        <f ca="1">IF(SUM($G284:DR284)&gt;=$E284,0,IF($E284-SUM($G284:DR284)&gt;DS285,DS285,$E284-SUM($G285:DR285)))</f>
        <v>0</v>
      </c>
      <c r="DT284" s="401">
        <f ca="1">IF(SUM($G284:DS284)&gt;=$E284,0,IF($E284-SUM($G284:DS284)&gt;DT285,DT285,$E284-SUM($G285:DS285)))</f>
        <v>0</v>
      </c>
      <c r="DU284" s="401">
        <f ca="1">IF(SUM($G284:DT284)&gt;=$E284,0,IF($E284-SUM($G284:DT284)&gt;DU285,DU285,$E284-SUM($G285:DT285)))</f>
        <v>0</v>
      </c>
      <c r="DV284" s="401">
        <f ca="1">IF(SUM($G284:DU284)&gt;=$E284,0,IF($E284-SUM($G284:DU284)&gt;DV285,DV285,$E284-SUM($G285:DU285)))</f>
        <v>0</v>
      </c>
      <c r="DW284" s="401">
        <f ca="1">IF(SUM($G284:DV284)&gt;=$E284,0,IF($E284-SUM($G284:DV284)&gt;DW285,DW285,$E284-SUM($G285:DV285)))</f>
        <v>0</v>
      </c>
      <c r="DX284" s="401">
        <f ca="1">IF(SUM($G284:DW284)&gt;=$E284,0,IF($E284-SUM($G284:DW284)&gt;DX285,DX285,$E284-SUM($G285:DW285)))</f>
        <v>0</v>
      </c>
      <c r="DY284" s="401">
        <f ca="1">IF(SUM($G284:DX284)&gt;=$E284,0,IF($E284-SUM($G284:DX284)&gt;DY285,DY285,$E284-SUM($G285:DX285)))</f>
        <v>0</v>
      </c>
      <c r="DZ284" s="401">
        <f ca="1">IF(SUM($G284:DY284)&gt;=$E284,0,IF($E284-SUM($G284:DY284)&gt;DZ285,DZ285,$E284-SUM($G285:DY285)))</f>
        <v>0</v>
      </c>
      <c r="EA284" s="401">
        <f ca="1">IF(SUM($G284:DZ284)&gt;=$E284,0,IF($E284-SUM($G284:DZ284)&gt;EA285,EA285,$E284-SUM($G285:DZ285)))</f>
        <v>0</v>
      </c>
      <c r="EB284" s="401">
        <f ca="1">IF(SUM($G284:EA284)&gt;=$E284,0,IF($E284-SUM($G284:EA284)&gt;EB285,EB285,$E284-SUM($G285:EA285)))</f>
        <v>0</v>
      </c>
      <c r="EC284" s="401">
        <f ca="1">IF(SUM($G284:EB284)&gt;=$E284,0,IF($E284-SUM($G284:EB284)&gt;EC285,EC285,$E284-SUM($G285:EB285)))</f>
        <v>0</v>
      </c>
      <c r="ED284" s="401">
        <f ca="1">IF(SUM($G284:EC284)&gt;=$E284,0,IF($E284-SUM($G284:EC284)&gt;ED285,ED285,$E284-SUM($G285:EC285)))</f>
        <v>0</v>
      </c>
      <c r="EE284" s="401">
        <f ca="1">IF(SUM($G284:ED284)&gt;=$E284,0,IF($E284-SUM($G284:ED284)&gt;EE285,EE285,$E284-SUM($G285:ED285)))</f>
        <v>0</v>
      </c>
      <c r="EF284" s="401">
        <f ca="1">IF(SUM($G284:EE284)&gt;=$E284,0,IF($E284-SUM($G284:EE284)&gt;EF285,EF285,$E284-SUM($G285:EE285)))</f>
        <v>0</v>
      </c>
      <c r="EG284" s="401">
        <f ca="1">IF(SUM($G284:EF284)&gt;=$E284,0,IF($E284-SUM($G284:EF284)&gt;EG285,EG285,$E284-SUM($G285:EF285)))</f>
        <v>0</v>
      </c>
      <c r="EH284" s="401">
        <f ca="1">IF(SUM($G284:EG284)&gt;=$E284,0,IF($E284-SUM($G284:EG284)&gt;EH285,EH285,$E284-SUM($G285:EG285)))</f>
        <v>0</v>
      </c>
      <c r="EI284" s="401">
        <f ca="1">IF(SUM($G284:EH284)&gt;=$E284,0,IF($E284-SUM($G284:EH284)&gt;EI285,EI285,$E284-SUM($G285:EH285)))</f>
        <v>0</v>
      </c>
      <c r="EK284" s="313"/>
    </row>
    <row r="285" spans="1:141" hidden="1" outlineLevel="2">
      <c r="A285" s="332"/>
      <c r="B285" s="313"/>
      <c r="C285" s="308"/>
      <c r="D285" s="308"/>
      <c r="E285" s="308"/>
      <c r="G285" s="402"/>
      <c r="H285" s="402">
        <f ca="1">IF((SUM($G270:H270)-$E269)&lt;0,0,IF((SUM($G270:H270)-$E269)&lt;H270,SUM($G270:H270)-$E269,H270))</f>
        <v>0</v>
      </c>
      <c r="I285" s="402">
        <f ca="1">IF((SUM($G270:I270)-$E269)&lt;0,0,IF((SUM($G270:I270)-$E269)&lt;I270,SUM($G270:I270)-$E269,I270))</f>
        <v>0</v>
      </c>
      <c r="J285" s="402">
        <f ca="1">IF((SUM($G270:J270)-$E269)&lt;0,0,IF((SUM($G270:J270)-$E269)&lt;J270,SUM($G270:J270)-$E269,J270))</f>
        <v>0</v>
      </c>
      <c r="K285" s="402">
        <f ca="1">IF((SUM($G270:K270)-$E269)&lt;0,0,IF((SUM($G270:K270)-$E269)&lt;K270,SUM($G270:K270)-$E269,K270))</f>
        <v>0</v>
      </c>
      <c r="L285" s="402">
        <f ca="1">IF((SUM($G270:L270)-$E269)&lt;0,0,IF((SUM($G270:L270)-$E269)&lt;L270,SUM($G270:L270)-$E269,L270))</f>
        <v>0</v>
      </c>
      <c r="M285" s="402">
        <f ca="1">IF((SUM($G270:M270)-$E269)&lt;0,0,IF((SUM($G270:M270)-$E269)&lt;M270,SUM($G270:M270)-$E269,M270))</f>
        <v>0</v>
      </c>
      <c r="N285" s="402">
        <f ca="1">IF((SUM($G270:N270)-$E269)&lt;0,0,IF((SUM($G270:N270)-$E269)&lt;N270,SUM($G270:N270)-$E269,N270))</f>
        <v>0</v>
      </c>
      <c r="O285" s="402">
        <f ca="1">IF((SUM($G270:O270)-$E269)&lt;0,0,IF((SUM($G270:O270)-$E269)&lt;O270,SUM($G270:O270)-$E269,O270))</f>
        <v>0</v>
      </c>
      <c r="P285" s="402">
        <f ca="1">IF((SUM($G270:P270)-$E269)&lt;0,0,IF((SUM($G270:P270)-$E269)&lt;P270,SUM($G270:P270)-$E269,P270))</f>
        <v>0</v>
      </c>
      <c r="Q285" s="402">
        <f ca="1">IF((SUM($G270:Q270)-$E269)&lt;0,0,IF((SUM($G270:Q270)-$E269)&lt;Q270,SUM($G270:Q270)-$E269,Q270))</f>
        <v>0</v>
      </c>
      <c r="R285" s="402">
        <f ca="1">IF((SUM($G270:R270)-$E269)&lt;0,0,IF((SUM($G270:R270)-$E269)&lt;R270,SUM($G270:R270)-$E269,R270))</f>
        <v>0</v>
      </c>
      <c r="S285" s="402">
        <f ca="1">IF((SUM($G270:S270)-$E269)&lt;0,0,IF((SUM($G270:S270)-$E269)&lt;S270,SUM($G270:S270)-$E269,S270))</f>
        <v>0</v>
      </c>
      <c r="T285" s="402">
        <f ca="1">IF((SUM($G270:T270)-$E269)&lt;0,0,IF((SUM($G270:T270)-$E269)&lt;T270,SUM($G270:T270)-$E269,T270))</f>
        <v>0</v>
      </c>
      <c r="U285" s="402">
        <f ca="1">IF((SUM($G270:U270)-$E269)&lt;0,0,IF((SUM($G270:U270)-$E269)&lt;U270,SUM($G270:U270)-$E269,U270))</f>
        <v>0</v>
      </c>
      <c r="V285" s="402">
        <f ca="1">IF((SUM($G270:V270)-$E269)&lt;0,0,IF((SUM($G270:V270)-$E269)&lt;V270,SUM($G270:V270)-$E269,V270))</f>
        <v>0</v>
      </c>
      <c r="W285" s="402">
        <f ca="1">IF((SUM($G270:W270)-$E269)&lt;0,0,IF((SUM($G270:W270)-$E269)&lt;W270,SUM($G270:W270)-$E269,W270))</f>
        <v>0</v>
      </c>
      <c r="X285" s="402">
        <f ca="1">IF((SUM($G270:X270)-$E269)&lt;0,0,IF((SUM($G270:X270)-$E269)&lt;X270,SUM($G270:X270)-$E269,X270))</f>
        <v>0</v>
      </c>
      <c r="Y285" s="402">
        <f ca="1">IF((SUM($G270:Y270)-$E269)&lt;0,0,IF((SUM($G270:Y270)-$E269)&lt;Y270,SUM($G270:Y270)-$E269,Y270))</f>
        <v>0</v>
      </c>
      <c r="Z285" s="402">
        <f ca="1">IF((SUM($G270:Z270)-$E269)&lt;0,0,IF((SUM($G270:Z270)-$E269)&lt;Z270,SUM($G270:Z270)-$E269,Z270))</f>
        <v>0</v>
      </c>
      <c r="AA285" s="402">
        <f ca="1">IF((SUM($G270:AA270)-$E269)&lt;0,0,IF((SUM($G270:AA270)-$E269)&lt;AA270,SUM($G270:AA270)-$E269,AA270))</f>
        <v>0</v>
      </c>
      <c r="AB285" s="402">
        <f ca="1">IF((SUM($G270:AB270)-$E269)&lt;0,0,IF((SUM($G270:AB270)-$E269)&lt;AB270,SUM($G270:AB270)-$E269,AB270))</f>
        <v>0</v>
      </c>
      <c r="AC285" s="402">
        <f ca="1">IF((SUM($G270:AC270)-$E269)&lt;0,0,IF((SUM($G270:AC270)-$E269)&lt;AC270,SUM($G270:AC270)-$E269,AC270))</f>
        <v>0</v>
      </c>
      <c r="AD285" s="402">
        <f ca="1">IF((SUM($G270:AD270)-$E269)&lt;0,0,IF((SUM($G270:AD270)-$E269)&lt;AD270,SUM($G270:AD270)-$E269,AD270))</f>
        <v>0</v>
      </c>
      <c r="AE285" s="402">
        <f ca="1">IF((SUM($G270:AE270)-$E269)&lt;0,0,IF((SUM($G270:AE270)-$E269)&lt;AE270,SUM($G270:AE270)-$E269,AE270))</f>
        <v>0</v>
      </c>
      <c r="AF285" s="402">
        <f ca="1">IF((SUM($G270:AF270)-$E269)&lt;0,0,IF((SUM($G270:AF270)-$E269)&lt;AF270,SUM($G270:AF270)-$E269,AF270))</f>
        <v>0</v>
      </c>
      <c r="AG285" s="402">
        <f ca="1">IF((SUM($G270:AG270)-$E269)&lt;0,0,IF((SUM($G270:AG270)-$E269)&lt;AG270,SUM($G270:AG270)-$E269,AG270))</f>
        <v>0</v>
      </c>
      <c r="AH285" s="402">
        <f ca="1">IF((SUM($G270:AH270)-$E269)&lt;0,0,IF((SUM($G270:AH270)-$E269)&lt;AH270,SUM($G270:AH270)-$E269,AH270))</f>
        <v>0</v>
      </c>
      <c r="AI285" s="402">
        <f ca="1">IF((SUM($G270:AI270)-$E269)&lt;0,0,IF((SUM($G270:AI270)-$E269)&lt;AI270,SUM($G270:AI270)-$E269,AI270))</f>
        <v>0</v>
      </c>
      <c r="AJ285" s="402">
        <f ca="1">IF((SUM($G270:AJ270)-$E269)&lt;0,0,IF((SUM($G270:AJ270)-$E269)&lt;AJ270,SUM($G270:AJ270)-$E269,AJ270))</f>
        <v>0</v>
      </c>
      <c r="AK285" s="402">
        <f ca="1">IF((SUM($G270:AK270)-$E269)&lt;0,0,IF((SUM($G270:AK270)-$E269)&lt;AK270,SUM($G270:AK270)-$E269,AK270))</f>
        <v>0</v>
      </c>
      <c r="AL285" s="402">
        <f ca="1">IF((SUM($G270:AL270)-$E269)&lt;0,0,IF((SUM($G270:AL270)-$E269)&lt;AL270,SUM($G270:AL270)-$E269,AL270))</f>
        <v>0</v>
      </c>
      <c r="AM285" s="402">
        <f ca="1">IF((SUM($G270:AM270)-$E269)&lt;0,0,IF((SUM($G270:AM270)-$E269)&lt;AM270,SUM($G270:AM270)-$E269,AM270))</f>
        <v>0</v>
      </c>
      <c r="AN285" s="402">
        <f ca="1">IF((SUM($G270:AN270)-$E269)&lt;0,0,IF((SUM($G270:AN270)-$E269)&lt;AN270,SUM($G270:AN270)-$E269,AN270))</f>
        <v>0</v>
      </c>
      <c r="AO285" s="402">
        <f ca="1">IF((SUM($G270:AO270)-$E269)&lt;0,0,IF((SUM($G270:AO270)-$E269)&lt;AO270,SUM($G270:AO270)-$E269,AO270))</f>
        <v>0</v>
      </c>
      <c r="AP285" s="402">
        <f ca="1">IF((SUM($G270:AP270)-$E269)&lt;0,0,IF((SUM($G270:AP270)-$E269)&lt;AP270,SUM($G270:AP270)-$E269,AP270))</f>
        <v>0</v>
      </c>
      <c r="AQ285" s="402">
        <f ca="1">IF((SUM($G270:AQ270)-$E269)&lt;0,0,IF((SUM($G270:AQ270)-$E269)&lt;AQ270,SUM($G270:AQ270)-$E269,AQ270))</f>
        <v>0</v>
      </c>
      <c r="AR285" s="402">
        <f ca="1">IF((SUM($G270:AR270)-$E269)&lt;0,0,IF((SUM($G270:AR270)-$E269)&lt;AR270,SUM($G270:AR270)-$E269,AR270))</f>
        <v>0</v>
      </c>
      <c r="AS285" s="402">
        <f ca="1">IF((SUM($G270:AS270)-$E269)&lt;0,0,IF((SUM($G270:AS270)-$E269)&lt;AS270,SUM($G270:AS270)-$E269,AS270))</f>
        <v>0</v>
      </c>
      <c r="AT285" s="402">
        <f ca="1">IF((SUM($G270:AT270)-$E269)&lt;0,0,IF((SUM($G270:AT270)-$E269)&lt;AT270,SUM($G270:AT270)-$E269,AT270))</f>
        <v>0</v>
      </c>
      <c r="AU285" s="402">
        <f ca="1">IF((SUM($G270:AU270)-$E269)&lt;0,0,IF((SUM($G270:AU270)-$E269)&lt;AU270,SUM($G270:AU270)-$E269,AU270))</f>
        <v>0</v>
      </c>
      <c r="AV285" s="402">
        <f ca="1">IF((SUM($G270:AV270)-$E269)&lt;0,0,IF((SUM($G270:AV270)-$E269)&lt;AV270,SUM($G270:AV270)-$E269,AV270))</f>
        <v>0</v>
      </c>
      <c r="AW285" s="402">
        <f ca="1">IF((SUM($G270:AW270)-$E269)&lt;0,0,IF((SUM($G270:AW270)-$E269)&lt;AW270,SUM($G270:AW270)-$E269,AW270))</f>
        <v>0</v>
      </c>
      <c r="AX285" s="402">
        <f ca="1">IF((SUM($G270:AX270)-$E269)&lt;0,0,IF((SUM($G270:AX270)-$E269)&lt;AX270,SUM($G270:AX270)-$E269,AX270))</f>
        <v>0</v>
      </c>
      <c r="AY285" s="402">
        <f ca="1">IF((SUM($G270:AY270)-$E269)&lt;0,0,IF((SUM($G270:AY270)-$E269)&lt;AY270,SUM($G270:AY270)-$E269,AY270))</f>
        <v>0</v>
      </c>
      <c r="AZ285" s="402">
        <f ca="1">IF((SUM($G270:AZ270)-$E269)&lt;0,0,IF((SUM($G270:AZ270)-$E269)&lt;AZ270,SUM($G270:AZ270)-$E269,AZ270))</f>
        <v>0</v>
      </c>
      <c r="BA285" s="402">
        <f ca="1">IF((SUM($G270:BA270)-$E269)&lt;0,0,IF((SUM($G270:BA270)-$E269)&lt;BA270,SUM($G270:BA270)-$E269,BA270))</f>
        <v>5</v>
      </c>
      <c r="BB285" s="402">
        <f ca="1">IF((SUM($G270:BB270)-$E269)&lt;0,0,IF((SUM($G270:BB270)-$E269)&lt;BB270,SUM($G270:BB270)-$E269,BB270))</f>
        <v>28</v>
      </c>
      <c r="BC285" s="402">
        <f ca="1">IF((SUM($G270:BC270)-$E269)&lt;0,0,IF((SUM($G270:BC270)-$E269)&lt;BC270,SUM($G270:BC270)-$E269,BC270))</f>
        <v>31</v>
      </c>
      <c r="BD285" s="402">
        <f ca="1">IF((SUM($G270:BD270)-$E269)&lt;0,0,IF((SUM($G270:BD270)-$E269)&lt;BD270,SUM($G270:BD270)-$E269,BD270))</f>
        <v>30</v>
      </c>
      <c r="BE285" s="402">
        <f ca="1">IF((SUM($G270:BE270)-$E269)&lt;0,0,IF((SUM($G270:BE270)-$E269)&lt;BE270,SUM($G270:BE270)-$E269,BE270))</f>
        <v>31</v>
      </c>
      <c r="BF285" s="402">
        <f ca="1">IF((SUM($G270:BF270)-$E269)&lt;0,0,IF((SUM($G270:BF270)-$E269)&lt;BF270,SUM($G270:BF270)-$E269,BF270))</f>
        <v>30</v>
      </c>
      <c r="BG285" s="402">
        <f ca="1">IF((SUM($G270:BG270)-$E269)&lt;0,0,IF((SUM($G270:BG270)-$E269)&lt;BG270,SUM($G270:BG270)-$E269,BG270))</f>
        <v>31</v>
      </c>
      <c r="BH285" s="402">
        <f ca="1">IF((SUM($G270:BH270)-$E269)&lt;0,0,IF((SUM($G270:BH270)-$E269)&lt;BH270,SUM($G270:BH270)-$E269,BH270))</f>
        <v>31</v>
      </c>
      <c r="BI285" s="402">
        <f ca="1">IF((SUM($G270:BI270)-$E269)&lt;0,0,IF((SUM($G270:BI270)-$E269)&lt;BI270,SUM($G270:BI270)-$E269,BI270))</f>
        <v>30</v>
      </c>
      <c r="BJ285" s="402">
        <f ca="1">IF((SUM($G270:BJ270)-$E269)&lt;0,0,IF((SUM($G270:BJ270)-$E269)&lt;BJ270,SUM($G270:BJ270)-$E269,BJ270))</f>
        <v>31</v>
      </c>
      <c r="BK285" s="402">
        <f ca="1">IF((SUM($G270:BK270)-$E269)&lt;0,0,IF((SUM($G270:BK270)-$E269)&lt;BK270,SUM($G270:BK270)-$E269,BK270))</f>
        <v>30</v>
      </c>
      <c r="BL285" s="402">
        <f ca="1">IF((SUM($G270:BL270)-$E269)&lt;0,0,IF((SUM($G270:BL270)-$E269)&lt;BL270,SUM($G270:BL270)-$E269,BL270))</f>
        <v>31</v>
      </c>
      <c r="BM285" s="402">
        <f ca="1">IF((SUM($G270:BM270)-$E269)&lt;0,0,IF((SUM($G270:BM270)-$E269)&lt;BM270,SUM($G270:BM270)-$E269,BM270))</f>
        <v>31</v>
      </c>
      <c r="BN285" s="402">
        <f ca="1">IF((SUM($G270:BN270)-$E269)&lt;0,0,IF((SUM($G270:BN270)-$E269)&lt;BN270,SUM($G270:BN270)-$E269,BN270))</f>
        <v>29</v>
      </c>
      <c r="BO285" s="402">
        <f ca="1">IF((SUM($G270:BO270)-$E269)&lt;0,0,IF((SUM($G270:BO270)-$E269)&lt;BO270,SUM($G270:BO270)-$E269,BO270))</f>
        <v>31</v>
      </c>
      <c r="BP285" s="402">
        <f ca="1">IF((SUM($G270:BP270)-$E269)&lt;0,0,IF((SUM($G270:BP270)-$E269)&lt;BP270,SUM($G270:BP270)-$E269,BP270))</f>
        <v>30</v>
      </c>
      <c r="BQ285" s="402">
        <f ca="1">IF((SUM($G270:BQ270)-$E269)&lt;0,0,IF((SUM($G270:BQ270)-$E269)&lt;BQ270,SUM($G270:BQ270)-$E269,BQ270))</f>
        <v>31</v>
      </c>
      <c r="BR285" s="402">
        <f ca="1">IF((SUM($G270:BR270)-$E269)&lt;0,0,IF((SUM($G270:BR270)-$E269)&lt;BR270,SUM($G270:BR270)-$E269,BR270))</f>
        <v>30</v>
      </c>
      <c r="BS285" s="402">
        <f ca="1">IF((SUM($G270:BS270)-$E269)&lt;0,0,IF((SUM($G270:BS270)-$E269)&lt;BS270,SUM($G270:BS270)-$E269,BS270))</f>
        <v>31</v>
      </c>
      <c r="BT285" s="402">
        <f ca="1">IF((SUM($G270:BT270)-$E269)&lt;0,0,IF((SUM($G270:BT270)-$E269)&lt;BT270,SUM($G270:BT270)-$E269,BT270))</f>
        <v>31</v>
      </c>
      <c r="BU285" s="402">
        <f ca="1">IF((SUM($G270:BU270)-$E269)&lt;0,0,IF((SUM($G270:BU270)-$E269)&lt;BU270,SUM($G270:BU270)-$E269,BU270))</f>
        <v>30</v>
      </c>
      <c r="BV285" s="402">
        <f ca="1">IF((SUM($G270:BV270)-$E269)&lt;0,0,IF((SUM($G270:BV270)-$E269)&lt;BV270,SUM($G270:BV270)-$E269,BV270))</f>
        <v>31</v>
      </c>
      <c r="BW285" s="402">
        <f ca="1">IF((SUM($G270:BW270)-$E269)&lt;0,0,IF((SUM($G270:BW270)-$E269)&lt;BW270,SUM($G270:BW270)-$E269,BW270))</f>
        <v>30</v>
      </c>
      <c r="BX285" s="402">
        <f ca="1">IF((SUM($G270:BX270)-$E269)&lt;0,0,IF((SUM($G270:BX270)-$E269)&lt;BX270,SUM($G270:BX270)-$E269,BX270))</f>
        <v>31</v>
      </c>
      <c r="BY285" s="402">
        <f ca="1">IF((SUM($G270:BY270)-$E269)&lt;0,0,IF((SUM($G270:BY270)-$E269)&lt;BY270,SUM($G270:BY270)-$E269,BY270))</f>
        <v>31</v>
      </c>
      <c r="BZ285" s="402">
        <f ca="1">IF((SUM($G270:BZ270)-$E269)&lt;0,0,IF((SUM($G270:BZ270)-$E269)&lt;BZ270,SUM($G270:BZ270)-$E269,BZ270))</f>
        <v>28</v>
      </c>
      <c r="CA285" s="402">
        <f ca="1">IF((SUM($G270:CA270)-$E269)&lt;0,0,IF((SUM($G270:CA270)-$E269)&lt;CA270,SUM($G270:CA270)-$E269,CA270))</f>
        <v>31</v>
      </c>
      <c r="CB285" s="402">
        <f ca="1">IF((SUM($G270:CB270)-$E269)&lt;0,0,IF((SUM($G270:CB270)-$E269)&lt;CB270,SUM($G270:CB270)-$E269,CB270))</f>
        <v>30</v>
      </c>
      <c r="CC285" s="402">
        <f ca="1">IF((SUM($G270:CC270)-$E269)&lt;0,0,IF((SUM($G270:CC270)-$E269)&lt;CC270,SUM($G270:CC270)-$E269,CC270))</f>
        <v>31</v>
      </c>
      <c r="CD285" s="402">
        <f ca="1">IF((SUM($G270:CD270)-$E269)&lt;0,0,IF((SUM($G270:CD270)-$E269)&lt;CD270,SUM($G270:CD270)-$E269,CD270))</f>
        <v>30</v>
      </c>
      <c r="CE285" s="402">
        <f ca="1">IF((SUM($G270:CE270)-$E269)&lt;0,0,IF((SUM($G270:CE270)-$E269)&lt;CE270,SUM($G270:CE270)-$E269,CE270))</f>
        <v>31</v>
      </c>
      <c r="CF285" s="402">
        <f ca="1">IF((SUM($G270:CF270)-$E269)&lt;0,0,IF((SUM($G270:CF270)-$E269)&lt;CF270,SUM($G270:CF270)-$E269,CF270))</f>
        <v>31</v>
      </c>
      <c r="CG285" s="402">
        <f ca="1">IF((SUM($G270:CG270)-$E269)&lt;0,0,IF((SUM($G270:CG270)-$E269)&lt;CG270,SUM($G270:CG270)-$E269,CG270))</f>
        <v>30</v>
      </c>
      <c r="CH285" s="402">
        <f ca="1">IF((SUM($G270:CH270)-$E269)&lt;0,0,IF((SUM($G270:CH270)-$E269)&lt;CH270,SUM($G270:CH270)-$E269,CH270))</f>
        <v>31</v>
      </c>
      <c r="CI285" s="402">
        <f ca="1">IF((SUM($G270:CI270)-$E269)&lt;0,0,IF((SUM($G270:CI270)-$E269)&lt;CI270,SUM($G270:CI270)-$E269,CI270))</f>
        <v>30</v>
      </c>
      <c r="CJ285" s="402">
        <f ca="1">IF((SUM($G270:CJ270)-$E269)&lt;0,0,IF((SUM($G270:CJ270)-$E269)&lt;CJ270,SUM($G270:CJ270)-$E269,CJ270))</f>
        <v>31</v>
      </c>
      <c r="CK285" s="402">
        <f ca="1">IF((SUM($G270:CK270)-$E269)&lt;0,0,IF((SUM($G270:CK270)-$E269)&lt;CK270,SUM($G270:CK270)-$E269,CK270))</f>
        <v>31</v>
      </c>
      <c r="CL285" s="402">
        <f ca="1">IF((SUM($G270:CL270)-$E269)&lt;0,0,IF((SUM($G270:CL270)-$E269)&lt;CL270,SUM($G270:CL270)-$E269,CL270))</f>
        <v>28</v>
      </c>
      <c r="CM285" s="402">
        <f ca="1">IF((SUM($G270:CM270)-$E269)&lt;0,0,IF((SUM($G270:CM270)-$E269)&lt;CM270,SUM($G270:CM270)-$E269,CM270))</f>
        <v>31</v>
      </c>
      <c r="CN285" s="402">
        <f ca="1">IF((SUM($G270:CN270)-$E269)&lt;0,0,IF((SUM($G270:CN270)-$E269)&lt;CN270,SUM($G270:CN270)-$E269,CN270))</f>
        <v>30</v>
      </c>
      <c r="CO285" s="402">
        <f ca="1">IF((SUM($G270:CO270)-$E269)&lt;0,0,IF((SUM($G270:CO270)-$E269)&lt;CO270,SUM($G270:CO270)-$E269,CO270))</f>
        <v>31</v>
      </c>
      <c r="CP285" s="402">
        <f ca="1">IF((SUM($G270:CP270)-$E269)&lt;0,0,IF((SUM($G270:CP270)-$E269)&lt;CP270,SUM($G270:CP270)-$E269,CP270))</f>
        <v>30</v>
      </c>
      <c r="CQ285" s="402">
        <f ca="1">IF((SUM($G270:CQ270)-$E269)&lt;0,0,IF((SUM($G270:CQ270)-$E269)&lt;CQ270,SUM($G270:CQ270)-$E269,CQ270))</f>
        <v>31</v>
      </c>
      <c r="CR285" s="402">
        <f ca="1">IF((SUM($G270:CR270)-$E269)&lt;0,0,IF((SUM($G270:CR270)-$E269)&lt;CR270,SUM($G270:CR270)-$E269,CR270))</f>
        <v>31</v>
      </c>
      <c r="CS285" s="402">
        <f ca="1">IF((SUM($G270:CS270)-$E269)&lt;0,0,IF((SUM($G270:CS270)-$E269)&lt;CS270,SUM($G270:CS270)-$E269,CS270))</f>
        <v>30</v>
      </c>
      <c r="CT285" s="402">
        <f ca="1">IF((SUM($G270:CT270)-$E269)&lt;0,0,IF((SUM($G270:CT270)-$E269)&lt;CT270,SUM($G270:CT270)-$E269,CT270))</f>
        <v>31</v>
      </c>
      <c r="CU285" s="402">
        <f ca="1">IF((SUM($G270:CU270)-$E269)&lt;0,0,IF((SUM($G270:CU270)-$E269)&lt;CU270,SUM($G270:CU270)-$E269,CU270))</f>
        <v>30</v>
      </c>
      <c r="CV285" s="402">
        <f ca="1">IF((SUM($G270:CV270)-$E269)&lt;0,0,IF((SUM($G270:CV270)-$E269)&lt;CV270,SUM($G270:CV270)-$E269,CV270))</f>
        <v>31</v>
      </c>
      <c r="CW285" s="402">
        <f ca="1">IF((SUM($G270:CW270)-$E269)&lt;0,0,IF((SUM($G270:CW270)-$E269)&lt;CW270,SUM($G270:CW270)-$E269,CW270))</f>
        <v>31</v>
      </c>
      <c r="CX285" s="402">
        <f ca="1">IF((SUM($G270:CX270)-$E269)&lt;0,0,IF((SUM($G270:CX270)-$E269)&lt;CX270,SUM($G270:CX270)-$E269,CX270))</f>
        <v>28</v>
      </c>
      <c r="CY285" s="402">
        <f ca="1">IF((SUM($G270:CY270)-$E269)&lt;0,0,IF((SUM($G270:CY270)-$E269)&lt;CY270,SUM($G270:CY270)-$E269,CY270))</f>
        <v>31</v>
      </c>
      <c r="CZ285" s="402">
        <f ca="1">IF((SUM($G270:CZ270)-$E269)&lt;0,0,IF((SUM($G270:CZ270)-$E269)&lt;CZ270,SUM($G270:CZ270)-$E269,CZ270))</f>
        <v>30</v>
      </c>
      <c r="DA285" s="402">
        <f ca="1">IF((SUM($G270:DA270)-$E269)&lt;0,0,IF((SUM($G270:DA270)-$E269)&lt;DA270,SUM($G270:DA270)-$E269,DA270))</f>
        <v>31</v>
      </c>
      <c r="DB285" s="402">
        <f ca="1">IF((SUM($G270:DB270)-$E269)&lt;0,0,IF((SUM($G270:DB270)-$E269)&lt;DB270,SUM($G270:DB270)-$E269,DB270))</f>
        <v>30</v>
      </c>
      <c r="DC285" s="402">
        <f ca="1">IF((SUM($G270:DC270)-$E269)&lt;0,0,IF((SUM($G270:DC270)-$E269)&lt;DC270,SUM($G270:DC270)-$E269,DC270))</f>
        <v>31</v>
      </c>
      <c r="DD285" s="402">
        <f ca="1">IF((SUM($G270:DD270)-$E269)&lt;0,0,IF((SUM($G270:DD270)-$E269)&lt;DD270,SUM($G270:DD270)-$E269,DD270))</f>
        <v>31</v>
      </c>
      <c r="DE285" s="402">
        <f ca="1">IF((SUM($G270:DE270)-$E269)&lt;0,0,IF((SUM($G270:DE270)-$E269)&lt;DE270,SUM($G270:DE270)-$E269,DE270))</f>
        <v>30</v>
      </c>
      <c r="DF285" s="402">
        <f ca="1">IF((SUM($G270:DF270)-$E269)&lt;0,0,IF((SUM($G270:DF270)-$E269)&lt;DF270,SUM($G270:DF270)-$E269,DF270))</f>
        <v>31</v>
      </c>
      <c r="DG285" s="402">
        <f ca="1">IF((SUM($G270:DG270)-$E269)&lt;0,0,IF((SUM($G270:DG270)-$E269)&lt;DG270,SUM($G270:DG270)-$E269,DG270))</f>
        <v>30</v>
      </c>
      <c r="DH285" s="402">
        <f ca="1">IF((SUM($G270:DH270)-$E269)&lt;0,0,IF((SUM($G270:DH270)-$E269)&lt;DH270,SUM($G270:DH270)-$E269,DH270))</f>
        <v>31</v>
      </c>
      <c r="DI285" s="402">
        <f ca="1">IF((SUM($G270:DI270)-$E269)&lt;0,0,IF((SUM($G270:DI270)-$E269)&lt;DI270,SUM($G270:DI270)-$E269,DI270))</f>
        <v>31</v>
      </c>
      <c r="DJ285" s="402">
        <f ca="1">IF((SUM($G270:DJ270)-$E269)&lt;0,0,IF((SUM($G270:DJ270)-$E269)&lt;DJ270,SUM($G270:DJ270)-$E269,DJ270))</f>
        <v>29</v>
      </c>
      <c r="DK285" s="402">
        <f ca="1">IF((SUM($G270:DK270)-$E269)&lt;0,0,IF((SUM($G270:DK270)-$E269)&lt;DK270,SUM($G270:DK270)-$E269,DK270))</f>
        <v>31</v>
      </c>
      <c r="DL285" s="402">
        <f ca="1">IF((SUM($G270:DL270)-$E269)&lt;0,0,IF((SUM($G270:DL270)-$E269)&lt;DL270,SUM($G270:DL270)-$E269,DL270))</f>
        <v>30</v>
      </c>
      <c r="DM285" s="402">
        <f ca="1">IF((SUM($G270:DM270)-$E269)&lt;0,0,IF((SUM($G270:DM270)-$E269)&lt;DM270,SUM($G270:DM270)-$E269,DM270))</f>
        <v>31</v>
      </c>
      <c r="DN285" s="402">
        <f ca="1">IF((SUM($G270:DN270)-$E269)&lt;0,0,IF((SUM($G270:DN270)-$E269)&lt;DN270,SUM($G270:DN270)-$E269,DN270))</f>
        <v>30</v>
      </c>
      <c r="DO285" s="402">
        <f ca="1">IF((SUM($G270:DO270)-$E269)&lt;0,0,IF((SUM($G270:DO270)-$E269)&lt;DO270,SUM($G270:DO270)-$E269,DO270))</f>
        <v>31</v>
      </c>
      <c r="DP285" s="402">
        <f ca="1">IF((SUM($G270:DP270)-$E269)&lt;0,0,IF((SUM($G270:DP270)-$E269)&lt;DP270,SUM($G270:DP270)-$E269,DP270))</f>
        <v>31</v>
      </c>
      <c r="DQ285" s="402">
        <f ca="1">IF((SUM($G270:DQ270)-$E269)&lt;0,0,IF((SUM($G270:DQ270)-$E269)&lt;DQ270,SUM($G270:DQ270)-$E269,DQ270))</f>
        <v>30</v>
      </c>
      <c r="DR285" s="402">
        <f ca="1">IF((SUM($G270:DR270)-$E269)&lt;0,0,IF((SUM($G270:DR270)-$E269)&lt;DR270,SUM($G270:DR270)-$E269,DR270))</f>
        <v>31</v>
      </c>
      <c r="DS285" s="402">
        <f ca="1">IF((SUM($G270:DS270)-$E269)&lt;0,0,IF((SUM($G270:DS270)-$E269)&lt;DS270,SUM($G270:DS270)-$E269,DS270))</f>
        <v>30</v>
      </c>
      <c r="DT285" s="402">
        <f ca="1">IF((SUM($G270:DT270)-$E269)&lt;0,0,IF((SUM($G270:DT270)-$E269)&lt;DT270,SUM($G270:DT270)-$E269,DT270))</f>
        <v>31</v>
      </c>
      <c r="DU285" s="402">
        <f ca="1">IF((SUM($G270:DU270)-$E269)&lt;0,0,IF((SUM($G270:DU270)-$E269)&lt;DU270,SUM($G270:DU270)-$E269,DU270))</f>
        <v>31</v>
      </c>
      <c r="DV285" s="402">
        <f ca="1">IF((SUM($G270:DV270)-$E269)&lt;0,0,IF((SUM($G270:DV270)-$E269)&lt;DV270,SUM($G270:DV270)-$E269,DV270))</f>
        <v>28</v>
      </c>
      <c r="DW285" s="402">
        <f ca="1">IF((SUM($G270:DW270)-$E269)&lt;0,0,IF((SUM($G270:DW270)-$E269)&lt;DW270,SUM($G270:DW270)-$E269,DW270))</f>
        <v>31</v>
      </c>
      <c r="DX285" s="402">
        <f ca="1">IF((SUM($G270:DX270)-$E269)&lt;0,0,IF((SUM($G270:DX270)-$E269)&lt;DX270,SUM($G270:DX270)-$E269,DX270))</f>
        <v>30</v>
      </c>
      <c r="DY285" s="402">
        <f ca="1">IF((SUM($G270:DY270)-$E269)&lt;0,0,IF((SUM($G270:DY270)-$E269)&lt;DY270,SUM($G270:DY270)-$E269,DY270))</f>
        <v>31</v>
      </c>
      <c r="DZ285" s="402">
        <f ca="1">IF((SUM($G270:DZ270)-$E269)&lt;0,0,IF((SUM($G270:DZ270)-$E269)&lt;DZ270,SUM($G270:DZ270)-$E269,DZ270))</f>
        <v>30</v>
      </c>
      <c r="EA285" s="402">
        <f ca="1">IF((SUM($G270:EA270)-$E269)&lt;0,0,IF((SUM($G270:EA270)-$E269)&lt;EA270,SUM($G270:EA270)-$E269,EA270))</f>
        <v>31</v>
      </c>
      <c r="EB285" s="402">
        <f ca="1">IF((SUM($G270:EB270)-$E269)&lt;0,0,IF((SUM($G270:EB270)-$E269)&lt;EB270,SUM($G270:EB270)-$E269,EB270))</f>
        <v>31</v>
      </c>
      <c r="EC285" s="402">
        <f ca="1">IF((SUM($G270:EC270)-$E269)&lt;0,0,IF((SUM($G270:EC270)-$E269)&lt;EC270,SUM($G270:EC270)-$E269,EC270))</f>
        <v>30</v>
      </c>
      <c r="ED285" s="402">
        <f ca="1">IF((SUM($G270:ED270)-$E269)&lt;0,0,IF((SUM($G270:ED270)-$E269)&lt;ED270,SUM($G270:ED270)-$E269,ED270))</f>
        <v>31</v>
      </c>
      <c r="EE285" s="402">
        <f ca="1">IF((SUM($G270:EE270)-$E269)&lt;0,0,IF((SUM($G270:EE270)-$E269)&lt;EE270,SUM($G270:EE270)-$E269,EE270))</f>
        <v>30</v>
      </c>
      <c r="EF285" s="402">
        <f ca="1">IF((SUM($G270:EF270)-$E269)&lt;0,0,IF((SUM($G270:EF270)-$E269)&lt;EF270,SUM($G270:EF270)-$E269,EF270))</f>
        <v>31</v>
      </c>
      <c r="EG285" s="402">
        <f ca="1">IF((SUM($G270:EG270)-$E269)&lt;0,0,IF((SUM($G270:EG270)-$E269)&lt;EG270,SUM($G270:EG270)-$E269,EG270))</f>
        <v>31</v>
      </c>
      <c r="EH285" s="402">
        <f ca="1">IF((SUM($G270:EH270)-$E269)&lt;0,0,IF((SUM($G270:EH270)-$E269)&lt;EH270,SUM($G270:EH270)-$E269,EH270))</f>
        <v>28</v>
      </c>
      <c r="EI285" s="402">
        <f ca="1">IF((SUM($G270:EI270)-$E269)&lt;0,0,IF((SUM($G270:EI270)-$E269)&lt;EI270,SUM($G270:EI270)-$E269,EI270))</f>
        <v>31</v>
      </c>
    </row>
    <row r="286" spans="1:141" hidden="1" outlineLevel="2">
      <c r="A286" s="332"/>
      <c r="B286" s="313"/>
      <c r="D286" s="305" t="s">
        <v>670</v>
      </c>
      <c r="E286" s="403">
        <f ca="1">MIN(G286:EI286)</f>
        <v>0</v>
      </c>
      <c r="F286" s="404">
        <f ca="1">MAX(G286:EI286)</f>
        <v>0</v>
      </c>
      <c r="G286" s="403" t="str">
        <f ca="1">IF(G284=0,"",IF(SUM($G284:G284)&gt;=1,OFFSET(G$228,-1,0),""))</f>
        <v/>
      </c>
      <c r="H286" s="403" t="str">
        <f ca="1">IF(SUM($G286:G286)&gt;=1,"",IF(H284=0,"",IF(SUM($G284:H284)&gt;=1,OFFSET(H$228,-1,0),"")))</f>
        <v/>
      </c>
      <c r="I286" s="403" t="str">
        <f ca="1">IF(SUM($G286:H286)&gt;=1,"",IF(I284=0,"",IF(SUM($G284:I284)&gt;=1,OFFSET(I$228,-1,0),"")))</f>
        <v/>
      </c>
      <c r="J286" s="403" t="str">
        <f ca="1">IF(SUM($G286:I286)&gt;=1,"",IF(J284=0,"",IF(SUM($G284:J284)&gt;=1,OFFSET(J$228,-1,0),"")))</f>
        <v/>
      </c>
      <c r="K286" s="403" t="str">
        <f ca="1">IF(SUM($G286:J286)&gt;=1,"",IF(K284=0,"",IF(SUM($G284:K284)&gt;=1,OFFSET(K$228,-1,0),"")))</f>
        <v/>
      </c>
      <c r="L286" s="403" t="str">
        <f ca="1">IF(SUM($G286:K286)&gt;=1,"",IF(L284=0,"",IF(SUM($G284:L284)&gt;=1,OFFSET(L$228,-1,0),"")))</f>
        <v/>
      </c>
      <c r="M286" s="403" t="str">
        <f ca="1">IF(SUM($G286:L286)&gt;=1,"",IF(M284=0,"",IF(SUM($G284:M284)&gt;=1,OFFSET(M$228,-1,0),"")))</f>
        <v/>
      </c>
      <c r="N286" s="403" t="str">
        <f ca="1">IF(SUM($G286:M286)&gt;=1,"",IF(N284=0,"",IF(SUM($G284:N284)&gt;=1,OFFSET(N$228,-1,0),"")))</f>
        <v/>
      </c>
      <c r="O286" s="403" t="str">
        <f ca="1">IF(SUM($G286:N286)&gt;=1,"",IF(O284=0,"",IF(SUM($G284:O284)&gt;=1,OFFSET(O$228,-1,0),"")))</f>
        <v/>
      </c>
      <c r="P286" s="403" t="str">
        <f ca="1">IF(SUM($G286:O286)&gt;=1,"",IF(P284=0,"",IF(SUM($G284:P284)&gt;=1,OFFSET(P$228,-1,0),"")))</f>
        <v/>
      </c>
      <c r="Q286" s="403" t="str">
        <f ca="1">IF(SUM($G286:P286)&gt;=1,"",IF(Q284=0,"",IF(SUM($G284:Q284)&gt;=1,OFFSET(Q$228,-1,0),"")))</f>
        <v/>
      </c>
      <c r="R286" s="403" t="str">
        <f ca="1">IF(SUM($G286:Q286)&gt;=1,"",IF(R284=0,"",IF(SUM($G284:R284)&gt;=1,OFFSET(R$228,-1,0),"")))</f>
        <v/>
      </c>
      <c r="S286" s="403" t="str">
        <f ca="1">IF(SUM($G286:R286)&gt;=1,"",IF(S284=0,"",IF(SUM($G284:S284)&gt;=1,OFFSET(S$228,-1,0),"")))</f>
        <v/>
      </c>
      <c r="T286" s="403" t="str">
        <f ca="1">IF(SUM($G286:S286)&gt;=1,"",IF(T284=0,"",IF(SUM($G284:T284)&gt;=1,OFFSET(T$228,-1,0),"")))</f>
        <v/>
      </c>
      <c r="U286" s="403" t="str">
        <f ca="1">IF(SUM($G286:T286)&gt;=1,"",IF(U284=0,"",IF(SUM($G284:U284)&gt;=1,OFFSET(U$228,-1,0),"")))</f>
        <v/>
      </c>
      <c r="V286" s="403" t="str">
        <f ca="1">IF(SUM($G286:U286)&gt;=1,"",IF(V284=0,"",IF(SUM($G284:V284)&gt;=1,OFFSET(V$228,-1,0),"")))</f>
        <v/>
      </c>
      <c r="W286" s="403" t="str">
        <f ca="1">IF(SUM($G286:V286)&gt;=1,"",IF(W284=0,"",IF(SUM($G284:W284)&gt;=1,OFFSET(W$228,-1,0),"")))</f>
        <v/>
      </c>
      <c r="X286" s="403" t="str">
        <f ca="1">IF(SUM($G286:W286)&gt;=1,"",IF(X284=0,"",IF(SUM($G284:X284)&gt;=1,OFFSET(X$228,-1,0),"")))</f>
        <v/>
      </c>
      <c r="Y286" s="403" t="str">
        <f ca="1">IF(SUM($G286:X286)&gt;=1,"",IF(Y284=0,"",IF(SUM($G284:Y284)&gt;=1,OFFSET(Y$228,-1,0),"")))</f>
        <v/>
      </c>
      <c r="Z286" s="403" t="str">
        <f ca="1">IF(SUM($G286:Y286)&gt;=1,"",IF(Z284=0,"",IF(SUM($G284:Z284)&gt;=1,OFFSET(Z$228,-1,0),"")))</f>
        <v/>
      </c>
      <c r="AA286" s="403" t="str">
        <f ca="1">IF(SUM($G286:Z286)&gt;=1,"",IF(AA284=0,"",IF(SUM($G284:AA284)&gt;=1,OFFSET(AA$228,-1,0),"")))</f>
        <v/>
      </c>
      <c r="AB286" s="403" t="str">
        <f ca="1">IF(SUM($G286:AA286)&gt;=1,"",IF(AB284=0,"",IF(SUM($G284:AB284)&gt;=1,OFFSET(AB$228,-1,0),"")))</f>
        <v/>
      </c>
      <c r="AC286" s="403" t="str">
        <f ca="1">IF(SUM($G286:AB286)&gt;=1,"",IF(AC284=0,"",IF(SUM($G284:AC284)&gt;=1,OFFSET(AC$228,-1,0),"")))</f>
        <v/>
      </c>
      <c r="AD286" s="403" t="str">
        <f ca="1">IF(SUM($G286:AC286)&gt;=1,"",IF(AD284=0,"",IF(SUM($G284:AD284)&gt;=1,OFFSET(AD$228,-1,0),"")))</f>
        <v/>
      </c>
      <c r="AE286" s="403" t="str">
        <f ca="1">IF(SUM($G286:AD286)&gt;=1,"",IF(AE284=0,"",IF(SUM($G284:AE284)&gt;=1,OFFSET(AE$228,-1,0),"")))</f>
        <v/>
      </c>
      <c r="AF286" s="403" t="str">
        <f ca="1">IF(SUM($G286:AE286)&gt;=1,"",IF(AF284=0,"",IF(SUM($G284:AF284)&gt;=1,OFFSET(AF$228,-1,0),"")))</f>
        <v/>
      </c>
      <c r="AG286" s="403" t="str">
        <f ca="1">IF(SUM($G286:AF286)&gt;=1,"",IF(AG284=0,"",IF(SUM($G284:AG284)&gt;=1,OFFSET(AG$228,-1,0),"")))</f>
        <v/>
      </c>
      <c r="AH286" s="403" t="str">
        <f ca="1">IF(SUM($G286:AG286)&gt;=1,"",IF(AH284=0,"",IF(SUM($G284:AH284)&gt;=1,OFFSET(AH$228,-1,0),"")))</f>
        <v/>
      </c>
      <c r="AI286" s="403" t="str">
        <f ca="1">IF(SUM($G286:AH286)&gt;=1,"",IF(AI284=0,"",IF(SUM($G284:AI284)&gt;=1,OFFSET(AI$228,-1,0),"")))</f>
        <v/>
      </c>
      <c r="AJ286" s="403" t="str">
        <f ca="1">IF(SUM($G286:AI286)&gt;=1,"",IF(AJ284=0,"",IF(SUM($G284:AJ284)&gt;=1,OFFSET(AJ$228,-1,0),"")))</f>
        <v/>
      </c>
      <c r="AK286" s="403" t="str">
        <f ca="1">IF(SUM($G286:AJ286)&gt;=1,"",IF(AK284=0,"",IF(SUM($G284:AK284)&gt;=1,OFFSET(AK$228,-1,0),"")))</f>
        <v/>
      </c>
      <c r="AL286" s="403" t="str">
        <f ca="1">IF(SUM($G286:AK286)&gt;=1,"",IF(AL284=0,"",IF(SUM($G284:AL284)&gt;=1,OFFSET(AL$228,-1,0),"")))</f>
        <v/>
      </c>
      <c r="AM286" s="403" t="str">
        <f ca="1">IF(SUM($G286:AL286)&gt;=1,"",IF(AM284=0,"",IF(SUM($G284:AM284)&gt;=1,OFFSET(AM$228,-1,0),"")))</f>
        <v/>
      </c>
      <c r="AN286" s="403" t="str">
        <f ca="1">IF(SUM($G286:AM286)&gt;=1,"",IF(AN284=0,"",IF(SUM($G284:AN284)&gt;=1,OFFSET(AN$228,-1,0),"")))</f>
        <v/>
      </c>
      <c r="AO286" s="403" t="str">
        <f ca="1">IF(SUM($G286:AN286)&gt;=1,"",IF(AO284=0,"",IF(SUM($G284:AO284)&gt;=1,OFFSET(AO$228,-1,0),"")))</f>
        <v/>
      </c>
      <c r="AP286" s="403" t="str">
        <f ca="1">IF(SUM($G286:AO286)&gt;=1,"",IF(AP284=0,"",IF(SUM($G284:AP284)&gt;=1,OFFSET(AP$228,-1,0),"")))</f>
        <v/>
      </c>
      <c r="AQ286" s="403" t="str">
        <f ca="1">IF(SUM($G286:AP286)&gt;=1,"",IF(AQ284=0,"",IF(SUM($G284:AQ284)&gt;=1,OFFSET(AQ$228,-1,0),"")))</f>
        <v/>
      </c>
      <c r="AR286" s="403" t="str">
        <f ca="1">IF(SUM($G286:AQ286)&gt;=1,"",IF(AR284=0,"",IF(SUM($G284:AR284)&gt;=1,OFFSET(AR$228,-1,0),"")))</f>
        <v/>
      </c>
      <c r="AS286" s="403" t="str">
        <f ca="1">IF(SUM($G286:AR286)&gt;=1,"",IF(AS284=0,"",IF(SUM($G284:AS284)&gt;=1,OFFSET(AS$228,-1,0),"")))</f>
        <v/>
      </c>
      <c r="AT286" s="403" t="str">
        <f ca="1">IF(SUM($G286:AS286)&gt;=1,"",IF(AT284=0,"",IF(SUM($G284:AT284)&gt;=1,OFFSET(AT$228,-1,0),"")))</f>
        <v/>
      </c>
      <c r="AU286" s="403" t="str">
        <f ca="1">IF(SUM($G286:AT286)&gt;=1,"",IF(AU284=0,"",IF(SUM($G284:AU284)&gt;=1,OFFSET(AU$228,-1,0),"")))</f>
        <v/>
      </c>
      <c r="AV286" s="403" t="str">
        <f ca="1">IF(SUM($G286:AU286)&gt;=1,"",IF(AV284=0,"",IF(SUM($G284:AV284)&gt;=1,OFFSET(AV$228,-1,0),"")))</f>
        <v/>
      </c>
      <c r="AW286" s="403" t="str">
        <f ca="1">IF(SUM($G286:AV286)&gt;=1,"",IF(AW284=0,"",IF(SUM($G284:AW284)&gt;=1,OFFSET(AW$228,-1,0),"")))</f>
        <v/>
      </c>
      <c r="AX286" s="403" t="str">
        <f ca="1">IF(SUM($G286:AW286)&gt;=1,"",IF(AX284=0,"",IF(SUM($G284:AX284)&gt;=1,OFFSET(AX$228,-1,0),"")))</f>
        <v/>
      </c>
      <c r="AY286" s="403" t="str">
        <f ca="1">IF(SUM($G286:AX286)&gt;=1,"",IF(AY284=0,"",IF(SUM($G284:AY284)&gt;=1,OFFSET(AY$228,-1,0),"")))</f>
        <v/>
      </c>
      <c r="AZ286" s="403" t="str">
        <f ca="1">IF(SUM($G286:AY286)&gt;=1,"",IF(AZ284=0,"",IF(SUM($G284:AZ284)&gt;=1,OFFSET(AZ$228,-1,0),"")))</f>
        <v/>
      </c>
      <c r="BA286" s="403" t="str">
        <f ca="1">IF(SUM($G286:AZ286)&gt;=1,"",IF(BA284=0,"",IF(SUM($G284:BA284)&gt;=1,OFFSET(BA$228,-1,0),"")))</f>
        <v/>
      </c>
      <c r="BB286" s="403" t="str">
        <f ca="1">IF(SUM($G286:BA286)&gt;=1,"",IF(BB284=0,"",IF(SUM($G284:BB284)&gt;=1,OFFSET(BB$228,-1,0),"")))</f>
        <v/>
      </c>
      <c r="BC286" s="403" t="str">
        <f ca="1">IF(SUM($G286:BB286)&gt;=1,"",IF(BC284=0,"",IF(SUM($G284:BC284)&gt;=1,OFFSET(BC$228,-1,0),"")))</f>
        <v/>
      </c>
      <c r="BD286" s="403" t="str">
        <f ca="1">IF(SUM($G286:BC286)&gt;=1,"",IF(BD284=0,"",IF(SUM($G284:BD284)&gt;=1,OFFSET(BD$228,-1,0),"")))</f>
        <v/>
      </c>
      <c r="BE286" s="403" t="str">
        <f ca="1">IF(SUM($G286:BD286)&gt;=1,"",IF(BE284=0,"",IF(SUM($G284:BE284)&gt;=1,OFFSET(BE$228,-1,0),"")))</f>
        <v/>
      </c>
      <c r="BF286" s="403" t="str">
        <f ca="1">IF(SUM($G286:BE286)&gt;=1,"",IF(BF284=0,"",IF(SUM($G284:BF284)&gt;=1,OFFSET(BF$228,-1,0),"")))</f>
        <v/>
      </c>
      <c r="BG286" s="403" t="str">
        <f ca="1">IF(SUM($G286:BF286)&gt;=1,"",IF(BG284=0,"",IF(SUM($G284:BG284)&gt;=1,OFFSET(BG$228,-1,0),"")))</f>
        <v/>
      </c>
      <c r="BH286" s="403" t="str">
        <f ca="1">IF(SUM($G286:BG286)&gt;=1,"",IF(BH284=0,"",IF(SUM($G284:BH284)&gt;=1,OFFSET(BH$228,-1,0),"")))</f>
        <v/>
      </c>
      <c r="BI286" s="403" t="str">
        <f ca="1">IF(SUM($G286:BH286)&gt;=1,"",IF(BI284=0,"",IF(SUM($G284:BI284)&gt;=1,OFFSET(BI$228,-1,0),"")))</f>
        <v/>
      </c>
      <c r="BJ286" s="403" t="str">
        <f ca="1">IF(SUM($G286:BI286)&gt;=1,"",IF(BJ284=0,"",IF(SUM($G284:BJ284)&gt;=1,OFFSET(BJ$228,-1,0),"")))</f>
        <v/>
      </c>
      <c r="BK286" s="403" t="str">
        <f ca="1">IF(SUM($G286:BJ286)&gt;=1,"",IF(BK284=0,"",IF(SUM($G284:BK284)&gt;=1,OFFSET(BK$228,-1,0),"")))</f>
        <v/>
      </c>
      <c r="BL286" s="403" t="str">
        <f ca="1">IF(SUM($G286:BK286)&gt;=1,"",IF(BL284=0,"",IF(SUM($G284:BL284)&gt;=1,OFFSET(BL$228,-1,0),"")))</f>
        <v/>
      </c>
      <c r="BM286" s="403" t="str">
        <f ca="1">IF(SUM($G286:BL286)&gt;=1,"",IF(BM284=0,"",IF(SUM($G284:BM284)&gt;=1,OFFSET(BM$228,-1,0),"")))</f>
        <v/>
      </c>
      <c r="BN286" s="403" t="str">
        <f ca="1">IF(SUM($G286:BM286)&gt;=1,"",IF(BN284=0,"",IF(SUM($G284:BN284)&gt;=1,OFFSET(BN$228,-1,0),"")))</f>
        <v/>
      </c>
      <c r="BO286" s="403" t="str">
        <f ca="1">IF(SUM($G286:BN286)&gt;=1,"",IF(BO284=0,"",IF(SUM($G284:BO284)&gt;=1,OFFSET(BO$228,-1,0),"")))</f>
        <v/>
      </c>
      <c r="BP286" s="403" t="str">
        <f ca="1">IF(SUM($G286:BO286)&gt;=1,"",IF(BP284=0,"",IF(SUM($G284:BP284)&gt;=1,OFFSET(BP$228,-1,0),"")))</f>
        <v/>
      </c>
      <c r="BQ286" s="403" t="str">
        <f ca="1">IF(SUM($G286:BP286)&gt;=1,"",IF(BQ284=0,"",IF(SUM($G284:BQ284)&gt;=1,OFFSET(BQ$228,-1,0),"")))</f>
        <v/>
      </c>
      <c r="BR286" s="403" t="str">
        <f ca="1">IF(SUM($G286:BQ286)&gt;=1,"",IF(BR284=0,"",IF(SUM($G284:BR284)&gt;=1,OFFSET(BR$228,-1,0),"")))</f>
        <v/>
      </c>
      <c r="BS286" s="403" t="str">
        <f ca="1">IF(SUM($G286:BR286)&gt;=1,"",IF(BS284=0,"",IF(SUM($G284:BS284)&gt;=1,OFFSET(BS$228,-1,0),"")))</f>
        <v/>
      </c>
      <c r="BT286" s="403" t="str">
        <f ca="1">IF(SUM($G286:BS286)&gt;=1,"",IF(BT284=0,"",IF(SUM($G284:BT284)&gt;=1,OFFSET(BT$228,-1,0),"")))</f>
        <v/>
      </c>
      <c r="BU286" s="403" t="str">
        <f ca="1">IF(SUM($G286:BT286)&gt;=1,"",IF(BU284=0,"",IF(SUM($G284:BU284)&gt;=1,OFFSET(BU$228,-1,0),"")))</f>
        <v/>
      </c>
      <c r="BV286" s="403" t="str">
        <f ca="1">IF(SUM($G286:BU286)&gt;=1,"",IF(BV284=0,"",IF(SUM($G284:BV284)&gt;=1,OFFSET(BV$228,-1,0),"")))</f>
        <v/>
      </c>
      <c r="BW286" s="403" t="str">
        <f ca="1">IF(SUM($G286:BV286)&gt;=1,"",IF(BW284=0,"",IF(SUM($G284:BW284)&gt;=1,OFFSET(BW$228,-1,0),"")))</f>
        <v/>
      </c>
      <c r="BX286" s="403" t="str">
        <f ca="1">IF(SUM($G286:BW286)&gt;=1,"",IF(BX284=0,"",IF(SUM($G284:BX284)&gt;=1,OFFSET(BX$228,-1,0),"")))</f>
        <v/>
      </c>
      <c r="BY286" s="403" t="str">
        <f ca="1">IF(SUM($G286:BX286)&gt;=1,"",IF(BY284=0,"",IF(SUM($G284:BY284)&gt;=1,OFFSET(BY$228,-1,0),"")))</f>
        <v/>
      </c>
      <c r="BZ286" s="403" t="str">
        <f ca="1">IF(SUM($G286:BY286)&gt;=1,"",IF(BZ284=0,"",IF(SUM($G284:BZ284)&gt;=1,OFFSET(BZ$228,-1,0),"")))</f>
        <v/>
      </c>
      <c r="CA286" s="403" t="str">
        <f ca="1">IF(SUM($G286:BZ286)&gt;=1,"",IF(CA284=0,"",IF(SUM($G284:CA284)&gt;=1,OFFSET(CA$228,-1,0),"")))</f>
        <v/>
      </c>
      <c r="CB286" s="403" t="str">
        <f ca="1">IF(SUM($G286:CA286)&gt;=1,"",IF(CB284=0,"",IF(SUM($G284:CB284)&gt;=1,OFFSET(CB$228,-1,0),"")))</f>
        <v/>
      </c>
      <c r="CC286" s="403" t="str">
        <f ca="1">IF(SUM($G286:CB286)&gt;=1,"",IF(CC284=0,"",IF(SUM($G284:CC284)&gt;=1,OFFSET(CC$228,-1,0),"")))</f>
        <v/>
      </c>
      <c r="CD286" s="403" t="str">
        <f ca="1">IF(SUM($G286:CC286)&gt;=1,"",IF(CD284=0,"",IF(SUM($G284:CD284)&gt;=1,OFFSET(CD$228,-1,0),"")))</f>
        <v/>
      </c>
      <c r="CE286" s="403" t="str">
        <f ca="1">IF(SUM($G286:CD286)&gt;=1,"",IF(CE284=0,"",IF(SUM($G284:CE284)&gt;=1,OFFSET(CE$228,-1,0),"")))</f>
        <v/>
      </c>
      <c r="CF286" s="403" t="str">
        <f ca="1">IF(SUM($G286:CE286)&gt;=1,"",IF(CF284=0,"",IF(SUM($G284:CF284)&gt;=1,OFFSET(CF$228,-1,0),"")))</f>
        <v/>
      </c>
      <c r="CG286" s="403" t="str">
        <f ca="1">IF(SUM($G286:CF286)&gt;=1,"",IF(CG284=0,"",IF(SUM($G284:CG284)&gt;=1,OFFSET(CG$228,-1,0),"")))</f>
        <v/>
      </c>
      <c r="CH286" s="403" t="str">
        <f ca="1">IF(SUM($G286:CG286)&gt;=1,"",IF(CH284=0,"",IF(SUM($G284:CH284)&gt;=1,OFFSET(CH$228,-1,0),"")))</f>
        <v/>
      </c>
      <c r="CI286" s="403" t="str">
        <f ca="1">IF(SUM($G286:CH286)&gt;=1,"",IF(CI284=0,"",IF(SUM($G284:CI284)&gt;=1,OFFSET(CI$228,-1,0),"")))</f>
        <v/>
      </c>
      <c r="CJ286" s="403" t="str">
        <f ca="1">IF(SUM($G286:CI286)&gt;=1,"",IF(CJ284=0,"",IF(SUM($G284:CJ284)&gt;=1,OFFSET(CJ$228,-1,0),"")))</f>
        <v/>
      </c>
      <c r="CK286" s="403" t="str">
        <f ca="1">IF(SUM($G286:CJ286)&gt;=1,"",IF(CK284=0,"",IF(SUM($G284:CK284)&gt;=1,OFFSET(CK$228,-1,0),"")))</f>
        <v/>
      </c>
      <c r="CL286" s="403" t="str">
        <f ca="1">IF(SUM($G286:CK286)&gt;=1,"",IF(CL284=0,"",IF(SUM($G284:CL284)&gt;=1,OFFSET(CL$228,-1,0),"")))</f>
        <v/>
      </c>
      <c r="CM286" s="403" t="str">
        <f ca="1">IF(SUM($G286:CL286)&gt;=1,"",IF(CM284=0,"",IF(SUM($G284:CM284)&gt;=1,OFFSET(CM$228,-1,0),"")))</f>
        <v/>
      </c>
      <c r="CN286" s="403" t="str">
        <f ca="1">IF(SUM($G286:CM286)&gt;=1,"",IF(CN284=0,"",IF(SUM($G284:CN284)&gt;=1,OFFSET(CN$228,-1,0),"")))</f>
        <v/>
      </c>
      <c r="CO286" s="403" t="str">
        <f ca="1">IF(SUM($G286:CN286)&gt;=1,"",IF(CO284=0,"",IF(SUM($G284:CO284)&gt;=1,OFFSET(CO$228,-1,0),"")))</f>
        <v/>
      </c>
      <c r="CP286" s="403" t="str">
        <f ca="1">IF(SUM($G286:CO286)&gt;=1,"",IF(CP284=0,"",IF(SUM($G284:CP284)&gt;=1,OFFSET(CP$228,-1,0),"")))</f>
        <v/>
      </c>
      <c r="CQ286" s="403" t="str">
        <f ca="1">IF(SUM($G286:CP286)&gt;=1,"",IF(CQ284=0,"",IF(SUM($G284:CQ284)&gt;=1,OFFSET(CQ$228,-1,0),"")))</f>
        <v/>
      </c>
      <c r="CR286" s="403" t="str">
        <f ca="1">IF(SUM($G286:CQ286)&gt;=1,"",IF(CR284=0,"",IF(SUM($G284:CR284)&gt;=1,OFFSET(CR$228,-1,0),"")))</f>
        <v/>
      </c>
      <c r="CS286" s="403" t="str">
        <f ca="1">IF(SUM($G286:CR286)&gt;=1,"",IF(CS284=0,"",IF(SUM($G284:CS284)&gt;=1,OFFSET(CS$228,-1,0),"")))</f>
        <v/>
      </c>
      <c r="CT286" s="403" t="str">
        <f ca="1">IF(SUM($G286:CS286)&gt;=1,"",IF(CT284=0,"",IF(SUM($G284:CT284)&gt;=1,OFFSET(CT$228,-1,0),"")))</f>
        <v/>
      </c>
      <c r="CU286" s="403" t="str">
        <f ca="1">IF(SUM($G286:CT286)&gt;=1,"",IF(CU284=0,"",IF(SUM($G284:CU284)&gt;=1,OFFSET(CU$228,-1,0),"")))</f>
        <v/>
      </c>
      <c r="CV286" s="403" t="str">
        <f ca="1">IF(SUM($G286:CU286)&gt;=1,"",IF(CV284=0,"",IF(SUM($G284:CV284)&gt;=1,OFFSET(CV$228,-1,0),"")))</f>
        <v/>
      </c>
      <c r="CW286" s="403" t="str">
        <f ca="1">IF(SUM($G286:CV286)&gt;=1,"",IF(CW284=0,"",IF(SUM($G284:CW284)&gt;=1,OFFSET(CW$228,-1,0),"")))</f>
        <v/>
      </c>
      <c r="CX286" s="403" t="str">
        <f ca="1">IF(SUM($G286:CW286)&gt;=1,"",IF(CX284=0,"",IF(SUM($G284:CX284)&gt;=1,OFFSET(CX$228,-1,0),"")))</f>
        <v/>
      </c>
      <c r="CY286" s="403" t="str">
        <f ca="1">IF(SUM($G286:CX286)&gt;=1,"",IF(CY284=0,"",IF(SUM($G284:CY284)&gt;=1,OFFSET(CY$228,-1,0),"")))</f>
        <v/>
      </c>
      <c r="CZ286" s="403" t="str">
        <f ca="1">IF(SUM($G286:CY286)&gt;=1,"",IF(CZ284=0,"",IF(SUM($G284:CZ284)&gt;=1,OFFSET(CZ$228,-1,0),"")))</f>
        <v/>
      </c>
      <c r="DA286" s="403" t="str">
        <f ca="1">IF(SUM($G286:CZ286)&gt;=1,"",IF(DA284=0,"",IF(SUM($G284:DA284)&gt;=1,OFFSET(DA$228,-1,0),"")))</f>
        <v/>
      </c>
      <c r="DB286" s="403" t="str">
        <f ca="1">IF(SUM($G286:DA286)&gt;=1,"",IF(DB284=0,"",IF(SUM($G284:DB284)&gt;=1,OFFSET(DB$228,-1,0),"")))</f>
        <v/>
      </c>
      <c r="DC286" s="403" t="str">
        <f ca="1">IF(SUM($G286:DB286)&gt;=1,"",IF(DC284=0,"",IF(SUM($G284:DC284)&gt;=1,OFFSET(DC$228,-1,0),"")))</f>
        <v/>
      </c>
      <c r="DD286" s="403" t="str">
        <f ca="1">IF(SUM($G286:DC286)&gt;=1,"",IF(DD284=0,"",IF(SUM($G284:DD284)&gt;=1,OFFSET(DD$228,-1,0),"")))</f>
        <v/>
      </c>
      <c r="DE286" s="403" t="str">
        <f ca="1">IF(SUM($G286:DD286)&gt;=1,"",IF(DE284=0,"",IF(SUM($G284:DE284)&gt;=1,OFFSET(DE$228,-1,0),"")))</f>
        <v/>
      </c>
      <c r="DF286" s="403" t="str">
        <f ca="1">IF(SUM($G286:DE286)&gt;=1,"",IF(DF284=0,"",IF(SUM($G284:DF284)&gt;=1,OFFSET(DF$228,-1,0),"")))</f>
        <v/>
      </c>
      <c r="DG286" s="403" t="str">
        <f ca="1">IF(SUM($G286:DF286)&gt;=1,"",IF(DG284=0,"",IF(SUM($G284:DG284)&gt;=1,OFFSET(DG$228,-1,0),"")))</f>
        <v/>
      </c>
      <c r="DH286" s="403" t="str">
        <f ca="1">IF(SUM($G286:DG286)&gt;=1,"",IF(DH284=0,"",IF(SUM($G284:DH284)&gt;=1,OFFSET(DH$228,-1,0),"")))</f>
        <v/>
      </c>
      <c r="DI286" s="403" t="str">
        <f ca="1">IF(SUM($G286:DH286)&gt;=1,"",IF(DI284=0,"",IF(SUM($G284:DI284)&gt;=1,OFFSET(DI$228,-1,0),"")))</f>
        <v/>
      </c>
      <c r="DJ286" s="403" t="str">
        <f ca="1">IF(SUM($G286:DI286)&gt;=1,"",IF(DJ284=0,"",IF(SUM($G284:DJ284)&gt;=1,OFFSET(DJ$228,-1,0),"")))</f>
        <v/>
      </c>
      <c r="DK286" s="403" t="str">
        <f ca="1">IF(SUM($G286:DJ286)&gt;=1,"",IF(DK284=0,"",IF(SUM($G284:DK284)&gt;=1,OFFSET(DK$228,-1,0),"")))</f>
        <v/>
      </c>
      <c r="DL286" s="403" t="str">
        <f ca="1">IF(SUM($G286:DK286)&gt;=1,"",IF(DL284=0,"",IF(SUM($G284:DL284)&gt;=1,OFFSET(DL$228,-1,0),"")))</f>
        <v/>
      </c>
      <c r="DM286" s="403" t="str">
        <f ca="1">IF(SUM($G286:DL286)&gt;=1,"",IF(DM284=0,"",IF(SUM($G284:DM284)&gt;=1,OFFSET(DM$228,-1,0),"")))</f>
        <v/>
      </c>
      <c r="DN286" s="403" t="str">
        <f ca="1">IF(SUM($G286:DM286)&gt;=1,"",IF(DN284=0,"",IF(SUM($G284:DN284)&gt;=1,OFFSET(DN$228,-1,0),"")))</f>
        <v/>
      </c>
      <c r="DO286" s="403" t="str">
        <f ca="1">IF(SUM($G286:DN286)&gt;=1,"",IF(DO284=0,"",IF(SUM($G284:DO284)&gt;=1,OFFSET(DO$228,-1,0),"")))</f>
        <v/>
      </c>
      <c r="DP286" s="403" t="str">
        <f ca="1">IF(SUM($G286:DO286)&gt;=1,"",IF(DP284=0,"",IF(SUM($G284:DP284)&gt;=1,OFFSET(DP$228,-1,0),"")))</f>
        <v/>
      </c>
      <c r="DQ286" s="403" t="str">
        <f ca="1">IF(SUM($G286:DP286)&gt;=1,"",IF(DQ284=0,"",IF(SUM($G284:DQ284)&gt;=1,OFFSET(DQ$228,-1,0),"")))</f>
        <v/>
      </c>
      <c r="DR286" s="403" t="str">
        <f ca="1">IF(SUM($G286:DQ286)&gt;=1,"",IF(DR284=0,"",IF(SUM($G284:DR284)&gt;=1,OFFSET(DR$228,-1,0),"")))</f>
        <v/>
      </c>
      <c r="DS286" s="403" t="str">
        <f ca="1">IF(SUM($G286:DR286)&gt;=1,"",IF(DS284=0,"",IF(SUM($G284:DS284)&gt;=1,OFFSET(DS$228,-1,0),"")))</f>
        <v/>
      </c>
      <c r="DT286" s="403" t="str">
        <f ca="1">IF(SUM($G286:DS286)&gt;=1,"",IF(DT284=0,"",IF(SUM($G284:DT284)&gt;=1,OFFSET(DT$228,-1,0),"")))</f>
        <v/>
      </c>
      <c r="DU286" s="403" t="str">
        <f ca="1">IF(SUM($G286:DT286)&gt;=1,"",IF(DU284=0,"",IF(SUM($G284:DU284)&gt;=1,OFFSET(DU$228,-1,0),"")))</f>
        <v/>
      </c>
      <c r="DV286" s="403" t="str">
        <f ca="1">IF(SUM($G286:DU286)&gt;=1,"",IF(DV284=0,"",IF(SUM($G284:DV284)&gt;=1,OFFSET(DV$228,-1,0),"")))</f>
        <v/>
      </c>
      <c r="DW286" s="403" t="str">
        <f ca="1">IF(SUM($G286:DV286)&gt;=1,"",IF(DW284=0,"",IF(SUM($G284:DW284)&gt;=1,OFFSET(DW$228,-1,0),"")))</f>
        <v/>
      </c>
      <c r="DX286" s="403" t="str">
        <f ca="1">IF(SUM($G286:DW286)&gt;=1,"",IF(DX284=0,"",IF(SUM($G284:DX284)&gt;=1,OFFSET(DX$228,-1,0),"")))</f>
        <v/>
      </c>
      <c r="DY286" s="403" t="str">
        <f ca="1">IF(SUM($G286:DX286)&gt;=1,"",IF(DY284=0,"",IF(SUM($G284:DY284)&gt;=1,OFFSET(DY$228,-1,0),"")))</f>
        <v/>
      </c>
      <c r="DZ286" s="403" t="str">
        <f ca="1">IF(SUM($G286:DY286)&gt;=1,"",IF(DZ284=0,"",IF(SUM($G284:DZ284)&gt;=1,OFFSET(DZ$228,-1,0),"")))</f>
        <v/>
      </c>
      <c r="EA286" s="403" t="str">
        <f ca="1">IF(SUM($G286:DZ286)&gt;=1,"",IF(EA284=0,"",IF(SUM($G284:EA284)&gt;=1,OFFSET(EA$228,-1,0),"")))</f>
        <v/>
      </c>
      <c r="EB286" s="403" t="str">
        <f ca="1">IF(SUM($G286:EA286)&gt;=1,"",IF(EB284=0,"",IF(SUM($G284:EB284)&gt;=1,OFFSET(EB$228,-1,0),"")))</f>
        <v/>
      </c>
      <c r="EC286" s="403" t="str">
        <f ca="1">IF(SUM($G286:EB286)&gt;=1,"",IF(EC284=0,"",IF(SUM($G284:EC284)&gt;=1,OFFSET(EC$228,-1,0),"")))</f>
        <v/>
      </c>
      <c r="ED286" s="403" t="str">
        <f ca="1">IF(SUM($G286:EC286)&gt;=1,"",IF(ED284=0,"",IF(SUM($G284:ED284)&gt;=1,OFFSET(ED$228,-1,0),"")))</f>
        <v/>
      </c>
      <c r="EE286" s="403" t="str">
        <f ca="1">IF(SUM($G286:ED286)&gt;=1,"",IF(EE284=0,"",IF(SUM($G284:EE284)&gt;=1,OFFSET(EE$228,-1,0),"")))</f>
        <v/>
      </c>
      <c r="EF286" s="403" t="str">
        <f ca="1">IF(SUM($G286:EE286)&gt;=1,"",IF(EF284=0,"",IF(SUM($G284:EF284)&gt;=1,OFFSET(EF$228,-1,0),"")))</f>
        <v/>
      </c>
      <c r="EG286" s="403" t="str">
        <f ca="1">IF(SUM($G286:EF286)&gt;=1,"",IF(EG284=0,"",IF(SUM($G284:EG284)&gt;=1,OFFSET(EG$228,-1,0),"")))</f>
        <v/>
      </c>
      <c r="EH286" s="403" t="str">
        <f ca="1">IF(SUM($G286:EG286)&gt;=1,"",IF(EH284=0,"",IF(SUM($G284:EH284)&gt;=1,OFFSET(EH$228,-1,0),"")))</f>
        <v/>
      </c>
      <c r="EI286" s="403" t="str">
        <f ca="1">IF(SUM($G286:EH286)&gt;=1,"",IF(EI284=0,"",IF(SUM($G284:EI284)&gt;=1,OFFSET(EI$228,-1,0),"")))</f>
        <v/>
      </c>
    </row>
    <row r="287" spans="1:141" hidden="1" outlineLevel="2">
      <c r="A287" s="332"/>
      <c r="B287" s="313"/>
      <c r="D287" s="305" t="s">
        <v>671</v>
      </c>
      <c r="E287" s="1002" t="str">
        <f ca="1">IF(E284=0,"",MIN(G287:EI287))</f>
        <v/>
      </c>
      <c r="F287" s="1003"/>
      <c r="G287" s="403" t="str">
        <f>IF(G284=0,"",IF(G284=G$3,G286,G$5+H$5-G288-1))</f>
        <v/>
      </c>
      <c r="H287" s="403" t="str">
        <f ca="1">IF(H284=0,"",IF(H284=H$3,H286,H$5+I$5-H288-1))</f>
        <v/>
      </c>
      <c r="I287" s="403" t="str">
        <f t="shared" ref="I287:BT287" ca="1" si="491">IF(I284=0,"",IF(I284=I$3,I286,I$5+J$5-I288-1))</f>
        <v/>
      </c>
      <c r="J287" s="403" t="str">
        <f t="shared" ca="1" si="491"/>
        <v/>
      </c>
      <c r="K287" s="403" t="str">
        <f t="shared" ca="1" si="491"/>
        <v/>
      </c>
      <c r="L287" s="403" t="str">
        <f t="shared" ca="1" si="491"/>
        <v/>
      </c>
      <c r="M287" s="403" t="str">
        <f t="shared" ca="1" si="491"/>
        <v/>
      </c>
      <c r="N287" s="403" t="str">
        <f t="shared" ca="1" si="491"/>
        <v/>
      </c>
      <c r="O287" s="403" t="str">
        <f t="shared" ca="1" si="491"/>
        <v/>
      </c>
      <c r="P287" s="403" t="str">
        <f t="shared" ca="1" si="491"/>
        <v/>
      </c>
      <c r="Q287" s="403" t="str">
        <f t="shared" ca="1" si="491"/>
        <v/>
      </c>
      <c r="R287" s="403" t="str">
        <f t="shared" ca="1" si="491"/>
        <v/>
      </c>
      <c r="S287" s="403" t="str">
        <f t="shared" ca="1" si="491"/>
        <v/>
      </c>
      <c r="T287" s="403" t="str">
        <f t="shared" ca="1" si="491"/>
        <v/>
      </c>
      <c r="U287" s="403" t="str">
        <f t="shared" ca="1" si="491"/>
        <v/>
      </c>
      <c r="V287" s="403" t="str">
        <f t="shared" ca="1" si="491"/>
        <v/>
      </c>
      <c r="W287" s="403" t="str">
        <f t="shared" ca="1" si="491"/>
        <v/>
      </c>
      <c r="X287" s="403" t="str">
        <f t="shared" ca="1" si="491"/>
        <v/>
      </c>
      <c r="Y287" s="403" t="str">
        <f t="shared" ca="1" si="491"/>
        <v/>
      </c>
      <c r="Z287" s="403" t="str">
        <f t="shared" ca="1" si="491"/>
        <v/>
      </c>
      <c r="AA287" s="403" t="str">
        <f t="shared" ca="1" si="491"/>
        <v/>
      </c>
      <c r="AB287" s="403" t="str">
        <f t="shared" ca="1" si="491"/>
        <v/>
      </c>
      <c r="AC287" s="403" t="str">
        <f t="shared" ca="1" si="491"/>
        <v/>
      </c>
      <c r="AD287" s="403" t="str">
        <f t="shared" ca="1" si="491"/>
        <v/>
      </c>
      <c r="AE287" s="403" t="str">
        <f t="shared" ca="1" si="491"/>
        <v/>
      </c>
      <c r="AF287" s="403" t="str">
        <f t="shared" ca="1" si="491"/>
        <v/>
      </c>
      <c r="AG287" s="403" t="str">
        <f t="shared" ca="1" si="491"/>
        <v/>
      </c>
      <c r="AH287" s="403" t="str">
        <f t="shared" ca="1" si="491"/>
        <v/>
      </c>
      <c r="AI287" s="403" t="str">
        <f t="shared" ca="1" si="491"/>
        <v/>
      </c>
      <c r="AJ287" s="403" t="str">
        <f t="shared" ca="1" si="491"/>
        <v/>
      </c>
      <c r="AK287" s="403" t="str">
        <f t="shared" ca="1" si="491"/>
        <v/>
      </c>
      <c r="AL287" s="403" t="str">
        <f t="shared" ca="1" si="491"/>
        <v/>
      </c>
      <c r="AM287" s="403" t="str">
        <f t="shared" ca="1" si="491"/>
        <v/>
      </c>
      <c r="AN287" s="403" t="str">
        <f t="shared" ca="1" si="491"/>
        <v/>
      </c>
      <c r="AO287" s="403" t="str">
        <f t="shared" ca="1" si="491"/>
        <v/>
      </c>
      <c r="AP287" s="403" t="str">
        <f t="shared" ca="1" si="491"/>
        <v/>
      </c>
      <c r="AQ287" s="403" t="str">
        <f t="shared" ca="1" si="491"/>
        <v/>
      </c>
      <c r="AR287" s="403" t="str">
        <f t="shared" ca="1" si="491"/>
        <v/>
      </c>
      <c r="AS287" s="403" t="str">
        <f t="shared" ca="1" si="491"/>
        <v/>
      </c>
      <c r="AT287" s="403" t="str">
        <f t="shared" ca="1" si="491"/>
        <v/>
      </c>
      <c r="AU287" s="403" t="str">
        <f t="shared" ca="1" si="491"/>
        <v/>
      </c>
      <c r="AV287" s="403" t="str">
        <f t="shared" ca="1" si="491"/>
        <v/>
      </c>
      <c r="AW287" s="403" t="str">
        <f t="shared" ca="1" si="491"/>
        <v/>
      </c>
      <c r="AX287" s="403" t="str">
        <f t="shared" ca="1" si="491"/>
        <v/>
      </c>
      <c r="AY287" s="403" t="str">
        <f t="shared" ca="1" si="491"/>
        <v/>
      </c>
      <c r="AZ287" s="403" t="str">
        <f t="shared" ca="1" si="491"/>
        <v/>
      </c>
      <c r="BA287" s="403" t="str">
        <f t="shared" ca="1" si="491"/>
        <v/>
      </c>
      <c r="BB287" s="403" t="str">
        <f t="shared" ca="1" si="491"/>
        <v/>
      </c>
      <c r="BC287" s="403" t="str">
        <f t="shared" ca="1" si="491"/>
        <v/>
      </c>
      <c r="BD287" s="403" t="str">
        <f t="shared" ca="1" si="491"/>
        <v/>
      </c>
      <c r="BE287" s="403" t="str">
        <f t="shared" ca="1" si="491"/>
        <v/>
      </c>
      <c r="BF287" s="403" t="str">
        <f t="shared" ca="1" si="491"/>
        <v/>
      </c>
      <c r="BG287" s="403" t="str">
        <f t="shared" ca="1" si="491"/>
        <v/>
      </c>
      <c r="BH287" s="403" t="str">
        <f t="shared" ca="1" si="491"/>
        <v/>
      </c>
      <c r="BI287" s="403" t="str">
        <f t="shared" ca="1" si="491"/>
        <v/>
      </c>
      <c r="BJ287" s="403" t="str">
        <f t="shared" ca="1" si="491"/>
        <v/>
      </c>
      <c r="BK287" s="403" t="str">
        <f t="shared" ca="1" si="491"/>
        <v/>
      </c>
      <c r="BL287" s="403" t="str">
        <f t="shared" ca="1" si="491"/>
        <v/>
      </c>
      <c r="BM287" s="403" t="str">
        <f t="shared" ca="1" si="491"/>
        <v/>
      </c>
      <c r="BN287" s="403" t="str">
        <f t="shared" ca="1" si="491"/>
        <v/>
      </c>
      <c r="BO287" s="403" t="str">
        <f t="shared" ca="1" si="491"/>
        <v/>
      </c>
      <c r="BP287" s="403" t="str">
        <f t="shared" ca="1" si="491"/>
        <v/>
      </c>
      <c r="BQ287" s="403" t="str">
        <f t="shared" ca="1" si="491"/>
        <v/>
      </c>
      <c r="BR287" s="403" t="str">
        <f t="shared" ca="1" si="491"/>
        <v/>
      </c>
      <c r="BS287" s="403" t="str">
        <f t="shared" ca="1" si="491"/>
        <v/>
      </c>
      <c r="BT287" s="403" t="str">
        <f t="shared" ca="1" si="491"/>
        <v/>
      </c>
      <c r="BU287" s="403" t="str">
        <f t="shared" ref="BU287:EF287" ca="1" si="492">IF(BU284=0,"",IF(BU284=BU$3,BU286,BU$5+BV$5-BU288-1))</f>
        <v/>
      </c>
      <c r="BV287" s="403" t="str">
        <f t="shared" ca="1" si="492"/>
        <v/>
      </c>
      <c r="BW287" s="403" t="str">
        <f t="shared" ca="1" si="492"/>
        <v/>
      </c>
      <c r="BX287" s="403" t="str">
        <f t="shared" ca="1" si="492"/>
        <v/>
      </c>
      <c r="BY287" s="403" t="str">
        <f t="shared" ca="1" si="492"/>
        <v/>
      </c>
      <c r="BZ287" s="403" t="str">
        <f t="shared" ca="1" si="492"/>
        <v/>
      </c>
      <c r="CA287" s="403" t="str">
        <f t="shared" ca="1" si="492"/>
        <v/>
      </c>
      <c r="CB287" s="403" t="str">
        <f t="shared" ca="1" si="492"/>
        <v/>
      </c>
      <c r="CC287" s="403" t="str">
        <f t="shared" ca="1" si="492"/>
        <v/>
      </c>
      <c r="CD287" s="403" t="str">
        <f t="shared" ca="1" si="492"/>
        <v/>
      </c>
      <c r="CE287" s="403" t="str">
        <f t="shared" ca="1" si="492"/>
        <v/>
      </c>
      <c r="CF287" s="403" t="str">
        <f t="shared" ca="1" si="492"/>
        <v/>
      </c>
      <c r="CG287" s="403" t="str">
        <f t="shared" ca="1" si="492"/>
        <v/>
      </c>
      <c r="CH287" s="403" t="str">
        <f t="shared" ca="1" si="492"/>
        <v/>
      </c>
      <c r="CI287" s="403" t="str">
        <f t="shared" ca="1" si="492"/>
        <v/>
      </c>
      <c r="CJ287" s="403" t="str">
        <f t="shared" ca="1" si="492"/>
        <v/>
      </c>
      <c r="CK287" s="403" t="str">
        <f t="shared" ca="1" si="492"/>
        <v/>
      </c>
      <c r="CL287" s="403" t="str">
        <f t="shared" ca="1" si="492"/>
        <v/>
      </c>
      <c r="CM287" s="403" t="str">
        <f t="shared" ca="1" si="492"/>
        <v/>
      </c>
      <c r="CN287" s="403" t="str">
        <f t="shared" ca="1" si="492"/>
        <v/>
      </c>
      <c r="CO287" s="403" t="str">
        <f t="shared" ca="1" si="492"/>
        <v/>
      </c>
      <c r="CP287" s="403" t="str">
        <f t="shared" ca="1" si="492"/>
        <v/>
      </c>
      <c r="CQ287" s="403" t="str">
        <f t="shared" ca="1" si="492"/>
        <v/>
      </c>
      <c r="CR287" s="403" t="str">
        <f t="shared" ca="1" si="492"/>
        <v/>
      </c>
      <c r="CS287" s="403" t="str">
        <f t="shared" ca="1" si="492"/>
        <v/>
      </c>
      <c r="CT287" s="403" t="str">
        <f t="shared" ca="1" si="492"/>
        <v/>
      </c>
      <c r="CU287" s="403" t="str">
        <f t="shared" ca="1" si="492"/>
        <v/>
      </c>
      <c r="CV287" s="403" t="str">
        <f t="shared" ca="1" si="492"/>
        <v/>
      </c>
      <c r="CW287" s="403" t="str">
        <f t="shared" ca="1" si="492"/>
        <v/>
      </c>
      <c r="CX287" s="403" t="str">
        <f t="shared" ca="1" si="492"/>
        <v/>
      </c>
      <c r="CY287" s="403" t="str">
        <f t="shared" ca="1" si="492"/>
        <v/>
      </c>
      <c r="CZ287" s="403" t="str">
        <f t="shared" ca="1" si="492"/>
        <v/>
      </c>
      <c r="DA287" s="403" t="str">
        <f t="shared" ca="1" si="492"/>
        <v/>
      </c>
      <c r="DB287" s="403" t="str">
        <f t="shared" ca="1" si="492"/>
        <v/>
      </c>
      <c r="DC287" s="403" t="str">
        <f t="shared" ca="1" si="492"/>
        <v/>
      </c>
      <c r="DD287" s="403" t="str">
        <f t="shared" ca="1" si="492"/>
        <v/>
      </c>
      <c r="DE287" s="403" t="str">
        <f t="shared" ca="1" si="492"/>
        <v/>
      </c>
      <c r="DF287" s="403" t="str">
        <f t="shared" ca="1" si="492"/>
        <v/>
      </c>
      <c r="DG287" s="403" t="str">
        <f t="shared" ca="1" si="492"/>
        <v/>
      </c>
      <c r="DH287" s="403" t="str">
        <f t="shared" ca="1" si="492"/>
        <v/>
      </c>
      <c r="DI287" s="403" t="str">
        <f t="shared" ca="1" si="492"/>
        <v/>
      </c>
      <c r="DJ287" s="403" t="str">
        <f t="shared" ca="1" si="492"/>
        <v/>
      </c>
      <c r="DK287" s="403" t="str">
        <f t="shared" ca="1" si="492"/>
        <v/>
      </c>
      <c r="DL287" s="403" t="str">
        <f t="shared" ca="1" si="492"/>
        <v/>
      </c>
      <c r="DM287" s="403" t="str">
        <f t="shared" ca="1" si="492"/>
        <v/>
      </c>
      <c r="DN287" s="403" t="str">
        <f t="shared" ca="1" si="492"/>
        <v/>
      </c>
      <c r="DO287" s="403" t="str">
        <f t="shared" ca="1" si="492"/>
        <v/>
      </c>
      <c r="DP287" s="403" t="str">
        <f t="shared" ca="1" si="492"/>
        <v/>
      </c>
      <c r="DQ287" s="403" t="str">
        <f t="shared" ca="1" si="492"/>
        <v/>
      </c>
      <c r="DR287" s="403" t="str">
        <f t="shared" ca="1" si="492"/>
        <v/>
      </c>
      <c r="DS287" s="403" t="str">
        <f t="shared" ca="1" si="492"/>
        <v/>
      </c>
      <c r="DT287" s="403" t="str">
        <f t="shared" ca="1" si="492"/>
        <v/>
      </c>
      <c r="DU287" s="403" t="str">
        <f t="shared" ca="1" si="492"/>
        <v/>
      </c>
      <c r="DV287" s="403" t="str">
        <f t="shared" ca="1" si="492"/>
        <v/>
      </c>
      <c r="DW287" s="403" t="str">
        <f t="shared" ca="1" si="492"/>
        <v/>
      </c>
      <c r="DX287" s="403" t="str">
        <f t="shared" ca="1" si="492"/>
        <v/>
      </c>
      <c r="DY287" s="403" t="str">
        <f t="shared" ca="1" si="492"/>
        <v/>
      </c>
      <c r="DZ287" s="403" t="str">
        <f t="shared" ca="1" si="492"/>
        <v/>
      </c>
      <c r="EA287" s="403" t="str">
        <f t="shared" ca="1" si="492"/>
        <v/>
      </c>
      <c r="EB287" s="403" t="str">
        <f t="shared" ca="1" si="492"/>
        <v/>
      </c>
      <c r="EC287" s="403" t="str">
        <f t="shared" ca="1" si="492"/>
        <v/>
      </c>
      <c r="ED287" s="403" t="str">
        <f t="shared" ca="1" si="492"/>
        <v/>
      </c>
      <c r="EE287" s="403" t="str">
        <f t="shared" ca="1" si="492"/>
        <v/>
      </c>
      <c r="EF287" s="403" t="str">
        <f t="shared" ca="1" si="492"/>
        <v/>
      </c>
      <c r="EG287" s="403" t="str">
        <f t="shared" ref="EG287:EI287" ca="1" si="493">IF(EG284=0,"",IF(EG284=EG$3,EG286,EG$5+EH$5-EG288-1))</f>
        <v/>
      </c>
      <c r="EH287" s="403" t="str">
        <f t="shared" ca="1" si="493"/>
        <v/>
      </c>
      <c r="EI287" s="403" t="str">
        <f t="shared" ca="1" si="493"/>
        <v/>
      </c>
    </row>
    <row r="288" spans="1:141" hidden="1" outlineLevel="2">
      <c r="A288" s="332"/>
      <c r="B288" s="313"/>
      <c r="D288" s="305" t="s">
        <v>672</v>
      </c>
      <c r="E288" s="1002" t="str">
        <f ca="1">IF(E284=0,"",MAX(G288:EI288))</f>
        <v/>
      </c>
      <c r="F288" s="1003"/>
      <c r="G288" s="403" t="str">
        <f ca="1">IF(SUM(G284:$EI284)=0,"",IF(G$227="","",G$227+G284-1))</f>
        <v/>
      </c>
      <c r="H288" s="403" t="str">
        <f ca="1">IF(SUM(H284:$EI284)=0,"",IF(H$227="","",H$227+H284-1))</f>
        <v/>
      </c>
      <c r="I288" s="403" t="str">
        <f ca="1">IF(SUM(I284:$EI284)=0,"",IF(I$227="","",I$227+I284-1))</f>
        <v/>
      </c>
      <c r="J288" s="403" t="str">
        <f ca="1">IF(SUM(J284:$EI284)=0,"",IF(J$227="","",J$227+J284-1))</f>
        <v/>
      </c>
      <c r="K288" s="403" t="str">
        <f ca="1">IF(SUM(K284:$EI284)=0,"",IF(K$227="","",K$227+K284-1))</f>
        <v/>
      </c>
      <c r="L288" s="403" t="str">
        <f ca="1">IF(SUM(L284:$EI284)=0,"",IF(L$227="","",L$227+L284-1))</f>
        <v/>
      </c>
      <c r="M288" s="403" t="str">
        <f ca="1">IF(SUM(M284:$EI284)=0,"",IF(M$227="","",M$227+M284-1))</f>
        <v/>
      </c>
      <c r="N288" s="403" t="str">
        <f ca="1">IF(SUM(N284:$EI284)=0,"",IF(N$227="","",N$227+N284-1))</f>
        <v/>
      </c>
      <c r="O288" s="403" t="str">
        <f ca="1">IF(SUM(O284:$EI284)=0,"",IF(O$227="","",O$227+O284-1))</f>
        <v/>
      </c>
      <c r="P288" s="403" t="str">
        <f ca="1">IF(SUM(P284:$EI284)=0,"",IF(P$227="","",P$227+P284-1))</f>
        <v/>
      </c>
      <c r="Q288" s="403" t="str">
        <f ca="1">IF(SUM(Q284:$EI284)=0,"",IF(Q$227="","",Q$227+Q284-1))</f>
        <v/>
      </c>
      <c r="R288" s="403" t="str">
        <f ca="1">IF(SUM(R284:$EI284)=0,"",IF(R$227="","",R$227+R284-1))</f>
        <v/>
      </c>
      <c r="S288" s="403" t="str">
        <f ca="1">IF(SUM(S284:$EI284)=0,"",IF(S$227="","",S$227+S284-1))</f>
        <v/>
      </c>
      <c r="T288" s="403" t="str">
        <f ca="1">IF(SUM(T284:$EI284)=0,"",IF(T$227="","",T$227+T284-1))</f>
        <v/>
      </c>
      <c r="U288" s="403" t="str">
        <f ca="1">IF(SUM(U284:$EI284)=0,"",IF(U$227="","",U$227+U284-1))</f>
        <v/>
      </c>
      <c r="V288" s="403" t="str">
        <f ca="1">IF(SUM(V284:$EI284)=0,"",IF(V$227="","",V$227+V284-1))</f>
        <v/>
      </c>
      <c r="W288" s="403" t="str">
        <f ca="1">IF(SUM(W284:$EI284)=0,"",IF(W$227="","",W$227+W284-1))</f>
        <v/>
      </c>
      <c r="X288" s="403" t="str">
        <f ca="1">IF(SUM(X284:$EI284)=0,"",IF(X$227="","",X$227+X284-1))</f>
        <v/>
      </c>
      <c r="Y288" s="403" t="str">
        <f ca="1">IF(SUM(Y284:$EI284)=0,"",IF(Y$227="","",Y$227+Y284-1))</f>
        <v/>
      </c>
      <c r="Z288" s="403" t="str">
        <f ca="1">IF(SUM(Z284:$EI284)=0,"",IF(Z$227="","",Z$227+Z284-1))</f>
        <v/>
      </c>
      <c r="AA288" s="403" t="str">
        <f ca="1">IF(SUM(AA284:$EI284)=0,"",IF(AA$227="","",AA$227+AA284-1))</f>
        <v/>
      </c>
      <c r="AB288" s="403" t="str">
        <f ca="1">IF(SUM(AB284:$EI284)=0,"",IF(AB$227="","",AB$227+AB284-1))</f>
        <v/>
      </c>
      <c r="AC288" s="403" t="str">
        <f ca="1">IF(SUM(AC284:$EI284)=0,"",IF(AC$227="","",AC$227+AC284-1))</f>
        <v/>
      </c>
      <c r="AD288" s="403" t="str">
        <f ca="1">IF(SUM(AD284:$EI284)=0,"",IF(AD$227="","",AD$227+AD284-1))</f>
        <v/>
      </c>
      <c r="AE288" s="403" t="str">
        <f ca="1">IF(SUM(AE284:$EI284)=0,"",IF(AE$227="","",AE$227+AE284-1))</f>
        <v/>
      </c>
      <c r="AF288" s="403" t="str">
        <f ca="1">IF(SUM(AF284:$EI284)=0,"",IF(AF$227="","",AF$227+AF284-1))</f>
        <v/>
      </c>
      <c r="AG288" s="403" t="str">
        <f ca="1">IF(SUM(AG284:$EI284)=0,"",IF(AG$227="","",AG$227+AG284-1))</f>
        <v/>
      </c>
      <c r="AH288" s="403" t="str">
        <f ca="1">IF(SUM(AH284:$EI284)=0,"",IF(AH$227="","",AH$227+AH284-1))</f>
        <v/>
      </c>
      <c r="AI288" s="403" t="str">
        <f ca="1">IF(SUM(AI284:$EI284)=0,"",IF(AI$227="","",AI$227+AI284-1))</f>
        <v/>
      </c>
      <c r="AJ288" s="403" t="str">
        <f ca="1">IF(SUM(AJ284:$EI284)=0,"",IF(AJ$227="","",AJ$227+AJ284-1))</f>
        <v/>
      </c>
      <c r="AK288" s="403" t="str">
        <f ca="1">IF(SUM(AK284:$EI284)=0,"",IF(AK$227="","",AK$227+AK284-1))</f>
        <v/>
      </c>
      <c r="AL288" s="403" t="str">
        <f ca="1">IF(SUM(AL284:$EI284)=0,"",IF(AL$227="","",AL$227+AL284-1))</f>
        <v/>
      </c>
      <c r="AM288" s="403" t="str">
        <f ca="1">IF(SUM(AM284:$EI284)=0,"",IF(AM$227="","",AM$227+AM284-1))</f>
        <v/>
      </c>
      <c r="AN288" s="403" t="str">
        <f ca="1">IF(SUM(AN284:$EI284)=0,"",IF(AN$227="","",AN$227+AN284-1))</f>
        <v/>
      </c>
      <c r="AO288" s="403" t="str">
        <f ca="1">IF(SUM(AO284:$EI284)=0,"",IF(AO$227="","",AO$227+AO284-1))</f>
        <v/>
      </c>
      <c r="AP288" s="403" t="str">
        <f ca="1">IF(SUM(AP284:$EI284)=0,"",IF(AP$227="","",AP$227+AP284-1))</f>
        <v/>
      </c>
      <c r="AQ288" s="403" t="str">
        <f ca="1">IF(SUM(AQ284:$EI284)=0,"",IF(AQ$227="","",AQ$227+AQ284-1))</f>
        <v/>
      </c>
      <c r="AR288" s="403" t="str">
        <f ca="1">IF(SUM(AR284:$EI284)=0,"",IF(AR$227="","",AR$227+AR284-1))</f>
        <v/>
      </c>
      <c r="AS288" s="403" t="str">
        <f ca="1">IF(SUM(AS284:$EI284)=0,"",IF(AS$227="","",AS$227+AS284-1))</f>
        <v/>
      </c>
      <c r="AT288" s="403" t="str">
        <f ca="1">IF(SUM(AT284:$EI284)=0,"",IF(AT$227="","",AT$227+AT284-1))</f>
        <v/>
      </c>
      <c r="AU288" s="403" t="str">
        <f ca="1">IF(SUM(AU284:$EI284)=0,"",IF(AU$227="","",AU$227+AU284-1))</f>
        <v/>
      </c>
      <c r="AV288" s="403" t="str">
        <f ca="1">IF(SUM(AV284:$EI284)=0,"",IF(AV$227="","",AV$227+AV284-1))</f>
        <v/>
      </c>
      <c r="AW288" s="403" t="str">
        <f ca="1">IF(SUM(AW284:$EI284)=0,"",IF(AW$227="","",AW$227+AW284-1))</f>
        <v/>
      </c>
      <c r="AX288" s="403" t="str">
        <f ca="1">IF(SUM(AX284:$EI284)=0,"",IF(AX$227="","",AX$227+AX284-1))</f>
        <v/>
      </c>
      <c r="AY288" s="403" t="str">
        <f ca="1">IF(SUM(AY284:$EI284)=0,"",IF(AY$227="","",AY$227+AY284-1))</f>
        <v/>
      </c>
      <c r="AZ288" s="403" t="str">
        <f ca="1">IF(SUM(AZ284:$EI284)=0,"",IF(AZ$227="","",AZ$227+AZ284-1))</f>
        <v/>
      </c>
      <c r="BA288" s="403" t="str">
        <f ca="1">IF(SUM(BA284:$EI284)=0,"",IF(BA$227="","",BA$227+BA284-1))</f>
        <v/>
      </c>
      <c r="BB288" s="403" t="str">
        <f ca="1">IF(SUM(BB284:$EI284)=0,"",IF(BB$227="","",BB$227+BB284-1))</f>
        <v/>
      </c>
      <c r="BC288" s="403" t="str">
        <f ca="1">IF(SUM(BC284:$EI284)=0,"",IF(BC$227="","",BC$227+BC284-1))</f>
        <v/>
      </c>
      <c r="BD288" s="403" t="str">
        <f ca="1">IF(SUM(BD284:$EI284)=0,"",IF(BD$227="","",BD$227+BD284-1))</f>
        <v/>
      </c>
      <c r="BE288" s="403" t="str">
        <f ca="1">IF(SUM(BE284:$EI284)=0,"",IF(BE$227="","",BE$227+BE284-1))</f>
        <v/>
      </c>
      <c r="BF288" s="403" t="str">
        <f ca="1">IF(SUM(BF284:$EI284)=0,"",IF(BF$227="","",BF$227+BF284-1))</f>
        <v/>
      </c>
      <c r="BG288" s="403" t="str">
        <f ca="1">IF(SUM(BG284:$EI284)=0,"",IF(BG$227="","",BG$227+BG284-1))</f>
        <v/>
      </c>
      <c r="BH288" s="403" t="str">
        <f ca="1">IF(SUM(BH284:$EI284)=0,"",IF(BH$227="","",BH$227+BH284-1))</f>
        <v/>
      </c>
      <c r="BI288" s="403" t="str">
        <f ca="1">IF(SUM(BI284:$EI284)=0,"",IF(BI$227="","",BI$227+BI284-1))</f>
        <v/>
      </c>
      <c r="BJ288" s="403" t="str">
        <f ca="1">IF(SUM(BJ284:$EI284)=0,"",IF(BJ$227="","",BJ$227+BJ284-1))</f>
        <v/>
      </c>
      <c r="BK288" s="403" t="str">
        <f ca="1">IF(SUM(BK284:$EI284)=0,"",IF(BK$227="","",BK$227+BK284-1))</f>
        <v/>
      </c>
      <c r="BL288" s="403" t="str">
        <f ca="1">IF(SUM(BL284:$EI284)=0,"",IF(BL$227="","",BL$227+BL284-1))</f>
        <v/>
      </c>
      <c r="BM288" s="403" t="str">
        <f ca="1">IF(SUM(BM284:$EI284)=0,"",IF(BM$227="","",BM$227+BM284-1))</f>
        <v/>
      </c>
      <c r="BN288" s="403" t="str">
        <f ca="1">IF(SUM(BN284:$EI284)=0,"",IF(BN$227="","",BN$227+BN284-1))</f>
        <v/>
      </c>
      <c r="BO288" s="403" t="str">
        <f ca="1">IF(SUM(BO284:$EI284)=0,"",IF(BO$227="","",BO$227+BO284-1))</f>
        <v/>
      </c>
      <c r="BP288" s="403" t="str">
        <f ca="1">IF(SUM(BP284:$EI284)=0,"",IF(BP$227="","",BP$227+BP284-1))</f>
        <v/>
      </c>
      <c r="BQ288" s="403" t="str">
        <f ca="1">IF(SUM(BQ284:$EI284)=0,"",IF(BQ$227="","",BQ$227+BQ284-1))</f>
        <v/>
      </c>
      <c r="BR288" s="403" t="str">
        <f ca="1">IF(SUM(BR284:$EI284)=0,"",IF(BR$227="","",BR$227+BR284-1))</f>
        <v/>
      </c>
      <c r="BS288" s="403" t="str">
        <f ca="1">IF(SUM(BS284:$EI284)=0,"",IF(BS$227="","",BS$227+BS284-1))</f>
        <v/>
      </c>
      <c r="BT288" s="403" t="str">
        <f ca="1">IF(SUM(BT284:$EI284)=0,"",IF(BT$227="","",BT$227+BT284-1))</f>
        <v/>
      </c>
      <c r="BU288" s="403" t="str">
        <f ca="1">IF(SUM(BU284:$EI284)=0,"",IF(BU$227="","",BU$227+BU284-1))</f>
        <v/>
      </c>
      <c r="BV288" s="403" t="str">
        <f ca="1">IF(SUM(BV284:$EI284)=0,"",IF(BV$227="","",BV$227+BV284-1))</f>
        <v/>
      </c>
      <c r="BW288" s="403" t="str">
        <f ca="1">IF(SUM(BW284:$EI284)=0,"",IF(BW$227="","",BW$227+BW284-1))</f>
        <v/>
      </c>
      <c r="BX288" s="403" t="str">
        <f ca="1">IF(SUM(BX284:$EI284)=0,"",IF(BX$227="","",BX$227+BX284-1))</f>
        <v/>
      </c>
      <c r="BY288" s="403" t="str">
        <f ca="1">IF(SUM(BY284:$EI284)=0,"",IF(BY$227="","",BY$227+BY284-1))</f>
        <v/>
      </c>
      <c r="BZ288" s="403" t="str">
        <f ca="1">IF(SUM(BZ284:$EI284)=0,"",IF(BZ$227="","",BZ$227+BZ284-1))</f>
        <v/>
      </c>
      <c r="CA288" s="403" t="str">
        <f ca="1">IF(SUM(CA284:$EI284)=0,"",IF(CA$227="","",CA$227+CA284-1))</f>
        <v/>
      </c>
      <c r="CB288" s="403" t="str">
        <f ca="1">IF(SUM(CB284:$EI284)=0,"",IF(CB$227="","",CB$227+CB284-1))</f>
        <v/>
      </c>
      <c r="CC288" s="403" t="str">
        <f ca="1">IF(SUM(CC284:$EI284)=0,"",IF(CC$227="","",CC$227+CC284-1))</f>
        <v/>
      </c>
      <c r="CD288" s="403" t="str">
        <f ca="1">IF(SUM(CD284:$EI284)=0,"",IF(CD$227="","",CD$227+CD284-1))</f>
        <v/>
      </c>
      <c r="CE288" s="403" t="str">
        <f ca="1">IF(SUM(CE284:$EI284)=0,"",IF(CE$227="","",CE$227+CE284-1))</f>
        <v/>
      </c>
      <c r="CF288" s="403" t="str">
        <f ca="1">IF(SUM(CF284:$EI284)=0,"",IF(CF$227="","",CF$227+CF284-1))</f>
        <v/>
      </c>
      <c r="CG288" s="403" t="str">
        <f ca="1">IF(SUM(CG284:$EI284)=0,"",IF(CG$227="","",CG$227+CG284-1))</f>
        <v/>
      </c>
      <c r="CH288" s="403" t="str">
        <f ca="1">IF(SUM(CH284:$EI284)=0,"",IF(CH$227="","",CH$227+CH284-1))</f>
        <v/>
      </c>
      <c r="CI288" s="403" t="str">
        <f ca="1">IF(SUM(CI284:$EI284)=0,"",IF(CI$227="","",CI$227+CI284-1))</f>
        <v/>
      </c>
      <c r="CJ288" s="403" t="str">
        <f ca="1">IF(SUM(CJ284:$EI284)=0,"",IF(CJ$227="","",CJ$227+CJ284-1))</f>
        <v/>
      </c>
      <c r="CK288" s="403" t="str">
        <f ca="1">IF(SUM(CK284:$EI284)=0,"",IF(CK$227="","",CK$227+CK284-1))</f>
        <v/>
      </c>
      <c r="CL288" s="403" t="str">
        <f ca="1">IF(SUM(CL284:$EI284)=0,"",IF(CL$227="","",CL$227+CL284-1))</f>
        <v/>
      </c>
      <c r="CM288" s="403" t="str">
        <f ca="1">IF(SUM(CM284:$EI284)=0,"",IF(CM$227="","",CM$227+CM284-1))</f>
        <v/>
      </c>
      <c r="CN288" s="403" t="str">
        <f ca="1">IF(SUM(CN284:$EI284)=0,"",IF(CN$227="","",CN$227+CN284-1))</f>
        <v/>
      </c>
      <c r="CO288" s="403" t="str">
        <f ca="1">IF(SUM(CO284:$EI284)=0,"",IF(CO$227="","",CO$227+CO284-1))</f>
        <v/>
      </c>
      <c r="CP288" s="403" t="str">
        <f ca="1">IF(SUM(CP284:$EI284)=0,"",IF(CP$227="","",CP$227+CP284-1))</f>
        <v/>
      </c>
      <c r="CQ288" s="403" t="str">
        <f ca="1">IF(SUM(CQ284:$EI284)=0,"",IF(CQ$227="","",CQ$227+CQ284-1))</f>
        <v/>
      </c>
      <c r="CR288" s="403" t="str">
        <f ca="1">IF(SUM(CR284:$EI284)=0,"",IF(CR$227="","",CR$227+CR284-1))</f>
        <v/>
      </c>
      <c r="CS288" s="403" t="str">
        <f ca="1">IF(SUM(CS284:$EI284)=0,"",IF(CS$227="","",CS$227+CS284-1))</f>
        <v/>
      </c>
      <c r="CT288" s="403" t="str">
        <f ca="1">IF(SUM(CT284:$EI284)=0,"",IF(CT$227="","",CT$227+CT284-1))</f>
        <v/>
      </c>
      <c r="CU288" s="403" t="str">
        <f ca="1">IF(SUM(CU284:$EI284)=0,"",IF(CU$227="","",CU$227+CU284-1))</f>
        <v/>
      </c>
      <c r="CV288" s="403" t="str">
        <f ca="1">IF(SUM(CV284:$EI284)=0,"",IF(CV$227="","",CV$227+CV284-1))</f>
        <v/>
      </c>
      <c r="CW288" s="403" t="str">
        <f ca="1">IF(SUM(CW284:$EI284)=0,"",IF(CW$227="","",CW$227+CW284-1))</f>
        <v/>
      </c>
      <c r="CX288" s="403" t="str">
        <f ca="1">IF(SUM(CX284:$EI284)=0,"",IF(CX$227="","",CX$227+CX284-1))</f>
        <v/>
      </c>
      <c r="CY288" s="403" t="str">
        <f ca="1">IF(SUM(CY284:$EI284)=0,"",IF(CY$227="","",CY$227+CY284-1))</f>
        <v/>
      </c>
      <c r="CZ288" s="403" t="str">
        <f ca="1">IF(SUM(CZ284:$EI284)=0,"",IF(CZ$227="","",CZ$227+CZ284-1))</f>
        <v/>
      </c>
      <c r="DA288" s="403" t="str">
        <f ca="1">IF(SUM(DA284:$EI284)=0,"",IF(DA$227="","",DA$227+DA284-1))</f>
        <v/>
      </c>
      <c r="DB288" s="403" t="str">
        <f ca="1">IF(SUM(DB284:$EI284)=0,"",IF(DB$227="","",DB$227+DB284-1))</f>
        <v/>
      </c>
      <c r="DC288" s="403" t="str">
        <f ca="1">IF(SUM(DC284:$EI284)=0,"",IF(DC$227="","",DC$227+DC284-1))</f>
        <v/>
      </c>
      <c r="DD288" s="403" t="str">
        <f ca="1">IF(SUM(DD284:$EI284)=0,"",IF(DD$227="","",DD$227+DD284-1))</f>
        <v/>
      </c>
      <c r="DE288" s="403" t="str">
        <f ca="1">IF(SUM(DE284:$EI284)=0,"",IF(DE$227="","",DE$227+DE284-1))</f>
        <v/>
      </c>
      <c r="DF288" s="403" t="str">
        <f ca="1">IF(SUM(DF284:$EI284)=0,"",IF(DF$227="","",DF$227+DF284-1))</f>
        <v/>
      </c>
      <c r="DG288" s="403" t="str">
        <f ca="1">IF(SUM(DG284:$EI284)=0,"",IF(DG$227="","",DG$227+DG284-1))</f>
        <v/>
      </c>
      <c r="DH288" s="403" t="str">
        <f ca="1">IF(SUM(DH284:$EI284)=0,"",IF(DH$227="","",DH$227+DH284-1))</f>
        <v/>
      </c>
      <c r="DI288" s="403" t="str">
        <f ca="1">IF(SUM(DI284:$EI284)=0,"",IF(DI$227="","",DI$227+DI284-1))</f>
        <v/>
      </c>
      <c r="DJ288" s="403" t="str">
        <f ca="1">IF(SUM(DJ284:$EI284)=0,"",IF(DJ$227="","",DJ$227+DJ284-1))</f>
        <v/>
      </c>
      <c r="DK288" s="403" t="str">
        <f ca="1">IF(SUM(DK284:$EI284)=0,"",IF(DK$227="","",DK$227+DK284-1))</f>
        <v/>
      </c>
      <c r="DL288" s="403" t="str">
        <f ca="1">IF(SUM(DL284:$EI284)=0,"",IF(DL$227="","",DL$227+DL284-1))</f>
        <v/>
      </c>
      <c r="DM288" s="403" t="str">
        <f ca="1">IF(SUM(DM284:$EI284)=0,"",IF(DM$227="","",DM$227+DM284-1))</f>
        <v/>
      </c>
      <c r="DN288" s="403" t="str">
        <f ca="1">IF(SUM(DN284:$EI284)=0,"",IF(DN$227="","",DN$227+DN284-1))</f>
        <v/>
      </c>
      <c r="DO288" s="403" t="str">
        <f ca="1">IF(SUM(DO284:$EI284)=0,"",IF(DO$227="","",DO$227+DO284-1))</f>
        <v/>
      </c>
      <c r="DP288" s="403" t="str">
        <f ca="1">IF(SUM(DP284:$EI284)=0,"",IF(DP$227="","",DP$227+DP284-1))</f>
        <v/>
      </c>
      <c r="DQ288" s="403" t="str">
        <f ca="1">IF(SUM(DQ284:$EI284)=0,"",IF(DQ$227="","",DQ$227+DQ284-1))</f>
        <v/>
      </c>
      <c r="DR288" s="403" t="str">
        <f ca="1">IF(SUM(DR284:$EI284)=0,"",IF(DR$227="","",DR$227+DR284-1))</f>
        <v/>
      </c>
      <c r="DS288" s="403" t="str">
        <f ca="1">IF(SUM(DS284:$EI284)=0,"",IF(DS$227="","",DS$227+DS284-1))</f>
        <v/>
      </c>
      <c r="DT288" s="403" t="str">
        <f ca="1">IF(SUM(DT284:$EI284)=0,"",IF(DT$227="","",DT$227+DT284-1))</f>
        <v/>
      </c>
      <c r="DU288" s="403" t="str">
        <f ca="1">IF(SUM(DU284:$EI284)=0,"",IF(DU$227="","",DU$227+DU284-1))</f>
        <v/>
      </c>
      <c r="DV288" s="403" t="str">
        <f ca="1">IF(SUM(DV284:$EI284)=0,"",IF(DV$227="","",DV$227+DV284-1))</f>
        <v/>
      </c>
      <c r="DW288" s="403" t="str">
        <f ca="1">IF(SUM(DW284:$EI284)=0,"",IF(DW$227="","",DW$227+DW284-1))</f>
        <v/>
      </c>
      <c r="DX288" s="403" t="str">
        <f ca="1">IF(SUM(DX284:$EI284)=0,"",IF(DX$227="","",DX$227+DX284-1))</f>
        <v/>
      </c>
      <c r="DY288" s="403" t="str">
        <f ca="1">IF(SUM(DY284:$EI284)=0,"",IF(DY$227="","",DY$227+DY284-1))</f>
        <v/>
      </c>
      <c r="DZ288" s="403" t="str">
        <f ca="1">IF(SUM(DZ284:$EI284)=0,"",IF(DZ$227="","",DZ$227+DZ284-1))</f>
        <v/>
      </c>
      <c r="EA288" s="403" t="str">
        <f ca="1">IF(SUM(EA284:$EI284)=0,"",IF(EA$227="","",EA$227+EA284-1))</f>
        <v/>
      </c>
      <c r="EB288" s="403" t="str">
        <f ca="1">IF(SUM(EB284:$EI284)=0,"",IF(EB$227="","",EB$227+EB284-1))</f>
        <v/>
      </c>
      <c r="EC288" s="403" t="str">
        <f ca="1">IF(SUM(EC284:$EI284)=0,"",IF(EC$227="","",EC$227+EC284-1))</f>
        <v/>
      </c>
      <c r="ED288" s="403" t="str">
        <f ca="1">IF(SUM(ED284:$EI284)=0,"",IF(ED$227="","",ED$227+ED284-1))</f>
        <v/>
      </c>
      <c r="EE288" s="403" t="str">
        <f ca="1">IF(SUM(EE284:$EI284)=0,"",IF(EE$227="","",EE$227+EE284-1))</f>
        <v/>
      </c>
      <c r="EF288" s="403" t="str">
        <f ca="1">IF(SUM(EF284:$EI284)=0,"",IF(EF$227="","",EF$227+EF284-1))</f>
        <v/>
      </c>
      <c r="EG288" s="403" t="str">
        <f ca="1">IF(SUM(EG284:$EI284)=0,"",IF(EG$227="","",EG$227+EG284-1))</f>
        <v/>
      </c>
      <c r="EH288" s="403" t="str">
        <f ca="1">IF(SUM(EH284:$EI284)=0,"",IF(EH$227="","",EH$227+EH284-1))</f>
        <v/>
      </c>
      <c r="EI288" s="403" t="str">
        <f ca="1">IF(SUM(EI284:$EI284)=0,"",IF(EI$227="","",EI$227+EI284-1))</f>
        <v/>
      </c>
    </row>
    <row r="289" spans="1:141" outlineLevel="1" collapsed="1">
      <c r="A289" s="332"/>
      <c r="B289" s="313"/>
      <c r="C289" s="317" t="s">
        <v>74</v>
      </c>
      <c r="D289" s="317" t="s">
        <v>668</v>
      </c>
      <c r="E289" s="400">
        <f ca="1">IF(ГРП!B16=0,длительность!Y59,ГРП!B16)</f>
        <v>73</v>
      </c>
      <c r="F289" s="318">
        <f ca="1">E289-SUM(G289:EJ289)</f>
        <v>0</v>
      </c>
      <c r="G289" s="401"/>
      <c r="H289" s="401">
        <f ca="1">IF(SUM($G289:G289)&gt;=$E289,0,IF($E289-SUM($G289:G289)&gt;H290,H290,$E289-SUM($G290:G290)))</f>
        <v>0</v>
      </c>
      <c r="I289" s="401">
        <f ca="1">IF(SUM($G289:H289)&gt;=$E289,0,IF($E289-SUM($G289:H289)&gt;I290,I290,$E289-SUM($G290:H290)))</f>
        <v>0</v>
      </c>
      <c r="J289" s="401">
        <f ca="1">IF(SUM($G289:I289)&gt;=$E289,0,IF($E289-SUM($G289:I289)&gt;J290,J290,$E289-SUM($G290:I290)))</f>
        <v>0</v>
      </c>
      <c r="K289" s="401">
        <f ca="1">IF(SUM($G289:J289)&gt;=$E289,0,IF($E289-SUM($G289:J289)&gt;K290,K290,$E289-SUM($G290:J290)))</f>
        <v>0</v>
      </c>
      <c r="L289" s="401">
        <f ca="1">IF(SUM($G289:K289)&gt;=$E289,0,IF($E289-SUM($G289:K289)&gt;L290,L290,$E289-SUM($G290:K290)))</f>
        <v>0</v>
      </c>
      <c r="M289" s="401">
        <f ca="1">IF(SUM($G289:L289)&gt;=$E289,0,IF($E289-SUM($G289:L289)&gt;M290,M290,$E289-SUM($G290:L290)))</f>
        <v>0</v>
      </c>
      <c r="N289" s="401">
        <f ca="1">IF(SUM($G289:M289)&gt;=$E289,0,IF($E289-SUM($G289:M289)&gt;N290,N290,$E289-SUM($G290:M290)))</f>
        <v>0</v>
      </c>
      <c r="O289" s="401">
        <f ca="1">IF(SUM($G289:N289)&gt;=$E289,0,IF($E289-SUM($G289:N289)&gt;O290,O290,$E289-SUM($G290:N290)))</f>
        <v>0</v>
      </c>
      <c r="P289" s="401">
        <f ca="1">IF(SUM($G289:O289)&gt;=$E289,0,IF($E289-SUM($G289:O289)&gt;P290,P290,$E289-SUM($G290:O290)))</f>
        <v>0</v>
      </c>
      <c r="Q289" s="401">
        <f ca="1">IF(SUM($G289:P289)&gt;=$E289,0,IF($E289-SUM($G289:P289)&gt;Q290,Q290,$E289-SUM($G290:P290)))</f>
        <v>0</v>
      </c>
      <c r="R289" s="401">
        <f ca="1">IF(SUM($G289:Q289)&gt;=$E289,0,IF($E289-SUM($G289:Q289)&gt;R290,R290,$E289-SUM($G290:Q290)))</f>
        <v>0</v>
      </c>
      <c r="S289" s="401">
        <f ca="1">IF(SUM($G289:R289)&gt;=$E289,0,IF($E289-SUM($G289:R289)&gt;S290,S290,$E289-SUM($G290:R290)))</f>
        <v>0</v>
      </c>
      <c r="T289" s="401">
        <f ca="1">IF(SUM($G289:S289)&gt;=$E289,0,IF($E289-SUM($G289:S289)&gt;T290,T290,$E289-SUM($G290:S290)))</f>
        <v>0</v>
      </c>
      <c r="U289" s="401">
        <f ca="1">IF(SUM($G289:T289)&gt;=$E289,0,IF($E289-SUM($G289:T289)&gt;U290,U290,$E289-SUM($G290:T290)))</f>
        <v>0</v>
      </c>
      <c r="V289" s="401">
        <f ca="1">IF(SUM($G289:U289)&gt;=$E289,0,IF($E289-SUM($G289:U289)&gt;V290,V290,$E289-SUM($G290:U290)))</f>
        <v>0</v>
      </c>
      <c r="W289" s="401">
        <f ca="1">IF(SUM($G289:V289)&gt;=$E289,0,IF($E289-SUM($G289:V289)&gt;W290,W290,$E289-SUM($G290:V290)))</f>
        <v>0</v>
      </c>
      <c r="X289" s="401">
        <f ca="1">IF(SUM($G289:W289)&gt;=$E289,0,IF($E289-SUM($G289:W289)&gt;X290,X290,$E289-SUM($G290:W290)))</f>
        <v>0</v>
      </c>
      <c r="Y289" s="401">
        <f ca="1">IF(SUM($G289:X289)&gt;=$E289,0,IF($E289-SUM($G289:X289)&gt;Y290,Y290,$E289-SUM($G290:X290)))</f>
        <v>0</v>
      </c>
      <c r="Z289" s="401">
        <f ca="1">IF(SUM($G289:Y289)&gt;=$E289,0,IF($E289-SUM($G289:Y289)&gt;Z290,Z290,$E289-SUM($G290:Y290)))</f>
        <v>0</v>
      </c>
      <c r="AA289" s="401">
        <f ca="1">IF(SUM($G289:Z289)&gt;=$E289,0,IF($E289-SUM($G289:Z289)&gt;AA290,AA290,$E289-SUM($G290:Z290)))</f>
        <v>0</v>
      </c>
      <c r="AB289" s="401">
        <f ca="1">IF(SUM($G289:AA289)&gt;=$E289,0,IF($E289-SUM($G289:AA289)&gt;AB290,AB290,$E289-SUM($G290:AA290)))</f>
        <v>0</v>
      </c>
      <c r="AC289" s="401">
        <f ca="1">IF(SUM($G289:AB289)&gt;=$E289,0,IF($E289-SUM($G289:AB289)&gt;AC290,AC290,$E289-SUM($G290:AB290)))</f>
        <v>0</v>
      </c>
      <c r="AD289" s="401">
        <f ca="1">IF(SUM($G289:AC289)&gt;=$E289,0,IF($E289-SUM($G289:AC289)&gt;AD290,AD290,$E289-SUM($G290:AC290)))</f>
        <v>0</v>
      </c>
      <c r="AE289" s="401">
        <f ca="1">IF(SUM($G289:AD289)&gt;=$E289,0,IF($E289-SUM($G289:AD289)&gt;AE290,AE290,$E289-SUM($G290:AD290)))</f>
        <v>0</v>
      </c>
      <c r="AF289" s="401">
        <f ca="1">IF(SUM($G289:AE289)&gt;=$E289,0,IF($E289-SUM($G289:AE289)&gt;AF290,AF290,$E289-SUM($G290:AE290)))</f>
        <v>0</v>
      </c>
      <c r="AG289" s="401">
        <f ca="1">IF(SUM($G289:AF289)&gt;=$E289,0,IF($E289-SUM($G289:AF289)&gt;AG290,AG290,$E289-SUM($G290:AF290)))</f>
        <v>0</v>
      </c>
      <c r="AH289" s="401">
        <f ca="1">IF(SUM($G289:AG289)&gt;=$E289,0,IF($E289-SUM($G289:AG289)&gt;AH290,AH290,$E289-SUM($G290:AG290)))</f>
        <v>0</v>
      </c>
      <c r="AI289" s="401">
        <f ca="1">IF(SUM($G289:AH289)&gt;=$E289,0,IF($E289-SUM($G289:AH289)&gt;AI290,AI290,$E289-SUM($G290:AH290)))</f>
        <v>0</v>
      </c>
      <c r="AJ289" s="401">
        <f ca="1">IF(SUM($G289:AI289)&gt;=$E289,0,IF($E289-SUM($G289:AI289)&gt;AJ290,AJ290,$E289-SUM($G290:AI290)))</f>
        <v>0</v>
      </c>
      <c r="AK289" s="401">
        <f ca="1">IF(SUM($G289:AJ289)&gt;=$E289,0,IF($E289-SUM($G289:AJ289)&gt;AK290,AK290,$E289-SUM($G290:AJ290)))</f>
        <v>0</v>
      </c>
      <c r="AL289" s="401">
        <f ca="1">IF(SUM($G289:AK289)&gt;=$E289,0,IF($E289-SUM($G289:AK289)&gt;AL290,AL290,$E289-SUM($G290:AK290)))</f>
        <v>0</v>
      </c>
      <c r="AM289" s="401">
        <f ca="1">IF(SUM($G289:AL289)&gt;=$E289,0,IF($E289-SUM($G289:AL289)&gt;AM290,AM290,$E289-SUM($G290:AL290)))</f>
        <v>0</v>
      </c>
      <c r="AN289" s="401">
        <f ca="1">IF(SUM($G289:AM289)&gt;=$E289,0,IF($E289-SUM($G289:AM289)&gt;AN290,AN290,$E289-SUM($G290:AM290)))</f>
        <v>0</v>
      </c>
      <c r="AO289" s="401">
        <f ca="1">IF(SUM($G289:AN289)&gt;=$E289,0,IF($E289-SUM($G289:AN289)&gt;AO290,AO290,$E289-SUM($G290:AN290)))</f>
        <v>19</v>
      </c>
      <c r="AP289" s="401">
        <f ca="1">IF(SUM($G289:AO289)&gt;=$E289,0,IF($E289-SUM($G289:AO289)&gt;AP290,AP290,$E289-SUM($G290:AO290)))</f>
        <v>28</v>
      </c>
      <c r="AQ289" s="401">
        <f ca="1">IF(SUM($G289:AP289)&gt;=$E289,0,IF($E289-SUM($G289:AP289)&gt;AQ290,AQ290,$E289-SUM($G290:AP290)))</f>
        <v>26</v>
      </c>
      <c r="AR289" s="401">
        <f ca="1">IF(SUM($G289:AQ289)&gt;=$E289,0,IF($E289-SUM($G289:AQ289)&gt;AR290,AR290,$E289-SUM($G290:AQ290)))</f>
        <v>0</v>
      </c>
      <c r="AS289" s="401">
        <f ca="1">IF(SUM($G289:AR289)&gt;=$E289,0,IF($E289-SUM($G289:AR289)&gt;AS290,AS290,$E289-SUM($G290:AR290)))</f>
        <v>0</v>
      </c>
      <c r="AT289" s="401">
        <f ca="1">IF(SUM($G289:AS289)&gt;=$E289,0,IF($E289-SUM($G289:AS289)&gt;AT290,AT290,$E289-SUM($G290:AS290)))</f>
        <v>0</v>
      </c>
      <c r="AU289" s="401">
        <f ca="1">IF(SUM($G289:AT289)&gt;=$E289,0,IF($E289-SUM($G289:AT289)&gt;AU290,AU290,$E289-SUM($G290:AT290)))</f>
        <v>0</v>
      </c>
      <c r="AV289" s="401">
        <f ca="1">IF(SUM($G289:AU289)&gt;=$E289,0,IF($E289-SUM($G289:AU289)&gt;AV290,AV290,$E289-SUM($G290:AU290)))</f>
        <v>0</v>
      </c>
      <c r="AW289" s="401">
        <f ca="1">IF(SUM($G289:AV289)&gt;=$E289,0,IF($E289-SUM($G289:AV289)&gt;AW290,AW290,$E289-SUM($G290:AV290)))</f>
        <v>0</v>
      </c>
      <c r="AX289" s="401">
        <f ca="1">IF(SUM($G289:AW289)&gt;=$E289,0,IF($E289-SUM($G289:AW289)&gt;AX290,AX290,$E289-SUM($G290:AW290)))</f>
        <v>0</v>
      </c>
      <c r="AY289" s="401">
        <f ca="1">IF(SUM($G289:AX289)&gt;=$E289,0,IF($E289-SUM($G289:AX289)&gt;AY290,AY290,$E289-SUM($G290:AX290)))</f>
        <v>0</v>
      </c>
      <c r="AZ289" s="401">
        <f ca="1">IF(SUM($G289:AY289)&gt;=$E289,0,IF($E289-SUM($G289:AY289)&gt;AZ290,AZ290,$E289-SUM($G290:AY290)))</f>
        <v>0</v>
      </c>
      <c r="BA289" s="401">
        <f ca="1">IF(SUM($G289:AZ289)&gt;=$E289,0,IF($E289-SUM($G289:AZ289)&gt;BA290,BA290,$E289-SUM($G290:AZ290)))</f>
        <v>0</v>
      </c>
      <c r="BB289" s="401">
        <f ca="1">IF(SUM($G289:BA289)&gt;=$E289,0,IF($E289-SUM($G289:BA289)&gt;BB290,BB290,$E289-SUM($G290:BA290)))</f>
        <v>0</v>
      </c>
      <c r="BC289" s="401">
        <f ca="1">IF(SUM($G289:BB289)&gt;=$E289,0,IF($E289-SUM($G289:BB289)&gt;BC290,BC290,$E289-SUM($G290:BB290)))</f>
        <v>0</v>
      </c>
      <c r="BD289" s="401">
        <f ca="1">IF(SUM($G289:BC289)&gt;=$E289,0,IF($E289-SUM($G289:BC289)&gt;BD290,BD290,$E289-SUM($G290:BC290)))</f>
        <v>0</v>
      </c>
      <c r="BE289" s="401">
        <f ca="1">IF(SUM($G289:BD289)&gt;=$E289,0,IF($E289-SUM($G289:BD289)&gt;BE290,BE290,$E289-SUM($G290:BD290)))</f>
        <v>0</v>
      </c>
      <c r="BF289" s="401">
        <f ca="1">IF(SUM($G289:BE289)&gt;=$E289,0,IF($E289-SUM($G289:BE289)&gt;BF290,BF290,$E289-SUM($G290:BE290)))</f>
        <v>0</v>
      </c>
      <c r="BG289" s="401">
        <f ca="1">IF(SUM($G289:BF289)&gt;=$E289,0,IF($E289-SUM($G289:BF289)&gt;BG290,BG290,$E289-SUM($G290:BF290)))</f>
        <v>0</v>
      </c>
      <c r="BH289" s="401">
        <f ca="1">IF(SUM($G289:BG289)&gt;=$E289,0,IF($E289-SUM($G289:BG289)&gt;BH290,BH290,$E289-SUM($G290:BG290)))</f>
        <v>0</v>
      </c>
      <c r="BI289" s="401">
        <f ca="1">IF(SUM($G289:BH289)&gt;=$E289,0,IF($E289-SUM($G289:BH289)&gt;BI290,BI290,$E289-SUM($G290:BH290)))</f>
        <v>0</v>
      </c>
      <c r="BJ289" s="401">
        <f ca="1">IF(SUM($G289:BI289)&gt;=$E289,0,IF($E289-SUM($G289:BI289)&gt;BJ290,BJ290,$E289-SUM($G290:BI290)))</f>
        <v>0</v>
      </c>
      <c r="BK289" s="401">
        <f ca="1">IF(SUM($G289:BJ289)&gt;=$E289,0,IF($E289-SUM($G289:BJ289)&gt;BK290,BK290,$E289-SUM($G290:BJ290)))</f>
        <v>0</v>
      </c>
      <c r="BL289" s="401">
        <f ca="1">IF(SUM($G289:BK289)&gt;=$E289,0,IF($E289-SUM($G289:BK289)&gt;BL290,BL290,$E289-SUM($G290:BK290)))</f>
        <v>0</v>
      </c>
      <c r="BM289" s="401">
        <f ca="1">IF(SUM($G289:BL289)&gt;=$E289,0,IF($E289-SUM($G289:BL289)&gt;BM290,BM290,$E289-SUM($G290:BL290)))</f>
        <v>0</v>
      </c>
      <c r="BN289" s="401">
        <f ca="1">IF(SUM($G289:BM289)&gt;=$E289,0,IF($E289-SUM($G289:BM289)&gt;BN290,BN290,$E289-SUM($G290:BM290)))</f>
        <v>0</v>
      </c>
      <c r="BO289" s="401">
        <f ca="1">IF(SUM($G289:BN289)&gt;=$E289,0,IF($E289-SUM($G289:BN289)&gt;BO290,BO290,$E289-SUM($G290:BN290)))</f>
        <v>0</v>
      </c>
      <c r="BP289" s="401">
        <f ca="1">IF(SUM($G289:BO289)&gt;=$E289,0,IF($E289-SUM($G289:BO289)&gt;BP290,BP290,$E289-SUM($G290:BO290)))</f>
        <v>0</v>
      </c>
      <c r="BQ289" s="401">
        <f ca="1">IF(SUM($G289:BP289)&gt;=$E289,0,IF($E289-SUM($G289:BP289)&gt;BQ290,BQ290,$E289-SUM($G290:BP290)))</f>
        <v>0</v>
      </c>
      <c r="BR289" s="401">
        <f ca="1">IF(SUM($G289:BQ289)&gt;=$E289,0,IF($E289-SUM($G289:BQ289)&gt;BR290,BR290,$E289-SUM($G290:BQ290)))</f>
        <v>0</v>
      </c>
      <c r="BS289" s="401">
        <f ca="1">IF(SUM($G289:BR289)&gt;=$E289,0,IF($E289-SUM($G289:BR289)&gt;BS290,BS290,$E289-SUM($G290:BR290)))</f>
        <v>0</v>
      </c>
      <c r="BT289" s="401">
        <f ca="1">IF(SUM($G289:BS289)&gt;=$E289,0,IF($E289-SUM($G289:BS289)&gt;BT290,BT290,$E289-SUM($G290:BS290)))</f>
        <v>0</v>
      </c>
      <c r="BU289" s="401">
        <f ca="1">IF(SUM($G289:BT289)&gt;=$E289,0,IF($E289-SUM($G289:BT289)&gt;BU290,BU290,$E289-SUM($G290:BT290)))</f>
        <v>0</v>
      </c>
      <c r="BV289" s="401">
        <f ca="1">IF(SUM($G289:BU289)&gt;=$E289,0,IF($E289-SUM($G289:BU289)&gt;BV290,BV290,$E289-SUM($G290:BU290)))</f>
        <v>0</v>
      </c>
      <c r="BW289" s="401">
        <f ca="1">IF(SUM($G289:BV289)&gt;=$E289,0,IF($E289-SUM($G289:BV289)&gt;BW290,BW290,$E289-SUM($G290:BV290)))</f>
        <v>0</v>
      </c>
      <c r="BX289" s="401">
        <f ca="1">IF(SUM($G289:BW289)&gt;=$E289,0,IF($E289-SUM($G289:BW289)&gt;BX290,BX290,$E289-SUM($G290:BW290)))</f>
        <v>0</v>
      </c>
      <c r="BY289" s="401">
        <f ca="1">IF(SUM($G289:BX289)&gt;=$E289,0,IF($E289-SUM($G289:BX289)&gt;BY290,BY290,$E289-SUM($G290:BX290)))</f>
        <v>0</v>
      </c>
      <c r="BZ289" s="401">
        <f ca="1">IF(SUM($G289:BY289)&gt;=$E289,0,IF($E289-SUM($G289:BY289)&gt;BZ290,BZ290,$E289-SUM($G290:BY290)))</f>
        <v>0</v>
      </c>
      <c r="CA289" s="401">
        <f ca="1">IF(SUM($G289:BZ289)&gt;=$E289,0,IF($E289-SUM($G289:BZ289)&gt;CA290,CA290,$E289-SUM($G290:BZ290)))</f>
        <v>0</v>
      </c>
      <c r="CB289" s="401">
        <f ca="1">IF(SUM($G289:CA289)&gt;=$E289,0,IF($E289-SUM($G289:CA289)&gt;CB290,CB290,$E289-SUM($G290:CA290)))</f>
        <v>0</v>
      </c>
      <c r="CC289" s="401">
        <f ca="1">IF(SUM($G289:CB289)&gt;=$E289,0,IF($E289-SUM($G289:CB289)&gt;CC290,CC290,$E289-SUM($G290:CB290)))</f>
        <v>0</v>
      </c>
      <c r="CD289" s="401">
        <f ca="1">IF(SUM($G289:CC289)&gt;=$E289,0,IF($E289-SUM($G289:CC289)&gt;CD290,CD290,$E289-SUM($G290:CC290)))</f>
        <v>0</v>
      </c>
      <c r="CE289" s="401">
        <f ca="1">IF(SUM($G289:CD289)&gt;=$E289,0,IF($E289-SUM($G289:CD289)&gt;CE290,CE290,$E289-SUM($G290:CD290)))</f>
        <v>0</v>
      </c>
      <c r="CF289" s="401">
        <f ca="1">IF(SUM($G289:CE289)&gt;=$E289,0,IF($E289-SUM($G289:CE289)&gt;CF290,CF290,$E289-SUM($G290:CE290)))</f>
        <v>0</v>
      </c>
      <c r="CG289" s="401">
        <f ca="1">IF(SUM($G289:CF289)&gt;=$E289,0,IF($E289-SUM($G289:CF289)&gt;CG290,CG290,$E289-SUM($G290:CF290)))</f>
        <v>0</v>
      </c>
      <c r="CH289" s="401">
        <f ca="1">IF(SUM($G289:CG289)&gt;=$E289,0,IF($E289-SUM($G289:CG289)&gt;CH290,CH290,$E289-SUM($G290:CG290)))</f>
        <v>0</v>
      </c>
      <c r="CI289" s="401">
        <f ca="1">IF(SUM($G289:CH289)&gt;=$E289,0,IF($E289-SUM($G289:CH289)&gt;CI290,CI290,$E289-SUM($G290:CH290)))</f>
        <v>0</v>
      </c>
      <c r="CJ289" s="401">
        <f ca="1">IF(SUM($G289:CI289)&gt;=$E289,0,IF($E289-SUM($G289:CI289)&gt;CJ290,CJ290,$E289-SUM($G290:CI290)))</f>
        <v>0</v>
      </c>
      <c r="CK289" s="401">
        <f ca="1">IF(SUM($G289:CJ289)&gt;=$E289,0,IF($E289-SUM($G289:CJ289)&gt;CK290,CK290,$E289-SUM($G290:CJ290)))</f>
        <v>0</v>
      </c>
      <c r="CL289" s="401">
        <f ca="1">IF(SUM($G289:CK289)&gt;=$E289,0,IF($E289-SUM($G289:CK289)&gt;CL290,CL290,$E289-SUM($G290:CK290)))</f>
        <v>0</v>
      </c>
      <c r="CM289" s="401">
        <f ca="1">IF(SUM($G289:CL289)&gt;=$E289,0,IF($E289-SUM($G289:CL289)&gt;CM290,CM290,$E289-SUM($G290:CL290)))</f>
        <v>0</v>
      </c>
      <c r="CN289" s="401">
        <f ca="1">IF(SUM($G289:CM289)&gt;=$E289,0,IF($E289-SUM($G289:CM289)&gt;CN290,CN290,$E289-SUM($G290:CM290)))</f>
        <v>0</v>
      </c>
      <c r="CO289" s="401">
        <f ca="1">IF(SUM($G289:CN289)&gt;=$E289,0,IF($E289-SUM($G289:CN289)&gt;CO290,CO290,$E289-SUM($G290:CN290)))</f>
        <v>0</v>
      </c>
      <c r="CP289" s="401">
        <f ca="1">IF(SUM($G289:CO289)&gt;=$E289,0,IF($E289-SUM($G289:CO289)&gt;CP290,CP290,$E289-SUM($G290:CO290)))</f>
        <v>0</v>
      </c>
      <c r="CQ289" s="401">
        <f ca="1">IF(SUM($G289:CP289)&gt;=$E289,0,IF($E289-SUM($G289:CP289)&gt;CQ290,CQ290,$E289-SUM($G290:CP290)))</f>
        <v>0</v>
      </c>
      <c r="CR289" s="401">
        <f ca="1">IF(SUM($G289:CQ289)&gt;=$E289,0,IF($E289-SUM($G289:CQ289)&gt;CR290,CR290,$E289-SUM($G290:CQ290)))</f>
        <v>0</v>
      </c>
      <c r="CS289" s="401">
        <f ca="1">IF(SUM($G289:CR289)&gt;=$E289,0,IF($E289-SUM($G289:CR289)&gt;CS290,CS290,$E289-SUM($G290:CR290)))</f>
        <v>0</v>
      </c>
      <c r="CT289" s="401">
        <f ca="1">IF(SUM($G289:CS289)&gt;=$E289,0,IF($E289-SUM($G289:CS289)&gt;CT290,CT290,$E289-SUM($G290:CS290)))</f>
        <v>0</v>
      </c>
      <c r="CU289" s="401">
        <f ca="1">IF(SUM($G289:CT289)&gt;=$E289,0,IF($E289-SUM($G289:CT289)&gt;CU290,CU290,$E289-SUM($G290:CT290)))</f>
        <v>0</v>
      </c>
      <c r="CV289" s="401">
        <f ca="1">IF(SUM($G289:CU289)&gt;=$E289,0,IF($E289-SUM($G289:CU289)&gt;CV290,CV290,$E289-SUM($G290:CU290)))</f>
        <v>0</v>
      </c>
      <c r="CW289" s="401">
        <f ca="1">IF(SUM($G289:CV289)&gt;=$E289,0,IF($E289-SUM($G289:CV289)&gt;CW290,CW290,$E289-SUM($G290:CV290)))</f>
        <v>0</v>
      </c>
      <c r="CX289" s="401">
        <f ca="1">IF(SUM($G289:CW289)&gt;=$E289,0,IF($E289-SUM($G289:CW289)&gt;CX290,CX290,$E289-SUM($G290:CW290)))</f>
        <v>0</v>
      </c>
      <c r="CY289" s="401">
        <f ca="1">IF(SUM($G289:CX289)&gt;=$E289,0,IF($E289-SUM($G289:CX289)&gt;CY290,CY290,$E289-SUM($G290:CX290)))</f>
        <v>0</v>
      </c>
      <c r="CZ289" s="401">
        <f ca="1">IF(SUM($G289:CY289)&gt;=$E289,0,IF($E289-SUM($G289:CY289)&gt;CZ290,CZ290,$E289-SUM($G290:CY290)))</f>
        <v>0</v>
      </c>
      <c r="DA289" s="401">
        <f ca="1">IF(SUM($G289:CZ289)&gt;=$E289,0,IF($E289-SUM($G289:CZ289)&gt;DA290,DA290,$E289-SUM($G290:CZ290)))</f>
        <v>0</v>
      </c>
      <c r="DB289" s="401">
        <f ca="1">IF(SUM($G289:DA289)&gt;=$E289,0,IF($E289-SUM($G289:DA289)&gt;DB290,DB290,$E289-SUM($G290:DA290)))</f>
        <v>0</v>
      </c>
      <c r="DC289" s="401">
        <f ca="1">IF(SUM($G289:DB289)&gt;=$E289,0,IF($E289-SUM($G289:DB289)&gt;DC290,DC290,$E289-SUM($G290:DB290)))</f>
        <v>0</v>
      </c>
      <c r="DD289" s="401">
        <f ca="1">IF(SUM($G289:DC289)&gt;=$E289,0,IF($E289-SUM($G289:DC289)&gt;DD290,DD290,$E289-SUM($G290:DC290)))</f>
        <v>0</v>
      </c>
      <c r="DE289" s="401">
        <f ca="1">IF(SUM($G289:DD289)&gt;=$E289,0,IF($E289-SUM($G289:DD289)&gt;DE290,DE290,$E289-SUM($G290:DD290)))</f>
        <v>0</v>
      </c>
      <c r="DF289" s="401">
        <f ca="1">IF(SUM($G289:DE289)&gt;=$E289,0,IF($E289-SUM($G289:DE289)&gt;DF290,DF290,$E289-SUM($G290:DE290)))</f>
        <v>0</v>
      </c>
      <c r="DG289" s="401">
        <f ca="1">IF(SUM($G289:DF289)&gt;=$E289,0,IF($E289-SUM($G289:DF289)&gt;DG290,DG290,$E289-SUM($G290:DF290)))</f>
        <v>0</v>
      </c>
      <c r="DH289" s="401">
        <f ca="1">IF(SUM($G289:DG289)&gt;=$E289,0,IF($E289-SUM($G289:DG289)&gt;DH290,DH290,$E289-SUM($G290:DG290)))</f>
        <v>0</v>
      </c>
      <c r="DI289" s="401">
        <f ca="1">IF(SUM($G289:DH289)&gt;=$E289,0,IF($E289-SUM($G289:DH289)&gt;DI290,DI290,$E289-SUM($G290:DH290)))</f>
        <v>0</v>
      </c>
      <c r="DJ289" s="401">
        <f ca="1">IF(SUM($G289:DI289)&gt;=$E289,0,IF($E289-SUM($G289:DI289)&gt;DJ290,DJ290,$E289-SUM($G290:DI290)))</f>
        <v>0</v>
      </c>
      <c r="DK289" s="401">
        <f ca="1">IF(SUM($G289:DJ289)&gt;=$E289,0,IF($E289-SUM($G289:DJ289)&gt;DK290,DK290,$E289-SUM($G290:DJ290)))</f>
        <v>0</v>
      </c>
      <c r="DL289" s="401">
        <f ca="1">IF(SUM($G289:DK289)&gt;=$E289,0,IF($E289-SUM($G289:DK289)&gt;DL290,DL290,$E289-SUM($G290:DK290)))</f>
        <v>0</v>
      </c>
      <c r="DM289" s="401">
        <f ca="1">IF(SUM($G289:DL289)&gt;=$E289,0,IF($E289-SUM($G289:DL289)&gt;DM290,DM290,$E289-SUM($G290:DL290)))</f>
        <v>0</v>
      </c>
      <c r="DN289" s="401">
        <f ca="1">IF(SUM($G289:DM289)&gt;=$E289,0,IF($E289-SUM($G289:DM289)&gt;DN290,DN290,$E289-SUM($G290:DM290)))</f>
        <v>0</v>
      </c>
      <c r="DO289" s="401">
        <f ca="1">IF(SUM($G289:DN289)&gt;=$E289,0,IF($E289-SUM($G289:DN289)&gt;DO290,DO290,$E289-SUM($G290:DN290)))</f>
        <v>0</v>
      </c>
      <c r="DP289" s="401">
        <f ca="1">IF(SUM($G289:DO289)&gt;=$E289,0,IF($E289-SUM($G289:DO289)&gt;DP290,DP290,$E289-SUM($G290:DO290)))</f>
        <v>0</v>
      </c>
      <c r="DQ289" s="401">
        <f ca="1">IF(SUM($G289:DP289)&gt;=$E289,0,IF($E289-SUM($G289:DP289)&gt;DQ290,DQ290,$E289-SUM($G290:DP290)))</f>
        <v>0</v>
      </c>
      <c r="DR289" s="401">
        <f ca="1">IF(SUM($G289:DQ289)&gt;=$E289,0,IF($E289-SUM($G289:DQ289)&gt;DR290,DR290,$E289-SUM($G290:DQ290)))</f>
        <v>0</v>
      </c>
      <c r="DS289" s="401">
        <f ca="1">IF(SUM($G289:DR289)&gt;=$E289,0,IF($E289-SUM($G289:DR289)&gt;DS290,DS290,$E289-SUM($G290:DR290)))</f>
        <v>0</v>
      </c>
      <c r="DT289" s="401">
        <f ca="1">IF(SUM($G289:DS289)&gt;=$E289,0,IF($E289-SUM($G289:DS289)&gt;DT290,DT290,$E289-SUM($G290:DS290)))</f>
        <v>0</v>
      </c>
      <c r="DU289" s="401">
        <f ca="1">IF(SUM($G289:DT289)&gt;=$E289,0,IF($E289-SUM($G289:DT289)&gt;DU290,DU290,$E289-SUM($G290:DT290)))</f>
        <v>0</v>
      </c>
      <c r="DV289" s="401">
        <f ca="1">IF(SUM($G289:DU289)&gt;=$E289,0,IF($E289-SUM($G289:DU289)&gt;DV290,DV290,$E289-SUM($G290:DU290)))</f>
        <v>0</v>
      </c>
      <c r="DW289" s="401">
        <f ca="1">IF(SUM($G289:DV289)&gt;=$E289,0,IF($E289-SUM($G289:DV289)&gt;DW290,DW290,$E289-SUM($G290:DV290)))</f>
        <v>0</v>
      </c>
      <c r="DX289" s="401">
        <f ca="1">IF(SUM($G289:DW289)&gt;=$E289,0,IF($E289-SUM($G289:DW289)&gt;DX290,DX290,$E289-SUM($G290:DW290)))</f>
        <v>0</v>
      </c>
      <c r="DY289" s="401">
        <f ca="1">IF(SUM($G289:DX289)&gt;=$E289,0,IF($E289-SUM($G289:DX289)&gt;DY290,DY290,$E289-SUM($G290:DX290)))</f>
        <v>0</v>
      </c>
      <c r="DZ289" s="401">
        <f ca="1">IF(SUM($G289:DY289)&gt;=$E289,0,IF($E289-SUM($G289:DY289)&gt;DZ290,DZ290,$E289-SUM($G290:DY290)))</f>
        <v>0</v>
      </c>
      <c r="EA289" s="401">
        <f ca="1">IF(SUM($G289:DZ289)&gt;=$E289,0,IF($E289-SUM($G289:DZ289)&gt;EA290,EA290,$E289-SUM($G290:DZ290)))</f>
        <v>0</v>
      </c>
      <c r="EB289" s="401">
        <f ca="1">IF(SUM($G289:EA289)&gt;=$E289,0,IF($E289-SUM($G289:EA289)&gt;EB290,EB290,$E289-SUM($G290:EA290)))</f>
        <v>0</v>
      </c>
      <c r="EC289" s="401">
        <f ca="1">IF(SUM($G289:EB289)&gt;=$E289,0,IF($E289-SUM($G289:EB289)&gt;EC290,EC290,$E289-SUM($G290:EB290)))</f>
        <v>0</v>
      </c>
      <c r="ED289" s="401">
        <f ca="1">IF(SUM($G289:EC289)&gt;=$E289,0,IF($E289-SUM($G289:EC289)&gt;ED290,ED290,$E289-SUM($G290:EC290)))</f>
        <v>0</v>
      </c>
      <c r="EE289" s="401">
        <f ca="1">IF(SUM($G289:ED289)&gt;=$E289,0,IF($E289-SUM($G289:ED289)&gt;EE290,EE290,$E289-SUM($G290:ED290)))</f>
        <v>0</v>
      </c>
      <c r="EF289" s="401">
        <f ca="1">IF(SUM($G289:EE289)&gt;=$E289,0,IF($E289-SUM($G289:EE289)&gt;EF290,EF290,$E289-SUM($G290:EE290)))</f>
        <v>0</v>
      </c>
      <c r="EG289" s="401">
        <f ca="1">IF(SUM($G289:EF289)&gt;=$E289,0,IF($E289-SUM($G289:EF289)&gt;EG290,EG290,$E289-SUM($G290:EF290)))</f>
        <v>0</v>
      </c>
      <c r="EH289" s="401">
        <f ca="1">IF(SUM($G289:EG289)&gt;=$E289,0,IF($E289-SUM($G289:EG289)&gt;EH290,EH290,$E289-SUM($G290:EG290)))</f>
        <v>0</v>
      </c>
      <c r="EI289" s="401">
        <f ca="1">IF(SUM($G289:EH289)&gt;=$E289,0,IF($E289-SUM($G289:EH289)&gt;EI290,EI290,$E289-SUM($G290:EH290)))</f>
        <v>0</v>
      </c>
      <c r="EK289" s="313"/>
    </row>
    <row r="290" spans="1:141" hidden="1" outlineLevel="2">
      <c r="A290" s="332"/>
      <c r="B290" s="313"/>
      <c r="C290" s="308"/>
      <c r="D290" s="308"/>
      <c r="E290" s="308"/>
      <c r="G290" s="402"/>
      <c r="H290" s="402">
        <f ca="1">IF((SUM($G265:H265)-$E264)&lt;0,0,IF((SUM($G265:H265)-$E264)&lt;H265,SUM($G265:H265)-$E264,H265))</f>
        <v>0</v>
      </c>
      <c r="I290" s="402">
        <f ca="1">IF((SUM($G265:I265)-$E264)&lt;0,0,IF((SUM($G265:I265)-$E264)&lt;I265,SUM($G265:I265)-$E264,I265))</f>
        <v>0</v>
      </c>
      <c r="J290" s="402">
        <f ca="1">IF((SUM($G265:J265)-$E264)&lt;0,0,IF((SUM($G265:J265)-$E264)&lt;J265,SUM($G265:J265)-$E264,J265))</f>
        <v>0</v>
      </c>
      <c r="K290" s="402">
        <f ca="1">IF((SUM($G265:K265)-$E264)&lt;0,0,IF((SUM($G265:K265)-$E264)&lt;K265,SUM($G265:K265)-$E264,K265))</f>
        <v>0</v>
      </c>
      <c r="L290" s="402">
        <f ca="1">IF((SUM($G265:L265)-$E264)&lt;0,0,IF((SUM($G265:L265)-$E264)&lt;L265,SUM($G265:L265)-$E264,L265))</f>
        <v>0</v>
      </c>
      <c r="M290" s="402">
        <f ca="1">IF((SUM($G265:M265)-$E264)&lt;0,0,IF((SUM($G265:M265)-$E264)&lt;M265,SUM($G265:M265)-$E264,M265))</f>
        <v>0</v>
      </c>
      <c r="N290" s="402">
        <f ca="1">IF((SUM($G265:N265)-$E264)&lt;0,0,IF((SUM($G265:N265)-$E264)&lt;N265,SUM($G265:N265)-$E264,N265))</f>
        <v>0</v>
      </c>
      <c r="O290" s="402">
        <f ca="1">IF((SUM($G265:O265)-$E264)&lt;0,0,IF((SUM($G265:O265)-$E264)&lt;O265,SUM($G265:O265)-$E264,O265))</f>
        <v>0</v>
      </c>
      <c r="P290" s="402">
        <f ca="1">IF((SUM($G265:P265)-$E264)&lt;0,0,IF((SUM($G265:P265)-$E264)&lt;P265,SUM($G265:P265)-$E264,P265))</f>
        <v>0</v>
      </c>
      <c r="Q290" s="402">
        <f ca="1">IF((SUM($G265:Q265)-$E264)&lt;0,0,IF((SUM($G265:Q265)-$E264)&lt;Q265,SUM($G265:Q265)-$E264,Q265))</f>
        <v>0</v>
      </c>
      <c r="R290" s="402">
        <f ca="1">IF((SUM($G265:R265)-$E264)&lt;0,0,IF((SUM($G265:R265)-$E264)&lt;R265,SUM($G265:R265)-$E264,R265))</f>
        <v>0</v>
      </c>
      <c r="S290" s="402">
        <f ca="1">IF((SUM($G265:S265)-$E264)&lt;0,0,IF((SUM($G265:S265)-$E264)&lt;S265,SUM($G265:S265)-$E264,S265))</f>
        <v>0</v>
      </c>
      <c r="T290" s="402">
        <f ca="1">IF((SUM($G265:T265)-$E264)&lt;0,0,IF((SUM($G265:T265)-$E264)&lt;T265,SUM($G265:T265)-$E264,T265))</f>
        <v>0</v>
      </c>
      <c r="U290" s="402">
        <f ca="1">IF((SUM($G265:U265)-$E264)&lt;0,0,IF((SUM($G265:U265)-$E264)&lt;U265,SUM($G265:U265)-$E264,U265))</f>
        <v>0</v>
      </c>
      <c r="V290" s="402">
        <f ca="1">IF((SUM($G265:V265)-$E264)&lt;0,0,IF((SUM($G265:V265)-$E264)&lt;V265,SUM($G265:V265)-$E264,V265))</f>
        <v>0</v>
      </c>
      <c r="W290" s="402">
        <f ca="1">IF((SUM($G265:W265)-$E264)&lt;0,0,IF((SUM($G265:W265)-$E264)&lt;W265,SUM($G265:W265)-$E264,W265))</f>
        <v>0</v>
      </c>
      <c r="X290" s="402">
        <f ca="1">IF((SUM($G265:X265)-$E264)&lt;0,0,IF((SUM($G265:X265)-$E264)&lt;X265,SUM($G265:X265)-$E264,X265))</f>
        <v>0</v>
      </c>
      <c r="Y290" s="402">
        <f ca="1">IF((SUM($G265:Y265)-$E264)&lt;0,0,IF((SUM($G265:Y265)-$E264)&lt;Y265,SUM($G265:Y265)-$E264,Y265))</f>
        <v>0</v>
      </c>
      <c r="Z290" s="402">
        <f ca="1">IF((SUM($G265:Z265)-$E264)&lt;0,0,IF((SUM($G265:Z265)-$E264)&lt;Z265,SUM($G265:Z265)-$E264,Z265))</f>
        <v>0</v>
      </c>
      <c r="AA290" s="402">
        <f ca="1">IF((SUM($G265:AA265)-$E264)&lt;0,0,IF((SUM($G265:AA265)-$E264)&lt;AA265,SUM($G265:AA265)-$E264,AA265))</f>
        <v>0</v>
      </c>
      <c r="AB290" s="402">
        <f ca="1">IF((SUM($G265:AB265)-$E264)&lt;0,0,IF((SUM($G265:AB265)-$E264)&lt;AB265,SUM($G265:AB265)-$E264,AB265))</f>
        <v>0</v>
      </c>
      <c r="AC290" s="402">
        <f ca="1">IF((SUM($G265:AC265)-$E264)&lt;0,0,IF((SUM($G265:AC265)-$E264)&lt;AC265,SUM($G265:AC265)-$E264,AC265))</f>
        <v>0</v>
      </c>
      <c r="AD290" s="402">
        <f ca="1">IF((SUM($G265:AD265)-$E264)&lt;0,0,IF((SUM($G265:AD265)-$E264)&lt;AD265,SUM($G265:AD265)-$E264,AD265))</f>
        <v>0</v>
      </c>
      <c r="AE290" s="402">
        <f ca="1">IF((SUM($G265:AE265)-$E264)&lt;0,0,IF((SUM($G265:AE265)-$E264)&lt;AE265,SUM($G265:AE265)-$E264,AE265))</f>
        <v>0</v>
      </c>
      <c r="AF290" s="402">
        <f ca="1">IF((SUM($G265:AF265)-$E264)&lt;0,0,IF((SUM($G265:AF265)-$E264)&lt;AF265,SUM($G265:AF265)-$E264,AF265))</f>
        <v>0</v>
      </c>
      <c r="AG290" s="402">
        <f ca="1">IF((SUM($G265:AG265)-$E264)&lt;0,0,IF((SUM($G265:AG265)-$E264)&lt;AG265,SUM($G265:AG265)-$E264,AG265))</f>
        <v>0</v>
      </c>
      <c r="AH290" s="402">
        <f ca="1">IF((SUM($G265:AH265)-$E264)&lt;0,0,IF((SUM($G265:AH265)-$E264)&lt;AH265,SUM($G265:AH265)-$E264,AH265))</f>
        <v>0</v>
      </c>
      <c r="AI290" s="402">
        <f ca="1">IF((SUM($G265:AI265)-$E264)&lt;0,0,IF((SUM($G265:AI265)-$E264)&lt;AI265,SUM($G265:AI265)-$E264,AI265))</f>
        <v>0</v>
      </c>
      <c r="AJ290" s="402">
        <f ca="1">IF((SUM($G265:AJ265)-$E264)&lt;0,0,IF((SUM($G265:AJ265)-$E264)&lt;AJ265,SUM($G265:AJ265)-$E264,AJ265))</f>
        <v>0</v>
      </c>
      <c r="AK290" s="402">
        <f ca="1">IF((SUM($G265:AK265)-$E264)&lt;0,0,IF((SUM($G265:AK265)-$E264)&lt;AK265,SUM($G265:AK265)-$E264,AK265))</f>
        <v>0</v>
      </c>
      <c r="AL290" s="402">
        <f ca="1">IF((SUM($G265:AL265)-$E264)&lt;0,0,IF((SUM($G265:AL265)-$E264)&lt;AL265,SUM($G265:AL265)-$E264,AL265))</f>
        <v>0</v>
      </c>
      <c r="AM290" s="402">
        <f ca="1">IF((SUM($G265:AM265)-$E264)&lt;0,0,IF((SUM($G265:AM265)-$E264)&lt;AM265,SUM($G265:AM265)-$E264,AM265))</f>
        <v>0</v>
      </c>
      <c r="AN290" s="402">
        <f ca="1">IF((SUM($G265:AN265)-$E264)&lt;0,0,IF((SUM($G265:AN265)-$E264)&lt;AN265,SUM($G265:AN265)-$E264,AN265))</f>
        <v>0</v>
      </c>
      <c r="AO290" s="402">
        <f ca="1">IF((SUM($G265:AO265)-$E264)&lt;0,0,IF((SUM($G265:AO265)-$E264)&lt;AO265,SUM($G265:AO265)-$E264,AO265))</f>
        <v>19</v>
      </c>
      <c r="AP290" s="402">
        <f ca="1">IF((SUM($G265:AP265)-$E264)&lt;0,0,IF((SUM($G265:AP265)-$E264)&lt;AP265,SUM($G265:AP265)-$E264,AP265))</f>
        <v>28</v>
      </c>
      <c r="AQ290" s="402">
        <f ca="1">IF((SUM($G265:AQ265)-$E264)&lt;0,0,IF((SUM($G265:AQ265)-$E264)&lt;AQ265,SUM($G265:AQ265)-$E264,AQ265))</f>
        <v>31</v>
      </c>
      <c r="AR290" s="402">
        <f ca="1">IF((SUM($G265:AR265)-$E264)&lt;0,0,IF((SUM($G265:AR265)-$E264)&lt;AR265,SUM($G265:AR265)-$E264,AR265))</f>
        <v>30</v>
      </c>
      <c r="AS290" s="402">
        <f ca="1">IF((SUM($G265:AS265)-$E264)&lt;0,0,IF((SUM($G265:AS265)-$E264)&lt;AS265,SUM($G265:AS265)-$E264,AS265))</f>
        <v>31</v>
      </c>
      <c r="AT290" s="402">
        <f ca="1">IF((SUM($G265:AT265)-$E264)&lt;0,0,IF((SUM($G265:AT265)-$E264)&lt;AT265,SUM($G265:AT265)-$E264,AT265))</f>
        <v>30</v>
      </c>
      <c r="AU290" s="402">
        <f ca="1">IF((SUM($G265:AU265)-$E264)&lt;0,0,IF((SUM($G265:AU265)-$E264)&lt;AU265,SUM($G265:AU265)-$E264,AU265))</f>
        <v>31</v>
      </c>
      <c r="AV290" s="402">
        <f ca="1">IF((SUM($G265:AV265)-$E264)&lt;0,0,IF((SUM($G265:AV265)-$E264)&lt;AV265,SUM($G265:AV265)-$E264,AV265))</f>
        <v>31</v>
      </c>
      <c r="AW290" s="402">
        <f ca="1">IF((SUM($G265:AW265)-$E264)&lt;0,0,IF((SUM($G265:AW265)-$E264)&lt;AW265,SUM($G265:AW265)-$E264,AW265))</f>
        <v>30</v>
      </c>
      <c r="AX290" s="402">
        <f ca="1">IF((SUM($G265:AX265)-$E264)&lt;0,0,IF((SUM($G265:AX265)-$E264)&lt;AX265,SUM($G265:AX265)-$E264,AX265))</f>
        <v>31</v>
      </c>
      <c r="AY290" s="402">
        <f ca="1">IF((SUM($G265:AY265)-$E264)&lt;0,0,IF((SUM($G265:AY265)-$E264)&lt;AY265,SUM($G265:AY265)-$E264,AY265))</f>
        <v>30</v>
      </c>
      <c r="AZ290" s="402">
        <f ca="1">IF((SUM($G265:AZ265)-$E264)&lt;0,0,IF((SUM($G265:AZ265)-$E264)&lt;AZ265,SUM($G265:AZ265)-$E264,AZ265))</f>
        <v>31</v>
      </c>
      <c r="BA290" s="402">
        <f ca="1">IF((SUM($G265:BA265)-$E264)&lt;0,0,IF((SUM($G265:BA265)-$E264)&lt;BA265,SUM($G265:BA265)-$E264,BA265))</f>
        <v>31</v>
      </c>
      <c r="BB290" s="402">
        <f ca="1">IF((SUM($G265:BB265)-$E264)&lt;0,0,IF((SUM($G265:BB265)-$E264)&lt;BB265,SUM($G265:BB265)-$E264,BB265))</f>
        <v>28</v>
      </c>
      <c r="BC290" s="402">
        <f ca="1">IF((SUM($G265:BC265)-$E264)&lt;0,0,IF((SUM($G265:BC265)-$E264)&lt;BC265,SUM($G265:BC265)-$E264,BC265))</f>
        <v>31</v>
      </c>
      <c r="BD290" s="402">
        <f ca="1">IF((SUM($G265:BD265)-$E264)&lt;0,0,IF((SUM($G265:BD265)-$E264)&lt;BD265,SUM($G265:BD265)-$E264,BD265))</f>
        <v>30</v>
      </c>
      <c r="BE290" s="402">
        <f ca="1">IF((SUM($G265:BE265)-$E264)&lt;0,0,IF((SUM($G265:BE265)-$E264)&lt;BE265,SUM($G265:BE265)-$E264,BE265))</f>
        <v>31</v>
      </c>
      <c r="BF290" s="402">
        <f ca="1">IF((SUM($G265:BF265)-$E264)&lt;0,0,IF((SUM($G265:BF265)-$E264)&lt;BF265,SUM($G265:BF265)-$E264,BF265))</f>
        <v>30</v>
      </c>
      <c r="BG290" s="402">
        <f ca="1">IF((SUM($G265:BG265)-$E264)&lt;0,0,IF((SUM($G265:BG265)-$E264)&lt;BG265,SUM($G265:BG265)-$E264,BG265))</f>
        <v>31</v>
      </c>
      <c r="BH290" s="402">
        <f ca="1">IF((SUM($G265:BH265)-$E264)&lt;0,0,IF((SUM($G265:BH265)-$E264)&lt;BH265,SUM($G265:BH265)-$E264,BH265))</f>
        <v>31</v>
      </c>
      <c r="BI290" s="402">
        <f ca="1">IF((SUM($G265:BI265)-$E264)&lt;0,0,IF((SUM($G265:BI265)-$E264)&lt;BI265,SUM($G265:BI265)-$E264,BI265))</f>
        <v>30</v>
      </c>
      <c r="BJ290" s="402">
        <f ca="1">IF((SUM($G265:BJ265)-$E264)&lt;0,0,IF((SUM($G265:BJ265)-$E264)&lt;BJ265,SUM($G265:BJ265)-$E264,BJ265))</f>
        <v>31</v>
      </c>
      <c r="BK290" s="402">
        <f ca="1">IF((SUM($G265:BK265)-$E264)&lt;0,0,IF((SUM($G265:BK265)-$E264)&lt;BK265,SUM($G265:BK265)-$E264,BK265))</f>
        <v>30</v>
      </c>
      <c r="BL290" s="402">
        <f ca="1">IF((SUM($G265:BL265)-$E264)&lt;0,0,IF((SUM($G265:BL265)-$E264)&lt;BL265,SUM($G265:BL265)-$E264,BL265))</f>
        <v>31</v>
      </c>
      <c r="BM290" s="402">
        <f ca="1">IF((SUM($G265:BM265)-$E264)&lt;0,0,IF((SUM($G265:BM265)-$E264)&lt;BM265,SUM($G265:BM265)-$E264,BM265))</f>
        <v>31</v>
      </c>
      <c r="BN290" s="402">
        <f ca="1">IF((SUM($G265:BN265)-$E264)&lt;0,0,IF((SUM($G265:BN265)-$E264)&lt;BN265,SUM($G265:BN265)-$E264,BN265))</f>
        <v>29</v>
      </c>
      <c r="BO290" s="402">
        <f ca="1">IF((SUM($G265:BO265)-$E264)&lt;0,0,IF((SUM($G265:BO265)-$E264)&lt;BO265,SUM($G265:BO265)-$E264,BO265))</f>
        <v>31</v>
      </c>
      <c r="BP290" s="402">
        <f ca="1">IF((SUM($G265:BP265)-$E264)&lt;0,0,IF((SUM($G265:BP265)-$E264)&lt;BP265,SUM($G265:BP265)-$E264,BP265))</f>
        <v>30</v>
      </c>
      <c r="BQ290" s="402">
        <f ca="1">IF((SUM($G265:BQ265)-$E264)&lt;0,0,IF((SUM($G265:BQ265)-$E264)&lt;BQ265,SUM($G265:BQ265)-$E264,BQ265))</f>
        <v>31</v>
      </c>
      <c r="BR290" s="402">
        <f ca="1">IF((SUM($G265:BR265)-$E264)&lt;0,0,IF((SUM($G265:BR265)-$E264)&lt;BR265,SUM($G265:BR265)-$E264,BR265))</f>
        <v>30</v>
      </c>
      <c r="BS290" s="402">
        <f ca="1">IF((SUM($G265:BS265)-$E264)&lt;0,0,IF((SUM($G265:BS265)-$E264)&lt;BS265,SUM($G265:BS265)-$E264,BS265))</f>
        <v>31</v>
      </c>
      <c r="BT290" s="402">
        <f ca="1">IF((SUM($G265:BT265)-$E264)&lt;0,0,IF((SUM($G265:BT265)-$E264)&lt;BT265,SUM($G265:BT265)-$E264,BT265))</f>
        <v>31</v>
      </c>
      <c r="BU290" s="402">
        <f ca="1">IF((SUM($G265:BU265)-$E264)&lt;0,0,IF((SUM($G265:BU265)-$E264)&lt;BU265,SUM($G265:BU265)-$E264,BU265))</f>
        <v>30</v>
      </c>
      <c r="BV290" s="402">
        <f ca="1">IF((SUM($G265:BV265)-$E264)&lt;0,0,IF((SUM($G265:BV265)-$E264)&lt;BV265,SUM($G265:BV265)-$E264,BV265))</f>
        <v>31</v>
      </c>
      <c r="BW290" s="402">
        <f ca="1">IF((SUM($G265:BW265)-$E264)&lt;0,0,IF((SUM($G265:BW265)-$E264)&lt;BW265,SUM($G265:BW265)-$E264,BW265))</f>
        <v>30</v>
      </c>
      <c r="BX290" s="402">
        <f ca="1">IF((SUM($G265:BX265)-$E264)&lt;0,0,IF((SUM($G265:BX265)-$E264)&lt;BX265,SUM($G265:BX265)-$E264,BX265))</f>
        <v>31</v>
      </c>
      <c r="BY290" s="402">
        <f ca="1">IF((SUM($G265:BY265)-$E264)&lt;0,0,IF((SUM($G265:BY265)-$E264)&lt;BY265,SUM($G265:BY265)-$E264,BY265))</f>
        <v>31</v>
      </c>
      <c r="BZ290" s="402">
        <f ca="1">IF((SUM($G265:BZ265)-$E264)&lt;0,0,IF((SUM($G265:BZ265)-$E264)&lt;BZ265,SUM($G265:BZ265)-$E264,BZ265))</f>
        <v>28</v>
      </c>
      <c r="CA290" s="402">
        <f ca="1">IF((SUM($G265:CA265)-$E264)&lt;0,0,IF((SUM($G265:CA265)-$E264)&lt;CA265,SUM($G265:CA265)-$E264,CA265))</f>
        <v>31</v>
      </c>
      <c r="CB290" s="402">
        <f ca="1">IF((SUM($G265:CB265)-$E264)&lt;0,0,IF((SUM($G265:CB265)-$E264)&lt;CB265,SUM($G265:CB265)-$E264,CB265))</f>
        <v>30</v>
      </c>
      <c r="CC290" s="402">
        <f ca="1">IF((SUM($G265:CC265)-$E264)&lt;0,0,IF((SUM($G265:CC265)-$E264)&lt;CC265,SUM($G265:CC265)-$E264,CC265))</f>
        <v>31</v>
      </c>
      <c r="CD290" s="402">
        <f ca="1">IF((SUM($G265:CD265)-$E264)&lt;0,0,IF((SUM($G265:CD265)-$E264)&lt;CD265,SUM($G265:CD265)-$E264,CD265))</f>
        <v>30</v>
      </c>
      <c r="CE290" s="402">
        <f ca="1">IF((SUM($G265:CE265)-$E264)&lt;0,0,IF((SUM($G265:CE265)-$E264)&lt;CE265,SUM($G265:CE265)-$E264,CE265))</f>
        <v>31</v>
      </c>
      <c r="CF290" s="402">
        <f ca="1">IF((SUM($G265:CF265)-$E264)&lt;0,0,IF((SUM($G265:CF265)-$E264)&lt;CF265,SUM($G265:CF265)-$E264,CF265))</f>
        <v>31</v>
      </c>
      <c r="CG290" s="402">
        <f ca="1">IF((SUM($G265:CG265)-$E264)&lt;0,0,IF((SUM($G265:CG265)-$E264)&lt;CG265,SUM($G265:CG265)-$E264,CG265))</f>
        <v>30</v>
      </c>
      <c r="CH290" s="402">
        <f ca="1">IF((SUM($G265:CH265)-$E264)&lt;0,0,IF((SUM($G265:CH265)-$E264)&lt;CH265,SUM($G265:CH265)-$E264,CH265))</f>
        <v>31</v>
      </c>
      <c r="CI290" s="402">
        <f ca="1">IF((SUM($G265:CI265)-$E264)&lt;0,0,IF((SUM($G265:CI265)-$E264)&lt;CI265,SUM($G265:CI265)-$E264,CI265))</f>
        <v>30</v>
      </c>
      <c r="CJ290" s="402">
        <f ca="1">IF((SUM($G265:CJ265)-$E264)&lt;0,0,IF((SUM($G265:CJ265)-$E264)&lt;CJ265,SUM($G265:CJ265)-$E264,CJ265))</f>
        <v>31</v>
      </c>
      <c r="CK290" s="402">
        <f ca="1">IF((SUM($G265:CK265)-$E264)&lt;0,0,IF((SUM($G265:CK265)-$E264)&lt;CK265,SUM($G265:CK265)-$E264,CK265))</f>
        <v>31</v>
      </c>
      <c r="CL290" s="402">
        <f ca="1">IF((SUM($G265:CL265)-$E264)&lt;0,0,IF((SUM($G265:CL265)-$E264)&lt;CL265,SUM($G265:CL265)-$E264,CL265))</f>
        <v>28</v>
      </c>
      <c r="CM290" s="402">
        <f ca="1">IF((SUM($G265:CM265)-$E264)&lt;0,0,IF((SUM($G265:CM265)-$E264)&lt;CM265,SUM($G265:CM265)-$E264,CM265))</f>
        <v>31</v>
      </c>
      <c r="CN290" s="402">
        <f ca="1">IF((SUM($G265:CN265)-$E264)&lt;0,0,IF((SUM($G265:CN265)-$E264)&lt;CN265,SUM($G265:CN265)-$E264,CN265))</f>
        <v>30</v>
      </c>
      <c r="CO290" s="402">
        <f ca="1">IF((SUM($G265:CO265)-$E264)&lt;0,0,IF((SUM($G265:CO265)-$E264)&lt;CO265,SUM($G265:CO265)-$E264,CO265))</f>
        <v>31</v>
      </c>
      <c r="CP290" s="402">
        <f ca="1">IF((SUM($G265:CP265)-$E264)&lt;0,0,IF((SUM($G265:CP265)-$E264)&lt;CP265,SUM($G265:CP265)-$E264,CP265))</f>
        <v>30</v>
      </c>
      <c r="CQ290" s="402">
        <f ca="1">IF((SUM($G265:CQ265)-$E264)&lt;0,0,IF((SUM($G265:CQ265)-$E264)&lt;CQ265,SUM($G265:CQ265)-$E264,CQ265))</f>
        <v>31</v>
      </c>
      <c r="CR290" s="402">
        <f ca="1">IF((SUM($G265:CR265)-$E264)&lt;0,0,IF((SUM($G265:CR265)-$E264)&lt;CR265,SUM($G265:CR265)-$E264,CR265))</f>
        <v>31</v>
      </c>
      <c r="CS290" s="402">
        <f ca="1">IF((SUM($G265:CS265)-$E264)&lt;0,0,IF((SUM($G265:CS265)-$E264)&lt;CS265,SUM($G265:CS265)-$E264,CS265))</f>
        <v>30</v>
      </c>
      <c r="CT290" s="402">
        <f ca="1">IF((SUM($G265:CT265)-$E264)&lt;0,0,IF((SUM($G265:CT265)-$E264)&lt;CT265,SUM($G265:CT265)-$E264,CT265))</f>
        <v>31</v>
      </c>
      <c r="CU290" s="402">
        <f ca="1">IF((SUM($G265:CU265)-$E264)&lt;0,0,IF((SUM($G265:CU265)-$E264)&lt;CU265,SUM($G265:CU265)-$E264,CU265))</f>
        <v>30</v>
      </c>
      <c r="CV290" s="402">
        <f ca="1">IF((SUM($G265:CV265)-$E264)&lt;0,0,IF((SUM($G265:CV265)-$E264)&lt;CV265,SUM($G265:CV265)-$E264,CV265))</f>
        <v>31</v>
      </c>
      <c r="CW290" s="402">
        <f ca="1">IF((SUM($G265:CW265)-$E264)&lt;0,0,IF((SUM($G265:CW265)-$E264)&lt;CW265,SUM($G265:CW265)-$E264,CW265))</f>
        <v>31</v>
      </c>
      <c r="CX290" s="402">
        <f ca="1">IF((SUM($G265:CX265)-$E264)&lt;0,0,IF((SUM($G265:CX265)-$E264)&lt;CX265,SUM($G265:CX265)-$E264,CX265))</f>
        <v>28</v>
      </c>
      <c r="CY290" s="402">
        <f ca="1">IF((SUM($G265:CY265)-$E264)&lt;0,0,IF((SUM($G265:CY265)-$E264)&lt;CY265,SUM($G265:CY265)-$E264,CY265))</f>
        <v>31</v>
      </c>
      <c r="CZ290" s="402">
        <f ca="1">IF((SUM($G265:CZ265)-$E264)&lt;0,0,IF((SUM($G265:CZ265)-$E264)&lt;CZ265,SUM($G265:CZ265)-$E264,CZ265))</f>
        <v>30</v>
      </c>
      <c r="DA290" s="402">
        <f ca="1">IF((SUM($G265:DA265)-$E264)&lt;0,0,IF((SUM($G265:DA265)-$E264)&lt;DA265,SUM($G265:DA265)-$E264,DA265))</f>
        <v>31</v>
      </c>
      <c r="DB290" s="402">
        <f ca="1">IF((SUM($G265:DB265)-$E264)&lt;0,0,IF((SUM($G265:DB265)-$E264)&lt;DB265,SUM($G265:DB265)-$E264,DB265))</f>
        <v>30</v>
      </c>
      <c r="DC290" s="402">
        <f ca="1">IF((SUM($G265:DC265)-$E264)&lt;0,0,IF((SUM($G265:DC265)-$E264)&lt;DC265,SUM($G265:DC265)-$E264,DC265))</f>
        <v>31</v>
      </c>
      <c r="DD290" s="402">
        <f ca="1">IF((SUM($G265:DD265)-$E264)&lt;0,0,IF((SUM($G265:DD265)-$E264)&lt;DD265,SUM($G265:DD265)-$E264,DD265))</f>
        <v>31</v>
      </c>
      <c r="DE290" s="402">
        <f ca="1">IF((SUM($G265:DE265)-$E264)&lt;0,0,IF((SUM($G265:DE265)-$E264)&lt;DE265,SUM($G265:DE265)-$E264,DE265))</f>
        <v>30</v>
      </c>
      <c r="DF290" s="402">
        <f ca="1">IF((SUM($G265:DF265)-$E264)&lt;0,0,IF((SUM($G265:DF265)-$E264)&lt;DF265,SUM($G265:DF265)-$E264,DF265))</f>
        <v>31</v>
      </c>
      <c r="DG290" s="402">
        <f ca="1">IF((SUM($G265:DG265)-$E264)&lt;0,0,IF((SUM($G265:DG265)-$E264)&lt;DG265,SUM($G265:DG265)-$E264,DG265))</f>
        <v>30</v>
      </c>
      <c r="DH290" s="402">
        <f ca="1">IF((SUM($G265:DH265)-$E264)&lt;0,0,IF((SUM($G265:DH265)-$E264)&lt;DH265,SUM($G265:DH265)-$E264,DH265))</f>
        <v>31</v>
      </c>
      <c r="DI290" s="402">
        <f ca="1">IF((SUM($G265:DI265)-$E264)&lt;0,0,IF((SUM($G265:DI265)-$E264)&lt;DI265,SUM($G265:DI265)-$E264,DI265))</f>
        <v>31</v>
      </c>
      <c r="DJ290" s="402">
        <f ca="1">IF((SUM($G265:DJ265)-$E264)&lt;0,0,IF((SUM($G265:DJ265)-$E264)&lt;DJ265,SUM($G265:DJ265)-$E264,DJ265))</f>
        <v>29</v>
      </c>
      <c r="DK290" s="402">
        <f ca="1">IF((SUM($G265:DK265)-$E264)&lt;0,0,IF((SUM($G265:DK265)-$E264)&lt;DK265,SUM($G265:DK265)-$E264,DK265))</f>
        <v>31</v>
      </c>
      <c r="DL290" s="402">
        <f ca="1">IF((SUM($G265:DL265)-$E264)&lt;0,0,IF((SUM($G265:DL265)-$E264)&lt;DL265,SUM($G265:DL265)-$E264,DL265))</f>
        <v>30</v>
      </c>
      <c r="DM290" s="402">
        <f ca="1">IF((SUM($G265:DM265)-$E264)&lt;0,0,IF((SUM($G265:DM265)-$E264)&lt;DM265,SUM($G265:DM265)-$E264,DM265))</f>
        <v>31</v>
      </c>
      <c r="DN290" s="402">
        <f ca="1">IF((SUM($G265:DN265)-$E264)&lt;0,0,IF((SUM($G265:DN265)-$E264)&lt;DN265,SUM($G265:DN265)-$E264,DN265))</f>
        <v>30</v>
      </c>
      <c r="DO290" s="402">
        <f ca="1">IF((SUM($G265:DO265)-$E264)&lt;0,0,IF((SUM($G265:DO265)-$E264)&lt;DO265,SUM($G265:DO265)-$E264,DO265))</f>
        <v>31</v>
      </c>
      <c r="DP290" s="402">
        <f ca="1">IF((SUM($G265:DP265)-$E264)&lt;0,0,IF((SUM($G265:DP265)-$E264)&lt;DP265,SUM($G265:DP265)-$E264,DP265))</f>
        <v>31</v>
      </c>
      <c r="DQ290" s="402">
        <f ca="1">IF((SUM($G265:DQ265)-$E264)&lt;0,0,IF((SUM($G265:DQ265)-$E264)&lt;DQ265,SUM($G265:DQ265)-$E264,DQ265))</f>
        <v>30</v>
      </c>
      <c r="DR290" s="402">
        <f ca="1">IF((SUM($G265:DR265)-$E264)&lt;0,0,IF((SUM($G265:DR265)-$E264)&lt;DR265,SUM($G265:DR265)-$E264,DR265))</f>
        <v>31</v>
      </c>
      <c r="DS290" s="402">
        <f ca="1">IF((SUM($G265:DS265)-$E264)&lt;0,0,IF((SUM($G265:DS265)-$E264)&lt;DS265,SUM($G265:DS265)-$E264,DS265))</f>
        <v>30</v>
      </c>
      <c r="DT290" s="402">
        <f ca="1">IF((SUM($G265:DT265)-$E264)&lt;0,0,IF((SUM($G265:DT265)-$E264)&lt;DT265,SUM($G265:DT265)-$E264,DT265))</f>
        <v>31</v>
      </c>
      <c r="DU290" s="402">
        <f ca="1">IF((SUM($G265:DU265)-$E264)&lt;0,0,IF((SUM($G265:DU265)-$E264)&lt;DU265,SUM($G265:DU265)-$E264,DU265))</f>
        <v>31</v>
      </c>
      <c r="DV290" s="402">
        <f ca="1">IF((SUM($G265:DV265)-$E264)&lt;0,0,IF((SUM($G265:DV265)-$E264)&lt;DV265,SUM($G265:DV265)-$E264,DV265))</f>
        <v>28</v>
      </c>
      <c r="DW290" s="402">
        <f ca="1">IF((SUM($G265:DW265)-$E264)&lt;0,0,IF((SUM($G265:DW265)-$E264)&lt;DW265,SUM($G265:DW265)-$E264,DW265))</f>
        <v>31</v>
      </c>
      <c r="DX290" s="402">
        <f ca="1">IF((SUM($G265:DX265)-$E264)&lt;0,0,IF((SUM($G265:DX265)-$E264)&lt;DX265,SUM($G265:DX265)-$E264,DX265))</f>
        <v>30</v>
      </c>
      <c r="DY290" s="402">
        <f ca="1">IF((SUM($G265:DY265)-$E264)&lt;0,0,IF((SUM($G265:DY265)-$E264)&lt;DY265,SUM($G265:DY265)-$E264,DY265))</f>
        <v>31</v>
      </c>
      <c r="DZ290" s="402">
        <f ca="1">IF((SUM($G265:DZ265)-$E264)&lt;0,0,IF((SUM($G265:DZ265)-$E264)&lt;DZ265,SUM($G265:DZ265)-$E264,DZ265))</f>
        <v>30</v>
      </c>
      <c r="EA290" s="402">
        <f ca="1">IF((SUM($G265:EA265)-$E264)&lt;0,0,IF((SUM($G265:EA265)-$E264)&lt;EA265,SUM($G265:EA265)-$E264,EA265))</f>
        <v>31</v>
      </c>
      <c r="EB290" s="402">
        <f ca="1">IF((SUM($G265:EB265)-$E264)&lt;0,0,IF((SUM($G265:EB265)-$E264)&lt;EB265,SUM($G265:EB265)-$E264,EB265))</f>
        <v>31</v>
      </c>
      <c r="EC290" s="402">
        <f ca="1">IF((SUM($G265:EC265)-$E264)&lt;0,0,IF((SUM($G265:EC265)-$E264)&lt;EC265,SUM($G265:EC265)-$E264,EC265))</f>
        <v>30</v>
      </c>
      <c r="ED290" s="402">
        <f ca="1">IF((SUM($G265:ED265)-$E264)&lt;0,0,IF((SUM($G265:ED265)-$E264)&lt;ED265,SUM($G265:ED265)-$E264,ED265))</f>
        <v>31</v>
      </c>
      <c r="EE290" s="402">
        <f ca="1">IF((SUM($G265:EE265)-$E264)&lt;0,0,IF((SUM($G265:EE265)-$E264)&lt;EE265,SUM($G265:EE265)-$E264,EE265))</f>
        <v>30</v>
      </c>
      <c r="EF290" s="402">
        <f ca="1">IF((SUM($G265:EF265)-$E264)&lt;0,0,IF((SUM($G265:EF265)-$E264)&lt;EF265,SUM($G265:EF265)-$E264,EF265))</f>
        <v>31</v>
      </c>
      <c r="EG290" s="402">
        <f ca="1">IF((SUM($G265:EG265)-$E264)&lt;0,0,IF((SUM($G265:EG265)-$E264)&lt;EG265,SUM($G265:EG265)-$E264,EG265))</f>
        <v>31</v>
      </c>
      <c r="EH290" s="402">
        <f ca="1">IF((SUM($G265:EH265)-$E264)&lt;0,0,IF((SUM($G265:EH265)-$E264)&lt;EH265,SUM($G265:EH265)-$E264,EH265))</f>
        <v>28</v>
      </c>
      <c r="EI290" s="402">
        <f ca="1">IF((SUM($G265:EI265)-$E264)&lt;0,0,IF((SUM($G265:EI265)-$E264)&lt;EI265,SUM($G265:EI265)-$E264,EI265))</f>
        <v>31</v>
      </c>
    </row>
    <row r="291" spans="1:141" hidden="1" outlineLevel="2">
      <c r="A291" s="332"/>
      <c r="B291" s="313"/>
      <c r="D291" s="305" t="s">
        <v>670</v>
      </c>
      <c r="E291" s="403">
        <f ca="1">MIN(G291:EI291)</f>
        <v>46023</v>
      </c>
      <c r="F291" s="404">
        <f ca="1">MAX(G291:EI291)</f>
        <v>46023</v>
      </c>
      <c r="G291" s="403" t="str">
        <f ca="1">IF(G289=0,"",IF(SUM($G289:G289)&gt;=1,OFFSET(G$228,-1,0),""))</f>
        <v/>
      </c>
      <c r="H291" s="403" t="str">
        <f ca="1">IF(SUM($G291:G291)&gt;=1,"",IF(H289=0,"",IF(SUM($G289:H289)&gt;=1,OFFSET(H$228,-1,0),"")))</f>
        <v/>
      </c>
      <c r="I291" s="403" t="str">
        <f ca="1">IF(SUM($G291:H291)&gt;=1,"",IF(I289=0,"",IF(SUM($G289:I289)&gt;=1,OFFSET(I$228,-1,0),"")))</f>
        <v/>
      </c>
      <c r="J291" s="403" t="str">
        <f ca="1">IF(SUM($G291:I291)&gt;=1,"",IF(J289=0,"",IF(SUM($G289:J289)&gt;=1,OFFSET(J$228,-1,0),"")))</f>
        <v/>
      </c>
      <c r="K291" s="403" t="str">
        <f ca="1">IF(SUM($G291:J291)&gt;=1,"",IF(K289=0,"",IF(SUM($G289:K289)&gt;=1,OFFSET(K$228,-1,0),"")))</f>
        <v/>
      </c>
      <c r="L291" s="403" t="str">
        <f ca="1">IF(SUM($G291:K291)&gt;=1,"",IF(L289=0,"",IF(SUM($G289:L289)&gt;=1,OFFSET(L$228,-1,0),"")))</f>
        <v/>
      </c>
      <c r="M291" s="403" t="str">
        <f ca="1">IF(SUM($G291:L291)&gt;=1,"",IF(M289=0,"",IF(SUM($G289:M289)&gt;=1,OFFSET(M$228,-1,0),"")))</f>
        <v/>
      </c>
      <c r="N291" s="403" t="str">
        <f ca="1">IF(SUM($G291:M291)&gt;=1,"",IF(N289=0,"",IF(SUM($G289:N289)&gt;=1,OFFSET(N$228,-1,0),"")))</f>
        <v/>
      </c>
      <c r="O291" s="403" t="str">
        <f ca="1">IF(SUM($G291:N291)&gt;=1,"",IF(O289=0,"",IF(SUM($G289:O289)&gt;=1,OFFSET(O$228,-1,0),"")))</f>
        <v/>
      </c>
      <c r="P291" s="403" t="str">
        <f ca="1">IF(SUM($G291:O291)&gt;=1,"",IF(P289=0,"",IF(SUM($G289:P289)&gt;=1,OFFSET(P$228,-1,0),"")))</f>
        <v/>
      </c>
      <c r="Q291" s="403" t="str">
        <f ca="1">IF(SUM($G291:P291)&gt;=1,"",IF(Q289=0,"",IF(SUM($G289:Q289)&gt;=1,OFFSET(Q$228,-1,0),"")))</f>
        <v/>
      </c>
      <c r="R291" s="403" t="str">
        <f ca="1">IF(SUM($G291:Q291)&gt;=1,"",IF(R289=0,"",IF(SUM($G289:R289)&gt;=1,OFFSET(R$228,-1,0),"")))</f>
        <v/>
      </c>
      <c r="S291" s="403" t="str">
        <f ca="1">IF(SUM($G291:R291)&gt;=1,"",IF(S289=0,"",IF(SUM($G289:S289)&gt;=1,OFFSET(S$228,-1,0),"")))</f>
        <v/>
      </c>
      <c r="T291" s="403" t="str">
        <f ca="1">IF(SUM($G291:S291)&gt;=1,"",IF(T289=0,"",IF(SUM($G289:T289)&gt;=1,OFFSET(T$228,-1,0),"")))</f>
        <v/>
      </c>
      <c r="U291" s="403" t="str">
        <f ca="1">IF(SUM($G291:T291)&gt;=1,"",IF(U289=0,"",IF(SUM($G289:U289)&gt;=1,OFFSET(U$228,-1,0),"")))</f>
        <v/>
      </c>
      <c r="V291" s="403" t="str">
        <f ca="1">IF(SUM($G291:U291)&gt;=1,"",IF(V289=0,"",IF(SUM($G289:V289)&gt;=1,OFFSET(V$228,-1,0),"")))</f>
        <v/>
      </c>
      <c r="W291" s="403" t="str">
        <f ca="1">IF(SUM($G291:V291)&gt;=1,"",IF(W289=0,"",IF(SUM($G289:W289)&gt;=1,OFFSET(W$228,-1,0),"")))</f>
        <v/>
      </c>
      <c r="X291" s="403" t="str">
        <f ca="1">IF(SUM($G291:W291)&gt;=1,"",IF(X289=0,"",IF(SUM($G289:X289)&gt;=1,OFFSET(X$228,-1,0),"")))</f>
        <v/>
      </c>
      <c r="Y291" s="403" t="str">
        <f ca="1">IF(SUM($G291:X291)&gt;=1,"",IF(Y289=0,"",IF(SUM($G289:Y289)&gt;=1,OFFSET(Y$228,-1,0),"")))</f>
        <v/>
      </c>
      <c r="Z291" s="403" t="str">
        <f ca="1">IF(SUM($G291:Y291)&gt;=1,"",IF(Z289=0,"",IF(SUM($G289:Z289)&gt;=1,OFFSET(Z$228,-1,0),"")))</f>
        <v/>
      </c>
      <c r="AA291" s="403" t="str">
        <f ca="1">IF(SUM($G291:Z291)&gt;=1,"",IF(AA289=0,"",IF(SUM($G289:AA289)&gt;=1,OFFSET(AA$228,-1,0),"")))</f>
        <v/>
      </c>
      <c r="AB291" s="403" t="str">
        <f ca="1">IF(SUM($G291:AA291)&gt;=1,"",IF(AB289=0,"",IF(SUM($G289:AB289)&gt;=1,OFFSET(AB$228,-1,0),"")))</f>
        <v/>
      </c>
      <c r="AC291" s="403" t="str">
        <f ca="1">IF(SUM($G291:AB291)&gt;=1,"",IF(AC289=0,"",IF(SUM($G289:AC289)&gt;=1,OFFSET(AC$228,-1,0),"")))</f>
        <v/>
      </c>
      <c r="AD291" s="403" t="str">
        <f ca="1">IF(SUM($G291:AC291)&gt;=1,"",IF(AD289=0,"",IF(SUM($G289:AD289)&gt;=1,OFFSET(AD$228,-1,0),"")))</f>
        <v/>
      </c>
      <c r="AE291" s="403" t="str">
        <f ca="1">IF(SUM($G291:AD291)&gt;=1,"",IF(AE289=0,"",IF(SUM($G289:AE289)&gt;=1,OFFSET(AE$228,-1,0),"")))</f>
        <v/>
      </c>
      <c r="AF291" s="403" t="str">
        <f ca="1">IF(SUM($G291:AE291)&gt;=1,"",IF(AF289=0,"",IF(SUM($G289:AF289)&gt;=1,OFFSET(AF$228,-1,0),"")))</f>
        <v/>
      </c>
      <c r="AG291" s="403" t="str">
        <f ca="1">IF(SUM($G291:AF291)&gt;=1,"",IF(AG289=0,"",IF(SUM($G289:AG289)&gt;=1,OFFSET(AG$228,-1,0),"")))</f>
        <v/>
      </c>
      <c r="AH291" s="403" t="str">
        <f ca="1">IF(SUM($G291:AG291)&gt;=1,"",IF(AH289=0,"",IF(SUM($G289:AH289)&gt;=1,OFFSET(AH$228,-1,0),"")))</f>
        <v/>
      </c>
      <c r="AI291" s="403" t="str">
        <f ca="1">IF(SUM($G291:AH291)&gt;=1,"",IF(AI289=0,"",IF(SUM($G289:AI289)&gt;=1,OFFSET(AI$228,-1,0),"")))</f>
        <v/>
      </c>
      <c r="AJ291" s="403" t="str">
        <f ca="1">IF(SUM($G291:AI291)&gt;=1,"",IF(AJ289=0,"",IF(SUM($G289:AJ289)&gt;=1,OFFSET(AJ$228,-1,0),"")))</f>
        <v/>
      </c>
      <c r="AK291" s="403" t="str">
        <f ca="1">IF(SUM($G291:AJ291)&gt;=1,"",IF(AK289=0,"",IF(SUM($G289:AK289)&gt;=1,OFFSET(AK$228,-1,0),"")))</f>
        <v/>
      </c>
      <c r="AL291" s="403" t="str">
        <f ca="1">IF(SUM($G291:AK291)&gt;=1,"",IF(AL289=0,"",IF(SUM($G289:AL289)&gt;=1,OFFSET(AL$228,-1,0),"")))</f>
        <v/>
      </c>
      <c r="AM291" s="403" t="str">
        <f ca="1">IF(SUM($G291:AL291)&gt;=1,"",IF(AM289=0,"",IF(SUM($G289:AM289)&gt;=1,OFFSET(AM$228,-1,0),"")))</f>
        <v/>
      </c>
      <c r="AN291" s="403" t="str">
        <f ca="1">IF(SUM($G291:AM291)&gt;=1,"",IF(AN289=0,"",IF(SUM($G289:AN289)&gt;=1,OFFSET(AN$228,-1,0),"")))</f>
        <v/>
      </c>
      <c r="AO291" s="403">
        <f ca="1">IF(SUM($G291:AN291)&gt;=1,"",IF(AO289=0,"",IF(SUM($G289:AO289)&gt;=1,OFFSET(AO$228,-1,0),"")))</f>
        <v>46023</v>
      </c>
      <c r="AP291" s="403" t="str">
        <f ca="1">IF(SUM($G291:AO291)&gt;=1,"",IF(AP289=0,"",IF(SUM($G289:AP289)&gt;=1,OFFSET(AP$228,-1,0),"")))</f>
        <v/>
      </c>
      <c r="AQ291" s="403" t="str">
        <f ca="1">IF(SUM($G291:AP291)&gt;=1,"",IF(AQ289=0,"",IF(SUM($G289:AQ289)&gt;=1,OFFSET(AQ$228,-1,0),"")))</f>
        <v/>
      </c>
      <c r="AR291" s="403" t="str">
        <f ca="1">IF(SUM($G291:AQ291)&gt;=1,"",IF(AR289=0,"",IF(SUM($G289:AR289)&gt;=1,OFFSET(AR$228,-1,0),"")))</f>
        <v/>
      </c>
      <c r="AS291" s="403" t="str">
        <f ca="1">IF(SUM($G291:AR291)&gt;=1,"",IF(AS289=0,"",IF(SUM($G289:AS289)&gt;=1,OFFSET(AS$228,-1,0),"")))</f>
        <v/>
      </c>
      <c r="AT291" s="403" t="str">
        <f ca="1">IF(SUM($G291:AS291)&gt;=1,"",IF(AT289=0,"",IF(SUM($G289:AT289)&gt;=1,OFFSET(AT$228,-1,0),"")))</f>
        <v/>
      </c>
      <c r="AU291" s="403" t="str">
        <f ca="1">IF(SUM($G291:AT291)&gt;=1,"",IF(AU289=0,"",IF(SUM($G289:AU289)&gt;=1,OFFSET(AU$228,-1,0),"")))</f>
        <v/>
      </c>
      <c r="AV291" s="403" t="str">
        <f ca="1">IF(SUM($G291:AU291)&gt;=1,"",IF(AV289=0,"",IF(SUM($G289:AV289)&gt;=1,OFFSET(AV$228,-1,0),"")))</f>
        <v/>
      </c>
      <c r="AW291" s="403" t="str">
        <f ca="1">IF(SUM($G291:AV291)&gt;=1,"",IF(AW289=0,"",IF(SUM($G289:AW289)&gt;=1,OFFSET(AW$228,-1,0),"")))</f>
        <v/>
      </c>
      <c r="AX291" s="403" t="str">
        <f ca="1">IF(SUM($G291:AW291)&gt;=1,"",IF(AX289=0,"",IF(SUM($G289:AX289)&gt;=1,OFFSET(AX$228,-1,0),"")))</f>
        <v/>
      </c>
      <c r="AY291" s="403" t="str">
        <f ca="1">IF(SUM($G291:AX291)&gt;=1,"",IF(AY289=0,"",IF(SUM($G289:AY289)&gt;=1,OFFSET(AY$228,-1,0),"")))</f>
        <v/>
      </c>
      <c r="AZ291" s="403" t="str">
        <f ca="1">IF(SUM($G291:AY291)&gt;=1,"",IF(AZ289=0,"",IF(SUM($G289:AZ289)&gt;=1,OFFSET(AZ$228,-1,0),"")))</f>
        <v/>
      </c>
      <c r="BA291" s="403" t="str">
        <f ca="1">IF(SUM($G291:AZ291)&gt;=1,"",IF(BA289=0,"",IF(SUM($G289:BA289)&gt;=1,OFFSET(BA$228,-1,0),"")))</f>
        <v/>
      </c>
      <c r="BB291" s="403" t="str">
        <f ca="1">IF(SUM($G291:BA291)&gt;=1,"",IF(BB289=0,"",IF(SUM($G289:BB289)&gt;=1,OFFSET(BB$228,-1,0),"")))</f>
        <v/>
      </c>
      <c r="BC291" s="403" t="str">
        <f ca="1">IF(SUM($G291:BB291)&gt;=1,"",IF(BC289=0,"",IF(SUM($G289:BC289)&gt;=1,OFFSET(BC$228,-1,0),"")))</f>
        <v/>
      </c>
      <c r="BD291" s="403" t="str">
        <f ca="1">IF(SUM($G291:BC291)&gt;=1,"",IF(BD289=0,"",IF(SUM($G289:BD289)&gt;=1,OFFSET(BD$228,-1,0),"")))</f>
        <v/>
      </c>
      <c r="BE291" s="403" t="str">
        <f ca="1">IF(SUM($G291:BD291)&gt;=1,"",IF(BE289=0,"",IF(SUM($G289:BE289)&gt;=1,OFFSET(BE$228,-1,0),"")))</f>
        <v/>
      </c>
      <c r="BF291" s="403" t="str">
        <f ca="1">IF(SUM($G291:BE291)&gt;=1,"",IF(BF289=0,"",IF(SUM($G289:BF289)&gt;=1,OFFSET(BF$228,-1,0),"")))</f>
        <v/>
      </c>
      <c r="BG291" s="403" t="str">
        <f ca="1">IF(SUM($G291:BF291)&gt;=1,"",IF(BG289=0,"",IF(SUM($G289:BG289)&gt;=1,OFFSET(BG$228,-1,0),"")))</f>
        <v/>
      </c>
      <c r="BH291" s="403" t="str">
        <f ca="1">IF(SUM($G291:BG291)&gt;=1,"",IF(BH289=0,"",IF(SUM($G289:BH289)&gt;=1,OFFSET(BH$228,-1,0),"")))</f>
        <v/>
      </c>
      <c r="BI291" s="403" t="str">
        <f ca="1">IF(SUM($G291:BH291)&gt;=1,"",IF(BI289=0,"",IF(SUM($G289:BI289)&gt;=1,OFFSET(BI$228,-1,0),"")))</f>
        <v/>
      </c>
      <c r="BJ291" s="403" t="str">
        <f ca="1">IF(SUM($G291:BI291)&gt;=1,"",IF(BJ289=0,"",IF(SUM($G289:BJ289)&gt;=1,OFFSET(BJ$228,-1,0),"")))</f>
        <v/>
      </c>
      <c r="BK291" s="403" t="str">
        <f ca="1">IF(SUM($G291:BJ291)&gt;=1,"",IF(BK289=0,"",IF(SUM($G289:BK289)&gt;=1,OFFSET(BK$228,-1,0),"")))</f>
        <v/>
      </c>
      <c r="BL291" s="403" t="str">
        <f ca="1">IF(SUM($G291:BK291)&gt;=1,"",IF(BL289=0,"",IF(SUM($G289:BL289)&gt;=1,OFFSET(BL$228,-1,0),"")))</f>
        <v/>
      </c>
      <c r="BM291" s="403" t="str">
        <f ca="1">IF(SUM($G291:BL291)&gt;=1,"",IF(BM289=0,"",IF(SUM($G289:BM289)&gt;=1,OFFSET(BM$228,-1,0),"")))</f>
        <v/>
      </c>
      <c r="BN291" s="403" t="str">
        <f ca="1">IF(SUM($G291:BM291)&gt;=1,"",IF(BN289=0,"",IF(SUM($G289:BN289)&gt;=1,OFFSET(BN$228,-1,0),"")))</f>
        <v/>
      </c>
      <c r="BO291" s="403" t="str">
        <f ca="1">IF(SUM($G291:BN291)&gt;=1,"",IF(BO289=0,"",IF(SUM($G289:BO289)&gt;=1,OFFSET(BO$228,-1,0),"")))</f>
        <v/>
      </c>
      <c r="BP291" s="403" t="str">
        <f ca="1">IF(SUM($G291:BO291)&gt;=1,"",IF(BP289=0,"",IF(SUM($G289:BP289)&gt;=1,OFFSET(BP$228,-1,0),"")))</f>
        <v/>
      </c>
      <c r="BQ291" s="403" t="str">
        <f ca="1">IF(SUM($G291:BP291)&gt;=1,"",IF(BQ289=0,"",IF(SUM($G289:BQ289)&gt;=1,OFFSET(BQ$228,-1,0),"")))</f>
        <v/>
      </c>
      <c r="BR291" s="403" t="str">
        <f ca="1">IF(SUM($G291:BQ291)&gt;=1,"",IF(BR289=0,"",IF(SUM($G289:BR289)&gt;=1,OFFSET(BR$228,-1,0),"")))</f>
        <v/>
      </c>
      <c r="BS291" s="403" t="str">
        <f ca="1">IF(SUM($G291:BR291)&gt;=1,"",IF(BS289=0,"",IF(SUM($G289:BS289)&gt;=1,OFFSET(BS$228,-1,0),"")))</f>
        <v/>
      </c>
      <c r="BT291" s="403" t="str">
        <f ca="1">IF(SUM($G291:BS291)&gt;=1,"",IF(BT289=0,"",IF(SUM($G289:BT289)&gt;=1,OFFSET(BT$228,-1,0),"")))</f>
        <v/>
      </c>
      <c r="BU291" s="403" t="str">
        <f ca="1">IF(SUM($G291:BT291)&gt;=1,"",IF(BU289=0,"",IF(SUM($G289:BU289)&gt;=1,OFFSET(BU$228,-1,0),"")))</f>
        <v/>
      </c>
      <c r="BV291" s="403" t="str">
        <f ca="1">IF(SUM($G291:BU291)&gt;=1,"",IF(BV289=0,"",IF(SUM($G289:BV289)&gt;=1,OFFSET(BV$228,-1,0),"")))</f>
        <v/>
      </c>
      <c r="BW291" s="403" t="str">
        <f ca="1">IF(SUM($G291:BV291)&gt;=1,"",IF(BW289=0,"",IF(SUM($G289:BW289)&gt;=1,OFFSET(BW$228,-1,0),"")))</f>
        <v/>
      </c>
      <c r="BX291" s="403" t="str">
        <f ca="1">IF(SUM($G291:BW291)&gt;=1,"",IF(BX289=0,"",IF(SUM($G289:BX289)&gt;=1,OFFSET(BX$228,-1,0),"")))</f>
        <v/>
      </c>
      <c r="BY291" s="403" t="str">
        <f ca="1">IF(SUM($G291:BX291)&gt;=1,"",IF(BY289=0,"",IF(SUM($G289:BY289)&gt;=1,OFFSET(BY$228,-1,0),"")))</f>
        <v/>
      </c>
      <c r="BZ291" s="403" t="str">
        <f ca="1">IF(SUM($G291:BY291)&gt;=1,"",IF(BZ289=0,"",IF(SUM($G289:BZ289)&gt;=1,OFFSET(BZ$228,-1,0),"")))</f>
        <v/>
      </c>
      <c r="CA291" s="403" t="str">
        <f ca="1">IF(SUM($G291:BZ291)&gt;=1,"",IF(CA289=0,"",IF(SUM($G289:CA289)&gt;=1,OFFSET(CA$228,-1,0),"")))</f>
        <v/>
      </c>
      <c r="CB291" s="403" t="str">
        <f ca="1">IF(SUM($G291:CA291)&gt;=1,"",IF(CB289=0,"",IF(SUM($G289:CB289)&gt;=1,OFFSET(CB$228,-1,0),"")))</f>
        <v/>
      </c>
      <c r="CC291" s="403" t="str">
        <f ca="1">IF(SUM($G291:CB291)&gt;=1,"",IF(CC289=0,"",IF(SUM($G289:CC289)&gt;=1,OFFSET(CC$228,-1,0),"")))</f>
        <v/>
      </c>
      <c r="CD291" s="403" t="str">
        <f ca="1">IF(SUM($G291:CC291)&gt;=1,"",IF(CD289=0,"",IF(SUM($G289:CD289)&gt;=1,OFFSET(CD$228,-1,0),"")))</f>
        <v/>
      </c>
      <c r="CE291" s="403" t="str">
        <f ca="1">IF(SUM($G291:CD291)&gt;=1,"",IF(CE289=0,"",IF(SUM($G289:CE289)&gt;=1,OFFSET(CE$228,-1,0),"")))</f>
        <v/>
      </c>
      <c r="CF291" s="403" t="str">
        <f ca="1">IF(SUM($G291:CE291)&gt;=1,"",IF(CF289=0,"",IF(SUM($G289:CF289)&gt;=1,OFFSET(CF$228,-1,0),"")))</f>
        <v/>
      </c>
      <c r="CG291" s="403" t="str">
        <f ca="1">IF(SUM($G291:CF291)&gt;=1,"",IF(CG289=0,"",IF(SUM($G289:CG289)&gt;=1,OFFSET(CG$228,-1,0),"")))</f>
        <v/>
      </c>
      <c r="CH291" s="403" t="str">
        <f ca="1">IF(SUM($G291:CG291)&gt;=1,"",IF(CH289=0,"",IF(SUM($G289:CH289)&gt;=1,OFFSET(CH$228,-1,0),"")))</f>
        <v/>
      </c>
      <c r="CI291" s="403" t="str">
        <f ca="1">IF(SUM($G291:CH291)&gt;=1,"",IF(CI289=0,"",IF(SUM($G289:CI289)&gt;=1,OFFSET(CI$228,-1,0),"")))</f>
        <v/>
      </c>
      <c r="CJ291" s="403" t="str">
        <f ca="1">IF(SUM($G291:CI291)&gt;=1,"",IF(CJ289=0,"",IF(SUM($G289:CJ289)&gt;=1,OFFSET(CJ$228,-1,0),"")))</f>
        <v/>
      </c>
      <c r="CK291" s="403" t="str">
        <f ca="1">IF(SUM($G291:CJ291)&gt;=1,"",IF(CK289=0,"",IF(SUM($G289:CK289)&gt;=1,OFFSET(CK$228,-1,0),"")))</f>
        <v/>
      </c>
      <c r="CL291" s="403" t="str">
        <f ca="1">IF(SUM($G291:CK291)&gt;=1,"",IF(CL289=0,"",IF(SUM($G289:CL289)&gt;=1,OFFSET(CL$228,-1,0),"")))</f>
        <v/>
      </c>
      <c r="CM291" s="403" t="str">
        <f ca="1">IF(SUM($G291:CL291)&gt;=1,"",IF(CM289=0,"",IF(SUM($G289:CM289)&gt;=1,OFFSET(CM$228,-1,0),"")))</f>
        <v/>
      </c>
      <c r="CN291" s="403" t="str">
        <f ca="1">IF(SUM($G291:CM291)&gt;=1,"",IF(CN289=0,"",IF(SUM($G289:CN289)&gt;=1,OFFSET(CN$228,-1,0),"")))</f>
        <v/>
      </c>
      <c r="CO291" s="403" t="str">
        <f ca="1">IF(SUM($G291:CN291)&gt;=1,"",IF(CO289=0,"",IF(SUM($G289:CO289)&gt;=1,OFFSET(CO$228,-1,0),"")))</f>
        <v/>
      </c>
      <c r="CP291" s="403" t="str">
        <f ca="1">IF(SUM($G291:CO291)&gt;=1,"",IF(CP289=0,"",IF(SUM($G289:CP289)&gt;=1,OFFSET(CP$228,-1,0),"")))</f>
        <v/>
      </c>
      <c r="CQ291" s="403" t="str">
        <f ca="1">IF(SUM($G291:CP291)&gt;=1,"",IF(CQ289=0,"",IF(SUM($G289:CQ289)&gt;=1,OFFSET(CQ$228,-1,0),"")))</f>
        <v/>
      </c>
      <c r="CR291" s="403" t="str">
        <f ca="1">IF(SUM($G291:CQ291)&gt;=1,"",IF(CR289=0,"",IF(SUM($G289:CR289)&gt;=1,OFFSET(CR$228,-1,0),"")))</f>
        <v/>
      </c>
      <c r="CS291" s="403" t="str">
        <f ca="1">IF(SUM($G291:CR291)&gt;=1,"",IF(CS289=0,"",IF(SUM($G289:CS289)&gt;=1,OFFSET(CS$228,-1,0),"")))</f>
        <v/>
      </c>
      <c r="CT291" s="403" t="str">
        <f ca="1">IF(SUM($G291:CS291)&gt;=1,"",IF(CT289=0,"",IF(SUM($G289:CT289)&gt;=1,OFFSET(CT$228,-1,0),"")))</f>
        <v/>
      </c>
      <c r="CU291" s="403" t="str">
        <f ca="1">IF(SUM($G291:CT291)&gt;=1,"",IF(CU289=0,"",IF(SUM($G289:CU289)&gt;=1,OFFSET(CU$228,-1,0),"")))</f>
        <v/>
      </c>
      <c r="CV291" s="403" t="str">
        <f ca="1">IF(SUM($G291:CU291)&gt;=1,"",IF(CV289=0,"",IF(SUM($G289:CV289)&gt;=1,OFFSET(CV$228,-1,0),"")))</f>
        <v/>
      </c>
      <c r="CW291" s="403" t="str">
        <f ca="1">IF(SUM($G291:CV291)&gt;=1,"",IF(CW289=0,"",IF(SUM($G289:CW289)&gt;=1,OFFSET(CW$228,-1,0),"")))</f>
        <v/>
      </c>
      <c r="CX291" s="403" t="str">
        <f ca="1">IF(SUM($G291:CW291)&gt;=1,"",IF(CX289=0,"",IF(SUM($G289:CX289)&gt;=1,OFFSET(CX$228,-1,0),"")))</f>
        <v/>
      </c>
      <c r="CY291" s="403" t="str">
        <f ca="1">IF(SUM($G291:CX291)&gt;=1,"",IF(CY289=0,"",IF(SUM($G289:CY289)&gt;=1,OFFSET(CY$228,-1,0),"")))</f>
        <v/>
      </c>
      <c r="CZ291" s="403" t="str">
        <f ca="1">IF(SUM($G291:CY291)&gt;=1,"",IF(CZ289=0,"",IF(SUM($G289:CZ289)&gt;=1,OFFSET(CZ$228,-1,0),"")))</f>
        <v/>
      </c>
      <c r="DA291" s="403" t="str">
        <f ca="1">IF(SUM($G291:CZ291)&gt;=1,"",IF(DA289=0,"",IF(SUM($G289:DA289)&gt;=1,OFFSET(DA$228,-1,0),"")))</f>
        <v/>
      </c>
      <c r="DB291" s="403" t="str">
        <f ca="1">IF(SUM($G291:DA291)&gt;=1,"",IF(DB289=0,"",IF(SUM($G289:DB289)&gt;=1,OFFSET(DB$228,-1,0),"")))</f>
        <v/>
      </c>
      <c r="DC291" s="403" t="str">
        <f ca="1">IF(SUM($G291:DB291)&gt;=1,"",IF(DC289=0,"",IF(SUM($G289:DC289)&gt;=1,OFFSET(DC$228,-1,0),"")))</f>
        <v/>
      </c>
      <c r="DD291" s="403" t="str">
        <f ca="1">IF(SUM($G291:DC291)&gt;=1,"",IF(DD289=0,"",IF(SUM($G289:DD289)&gt;=1,OFFSET(DD$228,-1,0),"")))</f>
        <v/>
      </c>
      <c r="DE291" s="403" t="str">
        <f ca="1">IF(SUM($G291:DD291)&gt;=1,"",IF(DE289=0,"",IF(SUM($G289:DE289)&gt;=1,OFFSET(DE$228,-1,0),"")))</f>
        <v/>
      </c>
      <c r="DF291" s="403" t="str">
        <f ca="1">IF(SUM($G291:DE291)&gt;=1,"",IF(DF289=0,"",IF(SUM($G289:DF289)&gt;=1,OFFSET(DF$228,-1,0),"")))</f>
        <v/>
      </c>
      <c r="DG291" s="403" t="str">
        <f ca="1">IF(SUM($G291:DF291)&gt;=1,"",IF(DG289=0,"",IF(SUM($G289:DG289)&gt;=1,OFFSET(DG$228,-1,0),"")))</f>
        <v/>
      </c>
      <c r="DH291" s="403" t="str">
        <f ca="1">IF(SUM($G291:DG291)&gt;=1,"",IF(DH289=0,"",IF(SUM($G289:DH289)&gt;=1,OFFSET(DH$228,-1,0),"")))</f>
        <v/>
      </c>
      <c r="DI291" s="403" t="str">
        <f ca="1">IF(SUM($G291:DH291)&gt;=1,"",IF(DI289=0,"",IF(SUM($G289:DI289)&gt;=1,OFFSET(DI$228,-1,0),"")))</f>
        <v/>
      </c>
      <c r="DJ291" s="403" t="str">
        <f ca="1">IF(SUM($G291:DI291)&gt;=1,"",IF(DJ289=0,"",IF(SUM($G289:DJ289)&gt;=1,OFFSET(DJ$228,-1,0),"")))</f>
        <v/>
      </c>
      <c r="DK291" s="403" t="str">
        <f ca="1">IF(SUM($G291:DJ291)&gt;=1,"",IF(DK289=0,"",IF(SUM($G289:DK289)&gt;=1,OFFSET(DK$228,-1,0),"")))</f>
        <v/>
      </c>
      <c r="DL291" s="403" t="str">
        <f ca="1">IF(SUM($G291:DK291)&gt;=1,"",IF(DL289=0,"",IF(SUM($G289:DL289)&gt;=1,OFFSET(DL$228,-1,0),"")))</f>
        <v/>
      </c>
      <c r="DM291" s="403" t="str">
        <f ca="1">IF(SUM($G291:DL291)&gt;=1,"",IF(DM289=0,"",IF(SUM($G289:DM289)&gt;=1,OFFSET(DM$228,-1,0),"")))</f>
        <v/>
      </c>
      <c r="DN291" s="403" t="str">
        <f ca="1">IF(SUM($G291:DM291)&gt;=1,"",IF(DN289=0,"",IF(SUM($G289:DN289)&gt;=1,OFFSET(DN$228,-1,0),"")))</f>
        <v/>
      </c>
      <c r="DO291" s="403" t="str">
        <f ca="1">IF(SUM($G291:DN291)&gt;=1,"",IF(DO289=0,"",IF(SUM($G289:DO289)&gt;=1,OFFSET(DO$228,-1,0),"")))</f>
        <v/>
      </c>
      <c r="DP291" s="403" t="str">
        <f ca="1">IF(SUM($G291:DO291)&gt;=1,"",IF(DP289=0,"",IF(SUM($G289:DP289)&gt;=1,OFFSET(DP$228,-1,0),"")))</f>
        <v/>
      </c>
      <c r="DQ291" s="403" t="str">
        <f ca="1">IF(SUM($G291:DP291)&gt;=1,"",IF(DQ289=0,"",IF(SUM($G289:DQ289)&gt;=1,OFFSET(DQ$228,-1,0),"")))</f>
        <v/>
      </c>
      <c r="DR291" s="403" t="str">
        <f ca="1">IF(SUM($G291:DQ291)&gt;=1,"",IF(DR289=0,"",IF(SUM($G289:DR289)&gt;=1,OFFSET(DR$228,-1,0),"")))</f>
        <v/>
      </c>
      <c r="DS291" s="403" t="str">
        <f ca="1">IF(SUM($G291:DR291)&gt;=1,"",IF(DS289=0,"",IF(SUM($G289:DS289)&gt;=1,OFFSET(DS$228,-1,0),"")))</f>
        <v/>
      </c>
      <c r="DT291" s="403" t="str">
        <f ca="1">IF(SUM($G291:DS291)&gt;=1,"",IF(DT289=0,"",IF(SUM($G289:DT289)&gt;=1,OFFSET(DT$228,-1,0),"")))</f>
        <v/>
      </c>
      <c r="DU291" s="403" t="str">
        <f ca="1">IF(SUM($G291:DT291)&gt;=1,"",IF(DU289=0,"",IF(SUM($G289:DU289)&gt;=1,OFFSET(DU$228,-1,0),"")))</f>
        <v/>
      </c>
      <c r="DV291" s="403" t="str">
        <f ca="1">IF(SUM($G291:DU291)&gt;=1,"",IF(DV289=0,"",IF(SUM($G289:DV289)&gt;=1,OFFSET(DV$228,-1,0),"")))</f>
        <v/>
      </c>
      <c r="DW291" s="403" t="str">
        <f ca="1">IF(SUM($G291:DV291)&gt;=1,"",IF(DW289=0,"",IF(SUM($G289:DW289)&gt;=1,OFFSET(DW$228,-1,0),"")))</f>
        <v/>
      </c>
      <c r="DX291" s="403" t="str">
        <f ca="1">IF(SUM($G291:DW291)&gt;=1,"",IF(DX289=0,"",IF(SUM($G289:DX289)&gt;=1,OFFSET(DX$228,-1,0),"")))</f>
        <v/>
      </c>
      <c r="DY291" s="403" t="str">
        <f ca="1">IF(SUM($G291:DX291)&gt;=1,"",IF(DY289=0,"",IF(SUM($G289:DY289)&gt;=1,OFFSET(DY$228,-1,0),"")))</f>
        <v/>
      </c>
      <c r="DZ291" s="403" t="str">
        <f ca="1">IF(SUM($G291:DY291)&gt;=1,"",IF(DZ289=0,"",IF(SUM($G289:DZ289)&gt;=1,OFFSET(DZ$228,-1,0),"")))</f>
        <v/>
      </c>
      <c r="EA291" s="403" t="str">
        <f ca="1">IF(SUM($G291:DZ291)&gt;=1,"",IF(EA289=0,"",IF(SUM($G289:EA289)&gt;=1,OFFSET(EA$228,-1,0),"")))</f>
        <v/>
      </c>
      <c r="EB291" s="403" t="str">
        <f ca="1">IF(SUM($G291:EA291)&gt;=1,"",IF(EB289=0,"",IF(SUM($G289:EB289)&gt;=1,OFFSET(EB$228,-1,0),"")))</f>
        <v/>
      </c>
      <c r="EC291" s="403" t="str">
        <f ca="1">IF(SUM($G291:EB291)&gt;=1,"",IF(EC289=0,"",IF(SUM($G289:EC289)&gt;=1,OFFSET(EC$228,-1,0),"")))</f>
        <v/>
      </c>
      <c r="ED291" s="403" t="str">
        <f ca="1">IF(SUM($G291:EC291)&gt;=1,"",IF(ED289=0,"",IF(SUM($G289:ED289)&gt;=1,OFFSET(ED$228,-1,0),"")))</f>
        <v/>
      </c>
      <c r="EE291" s="403" t="str">
        <f ca="1">IF(SUM($G291:ED291)&gt;=1,"",IF(EE289=0,"",IF(SUM($G289:EE289)&gt;=1,OFFSET(EE$228,-1,0),"")))</f>
        <v/>
      </c>
      <c r="EF291" s="403" t="str">
        <f ca="1">IF(SUM($G291:EE291)&gt;=1,"",IF(EF289=0,"",IF(SUM($G289:EF289)&gt;=1,OFFSET(EF$228,-1,0),"")))</f>
        <v/>
      </c>
      <c r="EG291" s="403" t="str">
        <f ca="1">IF(SUM($G291:EF291)&gt;=1,"",IF(EG289=0,"",IF(SUM($G289:EG289)&gt;=1,OFFSET(EG$228,-1,0),"")))</f>
        <v/>
      </c>
      <c r="EH291" s="403" t="str">
        <f ca="1">IF(SUM($G291:EG291)&gt;=1,"",IF(EH289=0,"",IF(SUM($G289:EH289)&gt;=1,OFFSET(EH$228,-1,0),"")))</f>
        <v/>
      </c>
      <c r="EI291" s="403" t="str">
        <f ca="1">IF(SUM($G291:EH291)&gt;=1,"",IF(EI289=0,"",IF(SUM($G289:EI289)&gt;=1,OFFSET(EI$228,-1,0),"")))</f>
        <v/>
      </c>
    </row>
    <row r="292" spans="1:141" hidden="1" outlineLevel="2">
      <c r="A292" s="332"/>
      <c r="B292" s="313"/>
      <c r="D292" s="305" t="s">
        <v>671</v>
      </c>
      <c r="E292" s="1002">
        <f ca="1">IF(E289=0,"",MIN(G292:EI292))</f>
        <v>46035</v>
      </c>
      <c r="F292" s="1003"/>
      <c r="G292" s="403" t="str">
        <f>IF(G289=0,"",IF(G289=G$3,G291,G$5+H$5-G293-1))</f>
        <v/>
      </c>
      <c r="H292" s="403" t="str">
        <f ca="1">IF(H289=0,"",IF(H289=H$3,H291,H$5+I$5-H293-1))</f>
        <v/>
      </c>
      <c r="I292" s="403" t="str">
        <f t="shared" ref="I292:BT292" ca="1" si="494">IF(I289=0,"",IF(I289=I$3,I291,I$5+J$5-I293-1))</f>
        <v/>
      </c>
      <c r="J292" s="403" t="str">
        <f t="shared" ca="1" si="494"/>
        <v/>
      </c>
      <c r="K292" s="403" t="str">
        <f t="shared" ca="1" si="494"/>
        <v/>
      </c>
      <c r="L292" s="403" t="str">
        <f t="shared" ca="1" si="494"/>
        <v/>
      </c>
      <c r="M292" s="403" t="str">
        <f t="shared" ca="1" si="494"/>
        <v/>
      </c>
      <c r="N292" s="403" t="str">
        <f t="shared" ca="1" si="494"/>
        <v/>
      </c>
      <c r="O292" s="403" t="str">
        <f t="shared" ca="1" si="494"/>
        <v/>
      </c>
      <c r="P292" s="403" t="str">
        <f t="shared" ca="1" si="494"/>
        <v/>
      </c>
      <c r="Q292" s="403" t="str">
        <f t="shared" ca="1" si="494"/>
        <v/>
      </c>
      <c r="R292" s="403" t="str">
        <f t="shared" ca="1" si="494"/>
        <v/>
      </c>
      <c r="S292" s="403" t="str">
        <f t="shared" ca="1" si="494"/>
        <v/>
      </c>
      <c r="T292" s="403" t="str">
        <f t="shared" ca="1" si="494"/>
        <v/>
      </c>
      <c r="U292" s="403" t="str">
        <f t="shared" ca="1" si="494"/>
        <v/>
      </c>
      <c r="V292" s="403" t="str">
        <f t="shared" ca="1" si="494"/>
        <v/>
      </c>
      <c r="W292" s="403" t="str">
        <f t="shared" ca="1" si="494"/>
        <v/>
      </c>
      <c r="X292" s="403" t="str">
        <f t="shared" ca="1" si="494"/>
        <v/>
      </c>
      <c r="Y292" s="403" t="str">
        <f t="shared" ca="1" si="494"/>
        <v/>
      </c>
      <c r="Z292" s="403" t="str">
        <f t="shared" ca="1" si="494"/>
        <v/>
      </c>
      <c r="AA292" s="403" t="str">
        <f t="shared" ca="1" si="494"/>
        <v/>
      </c>
      <c r="AB292" s="403" t="str">
        <f t="shared" ca="1" si="494"/>
        <v/>
      </c>
      <c r="AC292" s="403" t="str">
        <f t="shared" ca="1" si="494"/>
        <v/>
      </c>
      <c r="AD292" s="403" t="str">
        <f t="shared" ca="1" si="494"/>
        <v/>
      </c>
      <c r="AE292" s="403" t="str">
        <f t="shared" ca="1" si="494"/>
        <v/>
      </c>
      <c r="AF292" s="403" t="str">
        <f t="shared" ca="1" si="494"/>
        <v/>
      </c>
      <c r="AG292" s="403" t="str">
        <f t="shared" ca="1" si="494"/>
        <v/>
      </c>
      <c r="AH292" s="403" t="str">
        <f t="shared" ca="1" si="494"/>
        <v/>
      </c>
      <c r="AI292" s="403" t="str">
        <f t="shared" ca="1" si="494"/>
        <v/>
      </c>
      <c r="AJ292" s="403" t="str">
        <f t="shared" ca="1" si="494"/>
        <v/>
      </c>
      <c r="AK292" s="403" t="str">
        <f t="shared" ca="1" si="494"/>
        <v/>
      </c>
      <c r="AL292" s="403" t="str">
        <f t="shared" ca="1" si="494"/>
        <v/>
      </c>
      <c r="AM292" s="403" t="str">
        <f t="shared" ca="1" si="494"/>
        <v/>
      </c>
      <c r="AN292" s="403" t="str">
        <f t="shared" ca="1" si="494"/>
        <v/>
      </c>
      <c r="AO292" s="403">
        <f t="shared" ca="1" si="494"/>
        <v>46035</v>
      </c>
      <c r="AP292" s="403" t="str">
        <f t="shared" ca="1" si="494"/>
        <v/>
      </c>
      <c r="AQ292" s="403">
        <f t="shared" ca="1" si="494"/>
        <v>46087</v>
      </c>
      <c r="AR292" s="403" t="str">
        <f t="shared" ca="1" si="494"/>
        <v/>
      </c>
      <c r="AS292" s="403" t="str">
        <f t="shared" ca="1" si="494"/>
        <v/>
      </c>
      <c r="AT292" s="403" t="str">
        <f t="shared" ca="1" si="494"/>
        <v/>
      </c>
      <c r="AU292" s="403" t="str">
        <f t="shared" ca="1" si="494"/>
        <v/>
      </c>
      <c r="AV292" s="403" t="str">
        <f t="shared" ca="1" si="494"/>
        <v/>
      </c>
      <c r="AW292" s="403" t="str">
        <f t="shared" ca="1" si="494"/>
        <v/>
      </c>
      <c r="AX292" s="403" t="str">
        <f t="shared" ca="1" si="494"/>
        <v/>
      </c>
      <c r="AY292" s="403" t="str">
        <f t="shared" ca="1" si="494"/>
        <v/>
      </c>
      <c r="AZ292" s="403" t="str">
        <f t="shared" ca="1" si="494"/>
        <v/>
      </c>
      <c r="BA292" s="403" t="str">
        <f t="shared" ca="1" si="494"/>
        <v/>
      </c>
      <c r="BB292" s="403" t="str">
        <f t="shared" ca="1" si="494"/>
        <v/>
      </c>
      <c r="BC292" s="403" t="str">
        <f t="shared" ca="1" si="494"/>
        <v/>
      </c>
      <c r="BD292" s="403" t="str">
        <f t="shared" ca="1" si="494"/>
        <v/>
      </c>
      <c r="BE292" s="403" t="str">
        <f t="shared" ca="1" si="494"/>
        <v/>
      </c>
      <c r="BF292" s="403" t="str">
        <f t="shared" ca="1" si="494"/>
        <v/>
      </c>
      <c r="BG292" s="403" t="str">
        <f t="shared" ca="1" si="494"/>
        <v/>
      </c>
      <c r="BH292" s="403" t="str">
        <f t="shared" ca="1" si="494"/>
        <v/>
      </c>
      <c r="BI292" s="403" t="str">
        <f t="shared" ca="1" si="494"/>
        <v/>
      </c>
      <c r="BJ292" s="403" t="str">
        <f t="shared" ca="1" si="494"/>
        <v/>
      </c>
      <c r="BK292" s="403" t="str">
        <f t="shared" ca="1" si="494"/>
        <v/>
      </c>
      <c r="BL292" s="403" t="str">
        <f t="shared" ca="1" si="494"/>
        <v/>
      </c>
      <c r="BM292" s="403" t="str">
        <f t="shared" ca="1" si="494"/>
        <v/>
      </c>
      <c r="BN292" s="403" t="str">
        <f t="shared" ca="1" si="494"/>
        <v/>
      </c>
      <c r="BO292" s="403" t="str">
        <f t="shared" ca="1" si="494"/>
        <v/>
      </c>
      <c r="BP292" s="403" t="str">
        <f t="shared" ca="1" si="494"/>
        <v/>
      </c>
      <c r="BQ292" s="403" t="str">
        <f t="shared" ca="1" si="494"/>
        <v/>
      </c>
      <c r="BR292" s="403" t="str">
        <f t="shared" ca="1" si="494"/>
        <v/>
      </c>
      <c r="BS292" s="403" t="str">
        <f t="shared" ca="1" si="494"/>
        <v/>
      </c>
      <c r="BT292" s="403" t="str">
        <f t="shared" ca="1" si="494"/>
        <v/>
      </c>
      <c r="BU292" s="403" t="str">
        <f t="shared" ref="BU292:EF292" ca="1" si="495">IF(BU289=0,"",IF(BU289=BU$3,BU291,BU$5+BV$5-BU293-1))</f>
        <v/>
      </c>
      <c r="BV292" s="403" t="str">
        <f t="shared" ca="1" si="495"/>
        <v/>
      </c>
      <c r="BW292" s="403" t="str">
        <f t="shared" ca="1" si="495"/>
        <v/>
      </c>
      <c r="BX292" s="403" t="str">
        <f t="shared" ca="1" si="495"/>
        <v/>
      </c>
      <c r="BY292" s="403" t="str">
        <f t="shared" ca="1" si="495"/>
        <v/>
      </c>
      <c r="BZ292" s="403" t="str">
        <f t="shared" ca="1" si="495"/>
        <v/>
      </c>
      <c r="CA292" s="403" t="str">
        <f t="shared" ca="1" si="495"/>
        <v/>
      </c>
      <c r="CB292" s="403" t="str">
        <f t="shared" ca="1" si="495"/>
        <v/>
      </c>
      <c r="CC292" s="403" t="str">
        <f t="shared" ca="1" si="495"/>
        <v/>
      </c>
      <c r="CD292" s="403" t="str">
        <f t="shared" ca="1" si="495"/>
        <v/>
      </c>
      <c r="CE292" s="403" t="str">
        <f t="shared" ca="1" si="495"/>
        <v/>
      </c>
      <c r="CF292" s="403" t="str">
        <f t="shared" ca="1" si="495"/>
        <v/>
      </c>
      <c r="CG292" s="403" t="str">
        <f t="shared" ca="1" si="495"/>
        <v/>
      </c>
      <c r="CH292" s="403" t="str">
        <f t="shared" ca="1" si="495"/>
        <v/>
      </c>
      <c r="CI292" s="403" t="str">
        <f t="shared" ca="1" si="495"/>
        <v/>
      </c>
      <c r="CJ292" s="403" t="str">
        <f t="shared" ca="1" si="495"/>
        <v/>
      </c>
      <c r="CK292" s="403" t="str">
        <f t="shared" ca="1" si="495"/>
        <v/>
      </c>
      <c r="CL292" s="403" t="str">
        <f t="shared" ca="1" si="495"/>
        <v/>
      </c>
      <c r="CM292" s="403" t="str">
        <f t="shared" ca="1" si="495"/>
        <v/>
      </c>
      <c r="CN292" s="403" t="str">
        <f t="shared" ca="1" si="495"/>
        <v/>
      </c>
      <c r="CO292" s="403" t="str">
        <f t="shared" ca="1" si="495"/>
        <v/>
      </c>
      <c r="CP292" s="403" t="str">
        <f t="shared" ca="1" si="495"/>
        <v/>
      </c>
      <c r="CQ292" s="403" t="str">
        <f t="shared" ca="1" si="495"/>
        <v/>
      </c>
      <c r="CR292" s="403" t="str">
        <f t="shared" ca="1" si="495"/>
        <v/>
      </c>
      <c r="CS292" s="403" t="str">
        <f t="shared" ca="1" si="495"/>
        <v/>
      </c>
      <c r="CT292" s="403" t="str">
        <f t="shared" ca="1" si="495"/>
        <v/>
      </c>
      <c r="CU292" s="403" t="str">
        <f t="shared" ca="1" si="495"/>
        <v/>
      </c>
      <c r="CV292" s="403" t="str">
        <f t="shared" ca="1" si="495"/>
        <v/>
      </c>
      <c r="CW292" s="403" t="str">
        <f t="shared" ca="1" si="495"/>
        <v/>
      </c>
      <c r="CX292" s="403" t="str">
        <f t="shared" ca="1" si="495"/>
        <v/>
      </c>
      <c r="CY292" s="403" t="str">
        <f t="shared" ca="1" si="495"/>
        <v/>
      </c>
      <c r="CZ292" s="403" t="str">
        <f t="shared" ca="1" si="495"/>
        <v/>
      </c>
      <c r="DA292" s="403" t="str">
        <f t="shared" ca="1" si="495"/>
        <v/>
      </c>
      <c r="DB292" s="403" t="str">
        <f t="shared" ca="1" si="495"/>
        <v/>
      </c>
      <c r="DC292" s="403" t="str">
        <f t="shared" ca="1" si="495"/>
        <v/>
      </c>
      <c r="DD292" s="403" t="str">
        <f t="shared" ca="1" si="495"/>
        <v/>
      </c>
      <c r="DE292" s="403" t="str">
        <f t="shared" ca="1" si="495"/>
        <v/>
      </c>
      <c r="DF292" s="403" t="str">
        <f t="shared" ca="1" si="495"/>
        <v/>
      </c>
      <c r="DG292" s="403" t="str">
        <f t="shared" ca="1" si="495"/>
        <v/>
      </c>
      <c r="DH292" s="403" t="str">
        <f t="shared" ca="1" si="495"/>
        <v/>
      </c>
      <c r="DI292" s="403" t="str">
        <f t="shared" ca="1" si="495"/>
        <v/>
      </c>
      <c r="DJ292" s="403" t="str">
        <f t="shared" ca="1" si="495"/>
        <v/>
      </c>
      <c r="DK292" s="403" t="str">
        <f t="shared" ca="1" si="495"/>
        <v/>
      </c>
      <c r="DL292" s="403" t="str">
        <f t="shared" ca="1" si="495"/>
        <v/>
      </c>
      <c r="DM292" s="403" t="str">
        <f t="shared" ca="1" si="495"/>
        <v/>
      </c>
      <c r="DN292" s="403" t="str">
        <f t="shared" ca="1" si="495"/>
        <v/>
      </c>
      <c r="DO292" s="403" t="str">
        <f t="shared" ca="1" si="495"/>
        <v/>
      </c>
      <c r="DP292" s="403" t="str">
        <f t="shared" ca="1" si="495"/>
        <v/>
      </c>
      <c r="DQ292" s="403" t="str">
        <f t="shared" ca="1" si="495"/>
        <v/>
      </c>
      <c r="DR292" s="403" t="str">
        <f t="shared" ca="1" si="495"/>
        <v/>
      </c>
      <c r="DS292" s="403" t="str">
        <f t="shared" ca="1" si="495"/>
        <v/>
      </c>
      <c r="DT292" s="403" t="str">
        <f t="shared" ca="1" si="495"/>
        <v/>
      </c>
      <c r="DU292" s="403" t="str">
        <f t="shared" ca="1" si="495"/>
        <v/>
      </c>
      <c r="DV292" s="403" t="str">
        <f t="shared" ca="1" si="495"/>
        <v/>
      </c>
      <c r="DW292" s="403" t="str">
        <f t="shared" ca="1" si="495"/>
        <v/>
      </c>
      <c r="DX292" s="403" t="str">
        <f t="shared" ca="1" si="495"/>
        <v/>
      </c>
      <c r="DY292" s="403" t="str">
        <f t="shared" ca="1" si="495"/>
        <v/>
      </c>
      <c r="DZ292" s="403" t="str">
        <f t="shared" ca="1" si="495"/>
        <v/>
      </c>
      <c r="EA292" s="403" t="str">
        <f t="shared" ca="1" si="495"/>
        <v/>
      </c>
      <c r="EB292" s="403" t="str">
        <f t="shared" ca="1" si="495"/>
        <v/>
      </c>
      <c r="EC292" s="403" t="str">
        <f t="shared" ca="1" si="495"/>
        <v/>
      </c>
      <c r="ED292" s="403" t="str">
        <f t="shared" ca="1" si="495"/>
        <v/>
      </c>
      <c r="EE292" s="403" t="str">
        <f t="shared" ca="1" si="495"/>
        <v/>
      </c>
      <c r="EF292" s="403" t="str">
        <f t="shared" ca="1" si="495"/>
        <v/>
      </c>
      <c r="EG292" s="403" t="str">
        <f t="shared" ref="EG292:EI292" ca="1" si="496">IF(EG289=0,"",IF(EG289=EG$3,EG291,EG$5+EH$5-EG293-1))</f>
        <v/>
      </c>
      <c r="EH292" s="403" t="str">
        <f t="shared" ca="1" si="496"/>
        <v/>
      </c>
      <c r="EI292" s="403" t="str">
        <f t="shared" ca="1" si="496"/>
        <v/>
      </c>
    </row>
    <row r="293" spans="1:141" hidden="1" outlineLevel="2">
      <c r="A293" s="332"/>
      <c r="B293" s="313"/>
      <c r="D293" s="305" t="s">
        <v>672</v>
      </c>
      <c r="E293" s="1002">
        <f ca="1">IF(E289=0,"",MAX(G293:EI293))</f>
        <v>46107</v>
      </c>
      <c r="F293" s="1003"/>
      <c r="G293" s="403">
        <f ca="1">IF(SUM(G289:$EI289)=0,"",IF(G$227="","",G$227+G289-1))</f>
        <v>44985</v>
      </c>
      <c r="H293" s="403">
        <f ca="1">IF(SUM(H289:$EI289)=0,"",IF(H$227="","",H$227+H289-1))</f>
        <v>45016</v>
      </c>
      <c r="I293" s="403">
        <f ca="1">IF(SUM(I289:$EI289)=0,"",IF(I$227="","",I$227+I289-1))</f>
        <v>45046</v>
      </c>
      <c r="J293" s="403">
        <f ca="1">IF(SUM(J289:$EI289)=0,"",IF(J$227="","",J$227+J289-1))</f>
        <v>45077</v>
      </c>
      <c r="K293" s="403">
        <f ca="1">IF(SUM(K289:$EI289)=0,"",IF(K$227="","",K$227+K289-1))</f>
        <v>45107</v>
      </c>
      <c r="L293" s="403">
        <f ca="1">IF(SUM(L289:$EI289)=0,"",IF(L$227="","",L$227+L289-1))</f>
        <v>45138</v>
      </c>
      <c r="M293" s="403">
        <f ca="1">IF(SUM(M289:$EI289)=0,"",IF(M$227="","",M$227+M289-1))</f>
        <v>45169</v>
      </c>
      <c r="N293" s="403">
        <f ca="1">IF(SUM(N289:$EI289)=0,"",IF(N$227="","",N$227+N289-1))</f>
        <v>45199</v>
      </c>
      <c r="O293" s="403">
        <f ca="1">IF(SUM(O289:$EI289)=0,"",IF(O$227="","",O$227+O289-1))</f>
        <v>45230</v>
      </c>
      <c r="P293" s="403">
        <f ca="1">IF(SUM(P289:$EI289)=0,"",IF(P$227="","",P$227+P289-1))</f>
        <v>45260</v>
      </c>
      <c r="Q293" s="403">
        <f ca="1">IF(SUM(Q289:$EI289)=0,"",IF(Q$227="","",Q$227+Q289-1))</f>
        <v>45291</v>
      </c>
      <c r="R293" s="403">
        <f ca="1">IF(SUM(R289:$EI289)=0,"",IF(R$227="","",R$227+R289-1))</f>
        <v>45322</v>
      </c>
      <c r="S293" s="403">
        <f ca="1">IF(SUM(S289:$EI289)=0,"",IF(S$227="","",S$227+S289-1))</f>
        <v>45351</v>
      </c>
      <c r="T293" s="403">
        <f ca="1">IF(SUM(T289:$EI289)=0,"",IF(T$227="","",T$227+T289-1))</f>
        <v>45382</v>
      </c>
      <c r="U293" s="403">
        <f ca="1">IF(SUM(U289:$EI289)=0,"",IF(U$227="","",U$227+U289-1))</f>
        <v>45412</v>
      </c>
      <c r="V293" s="403">
        <f ca="1">IF(SUM(V289:$EI289)=0,"",IF(V$227="","",V$227+V289-1))</f>
        <v>45443</v>
      </c>
      <c r="W293" s="403">
        <f ca="1">IF(SUM(W289:$EI289)=0,"",IF(W$227="","",W$227+W289-1))</f>
        <v>45473</v>
      </c>
      <c r="X293" s="403">
        <f ca="1">IF(SUM(X289:$EI289)=0,"",IF(X$227="","",X$227+X289-1))</f>
        <v>45504</v>
      </c>
      <c r="Y293" s="403">
        <f ca="1">IF(SUM(Y289:$EI289)=0,"",IF(Y$227="","",Y$227+Y289-1))</f>
        <v>45535</v>
      </c>
      <c r="Z293" s="403">
        <f ca="1">IF(SUM(Z289:$EI289)=0,"",IF(Z$227="","",Z$227+Z289-1))</f>
        <v>45565</v>
      </c>
      <c r="AA293" s="403">
        <f ca="1">IF(SUM(AA289:$EI289)=0,"",IF(AA$227="","",AA$227+AA289-1))</f>
        <v>45596</v>
      </c>
      <c r="AB293" s="403">
        <f ca="1">IF(SUM(AB289:$EI289)=0,"",IF(AB$227="","",AB$227+AB289-1))</f>
        <v>45626</v>
      </c>
      <c r="AC293" s="403">
        <f ca="1">IF(SUM(AC289:$EI289)=0,"",IF(AC$227="","",AC$227+AC289-1))</f>
        <v>45657</v>
      </c>
      <c r="AD293" s="403">
        <f ca="1">IF(SUM(AD289:$EI289)=0,"",IF(AD$227="","",AD$227+AD289-1))</f>
        <v>45688</v>
      </c>
      <c r="AE293" s="403">
        <f ca="1">IF(SUM(AE289:$EI289)=0,"",IF(AE$227="","",AE$227+AE289-1))</f>
        <v>45716</v>
      </c>
      <c r="AF293" s="403">
        <f ca="1">IF(SUM(AF289:$EI289)=0,"",IF(AF$227="","",AF$227+AF289-1))</f>
        <v>45747</v>
      </c>
      <c r="AG293" s="403">
        <f ca="1">IF(SUM(AG289:$EI289)=0,"",IF(AG$227="","",AG$227+AG289-1))</f>
        <v>45777</v>
      </c>
      <c r="AH293" s="403">
        <f ca="1">IF(SUM(AH289:$EI289)=0,"",IF(AH$227="","",AH$227+AH289-1))</f>
        <v>45808</v>
      </c>
      <c r="AI293" s="403">
        <f ca="1">IF(SUM(AI289:$EI289)=0,"",IF(AI$227="","",AI$227+AI289-1))</f>
        <v>45838</v>
      </c>
      <c r="AJ293" s="403">
        <f ca="1">IF(SUM(AJ289:$EI289)=0,"",IF(AJ$227="","",AJ$227+AJ289-1))</f>
        <v>45869</v>
      </c>
      <c r="AK293" s="403">
        <f ca="1">IF(SUM(AK289:$EI289)=0,"",IF(AK$227="","",AK$227+AK289-1))</f>
        <v>45900</v>
      </c>
      <c r="AL293" s="403">
        <f ca="1">IF(SUM(AL289:$EI289)=0,"",IF(AL$227="","",AL$227+AL289-1))</f>
        <v>45930</v>
      </c>
      <c r="AM293" s="403">
        <f ca="1">IF(SUM(AM289:$EI289)=0,"",IF(AM$227="","",AM$227+AM289-1))</f>
        <v>45961</v>
      </c>
      <c r="AN293" s="403">
        <f ca="1">IF(SUM(AN289:$EI289)=0,"",IF(AN$227="","",AN$227+AN289-1))</f>
        <v>45991</v>
      </c>
      <c r="AO293" s="403">
        <f ca="1">IF(SUM(AO289:$EI289)=0,"",IF(AO$227="","",AO$227+AO289-1))</f>
        <v>46041</v>
      </c>
      <c r="AP293" s="403">
        <f ca="1">IF(SUM(AP289:$EI289)=0,"",IF(AP$227="","",AP$227+AP289-1))</f>
        <v>46081</v>
      </c>
      <c r="AQ293" s="403">
        <f ca="1">IF(SUM(AQ289:$EI289)=0,"",IF(AQ$227="","",AQ$227+AQ289-1))</f>
        <v>46107</v>
      </c>
      <c r="AR293" s="403" t="str">
        <f ca="1">IF(SUM(AR289:$EI289)=0,"",IF(AR$227="","",AR$227+AR289-1))</f>
        <v/>
      </c>
      <c r="AS293" s="403" t="str">
        <f ca="1">IF(SUM(AS289:$EI289)=0,"",IF(AS$227="","",AS$227+AS289-1))</f>
        <v/>
      </c>
      <c r="AT293" s="403" t="str">
        <f ca="1">IF(SUM(AT289:$EI289)=0,"",IF(AT$227="","",AT$227+AT289-1))</f>
        <v/>
      </c>
      <c r="AU293" s="403" t="str">
        <f ca="1">IF(SUM(AU289:$EI289)=0,"",IF(AU$227="","",AU$227+AU289-1))</f>
        <v/>
      </c>
      <c r="AV293" s="403" t="str">
        <f ca="1">IF(SUM(AV289:$EI289)=0,"",IF(AV$227="","",AV$227+AV289-1))</f>
        <v/>
      </c>
      <c r="AW293" s="403" t="str">
        <f ca="1">IF(SUM(AW289:$EI289)=0,"",IF(AW$227="","",AW$227+AW289-1))</f>
        <v/>
      </c>
      <c r="AX293" s="403" t="str">
        <f ca="1">IF(SUM(AX289:$EI289)=0,"",IF(AX$227="","",AX$227+AX289-1))</f>
        <v/>
      </c>
      <c r="AY293" s="403" t="str">
        <f ca="1">IF(SUM(AY289:$EI289)=0,"",IF(AY$227="","",AY$227+AY289-1))</f>
        <v/>
      </c>
      <c r="AZ293" s="403" t="str">
        <f ca="1">IF(SUM(AZ289:$EI289)=0,"",IF(AZ$227="","",AZ$227+AZ289-1))</f>
        <v/>
      </c>
      <c r="BA293" s="403" t="str">
        <f ca="1">IF(SUM(BA289:$EI289)=0,"",IF(BA$227="","",BA$227+BA289-1))</f>
        <v/>
      </c>
      <c r="BB293" s="403" t="str">
        <f ca="1">IF(SUM(BB289:$EI289)=0,"",IF(BB$227="","",BB$227+BB289-1))</f>
        <v/>
      </c>
      <c r="BC293" s="403" t="str">
        <f ca="1">IF(SUM(BC289:$EI289)=0,"",IF(BC$227="","",BC$227+BC289-1))</f>
        <v/>
      </c>
      <c r="BD293" s="403" t="str">
        <f ca="1">IF(SUM(BD289:$EI289)=0,"",IF(BD$227="","",BD$227+BD289-1))</f>
        <v/>
      </c>
      <c r="BE293" s="403" t="str">
        <f ca="1">IF(SUM(BE289:$EI289)=0,"",IF(BE$227="","",BE$227+BE289-1))</f>
        <v/>
      </c>
      <c r="BF293" s="403" t="str">
        <f ca="1">IF(SUM(BF289:$EI289)=0,"",IF(BF$227="","",BF$227+BF289-1))</f>
        <v/>
      </c>
      <c r="BG293" s="403" t="str">
        <f ca="1">IF(SUM(BG289:$EI289)=0,"",IF(BG$227="","",BG$227+BG289-1))</f>
        <v/>
      </c>
      <c r="BH293" s="403" t="str">
        <f ca="1">IF(SUM(BH289:$EI289)=0,"",IF(BH$227="","",BH$227+BH289-1))</f>
        <v/>
      </c>
      <c r="BI293" s="403" t="str">
        <f ca="1">IF(SUM(BI289:$EI289)=0,"",IF(BI$227="","",BI$227+BI289-1))</f>
        <v/>
      </c>
      <c r="BJ293" s="403" t="str">
        <f ca="1">IF(SUM(BJ289:$EI289)=0,"",IF(BJ$227="","",BJ$227+BJ289-1))</f>
        <v/>
      </c>
      <c r="BK293" s="403" t="str">
        <f ca="1">IF(SUM(BK289:$EI289)=0,"",IF(BK$227="","",BK$227+BK289-1))</f>
        <v/>
      </c>
      <c r="BL293" s="403" t="str">
        <f ca="1">IF(SUM(BL289:$EI289)=0,"",IF(BL$227="","",BL$227+BL289-1))</f>
        <v/>
      </c>
      <c r="BM293" s="403" t="str">
        <f ca="1">IF(SUM(BM289:$EI289)=0,"",IF(BM$227="","",BM$227+BM289-1))</f>
        <v/>
      </c>
      <c r="BN293" s="403" t="str">
        <f ca="1">IF(SUM(BN289:$EI289)=0,"",IF(BN$227="","",BN$227+BN289-1))</f>
        <v/>
      </c>
      <c r="BO293" s="403" t="str">
        <f ca="1">IF(SUM(BO289:$EI289)=0,"",IF(BO$227="","",BO$227+BO289-1))</f>
        <v/>
      </c>
      <c r="BP293" s="403" t="str">
        <f ca="1">IF(SUM(BP289:$EI289)=0,"",IF(BP$227="","",BP$227+BP289-1))</f>
        <v/>
      </c>
      <c r="BQ293" s="403" t="str">
        <f ca="1">IF(SUM(BQ289:$EI289)=0,"",IF(BQ$227="","",BQ$227+BQ289-1))</f>
        <v/>
      </c>
      <c r="BR293" s="403" t="str">
        <f ca="1">IF(SUM(BR289:$EI289)=0,"",IF(BR$227="","",BR$227+BR289-1))</f>
        <v/>
      </c>
      <c r="BS293" s="403" t="str">
        <f ca="1">IF(SUM(BS289:$EI289)=0,"",IF(BS$227="","",BS$227+BS289-1))</f>
        <v/>
      </c>
      <c r="BT293" s="403" t="str">
        <f ca="1">IF(SUM(BT289:$EI289)=0,"",IF(BT$227="","",BT$227+BT289-1))</f>
        <v/>
      </c>
      <c r="BU293" s="403" t="str">
        <f ca="1">IF(SUM(BU289:$EI289)=0,"",IF(BU$227="","",BU$227+BU289-1))</f>
        <v/>
      </c>
      <c r="BV293" s="403" t="str">
        <f ca="1">IF(SUM(BV289:$EI289)=0,"",IF(BV$227="","",BV$227+BV289-1))</f>
        <v/>
      </c>
      <c r="BW293" s="403" t="str">
        <f ca="1">IF(SUM(BW289:$EI289)=0,"",IF(BW$227="","",BW$227+BW289-1))</f>
        <v/>
      </c>
      <c r="BX293" s="403" t="str">
        <f ca="1">IF(SUM(BX289:$EI289)=0,"",IF(BX$227="","",BX$227+BX289-1))</f>
        <v/>
      </c>
      <c r="BY293" s="403" t="str">
        <f ca="1">IF(SUM(BY289:$EI289)=0,"",IF(BY$227="","",BY$227+BY289-1))</f>
        <v/>
      </c>
      <c r="BZ293" s="403" t="str">
        <f ca="1">IF(SUM(BZ289:$EI289)=0,"",IF(BZ$227="","",BZ$227+BZ289-1))</f>
        <v/>
      </c>
      <c r="CA293" s="403" t="str">
        <f ca="1">IF(SUM(CA289:$EI289)=0,"",IF(CA$227="","",CA$227+CA289-1))</f>
        <v/>
      </c>
      <c r="CB293" s="403" t="str">
        <f ca="1">IF(SUM(CB289:$EI289)=0,"",IF(CB$227="","",CB$227+CB289-1))</f>
        <v/>
      </c>
      <c r="CC293" s="403" t="str">
        <f ca="1">IF(SUM(CC289:$EI289)=0,"",IF(CC$227="","",CC$227+CC289-1))</f>
        <v/>
      </c>
      <c r="CD293" s="403" t="str">
        <f ca="1">IF(SUM(CD289:$EI289)=0,"",IF(CD$227="","",CD$227+CD289-1))</f>
        <v/>
      </c>
      <c r="CE293" s="403" t="str">
        <f ca="1">IF(SUM(CE289:$EI289)=0,"",IF(CE$227="","",CE$227+CE289-1))</f>
        <v/>
      </c>
      <c r="CF293" s="403" t="str">
        <f ca="1">IF(SUM(CF289:$EI289)=0,"",IF(CF$227="","",CF$227+CF289-1))</f>
        <v/>
      </c>
      <c r="CG293" s="403" t="str">
        <f ca="1">IF(SUM(CG289:$EI289)=0,"",IF(CG$227="","",CG$227+CG289-1))</f>
        <v/>
      </c>
      <c r="CH293" s="403" t="str">
        <f ca="1">IF(SUM(CH289:$EI289)=0,"",IF(CH$227="","",CH$227+CH289-1))</f>
        <v/>
      </c>
      <c r="CI293" s="403" t="str">
        <f ca="1">IF(SUM(CI289:$EI289)=0,"",IF(CI$227="","",CI$227+CI289-1))</f>
        <v/>
      </c>
      <c r="CJ293" s="403" t="str">
        <f ca="1">IF(SUM(CJ289:$EI289)=0,"",IF(CJ$227="","",CJ$227+CJ289-1))</f>
        <v/>
      </c>
      <c r="CK293" s="403" t="str">
        <f ca="1">IF(SUM(CK289:$EI289)=0,"",IF(CK$227="","",CK$227+CK289-1))</f>
        <v/>
      </c>
      <c r="CL293" s="403" t="str">
        <f ca="1">IF(SUM(CL289:$EI289)=0,"",IF(CL$227="","",CL$227+CL289-1))</f>
        <v/>
      </c>
      <c r="CM293" s="403" t="str">
        <f ca="1">IF(SUM(CM289:$EI289)=0,"",IF(CM$227="","",CM$227+CM289-1))</f>
        <v/>
      </c>
      <c r="CN293" s="403" t="str">
        <f ca="1">IF(SUM(CN289:$EI289)=0,"",IF(CN$227="","",CN$227+CN289-1))</f>
        <v/>
      </c>
      <c r="CO293" s="403" t="str">
        <f ca="1">IF(SUM(CO289:$EI289)=0,"",IF(CO$227="","",CO$227+CO289-1))</f>
        <v/>
      </c>
      <c r="CP293" s="403" t="str">
        <f ca="1">IF(SUM(CP289:$EI289)=0,"",IF(CP$227="","",CP$227+CP289-1))</f>
        <v/>
      </c>
      <c r="CQ293" s="403" t="str">
        <f ca="1">IF(SUM(CQ289:$EI289)=0,"",IF(CQ$227="","",CQ$227+CQ289-1))</f>
        <v/>
      </c>
      <c r="CR293" s="403" t="str">
        <f ca="1">IF(SUM(CR289:$EI289)=0,"",IF(CR$227="","",CR$227+CR289-1))</f>
        <v/>
      </c>
      <c r="CS293" s="403" t="str">
        <f ca="1">IF(SUM(CS289:$EI289)=0,"",IF(CS$227="","",CS$227+CS289-1))</f>
        <v/>
      </c>
      <c r="CT293" s="403" t="str">
        <f ca="1">IF(SUM(CT289:$EI289)=0,"",IF(CT$227="","",CT$227+CT289-1))</f>
        <v/>
      </c>
      <c r="CU293" s="403" t="str">
        <f ca="1">IF(SUM(CU289:$EI289)=0,"",IF(CU$227="","",CU$227+CU289-1))</f>
        <v/>
      </c>
      <c r="CV293" s="403" t="str">
        <f ca="1">IF(SUM(CV289:$EI289)=0,"",IF(CV$227="","",CV$227+CV289-1))</f>
        <v/>
      </c>
      <c r="CW293" s="403" t="str">
        <f ca="1">IF(SUM(CW289:$EI289)=0,"",IF(CW$227="","",CW$227+CW289-1))</f>
        <v/>
      </c>
      <c r="CX293" s="403" t="str">
        <f ca="1">IF(SUM(CX289:$EI289)=0,"",IF(CX$227="","",CX$227+CX289-1))</f>
        <v/>
      </c>
      <c r="CY293" s="403" t="str">
        <f ca="1">IF(SUM(CY289:$EI289)=0,"",IF(CY$227="","",CY$227+CY289-1))</f>
        <v/>
      </c>
      <c r="CZ293" s="403" t="str">
        <f ca="1">IF(SUM(CZ289:$EI289)=0,"",IF(CZ$227="","",CZ$227+CZ289-1))</f>
        <v/>
      </c>
      <c r="DA293" s="403" t="str">
        <f ca="1">IF(SUM(DA289:$EI289)=0,"",IF(DA$227="","",DA$227+DA289-1))</f>
        <v/>
      </c>
      <c r="DB293" s="403" t="str">
        <f ca="1">IF(SUM(DB289:$EI289)=0,"",IF(DB$227="","",DB$227+DB289-1))</f>
        <v/>
      </c>
      <c r="DC293" s="403" t="str">
        <f ca="1">IF(SUM(DC289:$EI289)=0,"",IF(DC$227="","",DC$227+DC289-1))</f>
        <v/>
      </c>
      <c r="DD293" s="403" t="str">
        <f ca="1">IF(SUM(DD289:$EI289)=0,"",IF(DD$227="","",DD$227+DD289-1))</f>
        <v/>
      </c>
      <c r="DE293" s="403" t="str">
        <f ca="1">IF(SUM(DE289:$EI289)=0,"",IF(DE$227="","",DE$227+DE289-1))</f>
        <v/>
      </c>
      <c r="DF293" s="403" t="str">
        <f ca="1">IF(SUM(DF289:$EI289)=0,"",IF(DF$227="","",DF$227+DF289-1))</f>
        <v/>
      </c>
      <c r="DG293" s="403" t="str">
        <f ca="1">IF(SUM(DG289:$EI289)=0,"",IF(DG$227="","",DG$227+DG289-1))</f>
        <v/>
      </c>
      <c r="DH293" s="403" t="str">
        <f ca="1">IF(SUM(DH289:$EI289)=0,"",IF(DH$227="","",DH$227+DH289-1))</f>
        <v/>
      </c>
      <c r="DI293" s="403" t="str">
        <f ca="1">IF(SUM(DI289:$EI289)=0,"",IF(DI$227="","",DI$227+DI289-1))</f>
        <v/>
      </c>
      <c r="DJ293" s="403" t="str">
        <f ca="1">IF(SUM(DJ289:$EI289)=0,"",IF(DJ$227="","",DJ$227+DJ289-1))</f>
        <v/>
      </c>
      <c r="DK293" s="403" t="str">
        <f ca="1">IF(SUM(DK289:$EI289)=0,"",IF(DK$227="","",DK$227+DK289-1))</f>
        <v/>
      </c>
      <c r="DL293" s="403" t="str">
        <f ca="1">IF(SUM(DL289:$EI289)=0,"",IF(DL$227="","",DL$227+DL289-1))</f>
        <v/>
      </c>
      <c r="DM293" s="403" t="str">
        <f ca="1">IF(SUM(DM289:$EI289)=0,"",IF(DM$227="","",DM$227+DM289-1))</f>
        <v/>
      </c>
      <c r="DN293" s="403" t="str">
        <f ca="1">IF(SUM(DN289:$EI289)=0,"",IF(DN$227="","",DN$227+DN289-1))</f>
        <v/>
      </c>
      <c r="DO293" s="403" t="str">
        <f ca="1">IF(SUM(DO289:$EI289)=0,"",IF(DO$227="","",DO$227+DO289-1))</f>
        <v/>
      </c>
      <c r="DP293" s="403" t="str">
        <f ca="1">IF(SUM(DP289:$EI289)=0,"",IF(DP$227="","",DP$227+DP289-1))</f>
        <v/>
      </c>
      <c r="DQ293" s="403" t="str">
        <f ca="1">IF(SUM(DQ289:$EI289)=0,"",IF(DQ$227="","",DQ$227+DQ289-1))</f>
        <v/>
      </c>
      <c r="DR293" s="403" t="str">
        <f ca="1">IF(SUM(DR289:$EI289)=0,"",IF(DR$227="","",DR$227+DR289-1))</f>
        <v/>
      </c>
      <c r="DS293" s="403" t="str">
        <f ca="1">IF(SUM(DS289:$EI289)=0,"",IF(DS$227="","",DS$227+DS289-1))</f>
        <v/>
      </c>
      <c r="DT293" s="403" t="str">
        <f ca="1">IF(SUM(DT289:$EI289)=0,"",IF(DT$227="","",DT$227+DT289-1))</f>
        <v/>
      </c>
      <c r="DU293" s="403" t="str">
        <f ca="1">IF(SUM(DU289:$EI289)=0,"",IF(DU$227="","",DU$227+DU289-1))</f>
        <v/>
      </c>
      <c r="DV293" s="403" t="str">
        <f ca="1">IF(SUM(DV289:$EI289)=0,"",IF(DV$227="","",DV$227+DV289-1))</f>
        <v/>
      </c>
      <c r="DW293" s="403" t="str">
        <f ca="1">IF(SUM(DW289:$EI289)=0,"",IF(DW$227="","",DW$227+DW289-1))</f>
        <v/>
      </c>
      <c r="DX293" s="403" t="str">
        <f ca="1">IF(SUM(DX289:$EI289)=0,"",IF(DX$227="","",DX$227+DX289-1))</f>
        <v/>
      </c>
      <c r="DY293" s="403" t="str">
        <f ca="1">IF(SUM(DY289:$EI289)=0,"",IF(DY$227="","",DY$227+DY289-1))</f>
        <v/>
      </c>
      <c r="DZ293" s="403" t="str">
        <f ca="1">IF(SUM(DZ289:$EI289)=0,"",IF(DZ$227="","",DZ$227+DZ289-1))</f>
        <v/>
      </c>
      <c r="EA293" s="403" t="str">
        <f ca="1">IF(SUM(EA289:$EI289)=0,"",IF(EA$227="","",EA$227+EA289-1))</f>
        <v/>
      </c>
      <c r="EB293" s="403" t="str">
        <f ca="1">IF(SUM(EB289:$EI289)=0,"",IF(EB$227="","",EB$227+EB289-1))</f>
        <v/>
      </c>
      <c r="EC293" s="403" t="str">
        <f ca="1">IF(SUM(EC289:$EI289)=0,"",IF(EC$227="","",EC$227+EC289-1))</f>
        <v/>
      </c>
      <c r="ED293" s="403" t="str">
        <f ca="1">IF(SUM(ED289:$EI289)=0,"",IF(ED$227="","",ED$227+ED289-1))</f>
        <v/>
      </c>
      <c r="EE293" s="403" t="str">
        <f ca="1">IF(SUM(EE289:$EI289)=0,"",IF(EE$227="","",EE$227+EE289-1))</f>
        <v/>
      </c>
      <c r="EF293" s="403" t="str">
        <f ca="1">IF(SUM(EF289:$EI289)=0,"",IF(EF$227="","",EF$227+EF289-1))</f>
        <v/>
      </c>
      <c r="EG293" s="403" t="str">
        <f ca="1">IF(SUM(EG289:$EI289)=0,"",IF(EG$227="","",EG$227+EG289-1))</f>
        <v/>
      </c>
      <c r="EH293" s="403" t="str">
        <f ca="1">IF(SUM(EH289:$EI289)=0,"",IF(EH$227="","",EH$227+EH289-1))</f>
        <v/>
      </c>
      <c r="EI293" s="403" t="str">
        <f ca="1">IF(SUM(EI289:$EI289)=0,"",IF(EI$227="","",EI$227+EI289-1))</f>
        <v/>
      </c>
    </row>
    <row r="294" spans="1:141" outlineLevel="1" collapsed="1">
      <c r="A294" s="332"/>
      <c r="B294" s="313"/>
      <c r="C294" s="317" t="s">
        <v>74</v>
      </c>
      <c r="D294" s="317" t="s">
        <v>675</v>
      </c>
      <c r="E294" s="400">
        <f ca="1">IF(ГРП!B21=0,длительность!T59,ГРП!B21)</f>
        <v>0</v>
      </c>
      <c r="F294" s="318">
        <f ca="1">E294-SUM(G294:EJ294)</f>
        <v>0</v>
      </c>
      <c r="G294" s="401"/>
      <c r="H294" s="401">
        <f ca="1">IF(SUM($G294:G294)&gt;=$E294,0,IF($E294-SUM($G294:G294)&gt;H295,H295,$E294-SUM($G295:G295)))</f>
        <v>0</v>
      </c>
      <c r="I294" s="401">
        <f ca="1">IF(SUM($G294:H294)&gt;=$E294,0,IF($E294-SUM($G294:H294)&gt;I295,I295,$E294-SUM($G295:H295)))</f>
        <v>0</v>
      </c>
      <c r="J294" s="401">
        <f ca="1">IF(SUM($G294:I294)&gt;=$E294,0,IF($E294-SUM($G294:I294)&gt;J295,J295,$E294-SUM($G295:I295)))</f>
        <v>0</v>
      </c>
      <c r="K294" s="401">
        <f ca="1">IF(SUM($G294:J294)&gt;=$E294,0,IF($E294-SUM($G294:J294)&gt;K295,K295,$E294-SUM($G295:J295)))</f>
        <v>0</v>
      </c>
      <c r="L294" s="401">
        <f ca="1">IF(SUM($G294:K294)&gt;=$E294,0,IF($E294-SUM($G294:K294)&gt;L295,L295,$E294-SUM($G295:K295)))</f>
        <v>0</v>
      </c>
      <c r="M294" s="401">
        <f ca="1">IF(SUM($G294:L294)&gt;=$E294,0,IF($E294-SUM($G294:L294)&gt;M295,M295,$E294-SUM($G295:L295)))</f>
        <v>0</v>
      </c>
      <c r="N294" s="401">
        <f ca="1">IF(SUM($G294:M294)&gt;=$E294,0,IF($E294-SUM($G294:M294)&gt;N295,N295,$E294-SUM($G295:M295)))</f>
        <v>0</v>
      </c>
      <c r="O294" s="401">
        <f ca="1">IF(SUM($G294:N294)&gt;=$E294,0,IF($E294-SUM($G294:N294)&gt;O295,O295,$E294-SUM($G295:N295)))</f>
        <v>0</v>
      </c>
      <c r="P294" s="401">
        <f ca="1">IF(SUM($G294:O294)&gt;=$E294,0,IF($E294-SUM($G294:O294)&gt;P295,P295,$E294-SUM($G295:O295)))</f>
        <v>0</v>
      </c>
      <c r="Q294" s="401">
        <f ca="1">IF(SUM($G294:P294)&gt;=$E294,0,IF($E294-SUM($G294:P294)&gt;Q295,Q295,$E294-SUM($G295:P295)))</f>
        <v>0</v>
      </c>
      <c r="R294" s="401">
        <f ca="1">IF(SUM($G294:Q294)&gt;=$E294,0,IF($E294-SUM($G294:Q294)&gt;R295,R295,$E294-SUM($G295:Q295)))</f>
        <v>0</v>
      </c>
      <c r="S294" s="401">
        <f ca="1">IF(SUM($G294:R294)&gt;=$E294,0,IF($E294-SUM($G294:R294)&gt;S295,S295,$E294-SUM($G295:R295)))</f>
        <v>0</v>
      </c>
      <c r="T294" s="401">
        <f ca="1">IF(SUM($G294:S294)&gt;=$E294,0,IF($E294-SUM($G294:S294)&gt;T295,T295,$E294-SUM($G295:S295)))</f>
        <v>0</v>
      </c>
      <c r="U294" s="401">
        <f ca="1">IF(SUM($G294:T294)&gt;=$E294,0,IF($E294-SUM($G294:T294)&gt;U295,U295,$E294-SUM($G295:T295)))</f>
        <v>0</v>
      </c>
      <c r="V294" s="401">
        <f ca="1">IF(SUM($G294:U294)&gt;=$E294,0,IF($E294-SUM($G294:U294)&gt;V295,V295,$E294-SUM($G295:U295)))</f>
        <v>0</v>
      </c>
      <c r="W294" s="401">
        <f ca="1">IF(SUM($G294:V294)&gt;=$E294,0,IF($E294-SUM($G294:V294)&gt;W295,W295,$E294-SUM($G295:V295)))</f>
        <v>0</v>
      </c>
      <c r="X294" s="401">
        <f ca="1">IF(SUM($G294:W294)&gt;=$E294,0,IF($E294-SUM($G294:W294)&gt;X295,X295,$E294-SUM($G295:W295)))</f>
        <v>0</v>
      </c>
      <c r="Y294" s="401">
        <f ca="1">IF(SUM($G294:X294)&gt;=$E294,0,IF($E294-SUM($G294:X294)&gt;Y295,Y295,$E294-SUM($G295:X295)))</f>
        <v>0</v>
      </c>
      <c r="Z294" s="401">
        <f ca="1">IF(SUM($G294:Y294)&gt;=$E294,0,IF($E294-SUM($G294:Y294)&gt;Z295,Z295,$E294-SUM($G295:Y295)))</f>
        <v>0</v>
      </c>
      <c r="AA294" s="401">
        <f ca="1">IF(SUM($G294:Z294)&gt;=$E294,0,IF($E294-SUM($G294:Z294)&gt;AA295,AA295,$E294-SUM($G295:Z295)))</f>
        <v>0</v>
      </c>
      <c r="AB294" s="401">
        <f ca="1">IF(SUM($G294:AA294)&gt;=$E294,0,IF($E294-SUM($G294:AA294)&gt;AB295,AB295,$E294-SUM($G295:AA295)))</f>
        <v>0</v>
      </c>
      <c r="AC294" s="401">
        <f ca="1">IF(SUM($G294:AB294)&gt;=$E294,0,IF($E294-SUM($G294:AB294)&gt;AC295,AC295,$E294-SUM($G295:AB295)))</f>
        <v>0</v>
      </c>
      <c r="AD294" s="401">
        <f ca="1">IF(SUM($G294:AC294)&gt;=$E294,0,IF($E294-SUM($G294:AC294)&gt;AD295,AD295,$E294-SUM($G295:AC295)))</f>
        <v>0</v>
      </c>
      <c r="AE294" s="401">
        <f ca="1">IF(SUM($G294:AD294)&gt;=$E294,0,IF($E294-SUM($G294:AD294)&gt;AE295,AE295,$E294-SUM($G295:AD295)))</f>
        <v>0</v>
      </c>
      <c r="AF294" s="401">
        <f ca="1">IF(SUM($G294:AE294)&gt;=$E294,0,IF($E294-SUM($G294:AE294)&gt;AF295,AF295,$E294-SUM($G295:AE295)))</f>
        <v>0</v>
      </c>
      <c r="AG294" s="401">
        <f ca="1">IF(SUM($G294:AF294)&gt;=$E294,0,IF($E294-SUM($G294:AF294)&gt;AG295,AG295,$E294-SUM($G295:AF295)))</f>
        <v>0</v>
      </c>
      <c r="AH294" s="401">
        <f ca="1">IF(SUM($G294:AG294)&gt;=$E294,0,IF($E294-SUM($G294:AG294)&gt;AH295,AH295,$E294-SUM($G295:AG295)))</f>
        <v>0</v>
      </c>
      <c r="AI294" s="401">
        <f ca="1">IF(SUM($G294:AH294)&gt;=$E294,0,IF($E294-SUM($G294:AH294)&gt;AI295,AI295,$E294-SUM($G295:AH295)))</f>
        <v>0</v>
      </c>
      <c r="AJ294" s="401">
        <f ca="1">IF(SUM($G294:AI294)&gt;=$E294,0,IF($E294-SUM($G294:AI294)&gt;AJ295,AJ295,$E294-SUM($G295:AI295)))</f>
        <v>0</v>
      </c>
      <c r="AK294" s="401">
        <f ca="1">IF(SUM($G294:AJ294)&gt;=$E294,0,IF($E294-SUM($G294:AJ294)&gt;AK295,AK295,$E294-SUM($G295:AJ295)))</f>
        <v>0</v>
      </c>
      <c r="AL294" s="401">
        <f ca="1">IF(SUM($G294:AK294)&gt;=$E294,0,IF($E294-SUM($G294:AK294)&gt;AL295,AL295,$E294-SUM($G295:AK295)))</f>
        <v>0</v>
      </c>
      <c r="AM294" s="401">
        <f ca="1">IF(SUM($G294:AL294)&gt;=$E294,0,IF($E294-SUM($G294:AL294)&gt;AM295,AM295,$E294-SUM($G295:AL295)))</f>
        <v>0</v>
      </c>
      <c r="AN294" s="401">
        <f ca="1">IF(SUM($G294:AM294)&gt;=$E294,0,IF($E294-SUM($G294:AM294)&gt;AN295,AN295,$E294-SUM($G295:AM295)))</f>
        <v>0</v>
      </c>
      <c r="AO294" s="401">
        <f ca="1">IF(SUM($G294:AN294)&gt;=$E294,0,IF($E294-SUM($G294:AN294)&gt;AO295,AO295,$E294-SUM($G295:AN295)))</f>
        <v>0</v>
      </c>
      <c r="AP294" s="401">
        <f ca="1">IF(SUM($G294:AO294)&gt;=$E294,0,IF($E294-SUM($G294:AO294)&gt;AP295,AP295,$E294-SUM($G295:AO295)))</f>
        <v>0</v>
      </c>
      <c r="AQ294" s="401">
        <f ca="1">IF(SUM($G294:AP294)&gt;=$E294,0,IF($E294-SUM($G294:AP294)&gt;AQ295,AQ295,$E294-SUM($G295:AP295)))</f>
        <v>0</v>
      </c>
      <c r="AR294" s="401">
        <f ca="1">IF(SUM($G294:AQ294)&gt;=$E294,0,IF($E294-SUM($G294:AQ294)&gt;AR295,AR295,$E294-SUM($G295:AQ295)))</f>
        <v>0</v>
      </c>
      <c r="AS294" s="401">
        <f ca="1">IF(SUM($G294:AR294)&gt;=$E294,0,IF($E294-SUM($G294:AR294)&gt;AS295,AS295,$E294-SUM($G295:AR295)))</f>
        <v>0</v>
      </c>
      <c r="AT294" s="401">
        <f ca="1">IF(SUM($G294:AS294)&gt;=$E294,0,IF($E294-SUM($G294:AS294)&gt;AT295,AT295,$E294-SUM($G295:AS295)))</f>
        <v>0</v>
      </c>
      <c r="AU294" s="401">
        <f ca="1">IF(SUM($G294:AT294)&gt;=$E294,0,IF($E294-SUM($G294:AT294)&gt;AU295,AU295,$E294-SUM($G295:AT295)))</f>
        <v>0</v>
      </c>
      <c r="AV294" s="401">
        <f ca="1">IF(SUM($G294:AU294)&gt;=$E294,0,IF($E294-SUM($G294:AU294)&gt;AV295,AV295,$E294-SUM($G295:AU295)))</f>
        <v>0</v>
      </c>
      <c r="AW294" s="401">
        <f ca="1">IF(SUM($G294:AV294)&gt;=$E294,0,IF($E294-SUM($G294:AV294)&gt;AW295,AW295,$E294-SUM($G295:AV295)))</f>
        <v>0</v>
      </c>
      <c r="AX294" s="401">
        <f ca="1">IF(SUM($G294:AW294)&gt;=$E294,0,IF($E294-SUM($G294:AW294)&gt;AX295,AX295,$E294-SUM($G295:AW295)))</f>
        <v>0</v>
      </c>
      <c r="AY294" s="401">
        <f ca="1">IF(SUM($G294:AX294)&gt;=$E294,0,IF($E294-SUM($G294:AX294)&gt;AY295,AY295,$E294-SUM($G295:AX295)))</f>
        <v>0</v>
      </c>
      <c r="AZ294" s="401">
        <f ca="1">IF(SUM($G294:AY294)&gt;=$E294,0,IF($E294-SUM($G294:AY294)&gt;AZ295,AZ295,$E294-SUM($G295:AY295)))</f>
        <v>0</v>
      </c>
      <c r="BA294" s="401">
        <f ca="1">IF(SUM($G294:AZ294)&gt;=$E294,0,IF($E294-SUM($G294:AZ294)&gt;BA295,BA295,$E294-SUM($G295:AZ295)))</f>
        <v>0</v>
      </c>
      <c r="BB294" s="401">
        <f ca="1">IF(SUM($G294:BA294)&gt;=$E294,0,IF($E294-SUM($G294:BA294)&gt;BB295,BB295,$E294-SUM($G295:BA295)))</f>
        <v>0</v>
      </c>
      <c r="BC294" s="401">
        <f ca="1">IF(SUM($G294:BB294)&gt;=$E294,0,IF($E294-SUM($G294:BB294)&gt;BC295,BC295,$E294-SUM($G295:BB295)))</f>
        <v>0</v>
      </c>
      <c r="BD294" s="401">
        <f ca="1">IF(SUM($G294:BC294)&gt;=$E294,0,IF($E294-SUM($G294:BC294)&gt;BD295,BD295,$E294-SUM($G295:BC295)))</f>
        <v>0</v>
      </c>
      <c r="BE294" s="401">
        <f ca="1">IF(SUM($G294:BD294)&gt;=$E294,0,IF($E294-SUM($G294:BD294)&gt;BE295,BE295,$E294-SUM($G295:BD295)))</f>
        <v>0</v>
      </c>
      <c r="BF294" s="401">
        <f ca="1">IF(SUM($G294:BE294)&gt;=$E294,0,IF($E294-SUM($G294:BE294)&gt;BF295,BF295,$E294-SUM($G295:BE295)))</f>
        <v>0</v>
      </c>
      <c r="BG294" s="401">
        <f ca="1">IF(SUM($G294:BF294)&gt;=$E294,0,IF($E294-SUM($G294:BF294)&gt;BG295,BG295,$E294-SUM($G295:BF295)))</f>
        <v>0</v>
      </c>
      <c r="BH294" s="401">
        <f ca="1">IF(SUM($G294:BG294)&gt;=$E294,0,IF($E294-SUM($G294:BG294)&gt;BH295,BH295,$E294-SUM($G295:BG295)))</f>
        <v>0</v>
      </c>
      <c r="BI294" s="401">
        <f ca="1">IF(SUM($G294:BH294)&gt;=$E294,0,IF($E294-SUM($G294:BH294)&gt;BI295,BI295,$E294-SUM($G295:BH295)))</f>
        <v>0</v>
      </c>
      <c r="BJ294" s="401">
        <f ca="1">IF(SUM($G294:BI294)&gt;=$E294,0,IF($E294-SUM($G294:BI294)&gt;BJ295,BJ295,$E294-SUM($G295:BI295)))</f>
        <v>0</v>
      </c>
      <c r="BK294" s="401">
        <f ca="1">IF(SUM($G294:BJ294)&gt;=$E294,0,IF($E294-SUM($G294:BJ294)&gt;BK295,BK295,$E294-SUM($G295:BJ295)))</f>
        <v>0</v>
      </c>
      <c r="BL294" s="401">
        <f ca="1">IF(SUM($G294:BK294)&gt;=$E294,0,IF($E294-SUM($G294:BK294)&gt;BL295,BL295,$E294-SUM($G295:BK295)))</f>
        <v>0</v>
      </c>
      <c r="BM294" s="401">
        <f ca="1">IF(SUM($G294:BL294)&gt;=$E294,0,IF($E294-SUM($G294:BL294)&gt;BM295,BM295,$E294-SUM($G295:BL295)))</f>
        <v>0</v>
      </c>
      <c r="BN294" s="401">
        <f ca="1">IF(SUM($G294:BM294)&gt;=$E294,0,IF($E294-SUM($G294:BM294)&gt;BN295,BN295,$E294-SUM($G295:BM295)))</f>
        <v>0</v>
      </c>
      <c r="BO294" s="401">
        <f ca="1">IF(SUM($G294:BN294)&gt;=$E294,0,IF($E294-SUM($G294:BN294)&gt;BO295,BO295,$E294-SUM($G295:BN295)))</f>
        <v>0</v>
      </c>
      <c r="BP294" s="401">
        <f ca="1">IF(SUM($G294:BO294)&gt;=$E294,0,IF($E294-SUM($G294:BO294)&gt;BP295,BP295,$E294-SUM($G295:BO295)))</f>
        <v>0</v>
      </c>
      <c r="BQ294" s="401">
        <f ca="1">IF(SUM($G294:BP294)&gt;=$E294,0,IF($E294-SUM($G294:BP294)&gt;BQ295,BQ295,$E294-SUM($G295:BP295)))</f>
        <v>0</v>
      </c>
      <c r="BR294" s="401">
        <f ca="1">IF(SUM($G294:BQ294)&gt;=$E294,0,IF($E294-SUM($G294:BQ294)&gt;BR295,BR295,$E294-SUM($G295:BQ295)))</f>
        <v>0</v>
      </c>
      <c r="BS294" s="401">
        <f ca="1">IF(SUM($G294:BR294)&gt;=$E294,0,IF($E294-SUM($G294:BR294)&gt;BS295,BS295,$E294-SUM($G295:BR295)))</f>
        <v>0</v>
      </c>
      <c r="BT294" s="401">
        <f ca="1">IF(SUM($G294:BS294)&gt;=$E294,0,IF($E294-SUM($G294:BS294)&gt;BT295,BT295,$E294-SUM($G295:BS295)))</f>
        <v>0</v>
      </c>
      <c r="BU294" s="401">
        <f ca="1">IF(SUM($G294:BT294)&gt;=$E294,0,IF($E294-SUM($G294:BT294)&gt;BU295,BU295,$E294-SUM($G295:BT295)))</f>
        <v>0</v>
      </c>
      <c r="BV294" s="401">
        <f ca="1">IF(SUM($G294:BU294)&gt;=$E294,0,IF($E294-SUM($G294:BU294)&gt;BV295,BV295,$E294-SUM($G295:BU295)))</f>
        <v>0</v>
      </c>
      <c r="BW294" s="401">
        <f ca="1">IF(SUM($G294:BV294)&gt;=$E294,0,IF($E294-SUM($G294:BV294)&gt;BW295,BW295,$E294-SUM($G295:BV295)))</f>
        <v>0</v>
      </c>
      <c r="BX294" s="401">
        <f ca="1">IF(SUM($G294:BW294)&gt;=$E294,0,IF($E294-SUM($G294:BW294)&gt;BX295,BX295,$E294-SUM($G295:BW295)))</f>
        <v>0</v>
      </c>
      <c r="BY294" s="401">
        <f ca="1">IF(SUM($G294:BX294)&gt;=$E294,0,IF($E294-SUM($G294:BX294)&gt;BY295,BY295,$E294-SUM($G295:BX295)))</f>
        <v>0</v>
      </c>
      <c r="BZ294" s="401">
        <f ca="1">IF(SUM($G294:BY294)&gt;=$E294,0,IF($E294-SUM($G294:BY294)&gt;BZ295,BZ295,$E294-SUM($G295:BY295)))</f>
        <v>0</v>
      </c>
      <c r="CA294" s="401">
        <f ca="1">IF(SUM($G294:BZ294)&gt;=$E294,0,IF($E294-SUM($G294:BZ294)&gt;CA295,CA295,$E294-SUM($G295:BZ295)))</f>
        <v>0</v>
      </c>
      <c r="CB294" s="401">
        <f ca="1">IF(SUM($G294:CA294)&gt;=$E294,0,IF($E294-SUM($G294:CA294)&gt;CB295,CB295,$E294-SUM($G295:CA295)))</f>
        <v>0</v>
      </c>
      <c r="CC294" s="401">
        <f ca="1">IF(SUM($G294:CB294)&gt;=$E294,0,IF($E294-SUM($G294:CB294)&gt;CC295,CC295,$E294-SUM($G295:CB295)))</f>
        <v>0</v>
      </c>
      <c r="CD294" s="401">
        <f ca="1">IF(SUM($G294:CC294)&gt;=$E294,0,IF($E294-SUM($G294:CC294)&gt;CD295,CD295,$E294-SUM($G295:CC295)))</f>
        <v>0</v>
      </c>
      <c r="CE294" s="401">
        <f ca="1">IF(SUM($G294:CD294)&gt;=$E294,0,IF($E294-SUM($G294:CD294)&gt;CE295,CE295,$E294-SUM($G295:CD295)))</f>
        <v>0</v>
      </c>
      <c r="CF294" s="401">
        <f ca="1">IF(SUM($G294:CE294)&gt;=$E294,0,IF($E294-SUM($G294:CE294)&gt;CF295,CF295,$E294-SUM($G295:CE295)))</f>
        <v>0</v>
      </c>
      <c r="CG294" s="401">
        <f ca="1">IF(SUM($G294:CF294)&gt;=$E294,0,IF($E294-SUM($G294:CF294)&gt;CG295,CG295,$E294-SUM($G295:CF295)))</f>
        <v>0</v>
      </c>
      <c r="CH294" s="401">
        <f ca="1">IF(SUM($G294:CG294)&gt;=$E294,0,IF($E294-SUM($G294:CG294)&gt;CH295,CH295,$E294-SUM($G295:CG295)))</f>
        <v>0</v>
      </c>
      <c r="CI294" s="401">
        <f ca="1">IF(SUM($G294:CH294)&gt;=$E294,0,IF($E294-SUM($G294:CH294)&gt;CI295,CI295,$E294-SUM($G295:CH295)))</f>
        <v>0</v>
      </c>
      <c r="CJ294" s="401">
        <f ca="1">IF(SUM($G294:CI294)&gt;=$E294,0,IF($E294-SUM($G294:CI294)&gt;CJ295,CJ295,$E294-SUM($G295:CI295)))</f>
        <v>0</v>
      </c>
      <c r="CK294" s="401">
        <f ca="1">IF(SUM($G294:CJ294)&gt;=$E294,0,IF($E294-SUM($G294:CJ294)&gt;CK295,CK295,$E294-SUM($G295:CJ295)))</f>
        <v>0</v>
      </c>
      <c r="CL294" s="401">
        <f ca="1">IF(SUM($G294:CK294)&gt;=$E294,0,IF($E294-SUM($G294:CK294)&gt;CL295,CL295,$E294-SUM($G295:CK295)))</f>
        <v>0</v>
      </c>
      <c r="CM294" s="401">
        <f ca="1">IF(SUM($G294:CL294)&gt;=$E294,0,IF($E294-SUM($G294:CL294)&gt;CM295,CM295,$E294-SUM($G295:CL295)))</f>
        <v>0</v>
      </c>
      <c r="CN294" s="401">
        <f ca="1">IF(SUM($G294:CM294)&gt;=$E294,0,IF($E294-SUM($G294:CM294)&gt;CN295,CN295,$E294-SUM($G295:CM295)))</f>
        <v>0</v>
      </c>
      <c r="CO294" s="401">
        <f ca="1">IF(SUM($G294:CN294)&gt;=$E294,0,IF($E294-SUM($G294:CN294)&gt;CO295,CO295,$E294-SUM($G295:CN295)))</f>
        <v>0</v>
      </c>
      <c r="CP294" s="401">
        <f ca="1">IF(SUM($G294:CO294)&gt;=$E294,0,IF($E294-SUM($G294:CO294)&gt;CP295,CP295,$E294-SUM($G295:CO295)))</f>
        <v>0</v>
      </c>
      <c r="CQ294" s="401">
        <f ca="1">IF(SUM($G294:CP294)&gt;=$E294,0,IF($E294-SUM($G294:CP294)&gt;CQ295,CQ295,$E294-SUM($G295:CP295)))</f>
        <v>0</v>
      </c>
      <c r="CR294" s="401">
        <f ca="1">IF(SUM($G294:CQ294)&gt;=$E294,0,IF($E294-SUM($G294:CQ294)&gt;CR295,CR295,$E294-SUM($G295:CQ295)))</f>
        <v>0</v>
      </c>
      <c r="CS294" s="401">
        <f ca="1">IF(SUM($G294:CR294)&gt;=$E294,0,IF($E294-SUM($G294:CR294)&gt;CS295,CS295,$E294-SUM($G295:CR295)))</f>
        <v>0</v>
      </c>
      <c r="CT294" s="401">
        <f ca="1">IF(SUM($G294:CS294)&gt;=$E294,0,IF($E294-SUM($G294:CS294)&gt;CT295,CT295,$E294-SUM($G295:CS295)))</f>
        <v>0</v>
      </c>
      <c r="CU294" s="401">
        <f ca="1">IF(SUM($G294:CT294)&gt;=$E294,0,IF($E294-SUM($G294:CT294)&gt;CU295,CU295,$E294-SUM($G295:CT295)))</f>
        <v>0</v>
      </c>
      <c r="CV294" s="401">
        <f ca="1">IF(SUM($G294:CU294)&gt;=$E294,0,IF($E294-SUM($G294:CU294)&gt;CV295,CV295,$E294-SUM($G295:CU295)))</f>
        <v>0</v>
      </c>
      <c r="CW294" s="401">
        <f ca="1">IF(SUM($G294:CV294)&gt;=$E294,0,IF($E294-SUM($G294:CV294)&gt;CW295,CW295,$E294-SUM($G295:CV295)))</f>
        <v>0</v>
      </c>
      <c r="CX294" s="401">
        <f ca="1">IF(SUM($G294:CW294)&gt;=$E294,0,IF($E294-SUM($G294:CW294)&gt;CX295,CX295,$E294-SUM($G295:CW295)))</f>
        <v>0</v>
      </c>
      <c r="CY294" s="401">
        <f ca="1">IF(SUM($G294:CX294)&gt;=$E294,0,IF($E294-SUM($G294:CX294)&gt;CY295,CY295,$E294-SUM($G295:CX295)))</f>
        <v>0</v>
      </c>
      <c r="CZ294" s="401">
        <f ca="1">IF(SUM($G294:CY294)&gt;=$E294,0,IF($E294-SUM($G294:CY294)&gt;CZ295,CZ295,$E294-SUM($G295:CY295)))</f>
        <v>0</v>
      </c>
      <c r="DA294" s="401">
        <f ca="1">IF(SUM($G294:CZ294)&gt;=$E294,0,IF($E294-SUM($G294:CZ294)&gt;DA295,DA295,$E294-SUM($G295:CZ295)))</f>
        <v>0</v>
      </c>
      <c r="DB294" s="401">
        <f ca="1">IF(SUM($G294:DA294)&gt;=$E294,0,IF($E294-SUM($G294:DA294)&gt;DB295,DB295,$E294-SUM($G295:DA295)))</f>
        <v>0</v>
      </c>
      <c r="DC294" s="401">
        <f ca="1">IF(SUM($G294:DB294)&gt;=$E294,0,IF($E294-SUM($G294:DB294)&gt;DC295,DC295,$E294-SUM($G295:DB295)))</f>
        <v>0</v>
      </c>
      <c r="DD294" s="401">
        <f ca="1">IF(SUM($G294:DC294)&gt;=$E294,0,IF($E294-SUM($G294:DC294)&gt;DD295,DD295,$E294-SUM($G295:DC295)))</f>
        <v>0</v>
      </c>
      <c r="DE294" s="401">
        <f ca="1">IF(SUM($G294:DD294)&gt;=$E294,0,IF($E294-SUM($G294:DD294)&gt;DE295,DE295,$E294-SUM($G295:DD295)))</f>
        <v>0</v>
      </c>
      <c r="DF294" s="401">
        <f ca="1">IF(SUM($G294:DE294)&gt;=$E294,0,IF($E294-SUM($G294:DE294)&gt;DF295,DF295,$E294-SUM($G295:DE295)))</f>
        <v>0</v>
      </c>
      <c r="DG294" s="401">
        <f ca="1">IF(SUM($G294:DF294)&gt;=$E294,0,IF($E294-SUM($G294:DF294)&gt;DG295,DG295,$E294-SUM($G295:DF295)))</f>
        <v>0</v>
      </c>
      <c r="DH294" s="401">
        <f ca="1">IF(SUM($G294:DG294)&gt;=$E294,0,IF($E294-SUM($G294:DG294)&gt;DH295,DH295,$E294-SUM($G295:DG295)))</f>
        <v>0</v>
      </c>
      <c r="DI294" s="401">
        <f ca="1">IF(SUM($G294:DH294)&gt;=$E294,0,IF($E294-SUM($G294:DH294)&gt;DI295,DI295,$E294-SUM($G295:DH295)))</f>
        <v>0</v>
      </c>
      <c r="DJ294" s="401">
        <f ca="1">IF(SUM($G294:DI294)&gt;=$E294,0,IF($E294-SUM($G294:DI294)&gt;DJ295,DJ295,$E294-SUM($G295:DI295)))</f>
        <v>0</v>
      </c>
      <c r="DK294" s="401">
        <f ca="1">IF(SUM($G294:DJ294)&gt;=$E294,0,IF($E294-SUM($G294:DJ294)&gt;DK295,DK295,$E294-SUM($G295:DJ295)))</f>
        <v>0</v>
      </c>
      <c r="DL294" s="401">
        <f ca="1">IF(SUM($G294:DK294)&gt;=$E294,0,IF($E294-SUM($G294:DK294)&gt;DL295,DL295,$E294-SUM($G295:DK295)))</f>
        <v>0</v>
      </c>
      <c r="DM294" s="401">
        <f ca="1">IF(SUM($G294:DL294)&gt;=$E294,0,IF($E294-SUM($G294:DL294)&gt;DM295,DM295,$E294-SUM($G295:DL295)))</f>
        <v>0</v>
      </c>
      <c r="DN294" s="401">
        <f ca="1">IF(SUM($G294:DM294)&gt;=$E294,0,IF($E294-SUM($G294:DM294)&gt;DN295,DN295,$E294-SUM($G295:DM295)))</f>
        <v>0</v>
      </c>
      <c r="DO294" s="401">
        <f ca="1">IF(SUM($G294:DN294)&gt;=$E294,0,IF($E294-SUM($G294:DN294)&gt;DO295,DO295,$E294-SUM($G295:DN295)))</f>
        <v>0</v>
      </c>
      <c r="DP294" s="401">
        <f ca="1">IF(SUM($G294:DO294)&gt;=$E294,0,IF($E294-SUM($G294:DO294)&gt;DP295,DP295,$E294-SUM($G295:DO295)))</f>
        <v>0</v>
      </c>
      <c r="DQ294" s="401">
        <f ca="1">IF(SUM($G294:DP294)&gt;=$E294,0,IF($E294-SUM($G294:DP294)&gt;DQ295,DQ295,$E294-SUM($G295:DP295)))</f>
        <v>0</v>
      </c>
      <c r="DR294" s="401">
        <f ca="1">IF(SUM($G294:DQ294)&gt;=$E294,0,IF($E294-SUM($G294:DQ294)&gt;DR295,DR295,$E294-SUM($G295:DQ295)))</f>
        <v>0</v>
      </c>
      <c r="DS294" s="401">
        <f ca="1">IF(SUM($G294:DR294)&gt;=$E294,0,IF($E294-SUM($G294:DR294)&gt;DS295,DS295,$E294-SUM($G295:DR295)))</f>
        <v>0</v>
      </c>
      <c r="DT294" s="401">
        <f ca="1">IF(SUM($G294:DS294)&gt;=$E294,0,IF($E294-SUM($G294:DS294)&gt;DT295,DT295,$E294-SUM($G295:DS295)))</f>
        <v>0</v>
      </c>
      <c r="DU294" s="401">
        <f ca="1">IF(SUM($G294:DT294)&gt;=$E294,0,IF($E294-SUM($G294:DT294)&gt;DU295,DU295,$E294-SUM($G295:DT295)))</f>
        <v>0</v>
      </c>
      <c r="DV294" s="401">
        <f ca="1">IF(SUM($G294:DU294)&gt;=$E294,0,IF($E294-SUM($G294:DU294)&gt;DV295,DV295,$E294-SUM($G295:DU295)))</f>
        <v>0</v>
      </c>
      <c r="DW294" s="401">
        <f ca="1">IF(SUM($G294:DV294)&gt;=$E294,0,IF($E294-SUM($G294:DV294)&gt;DW295,DW295,$E294-SUM($G295:DV295)))</f>
        <v>0</v>
      </c>
      <c r="DX294" s="401">
        <f ca="1">IF(SUM($G294:DW294)&gt;=$E294,0,IF($E294-SUM($G294:DW294)&gt;DX295,DX295,$E294-SUM($G295:DW295)))</f>
        <v>0</v>
      </c>
      <c r="DY294" s="401">
        <f ca="1">IF(SUM($G294:DX294)&gt;=$E294,0,IF($E294-SUM($G294:DX294)&gt;DY295,DY295,$E294-SUM($G295:DX295)))</f>
        <v>0</v>
      </c>
      <c r="DZ294" s="401">
        <f ca="1">IF(SUM($G294:DY294)&gt;=$E294,0,IF($E294-SUM($G294:DY294)&gt;DZ295,DZ295,$E294-SUM($G295:DY295)))</f>
        <v>0</v>
      </c>
      <c r="EA294" s="401">
        <f ca="1">IF(SUM($G294:DZ294)&gt;=$E294,0,IF($E294-SUM($G294:DZ294)&gt;EA295,EA295,$E294-SUM($G295:DZ295)))</f>
        <v>0</v>
      </c>
      <c r="EB294" s="401">
        <f ca="1">IF(SUM($G294:EA294)&gt;=$E294,0,IF($E294-SUM($G294:EA294)&gt;EB295,EB295,$E294-SUM($G295:EA295)))</f>
        <v>0</v>
      </c>
      <c r="EC294" s="401">
        <f ca="1">IF(SUM($G294:EB294)&gt;=$E294,0,IF($E294-SUM($G294:EB294)&gt;EC295,EC295,$E294-SUM($G295:EB295)))</f>
        <v>0</v>
      </c>
      <c r="ED294" s="401">
        <f ca="1">IF(SUM($G294:EC294)&gt;=$E294,0,IF($E294-SUM($G294:EC294)&gt;ED295,ED295,$E294-SUM($G295:EC295)))</f>
        <v>0</v>
      </c>
      <c r="EE294" s="401">
        <f ca="1">IF(SUM($G294:ED294)&gt;=$E294,0,IF($E294-SUM($G294:ED294)&gt;EE295,EE295,$E294-SUM($G295:ED295)))</f>
        <v>0</v>
      </c>
      <c r="EF294" s="401">
        <f ca="1">IF(SUM($G294:EE294)&gt;=$E294,0,IF($E294-SUM($G294:EE294)&gt;EF295,EF295,$E294-SUM($G295:EE295)))</f>
        <v>0</v>
      </c>
      <c r="EG294" s="401">
        <f ca="1">IF(SUM($G294:EF294)&gt;=$E294,0,IF($E294-SUM($G294:EF294)&gt;EG295,EG295,$E294-SUM($G295:EF295)))</f>
        <v>0</v>
      </c>
      <c r="EH294" s="401">
        <f ca="1">IF(SUM($G294:EG294)&gt;=$E294,0,IF($E294-SUM($G294:EG294)&gt;EH295,EH295,$E294-SUM($G295:EG295)))</f>
        <v>0</v>
      </c>
      <c r="EI294" s="401">
        <f ca="1">IF(SUM($G294:EH294)&gt;=$E294,0,IF($E294-SUM($G294:EH294)&gt;EI295,EI295,$E294-SUM($G295:EH295)))</f>
        <v>0</v>
      </c>
      <c r="EK294" s="313"/>
    </row>
    <row r="295" spans="1:141" hidden="1" outlineLevel="2">
      <c r="A295" s="332"/>
      <c r="B295" s="313"/>
      <c r="C295" s="308"/>
      <c r="D295" s="308"/>
      <c r="E295" s="308"/>
      <c r="G295" s="402"/>
      <c r="H295" s="402">
        <f ca="1">IF((SUM($G275:H275)-$E274)&lt;0,0,IF((SUM($G275:H275)-$E274)&lt;H275,SUM($G275:H275)-$E274,H275))</f>
        <v>0</v>
      </c>
      <c r="I295" s="402">
        <f ca="1">IF((SUM($G275:I275)-$E274)&lt;0,0,IF((SUM($G275:I275)-$E274)&lt;I275,SUM($G275:I275)-$E274,I275))</f>
        <v>0</v>
      </c>
      <c r="J295" s="402">
        <f ca="1">IF((SUM($G275:J275)-$E274)&lt;0,0,IF((SUM($G275:J275)-$E274)&lt;J275,SUM($G275:J275)-$E274,J275))</f>
        <v>0</v>
      </c>
      <c r="K295" s="402">
        <f ca="1">IF((SUM($G275:K275)-$E274)&lt;0,0,IF((SUM($G275:K275)-$E274)&lt;K275,SUM($G275:K275)-$E274,K275))</f>
        <v>0</v>
      </c>
      <c r="L295" s="402">
        <f ca="1">IF((SUM($G275:L275)-$E274)&lt;0,0,IF((SUM($G275:L275)-$E274)&lt;L275,SUM($G275:L275)-$E274,L275))</f>
        <v>0</v>
      </c>
      <c r="M295" s="402">
        <f ca="1">IF((SUM($G275:M275)-$E274)&lt;0,0,IF((SUM($G275:M275)-$E274)&lt;M275,SUM($G275:M275)-$E274,M275))</f>
        <v>0</v>
      </c>
      <c r="N295" s="402">
        <f ca="1">IF((SUM($G275:N275)-$E274)&lt;0,0,IF((SUM($G275:N275)-$E274)&lt;N275,SUM($G275:N275)-$E274,N275))</f>
        <v>0</v>
      </c>
      <c r="O295" s="402">
        <f ca="1">IF((SUM($G275:O275)-$E274)&lt;0,0,IF((SUM($G275:O275)-$E274)&lt;O275,SUM($G275:O275)-$E274,O275))</f>
        <v>0</v>
      </c>
      <c r="P295" s="402">
        <f ca="1">IF((SUM($G275:P275)-$E274)&lt;0,0,IF((SUM($G275:P275)-$E274)&lt;P275,SUM($G275:P275)-$E274,P275))</f>
        <v>0</v>
      </c>
      <c r="Q295" s="402">
        <f ca="1">IF((SUM($G275:Q275)-$E274)&lt;0,0,IF((SUM($G275:Q275)-$E274)&lt;Q275,SUM($G275:Q275)-$E274,Q275))</f>
        <v>0</v>
      </c>
      <c r="R295" s="402">
        <f ca="1">IF((SUM($G275:R275)-$E274)&lt;0,0,IF((SUM($G275:R275)-$E274)&lt;R275,SUM($G275:R275)-$E274,R275))</f>
        <v>0</v>
      </c>
      <c r="S295" s="402">
        <f ca="1">IF((SUM($G275:S275)-$E274)&lt;0,0,IF((SUM($G275:S275)-$E274)&lt;S275,SUM($G275:S275)-$E274,S275))</f>
        <v>0</v>
      </c>
      <c r="T295" s="402">
        <f ca="1">IF((SUM($G275:T275)-$E274)&lt;0,0,IF((SUM($G275:T275)-$E274)&lt;T275,SUM($G275:T275)-$E274,T275))</f>
        <v>0</v>
      </c>
      <c r="U295" s="402">
        <f ca="1">IF((SUM($G275:U275)-$E274)&lt;0,0,IF((SUM($G275:U275)-$E274)&lt;U275,SUM($G275:U275)-$E274,U275))</f>
        <v>0</v>
      </c>
      <c r="V295" s="402">
        <f ca="1">IF((SUM($G275:V275)-$E274)&lt;0,0,IF((SUM($G275:V275)-$E274)&lt;V275,SUM($G275:V275)-$E274,V275))</f>
        <v>0</v>
      </c>
      <c r="W295" s="402">
        <f ca="1">IF((SUM($G275:W275)-$E274)&lt;0,0,IF((SUM($G275:W275)-$E274)&lt;W275,SUM($G275:W275)-$E274,W275))</f>
        <v>0</v>
      </c>
      <c r="X295" s="402">
        <f ca="1">IF((SUM($G275:X275)-$E274)&lt;0,0,IF((SUM($G275:X275)-$E274)&lt;X275,SUM($G275:X275)-$E274,X275))</f>
        <v>0</v>
      </c>
      <c r="Y295" s="402">
        <f ca="1">IF((SUM($G275:Y275)-$E274)&lt;0,0,IF((SUM($G275:Y275)-$E274)&lt;Y275,SUM($G275:Y275)-$E274,Y275))</f>
        <v>0</v>
      </c>
      <c r="Z295" s="402">
        <f ca="1">IF((SUM($G275:Z275)-$E274)&lt;0,0,IF((SUM($G275:Z275)-$E274)&lt;Z275,SUM($G275:Z275)-$E274,Z275))</f>
        <v>0</v>
      </c>
      <c r="AA295" s="402">
        <f ca="1">IF((SUM($G275:AA275)-$E274)&lt;0,0,IF((SUM($G275:AA275)-$E274)&lt;AA275,SUM($G275:AA275)-$E274,AA275))</f>
        <v>0</v>
      </c>
      <c r="AB295" s="402">
        <f ca="1">IF((SUM($G275:AB275)-$E274)&lt;0,0,IF((SUM($G275:AB275)-$E274)&lt;AB275,SUM($G275:AB275)-$E274,AB275))</f>
        <v>0</v>
      </c>
      <c r="AC295" s="402">
        <f ca="1">IF((SUM($G275:AC275)-$E274)&lt;0,0,IF((SUM($G275:AC275)-$E274)&lt;AC275,SUM($G275:AC275)-$E274,AC275))</f>
        <v>0</v>
      </c>
      <c r="AD295" s="402">
        <f ca="1">IF((SUM($G275:AD275)-$E274)&lt;0,0,IF((SUM($G275:AD275)-$E274)&lt;AD275,SUM($G275:AD275)-$E274,AD275))</f>
        <v>0</v>
      </c>
      <c r="AE295" s="402">
        <f ca="1">IF((SUM($G275:AE275)-$E274)&lt;0,0,IF((SUM($G275:AE275)-$E274)&lt;AE275,SUM($G275:AE275)-$E274,AE275))</f>
        <v>0</v>
      </c>
      <c r="AF295" s="402">
        <f ca="1">IF((SUM($G275:AF275)-$E274)&lt;0,0,IF((SUM($G275:AF275)-$E274)&lt;AF275,SUM($G275:AF275)-$E274,AF275))</f>
        <v>0</v>
      </c>
      <c r="AG295" s="402">
        <f ca="1">IF((SUM($G275:AG275)-$E274)&lt;0,0,IF((SUM($G275:AG275)-$E274)&lt;AG275,SUM($G275:AG275)-$E274,AG275))</f>
        <v>0</v>
      </c>
      <c r="AH295" s="402">
        <f ca="1">IF((SUM($G275:AH275)-$E274)&lt;0,0,IF((SUM($G275:AH275)-$E274)&lt;AH275,SUM($G275:AH275)-$E274,AH275))</f>
        <v>0</v>
      </c>
      <c r="AI295" s="402">
        <f ca="1">IF((SUM($G275:AI275)-$E274)&lt;0,0,IF((SUM($G275:AI275)-$E274)&lt;AI275,SUM($G275:AI275)-$E274,AI275))</f>
        <v>0</v>
      </c>
      <c r="AJ295" s="402">
        <f ca="1">IF((SUM($G275:AJ275)-$E274)&lt;0,0,IF((SUM($G275:AJ275)-$E274)&lt;AJ275,SUM($G275:AJ275)-$E274,AJ275))</f>
        <v>0</v>
      </c>
      <c r="AK295" s="402">
        <f ca="1">IF((SUM($G275:AK275)-$E274)&lt;0,0,IF((SUM($G275:AK275)-$E274)&lt;AK275,SUM($G275:AK275)-$E274,AK275))</f>
        <v>0</v>
      </c>
      <c r="AL295" s="402">
        <f ca="1">IF((SUM($G275:AL275)-$E274)&lt;0,0,IF((SUM($G275:AL275)-$E274)&lt;AL275,SUM($G275:AL275)-$E274,AL275))</f>
        <v>0</v>
      </c>
      <c r="AM295" s="402">
        <f ca="1">IF((SUM($G275:AM275)-$E274)&lt;0,0,IF((SUM($G275:AM275)-$E274)&lt;AM275,SUM($G275:AM275)-$E274,AM275))</f>
        <v>0</v>
      </c>
      <c r="AN295" s="402">
        <f ca="1">IF((SUM($G275:AN275)-$E274)&lt;0,0,IF((SUM($G275:AN275)-$E274)&lt;AN275,SUM($G275:AN275)-$E274,AN275))</f>
        <v>0</v>
      </c>
      <c r="AO295" s="402">
        <f ca="1">IF((SUM($G275:AO275)-$E274)&lt;0,0,IF((SUM($G275:AO275)-$E274)&lt;AO275,SUM($G275:AO275)-$E274,AO275))</f>
        <v>0</v>
      </c>
      <c r="AP295" s="402">
        <f ca="1">IF((SUM($G275:AP275)-$E274)&lt;0,0,IF((SUM($G275:AP275)-$E274)&lt;AP275,SUM($G275:AP275)-$E274,AP275))</f>
        <v>0</v>
      </c>
      <c r="AQ295" s="402">
        <f ca="1">IF((SUM($G275:AQ275)-$E274)&lt;0,0,IF((SUM($G275:AQ275)-$E274)&lt;AQ275,SUM($G275:AQ275)-$E274,AQ275))</f>
        <v>0</v>
      </c>
      <c r="AR295" s="402">
        <f ca="1">IF((SUM($G275:AR275)-$E274)&lt;0,0,IF((SUM($G275:AR275)-$E274)&lt;AR275,SUM($G275:AR275)-$E274,AR275))</f>
        <v>0</v>
      </c>
      <c r="AS295" s="402">
        <f ca="1">IF((SUM($G275:AS275)-$E274)&lt;0,0,IF((SUM($G275:AS275)-$E274)&lt;AS275,SUM($G275:AS275)-$E274,AS275))</f>
        <v>0</v>
      </c>
      <c r="AT295" s="402">
        <f ca="1">IF((SUM($G275:AT275)-$E274)&lt;0,0,IF((SUM($G275:AT275)-$E274)&lt;AT275,SUM($G275:AT275)-$E274,AT275))</f>
        <v>0</v>
      </c>
      <c r="AU295" s="402">
        <f ca="1">IF((SUM($G275:AU275)-$E274)&lt;0,0,IF((SUM($G275:AU275)-$E274)&lt;AU275,SUM($G275:AU275)-$E274,AU275))</f>
        <v>0</v>
      </c>
      <c r="AV295" s="402">
        <f ca="1">IF((SUM($G275:AV275)-$E274)&lt;0,0,IF((SUM($G275:AV275)-$E274)&lt;AV275,SUM($G275:AV275)-$E274,AV275))</f>
        <v>0</v>
      </c>
      <c r="AW295" s="402">
        <f ca="1">IF((SUM($G275:AW275)-$E274)&lt;0,0,IF((SUM($G275:AW275)-$E274)&lt;AW275,SUM($G275:AW275)-$E274,AW275))</f>
        <v>0</v>
      </c>
      <c r="AX295" s="402">
        <f ca="1">IF((SUM($G275:AX275)-$E274)&lt;0,0,IF((SUM($G275:AX275)-$E274)&lt;AX275,SUM($G275:AX275)-$E274,AX275))</f>
        <v>0</v>
      </c>
      <c r="AY295" s="402">
        <f ca="1">IF((SUM($G275:AY275)-$E274)&lt;0,0,IF((SUM($G275:AY275)-$E274)&lt;AY275,SUM($G275:AY275)-$E274,AY275))</f>
        <v>0</v>
      </c>
      <c r="AZ295" s="402">
        <f ca="1">IF((SUM($G275:AZ275)-$E274)&lt;0,0,IF((SUM($G275:AZ275)-$E274)&lt;AZ275,SUM($G275:AZ275)-$E274,AZ275))</f>
        <v>0</v>
      </c>
      <c r="BA295" s="402">
        <f ca="1">IF((SUM($G275:BA275)-$E274)&lt;0,0,IF((SUM($G275:BA275)-$E274)&lt;BA275,SUM($G275:BA275)-$E274,BA275))</f>
        <v>0</v>
      </c>
      <c r="BB295" s="402">
        <f ca="1">IF((SUM($G275:BB275)-$E274)&lt;0,0,IF((SUM($G275:BB275)-$E274)&lt;BB275,SUM($G275:BB275)-$E274,BB275))</f>
        <v>0</v>
      </c>
      <c r="BC295" s="402">
        <f ca="1">IF((SUM($G275:BC275)-$E274)&lt;0,0,IF((SUM($G275:BC275)-$E274)&lt;BC275,SUM($G275:BC275)-$E274,BC275))</f>
        <v>0</v>
      </c>
      <c r="BD295" s="402">
        <f ca="1">IF((SUM($G275:BD275)-$E274)&lt;0,0,IF((SUM($G275:BD275)-$E274)&lt;BD275,SUM($G275:BD275)-$E274,BD275))</f>
        <v>24</v>
      </c>
      <c r="BE295" s="402">
        <f ca="1">IF((SUM($G275:BE275)-$E274)&lt;0,0,IF((SUM($G275:BE275)-$E274)&lt;BE275,SUM($G275:BE275)-$E274,BE275))</f>
        <v>31</v>
      </c>
      <c r="BF295" s="402">
        <f ca="1">IF((SUM($G275:BF275)-$E274)&lt;0,0,IF((SUM($G275:BF275)-$E274)&lt;BF275,SUM($G275:BF275)-$E274,BF275))</f>
        <v>30</v>
      </c>
      <c r="BG295" s="402">
        <f ca="1">IF((SUM($G275:BG275)-$E274)&lt;0,0,IF((SUM($G275:BG275)-$E274)&lt;BG275,SUM($G275:BG275)-$E274,BG275))</f>
        <v>31</v>
      </c>
      <c r="BH295" s="402">
        <f ca="1">IF((SUM($G275:BH275)-$E274)&lt;0,0,IF((SUM($G275:BH275)-$E274)&lt;BH275,SUM($G275:BH275)-$E274,BH275))</f>
        <v>31</v>
      </c>
      <c r="BI295" s="402">
        <f ca="1">IF((SUM($G275:BI275)-$E274)&lt;0,0,IF((SUM($G275:BI275)-$E274)&lt;BI275,SUM($G275:BI275)-$E274,BI275))</f>
        <v>30</v>
      </c>
      <c r="BJ295" s="402">
        <f ca="1">IF((SUM($G275:BJ275)-$E274)&lt;0,0,IF((SUM($G275:BJ275)-$E274)&lt;BJ275,SUM($G275:BJ275)-$E274,BJ275))</f>
        <v>31</v>
      </c>
      <c r="BK295" s="402">
        <f ca="1">IF((SUM($G275:BK275)-$E274)&lt;0,0,IF((SUM($G275:BK275)-$E274)&lt;BK275,SUM($G275:BK275)-$E274,BK275))</f>
        <v>30</v>
      </c>
      <c r="BL295" s="402">
        <f ca="1">IF((SUM($G275:BL275)-$E274)&lt;0,0,IF((SUM($G275:BL275)-$E274)&lt;BL275,SUM($G275:BL275)-$E274,BL275))</f>
        <v>31</v>
      </c>
      <c r="BM295" s="402">
        <f ca="1">IF((SUM($G275:BM275)-$E274)&lt;0,0,IF((SUM($G275:BM275)-$E274)&lt;BM275,SUM($G275:BM275)-$E274,BM275))</f>
        <v>31</v>
      </c>
      <c r="BN295" s="402">
        <f ca="1">IF((SUM($G275:BN275)-$E274)&lt;0,0,IF((SUM($G275:BN275)-$E274)&lt;BN275,SUM($G275:BN275)-$E274,BN275))</f>
        <v>29</v>
      </c>
      <c r="BO295" s="402">
        <f ca="1">IF((SUM($G275:BO275)-$E274)&lt;0,0,IF((SUM($G275:BO275)-$E274)&lt;BO275,SUM($G275:BO275)-$E274,BO275))</f>
        <v>31</v>
      </c>
      <c r="BP295" s="402">
        <f ca="1">IF((SUM($G275:BP275)-$E274)&lt;0,0,IF((SUM($G275:BP275)-$E274)&lt;BP275,SUM($G275:BP275)-$E274,BP275))</f>
        <v>30</v>
      </c>
      <c r="BQ295" s="402">
        <f ca="1">IF((SUM($G275:BQ275)-$E274)&lt;0,0,IF((SUM($G275:BQ275)-$E274)&lt;BQ275,SUM($G275:BQ275)-$E274,BQ275))</f>
        <v>31</v>
      </c>
      <c r="BR295" s="402">
        <f ca="1">IF((SUM($G275:BR275)-$E274)&lt;0,0,IF((SUM($G275:BR275)-$E274)&lt;BR275,SUM($G275:BR275)-$E274,BR275))</f>
        <v>30</v>
      </c>
      <c r="BS295" s="402">
        <f ca="1">IF((SUM($G275:BS275)-$E274)&lt;0,0,IF((SUM($G275:BS275)-$E274)&lt;BS275,SUM($G275:BS275)-$E274,BS275))</f>
        <v>31</v>
      </c>
      <c r="BT295" s="402">
        <f ca="1">IF((SUM($G275:BT275)-$E274)&lt;0,0,IF((SUM($G275:BT275)-$E274)&lt;BT275,SUM($G275:BT275)-$E274,BT275))</f>
        <v>31</v>
      </c>
      <c r="BU295" s="402">
        <f ca="1">IF((SUM($G275:BU275)-$E274)&lt;0,0,IF((SUM($G275:BU275)-$E274)&lt;BU275,SUM($G275:BU275)-$E274,BU275))</f>
        <v>30</v>
      </c>
      <c r="BV295" s="402">
        <f ca="1">IF((SUM($G275:BV275)-$E274)&lt;0,0,IF((SUM($G275:BV275)-$E274)&lt;BV275,SUM($G275:BV275)-$E274,BV275))</f>
        <v>31</v>
      </c>
      <c r="BW295" s="402">
        <f ca="1">IF((SUM($G275:BW275)-$E274)&lt;0,0,IF((SUM($G275:BW275)-$E274)&lt;BW275,SUM($G275:BW275)-$E274,BW275))</f>
        <v>30</v>
      </c>
      <c r="BX295" s="402">
        <f ca="1">IF((SUM($G275:BX275)-$E274)&lt;0,0,IF((SUM($G275:BX275)-$E274)&lt;BX275,SUM($G275:BX275)-$E274,BX275))</f>
        <v>31</v>
      </c>
      <c r="BY295" s="402">
        <f ca="1">IF((SUM($G275:BY275)-$E274)&lt;0,0,IF((SUM($G275:BY275)-$E274)&lt;BY275,SUM($G275:BY275)-$E274,BY275))</f>
        <v>31</v>
      </c>
      <c r="BZ295" s="402">
        <f ca="1">IF((SUM($G275:BZ275)-$E274)&lt;0,0,IF((SUM($G275:BZ275)-$E274)&lt;BZ275,SUM($G275:BZ275)-$E274,BZ275))</f>
        <v>28</v>
      </c>
      <c r="CA295" s="402">
        <f ca="1">IF((SUM($G275:CA275)-$E274)&lt;0,0,IF((SUM($G275:CA275)-$E274)&lt;CA275,SUM($G275:CA275)-$E274,CA275))</f>
        <v>31</v>
      </c>
      <c r="CB295" s="402">
        <f ca="1">IF((SUM($G275:CB275)-$E274)&lt;0,0,IF((SUM($G275:CB275)-$E274)&lt;CB275,SUM($G275:CB275)-$E274,CB275))</f>
        <v>30</v>
      </c>
      <c r="CC295" s="402">
        <f ca="1">IF((SUM($G275:CC275)-$E274)&lt;0,0,IF((SUM($G275:CC275)-$E274)&lt;CC275,SUM($G275:CC275)-$E274,CC275))</f>
        <v>31</v>
      </c>
      <c r="CD295" s="402">
        <f ca="1">IF((SUM($G275:CD275)-$E274)&lt;0,0,IF((SUM($G275:CD275)-$E274)&lt;CD275,SUM($G275:CD275)-$E274,CD275))</f>
        <v>30</v>
      </c>
      <c r="CE295" s="402">
        <f ca="1">IF((SUM($G275:CE275)-$E274)&lt;0,0,IF((SUM($G275:CE275)-$E274)&lt;CE275,SUM($G275:CE275)-$E274,CE275))</f>
        <v>31</v>
      </c>
      <c r="CF295" s="402">
        <f ca="1">IF((SUM($G275:CF275)-$E274)&lt;0,0,IF((SUM($G275:CF275)-$E274)&lt;CF275,SUM($G275:CF275)-$E274,CF275))</f>
        <v>31</v>
      </c>
      <c r="CG295" s="402">
        <f ca="1">IF((SUM($G275:CG275)-$E274)&lt;0,0,IF((SUM($G275:CG275)-$E274)&lt;CG275,SUM($G275:CG275)-$E274,CG275))</f>
        <v>30</v>
      </c>
      <c r="CH295" s="402">
        <f ca="1">IF((SUM($G275:CH275)-$E274)&lt;0,0,IF((SUM($G275:CH275)-$E274)&lt;CH275,SUM($G275:CH275)-$E274,CH275))</f>
        <v>31</v>
      </c>
      <c r="CI295" s="402">
        <f ca="1">IF((SUM($G275:CI275)-$E274)&lt;0,0,IF((SUM($G275:CI275)-$E274)&lt;CI275,SUM($G275:CI275)-$E274,CI275))</f>
        <v>30</v>
      </c>
      <c r="CJ295" s="402">
        <f ca="1">IF((SUM($G275:CJ275)-$E274)&lt;0,0,IF((SUM($G275:CJ275)-$E274)&lt;CJ275,SUM($G275:CJ275)-$E274,CJ275))</f>
        <v>31</v>
      </c>
      <c r="CK295" s="402">
        <f ca="1">IF((SUM($G275:CK275)-$E274)&lt;0,0,IF((SUM($G275:CK275)-$E274)&lt;CK275,SUM($G275:CK275)-$E274,CK275))</f>
        <v>31</v>
      </c>
      <c r="CL295" s="402">
        <f ca="1">IF((SUM($G275:CL275)-$E274)&lt;0,0,IF((SUM($G275:CL275)-$E274)&lt;CL275,SUM($G275:CL275)-$E274,CL275))</f>
        <v>28</v>
      </c>
      <c r="CM295" s="402">
        <f ca="1">IF((SUM($G275:CM275)-$E274)&lt;0,0,IF((SUM($G275:CM275)-$E274)&lt;CM275,SUM($G275:CM275)-$E274,CM275))</f>
        <v>31</v>
      </c>
      <c r="CN295" s="402">
        <f ca="1">IF((SUM($G275:CN275)-$E274)&lt;0,0,IF((SUM($G275:CN275)-$E274)&lt;CN275,SUM($G275:CN275)-$E274,CN275))</f>
        <v>30</v>
      </c>
      <c r="CO295" s="402">
        <f ca="1">IF((SUM($G275:CO275)-$E274)&lt;0,0,IF((SUM($G275:CO275)-$E274)&lt;CO275,SUM($G275:CO275)-$E274,CO275))</f>
        <v>31</v>
      </c>
      <c r="CP295" s="402">
        <f ca="1">IF((SUM($G275:CP275)-$E274)&lt;0,0,IF((SUM($G275:CP275)-$E274)&lt;CP275,SUM($G275:CP275)-$E274,CP275))</f>
        <v>30</v>
      </c>
      <c r="CQ295" s="402">
        <f ca="1">IF((SUM($G275:CQ275)-$E274)&lt;0,0,IF((SUM($G275:CQ275)-$E274)&lt;CQ275,SUM($G275:CQ275)-$E274,CQ275))</f>
        <v>31</v>
      </c>
      <c r="CR295" s="402">
        <f ca="1">IF((SUM($G275:CR275)-$E274)&lt;0,0,IF((SUM($G275:CR275)-$E274)&lt;CR275,SUM($G275:CR275)-$E274,CR275))</f>
        <v>31</v>
      </c>
      <c r="CS295" s="402">
        <f ca="1">IF((SUM($G275:CS275)-$E274)&lt;0,0,IF((SUM($G275:CS275)-$E274)&lt;CS275,SUM($G275:CS275)-$E274,CS275))</f>
        <v>30</v>
      </c>
      <c r="CT295" s="402">
        <f ca="1">IF((SUM($G275:CT275)-$E274)&lt;0,0,IF((SUM($G275:CT275)-$E274)&lt;CT275,SUM($G275:CT275)-$E274,CT275))</f>
        <v>31</v>
      </c>
      <c r="CU295" s="402">
        <f ca="1">IF((SUM($G275:CU275)-$E274)&lt;0,0,IF((SUM($G275:CU275)-$E274)&lt;CU275,SUM($G275:CU275)-$E274,CU275))</f>
        <v>30</v>
      </c>
      <c r="CV295" s="402">
        <f ca="1">IF((SUM($G275:CV275)-$E274)&lt;0,0,IF((SUM($G275:CV275)-$E274)&lt;CV275,SUM($G275:CV275)-$E274,CV275))</f>
        <v>31</v>
      </c>
      <c r="CW295" s="402">
        <f ca="1">IF((SUM($G275:CW275)-$E274)&lt;0,0,IF((SUM($G275:CW275)-$E274)&lt;CW275,SUM($G275:CW275)-$E274,CW275))</f>
        <v>31</v>
      </c>
      <c r="CX295" s="402">
        <f ca="1">IF((SUM($G275:CX275)-$E274)&lt;0,0,IF((SUM($G275:CX275)-$E274)&lt;CX275,SUM($G275:CX275)-$E274,CX275))</f>
        <v>28</v>
      </c>
      <c r="CY295" s="402">
        <f ca="1">IF((SUM($G275:CY275)-$E274)&lt;0,0,IF((SUM($G275:CY275)-$E274)&lt;CY275,SUM($G275:CY275)-$E274,CY275))</f>
        <v>31</v>
      </c>
      <c r="CZ295" s="402">
        <f ca="1">IF((SUM($G275:CZ275)-$E274)&lt;0,0,IF((SUM($G275:CZ275)-$E274)&lt;CZ275,SUM($G275:CZ275)-$E274,CZ275))</f>
        <v>30</v>
      </c>
      <c r="DA295" s="402">
        <f ca="1">IF((SUM($G275:DA275)-$E274)&lt;0,0,IF((SUM($G275:DA275)-$E274)&lt;DA275,SUM($G275:DA275)-$E274,DA275))</f>
        <v>31</v>
      </c>
      <c r="DB295" s="402">
        <f ca="1">IF((SUM($G275:DB275)-$E274)&lt;0,0,IF((SUM($G275:DB275)-$E274)&lt;DB275,SUM($G275:DB275)-$E274,DB275))</f>
        <v>30</v>
      </c>
      <c r="DC295" s="402">
        <f ca="1">IF((SUM($G275:DC275)-$E274)&lt;0,0,IF((SUM($G275:DC275)-$E274)&lt;DC275,SUM($G275:DC275)-$E274,DC275))</f>
        <v>31</v>
      </c>
      <c r="DD295" s="402">
        <f ca="1">IF((SUM($G275:DD275)-$E274)&lt;0,0,IF((SUM($G275:DD275)-$E274)&lt;DD275,SUM($G275:DD275)-$E274,DD275))</f>
        <v>31</v>
      </c>
      <c r="DE295" s="402">
        <f ca="1">IF((SUM($G275:DE275)-$E274)&lt;0,0,IF((SUM($G275:DE275)-$E274)&lt;DE275,SUM($G275:DE275)-$E274,DE275))</f>
        <v>30</v>
      </c>
      <c r="DF295" s="402">
        <f ca="1">IF((SUM($G275:DF275)-$E274)&lt;0,0,IF((SUM($G275:DF275)-$E274)&lt;DF275,SUM($G275:DF275)-$E274,DF275))</f>
        <v>31</v>
      </c>
      <c r="DG295" s="402">
        <f ca="1">IF((SUM($G275:DG275)-$E274)&lt;0,0,IF((SUM($G275:DG275)-$E274)&lt;DG275,SUM($G275:DG275)-$E274,DG275))</f>
        <v>30</v>
      </c>
      <c r="DH295" s="402">
        <f ca="1">IF((SUM($G275:DH275)-$E274)&lt;0,0,IF((SUM($G275:DH275)-$E274)&lt;DH275,SUM($G275:DH275)-$E274,DH275))</f>
        <v>31</v>
      </c>
      <c r="DI295" s="402">
        <f ca="1">IF((SUM($G275:DI275)-$E274)&lt;0,0,IF((SUM($G275:DI275)-$E274)&lt;DI275,SUM($G275:DI275)-$E274,DI275))</f>
        <v>31</v>
      </c>
      <c r="DJ295" s="402">
        <f ca="1">IF((SUM($G275:DJ275)-$E274)&lt;0,0,IF((SUM($G275:DJ275)-$E274)&lt;DJ275,SUM($G275:DJ275)-$E274,DJ275))</f>
        <v>29</v>
      </c>
      <c r="DK295" s="402">
        <f ca="1">IF((SUM($G275:DK275)-$E274)&lt;0,0,IF((SUM($G275:DK275)-$E274)&lt;DK275,SUM($G275:DK275)-$E274,DK275))</f>
        <v>31</v>
      </c>
      <c r="DL295" s="402">
        <f ca="1">IF((SUM($G275:DL275)-$E274)&lt;0,0,IF((SUM($G275:DL275)-$E274)&lt;DL275,SUM($G275:DL275)-$E274,DL275))</f>
        <v>30</v>
      </c>
      <c r="DM295" s="402">
        <f ca="1">IF((SUM($G275:DM275)-$E274)&lt;0,0,IF((SUM($G275:DM275)-$E274)&lt;DM275,SUM($G275:DM275)-$E274,DM275))</f>
        <v>31</v>
      </c>
      <c r="DN295" s="402">
        <f ca="1">IF((SUM($G275:DN275)-$E274)&lt;0,0,IF((SUM($G275:DN275)-$E274)&lt;DN275,SUM($G275:DN275)-$E274,DN275))</f>
        <v>30</v>
      </c>
      <c r="DO295" s="402">
        <f ca="1">IF((SUM($G275:DO275)-$E274)&lt;0,0,IF((SUM($G275:DO275)-$E274)&lt;DO275,SUM($G275:DO275)-$E274,DO275))</f>
        <v>31</v>
      </c>
      <c r="DP295" s="402">
        <f ca="1">IF((SUM($G275:DP275)-$E274)&lt;0,0,IF((SUM($G275:DP275)-$E274)&lt;DP275,SUM($G275:DP275)-$E274,DP275))</f>
        <v>31</v>
      </c>
      <c r="DQ295" s="402">
        <f ca="1">IF((SUM($G275:DQ275)-$E274)&lt;0,0,IF((SUM($G275:DQ275)-$E274)&lt;DQ275,SUM($G275:DQ275)-$E274,DQ275))</f>
        <v>30</v>
      </c>
      <c r="DR295" s="402">
        <f ca="1">IF((SUM($G275:DR275)-$E274)&lt;0,0,IF((SUM($G275:DR275)-$E274)&lt;DR275,SUM($G275:DR275)-$E274,DR275))</f>
        <v>31</v>
      </c>
      <c r="DS295" s="402">
        <f ca="1">IF((SUM($G275:DS275)-$E274)&lt;0,0,IF((SUM($G275:DS275)-$E274)&lt;DS275,SUM($G275:DS275)-$E274,DS275))</f>
        <v>30</v>
      </c>
      <c r="DT295" s="402">
        <f ca="1">IF((SUM($G275:DT275)-$E274)&lt;0,0,IF((SUM($G275:DT275)-$E274)&lt;DT275,SUM($G275:DT275)-$E274,DT275))</f>
        <v>31</v>
      </c>
      <c r="DU295" s="402">
        <f ca="1">IF((SUM($G275:DU275)-$E274)&lt;0,0,IF((SUM($G275:DU275)-$E274)&lt;DU275,SUM($G275:DU275)-$E274,DU275))</f>
        <v>31</v>
      </c>
      <c r="DV295" s="402">
        <f ca="1">IF((SUM($G275:DV275)-$E274)&lt;0,0,IF((SUM($G275:DV275)-$E274)&lt;DV275,SUM($G275:DV275)-$E274,DV275))</f>
        <v>28</v>
      </c>
      <c r="DW295" s="402">
        <f ca="1">IF((SUM($G275:DW275)-$E274)&lt;0,0,IF((SUM($G275:DW275)-$E274)&lt;DW275,SUM($G275:DW275)-$E274,DW275))</f>
        <v>31</v>
      </c>
      <c r="DX295" s="402">
        <f ca="1">IF((SUM($G275:DX275)-$E274)&lt;0,0,IF((SUM($G275:DX275)-$E274)&lt;DX275,SUM($G275:DX275)-$E274,DX275))</f>
        <v>30</v>
      </c>
      <c r="DY295" s="402">
        <f ca="1">IF((SUM($G275:DY275)-$E274)&lt;0,0,IF((SUM($G275:DY275)-$E274)&lt;DY275,SUM($G275:DY275)-$E274,DY275))</f>
        <v>31</v>
      </c>
      <c r="DZ295" s="402">
        <f ca="1">IF((SUM($G275:DZ275)-$E274)&lt;0,0,IF((SUM($G275:DZ275)-$E274)&lt;DZ275,SUM($G275:DZ275)-$E274,DZ275))</f>
        <v>30</v>
      </c>
      <c r="EA295" s="402">
        <f ca="1">IF((SUM($G275:EA275)-$E274)&lt;0,0,IF((SUM($G275:EA275)-$E274)&lt;EA275,SUM($G275:EA275)-$E274,EA275))</f>
        <v>31</v>
      </c>
      <c r="EB295" s="402">
        <f ca="1">IF((SUM($G275:EB275)-$E274)&lt;0,0,IF((SUM($G275:EB275)-$E274)&lt;EB275,SUM($G275:EB275)-$E274,EB275))</f>
        <v>31</v>
      </c>
      <c r="EC295" s="402">
        <f ca="1">IF((SUM($G275:EC275)-$E274)&lt;0,0,IF((SUM($G275:EC275)-$E274)&lt;EC275,SUM($G275:EC275)-$E274,EC275))</f>
        <v>30</v>
      </c>
      <c r="ED295" s="402">
        <f ca="1">IF((SUM($G275:ED275)-$E274)&lt;0,0,IF((SUM($G275:ED275)-$E274)&lt;ED275,SUM($G275:ED275)-$E274,ED275))</f>
        <v>31</v>
      </c>
      <c r="EE295" s="402">
        <f ca="1">IF((SUM($G275:EE275)-$E274)&lt;0,0,IF((SUM($G275:EE275)-$E274)&lt;EE275,SUM($G275:EE275)-$E274,EE275))</f>
        <v>30</v>
      </c>
      <c r="EF295" s="402">
        <f ca="1">IF((SUM($G275:EF275)-$E274)&lt;0,0,IF((SUM($G275:EF275)-$E274)&lt;EF275,SUM($G275:EF275)-$E274,EF275))</f>
        <v>31</v>
      </c>
      <c r="EG295" s="402">
        <f ca="1">IF((SUM($G275:EG275)-$E274)&lt;0,0,IF((SUM($G275:EG275)-$E274)&lt;EG275,SUM($G275:EG275)-$E274,EG275))</f>
        <v>31</v>
      </c>
      <c r="EH295" s="402">
        <f ca="1">IF((SUM($G275:EH275)-$E274)&lt;0,0,IF((SUM($G275:EH275)-$E274)&lt;EH275,SUM($G275:EH275)-$E274,EH275))</f>
        <v>28</v>
      </c>
      <c r="EI295" s="402">
        <f ca="1">IF((SUM($G275:EI275)-$E274)&lt;0,0,IF((SUM($G275:EI275)-$E274)&lt;EI275,SUM($G275:EI275)-$E274,EI275))</f>
        <v>31</v>
      </c>
    </row>
    <row r="296" spans="1:141" hidden="1" outlineLevel="2">
      <c r="A296" s="332"/>
      <c r="B296" s="313"/>
      <c r="D296" s="305" t="s">
        <v>670</v>
      </c>
      <c r="E296" s="403">
        <f ca="1">MIN(G296:EI296)</f>
        <v>0</v>
      </c>
      <c r="F296" s="404">
        <f ca="1">MAX(G296:EI296)</f>
        <v>0</v>
      </c>
      <c r="G296" s="403" t="str">
        <f ca="1">IF(G294=0,"",IF(SUM($G294:G294)&gt;=1,OFFSET(G$228,-1,0),""))</f>
        <v/>
      </c>
      <c r="H296" s="403" t="str">
        <f ca="1">IF(SUM($G296:G296)&gt;=1,"",IF(H294=0,"",IF(SUM($G294:H294)&gt;=1,OFFSET(H$228,-1,0),"")))</f>
        <v/>
      </c>
      <c r="I296" s="403" t="str">
        <f ca="1">IF(SUM($G296:H296)&gt;=1,"",IF(I294=0,"",IF(SUM($G294:I294)&gt;=1,OFFSET(I$228,-1,0),"")))</f>
        <v/>
      </c>
      <c r="J296" s="403" t="str">
        <f ca="1">IF(SUM($G296:I296)&gt;=1,"",IF(J294=0,"",IF(SUM($G294:J294)&gt;=1,OFFSET(J$228,-1,0),"")))</f>
        <v/>
      </c>
      <c r="K296" s="403" t="str">
        <f ca="1">IF(SUM($G296:J296)&gt;=1,"",IF(K294=0,"",IF(SUM($G294:K294)&gt;=1,OFFSET(K$228,-1,0),"")))</f>
        <v/>
      </c>
      <c r="L296" s="403" t="str">
        <f ca="1">IF(SUM($G296:K296)&gt;=1,"",IF(L294=0,"",IF(SUM($G294:L294)&gt;=1,OFFSET(L$228,-1,0),"")))</f>
        <v/>
      </c>
      <c r="M296" s="403" t="str">
        <f ca="1">IF(SUM($G296:L296)&gt;=1,"",IF(M294=0,"",IF(SUM($G294:M294)&gt;=1,OFFSET(M$228,-1,0),"")))</f>
        <v/>
      </c>
      <c r="N296" s="403" t="str">
        <f ca="1">IF(SUM($G296:M296)&gt;=1,"",IF(N294=0,"",IF(SUM($G294:N294)&gt;=1,OFFSET(N$228,-1,0),"")))</f>
        <v/>
      </c>
      <c r="O296" s="403" t="str">
        <f ca="1">IF(SUM($G296:N296)&gt;=1,"",IF(O294=0,"",IF(SUM($G294:O294)&gt;=1,OFFSET(O$228,-1,0),"")))</f>
        <v/>
      </c>
      <c r="P296" s="403" t="str">
        <f ca="1">IF(SUM($G296:O296)&gt;=1,"",IF(P294=0,"",IF(SUM($G294:P294)&gt;=1,OFFSET(P$228,-1,0),"")))</f>
        <v/>
      </c>
      <c r="Q296" s="403" t="str">
        <f ca="1">IF(SUM($G296:P296)&gt;=1,"",IF(Q294=0,"",IF(SUM($G294:Q294)&gt;=1,OFFSET(Q$228,-1,0),"")))</f>
        <v/>
      </c>
      <c r="R296" s="403" t="str">
        <f ca="1">IF(SUM($G296:Q296)&gt;=1,"",IF(R294=0,"",IF(SUM($G294:R294)&gt;=1,OFFSET(R$228,-1,0),"")))</f>
        <v/>
      </c>
      <c r="S296" s="403" t="str">
        <f ca="1">IF(SUM($G296:R296)&gt;=1,"",IF(S294=0,"",IF(SUM($G294:S294)&gt;=1,OFFSET(S$228,-1,0),"")))</f>
        <v/>
      </c>
      <c r="T296" s="403" t="str">
        <f ca="1">IF(SUM($G296:S296)&gt;=1,"",IF(T294=0,"",IF(SUM($G294:T294)&gt;=1,OFFSET(T$228,-1,0),"")))</f>
        <v/>
      </c>
      <c r="U296" s="403" t="str">
        <f ca="1">IF(SUM($G296:T296)&gt;=1,"",IF(U294=0,"",IF(SUM($G294:U294)&gt;=1,OFFSET(U$228,-1,0),"")))</f>
        <v/>
      </c>
      <c r="V296" s="403" t="str">
        <f ca="1">IF(SUM($G296:U296)&gt;=1,"",IF(V294=0,"",IF(SUM($G294:V294)&gt;=1,OFFSET(V$228,-1,0),"")))</f>
        <v/>
      </c>
      <c r="W296" s="403" t="str">
        <f ca="1">IF(SUM($G296:V296)&gt;=1,"",IF(W294=0,"",IF(SUM($G294:W294)&gt;=1,OFFSET(W$228,-1,0),"")))</f>
        <v/>
      </c>
      <c r="X296" s="403" t="str">
        <f ca="1">IF(SUM($G296:W296)&gt;=1,"",IF(X294=0,"",IF(SUM($G294:X294)&gt;=1,OFFSET(X$228,-1,0),"")))</f>
        <v/>
      </c>
      <c r="Y296" s="403" t="str">
        <f ca="1">IF(SUM($G296:X296)&gt;=1,"",IF(Y294=0,"",IF(SUM($G294:Y294)&gt;=1,OFFSET(Y$228,-1,0),"")))</f>
        <v/>
      </c>
      <c r="Z296" s="403" t="str">
        <f ca="1">IF(SUM($G296:Y296)&gt;=1,"",IF(Z294=0,"",IF(SUM($G294:Z294)&gt;=1,OFFSET(Z$228,-1,0),"")))</f>
        <v/>
      </c>
      <c r="AA296" s="403" t="str">
        <f ca="1">IF(SUM($G296:Z296)&gt;=1,"",IF(AA294=0,"",IF(SUM($G294:AA294)&gt;=1,OFFSET(AA$228,-1,0),"")))</f>
        <v/>
      </c>
      <c r="AB296" s="403" t="str">
        <f ca="1">IF(SUM($G296:AA296)&gt;=1,"",IF(AB294=0,"",IF(SUM($G294:AB294)&gt;=1,OFFSET(AB$228,-1,0),"")))</f>
        <v/>
      </c>
      <c r="AC296" s="403" t="str">
        <f ca="1">IF(SUM($G296:AB296)&gt;=1,"",IF(AC294=0,"",IF(SUM($G294:AC294)&gt;=1,OFFSET(AC$228,-1,0),"")))</f>
        <v/>
      </c>
      <c r="AD296" s="403" t="str">
        <f ca="1">IF(SUM($G296:AC296)&gt;=1,"",IF(AD294=0,"",IF(SUM($G294:AD294)&gt;=1,OFFSET(AD$228,-1,0),"")))</f>
        <v/>
      </c>
      <c r="AE296" s="403" t="str">
        <f ca="1">IF(SUM($G296:AD296)&gt;=1,"",IF(AE294=0,"",IF(SUM($G294:AE294)&gt;=1,OFFSET(AE$228,-1,0),"")))</f>
        <v/>
      </c>
      <c r="AF296" s="403" t="str">
        <f ca="1">IF(SUM($G296:AE296)&gt;=1,"",IF(AF294=0,"",IF(SUM($G294:AF294)&gt;=1,OFFSET(AF$228,-1,0),"")))</f>
        <v/>
      </c>
      <c r="AG296" s="403" t="str">
        <f ca="1">IF(SUM($G296:AF296)&gt;=1,"",IF(AG294=0,"",IF(SUM($G294:AG294)&gt;=1,OFFSET(AG$228,-1,0),"")))</f>
        <v/>
      </c>
      <c r="AH296" s="403" t="str">
        <f ca="1">IF(SUM($G296:AG296)&gt;=1,"",IF(AH294=0,"",IF(SUM($G294:AH294)&gt;=1,OFFSET(AH$228,-1,0),"")))</f>
        <v/>
      </c>
      <c r="AI296" s="403" t="str">
        <f ca="1">IF(SUM($G296:AH296)&gt;=1,"",IF(AI294=0,"",IF(SUM($G294:AI294)&gt;=1,OFFSET(AI$228,-1,0),"")))</f>
        <v/>
      </c>
      <c r="AJ296" s="403" t="str">
        <f ca="1">IF(SUM($G296:AI296)&gt;=1,"",IF(AJ294=0,"",IF(SUM($G294:AJ294)&gt;=1,OFFSET(AJ$228,-1,0),"")))</f>
        <v/>
      </c>
      <c r="AK296" s="403" t="str">
        <f ca="1">IF(SUM($G296:AJ296)&gt;=1,"",IF(AK294=0,"",IF(SUM($G294:AK294)&gt;=1,OFFSET(AK$228,-1,0),"")))</f>
        <v/>
      </c>
      <c r="AL296" s="403" t="str">
        <f ca="1">IF(SUM($G296:AK296)&gt;=1,"",IF(AL294=0,"",IF(SUM($G294:AL294)&gt;=1,OFFSET(AL$228,-1,0),"")))</f>
        <v/>
      </c>
      <c r="AM296" s="403" t="str">
        <f ca="1">IF(SUM($G296:AL296)&gt;=1,"",IF(AM294=0,"",IF(SUM($G294:AM294)&gt;=1,OFFSET(AM$228,-1,0),"")))</f>
        <v/>
      </c>
      <c r="AN296" s="403" t="str">
        <f ca="1">IF(SUM($G296:AM296)&gt;=1,"",IF(AN294=0,"",IF(SUM($G294:AN294)&gt;=1,OFFSET(AN$228,-1,0),"")))</f>
        <v/>
      </c>
      <c r="AO296" s="403" t="str">
        <f ca="1">IF(SUM($G296:AN296)&gt;=1,"",IF(AO294=0,"",IF(SUM($G294:AO294)&gt;=1,OFFSET(AO$228,-1,0),"")))</f>
        <v/>
      </c>
      <c r="AP296" s="403" t="str">
        <f ca="1">IF(SUM($G296:AO296)&gt;=1,"",IF(AP294=0,"",IF(SUM($G294:AP294)&gt;=1,OFFSET(AP$228,-1,0),"")))</f>
        <v/>
      </c>
      <c r="AQ296" s="403" t="str">
        <f ca="1">IF(SUM($G296:AP296)&gt;=1,"",IF(AQ294=0,"",IF(SUM($G294:AQ294)&gt;=1,OFFSET(AQ$228,-1,0),"")))</f>
        <v/>
      </c>
      <c r="AR296" s="403" t="str">
        <f ca="1">IF(SUM($G296:AQ296)&gt;=1,"",IF(AR294=0,"",IF(SUM($G294:AR294)&gt;=1,OFFSET(AR$228,-1,0),"")))</f>
        <v/>
      </c>
      <c r="AS296" s="403" t="str">
        <f ca="1">IF(SUM($G296:AR296)&gt;=1,"",IF(AS294=0,"",IF(SUM($G294:AS294)&gt;=1,OFFSET(AS$228,-1,0),"")))</f>
        <v/>
      </c>
      <c r="AT296" s="403" t="str">
        <f ca="1">IF(SUM($G296:AS296)&gt;=1,"",IF(AT294=0,"",IF(SUM($G294:AT294)&gt;=1,OFFSET(AT$228,-1,0),"")))</f>
        <v/>
      </c>
      <c r="AU296" s="403" t="str">
        <f ca="1">IF(SUM($G296:AT296)&gt;=1,"",IF(AU294=0,"",IF(SUM($G294:AU294)&gt;=1,OFFSET(AU$228,-1,0),"")))</f>
        <v/>
      </c>
      <c r="AV296" s="403" t="str">
        <f ca="1">IF(SUM($G296:AU296)&gt;=1,"",IF(AV294=0,"",IF(SUM($G294:AV294)&gt;=1,OFFSET(AV$228,-1,0),"")))</f>
        <v/>
      </c>
      <c r="AW296" s="403" t="str">
        <f ca="1">IF(SUM($G296:AV296)&gt;=1,"",IF(AW294=0,"",IF(SUM($G294:AW294)&gt;=1,OFFSET(AW$228,-1,0),"")))</f>
        <v/>
      </c>
      <c r="AX296" s="403" t="str">
        <f ca="1">IF(SUM($G296:AW296)&gt;=1,"",IF(AX294=0,"",IF(SUM($G294:AX294)&gt;=1,OFFSET(AX$228,-1,0),"")))</f>
        <v/>
      </c>
      <c r="AY296" s="403" t="str">
        <f ca="1">IF(SUM($G296:AX296)&gt;=1,"",IF(AY294=0,"",IF(SUM($G294:AY294)&gt;=1,OFFSET(AY$228,-1,0),"")))</f>
        <v/>
      </c>
      <c r="AZ296" s="403" t="str">
        <f ca="1">IF(SUM($G296:AY296)&gt;=1,"",IF(AZ294=0,"",IF(SUM($G294:AZ294)&gt;=1,OFFSET(AZ$228,-1,0),"")))</f>
        <v/>
      </c>
      <c r="BA296" s="403" t="str">
        <f ca="1">IF(SUM($G296:AZ296)&gt;=1,"",IF(BA294=0,"",IF(SUM($G294:BA294)&gt;=1,OFFSET(BA$228,-1,0),"")))</f>
        <v/>
      </c>
      <c r="BB296" s="403" t="str">
        <f ca="1">IF(SUM($G296:BA296)&gt;=1,"",IF(BB294=0,"",IF(SUM($G294:BB294)&gt;=1,OFFSET(BB$228,-1,0),"")))</f>
        <v/>
      </c>
      <c r="BC296" s="403" t="str">
        <f ca="1">IF(SUM($G296:BB296)&gt;=1,"",IF(BC294=0,"",IF(SUM($G294:BC294)&gt;=1,OFFSET(BC$228,-1,0),"")))</f>
        <v/>
      </c>
      <c r="BD296" s="403" t="str">
        <f ca="1">IF(SUM($G296:BC296)&gt;=1,"",IF(BD294=0,"",IF(SUM($G294:BD294)&gt;=1,OFFSET(BD$228,-1,0),"")))</f>
        <v/>
      </c>
      <c r="BE296" s="403" t="str">
        <f ca="1">IF(SUM($G296:BD296)&gt;=1,"",IF(BE294=0,"",IF(SUM($G294:BE294)&gt;=1,OFFSET(BE$228,-1,0),"")))</f>
        <v/>
      </c>
      <c r="BF296" s="403" t="str">
        <f ca="1">IF(SUM($G296:BE296)&gt;=1,"",IF(BF294=0,"",IF(SUM($G294:BF294)&gt;=1,OFFSET(BF$228,-1,0),"")))</f>
        <v/>
      </c>
      <c r="BG296" s="403" t="str">
        <f ca="1">IF(SUM($G296:BF296)&gt;=1,"",IF(BG294=0,"",IF(SUM($G294:BG294)&gt;=1,OFFSET(BG$228,-1,0),"")))</f>
        <v/>
      </c>
      <c r="BH296" s="403" t="str">
        <f ca="1">IF(SUM($G296:BG296)&gt;=1,"",IF(BH294=0,"",IF(SUM($G294:BH294)&gt;=1,OFFSET(BH$228,-1,0),"")))</f>
        <v/>
      </c>
      <c r="BI296" s="403" t="str">
        <f ca="1">IF(SUM($G296:BH296)&gt;=1,"",IF(BI294=0,"",IF(SUM($G294:BI294)&gt;=1,OFFSET(BI$228,-1,0),"")))</f>
        <v/>
      </c>
      <c r="BJ296" s="403" t="str">
        <f ca="1">IF(SUM($G296:BI296)&gt;=1,"",IF(BJ294=0,"",IF(SUM($G294:BJ294)&gt;=1,OFFSET(BJ$228,-1,0),"")))</f>
        <v/>
      </c>
      <c r="BK296" s="403" t="str">
        <f ca="1">IF(SUM($G296:BJ296)&gt;=1,"",IF(BK294=0,"",IF(SUM($G294:BK294)&gt;=1,OFFSET(BK$228,-1,0),"")))</f>
        <v/>
      </c>
      <c r="BL296" s="403" t="str">
        <f ca="1">IF(SUM($G296:BK296)&gt;=1,"",IF(BL294=0,"",IF(SUM($G294:BL294)&gt;=1,OFFSET(BL$228,-1,0),"")))</f>
        <v/>
      </c>
      <c r="BM296" s="403" t="str">
        <f ca="1">IF(SUM($G296:BL296)&gt;=1,"",IF(BM294=0,"",IF(SUM($G294:BM294)&gt;=1,OFFSET(BM$228,-1,0),"")))</f>
        <v/>
      </c>
      <c r="BN296" s="403" t="str">
        <f ca="1">IF(SUM($G296:BM296)&gt;=1,"",IF(BN294=0,"",IF(SUM($G294:BN294)&gt;=1,OFFSET(BN$228,-1,0),"")))</f>
        <v/>
      </c>
      <c r="BO296" s="403" t="str">
        <f ca="1">IF(SUM($G296:BN296)&gt;=1,"",IF(BO294=0,"",IF(SUM($G294:BO294)&gt;=1,OFFSET(BO$228,-1,0),"")))</f>
        <v/>
      </c>
      <c r="BP296" s="403" t="str">
        <f ca="1">IF(SUM($G296:BO296)&gt;=1,"",IF(BP294=0,"",IF(SUM($G294:BP294)&gt;=1,OFFSET(BP$228,-1,0),"")))</f>
        <v/>
      </c>
      <c r="BQ296" s="403" t="str">
        <f ca="1">IF(SUM($G296:BP296)&gt;=1,"",IF(BQ294=0,"",IF(SUM($G294:BQ294)&gt;=1,OFFSET(BQ$228,-1,0),"")))</f>
        <v/>
      </c>
      <c r="BR296" s="403" t="str">
        <f ca="1">IF(SUM($G296:BQ296)&gt;=1,"",IF(BR294=0,"",IF(SUM($G294:BR294)&gt;=1,OFFSET(BR$228,-1,0),"")))</f>
        <v/>
      </c>
      <c r="BS296" s="403" t="str">
        <f ca="1">IF(SUM($G296:BR296)&gt;=1,"",IF(BS294=0,"",IF(SUM($G294:BS294)&gt;=1,OFFSET(BS$228,-1,0),"")))</f>
        <v/>
      </c>
      <c r="BT296" s="403" t="str">
        <f ca="1">IF(SUM($G296:BS296)&gt;=1,"",IF(BT294=0,"",IF(SUM($G294:BT294)&gt;=1,OFFSET(BT$228,-1,0),"")))</f>
        <v/>
      </c>
      <c r="BU296" s="403" t="str">
        <f ca="1">IF(SUM($G296:BT296)&gt;=1,"",IF(BU294=0,"",IF(SUM($G294:BU294)&gt;=1,OFFSET(BU$228,-1,0),"")))</f>
        <v/>
      </c>
      <c r="BV296" s="403" t="str">
        <f ca="1">IF(SUM($G296:BU296)&gt;=1,"",IF(BV294=0,"",IF(SUM($G294:BV294)&gt;=1,OFFSET(BV$228,-1,0),"")))</f>
        <v/>
      </c>
      <c r="BW296" s="403" t="str">
        <f ca="1">IF(SUM($G296:BV296)&gt;=1,"",IF(BW294=0,"",IF(SUM($G294:BW294)&gt;=1,OFFSET(BW$228,-1,0),"")))</f>
        <v/>
      </c>
      <c r="BX296" s="403" t="str">
        <f ca="1">IF(SUM($G296:BW296)&gt;=1,"",IF(BX294=0,"",IF(SUM($G294:BX294)&gt;=1,OFFSET(BX$228,-1,0),"")))</f>
        <v/>
      </c>
      <c r="BY296" s="403" t="str">
        <f ca="1">IF(SUM($G296:BX296)&gt;=1,"",IF(BY294=0,"",IF(SUM($G294:BY294)&gt;=1,OFFSET(BY$228,-1,0),"")))</f>
        <v/>
      </c>
      <c r="BZ296" s="403" t="str">
        <f ca="1">IF(SUM($G296:BY296)&gt;=1,"",IF(BZ294=0,"",IF(SUM($G294:BZ294)&gt;=1,OFFSET(BZ$228,-1,0),"")))</f>
        <v/>
      </c>
      <c r="CA296" s="403" t="str">
        <f ca="1">IF(SUM($G296:BZ296)&gt;=1,"",IF(CA294=0,"",IF(SUM($G294:CA294)&gt;=1,OFFSET(CA$228,-1,0),"")))</f>
        <v/>
      </c>
      <c r="CB296" s="403" t="str">
        <f ca="1">IF(SUM($G296:CA296)&gt;=1,"",IF(CB294=0,"",IF(SUM($G294:CB294)&gt;=1,OFFSET(CB$228,-1,0),"")))</f>
        <v/>
      </c>
      <c r="CC296" s="403" t="str">
        <f ca="1">IF(SUM($G296:CB296)&gt;=1,"",IF(CC294=0,"",IF(SUM($G294:CC294)&gt;=1,OFFSET(CC$228,-1,0),"")))</f>
        <v/>
      </c>
      <c r="CD296" s="403" t="str">
        <f ca="1">IF(SUM($G296:CC296)&gt;=1,"",IF(CD294=0,"",IF(SUM($G294:CD294)&gt;=1,OFFSET(CD$228,-1,0),"")))</f>
        <v/>
      </c>
      <c r="CE296" s="403" t="str">
        <f ca="1">IF(SUM($G296:CD296)&gt;=1,"",IF(CE294=0,"",IF(SUM($G294:CE294)&gt;=1,OFFSET(CE$228,-1,0),"")))</f>
        <v/>
      </c>
      <c r="CF296" s="403" t="str">
        <f ca="1">IF(SUM($G296:CE296)&gt;=1,"",IF(CF294=0,"",IF(SUM($G294:CF294)&gt;=1,OFFSET(CF$228,-1,0),"")))</f>
        <v/>
      </c>
      <c r="CG296" s="403" t="str">
        <f ca="1">IF(SUM($G296:CF296)&gt;=1,"",IF(CG294=0,"",IF(SUM($G294:CG294)&gt;=1,OFFSET(CG$228,-1,0),"")))</f>
        <v/>
      </c>
      <c r="CH296" s="403" t="str">
        <f ca="1">IF(SUM($G296:CG296)&gt;=1,"",IF(CH294=0,"",IF(SUM($G294:CH294)&gt;=1,OFFSET(CH$228,-1,0),"")))</f>
        <v/>
      </c>
      <c r="CI296" s="403" t="str">
        <f ca="1">IF(SUM($G296:CH296)&gt;=1,"",IF(CI294=0,"",IF(SUM($G294:CI294)&gt;=1,OFFSET(CI$228,-1,0),"")))</f>
        <v/>
      </c>
      <c r="CJ296" s="403" t="str">
        <f ca="1">IF(SUM($G296:CI296)&gt;=1,"",IF(CJ294=0,"",IF(SUM($G294:CJ294)&gt;=1,OFFSET(CJ$228,-1,0),"")))</f>
        <v/>
      </c>
      <c r="CK296" s="403" t="str">
        <f ca="1">IF(SUM($G296:CJ296)&gt;=1,"",IF(CK294=0,"",IF(SUM($G294:CK294)&gt;=1,OFFSET(CK$228,-1,0),"")))</f>
        <v/>
      </c>
      <c r="CL296" s="403" t="str">
        <f ca="1">IF(SUM($G296:CK296)&gt;=1,"",IF(CL294=0,"",IF(SUM($G294:CL294)&gt;=1,OFFSET(CL$228,-1,0),"")))</f>
        <v/>
      </c>
      <c r="CM296" s="403" t="str">
        <f ca="1">IF(SUM($G296:CL296)&gt;=1,"",IF(CM294=0,"",IF(SUM($G294:CM294)&gt;=1,OFFSET(CM$228,-1,0),"")))</f>
        <v/>
      </c>
      <c r="CN296" s="403" t="str">
        <f ca="1">IF(SUM($G296:CM296)&gt;=1,"",IF(CN294=0,"",IF(SUM($G294:CN294)&gt;=1,OFFSET(CN$228,-1,0),"")))</f>
        <v/>
      </c>
      <c r="CO296" s="403" t="str">
        <f ca="1">IF(SUM($G296:CN296)&gt;=1,"",IF(CO294=0,"",IF(SUM($G294:CO294)&gt;=1,OFFSET(CO$228,-1,0),"")))</f>
        <v/>
      </c>
      <c r="CP296" s="403" t="str">
        <f ca="1">IF(SUM($G296:CO296)&gt;=1,"",IF(CP294=0,"",IF(SUM($G294:CP294)&gt;=1,OFFSET(CP$228,-1,0),"")))</f>
        <v/>
      </c>
      <c r="CQ296" s="403" t="str">
        <f ca="1">IF(SUM($G296:CP296)&gt;=1,"",IF(CQ294=0,"",IF(SUM($G294:CQ294)&gt;=1,OFFSET(CQ$228,-1,0),"")))</f>
        <v/>
      </c>
      <c r="CR296" s="403" t="str">
        <f ca="1">IF(SUM($G296:CQ296)&gt;=1,"",IF(CR294=0,"",IF(SUM($G294:CR294)&gt;=1,OFFSET(CR$228,-1,0),"")))</f>
        <v/>
      </c>
      <c r="CS296" s="403" t="str">
        <f ca="1">IF(SUM($G296:CR296)&gt;=1,"",IF(CS294=0,"",IF(SUM($G294:CS294)&gt;=1,OFFSET(CS$228,-1,0),"")))</f>
        <v/>
      </c>
      <c r="CT296" s="403" t="str">
        <f ca="1">IF(SUM($G296:CS296)&gt;=1,"",IF(CT294=0,"",IF(SUM($G294:CT294)&gt;=1,OFFSET(CT$228,-1,0),"")))</f>
        <v/>
      </c>
      <c r="CU296" s="403" t="str">
        <f ca="1">IF(SUM($G296:CT296)&gt;=1,"",IF(CU294=0,"",IF(SUM($G294:CU294)&gt;=1,OFFSET(CU$228,-1,0),"")))</f>
        <v/>
      </c>
      <c r="CV296" s="403" t="str">
        <f ca="1">IF(SUM($G296:CU296)&gt;=1,"",IF(CV294=0,"",IF(SUM($G294:CV294)&gt;=1,OFFSET(CV$228,-1,0),"")))</f>
        <v/>
      </c>
      <c r="CW296" s="403" t="str">
        <f ca="1">IF(SUM($G296:CV296)&gt;=1,"",IF(CW294=0,"",IF(SUM($G294:CW294)&gt;=1,OFFSET(CW$228,-1,0),"")))</f>
        <v/>
      </c>
      <c r="CX296" s="403" t="str">
        <f ca="1">IF(SUM($G296:CW296)&gt;=1,"",IF(CX294=0,"",IF(SUM($G294:CX294)&gt;=1,OFFSET(CX$228,-1,0),"")))</f>
        <v/>
      </c>
      <c r="CY296" s="403" t="str">
        <f ca="1">IF(SUM($G296:CX296)&gt;=1,"",IF(CY294=0,"",IF(SUM($G294:CY294)&gt;=1,OFFSET(CY$228,-1,0),"")))</f>
        <v/>
      </c>
      <c r="CZ296" s="403" t="str">
        <f ca="1">IF(SUM($G296:CY296)&gt;=1,"",IF(CZ294=0,"",IF(SUM($G294:CZ294)&gt;=1,OFFSET(CZ$228,-1,0),"")))</f>
        <v/>
      </c>
      <c r="DA296" s="403" t="str">
        <f ca="1">IF(SUM($G296:CZ296)&gt;=1,"",IF(DA294=0,"",IF(SUM($G294:DA294)&gt;=1,OFFSET(DA$228,-1,0),"")))</f>
        <v/>
      </c>
      <c r="DB296" s="403" t="str">
        <f ca="1">IF(SUM($G296:DA296)&gt;=1,"",IF(DB294=0,"",IF(SUM($G294:DB294)&gt;=1,OFFSET(DB$228,-1,0),"")))</f>
        <v/>
      </c>
      <c r="DC296" s="403" t="str">
        <f ca="1">IF(SUM($G296:DB296)&gt;=1,"",IF(DC294=0,"",IF(SUM($G294:DC294)&gt;=1,OFFSET(DC$228,-1,0),"")))</f>
        <v/>
      </c>
      <c r="DD296" s="403" t="str">
        <f ca="1">IF(SUM($G296:DC296)&gt;=1,"",IF(DD294=0,"",IF(SUM($G294:DD294)&gt;=1,OFFSET(DD$228,-1,0),"")))</f>
        <v/>
      </c>
      <c r="DE296" s="403" t="str">
        <f ca="1">IF(SUM($G296:DD296)&gt;=1,"",IF(DE294=0,"",IF(SUM($G294:DE294)&gt;=1,OFFSET(DE$228,-1,0),"")))</f>
        <v/>
      </c>
      <c r="DF296" s="403" t="str">
        <f ca="1">IF(SUM($G296:DE296)&gt;=1,"",IF(DF294=0,"",IF(SUM($G294:DF294)&gt;=1,OFFSET(DF$228,-1,0),"")))</f>
        <v/>
      </c>
      <c r="DG296" s="403" t="str">
        <f ca="1">IF(SUM($G296:DF296)&gt;=1,"",IF(DG294=0,"",IF(SUM($G294:DG294)&gt;=1,OFFSET(DG$228,-1,0),"")))</f>
        <v/>
      </c>
      <c r="DH296" s="403" t="str">
        <f ca="1">IF(SUM($G296:DG296)&gt;=1,"",IF(DH294=0,"",IF(SUM($G294:DH294)&gt;=1,OFFSET(DH$228,-1,0),"")))</f>
        <v/>
      </c>
      <c r="DI296" s="403" t="str">
        <f ca="1">IF(SUM($G296:DH296)&gt;=1,"",IF(DI294=0,"",IF(SUM($G294:DI294)&gt;=1,OFFSET(DI$228,-1,0),"")))</f>
        <v/>
      </c>
      <c r="DJ296" s="403" t="str">
        <f ca="1">IF(SUM($G296:DI296)&gt;=1,"",IF(DJ294=0,"",IF(SUM($G294:DJ294)&gt;=1,OFFSET(DJ$228,-1,0),"")))</f>
        <v/>
      </c>
      <c r="DK296" s="403" t="str">
        <f ca="1">IF(SUM($G296:DJ296)&gt;=1,"",IF(DK294=0,"",IF(SUM($G294:DK294)&gt;=1,OFFSET(DK$228,-1,0),"")))</f>
        <v/>
      </c>
      <c r="DL296" s="403" t="str">
        <f ca="1">IF(SUM($G296:DK296)&gt;=1,"",IF(DL294=0,"",IF(SUM($G294:DL294)&gt;=1,OFFSET(DL$228,-1,0),"")))</f>
        <v/>
      </c>
      <c r="DM296" s="403" t="str">
        <f ca="1">IF(SUM($G296:DL296)&gt;=1,"",IF(DM294=0,"",IF(SUM($G294:DM294)&gt;=1,OFFSET(DM$228,-1,0),"")))</f>
        <v/>
      </c>
      <c r="DN296" s="403" t="str">
        <f ca="1">IF(SUM($G296:DM296)&gt;=1,"",IF(DN294=0,"",IF(SUM($G294:DN294)&gt;=1,OFFSET(DN$228,-1,0),"")))</f>
        <v/>
      </c>
      <c r="DO296" s="403" t="str">
        <f ca="1">IF(SUM($G296:DN296)&gt;=1,"",IF(DO294=0,"",IF(SUM($G294:DO294)&gt;=1,OFFSET(DO$228,-1,0),"")))</f>
        <v/>
      </c>
      <c r="DP296" s="403" t="str">
        <f ca="1">IF(SUM($G296:DO296)&gt;=1,"",IF(DP294=0,"",IF(SUM($G294:DP294)&gt;=1,OFFSET(DP$228,-1,0),"")))</f>
        <v/>
      </c>
      <c r="DQ296" s="403" t="str">
        <f ca="1">IF(SUM($G296:DP296)&gt;=1,"",IF(DQ294=0,"",IF(SUM($G294:DQ294)&gt;=1,OFFSET(DQ$228,-1,0),"")))</f>
        <v/>
      </c>
      <c r="DR296" s="403" t="str">
        <f ca="1">IF(SUM($G296:DQ296)&gt;=1,"",IF(DR294=0,"",IF(SUM($G294:DR294)&gt;=1,OFFSET(DR$228,-1,0),"")))</f>
        <v/>
      </c>
      <c r="DS296" s="403" t="str">
        <f ca="1">IF(SUM($G296:DR296)&gt;=1,"",IF(DS294=0,"",IF(SUM($G294:DS294)&gt;=1,OFFSET(DS$228,-1,0),"")))</f>
        <v/>
      </c>
      <c r="DT296" s="403" t="str">
        <f ca="1">IF(SUM($G296:DS296)&gt;=1,"",IF(DT294=0,"",IF(SUM($G294:DT294)&gt;=1,OFFSET(DT$228,-1,0),"")))</f>
        <v/>
      </c>
      <c r="DU296" s="403" t="str">
        <f ca="1">IF(SUM($G296:DT296)&gt;=1,"",IF(DU294=0,"",IF(SUM($G294:DU294)&gt;=1,OFFSET(DU$228,-1,0),"")))</f>
        <v/>
      </c>
      <c r="DV296" s="403" t="str">
        <f ca="1">IF(SUM($G296:DU296)&gt;=1,"",IF(DV294=0,"",IF(SUM($G294:DV294)&gt;=1,OFFSET(DV$228,-1,0),"")))</f>
        <v/>
      </c>
      <c r="DW296" s="403" t="str">
        <f ca="1">IF(SUM($G296:DV296)&gt;=1,"",IF(DW294=0,"",IF(SUM($G294:DW294)&gt;=1,OFFSET(DW$228,-1,0),"")))</f>
        <v/>
      </c>
      <c r="DX296" s="403" t="str">
        <f ca="1">IF(SUM($G296:DW296)&gt;=1,"",IF(DX294=0,"",IF(SUM($G294:DX294)&gt;=1,OFFSET(DX$228,-1,0),"")))</f>
        <v/>
      </c>
      <c r="DY296" s="403" t="str">
        <f ca="1">IF(SUM($G296:DX296)&gt;=1,"",IF(DY294=0,"",IF(SUM($G294:DY294)&gt;=1,OFFSET(DY$228,-1,0),"")))</f>
        <v/>
      </c>
      <c r="DZ296" s="403" t="str">
        <f ca="1">IF(SUM($G296:DY296)&gt;=1,"",IF(DZ294=0,"",IF(SUM($G294:DZ294)&gt;=1,OFFSET(DZ$228,-1,0),"")))</f>
        <v/>
      </c>
      <c r="EA296" s="403" t="str">
        <f ca="1">IF(SUM($G296:DZ296)&gt;=1,"",IF(EA294=0,"",IF(SUM($G294:EA294)&gt;=1,OFFSET(EA$228,-1,0),"")))</f>
        <v/>
      </c>
      <c r="EB296" s="403" t="str">
        <f ca="1">IF(SUM($G296:EA296)&gt;=1,"",IF(EB294=0,"",IF(SUM($G294:EB294)&gt;=1,OFFSET(EB$228,-1,0),"")))</f>
        <v/>
      </c>
      <c r="EC296" s="403" t="str">
        <f ca="1">IF(SUM($G296:EB296)&gt;=1,"",IF(EC294=0,"",IF(SUM($G294:EC294)&gt;=1,OFFSET(EC$228,-1,0),"")))</f>
        <v/>
      </c>
      <c r="ED296" s="403" t="str">
        <f ca="1">IF(SUM($G296:EC296)&gt;=1,"",IF(ED294=0,"",IF(SUM($G294:ED294)&gt;=1,OFFSET(ED$228,-1,0),"")))</f>
        <v/>
      </c>
      <c r="EE296" s="403" t="str">
        <f ca="1">IF(SUM($G296:ED296)&gt;=1,"",IF(EE294=0,"",IF(SUM($G294:EE294)&gt;=1,OFFSET(EE$228,-1,0),"")))</f>
        <v/>
      </c>
      <c r="EF296" s="403" t="str">
        <f ca="1">IF(SUM($G296:EE296)&gt;=1,"",IF(EF294=0,"",IF(SUM($G294:EF294)&gt;=1,OFFSET(EF$228,-1,0),"")))</f>
        <v/>
      </c>
      <c r="EG296" s="403" t="str">
        <f ca="1">IF(SUM($G296:EF296)&gt;=1,"",IF(EG294=0,"",IF(SUM($G294:EG294)&gt;=1,OFFSET(EG$228,-1,0),"")))</f>
        <v/>
      </c>
      <c r="EH296" s="403" t="str">
        <f ca="1">IF(SUM($G296:EG296)&gt;=1,"",IF(EH294=0,"",IF(SUM($G294:EH294)&gt;=1,OFFSET(EH$228,-1,0),"")))</f>
        <v/>
      </c>
      <c r="EI296" s="403" t="str">
        <f ca="1">IF(SUM($G296:EH296)&gt;=1,"",IF(EI294=0,"",IF(SUM($G294:EI294)&gt;=1,OFFSET(EI$228,-1,0),"")))</f>
        <v/>
      </c>
    </row>
    <row r="297" spans="1:141" hidden="1" outlineLevel="2">
      <c r="A297" s="332"/>
      <c r="B297" s="313"/>
      <c r="D297" s="305" t="s">
        <v>671</v>
      </c>
      <c r="E297" s="1002" t="str">
        <f ca="1">IF(E294=0,"",MIN(G297:EI297))</f>
        <v/>
      </c>
      <c r="F297" s="1003"/>
      <c r="G297" s="403" t="str">
        <f>IF(G294=0,"",IF(G294=G$3,G296,G$5+H$5-G298-1))</f>
        <v/>
      </c>
      <c r="H297" s="403" t="str">
        <f ca="1">IF(H294=0,"",IF(H294=H$3,H296,H$5+I$5-H298-1))</f>
        <v/>
      </c>
      <c r="I297" s="403" t="str">
        <f t="shared" ref="I297:BT297" ca="1" si="497">IF(I294=0,"",IF(I294=I$3,I296,I$5+J$5-I298-1))</f>
        <v/>
      </c>
      <c r="J297" s="403" t="str">
        <f t="shared" ca="1" si="497"/>
        <v/>
      </c>
      <c r="K297" s="403" t="str">
        <f t="shared" ca="1" si="497"/>
        <v/>
      </c>
      <c r="L297" s="403" t="str">
        <f t="shared" ca="1" si="497"/>
        <v/>
      </c>
      <c r="M297" s="403" t="str">
        <f t="shared" ca="1" si="497"/>
        <v/>
      </c>
      <c r="N297" s="403" t="str">
        <f t="shared" ca="1" si="497"/>
        <v/>
      </c>
      <c r="O297" s="403" t="str">
        <f t="shared" ca="1" si="497"/>
        <v/>
      </c>
      <c r="P297" s="403" t="str">
        <f t="shared" ca="1" si="497"/>
        <v/>
      </c>
      <c r="Q297" s="403" t="str">
        <f t="shared" ca="1" si="497"/>
        <v/>
      </c>
      <c r="R297" s="403" t="str">
        <f t="shared" ca="1" si="497"/>
        <v/>
      </c>
      <c r="S297" s="403" t="str">
        <f t="shared" ca="1" si="497"/>
        <v/>
      </c>
      <c r="T297" s="403" t="str">
        <f t="shared" ca="1" si="497"/>
        <v/>
      </c>
      <c r="U297" s="403" t="str">
        <f t="shared" ca="1" si="497"/>
        <v/>
      </c>
      <c r="V297" s="403" t="str">
        <f t="shared" ca="1" si="497"/>
        <v/>
      </c>
      <c r="W297" s="403" t="str">
        <f t="shared" ca="1" si="497"/>
        <v/>
      </c>
      <c r="X297" s="403" t="str">
        <f t="shared" ca="1" si="497"/>
        <v/>
      </c>
      <c r="Y297" s="403" t="str">
        <f t="shared" ca="1" si="497"/>
        <v/>
      </c>
      <c r="Z297" s="403" t="str">
        <f t="shared" ca="1" si="497"/>
        <v/>
      </c>
      <c r="AA297" s="403" t="str">
        <f t="shared" ca="1" si="497"/>
        <v/>
      </c>
      <c r="AB297" s="403" t="str">
        <f t="shared" ca="1" si="497"/>
        <v/>
      </c>
      <c r="AC297" s="403" t="str">
        <f t="shared" ca="1" si="497"/>
        <v/>
      </c>
      <c r="AD297" s="403" t="str">
        <f t="shared" ca="1" si="497"/>
        <v/>
      </c>
      <c r="AE297" s="403" t="str">
        <f t="shared" ca="1" si="497"/>
        <v/>
      </c>
      <c r="AF297" s="403" t="str">
        <f t="shared" ca="1" si="497"/>
        <v/>
      </c>
      <c r="AG297" s="403" t="str">
        <f t="shared" ca="1" si="497"/>
        <v/>
      </c>
      <c r="AH297" s="403" t="str">
        <f t="shared" ca="1" si="497"/>
        <v/>
      </c>
      <c r="AI297" s="403" t="str">
        <f t="shared" ca="1" si="497"/>
        <v/>
      </c>
      <c r="AJ297" s="403" t="str">
        <f t="shared" ca="1" si="497"/>
        <v/>
      </c>
      <c r="AK297" s="403" t="str">
        <f t="shared" ca="1" si="497"/>
        <v/>
      </c>
      <c r="AL297" s="403" t="str">
        <f t="shared" ca="1" si="497"/>
        <v/>
      </c>
      <c r="AM297" s="403" t="str">
        <f t="shared" ca="1" si="497"/>
        <v/>
      </c>
      <c r="AN297" s="403" t="str">
        <f t="shared" ca="1" si="497"/>
        <v/>
      </c>
      <c r="AO297" s="403" t="str">
        <f t="shared" ca="1" si="497"/>
        <v/>
      </c>
      <c r="AP297" s="403" t="str">
        <f t="shared" ca="1" si="497"/>
        <v/>
      </c>
      <c r="AQ297" s="403" t="str">
        <f t="shared" ca="1" si="497"/>
        <v/>
      </c>
      <c r="AR297" s="403" t="str">
        <f t="shared" ca="1" si="497"/>
        <v/>
      </c>
      <c r="AS297" s="403" t="str">
        <f t="shared" ca="1" si="497"/>
        <v/>
      </c>
      <c r="AT297" s="403" t="str">
        <f t="shared" ca="1" si="497"/>
        <v/>
      </c>
      <c r="AU297" s="403" t="str">
        <f t="shared" ca="1" si="497"/>
        <v/>
      </c>
      <c r="AV297" s="403" t="str">
        <f t="shared" ca="1" si="497"/>
        <v/>
      </c>
      <c r="AW297" s="403" t="str">
        <f t="shared" ca="1" si="497"/>
        <v/>
      </c>
      <c r="AX297" s="403" t="str">
        <f t="shared" ca="1" si="497"/>
        <v/>
      </c>
      <c r="AY297" s="403" t="str">
        <f t="shared" ca="1" si="497"/>
        <v/>
      </c>
      <c r="AZ297" s="403" t="str">
        <f t="shared" ca="1" si="497"/>
        <v/>
      </c>
      <c r="BA297" s="403" t="str">
        <f t="shared" ca="1" si="497"/>
        <v/>
      </c>
      <c r="BB297" s="403" t="str">
        <f t="shared" ca="1" si="497"/>
        <v/>
      </c>
      <c r="BC297" s="403" t="str">
        <f t="shared" ca="1" si="497"/>
        <v/>
      </c>
      <c r="BD297" s="403" t="str">
        <f t="shared" ca="1" si="497"/>
        <v/>
      </c>
      <c r="BE297" s="403" t="str">
        <f t="shared" ca="1" si="497"/>
        <v/>
      </c>
      <c r="BF297" s="403" t="str">
        <f t="shared" ca="1" si="497"/>
        <v/>
      </c>
      <c r="BG297" s="403" t="str">
        <f t="shared" ca="1" si="497"/>
        <v/>
      </c>
      <c r="BH297" s="403" t="str">
        <f t="shared" ca="1" si="497"/>
        <v/>
      </c>
      <c r="BI297" s="403" t="str">
        <f t="shared" ca="1" si="497"/>
        <v/>
      </c>
      <c r="BJ297" s="403" t="str">
        <f t="shared" ca="1" si="497"/>
        <v/>
      </c>
      <c r="BK297" s="403" t="str">
        <f t="shared" ca="1" si="497"/>
        <v/>
      </c>
      <c r="BL297" s="403" t="str">
        <f t="shared" ca="1" si="497"/>
        <v/>
      </c>
      <c r="BM297" s="403" t="str">
        <f t="shared" ca="1" si="497"/>
        <v/>
      </c>
      <c r="BN297" s="403" t="str">
        <f t="shared" ca="1" si="497"/>
        <v/>
      </c>
      <c r="BO297" s="403" t="str">
        <f t="shared" ca="1" si="497"/>
        <v/>
      </c>
      <c r="BP297" s="403" t="str">
        <f t="shared" ca="1" si="497"/>
        <v/>
      </c>
      <c r="BQ297" s="403" t="str">
        <f t="shared" ca="1" si="497"/>
        <v/>
      </c>
      <c r="BR297" s="403" t="str">
        <f t="shared" ca="1" si="497"/>
        <v/>
      </c>
      <c r="BS297" s="403" t="str">
        <f t="shared" ca="1" si="497"/>
        <v/>
      </c>
      <c r="BT297" s="403" t="str">
        <f t="shared" ca="1" si="497"/>
        <v/>
      </c>
      <c r="BU297" s="403" t="str">
        <f t="shared" ref="BU297:EF297" ca="1" si="498">IF(BU294=0,"",IF(BU294=BU$3,BU296,BU$5+BV$5-BU298-1))</f>
        <v/>
      </c>
      <c r="BV297" s="403" t="str">
        <f t="shared" ca="1" si="498"/>
        <v/>
      </c>
      <c r="BW297" s="403" t="str">
        <f t="shared" ca="1" si="498"/>
        <v/>
      </c>
      <c r="BX297" s="403" t="str">
        <f t="shared" ca="1" si="498"/>
        <v/>
      </c>
      <c r="BY297" s="403" t="str">
        <f t="shared" ca="1" si="498"/>
        <v/>
      </c>
      <c r="BZ297" s="403" t="str">
        <f t="shared" ca="1" si="498"/>
        <v/>
      </c>
      <c r="CA297" s="403" t="str">
        <f t="shared" ca="1" si="498"/>
        <v/>
      </c>
      <c r="CB297" s="403" t="str">
        <f t="shared" ca="1" si="498"/>
        <v/>
      </c>
      <c r="CC297" s="403" t="str">
        <f t="shared" ca="1" si="498"/>
        <v/>
      </c>
      <c r="CD297" s="403" t="str">
        <f t="shared" ca="1" si="498"/>
        <v/>
      </c>
      <c r="CE297" s="403" t="str">
        <f t="shared" ca="1" si="498"/>
        <v/>
      </c>
      <c r="CF297" s="403" t="str">
        <f t="shared" ca="1" si="498"/>
        <v/>
      </c>
      <c r="CG297" s="403" t="str">
        <f t="shared" ca="1" si="498"/>
        <v/>
      </c>
      <c r="CH297" s="403" t="str">
        <f t="shared" ca="1" si="498"/>
        <v/>
      </c>
      <c r="CI297" s="403" t="str">
        <f t="shared" ca="1" si="498"/>
        <v/>
      </c>
      <c r="CJ297" s="403" t="str">
        <f t="shared" ca="1" si="498"/>
        <v/>
      </c>
      <c r="CK297" s="403" t="str">
        <f t="shared" ca="1" si="498"/>
        <v/>
      </c>
      <c r="CL297" s="403" t="str">
        <f t="shared" ca="1" si="498"/>
        <v/>
      </c>
      <c r="CM297" s="403" t="str">
        <f t="shared" ca="1" si="498"/>
        <v/>
      </c>
      <c r="CN297" s="403" t="str">
        <f t="shared" ca="1" si="498"/>
        <v/>
      </c>
      <c r="CO297" s="403" t="str">
        <f t="shared" ca="1" si="498"/>
        <v/>
      </c>
      <c r="CP297" s="403" t="str">
        <f t="shared" ca="1" si="498"/>
        <v/>
      </c>
      <c r="CQ297" s="403" t="str">
        <f t="shared" ca="1" si="498"/>
        <v/>
      </c>
      <c r="CR297" s="403" t="str">
        <f t="shared" ca="1" si="498"/>
        <v/>
      </c>
      <c r="CS297" s="403" t="str">
        <f t="shared" ca="1" si="498"/>
        <v/>
      </c>
      <c r="CT297" s="403" t="str">
        <f t="shared" ca="1" si="498"/>
        <v/>
      </c>
      <c r="CU297" s="403" t="str">
        <f t="shared" ca="1" si="498"/>
        <v/>
      </c>
      <c r="CV297" s="403" t="str">
        <f t="shared" ca="1" si="498"/>
        <v/>
      </c>
      <c r="CW297" s="403" t="str">
        <f t="shared" ca="1" si="498"/>
        <v/>
      </c>
      <c r="CX297" s="403" t="str">
        <f t="shared" ca="1" si="498"/>
        <v/>
      </c>
      <c r="CY297" s="403" t="str">
        <f t="shared" ca="1" si="498"/>
        <v/>
      </c>
      <c r="CZ297" s="403" t="str">
        <f t="shared" ca="1" si="498"/>
        <v/>
      </c>
      <c r="DA297" s="403" t="str">
        <f t="shared" ca="1" si="498"/>
        <v/>
      </c>
      <c r="DB297" s="403" t="str">
        <f t="shared" ca="1" si="498"/>
        <v/>
      </c>
      <c r="DC297" s="403" t="str">
        <f t="shared" ca="1" si="498"/>
        <v/>
      </c>
      <c r="DD297" s="403" t="str">
        <f t="shared" ca="1" si="498"/>
        <v/>
      </c>
      <c r="DE297" s="403" t="str">
        <f t="shared" ca="1" si="498"/>
        <v/>
      </c>
      <c r="DF297" s="403" t="str">
        <f t="shared" ca="1" si="498"/>
        <v/>
      </c>
      <c r="DG297" s="403" t="str">
        <f t="shared" ca="1" si="498"/>
        <v/>
      </c>
      <c r="DH297" s="403" t="str">
        <f t="shared" ca="1" si="498"/>
        <v/>
      </c>
      <c r="DI297" s="403" t="str">
        <f t="shared" ca="1" si="498"/>
        <v/>
      </c>
      <c r="DJ297" s="403" t="str">
        <f t="shared" ca="1" si="498"/>
        <v/>
      </c>
      <c r="DK297" s="403" t="str">
        <f t="shared" ca="1" si="498"/>
        <v/>
      </c>
      <c r="DL297" s="403" t="str">
        <f t="shared" ca="1" si="498"/>
        <v/>
      </c>
      <c r="DM297" s="403" t="str">
        <f t="shared" ca="1" si="498"/>
        <v/>
      </c>
      <c r="DN297" s="403" t="str">
        <f t="shared" ca="1" si="498"/>
        <v/>
      </c>
      <c r="DO297" s="403" t="str">
        <f t="shared" ca="1" si="498"/>
        <v/>
      </c>
      <c r="DP297" s="403" t="str">
        <f t="shared" ca="1" si="498"/>
        <v/>
      </c>
      <c r="DQ297" s="403" t="str">
        <f t="shared" ca="1" si="498"/>
        <v/>
      </c>
      <c r="DR297" s="403" t="str">
        <f t="shared" ca="1" si="498"/>
        <v/>
      </c>
      <c r="DS297" s="403" t="str">
        <f t="shared" ca="1" si="498"/>
        <v/>
      </c>
      <c r="DT297" s="403" t="str">
        <f t="shared" ca="1" si="498"/>
        <v/>
      </c>
      <c r="DU297" s="403" t="str">
        <f t="shared" ca="1" si="498"/>
        <v/>
      </c>
      <c r="DV297" s="403" t="str">
        <f t="shared" ca="1" si="498"/>
        <v/>
      </c>
      <c r="DW297" s="403" t="str">
        <f t="shared" ca="1" si="498"/>
        <v/>
      </c>
      <c r="DX297" s="403" t="str">
        <f t="shared" ca="1" si="498"/>
        <v/>
      </c>
      <c r="DY297" s="403" t="str">
        <f t="shared" ca="1" si="498"/>
        <v/>
      </c>
      <c r="DZ297" s="403" t="str">
        <f t="shared" ca="1" si="498"/>
        <v/>
      </c>
      <c r="EA297" s="403" t="str">
        <f t="shared" ca="1" si="498"/>
        <v/>
      </c>
      <c r="EB297" s="403" t="str">
        <f t="shared" ca="1" si="498"/>
        <v/>
      </c>
      <c r="EC297" s="403" t="str">
        <f t="shared" ca="1" si="498"/>
        <v/>
      </c>
      <c r="ED297" s="403" t="str">
        <f t="shared" ca="1" si="498"/>
        <v/>
      </c>
      <c r="EE297" s="403" t="str">
        <f t="shared" ca="1" si="498"/>
        <v/>
      </c>
      <c r="EF297" s="403" t="str">
        <f t="shared" ca="1" si="498"/>
        <v/>
      </c>
      <c r="EG297" s="403" t="str">
        <f t="shared" ref="EG297:EI297" ca="1" si="499">IF(EG294=0,"",IF(EG294=EG$3,EG296,EG$5+EH$5-EG298-1))</f>
        <v/>
      </c>
      <c r="EH297" s="403" t="str">
        <f t="shared" ca="1" si="499"/>
        <v/>
      </c>
      <c r="EI297" s="403" t="str">
        <f t="shared" ca="1" si="499"/>
        <v/>
      </c>
    </row>
    <row r="298" spans="1:141" hidden="1" outlineLevel="2">
      <c r="A298" s="332"/>
      <c r="B298" s="313"/>
      <c r="D298" s="305" t="s">
        <v>672</v>
      </c>
      <c r="E298" s="1002" t="str">
        <f ca="1">IF(E294=0,"",MAX(G298:EI298))</f>
        <v/>
      </c>
      <c r="F298" s="1003"/>
      <c r="G298" s="403" t="str">
        <f ca="1">IF(SUM(G294:$EI294)=0,"",IF(G$227="","",G$227+G294-1))</f>
        <v/>
      </c>
      <c r="H298" s="403" t="str">
        <f ca="1">IF(SUM(H294:$EI294)=0,"",IF(H$227="","",H$227+H294-1))</f>
        <v/>
      </c>
      <c r="I298" s="403" t="str">
        <f ca="1">IF(SUM(I294:$EI294)=0,"",IF(I$227="","",I$227+I294-1))</f>
        <v/>
      </c>
      <c r="J298" s="403" t="str">
        <f ca="1">IF(SUM(J294:$EI294)=0,"",IF(J$227="","",J$227+J294-1))</f>
        <v/>
      </c>
      <c r="K298" s="403" t="str">
        <f ca="1">IF(SUM(K294:$EI294)=0,"",IF(K$227="","",K$227+K294-1))</f>
        <v/>
      </c>
      <c r="L298" s="403" t="str">
        <f ca="1">IF(SUM(L294:$EI294)=0,"",IF(L$227="","",L$227+L294-1))</f>
        <v/>
      </c>
      <c r="M298" s="403" t="str">
        <f ca="1">IF(SUM(M294:$EI294)=0,"",IF(M$227="","",M$227+M294-1))</f>
        <v/>
      </c>
      <c r="N298" s="403" t="str">
        <f ca="1">IF(SUM(N294:$EI294)=0,"",IF(N$227="","",N$227+N294-1))</f>
        <v/>
      </c>
      <c r="O298" s="403" t="str">
        <f ca="1">IF(SUM(O294:$EI294)=0,"",IF(O$227="","",O$227+O294-1))</f>
        <v/>
      </c>
      <c r="P298" s="403" t="str">
        <f ca="1">IF(SUM(P294:$EI294)=0,"",IF(P$227="","",P$227+P294-1))</f>
        <v/>
      </c>
      <c r="Q298" s="403" t="str">
        <f ca="1">IF(SUM(Q294:$EI294)=0,"",IF(Q$227="","",Q$227+Q294-1))</f>
        <v/>
      </c>
      <c r="R298" s="403" t="str">
        <f ca="1">IF(SUM(R294:$EI294)=0,"",IF(R$227="","",R$227+R294-1))</f>
        <v/>
      </c>
      <c r="S298" s="403" t="str">
        <f ca="1">IF(SUM(S294:$EI294)=0,"",IF(S$227="","",S$227+S294-1))</f>
        <v/>
      </c>
      <c r="T298" s="403" t="str">
        <f ca="1">IF(SUM(T294:$EI294)=0,"",IF(T$227="","",T$227+T294-1))</f>
        <v/>
      </c>
      <c r="U298" s="403" t="str">
        <f ca="1">IF(SUM(U294:$EI294)=0,"",IF(U$227="","",U$227+U294-1))</f>
        <v/>
      </c>
      <c r="V298" s="403" t="str">
        <f ca="1">IF(SUM(V294:$EI294)=0,"",IF(V$227="","",V$227+V294-1))</f>
        <v/>
      </c>
      <c r="W298" s="403" t="str">
        <f ca="1">IF(SUM(W294:$EI294)=0,"",IF(W$227="","",W$227+W294-1))</f>
        <v/>
      </c>
      <c r="X298" s="403" t="str">
        <f ca="1">IF(SUM(X294:$EI294)=0,"",IF(X$227="","",X$227+X294-1))</f>
        <v/>
      </c>
      <c r="Y298" s="403" t="str">
        <f ca="1">IF(SUM(Y294:$EI294)=0,"",IF(Y$227="","",Y$227+Y294-1))</f>
        <v/>
      </c>
      <c r="Z298" s="403" t="str">
        <f ca="1">IF(SUM(Z294:$EI294)=0,"",IF(Z$227="","",Z$227+Z294-1))</f>
        <v/>
      </c>
      <c r="AA298" s="403" t="str">
        <f ca="1">IF(SUM(AA294:$EI294)=0,"",IF(AA$227="","",AA$227+AA294-1))</f>
        <v/>
      </c>
      <c r="AB298" s="403" t="str">
        <f ca="1">IF(SUM(AB294:$EI294)=0,"",IF(AB$227="","",AB$227+AB294-1))</f>
        <v/>
      </c>
      <c r="AC298" s="403" t="str">
        <f ca="1">IF(SUM(AC294:$EI294)=0,"",IF(AC$227="","",AC$227+AC294-1))</f>
        <v/>
      </c>
      <c r="AD298" s="403" t="str">
        <f ca="1">IF(SUM(AD294:$EI294)=0,"",IF(AD$227="","",AD$227+AD294-1))</f>
        <v/>
      </c>
      <c r="AE298" s="403" t="str">
        <f ca="1">IF(SUM(AE294:$EI294)=0,"",IF(AE$227="","",AE$227+AE294-1))</f>
        <v/>
      </c>
      <c r="AF298" s="403" t="str">
        <f ca="1">IF(SUM(AF294:$EI294)=0,"",IF(AF$227="","",AF$227+AF294-1))</f>
        <v/>
      </c>
      <c r="AG298" s="403" t="str">
        <f ca="1">IF(SUM(AG294:$EI294)=0,"",IF(AG$227="","",AG$227+AG294-1))</f>
        <v/>
      </c>
      <c r="AH298" s="403" t="str">
        <f ca="1">IF(SUM(AH294:$EI294)=0,"",IF(AH$227="","",AH$227+AH294-1))</f>
        <v/>
      </c>
      <c r="AI298" s="403" t="str">
        <f ca="1">IF(SUM(AI294:$EI294)=0,"",IF(AI$227="","",AI$227+AI294-1))</f>
        <v/>
      </c>
      <c r="AJ298" s="403" t="str">
        <f ca="1">IF(SUM(AJ294:$EI294)=0,"",IF(AJ$227="","",AJ$227+AJ294-1))</f>
        <v/>
      </c>
      <c r="AK298" s="403" t="str">
        <f ca="1">IF(SUM(AK294:$EI294)=0,"",IF(AK$227="","",AK$227+AK294-1))</f>
        <v/>
      </c>
      <c r="AL298" s="403" t="str">
        <f ca="1">IF(SUM(AL294:$EI294)=0,"",IF(AL$227="","",AL$227+AL294-1))</f>
        <v/>
      </c>
      <c r="AM298" s="403" t="str">
        <f ca="1">IF(SUM(AM294:$EI294)=0,"",IF(AM$227="","",AM$227+AM294-1))</f>
        <v/>
      </c>
      <c r="AN298" s="403" t="str">
        <f ca="1">IF(SUM(AN294:$EI294)=0,"",IF(AN$227="","",AN$227+AN294-1))</f>
        <v/>
      </c>
      <c r="AO298" s="403" t="str">
        <f ca="1">IF(SUM(AO294:$EI294)=0,"",IF(AO$227="","",AO$227+AO294-1))</f>
        <v/>
      </c>
      <c r="AP298" s="403" t="str">
        <f ca="1">IF(SUM(AP294:$EI294)=0,"",IF(AP$227="","",AP$227+AP294-1))</f>
        <v/>
      </c>
      <c r="AQ298" s="403" t="str">
        <f ca="1">IF(SUM(AQ294:$EI294)=0,"",IF(AQ$227="","",AQ$227+AQ294-1))</f>
        <v/>
      </c>
      <c r="AR298" s="403" t="str">
        <f ca="1">IF(SUM(AR294:$EI294)=0,"",IF(AR$227="","",AR$227+AR294-1))</f>
        <v/>
      </c>
      <c r="AS298" s="403" t="str">
        <f ca="1">IF(SUM(AS294:$EI294)=0,"",IF(AS$227="","",AS$227+AS294-1))</f>
        <v/>
      </c>
      <c r="AT298" s="403" t="str">
        <f ca="1">IF(SUM(AT294:$EI294)=0,"",IF(AT$227="","",AT$227+AT294-1))</f>
        <v/>
      </c>
      <c r="AU298" s="403" t="str">
        <f ca="1">IF(SUM(AU294:$EI294)=0,"",IF(AU$227="","",AU$227+AU294-1))</f>
        <v/>
      </c>
      <c r="AV298" s="403" t="str">
        <f ca="1">IF(SUM(AV294:$EI294)=0,"",IF(AV$227="","",AV$227+AV294-1))</f>
        <v/>
      </c>
      <c r="AW298" s="403" t="str">
        <f ca="1">IF(SUM(AW294:$EI294)=0,"",IF(AW$227="","",AW$227+AW294-1))</f>
        <v/>
      </c>
      <c r="AX298" s="403" t="str">
        <f ca="1">IF(SUM(AX294:$EI294)=0,"",IF(AX$227="","",AX$227+AX294-1))</f>
        <v/>
      </c>
      <c r="AY298" s="403" t="str">
        <f ca="1">IF(SUM(AY294:$EI294)=0,"",IF(AY$227="","",AY$227+AY294-1))</f>
        <v/>
      </c>
      <c r="AZ298" s="403" t="str">
        <f ca="1">IF(SUM(AZ294:$EI294)=0,"",IF(AZ$227="","",AZ$227+AZ294-1))</f>
        <v/>
      </c>
      <c r="BA298" s="403" t="str">
        <f ca="1">IF(SUM(BA294:$EI294)=0,"",IF(BA$227="","",BA$227+BA294-1))</f>
        <v/>
      </c>
      <c r="BB298" s="403" t="str">
        <f ca="1">IF(SUM(BB294:$EI294)=0,"",IF(BB$227="","",BB$227+BB294-1))</f>
        <v/>
      </c>
      <c r="BC298" s="403" t="str">
        <f ca="1">IF(SUM(BC294:$EI294)=0,"",IF(BC$227="","",BC$227+BC294-1))</f>
        <v/>
      </c>
      <c r="BD298" s="403" t="str">
        <f ca="1">IF(SUM(BD294:$EI294)=0,"",IF(BD$227="","",BD$227+BD294-1))</f>
        <v/>
      </c>
      <c r="BE298" s="403" t="str">
        <f ca="1">IF(SUM(BE294:$EI294)=0,"",IF(BE$227="","",BE$227+BE294-1))</f>
        <v/>
      </c>
      <c r="BF298" s="403" t="str">
        <f ca="1">IF(SUM(BF294:$EI294)=0,"",IF(BF$227="","",BF$227+BF294-1))</f>
        <v/>
      </c>
      <c r="BG298" s="403" t="str">
        <f ca="1">IF(SUM(BG294:$EI294)=0,"",IF(BG$227="","",BG$227+BG294-1))</f>
        <v/>
      </c>
      <c r="BH298" s="403" t="str">
        <f ca="1">IF(SUM(BH294:$EI294)=0,"",IF(BH$227="","",BH$227+BH294-1))</f>
        <v/>
      </c>
      <c r="BI298" s="403" t="str">
        <f ca="1">IF(SUM(BI294:$EI294)=0,"",IF(BI$227="","",BI$227+BI294-1))</f>
        <v/>
      </c>
      <c r="BJ298" s="403" t="str">
        <f ca="1">IF(SUM(BJ294:$EI294)=0,"",IF(BJ$227="","",BJ$227+BJ294-1))</f>
        <v/>
      </c>
      <c r="BK298" s="403" t="str">
        <f ca="1">IF(SUM(BK294:$EI294)=0,"",IF(BK$227="","",BK$227+BK294-1))</f>
        <v/>
      </c>
      <c r="BL298" s="403" t="str">
        <f ca="1">IF(SUM(BL294:$EI294)=0,"",IF(BL$227="","",BL$227+BL294-1))</f>
        <v/>
      </c>
      <c r="BM298" s="403" t="str">
        <f ca="1">IF(SUM(BM294:$EI294)=0,"",IF(BM$227="","",BM$227+BM294-1))</f>
        <v/>
      </c>
      <c r="BN298" s="403" t="str">
        <f ca="1">IF(SUM(BN294:$EI294)=0,"",IF(BN$227="","",BN$227+BN294-1))</f>
        <v/>
      </c>
      <c r="BO298" s="403" t="str">
        <f ca="1">IF(SUM(BO294:$EI294)=0,"",IF(BO$227="","",BO$227+BO294-1))</f>
        <v/>
      </c>
      <c r="BP298" s="403" t="str">
        <f ca="1">IF(SUM(BP294:$EI294)=0,"",IF(BP$227="","",BP$227+BP294-1))</f>
        <v/>
      </c>
      <c r="BQ298" s="403" t="str">
        <f ca="1">IF(SUM(BQ294:$EI294)=0,"",IF(BQ$227="","",BQ$227+BQ294-1))</f>
        <v/>
      </c>
      <c r="BR298" s="403" t="str">
        <f ca="1">IF(SUM(BR294:$EI294)=0,"",IF(BR$227="","",BR$227+BR294-1))</f>
        <v/>
      </c>
      <c r="BS298" s="403" t="str">
        <f ca="1">IF(SUM(BS294:$EI294)=0,"",IF(BS$227="","",BS$227+BS294-1))</f>
        <v/>
      </c>
      <c r="BT298" s="403" t="str">
        <f ca="1">IF(SUM(BT294:$EI294)=0,"",IF(BT$227="","",BT$227+BT294-1))</f>
        <v/>
      </c>
      <c r="BU298" s="403" t="str">
        <f ca="1">IF(SUM(BU294:$EI294)=0,"",IF(BU$227="","",BU$227+BU294-1))</f>
        <v/>
      </c>
      <c r="BV298" s="403" t="str">
        <f ca="1">IF(SUM(BV294:$EI294)=0,"",IF(BV$227="","",BV$227+BV294-1))</f>
        <v/>
      </c>
      <c r="BW298" s="403" t="str">
        <f ca="1">IF(SUM(BW294:$EI294)=0,"",IF(BW$227="","",BW$227+BW294-1))</f>
        <v/>
      </c>
      <c r="BX298" s="403" t="str">
        <f ca="1">IF(SUM(BX294:$EI294)=0,"",IF(BX$227="","",BX$227+BX294-1))</f>
        <v/>
      </c>
      <c r="BY298" s="403" t="str">
        <f ca="1">IF(SUM(BY294:$EI294)=0,"",IF(BY$227="","",BY$227+BY294-1))</f>
        <v/>
      </c>
      <c r="BZ298" s="403" t="str">
        <f ca="1">IF(SUM(BZ294:$EI294)=0,"",IF(BZ$227="","",BZ$227+BZ294-1))</f>
        <v/>
      </c>
      <c r="CA298" s="403" t="str">
        <f ca="1">IF(SUM(CA294:$EI294)=0,"",IF(CA$227="","",CA$227+CA294-1))</f>
        <v/>
      </c>
      <c r="CB298" s="403" t="str">
        <f ca="1">IF(SUM(CB294:$EI294)=0,"",IF(CB$227="","",CB$227+CB294-1))</f>
        <v/>
      </c>
      <c r="CC298" s="403" t="str">
        <f ca="1">IF(SUM(CC294:$EI294)=0,"",IF(CC$227="","",CC$227+CC294-1))</f>
        <v/>
      </c>
      <c r="CD298" s="403" t="str">
        <f ca="1">IF(SUM(CD294:$EI294)=0,"",IF(CD$227="","",CD$227+CD294-1))</f>
        <v/>
      </c>
      <c r="CE298" s="403" t="str">
        <f ca="1">IF(SUM(CE294:$EI294)=0,"",IF(CE$227="","",CE$227+CE294-1))</f>
        <v/>
      </c>
      <c r="CF298" s="403" t="str">
        <f ca="1">IF(SUM(CF294:$EI294)=0,"",IF(CF$227="","",CF$227+CF294-1))</f>
        <v/>
      </c>
      <c r="CG298" s="403" t="str">
        <f ca="1">IF(SUM(CG294:$EI294)=0,"",IF(CG$227="","",CG$227+CG294-1))</f>
        <v/>
      </c>
      <c r="CH298" s="403" t="str">
        <f ca="1">IF(SUM(CH294:$EI294)=0,"",IF(CH$227="","",CH$227+CH294-1))</f>
        <v/>
      </c>
      <c r="CI298" s="403" t="str">
        <f ca="1">IF(SUM(CI294:$EI294)=0,"",IF(CI$227="","",CI$227+CI294-1))</f>
        <v/>
      </c>
      <c r="CJ298" s="403" t="str">
        <f ca="1">IF(SUM(CJ294:$EI294)=0,"",IF(CJ$227="","",CJ$227+CJ294-1))</f>
        <v/>
      </c>
      <c r="CK298" s="403" t="str">
        <f ca="1">IF(SUM(CK294:$EI294)=0,"",IF(CK$227="","",CK$227+CK294-1))</f>
        <v/>
      </c>
      <c r="CL298" s="403" t="str">
        <f ca="1">IF(SUM(CL294:$EI294)=0,"",IF(CL$227="","",CL$227+CL294-1))</f>
        <v/>
      </c>
      <c r="CM298" s="403" t="str">
        <f ca="1">IF(SUM(CM294:$EI294)=0,"",IF(CM$227="","",CM$227+CM294-1))</f>
        <v/>
      </c>
      <c r="CN298" s="403" t="str">
        <f ca="1">IF(SUM(CN294:$EI294)=0,"",IF(CN$227="","",CN$227+CN294-1))</f>
        <v/>
      </c>
      <c r="CO298" s="403" t="str">
        <f ca="1">IF(SUM(CO294:$EI294)=0,"",IF(CO$227="","",CO$227+CO294-1))</f>
        <v/>
      </c>
      <c r="CP298" s="403" t="str">
        <f ca="1">IF(SUM(CP294:$EI294)=0,"",IF(CP$227="","",CP$227+CP294-1))</f>
        <v/>
      </c>
      <c r="CQ298" s="403" t="str">
        <f ca="1">IF(SUM(CQ294:$EI294)=0,"",IF(CQ$227="","",CQ$227+CQ294-1))</f>
        <v/>
      </c>
      <c r="CR298" s="403" t="str">
        <f ca="1">IF(SUM(CR294:$EI294)=0,"",IF(CR$227="","",CR$227+CR294-1))</f>
        <v/>
      </c>
      <c r="CS298" s="403" t="str">
        <f ca="1">IF(SUM(CS294:$EI294)=0,"",IF(CS$227="","",CS$227+CS294-1))</f>
        <v/>
      </c>
      <c r="CT298" s="403" t="str">
        <f ca="1">IF(SUM(CT294:$EI294)=0,"",IF(CT$227="","",CT$227+CT294-1))</f>
        <v/>
      </c>
      <c r="CU298" s="403" t="str">
        <f ca="1">IF(SUM(CU294:$EI294)=0,"",IF(CU$227="","",CU$227+CU294-1))</f>
        <v/>
      </c>
      <c r="CV298" s="403" t="str">
        <f ca="1">IF(SUM(CV294:$EI294)=0,"",IF(CV$227="","",CV$227+CV294-1))</f>
        <v/>
      </c>
      <c r="CW298" s="403" t="str">
        <f ca="1">IF(SUM(CW294:$EI294)=0,"",IF(CW$227="","",CW$227+CW294-1))</f>
        <v/>
      </c>
      <c r="CX298" s="403" t="str">
        <f ca="1">IF(SUM(CX294:$EI294)=0,"",IF(CX$227="","",CX$227+CX294-1))</f>
        <v/>
      </c>
      <c r="CY298" s="403" t="str">
        <f ca="1">IF(SUM(CY294:$EI294)=0,"",IF(CY$227="","",CY$227+CY294-1))</f>
        <v/>
      </c>
      <c r="CZ298" s="403" t="str">
        <f ca="1">IF(SUM(CZ294:$EI294)=0,"",IF(CZ$227="","",CZ$227+CZ294-1))</f>
        <v/>
      </c>
      <c r="DA298" s="403" t="str">
        <f ca="1">IF(SUM(DA294:$EI294)=0,"",IF(DA$227="","",DA$227+DA294-1))</f>
        <v/>
      </c>
      <c r="DB298" s="403" t="str">
        <f ca="1">IF(SUM(DB294:$EI294)=0,"",IF(DB$227="","",DB$227+DB294-1))</f>
        <v/>
      </c>
      <c r="DC298" s="403" t="str">
        <f ca="1">IF(SUM(DC294:$EI294)=0,"",IF(DC$227="","",DC$227+DC294-1))</f>
        <v/>
      </c>
      <c r="DD298" s="403" t="str">
        <f ca="1">IF(SUM(DD294:$EI294)=0,"",IF(DD$227="","",DD$227+DD294-1))</f>
        <v/>
      </c>
      <c r="DE298" s="403" t="str">
        <f ca="1">IF(SUM(DE294:$EI294)=0,"",IF(DE$227="","",DE$227+DE294-1))</f>
        <v/>
      </c>
      <c r="DF298" s="403" t="str">
        <f ca="1">IF(SUM(DF294:$EI294)=0,"",IF(DF$227="","",DF$227+DF294-1))</f>
        <v/>
      </c>
      <c r="DG298" s="403" t="str">
        <f ca="1">IF(SUM(DG294:$EI294)=0,"",IF(DG$227="","",DG$227+DG294-1))</f>
        <v/>
      </c>
      <c r="DH298" s="403" t="str">
        <f ca="1">IF(SUM(DH294:$EI294)=0,"",IF(DH$227="","",DH$227+DH294-1))</f>
        <v/>
      </c>
      <c r="DI298" s="403" t="str">
        <f ca="1">IF(SUM(DI294:$EI294)=0,"",IF(DI$227="","",DI$227+DI294-1))</f>
        <v/>
      </c>
      <c r="DJ298" s="403" t="str">
        <f ca="1">IF(SUM(DJ294:$EI294)=0,"",IF(DJ$227="","",DJ$227+DJ294-1))</f>
        <v/>
      </c>
      <c r="DK298" s="403" t="str">
        <f ca="1">IF(SUM(DK294:$EI294)=0,"",IF(DK$227="","",DK$227+DK294-1))</f>
        <v/>
      </c>
      <c r="DL298" s="403" t="str">
        <f ca="1">IF(SUM(DL294:$EI294)=0,"",IF(DL$227="","",DL$227+DL294-1))</f>
        <v/>
      </c>
      <c r="DM298" s="403" t="str">
        <f ca="1">IF(SUM(DM294:$EI294)=0,"",IF(DM$227="","",DM$227+DM294-1))</f>
        <v/>
      </c>
      <c r="DN298" s="403" t="str">
        <f ca="1">IF(SUM(DN294:$EI294)=0,"",IF(DN$227="","",DN$227+DN294-1))</f>
        <v/>
      </c>
      <c r="DO298" s="403" t="str">
        <f ca="1">IF(SUM(DO294:$EI294)=0,"",IF(DO$227="","",DO$227+DO294-1))</f>
        <v/>
      </c>
      <c r="DP298" s="403" t="str">
        <f ca="1">IF(SUM(DP294:$EI294)=0,"",IF(DP$227="","",DP$227+DP294-1))</f>
        <v/>
      </c>
      <c r="DQ298" s="403" t="str">
        <f ca="1">IF(SUM(DQ294:$EI294)=0,"",IF(DQ$227="","",DQ$227+DQ294-1))</f>
        <v/>
      </c>
      <c r="DR298" s="403" t="str">
        <f ca="1">IF(SUM(DR294:$EI294)=0,"",IF(DR$227="","",DR$227+DR294-1))</f>
        <v/>
      </c>
      <c r="DS298" s="403" t="str">
        <f ca="1">IF(SUM(DS294:$EI294)=0,"",IF(DS$227="","",DS$227+DS294-1))</f>
        <v/>
      </c>
      <c r="DT298" s="403" t="str">
        <f ca="1">IF(SUM(DT294:$EI294)=0,"",IF(DT$227="","",DT$227+DT294-1))</f>
        <v/>
      </c>
      <c r="DU298" s="403" t="str">
        <f ca="1">IF(SUM(DU294:$EI294)=0,"",IF(DU$227="","",DU$227+DU294-1))</f>
        <v/>
      </c>
      <c r="DV298" s="403" t="str">
        <f ca="1">IF(SUM(DV294:$EI294)=0,"",IF(DV$227="","",DV$227+DV294-1))</f>
        <v/>
      </c>
      <c r="DW298" s="403" t="str">
        <f ca="1">IF(SUM(DW294:$EI294)=0,"",IF(DW$227="","",DW$227+DW294-1))</f>
        <v/>
      </c>
      <c r="DX298" s="403" t="str">
        <f ca="1">IF(SUM(DX294:$EI294)=0,"",IF(DX$227="","",DX$227+DX294-1))</f>
        <v/>
      </c>
      <c r="DY298" s="403" t="str">
        <f ca="1">IF(SUM(DY294:$EI294)=0,"",IF(DY$227="","",DY$227+DY294-1))</f>
        <v/>
      </c>
      <c r="DZ298" s="403" t="str">
        <f ca="1">IF(SUM(DZ294:$EI294)=0,"",IF(DZ$227="","",DZ$227+DZ294-1))</f>
        <v/>
      </c>
      <c r="EA298" s="403" t="str">
        <f ca="1">IF(SUM(EA294:$EI294)=0,"",IF(EA$227="","",EA$227+EA294-1))</f>
        <v/>
      </c>
      <c r="EB298" s="403" t="str">
        <f ca="1">IF(SUM(EB294:$EI294)=0,"",IF(EB$227="","",EB$227+EB294-1))</f>
        <v/>
      </c>
      <c r="EC298" s="403" t="str">
        <f ca="1">IF(SUM(EC294:$EI294)=0,"",IF(EC$227="","",EC$227+EC294-1))</f>
        <v/>
      </c>
      <c r="ED298" s="403" t="str">
        <f ca="1">IF(SUM(ED294:$EI294)=0,"",IF(ED$227="","",ED$227+ED294-1))</f>
        <v/>
      </c>
      <c r="EE298" s="403" t="str">
        <f ca="1">IF(SUM(EE294:$EI294)=0,"",IF(EE$227="","",EE$227+EE294-1))</f>
        <v/>
      </c>
      <c r="EF298" s="403" t="str">
        <f ca="1">IF(SUM(EF294:$EI294)=0,"",IF(EF$227="","",EF$227+EF294-1))</f>
        <v/>
      </c>
      <c r="EG298" s="403" t="str">
        <f ca="1">IF(SUM(EG294:$EI294)=0,"",IF(EG$227="","",EG$227+EG294-1))</f>
        <v/>
      </c>
      <c r="EH298" s="403" t="str">
        <f ca="1">IF(SUM(EH294:$EI294)=0,"",IF(EH$227="","",EH$227+EH294-1))</f>
        <v/>
      </c>
      <c r="EI298" s="403" t="str">
        <f ca="1">IF(SUM(EI294:$EI294)=0,"",IF(EI$227="","",EI$227+EI294-1))</f>
        <v/>
      </c>
    </row>
    <row r="299" spans="1:141" outlineLevel="1" collapsed="1">
      <c r="A299" s="332"/>
      <c r="B299" s="313"/>
      <c r="C299" s="317" t="s">
        <v>78</v>
      </c>
      <c r="D299" s="317" t="s">
        <v>28</v>
      </c>
      <c r="E299" s="400">
        <f ca="1">IF(ГРП!B22=0,длительность!J97,ГРП!B22)</f>
        <v>569</v>
      </c>
      <c r="F299" s="318">
        <f ca="1">E299-SUM(G299:EJ299)</f>
        <v>0</v>
      </c>
      <c r="G299" s="401"/>
      <c r="H299" s="401">
        <f ca="1">IF(SUM($G299:G299)&gt;=$E299,0,IF($E299-SUM($G299:G299)&gt;H300,H300,$E299-SUM($G300:G300)))</f>
        <v>0</v>
      </c>
      <c r="I299" s="401">
        <f ca="1">IF(SUM($G299:H299)&gt;=$E299,0,IF($E299-SUM($G299:H299)&gt;I300,I300,$E299-SUM($G300:H300)))</f>
        <v>0</v>
      </c>
      <c r="J299" s="401">
        <f ca="1">IF(SUM($G299:I299)&gt;=$E299,0,IF($E299-SUM($G299:I299)&gt;J300,J300,$E299-SUM($G300:I300)))</f>
        <v>0</v>
      </c>
      <c r="K299" s="401">
        <f ca="1">IF(SUM($G299:J299)&gt;=$E299,0,IF($E299-SUM($G299:J299)&gt;K300,K300,$E299-SUM($G300:J300)))</f>
        <v>0</v>
      </c>
      <c r="L299" s="401">
        <f ca="1">IF(SUM($G299:K299)&gt;=$E299,0,IF($E299-SUM($G299:K299)&gt;L300,L300,$E299-SUM($G300:K300)))</f>
        <v>0</v>
      </c>
      <c r="M299" s="401">
        <f ca="1">IF(SUM($G299:L299)&gt;=$E299,0,IF($E299-SUM($G299:L299)&gt;M300,M300,$E299-SUM($G300:L300)))</f>
        <v>0</v>
      </c>
      <c r="N299" s="401">
        <f ca="1">IF(SUM($G299:M299)&gt;=$E299,0,IF($E299-SUM($G299:M299)&gt;N300,N300,$E299-SUM($G300:M300)))</f>
        <v>0</v>
      </c>
      <c r="O299" s="401">
        <f ca="1">IF(SUM($G299:N299)&gt;=$E299,0,IF($E299-SUM($G299:N299)&gt;O300,O300,$E299-SUM($G300:N300)))</f>
        <v>0</v>
      </c>
      <c r="P299" s="401">
        <f ca="1">IF(SUM($G299:O299)&gt;=$E299,0,IF($E299-SUM($G299:O299)&gt;P300,P300,$E299-SUM($G300:O300)))</f>
        <v>0</v>
      </c>
      <c r="Q299" s="401">
        <f ca="1">IF(SUM($G299:P299)&gt;=$E299,0,IF($E299-SUM($G299:P299)&gt;Q300,Q300,$E299-SUM($G300:P300)))</f>
        <v>0</v>
      </c>
      <c r="R299" s="401">
        <f ca="1">IF(SUM($G299:Q299)&gt;=$E299,0,IF($E299-SUM($G299:Q299)&gt;R300,R300,$E299-SUM($G300:Q300)))</f>
        <v>0</v>
      </c>
      <c r="S299" s="401">
        <f ca="1">IF(SUM($G299:R299)&gt;=$E299,0,IF($E299-SUM($G299:R299)&gt;S300,S300,$E299-SUM($G300:R300)))</f>
        <v>0</v>
      </c>
      <c r="T299" s="401">
        <f ca="1">IF(SUM($G299:S299)&gt;=$E299,0,IF($E299-SUM($G299:S299)&gt;T300,T300,$E299-SUM($G300:S300)))</f>
        <v>0</v>
      </c>
      <c r="U299" s="401">
        <f ca="1">IF(SUM($G299:T299)&gt;=$E299,0,IF($E299-SUM($G299:T299)&gt;U300,U300,$E299-SUM($G300:T300)))</f>
        <v>0</v>
      </c>
      <c r="V299" s="401">
        <f ca="1">IF(SUM($G299:U299)&gt;=$E299,0,IF($E299-SUM($G299:U299)&gt;V300,V300,$E299-SUM($G300:U300)))</f>
        <v>0</v>
      </c>
      <c r="W299" s="401">
        <f ca="1">IF(SUM($G299:V299)&gt;=$E299,0,IF($E299-SUM($G299:V299)&gt;W300,W300,$E299-SUM($G300:V300)))</f>
        <v>0</v>
      </c>
      <c r="X299" s="401">
        <f ca="1">IF(SUM($G299:W299)&gt;=$E299,0,IF($E299-SUM($G299:W299)&gt;X300,X300,$E299-SUM($G300:W300)))</f>
        <v>0</v>
      </c>
      <c r="Y299" s="401">
        <f ca="1">IF(SUM($G299:X299)&gt;=$E299,0,IF($E299-SUM($G299:X299)&gt;Y300,Y300,$E299-SUM($G300:X300)))</f>
        <v>0</v>
      </c>
      <c r="Z299" s="401">
        <f ca="1">IF(SUM($G299:Y299)&gt;=$E299,0,IF($E299-SUM($G299:Y299)&gt;Z300,Z300,$E299-SUM($G300:Y300)))</f>
        <v>0</v>
      </c>
      <c r="AA299" s="401">
        <f ca="1">IF(SUM($G299:Z299)&gt;=$E299,0,IF($E299-SUM($G299:Z299)&gt;AA300,AA300,$E299-SUM($G300:Z300)))</f>
        <v>0</v>
      </c>
      <c r="AB299" s="401">
        <f ca="1">IF(SUM($G299:AA299)&gt;=$E299,0,IF($E299-SUM($G299:AA299)&gt;AB300,AB300,$E299-SUM($G300:AA300)))</f>
        <v>0</v>
      </c>
      <c r="AC299" s="401">
        <f ca="1">IF(SUM($G299:AB299)&gt;=$E299,0,IF($E299-SUM($G299:AB299)&gt;AC300,AC300,$E299-SUM($G300:AB300)))</f>
        <v>0</v>
      </c>
      <c r="AD299" s="401">
        <f ca="1">IF(SUM($G299:AC299)&gt;=$E299,0,IF($E299-SUM($G299:AC299)&gt;AD300,AD300,$E299-SUM($G300:AC300)))</f>
        <v>0</v>
      </c>
      <c r="AE299" s="401">
        <f ca="1">IF(SUM($G299:AD299)&gt;=$E299,0,IF($E299-SUM($G299:AD299)&gt;AE300,AE300,$E299-SUM($G300:AD300)))</f>
        <v>0</v>
      </c>
      <c r="AF299" s="401">
        <f ca="1">IF(SUM($G299:AE299)&gt;=$E299,0,IF($E299-SUM($G299:AE299)&gt;AF300,AF300,$E299-SUM($G300:AE300)))</f>
        <v>0</v>
      </c>
      <c r="AG299" s="401">
        <f ca="1">IF(SUM($G299:AF299)&gt;=$E299,0,IF($E299-SUM($G299:AF299)&gt;AG300,AG300,$E299-SUM($G300:AF300)))</f>
        <v>0</v>
      </c>
      <c r="AH299" s="401">
        <f ca="1">IF(SUM($G299:AG299)&gt;=$E299,0,IF($E299-SUM($G299:AG299)&gt;AH300,AH300,$E299-SUM($G300:AG300)))</f>
        <v>0</v>
      </c>
      <c r="AI299" s="401">
        <f ca="1">IF(SUM($G299:AH299)&gt;=$E299,0,IF($E299-SUM($G299:AH299)&gt;AI300,AI300,$E299-SUM($G300:AH300)))</f>
        <v>0</v>
      </c>
      <c r="AJ299" s="401">
        <f ca="1">IF(SUM($G299:AI299)&gt;=$E299,0,IF($E299-SUM($G299:AI299)&gt;AJ300,AJ300,$E299-SUM($G300:AI300)))</f>
        <v>0</v>
      </c>
      <c r="AK299" s="401">
        <f ca="1">IF(SUM($G299:AJ299)&gt;=$E299,0,IF($E299-SUM($G299:AJ299)&gt;AK300,AK300,$E299-SUM($G300:AJ300)))</f>
        <v>0</v>
      </c>
      <c r="AL299" s="401">
        <f ca="1">IF(SUM($G299:AK299)&gt;=$E299,0,IF($E299-SUM($G299:AK299)&gt;AL300,AL300,$E299-SUM($G300:AK300)))</f>
        <v>0</v>
      </c>
      <c r="AM299" s="401">
        <f ca="1">IF(SUM($G299:AL299)&gt;=$E299,0,IF($E299-SUM($G299:AL299)&gt;AM300,AM300,$E299-SUM($G300:AL300)))</f>
        <v>0</v>
      </c>
      <c r="AN299" s="401">
        <f ca="1">IF(SUM($G299:AM299)&gt;=$E299,0,IF($E299-SUM($G299:AM299)&gt;AN300,AN300,$E299-SUM($G300:AM300)))</f>
        <v>0</v>
      </c>
      <c r="AO299" s="401">
        <f ca="1">IF(SUM($G299:AN299)&gt;=$E299,0,IF($E299-SUM($G299:AN299)&gt;AO300,AO300,$E299-SUM($G300:AN300)))</f>
        <v>0</v>
      </c>
      <c r="AP299" s="401">
        <f ca="1">IF(SUM($G299:AO299)&gt;=$E299,0,IF($E299-SUM($G299:AO299)&gt;AP300,AP300,$E299-SUM($G300:AO300)))</f>
        <v>0</v>
      </c>
      <c r="AQ299" s="401">
        <f ca="1">IF(SUM($G299:AP299)&gt;=$E299,0,IF($E299-SUM($G299:AP299)&gt;AQ300,AQ300,$E299-SUM($G300:AP300)))</f>
        <v>0</v>
      </c>
      <c r="AR299" s="401">
        <f ca="1">IF(SUM($G299:AQ299)&gt;=$E299,0,IF($E299-SUM($G299:AQ299)&gt;AR300,AR300,$E299-SUM($G300:AQ300)))</f>
        <v>0</v>
      </c>
      <c r="AS299" s="401">
        <f ca="1">IF(SUM($G299:AR299)&gt;=$E299,0,IF($E299-SUM($G299:AR299)&gt;AS300,AS300,$E299-SUM($G300:AR300)))</f>
        <v>25.299999999999997</v>
      </c>
      <c r="AT299" s="401">
        <f ca="1">IF(SUM($G299:AS299)&gt;=$E299,0,IF($E299-SUM($G299:AS299)&gt;AT300,AT300,$E299-SUM($G300:AS300)))</f>
        <v>30</v>
      </c>
      <c r="AU299" s="401">
        <f ca="1">IF(SUM($G299:AT299)&gt;=$E299,0,IF($E299-SUM($G299:AT299)&gt;AU300,AU300,$E299-SUM($G300:AT300)))</f>
        <v>31</v>
      </c>
      <c r="AV299" s="401">
        <f ca="1">IF(SUM($G299:AU299)&gt;=$E299,0,IF($E299-SUM($G299:AU299)&gt;AV300,AV300,$E299-SUM($G300:AU300)))</f>
        <v>31</v>
      </c>
      <c r="AW299" s="401">
        <f ca="1">IF(SUM($G299:AV299)&gt;=$E299,0,IF($E299-SUM($G299:AV299)&gt;AW300,AW300,$E299-SUM($G300:AV300)))</f>
        <v>30</v>
      </c>
      <c r="AX299" s="401">
        <f ca="1">IF(SUM($G299:AW299)&gt;=$E299,0,IF($E299-SUM($G299:AW299)&gt;AX300,AX300,$E299-SUM($G300:AW300)))</f>
        <v>31</v>
      </c>
      <c r="AY299" s="401">
        <f ca="1">IF(SUM($G299:AX299)&gt;=$E299,0,IF($E299-SUM($G299:AX299)&gt;AY300,AY300,$E299-SUM($G300:AX300)))</f>
        <v>30</v>
      </c>
      <c r="AZ299" s="401">
        <f ca="1">IF(SUM($G299:AY299)&gt;=$E299,0,IF($E299-SUM($G299:AY299)&gt;AZ300,AZ300,$E299-SUM($G300:AY300)))</f>
        <v>31</v>
      </c>
      <c r="BA299" s="401">
        <f ca="1">IF(SUM($G299:AZ299)&gt;=$E299,0,IF($E299-SUM($G299:AZ299)&gt;BA300,BA300,$E299-SUM($G300:AZ300)))</f>
        <v>31</v>
      </c>
      <c r="BB299" s="401">
        <f ca="1">IF(SUM($G299:BA299)&gt;=$E299,0,IF($E299-SUM($G299:BA299)&gt;BB300,BB300,$E299-SUM($G300:BA300)))</f>
        <v>28</v>
      </c>
      <c r="BC299" s="401">
        <f ca="1">IF(SUM($G299:BB299)&gt;=$E299,0,IF($E299-SUM($G299:BB299)&gt;BC300,BC300,$E299-SUM($G300:BB300)))</f>
        <v>31</v>
      </c>
      <c r="BD299" s="401">
        <f ca="1">IF(SUM($G299:BC299)&gt;=$E299,0,IF($E299-SUM($G299:BC299)&gt;BD300,BD300,$E299-SUM($G300:BC300)))</f>
        <v>30</v>
      </c>
      <c r="BE299" s="401">
        <f ca="1">IF(SUM($G299:BD299)&gt;=$E299,0,IF($E299-SUM($G299:BD299)&gt;BE300,BE300,$E299-SUM($G300:BD300)))</f>
        <v>31</v>
      </c>
      <c r="BF299" s="401">
        <f ca="1">IF(SUM($G299:BE299)&gt;=$E299,0,IF($E299-SUM($G299:BE299)&gt;BF300,BF300,$E299-SUM($G300:BE300)))</f>
        <v>30</v>
      </c>
      <c r="BG299" s="401">
        <f ca="1">IF(SUM($G299:BF299)&gt;=$E299,0,IF($E299-SUM($G299:BF299)&gt;BG300,BG300,$E299-SUM($G300:BF300)))</f>
        <v>31</v>
      </c>
      <c r="BH299" s="401">
        <f ca="1">IF(SUM($G299:BG299)&gt;=$E299,0,IF($E299-SUM($G299:BG299)&gt;BH300,BH300,$E299-SUM($G300:BG300)))</f>
        <v>31</v>
      </c>
      <c r="BI299" s="401">
        <f ca="1">IF(SUM($G299:BH299)&gt;=$E299,0,IF($E299-SUM($G299:BH299)&gt;BI300,BI300,$E299-SUM($G300:BH300)))</f>
        <v>30</v>
      </c>
      <c r="BJ299" s="401">
        <f ca="1">IF(SUM($G299:BI299)&gt;=$E299,0,IF($E299-SUM($G299:BI299)&gt;BJ300,BJ300,$E299-SUM($G300:BI300)))</f>
        <v>31</v>
      </c>
      <c r="BK299" s="401">
        <f ca="1">IF(SUM($G299:BJ299)&gt;=$E299,0,IF($E299-SUM($G299:BJ299)&gt;BK300,BK300,$E299-SUM($G300:BJ300)))</f>
        <v>25.700000000000045</v>
      </c>
      <c r="BL299" s="401">
        <f ca="1">IF(SUM($G299:BK299)&gt;=$E299,0,IF($E299-SUM($G299:BK299)&gt;BL300,BL300,$E299-SUM($G300:BK300)))</f>
        <v>0</v>
      </c>
      <c r="BM299" s="401">
        <f ca="1">IF(SUM($G299:BL299)&gt;=$E299,0,IF($E299-SUM($G299:BL299)&gt;BM300,BM300,$E299-SUM($G300:BL300)))</f>
        <v>0</v>
      </c>
      <c r="BN299" s="401">
        <f ca="1">IF(SUM($G299:BM299)&gt;=$E299,0,IF($E299-SUM($G299:BM299)&gt;BN300,BN300,$E299-SUM($G300:BM300)))</f>
        <v>0</v>
      </c>
      <c r="BO299" s="401">
        <f ca="1">IF(SUM($G299:BN299)&gt;=$E299,0,IF($E299-SUM($G299:BN299)&gt;BO300,BO300,$E299-SUM($G300:BN300)))</f>
        <v>0</v>
      </c>
      <c r="BP299" s="401">
        <f ca="1">IF(SUM($G299:BO299)&gt;=$E299,0,IF($E299-SUM($G299:BO299)&gt;BP300,BP300,$E299-SUM($G300:BO300)))</f>
        <v>0</v>
      </c>
      <c r="BQ299" s="401">
        <f ca="1">IF(SUM($G299:BP299)&gt;=$E299,0,IF($E299-SUM($G299:BP299)&gt;BQ300,BQ300,$E299-SUM($G300:BP300)))</f>
        <v>0</v>
      </c>
      <c r="BR299" s="401">
        <f ca="1">IF(SUM($G299:BQ299)&gt;=$E299,0,IF($E299-SUM($G299:BQ299)&gt;BR300,BR300,$E299-SUM($G300:BQ300)))</f>
        <v>0</v>
      </c>
      <c r="BS299" s="401">
        <f ca="1">IF(SUM($G299:BR299)&gt;=$E299,0,IF($E299-SUM($G299:BR299)&gt;BS300,BS300,$E299-SUM($G300:BR300)))</f>
        <v>0</v>
      </c>
      <c r="BT299" s="401">
        <f ca="1">IF(SUM($G299:BS299)&gt;=$E299,0,IF($E299-SUM($G299:BS299)&gt;BT300,BT300,$E299-SUM($G300:BS300)))</f>
        <v>0</v>
      </c>
      <c r="BU299" s="401">
        <f ca="1">IF(SUM($G299:BT299)&gt;=$E299,0,IF($E299-SUM($G299:BT299)&gt;BU300,BU300,$E299-SUM($G300:BT300)))</f>
        <v>0</v>
      </c>
      <c r="BV299" s="401">
        <f ca="1">IF(SUM($G299:BU299)&gt;=$E299,0,IF($E299-SUM($G299:BU299)&gt;BV300,BV300,$E299-SUM($G300:BU300)))</f>
        <v>0</v>
      </c>
      <c r="BW299" s="401">
        <f ca="1">IF(SUM($G299:BV299)&gt;=$E299,0,IF($E299-SUM($G299:BV299)&gt;BW300,BW300,$E299-SUM($G300:BV300)))</f>
        <v>0</v>
      </c>
      <c r="BX299" s="401">
        <f ca="1">IF(SUM($G299:BW299)&gt;=$E299,0,IF($E299-SUM($G299:BW299)&gt;BX300,BX300,$E299-SUM($G300:BW300)))</f>
        <v>0</v>
      </c>
      <c r="BY299" s="401">
        <f ca="1">IF(SUM($G299:BX299)&gt;=$E299,0,IF($E299-SUM($G299:BX299)&gt;BY300,BY300,$E299-SUM($G300:BX300)))</f>
        <v>0</v>
      </c>
      <c r="BZ299" s="401">
        <f ca="1">IF(SUM($G299:BY299)&gt;=$E299,0,IF($E299-SUM($G299:BY299)&gt;BZ300,BZ300,$E299-SUM($G300:BY300)))</f>
        <v>0</v>
      </c>
      <c r="CA299" s="401">
        <f ca="1">IF(SUM($G299:BZ299)&gt;=$E299,0,IF($E299-SUM($G299:BZ299)&gt;CA300,CA300,$E299-SUM($G300:BZ300)))</f>
        <v>0</v>
      </c>
      <c r="CB299" s="401">
        <f ca="1">IF(SUM($G299:CA299)&gt;=$E299,0,IF($E299-SUM($G299:CA299)&gt;CB300,CB300,$E299-SUM($G300:CA300)))</f>
        <v>0</v>
      </c>
      <c r="CC299" s="401">
        <f ca="1">IF(SUM($G299:CB299)&gt;=$E299,0,IF($E299-SUM($G299:CB299)&gt;CC300,CC300,$E299-SUM($G300:CB300)))</f>
        <v>0</v>
      </c>
      <c r="CD299" s="401">
        <f ca="1">IF(SUM($G299:CC299)&gt;=$E299,0,IF($E299-SUM($G299:CC299)&gt;CD300,CD300,$E299-SUM($G300:CC300)))</f>
        <v>0</v>
      </c>
      <c r="CE299" s="401">
        <f ca="1">IF(SUM($G299:CD299)&gt;=$E299,0,IF($E299-SUM($G299:CD299)&gt;CE300,CE300,$E299-SUM($G300:CD300)))</f>
        <v>0</v>
      </c>
      <c r="CF299" s="401">
        <f ca="1">IF(SUM($G299:CE299)&gt;=$E299,0,IF($E299-SUM($G299:CE299)&gt;CF300,CF300,$E299-SUM($G300:CE300)))</f>
        <v>0</v>
      </c>
      <c r="CG299" s="401">
        <f ca="1">IF(SUM($G299:CF299)&gt;=$E299,0,IF($E299-SUM($G299:CF299)&gt;CG300,CG300,$E299-SUM($G300:CF300)))</f>
        <v>0</v>
      </c>
      <c r="CH299" s="401">
        <f ca="1">IF(SUM($G299:CG299)&gt;=$E299,0,IF($E299-SUM($G299:CG299)&gt;CH300,CH300,$E299-SUM($G300:CG300)))</f>
        <v>0</v>
      </c>
      <c r="CI299" s="401">
        <f ca="1">IF(SUM($G299:CH299)&gt;=$E299,0,IF($E299-SUM($G299:CH299)&gt;CI300,CI300,$E299-SUM($G300:CH300)))</f>
        <v>0</v>
      </c>
      <c r="CJ299" s="401">
        <f ca="1">IF(SUM($G299:CI299)&gt;=$E299,0,IF($E299-SUM($G299:CI299)&gt;CJ300,CJ300,$E299-SUM($G300:CI300)))</f>
        <v>0</v>
      </c>
      <c r="CK299" s="401">
        <f ca="1">IF(SUM($G299:CJ299)&gt;=$E299,0,IF($E299-SUM($G299:CJ299)&gt;CK300,CK300,$E299-SUM($G300:CJ300)))</f>
        <v>0</v>
      </c>
      <c r="CL299" s="401">
        <f ca="1">IF(SUM($G299:CK299)&gt;=$E299,0,IF($E299-SUM($G299:CK299)&gt;CL300,CL300,$E299-SUM($G300:CK300)))</f>
        <v>0</v>
      </c>
      <c r="CM299" s="401">
        <f ca="1">IF(SUM($G299:CL299)&gt;=$E299,0,IF($E299-SUM($G299:CL299)&gt;CM300,CM300,$E299-SUM($G300:CL300)))</f>
        <v>0</v>
      </c>
      <c r="CN299" s="401">
        <f ca="1">IF(SUM($G299:CM299)&gt;=$E299,0,IF($E299-SUM($G299:CM299)&gt;CN300,CN300,$E299-SUM($G300:CM300)))</f>
        <v>0</v>
      </c>
      <c r="CO299" s="401">
        <f ca="1">IF(SUM($G299:CN299)&gt;=$E299,0,IF($E299-SUM($G299:CN299)&gt;CO300,CO300,$E299-SUM($G300:CN300)))</f>
        <v>0</v>
      </c>
      <c r="CP299" s="401">
        <f ca="1">IF(SUM($G299:CO299)&gt;=$E299,0,IF($E299-SUM($G299:CO299)&gt;CP300,CP300,$E299-SUM($G300:CO300)))</f>
        <v>0</v>
      </c>
      <c r="CQ299" s="401">
        <f ca="1">IF(SUM($G299:CP299)&gt;=$E299,0,IF($E299-SUM($G299:CP299)&gt;CQ300,CQ300,$E299-SUM($G300:CP300)))</f>
        <v>0</v>
      </c>
      <c r="CR299" s="401">
        <f ca="1">IF(SUM($G299:CQ299)&gt;=$E299,0,IF($E299-SUM($G299:CQ299)&gt;CR300,CR300,$E299-SUM($G300:CQ300)))</f>
        <v>0</v>
      </c>
      <c r="CS299" s="401">
        <f ca="1">IF(SUM($G299:CR299)&gt;=$E299,0,IF($E299-SUM($G299:CR299)&gt;CS300,CS300,$E299-SUM($G300:CR300)))</f>
        <v>0</v>
      </c>
      <c r="CT299" s="401">
        <f ca="1">IF(SUM($G299:CS299)&gt;=$E299,0,IF($E299-SUM($G299:CS299)&gt;CT300,CT300,$E299-SUM($G300:CS300)))</f>
        <v>0</v>
      </c>
      <c r="CU299" s="401">
        <f ca="1">IF(SUM($G299:CT299)&gt;=$E299,0,IF($E299-SUM($G299:CT299)&gt;CU300,CU300,$E299-SUM($G300:CT300)))</f>
        <v>0</v>
      </c>
      <c r="CV299" s="401">
        <f ca="1">IF(SUM($G299:CU299)&gt;=$E299,0,IF($E299-SUM($G299:CU299)&gt;CV300,CV300,$E299-SUM($G300:CU300)))</f>
        <v>0</v>
      </c>
      <c r="CW299" s="401">
        <f ca="1">IF(SUM($G299:CV299)&gt;=$E299,0,IF($E299-SUM($G299:CV299)&gt;CW300,CW300,$E299-SUM($G300:CV300)))</f>
        <v>0</v>
      </c>
      <c r="CX299" s="401">
        <f ca="1">IF(SUM($G299:CW299)&gt;=$E299,0,IF($E299-SUM($G299:CW299)&gt;CX300,CX300,$E299-SUM($G300:CW300)))</f>
        <v>0</v>
      </c>
      <c r="CY299" s="401">
        <f ca="1">IF(SUM($G299:CX299)&gt;=$E299,0,IF($E299-SUM($G299:CX299)&gt;CY300,CY300,$E299-SUM($G300:CX300)))</f>
        <v>0</v>
      </c>
      <c r="CZ299" s="401">
        <f ca="1">IF(SUM($G299:CY299)&gt;=$E299,0,IF($E299-SUM($G299:CY299)&gt;CZ300,CZ300,$E299-SUM($G300:CY300)))</f>
        <v>0</v>
      </c>
      <c r="DA299" s="401">
        <f ca="1">IF(SUM($G299:CZ299)&gt;=$E299,0,IF($E299-SUM($G299:CZ299)&gt;DA300,DA300,$E299-SUM($G300:CZ300)))</f>
        <v>0</v>
      </c>
      <c r="DB299" s="401">
        <f ca="1">IF(SUM($G299:DA299)&gt;=$E299,0,IF($E299-SUM($G299:DA299)&gt;DB300,DB300,$E299-SUM($G300:DA300)))</f>
        <v>0</v>
      </c>
      <c r="DC299" s="401">
        <f ca="1">IF(SUM($G299:DB299)&gt;=$E299,0,IF($E299-SUM($G299:DB299)&gt;DC300,DC300,$E299-SUM($G300:DB300)))</f>
        <v>0</v>
      </c>
      <c r="DD299" s="401">
        <f ca="1">IF(SUM($G299:DC299)&gt;=$E299,0,IF($E299-SUM($G299:DC299)&gt;DD300,DD300,$E299-SUM($G300:DC300)))</f>
        <v>0</v>
      </c>
      <c r="DE299" s="401">
        <f ca="1">IF(SUM($G299:DD299)&gt;=$E299,0,IF($E299-SUM($G299:DD299)&gt;DE300,DE300,$E299-SUM($G300:DD300)))</f>
        <v>0</v>
      </c>
      <c r="DF299" s="401">
        <f ca="1">IF(SUM($G299:DE299)&gt;=$E299,0,IF($E299-SUM($G299:DE299)&gt;DF300,DF300,$E299-SUM($G300:DE300)))</f>
        <v>0</v>
      </c>
      <c r="DG299" s="401">
        <f ca="1">IF(SUM($G299:DF299)&gt;=$E299,0,IF($E299-SUM($G299:DF299)&gt;DG300,DG300,$E299-SUM($G300:DF300)))</f>
        <v>0</v>
      </c>
      <c r="DH299" s="401">
        <f ca="1">IF(SUM($G299:DG299)&gt;=$E299,0,IF($E299-SUM($G299:DG299)&gt;DH300,DH300,$E299-SUM($G300:DG300)))</f>
        <v>0</v>
      </c>
      <c r="DI299" s="401">
        <f ca="1">IF(SUM($G299:DH299)&gt;=$E299,0,IF($E299-SUM($G299:DH299)&gt;DI300,DI300,$E299-SUM($G300:DH300)))</f>
        <v>0</v>
      </c>
      <c r="DJ299" s="401">
        <f ca="1">IF(SUM($G299:DI299)&gt;=$E299,0,IF($E299-SUM($G299:DI299)&gt;DJ300,DJ300,$E299-SUM($G300:DI300)))</f>
        <v>0</v>
      </c>
      <c r="DK299" s="401">
        <f ca="1">IF(SUM($G299:DJ299)&gt;=$E299,0,IF($E299-SUM($G299:DJ299)&gt;DK300,DK300,$E299-SUM($G300:DJ300)))</f>
        <v>0</v>
      </c>
      <c r="DL299" s="401">
        <f ca="1">IF(SUM($G299:DK299)&gt;=$E299,0,IF($E299-SUM($G299:DK299)&gt;DL300,DL300,$E299-SUM($G300:DK300)))</f>
        <v>0</v>
      </c>
      <c r="DM299" s="401">
        <f ca="1">IF(SUM($G299:DL299)&gt;=$E299,0,IF($E299-SUM($G299:DL299)&gt;DM300,DM300,$E299-SUM($G300:DL300)))</f>
        <v>0</v>
      </c>
      <c r="DN299" s="401">
        <f ca="1">IF(SUM($G299:DM299)&gt;=$E299,0,IF($E299-SUM($G299:DM299)&gt;DN300,DN300,$E299-SUM($G300:DM300)))</f>
        <v>0</v>
      </c>
      <c r="DO299" s="401">
        <f ca="1">IF(SUM($G299:DN299)&gt;=$E299,0,IF($E299-SUM($G299:DN299)&gt;DO300,DO300,$E299-SUM($G300:DN300)))</f>
        <v>0</v>
      </c>
      <c r="DP299" s="401">
        <f ca="1">IF(SUM($G299:DO299)&gt;=$E299,0,IF($E299-SUM($G299:DO299)&gt;DP300,DP300,$E299-SUM($G300:DO300)))</f>
        <v>0</v>
      </c>
      <c r="DQ299" s="401">
        <f ca="1">IF(SUM($G299:DP299)&gt;=$E299,0,IF($E299-SUM($G299:DP299)&gt;DQ300,DQ300,$E299-SUM($G300:DP300)))</f>
        <v>0</v>
      </c>
      <c r="DR299" s="401">
        <f ca="1">IF(SUM($G299:DQ299)&gt;=$E299,0,IF($E299-SUM($G299:DQ299)&gt;DR300,DR300,$E299-SUM($G300:DQ300)))</f>
        <v>0</v>
      </c>
      <c r="DS299" s="401">
        <f ca="1">IF(SUM($G299:DR299)&gt;=$E299,0,IF($E299-SUM($G299:DR299)&gt;DS300,DS300,$E299-SUM($G300:DR300)))</f>
        <v>0</v>
      </c>
      <c r="DT299" s="401">
        <f ca="1">IF(SUM($G299:DS299)&gt;=$E299,0,IF($E299-SUM($G299:DS299)&gt;DT300,DT300,$E299-SUM($G300:DS300)))</f>
        <v>0</v>
      </c>
      <c r="DU299" s="401">
        <f ca="1">IF(SUM($G299:DT299)&gt;=$E299,0,IF($E299-SUM($G299:DT299)&gt;DU300,DU300,$E299-SUM($G300:DT300)))</f>
        <v>0</v>
      </c>
      <c r="DV299" s="401">
        <f ca="1">IF(SUM($G299:DU299)&gt;=$E299,0,IF($E299-SUM($G299:DU299)&gt;DV300,DV300,$E299-SUM($G300:DU300)))</f>
        <v>0</v>
      </c>
      <c r="DW299" s="401">
        <f ca="1">IF(SUM($G299:DV299)&gt;=$E299,0,IF($E299-SUM($G299:DV299)&gt;DW300,DW300,$E299-SUM($G300:DV300)))</f>
        <v>0</v>
      </c>
      <c r="DX299" s="401">
        <f ca="1">IF(SUM($G299:DW299)&gt;=$E299,0,IF($E299-SUM($G299:DW299)&gt;DX300,DX300,$E299-SUM($G300:DW300)))</f>
        <v>0</v>
      </c>
      <c r="DY299" s="401">
        <f ca="1">IF(SUM($G299:DX299)&gt;=$E299,0,IF($E299-SUM($G299:DX299)&gt;DY300,DY300,$E299-SUM($G300:DX300)))</f>
        <v>0</v>
      </c>
      <c r="DZ299" s="401">
        <f ca="1">IF(SUM($G299:DY299)&gt;=$E299,0,IF($E299-SUM($G299:DY299)&gt;DZ300,DZ300,$E299-SUM($G300:DY300)))</f>
        <v>0</v>
      </c>
      <c r="EA299" s="401">
        <f ca="1">IF(SUM($G299:DZ299)&gt;=$E299,0,IF($E299-SUM($G299:DZ299)&gt;EA300,EA300,$E299-SUM($G300:DZ300)))</f>
        <v>0</v>
      </c>
      <c r="EB299" s="401">
        <f ca="1">IF(SUM($G299:EA299)&gt;=$E299,0,IF($E299-SUM($G299:EA299)&gt;EB300,EB300,$E299-SUM($G300:EA300)))</f>
        <v>0</v>
      </c>
      <c r="EC299" s="401">
        <f ca="1">IF(SUM($G299:EB299)&gt;=$E299,0,IF($E299-SUM($G299:EB299)&gt;EC300,EC300,$E299-SUM($G300:EB300)))</f>
        <v>0</v>
      </c>
      <c r="ED299" s="401">
        <f ca="1">IF(SUM($G299:EC299)&gt;=$E299,0,IF($E299-SUM($G299:EC299)&gt;ED300,ED300,$E299-SUM($G300:EC300)))</f>
        <v>0</v>
      </c>
      <c r="EE299" s="401">
        <f ca="1">IF(SUM($G299:ED299)&gt;=$E299,0,IF($E299-SUM($G299:ED299)&gt;EE300,EE300,$E299-SUM($G300:ED300)))</f>
        <v>0</v>
      </c>
      <c r="EF299" s="401">
        <f ca="1">IF(SUM($G299:EE299)&gt;=$E299,0,IF($E299-SUM($G299:EE299)&gt;EF300,EF300,$E299-SUM($G300:EE300)))</f>
        <v>0</v>
      </c>
      <c r="EG299" s="401">
        <f ca="1">IF(SUM($G299:EF299)&gt;=$E299,0,IF($E299-SUM($G299:EF299)&gt;EG300,EG300,$E299-SUM($G300:EF300)))</f>
        <v>0</v>
      </c>
      <c r="EH299" s="401">
        <f ca="1">IF(SUM($G299:EG299)&gt;=$E299,0,IF($E299-SUM($G299:EG299)&gt;EH300,EH300,$E299-SUM($G300:EG300)))</f>
        <v>0</v>
      </c>
      <c r="EI299" s="401">
        <f ca="1">IF(SUM($G299:EH299)&gt;=$E299,0,IF($E299-SUM($G299:EH299)&gt;EI300,EI300,$E299-SUM($G300:EH300)))</f>
        <v>0</v>
      </c>
      <c r="EK299" s="313"/>
    </row>
    <row r="300" spans="1:141" hidden="1" outlineLevel="2">
      <c r="A300" s="332"/>
      <c r="B300" s="313"/>
      <c r="C300" s="308"/>
      <c r="D300" s="308"/>
      <c r="E300" s="308"/>
      <c r="G300" s="402"/>
      <c r="H300" s="402">
        <f ca="1">IF((SUM($G270:H270)-$E269*IF(длительность!$B$13&gt;70,0.3,0.622222222222222))&lt;0,0,IF((SUM($G270:H270)-$E269*IF(длительность!$B$13&gt;70,0.3,0.622222222222222))&lt;H270,SUM($G270:H270)-$E269*IF(длительность!$B$13&gt;70,0.3,0.622222222222222),H270))</f>
        <v>0</v>
      </c>
      <c r="I300" s="402">
        <f ca="1">IF((SUM($G270:I270)-$E269*IF(длительность!$B$13&gt;70,0.3,0.622222222222222))&lt;0,0,IF((SUM($G270:I270)-$E269*IF(длительность!$B$13&gt;70,0.3,0.622222222222222))&lt;I270,SUM($G270:I270)-$E269*IF(длительность!$B$13&gt;70,0.3,0.622222222222222),I270))</f>
        <v>0</v>
      </c>
      <c r="J300" s="402">
        <f ca="1">IF((SUM($G270:J270)-$E269*IF(длительность!$B$13&gt;70,0.3,0.622222222222222))&lt;0,0,IF((SUM($G270:J270)-$E269*IF(длительность!$B$13&gt;70,0.3,0.622222222222222))&lt;J270,SUM($G270:J270)-$E269*IF(длительность!$B$13&gt;70,0.3,0.622222222222222),J270))</f>
        <v>0</v>
      </c>
      <c r="K300" s="402">
        <f ca="1">IF((SUM($G270:K270)-$E269*IF(длительность!$B$13&gt;70,0.3,0.622222222222222))&lt;0,0,IF((SUM($G270:K270)-$E269*IF(длительность!$B$13&gt;70,0.3,0.622222222222222))&lt;K270,SUM($G270:K270)-$E269*IF(длительность!$B$13&gt;70,0.3,0.622222222222222),K270))</f>
        <v>0</v>
      </c>
      <c r="L300" s="402">
        <f ca="1">IF((SUM($G270:L270)-$E269*IF(длительность!$B$13&gt;70,0.3,0.622222222222222))&lt;0,0,IF((SUM($G270:L270)-$E269*IF(длительность!$B$13&gt;70,0.3,0.622222222222222))&lt;L270,SUM($G270:L270)-$E269*IF(длительность!$B$13&gt;70,0.3,0.622222222222222),L270))</f>
        <v>0</v>
      </c>
      <c r="M300" s="402">
        <f ca="1">IF((SUM($G270:M270)-$E269*IF(длительность!$B$13&gt;70,0.3,0.622222222222222))&lt;0,0,IF((SUM($G270:M270)-$E269*IF(длительность!$B$13&gt;70,0.3,0.622222222222222))&lt;M270,SUM($G270:M270)-$E269*IF(длительность!$B$13&gt;70,0.3,0.622222222222222),M270))</f>
        <v>0</v>
      </c>
      <c r="N300" s="402">
        <f ca="1">IF((SUM($G270:N270)-$E269*IF(длительность!$B$13&gt;70,0.3,0.622222222222222))&lt;0,0,IF((SUM($G270:N270)-$E269*IF(длительность!$B$13&gt;70,0.3,0.622222222222222))&lt;N270,SUM($G270:N270)-$E269*IF(длительность!$B$13&gt;70,0.3,0.622222222222222),N270))</f>
        <v>0</v>
      </c>
      <c r="O300" s="402">
        <f ca="1">IF((SUM($G270:O270)-$E269*IF(длительность!$B$13&gt;70,0.3,0.622222222222222))&lt;0,0,IF((SUM($G270:O270)-$E269*IF(длительность!$B$13&gt;70,0.3,0.622222222222222))&lt;O270,SUM($G270:O270)-$E269*IF(длительность!$B$13&gt;70,0.3,0.622222222222222),O270))</f>
        <v>0</v>
      </c>
      <c r="P300" s="402">
        <f ca="1">IF((SUM($G270:P270)-$E269*IF(длительность!$B$13&gt;70,0.3,0.622222222222222))&lt;0,0,IF((SUM($G270:P270)-$E269*IF(длительность!$B$13&gt;70,0.3,0.622222222222222))&lt;P270,SUM($G270:P270)-$E269*IF(длительность!$B$13&gt;70,0.3,0.622222222222222),P270))</f>
        <v>0</v>
      </c>
      <c r="Q300" s="402">
        <f ca="1">IF((SUM($G270:Q270)-$E269*IF(длительность!$B$13&gt;70,0.3,0.622222222222222))&lt;0,0,IF((SUM($G270:Q270)-$E269*IF(длительность!$B$13&gt;70,0.3,0.622222222222222))&lt;Q270,SUM($G270:Q270)-$E269*IF(длительность!$B$13&gt;70,0.3,0.622222222222222),Q270))</f>
        <v>0</v>
      </c>
      <c r="R300" s="402">
        <f ca="1">IF((SUM($G270:R270)-$E269*IF(длительность!$B$13&gt;70,0.3,0.622222222222222))&lt;0,0,IF((SUM($G270:R270)-$E269*IF(длительность!$B$13&gt;70,0.3,0.622222222222222))&lt;R270,SUM($G270:R270)-$E269*IF(длительность!$B$13&gt;70,0.3,0.622222222222222),R270))</f>
        <v>0</v>
      </c>
      <c r="S300" s="402">
        <f ca="1">IF((SUM($G270:S270)-$E269*IF(длительность!$B$13&gt;70,0.3,0.622222222222222))&lt;0,0,IF((SUM($G270:S270)-$E269*IF(длительность!$B$13&gt;70,0.3,0.622222222222222))&lt;S270,SUM($G270:S270)-$E269*IF(длительность!$B$13&gt;70,0.3,0.622222222222222),S270))</f>
        <v>0</v>
      </c>
      <c r="T300" s="402">
        <f ca="1">IF((SUM($G270:T270)-$E269*IF(длительность!$B$13&gt;70,0.3,0.622222222222222))&lt;0,0,IF((SUM($G270:T270)-$E269*IF(длительность!$B$13&gt;70,0.3,0.622222222222222))&lt;T270,SUM($G270:T270)-$E269*IF(длительность!$B$13&gt;70,0.3,0.622222222222222),T270))</f>
        <v>0</v>
      </c>
      <c r="U300" s="402">
        <f ca="1">IF((SUM($G270:U270)-$E269*IF(длительность!$B$13&gt;70,0.3,0.622222222222222))&lt;0,0,IF((SUM($G270:U270)-$E269*IF(длительность!$B$13&gt;70,0.3,0.622222222222222))&lt;U270,SUM($G270:U270)-$E269*IF(длительность!$B$13&gt;70,0.3,0.622222222222222),U270))</f>
        <v>0</v>
      </c>
      <c r="V300" s="402">
        <f ca="1">IF((SUM($G270:V270)-$E269*IF(длительность!$B$13&gt;70,0.3,0.622222222222222))&lt;0,0,IF((SUM($G270:V270)-$E269*IF(длительность!$B$13&gt;70,0.3,0.622222222222222))&lt;V270,SUM($G270:V270)-$E269*IF(длительность!$B$13&gt;70,0.3,0.622222222222222),V270))</f>
        <v>0</v>
      </c>
      <c r="W300" s="402">
        <f ca="1">IF((SUM($G270:W270)-$E269*IF(длительность!$B$13&gt;70,0.3,0.622222222222222))&lt;0,0,IF((SUM($G270:W270)-$E269*IF(длительность!$B$13&gt;70,0.3,0.622222222222222))&lt;W270,SUM($G270:W270)-$E269*IF(длительность!$B$13&gt;70,0.3,0.622222222222222),W270))</f>
        <v>0</v>
      </c>
      <c r="X300" s="402">
        <f ca="1">IF((SUM($G270:X270)-$E269*IF(длительность!$B$13&gt;70,0.3,0.622222222222222))&lt;0,0,IF((SUM($G270:X270)-$E269*IF(длительность!$B$13&gt;70,0.3,0.622222222222222))&lt;X270,SUM($G270:X270)-$E269*IF(длительность!$B$13&gt;70,0.3,0.622222222222222),X270))</f>
        <v>0</v>
      </c>
      <c r="Y300" s="402">
        <f ca="1">IF((SUM($G270:Y270)-$E269*IF(длительность!$B$13&gt;70,0.3,0.622222222222222))&lt;0,0,IF((SUM($G270:Y270)-$E269*IF(длительность!$B$13&gt;70,0.3,0.622222222222222))&lt;Y270,SUM($G270:Y270)-$E269*IF(длительность!$B$13&gt;70,0.3,0.622222222222222),Y270))</f>
        <v>0</v>
      </c>
      <c r="Z300" s="402">
        <f ca="1">IF((SUM($G270:Z270)-$E269*IF(длительность!$B$13&gt;70,0.3,0.622222222222222))&lt;0,0,IF((SUM($G270:Z270)-$E269*IF(длительность!$B$13&gt;70,0.3,0.622222222222222))&lt;Z270,SUM($G270:Z270)-$E269*IF(длительность!$B$13&gt;70,0.3,0.622222222222222),Z270))</f>
        <v>0</v>
      </c>
      <c r="AA300" s="402">
        <f ca="1">IF((SUM($G270:AA270)-$E269*IF(длительность!$B$13&gt;70,0.3,0.622222222222222))&lt;0,0,IF((SUM($G270:AA270)-$E269*IF(длительность!$B$13&gt;70,0.3,0.622222222222222))&lt;AA270,SUM($G270:AA270)-$E269*IF(длительность!$B$13&gt;70,0.3,0.622222222222222),AA270))</f>
        <v>0</v>
      </c>
      <c r="AB300" s="402">
        <f ca="1">IF((SUM($G270:AB270)-$E269*IF(длительность!$B$13&gt;70,0.3,0.622222222222222))&lt;0,0,IF((SUM($G270:AB270)-$E269*IF(длительность!$B$13&gt;70,0.3,0.622222222222222))&lt;AB270,SUM($G270:AB270)-$E269*IF(длительность!$B$13&gt;70,0.3,0.622222222222222),AB270))</f>
        <v>0</v>
      </c>
      <c r="AC300" s="402">
        <f ca="1">IF((SUM($G270:AC270)-$E269*IF(длительность!$B$13&gt;70,0.3,0.622222222222222))&lt;0,0,IF((SUM($G270:AC270)-$E269*IF(длительность!$B$13&gt;70,0.3,0.622222222222222))&lt;AC270,SUM($G270:AC270)-$E269*IF(длительность!$B$13&gt;70,0.3,0.622222222222222),AC270))</f>
        <v>0</v>
      </c>
      <c r="AD300" s="402">
        <f ca="1">IF((SUM($G270:AD270)-$E269*IF(длительность!$B$13&gt;70,0.3,0.622222222222222))&lt;0,0,IF((SUM($G270:AD270)-$E269*IF(длительность!$B$13&gt;70,0.3,0.622222222222222))&lt;AD270,SUM($G270:AD270)-$E269*IF(длительность!$B$13&gt;70,0.3,0.622222222222222),AD270))</f>
        <v>0</v>
      </c>
      <c r="AE300" s="402">
        <f ca="1">IF((SUM($G270:AE270)-$E269*IF(длительность!$B$13&gt;70,0.3,0.622222222222222))&lt;0,0,IF((SUM($G270:AE270)-$E269*IF(длительность!$B$13&gt;70,0.3,0.622222222222222))&lt;AE270,SUM($G270:AE270)-$E269*IF(длительность!$B$13&gt;70,0.3,0.622222222222222),AE270))</f>
        <v>0</v>
      </c>
      <c r="AF300" s="402">
        <f ca="1">IF((SUM($G270:AF270)-$E269*IF(длительность!$B$13&gt;70,0.3,0.622222222222222))&lt;0,0,IF((SUM($G270:AF270)-$E269*IF(длительность!$B$13&gt;70,0.3,0.622222222222222))&lt;AF270,SUM($G270:AF270)-$E269*IF(длительность!$B$13&gt;70,0.3,0.622222222222222),AF270))</f>
        <v>0</v>
      </c>
      <c r="AG300" s="402">
        <f ca="1">IF((SUM($G270:AG270)-$E269*IF(длительность!$B$13&gt;70,0.3,0.622222222222222))&lt;0,0,IF((SUM($G270:AG270)-$E269*IF(длительность!$B$13&gt;70,0.3,0.622222222222222))&lt;AG270,SUM($G270:AG270)-$E269*IF(длительность!$B$13&gt;70,0.3,0.622222222222222),AG270))</f>
        <v>0</v>
      </c>
      <c r="AH300" s="402">
        <f ca="1">IF((SUM($G270:AH270)-$E269*IF(длительность!$B$13&gt;70,0.3,0.622222222222222))&lt;0,0,IF((SUM($G270:AH270)-$E269*IF(длительность!$B$13&gt;70,0.3,0.622222222222222))&lt;AH270,SUM($G270:AH270)-$E269*IF(длительность!$B$13&gt;70,0.3,0.622222222222222),AH270))</f>
        <v>0</v>
      </c>
      <c r="AI300" s="402">
        <f ca="1">IF((SUM($G270:AI270)-$E269*IF(длительность!$B$13&gt;70,0.3,0.622222222222222))&lt;0,0,IF((SUM($G270:AI270)-$E269*IF(длительность!$B$13&gt;70,0.3,0.622222222222222))&lt;AI270,SUM($G270:AI270)-$E269*IF(длительность!$B$13&gt;70,0.3,0.622222222222222),AI270))</f>
        <v>0</v>
      </c>
      <c r="AJ300" s="402">
        <f ca="1">IF((SUM($G270:AJ270)-$E269*IF(длительность!$B$13&gt;70,0.3,0.622222222222222))&lt;0,0,IF((SUM($G270:AJ270)-$E269*IF(длительность!$B$13&gt;70,0.3,0.622222222222222))&lt;AJ270,SUM($G270:AJ270)-$E269*IF(длительность!$B$13&gt;70,0.3,0.622222222222222),AJ270))</f>
        <v>0</v>
      </c>
      <c r="AK300" s="402">
        <f ca="1">IF((SUM($G270:AK270)-$E269*IF(длительность!$B$13&gt;70,0.3,0.622222222222222))&lt;0,0,IF((SUM($G270:AK270)-$E269*IF(длительность!$B$13&gt;70,0.3,0.622222222222222))&lt;AK270,SUM($G270:AK270)-$E269*IF(длительность!$B$13&gt;70,0.3,0.622222222222222),AK270))</f>
        <v>0</v>
      </c>
      <c r="AL300" s="402">
        <f ca="1">IF((SUM($G270:AL270)-$E269*IF(длительность!$B$13&gt;70,0.3,0.622222222222222))&lt;0,0,IF((SUM($G270:AL270)-$E269*IF(длительность!$B$13&gt;70,0.3,0.622222222222222))&lt;AL270,SUM($G270:AL270)-$E269*IF(длительность!$B$13&gt;70,0.3,0.622222222222222),AL270))</f>
        <v>0</v>
      </c>
      <c r="AM300" s="402">
        <f ca="1">IF((SUM($G270:AM270)-$E269*IF(длительность!$B$13&gt;70,0.3,0.622222222222222))&lt;0,0,IF((SUM($G270:AM270)-$E269*IF(длительность!$B$13&gt;70,0.3,0.622222222222222))&lt;AM270,SUM($G270:AM270)-$E269*IF(длительность!$B$13&gt;70,0.3,0.622222222222222),AM270))</f>
        <v>0</v>
      </c>
      <c r="AN300" s="402">
        <f ca="1">IF((SUM($G270:AN270)-$E269*IF(длительность!$B$13&gt;70,0.3,0.622222222222222))&lt;0,0,IF((SUM($G270:AN270)-$E269*IF(длительность!$B$13&gt;70,0.3,0.622222222222222))&lt;AN270,SUM($G270:AN270)-$E269*IF(длительность!$B$13&gt;70,0.3,0.622222222222222),AN270))</f>
        <v>0</v>
      </c>
      <c r="AO300" s="402">
        <f ca="1">IF((SUM($G270:AO270)-$E269*IF(длительность!$B$13&gt;70,0.3,0.622222222222222))&lt;0,0,IF((SUM($G270:AO270)-$E269*IF(длительность!$B$13&gt;70,0.3,0.622222222222222))&lt;AO270,SUM($G270:AO270)-$E269*IF(длительность!$B$13&gt;70,0.3,0.622222222222222),AO270))</f>
        <v>0</v>
      </c>
      <c r="AP300" s="402">
        <f ca="1">IF((SUM($G270:AP270)-$E269*IF(длительность!$B$13&gt;70,0.3,0.622222222222222))&lt;0,0,IF((SUM($G270:AP270)-$E269*IF(длительность!$B$13&gt;70,0.3,0.622222222222222))&lt;AP270,SUM($G270:AP270)-$E269*IF(длительность!$B$13&gt;70,0.3,0.622222222222222),AP270))</f>
        <v>0</v>
      </c>
      <c r="AQ300" s="402">
        <f ca="1">IF((SUM($G270:AQ270)-$E269*IF(длительность!$B$13&gt;70,0.3,0.622222222222222))&lt;0,0,IF((SUM($G270:AQ270)-$E269*IF(длительность!$B$13&gt;70,0.3,0.622222222222222))&lt;AQ270,SUM($G270:AQ270)-$E269*IF(длительность!$B$13&gt;70,0.3,0.622222222222222),AQ270))</f>
        <v>0</v>
      </c>
      <c r="AR300" s="402">
        <f ca="1">IF((SUM($G270:AR270)-$E269*IF(длительность!$B$13&gt;70,0.3,0.622222222222222))&lt;0,0,IF((SUM($G270:AR270)-$E269*IF(длительность!$B$13&gt;70,0.3,0.622222222222222))&lt;AR270,SUM($G270:AR270)-$E269*IF(длительность!$B$13&gt;70,0.3,0.622222222222222),AR270))</f>
        <v>0</v>
      </c>
      <c r="AS300" s="402">
        <f ca="1">IF((SUM($G270:AS270)-$E269*IF(длительность!$B$13&gt;70,0.3,0.622222222222222))&lt;0,0,IF((SUM($G270:AS270)-$E269*IF(длительность!$B$13&gt;70,0.3,0.622222222222222))&lt;AS270,SUM($G270:AS270)-$E269*IF(длительность!$B$13&gt;70,0.3,0.622222222222222),AS270))</f>
        <v>25.299999999999997</v>
      </c>
      <c r="AT300" s="402">
        <f ca="1">IF((SUM($G270:AT270)-$E269*IF(длительность!$B$13&gt;70,0.3,0.622222222222222))&lt;0,0,IF((SUM($G270:AT270)-$E269*IF(длительность!$B$13&gt;70,0.3,0.622222222222222))&lt;AT270,SUM($G270:AT270)-$E269*IF(длительность!$B$13&gt;70,0.3,0.622222222222222),AT270))</f>
        <v>30</v>
      </c>
      <c r="AU300" s="402">
        <f ca="1">IF((SUM($G270:AU270)-$E269*IF(длительность!$B$13&gt;70,0.3,0.622222222222222))&lt;0,0,IF((SUM($G270:AU270)-$E269*IF(длительность!$B$13&gt;70,0.3,0.622222222222222))&lt;AU270,SUM($G270:AU270)-$E269*IF(длительность!$B$13&gt;70,0.3,0.622222222222222),AU270))</f>
        <v>31</v>
      </c>
      <c r="AV300" s="402">
        <f ca="1">IF((SUM($G270:AV270)-$E269*IF(длительность!$B$13&gt;70,0.3,0.622222222222222))&lt;0,0,IF((SUM($G270:AV270)-$E269*IF(длительность!$B$13&gt;70,0.3,0.622222222222222))&lt;AV270,SUM($G270:AV270)-$E269*IF(длительность!$B$13&gt;70,0.3,0.622222222222222),AV270))</f>
        <v>31</v>
      </c>
      <c r="AW300" s="402">
        <f ca="1">IF((SUM($G270:AW270)-$E269*IF(длительность!$B$13&gt;70,0.3,0.622222222222222))&lt;0,0,IF((SUM($G270:AW270)-$E269*IF(длительность!$B$13&gt;70,0.3,0.622222222222222))&lt;AW270,SUM($G270:AW270)-$E269*IF(длительность!$B$13&gt;70,0.3,0.622222222222222),AW270))</f>
        <v>30</v>
      </c>
      <c r="AX300" s="402">
        <f ca="1">IF((SUM($G270:AX270)-$E269*IF(длительность!$B$13&gt;70,0.3,0.622222222222222))&lt;0,0,IF((SUM($G270:AX270)-$E269*IF(длительность!$B$13&gt;70,0.3,0.622222222222222))&lt;AX270,SUM($G270:AX270)-$E269*IF(длительность!$B$13&gt;70,0.3,0.622222222222222),AX270))</f>
        <v>31</v>
      </c>
      <c r="AY300" s="402">
        <f ca="1">IF((SUM($G270:AY270)-$E269*IF(длительность!$B$13&gt;70,0.3,0.622222222222222))&lt;0,0,IF((SUM($G270:AY270)-$E269*IF(длительность!$B$13&gt;70,0.3,0.622222222222222))&lt;AY270,SUM($G270:AY270)-$E269*IF(длительность!$B$13&gt;70,0.3,0.622222222222222),AY270))</f>
        <v>30</v>
      </c>
      <c r="AZ300" s="402">
        <f ca="1">IF((SUM($G270:AZ270)-$E269*IF(длительность!$B$13&gt;70,0.3,0.622222222222222))&lt;0,0,IF((SUM($G270:AZ270)-$E269*IF(длительность!$B$13&gt;70,0.3,0.622222222222222))&lt;AZ270,SUM($G270:AZ270)-$E269*IF(длительность!$B$13&gt;70,0.3,0.622222222222222),AZ270))</f>
        <v>31</v>
      </c>
      <c r="BA300" s="402">
        <f ca="1">IF((SUM($G270:BA270)-$E269*IF(длительность!$B$13&gt;70,0.3,0.622222222222222))&lt;0,0,IF((SUM($G270:BA270)-$E269*IF(длительность!$B$13&gt;70,0.3,0.622222222222222))&lt;BA270,SUM($G270:BA270)-$E269*IF(длительность!$B$13&gt;70,0.3,0.622222222222222),BA270))</f>
        <v>31</v>
      </c>
      <c r="BB300" s="402">
        <f ca="1">IF((SUM($G270:BB270)-$E269*IF(длительность!$B$13&gt;70,0.3,0.622222222222222))&lt;0,0,IF((SUM($G270:BB270)-$E269*IF(длительность!$B$13&gt;70,0.3,0.622222222222222))&lt;BB270,SUM($G270:BB270)-$E269*IF(длительность!$B$13&gt;70,0.3,0.622222222222222),BB270))</f>
        <v>28</v>
      </c>
      <c r="BC300" s="402">
        <f ca="1">IF((SUM($G270:BC270)-$E269*IF(длительность!$B$13&gt;70,0.3,0.622222222222222))&lt;0,0,IF((SUM($G270:BC270)-$E269*IF(длительность!$B$13&gt;70,0.3,0.622222222222222))&lt;BC270,SUM($G270:BC270)-$E269*IF(длительность!$B$13&gt;70,0.3,0.622222222222222),BC270))</f>
        <v>31</v>
      </c>
      <c r="BD300" s="402">
        <f ca="1">IF((SUM($G270:BD270)-$E269*IF(длительность!$B$13&gt;70,0.3,0.622222222222222))&lt;0,0,IF((SUM($G270:BD270)-$E269*IF(длительность!$B$13&gt;70,0.3,0.622222222222222))&lt;BD270,SUM($G270:BD270)-$E269*IF(длительность!$B$13&gt;70,0.3,0.622222222222222),BD270))</f>
        <v>30</v>
      </c>
      <c r="BE300" s="402">
        <f ca="1">IF((SUM($G270:BE270)-$E269*IF(длительность!$B$13&gt;70,0.3,0.622222222222222))&lt;0,0,IF((SUM($G270:BE270)-$E269*IF(длительность!$B$13&gt;70,0.3,0.622222222222222))&lt;BE270,SUM($G270:BE270)-$E269*IF(длительность!$B$13&gt;70,0.3,0.622222222222222),BE270))</f>
        <v>31</v>
      </c>
      <c r="BF300" s="402">
        <f ca="1">IF((SUM($G270:BF270)-$E269*IF(длительность!$B$13&gt;70,0.3,0.622222222222222))&lt;0,0,IF((SUM($G270:BF270)-$E269*IF(длительность!$B$13&gt;70,0.3,0.622222222222222))&lt;BF270,SUM($G270:BF270)-$E269*IF(длительность!$B$13&gt;70,0.3,0.622222222222222),BF270))</f>
        <v>30</v>
      </c>
      <c r="BG300" s="402">
        <f ca="1">IF((SUM($G270:BG270)-$E269*IF(длительность!$B$13&gt;70,0.3,0.622222222222222))&lt;0,0,IF((SUM($G270:BG270)-$E269*IF(длительность!$B$13&gt;70,0.3,0.622222222222222))&lt;BG270,SUM($G270:BG270)-$E269*IF(длительность!$B$13&gt;70,0.3,0.622222222222222),BG270))</f>
        <v>31</v>
      </c>
      <c r="BH300" s="402">
        <f ca="1">IF((SUM($G270:BH270)-$E269*IF(длительность!$B$13&gt;70,0.3,0.622222222222222))&lt;0,0,IF((SUM($G270:BH270)-$E269*IF(длительность!$B$13&gt;70,0.3,0.622222222222222))&lt;BH270,SUM($G270:BH270)-$E269*IF(длительность!$B$13&gt;70,0.3,0.622222222222222),BH270))</f>
        <v>31</v>
      </c>
      <c r="BI300" s="402">
        <f ca="1">IF((SUM($G270:BI270)-$E269*IF(длительность!$B$13&gt;70,0.3,0.622222222222222))&lt;0,0,IF((SUM($G270:BI270)-$E269*IF(длительность!$B$13&gt;70,0.3,0.622222222222222))&lt;BI270,SUM($G270:BI270)-$E269*IF(длительность!$B$13&gt;70,0.3,0.622222222222222),BI270))</f>
        <v>30</v>
      </c>
      <c r="BJ300" s="402">
        <f ca="1">IF((SUM($G270:BJ270)-$E269*IF(длительность!$B$13&gt;70,0.3,0.622222222222222))&lt;0,0,IF((SUM($G270:BJ270)-$E269*IF(длительность!$B$13&gt;70,0.3,0.622222222222222))&lt;BJ270,SUM($G270:BJ270)-$E269*IF(длительность!$B$13&gt;70,0.3,0.622222222222222),BJ270))</f>
        <v>31</v>
      </c>
      <c r="BK300" s="402">
        <f ca="1">IF((SUM($G270:BK270)-$E269*IF(длительность!$B$13&gt;70,0.3,0.622222222222222))&lt;0,0,IF((SUM($G270:BK270)-$E269*IF(длительность!$B$13&gt;70,0.3,0.622222222222222))&lt;BK270,SUM($G270:BK270)-$E269*IF(длительность!$B$13&gt;70,0.3,0.622222222222222),BK270))</f>
        <v>30</v>
      </c>
      <c r="BL300" s="402">
        <f ca="1">IF((SUM($G270:BL270)-$E269*IF(длительность!$B$13&gt;70,0.3,0.622222222222222))&lt;0,0,IF((SUM($G270:BL270)-$E269*IF(длительность!$B$13&gt;70,0.3,0.622222222222222))&lt;BL270,SUM($G270:BL270)-$E269*IF(длительность!$B$13&gt;70,0.3,0.622222222222222),BL270))</f>
        <v>31</v>
      </c>
      <c r="BM300" s="402">
        <f ca="1">IF((SUM($G270:BM270)-$E269*IF(длительность!$B$13&gt;70,0.3,0.622222222222222))&lt;0,0,IF((SUM($G270:BM270)-$E269*IF(длительность!$B$13&gt;70,0.3,0.622222222222222))&lt;BM270,SUM($G270:BM270)-$E269*IF(длительность!$B$13&gt;70,0.3,0.622222222222222),BM270))</f>
        <v>31</v>
      </c>
      <c r="BN300" s="402">
        <f ca="1">IF((SUM($G270:BN270)-$E269*IF(длительность!$B$13&gt;70,0.3,0.622222222222222))&lt;0,0,IF((SUM($G270:BN270)-$E269*IF(длительность!$B$13&gt;70,0.3,0.622222222222222))&lt;BN270,SUM($G270:BN270)-$E269*IF(длительность!$B$13&gt;70,0.3,0.622222222222222),BN270))</f>
        <v>29</v>
      </c>
      <c r="BO300" s="402">
        <f ca="1">IF((SUM($G270:BO270)-$E269*IF(длительность!$B$13&gt;70,0.3,0.622222222222222))&lt;0,0,IF((SUM($G270:BO270)-$E269*IF(длительность!$B$13&gt;70,0.3,0.622222222222222))&lt;BO270,SUM($G270:BO270)-$E269*IF(длительность!$B$13&gt;70,0.3,0.622222222222222),BO270))</f>
        <v>31</v>
      </c>
      <c r="BP300" s="402">
        <f ca="1">IF((SUM($G270:BP270)-$E269*IF(длительность!$B$13&gt;70,0.3,0.622222222222222))&lt;0,0,IF((SUM($G270:BP270)-$E269*IF(длительность!$B$13&gt;70,0.3,0.622222222222222))&lt;BP270,SUM($G270:BP270)-$E269*IF(длительность!$B$13&gt;70,0.3,0.622222222222222),BP270))</f>
        <v>30</v>
      </c>
      <c r="BQ300" s="402">
        <f ca="1">IF((SUM($G270:BQ270)-$E269*IF(длительность!$B$13&gt;70,0.3,0.622222222222222))&lt;0,0,IF((SUM($G270:BQ270)-$E269*IF(длительность!$B$13&gt;70,0.3,0.622222222222222))&lt;BQ270,SUM($G270:BQ270)-$E269*IF(длительность!$B$13&gt;70,0.3,0.622222222222222),BQ270))</f>
        <v>31</v>
      </c>
      <c r="BR300" s="402">
        <f ca="1">IF((SUM($G270:BR270)-$E269*IF(длительность!$B$13&gt;70,0.3,0.622222222222222))&lt;0,0,IF((SUM($G270:BR270)-$E269*IF(длительность!$B$13&gt;70,0.3,0.622222222222222))&lt;BR270,SUM($G270:BR270)-$E269*IF(длительность!$B$13&gt;70,0.3,0.622222222222222),BR270))</f>
        <v>30</v>
      </c>
      <c r="BS300" s="402">
        <f ca="1">IF((SUM($G270:BS270)-$E269*IF(длительность!$B$13&gt;70,0.3,0.622222222222222))&lt;0,0,IF((SUM($G270:BS270)-$E269*IF(длительность!$B$13&gt;70,0.3,0.622222222222222))&lt;BS270,SUM($G270:BS270)-$E269*IF(длительность!$B$13&gt;70,0.3,0.622222222222222),BS270))</f>
        <v>31</v>
      </c>
      <c r="BT300" s="402">
        <f ca="1">IF((SUM($G270:BT270)-$E269*IF(длительность!$B$13&gt;70,0.3,0.622222222222222))&lt;0,0,IF((SUM($G270:BT270)-$E269*IF(длительность!$B$13&gt;70,0.3,0.622222222222222))&lt;BT270,SUM($G270:BT270)-$E269*IF(длительность!$B$13&gt;70,0.3,0.622222222222222),BT270))</f>
        <v>31</v>
      </c>
      <c r="BU300" s="402">
        <f ca="1">IF((SUM($G270:BU270)-$E269*IF(длительность!$B$13&gt;70,0.3,0.622222222222222))&lt;0,0,IF((SUM($G270:BU270)-$E269*IF(длительность!$B$13&gt;70,0.3,0.622222222222222))&lt;BU270,SUM($G270:BU270)-$E269*IF(длительность!$B$13&gt;70,0.3,0.622222222222222),BU270))</f>
        <v>30</v>
      </c>
      <c r="BV300" s="402">
        <f ca="1">IF((SUM($G270:BV270)-$E269*IF(длительность!$B$13&gt;70,0.3,0.622222222222222))&lt;0,0,IF((SUM($G270:BV270)-$E269*IF(длительность!$B$13&gt;70,0.3,0.622222222222222))&lt;BV270,SUM($G270:BV270)-$E269*IF(длительность!$B$13&gt;70,0.3,0.622222222222222),BV270))</f>
        <v>31</v>
      </c>
      <c r="BW300" s="402">
        <f ca="1">IF((SUM($G270:BW270)-$E269*IF(длительность!$B$13&gt;70,0.3,0.622222222222222))&lt;0,0,IF((SUM($G270:BW270)-$E269*IF(длительность!$B$13&gt;70,0.3,0.622222222222222))&lt;BW270,SUM($G270:BW270)-$E269*IF(длительность!$B$13&gt;70,0.3,0.622222222222222),BW270))</f>
        <v>30</v>
      </c>
      <c r="BX300" s="402">
        <f ca="1">IF((SUM($G270:BX270)-$E269*IF(длительность!$B$13&gt;70,0.3,0.622222222222222))&lt;0,0,IF((SUM($G270:BX270)-$E269*IF(длительность!$B$13&gt;70,0.3,0.622222222222222))&lt;BX270,SUM($G270:BX270)-$E269*IF(длительность!$B$13&gt;70,0.3,0.622222222222222),BX270))</f>
        <v>31</v>
      </c>
      <c r="BY300" s="402">
        <f ca="1">IF((SUM($G270:BY270)-$E269*IF(длительность!$B$13&gt;70,0.3,0.622222222222222))&lt;0,0,IF((SUM($G270:BY270)-$E269*IF(длительность!$B$13&gt;70,0.3,0.622222222222222))&lt;BY270,SUM($G270:BY270)-$E269*IF(длительность!$B$13&gt;70,0.3,0.622222222222222),BY270))</f>
        <v>31</v>
      </c>
      <c r="BZ300" s="402">
        <f ca="1">IF((SUM($G270:BZ270)-$E269*IF(длительность!$B$13&gt;70,0.3,0.622222222222222))&lt;0,0,IF((SUM($G270:BZ270)-$E269*IF(длительность!$B$13&gt;70,0.3,0.622222222222222))&lt;BZ270,SUM($G270:BZ270)-$E269*IF(длительность!$B$13&gt;70,0.3,0.622222222222222),BZ270))</f>
        <v>28</v>
      </c>
      <c r="CA300" s="402">
        <f ca="1">IF((SUM($G270:CA270)-$E269*IF(длительность!$B$13&gt;70,0.3,0.622222222222222))&lt;0,0,IF((SUM($G270:CA270)-$E269*IF(длительность!$B$13&gt;70,0.3,0.622222222222222))&lt;CA270,SUM($G270:CA270)-$E269*IF(длительность!$B$13&gt;70,0.3,0.622222222222222),CA270))</f>
        <v>31</v>
      </c>
      <c r="CB300" s="402">
        <f ca="1">IF((SUM($G270:CB270)-$E269*IF(длительность!$B$13&gt;70,0.3,0.622222222222222))&lt;0,0,IF((SUM($G270:CB270)-$E269*IF(длительность!$B$13&gt;70,0.3,0.622222222222222))&lt;CB270,SUM($G270:CB270)-$E269*IF(длительность!$B$13&gt;70,0.3,0.622222222222222),CB270))</f>
        <v>30</v>
      </c>
      <c r="CC300" s="402">
        <f ca="1">IF((SUM($G270:CC270)-$E269*IF(длительность!$B$13&gt;70,0.3,0.622222222222222))&lt;0,0,IF((SUM($G270:CC270)-$E269*IF(длительность!$B$13&gt;70,0.3,0.622222222222222))&lt;CC270,SUM($G270:CC270)-$E269*IF(длительность!$B$13&gt;70,0.3,0.622222222222222),CC270))</f>
        <v>31</v>
      </c>
      <c r="CD300" s="402">
        <f ca="1">IF((SUM($G270:CD270)-$E269*IF(длительность!$B$13&gt;70,0.3,0.622222222222222))&lt;0,0,IF((SUM($G270:CD270)-$E269*IF(длительность!$B$13&gt;70,0.3,0.622222222222222))&lt;CD270,SUM($G270:CD270)-$E269*IF(длительность!$B$13&gt;70,0.3,0.622222222222222),CD270))</f>
        <v>30</v>
      </c>
      <c r="CE300" s="402">
        <f ca="1">IF((SUM($G270:CE270)-$E269*IF(длительность!$B$13&gt;70,0.3,0.622222222222222))&lt;0,0,IF((SUM($G270:CE270)-$E269*IF(длительность!$B$13&gt;70,0.3,0.622222222222222))&lt;CE270,SUM($G270:CE270)-$E269*IF(длительность!$B$13&gt;70,0.3,0.622222222222222),CE270))</f>
        <v>31</v>
      </c>
      <c r="CF300" s="402">
        <f ca="1">IF((SUM($G270:CF270)-$E269*IF(длительность!$B$13&gt;70,0.3,0.622222222222222))&lt;0,0,IF((SUM($G270:CF270)-$E269*IF(длительность!$B$13&gt;70,0.3,0.622222222222222))&lt;CF270,SUM($G270:CF270)-$E269*IF(длительность!$B$13&gt;70,0.3,0.622222222222222),CF270))</f>
        <v>31</v>
      </c>
      <c r="CG300" s="402">
        <f ca="1">IF((SUM($G270:CG270)-$E269*IF(длительность!$B$13&gt;70,0.3,0.622222222222222))&lt;0,0,IF((SUM($G270:CG270)-$E269*IF(длительность!$B$13&gt;70,0.3,0.622222222222222))&lt;CG270,SUM($G270:CG270)-$E269*IF(длительность!$B$13&gt;70,0.3,0.622222222222222),CG270))</f>
        <v>30</v>
      </c>
      <c r="CH300" s="402">
        <f ca="1">IF((SUM($G270:CH270)-$E269*IF(длительность!$B$13&gt;70,0.3,0.622222222222222))&lt;0,0,IF((SUM($G270:CH270)-$E269*IF(длительность!$B$13&gt;70,0.3,0.622222222222222))&lt;CH270,SUM($G270:CH270)-$E269*IF(длительность!$B$13&gt;70,0.3,0.622222222222222),CH270))</f>
        <v>31</v>
      </c>
      <c r="CI300" s="402">
        <f ca="1">IF((SUM($G270:CI270)-$E269*IF(длительность!$B$13&gt;70,0.3,0.622222222222222))&lt;0,0,IF((SUM($G270:CI270)-$E269*IF(длительность!$B$13&gt;70,0.3,0.622222222222222))&lt;CI270,SUM($G270:CI270)-$E269*IF(длительность!$B$13&gt;70,0.3,0.622222222222222),CI270))</f>
        <v>30</v>
      </c>
      <c r="CJ300" s="402">
        <f ca="1">IF((SUM($G270:CJ270)-$E269*IF(длительность!$B$13&gt;70,0.3,0.622222222222222))&lt;0,0,IF((SUM($G270:CJ270)-$E269*IF(длительность!$B$13&gt;70,0.3,0.622222222222222))&lt;CJ270,SUM($G270:CJ270)-$E269*IF(длительность!$B$13&gt;70,0.3,0.622222222222222),CJ270))</f>
        <v>31</v>
      </c>
      <c r="CK300" s="402">
        <f ca="1">IF((SUM($G270:CK270)-$E269*IF(длительность!$B$13&gt;70,0.3,0.622222222222222))&lt;0,0,IF((SUM($G270:CK270)-$E269*IF(длительность!$B$13&gt;70,0.3,0.622222222222222))&lt;CK270,SUM($G270:CK270)-$E269*IF(длительность!$B$13&gt;70,0.3,0.622222222222222),CK270))</f>
        <v>31</v>
      </c>
      <c r="CL300" s="402">
        <f ca="1">IF((SUM($G270:CL270)-$E269*IF(длительность!$B$13&gt;70,0.3,0.622222222222222))&lt;0,0,IF((SUM($G270:CL270)-$E269*IF(длительность!$B$13&gt;70,0.3,0.622222222222222))&lt;CL270,SUM($G270:CL270)-$E269*IF(длительность!$B$13&gt;70,0.3,0.622222222222222),CL270))</f>
        <v>28</v>
      </c>
      <c r="CM300" s="402">
        <f ca="1">IF((SUM($G270:CM270)-$E269*IF(длительность!$B$13&gt;70,0.3,0.622222222222222))&lt;0,0,IF((SUM($G270:CM270)-$E269*IF(длительность!$B$13&gt;70,0.3,0.622222222222222))&lt;CM270,SUM($G270:CM270)-$E269*IF(длительность!$B$13&gt;70,0.3,0.622222222222222),CM270))</f>
        <v>31</v>
      </c>
      <c r="CN300" s="402">
        <f ca="1">IF((SUM($G270:CN270)-$E269*IF(длительность!$B$13&gt;70,0.3,0.622222222222222))&lt;0,0,IF((SUM($G270:CN270)-$E269*IF(длительность!$B$13&gt;70,0.3,0.622222222222222))&lt;CN270,SUM($G270:CN270)-$E269*IF(длительность!$B$13&gt;70,0.3,0.622222222222222),CN270))</f>
        <v>30</v>
      </c>
      <c r="CO300" s="402">
        <f ca="1">IF((SUM($G270:CO270)-$E269*IF(длительность!$B$13&gt;70,0.3,0.622222222222222))&lt;0,0,IF((SUM($G270:CO270)-$E269*IF(длительность!$B$13&gt;70,0.3,0.622222222222222))&lt;CO270,SUM($G270:CO270)-$E269*IF(длительность!$B$13&gt;70,0.3,0.622222222222222),CO270))</f>
        <v>31</v>
      </c>
      <c r="CP300" s="402">
        <f ca="1">IF((SUM($G270:CP270)-$E269*IF(длительность!$B$13&gt;70,0.3,0.622222222222222))&lt;0,0,IF((SUM($G270:CP270)-$E269*IF(длительность!$B$13&gt;70,0.3,0.622222222222222))&lt;CP270,SUM($G270:CP270)-$E269*IF(длительность!$B$13&gt;70,0.3,0.622222222222222),CP270))</f>
        <v>30</v>
      </c>
      <c r="CQ300" s="402">
        <f ca="1">IF((SUM($G270:CQ270)-$E269*IF(длительность!$B$13&gt;70,0.3,0.622222222222222))&lt;0,0,IF((SUM($G270:CQ270)-$E269*IF(длительность!$B$13&gt;70,0.3,0.622222222222222))&lt;CQ270,SUM($G270:CQ270)-$E269*IF(длительность!$B$13&gt;70,0.3,0.622222222222222),CQ270))</f>
        <v>31</v>
      </c>
      <c r="CR300" s="402">
        <f ca="1">IF((SUM($G270:CR270)-$E269*IF(длительность!$B$13&gt;70,0.3,0.622222222222222))&lt;0,0,IF((SUM($G270:CR270)-$E269*IF(длительность!$B$13&gt;70,0.3,0.622222222222222))&lt;CR270,SUM($G270:CR270)-$E269*IF(длительность!$B$13&gt;70,0.3,0.622222222222222),CR270))</f>
        <v>31</v>
      </c>
      <c r="CS300" s="402">
        <f ca="1">IF((SUM($G270:CS270)-$E269*IF(длительность!$B$13&gt;70,0.3,0.622222222222222))&lt;0,0,IF((SUM($G270:CS270)-$E269*IF(длительность!$B$13&gt;70,0.3,0.622222222222222))&lt;CS270,SUM($G270:CS270)-$E269*IF(длительность!$B$13&gt;70,0.3,0.622222222222222),CS270))</f>
        <v>30</v>
      </c>
      <c r="CT300" s="402">
        <f ca="1">IF((SUM($G270:CT270)-$E269*IF(длительность!$B$13&gt;70,0.3,0.622222222222222))&lt;0,0,IF((SUM($G270:CT270)-$E269*IF(длительность!$B$13&gt;70,0.3,0.622222222222222))&lt;CT270,SUM($G270:CT270)-$E269*IF(длительность!$B$13&gt;70,0.3,0.622222222222222),CT270))</f>
        <v>31</v>
      </c>
      <c r="CU300" s="402">
        <f ca="1">IF((SUM($G270:CU270)-$E269*IF(длительность!$B$13&gt;70,0.3,0.622222222222222))&lt;0,0,IF((SUM($G270:CU270)-$E269*IF(длительность!$B$13&gt;70,0.3,0.622222222222222))&lt;CU270,SUM($G270:CU270)-$E269*IF(длительность!$B$13&gt;70,0.3,0.622222222222222),CU270))</f>
        <v>30</v>
      </c>
      <c r="CV300" s="402">
        <f ca="1">IF((SUM($G270:CV270)-$E269*IF(длительность!$B$13&gt;70,0.3,0.622222222222222))&lt;0,0,IF((SUM($G270:CV270)-$E269*IF(длительность!$B$13&gt;70,0.3,0.622222222222222))&lt;CV270,SUM($G270:CV270)-$E269*IF(длительность!$B$13&gt;70,0.3,0.622222222222222),CV270))</f>
        <v>31</v>
      </c>
      <c r="CW300" s="402">
        <f ca="1">IF((SUM($G270:CW270)-$E269*IF(длительность!$B$13&gt;70,0.3,0.622222222222222))&lt;0,0,IF((SUM($G270:CW270)-$E269*IF(длительность!$B$13&gt;70,0.3,0.622222222222222))&lt;CW270,SUM($G270:CW270)-$E269*IF(длительность!$B$13&gt;70,0.3,0.622222222222222),CW270))</f>
        <v>31</v>
      </c>
      <c r="CX300" s="402">
        <f ca="1">IF((SUM($G270:CX270)-$E269*IF(длительность!$B$13&gt;70,0.3,0.622222222222222))&lt;0,0,IF((SUM($G270:CX270)-$E269*IF(длительность!$B$13&gt;70,0.3,0.622222222222222))&lt;CX270,SUM($G270:CX270)-$E269*IF(длительность!$B$13&gt;70,0.3,0.622222222222222),CX270))</f>
        <v>28</v>
      </c>
      <c r="CY300" s="402">
        <f ca="1">IF((SUM($G270:CY270)-$E269*IF(длительность!$B$13&gt;70,0.3,0.622222222222222))&lt;0,0,IF((SUM($G270:CY270)-$E269*IF(длительность!$B$13&gt;70,0.3,0.622222222222222))&lt;CY270,SUM($G270:CY270)-$E269*IF(длительность!$B$13&gt;70,0.3,0.622222222222222),CY270))</f>
        <v>31</v>
      </c>
      <c r="CZ300" s="402">
        <f ca="1">IF((SUM($G270:CZ270)-$E269*IF(длительность!$B$13&gt;70,0.3,0.622222222222222))&lt;0,0,IF((SUM($G270:CZ270)-$E269*IF(длительность!$B$13&gt;70,0.3,0.622222222222222))&lt;CZ270,SUM($G270:CZ270)-$E269*IF(длительность!$B$13&gt;70,0.3,0.622222222222222),CZ270))</f>
        <v>30</v>
      </c>
      <c r="DA300" s="402">
        <f ca="1">IF((SUM($G270:DA270)-$E269*IF(длительность!$B$13&gt;70,0.3,0.622222222222222))&lt;0,0,IF((SUM($G270:DA270)-$E269*IF(длительность!$B$13&gt;70,0.3,0.622222222222222))&lt;DA270,SUM($G270:DA270)-$E269*IF(длительность!$B$13&gt;70,0.3,0.622222222222222),DA270))</f>
        <v>31</v>
      </c>
      <c r="DB300" s="402">
        <f ca="1">IF((SUM($G270:DB270)-$E269*IF(длительность!$B$13&gt;70,0.3,0.622222222222222))&lt;0,0,IF((SUM($G270:DB270)-$E269*IF(длительность!$B$13&gt;70,0.3,0.622222222222222))&lt;DB270,SUM($G270:DB270)-$E269*IF(длительность!$B$13&gt;70,0.3,0.622222222222222),DB270))</f>
        <v>30</v>
      </c>
      <c r="DC300" s="402">
        <f ca="1">IF((SUM($G270:DC270)-$E269*IF(длительность!$B$13&gt;70,0.3,0.622222222222222))&lt;0,0,IF((SUM($G270:DC270)-$E269*IF(длительность!$B$13&gt;70,0.3,0.622222222222222))&lt;DC270,SUM($G270:DC270)-$E269*IF(длительность!$B$13&gt;70,0.3,0.622222222222222),DC270))</f>
        <v>31</v>
      </c>
      <c r="DD300" s="402">
        <f ca="1">IF((SUM($G270:DD270)-$E269*IF(длительность!$B$13&gt;70,0.3,0.622222222222222))&lt;0,0,IF((SUM($G270:DD270)-$E269*IF(длительность!$B$13&gt;70,0.3,0.622222222222222))&lt;DD270,SUM($G270:DD270)-$E269*IF(длительность!$B$13&gt;70,0.3,0.622222222222222),DD270))</f>
        <v>31</v>
      </c>
      <c r="DE300" s="402">
        <f ca="1">IF((SUM($G270:DE270)-$E269*IF(длительность!$B$13&gt;70,0.3,0.622222222222222))&lt;0,0,IF((SUM($G270:DE270)-$E269*IF(длительность!$B$13&gt;70,0.3,0.622222222222222))&lt;DE270,SUM($G270:DE270)-$E269*IF(длительность!$B$13&gt;70,0.3,0.622222222222222),DE270))</f>
        <v>30</v>
      </c>
      <c r="DF300" s="402">
        <f ca="1">IF((SUM($G270:DF270)-$E269*IF(длительность!$B$13&gt;70,0.3,0.622222222222222))&lt;0,0,IF((SUM($G270:DF270)-$E269*IF(длительность!$B$13&gt;70,0.3,0.622222222222222))&lt;DF270,SUM($G270:DF270)-$E269*IF(длительность!$B$13&gt;70,0.3,0.622222222222222),DF270))</f>
        <v>31</v>
      </c>
      <c r="DG300" s="402">
        <f ca="1">IF((SUM($G270:DG270)-$E269*IF(длительность!$B$13&gt;70,0.3,0.622222222222222))&lt;0,0,IF((SUM($G270:DG270)-$E269*IF(длительность!$B$13&gt;70,0.3,0.622222222222222))&lt;DG270,SUM($G270:DG270)-$E269*IF(длительность!$B$13&gt;70,0.3,0.622222222222222),DG270))</f>
        <v>30</v>
      </c>
      <c r="DH300" s="402">
        <f ca="1">IF((SUM($G270:DH270)-$E269*IF(длительность!$B$13&gt;70,0.3,0.622222222222222))&lt;0,0,IF((SUM($G270:DH270)-$E269*IF(длительность!$B$13&gt;70,0.3,0.622222222222222))&lt;DH270,SUM($G270:DH270)-$E269*IF(длительность!$B$13&gt;70,0.3,0.622222222222222),DH270))</f>
        <v>31</v>
      </c>
      <c r="DI300" s="402">
        <f ca="1">IF((SUM($G270:DI270)-$E269*IF(длительность!$B$13&gt;70,0.3,0.622222222222222))&lt;0,0,IF((SUM($G270:DI270)-$E269*IF(длительность!$B$13&gt;70,0.3,0.622222222222222))&lt;DI270,SUM($G270:DI270)-$E269*IF(длительность!$B$13&gt;70,0.3,0.622222222222222),DI270))</f>
        <v>31</v>
      </c>
      <c r="DJ300" s="402">
        <f ca="1">IF((SUM($G270:DJ270)-$E269*IF(длительность!$B$13&gt;70,0.3,0.622222222222222))&lt;0,0,IF((SUM($G270:DJ270)-$E269*IF(длительность!$B$13&gt;70,0.3,0.622222222222222))&lt;DJ270,SUM($G270:DJ270)-$E269*IF(длительность!$B$13&gt;70,0.3,0.622222222222222),DJ270))</f>
        <v>29</v>
      </c>
      <c r="DK300" s="402">
        <f ca="1">IF((SUM($G270:DK270)-$E269*IF(длительность!$B$13&gt;70,0.3,0.622222222222222))&lt;0,0,IF((SUM($G270:DK270)-$E269*IF(длительность!$B$13&gt;70,0.3,0.622222222222222))&lt;DK270,SUM($G270:DK270)-$E269*IF(длительность!$B$13&gt;70,0.3,0.622222222222222),DK270))</f>
        <v>31</v>
      </c>
      <c r="DL300" s="402">
        <f ca="1">IF((SUM($G270:DL270)-$E269*IF(длительность!$B$13&gt;70,0.3,0.622222222222222))&lt;0,0,IF((SUM($G270:DL270)-$E269*IF(длительность!$B$13&gt;70,0.3,0.622222222222222))&lt;DL270,SUM($G270:DL270)-$E269*IF(длительность!$B$13&gt;70,0.3,0.622222222222222),DL270))</f>
        <v>30</v>
      </c>
      <c r="DM300" s="402">
        <f ca="1">IF((SUM($G270:DM270)-$E269*IF(длительность!$B$13&gt;70,0.3,0.622222222222222))&lt;0,0,IF((SUM($G270:DM270)-$E269*IF(длительность!$B$13&gt;70,0.3,0.622222222222222))&lt;DM270,SUM($G270:DM270)-$E269*IF(длительность!$B$13&gt;70,0.3,0.622222222222222),DM270))</f>
        <v>31</v>
      </c>
      <c r="DN300" s="402">
        <f ca="1">IF((SUM($G270:DN270)-$E269*IF(длительность!$B$13&gt;70,0.3,0.622222222222222))&lt;0,0,IF((SUM($G270:DN270)-$E269*IF(длительность!$B$13&gt;70,0.3,0.622222222222222))&lt;DN270,SUM($G270:DN270)-$E269*IF(длительность!$B$13&gt;70,0.3,0.622222222222222),DN270))</f>
        <v>30</v>
      </c>
      <c r="DO300" s="402">
        <f ca="1">IF((SUM($G270:DO270)-$E269*IF(длительность!$B$13&gt;70,0.3,0.622222222222222))&lt;0,0,IF((SUM($G270:DO270)-$E269*IF(длительность!$B$13&gt;70,0.3,0.622222222222222))&lt;DO270,SUM($G270:DO270)-$E269*IF(длительность!$B$13&gt;70,0.3,0.622222222222222),DO270))</f>
        <v>31</v>
      </c>
      <c r="DP300" s="402">
        <f ca="1">IF((SUM($G270:DP270)-$E269*IF(длительность!$B$13&gt;70,0.3,0.622222222222222))&lt;0,0,IF((SUM($G270:DP270)-$E269*IF(длительность!$B$13&gt;70,0.3,0.622222222222222))&lt;DP270,SUM($G270:DP270)-$E269*IF(длительность!$B$13&gt;70,0.3,0.622222222222222),DP270))</f>
        <v>31</v>
      </c>
      <c r="DQ300" s="402">
        <f ca="1">IF((SUM($G270:DQ270)-$E269*IF(длительность!$B$13&gt;70,0.3,0.622222222222222))&lt;0,0,IF((SUM($G270:DQ270)-$E269*IF(длительность!$B$13&gt;70,0.3,0.622222222222222))&lt;DQ270,SUM($G270:DQ270)-$E269*IF(длительность!$B$13&gt;70,0.3,0.622222222222222),DQ270))</f>
        <v>30</v>
      </c>
      <c r="DR300" s="402">
        <f ca="1">IF((SUM($G270:DR270)-$E269*IF(длительность!$B$13&gt;70,0.3,0.622222222222222))&lt;0,0,IF((SUM($G270:DR270)-$E269*IF(длительность!$B$13&gt;70,0.3,0.622222222222222))&lt;DR270,SUM($G270:DR270)-$E269*IF(длительность!$B$13&gt;70,0.3,0.622222222222222),DR270))</f>
        <v>31</v>
      </c>
      <c r="DS300" s="402">
        <f ca="1">IF((SUM($G270:DS270)-$E269*IF(длительность!$B$13&gt;70,0.3,0.622222222222222))&lt;0,0,IF((SUM($G270:DS270)-$E269*IF(длительность!$B$13&gt;70,0.3,0.622222222222222))&lt;DS270,SUM($G270:DS270)-$E269*IF(длительность!$B$13&gt;70,0.3,0.622222222222222),DS270))</f>
        <v>30</v>
      </c>
      <c r="DT300" s="402">
        <f ca="1">IF((SUM($G270:DT270)-$E269*IF(длительность!$B$13&gt;70,0.3,0.622222222222222))&lt;0,0,IF((SUM($G270:DT270)-$E269*IF(длительность!$B$13&gt;70,0.3,0.622222222222222))&lt;DT270,SUM($G270:DT270)-$E269*IF(длительность!$B$13&gt;70,0.3,0.622222222222222),DT270))</f>
        <v>31</v>
      </c>
      <c r="DU300" s="402">
        <f ca="1">IF((SUM($G270:DU270)-$E269*IF(длительность!$B$13&gt;70,0.3,0.622222222222222))&lt;0,0,IF((SUM($G270:DU270)-$E269*IF(длительность!$B$13&gt;70,0.3,0.622222222222222))&lt;DU270,SUM($G270:DU270)-$E269*IF(длительность!$B$13&gt;70,0.3,0.622222222222222),DU270))</f>
        <v>31</v>
      </c>
      <c r="DV300" s="402">
        <f ca="1">IF((SUM($G270:DV270)-$E269*IF(длительность!$B$13&gt;70,0.3,0.622222222222222))&lt;0,0,IF((SUM($G270:DV270)-$E269*IF(длительность!$B$13&gt;70,0.3,0.622222222222222))&lt;DV270,SUM($G270:DV270)-$E269*IF(длительность!$B$13&gt;70,0.3,0.622222222222222),DV270))</f>
        <v>28</v>
      </c>
      <c r="DW300" s="402">
        <f ca="1">IF((SUM($G270:DW270)-$E269*IF(длительность!$B$13&gt;70,0.3,0.622222222222222))&lt;0,0,IF((SUM($G270:DW270)-$E269*IF(длительность!$B$13&gt;70,0.3,0.622222222222222))&lt;DW270,SUM($G270:DW270)-$E269*IF(длительность!$B$13&gt;70,0.3,0.622222222222222),DW270))</f>
        <v>31</v>
      </c>
      <c r="DX300" s="402">
        <f ca="1">IF((SUM($G270:DX270)-$E269*IF(длительность!$B$13&gt;70,0.3,0.622222222222222))&lt;0,0,IF((SUM($G270:DX270)-$E269*IF(длительность!$B$13&gt;70,0.3,0.622222222222222))&lt;DX270,SUM($G270:DX270)-$E269*IF(длительность!$B$13&gt;70,0.3,0.622222222222222),DX270))</f>
        <v>30</v>
      </c>
      <c r="DY300" s="402">
        <f ca="1">IF((SUM($G270:DY270)-$E269*IF(длительность!$B$13&gt;70,0.3,0.622222222222222))&lt;0,0,IF((SUM($G270:DY270)-$E269*IF(длительность!$B$13&gt;70,0.3,0.622222222222222))&lt;DY270,SUM($G270:DY270)-$E269*IF(длительность!$B$13&gt;70,0.3,0.622222222222222),DY270))</f>
        <v>31</v>
      </c>
      <c r="DZ300" s="402">
        <f ca="1">IF((SUM($G270:DZ270)-$E269*IF(длительность!$B$13&gt;70,0.3,0.622222222222222))&lt;0,0,IF((SUM($G270:DZ270)-$E269*IF(длительность!$B$13&gt;70,0.3,0.622222222222222))&lt;DZ270,SUM($G270:DZ270)-$E269*IF(длительность!$B$13&gt;70,0.3,0.622222222222222),DZ270))</f>
        <v>30</v>
      </c>
      <c r="EA300" s="402">
        <f ca="1">IF((SUM($G270:EA270)-$E269*IF(длительность!$B$13&gt;70,0.3,0.622222222222222))&lt;0,0,IF((SUM($G270:EA270)-$E269*IF(длительность!$B$13&gt;70,0.3,0.622222222222222))&lt;EA270,SUM($G270:EA270)-$E269*IF(длительность!$B$13&gt;70,0.3,0.622222222222222),EA270))</f>
        <v>31</v>
      </c>
      <c r="EB300" s="402">
        <f ca="1">IF((SUM($G270:EB270)-$E269*IF(длительность!$B$13&gt;70,0.3,0.622222222222222))&lt;0,0,IF((SUM($G270:EB270)-$E269*IF(длительность!$B$13&gt;70,0.3,0.622222222222222))&lt;EB270,SUM($G270:EB270)-$E269*IF(длительность!$B$13&gt;70,0.3,0.622222222222222),EB270))</f>
        <v>31</v>
      </c>
      <c r="EC300" s="402">
        <f ca="1">IF((SUM($G270:EC270)-$E269*IF(длительность!$B$13&gt;70,0.3,0.622222222222222))&lt;0,0,IF((SUM($G270:EC270)-$E269*IF(длительность!$B$13&gt;70,0.3,0.622222222222222))&lt;EC270,SUM($G270:EC270)-$E269*IF(длительность!$B$13&gt;70,0.3,0.622222222222222),EC270))</f>
        <v>30</v>
      </c>
      <c r="ED300" s="402">
        <f ca="1">IF((SUM($G270:ED270)-$E269*IF(длительность!$B$13&gt;70,0.3,0.622222222222222))&lt;0,0,IF((SUM($G270:ED270)-$E269*IF(длительность!$B$13&gt;70,0.3,0.622222222222222))&lt;ED270,SUM($G270:ED270)-$E269*IF(длительность!$B$13&gt;70,0.3,0.622222222222222),ED270))</f>
        <v>31</v>
      </c>
      <c r="EE300" s="402">
        <f ca="1">IF((SUM($G270:EE270)-$E269*IF(длительность!$B$13&gt;70,0.3,0.622222222222222))&lt;0,0,IF((SUM($G270:EE270)-$E269*IF(длительность!$B$13&gt;70,0.3,0.622222222222222))&lt;EE270,SUM($G270:EE270)-$E269*IF(длительность!$B$13&gt;70,0.3,0.622222222222222),EE270))</f>
        <v>30</v>
      </c>
      <c r="EF300" s="402">
        <f ca="1">IF((SUM($G270:EF270)-$E269*IF(длительность!$B$13&gt;70,0.3,0.622222222222222))&lt;0,0,IF((SUM($G270:EF270)-$E269*IF(длительность!$B$13&gt;70,0.3,0.622222222222222))&lt;EF270,SUM($G270:EF270)-$E269*IF(длительность!$B$13&gt;70,0.3,0.622222222222222),EF270))</f>
        <v>31</v>
      </c>
      <c r="EG300" s="402">
        <f ca="1">IF((SUM($G270:EG270)-$E269*IF(длительность!$B$13&gt;70,0.3,0.622222222222222))&lt;0,0,IF((SUM($G270:EG270)-$E269*IF(длительность!$B$13&gt;70,0.3,0.622222222222222))&lt;EG270,SUM($G270:EG270)-$E269*IF(длительность!$B$13&gt;70,0.3,0.622222222222222),EG270))</f>
        <v>31</v>
      </c>
      <c r="EH300" s="402">
        <f ca="1">IF((SUM($G270:EH270)-$E269*IF(длительность!$B$13&gt;70,0.3,0.622222222222222))&lt;0,0,IF((SUM($G270:EH270)-$E269*IF(длительность!$B$13&gt;70,0.3,0.622222222222222))&lt;EH270,SUM($G270:EH270)-$E269*IF(длительность!$B$13&gt;70,0.3,0.622222222222222),EH270))</f>
        <v>28</v>
      </c>
      <c r="EI300" s="402">
        <f ca="1">IF((SUM($G270:EI270)-$E269*IF(длительность!$B$13&gt;70,0.3,0.622222222222222))&lt;0,0,IF((SUM($G270:EI270)-$E269*IF(длительность!$B$13&gt;70,0.3,0.622222222222222))&lt;EI270,SUM($G270:EI270)-$E269*IF(длительность!$B$13&gt;70,0.3,0.622222222222222),EI270))</f>
        <v>31</v>
      </c>
    </row>
    <row r="301" spans="1:141" hidden="1" outlineLevel="2">
      <c r="A301" s="332"/>
      <c r="B301" s="313"/>
      <c r="D301" s="305" t="s">
        <v>670</v>
      </c>
      <c r="E301" s="403">
        <f ca="1">MIN(G301:EI301)</f>
        <v>46143</v>
      </c>
      <c r="F301" s="404">
        <f ca="1">MAX(G301:EI301)</f>
        <v>46143</v>
      </c>
      <c r="G301" s="403" t="str">
        <f ca="1">IF(G299=0,"",IF(SUM($G299:G299)&gt;=1,OFFSET(G$228,-1,0),""))</f>
        <v/>
      </c>
      <c r="H301" s="403" t="str">
        <f ca="1">IF(SUM($G301:G301)&gt;=1,"",IF(H299=0,"",IF(SUM($G299:H299)&gt;=1,OFFSET(H$228,-1,0),"")))</f>
        <v/>
      </c>
      <c r="I301" s="403" t="str">
        <f ca="1">IF(SUM($G301:H301)&gt;=1,"",IF(I299=0,"",IF(SUM($G299:I299)&gt;=1,OFFSET(I$228,-1,0),"")))</f>
        <v/>
      </c>
      <c r="J301" s="403" t="str">
        <f ca="1">IF(SUM($G301:I301)&gt;=1,"",IF(J299=0,"",IF(SUM($G299:J299)&gt;=1,OFFSET(J$228,-1,0),"")))</f>
        <v/>
      </c>
      <c r="K301" s="403" t="str">
        <f ca="1">IF(SUM($G301:J301)&gt;=1,"",IF(K299=0,"",IF(SUM($G299:K299)&gt;=1,OFFSET(K$228,-1,0),"")))</f>
        <v/>
      </c>
      <c r="L301" s="403" t="str">
        <f ca="1">IF(SUM($G301:K301)&gt;=1,"",IF(L299=0,"",IF(SUM($G299:L299)&gt;=1,OFFSET(L$228,-1,0),"")))</f>
        <v/>
      </c>
      <c r="M301" s="403" t="str">
        <f ca="1">IF(SUM($G301:L301)&gt;=1,"",IF(M299=0,"",IF(SUM($G299:M299)&gt;=1,OFFSET(M$228,-1,0),"")))</f>
        <v/>
      </c>
      <c r="N301" s="403" t="str">
        <f ca="1">IF(SUM($G301:M301)&gt;=1,"",IF(N299=0,"",IF(SUM($G299:N299)&gt;=1,OFFSET(N$228,-1,0),"")))</f>
        <v/>
      </c>
      <c r="O301" s="403" t="str">
        <f ca="1">IF(SUM($G301:N301)&gt;=1,"",IF(O299=0,"",IF(SUM($G299:O299)&gt;=1,OFFSET(O$228,-1,0),"")))</f>
        <v/>
      </c>
      <c r="P301" s="403" t="str">
        <f ca="1">IF(SUM($G301:O301)&gt;=1,"",IF(P299=0,"",IF(SUM($G299:P299)&gt;=1,OFFSET(P$228,-1,0),"")))</f>
        <v/>
      </c>
      <c r="Q301" s="403" t="str">
        <f ca="1">IF(SUM($G301:P301)&gt;=1,"",IF(Q299=0,"",IF(SUM($G299:Q299)&gt;=1,OFFSET(Q$228,-1,0),"")))</f>
        <v/>
      </c>
      <c r="R301" s="403" t="str">
        <f ca="1">IF(SUM($G301:Q301)&gt;=1,"",IF(R299=0,"",IF(SUM($G299:R299)&gt;=1,OFFSET(R$228,-1,0),"")))</f>
        <v/>
      </c>
      <c r="S301" s="403" t="str">
        <f ca="1">IF(SUM($G301:R301)&gt;=1,"",IF(S299=0,"",IF(SUM($G299:S299)&gt;=1,OFFSET(S$228,-1,0),"")))</f>
        <v/>
      </c>
      <c r="T301" s="403" t="str">
        <f ca="1">IF(SUM($G301:S301)&gt;=1,"",IF(T299=0,"",IF(SUM($G299:T299)&gt;=1,OFFSET(T$228,-1,0),"")))</f>
        <v/>
      </c>
      <c r="U301" s="403" t="str">
        <f ca="1">IF(SUM($G301:T301)&gt;=1,"",IF(U299=0,"",IF(SUM($G299:U299)&gt;=1,OFFSET(U$228,-1,0),"")))</f>
        <v/>
      </c>
      <c r="V301" s="403" t="str">
        <f ca="1">IF(SUM($G301:U301)&gt;=1,"",IF(V299=0,"",IF(SUM($G299:V299)&gt;=1,OFFSET(V$228,-1,0),"")))</f>
        <v/>
      </c>
      <c r="W301" s="403" t="str">
        <f ca="1">IF(SUM($G301:V301)&gt;=1,"",IF(W299=0,"",IF(SUM($G299:W299)&gt;=1,OFFSET(W$228,-1,0),"")))</f>
        <v/>
      </c>
      <c r="X301" s="403" t="str">
        <f ca="1">IF(SUM($G301:W301)&gt;=1,"",IF(X299=0,"",IF(SUM($G299:X299)&gt;=1,OFFSET(X$228,-1,0),"")))</f>
        <v/>
      </c>
      <c r="Y301" s="403" t="str">
        <f ca="1">IF(SUM($G301:X301)&gt;=1,"",IF(Y299=0,"",IF(SUM($G299:Y299)&gt;=1,OFFSET(Y$228,-1,0),"")))</f>
        <v/>
      </c>
      <c r="Z301" s="403" t="str">
        <f ca="1">IF(SUM($G301:Y301)&gt;=1,"",IF(Z299=0,"",IF(SUM($G299:Z299)&gt;=1,OFFSET(Z$228,-1,0),"")))</f>
        <v/>
      </c>
      <c r="AA301" s="403" t="str">
        <f ca="1">IF(SUM($G301:Z301)&gt;=1,"",IF(AA299=0,"",IF(SUM($G299:AA299)&gt;=1,OFFSET(AA$228,-1,0),"")))</f>
        <v/>
      </c>
      <c r="AB301" s="403" t="str">
        <f ca="1">IF(SUM($G301:AA301)&gt;=1,"",IF(AB299=0,"",IF(SUM($G299:AB299)&gt;=1,OFFSET(AB$228,-1,0),"")))</f>
        <v/>
      </c>
      <c r="AC301" s="403" t="str">
        <f ca="1">IF(SUM($G301:AB301)&gt;=1,"",IF(AC299=0,"",IF(SUM($G299:AC299)&gt;=1,OFFSET(AC$228,-1,0),"")))</f>
        <v/>
      </c>
      <c r="AD301" s="403" t="str">
        <f ca="1">IF(SUM($G301:AC301)&gt;=1,"",IF(AD299=0,"",IF(SUM($G299:AD299)&gt;=1,OFFSET(AD$228,-1,0),"")))</f>
        <v/>
      </c>
      <c r="AE301" s="403" t="str">
        <f ca="1">IF(SUM($G301:AD301)&gt;=1,"",IF(AE299=0,"",IF(SUM($G299:AE299)&gt;=1,OFFSET(AE$228,-1,0),"")))</f>
        <v/>
      </c>
      <c r="AF301" s="403" t="str">
        <f ca="1">IF(SUM($G301:AE301)&gt;=1,"",IF(AF299=0,"",IF(SUM($G299:AF299)&gt;=1,OFFSET(AF$228,-1,0),"")))</f>
        <v/>
      </c>
      <c r="AG301" s="403" t="str">
        <f ca="1">IF(SUM($G301:AF301)&gt;=1,"",IF(AG299=0,"",IF(SUM($G299:AG299)&gt;=1,OFFSET(AG$228,-1,0),"")))</f>
        <v/>
      </c>
      <c r="AH301" s="403" t="str">
        <f ca="1">IF(SUM($G301:AG301)&gt;=1,"",IF(AH299=0,"",IF(SUM($G299:AH299)&gt;=1,OFFSET(AH$228,-1,0),"")))</f>
        <v/>
      </c>
      <c r="AI301" s="403" t="str">
        <f ca="1">IF(SUM($G301:AH301)&gt;=1,"",IF(AI299=0,"",IF(SUM($G299:AI299)&gt;=1,OFFSET(AI$228,-1,0),"")))</f>
        <v/>
      </c>
      <c r="AJ301" s="403" t="str">
        <f ca="1">IF(SUM($G301:AI301)&gt;=1,"",IF(AJ299=0,"",IF(SUM($G299:AJ299)&gt;=1,OFFSET(AJ$228,-1,0),"")))</f>
        <v/>
      </c>
      <c r="AK301" s="403" t="str">
        <f ca="1">IF(SUM($G301:AJ301)&gt;=1,"",IF(AK299=0,"",IF(SUM($G299:AK299)&gt;=1,OFFSET(AK$228,-1,0),"")))</f>
        <v/>
      </c>
      <c r="AL301" s="403" t="str">
        <f ca="1">IF(SUM($G301:AK301)&gt;=1,"",IF(AL299=0,"",IF(SUM($G299:AL299)&gt;=1,OFFSET(AL$228,-1,0),"")))</f>
        <v/>
      </c>
      <c r="AM301" s="403" t="str">
        <f ca="1">IF(SUM($G301:AL301)&gt;=1,"",IF(AM299=0,"",IF(SUM($G299:AM299)&gt;=1,OFFSET(AM$228,-1,0),"")))</f>
        <v/>
      </c>
      <c r="AN301" s="403" t="str">
        <f ca="1">IF(SUM($G301:AM301)&gt;=1,"",IF(AN299=0,"",IF(SUM($G299:AN299)&gt;=1,OFFSET(AN$228,-1,0),"")))</f>
        <v/>
      </c>
      <c r="AO301" s="403" t="str">
        <f ca="1">IF(SUM($G301:AN301)&gt;=1,"",IF(AO299=0,"",IF(SUM($G299:AO299)&gt;=1,OFFSET(AO$228,-1,0),"")))</f>
        <v/>
      </c>
      <c r="AP301" s="403" t="str">
        <f ca="1">IF(SUM($G301:AO301)&gt;=1,"",IF(AP299=0,"",IF(SUM($G299:AP299)&gt;=1,OFFSET(AP$228,-1,0),"")))</f>
        <v/>
      </c>
      <c r="AQ301" s="403" t="str">
        <f ca="1">IF(SUM($G301:AP301)&gt;=1,"",IF(AQ299=0,"",IF(SUM($G299:AQ299)&gt;=1,OFFSET(AQ$228,-1,0),"")))</f>
        <v/>
      </c>
      <c r="AR301" s="403" t="str">
        <f ca="1">IF(SUM($G301:AQ301)&gt;=1,"",IF(AR299=0,"",IF(SUM($G299:AR299)&gt;=1,OFFSET(AR$228,-1,0),"")))</f>
        <v/>
      </c>
      <c r="AS301" s="403">
        <f ca="1">IF(SUM($G301:AR301)&gt;=1,"",IF(AS299=0,"",IF(SUM($G299:AS299)&gt;=1,OFFSET(AS$228,-1,0),"")))</f>
        <v>46143</v>
      </c>
      <c r="AT301" s="403" t="str">
        <f ca="1">IF(SUM($G301:AS301)&gt;=1,"",IF(AT299=0,"",IF(SUM($G299:AT299)&gt;=1,OFFSET(AT$228,-1,0),"")))</f>
        <v/>
      </c>
      <c r="AU301" s="403" t="str">
        <f ca="1">IF(SUM($G301:AT301)&gt;=1,"",IF(AU299=0,"",IF(SUM($G299:AU299)&gt;=1,OFFSET(AU$228,-1,0),"")))</f>
        <v/>
      </c>
      <c r="AV301" s="403" t="str">
        <f ca="1">IF(SUM($G301:AU301)&gt;=1,"",IF(AV299=0,"",IF(SUM($G299:AV299)&gt;=1,OFFSET(AV$228,-1,0),"")))</f>
        <v/>
      </c>
      <c r="AW301" s="403" t="str">
        <f ca="1">IF(SUM($G301:AV301)&gt;=1,"",IF(AW299=0,"",IF(SUM($G299:AW299)&gt;=1,OFFSET(AW$228,-1,0),"")))</f>
        <v/>
      </c>
      <c r="AX301" s="403" t="str">
        <f ca="1">IF(SUM($G301:AW301)&gt;=1,"",IF(AX299=0,"",IF(SUM($G299:AX299)&gt;=1,OFFSET(AX$228,-1,0),"")))</f>
        <v/>
      </c>
      <c r="AY301" s="403" t="str">
        <f ca="1">IF(SUM($G301:AX301)&gt;=1,"",IF(AY299=0,"",IF(SUM($G299:AY299)&gt;=1,OFFSET(AY$228,-1,0),"")))</f>
        <v/>
      </c>
      <c r="AZ301" s="403" t="str">
        <f ca="1">IF(SUM($G301:AY301)&gt;=1,"",IF(AZ299=0,"",IF(SUM($G299:AZ299)&gt;=1,OFFSET(AZ$228,-1,0),"")))</f>
        <v/>
      </c>
      <c r="BA301" s="403" t="str">
        <f ca="1">IF(SUM($G301:AZ301)&gt;=1,"",IF(BA299=0,"",IF(SUM($G299:BA299)&gt;=1,OFFSET(BA$228,-1,0),"")))</f>
        <v/>
      </c>
      <c r="BB301" s="403" t="str">
        <f ca="1">IF(SUM($G301:BA301)&gt;=1,"",IF(BB299=0,"",IF(SUM($G299:BB299)&gt;=1,OFFSET(BB$228,-1,0),"")))</f>
        <v/>
      </c>
      <c r="BC301" s="403" t="str">
        <f ca="1">IF(SUM($G301:BB301)&gt;=1,"",IF(BC299=0,"",IF(SUM($G299:BC299)&gt;=1,OFFSET(BC$228,-1,0),"")))</f>
        <v/>
      </c>
      <c r="BD301" s="403" t="str">
        <f ca="1">IF(SUM($G301:BC301)&gt;=1,"",IF(BD299=0,"",IF(SUM($G299:BD299)&gt;=1,OFFSET(BD$228,-1,0),"")))</f>
        <v/>
      </c>
      <c r="BE301" s="403" t="str">
        <f ca="1">IF(SUM($G301:BD301)&gt;=1,"",IF(BE299=0,"",IF(SUM($G299:BE299)&gt;=1,OFFSET(BE$228,-1,0),"")))</f>
        <v/>
      </c>
      <c r="BF301" s="403" t="str">
        <f ca="1">IF(SUM($G301:BE301)&gt;=1,"",IF(BF299=0,"",IF(SUM($G299:BF299)&gt;=1,OFFSET(BF$228,-1,0),"")))</f>
        <v/>
      </c>
      <c r="BG301" s="403" t="str">
        <f ca="1">IF(SUM($G301:BF301)&gt;=1,"",IF(BG299=0,"",IF(SUM($G299:BG299)&gt;=1,OFFSET(BG$228,-1,0),"")))</f>
        <v/>
      </c>
      <c r="BH301" s="403" t="str">
        <f ca="1">IF(SUM($G301:BG301)&gt;=1,"",IF(BH299=0,"",IF(SUM($G299:BH299)&gt;=1,OFFSET(BH$228,-1,0),"")))</f>
        <v/>
      </c>
      <c r="BI301" s="403" t="str">
        <f ca="1">IF(SUM($G301:BH301)&gt;=1,"",IF(BI299=0,"",IF(SUM($G299:BI299)&gt;=1,OFFSET(BI$228,-1,0),"")))</f>
        <v/>
      </c>
      <c r="BJ301" s="403" t="str">
        <f ca="1">IF(SUM($G301:BI301)&gt;=1,"",IF(BJ299=0,"",IF(SUM($G299:BJ299)&gt;=1,OFFSET(BJ$228,-1,0),"")))</f>
        <v/>
      </c>
      <c r="BK301" s="403" t="str">
        <f ca="1">IF(SUM($G301:BJ301)&gt;=1,"",IF(BK299=0,"",IF(SUM($G299:BK299)&gt;=1,OFFSET(BK$228,-1,0),"")))</f>
        <v/>
      </c>
      <c r="BL301" s="403" t="str">
        <f ca="1">IF(SUM($G301:BK301)&gt;=1,"",IF(BL299=0,"",IF(SUM($G299:BL299)&gt;=1,OFFSET(BL$228,-1,0),"")))</f>
        <v/>
      </c>
      <c r="BM301" s="403" t="str">
        <f ca="1">IF(SUM($G301:BL301)&gt;=1,"",IF(BM299=0,"",IF(SUM($G299:BM299)&gt;=1,OFFSET(BM$228,-1,0),"")))</f>
        <v/>
      </c>
      <c r="BN301" s="403" t="str">
        <f ca="1">IF(SUM($G301:BM301)&gt;=1,"",IF(BN299=0,"",IF(SUM($G299:BN299)&gt;=1,OFFSET(BN$228,-1,0),"")))</f>
        <v/>
      </c>
      <c r="BO301" s="403" t="str">
        <f ca="1">IF(SUM($G301:BN301)&gt;=1,"",IF(BO299=0,"",IF(SUM($G299:BO299)&gt;=1,OFFSET(BO$228,-1,0),"")))</f>
        <v/>
      </c>
      <c r="BP301" s="403" t="str">
        <f ca="1">IF(SUM($G301:BO301)&gt;=1,"",IF(BP299=0,"",IF(SUM($G299:BP299)&gt;=1,OFFSET(BP$228,-1,0),"")))</f>
        <v/>
      </c>
      <c r="BQ301" s="403" t="str">
        <f ca="1">IF(SUM($G301:BP301)&gt;=1,"",IF(BQ299=0,"",IF(SUM($G299:BQ299)&gt;=1,OFFSET(BQ$228,-1,0),"")))</f>
        <v/>
      </c>
      <c r="BR301" s="403" t="str">
        <f ca="1">IF(SUM($G301:BQ301)&gt;=1,"",IF(BR299=0,"",IF(SUM($G299:BR299)&gt;=1,OFFSET(BR$228,-1,0),"")))</f>
        <v/>
      </c>
      <c r="BS301" s="403" t="str">
        <f ca="1">IF(SUM($G301:BR301)&gt;=1,"",IF(BS299=0,"",IF(SUM($G299:BS299)&gt;=1,OFFSET(BS$228,-1,0),"")))</f>
        <v/>
      </c>
      <c r="BT301" s="403" t="str">
        <f ca="1">IF(SUM($G301:BS301)&gt;=1,"",IF(BT299=0,"",IF(SUM($G299:BT299)&gt;=1,OFFSET(BT$228,-1,0),"")))</f>
        <v/>
      </c>
      <c r="BU301" s="403" t="str">
        <f ca="1">IF(SUM($G301:BT301)&gt;=1,"",IF(BU299=0,"",IF(SUM($G299:BU299)&gt;=1,OFFSET(BU$228,-1,0),"")))</f>
        <v/>
      </c>
      <c r="BV301" s="403" t="str">
        <f ca="1">IF(SUM($G301:BU301)&gt;=1,"",IF(BV299=0,"",IF(SUM($G299:BV299)&gt;=1,OFFSET(BV$228,-1,0),"")))</f>
        <v/>
      </c>
      <c r="BW301" s="403" t="str">
        <f ca="1">IF(SUM($G301:BV301)&gt;=1,"",IF(BW299=0,"",IF(SUM($G299:BW299)&gt;=1,OFFSET(BW$228,-1,0),"")))</f>
        <v/>
      </c>
      <c r="BX301" s="403" t="str">
        <f ca="1">IF(SUM($G301:BW301)&gt;=1,"",IF(BX299=0,"",IF(SUM($G299:BX299)&gt;=1,OFFSET(BX$228,-1,0),"")))</f>
        <v/>
      </c>
      <c r="BY301" s="403" t="str">
        <f ca="1">IF(SUM($G301:BX301)&gt;=1,"",IF(BY299=0,"",IF(SUM($G299:BY299)&gt;=1,OFFSET(BY$228,-1,0),"")))</f>
        <v/>
      </c>
      <c r="BZ301" s="403" t="str">
        <f ca="1">IF(SUM($G301:BY301)&gt;=1,"",IF(BZ299=0,"",IF(SUM($G299:BZ299)&gt;=1,OFFSET(BZ$228,-1,0),"")))</f>
        <v/>
      </c>
      <c r="CA301" s="403" t="str">
        <f ca="1">IF(SUM($G301:BZ301)&gt;=1,"",IF(CA299=0,"",IF(SUM($G299:CA299)&gt;=1,OFFSET(CA$228,-1,0),"")))</f>
        <v/>
      </c>
      <c r="CB301" s="403" t="str">
        <f ca="1">IF(SUM($G301:CA301)&gt;=1,"",IF(CB299=0,"",IF(SUM($G299:CB299)&gt;=1,OFFSET(CB$228,-1,0),"")))</f>
        <v/>
      </c>
      <c r="CC301" s="403" t="str">
        <f ca="1">IF(SUM($G301:CB301)&gt;=1,"",IF(CC299=0,"",IF(SUM($G299:CC299)&gt;=1,OFFSET(CC$228,-1,0),"")))</f>
        <v/>
      </c>
      <c r="CD301" s="403" t="str">
        <f ca="1">IF(SUM($G301:CC301)&gt;=1,"",IF(CD299=0,"",IF(SUM($G299:CD299)&gt;=1,OFFSET(CD$228,-1,0),"")))</f>
        <v/>
      </c>
      <c r="CE301" s="403" t="str">
        <f ca="1">IF(SUM($G301:CD301)&gt;=1,"",IF(CE299=0,"",IF(SUM($G299:CE299)&gt;=1,OFFSET(CE$228,-1,0),"")))</f>
        <v/>
      </c>
      <c r="CF301" s="403" t="str">
        <f ca="1">IF(SUM($G301:CE301)&gt;=1,"",IF(CF299=0,"",IF(SUM($G299:CF299)&gt;=1,OFFSET(CF$228,-1,0),"")))</f>
        <v/>
      </c>
      <c r="CG301" s="403" t="str">
        <f ca="1">IF(SUM($G301:CF301)&gt;=1,"",IF(CG299=0,"",IF(SUM($G299:CG299)&gt;=1,OFFSET(CG$228,-1,0),"")))</f>
        <v/>
      </c>
      <c r="CH301" s="403" t="str">
        <f ca="1">IF(SUM($G301:CG301)&gt;=1,"",IF(CH299=0,"",IF(SUM($G299:CH299)&gt;=1,OFFSET(CH$228,-1,0),"")))</f>
        <v/>
      </c>
      <c r="CI301" s="403" t="str">
        <f ca="1">IF(SUM($G301:CH301)&gt;=1,"",IF(CI299=0,"",IF(SUM($G299:CI299)&gt;=1,OFFSET(CI$228,-1,0),"")))</f>
        <v/>
      </c>
      <c r="CJ301" s="403" t="str">
        <f ca="1">IF(SUM($G301:CI301)&gt;=1,"",IF(CJ299=0,"",IF(SUM($G299:CJ299)&gt;=1,OFFSET(CJ$228,-1,0),"")))</f>
        <v/>
      </c>
      <c r="CK301" s="403" t="str">
        <f ca="1">IF(SUM($G301:CJ301)&gt;=1,"",IF(CK299=0,"",IF(SUM($G299:CK299)&gt;=1,OFFSET(CK$228,-1,0),"")))</f>
        <v/>
      </c>
      <c r="CL301" s="403" t="str">
        <f ca="1">IF(SUM($G301:CK301)&gt;=1,"",IF(CL299=0,"",IF(SUM($G299:CL299)&gt;=1,OFFSET(CL$228,-1,0),"")))</f>
        <v/>
      </c>
      <c r="CM301" s="403" t="str">
        <f ca="1">IF(SUM($G301:CL301)&gt;=1,"",IF(CM299=0,"",IF(SUM($G299:CM299)&gt;=1,OFFSET(CM$228,-1,0),"")))</f>
        <v/>
      </c>
      <c r="CN301" s="403" t="str">
        <f ca="1">IF(SUM($G301:CM301)&gt;=1,"",IF(CN299=0,"",IF(SUM($G299:CN299)&gt;=1,OFFSET(CN$228,-1,0),"")))</f>
        <v/>
      </c>
      <c r="CO301" s="403" t="str">
        <f ca="1">IF(SUM($G301:CN301)&gt;=1,"",IF(CO299=0,"",IF(SUM($G299:CO299)&gt;=1,OFFSET(CO$228,-1,0),"")))</f>
        <v/>
      </c>
      <c r="CP301" s="403" t="str">
        <f ca="1">IF(SUM($G301:CO301)&gt;=1,"",IF(CP299=0,"",IF(SUM($G299:CP299)&gt;=1,OFFSET(CP$228,-1,0),"")))</f>
        <v/>
      </c>
      <c r="CQ301" s="403" t="str">
        <f ca="1">IF(SUM($G301:CP301)&gt;=1,"",IF(CQ299=0,"",IF(SUM($G299:CQ299)&gt;=1,OFFSET(CQ$228,-1,0),"")))</f>
        <v/>
      </c>
      <c r="CR301" s="403" t="str">
        <f ca="1">IF(SUM($G301:CQ301)&gt;=1,"",IF(CR299=0,"",IF(SUM($G299:CR299)&gt;=1,OFFSET(CR$228,-1,0),"")))</f>
        <v/>
      </c>
      <c r="CS301" s="403" t="str">
        <f ca="1">IF(SUM($G301:CR301)&gt;=1,"",IF(CS299=0,"",IF(SUM($G299:CS299)&gt;=1,OFFSET(CS$228,-1,0),"")))</f>
        <v/>
      </c>
      <c r="CT301" s="403" t="str">
        <f ca="1">IF(SUM($G301:CS301)&gt;=1,"",IF(CT299=0,"",IF(SUM($G299:CT299)&gt;=1,OFFSET(CT$228,-1,0),"")))</f>
        <v/>
      </c>
      <c r="CU301" s="403" t="str">
        <f ca="1">IF(SUM($G301:CT301)&gt;=1,"",IF(CU299=0,"",IF(SUM($G299:CU299)&gt;=1,OFFSET(CU$228,-1,0),"")))</f>
        <v/>
      </c>
      <c r="CV301" s="403" t="str">
        <f ca="1">IF(SUM($G301:CU301)&gt;=1,"",IF(CV299=0,"",IF(SUM($G299:CV299)&gt;=1,OFFSET(CV$228,-1,0),"")))</f>
        <v/>
      </c>
      <c r="CW301" s="403" t="str">
        <f ca="1">IF(SUM($G301:CV301)&gt;=1,"",IF(CW299=0,"",IF(SUM($G299:CW299)&gt;=1,OFFSET(CW$228,-1,0),"")))</f>
        <v/>
      </c>
      <c r="CX301" s="403" t="str">
        <f ca="1">IF(SUM($G301:CW301)&gt;=1,"",IF(CX299=0,"",IF(SUM($G299:CX299)&gt;=1,OFFSET(CX$228,-1,0),"")))</f>
        <v/>
      </c>
      <c r="CY301" s="403" t="str">
        <f ca="1">IF(SUM($G301:CX301)&gt;=1,"",IF(CY299=0,"",IF(SUM($G299:CY299)&gt;=1,OFFSET(CY$228,-1,0),"")))</f>
        <v/>
      </c>
      <c r="CZ301" s="403" t="str">
        <f ca="1">IF(SUM($G301:CY301)&gt;=1,"",IF(CZ299=0,"",IF(SUM($G299:CZ299)&gt;=1,OFFSET(CZ$228,-1,0),"")))</f>
        <v/>
      </c>
      <c r="DA301" s="403" t="str">
        <f ca="1">IF(SUM($G301:CZ301)&gt;=1,"",IF(DA299=0,"",IF(SUM($G299:DA299)&gt;=1,OFFSET(DA$228,-1,0),"")))</f>
        <v/>
      </c>
      <c r="DB301" s="403" t="str">
        <f ca="1">IF(SUM($G301:DA301)&gt;=1,"",IF(DB299=0,"",IF(SUM($G299:DB299)&gt;=1,OFFSET(DB$228,-1,0),"")))</f>
        <v/>
      </c>
      <c r="DC301" s="403" t="str">
        <f ca="1">IF(SUM($G301:DB301)&gt;=1,"",IF(DC299=0,"",IF(SUM($G299:DC299)&gt;=1,OFFSET(DC$228,-1,0),"")))</f>
        <v/>
      </c>
      <c r="DD301" s="403" t="str">
        <f ca="1">IF(SUM($G301:DC301)&gt;=1,"",IF(DD299=0,"",IF(SUM($G299:DD299)&gt;=1,OFFSET(DD$228,-1,0),"")))</f>
        <v/>
      </c>
      <c r="DE301" s="403" t="str">
        <f ca="1">IF(SUM($G301:DD301)&gt;=1,"",IF(DE299=0,"",IF(SUM($G299:DE299)&gt;=1,OFFSET(DE$228,-1,0),"")))</f>
        <v/>
      </c>
      <c r="DF301" s="403" t="str">
        <f ca="1">IF(SUM($G301:DE301)&gt;=1,"",IF(DF299=0,"",IF(SUM($G299:DF299)&gt;=1,OFFSET(DF$228,-1,0),"")))</f>
        <v/>
      </c>
      <c r="DG301" s="403" t="str">
        <f ca="1">IF(SUM($G301:DF301)&gt;=1,"",IF(DG299=0,"",IF(SUM($G299:DG299)&gt;=1,OFFSET(DG$228,-1,0),"")))</f>
        <v/>
      </c>
      <c r="DH301" s="403" t="str">
        <f ca="1">IF(SUM($G301:DG301)&gt;=1,"",IF(DH299=0,"",IF(SUM($G299:DH299)&gt;=1,OFFSET(DH$228,-1,0),"")))</f>
        <v/>
      </c>
      <c r="DI301" s="403" t="str">
        <f ca="1">IF(SUM($G301:DH301)&gt;=1,"",IF(DI299=0,"",IF(SUM($G299:DI299)&gt;=1,OFFSET(DI$228,-1,0),"")))</f>
        <v/>
      </c>
      <c r="DJ301" s="403" t="str">
        <f ca="1">IF(SUM($G301:DI301)&gt;=1,"",IF(DJ299=0,"",IF(SUM($G299:DJ299)&gt;=1,OFFSET(DJ$228,-1,0),"")))</f>
        <v/>
      </c>
      <c r="DK301" s="403" t="str">
        <f ca="1">IF(SUM($G301:DJ301)&gt;=1,"",IF(DK299=0,"",IF(SUM($G299:DK299)&gt;=1,OFFSET(DK$228,-1,0),"")))</f>
        <v/>
      </c>
      <c r="DL301" s="403" t="str">
        <f ca="1">IF(SUM($G301:DK301)&gt;=1,"",IF(DL299=0,"",IF(SUM($G299:DL299)&gt;=1,OFFSET(DL$228,-1,0),"")))</f>
        <v/>
      </c>
      <c r="DM301" s="403" t="str">
        <f ca="1">IF(SUM($G301:DL301)&gt;=1,"",IF(DM299=0,"",IF(SUM($G299:DM299)&gt;=1,OFFSET(DM$228,-1,0),"")))</f>
        <v/>
      </c>
      <c r="DN301" s="403" t="str">
        <f ca="1">IF(SUM($G301:DM301)&gt;=1,"",IF(DN299=0,"",IF(SUM($G299:DN299)&gt;=1,OFFSET(DN$228,-1,0),"")))</f>
        <v/>
      </c>
      <c r="DO301" s="403" t="str">
        <f ca="1">IF(SUM($G301:DN301)&gt;=1,"",IF(DO299=0,"",IF(SUM($G299:DO299)&gt;=1,OFFSET(DO$228,-1,0),"")))</f>
        <v/>
      </c>
      <c r="DP301" s="403" t="str">
        <f ca="1">IF(SUM($G301:DO301)&gt;=1,"",IF(DP299=0,"",IF(SUM($G299:DP299)&gt;=1,OFFSET(DP$228,-1,0),"")))</f>
        <v/>
      </c>
      <c r="DQ301" s="403" t="str">
        <f ca="1">IF(SUM($G301:DP301)&gt;=1,"",IF(DQ299=0,"",IF(SUM($G299:DQ299)&gt;=1,OFFSET(DQ$228,-1,0),"")))</f>
        <v/>
      </c>
      <c r="DR301" s="403" t="str">
        <f ca="1">IF(SUM($G301:DQ301)&gt;=1,"",IF(DR299=0,"",IF(SUM($G299:DR299)&gt;=1,OFFSET(DR$228,-1,0),"")))</f>
        <v/>
      </c>
      <c r="DS301" s="403" t="str">
        <f ca="1">IF(SUM($G301:DR301)&gt;=1,"",IF(DS299=0,"",IF(SUM($G299:DS299)&gt;=1,OFFSET(DS$228,-1,0),"")))</f>
        <v/>
      </c>
      <c r="DT301" s="403" t="str">
        <f ca="1">IF(SUM($G301:DS301)&gt;=1,"",IF(DT299=0,"",IF(SUM($G299:DT299)&gt;=1,OFFSET(DT$228,-1,0),"")))</f>
        <v/>
      </c>
      <c r="DU301" s="403" t="str">
        <f ca="1">IF(SUM($G301:DT301)&gt;=1,"",IF(DU299=0,"",IF(SUM($G299:DU299)&gt;=1,OFFSET(DU$228,-1,0),"")))</f>
        <v/>
      </c>
      <c r="DV301" s="403" t="str">
        <f ca="1">IF(SUM($G301:DU301)&gt;=1,"",IF(DV299=0,"",IF(SUM($G299:DV299)&gt;=1,OFFSET(DV$228,-1,0),"")))</f>
        <v/>
      </c>
      <c r="DW301" s="403" t="str">
        <f ca="1">IF(SUM($G301:DV301)&gt;=1,"",IF(DW299=0,"",IF(SUM($G299:DW299)&gt;=1,OFFSET(DW$228,-1,0),"")))</f>
        <v/>
      </c>
      <c r="DX301" s="403" t="str">
        <f ca="1">IF(SUM($G301:DW301)&gt;=1,"",IF(DX299=0,"",IF(SUM($G299:DX299)&gt;=1,OFFSET(DX$228,-1,0),"")))</f>
        <v/>
      </c>
      <c r="DY301" s="403" t="str">
        <f ca="1">IF(SUM($G301:DX301)&gt;=1,"",IF(DY299=0,"",IF(SUM($G299:DY299)&gt;=1,OFFSET(DY$228,-1,0),"")))</f>
        <v/>
      </c>
      <c r="DZ301" s="403" t="str">
        <f ca="1">IF(SUM($G301:DY301)&gt;=1,"",IF(DZ299=0,"",IF(SUM($G299:DZ299)&gt;=1,OFFSET(DZ$228,-1,0),"")))</f>
        <v/>
      </c>
      <c r="EA301" s="403" t="str">
        <f ca="1">IF(SUM($G301:DZ301)&gt;=1,"",IF(EA299=0,"",IF(SUM($G299:EA299)&gt;=1,OFFSET(EA$228,-1,0),"")))</f>
        <v/>
      </c>
      <c r="EB301" s="403" t="str">
        <f ca="1">IF(SUM($G301:EA301)&gt;=1,"",IF(EB299=0,"",IF(SUM($G299:EB299)&gt;=1,OFFSET(EB$228,-1,0),"")))</f>
        <v/>
      </c>
      <c r="EC301" s="403" t="str">
        <f ca="1">IF(SUM($G301:EB301)&gt;=1,"",IF(EC299=0,"",IF(SUM($G299:EC299)&gt;=1,OFFSET(EC$228,-1,0),"")))</f>
        <v/>
      </c>
      <c r="ED301" s="403" t="str">
        <f ca="1">IF(SUM($G301:EC301)&gt;=1,"",IF(ED299=0,"",IF(SUM($G299:ED299)&gt;=1,OFFSET(ED$228,-1,0),"")))</f>
        <v/>
      </c>
      <c r="EE301" s="403" t="str">
        <f ca="1">IF(SUM($G301:ED301)&gt;=1,"",IF(EE299=0,"",IF(SUM($G299:EE299)&gt;=1,OFFSET(EE$228,-1,0),"")))</f>
        <v/>
      </c>
      <c r="EF301" s="403" t="str">
        <f ca="1">IF(SUM($G301:EE301)&gt;=1,"",IF(EF299=0,"",IF(SUM($G299:EF299)&gt;=1,OFFSET(EF$228,-1,0),"")))</f>
        <v/>
      </c>
      <c r="EG301" s="403" t="str">
        <f ca="1">IF(SUM($G301:EF301)&gt;=1,"",IF(EG299=0,"",IF(SUM($G299:EG299)&gt;=1,OFFSET(EG$228,-1,0),"")))</f>
        <v/>
      </c>
      <c r="EH301" s="403" t="str">
        <f ca="1">IF(SUM($G301:EG301)&gt;=1,"",IF(EH299=0,"",IF(SUM($G299:EH299)&gt;=1,OFFSET(EH$228,-1,0),"")))</f>
        <v/>
      </c>
      <c r="EI301" s="403" t="str">
        <f ca="1">IF(SUM($G301:EH301)&gt;=1,"",IF(EI299=0,"",IF(SUM($G299:EI299)&gt;=1,OFFSET(EI$228,-1,0),"")))</f>
        <v/>
      </c>
    </row>
    <row r="302" spans="1:141" hidden="1" outlineLevel="2">
      <c r="A302" s="332"/>
      <c r="B302" s="313"/>
      <c r="D302" s="305" t="s">
        <v>671</v>
      </c>
      <c r="E302" s="1002">
        <f ca="1">IF(E299=0,"",MIN(G302:EI302))</f>
        <v>46148.7</v>
      </c>
      <c r="F302" s="1003"/>
      <c r="G302" s="403" t="str">
        <f>IF(G299=0,"",IF(G299=G$3,G301,G$5+H$5-G303-1))</f>
        <v/>
      </c>
      <c r="H302" s="403" t="str">
        <f ca="1">IF(H299=0,"",IF(H299=H$3,H301,H$5+I$5-H303-1))</f>
        <v/>
      </c>
      <c r="I302" s="403" t="str">
        <f t="shared" ref="I302:BT302" ca="1" si="500">IF(I299=0,"",IF(I299=I$3,I301,I$5+J$5-I303-1))</f>
        <v/>
      </c>
      <c r="J302" s="403" t="str">
        <f t="shared" ca="1" si="500"/>
        <v/>
      </c>
      <c r="K302" s="403" t="str">
        <f t="shared" ca="1" si="500"/>
        <v/>
      </c>
      <c r="L302" s="403" t="str">
        <f t="shared" ca="1" si="500"/>
        <v/>
      </c>
      <c r="M302" s="403" t="str">
        <f t="shared" ca="1" si="500"/>
        <v/>
      </c>
      <c r="N302" s="403" t="str">
        <f t="shared" ca="1" si="500"/>
        <v/>
      </c>
      <c r="O302" s="403" t="str">
        <f t="shared" ca="1" si="500"/>
        <v/>
      </c>
      <c r="P302" s="403" t="str">
        <f t="shared" ca="1" si="500"/>
        <v/>
      </c>
      <c r="Q302" s="403" t="str">
        <f t="shared" ca="1" si="500"/>
        <v/>
      </c>
      <c r="R302" s="403" t="str">
        <f t="shared" ca="1" si="500"/>
        <v/>
      </c>
      <c r="S302" s="403" t="str">
        <f t="shared" ca="1" si="500"/>
        <v/>
      </c>
      <c r="T302" s="403" t="str">
        <f t="shared" ca="1" si="500"/>
        <v/>
      </c>
      <c r="U302" s="403" t="str">
        <f t="shared" ca="1" si="500"/>
        <v/>
      </c>
      <c r="V302" s="403" t="str">
        <f t="shared" ca="1" si="500"/>
        <v/>
      </c>
      <c r="W302" s="403" t="str">
        <f t="shared" ca="1" si="500"/>
        <v/>
      </c>
      <c r="X302" s="403" t="str">
        <f t="shared" ca="1" si="500"/>
        <v/>
      </c>
      <c r="Y302" s="403" t="str">
        <f t="shared" ca="1" si="500"/>
        <v/>
      </c>
      <c r="Z302" s="403" t="str">
        <f t="shared" ca="1" si="500"/>
        <v/>
      </c>
      <c r="AA302" s="403" t="str">
        <f t="shared" ca="1" si="500"/>
        <v/>
      </c>
      <c r="AB302" s="403" t="str">
        <f t="shared" ca="1" si="500"/>
        <v/>
      </c>
      <c r="AC302" s="403" t="str">
        <f t="shared" ca="1" si="500"/>
        <v/>
      </c>
      <c r="AD302" s="403" t="str">
        <f t="shared" ca="1" si="500"/>
        <v/>
      </c>
      <c r="AE302" s="403" t="str">
        <f t="shared" ca="1" si="500"/>
        <v/>
      </c>
      <c r="AF302" s="403" t="str">
        <f t="shared" ca="1" si="500"/>
        <v/>
      </c>
      <c r="AG302" s="403" t="str">
        <f t="shared" ca="1" si="500"/>
        <v/>
      </c>
      <c r="AH302" s="403" t="str">
        <f t="shared" ca="1" si="500"/>
        <v/>
      </c>
      <c r="AI302" s="403" t="str">
        <f t="shared" ca="1" si="500"/>
        <v/>
      </c>
      <c r="AJ302" s="403" t="str">
        <f t="shared" ca="1" si="500"/>
        <v/>
      </c>
      <c r="AK302" s="403" t="str">
        <f t="shared" ca="1" si="500"/>
        <v/>
      </c>
      <c r="AL302" s="403" t="str">
        <f t="shared" ca="1" si="500"/>
        <v/>
      </c>
      <c r="AM302" s="403" t="str">
        <f t="shared" ca="1" si="500"/>
        <v/>
      </c>
      <c r="AN302" s="403" t="str">
        <f t="shared" ca="1" si="500"/>
        <v/>
      </c>
      <c r="AO302" s="403" t="str">
        <f t="shared" ca="1" si="500"/>
        <v/>
      </c>
      <c r="AP302" s="403" t="str">
        <f t="shared" ca="1" si="500"/>
        <v/>
      </c>
      <c r="AQ302" s="403" t="str">
        <f t="shared" ca="1" si="500"/>
        <v/>
      </c>
      <c r="AR302" s="403" t="str">
        <f t="shared" ca="1" si="500"/>
        <v/>
      </c>
      <c r="AS302" s="403">
        <f t="shared" ca="1" si="500"/>
        <v>46148.7</v>
      </c>
      <c r="AT302" s="403" t="str">
        <f t="shared" ca="1" si="500"/>
        <v/>
      </c>
      <c r="AU302" s="403" t="str">
        <f t="shared" ca="1" si="500"/>
        <v/>
      </c>
      <c r="AV302" s="403" t="str">
        <f t="shared" ca="1" si="500"/>
        <v/>
      </c>
      <c r="AW302" s="403" t="str">
        <f t="shared" ca="1" si="500"/>
        <v/>
      </c>
      <c r="AX302" s="403" t="str">
        <f t="shared" ca="1" si="500"/>
        <v/>
      </c>
      <c r="AY302" s="403" t="str">
        <f t="shared" ca="1" si="500"/>
        <v/>
      </c>
      <c r="AZ302" s="403" t="str">
        <f t="shared" ca="1" si="500"/>
        <v/>
      </c>
      <c r="BA302" s="403" t="str">
        <f t="shared" ca="1" si="500"/>
        <v/>
      </c>
      <c r="BB302" s="403" t="str">
        <f t="shared" ca="1" si="500"/>
        <v/>
      </c>
      <c r="BC302" s="403" t="str">
        <f t="shared" ca="1" si="500"/>
        <v/>
      </c>
      <c r="BD302" s="403" t="str">
        <f t="shared" ca="1" si="500"/>
        <v/>
      </c>
      <c r="BE302" s="403" t="str">
        <f t="shared" ca="1" si="500"/>
        <v/>
      </c>
      <c r="BF302" s="403" t="str">
        <f t="shared" ca="1" si="500"/>
        <v/>
      </c>
      <c r="BG302" s="403" t="str">
        <f t="shared" ca="1" si="500"/>
        <v/>
      </c>
      <c r="BH302" s="403" t="str">
        <f t="shared" ca="1" si="500"/>
        <v/>
      </c>
      <c r="BI302" s="403" t="str">
        <f t="shared" ca="1" si="500"/>
        <v/>
      </c>
      <c r="BJ302" s="403" t="str">
        <f t="shared" ca="1" si="500"/>
        <v/>
      </c>
      <c r="BK302" s="403">
        <f t="shared" ca="1" si="500"/>
        <v>46696.3</v>
      </c>
      <c r="BL302" s="403" t="str">
        <f t="shared" ca="1" si="500"/>
        <v/>
      </c>
      <c r="BM302" s="403" t="str">
        <f t="shared" ca="1" si="500"/>
        <v/>
      </c>
      <c r="BN302" s="403" t="str">
        <f t="shared" ca="1" si="500"/>
        <v/>
      </c>
      <c r="BO302" s="403" t="str">
        <f t="shared" ca="1" si="500"/>
        <v/>
      </c>
      <c r="BP302" s="403" t="str">
        <f t="shared" ca="1" si="500"/>
        <v/>
      </c>
      <c r="BQ302" s="403" t="str">
        <f t="shared" ca="1" si="500"/>
        <v/>
      </c>
      <c r="BR302" s="403" t="str">
        <f t="shared" ca="1" si="500"/>
        <v/>
      </c>
      <c r="BS302" s="403" t="str">
        <f t="shared" ca="1" si="500"/>
        <v/>
      </c>
      <c r="BT302" s="403" t="str">
        <f t="shared" ca="1" si="500"/>
        <v/>
      </c>
      <c r="BU302" s="403" t="str">
        <f t="shared" ref="BU302:EF302" ca="1" si="501">IF(BU299=0,"",IF(BU299=BU$3,BU301,BU$5+BV$5-BU303-1))</f>
        <v/>
      </c>
      <c r="BV302" s="403" t="str">
        <f t="shared" ca="1" si="501"/>
        <v/>
      </c>
      <c r="BW302" s="403" t="str">
        <f t="shared" ca="1" si="501"/>
        <v/>
      </c>
      <c r="BX302" s="403" t="str">
        <f t="shared" ca="1" si="501"/>
        <v/>
      </c>
      <c r="BY302" s="403" t="str">
        <f t="shared" ca="1" si="501"/>
        <v/>
      </c>
      <c r="BZ302" s="403" t="str">
        <f t="shared" ca="1" si="501"/>
        <v/>
      </c>
      <c r="CA302" s="403" t="str">
        <f t="shared" ca="1" si="501"/>
        <v/>
      </c>
      <c r="CB302" s="403" t="str">
        <f t="shared" ca="1" si="501"/>
        <v/>
      </c>
      <c r="CC302" s="403" t="str">
        <f t="shared" ca="1" si="501"/>
        <v/>
      </c>
      <c r="CD302" s="403" t="str">
        <f t="shared" ca="1" si="501"/>
        <v/>
      </c>
      <c r="CE302" s="403" t="str">
        <f t="shared" ca="1" si="501"/>
        <v/>
      </c>
      <c r="CF302" s="403" t="str">
        <f t="shared" ca="1" si="501"/>
        <v/>
      </c>
      <c r="CG302" s="403" t="str">
        <f t="shared" ca="1" si="501"/>
        <v/>
      </c>
      <c r="CH302" s="403" t="str">
        <f t="shared" ca="1" si="501"/>
        <v/>
      </c>
      <c r="CI302" s="403" t="str">
        <f t="shared" ca="1" si="501"/>
        <v/>
      </c>
      <c r="CJ302" s="403" t="str">
        <f t="shared" ca="1" si="501"/>
        <v/>
      </c>
      <c r="CK302" s="403" t="str">
        <f t="shared" ca="1" si="501"/>
        <v/>
      </c>
      <c r="CL302" s="403" t="str">
        <f t="shared" ca="1" si="501"/>
        <v/>
      </c>
      <c r="CM302" s="403" t="str">
        <f t="shared" ca="1" si="501"/>
        <v/>
      </c>
      <c r="CN302" s="403" t="str">
        <f t="shared" ca="1" si="501"/>
        <v/>
      </c>
      <c r="CO302" s="403" t="str">
        <f t="shared" ca="1" si="501"/>
        <v/>
      </c>
      <c r="CP302" s="403" t="str">
        <f t="shared" ca="1" si="501"/>
        <v/>
      </c>
      <c r="CQ302" s="403" t="str">
        <f t="shared" ca="1" si="501"/>
        <v/>
      </c>
      <c r="CR302" s="403" t="str">
        <f t="shared" ca="1" si="501"/>
        <v/>
      </c>
      <c r="CS302" s="403" t="str">
        <f t="shared" ca="1" si="501"/>
        <v/>
      </c>
      <c r="CT302" s="403" t="str">
        <f t="shared" ca="1" si="501"/>
        <v/>
      </c>
      <c r="CU302" s="403" t="str">
        <f t="shared" ca="1" si="501"/>
        <v/>
      </c>
      <c r="CV302" s="403" t="str">
        <f t="shared" ca="1" si="501"/>
        <v/>
      </c>
      <c r="CW302" s="403" t="str">
        <f t="shared" ca="1" si="501"/>
        <v/>
      </c>
      <c r="CX302" s="403" t="str">
        <f t="shared" ca="1" si="501"/>
        <v/>
      </c>
      <c r="CY302" s="403" t="str">
        <f t="shared" ca="1" si="501"/>
        <v/>
      </c>
      <c r="CZ302" s="403" t="str">
        <f t="shared" ca="1" si="501"/>
        <v/>
      </c>
      <c r="DA302" s="403" t="str">
        <f t="shared" ca="1" si="501"/>
        <v/>
      </c>
      <c r="DB302" s="403" t="str">
        <f t="shared" ca="1" si="501"/>
        <v/>
      </c>
      <c r="DC302" s="403" t="str">
        <f t="shared" ca="1" si="501"/>
        <v/>
      </c>
      <c r="DD302" s="403" t="str">
        <f t="shared" ca="1" si="501"/>
        <v/>
      </c>
      <c r="DE302" s="403" t="str">
        <f t="shared" ca="1" si="501"/>
        <v/>
      </c>
      <c r="DF302" s="403" t="str">
        <f t="shared" ca="1" si="501"/>
        <v/>
      </c>
      <c r="DG302" s="403" t="str">
        <f t="shared" ca="1" si="501"/>
        <v/>
      </c>
      <c r="DH302" s="403" t="str">
        <f t="shared" ca="1" si="501"/>
        <v/>
      </c>
      <c r="DI302" s="403" t="str">
        <f t="shared" ca="1" si="501"/>
        <v/>
      </c>
      <c r="DJ302" s="403" t="str">
        <f t="shared" ca="1" si="501"/>
        <v/>
      </c>
      <c r="DK302" s="403" t="str">
        <f t="shared" ca="1" si="501"/>
        <v/>
      </c>
      <c r="DL302" s="403" t="str">
        <f t="shared" ca="1" si="501"/>
        <v/>
      </c>
      <c r="DM302" s="403" t="str">
        <f t="shared" ca="1" si="501"/>
        <v/>
      </c>
      <c r="DN302" s="403" t="str">
        <f t="shared" ca="1" si="501"/>
        <v/>
      </c>
      <c r="DO302" s="403" t="str">
        <f t="shared" ca="1" si="501"/>
        <v/>
      </c>
      <c r="DP302" s="403" t="str">
        <f t="shared" ca="1" si="501"/>
        <v/>
      </c>
      <c r="DQ302" s="403" t="str">
        <f t="shared" ca="1" si="501"/>
        <v/>
      </c>
      <c r="DR302" s="403" t="str">
        <f t="shared" ca="1" si="501"/>
        <v/>
      </c>
      <c r="DS302" s="403" t="str">
        <f t="shared" ca="1" si="501"/>
        <v/>
      </c>
      <c r="DT302" s="403" t="str">
        <f t="shared" ca="1" si="501"/>
        <v/>
      </c>
      <c r="DU302" s="403" t="str">
        <f t="shared" ca="1" si="501"/>
        <v/>
      </c>
      <c r="DV302" s="403" t="str">
        <f t="shared" ca="1" si="501"/>
        <v/>
      </c>
      <c r="DW302" s="403" t="str">
        <f t="shared" ca="1" si="501"/>
        <v/>
      </c>
      <c r="DX302" s="403" t="str">
        <f t="shared" ca="1" si="501"/>
        <v/>
      </c>
      <c r="DY302" s="403" t="str">
        <f t="shared" ca="1" si="501"/>
        <v/>
      </c>
      <c r="DZ302" s="403" t="str">
        <f t="shared" ca="1" si="501"/>
        <v/>
      </c>
      <c r="EA302" s="403" t="str">
        <f t="shared" ca="1" si="501"/>
        <v/>
      </c>
      <c r="EB302" s="403" t="str">
        <f t="shared" ca="1" si="501"/>
        <v/>
      </c>
      <c r="EC302" s="403" t="str">
        <f t="shared" ca="1" si="501"/>
        <v/>
      </c>
      <c r="ED302" s="403" t="str">
        <f t="shared" ca="1" si="501"/>
        <v/>
      </c>
      <c r="EE302" s="403" t="str">
        <f t="shared" ca="1" si="501"/>
        <v/>
      </c>
      <c r="EF302" s="403" t="str">
        <f t="shared" ca="1" si="501"/>
        <v/>
      </c>
      <c r="EG302" s="403" t="str">
        <f t="shared" ref="EG302:EI302" ca="1" si="502">IF(EG299=0,"",IF(EG299=EG$3,EG301,EG$5+EH$5-EG303-1))</f>
        <v/>
      </c>
      <c r="EH302" s="403" t="str">
        <f t="shared" ca="1" si="502"/>
        <v/>
      </c>
      <c r="EI302" s="403" t="str">
        <f t="shared" ca="1" si="502"/>
        <v/>
      </c>
    </row>
    <row r="303" spans="1:141" hidden="1" outlineLevel="2">
      <c r="A303" s="332"/>
      <c r="B303" s="313"/>
      <c r="D303" s="305" t="s">
        <v>672</v>
      </c>
      <c r="E303" s="1002">
        <f ca="1">IF(E299=0,"",MAX(G303:EI303))</f>
        <v>46716.7</v>
      </c>
      <c r="F303" s="1003"/>
      <c r="G303" s="403">
        <f ca="1">IF(SUM(G299:$EI299)=0,"",IF(G$227="","",G$227+G299-1))</f>
        <v>44985</v>
      </c>
      <c r="H303" s="403">
        <f ca="1">IF(SUM(H299:$EI299)=0,"",IF(H$227="","",H$227+H299-1))</f>
        <v>45016</v>
      </c>
      <c r="I303" s="403">
        <f ca="1">IF(SUM(I299:$EI299)=0,"",IF(I$227="","",I$227+I299-1))</f>
        <v>45046</v>
      </c>
      <c r="J303" s="403">
        <f ca="1">IF(SUM(J299:$EI299)=0,"",IF(J$227="","",J$227+J299-1))</f>
        <v>45077</v>
      </c>
      <c r="K303" s="403">
        <f ca="1">IF(SUM(K299:$EI299)=0,"",IF(K$227="","",K$227+K299-1))</f>
        <v>45107</v>
      </c>
      <c r="L303" s="403">
        <f ca="1">IF(SUM(L299:$EI299)=0,"",IF(L$227="","",L$227+L299-1))</f>
        <v>45138</v>
      </c>
      <c r="M303" s="403">
        <f ca="1">IF(SUM(M299:$EI299)=0,"",IF(M$227="","",M$227+M299-1))</f>
        <v>45169</v>
      </c>
      <c r="N303" s="403">
        <f ca="1">IF(SUM(N299:$EI299)=0,"",IF(N$227="","",N$227+N299-1))</f>
        <v>45199</v>
      </c>
      <c r="O303" s="403">
        <f ca="1">IF(SUM(O299:$EI299)=0,"",IF(O$227="","",O$227+O299-1))</f>
        <v>45230</v>
      </c>
      <c r="P303" s="403">
        <f ca="1">IF(SUM(P299:$EI299)=0,"",IF(P$227="","",P$227+P299-1))</f>
        <v>45260</v>
      </c>
      <c r="Q303" s="403">
        <f ca="1">IF(SUM(Q299:$EI299)=0,"",IF(Q$227="","",Q$227+Q299-1))</f>
        <v>45291</v>
      </c>
      <c r="R303" s="403">
        <f ca="1">IF(SUM(R299:$EI299)=0,"",IF(R$227="","",R$227+R299-1))</f>
        <v>45322</v>
      </c>
      <c r="S303" s="403">
        <f ca="1">IF(SUM(S299:$EI299)=0,"",IF(S$227="","",S$227+S299-1))</f>
        <v>45351</v>
      </c>
      <c r="T303" s="403">
        <f ca="1">IF(SUM(T299:$EI299)=0,"",IF(T$227="","",T$227+T299-1))</f>
        <v>45382</v>
      </c>
      <c r="U303" s="403">
        <f ca="1">IF(SUM(U299:$EI299)=0,"",IF(U$227="","",U$227+U299-1))</f>
        <v>45412</v>
      </c>
      <c r="V303" s="403">
        <f ca="1">IF(SUM(V299:$EI299)=0,"",IF(V$227="","",V$227+V299-1))</f>
        <v>45443</v>
      </c>
      <c r="W303" s="403">
        <f ca="1">IF(SUM(W299:$EI299)=0,"",IF(W$227="","",W$227+W299-1))</f>
        <v>45473</v>
      </c>
      <c r="X303" s="403">
        <f ca="1">IF(SUM(X299:$EI299)=0,"",IF(X$227="","",X$227+X299-1))</f>
        <v>45504</v>
      </c>
      <c r="Y303" s="403">
        <f ca="1">IF(SUM(Y299:$EI299)=0,"",IF(Y$227="","",Y$227+Y299-1))</f>
        <v>45535</v>
      </c>
      <c r="Z303" s="403">
        <f ca="1">IF(SUM(Z299:$EI299)=0,"",IF(Z$227="","",Z$227+Z299-1))</f>
        <v>45565</v>
      </c>
      <c r="AA303" s="403">
        <f ca="1">IF(SUM(AA299:$EI299)=0,"",IF(AA$227="","",AA$227+AA299-1))</f>
        <v>45596</v>
      </c>
      <c r="AB303" s="403">
        <f ca="1">IF(SUM(AB299:$EI299)=0,"",IF(AB$227="","",AB$227+AB299-1))</f>
        <v>45626</v>
      </c>
      <c r="AC303" s="403">
        <f ca="1">IF(SUM(AC299:$EI299)=0,"",IF(AC$227="","",AC$227+AC299-1))</f>
        <v>45657</v>
      </c>
      <c r="AD303" s="403">
        <f ca="1">IF(SUM(AD299:$EI299)=0,"",IF(AD$227="","",AD$227+AD299-1))</f>
        <v>45688</v>
      </c>
      <c r="AE303" s="403">
        <f ca="1">IF(SUM(AE299:$EI299)=0,"",IF(AE$227="","",AE$227+AE299-1))</f>
        <v>45716</v>
      </c>
      <c r="AF303" s="403">
        <f ca="1">IF(SUM(AF299:$EI299)=0,"",IF(AF$227="","",AF$227+AF299-1))</f>
        <v>45747</v>
      </c>
      <c r="AG303" s="403">
        <f ca="1">IF(SUM(AG299:$EI299)=0,"",IF(AG$227="","",AG$227+AG299-1))</f>
        <v>45777</v>
      </c>
      <c r="AH303" s="403">
        <f ca="1">IF(SUM(AH299:$EI299)=0,"",IF(AH$227="","",AH$227+AH299-1))</f>
        <v>45808</v>
      </c>
      <c r="AI303" s="403">
        <f ca="1">IF(SUM(AI299:$EI299)=0,"",IF(AI$227="","",AI$227+AI299-1))</f>
        <v>45838</v>
      </c>
      <c r="AJ303" s="403">
        <f ca="1">IF(SUM(AJ299:$EI299)=0,"",IF(AJ$227="","",AJ$227+AJ299-1))</f>
        <v>45869</v>
      </c>
      <c r="AK303" s="403">
        <f ca="1">IF(SUM(AK299:$EI299)=0,"",IF(AK$227="","",AK$227+AK299-1))</f>
        <v>45900</v>
      </c>
      <c r="AL303" s="403">
        <f ca="1">IF(SUM(AL299:$EI299)=0,"",IF(AL$227="","",AL$227+AL299-1))</f>
        <v>45930</v>
      </c>
      <c r="AM303" s="403">
        <f ca="1">IF(SUM(AM299:$EI299)=0,"",IF(AM$227="","",AM$227+AM299-1))</f>
        <v>45961</v>
      </c>
      <c r="AN303" s="403">
        <f ca="1">IF(SUM(AN299:$EI299)=0,"",IF(AN$227="","",AN$227+AN299-1))</f>
        <v>45991</v>
      </c>
      <c r="AO303" s="403">
        <f ca="1">IF(SUM(AO299:$EI299)=0,"",IF(AO$227="","",AO$227+AO299-1))</f>
        <v>46022</v>
      </c>
      <c r="AP303" s="403">
        <f ca="1">IF(SUM(AP299:$EI299)=0,"",IF(AP$227="","",AP$227+AP299-1))</f>
        <v>46053</v>
      </c>
      <c r="AQ303" s="403">
        <f ca="1">IF(SUM(AQ299:$EI299)=0,"",IF(AQ$227="","",AQ$227+AQ299-1))</f>
        <v>46081</v>
      </c>
      <c r="AR303" s="403">
        <f ca="1">IF(SUM(AR299:$EI299)=0,"",IF(AR$227="","",AR$227+AR299-1))</f>
        <v>46112</v>
      </c>
      <c r="AS303" s="403">
        <f ca="1">IF(SUM(AS299:$EI299)=0,"",IF(AS$227="","",AS$227+AS299-1))</f>
        <v>46167.3</v>
      </c>
      <c r="AT303" s="403">
        <f ca="1">IF(SUM(AT299:$EI299)=0,"",IF(AT$227="","",AT$227+AT299-1))</f>
        <v>46203</v>
      </c>
      <c r="AU303" s="403">
        <f ca="1">IF(SUM(AU299:$EI299)=0,"",IF(AU$227="","",AU$227+AU299-1))</f>
        <v>46234</v>
      </c>
      <c r="AV303" s="403">
        <f ca="1">IF(SUM(AV299:$EI299)=0,"",IF(AV$227="","",AV$227+AV299-1))</f>
        <v>46265</v>
      </c>
      <c r="AW303" s="403">
        <f ca="1">IF(SUM(AW299:$EI299)=0,"",IF(AW$227="","",AW$227+AW299-1))</f>
        <v>46295</v>
      </c>
      <c r="AX303" s="403">
        <f ca="1">IF(SUM(AX299:$EI299)=0,"",IF(AX$227="","",AX$227+AX299-1))</f>
        <v>46326</v>
      </c>
      <c r="AY303" s="403">
        <f ca="1">IF(SUM(AY299:$EI299)=0,"",IF(AY$227="","",AY$227+AY299-1))</f>
        <v>46356</v>
      </c>
      <c r="AZ303" s="403">
        <f ca="1">IF(SUM(AZ299:$EI299)=0,"",IF(AZ$227="","",AZ$227+AZ299-1))</f>
        <v>46387</v>
      </c>
      <c r="BA303" s="403">
        <f ca="1">IF(SUM(BA299:$EI299)=0,"",IF(BA$227="","",BA$227+BA299-1))</f>
        <v>46418</v>
      </c>
      <c r="BB303" s="403">
        <f ca="1">IF(SUM(BB299:$EI299)=0,"",IF(BB$227="","",BB$227+BB299-1))</f>
        <v>46446</v>
      </c>
      <c r="BC303" s="403">
        <f ca="1">IF(SUM(BC299:$EI299)=0,"",IF(BC$227="","",BC$227+BC299-1))</f>
        <v>46477</v>
      </c>
      <c r="BD303" s="403">
        <f ca="1">IF(SUM(BD299:$EI299)=0,"",IF(BD$227="","",BD$227+BD299-1))</f>
        <v>46507</v>
      </c>
      <c r="BE303" s="403">
        <f ca="1">IF(SUM(BE299:$EI299)=0,"",IF(BE$227="","",BE$227+BE299-1))</f>
        <v>46538</v>
      </c>
      <c r="BF303" s="403">
        <f ca="1">IF(SUM(BF299:$EI299)=0,"",IF(BF$227="","",BF$227+BF299-1))</f>
        <v>46568</v>
      </c>
      <c r="BG303" s="403">
        <f ca="1">IF(SUM(BG299:$EI299)=0,"",IF(BG$227="","",BG$227+BG299-1))</f>
        <v>46599</v>
      </c>
      <c r="BH303" s="403">
        <f ca="1">IF(SUM(BH299:$EI299)=0,"",IF(BH$227="","",BH$227+BH299-1))</f>
        <v>46630</v>
      </c>
      <c r="BI303" s="403">
        <f ca="1">IF(SUM(BI299:$EI299)=0,"",IF(BI$227="","",BI$227+BI299-1))</f>
        <v>46660</v>
      </c>
      <c r="BJ303" s="403">
        <f ca="1">IF(SUM(BJ299:$EI299)=0,"",IF(BJ$227="","",BJ$227+BJ299-1))</f>
        <v>46691</v>
      </c>
      <c r="BK303" s="403">
        <f ca="1">IF(SUM(BK299:$EI299)=0,"",IF(BK$227="","",BK$227+BK299-1))</f>
        <v>46716.7</v>
      </c>
      <c r="BL303" s="403" t="str">
        <f ca="1">IF(SUM(BL299:$EI299)=0,"",IF(BL$227="","",BL$227+BL299-1))</f>
        <v/>
      </c>
      <c r="BM303" s="403" t="str">
        <f ca="1">IF(SUM(BM299:$EI299)=0,"",IF(BM$227="","",BM$227+BM299-1))</f>
        <v/>
      </c>
      <c r="BN303" s="403" t="str">
        <f ca="1">IF(SUM(BN299:$EI299)=0,"",IF(BN$227="","",BN$227+BN299-1))</f>
        <v/>
      </c>
      <c r="BO303" s="403" t="str">
        <f ca="1">IF(SUM(BO299:$EI299)=0,"",IF(BO$227="","",BO$227+BO299-1))</f>
        <v/>
      </c>
      <c r="BP303" s="403" t="str">
        <f ca="1">IF(SUM(BP299:$EI299)=0,"",IF(BP$227="","",BP$227+BP299-1))</f>
        <v/>
      </c>
      <c r="BQ303" s="403" t="str">
        <f ca="1">IF(SUM(BQ299:$EI299)=0,"",IF(BQ$227="","",BQ$227+BQ299-1))</f>
        <v/>
      </c>
      <c r="BR303" s="403" t="str">
        <f ca="1">IF(SUM(BR299:$EI299)=0,"",IF(BR$227="","",BR$227+BR299-1))</f>
        <v/>
      </c>
      <c r="BS303" s="403" t="str">
        <f ca="1">IF(SUM(BS299:$EI299)=0,"",IF(BS$227="","",BS$227+BS299-1))</f>
        <v/>
      </c>
      <c r="BT303" s="403" t="str">
        <f ca="1">IF(SUM(BT299:$EI299)=0,"",IF(BT$227="","",BT$227+BT299-1))</f>
        <v/>
      </c>
      <c r="BU303" s="403" t="str">
        <f ca="1">IF(SUM(BU299:$EI299)=0,"",IF(BU$227="","",BU$227+BU299-1))</f>
        <v/>
      </c>
      <c r="BV303" s="403" t="str">
        <f ca="1">IF(SUM(BV299:$EI299)=0,"",IF(BV$227="","",BV$227+BV299-1))</f>
        <v/>
      </c>
      <c r="BW303" s="403" t="str">
        <f ca="1">IF(SUM(BW299:$EI299)=0,"",IF(BW$227="","",BW$227+BW299-1))</f>
        <v/>
      </c>
      <c r="BX303" s="403" t="str">
        <f ca="1">IF(SUM(BX299:$EI299)=0,"",IF(BX$227="","",BX$227+BX299-1))</f>
        <v/>
      </c>
      <c r="BY303" s="403" t="str">
        <f ca="1">IF(SUM(BY299:$EI299)=0,"",IF(BY$227="","",BY$227+BY299-1))</f>
        <v/>
      </c>
      <c r="BZ303" s="403" t="str">
        <f ca="1">IF(SUM(BZ299:$EI299)=0,"",IF(BZ$227="","",BZ$227+BZ299-1))</f>
        <v/>
      </c>
      <c r="CA303" s="403" t="str">
        <f ca="1">IF(SUM(CA299:$EI299)=0,"",IF(CA$227="","",CA$227+CA299-1))</f>
        <v/>
      </c>
      <c r="CB303" s="403" t="str">
        <f ca="1">IF(SUM(CB299:$EI299)=0,"",IF(CB$227="","",CB$227+CB299-1))</f>
        <v/>
      </c>
      <c r="CC303" s="403" t="str">
        <f ca="1">IF(SUM(CC299:$EI299)=0,"",IF(CC$227="","",CC$227+CC299-1))</f>
        <v/>
      </c>
      <c r="CD303" s="403" t="str">
        <f ca="1">IF(SUM(CD299:$EI299)=0,"",IF(CD$227="","",CD$227+CD299-1))</f>
        <v/>
      </c>
      <c r="CE303" s="403" t="str">
        <f ca="1">IF(SUM(CE299:$EI299)=0,"",IF(CE$227="","",CE$227+CE299-1))</f>
        <v/>
      </c>
      <c r="CF303" s="403" t="str">
        <f ca="1">IF(SUM(CF299:$EI299)=0,"",IF(CF$227="","",CF$227+CF299-1))</f>
        <v/>
      </c>
      <c r="CG303" s="403" t="str">
        <f ca="1">IF(SUM(CG299:$EI299)=0,"",IF(CG$227="","",CG$227+CG299-1))</f>
        <v/>
      </c>
      <c r="CH303" s="403" t="str">
        <f ca="1">IF(SUM(CH299:$EI299)=0,"",IF(CH$227="","",CH$227+CH299-1))</f>
        <v/>
      </c>
      <c r="CI303" s="403" t="str">
        <f ca="1">IF(SUM(CI299:$EI299)=0,"",IF(CI$227="","",CI$227+CI299-1))</f>
        <v/>
      </c>
      <c r="CJ303" s="403" t="str">
        <f ca="1">IF(SUM(CJ299:$EI299)=0,"",IF(CJ$227="","",CJ$227+CJ299-1))</f>
        <v/>
      </c>
      <c r="CK303" s="403" t="str">
        <f ca="1">IF(SUM(CK299:$EI299)=0,"",IF(CK$227="","",CK$227+CK299-1))</f>
        <v/>
      </c>
      <c r="CL303" s="403" t="str">
        <f ca="1">IF(SUM(CL299:$EI299)=0,"",IF(CL$227="","",CL$227+CL299-1))</f>
        <v/>
      </c>
      <c r="CM303" s="403" t="str">
        <f ca="1">IF(SUM(CM299:$EI299)=0,"",IF(CM$227="","",CM$227+CM299-1))</f>
        <v/>
      </c>
      <c r="CN303" s="403" t="str">
        <f ca="1">IF(SUM(CN299:$EI299)=0,"",IF(CN$227="","",CN$227+CN299-1))</f>
        <v/>
      </c>
      <c r="CO303" s="403" t="str">
        <f ca="1">IF(SUM(CO299:$EI299)=0,"",IF(CO$227="","",CO$227+CO299-1))</f>
        <v/>
      </c>
      <c r="CP303" s="403" t="str">
        <f ca="1">IF(SUM(CP299:$EI299)=0,"",IF(CP$227="","",CP$227+CP299-1))</f>
        <v/>
      </c>
      <c r="CQ303" s="403" t="str">
        <f ca="1">IF(SUM(CQ299:$EI299)=0,"",IF(CQ$227="","",CQ$227+CQ299-1))</f>
        <v/>
      </c>
      <c r="CR303" s="403" t="str">
        <f ca="1">IF(SUM(CR299:$EI299)=0,"",IF(CR$227="","",CR$227+CR299-1))</f>
        <v/>
      </c>
      <c r="CS303" s="403" t="str">
        <f ca="1">IF(SUM(CS299:$EI299)=0,"",IF(CS$227="","",CS$227+CS299-1))</f>
        <v/>
      </c>
      <c r="CT303" s="403" t="str">
        <f ca="1">IF(SUM(CT299:$EI299)=0,"",IF(CT$227="","",CT$227+CT299-1))</f>
        <v/>
      </c>
      <c r="CU303" s="403" t="str">
        <f ca="1">IF(SUM(CU299:$EI299)=0,"",IF(CU$227="","",CU$227+CU299-1))</f>
        <v/>
      </c>
      <c r="CV303" s="403" t="str">
        <f ca="1">IF(SUM(CV299:$EI299)=0,"",IF(CV$227="","",CV$227+CV299-1))</f>
        <v/>
      </c>
      <c r="CW303" s="403" t="str">
        <f ca="1">IF(SUM(CW299:$EI299)=0,"",IF(CW$227="","",CW$227+CW299-1))</f>
        <v/>
      </c>
      <c r="CX303" s="403" t="str">
        <f ca="1">IF(SUM(CX299:$EI299)=0,"",IF(CX$227="","",CX$227+CX299-1))</f>
        <v/>
      </c>
      <c r="CY303" s="403" t="str">
        <f ca="1">IF(SUM(CY299:$EI299)=0,"",IF(CY$227="","",CY$227+CY299-1))</f>
        <v/>
      </c>
      <c r="CZ303" s="403" t="str">
        <f ca="1">IF(SUM(CZ299:$EI299)=0,"",IF(CZ$227="","",CZ$227+CZ299-1))</f>
        <v/>
      </c>
      <c r="DA303" s="403" t="str">
        <f ca="1">IF(SUM(DA299:$EI299)=0,"",IF(DA$227="","",DA$227+DA299-1))</f>
        <v/>
      </c>
      <c r="DB303" s="403" t="str">
        <f ca="1">IF(SUM(DB299:$EI299)=0,"",IF(DB$227="","",DB$227+DB299-1))</f>
        <v/>
      </c>
      <c r="DC303" s="403" t="str">
        <f ca="1">IF(SUM(DC299:$EI299)=0,"",IF(DC$227="","",DC$227+DC299-1))</f>
        <v/>
      </c>
      <c r="DD303" s="403" t="str">
        <f ca="1">IF(SUM(DD299:$EI299)=0,"",IF(DD$227="","",DD$227+DD299-1))</f>
        <v/>
      </c>
      <c r="DE303" s="403" t="str">
        <f ca="1">IF(SUM(DE299:$EI299)=0,"",IF(DE$227="","",DE$227+DE299-1))</f>
        <v/>
      </c>
      <c r="DF303" s="403" t="str">
        <f ca="1">IF(SUM(DF299:$EI299)=0,"",IF(DF$227="","",DF$227+DF299-1))</f>
        <v/>
      </c>
      <c r="DG303" s="403" t="str">
        <f ca="1">IF(SUM(DG299:$EI299)=0,"",IF(DG$227="","",DG$227+DG299-1))</f>
        <v/>
      </c>
      <c r="DH303" s="403" t="str">
        <f ca="1">IF(SUM(DH299:$EI299)=0,"",IF(DH$227="","",DH$227+DH299-1))</f>
        <v/>
      </c>
      <c r="DI303" s="403" t="str">
        <f ca="1">IF(SUM(DI299:$EI299)=0,"",IF(DI$227="","",DI$227+DI299-1))</f>
        <v/>
      </c>
      <c r="DJ303" s="403" t="str">
        <f ca="1">IF(SUM(DJ299:$EI299)=0,"",IF(DJ$227="","",DJ$227+DJ299-1))</f>
        <v/>
      </c>
      <c r="DK303" s="403" t="str">
        <f ca="1">IF(SUM(DK299:$EI299)=0,"",IF(DK$227="","",DK$227+DK299-1))</f>
        <v/>
      </c>
      <c r="DL303" s="403" t="str">
        <f ca="1">IF(SUM(DL299:$EI299)=0,"",IF(DL$227="","",DL$227+DL299-1))</f>
        <v/>
      </c>
      <c r="DM303" s="403" t="str">
        <f ca="1">IF(SUM(DM299:$EI299)=0,"",IF(DM$227="","",DM$227+DM299-1))</f>
        <v/>
      </c>
      <c r="DN303" s="403" t="str">
        <f ca="1">IF(SUM(DN299:$EI299)=0,"",IF(DN$227="","",DN$227+DN299-1))</f>
        <v/>
      </c>
      <c r="DO303" s="403" t="str">
        <f ca="1">IF(SUM(DO299:$EI299)=0,"",IF(DO$227="","",DO$227+DO299-1))</f>
        <v/>
      </c>
      <c r="DP303" s="403" t="str">
        <f ca="1">IF(SUM(DP299:$EI299)=0,"",IF(DP$227="","",DP$227+DP299-1))</f>
        <v/>
      </c>
      <c r="DQ303" s="403" t="str">
        <f ca="1">IF(SUM(DQ299:$EI299)=0,"",IF(DQ$227="","",DQ$227+DQ299-1))</f>
        <v/>
      </c>
      <c r="DR303" s="403" t="str">
        <f ca="1">IF(SUM(DR299:$EI299)=0,"",IF(DR$227="","",DR$227+DR299-1))</f>
        <v/>
      </c>
      <c r="DS303" s="403" t="str">
        <f ca="1">IF(SUM(DS299:$EI299)=0,"",IF(DS$227="","",DS$227+DS299-1))</f>
        <v/>
      </c>
      <c r="DT303" s="403" t="str">
        <f ca="1">IF(SUM(DT299:$EI299)=0,"",IF(DT$227="","",DT$227+DT299-1))</f>
        <v/>
      </c>
      <c r="DU303" s="403" t="str">
        <f ca="1">IF(SUM(DU299:$EI299)=0,"",IF(DU$227="","",DU$227+DU299-1))</f>
        <v/>
      </c>
      <c r="DV303" s="403" t="str">
        <f ca="1">IF(SUM(DV299:$EI299)=0,"",IF(DV$227="","",DV$227+DV299-1))</f>
        <v/>
      </c>
      <c r="DW303" s="403" t="str">
        <f ca="1">IF(SUM(DW299:$EI299)=0,"",IF(DW$227="","",DW$227+DW299-1))</f>
        <v/>
      </c>
      <c r="DX303" s="403" t="str">
        <f ca="1">IF(SUM(DX299:$EI299)=0,"",IF(DX$227="","",DX$227+DX299-1))</f>
        <v/>
      </c>
      <c r="DY303" s="403" t="str">
        <f ca="1">IF(SUM(DY299:$EI299)=0,"",IF(DY$227="","",DY$227+DY299-1))</f>
        <v/>
      </c>
      <c r="DZ303" s="403" t="str">
        <f ca="1">IF(SUM(DZ299:$EI299)=0,"",IF(DZ$227="","",DZ$227+DZ299-1))</f>
        <v/>
      </c>
      <c r="EA303" s="403" t="str">
        <f ca="1">IF(SUM(EA299:$EI299)=0,"",IF(EA$227="","",EA$227+EA299-1))</f>
        <v/>
      </c>
      <c r="EB303" s="403" t="str">
        <f ca="1">IF(SUM(EB299:$EI299)=0,"",IF(EB$227="","",EB$227+EB299-1))</f>
        <v/>
      </c>
      <c r="EC303" s="403" t="str">
        <f ca="1">IF(SUM(EC299:$EI299)=0,"",IF(EC$227="","",EC$227+EC299-1))</f>
        <v/>
      </c>
      <c r="ED303" s="403" t="str">
        <f ca="1">IF(SUM(ED299:$EI299)=0,"",IF(ED$227="","",ED$227+ED299-1))</f>
        <v/>
      </c>
      <c r="EE303" s="403" t="str">
        <f ca="1">IF(SUM(EE299:$EI299)=0,"",IF(EE$227="","",EE$227+EE299-1))</f>
        <v/>
      </c>
      <c r="EF303" s="403" t="str">
        <f ca="1">IF(SUM(EF299:$EI299)=0,"",IF(EF$227="","",EF$227+EF299-1))</f>
        <v/>
      </c>
      <c r="EG303" s="403" t="str">
        <f ca="1">IF(SUM(EG299:$EI299)=0,"",IF(EG$227="","",EG$227+EG299-1))</f>
        <v/>
      </c>
      <c r="EH303" s="403" t="str">
        <f ca="1">IF(SUM(EH299:$EI299)=0,"",IF(EH$227="","",EH$227+EH299-1))</f>
        <v/>
      </c>
      <c r="EI303" s="403" t="str">
        <f ca="1">IF(SUM(EI299:$EI299)=0,"",IF(EI$227="","",EI$227+EI299-1))</f>
        <v/>
      </c>
    </row>
    <row r="304" spans="1:141" outlineLevel="1" collapsed="1">
      <c r="A304" s="332"/>
      <c r="B304" s="313"/>
      <c r="C304" s="317" t="s">
        <v>79</v>
      </c>
      <c r="D304" s="317" t="s">
        <v>80</v>
      </c>
      <c r="E304" s="400">
        <f ca="1">IF(ГРП!B23=0,длительность!I119,ГРП!B23)</f>
        <v>460</v>
      </c>
      <c r="F304" s="318">
        <f ca="1">E304-SUM(G304:EJ304)</f>
        <v>0</v>
      </c>
      <c r="G304" s="401"/>
      <c r="H304" s="401">
        <f ca="1">IF(SUM($G304:G304)&gt;=$E304,0,IF($E304-SUM($G304:G304)&gt;H305,H305,$E304-SUM($G305:G305)))</f>
        <v>0</v>
      </c>
      <c r="I304" s="401">
        <f ca="1">IF(SUM($G304:H304)&gt;=$E304,0,IF($E304-SUM($G304:H304)&gt;I305,I305,$E304-SUM($G305:H305)))</f>
        <v>0</v>
      </c>
      <c r="J304" s="401">
        <f ca="1">IF(SUM($G304:I304)&gt;=$E304,0,IF($E304-SUM($G304:I304)&gt;J305,J305,$E304-SUM($G305:I305)))</f>
        <v>0</v>
      </c>
      <c r="K304" s="401">
        <f ca="1">IF(SUM($G304:J304)&gt;=$E304,0,IF($E304-SUM($G304:J304)&gt;K305,K305,$E304-SUM($G305:J305)))</f>
        <v>0</v>
      </c>
      <c r="L304" s="401">
        <f ca="1">IF(SUM($G304:K304)&gt;=$E304,0,IF($E304-SUM($G304:K304)&gt;L305,L305,$E304-SUM($G305:K305)))</f>
        <v>0</v>
      </c>
      <c r="M304" s="401">
        <f ca="1">IF(SUM($G304:L304)&gt;=$E304,0,IF($E304-SUM($G304:L304)&gt;M305,M305,$E304-SUM($G305:L305)))</f>
        <v>0</v>
      </c>
      <c r="N304" s="401">
        <f ca="1">IF(SUM($G304:M304)&gt;=$E304,0,IF($E304-SUM($G304:M304)&gt;N305,N305,$E304-SUM($G305:M305)))</f>
        <v>0</v>
      </c>
      <c r="O304" s="401">
        <f ca="1">IF(SUM($G304:N304)&gt;=$E304,0,IF($E304-SUM($G304:N304)&gt;O305,O305,$E304-SUM($G305:N305)))</f>
        <v>0</v>
      </c>
      <c r="P304" s="401">
        <f ca="1">IF(SUM($G304:O304)&gt;=$E304,0,IF($E304-SUM($G304:O304)&gt;P305,P305,$E304-SUM($G305:O305)))</f>
        <v>0</v>
      </c>
      <c r="Q304" s="401">
        <f ca="1">IF(SUM($G304:P304)&gt;=$E304,0,IF($E304-SUM($G304:P304)&gt;Q305,Q305,$E304-SUM($G305:P305)))</f>
        <v>0</v>
      </c>
      <c r="R304" s="401">
        <f ca="1">IF(SUM($G304:Q304)&gt;=$E304,0,IF($E304-SUM($G304:Q304)&gt;R305,R305,$E304-SUM($G305:Q305)))</f>
        <v>0</v>
      </c>
      <c r="S304" s="401">
        <f ca="1">IF(SUM($G304:R304)&gt;=$E304,0,IF($E304-SUM($G304:R304)&gt;S305,S305,$E304-SUM($G305:R305)))</f>
        <v>0</v>
      </c>
      <c r="T304" s="401">
        <f ca="1">IF(SUM($G304:S304)&gt;=$E304,0,IF($E304-SUM($G304:S304)&gt;T305,T305,$E304-SUM($G305:S305)))</f>
        <v>0</v>
      </c>
      <c r="U304" s="401">
        <f ca="1">IF(SUM($G304:T304)&gt;=$E304,0,IF($E304-SUM($G304:T304)&gt;U305,U305,$E304-SUM($G305:T305)))</f>
        <v>0</v>
      </c>
      <c r="V304" s="401">
        <f ca="1">IF(SUM($G304:U304)&gt;=$E304,0,IF($E304-SUM($G304:U304)&gt;V305,V305,$E304-SUM($G305:U305)))</f>
        <v>0</v>
      </c>
      <c r="W304" s="401">
        <f ca="1">IF(SUM($G304:V304)&gt;=$E304,0,IF($E304-SUM($G304:V304)&gt;W305,W305,$E304-SUM($G305:V305)))</f>
        <v>0</v>
      </c>
      <c r="X304" s="401">
        <f ca="1">IF(SUM($G304:W304)&gt;=$E304,0,IF($E304-SUM($G304:W304)&gt;X305,X305,$E304-SUM($G305:W305)))</f>
        <v>0</v>
      </c>
      <c r="Y304" s="401">
        <f ca="1">IF(SUM($G304:X304)&gt;=$E304,0,IF($E304-SUM($G304:X304)&gt;Y305,Y305,$E304-SUM($G305:X305)))</f>
        <v>0</v>
      </c>
      <c r="Z304" s="401">
        <f ca="1">IF(SUM($G304:Y304)&gt;=$E304,0,IF($E304-SUM($G304:Y304)&gt;Z305,Z305,$E304-SUM($G305:Y305)))</f>
        <v>0</v>
      </c>
      <c r="AA304" s="401">
        <f ca="1">IF(SUM($G304:Z304)&gt;=$E304,0,IF($E304-SUM($G304:Z304)&gt;AA305,AA305,$E304-SUM($G305:Z305)))</f>
        <v>0</v>
      </c>
      <c r="AB304" s="401">
        <f ca="1">IF(SUM($G304:AA304)&gt;=$E304,0,IF($E304-SUM($G304:AA304)&gt;AB305,AB305,$E304-SUM($G305:AA305)))</f>
        <v>0</v>
      </c>
      <c r="AC304" s="401">
        <f ca="1">IF(SUM($G304:AB304)&gt;=$E304,0,IF($E304-SUM($G304:AB304)&gt;AC305,AC305,$E304-SUM($G305:AB305)))</f>
        <v>0</v>
      </c>
      <c r="AD304" s="401">
        <f ca="1">IF(SUM($G304:AC304)&gt;=$E304,0,IF($E304-SUM($G304:AC304)&gt;AD305,AD305,$E304-SUM($G305:AC305)))</f>
        <v>0</v>
      </c>
      <c r="AE304" s="401">
        <f ca="1">IF(SUM($G304:AD304)&gt;=$E304,0,IF($E304-SUM($G304:AD304)&gt;AE305,AE305,$E304-SUM($G305:AD305)))</f>
        <v>0</v>
      </c>
      <c r="AF304" s="401">
        <f ca="1">IF(SUM($G304:AE304)&gt;=$E304,0,IF($E304-SUM($G304:AE304)&gt;AF305,AF305,$E304-SUM($G305:AE305)))</f>
        <v>0</v>
      </c>
      <c r="AG304" s="401">
        <f ca="1">IF(SUM($G304:AF304)&gt;=$E304,0,IF($E304-SUM($G304:AF304)&gt;AG305,AG305,$E304-SUM($G305:AF305)))</f>
        <v>0</v>
      </c>
      <c r="AH304" s="401">
        <f ca="1">IF(SUM($G304:AG304)&gt;=$E304,0,IF($E304-SUM($G304:AG304)&gt;AH305,AH305,$E304-SUM($G305:AG305)))</f>
        <v>0</v>
      </c>
      <c r="AI304" s="401">
        <f ca="1">IF(SUM($G304:AH304)&gt;=$E304,0,IF($E304-SUM($G304:AH304)&gt;AI305,AI305,$E304-SUM($G305:AH305)))</f>
        <v>0</v>
      </c>
      <c r="AJ304" s="401">
        <f ca="1">IF(SUM($G304:AI304)&gt;=$E304,0,IF($E304-SUM($G304:AI304)&gt;AJ305,AJ305,$E304-SUM($G305:AI305)))</f>
        <v>0</v>
      </c>
      <c r="AK304" s="401">
        <f ca="1">IF(SUM($G304:AJ304)&gt;=$E304,0,IF($E304-SUM($G304:AJ304)&gt;AK305,AK305,$E304-SUM($G305:AJ305)))</f>
        <v>0</v>
      </c>
      <c r="AL304" s="401">
        <f ca="1">IF(SUM($G304:AK304)&gt;=$E304,0,IF($E304-SUM($G304:AK304)&gt;AL305,AL305,$E304-SUM($G305:AK305)))</f>
        <v>0</v>
      </c>
      <c r="AM304" s="401">
        <f ca="1">IF(SUM($G304:AL304)&gt;=$E304,0,IF($E304-SUM($G304:AL304)&gt;AM305,AM305,$E304-SUM($G305:AL305)))</f>
        <v>0</v>
      </c>
      <c r="AN304" s="401">
        <f ca="1">IF(SUM($G304:AM304)&gt;=$E304,0,IF($E304-SUM($G304:AM304)&gt;AN305,AN305,$E304-SUM($G305:AM305)))</f>
        <v>0</v>
      </c>
      <c r="AO304" s="401">
        <f ca="1">IF(SUM($G304:AN304)&gt;=$E304,0,IF($E304-SUM($G304:AN304)&gt;AO305,AO305,$E304-SUM($G305:AN305)))</f>
        <v>0</v>
      </c>
      <c r="AP304" s="401">
        <f ca="1">IF(SUM($G304:AO304)&gt;=$E304,0,IF($E304-SUM($G304:AO304)&gt;AP305,AP305,$E304-SUM($G305:AO305)))</f>
        <v>0</v>
      </c>
      <c r="AQ304" s="401">
        <f ca="1">IF(SUM($G304:AP304)&gt;=$E304,0,IF($E304-SUM($G304:AP304)&gt;AQ305,AQ305,$E304-SUM($G305:AP305)))</f>
        <v>0</v>
      </c>
      <c r="AR304" s="401">
        <f ca="1">IF(SUM($G304:AQ304)&gt;=$E304,0,IF($E304-SUM($G304:AQ304)&gt;AR305,AR305,$E304-SUM($G305:AQ305)))</f>
        <v>0</v>
      </c>
      <c r="AS304" s="401">
        <f ca="1">IF(SUM($G304:AR304)&gt;=$E304,0,IF($E304-SUM($G304:AR304)&gt;AS305,AS305,$E304-SUM($G305:AR305)))</f>
        <v>25.299999999999997</v>
      </c>
      <c r="AT304" s="401">
        <f ca="1">IF(SUM($G304:AS304)&gt;=$E304,0,IF($E304-SUM($G304:AS304)&gt;AT305,AT305,$E304-SUM($G305:AS305)))</f>
        <v>30</v>
      </c>
      <c r="AU304" s="401">
        <f ca="1">IF(SUM($G304:AT304)&gt;=$E304,0,IF($E304-SUM($G304:AT304)&gt;AU305,AU305,$E304-SUM($G305:AT305)))</f>
        <v>31</v>
      </c>
      <c r="AV304" s="401">
        <f ca="1">IF(SUM($G304:AU304)&gt;=$E304,0,IF($E304-SUM($G304:AU304)&gt;AV305,AV305,$E304-SUM($G305:AU305)))</f>
        <v>31</v>
      </c>
      <c r="AW304" s="401">
        <f ca="1">IF(SUM($G304:AV304)&gt;=$E304,0,IF($E304-SUM($G304:AV304)&gt;AW305,AW305,$E304-SUM($G305:AV305)))</f>
        <v>30</v>
      </c>
      <c r="AX304" s="401">
        <f ca="1">IF(SUM($G304:AW304)&gt;=$E304,0,IF($E304-SUM($G304:AW304)&gt;AX305,AX305,$E304-SUM($G305:AW305)))</f>
        <v>31</v>
      </c>
      <c r="AY304" s="401">
        <f ca="1">IF(SUM($G304:AX304)&gt;=$E304,0,IF($E304-SUM($G304:AX304)&gt;AY305,AY305,$E304-SUM($G305:AX305)))</f>
        <v>30</v>
      </c>
      <c r="AZ304" s="401">
        <f ca="1">IF(SUM($G304:AY304)&gt;=$E304,0,IF($E304-SUM($G304:AY304)&gt;AZ305,AZ305,$E304-SUM($G305:AY305)))</f>
        <v>31</v>
      </c>
      <c r="BA304" s="401">
        <f ca="1">IF(SUM($G304:AZ304)&gt;=$E304,0,IF($E304-SUM($G304:AZ304)&gt;BA305,BA305,$E304-SUM($G305:AZ305)))</f>
        <v>31</v>
      </c>
      <c r="BB304" s="401">
        <f ca="1">IF(SUM($G304:BA304)&gt;=$E304,0,IF($E304-SUM($G304:BA304)&gt;BB305,BB305,$E304-SUM($G305:BA305)))</f>
        <v>28</v>
      </c>
      <c r="BC304" s="401">
        <f ca="1">IF(SUM($G304:BB304)&gt;=$E304,0,IF($E304-SUM($G304:BB304)&gt;BC305,BC305,$E304-SUM($G305:BB305)))</f>
        <v>31</v>
      </c>
      <c r="BD304" s="401">
        <f ca="1">IF(SUM($G304:BC304)&gt;=$E304,0,IF($E304-SUM($G304:BC304)&gt;BD305,BD305,$E304-SUM($G305:BC305)))</f>
        <v>30</v>
      </c>
      <c r="BE304" s="401">
        <f ca="1">IF(SUM($G304:BD304)&gt;=$E304,0,IF($E304-SUM($G304:BD304)&gt;BE305,BE305,$E304-SUM($G305:BD305)))</f>
        <v>31</v>
      </c>
      <c r="BF304" s="401">
        <f ca="1">IF(SUM($G304:BE304)&gt;=$E304,0,IF($E304-SUM($G304:BE304)&gt;BF305,BF305,$E304-SUM($G305:BE305)))</f>
        <v>30</v>
      </c>
      <c r="BG304" s="401">
        <f ca="1">IF(SUM($G304:BF304)&gt;=$E304,0,IF($E304-SUM($G304:BF304)&gt;BG305,BG305,$E304-SUM($G305:BF305)))</f>
        <v>31</v>
      </c>
      <c r="BH304" s="401">
        <f ca="1">IF(SUM($G304:BG304)&gt;=$E304,0,IF($E304-SUM($G304:BG304)&gt;BH305,BH305,$E304-SUM($G305:BG305)))</f>
        <v>8.6999999999999886</v>
      </c>
      <c r="BI304" s="401">
        <f ca="1">IF(SUM($G304:BH304)&gt;=$E304,0,IF($E304-SUM($G304:BH304)&gt;BI305,BI305,$E304-SUM($G305:BH305)))</f>
        <v>0</v>
      </c>
      <c r="BJ304" s="401">
        <f ca="1">IF(SUM($G304:BI304)&gt;=$E304,0,IF($E304-SUM($G304:BI304)&gt;BJ305,BJ305,$E304-SUM($G305:BI305)))</f>
        <v>0</v>
      </c>
      <c r="BK304" s="401">
        <f ca="1">IF(SUM($G304:BJ304)&gt;=$E304,0,IF($E304-SUM($G304:BJ304)&gt;BK305,BK305,$E304-SUM($G305:BJ305)))</f>
        <v>0</v>
      </c>
      <c r="BL304" s="401">
        <f ca="1">IF(SUM($G304:BK304)&gt;=$E304,0,IF($E304-SUM($G304:BK304)&gt;BL305,BL305,$E304-SUM($G305:BK305)))</f>
        <v>0</v>
      </c>
      <c r="BM304" s="401">
        <f ca="1">IF(SUM($G304:BL304)&gt;=$E304,0,IF($E304-SUM($G304:BL304)&gt;BM305,BM305,$E304-SUM($G305:BL305)))</f>
        <v>0</v>
      </c>
      <c r="BN304" s="401">
        <f ca="1">IF(SUM($G304:BM304)&gt;=$E304,0,IF($E304-SUM($G304:BM304)&gt;BN305,BN305,$E304-SUM($G305:BM305)))</f>
        <v>0</v>
      </c>
      <c r="BO304" s="401">
        <f ca="1">IF(SUM($G304:BN304)&gt;=$E304,0,IF($E304-SUM($G304:BN304)&gt;BO305,BO305,$E304-SUM($G305:BN305)))</f>
        <v>0</v>
      </c>
      <c r="BP304" s="401">
        <f ca="1">IF(SUM($G304:BO304)&gt;=$E304,0,IF($E304-SUM($G304:BO304)&gt;BP305,BP305,$E304-SUM($G305:BO305)))</f>
        <v>0</v>
      </c>
      <c r="BQ304" s="401">
        <f ca="1">IF(SUM($G304:BP304)&gt;=$E304,0,IF($E304-SUM($G304:BP304)&gt;BQ305,BQ305,$E304-SUM($G305:BP305)))</f>
        <v>0</v>
      </c>
      <c r="BR304" s="401">
        <f ca="1">IF(SUM($G304:BQ304)&gt;=$E304,0,IF($E304-SUM($G304:BQ304)&gt;BR305,BR305,$E304-SUM($G305:BQ305)))</f>
        <v>0</v>
      </c>
      <c r="BS304" s="401">
        <f ca="1">IF(SUM($G304:BR304)&gt;=$E304,0,IF($E304-SUM($G304:BR304)&gt;BS305,BS305,$E304-SUM($G305:BR305)))</f>
        <v>0</v>
      </c>
      <c r="BT304" s="401">
        <f ca="1">IF(SUM($G304:BS304)&gt;=$E304,0,IF($E304-SUM($G304:BS304)&gt;BT305,BT305,$E304-SUM($G305:BS305)))</f>
        <v>0</v>
      </c>
      <c r="BU304" s="401">
        <f ca="1">IF(SUM($G304:BT304)&gt;=$E304,0,IF($E304-SUM($G304:BT304)&gt;BU305,BU305,$E304-SUM($G305:BT305)))</f>
        <v>0</v>
      </c>
      <c r="BV304" s="401">
        <f ca="1">IF(SUM($G304:BU304)&gt;=$E304,0,IF($E304-SUM($G304:BU304)&gt;BV305,BV305,$E304-SUM($G305:BU305)))</f>
        <v>0</v>
      </c>
      <c r="BW304" s="401">
        <f ca="1">IF(SUM($G304:BV304)&gt;=$E304,0,IF($E304-SUM($G304:BV304)&gt;BW305,BW305,$E304-SUM($G305:BV305)))</f>
        <v>0</v>
      </c>
      <c r="BX304" s="401">
        <f ca="1">IF(SUM($G304:BW304)&gt;=$E304,0,IF($E304-SUM($G304:BW304)&gt;BX305,BX305,$E304-SUM($G305:BW305)))</f>
        <v>0</v>
      </c>
      <c r="BY304" s="401">
        <f ca="1">IF(SUM($G304:BX304)&gt;=$E304,0,IF($E304-SUM($G304:BX304)&gt;BY305,BY305,$E304-SUM($G305:BX305)))</f>
        <v>0</v>
      </c>
      <c r="BZ304" s="401">
        <f ca="1">IF(SUM($G304:BY304)&gt;=$E304,0,IF($E304-SUM($G304:BY304)&gt;BZ305,BZ305,$E304-SUM($G305:BY305)))</f>
        <v>0</v>
      </c>
      <c r="CA304" s="401">
        <f ca="1">IF(SUM($G304:BZ304)&gt;=$E304,0,IF($E304-SUM($G304:BZ304)&gt;CA305,CA305,$E304-SUM($G305:BZ305)))</f>
        <v>0</v>
      </c>
      <c r="CB304" s="401">
        <f ca="1">IF(SUM($G304:CA304)&gt;=$E304,0,IF($E304-SUM($G304:CA304)&gt;CB305,CB305,$E304-SUM($G305:CA305)))</f>
        <v>0</v>
      </c>
      <c r="CC304" s="401">
        <f ca="1">IF(SUM($G304:CB304)&gt;=$E304,0,IF($E304-SUM($G304:CB304)&gt;CC305,CC305,$E304-SUM($G305:CB305)))</f>
        <v>0</v>
      </c>
      <c r="CD304" s="401">
        <f ca="1">IF(SUM($G304:CC304)&gt;=$E304,0,IF($E304-SUM($G304:CC304)&gt;CD305,CD305,$E304-SUM($G305:CC305)))</f>
        <v>0</v>
      </c>
      <c r="CE304" s="401">
        <f ca="1">IF(SUM($G304:CD304)&gt;=$E304,0,IF($E304-SUM($G304:CD304)&gt;CE305,CE305,$E304-SUM($G305:CD305)))</f>
        <v>0</v>
      </c>
      <c r="CF304" s="401">
        <f ca="1">IF(SUM($G304:CE304)&gt;=$E304,0,IF($E304-SUM($G304:CE304)&gt;CF305,CF305,$E304-SUM($G305:CE305)))</f>
        <v>0</v>
      </c>
      <c r="CG304" s="401">
        <f ca="1">IF(SUM($G304:CF304)&gt;=$E304,0,IF($E304-SUM($G304:CF304)&gt;CG305,CG305,$E304-SUM($G305:CF305)))</f>
        <v>0</v>
      </c>
      <c r="CH304" s="401">
        <f ca="1">IF(SUM($G304:CG304)&gt;=$E304,0,IF($E304-SUM($G304:CG304)&gt;CH305,CH305,$E304-SUM($G305:CG305)))</f>
        <v>0</v>
      </c>
      <c r="CI304" s="401">
        <f ca="1">IF(SUM($G304:CH304)&gt;=$E304,0,IF($E304-SUM($G304:CH304)&gt;CI305,CI305,$E304-SUM($G305:CH305)))</f>
        <v>0</v>
      </c>
      <c r="CJ304" s="401">
        <f ca="1">IF(SUM($G304:CI304)&gt;=$E304,0,IF($E304-SUM($G304:CI304)&gt;CJ305,CJ305,$E304-SUM($G305:CI305)))</f>
        <v>0</v>
      </c>
      <c r="CK304" s="401">
        <f ca="1">IF(SUM($G304:CJ304)&gt;=$E304,0,IF($E304-SUM($G304:CJ304)&gt;CK305,CK305,$E304-SUM($G305:CJ305)))</f>
        <v>0</v>
      </c>
      <c r="CL304" s="401">
        <f ca="1">IF(SUM($G304:CK304)&gt;=$E304,0,IF($E304-SUM($G304:CK304)&gt;CL305,CL305,$E304-SUM($G305:CK305)))</f>
        <v>0</v>
      </c>
      <c r="CM304" s="401">
        <f ca="1">IF(SUM($G304:CL304)&gt;=$E304,0,IF($E304-SUM($G304:CL304)&gt;CM305,CM305,$E304-SUM($G305:CL305)))</f>
        <v>0</v>
      </c>
      <c r="CN304" s="401">
        <f ca="1">IF(SUM($G304:CM304)&gt;=$E304,0,IF($E304-SUM($G304:CM304)&gt;CN305,CN305,$E304-SUM($G305:CM305)))</f>
        <v>0</v>
      </c>
      <c r="CO304" s="401">
        <f ca="1">IF(SUM($G304:CN304)&gt;=$E304,0,IF($E304-SUM($G304:CN304)&gt;CO305,CO305,$E304-SUM($G305:CN305)))</f>
        <v>0</v>
      </c>
      <c r="CP304" s="401">
        <f ca="1">IF(SUM($G304:CO304)&gt;=$E304,0,IF($E304-SUM($G304:CO304)&gt;CP305,CP305,$E304-SUM($G305:CO305)))</f>
        <v>0</v>
      </c>
      <c r="CQ304" s="401">
        <f ca="1">IF(SUM($G304:CP304)&gt;=$E304,0,IF($E304-SUM($G304:CP304)&gt;CQ305,CQ305,$E304-SUM($G305:CP305)))</f>
        <v>0</v>
      </c>
      <c r="CR304" s="401">
        <f ca="1">IF(SUM($G304:CQ304)&gt;=$E304,0,IF($E304-SUM($G304:CQ304)&gt;CR305,CR305,$E304-SUM($G305:CQ305)))</f>
        <v>0</v>
      </c>
      <c r="CS304" s="401">
        <f ca="1">IF(SUM($G304:CR304)&gt;=$E304,0,IF($E304-SUM($G304:CR304)&gt;CS305,CS305,$E304-SUM($G305:CR305)))</f>
        <v>0</v>
      </c>
      <c r="CT304" s="401">
        <f ca="1">IF(SUM($G304:CS304)&gt;=$E304,0,IF($E304-SUM($G304:CS304)&gt;CT305,CT305,$E304-SUM($G305:CS305)))</f>
        <v>0</v>
      </c>
      <c r="CU304" s="401">
        <f ca="1">IF(SUM($G304:CT304)&gt;=$E304,0,IF($E304-SUM($G304:CT304)&gt;CU305,CU305,$E304-SUM($G305:CT305)))</f>
        <v>0</v>
      </c>
      <c r="CV304" s="401">
        <f ca="1">IF(SUM($G304:CU304)&gt;=$E304,0,IF($E304-SUM($G304:CU304)&gt;CV305,CV305,$E304-SUM($G305:CU305)))</f>
        <v>0</v>
      </c>
      <c r="CW304" s="401">
        <f ca="1">IF(SUM($G304:CV304)&gt;=$E304,0,IF($E304-SUM($G304:CV304)&gt;CW305,CW305,$E304-SUM($G305:CV305)))</f>
        <v>0</v>
      </c>
      <c r="CX304" s="401">
        <f ca="1">IF(SUM($G304:CW304)&gt;=$E304,0,IF($E304-SUM($G304:CW304)&gt;CX305,CX305,$E304-SUM($G305:CW305)))</f>
        <v>0</v>
      </c>
      <c r="CY304" s="401">
        <f ca="1">IF(SUM($G304:CX304)&gt;=$E304,0,IF($E304-SUM($G304:CX304)&gt;CY305,CY305,$E304-SUM($G305:CX305)))</f>
        <v>0</v>
      </c>
      <c r="CZ304" s="401">
        <f ca="1">IF(SUM($G304:CY304)&gt;=$E304,0,IF($E304-SUM($G304:CY304)&gt;CZ305,CZ305,$E304-SUM($G305:CY305)))</f>
        <v>0</v>
      </c>
      <c r="DA304" s="401">
        <f ca="1">IF(SUM($G304:CZ304)&gt;=$E304,0,IF($E304-SUM($G304:CZ304)&gt;DA305,DA305,$E304-SUM($G305:CZ305)))</f>
        <v>0</v>
      </c>
      <c r="DB304" s="401">
        <f ca="1">IF(SUM($G304:DA304)&gt;=$E304,0,IF($E304-SUM($G304:DA304)&gt;DB305,DB305,$E304-SUM($G305:DA305)))</f>
        <v>0</v>
      </c>
      <c r="DC304" s="401">
        <f ca="1">IF(SUM($G304:DB304)&gt;=$E304,0,IF($E304-SUM($G304:DB304)&gt;DC305,DC305,$E304-SUM($G305:DB305)))</f>
        <v>0</v>
      </c>
      <c r="DD304" s="401">
        <f ca="1">IF(SUM($G304:DC304)&gt;=$E304,0,IF($E304-SUM($G304:DC304)&gt;DD305,DD305,$E304-SUM($G305:DC305)))</f>
        <v>0</v>
      </c>
      <c r="DE304" s="401">
        <f ca="1">IF(SUM($G304:DD304)&gt;=$E304,0,IF($E304-SUM($G304:DD304)&gt;DE305,DE305,$E304-SUM($G305:DD305)))</f>
        <v>0</v>
      </c>
      <c r="DF304" s="401">
        <f ca="1">IF(SUM($G304:DE304)&gt;=$E304,0,IF($E304-SUM($G304:DE304)&gt;DF305,DF305,$E304-SUM($G305:DE305)))</f>
        <v>0</v>
      </c>
      <c r="DG304" s="401">
        <f ca="1">IF(SUM($G304:DF304)&gt;=$E304,0,IF($E304-SUM($G304:DF304)&gt;DG305,DG305,$E304-SUM($G305:DF305)))</f>
        <v>0</v>
      </c>
      <c r="DH304" s="401">
        <f ca="1">IF(SUM($G304:DG304)&gt;=$E304,0,IF($E304-SUM($G304:DG304)&gt;DH305,DH305,$E304-SUM($G305:DG305)))</f>
        <v>0</v>
      </c>
      <c r="DI304" s="401">
        <f ca="1">IF(SUM($G304:DH304)&gt;=$E304,0,IF($E304-SUM($G304:DH304)&gt;DI305,DI305,$E304-SUM($G305:DH305)))</f>
        <v>0</v>
      </c>
      <c r="DJ304" s="401">
        <f ca="1">IF(SUM($G304:DI304)&gt;=$E304,0,IF($E304-SUM($G304:DI304)&gt;DJ305,DJ305,$E304-SUM($G305:DI305)))</f>
        <v>0</v>
      </c>
      <c r="DK304" s="401">
        <f ca="1">IF(SUM($G304:DJ304)&gt;=$E304,0,IF($E304-SUM($G304:DJ304)&gt;DK305,DK305,$E304-SUM($G305:DJ305)))</f>
        <v>0</v>
      </c>
      <c r="DL304" s="401">
        <f ca="1">IF(SUM($G304:DK304)&gt;=$E304,0,IF($E304-SUM($G304:DK304)&gt;DL305,DL305,$E304-SUM($G305:DK305)))</f>
        <v>0</v>
      </c>
      <c r="DM304" s="401">
        <f ca="1">IF(SUM($G304:DL304)&gt;=$E304,0,IF($E304-SUM($G304:DL304)&gt;DM305,DM305,$E304-SUM($G305:DL305)))</f>
        <v>0</v>
      </c>
      <c r="DN304" s="401">
        <f ca="1">IF(SUM($G304:DM304)&gt;=$E304,0,IF($E304-SUM($G304:DM304)&gt;DN305,DN305,$E304-SUM($G305:DM305)))</f>
        <v>0</v>
      </c>
      <c r="DO304" s="401">
        <f ca="1">IF(SUM($G304:DN304)&gt;=$E304,0,IF($E304-SUM($G304:DN304)&gt;DO305,DO305,$E304-SUM($G305:DN305)))</f>
        <v>0</v>
      </c>
      <c r="DP304" s="401">
        <f ca="1">IF(SUM($G304:DO304)&gt;=$E304,0,IF($E304-SUM($G304:DO304)&gt;DP305,DP305,$E304-SUM($G305:DO305)))</f>
        <v>0</v>
      </c>
      <c r="DQ304" s="401">
        <f ca="1">IF(SUM($G304:DP304)&gt;=$E304,0,IF($E304-SUM($G304:DP304)&gt;DQ305,DQ305,$E304-SUM($G305:DP305)))</f>
        <v>0</v>
      </c>
      <c r="DR304" s="401">
        <f ca="1">IF(SUM($G304:DQ304)&gt;=$E304,0,IF($E304-SUM($G304:DQ304)&gt;DR305,DR305,$E304-SUM($G305:DQ305)))</f>
        <v>0</v>
      </c>
      <c r="DS304" s="401">
        <f ca="1">IF(SUM($G304:DR304)&gt;=$E304,0,IF($E304-SUM($G304:DR304)&gt;DS305,DS305,$E304-SUM($G305:DR305)))</f>
        <v>0</v>
      </c>
      <c r="DT304" s="401">
        <f ca="1">IF(SUM($G304:DS304)&gt;=$E304,0,IF($E304-SUM($G304:DS304)&gt;DT305,DT305,$E304-SUM($G305:DS305)))</f>
        <v>0</v>
      </c>
      <c r="DU304" s="401">
        <f ca="1">IF(SUM($G304:DT304)&gt;=$E304,0,IF($E304-SUM($G304:DT304)&gt;DU305,DU305,$E304-SUM($G305:DT305)))</f>
        <v>0</v>
      </c>
      <c r="DV304" s="401">
        <f ca="1">IF(SUM($G304:DU304)&gt;=$E304,0,IF($E304-SUM($G304:DU304)&gt;DV305,DV305,$E304-SUM($G305:DU305)))</f>
        <v>0</v>
      </c>
      <c r="DW304" s="401">
        <f ca="1">IF(SUM($G304:DV304)&gt;=$E304,0,IF($E304-SUM($G304:DV304)&gt;DW305,DW305,$E304-SUM($G305:DV305)))</f>
        <v>0</v>
      </c>
      <c r="DX304" s="401">
        <f ca="1">IF(SUM($G304:DW304)&gt;=$E304,0,IF($E304-SUM($G304:DW304)&gt;DX305,DX305,$E304-SUM($G305:DW305)))</f>
        <v>0</v>
      </c>
      <c r="DY304" s="401">
        <f ca="1">IF(SUM($G304:DX304)&gt;=$E304,0,IF($E304-SUM($G304:DX304)&gt;DY305,DY305,$E304-SUM($G305:DX305)))</f>
        <v>0</v>
      </c>
      <c r="DZ304" s="401">
        <f ca="1">IF(SUM($G304:DY304)&gt;=$E304,0,IF($E304-SUM($G304:DY304)&gt;DZ305,DZ305,$E304-SUM($G305:DY305)))</f>
        <v>0</v>
      </c>
      <c r="EA304" s="401">
        <f ca="1">IF(SUM($G304:DZ304)&gt;=$E304,0,IF($E304-SUM($G304:DZ304)&gt;EA305,EA305,$E304-SUM($G305:DZ305)))</f>
        <v>0</v>
      </c>
      <c r="EB304" s="401">
        <f ca="1">IF(SUM($G304:EA304)&gt;=$E304,0,IF($E304-SUM($G304:EA304)&gt;EB305,EB305,$E304-SUM($G305:EA305)))</f>
        <v>0</v>
      </c>
      <c r="EC304" s="401">
        <f ca="1">IF(SUM($G304:EB304)&gt;=$E304,0,IF($E304-SUM($G304:EB304)&gt;EC305,EC305,$E304-SUM($G305:EB305)))</f>
        <v>0</v>
      </c>
      <c r="ED304" s="401">
        <f ca="1">IF(SUM($G304:EC304)&gt;=$E304,0,IF($E304-SUM($G304:EC304)&gt;ED305,ED305,$E304-SUM($G305:EC305)))</f>
        <v>0</v>
      </c>
      <c r="EE304" s="401">
        <f ca="1">IF(SUM($G304:ED304)&gt;=$E304,0,IF($E304-SUM($G304:ED304)&gt;EE305,EE305,$E304-SUM($G305:ED305)))</f>
        <v>0</v>
      </c>
      <c r="EF304" s="401">
        <f ca="1">IF(SUM($G304:EE304)&gt;=$E304,0,IF($E304-SUM($G304:EE304)&gt;EF305,EF305,$E304-SUM($G305:EE305)))</f>
        <v>0</v>
      </c>
      <c r="EG304" s="401">
        <f ca="1">IF(SUM($G304:EF304)&gt;=$E304,0,IF($E304-SUM($G304:EF304)&gt;EG305,EG305,$E304-SUM($G305:EF305)))</f>
        <v>0</v>
      </c>
      <c r="EH304" s="401">
        <f ca="1">IF(SUM($G304:EG304)&gt;=$E304,0,IF($E304-SUM($G304:EG304)&gt;EH305,EH305,$E304-SUM($G305:EG305)))</f>
        <v>0</v>
      </c>
      <c r="EI304" s="401">
        <f ca="1">IF(SUM($G304:EH304)&gt;=$E304,0,IF($E304-SUM($G304:EH304)&gt;EI305,EI305,$E304-SUM($G305:EH305)))</f>
        <v>0</v>
      </c>
      <c r="EK304" s="313"/>
    </row>
    <row r="305" spans="1:141" hidden="1" outlineLevel="2">
      <c r="A305" s="332"/>
      <c r="B305" s="313"/>
      <c r="C305" s="308"/>
      <c r="D305" s="308"/>
      <c r="E305" s="308"/>
      <c r="G305" s="402"/>
      <c r="H305" s="402">
        <f ca="1">IF((SUM($G270:H270)-$E269*IF(длительность!$B$13&gt;70,0.3,0.622222222222222))&lt;0,0,IF((SUM($G270:H270)-$E269*IF(длительность!$B$13&gt;70,0.3,0.622222222222222))&lt;H270,SUM($G270:H270)-$E269*IF(длительность!$B$13&gt;70,0.3,0.622222222222222),H270))</f>
        <v>0</v>
      </c>
      <c r="I305" s="402">
        <f ca="1">IF((SUM($G270:I270)-$E269*IF(длительность!$B$13&gt;70,0.3,0.622222222222222))&lt;0,0,IF((SUM($G270:I270)-$E269*IF(длительность!$B$13&gt;70,0.3,0.622222222222222))&lt;I270,SUM($G270:I270)-$E269*IF(длительность!$B$13&gt;70,0.3,0.622222222222222),I270))</f>
        <v>0</v>
      </c>
      <c r="J305" s="402">
        <f ca="1">IF((SUM($G270:J270)-$E269*IF(длительность!$B$13&gt;70,0.3,0.622222222222222))&lt;0,0,IF((SUM($G270:J270)-$E269*IF(длительность!$B$13&gt;70,0.3,0.622222222222222))&lt;J270,SUM($G270:J270)-$E269*IF(длительность!$B$13&gt;70,0.3,0.622222222222222),J270))</f>
        <v>0</v>
      </c>
      <c r="K305" s="402">
        <f ca="1">IF((SUM($G270:K270)-$E269*IF(длительность!$B$13&gt;70,0.3,0.622222222222222))&lt;0,0,IF((SUM($G270:K270)-$E269*IF(длительность!$B$13&gt;70,0.3,0.622222222222222))&lt;K270,SUM($G270:K270)-$E269*IF(длительность!$B$13&gt;70,0.3,0.622222222222222),K270))</f>
        <v>0</v>
      </c>
      <c r="L305" s="402">
        <f ca="1">IF((SUM($G270:L270)-$E269*IF(длительность!$B$13&gt;70,0.3,0.622222222222222))&lt;0,0,IF((SUM($G270:L270)-$E269*IF(длительность!$B$13&gt;70,0.3,0.622222222222222))&lt;L270,SUM($G270:L270)-$E269*IF(длительность!$B$13&gt;70,0.3,0.622222222222222),L270))</f>
        <v>0</v>
      </c>
      <c r="M305" s="402">
        <f ca="1">IF((SUM($G270:M270)-$E269*IF(длительность!$B$13&gt;70,0.3,0.622222222222222))&lt;0,0,IF((SUM($G270:M270)-$E269*IF(длительность!$B$13&gt;70,0.3,0.622222222222222))&lt;M270,SUM($G270:M270)-$E269*IF(длительность!$B$13&gt;70,0.3,0.622222222222222),M270))</f>
        <v>0</v>
      </c>
      <c r="N305" s="402">
        <f ca="1">IF((SUM($G270:N270)-$E269*IF(длительность!$B$13&gt;70,0.3,0.622222222222222))&lt;0,0,IF((SUM($G270:N270)-$E269*IF(длительность!$B$13&gt;70,0.3,0.622222222222222))&lt;N270,SUM($G270:N270)-$E269*IF(длительность!$B$13&gt;70,0.3,0.622222222222222),N270))</f>
        <v>0</v>
      </c>
      <c r="O305" s="402">
        <f ca="1">IF((SUM($G270:O270)-$E269*IF(длительность!$B$13&gt;70,0.3,0.622222222222222))&lt;0,0,IF((SUM($G270:O270)-$E269*IF(длительность!$B$13&gt;70,0.3,0.622222222222222))&lt;O270,SUM($G270:O270)-$E269*IF(длительность!$B$13&gt;70,0.3,0.622222222222222),O270))</f>
        <v>0</v>
      </c>
      <c r="P305" s="402">
        <f ca="1">IF((SUM($G270:P270)-$E269*IF(длительность!$B$13&gt;70,0.3,0.622222222222222))&lt;0,0,IF((SUM($G270:P270)-$E269*IF(длительность!$B$13&gt;70,0.3,0.622222222222222))&lt;P270,SUM($G270:P270)-$E269*IF(длительность!$B$13&gt;70,0.3,0.622222222222222),P270))</f>
        <v>0</v>
      </c>
      <c r="Q305" s="402">
        <f ca="1">IF((SUM($G270:Q270)-$E269*IF(длительность!$B$13&gt;70,0.3,0.622222222222222))&lt;0,0,IF((SUM($G270:Q270)-$E269*IF(длительность!$B$13&gt;70,0.3,0.622222222222222))&lt;Q270,SUM($G270:Q270)-$E269*IF(длительность!$B$13&gt;70,0.3,0.622222222222222),Q270))</f>
        <v>0</v>
      </c>
      <c r="R305" s="402">
        <f ca="1">IF((SUM($G270:R270)-$E269*IF(длительность!$B$13&gt;70,0.3,0.622222222222222))&lt;0,0,IF((SUM($G270:R270)-$E269*IF(длительность!$B$13&gt;70,0.3,0.622222222222222))&lt;R270,SUM($G270:R270)-$E269*IF(длительность!$B$13&gt;70,0.3,0.622222222222222),R270))</f>
        <v>0</v>
      </c>
      <c r="S305" s="402">
        <f ca="1">IF((SUM($G270:S270)-$E269*IF(длительность!$B$13&gt;70,0.3,0.622222222222222))&lt;0,0,IF((SUM($G270:S270)-$E269*IF(длительность!$B$13&gt;70,0.3,0.622222222222222))&lt;S270,SUM($G270:S270)-$E269*IF(длительность!$B$13&gt;70,0.3,0.622222222222222),S270))</f>
        <v>0</v>
      </c>
      <c r="T305" s="402">
        <f ca="1">IF((SUM($G270:T270)-$E269*IF(длительность!$B$13&gt;70,0.3,0.622222222222222))&lt;0,0,IF((SUM($G270:T270)-$E269*IF(длительность!$B$13&gt;70,0.3,0.622222222222222))&lt;T270,SUM($G270:T270)-$E269*IF(длительность!$B$13&gt;70,0.3,0.622222222222222),T270))</f>
        <v>0</v>
      </c>
      <c r="U305" s="402">
        <f ca="1">IF((SUM($G270:U270)-$E269*IF(длительность!$B$13&gt;70,0.3,0.622222222222222))&lt;0,0,IF((SUM($G270:U270)-$E269*IF(длительность!$B$13&gt;70,0.3,0.622222222222222))&lt;U270,SUM($G270:U270)-$E269*IF(длительность!$B$13&gt;70,0.3,0.622222222222222),U270))</f>
        <v>0</v>
      </c>
      <c r="V305" s="402">
        <f ca="1">IF((SUM($G270:V270)-$E269*IF(длительность!$B$13&gt;70,0.3,0.622222222222222))&lt;0,0,IF((SUM($G270:V270)-$E269*IF(длительность!$B$13&gt;70,0.3,0.622222222222222))&lt;V270,SUM($G270:V270)-$E269*IF(длительность!$B$13&gt;70,0.3,0.622222222222222),V270))</f>
        <v>0</v>
      </c>
      <c r="W305" s="402">
        <f ca="1">IF((SUM($G270:W270)-$E269*IF(длительность!$B$13&gt;70,0.3,0.622222222222222))&lt;0,0,IF((SUM($G270:W270)-$E269*IF(длительность!$B$13&gt;70,0.3,0.622222222222222))&lt;W270,SUM($G270:W270)-$E269*IF(длительность!$B$13&gt;70,0.3,0.622222222222222),W270))</f>
        <v>0</v>
      </c>
      <c r="X305" s="402">
        <f ca="1">IF((SUM($G270:X270)-$E269*IF(длительность!$B$13&gt;70,0.3,0.622222222222222))&lt;0,0,IF((SUM($G270:X270)-$E269*IF(длительность!$B$13&gt;70,0.3,0.622222222222222))&lt;X270,SUM($G270:X270)-$E269*IF(длительность!$B$13&gt;70,0.3,0.622222222222222),X270))</f>
        <v>0</v>
      </c>
      <c r="Y305" s="402">
        <f ca="1">IF((SUM($G270:Y270)-$E269*IF(длительность!$B$13&gt;70,0.3,0.622222222222222))&lt;0,0,IF((SUM($G270:Y270)-$E269*IF(длительность!$B$13&gt;70,0.3,0.622222222222222))&lt;Y270,SUM($G270:Y270)-$E269*IF(длительность!$B$13&gt;70,0.3,0.622222222222222),Y270))</f>
        <v>0</v>
      </c>
      <c r="Z305" s="402">
        <f ca="1">IF((SUM($G270:Z270)-$E269*IF(длительность!$B$13&gt;70,0.3,0.622222222222222))&lt;0,0,IF((SUM($G270:Z270)-$E269*IF(длительность!$B$13&gt;70,0.3,0.622222222222222))&lt;Z270,SUM($G270:Z270)-$E269*IF(длительность!$B$13&gt;70,0.3,0.622222222222222),Z270))</f>
        <v>0</v>
      </c>
      <c r="AA305" s="402">
        <f ca="1">IF((SUM($G270:AA270)-$E269*IF(длительность!$B$13&gt;70,0.3,0.622222222222222))&lt;0,0,IF((SUM($G270:AA270)-$E269*IF(длительность!$B$13&gt;70,0.3,0.622222222222222))&lt;AA270,SUM($G270:AA270)-$E269*IF(длительность!$B$13&gt;70,0.3,0.622222222222222),AA270))</f>
        <v>0</v>
      </c>
      <c r="AB305" s="402">
        <f ca="1">IF((SUM($G270:AB270)-$E269*IF(длительность!$B$13&gt;70,0.3,0.622222222222222))&lt;0,0,IF((SUM($G270:AB270)-$E269*IF(длительность!$B$13&gt;70,0.3,0.622222222222222))&lt;AB270,SUM($G270:AB270)-$E269*IF(длительность!$B$13&gt;70,0.3,0.622222222222222),AB270))</f>
        <v>0</v>
      </c>
      <c r="AC305" s="402">
        <f ca="1">IF((SUM($G270:AC270)-$E269*IF(длительность!$B$13&gt;70,0.3,0.622222222222222))&lt;0,0,IF((SUM($G270:AC270)-$E269*IF(длительность!$B$13&gt;70,0.3,0.622222222222222))&lt;AC270,SUM($G270:AC270)-$E269*IF(длительность!$B$13&gt;70,0.3,0.622222222222222),AC270))</f>
        <v>0</v>
      </c>
      <c r="AD305" s="402">
        <f ca="1">IF((SUM($G270:AD270)-$E269*IF(длительность!$B$13&gt;70,0.3,0.622222222222222))&lt;0,0,IF((SUM($G270:AD270)-$E269*IF(длительность!$B$13&gt;70,0.3,0.622222222222222))&lt;AD270,SUM($G270:AD270)-$E269*IF(длительность!$B$13&gt;70,0.3,0.622222222222222),AD270))</f>
        <v>0</v>
      </c>
      <c r="AE305" s="402">
        <f ca="1">IF((SUM($G270:AE270)-$E269*IF(длительность!$B$13&gt;70,0.3,0.622222222222222))&lt;0,0,IF((SUM($G270:AE270)-$E269*IF(длительность!$B$13&gt;70,0.3,0.622222222222222))&lt;AE270,SUM($G270:AE270)-$E269*IF(длительность!$B$13&gt;70,0.3,0.622222222222222),AE270))</f>
        <v>0</v>
      </c>
      <c r="AF305" s="402">
        <f ca="1">IF((SUM($G270:AF270)-$E269*IF(длительность!$B$13&gt;70,0.3,0.622222222222222))&lt;0,0,IF((SUM($G270:AF270)-$E269*IF(длительность!$B$13&gt;70,0.3,0.622222222222222))&lt;AF270,SUM($G270:AF270)-$E269*IF(длительность!$B$13&gt;70,0.3,0.622222222222222),AF270))</f>
        <v>0</v>
      </c>
      <c r="AG305" s="402">
        <f ca="1">IF((SUM($G270:AG270)-$E269*IF(длительность!$B$13&gt;70,0.3,0.622222222222222))&lt;0,0,IF((SUM($G270:AG270)-$E269*IF(длительность!$B$13&gt;70,0.3,0.622222222222222))&lt;AG270,SUM($G270:AG270)-$E269*IF(длительность!$B$13&gt;70,0.3,0.622222222222222),AG270))</f>
        <v>0</v>
      </c>
      <c r="AH305" s="402">
        <f ca="1">IF((SUM($G270:AH270)-$E269*IF(длительность!$B$13&gt;70,0.3,0.622222222222222))&lt;0,0,IF((SUM($G270:AH270)-$E269*IF(длительность!$B$13&gt;70,0.3,0.622222222222222))&lt;AH270,SUM($G270:AH270)-$E269*IF(длительность!$B$13&gt;70,0.3,0.622222222222222),AH270))</f>
        <v>0</v>
      </c>
      <c r="AI305" s="402">
        <f ca="1">IF((SUM($G270:AI270)-$E269*IF(длительность!$B$13&gt;70,0.3,0.622222222222222))&lt;0,0,IF((SUM($G270:AI270)-$E269*IF(длительность!$B$13&gt;70,0.3,0.622222222222222))&lt;AI270,SUM($G270:AI270)-$E269*IF(длительность!$B$13&gt;70,0.3,0.622222222222222),AI270))</f>
        <v>0</v>
      </c>
      <c r="AJ305" s="402">
        <f ca="1">IF((SUM($G270:AJ270)-$E269*IF(длительность!$B$13&gt;70,0.3,0.622222222222222))&lt;0,0,IF((SUM($G270:AJ270)-$E269*IF(длительность!$B$13&gt;70,0.3,0.622222222222222))&lt;AJ270,SUM($G270:AJ270)-$E269*IF(длительность!$B$13&gt;70,0.3,0.622222222222222),AJ270))</f>
        <v>0</v>
      </c>
      <c r="AK305" s="402">
        <f ca="1">IF((SUM($G270:AK270)-$E269*IF(длительность!$B$13&gt;70,0.3,0.622222222222222))&lt;0,0,IF((SUM($G270:AK270)-$E269*IF(длительность!$B$13&gt;70,0.3,0.622222222222222))&lt;AK270,SUM($G270:AK270)-$E269*IF(длительность!$B$13&gt;70,0.3,0.622222222222222),AK270))</f>
        <v>0</v>
      </c>
      <c r="AL305" s="402">
        <f ca="1">IF((SUM($G270:AL270)-$E269*IF(длительность!$B$13&gt;70,0.3,0.622222222222222))&lt;0,0,IF((SUM($G270:AL270)-$E269*IF(длительность!$B$13&gt;70,0.3,0.622222222222222))&lt;AL270,SUM($G270:AL270)-$E269*IF(длительность!$B$13&gt;70,0.3,0.622222222222222),AL270))</f>
        <v>0</v>
      </c>
      <c r="AM305" s="402">
        <f ca="1">IF((SUM($G270:AM270)-$E269*IF(длительность!$B$13&gt;70,0.3,0.622222222222222))&lt;0,0,IF((SUM($G270:AM270)-$E269*IF(длительность!$B$13&gt;70,0.3,0.622222222222222))&lt;AM270,SUM($G270:AM270)-$E269*IF(длительность!$B$13&gt;70,0.3,0.622222222222222),AM270))</f>
        <v>0</v>
      </c>
      <c r="AN305" s="402">
        <f ca="1">IF((SUM($G270:AN270)-$E269*IF(длительность!$B$13&gt;70,0.3,0.622222222222222))&lt;0,0,IF((SUM($G270:AN270)-$E269*IF(длительность!$B$13&gt;70,0.3,0.622222222222222))&lt;AN270,SUM($G270:AN270)-$E269*IF(длительность!$B$13&gt;70,0.3,0.622222222222222),AN270))</f>
        <v>0</v>
      </c>
      <c r="AO305" s="402">
        <f ca="1">IF((SUM($G270:AO270)-$E269*IF(длительность!$B$13&gt;70,0.3,0.622222222222222))&lt;0,0,IF((SUM($G270:AO270)-$E269*IF(длительность!$B$13&gt;70,0.3,0.622222222222222))&lt;AO270,SUM($G270:AO270)-$E269*IF(длительность!$B$13&gt;70,0.3,0.622222222222222),AO270))</f>
        <v>0</v>
      </c>
      <c r="AP305" s="402">
        <f ca="1">IF((SUM($G270:AP270)-$E269*IF(длительность!$B$13&gt;70,0.3,0.622222222222222))&lt;0,0,IF((SUM($G270:AP270)-$E269*IF(длительность!$B$13&gt;70,0.3,0.622222222222222))&lt;AP270,SUM($G270:AP270)-$E269*IF(длительность!$B$13&gt;70,0.3,0.622222222222222),AP270))</f>
        <v>0</v>
      </c>
      <c r="AQ305" s="402">
        <f ca="1">IF((SUM($G270:AQ270)-$E269*IF(длительность!$B$13&gt;70,0.3,0.622222222222222))&lt;0,0,IF((SUM($G270:AQ270)-$E269*IF(длительность!$B$13&gt;70,0.3,0.622222222222222))&lt;AQ270,SUM($G270:AQ270)-$E269*IF(длительность!$B$13&gt;70,0.3,0.622222222222222),AQ270))</f>
        <v>0</v>
      </c>
      <c r="AR305" s="402">
        <f ca="1">IF((SUM($G270:AR270)-$E269*IF(длительность!$B$13&gt;70,0.3,0.622222222222222))&lt;0,0,IF((SUM($G270:AR270)-$E269*IF(длительность!$B$13&gt;70,0.3,0.622222222222222))&lt;AR270,SUM($G270:AR270)-$E269*IF(длительность!$B$13&gt;70,0.3,0.622222222222222),AR270))</f>
        <v>0</v>
      </c>
      <c r="AS305" s="402">
        <f ca="1">IF((SUM($G270:AS270)-$E269*IF(длительность!$B$13&gt;70,0.3,0.622222222222222))&lt;0,0,IF((SUM($G270:AS270)-$E269*IF(длительность!$B$13&gt;70,0.3,0.622222222222222))&lt;AS270,SUM($G270:AS270)-$E269*IF(длительность!$B$13&gt;70,0.3,0.622222222222222),AS270))</f>
        <v>25.299999999999997</v>
      </c>
      <c r="AT305" s="402">
        <f ca="1">IF((SUM($G270:AT270)-$E269*IF(длительность!$B$13&gt;70,0.3,0.622222222222222))&lt;0,0,IF((SUM($G270:AT270)-$E269*IF(длительность!$B$13&gt;70,0.3,0.622222222222222))&lt;AT270,SUM($G270:AT270)-$E269*IF(длительность!$B$13&gt;70,0.3,0.622222222222222),AT270))</f>
        <v>30</v>
      </c>
      <c r="AU305" s="402">
        <f ca="1">IF((SUM($G270:AU270)-$E269*IF(длительность!$B$13&gt;70,0.3,0.622222222222222))&lt;0,0,IF((SUM($G270:AU270)-$E269*IF(длительность!$B$13&gt;70,0.3,0.622222222222222))&lt;AU270,SUM($G270:AU270)-$E269*IF(длительность!$B$13&gt;70,0.3,0.622222222222222),AU270))</f>
        <v>31</v>
      </c>
      <c r="AV305" s="402">
        <f ca="1">IF((SUM($G270:AV270)-$E269*IF(длительность!$B$13&gt;70,0.3,0.622222222222222))&lt;0,0,IF((SUM($G270:AV270)-$E269*IF(длительность!$B$13&gt;70,0.3,0.622222222222222))&lt;AV270,SUM($G270:AV270)-$E269*IF(длительность!$B$13&gt;70,0.3,0.622222222222222),AV270))</f>
        <v>31</v>
      </c>
      <c r="AW305" s="402">
        <f ca="1">IF((SUM($G270:AW270)-$E269*IF(длительность!$B$13&gt;70,0.3,0.622222222222222))&lt;0,0,IF((SUM($G270:AW270)-$E269*IF(длительность!$B$13&gt;70,0.3,0.622222222222222))&lt;AW270,SUM($G270:AW270)-$E269*IF(длительность!$B$13&gt;70,0.3,0.622222222222222),AW270))</f>
        <v>30</v>
      </c>
      <c r="AX305" s="402">
        <f ca="1">IF((SUM($G270:AX270)-$E269*IF(длительность!$B$13&gt;70,0.3,0.622222222222222))&lt;0,0,IF((SUM($G270:AX270)-$E269*IF(длительность!$B$13&gt;70,0.3,0.622222222222222))&lt;AX270,SUM($G270:AX270)-$E269*IF(длительность!$B$13&gt;70,0.3,0.622222222222222),AX270))</f>
        <v>31</v>
      </c>
      <c r="AY305" s="402">
        <f ca="1">IF((SUM($G270:AY270)-$E269*IF(длительность!$B$13&gt;70,0.3,0.622222222222222))&lt;0,0,IF((SUM($G270:AY270)-$E269*IF(длительность!$B$13&gt;70,0.3,0.622222222222222))&lt;AY270,SUM($G270:AY270)-$E269*IF(длительность!$B$13&gt;70,0.3,0.622222222222222),AY270))</f>
        <v>30</v>
      </c>
      <c r="AZ305" s="402">
        <f ca="1">IF((SUM($G270:AZ270)-$E269*IF(длительность!$B$13&gt;70,0.3,0.622222222222222))&lt;0,0,IF((SUM($G270:AZ270)-$E269*IF(длительность!$B$13&gt;70,0.3,0.622222222222222))&lt;AZ270,SUM($G270:AZ270)-$E269*IF(длительность!$B$13&gt;70,0.3,0.622222222222222),AZ270))</f>
        <v>31</v>
      </c>
      <c r="BA305" s="402">
        <f ca="1">IF((SUM($G270:BA270)-$E269*IF(длительность!$B$13&gt;70,0.3,0.622222222222222))&lt;0,0,IF((SUM($G270:BA270)-$E269*IF(длительность!$B$13&gt;70,0.3,0.622222222222222))&lt;BA270,SUM($G270:BA270)-$E269*IF(длительность!$B$13&gt;70,0.3,0.622222222222222),BA270))</f>
        <v>31</v>
      </c>
      <c r="BB305" s="402">
        <f ca="1">IF((SUM($G270:BB270)-$E269*IF(длительность!$B$13&gt;70,0.3,0.622222222222222))&lt;0,0,IF((SUM($G270:BB270)-$E269*IF(длительность!$B$13&gt;70,0.3,0.622222222222222))&lt;BB270,SUM($G270:BB270)-$E269*IF(длительность!$B$13&gt;70,0.3,0.622222222222222),BB270))</f>
        <v>28</v>
      </c>
      <c r="BC305" s="402">
        <f ca="1">IF((SUM($G270:BC270)-$E269*IF(длительность!$B$13&gt;70,0.3,0.622222222222222))&lt;0,0,IF((SUM($G270:BC270)-$E269*IF(длительность!$B$13&gt;70,0.3,0.622222222222222))&lt;BC270,SUM($G270:BC270)-$E269*IF(длительность!$B$13&gt;70,0.3,0.622222222222222),BC270))</f>
        <v>31</v>
      </c>
      <c r="BD305" s="402">
        <f ca="1">IF((SUM($G270:BD270)-$E269*IF(длительность!$B$13&gt;70,0.3,0.622222222222222))&lt;0,0,IF((SUM($G270:BD270)-$E269*IF(длительность!$B$13&gt;70,0.3,0.622222222222222))&lt;BD270,SUM($G270:BD270)-$E269*IF(длительность!$B$13&gt;70,0.3,0.622222222222222),BD270))</f>
        <v>30</v>
      </c>
      <c r="BE305" s="402">
        <f ca="1">IF((SUM($G270:BE270)-$E269*IF(длительность!$B$13&gt;70,0.3,0.622222222222222))&lt;0,0,IF((SUM($G270:BE270)-$E269*IF(длительность!$B$13&gt;70,0.3,0.622222222222222))&lt;BE270,SUM($G270:BE270)-$E269*IF(длительность!$B$13&gt;70,0.3,0.622222222222222),BE270))</f>
        <v>31</v>
      </c>
      <c r="BF305" s="402">
        <f ca="1">IF((SUM($G270:BF270)-$E269*IF(длительность!$B$13&gt;70,0.3,0.622222222222222))&lt;0,0,IF((SUM($G270:BF270)-$E269*IF(длительность!$B$13&gt;70,0.3,0.622222222222222))&lt;BF270,SUM($G270:BF270)-$E269*IF(длительность!$B$13&gt;70,0.3,0.622222222222222),BF270))</f>
        <v>30</v>
      </c>
      <c r="BG305" s="402">
        <f ca="1">IF((SUM($G270:BG270)-$E269*IF(длительность!$B$13&gt;70,0.3,0.622222222222222))&lt;0,0,IF((SUM($G270:BG270)-$E269*IF(длительность!$B$13&gt;70,0.3,0.622222222222222))&lt;BG270,SUM($G270:BG270)-$E269*IF(длительность!$B$13&gt;70,0.3,0.622222222222222),BG270))</f>
        <v>31</v>
      </c>
      <c r="BH305" s="402">
        <f ca="1">IF((SUM($G270:BH270)-$E269*IF(длительность!$B$13&gt;70,0.3,0.622222222222222))&lt;0,0,IF((SUM($G270:BH270)-$E269*IF(длительность!$B$13&gt;70,0.3,0.622222222222222))&lt;BH270,SUM($G270:BH270)-$E269*IF(длительность!$B$13&gt;70,0.3,0.622222222222222),BH270))</f>
        <v>31</v>
      </c>
      <c r="BI305" s="402">
        <f ca="1">IF((SUM($G270:BI270)-$E269*IF(длительность!$B$13&gt;70,0.3,0.622222222222222))&lt;0,0,IF((SUM($G270:BI270)-$E269*IF(длительность!$B$13&gt;70,0.3,0.622222222222222))&lt;BI270,SUM($G270:BI270)-$E269*IF(длительность!$B$13&gt;70,0.3,0.622222222222222),BI270))</f>
        <v>30</v>
      </c>
      <c r="BJ305" s="402">
        <f ca="1">IF((SUM($G270:BJ270)-$E269*IF(длительность!$B$13&gt;70,0.3,0.622222222222222))&lt;0,0,IF((SUM($G270:BJ270)-$E269*IF(длительность!$B$13&gt;70,0.3,0.622222222222222))&lt;BJ270,SUM($G270:BJ270)-$E269*IF(длительность!$B$13&gt;70,0.3,0.622222222222222),BJ270))</f>
        <v>31</v>
      </c>
      <c r="BK305" s="402">
        <f ca="1">IF((SUM($G270:BK270)-$E269*IF(длительность!$B$13&gt;70,0.3,0.622222222222222))&lt;0,0,IF((SUM($G270:BK270)-$E269*IF(длительность!$B$13&gt;70,0.3,0.622222222222222))&lt;BK270,SUM($G270:BK270)-$E269*IF(длительность!$B$13&gt;70,0.3,0.622222222222222),BK270))</f>
        <v>30</v>
      </c>
      <c r="BL305" s="402">
        <f ca="1">IF((SUM($G270:BL270)-$E269*IF(длительность!$B$13&gt;70,0.3,0.622222222222222))&lt;0,0,IF((SUM($G270:BL270)-$E269*IF(длительность!$B$13&gt;70,0.3,0.622222222222222))&lt;BL270,SUM($G270:BL270)-$E269*IF(длительность!$B$13&gt;70,0.3,0.622222222222222),BL270))</f>
        <v>31</v>
      </c>
      <c r="BM305" s="402">
        <f ca="1">IF((SUM($G270:BM270)-$E269*IF(длительность!$B$13&gt;70,0.3,0.622222222222222))&lt;0,0,IF((SUM($G270:BM270)-$E269*IF(длительность!$B$13&gt;70,0.3,0.622222222222222))&lt;BM270,SUM($G270:BM270)-$E269*IF(длительность!$B$13&gt;70,0.3,0.622222222222222),BM270))</f>
        <v>31</v>
      </c>
      <c r="BN305" s="402">
        <f ca="1">IF((SUM($G270:BN270)-$E269*IF(длительность!$B$13&gt;70,0.3,0.622222222222222))&lt;0,0,IF((SUM($G270:BN270)-$E269*IF(длительность!$B$13&gt;70,0.3,0.622222222222222))&lt;BN270,SUM($G270:BN270)-$E269*IF(длительность!$B$13&gt;70,0.3,0.622222222222222),BN270))</f>
        <v>29</v>
      </c>
      <c r="BO305" s="402">
        <f ca="1">IF((SUM($G270:BO270)-$E269*IF(длительность!$B$13&gt;70,0.3,0.622222222222222))&lt;0,0,IF((SUM($G270:BO270)-$E269*IF(длительность!$B$13&gt;70,0.3,0.622222222222222))&lt;BO270,SUM($G270:BO270)-$E269*IF(длительность!$B$13&gt;70,0.3,0.622222222222222),BO270))</f>
        <v>31</v>
      </c>
      <c r="BP305" s="402">
        <f ca="1">IF((SUM($G270:BP270)-$E269*IF(длительность!$B$13&gt;70,0.3,0.622222222222222))&lt;0,0,IF((SUM($G270:BP270)-$E269*IF(длительность!$B$13&gt;70,0.3,0.622222222222222))&lt;BP270,SUM($G270:BP270)-$E269*IF(длительность!$B$13&gt;70,0.3,0.622222222222222),BP270))</f>
        <v>30</v>
      </c>
      <c r="BQ305" s="402">
        <f ca="1">IF((SUM($G270:BQ270)-$E269*IF(длительность!$B$13&gt;70,0.3,0.622222222222222))&lt;0,0,IF((SUM($G270:BQ270)-$E269*IF(длительность!$B$13&gt;70,0.3,0.622222222222222))&lt;BQ270,SUM($G270:BQ270)-$E269*IF(длительность!$B$13&gt;70,0.3,0.622222222222222),BQ270))</f>
        <v>31</v>
      </c>
      <c r="BR305" s="402">
        <f ca="1">IF((SUM($G270:BR270)-$E269*IF(длительность!$B$13&gt;70,0.3,0.622222222222222))&lt;0,0,IF((SUM($G270:BR270)-$E269*IF(длительность!$B$13&gt;70,0.3,0.622222222222222))&lt;BR270,SUM($G270:BR270)-$E269*IF(длительность!$B$13&gt;70,0.3,0.622222222222222),BR270))</f>
        <v>30</v>
      </c>
      <c r="BS305" s="402">
        <f ca="1">IF((SUM($G270:BS270)-$E269*IF(длительность!$B$13&gt;70,0.3,0.622222222222222))&lt;0,0,IF((SUM($G270:BS270)-$E269*IF(длительность!$B$13&gt;70,0.3,0.622222222222222))&lt;BS270,SUM($G270:BS270)-$E269*IF(длительность!$B$13&gt;70,0.3,0.622222222222222),BS270))</f>
        <v>31</v>
      </c>
      <c r="BT305" s="402">
        <f ca="1">IF((SUM($G270:BT270)-$E269*IF(длительность!$B$13&gt;70,0.3,0.622222222222222))&lt;0,0,IF((SUM($G270:BT270)-$E269*IF(длительность!$B$13&gt;70,0.3,0.622222222222222))&lt;BT270,SUM($G270:BT270)-$E269*IF(длительность!$B$13&gt;70,0.3,0.622222222222222),BT270))</f>
        <v>31</v>
      </c>
      <c r="BU305" s="402">
        <f ca="1">IF((SUM($G270:BU270)-$E269*IF(длительность!$B$13&gt;70,0.3,0.622222222222222))&lt;0,0,IF((SUM($G270:BU270)-$E269*IF(длительность!$B$13&gt;70,0.3,0.622222222222222))&lt;BU270,SUM($G270:BU270)-$E269*IF(длительность!$B$13&gt;70,0.3,0.622222222222222),BU270))</f>
        <v>30</v>
      </c>
      <c r="BV305" s="402">
        <f ca="1">IF((SUM($G270:BV270)-$E269*IF(длительность!$B$13&gt;70,0.3,0.622222222222222))&lt;0,0,IF((SUM($G270:BV270)-$E269*IF(длительность!$B$13&gt;70,0.3,0.622222222222222))&lt;BV270,SUM($G270:BV270)-$E269*IF(длительность!$B$13&gt;70,0.3,0.622222222222222),BV270))</f>
        <v>31</v>
      </c>
      <c r="BW305" s="402">
        <f ca="1">IF((SUM($G270:BW270)-$E269*IF(длительность!$B$13&gt;70,0.3,0.622222222222222))&lt;0,0,IF((SUM($G270:BW270)-$E269*IF(длительность!$B$13&gt;70,0.3,0.622222222222222))&lt;BW270,SUM($G270:BW270)-$E269*IF(длительность!$B$13&gt;70,0.3,0.622222222222222),BW270))</f>
        <v>30</v>
      </c>
      <c r="BX305" s="402">
        <f ca="1">IF((SUM($G270:BX270)-$E269*IF(длительность!$B$13&gt;70,0.3,0.622222222222222))&lt;0,0,IF((SUM($G270:BX270)-$E269*IF(длительность!$B$13&gt;70,0.3,0.622222222222222))&lt;BX270,SUM($G270:BX270)-$E269*IF(длительность!$B$13&gt;70,0.3,0.622222222222222),BX270))</f>
        <v>31</v>
      </c>
      <c r="BY305" s="402">
        <f ca="1">IF((SUM($G270:BY270)-$E269*IF(длительность!$B$13&gt;70,0.3,0.622222222222222))&lt;0,0,IF((SUM($G270:BY270)-$E269*IF(длительность!$B$13&gt;70,0.3,0.622222222222222))&lt;BY270,SUM($G270:BY270)-$E269*IF(длительность!$B$13&gt;70,0.3,0.622222222222222),BY270))</f>
        <v>31</v>
      </c>
      <c r="BZ305" s="402">
        <f ca="1">IF((SUM($G270:BZ270)-$E269*IF(длительность!$B$13&gt;70,0.3,0.622222222222222))&lt;0,0,IF((SUM($G270:BZ270)-$E269*IF(длительность!$B$13&gt;70,0.3,0.622222222222222))&lt;BZ270,SUM($G270:BZ270)-$E269*IF(длительность!$B$13&gt;70,0.3,0.622222222222222),BZ270))</f>
        <v>28</v>
      </c>
      <c r="CA305" s="402">
        <f ca="1">IF((SUM($G270:CA270)-$E269*IF(длительность!$B$13&gt;70,0.3,0.622222222222222))&lt;0,0,IF((SUM($G270:CA270)-$E269*IF(длительность!$B$13&gt;70,0.3,0.622222222222222))&lt;CA270,SUM($G270:CA270)-$E269*IF(длительность!$B$13&gt;70,0.3,0.622222222222222),CA270))</f>
        <v>31</v>
      </c>
      <c r="CB305" s="402">
        <f ca="1">IF((SUM($G270:CB270)-$E269*IF(длительность!$B$13&gt;70,0.3,0.622222222222222))&lt;0,0,IF((SUM($G270:CB270)-$E269*IF(длительность!$B$13&gt;70,0.3,0.622222222222222))&lt;CB270,SUM($G270:CB270)-$E269*IF(длительность!$B$13&gt;70,0.3,0.622222222222222),CB270))</f>
        <v>30</v>
      </c>
      <c r="CC305" s="402">
        <f ca="1">IF((SUM($G270:CC270)-$E269*IF(длительность!$B$13&gt;70,0.3,0.622222222222222))&lt;0,0,IF((SUM($G270:CC270)-$E269*IF(длительность!$B$13&gt;70,0.3,0.622222222222222))&lt;CC270,SUM($G270:CC270)-$E269*IF(длительность!$B$13&gt;70,0.3,0.622222222222222),CC270))</f>
        <v>31</v>
      </c>
      <c r="CD305" s="402">
        <f ca="1">IF((SUM($G270:CD270)-$E269*IF(длительность!$B$13&gt;70,0.3,0.622222222222222))&lt;0,0,IF((SUM($G270:CD270)-$E269*IF(длительность!$B$13&gt;70,0.3,0.622222222222222))&lt;CD270,SUM($G270:CD270)-$E269*IF(длительность!$B$13&gt;70,0.3,0.622222222222222),CD270))</f>
        <v>30</v>
      </c>
      <c r="CE305" s="402">
        <f ca="1">IF((SUM($G270:CE270)-$E269*IF(длительность!$B$13&gt;70,0.3,0.622222222222222))&lt;0,0,IF((SUM($G270:CE270)-$E269*IF(длительность!$B$13&gt;70,0.3,0.622222222222222))&lt;CE270,SUM($G270:CE270)-$E269*IF(длительность!$B$13&gt;70,0.3,0.622222222222222),CE270))</f>
        <v>31</v>
      </c>
      <c r="CF305" s="402">
        <f ca="1">IF((SUM($G270:CF270)-$E269*IF(длительность!$B$13&gt;70,0.3,0.622222222222222))&lt;0,0,IF((SUM($G270:CF270)-$E269*IF(длительность!$B$13&gt;70,0.3,0.622222222222222))&lt;CF270,SUM($G270:CF270)-$E269*IF(длительность!$B$13&gt;70,0.3,0.622222222222222),CF270))</f>
        <v>31</v>
      </c>
      <c r="CG305" s="402">
        <f ca="1">IF((SUM($G270:CG270)-$E269*IF(длительность!$B$13&gt;70,0.3,0.622222222222222))&lt;0,0,IF((SUM($G270:CG270)-$E269*IF(длительность!$B$13&gt;70,0.3,0.622222222222222))&lt;CG270,SUM($G270:CG270)-$E269*IF(длительность!$B$13&gt;70,0.3,0.622222222222222),CG270))</f>
        <v>30</v>
      </c>
      <c r="CH305" s="402">
        <f ca="1">IF((SUM($G270:CH270)-$E269*IF(длительность!$B$13&gt;70,0.3,0.622222222222222))&lt;0,0,IF((SUM($G270:CH270)-$E269*IF(длительность!$B$13&gt;70,0.3,0.622222222222222))&lt;CH270,SUM($G270:CH270)-$E269*IF(длительность!$B$13&gt;70,0.3,0.622222222222222),CH270))</f>
        <v>31</v>
      </c>
      <c r="CI305" s="402">
        <f ca="1">IF((SUM($G270:CI270)-$E269*IF(длительность!$B$13&gt;70,0.3,0.622222222222222))&lt;0,0,IF((SUM($G270:CI270)-$E269*IF(длительность!$B$13&gt;70,0.3,0.622222222222222))&lt;CI270,SUM($G270:CI270)-$E269*IF(длительность!$B$13&gt;70,0.3,0.622222222222222),CI270))</f>
        <v>30</v>
      </c>
      <c r="CJ305" s="402">
        <f ca="1">IF((SUM($G270:CJ270)-$E269*IF(длительность!$B$13&gt;70,0.3,0.622222222222222))&lt;0,0,IF((SUM($G270:CJ270)-$E269*IF(длительность!$B$13&gt;70,0.3,0.622222222222222))&lt;CJ270,SUM($G270:CJ270)-$E269*IF(длительность!$B$13&gt;70,0.3,0.622222222222222),CJ270))</f>
        <v>31</v>
      </c>
      <c r="CK305" s="402">
        <f ca="1">IF((SUM($G270:CK270)-$E269*IF(длительность!$B$13&gt;70,0.3,0.622222222222222))&lt;0,0,IF((SUM($G270:CK270)-$E269*IF(длительность!$B$13&gt;70,0.3,0.622222222222222))&lt;CK270,SUM($G270:CK270)-$E269*IF(длительность!$B$13&gt;70,0.3,0.622222222222222),CK270))</f>
        <v>31</v>
      </c>
      <c r="CL305" s="402">
        <f ca="1">IF((SUM($G270:CL270)-$E269*IF(длительность!$B$13&gt;70,0.3,0.622222222222222))&lt;0,0,IF((SUM($G270:CL270)-$E269*IF(длительность!$B$13&gt;70,0.3,0.622222222222222))&lt;CL270,SUM($G270:CL270)-$E269*IF(длительность!$B$13&gt;70,0.3,0.622222222222222),CL270))</f>
        <v>28</v>
      </c>
      <c r="CM305" s="402">
        <f ca="1">IF((SUM($G270:CM270)-$E269*IF(длительность!$B$13&gt;70,0.3,0.622222222222222))&lt;0,0,IF((SUM($G270:CM270)-$E269*IF(длительность!$B$13&gt;70,0.3,0.622222222222222))&lt;CM270,SUM($G270:CM270)-$E269*IF(длительность!$B$13&gt;70,0.3,0.622222222222222),CM270))</f>
        <v>31</v>
      </c>
      <c r="CN305" s="402">
        <f ca="1">IF((SUM($G270:CN270)-$E269*IF(длительность!$B$13&gt;70,0.3,0.622222222222222))&lt;0,0,IF((SUM($G270:CN270)-$E269*IF(длительность!$B$13&gt;70,0.3,0.622222222222222))&lt;CN270,SUM($G270:CN270)-$E269*IF(длительность!$B$13&gt;70,0.3,0.622222222222222),CN270))</f>
        <v>30</v>
      </c>
      <c r="CO305" s="402">
        <f ca="1">IF((SUM($G270:CO270)-$E269*IF(длительность!$B$13&gt;70,0.3,0.622222222222222))&lt;0,0,IF((SUM($G270:CO270)-$E269*IF(длительность!$B$13&gt;70,0.3,0.622222222222222))&lt;CO270,SUM($G270:CO270)-$E269*IF(длительность!$B$13&gt;70,0.3,0.622222222222222),CO270))</f>
        <v>31</v>
      </c>
      <c r="CP305" s="402">
        <f ca="1">IF((SUM($G270:CP270)-$E269*IF(длительность!$B$13&gt;70,0.3,0.622222222222222))&lt;0,0,IF((SUM($G270:CP270)-$E269*IF(длительность!$B$13&gt;70,0.3,0.622222222222222))&lt;CP270,SUM($G270:CP270)-$E269*IF(длительность!$B$13&gt;70,0.3,0.622222222222222),CP270))</f>
        <v>30</v>
      </c>
      <c r="CQ305" s="402">
        <f ca="1">IF((SUM($G270:CQ270)-$E269*IF(длительность!$B$13&gt;70,0.3,0.622222222222222))&lt;0,0,IF((SUM($G270:CQ270)-$E269*IF(длительность!$B$13&gt;70,0.3,0.622222222222222))&lt;CQ270,SUM($G270:CQ270)-$E269*IF(длительность!$B$13&gt;70,0.3,0.622222222222222),CQ270))</f>
        <v>31</v>
      </c>
      <c r="CR305" s="402">
        <f ca="1">IF((SUM($G270:CR270)-$E269*IF(длительность!$B$13&gt;70,0.3,0.622222222222222))&lt;0,0,IF((SUM($G270:CR270)-$E269*IF(длительность!$B$13&gt;70,0.3,0.622222222222222))&lt;CR270,SUM($G270:CR270)-$E269*IF(длительность!$B$13&gt;70,0.3,0.622222222222222),CR270))</f>
        <v>31</v>
      </c>
      <c r="CS305" s="402">
        <f ca="1">IF((SUM($G270:CS270)-$E269*IF(длительность!$B$13&gt;70,0.3,0.622222222222222))&lt;0,0,IF((SUM($G270:CS270)-$E269*IF(длительность!$B$13&gt;70,0.3,0.622222222222222))&lt;CS270,SUM($G270:CS270)-$E269*IF(длительность!$B$13&gt;70,0.3,0.622222222222222),CS270))</f>
        <v>30</v>
      </c>
      <c r="CT305" s="402">
        <f ca="1">IF((SUM($G270:CT270)-$E269*IF(длительность!$B$13&gt;70,0.3,0.622222222222222))&lt;0,0,IF((SUM($G270:CT270)-$E269*IF(длительность!$B$13&gt;70,0.3,0.622222222222222))&lt;CT270,SUM($G270:CT270)-$E269*IF(длительность!$B$13&gt;70,0.3,0.622222222222222),CT270))</f>
        <v>31</v>
      </c>
      <c r="CU305" s="402">
        <f ca="1">IF((SUM($G270:CU270)-$E269*IF(длительность!$B$13&gt;70,0.3,0.622222222222222))&lt;0,0,IF((SUM($G270:CU270)-$E269*IF(длительность!$B$13&gt;70,0.3,0.622222222222222))&lt;CU270,SUM($G270:CU270)-$E269*IF(длительность!$B$13&gt;70,0.3,0.622222222222222),CU270))</f>
        <v>30</v>
      </c>
      <c r="CV305" s="402">
        <f ca="1">IF((SUM($G270:CV270)-$E269*IF(длительность!$B$13&gt;70,0.3,0.622222222222222))&lt;0,0,IF((SUM($G270:CV270)-$E269*IF(длительность!$B$13&gt;70,0.3,0.622222222222222))&lt;CV270,SUM($G270:CV270)-$E269*IF(длительность!$B$13&gt;70,0.3,0.622222222222222),CV270))</f>
        <v>31</v>
      </c>
      <c r="CW305" s="402">
        <f ca="1">IF((SUM($G270:CW270)-$E269*IF(длительность!$B$13&gt;70,0.3,0.622222222222222))&lt;0,0,IF((SUM($G270:CW270)-$E269*IF(длительность!$B$13&gt;70,0.3,0.622222222222222))&lt;CW270,SUM($G270:CW270)-$E269*IF(длительность!$B$13&gt;70,0.3,0.622222222222222),CW270))</f>
        <v>31</v>
      </c>
      <c r="CX305" s="402">
        <f ca="1">IF((SUM($G270:CX270)-$E269*IF(длительность!$B$13&gt;70,0.3,0.622222222222222))&lt;0,0,IF((SUM($G270:CX270)-$E269*IF(длительность!$B$13&gt;70,0.3,0.622222222222222))&lt;CX270,SUM($G270:CX270)-$E269*IF(длительность!$B$13&gt;70,0.3,0.622222222222222),CX270))</f>
        <v>28</v>
      </c>
      <c r="CY305" s="402">
        <f ca="1">IF((SUM($G270:CY270)-$E269*IF(длительность!$B$13&gt;70,0.3,0.622222222222222))&lt;0,0,IF((SUM($G270:CY270)-$E269*IF(длительность!$B$13&gt;70,0.3,0.622222222222222))&lt;CY270,SUM($G270:CY270)-$E269*IF(длительность!$B$13&gt;70,0.3,0.622222222222222),CY270))</f>
        <v>31</v>
      </c>
      <c r="CZ305" s="402">
        <f ca="1">IF((SUM($G270:CZ270)-$E269*IF(длительность!$B$13&gt;70,0.3,0.622222222222222))&lt;0,0,IF((SUM($G270:CZ270)-$E269*IF(длительность!$B$13&gt;70,0.3,0.622222222222222))&lt;CZ270,SUM($G270:CZ270)-$E269*IF(длительность!$B$13&gt;70,0.3,0.622222222222222),CZ270))</f>
        <v>30</v>
      </c>
      <c r="DA305" s="402">
        <f ca="1">IF((SUM($G270:DA270)-$E269*IF(длительность!$B$13&gt;70,0.3,0.622222222222222))&lt;0,0,IF((SUM($G270:DA270)-$E269*IF(длительность!$B$13&gt;70,0.3,0.622222222222222))&lt;DA270,SUM($G270:DA270)-$E269*IF(длительность!$B$13&gt;70,0.3,0.622222222222222),DA270))</f>
        <v>31</v>
      </c>
      <c r="DB305" s="402">
        <f ca="1">IF((SUM($G270:DB270)-$E269*IF(длительность!$B$13&gt;70,0.3,0.622222222222222))&lt;0,0,IF((SUM($G270:DB270)-$E269*IF(длительность!$B$13&gt;70,0.3,0.622222222222222))&lt;DB270,SUM($G270:DB270)-$E269*IF(длительность!$B$13&gt;70,0.3,0.622222222222222),DB270))</f>
        <v>30</v>
      </c>
      <c r="DC305" s="402">
        <f ca="1">IF((SUM($G270:DC270)-$E269*IF(длительность!$B$13&gt;70,0.3,0.622222222222222))&lt;0,0,IF((SUM($G270:DC270)-$E269*IF(длительность!$B$13&gt;70,0.3,0.622222222222222))&lt;DC270,SUM($G270:DC270)-$E269*IF(длительность!$B$13&gt;70,0.3,0.622222222222222),DC270))</f>
        <v>31</v>
      </c>
      <c r="DD305" s="402">
        <f ca="1">IF((SUM($G270:DD270)-$E269*IF(длительность!$B$13&gt;70,0.3,0.622222222222222))&lt;0,0,IF((SUM($G270:DD270)-$E269*IF(длительность!$B$13&gt;70,0.3,0.622222222222222))&lt;DD270,SUM($G270:DD270)-$E269*IF(длительность!$B$13&gt;70,0.3,0.622222222222222),DD270))</f>
        <v>31</v>
      </c>
      <c r="DE305" s="402">
        <f ca="1">IF((SUM($G270:DE270)-$E269*IF(длительность!$B$13&gt;70,0.3,0.622222222222222))&lt;0,0,IF((SUM($G270:DE270)-$E269*IF(длительность!$B$13&gt;70,0.3,0.622222222222222))&lt;DE270,SUM($G270:DE270)-$E269*IF(длительность!$B$13&gt;70,0.3,0.622222222222222),DE270))</f>
        <v>30</v>
      </c>
      <c r="DF305" s="402">
        <f ca="1">IF((SUM($G270:DF270)-$E269*IF(длительность!$B$13&gt;70,0.3,0.622222222222222))&lt;0,0,IF((SUM($G270:DF270)-$E269*IF(длительность!$B$13&gt;70,0.3,0.622222222222222))&lt;DF270,SUM($G270:DF270)-$E269*IF(длительность!$B$13&gt;70,0.3,0.622222222222222),DF270))</f>
        <v>31</v>
      </c>
      <c r="DG305" s="402">
        <f ca="1">IF((SUM($G270:DG270)-$E269*IF(длительность!$B$13&gt;70,0.3,0.622222222222222))&lt;0,0,IF((SUM($G270:DG270)-$E269*IF(длительность!$B$13&gt;70,0.3,0.622222222222222))&lt;DG270,SUM($G270:DG270)-$E269*IF(длительность!$B$13&gt;70,0.3,0.622222222222222),DG270))</f>
        <v>30</v>
      </c>
      <c r="DH305" s="402">
        <f ca="1">IF((SUM($G270:DH270)-$E269*IF(длительность!$B$13&gt;70,0.3,0.622222222222222))&lt;0,0,IF((SUM($G270:DH270)-$E269*IF(длительность!$B$13&gt;70,0.3,0.622222222222222))&lt;DH270,SUM($G270:DH270)-$E269*IF(длительность!$B$13&gt;70,0.3,0.622222222222222),DH270))</f>
        <v>31</v>
      </c>
      <c r="DI305" s="402">
        <f ca="1">IF((SUM($G270:DI270)-$E269*IF(длительность!$B$13&gt;70,0.3,0.622222222222222))&lt;0,0,IF((SUM($G270:DI270)-$E269*IF(длительность!$B$13&gt;70,0.3,0.622222222222222))&lt;DI270,SUM($G270:DI270)-$E269*IF(длительность!$B$13&gt;70,0.3,0.622222222222222),DI270))</f>
        <v>31</v>
      </c>
      <c r="DJ305" s="402">
        <f ca="1">IF((SUM($G270:DJ270)-$E269*IF(длительность!$B$13&gt;70,0.3,0.622222222222222))&lt;0,0,IF((SUM($G270:DJ270)-$E269*IF(длительность!$B$13&gt;70,0.3,0.622222222222222))&lt;DJ270,SUM($G270:DJ270)-$E269*IF(длительность!$B$13&gt;70,0.3,0.622222222222222),DJ270))</f>
        <v>29</v>
      </c>
      <c r="DK305" s="402">
        <f ca="1">IF((SUM($G270:DK270)-$E269*IF(длительность!$B$13&gt;70,0.3,0.622222222222222))&lt;0,0,IF((SUM($G270:DK270)-$E269*IF(длительность!$B$13&gt;70,0.3,0.622222222222222))&lt;DK270,SUM($G270:DK270)-$E269*IF(длительность!$B$13&gt;70,0.3,0.622222222222222),DK270))</f>
        <v>31</v>
      </c>
      <c r="DL305" s="402">
        <f ca="1">IF((SUM($G270:DL270)-$E269*IF(длительность!$B$13&gt;70,0.3,0.622222222222222))&lt;0,0,IF((SUM($G270:DL270)-$E269*IF(длительность!$B$13&gt;70,0.3,0.622222222222222))&lt;DL270,SUM($G270:DL270)-$E269*IF(длительность!$B$13&gt;70,0.3,0.622222222222222),DL270))</f>
        <v>30</v>
      </c>
      <c r="DM305" s="402">
        <f ca="1">IF((SUM($G270:DM270)-$E269*IF(длительность!$B$13&gt;70,0.3,0.622222222222222))&lt;0,0,IF((SUM($G270:DM270)-$E269*IF(длительность!$B$13&gt;70,0.3,0.622222222222222))&lt;DM270,SUM($G270:DM270)-$E269*IF(длительность!$B$13&gt;70,0.3,0.622222222222222),DM270))</f>
        <v>31</v>
      </c>
      <c r="DN305" s="402">
        <f ca="1">IF((SUM($G270:DN270)-$E269*IF(длительность!$B$13&gt;70,0.3,0.622222222222222))&lt;0,0,IF((SUM($G270:DN270)-$E269*IF(длительность!$B$13&gt;70,0.3,0.622222222222222))&lt;DN270,SUM($G270:DN270)-$E269*IF(длительность!$B$13&gt;70,0.3,0.622222222222222),DN270))</f>
        <v>30</v>
      </c>
      <c r="DO305" s="402">
        <f ca="1">IF((SUM($G270:DO270)-$E269*IF(длительность!$B$13&gt;70,0.3,0.622222222222222))&lt;0,0,IF((SUM($G270:DO270)-$E269*IF(длительность!$B$13&gt;70,0.3,0.622222222222222))&lt;DO270,SUM($G270:DO270)-$E269*IF(длительность!$B$13&gt;70,0.3,0.622222222222222),DO270))</f>
        <v>31</v>
      </c>
      <c r="DP305" s="402">
        <f ca="1">IF((SUM($G270:DP270)-$E269*IF(длительность!$B$13&gt;70,0.3,0.622222222222222))&lt;0,0,IF((SUM($G270:DP270)-$E269*IF(длительность!$B$13&gt;70,0.3,0.622222222222222))&lt;DP270,SUM($G270:DP270)-$E269*IF(длительность!$B$13&gt;70,0.3,0.622222222222222),DP270))</f>
        <v>31</v>
      </c>
      <c r="DQ305" s="402">
        <f ca="1">IF((SUM($G270:DQ270)-$E269*IF(длительность!$B$13&gt;70,0.3,0.622222222222222))&lt;0,0,IF((SUM($G270:DQ270)-$E269*IF(длительность!$B$13&gt;70,0.3,0.622222222222222))&lt;DQ270,SUM($G270:DQ270)-$E269*IF(длительность!$B$13&gt;70,0.3,0.622222222222222),DQ270))</f>
        <v>30</v>
      </c>
      <c r="DR305" s="402">
        <f ca="1">IF((SUM($G270:DR270)-$E269*IF(длительность!$B$13&gt;70,0.3,0.622222222222222))&lt;0,0,IF((SUM($G270:DR270)-$E269*IF(длительность!$B$13&gt;70,0.3,0.622222222222222))&lt;DR270,SUM($G270:DR270)-$E269*IF(длительность!$B$13&gt;70,0.3,0.622222222222222),DR270))</f>
        <v>31</v>
      </c>
      <c r="DS305" s="402">
        <f ca="1">IF((SUM($G270:DS270)-$E269*IF(длительность!$B$13&gt;70,0.3,0.622222222222222))&lt;0,0,IF((SUM($G270:DS270)-$E269*IF(длительность!$B$13&gt;70,0.3,0.622222222222222))&lt;DS270,SUM($G270:DS270)-$E269*IF(длительность!$B$13&gt;70,0.3,0.622222222222222),DS270))</f>
        <v>30</v>
      </c>
      <c r="DT305" s="402">
        <f ca="1">IF((SUM($G270:DT270)-$E269*IF(длительность!$B$13&gt;70,0.3,0.622222222222222))&lt;0,0,IF((SUM($G270:DT270)-$E269*IF(длительность!$B$13&gt;70,0.3,0.622222222222222))&lt;DT270,SUM($G270:DT270)-$E269*IF(длительность!$B$13&gt;70,0.3,0.622222222222222),DT270))</f>
        <v>31</v>
      </c>
      <c r="DU305" s="402">
        <f ca="1">IF((SUM($G270:DU270)-$E269*IF(длительность!$B$13&gt;70,0.3,0.622222222222222))&lt;0,0,IF((SUM($G270:DU270)-$E269*IF(длительность!$B$13&gt;70,0.3,0.622222222222222))&lt;DU270,SUM($G270:DU270)-$E269*IF(длительность!$B$13&gt;70,0.3,0.622222222222222),DU270))</f>
        <v>31</v>
      </c>
      <c r="DV305" s="402">
        <f ca="1">IF((SUM($G270:DV270)-$E269*IF(длительность!$B$13&gt;70,0.3,0.622222222222222))&lt;0,0,IF((SUM($G270:DV270)-$E269*IF(длительность!$B$13&gt;70,0.3,0.622222222222222))&lt;DV270,SUM($G270:DV270)-$E269*IF(длительность!$B$13&gt;70,0.3,0.622222222222222),DV270))</f>
        <v>28</v>
      </c>
      <c r="DW305" s="402">
        <f ca="1">IF((SUM($G270:DW270)-$E269*IF(длительность!$B$13&gt;70,0.3,0.622222222222222))&lt;0,0,IF((SUM($G270:DW270)-$E269*IF(длительность!$B$13&gt;70,0.3,0.622222222222222))&lt;DW270,SUM($G270:DW270)-$E269*IF(длительность!$B$13&gt;70,0.3,0.622222222222222),DW270))</f>
        <v>31</v>
      </c>
      <c r="DX305" s="402">
        <f ca="1">IF((SUM($G270:DX270)-$E269*IF(длительность!$B$13&gt;70,0.3,0.622222222222222))&lt;0,0,IF((SUM($G270:DX270)-$E269*IF(длительность!$B$13&gt;70,0.3,0.622222222222222))&lt;DX270,SUM($G270:DX270)-$E269*IF(длительность!$B$13&gt;70,0.3,0.622222222222222),DX270))</f>
        <v>30</v>
      </c>
      <c r="DY305" s="402">
        <f ca="1">IF((SUM($G270:DY270)-$E269*IF(длительность!$B$13&gt;70,0.3,0.622222222222222))&lt;0,0,IF((SUM($G270:DY270)-$E269*IF(длительность!$B$13&gt;70,0.3,0.622222222222222))&lt;DY270,SUM($G270:DY270)-$E269*IF(длительность!$B$13&gt;70,0.3,0.622222222222222),DY270))</f>
        <v>31</v>
      </c>
      <c r="DZ305" s="402">
        <f ca="1">IF((SUM($G270:DZ270)-$E269*IF(длительность!$B$13&gt;70,0.3,0.622222222222222))&lt;0,0,IF((SUM($G270:DZ270)-$E269*IF(длительность!$B$13&gt;70,0.3,0.622222222222222))&lt;DZ270,SUM($G270:DZ270)-$E269*IF(длительность!$B$13&gt;70,0.3,0.622222222222222),DZ270))</f>
        <v>30</v>
      </c>
      <c r="EA305" s="402">
        <f ca="1">IF((SUM($G270:EA270)-$E269*IF(длительность!$B$13&gt;70,0.3,0.622222222222222))&lt;0,0,IF((SUM($G270:EA270)-$E269*IF(длительность!$B$13&gt;70,0.3,0.622222222222222))&lt;EA270,SUM($G270:EA270)-$E269*IF(длительность!$B$13&gt;70,0.3,0.622222222222222),EA270))</f>
        <v>31</v>
      </c>
      <c r="EB305" s="402">
        <f ca="1">IF((SUM($G270:EB270)-$E269*IF(длительность!$B$13&gt;70,0.3,0.622222222222222))&lt;0,0,IF((SUM($G270:EB270)-$E269*IF(длительность!$B$13&gt;70,0.3,0.622222222222222))&lt;EB270,SUM($G270:EB270)-$E269*IF(длительность!$B$13&gt;70,0.3,0.622222222222222),EB270))</f>
        <v>31</v>
      </c>
      <c r="EC305" s="402">
        <f ca="1">IF((SUM($G270:EC270)-$E269*IF(длительность!$B$13&gt;70,0.3,0.622222222222222))&lt;0,0,IF((SUM($G270:EC270)-$E269*IF(длительность!$B$13&gt;70,0.3,0.622222222222222))&lt;EC270,SUM($G270:EC270)-$E269*IF(длительность!$B$13&gt;70,0.3,0.622222222222222),EC270))</f>
        <v>30</v>
      </c>
      <c r="ED305" s="402">
        <f ca="1">IF((SUM($G270:ED270)-$E269*IF(длительность!$B$13&gt;70,0.3,0.622222222222222))&lt;0,0,IF((SUM($G270:ED270)-$E269*IF(длительность!$B$13&gt;70,0.3,0.622222222222222))&lt;ED270,SUM($G270:ED270)-$E269*IF(длительность!$B$13&gt;70,0.3,0.622222222222222),ED270))</f>
        <v>31</v>
      </c>
      <c r="EE305" s="402">
        <f ca="1">IF((SUM($G270:EE270)-$E269*IF(длительность!$B$13&gt;70,0.3,0.622222222222222))&lt;0,0,IF((SUM($G270:EE270)-$E269*IF(длительность!$B$13&gt;70,0.3,0.622222222222222))&lt;EE270,SUM($G270:EE270)-$E269*IF(длительность!$B$13&gt;70,0.3,0.622222222222222),EE270))</f>
        <v>30</v>
      </c>
      <c r="EF305" s="402">
        <f ca="1">IF((SUM($G270:EF270)-$E269*IF(длительность!$B$13&gt;70,0.3,0.622222222222222))&lt;0,0,IF((SUM($G270:EF270)-$E269*IF(длительность!$B$13&gt;70,0.3,0.622222222222222))&lt;EF270,SUM($G270:EF270)-$E269*IF(длительность!$B$13&gt;70,0.3,0.622222222222222),EF270))</f>
        <v>31</v>
      </c>
      <c r="EG305" s="402">
        <f ca="1">IF((SUM($G270:EG270)-$E269*IF(длительность!$B$13&gt;70,0.3,0.622222222222222))&lt;0,0,IF((SUM($G270:EG270)-$E269*IF(длительность!$B$13&gt;70,0.3,0.622222222222222))&lt;EG270,SUM($G270:EG270)-$E269*IF(длительность!$B$13&gt;70,0.3,0.622222222222222),EG270))</f>
        <v>31</v>
      </c>
      <c r="EH305" s="402">
        <f ca="1">IF((SUM($G270:EH270)-$E269*IF(длительность!$B$13&gt;70,0.3,0.622222222222222))&lt;0,0,IF((SUM($G270:EH270)-$E269*IF(длительность!$B$13&gt;70,0.3,0.622222222222222))&lt;EH270,SUM($G270:EH270)-$E269*IF(длительность!$B$13&gt;70,0.3,0.622222222222222),EH270))</f>
        <v>28</v>
      </c>
      <c r="EI305" s="402">
        <f ca="1">IF((SUM($G270:EI270)-$E269*IF(длительность!$B$13&gt;70,0.3,0.622222222222222))&lt;0,0,IF((SUM($G270:EI270)-$E269*IF(длительность!$B$13&gt;70,0.3,0.622222222222222))&lt;EI270,SUM($G270:EI270)-$E269*IF(длительность!$B$13&gt;70,0.3,0.622222222222222),EI270))</f>
        <v>31</v>
      </c>
    </row>
    <row r="306" spans="1:141" hidden="1" outlineLevel="2">
      <c r="A306" s="332"/>
      <c r="D306" s="305" t="s">
        <v>670</v>
      </c>
      <c r="E306" s="403">
        <f ca="1">MIN(G306:EI306)</f>
        <v>46143</v>
      </c>
      <c r="F306" s="404">
        <f ca="1">MAX(G306:EI306)</f>
        <v>46143</v>
      </c>
      <c r="G306" s="403" t="str">
        <f ca="1">IF(G304=0,"",IF(SUM($G304:G304)&gt;=1,OFFSET(G$228,-1,0),""))</f>
        <v/>
      </c>
      <c r="H306" s="403" t="str">
        <f ca="1">IF(SUM($G306:G306)&gt;=1,"",IF(H304=0,"",IF(SUM($G304:H304)&gt;=1,OFFSET(H$228,-1,0),"")))</f>
        <v/>
      </c>
      <c r="I306" s="403" t="str">
        <f ca="1">IF(SUM($G306:H306)&gt;=1,"",IF(I304=0,"",IF(SUM($G304:I304)&gt;=1,OFFSET(I$228,-1,0),"")))</f>
        <v/>
      </c>
      <c r="J306" s="403" t="str">
        <f ca="1">IF(SUM($G306:I306)&gt;=1,"",IF(J304=0,"",IF(SUM($G304:J304)&gt;=1,OFFSET(J$228,-1,0),"")))</f>
        <v/>
      </c>
      <c r="K306" s="403" t="str">
        <f ca="1">IF(SUM($G306:J306)&gt;=1,"",IF(K304=0,"",IF(SUM($G304:K304)&gt;=1,OFFSET(K$228,-1,0),"")))</f>
        <v/>
      </c>
      <c r="L306" s="403" t="str">
        <f ca="1">IF(SUM($G306:K306)&gt;=1,"",IF(L304=0,"",IF(SUM($G304:L304)&gt;=1,OFFSET(L$228,-1,0),"")))</f>
        <v/>
      </c>
      <c r="M306" s="403" t="str">
        <f ca="1">IF(SUM($G306:L306)&gt;=1,"",IF(M304=0,"",IF(SUM($G304:M304)&gt;=1,OFFSET(M$228,-1,0),"")))</f>
        <v/>
      </c>
      <c r="N306" s="403" t="str">
        <f ca="1">IF(SUM($G306:M306)&gt;=1,"",IF(N304=0,"",IF(SUM($G304:N304)&gt;=1,OFFSET(N$228,-1,0),"")))</f>
        <v/>
      </c>
      <c r="O306" s="403" t="str">
        <f ca="1">IF(SUM($G306:N306)&gt;=1,"",IF(O304=0,"",IF(SUM($G304:O304)&gt;=1,OFFSET(O$228,-1,0),"")))</f>
        <v/>
      </c>
      <c r="P306" s="403" t="str">
        <f ca="1">IF(SUM($G306:O306)&gt;=1,"",IF(P304=0,"",IF(SUM($G304:P304)&gt;=1,OFFSET(P$228,-1,0),"")))</f>
        <v/>
      </c>
      <c r="Q306" s="403" t="str">
        <f ca="1">IF(SUM($G306:P306)&gt;=1,"",IF(Q304=0,"",IF(SUM($G304:Q304)&gt;=1,OFFSET(Q$228,-1,0),"")))</f>
        <v/>
      </c>
      <c r="R306" s="403" t="str">
        <f ca="1">IF(SUM($G306:Q306)&gt;=1,"",IF(R304=0,"",IF(SUM($G304:R304)&gt;=1,OFFSET(R$228,-1,0),"")))</f>
        <v/>
      </c>
      <c r="S306" s="403" t="str">
        <f ca="1">IF(SUM($G306:R306)&gt;=1,"",IF(S304=0,"",IF(SUM($G304:S304)&gt;=1,OFFSET(S$228,-1,0),"")))</f>
        <v/>
      </c>
      <c r="T306" s="403" t="str">
        <f ca="1">IF(SUM($G306:S306)&gt;=1,"",IF(T304=0,"",IF(SUM($G304:T304)&gt;=1,OFFSET(T$228,-1,0),"")))</f>
        <v/>
      </c>
      <c r="U306" s="403" t="str">
        <f ca="1">IF(SUM($G306:T306)&gt;=1,"",IF(U304=0,"",IF(SUM($G304:U304)&gt;=1,OFFSET(U$228,-1,0),"")))</f>
        <v/>
      </c>
      <c r="V306" s="403" t="str">
        <f ca="1">IF(SUM($G306:U306)&gt;=1,"",IF(V304=0,"",IF(SUM($G304:V304)&gt;=1,OFFSET(V$228,-1,0),"")))</f>
        <v/>
      </c>
      <c r="W306" s="403" t="str">
        <f ca="1">IF(SUM($G306:V306)&gt;=1,"",IF(W304=0,"",IF(SUM($G304:W304)&gt;=1,OFFSET(W$228,-1,0),"")))</f>
        <v/>
      </c>
      <c r="X306" s="403" t="str">
        <f ca="1">IF(SUM($G306:W306)&gt;=1,"",IF(X304=0,"",IF(SUM($G304:X304)&gt;=1,OFFSET(X$228,-1,0),"")))</f>
        <v/>
      </c>
      <c r="Y306" s="403" t="str">
        <f ca="1">IF(SUM($G306:X306)&gt;=1,"",IF(Y304=0,"",IF(SUM($G304:Y304)&gt;=1,OFFSET(Y$228,-1,0),"")))</f>
        <v/>
      </c>
      <c r="Z306" s="403" t="str">
        <f ca="1">IF(SUM($G306:Y306)&gt;=1,"",IF(Z304=0,"",IF(SUM($G304:Z304)&gt;=1,OFFSET(Z$228,-1,0),"")))</f>
        <v/>
      </c>
      <c r="AA306" s="403" t="str">
        <f ca="1">IF(SUM($G306:Z306)&gt;=1,"",IF(AA304=0,"",IF(SUM($G304:AA304)&gt;=1,OFFSET(AA$228,-1,0),"")))</f>
        <v/>
      </c>
      <c r="AB306" s="403" t="str">
        <f ca="1">IF(SUM($G306:AA306)&gt;=1,"",IF(AB304=0,"",IF(SUM($G304:AB304)&gt;=1,OFFSET(AB$228,-1,0),"")))</f>
        <v/>
      </c>
      <c r="AC306" s="403" t="str">
        <f ca="1">IF(SUM($G306:AB306)&gt;=1,"",IF(AC304=0,"",IF(SUM($G304:AC304)&gt;=1,OFFSET(AC$228,-1,0),"")))</f>
        <v/>
      </c>
      <c r="AD306" s="403" t="str">
        <f ca="1">IF(SUM($G306:AC306)&gt;=1,"",IF(AD304=0,"",IF(SUM($G304:AD304)&gt;=1,OFFSET(AD$228,-1,0),"")))</f>
        <v/>
      </c>
      <c r="AE306" s="403" t="str">
        <f ca="1">IF(SUM($G306:AD306)&gt;=1,"",IF(AE304=0,"",IF(SUM($G304:AE304)&gt;=1,OFFSET(AE$228,-1,0),"")))</f>
        <v/>
      </c>
      <c r="AF306" s="403" t="str">
        <f ca="1">IF(SUM($G306:AE306)&gt;=1,"",IF(AF304=0,"",IF(SUM($G304:AF304)&gt;=1,OFFSET(AF$228,-1,0),"")))</f>
        <v/>
      </c>
      <c r="AG306" s="403" t="str">
        <f ca="1">IF(SUM($G306:AF306)&gt;=1,"",IF(AG304=0,"",IF(SUM($G304:AG304)&gt;=1,OFFSET(AG$228,-1,0),"")))</f>
        <v/>
      </c>
      <c r="AH306" s="403" t="str">
        <f ca="1">IF(SUM($G306:AG306)&gt;=1,"",IF(AH304=0,"",IF(SUM($G304:AH304)&gt;=1,OFFSET(AH$228,-1,0),"")))</f>
        <v/>
      </c>
      <c r="AI306" s="403" t="str">
        <f ca="1">IF(SUM($G306:AH306)&gt;=1,"",IF(AI304=0,"",IF(SUM($G304:AI304)&gt;=1,OFFSET(AI$228,-1,0),"")))</f>
        <v/>
      </c>
      <c r="AJ306" s="403" t="str">
        <f ca="1">IF(SUM($G306:AI306)&gt;=1,"",IF(AJ304=0,"",IF(SUM($G304:AJ304)&gt;=1,OFFSET(AJ$228,-1,0),"")))</f>
        <v/>
      </c>
      <c r="AK306" s="403" t="str">
        <f ca="1">IF(SUM($G306:AJ306)&gt;=1,"",IF(AK304=0,"",IF(SUM($G304:AK304)&gt;=1,OFFSET(AK$228,-1,0),"")))</f>
        <v/>
      </c>
      <c r="AL306" s="403" t="str">
        <f ca="1">IF(SUM($G306:AK306)&gt;=1,"",IF(AL304=0,"",IF(SUM($G304:AL304)&gt;=1,OFFSET(AL$228,-1,0),"")))</f>
        <v/>
      </c>
      <c r="AM306" s="403" t="str">
        <f ca="1">IF(SUM($G306:AL306)&gt;=1,"",IF(AM304=0,"",IF(SUM($G304:AM304)&gt;=1,OFFSET(AM$228,-1,0),"")))</f>
        <v/>
      </c>
      <c r="AN306" s="403" t="str">
        <f ca="1">IF(SUM($G306:AM306)&gt;=1,"",IF(AN304=0,"",IF(SUM($G304:AN304)&gt;=1,OFFSET(AN$228,-1,0),"")))</f>
        <v/>
      </c>
      <c r="AO306" s="403" t="str">
        <f ca="1">IF(SUM($G306:AN306)&gt;=1,"",IF(AO304=0,"",IF(SUM($G304:AO304)&gt;=1,OFFSET(AO$228,-1,0),"")))</f>
        <v/>
      </c>
      <c r="AP306" s="403" t="str">
        <f ca="1">IF(SUM($G306:AO306)&gt;=1,"",IF(AP304=0,"",IF(SUM($G304:AP304)&gt;=1,OFFSET(AP$228,-1,0),"")))</f>
        <v/>
      </c>
      <c r="AQ306" s="403" t="str">
        <f ca="1">IF(SUM($G306:AP306)&gt;=1,"",IF(AQ304=0,"",IF(SUM($G304:AQ304)&gt;=1,OFFSET(AQ$228,-1,0),"")))</f>
        <v/>
      </c>
      <c r="AR306" s="403" t="str">
        <f ca="1">IF(SUM($G306:AQ306)&gt;=1,"",IF(AR304=0,"",IF(SUM($G304:AR304)&gt;=1,OFFSET(AR$228,-1,0),"")))</f>
        <v/>
      </c>
      <c r="AS306" s="403">
        <f ca="1">IF(SUM($G306:AR306)&gt;=1,"",IF(AS304=0,"",IF(SUM($G304:AS304)&gt;=1,OFFSET(AS$228,-1,0),"")))</f>
        <v>46143</v>
      </c>
      <c r="AT306" s="403" t="str">
        <f ca="1">IF(SUM($G306:AS306)&gt;=1,"",IF(AT304=0,"",IF(SUM($G304:AT304)&gt;=1,OFFSET(AT$228,-1,0),"")))</f>
        <v/>
      </c>
      <c r="AU306" s="403" t="str">
        <f ca="1">IF(SUM($G306:AT306)&gt;=1,"",IF(AU304=0,"",IF(SUM($G304:AU304)&gt;=1,OFFSET(AU$228,-1,0),"")))</f>
        <v/>
      </c>
      <c r="AV306" s="403" t="str">
        <f ca="1">IF(SUM($G306:AU306)&gt;=1,"",IF(AV304=0,"",IF(SUM($G304:AV304)&gt;=1,OFFSET(AV$228,-1,0),"")))</f>
        <v/>
      </c>
      <c r="AW306" s="403" t="str">
        <f ca="1">IF(SUM($G306:AV306)&gt;=1,"",IF(AW304=0,"",IF(SUM($G304:AW304)&gt;=1,OFFSET(AW$228,-1,0),"")))</f>
        <v/>
      </c>
      <c r="AX306" s="403" t="str">
        <f ca="1">IF(SUM($G306:AW306)&gt;=1,"",IF(AX304=0,"",IF(SUM($G304:AX304)&gt;=1,OFFSET(AX$228,-1,0),"")))</f>
        <v/>
      </c>
      <c r="AY306" s="403" t="str">
        <f ca="1">IF(SUM($G306:AX306)&gt;=1,"",IF(AY304=0,"",IF(SUM($G304:AY304)&gt;=1,OFFSET(AY$228,-1,0),"")))</f>
        <v/>
      </c>
      <c r="AZ306" s="403" t="str">
        <f ca="1">IF(SUM($G306:AY306)&gt;=1,"",IF(AZ304=0,"",IF(SUM($G304:AZ304)&gt;=1,OFFSET(AZ$228,-1,0),"")))</f>
        <v/>
      </c>
      <c r="BA306" s="403" t="str">
        <f ca="1">IF(SUM($G306:AZ306)&gt;=1,"",IF(BA304=0,"",IF(SUM($G304:BA304)&gt;=1,OFFSET(BA$228,-1,0),"")))</f>
        <v/>
      </c>
      <c r="BB306" s="403" t="str">
        <f ca="1">IF(SUM($G306:BA306)&gt;=1,"",IF(BB304=0,"",IF(SUM($G304:BB304)&gt;=1,OFFSET(BB$228,-1,0),"")))</f>
        <v/>
      </c>
      <c r="BC306" s="403" t="str">
        <f ca="1">IF(SUM($G306:BB306)&gt;=1,"",IF(BC304=0,"",IF(SUM($G304:BC304)&gt;=1,OFFSET(BC$228,-1,0),"")))</f>
        <v/>
      </c>
      <c r="BD306" s="403" t="str">
        <f ca="1">IF(SUM($G306:BC306)&gt;=1,"",IF(BD304=0,"",IF(SUM($G304:BD304)&gt;=1,OFFSET(BD$228,-1,0),"")))</f>
        <v/>
      </c>
      <c r="BE306" s="403" t="str">
        <f ca="1">IF(SUM($G306:BD306)&gt;=1,"",IF(BE304=0,"",IF(SUM($G304:BE304)&gt;=1,OFFSET(BE$228,-1,0),"")))</f>
        <v/>
      </c>
      <c r="BF306" s="403" t="str">
        <f ca="1">IF(SUM($G306:BE306)&gt;=1,"",IF(BF304=0,"",IF(SUM($G304:BF304)&gt;=1,OFFSET(BF$228,-1,0),"")))</f>
        <v/>
      </c>
      <c r="BG306" s="403" t="str">
        <f ca="1">IF(SUM($G306:BF306)&gt;=1,"",IF(BG304=0,"",IF(SUM($G304:BG304)&gt;=1,OFFSET(BG$228,-1,0),"")))</f>
        <v/>
      </c>
      <c r="BH306" s="403" t="str">
        <f ca="1">IF(SUM($G306:BG306)&gt;=1,"",IF(BH304=0,"",IF(SUM($G304:BH304)&gt;=1,OFFSET(BH$228,-1,0),"")))</f>
        <v/>
      </c>
      <c r="BI306" s="403" t="str">
        <f ca="1">IF(SUM($G306:BH306)&gt;=1,"",IF(BI304=0,"",IF(SUM($G304:BI304)&gt;=1,OFFSET(BI$228,-1,0),"")))</f>
        <v/>
      </c>
      <c r="BJ306" s="403" t="str">
        <f ca="1">IF(SUM($G306:BI306)&gt;=1,"",IF(BJ304=0,"",IF(SUM($G304:BJ304)&gt;=1,OFFSET(BJ$228,-1,0),"")))</f>
        <v/>
      </c>
      <c r="BK306" s="403" t="str">
        <f ca="1">IF(SUM($G306:BJ306)&gt;=1,"",IF(BK304=0,"",IF(SUM($G304:BK304)&gt;=1,OFFSET(BK$228,-1,0),"")))</f>
        <v/>
      </c>
      <c r="BL306" s="403" t="str">
        <f ca="1">IF(SUM($G306:BK306)&gt;=1,"",IF(BL304=0,"",IF(SUM($G304:BL304)&gt;=1,OFFSET(BL$228,-1,0),"")))</f>
        <v/>
      </c>
      <c r="BM306" s="403" t="str">
        <f ca="1">IF(SUM($G306:BL306)&gt;=1,"",IF(BM304=0,"",IF(SUM($G304:BM304)&gt;=1,OFFSET(BM$228,-1,0),"")))</f>
        <v/>
      </c>
      <c r="BN306" s="403" t="str">
        <f ca="1">IF(SUM($G306:BM306)&gt;=1,"",IF(BN304=0,"",IF(SUM($G304:BN304)&gt;=1,OFFSET(BN$228,-1,0),"")))</f>
        <v/>
      </c>
      <c r="BO306" s="403" t="str">
        <f ca="1">IF(SUM($G306:BN306)&gt;=1,"",IF(BO304=0,"",IF(SUM($G304:BO304)&gt;=1,OFFSET(BO$228,-1,0),"")))</f>
        <v/>
      </c>
      <c r="BP306" s="403" t="str">
        <f ca="1">IF(SUM($G306:BO306)&gt;=1,"",IF(BP304=0,"",IF(SUM($G304:BP304)&gt;=1,OFFSET(BP$228,-1,0),"")))</f>
        <v/>
      </c>
      <c r="BQ306" s="403" t="str">
        <f ca="1">IF(SUM($G306:BP306)&gt;=1,"",IF(BQ304=0,"",IF(SUM($G304:BQ304)&gt;=1,OFFSET(BQ$228,-1,0),"")))</f>
        <v/>
      </c>
      <c r="BR306" s="403" t="str">
        <f ca="1">IF(SUM($G306:BQ306)&gt;=1,"",IF(BR304=0,"",IF(SUM($G304:BR304)&gt;=1,OFFSET(BR$228,-1,0),"")))</f>
        <v/>
      </c>
      <c r="BS306" s="403" t="str">
        <f ca="1">IF(SUM($G306:BR306)&gt;=1,"",IF(BS304=0,"",IF(SUM($G304:BS304)&gt;=1,OFFSET(BS$228,-1,0),"")))</f>
        <v/>
      </c>
      <c r="BT306" s="403" t="str">
        <f ca="1">IF(SUM($G306:BS306)&gt;=1,"",IF(BT304=0,"",IF(SUM($G304:BT304)&gt;=1,OFFSET(BT$228,-1,0),"")))</f>
        <v/>
      </c>
      <c r="BU306" s="403" t="str">
        <f ca="1">IF(SUM($G306:BT306)&gt;=1,"",IF(BU304=0,"",IF(SUM($G304:BU304)&gt;=1,OFFSET(BU$228,-1,0),"")))</f>
        <v/>
      </c>
      <c r="BV306" s="403" t="str">
        <f ca="1">IF(SUM($G306:BU306)&gt;=1,"",IF(BV304=0,"",IF(SUM($G304:BV304)&gt;=1,OFFSET(BV$228,-1,0),"")))</f>
        <v/>
      </c>
      <c r="BW306" s="403" t="str">
        <f ca="1">IF(SUM($G306:BV306)&gt;=1,"",IF(BW304=0,"",IF(SUM($G304:BW304)&gt;=1,OFFSET(BW$228,-1,0),"")))</f>
        <v/>
      </c>
      <c r="BX306" s="403" t="str">
        <f ca="1">IF(SUM($G306:BW306)&gt;=1,"",IF(BX304=0,"",IF(SUM($G304:BX304)&gt;=1,OFFSET(BX$228,-1,0),"")))</f>
        <v/>
      </c>
      <c r="BY306" s="403" t="str">
        <f ca="1">IF(SUM($G306:BX306)&gt;=1,"",IF(BY304=0,"",IF(SUM($G304:BY304)&gt;=1,OFFSET(BY$228,-1,0),"")))</f>
        <v/>
      </c>
      <c r="BZ306" s="403" t="str">
        <f ca="1">IF(SUM($G306:BY306)&gt;=1,"",IF(BZ304=0,"",IF(SUM($G304:BZ304)&gt;=1,OFFSET(BZ$228,-1,0),"")))</f>
        <v/>
      </c>
      <c r="CA306" s="403" t="str">
        <f ca="1">IF(SUM($G306:BZ306)&gt;=1,"",IF(CA304=0,"",IF(SUM($G304:CA304)&gt;=1,OFFSET(CA$228,-1,0),"")))</f>
        <v/>
      </c>
      <c r="CB306" s="403" t="str">
        <f ca="1">IF(SUM($G306:CA306)&gt;=1,"",IF(CB304=0,"",IF(SUM($G304:CB304)&gt;=1,OFFSET(CB$228,-1,0),"")))</f>
        <v/>
      </c>
      <c r="CC306" s="403" t="str">
        <f ca="1">IF(SUM($G306:CB306)&gt;=1,"",IF(CC304=0,"",IF(SUM($G304:CC304)&gt;=1,OFFSET(CC$228,-1,0),"")))</f>
        <v/>
      </c>
      <c r="CD306" s="403" t="str">
        <f ca="1">IF(SUM($G306:CC306)&gt;=1,"",IF(CD304=0,"",IF(SUM($G304:CD304)&gt;=1,OFFSET(CD$228,-1,0),"")))</f>
        <v/>
      </c>
      <c r="CE306" s="403" t="str">
        <f ca="1">IF(SUM($G306:CD306)&gt;=1,"",IF(CE304=0,"",IF(SUM($G304:CE304)&gt;=1,OFFSET(CE$228,-1,0),"")))</f>
        <v/>
      </c>
      <c r="CF306" s="403" t="str">
        <f ca="1">IF(SUM($G306:CE306)&gt;=1,"",IF(CF304=0,"",IF(SUM($G304:CF304)&gt;=1,OFFSET(CF$228,-1,0),"")))</f>
        <v/>
      </c>
      <c r="CG306" s="403" t="str">
        <f ca="1">IF(SUM($G306:CF306)&gt;=1,"",IF(CG304=0,"",IF(SUM($G304:CG304)&gt;=1,OFFSET(CG$228,-1,0),"")))</f>
        <v/>
      </c>
      <c r="CH306" s="403" t="str">
        <f ca="1">IF(SUM($G306:CG306)&gt;=1,"",IF(CH304=0,"",IF(SUM($G304:CH304)&gt;=1,OFFSET(CH$228,-1,0),"")))</f>
        <v/>
      </c>
      <c r="CI306" s="403" t="str">
        <f ca="1">IF(SUM($G306:CH306)&gt;=1,"",IF(CI304=0,"",IF(SUM($G304:CI304)&gt;=1,OFFSET(CI$228,-1,0),"")))</f>
        <v/>
      </c>
      <c r="CJ306" s="403" t="str">
        <f ca="1">IF(SUM($G306:CI306)&gt;=1,"",IF(CJ304=0,"",IF(SUM($G304:CJ304)&gt;=1,OFFSET(CJ$228,-1,0),"")))</f>
        <v/>
      </c>
      <c r="CK306" s="403" t="str">
        <f ca="1">IF(SUM($G306:CJ306)&gt;=1,"",IF(CK304=0,"",IF(SUM($G304:CK304)&gt;=1,OFFSET(CK$228,-1,0),"")))</f>
        <v/>
      </c>
      <c r="CL306" s="403" t="str">
        <f ca="1">IF(SUM($G306:CK306)&gt;=1,"",IF(CL304=0,"",IF(SUM($G304:CL304)&gt;=1,OFFSET(CL$228,-1,0),"")))</f>
        <v/>
      </c>
      <c r="CM306" s="403" t="str">
        <f ca="1">IF(SUM($G306:CL306)&gt;=1,"",IF(CM304=0,"",IF(SUM($G304:CM304)&gt;=1,OFFSET(CM$228,-1,0),"")))</f>
        <v/>
      </c>
      <c r="CN306" s="403" t="str">
        <f ca="1">IF(SUM($G306:CM306)&gt;=1,"",IF(CN304=0,"",IF(SUM($G304:CN304)&gt;=1,OFFSET(CN$228,-1,0),"")))</f>
        <v/>
      </c>
      <c r="CO306" s="403" t="str">
        <f ca="1">IF(SUM($G306:CN306)&gt;=1,"",IF(CO304=0,"",IF(SUM($G304:CO304)&gt;=1,OFFSET(CO$228,-1,0),"")))</f>
        <v/>
      </c>
      <c r="CP306" s="403" t="str">
        <f ca="1">IF(SUM($G306:CO306)&gt;=1,"",IF(CP304=0,"",IF(SUM($G304:CP304)&gt;=1,OFFSET(CP$228,-1,0),"")))</f>
        <v/>
      </c>
      <c r="CQ306" s="403" t="str">
        <f ca="1">IF(SUM($G306:CP306)&gt;=1,"",IF(CQ304=0,"",IF(SUM($G304:CQ304)&gt;=1,OFFSET(CQ$228,-1,0),"")))</f>
        <v/>
      </c>
      <c r="CR306" s="403" t="str">
        <f ca="1">IF(SUM($G306:CQ306)&gt;=1,"",IF(CR304=0,"",IF(SUM($G304:CR304)&gt;=1,OFFSET(CR$228,-1,0),"")))</f>
        <v/>
      </c>
      <c r="CS306" s="403" t="str">
        <f ca="1">IF(SUM($G306:CR306)&gt;=1,"",IF(CS304=0,"",IF(SUM($G304:CS304)&gt;=1,OFFSET(CS$228,-1,0),"")))</f>
        <v/>
      </c>
      <c r="CT306" s="403" t="str">
        <f ca="1">IF(SUM($G306:CS306)&gt;=1,"",IF(CT304=0,"",IF(SUM($G304:CT304)&gt;=1,OFFSET(CT$228,-1,0),"")))</f>
        <v/>
      </c>
      <c r="CU306" s="403" t="str">
        <f ca="1">IF(SUM($G306:CT306)&gt;=1,"",IF(CU304=0,"",IF(SUM($G304:CU304)&gt;=1,OFFSET(CU$228,-1,0),"")))</f>
        <v/>
      </c>
      <c r="CV306" s="403" t="str">
        <f ca="1">IF(SUM($G306:CU306)&gt;=1,"",IF(CV304=0,"",IF(SUM($G304:CV304)&gt;=1,OFFSET(CV$228,-1,0),"")))</f>
        <v/>
      </c>
      <c r="CW306" s="403" t="str">
        <f ca="1">IF(SUM($G306:CV306)&gt;=1,"",IF(CW304=0,"",IF(SUM($G304:CW304)&gt;=1,OFFSET(CW$228,-1,0),"")))</f>
        <v/>
      </c>
      <c r="CX306" s="403" t="str">
        <f ca="1">IF(SUM($G306:CW306)&gt;=1,"",IF(CX304=0,"",IF(SUM($G304:CX304)&gt;=1,OFFSET(CX$228,-1,0),"")))</f>
        <v/>
      </c>
      <c r="CY306" s="403" t="str">
        <f ca="1">IF(SUM($G306:CX306)&gt;=1,"",IF(CY304=0,"",IF(SUM($G304:CY304)&gt;=1,OFFSET(CY$228,-1,0),"")))</f>
        <v/>
      </c>
      <c r="CZ306" s="403" t="str">
        <f ca="1">IF(SUM($G306:CY306)&gt;=1,"",IF(CZ304=0,"",IF(SUM($G304:CZ304)&gt;=1,OFFSET(CZ$228,-1,0),"")))</f>
        <v/>
      </c>
      <c r="DA306" s="403" t="str">
        <f ca="1">IF(SUM($G306:CZ306)&gt;=1,"",IF(DA304=0,"",IF(SUM($G304:DA304)&gt;=1,OFFSET(DA$228,-1,0),"")))</f>
        <v/>
      </c>
      <c r="DB306" s="403" t="str">
        <f ca="1">IF(SUM($G306:DA306)&gt;=1,"",IF(DB304=0,"",IF(SUM($G304:DB304)&gt;=1,OFFSET(DB$228,-1,0),"")))</f>
        <v/>
      </c>
      <c r="DC306" s="403" t="str">
        <f ca="1">IF(SUM($G306:DB306)&gt;=1,"",IF(DC304=0,"",IF(SUM($G304:DC304)&gt;=1,OFFSET(DC$228,-1,0),"")))</f>
        <v/>
      </c>
      <c r="DD306" s="403" t="str">
        <f ca="1">IF(SUM($G306:DC306)&gt;=1,"",IF(DD304=0,"",IF(SUM($G304:DD304)&gt;=1,OFFSET(DD$228,-1,0),"")))</f>
        <v/>
      </c>
      <c r="DE306" s="403" t="str">
        <f ca="1">IF(SUM($G306:DD306)&gt;=1,"",IF(DE304=0,"",IF(SUM($G304:DE304)&gt;=1,OFFSET(DE$228,-1,0),"")))</f>
        <v/>
      </c>
      <c r="DF306" s="403" t="str">
        <f ca="1">IF(SUM($G306:DE306)&gt;=1,"",IF(DF304=0,"",IF(SUM($G304:DF304)&gt;=1,OFFSET(DF$228,-1,0),"")))</f>
        <v/>
      </c>
      <c r="DG306" s="403" t="str">
        <f ca="1">IF(SUM($G306:DF306)&gt;=1,"",IF(DG304=0,"",IF(SUM($G304:DG304)&gt;=1,OFFSET(DG$228,-1,0),"")))</f>
        <v/>
      </c>
      <c r="DH306" s="403" t="str">
        <f ca="1">IF(SUM($G306:DG306)&gt;=1,"",IF(DH304=0,"",IF(SUM($G304:DH304)&gt;=1,OFFSET(DH$228,-1,0),"")))</f>
        <v/>
      </c>
      <c r="DI306" s="403" t="str">
        <f ca="1">IF(SUM($G306:DH306)&gt;=1,"",IF(DI304=0,"",IF(SUM($G304:DI304)&gt;=1,OFFSET(DI$228,-1,0),"")))</f>
        <v/>
      </c>
      <c r="DJ306" s="403" t="str">
        <f ca="1">IF(SUM($G306:DI306)&gt;=1,"",IF(DJ304=0,"",IF(SUM($G304:DJ304)&gt;=1,OFFSET(DJ$228,-1,0),"")))</f>
        <v/>
      </c>
      <c r="DK306" s="403" t="str">
        <f ca="1">IF(SUM($G306:DJ306)&gt;=1,"",IF(DK304=0,"",IF(SUM($G304:DK304)&gt;=1,OFFSET(DK$228,-1,0),"")))</f>
        <v/>
      </c>
      <c r="DL306" s="403" t="str">
        <f ca="1">IF(SUM($G306:DK306)&gt;=1,"",IF(DL304=0,"",IF(SUM($G304:DL304)&gt;=1,OFFSET(DL$228,-1,0),"")))</f>
        <v/>
      </c>
      <c r="DM306" s="403" t="str">
        <f ca="1">IF(SUM($G306:DL306)&gt;=1,"",IF(DM304=0,"",IF(SUM($G304:DM304)&gt;=1,OFFSET(DM$228,-1,0),"")))</f>
        <v/>
      </c>
      <c r="DN306" s="403" t="str">
        <f ca="1">IF(SUM($G306:DM306)&gt;=1,"",IF(DN304=0,"",IF(SUM($G304:DN304)&gt;=1,OFFSET(DN$228,-1,0),"")))</f>
        <v/>
      </c>
      <c r="DO306" s="403" t="str">
        <f ca="1">IF(SUM($G306:DN306)&gt;=1,"",IF(DO304=0,"",IF(SUM($G304:DO304)&gt;=1,OFFSET(DO$228,-1,0),"")))</f>
        <v/>
      </c>
      <c r="DP306" s="403" t="str">
        <f ca="1">IF(SUM($G306:DO306)&gt;=1,"",IF(DP304=0,"",IF(SUM($G304:DP304)&gt;=1,OFFSET(DP$228,-1,0),"")))</f>
        <v/>
      </c>
      <c r="DQ306" s="403" t="str">
        <f ca="1">IF(SUM($G306:DP306)&gt;=1,"",IF(DQ304=0,"",IF(SUM($G304:DQ304)&gt;=1,OFFSET(DQ$228,-1,0),"")))</f>
        <v/>
      </c>
      <c r="DR306" s="403" t="str">
        <f ca="1">IF(SUM($G306:DQ306)&gt;=1,"",IF(DR304=0,"",IF(SUM($G304:DR304)&gt;=1,OFFSET(DR$228,-1,0),"")))</f>
        <v/>
      </c>
      <c r="DS306" s="403" t="str">
        <f ca="1">IF(SUM($G306:DR306)&gt;=1,"",IF(DS304=0,"",IF(SUM($G304:DS304)&gt;=1,OFFSET(DS$228,-1,0),"")))</f>
        <v/>
      </c>
      <c r="DT306" s="403" t="str">
        <f ca="1">IF(SUM($G306:DS306)&gt;=1,"",IF(DT304=0,"",IF(SUM($G304:DT304)&gt;=1,OFFSET(DT$228,-1,0),"")))</f>
        <v/>
      </c>
      <c r="DU306" s="403" t="str">
        <f ca="1">IF(SUM($G306:DT306)&gt;=1,"",IF(DU304=0,"",IF(SUM($G304:DU304)&gt;=1,OFFSET(DU$228,-1,0),"")))</f>
        <v/>
      </c>
      <c r="DV306" s="403" t="str">
        <f ca="1">IF(SUM($G306:DU306)&gt;=1,"",IF(DV304=0,"",IF(SUM($G304:DV304)&gt;=1,OFFSET(DV$228,-1,0),"")))</f>
        <v/>
      </c>
      <c r="DW306" s="403" t="str">
        <f ca="1">IF(SUM($G306:DV306)&gt;=1,"",IF(DW304=0,"",IF(SUM($G304:DW304)&gt;=1,OFFSET(DW$228,-1,0),"")))</f>
        <v/>
      </c>
      <c r="DX306" s="403" t="str">
        <f ca="1">IF(SUM($G306:DW306)&gt;=1,"",IF(DX304=0,"",IF(SUM($G304:DX304)&gt;=1,OFFSET(DX$228,-1,0),"")))</f>
        <v/>
      </c>
      <c r="DY306" s="403" t="str">
        <f ca="1">IF(SUM($G306:DX306)&gt;=1,"",IF(DY304=0,"",IF(SUM($G304:DY304)&gt;=1,OFFSET(DY$228,-1,0),"")))</f>
        <v/>
      </c>
      <c r="DZ306" s="403" t="str">
        <f ca="1">IF(SUM($G306:DY306)&gt;=1,"",IF(DZ304=0,"",IF(SUM($G304:DZ304)&gt;=1,OFFSET(DZ$228,-1,0),"")))</f>
        <v/>
      </c>
      <c r="EA306" s="403" t="str">
        <f ca="1">IF(SUM($G306:DZ306)&gt;=1,"",IF(EA304=0,"",IF(SUM($G304:EA304)&gt;=1,OFFSET(EA$228,-1,0),"")))</f>
        <v/>
      </c>
      <c r="EB306" s="403" t="str">
        <f ca="1">IF(SUM($G306:EA306)&gt;=1,"",IF(EB304=0,"",IF(SUM($G304:EB304)&gt;=1,OFFSET(EB$228,-1,0),"")))</f>
        <v/>
      </c>
      <c r="EC306" s="403" t="str">
        <f ca="1">IF(SUM($G306:EB306)&gt;=1,"",IF(EC304=0,"",IF(SUM($G304:EC304)&gt;=1,OFFSET(EC$228,-1,0),"")))</f>
        <v/>
      </c>
      <c r="ED306" s="403" t="str">
        <f ca="1">IF(SUM($G306:EC306)&gt;=1,"",IF(ED304=0,"",IF(SUM($G304:ED304)&gt;=1,OFFSET(ED$228,-1,0),"")))</f>
        <v/>
      </c>
      <c r="EE306" s="403" t="str">
        <f ca="1">IF(SUM($G306:ED306)&gt;=1,"",IF(EE304=0,"",IF(SUM($G304:EE304)&gt;=1,OFFSET(EE$228,-1,0),"")))</f>
        <v/>
      </c>
      <c r="EF306" s="403" t="str">
        <f ca="1">IF(SUM($G306:EE306)&gt;=1,"",IF(EF304=0,"",IF(SUM($G304:EF304)&gt;=1,OFFSET(EF$228,-1,0),"")))</f>
        <v/>
      </c>
      <c r="EG306" s="403" t="str">
        <f ca="1">IF(SUM($G306:EF306)&gt;=1,"",IF(EG304=0,"",IF(SUM($G304:EG304)&gt;=1,OFFSET(EG$228,-1,0),"")))</f>
        <v/>
      </c>
      <c r="EH306" s="403" t="str">
        <f ca="1">IF(SUM($G306:EG306)&gt;=1,"",IF(EH304=0,"",IF(SUM($G304:EH304)&gt;=1,OFFSET(EH$228,-1,0),"")))</f>
        <v/>
      </c>
      <c r="EI306" s="403" t="str">
        <f ca="1">IF(SUM($G306:EH306)&gt;=1,"",IF(EI304=0,"",IF(SUM($G304:EI304)&gt;=1,OFFSET(EI$228,-1,0),"")))</f>
        <v/>
      </c>
    </row>
    <row r="307" spans="1:141" hidden="1" outlineLevel="2">
      <c r="A307" s="332"/>
      <c r="D307" s="305" t="s">
        <v>671</v>
      </c>
      <c r="E307" s="1002">
        <f ca="1">IF(E304=0,"",MIN(G307:EI307))</f>
        <v>46148.7</v>
      </c>
      <c r="F307" s="1003"/>
      <c r="G307" s="403" t="str">
        <f>IF(G304=0,"",IF(G304=G$3,G306,G$5+H$5-G308-1))</f>
        <v/>
      </c>
      <c r="H307" s="403" t="str">
        <f ca="1">IF(H304=0,"",IF(H304=H$3,H306,H$5+I$5-H308-1))</f>
        <v/>
      </c>
      <c r="I307" s="403" t="str">
        <f t="shared" ref="I307:BT307" ca="1" si="503">IF(I304=0,"",IF(I304=I$3,I306,I$5+J$5-I308-1))</f>
        <v/>
      </c>
      <c r="J307" s="403" t="str">
        <f t="shared" ca="1" si="503"/>
        <v/>
      </c>
      <c r="K307" s="403" t="str">
        <f t="shared" ca="1" si="503"/>
        <v/>
      </c>
      <c r="L307" s="403" t="str">
        <f t="shared" ca="1" si="503"/>
        <v/>
      </c>
      <c r="M307" s="403" t="str">
        <f t="shared" ca="1" si="503"/>
        <v/>
      </c>
      <c r="N307" s="403" t="str">
        <f t="shared" ca="1" si="503"/>
        <v/>
      </c>
      <c r="O307" s="403" t="str">
        <f t="shared" ca="1" si="503"/>
        <v/>
      </c>
      <c r="P307" s="403" t="str">
        <f t="shared" ca="1" si="503"/>
        <v/>
      </c>
      <c r="Q307" s="403" t="str">
        <f t="shared" ca="1" si="503"/>
        <v/>
      </c>
      <c r="R307" s="403" t="str">
        <f t="shared" ca="1" si="503"/>
        <v/>
      </c>
      <c r="S307" s="403" t="str">
        <f t="shared" ca="1" si="503"/>
        <v/>
      </c>
      <c r="T307" s="403" t="str">
        <f t="shared" ca="1" si="503"/>
        <v/>
      </c>
      <c r="U307" s="403" t="str">
        <f t="shared" ca="1" si="503"/>
        <v/>
      </c>
      <c r="V307" s="403" t="str">
        <f t="shared" ca="1" si="503"/>
        <v/>
      </c>
      <c r="W307" s="403" t="str">
        <f t="shared" ca="1" si="503"/>
        <v/>
      </c>
      <c r="X307" s="403" t="str">
        <f t="shared" ca="1" si="503"/>
        <v/>
      </c>
      <c r="Y307" s="403" t="str">
        <f t="shared" ca="1" si="503"/>
        <v/>
      </c>
      <c r="Z307" s="403" t="str">
        <f t="shared" ca="1" si="503"/>
        <v/>
      </c>
      <c r="AA307" s="403" t="str">
        <f t="shared" ca="1" si="503"/>
        <v/>
      </c>
      <c r="AB307" s="403" t="str">
        <f t="shared" ca="1" si="503"/>
        <v/>
      </c>
      <c r="AC307" s="403" t="str">
        <f t="shared" ca="1" si="503"/>
        <v/>
      </c>
      <c r="AD307" s="403" t="str">
        <f t="shared" ca="1" si="503"/>
        <v/>
      </c>
      <c r="AE307" s="403" t="str">
        <f t="shared" ca="1" si="503"/>
        <v/>
      </c>
      <c r="AF307" s="403" t="str">
        <f t="shared" ca="1" si="503"/>
        <v/>
      </c>
      <c r="AG307" s="403" t="str">
        <f t="shared" ca="1" si="503"/>
        <v/>
      </c>
      <c r="AH307" s="403" t="str">
        <f t="shared" ca="1" si="503"/>
        <v/>
      </c>
      <c r="AI307" s="403" t="str">
        <f t="shared" ca="1" si="503"/>
        <v/>
      </c>
      <c r="AJ307" s="403" t="str">
        <f t="shared" ca="1" si="503"/>
        <v/>
      </c>
      <c r="AK307" s="403" t="str">
        <f t="shared" ca="1" si="503"/>
        <v/>
      </c>
      <c r="AL307" s="403" t="str">
        <f t="shared" ca="1" si="503"/>
        <v/>
      </c>
      <c r="AM307" s="403" t="str">
        <f t="shared" ca="1" si="503"/>
        <v/>
      </c>
      <c r="AN307" s="403" t="str">
        <f t="shared" ca="1" si="503"/>
        <v/>
      </c>
      <c r="AO307" s="403" t="str">
        <f t="shared" ca="1" si="503"/>
        <v/>
      </c>
      <c r="AP307" s="403" t="str">
        <f t="shared" ca="1" si="503"/>
        <v/>
      </c>
      <c r="AQ307" s="403" t="str">
        <f t="shared" ca="1" si="503"/>
        <v/>
      </c>
      <c r="AR307" s="403" t="str">
        <f t="shared" ca="1" si="503"/>
        <v/>
      </c>
      <c r="AS307" s="403">
        <f t="shared" ca="1" si="503"/>
        <v>46148.7</v>
      </c>
      <c r="AT307" s="403" t="str">
        <f t="shared" ca="1" si="503"/>
        <v/>
      </c>
      <c r="AU307" s="403" t="str">
        <f t="shared" ca="1" si="503"/>
        <v/>
      </c>
      <c r="AV307" s="403" t="str">
        <f t="shared" ca="1" si="503"/>
        <v/>
      </c>
      <c r="AW307" s="403" t="str">
        <f t="shared" ca="1" si="503"/>
        <v/>
      </c>
      <c r="AX307" s="403" t="str">
        <f t="shared" ca="1" si="503"/>
        <v/>
      </c>
      <c r="AY307" s="403" t="str">
        <f t="shared" ca="1" si="503"/>
        <v/>
      </c>
      <c r="AZ307" s="403" t="str">
        <f t="shared" ca="1" si="503"/>
        <v/>
      </c>
      <c r="BA307" s="403" t="str">
        <f t="shared" ca="1" si="503"/>
        <v/>
      </c>
      <c r="BB307" s="403" t="str">
        <f t="shared" ca="1" si="503"/>
        <v/>
      </c>
      <c r="BC307" s="403" t="str">
        <f t="shared" ca="1" si="503"/>
        <v/>
      </c>
      <c r="BD307" s="403" t="str">
        <f t="shared" ca="1" si="503"/>
        <v/>
      </c>
      <c r="BE307" s="403" t="str">
        <f t="shared" ca="1" si="503"/>
        <v/>
      </c>
      <c r="BF307" s="403" t="str">
        <f t="shared" ca="1" si="503"/>
        <v/>
      </c>
      <c r="BG307" s="403" t="str">
        <f t="shared" ca="1" si="503"/>
        <v/>
      </c>
      <c r="BH307" s="403">
        <f t="shared" ca="1" si="503"/>
        <v>46622.3</v>
      </c>
      <c r="BI307" s="403" t="str">
        <f t="shared" ca="1" si="503"/>
        <v/>
      </c>
      <c r="BJ307" s="403" t="str">
        <f t="shared" ca="1" si="503"/>
        <v/>
      </c>
      <c r="BK307" s="403" t="str">
        <f t="shared" ca="1" si="503"/>
        <v/>
      </c>
      <c r="BL307" s="403" t="str">
        <f t="shared" ca="1" si="503"/>
        <v/>
      </c>
      <c r="BM307" s="403" t="str">
        <f t="shared" ca="1" si="503"/>
        <v/>
      </c>
      <c r="BN307" s="403" t="str">
        <f t="shared" ca="1" si="503"/>
        <v/>
      </c>
      <c r="BO307" s="403" t="str">
        <f t="shared" ca="1" si="503"/>
        <v/>
      </c>
      <c r="BP307" s="403" t="str">
        <f t="shared" ca="1" si="503"/>
        <v/>
      </c>
      <c r="BQ307" s="403" t="str">
        <f t="shared" ca="1" si="503"/>
        <v/>
      </c>
      <c r="BR307" s="403" t="str">
        <f t="shared" ca="1" si="503"/>
        <v/>
      </c>
      <c r="BS307" s="403" t="str">
        <f t="shared" ca="1" si="503"/>
        <v/>
      </c>
      <c r="BT307" s="403" t="str">
        <f t="shared" ca="1" si="503"/>
        <v/>
      </c>
      <c r="BU307" s="403" t="str">
        <f t="shared" ref="BU307:EF307" ca="1" si="504">IF(BU304=0,"",IF(BU304=BU$3,BU306,BU$5+BV$5-BU308-1))</f>
        <v/>
      </c>
      <c r="BV307" s="403" t="str">
        <f t="shared" ca="1" si="504"/>
        <v/>
      </c>
      <c r="BW307" s="403" t="str">
        <f t="shared" ca="1" si="504"/>
        <v/>
      </c>
      <c r="BX307" s="403" t="str">
        <f t="shared" ca="1" si="504"/>
        <v/>
      </c>
      <c r="BY307" s="403" t="str">
        <f t="shared" ca="1" si="504"/>
        <v/>
      </c>
      <c r="BZ307" s="403" t="str">
        <f t="shared" ca="1" si="504"/>
        <v/>
      </c>
      <c r="CA307" s="403" t="str">
        <f t="shared" ca="1" si="504"/>
        <v/>
      </c>
      <c r="CB307" s="403" t="str">
        <f t="shared" ca="1" si="504"/>
        <v/>
      </c>
      <c r="CC307" s="403" t="str">
        <f t="shared" ca="1" si="504"/>
        <v/>
      </c>
      <c r="CD307" s="403" t="str">
        <f t="shared" ca="1" si="504"/>
        <v/>
      </c>
      <c r="CE307" s="403" t="str">
        <f t="shared" ca="1" si="504"/>
        <v/>
      </c>
      <c r="CF307" s="403" t="str">
        <f t="shared" ca="1" si="504"/>
        <v/>
      </c>
      <c r="CG307" s="403" t="str">
        <f t="shared" ca="1" si="504"/>
        <v/>
      </c>
      <c r="CH307" s="403" t="str">
        <f t="shared" ca="1" si="504"/>
        <v/>
      </c>
      <c r="CI307" s="403" t="str">
        <f t="shared" ca="1" si="504"/>
        <v/>
      </c>
      <c r="CJ307" s="403" t="str">
        <f t="shared" ca="1" si="504"/>
        <v/>
      </c>
      <c r="CK307" s="403" t="str">
        <f t="shared" ca="1" si="504"/>
        <v/>
      </c>
      <c r="CL307" s="403" t="str">
        <f t="shared" ca="1" si="504"/>
        <v/>
      </c>
      <c r="CM307" s="403" t="str">
        <f t="shared" ca="1" si="504"/>
        <v/>
      </c>
      <c r="CN307" s="403" t="str">
        <f t="shared" ca="1" si="504"/>
        <v/>
      </c>
      <c r="CO307" s="403" t="str">
        <f t="shared" ca="1" si="504"/>
        <v/>
      </c>
      <c r="CP307" s="403" t="str">
        <f t="shared" ca="1" si="504"/>
        <v/>
      </c>
      <c r="CQ307" s="403" t="str">
        <f t="shared" ca="1" si="504"/>
        <v/>
      </c>
      <c r="CR307" s="403" t="str">
        <f t="shared" ca="1" si="504"/>
        <v/>
      </c>
      <c r="CS307" s="403" t="str">
        <f t="shared" ca="1" si="504"/>
        <v/>
      </c>
      <c r="CT307" s="403" t="str">
        <f t="shared" ca="1" si="504"/>
        <v/>
      </c>
      <c r="CU307" s="403" t="str">
        <f t="shared" ca="1" si="504"/>
        <v/>
      </c>
      <c r="CV307" s="403" t="str">
        <f t="shared" ca="1" si="504"/>
        <v/>
      </c>
      <c r="CW307" s="403" t="str">
        <f t="shared" ca="1" si="504"/>
        <v/>
      </c>
      <c r="CX307" s="403" t="str">
        <f t="shared" ca="1" si="504"/>
        <v/>
      </c>
      <c r="CY307" s="403" t="str">
        <f t="shared" ca="1" si="504"/>
        <v/>
      </c>
      <c r="CZ307" s="403" t="str">
        <f t="shared" ca="1" si="504"/>
        <v/>
      </c>
      <c r="DA307" s="403" t="str">
        <f t="shared" ca="1" si="504"/>
        <v/>
      </c>
      <c r="DB307" s="403" t="str">
        <f t="shared" ca="1" si="504"/>
        <v/>
      </c>
      <c r="DC307" s="403" t="str">
        <f t="shared" ca="1" si="504"/>
        <v/>
      </c>
      <c r="DD307" s="403" t="str">
        <f t="shared" ca="1" si="504"/>
        <v/>
      </c>
      <c r="DE307" s="403" t="str">
        <f t="shared" ca="1" si="504"/>
        <v/>
      </c>
      <c r="DF307" s="403" t="str">
        <f t="shared" ca="1" si="504"/>
        <v/>
      </c>
      <c r="DG307" s="403" t="str">
        <f t="shared" ca="1" si="504"/>
        <v/>
      </c>
      <c r="DH307" s="403" t="str">
        <f t="shared" ca="1" si="504"/>
        <v/>
      </c>
      <c r="DI307" s="403" t="str">
        <f t="shared" ca="1" si="504"/>
        <v/>
      </c>
      <c r="DJ307" s="403" t="str">
        <f t="shared" ca="1" si="504"/>
        <v/>
      </c>
      <c r="DK307" s="403" t="str">
        <f t="shared" ca="1" si="504"/>
        <v/>
      </c>
      <c r="DL307" s="403" t="str">
        <f t="shared" ca="1" si="504"/>
        <v/>
      </c>
      <c r="DM307" s="403" t="str">
        <f t="shared" ca="1" si="504"/>
        <v/>
      </c>
      <c r="DN307" s="403" t="str">
        <f t="shared" ca="1" si="504"/>
        <v/>
      </c>
      <c r="DO307" s="403" t="str">
        <f t="shared" ca="1" si="504"/>
        <v/>
      </c>
      <c r="DP307" s="403" t="str">
        <f t="shared" ca="1" si="504"/>
        <v/>
      </c>
      <c r="DQ307" s="403" t="str">
        <f t="shared" ca="1" si="504"/>
        <v/>
      </c>
      <c r="DR307" s="403" t="str">
        <f t="shared" ca="1" si="504"/>
        <v/>
      </c>
      <c r="DS307" s="403" t="str">
        <f t="shared" ca="1" si="504"/>
        <v/>
      </c>
      <c r="DT307" s="403" t="str">
        <f t="shared" ca="1" si="504"/>
        <v/>
      </c>
      <c r="DU307" s="403" t="str">
        <f t="shared" ca="1" si="504"/>
        <v/>
      </c>
      <c r="DV307" s="403" t="str">
        <f t="shared" ca="1" si="504"/>
        <v/>
      </c>
      <c r="DW307" s="403" t="str">
        <f t="shared" ca="1" si="504"/>
        <v/>
      </c>
      <c r="DX307" s="403" t="str">
        <f t="shared" ca="1" si="504"/>
        <v/>
      </c>
      <c r="DY307" s="403" t="str">
        <f t="shared" ca="1" si="504"/>
        <v/>
      </c>
      <c r="DZ307" s="403" t="str">
        <f t="shared" ca="1" si="504"/>
        <v/>
      </c>
      <c r="EA307" s="403" t="str">
        <f t="shared" ca="1" si="504"/>
        <v/>
      </c>
      <c r="EB307" s="403" t="str">
        <f t="shared" ca="1" si="504"/>
        <v/>
      </c>
      <c r="EC307" s="403" t="str">
        <f t="shared" ca="1" si="504"/>
        <v/>
      </c>
      <c r="ED307" s="403" t="str">
        <f t="shared" ca="1" si="504"/>
        <v/>
      </c>
      <c r="EE307" s="403" t="str">
        <f t="shared" ca="1" si="504"/>
        <v/>
      </c>
      <c r="EF307" s="403" t="str">
        <f t="shared" ca="1" si="504"/>
        <v/>
      </c>
      <c r="EG307" s="403" t="str">
        <f t="shared" ref="EG307:EI307" ca="1" si="505">IF(EG304=0,"",IF(EG304=EG$3,EG306,EG$5+EH$5-EG308-1))</f>
        <v/>
      </c>
      <c r="EH307" s="403" t="str">
        <f t="shared" ca="1" si="505"/>
        <v/>
      </c>
      <c r="EI307" s="403" t="str">
        <f t="shared" ca="1" si="505"/>
        <v/>
      </c>
    </row>
    <row r="308" spans="1:141" hidden="1" outlineLevel="2">
      <c r="A308" s="332"/>
      <c r="D308" s="305" t="s">
        <v>672</v>
      </c>
      <c r="E308" s="1002">
        <f ca="1">IF(E304=0,"",MAX(G308:EI308))</f>
        <v>46607.7</v>
      </c>
      <c r="F308" s="1003"/>
      <c r="G308" s="403">
        <f ca="1">IF(SUM(G304:$EI304)=0,"",IF(G$227="","",G$227+G304-1))</f>
        <v>44985</v>
      </c>
      <c r="H308" s="403">
        <f ca="1">IF(SUM(H304:$EI304)=0,"",IF(H$227="","",H$227+H304-1))</f>
        <v>45016</v>
      </c>
      <c r="I308" s="403">
        <f ca="1">IF(SUM(I304:$EI304)=0,"",IF(I$227="","",I$227+I304-1))</f>
        <v>45046</v>
      </c>
      <c r="J308" s="403">
        <f ca="1">IF(SUM(J304:$EI304)=0,"",IF(J$227="","",J$227+J304-1))</f>
        <v>45077</v>
      </c>
      <c r="K308" s="403">
        <f ca="1">IF(SUM(K304:$EI304)=0,"",IF(K$227="","",K$227+K304-1))</f>
        <v>45107</v>
      </c>
      <c r="L308" s="403">
        <f ca="1">IF(SUM(L304:$EI304)=0,"",IF(L$227="","",L$227+L304-1))</f>
        <v>45138</v>
      </c>
      <c r="M308" s="403">
        <f ca="1">IF(SUM(M304:$EI304)=0,"",IF(M$227="","",M$227+M304-1))</f>
        <v>45169</v>
      </c>
      <c r="N308" s="403">
        <f ca="1">IF(SUM(N304:$EI304)=0,"",IF(N$227="","",N$227+N304-1))</f>
        <v>45199</v>
      </c>
      <c r="O308" s="403">
        <f ca="1">IF(SUM(O304:$EI304)=0,"",IF(O$227="","",O$227+O304-1))</f>
        <v>45230</v>
      </c>
      <c r="P308" s="403">
        <f ca="1">IF(SUM(P304:$EI304)=0,"",IF(P$227="","",P$227+P304-1))</f>
        <v>45260</v>
      </c>
      <c r="Q308" s="403">
        <f ca="1">IF(SUM(Q304:$EI304)=0,"",IF(Q$227="","",Q$227+Q304-1))</f>
        <v>45291</v>
      </c>
      <c r="R308" s="403">
        <f ca="1">IF(SUM(R304:$EI304)=0,"",IF(R$227="","",R$227+R304-1))</f>
        <v>45322</v>
      </c>
      <c r="S308" s="403">
        <f ca="1">IF(SUM(S304:$EI304)=0,"",IF(S$227="","",S$227+S304-1))</f>
        <v>45351</v>
      </c>
      <c r="T308" s="403">
        <f ca="1">IF(SUM(T304:$EI304)=0,"",IF(T$227="","",T$227+T304-1))</f>
        <v>45382</v>
      </c>
      <c r="U308" s="403">
        <f ca="1">IF(SUM(U304:$EI304)=0,"",IF(U$227="","",U$227+U304-1))</f>
        <v>45412</v>
      </c>
      <c r="V308" s="403">
        <f ca="1">IF(SUM(V304:$EI304)=0,"",IF(V$227="","",V$227+V304-1))</f>
        <v>45443</v>
      </c>
      <c r="W308" s="403">
        <f ca="1">IF(SUM(W304:$EI304)=0,"",IF(W$227="","",W$227+W304-1))</f>
        <v>45473</v>
      </c>
      <c r="X308" s="403">
        <f ca="1">IF(SUM(X304:$EI304)=0,"",IF(X$227="","",X$227+X304-1))</f>
        <v>45504</v>
      </c>
      <c r="Y308" s="403">
        <f ca="1">IF(SUM(Y304:$EI304)=0,"",IF(Y$227="","",Y$227+Y304-1))</f>
        <v>45535</v>
      </c>
      <c r="Z308" s="403">
        <f ca="1">IF(SUM(Z304:$EI304)=0,"",IF(Z$227="","",Z$227+Z304-1))</f>
        <v>45565</v>
      </c>
      <c r="AA308" s="403">
        <f ca="1">IF(SUM(AA304:$EI304)=0,"",IF(AA$227="","",AA$227+AA304-1))</f>
        <v>45596</v>
      </c>
      <c r="AB308" s="403">
        <f ca="1">IF(SUM(AB304:$EI304)=0,"",IF(AB$227="","",AB$227+AB304-1))</f>
        <v>45626</v>
      </c>
      <c r="AC308" s="403">
        <f ca="1">IF(SUM(AC304:$EI304)=0,"",IF(AC$227="","",AC$227+AC304-1))</f>
        <v>45657</v>
      </c>
      <c r="AD308" s="403">
        <f ca="1">IF(SUM(AD304:$EI304)=0,"",IF(AD$227="","",AD$227+AD304-1))</f>
        <v>45688</v>
      </c>
      <c r="AE308" s="403">
        <f ca="1">IF(SUM(AE304:$EI304)=0,"",IF(AE$227="","",AE$227+AE304-1))</f>
        <v>45716</v>
      </c>
      <c r="AF308" s="403">
        <f ca="1">IF(SUM(AF304:$EI304)=0,"",IF(AF$227="","",AF$227+AF304-1))</f>
        <v>45747</v>
      </c>
      <c r="AG308" s="403">
        <f ca="1">IF(SUM(AG304:$EI304)=0,"",IF(AG$227="","",AG$227+AG304-1))</f>
        <v>45777</v>
      </c>
      <c r="AH308" s="403">
        <f ca="1">IF(SUM(AH304:$EI304)=0,"",IF(AH$227="","",AH$227+AH304-1))</f>
        <v>45808</v>
      </c>
      <c r="AI308" s="403">
        <f ca="1">IF(SUM(AI304:$EI304)=0,"",IF(AI$227="","",AI$227+AI304-1))</f>
        <v>45838</v>
      </c>
      <c r="AJ308" s="403">
        <f ca="1">IF(SUM(AJ304:$EI304)=0,"",IF(AJ$227="","",AJ$227+AJ304-1))</f>
        <v>45869</v>
      </c>
      <c r="AK308" s="403">
        <f ca="1">IF(SUM(AK304:$EI304)=0,"",IF(AK$227="","",AK$227+AK304-1))</f>
        <v>45900</v>
      </c>
      <c r="AL308" s="403">
        <f ca="1">IF(SUM(AL304:$EI304)=0,"",IF(AL$227="","",AL$227+AL304-1))</f>
        <v>45930</v>
      </c>
      <c r="AM308" s="403">
        <f ca="1">IF(SUM(AM304:$EI304)=0,"",IF(AM$227="","",AM$227+AM304-1))</f>
        <v>45961</v>
      </c>
      <c r="AN308" s="403">
        <f ca="1">IF(SUM(AN304:$EI304)=0,"",IF(AN$227="","",AN$227+AN304-1))</f>
        <v>45991</v>
      </c>
      <c r="AO308" s="403">
        <f ca="1">IF(SUM(AO304:$EI304)=0,"",IF(AO$227="","",AO$227+AO304-1))</f>
        <v>46022</v>
      </c>
      <c r="AP308" s="403">
        <f ca="1">IF(SUM(AP304:$EI304)=0,"",IF(AP$227="","",AP$227+AP304-1))</f>
        <v>46053</v>
      </c>
      <c r="AQ308" s="403">
        <f ca="1">IF(SUM(AQ304:$EI304)=0,"",IF(AQ$227="","",AQ$227+AQ304-1))</f>
        <v>46081</v>
      </c>
      <c r="AR308" s="403">
        <f ca="1">IF(SUM(AR304:$EI304)=0,"",IF(AR$227="","",AR$227+AR304-1))</f>
        <v>46112</v>
      </c>
      <c r="AS308" s="403">
        <f ca="1">IF(SUM(AS304:$EI304)=0,"",IF(AS$227="","",AS$227+AS304-1))</f>
        <v>46167.3</v>
      </c>
      <c r="AT308" s="403">
        <f ca="1">IF(SUM(AT304:$EI304)=0,"",IF(AT$227="","",AT$227+AT304-1))</f>
        <v>46203</v>
      </c>
      <c r="AU308" s="403">
        <f ca="1">IF(SUM(AU304:$EI304)=0,"",IF(AU$227="","",AU$227+AU304-1))</f>
        <v>46234</v>
      </c>
      <c r="AV308" s="403">
        <f ca="1">IF(SUM(AV304:$EI304)=0,"",IF(AV$227="","",AV$227+AV304-1))</f>
        <v>46265</v>
      </c>
      <c r="AW308" s="403">
        <f ca="1">IF(SUM(AW304:$EI304)=0,"",IF(AW$227="","",AW$227+AW304-1))</f>
        <v>46295</v>
      </c>
      <c r="AX308" s="403">
        <f ca="1">IF(SUM(AX304:$EI304)=0,"",IF(AX$227="","",AX$227+AX304-1))</f>
        <v>46326</v>
      </c>
      <c r="AY308" s="403">
        <f ca="1">IF(SUM(AY304:$EI304)=0,"",IF(AY$227="","",AY$227+AY304-1))</f>
        <v>46356</v>
      </c>
      <c r="AZ308" s="403">
        <f ca="1">IF(SUM(AZ304:$EI304)=0,"",IF(AZ$227="","",AZ$227+AZ304-1))</f>
        <v>46387</v>
      </c>
      <c r="BA308" s="403">
        <f ca="1">IF(SUM(BA304:$EI304)=0,"",IF(BA$227="","",BA$227+BA304-1))</f>
        <v>46418</v>
      </c>
      <c r="BB308" s="403">
        <f ca="1">IF(SUM(BB304:$EI304)=0,"",IF(BB$227="","",BB$227+BB304-1))</f>
        <v>46446</v>
      </c>
      <c r="BC308" s="403">
        <f ca="1">IF(SUM(BC304:$EI304)=0,"",IF(BC$227="","",BC$227+BC304-1))</f>
        <v>46477</v>
      </c>
      <c r="BD308" s="403">
        <f ca="1">IF(SUM(BD304:$EI304)=0,"",IF(BD$227="","",BD$227+BD304-1))</f>
        <v>46507</v>
      </c>
      <c r="BE308" s="403">
        <f ca="1">IF(SUM(BE304:$EI304)=0,"",IF(BE$227="","",BE$227+BE304-1))</f>
        <v>46538</v>
      </c>
      <c r="BF308" s="403">
        <f ca="1">IF(SUM(BF304:$EI304)=0,"",IF(BF$227="","",BF$227+BF304-1))</f>
        <v>46568</v>
      </c>
      <c r="BG308" s="403">
        <f ca="1">IF(SUM(BG304:$EI304)=0,"",IF(BG$227="","",BG$227+BG304-1))</f>
        <v>46599</v>
      </c>
      <c r="BH308" s="403">
        <f ca="1">IF(SUM(BH304:$EI304)=0,"",IF(BH$227="","",BH$227+BH304-1))</f>
        <v>46607.7</v>
      </c>
      <c r="BI308" s="403" t="str">
        <f ca="1">IF(SUM(BI304:$EI304)=0,"",IF(BI$227="","",BI$227+BI304-1))</f>
        <v/>
      </c>
      <c r="BJ308" s="403" t="str">
        <f ca="1">IF(SUM(BJ304:$EI304)=0,"",IF(BJ$227="","",BJ$227+BJ304-1))</f>
        <v/>
      </c>
      <c r="BK308" s="403" t="str">
        <f ca="1">IF(SUM(BK304:$EI304)=0,"",IF(BK$227="","",BK$227+BK304-1))</f>
        <v/>
      </c>
      <c r="BL308" s="403" t="str">
        <f ca="1">IF(SUM(BL304:$EI304)=0,"",IF(BL$227="","",BL$227+BL304-1))</f>
        <v/>
      </c>
      <c r="BM308" s="403" t="str">
        <f ca="1">IF(SUM(BM304:$EI304)=0,"",IF(BM$227="","",BM$227+BM304-1))</f>
        <v/>
      </c>
      <c r="BN308" s="403" t="str">
        <f ca="1">IF(SUM(BN304:$EI304)=0,"",IF(BN$227="","",BN$227+BN304-1))</f>
        <v/>
      </c>
      <c r="BO308" s="403" t="str">
        <f ca="1">IF(SUM(BO304:$EI304)=0,"",IF(BO$227="","",BO$227+BO304-1))</f>
        <v/>
      </c>
      <c r="BP308" s="403" t="str">
        <f ca="1">IF(SUM(BP304:$EI304)=0,"",IF(BP$227="","",BP$227+BP304-1))</f>
        <v/>
      </c>
      <c r="BQ308" s="403" t="str">
        <f ca="1">IF(SUM(BQ304:$EI304)=0,"",IF(BQ$227="","",BQ$227+BQ304-1))</f>
        <v/>
      </c>
      <c r="BR308" s="403" t="str">
        <f ca="1">IF(SUM(BR304:$EI304)=0,"",IF(BR$227="","",BR$227+BR304-1))</f>
        <v/>
      </c>
      <c r="BS308" s="403" t="str">
        <f ca="1">IF(SUM(BS304:$EI304)=0,"",IF(BS$227="","",BS$227+BS304-1))</f>
        <v/>
      </c>
      <c r="BT308" s="403" t="str">
        <f ca="1">IF(SUM(BT304:$EI304)=0,"",IF(BT$227="","",BT$227+BT304-1))</f>
        <v/>
      </c>
      <c r="BU308" s="403" t="str">
        <f ca="1">IF(SUM(BU304:$EI304)=0,"",IF(BU$227="","",BU$227+BU304-1))</f>
        <v/>
      </c>
      <c r="BV308" s="403" t="str">
        <f ca="1">IF(SUM(BV304:$EI304)=0,"",IF(BV$227="","",BV$227+BV304-1))</f>
        <v/>
      </c>
      <c r="BW308" s="403" t="str">
        <f ca="1">IF(SUM(BW304:$EI304)=0,"",IF(BW$227="","",BW$227+BW304-1))</f>
        <v/>
      </c>
      <c r="BX308" s="403" t="str">
        <f ca="1">IF(SUM(BX304:$EI304)=0,"",IF(BX$227="","",BX$227+BX304-1))</f>
        <v/>
      </c>
      <c r="BY308" s="403" t="str">
        <f ca="1">IF(SUM(BY304:$EI304)=0,"",IF(BY$227="","",BY$227+BY304-1))</f>
        <v/>
      </c>
      <c r="BZ308" s="403" t="str">
        <f ca="1">IF(SUM(BZ304:$EI304)=0,"",IF(BZ$227="","",BZ$227+BZ304-1))</f>
        <v/>
      </c>
      <c r="CA308" s="403" t="str">
        <f ca="1">IF(SUM(CA304:$EI304)=0,"",IF(CA$227="","",CA$227+CA304-1))</f>
        <v/>
      </c>
      <c r="CB308" s="403" t="str">
        <f ca="1">IF(SUM(CB304:$EI304)=0,"",IF(CB$227="","",CB$227+CB304-1))</f>
        <v/>
      </c>
      <c r="CC308" s="403" t="str">
        <f ca="1">IF(SUM(CC304:$EI304)=0,"",IF(CC$227="","",CC$227+CC304-1))</f>
        <v/>
      </c>
      <c r="CD308" s="403" t="str">
        <f ca="1">IF(SUM(CD304:$EI304)=0,"",IF(CD$227="","",CD$227+CD304-1))</f>
        <v/>
      </c>
      <c r="CE308" s="403" t="str">
        <f ca="1">IF(SUM(CE304:$EI304)=0,"",IF(CE$227="","",CE$227+CE304-1))</f>
        <v/>
      </c>
      <c r="CF308" s="403" t="str">
        <f ca="1">IF(SUM(CF304:$EI304)=0,"",IF(CF$227="","",CF$227+CF304-1))</f>
        <v/>
      </c>
      <c r="CG308" s="403" t="str">
        <f ca="1">IF(SUM(CG304:$EI304)=0,"",IF(CG$227="","",CG$227+CG304-1))</f>
        <v/>
      </c>
      <c r="CH308" s="403" t="str">
        <f ca="1">IF(SUM(CH304:$EI304)=0,"",IF(CH$227="","",CH$227+CH304-1))</f>
        <v/>
      </c>
      <c r="CI308" s="403" t="str">
        <f ca="1">IF(SUM(CI304:$EI304)=0,"",IF(CI$227="","",CI$227+CI304-1))</f>
        <v/>
      </c>
      <c r="CJ308" s="403" t="str">
        <f ca="1">IF(SUM(CJ304:$EI304)=0,"",IF(CJ$227="","",CJ$227+CJ304-1))</f>
        <v/>
      </c>
      <c r="CK308" s="403" t="str">
        <f ca="1">IF(SUM(CK304:$EI304)=0,"",IF(CK$227="","",CK$227+CK304-1))</f>
        <v/>
      </c>
      <c r="CL308" s="403" t="str">
        <f ca="1">IF(SUM(CL304:$EI304)=0,"",IF(CL$227="","",CL$227+CL304-1))</f>
        <v/>
      </c>
      <c r="CM308" s="403" t="str">
        <f ca="1">IF(SUM(CM304:$EI304)=0,"",IF(CM$227="","",CM$227+CM304-1))</f>
        <v/>
      </c>
      <c r="CN308" s="403" t="str">
        <f ca="1">IF(SUM(CN304:$EI304)=0,"",IF(CN$227="","",CN$227+CN304-1))</f>
        <v/>
      </c>
      <c r="CO308" s="403" t="str">
        <f ca="1">IF(SUM(CO304:$EI304)=0,"",IF(CO$227="","",CO$227+CO304-1))</f>
        <v/>
      </c>
      <c r="CP308" s="403" t="str">
        <f ca="1">IF(SUM(CP304:$EI304)=0,"",IF(CP$227="","",CP$227+CP304-1))</f>
        <v/>
      </c>
      <c r="CQ308" s="403" t="str">
        <f ca="1">IF(SUM(CQ304:$EI304)=0,"",IF(CQ$227="","",CQ$227+CQ304-1))</f>
        <v/>
      </c>
      <c r="CR308" s="403" t="str">
        <f ca="1">IF(SUM(CR304:$EI304)=0,"",IF(CR$227="","",CR$227+CR304-1))</f>
        <v/>
      </c>
      <c r="CS308" s="403" t="str">
        <f ca="1">IF(SUM(CS304:$EI304)=0,"",IF(CS$227="","",CS$227+CS304-1))</f>
        <v/>
      </c>
      <c r="CT308" s="403" t="str">
        <f ca="1">IF(SUM(CT304:$EI304)=0,"",IF(CT$227="","",CT$227+CT304-1))</f>
        <v/>
      </c>
      <c r="CU308" s="403" t="str">
        <f ca="1">IF(SUM(CU304:$EI304)=0,"",IF(CU$227="","",CU$227+CU304-1))</f>
        <v/>
      </c>
      <c r="CV308" s="403" t="str">
        <f ca="1">IF(SUM(CV304:$EI304)=0,"",IF(CV$227="","",CV$227+CV304-1))</f>
        <v/>
      </c>
      <c r="CW308" s="403" t="str">
        <f ca="1">IF(SUM(CW304:$EI304)=0,"",IF(CW$227="","",CW$227+CW304-1))</f>
        <v/>
      </c>
      <c r="CX308" s="403" t="str">
        <f ca="1">IF(SUM(CX304:$EI304)=0,"",IF(CX$227="","",CX$227+CX304-1))</f>
        <v/>
      </c>
      <c r="CY308" s="403" t="str">
        <f ca="1">IF(SUM(CY304:$EI304)=0,"",IF(CY$227="","",CY$227+CY304-1))</f>
        <v/>
      </c>
      <c r="CZ308" s="403" t="str">
        <f ca="1">IF(SUM(CZ304:$EI304)=0,"",IF(CZ$227="","",CZ$227+CZ304-1))</f>
        <v/>
      </c>
      <c r="DA308" s="403" t="str">
        <f ca="1">IF(SUM(DA304:$EI304)=0,"",IF(DA$227="","",DA$227+DA304-1))</f>
        <v/>
      </c>
      <c r="DB308" s="403" t="str">
        <f ca="1">IF(SUM(DB304:$EI304)=0,"",IF(DB$227="","",DB$227+DB304-1))</f>
        <v/>
      </c>
      <c r="DC308" s="403" t="str">
        <f ca="1">IF(SUM(DC304:$EI304)=0,"",IF(DC$227="","",DC$227+DC304-1))</f>
        <v/>
      </c>
      <c r="DD308" s="403" t="str">
        <f ca="1">IF(SUM(DD304:$EI304)=0,"",IF(DD$227="","",DD$227+DD304-1))</f>
        <v/>
      </c>
      <c r="DE308" s="403" t="str">
        <f ca="1">IF(SUM(DE304:$EI304)=0,"",IF(DE$227="","",DE$227+DE304-1))</f>
        <v/>
      </c>
      <c r="DF308" s="403" t="str">
        <f ca="1">IF(SUM(DF304:$EI304)=0,"",IF(DF$227="","",DF$227+DF304-1))</f>
        <v/>
      </c>
      <c r="DG308" s="403" t="str">
        <f ca="1">IF(SUM(DG304:$EI304)=0,"",IF(DG$227="","",DG$227+DG304-1))</f>
        <v/>
      </c>
      <c r="DH308" s="403" t="str">
        <f ca="1">IF(SUM(DH304:$EI304)=0,"",IF(DH$227="","",DH$227+DH304-1))</f>
        <v/>
      </c>
      <c r="DI308" s="403" t="str">
        <f ca="1">IF(SUM(DI304:$EI304)=0,"",IF(DI$227="","",DI$227+DI304-1))</f>
        <v/>
      </c>
      <c r="DJ308" s="403" t="str">
        <f ca="1">IF(SUM(DJ304:$EI304)=0,"",IF(DJ$227="","",DJ$227+DJ304-1))</f>
        <v/>
      </c>
      <c r="DK308" s="403" t="str">
        <f ca="1">IF(SUM(DK304:$EI304)=0,"",IF(DK$227="","",DK$227+DK304-1))</f>
        <v/>
      </c>
      <c r="DL308" s="403" t="str">
        <f ca="1">IF(SUM(DL304:$EI304)=0,"",IF(DL$227="","",DL$227+DL304-1))</f>
        <v/>
      </c>
      <c r="DM308" s="403" t="str">
        <f ca="1">IF(SUM(DM304:$EI304)=0,"",IF(DM$227="","",DM$227+DM304-1))</f>
        <v/>
      </c>
      <c r="DN308" s="403" t="str">
        <f ca="1">IF(SUM(DN304:$EI304)=0,"",IF(DN$227="","",DN$227+DN304-1))</f>
        <v/>
      </c>
      <c r="DO308" s="403" t="str">
        <f ca="1">IF(SUM(DO304:$EI304)=0,"",IF(DO$227="","",DO$227+DO304-1))</f>
        <v/>
      </c>
      <c r="DP308" s="403" t="str">
        <f ca="1">IF(SUM(DP304:$EI304)=0,"",IF(DP$227="","",DP$227+DP304-1))</f>
        <v/>
      </c>
      <c r="DQ308" s="403" t="str">
        <f ca="1">IF(SUM(DQ304:$EI304)=0,"",IF(DQ$227="","",DQ$227+DQ304-1))</f>
        <v/>
      </c>
      <c r="DR308" s="403" t="str">
        <f ca="1">IF(SUM(DR304:$EI304)=0,"",IF(DR$227="","",DR$227+DR304-1))</f>
        <v/>
      </c>
      <c r="DS308" s="403" t="str">
        <f ca="1">IF(SUM(DS304:$EI304)=0,"",IF(DS$227="","",DS$227+DS304-1))</f>
        <v/>
      </c>
      <c r="DT308" s="403" t="str">
        <f ca="1">IF(SUM(DT304:$EI304)=0,"",IF(DT$227="","",DT$227+DT304-1))</f>
        <v/>
      </c>
      <c r="DU308" s="403" t="str">
        <f ca="1">IF(SUM(DU304:$EI304)=0,"",IF(DU$227="","",DU$227+DU304-1))</f>
        <v/>
      </c>
      <c r="DV308" s="403" t="str">
        <f ca="1">IF(SUM(DV304:$EI304)=0,"",IF(DV$227="","",DV$227+DV304-1))</f>
        <v/>
      </c>
      <c r="DW308" s="403" t="str">
        <f ca="1">IF(SUM(DW304:$EI304)=0,"",IF(DW$227="","",DW$227+DW304-1))</f>
        <v/>
      </c>
      <c r="DX308" s="403" t="str">
        <f ca="1">IF(SUM(DX304:$EI304)=0,"",IF(DX$227="","",DX$227+DX304-1))</f>
        <v/>
      </c>
      <c r="DY308" s="403" t="str">
        <f ca="1">IF(SUM(DY304:$EI304)=0,"",IF(DY$227="","",DY$227+DY304-1))</f>
        <v/>
      </c>
      <c r="DZ308" s="403" t="str">
        <f ca="1">IF(SUM(DZ304:$EI304)=0,"",IF(DZ$227="","",DZ$227+DZ304-1))</f>
        <v/>
      </c>
      <c r="EA308" s="403" t="str">
        <f ca="1">IF(SUM(EA304:$EI304)=0,"",IF(EA$227="","",EA$227+EA304-1))</f>
        <v/>
      </c>
      <c r="EB308" s="403" t="str">
        <f ca="1">IF(SUM(EB304:$EI304)=0,"",IF(EB$227="","",EB$227+EB304-1))</f>
        <v/>
      </c>
      <c r="EC308" s="403" t="str">
        <f ca="1">IF(SUM(EC304:$EI304)=0,"",IF(EC$227="","",EC$227+EC304-1))</f>
        <v/>
      </c>
      <c r="ED308" s="403" t="str">
        <f ca="1">IF(SUM(ED304:$EI304)=0,"",IF(ED$227="","",ED$227+ED304-1))</f>
        <v/>
      </c>
      <c r="EE308" s="403" t="str">
        <f ca="1">IF(SUM(EE304:$EI304)=0,"",IF(EE$227="","",EE$227+EE304-1))</f>
        <v/>
      </c>
      <c r="EF308" s="403" t="str">
        <f ca="1">IF(SUM(EF304:$EI304)=0,"",IF(EF$227="","",EF$227+EF304-1))</f>
        <v/>
      </c>
      <c r="EG308" s="403" t="str">
        <f ca="1">IF(SUM(EG304:$EI304)=0,"",IF(EG$227="","",EG$227+EG304-1))</f>
        <v/>
      </c>
      <c r="EH308" s="403" t="str">
        <f ca="1">IF(SUM(EH304:$EI304)=0,"",IF(EH$227="","",EH$227+EH304-1))</f>
        <v/>
      </c>
      <c r="EI308" s="403" t="str">
        <f ca="1">IF(SUM(EI304:$EI304)=0,"",IF(EI$227="","",EI$227+EI304-1))</f>
        <v/>
      </c>
    </row>
    <row r="309" spans="1:141" ht="30" outlineLevel="1" collapsed="1">
      <c r="A309" s="332"/>
      <c r="B309" s="313"/>
      <c r="C309" s="317" t="s">
        <v>79</v>
      </c>
      <c r="D309" s="317" t="s">
        <v>676</v>
      </c>
      <c r="E309" s="400">
        <f ca="1">IF(ГРП!B24=0,длительность!I132,ГРП!B24)</f>
        <v>102</v>
      </c>
      <c r="F309" s="318">
        <f ca="1">E309-SUM(G309:EJ309)</f>
        <v>0</v>
      </c>
      <c r="G309" s="401"/>
      <c r="H309" s="401">
        <f ca="1">IF(SUM($G309:G309)&gt;=$E309,0,IF($E309-SUM($G309:G309)&gt;H310,H310,$E309-SUM($G310:G310)))</f>
        <v>0</v>
      </c>
      <c r="I309" s="401">
        <f ca="1">IF(SUM($G309:H309)&gt;=$E309,0,IF($E309-SUM($G309:H309)&gt;I310,I310,$E309-SUM($G310:H310)))</f>
        <v>0</v>
      </c>
      <c r="J309" s="401">
        <f ca="1">IF(SUM($G309:I309)&gt;=$E309,0,IF($E309-SUM($G309:I309)&gt;J310,J310,$E309-SUM($G310:I310)))</f>
        <v>0</v>
      </c>
      <c r="K309" s="401">
        <f ca="1">IF(SUM($G309:J309)&gt;=$E309,0,IF($E309-SUM($G309:J309)&gt;K310,K310,$E309-SUM($G310:J310)))</f>
        <v>0</v>
      </c>
      <c r="L309" s="401">
        <f ca="1">IF(SUM($G309:K309)&gt;=$E309,0,IF($E309-SUM($G309:K309)&gt;L310,L310,$E309-SUM($G310:K310)))</f>
        <v>0</v>
      </c>
      <c r="M309" s="401">
        <f ca="1">IF(SUM($G309:L309)&gt;=$E309,0,IF($E309-SUM($G309:L309)&gt;M310,M310,$E309-SUM($G310:L310)))</f>
        <v>0</v>
      </c>
      <c r="N309" s="401">
        <f ca="1">IF(SUM($G309:M309)&gt;=$E309,0,IF($E309-SUM($G309:M309)&gt;N310,N310,$E309-SUM($G310:M310)))</f>
        <v>0</v>
      </c>
      <c r="O309" s="401">
        <f ca="1">IF(SUM($G309:N309)&gt;=$E309,0,IF($E309-SUM($G309:N309)&gt;O310,O310,$E309-SUM($G310:N310)))</f>
        <v>0</v>
      </c>
      <c r="P309" s="401">
        <f ca="1">IF(SUM($G309:O309)&gt;=$E309,0,IF($E309-SUM($G309:O309)&gt;P310,P310,$E309-SUM($G310:O310)))</f>
        <v>0</v>
      </c>
      <c r="Q309" s="401">
        <f ca="1">IF(SUM($G309:P309)&gt;=$E309,0,IF($E309-SUM($G309:P309)&gt;Q310,Q310,$E309-SUM($G310:P310)))</f>
        <v>0</v>
      </c>
      <c r="R309" s="401">
        <f ca="1">IF(SUM($G309:Q309)&gt;=$E309,0,IF($E309-SUM($G309:Q309)&gt;R310,R310,$E309-SUM($G310:Q310)))</f>
        <v>0</v>
      </c>
      <c r="S309" s="401">
        <f ca="1">IF(SUM($G309:R309)&gt;=$E309,0,IF($E309-SUM($G309:R309)&gt;S310,S310,$E309-SUM($G310:R310)))</f>
        <v>0</v>
      </c>
      <c r="T309" s="401">
        <f ca="1">IF(SUM($G309:S309)&gt;=$E309,0,IF($E309-SUM($G309:S309)&gt;T310,T310,$E309-SUM($G310:S310)))</f>
        <v>0</v>
      </c>
      <c r="U309" s="401">
        <f ca="1">IF(SUM($G309:T309)&gt;=$E309,0,IF($E309-SUM($G309:T309)&gt;U310,U310,$E309-SUM($G310:T310)))</f>
        <v>0</v>
      </c>
      <c r="V309" s="401">
        <f ca="1">IF(SUM($G309:U309)&gt;=$E309,0,IF($E309-SUM($G309:U309)&gt;V310,V310,$E309-SUM($G310:U310)))</f>
        <v>0</v>
      </c>
      <c r="W309" s="401">
        <f ca="1">IF(SUM($G309:V309)&gt;=$E309,0,IF($E309-SUM($G309:V309)&gt;W310,W310,$E309-SUM($G310:V310)))</f>
        <v>0</v>
      </c>
      <c r="X309" s="401">
        <f ca="1">IF(SUM($G309:W309)&gt;=$E309,0,IF($E309-SUM($G309:W309)&gt;X310,X310,$E309-SUM($G310:W310)))</f>
        <v>0</v>
      </c>
      <c r="Y309" s="401">
        <f ca="1">IF(SUM($G309:X309)&gt;=$E309,0,IF($E309-SUM($G309:X309)&gt;Y310,Y310,$E309-SUM($G310:X310)))</f>
        <v>0</v>
      </c>
      <c r="Z309" s="401">
        <f ca="1">IF(SUM($G309:Y309)&gt;=$E309,0,IF($E309-SUM($G309:Y309)&gt;Z310,Z310,$E309-SUM($G310:Y310)))</f>
        <v>0</v>
      </c>
      <c r="AA309" s="401">
        <f ca="1">IF(SUM($G309:Z309)&gt;=$E309,0,IF($E309-SUM($G309:Z309)&gt;AA310,AA310,$E309-SUM($G310:Z310)))</f>
        <v>0</v>
      </c>
      <c r="AB309" s="401">
        <f ca="1">IF(SUM($G309:AA309)&gt;=$E309,0,IF($E309-SUM($G309:AA309)&gt;AB310,AB310,$E309-SUM($G310:AA310)))</f>
        <v>0</v>
      </c>
      <c r="AC309" s="401">
        <f ca="1">IF(SUM($G309:AB309)&gt;=$E309,0,IF($E309-SUM($G309:AB309)&gt;AC310,AC310,$E309-SUM($G310:AB310)))</f>
        <v>0</v>
      </c>
      <c r="AD309" s="401">
        <f ca="1">IF(SUM($G309:AC309)&gt;=$E309,0,IF($E309-SUM($G309:AC309)&gt;AD310,AD310,$E309-SUM($G310:AC310)))</f>
        <v>0</v>
      </c>
      <c r="AE309" s="401">
        <f ca="1">IF(SUM($G309:AD309)&gt;=$E309,0,IF($E309-SUM($G309:AD309)&gt;AE310,AE310,$E309-SUM($G310:AD310)))</f>
        <v>0</v>
      </c>
      <c r="AF309" s="401">
        <f ca="1">IF(SUM($G309:AE309)&gt;=$E309,0,IF($E309-SUM($G309:AE309)&gt;AF310,AF310,$E309-SUM($G310:AE310)))</f>
        <v>0</v>
      </c>
      <c r="AG309" s="401">
        <f ca="1">IF(SUM($G309:AF309)&gt;=$E309,0,IF($E309-SUM($G309:AF309)&gt;AG310,AG310,$E309-SUM($G310:AF310)))</f>
        <v>0</v>
      </c>
      <c r="AH309" s="401">
        <f ca="1">IF(SUM($G309:AG309)&gt;=$E309,0,IF($E309-SUM($G309:AG309)&gt;AH310,AH310,$E309-SUM($G310:AG310)))</f>
        <v>0</v>
      </c>
      <c r="AI309" s="401">
        <f ca="1">IF(SUM($G309:AH309)&gt;=$E309,0,IF($E309-SUM($G309:AH309)&gt;AI310,AI310,$E309-SUM($G310:AH310)))</f>
        <v>0</v>
      </c>
      <c r="AJ309" s="401">
        <f ca="1">IF(SUM($G309:AI309)&gt;=$E309,0,IF($E309-SUM($G309:AI309)&gt;AJ310,AJ310,$E309-SUM($G310:AI310)))</f>
        <v>0</v>
      </c>
      <c r="AK309" s="401">
        <f ca="1">IF(SUM($G309:AJ309)&gt;=$E309,0,IF($E309-SUM($G309:AJ309)&gt;AK310,AK310,$E309-SUM($G310:AJ310)))</f>
        <v>0</v>
      </c>
      <c r="AL309" s="401">
        <f ca="1">IF(SUM($G309:AK309)&gt;=$E309,0,IF($E309-SUM($G309:AK309)&gt;AL310,AL310,$E309-SUM($G310:AK310)))</f>
        <v>0</v>
      </c>
      <c r="AM309" s="401">
        <f ca="1">IF(SUM($G309:AL309)&gt;=$E309,0,IF($E309-SUM($G309:AL309)&gt;AM310,AM310,$E309-SUM($G310:AL310)))</f>
        <v>0</v>
      </c>
      <c r="AN309" s="401">
        <f ca="1">IF(SUM($G309:AM309)&gt;=$E309,0,IF($E309-SUM($G309:AM309)&gt;AN310,AN310,$E309-SUM($G310:AM310)))</f>
        <v>0</v>
      </c>
      <c r="AO309" s="401">
        <f ca="1">IF(SUM($G309:AN309)&gt;=$E309,0,IF($E309-SUM($G309:AN309)&gt;AO310,AO310,$E309-SUM($G310:AN310)))</f>
        <v>0</v>
      </c>
      <c r="AP309" s="401">
        <f ca="1">IF(SUM($G309:AO309)&gt;=$E309,0,IF($E309-SUM($G309:AO309)&gt;AP310,AP310,$E309-SUM($G310:AO310)))</f>
        <v>0</v>
      </c>
      <c r="AQ309" s="401">
        <f ca="1">IF(SUM($G309:AP309)&gt;=$E309,0,IF($E309-SUM($G309:AP309)&gt;AQ310,AQ310,$E309-SUM($G310:AP310)))</f>
        <v>0</v>
      </c>
      <c r="AR309" s="401">
        <f ca="1">IF(SUM($G309:AQ309)&gt;=$E309,0,IF($E309-SUM($G309:AQ309)&gt;AR310,AR310,$E309-SUM($G310:AQ310)))</f>
        <v>0</v>
      </c>
      <c r="AS309" s="401">
        <f ca="1">IF(SUM($G309:AR309)&gt;=$E309,0,IF($E309-SUM($G309:AR309)&gt;AS310,AS310,$E309-SUM($G310:AR310)))</f>
        <v>0</v>
      </c>
      <c r="AT309" s="401">
        <f ca="1">IF(SUM($G309:AS309)&gt;=$E309,0,IF($E309-SUM($G309:AS309)&gt;AT310,AT310,$E309-SUM($G310:AS310)))</f>
        <v>0</v>
      </c>
      <c r="AU309" s="401">
        <f ca="1">IF(SUM($G309:AT309)&gt;=$E309,0,IF($E309-SUM($G309:AT309)&gt;AU310,AU310,$E309-SUM($G310:AT310)))</f>
        <v>0</v>
      </c>
      <c r="AV309" s="401">
        <f ca="1">IF(SUM($G309:AU309)&gt;=$E309,0,IF($E309-SUM($G309:AU309)&gt;AV310,AV310,$E309-SUM($G310:AU310)))</f>
        <v>0</v>
      </c>
      <c r="AW309" s="401">
        <f ca="1">IF(SUM($G309:AV309)&gt;=$E309,0,IF($E309-SUM($G309:AV309)&gt;AW310,AW310,$E309-SUM($G310:AV310)))</f>
        <v>0</v>
      </c>
      <c r="AX309" s="401">
        <f ca="1">IF(SUM($G309:AW309)&gt;=$E309,0,IF($E309-SUM($G309:AW309)&gt;AX310,AX310,$E309-SUM($G310:AW310)))</f>
        <v>0</v>
      </c>
      <c r="AY309" s="401">
        <f ca="1">IF(SUM($G309:AX309)&gt;=$E309,0,IF($E309-SUM($G309:AX309)&gt;AY310,AY310,$E309-SUM($G310:AX310)))</f>
        <v>0</v>
      </c>
      <c r="AZ309" s="401">
        <f ca="1">IF(SUM($G309:AY309)&gt;=$E309,0,IF($E309-SUM($G309:AY309)&gt;AZ310,AZ310,$E309-SUM($G310:AY310)))</f>
        <v>0</v>
      </c>
      <c r="BA309" s="401">
        <f ca="1">IF(SUM($G309:AZ309)&gt;=$E309,0,IF($E309-SUM($G309:AZ309)&gt;BA310,BA310,$E309-SUM($G310:AZ310)))</f>
        <v>5</v>
      </c>
      <c r="BB309" s="401">
        <f ca="1">IF(SUM($G309:BA309)&gt;=$E309,0,IF($E309-SUM($G309:BA309)&gt;BB310,BB310,$E309-SUM($G310:BA310)))</f>
        <v>28</v>
      </c>
      <c r="BC309" s="401">
        <f ca="1">IF(SUM($G309:BB309)&gt;=$E309,0,IF($E309-SUM($G309:BB309)&gt;BC310,BC310,$E309-SUM($G310:BB310)))</f>
        <v>31</v>
      </c>
      <c r="BD309" s="401">
        <f ca="1">IF(SUM($G309:BC309)&gt;=$E309,0,IF($E309-SUM($G309:BC309)&gt;BD310,BD310,$E309-SUM($G310:BC310)))</f>
        <v>30</v>
      </c>
      <c r="BE309" s="401">
        <f ca="1">IF(SUM($G309:BD309)&gt;=$E309,0,IF($E309-SUM($G309:BD309)&gt;BE310,BE310,$E309-SUM($G310:BD310)))</f>
        <v>8</v>
      </c>
      <c r="BF309" s="401">
        <f ca="1">IF(SUM($G309:BE309)&gt;=$E309,0,IF($E309-SUM($G309:BE309)&gt;BF310,BF310,$E309-SUM($G310:BE310)))</f>
        <v>0</v>
      </c>
      <c r="BG309" s="401">
        <f ca="1">IF(SUM($G309:BF309)&gt;=$E309,0,IF($E309-SUM($G309:BF309)&gt;BG310,BG310,$E309-SUM($G310:BF310)))</f>
        <v>0</v>
      </c>
      <c r="BH309" s="401">
        <f ca="1">IF(SUM($G309:BG309)&gt;=$E309,0,IF($E309-SUM($G309:BG309)&gt;BH310,BH310,$E309-SUM($G310:BG310)))</f>
        <v>0</v>
      </c>
      <c r="BI309" s="401">
        <f ca="1">IF(SUM($G309:BH309)&gt;=$E309,0,IF($E309-SUM($G309:BH309)&gt;BI310,BI310,$E309-SUM($G310:BH310)))</f>
        <v>0</v>
      </c>
      <c r="BJ309" s="401">
        <f ca="1">IF(SUM($G309:BI309)&gt;=$E309,0,IF($E309-SUM($G309:BI309)&gt;BJ310,BJ310,$E309-SUM($G310:BI310)))</f>
        <v>0</v>
      </c>
      <c r="BK309" s="401">
        <f ca="1">IF(SUM($G309:BJ309)&gt;=$E309,0,IF($E309-SUM($G309:BJ309)&gt;BK310,BK310,$E309-SUM($G310:BJ310)))</f>
        <v>0</v>
      </c>
      <c r="BL309" s="401">
        <f ca="1">IF(SUM($G309:BK309)&gt;=$E309,0,IF($E309-SUM($G309:BK309)&gt;BL310,BL310,$E309-SUM($G310:BK310)))</f>
        <v>0</v>
      </c>
      <c r="BM309" s="401">
        <f ca="1">IF(SUM($G309:BL309)&gt;=$E309,0,IF($E309-SUM($G309:BL309)&gt;BM310,BM310,$E309-SUM($G310:BL310)))</f>
        <v>0</v>
      </c>
      <c r="BN309" s="401">
        <f ca="1">IF(SUM($G309:BM309)&gt;=$E309,0,IF($E309-SUM($G309:BM309)&gt;BN310,BN310,$E309-SUM($G310:BM310)))</f>
        <v>0</v>
      </c>
      <c r="BO309" s="401">
        <f ca="1">IF(SUM($G309:BN309)&gt;=$E309,0,IF($E309-SUM($G309:BN309)&gt;BO310,BO310,$E309-SUM($G310:BN310)))</f>
        <v>0</v>
      </c>
      <c r="BP309" s="401">
        <f ca="1">IF(SUM($G309:BO309)&gt;=$E309,0,IF($E309-SUM($G309:BO309)&gt;BP310,BP310,$E309-SUM($G310:BO310)))</f>
        <v>0</v>
      </c>
      <c r="BQ309" s="401">
        <f ca="1">IF(SUM($G309:BP309)&gt;=$E309,0,IF($E309-SUM($G309:BP309)&gt;BQ310,BQ310,$E309-SUM($G310:BP310)))</f>
        <v>0</v>
      </c>
      <c r="BR309" s="401">
        <f ca="1">IF(SUM($G309:BQ309)&gt;=$E309,0,IF($E309-SUM($G309:BQ309)&gt;BR310,BR310,$E309-SUM($G310:BQ310)))</f>
        <v>0</v>
      </c>
      <c r="BS309" s="401">
        <f ca="1">IF(SUM($G309:BR309)&gt;=$E309,0,IF($E309-SUM($G309:BR309)&gt;BS310,BS310,$E309-SUM($G310:BR310)))</f>
        <v>0</v>
      </c>
      <c r="BT309" s="401">
        <f ca="1">IF(SUM($G309:BS309)&gt;=$E309,0,IF($E309-SUM($G309:BS309)&gt;BT310,BT310,$E309-SUM($G310:BS310)))</f>
        <v>0</v>
      </c>
      <c r="BU309" s="401">
        <f ca="1">IF(SUM($G309:BT309)&gt;=$E309,0,IF($E309-SUM($G309:BT309)&gt;BU310,BU310,$E309-SUM($G310:BT310)))</f>
        <v>0</v>
      </c>
      <c r="BV309" s="401">
        <f ca="1">IF(SUM($G309:BU309)&gt;=$E309,0,IF($E309-SUM($G309:BU309)&gt;BV310,BV310,$E309-SUM($G310:BU310)))</f>
        <v>0</v>
      </c>
      <c r="BW309" s="401">
        <f ca="1">IF(SUM($G309:BV309)&gt;=$E309,0,IF($E309-SUM($G309:BV309)&gt;BW310,BW310,$E309-SUM($G310:BV310)))</f>
        <v>0</v>
      </c>
      <c r="BX309" s="401">
        <f ca="1">IF(SUM($G309:BW309)&gt;=$E309,0,IF($E309-SUM($G309:BW309)&gt;BX310,BX310,$E309-SUM($G310:BW310)))</f>
        <v>0</v>
      </c>
      <c r="BY309" s="401">
        <f ca="1">IF(SUM($G309:BX309)&gt;=$E309,0,IF($E309-SUM($G309:BX309)&gt;BY310,BY310,$E309-SUM($G310:BX310)))</f>
        <v>0</v>
      </c>
      <c r="BZ309" s="401">
        <f ca="1">IF(SUM($G309:BY309)&gt;=$E309,0,IF($E309-SUM($G309:BY309)&gt;BZ310,BZ310,$E309-SUM($G310:BY310)))</f>
        <v>0</v>
      </c>
      <c r="CA309" s="401">
        <f ca="1">IF(SUM($G309:BZ309)&gt;=$E309,0,IF($E309-SUM($G309:BZ309)&gt;CA310,CA310,$E309-SUM($G310:BZ310)))</f>
        <v>0</v>
      </c>
      <c r="CB309" s="401">
        <f ca="1">IF(SUM($G309:CA309)&gt;=$E309,0,IF($E309-SUM($G309:CA309)&gt;CB310,CB310,$E309-SUM($G310:CA310)))</f>
        <v>0</v>
      </c>
      <c r="CC309" s="401">
        <f ca="1">IF(SUM($G309:CB309)&gt;=$E309,0,IF($E309-SUM($G309:CB309)&gt;CC310,CC310,$E309-SUM($G310:CB310)))</f>
        <v>0</v>
      </c>
      <c r="CD309" s="401">
        <f ca="1">IF(SUM($G309:CC309)&gt;=$E309,0,IF($E309-SUM($G309:CC309)&gt;CD310,CD310,$E309-SUM($G310:CC310)))</f>
        <v>0</v>
      </c>
      <c r="CE309" s="401">
        <f ca="1">IF(SUM($G309:CD309)&gt;=$E309,0,IF($E309-SUM($G309:CD309)&gt;CE310,CE310,$E309-SUM($G310:CD310)))</f>
        <v>0</v>
      </c>
      <c r="CF309" s="401">
        <f ca="1">IF(SUM($G309:CE309)&gt;=$E309,0,IF($E309-SUM($G309:CE309)&gt;CF310,CF310,$E309-SUM($G310:CE310)))</f>
        <v>0</v>
      </c>
      <c r="CG309" s="401">
        <f ca="1">IF(SUM($G309:CF309)&gt;=$E309,0,IF($E309-SUM($G309:CF309)&gt;CG310,CG310,$E309-SUM($G310:CF310)))</f>
        <v>0</v>
      </c>
      <c r="CH309" s="401">
        <f ca="1">IF(SUM($G309:CG309)&gt;=$E309,0,IF($E309-SUM($G309:CG309)&gt;CH310,CH310,$E309-SUM($G310:CG310)))</f>
        <v>0</v>
      </c>
      <c r="CI309" s="401">
        <f ca="1">IF(SUM($G309:CH309)&gt;=$E309,0,IF($E309-SUM($G309:CH309)&gt;CI310,CI310,$E309-SUM($G310:CH310)))</f>
        <v>0</v>
      </c>
      <c r="CJ309" s="401">
        <f ca="1">IF(SUM($G309:CI309)&gt;=$E309,0,IF($E309-SUM($G309:CI309)&gt;CJ310,CJ310,$E309-SUM($G310:CI310)))</f>
        <v>0</v>
      </c>
      <c r="CK309" s="401">
        <f ca="1">IF(SUM($G309:CJ309)&gt;=$E309,0,IF($E309-SUM($G309:CJ309)&gt;CK310,CK310,$E309-SUM($G310:CJ310)))</f>
        <v>0</v>
      </c>
      <c r="CL309" s="401">
        <f ca="1">IF(SUM($G309:CK309)&gt;=$E309,0,IF($E309-SUM($G309:CK309)&gt;CL310,CL310,$E309-SUM($G310:CK310)))</f>
        <v>0</v>
      </c>
      <c r="CM309" s="401">
        <f ca="1">IF(SUM($G309:CL309)&gt;=$E309,0,IF($E309-SUM($G309:CL309)&gt;CM310,CM310,$E309-SUM($G310:CL310)))</f>
        <v>0</v>
      </c>
      <c r="CN309" s="401">
        <f ca="1">IF(SUM($G309:CM309)&gt;=$E309,0,IF($E309-SUM($G309:CM309)&gt;CN310,CN310,$E309-SUM($G310:CM310)))</f>
        <v>0</v>
      </c>
      <c r="CO309" s="401">
        <f ca="1">IF(SUM($G309:CN309)&gt;=$E309,0,IF($E309-SUM($G309:CN309)&gt;CO310,CO310,$E309-SUM($G310:CN310)))</f>
        <v>0</v>
      </c>
      <c r="CP309" s="401">
        <f ca="1">IF(SUM($G309:CO309)&gt;=$E309,0,IF($E309-SUM($G309:CO309)&gt;CP310,CP310,$E309-SUM($G310:CO310)))</f>
        <v>0</v>
      </c>
      <c r="CQ309" s="401">
        <f ca="1">IF(SUM($G309:CP309)&gt;=$E309,0,IF($E309-SUM($G309:CP309)&gt;CQ310,CQ310,$E309-SUM($G310:CP310)))</f>
        <v>0</v>
      </c>
      <c r="CR309" s="401">
        <f ca="1">IF(SUM($G309:CQ309)&gt;=$E309,0,IF($E309-SUM($G309:CQ309)&gt;CR310,CR310,$E309-SUM($G310:CQ310)))</f>
        <v>0</v>
      </c>
      <c r="CS309" s="401">
        <f ca="1">IF(SUM($G309:CR309)&gt;=$E309,0,IF($E309-SUM($G309:CR309)&gt;CS310,CS310,$E309-SUM($G310:CR310)))</f>
        <v>0</v>
      </c>
      <c r="CT309" s="401">
        <f ca="1">IF(SUM($G309:CS309)&gt;=$E309,0,IF($E309-SUM($G309:CS309)&gt;CT310,CT310,$E309-SUM($G310:CS310)))</f>
        <v>0</v>
      </c>
      <c r="CU309" s="401">
        <f ca="1">IF(SUM($G309:CT309)&gt;=$E309,0,IF($E309-SUM($G309:CT309)&gt;CU310,CU310,$E309-SUM($G310:CT310)))</f>
        <v>0</v>
      </c>
      <c r="CV309" s="401">
        <f ca="1">IF(SUM($G309:CU309)&gt;=$E309,0,IF($E309-SUM($G309:CU309)&gt;CV310,CV310,$E309-SUM($G310:CU310)))</f>
        <v>0</v>
      </c>
      <c r="CW309" s="401">
        <f ca="1">IF(SUM($G309:CV309)&gt;=$E309,0,IF($E309-SUM($G309:CV309)&gt;CW310,CW310,$E309-SUM($G310:CV310)))</f>
        <v>0</v>
      </c>
      <c r="CX309" s="401">
        <f ca="1">IF(SUM($G309:CW309)&gt;=$E309,0,IF($E309-SUM($G309:CW309)&gt;CX310,CX310,$E309-SUM($G310:CW310)))</f>
        <v>0</v>
      </c>
      <c r="CY309" s="401">
        <f ca="1">IF(SUM($G309:CX309)&gt;=$E309,0,IF($E309-SUM($G309:CX309)&gt;CY310,CY310,$E309-SUM($G310:CX310)))</f>
        <v>0</v>
      </c>
      <c r="CZ309" s="401">
        <f ca="1">IF(SUM($G309:CY309)&gt;=$E309,0,IF($E309-SUM($G309:CY309)&gt;CZ310,CZ310,$E309-SUM($G310:CY310)))</f>
        <v>0</v>
      </c>
      <c r="DA309" s="401">
        <f ca="1">IF(SUM($G309:CZ309)&gt;=$E309,0,IF($E309-SUM($G309:CZ309)&gt;DA310,DA310,$E309-SUM($G310:CZ310)))</f>
        <v>0</v>
      </c>
      <c r="DB309" s="401">
        <f ca="1">IF(SUM($G309:DA309)&gt;=$E309,0,IF($E309-SUM($G309:DA309)&gt;DB310,DB310,$E309-SUM($G310:DA310)))</f>
        <v>0</v>
      </c>
      <c r="DC309" s="401">
        <f ca="1">IF(SUM($G309:DB309)&gt;=$E309,0,IF($E309-SUM($G309:DB309)&gt;DC310,DC310,$E309-SUM($G310:DB310)))</f>
        <v>0</v>
      </c>
      <c r="DD309" s="401">
        <f ca="1">IF(SUM($G309:DC309)&gt;=$E309,0,IF($E309-SUM($G309:DC309)&gt;DD310,DD310,$E309-SUM($G310:DC310)))</f>
        <v>0</v>
      </c>
      <c r="DE309" s="401">
        <f ca="1">IF(SUM($G309:DD309)&gt;=$E309,0,IF($E309-SUM($G309:DD309)&gt;DE310,DE310,$E309-SUM($G310:DD310)))</f>
        <v>0</v>
      </c>
      <c r="DF309" s="401">
        <f ca="1">IF(SUM($G309:DE309)&gt;=$E309,0,IF($E309-SUM($G309:DE309)&gt;DF310,DF310,$E309-SUM($G310:DE310)))</f>
        <v>0</v>
      </c>
      <c r="DG309" s="401">
        <f ca="1">IF(SUM($G309:DF309)&gt;=$E309,0,IF($E309-SUM($G309:DF309)&gt;DG310,DG310,$E309-SUM($G310:DF310)))</f>
        <v>0</v>
      </c>
      <c r="DH309" s="401">
        <f ca="1">IF(SUM($G309:DG309)&gt;=$E309,0,IF($E309-SUM($G309:DG309)&gt;DH310,DH310,$E309-SUM($G310:DG310)))</f>
        <v>0</v>
      </c>
      <c r="DI309" s="401">
        <f ca="1">IF(SUM($G309:DH309)&gt;=$E309,0,IF($E309-SUM($G309:DH309)&gt;DI310,DI310,$E309-SUM($G310:DH310)))</f>
        <v>0</v>
      </c>
      <c r="DJ309" s="401">
        <f ca="1">IF(SUM($G309:DI309)&gt;=$E309,0,IF($E309-SUM($G309:DI309)&gt;DJ310,DJ310,$E309-SUM($G310:DI310)))</f>
        <v>0</v>
      </c>
      <c r="DK309" s="401">
        <f ca="1">IF(SUM($G309:DJ309)&gt;=$E309,0,IF($E309-SUM($G309:DJ309)&gt;DK310,DK310,$E309-SUM($G310:DJ310)))</f>
        <v>0</v>
      </c>
      <c r="DL309" s="401">
        <f ca="1">IF(SUM($G309:DK309)&gt;=$E309,0,IF($E309-SUM($G309:DK309)&gt;DL310,DL310,$E309-SUM($G310:DK310)))</f>
        <v>0</v>
      </c>
      <c r="DM309" s="401">
        <f ca="1">IF(SUM($G309:DL309)&gt;=$E309,0,IF($E309-SUM($G309:DL309)&gt;DM310,DM310,$E309-SUM($G310:DL310)))</f>
        <v>0</v>
      </c>
      <c r="DN309" s="401">
        <f ca="1">IF(SUM($G309:DM309)&gt;=$E309,0,IF($E309-SUM($G309:DM309)&gt;DN310,DN310,$E309-SUM($G310:DM310)))</f>
        <v>0</v>
      </c>
      <c r="DO309" s="401">
        <f ca="1">IF(SUM($G309:DN309)&gt;=$E309,0,IF($E309-SUM($G309:DN309)&gt;DO310,DO310,$E309-SUM($G310:DN310)))</f>
        <v>0</v>
      </c>
      <c r="DP309" s="401">
        <f ca="1">IF(SUM($G309:DO309)&gt;=$E309,0,IF($E309-SUM($G309:DO309)&gt;DP310,DP310,$E309-SUM($G310:DO310)))</f>
        <v>0</v>
      </c>
      <c r="DQ309" s="401">
        <f ca="1">IF(SUM($G309:DP309)&gt;=$E309,0,IF($E309-SUM($G309:DP309)&gt;DQ310,DQ310,$E309-SUM($G310:DP310)))</f>
        <v>0</v>
      </c>
      <c r="DR309" s="401">
        <f ca="1">IF(SUM($G309:DQ309)&gt;=$E309,0,IF($E309-SUM($G309:DQ309)&gt;DR310,DR310,$E309-SUM($G310:DQ310)))</f>
        <v>0</v>
      </c>
      <c r="DS309" s="401">
        <f ca="1">IF(SUM($G309:DR309)&gt;=$E309,0,IF($E309-SUM($G309:DR309)&gt;DS310,DS310,$E309-SUM($G310:DR310)))</f>
        <v>0</v>
      </c>
      <c r="DT309" s="401">
        <f ca="1">IF(SUM($G309:DS309)&gt;=$E309,0,IF($E309-SUM($G309:DS309)&gt;DT310,DT310,$E309-SUM($G310:DS310)))</f>
        <v>0</v>
      </c>
      <c r="DU309" s="401">
        <f ca="1">IF(SUM($G309:DT309)&gt;=$E309,0,IF($E309-SUM($G309:DT309)&gt;DU310,DU310,$E309-SUM($G310:DT310)))</f>
        <v>0</v>
      </c>
      <c r="DV309" s="401">
        <f ca="1">IF(SUM($G309:DU309)&gt;=$E309,0,IF($E309-SUM($G309:DU309)&gt;DV310,DV310,$E309-SUM($G310:DU310)))</f>
        <v>0</v>
      </c>
      <c r="DW309" s="401">
        <f ca="1">IF(SUM($G309:DV309)&gt;=$E309,0,IF($E309-SUM($G309:DV309)&gt;DW310,DW310,$E309-SUM($G310:DV310)))</f>
        <v>0</v>
      </c>
      <c r="DX309" s="401">
        <f ca="1">IF(SUM($G309:DW309)&gt;=$E309,0,IF($E309-SUM($G309:DW309)&gt;DX310,DX310,$E309-SUM($G310:DW310)))</f>
        <v>0</v>
      </c>
      <c r="DY309" s="401">
        <f ca="1">IF(SUM($G309:DX309)&gt;=$E309,0,IF($E309-SUM($G309:DX309)&gt;DY310,DY310,$E309-SUM($G310:DX310)))</f>
        <v>0</v>
      </c>
      <c r="DZ309" s="401">
        <f ca="1">IF(SUM($G309:DY309)&gt;=$E309,0,IF($E309-SUM($G309:DY309)&gt;DZ310,DZ310,$E309-SUM($G310:DY310)))</f>
        <v>0</v>
      </c>
      <c r="EA309" s="401">
        <f ca="1">IF(SUM($G309:DZ309)&gt;=$E309,0,IF($E309-SUM($G309:DZ309)&gt;EA310,EA310,$E309-SUM($G310:DZ310)))</f>
        <v>0</v>
      </c>
      <c r="EB309" s="401">
        <f ca="1">IF(SUM($G309:EA309)&gt;=$E309,0,IF($E309-SUM($G309:EA309)&gt;EB310,EB310,$E309-SUM($G310:EA310)))</f>
        <v>0</v>
      </c>
      <c r="EC309" s="401">
        <f ca="1">IF(SUM($G309:EB309)&gt;=$E309,0,IF($E309-SUM($G309:EB309)&gt;EC310,EC310,$E309-SUM($G310:EB310)))</f>
        <v>0</v>
      </c>
      <c r="ED309" s="401">
        <f ca="1">IF(SUM($G309:EC309)&gt;=$E309,0,IF($E309-SUM($G309:EC309)&gt;ED310,ED310,$E309-SUM($G310:EC310)))</f>
        <v>0</v>
      </c>
      <c r="EE309" s="401">
        <f ca="1">IF(SUM($G309:ED309)&gt;=$E309,0,IF($E309-SUM($G309:ED309)&gt;EE310,EE310,$E309-SUM($G310:ED310)))</f>
        <v>0</v>
      </c>
      <c r="EF309" s="401">
        <f ca="1">IF(SUM($G309:EE309)&gt;=$E309,0,IF($E309-SUM($G309:EE309)&gt;EF310,EF310,$E309-SUM($G310:EE310)))</f>
        <v>0</v>
      </c>
      <c r="EG309" s="401">
        <f ca="1">IF(SUM($G309:EF309)&gt;=$E309,0,IF($E309-SUM($G309:EF309)&gt;EG310,EG310,$E309-SUM($G310:EF310)))</f>
        <v>0</v>
      </c>
      <c r="EH309" s="401">
        <f ca="1">IF(SUM($G309:EG309)&gt;=$E309,0,IF($E309-SUM($G309:EG309)&gt;EH310,EH310,$E309-SUM($G310:EG310)))</f>
        <v>0</v>
      </c>
      <c r="EI309" s="401">
        <f ca="1">IF(SUM($G309:EH309)&gt;=$E309,0,IF($E309-SUM($G309:EH309)&gt;EI310,EI310,$E309-SUM($G310:EH310)))</f>
        <v>0</v>
      </c>
      <c r="EK309" s="313"/>
    </row>
    <row r="310" spans="1:141" hidden="1" outlineLevel="2">
      <c r="A310" s="332"/>
      <c r="B310" s="313"/>
      <c r="C310" s="308"/>
      <c r="D310" s="308"/>
      <c r="E310" s="308"/>
      <c r="G310" s="402"/>
      <c r="H310" s="402">
        <f ca="1">IF((SUM($G270:H270)-$E269)&lt;0,0,IF((SUM($G270:H270)-$E269)&lt;H270,SUM($G270:H270)-$E269,H270))</f>
        <v>0</v>
      </c>
      <c r="I310" s="402">
        <f ca="1">IF((SUM($G270:I270)-$E269)&lt;0,0,IF((SUM($G270:I270)-$E269)&lt;I270,SUM($G270:I270)-$E269,I270))</f>
        <v>0</v>
      </c>
      <c r="J310" s="402">
        <f ca="1">IF((SUM($G270:J270)-$E269)&lt;0,0,IF((SUM($G270:J270)-$E269)&lt;J270,SUM($G270:J270)-$E269,J270))</f>
        <v>0</v>
      </c>
      <c r="K310" s="402">
        <f ca="1">IF((SUM($G270:K270)-$E269)&lt;0,0,IF((SUM($G270:K270)-$E269)&lt;K270,SUM($G270:K270)-$E269,K270))</f>
        <v>0</v>
      </c>
      <c r="L310" s="402">
        <f ca="1">IF((SUM($G270:L270)-$E269)&lt;0,0,IF((SUM($G270:L270)-$E269)&lt;L270,SUM($G270:L270)-$E269,L270))</f>
        <v>0</v>
      </c>
      <c r="M310" s="402">
        <f ca="1">IF((SUM($G270:M270)-$E269)&lt;0,0,IF((SUM($G270:M270)-$E269)&lt;M270,SUM($G270:M270)-$E269,M270))</f>
        <v>0</v>
      </c>
      <c r="N310" s="402">
        <f ca="1">IF((SUM($G270:N270)-$E269)&lt;0,0,IF((SUM($G270:N270)-$E269)&lt;N270,SUM($G270:N270)-$E269,N270))</f>
        <v>0</v>
      </c>
      <c r="O310" s="402">
        <f ca="1">IF((SUM($G270:O270)-$E269)&lt;0,0,IF((SUM($G270:O270)-$E269)&lt;O270,SUM($G270:O270)-$E269,O270))</f>
        <v>0</v>
      </c>
      <c r="P310" s="402">
        <f ca="1">IF((SUM($G270:P270)-$E269)&lt;0,0,IF((SUM($G270:P270)-$E269)&lt;P270,SUM($G270:P270)-$E269,P270))</f>
        <v>0</v>
      </c>
      <c r="Q310" s="402">
        <f ca="1">IF((SUM($G270:Q270)-$E269)&lt;0,0,IF((SUM($G270:Q270)-$E269)&lt;Q270,SUM($G270:Q270)-$E269,Q270))</f>
        <v>0</v>
      </c>
      <c r="R310" s="402">
        <f ca="1">IF((SUM($G270:R270)-$E269)&lt;0,0,IF((SUM($G270:R270)-$E269)&lt;R270,SUM($G270:R270)-$E269,R270))</f>
        <v>0</v>
      </c>
      <c r="S310" s="402">
        <f ca="1">IF((SUM($G270:S270)-$E269)&lt;0,0,IF((SUM($G270:S270)-$E269)&lt;S270,SUM($G270:S270)-$E269,S270))</f>
        <v>0</v>
      </c>
      <c r="T310" s="402">
        <f ca="1">IF((SUM($G270:T270)-$E269)&lt;0,0,IF((SUM($G270:T270)-$E269)&lt;T270,SUM($G270:T270)-$E269,T270))</f>
        <v>0</v>
      </c>
      <c r="U310" s="402">
        <f ca="1">IF((SUM($G270:U270)-$E269)&lt;0,0,IF((SUM($G270:U270)-$E269)&lt;U270,SUM($G270:U270)-$E269,U270))</f>
        <v>0</v>
      </c>
      <c r="V310" s="402">
        <f ca="1">IF((SUM($G270:V270)-$E269)&lt;0,0,IF((SUM($G270:V270)-$E269)&lt;V270,SUM($G270:V270)-$E269,V270))</f>
        <v>0</v>
      </c>
      <c r="W310" s="402">
        <f ca="1">IF((SUM($G270:W270)-$E269)&lt;0,0,IF((SUM($G270:W270)-$E269)&lt;W270,SUM($G270:W270)-$E269,W270))</f>
        <v>0</v>
      </c>
      <c r="X310" s="402">
        <f ca="1">IF((SUM($G270:X270)-$E269)&lt;0,0,IF((SUM($G270:X270)-$E269)&lt;X270,SUM($G270:X270)-$E269,X270))</f>
        <v>0</v>
      </c>
      <c r="Y310" s="402">
        <f ca="1">IF((SUM($G270:Y270)-$E269)&lt;0,0,IF((SUM($G270:Y270)-$E269)&lt;Y270,SUM($G270:Y270)-$E269,Y270))</f>
        <v>0</v>
      </c>
      <c r="Z310" s="402">
        <f ca="1">IF((SUM($G270:Z270)-$E269)&lt;0,0,IF((SUM($G270:Z270)-$E269)&lt;Z270,SUM($G270:Z270)-$E269,Z270))</f>
        <v>0</v>
      </c>
      <c r="AA310" s="402">
        <f ca="1">IF((SUM($G270:AA270)-$E269)&lt;0,0,IF((SUM($G270:AA270)-$E269)&lt;AA270,SUM($G270:AA270)-$E269,AA270))</f>
        <v>0</v>
      </c>
      <c r="AB310" s="402">
        <f ca="1">IF((SUM($G270:AB270)-$E269)&lt;0,0,IF((SUM($G270:AB270)-$E269)&lt;AB270,SUM($G270:AB270)-$E269,AB270))</f>
        <v>0</v>
      </c>
      <c r="AC310" s="402">
        <f ca="1">IF((SUM($G270:AC270)-$E269)&lt;0,0,IF((SUM($G270:AC270)-$E269)&lt;AC270,SUM($G270:AC270)-$E269,AC270))</f>
        <v>0</v>
      </c>
      <c r="AD310" s="402">
        <f ca="1">IF((SUM($G270:AD270)-$E269)&lt;0,0,IF((SUM($G270:AD270)-$E269)&lt;AD270,SUM($G270:AD270)-$E269,AD270))</f>
        <v>0</v>
      </c>
      <c r="AE310" s="402">
        <f ca="1">IF((SUM($G270:AE270)-$E269)&lt;0,0,IF((SUM($G270:AE270)-$E269)&lt;AE270,SUM($G270:AE270)-$E269,AE270))</f>
        <v>0</v>
      </c>
      <c r="AF310" s="402">
        <f ca="1">IF((SUM($G270:AF270)-$E269)&lt;0,0,IF((SUM($G270:AF270)-$E269)&lt;AF270,SUM($G270:AF270)-$E269,AF270))</f>
        <v>0</v>
      </c>
      <c r="AG310" s="402">
        <f ca="1">IF((SUM($G270:AG270)-$E269)&lt;0,0,IF((SUM($G270:AG270)-$E269)&lt;AG270,SUM($G270:AG270)-$E269,AG270))</f>
        <v>0</v>
      </c>
      <c r="AH310" s="402">
        <f ca="1">IF((SUM($G270:AH270)-$E269)&lt;0,0,IF((SUM($G270:AH270)-$E269)&lt;AH270,SUM($G270:AH270)-$E269,AH270))</f>
        <v>0</v>
      </c>
      <c r="AI310" s="402">
        <f ca="1">IF((SUM($G270:AI270)-$E269)&lt;0,0,IF((SUM($G270:AI270)-$E269)&lt;AI270,SUM($G270:AI270)-$E269,AI270))</f>
        <v>0</v>
      </c>
      <c r="AJ310" s="402">
        <f ca="1">IF((SUM($G270:AJ270)-$E269)&lt;0,0,IF((SUM($G270:AJ270)-$E269)&lt;AJ270,SUM($G270:AJ270)-$E269,AJ270))</f>
        <v>0</v>
      </c>
      <c r="AK310" s="402">
        <f ca="1">IF((SUM($G270:AK270)-$E269)&lt;0,0,IF((SUM($G270:AK270)-$E269)&lt;AK270,SUM($G270:AK270)-$E269,AK270))</f>
        <v>0</v>
      </c>
      <c r="AL310" s="402">
        <f ca="1">IF((SUM($G270:AL270)-$E269)&lt;0,0,IF((SUM($G270:AL270)-$E269)&lt;AL270,SUM($G270:AL270)-$E269,AL270))</f>
        <v>0</v>
      </c>
      <c r="AM310" s="402">
        <f ca="1">IF((SUM($G270:AM270)-$E269)&lt;0,0,IF((SUM($G270:AM270)-$E269)&lt;AM270,SUM($G270:AM270)-$E269,AM270))</f>
        <v>0</v>
      </c>
      <c r="AN310" s="402">
        <f ca="1">IF((SUM($G270:AN270)-$E269)&lt;0,0,IF((SUM($G270:AN270)-$E269)&lt;AN270,SUM($G270:AN270)-$E269,AN270))</f>
        <v>0</v>
      </c>
      <c r="AO310" s="402">
        <f ca="1">IF((SUM($G270:AO270)-$E269)&lt;0,0,IF((SUM($G270:AO270)-$E269)&lt;AO270,SUM($G270:AO270)-$E269,AO270))</f>
        <v>0</v>
      </c>
      <c r="AP310" s="402">
        <f ca="1">IF((SUM($G270:AP270)-$E269)&lt;0,0,IF((SUM($G270:AP270)-$E269)&lt;AP270,SUM($G270:AP270)-$E269,AP270))</f>
        <v>0</v>
      </c>
      <c r="AQ310" s="402">
        <f ca="1">IF((SUM($G270:AQ270)-$E269)&lt;0,0,IF((SUM($G270:AQ270)-$E269)&lt;AQ270,SUM($G270:AQ270)-$E269,AQ270))</f>
        <v>0</v>
      </c>
      <c r="AR310" s="402">
        <f ca="1">IF((SUM($G270:AR270)-$E269)&lt;0,0,IF((SUM($G270:AR270)-$E269)&lt;AR270,SUM($G270:AR270)-$E269,AR270))</f>
        <v>0</v>
      </c>
      <c r="AS310" s="402">
        <f ca="1">IF((SUM($G270:AS270)-$E269)&lt;0,0,IF((SUM($G270:AS270)-$E269)&lt;AS270,SUM($G270:AS270)-$E269,AS270))</f>
        <v>0</v>
      </c>
      <c r="AT310" s="402">
        <f ca="1">IF((SUM($G270:AT270)-$E269)&lt;0,0,IF((SUM($G270:AT270)-$E269)&lt;AT270,SUM($G270:AT270)-$E269,AT270))</f>
        <v>0</v>
      </c>
      <c r="AU310" s="402">
        <f ca="1">IF((SUM($G270:AU270)-$E269)&lt;0,0,IF((SUM($G270:AU270)-$E269)&lt;AU270,SUM($G270:AU270)-$E269,AU270))</f>
        <v>0</v>
      </c>
      <c r="AV310" s="402">
        <f ca="1">IF((SUM($G270:AV270)-$E269)&lt;0,0,IF((SUM($G270:AV270)-$E269)&lt;AV270,SUM($G270:AV270)-$E269,AV270))</f>
        <v>0</v>
      </c>
      <c r="AW310" s="402">
        <f ca="1">IF((SUM($G270:AW270)-$E269)&lt;0,0,IF((SUM($G270:AW270)-$E269)&lt;AW270,SUM($G270:AW270)-$E269,AW270))</f>
        <v>0</v>
      </c>
      <c r="AX310" s="402">
        <f ca="1">IF((SUM($G270:AX270)-$E269)&lt;0,0,IF((SUM($G270:AX270)-$E269)&lt;AX270,SUM($G270:AX270)-$E269,AX270))</f>
        <v>0</v>
      </c>
      <c r="AY310" s="402">
        <f ca="1">IF((SUM($G270:AY270)-$E269)&lt;0,0,IF((SUM($G270:AY270)-$E269)&lt;AY270,SUM($G270:AY270)-$E269,AY270))</f>
        <v>0</v>
      </c>
      <c r="AZ310" s="402">
        <f ca="1">IF((SUM($G270:AZ270)-$E269)&lt;0,0,IF((SUM($G270:AZ270)-$E269)&lt;AZ270,SUM($G270:AZ270)-$E269,AZ270))</f>
        <v>0</v>
      </c>
      <c r="BA310" s="402">
        <f ca="1">IF((SUM($G270:BA270)-$E269)&lt;0,0,IF((SUM($G270:BA270)-$E269)&lt;BA270,SUM($G270:BA270)-$E269,BA270))</f>
        <v>5</v>
      </c>
      <c r="BB310" s="402">
        <f ca="1">IF((SUM($G270:BB270)-$E269)&lt;0,0,IF((SUM($G270:BB270)-$E269)&lt;BB270,SUM($G270:BB270)-$E269,BB270))</f>
        <v>28</v>
      </c>
      <c r="BC310" s="402">
        <f ca="1">IF((SUM($G270:BC270)-$E269)&lt;0,0,IF((SUM($G270:BC270)-$E269)&lt;BC270,SUM($G270:BC270)-$E269,BC270))</f>
        <v>31</v>
      </c>
      <c r="BD310" s="402">
        <f ca="1">IF((SUM($G270:BD270)-$E269)&lt;0,0,IF((SUM($G270:BD270)-$E269)&lt;BD270,SUM($G270:BD270)-$E269,BD270))</f>
        <v>30</v>
      </c>
      <c r="BE310" s="402">
        <f ca="1">IF((SUM($G270:BE270)-$E269)&lt;0,0,IF((SUM($G270:BE270)-$E269)&lt;BE270,SUM($G270:BE270)-$E269,BE270))</f>
        <v>31</v>
      </c>
      <c r="BF310" s="402">
        <f ca="1">IF((SUM($G270:BF270)-$E269)&lt;0,0,IF((SUM($G270:BF270)-$E269)&lt;BF270,SUM($G270:BF270)-$E269,BF270))</f>
        <v>30</v>
      </c>
      <c r="BG310" s="402">
        <f ca="1">IF((SUM($G270:BG270)-$E269)&lt;0,0,IF((SUM($G270:BG270)-$E269)&lt;BG270,SUM($G270:BG270)-$E269,BG270))</f>
        <v>31</v>
      </c>
      <c r="BH310" s="402">
        <f ca="1">IF((SUM($G270:BH270)-$E269)&lt;0,0,IF((SUM($G270:BH270)-$E269)&lt;BH270,SUM($G270:BH270)-$E269,BH270))</f>
        <v>31</v>
      </c>
      <c r="BI310" s="402">
        <f ca="1">IF((SUM($G270:BI270)-$E269)&lt;0,0,IF((SUM($G270:BI270)-$E269)&lt;BI270,SUM($G270:BI270)-$E269,BI270))</f>
        <v>30</v>
      </c>
      <c r="BJ310" s="402">
        <f ca="1">IF((SUM($G270:BJ270)-$E269)&lt;0,0,IF((SUM($G270:BJ270)-$E269)&lt;BJ270,SUM($G270:BJ270)-$E269,BJ270))</f>
        <v>31</v>
      </c>
      <c r="BK310" s="402">
        <f ca="1">IF((SUM($G270:BK270)-$E269)&lt;0,0,IF((SUM($G270:BK270)-$E269)&lt;BK270,SUM($G270:BK270)-$E269,BK270))</f>
        <v>30</v>
      </c>
      <c r="BL310" s="402">
        <f ca="1">IF((SUM($G270:BL270)-$E269)&lt;0,0,IF((SUM($G270:BL270)-$E269)&lt;BL270,SUM($G270:BL270)-$E269,BL270))</f>
        <v>31</v>
      </c>
      <c r="BM310" s="402">
        <f ca="1">IF((SUM($G270:BM270)-$E269)&lt;0,0,IF((SUM($G270:BM270)-$E269)&lt;BM270,SUM($G270:BM270)-$E269,BM270))</f>
        <v>31</v>
      </c>
      <c r="BN310" s="402">
        <f ca="1">IF((SUM($G270:BN270)-$E269)&lt;0,0,IF((SUM($G270:BN270)-$E269)&lt;BN270,SUM($G270:BN270)-$E269,BN270))</f>
        <v>29</v>
      </c>
      <c r="BO310" s="402">
        <f ca="1">IF((SUM($G270:BO270)-$E269)&lt;0,0,IF((SUM($G270:BO270)-$E269)&lt;BO270,SUM($G270:BO270)-$E269,BO270))</f>
        <v>31</v>
      </c>
      <c r="BP310" s="402">
        <f ca="1">IF((SUM($G270:BP270)-$E269)&lt;0,0,IF((SUM($G270:BP270)-$E269)&lt;BP270,SUM($G270:BP270)-$E269,BP270))</f>
        <v>30</v>
      </c>
      <c r="BQ310" s="402">
        <f ca="1">IF((SUM($G270:BQ270)-$E269)&lt;0,0,IF((SUM($G270:BQ270)-$E269)&lt;BQ270,SUM($G270:BQ270)-$E269,BQ270))</f>
        <v>31</v>
      </c>
      <c r="BR310" s="402">
        <f ca="1">IF((SUM($G270:BR270)-$E269)&lt;0,0,IF((SUM($G270:BR270)-$E269)&lt;BR270,SUM($G270:BR270)-$E269,BR270))</f>
        <v>30</v>
      </c>
      <c r="BS310" s="402">
        <f ca="1">IF((SUM($G270:BS270)-$E269)&lt;0,0,IF((SUM($G270:BS270)-$E269)&lt;BS270,SUM($G270:BS270)-$E269,BS270))</f>
        <v>31</v>
      </c>
      <c r="BT310" s="402">
        <f ca="1">IF((SUM($G270:BT270)-$E269)&lt;0,0,IF((SUM($G270:BT270)-$E269)&lt;BT270,SUM($G270:BT270)-$E269,BT270))</f>
        <v>31</v>
      </c>
      <c r="BU310" s="402">
        <f ca="1">IF((SUM($G270:BU270)-$E269)&lt;0,0,IF((SUM($G270:BU270)-$E269)&lt;BU270,SUM($G270:BU270)-$E269,BU270))</f>
        <v>30</v>
      </c>
      <c r="BV310" s="402">
        <f ca="1">IF((SUM($G270:BV270)-$E269)&lt;0,0,IF((SUM($G270:BV270)-$E269)&lt;BV270,SUM($G270:BV270)-$E269,BV270))</f>
        <v>31</v>
      </c>
      <c r="BW310" s="402">
        <f ca="1">IF((SUM($G270:BW270)-$E269)&lt;0,0,IF((SUM($G270:BW270)-$E269)&lt;BW270,SUM($G270:BW270)-$E269,BW270))</f>
        <v>30</v>
      </c>
      <c r="BX310" s="402">
        <f ca="1">IF((SUM($G270:BX270)-$E269)&lt;0,0,IF((SUM($G270:BX270)-$E269)&lt;BX270,SUM($G270:BX270)-$E269,BX270))</f>
        <v>31</v>
      </c>
      <c r="BY310" s="402">
        <f ca="1">IF((SUM($G270:BY270)-$E269)&lt;0,0,IF((SUM($G270:BY270)-$E269)&lt;BY270,SUM($G270:BY270)-$E269,BY270))</f>
        <v>31</v>
      </c>
      <c r="BZ310" s="402">
        <f ca="1">IF((SUM($G270:BZ270)-$E269)&lt;0,0,IF((SUM($G270:BZ270)-$E269)&lt;BZ270,SUM($G270:BZ270)-$E269,BZ270))</f>
        <v>28</v>
      </c>
      <c r="CA310" s="402">
        <f ca="1">IF((SUM($G270:CA270)-$E269)&lt;0,0,IF((SUM($G270:CA270)-$E269)&lt;CA270,SUM($G270:CA270)-$E269,CA270))</f>
        <v>31</v>
      </c>
      <c r="CB310" s="402">
        <f ca="1">IF((SUM($G270:CB270)-$E269)&lt;0,0,IF((SUM($G270:CB270)-$E269)&lt;CB270,SUM($G270:CB270)-$E269,CB270))</f>
        <v>30</v>
      </c>
      <c r="CC310" s="402">
        <f ca="1">IF((SUM($G270:CC270)-$E269)&lt;0,0,IF((SUM($G270:CC270)-$E269)&lt;CC270,SUM($G270:CC270)-$E269,CC270))</f>
        <v>31</v>
      </c>
      <c r="CD310" s="402">
        <f ca="1">IF((SUM($G270:CD270)-$E269)&lt;0,0,IF((SUM($G270:CD270)-$E269)&lt;CD270,SUM($G270:CD270)-$E269,CD270))</f>
        <v>30</v>
      </c>
      <c r="CE310" s="402">
        <f ca="1">IF((SUM($G270:CE270)-$E269)&lt;0,0,IF((SUM($G270:CE270)-$E269)&lt;CE270,SUM($G270:CE270)-$E269,CE270))</f>
        <v>31</v>
      </c>
      <c r="CF310" s="402">
        <f ca="1">IF((SUM($G270:CF270)-$E269)&lt;0,0,IF((SUM($G270:CF270)-$E269)&lt;CF270,SUM($G270:CF270)-$E269,CF270))</f>
        <v>31</v>
      </c>
      <c r="CG310" s="402">
        <f ca="1">IF((SUM($G270:CG270)-$E269)&lt;0,0,IF((SUM($G270:CG270)-$E269)&lt;CG270,SUM($G270:CG270)-$E269,CG270))</f>
        <v>30</v>
      </c>
      <c r="CH310" s="402">
        <f ca="1">IF((SUM($G270:CH270)-$E269)&lt;0,0,IF((SUM($G270:CH270)-$E269)&lt;CH270,SUM($G270:CH270)-$E269,CH270))</f>
        <v>31</v>
      </c>
      <c r="CI310" s="402">
        <f ca="1">IF((SUM($G270:CI270)-$E269)&lt;0,0,IF((SUM($G270:CI270)-$E269)&lt;CI270,SUM($G270:CI270)-$E269,CI270))</f>
        <v>30</v>
      </c>
      <c r="CJ310" s="402">
        <f ca="1">IF((SUM($G270:CJ270)-$E269)&lt;0,0,IF((SUM($G270:CJ270)-$E269)&lt;CJ270,SUM($G270:CJ270)-$E269,CJ270))</f>
        <v>31</v>
      </c>
      <c r="CK310" s="402">
        <f ca="1">IF((SUM($G270:CK270)-$E269)&lt;0,0,IF((SUM($G270:CK270)-$E269)&lt;CK270,SUM($G270:CK270)-$E269,CK270))</f>
        <v>31</v>
      </c>
      <c r="CL310" s="402">
        <f ca="1">IF((SUM($G270:CL270)-$E269)&lt;0,0,IF((SUM($G270:CL270)-$E269)&lt;CL270,SUM($G270:CL270)-$E269,CL270))</f>
        <v>28</v>
      </c>
      <c r="CM310" s="402">
        <f ca="1">IF((SUM($G270:CM270)-$E269)&lt;0,0,IF((SUM($G270:CM270)-$E269)&lt;CM270,SUM($G270:CM270)-$E269,CM270))</f>
        <v>31</v>
      </c>
      <c r="CN310" s="402">
        <f ca="1">IF((SUM($G270:CN270)-$E269)&lt;0,0,IF((SUM($G270:CN270)-$E269)&lt;CN270,SUM($G270:CN270)-$E269,CN270))</f>
        <v>30</v>
      </c>
      <c r="CO310" s="402">
        <f ca="1">IF((SUM($G270:CO270)-$E269)&lt;0,0,IF((SUM($G270:CO270)-$E269)&lt;CO270,SUM($G270:CO270)-$E269,CO270))</f>
        <v>31</v>
      </c>
      <c r="CP310" s="402">
        <f ca="1">IF((SUM($G270:CP270)-$E269)&lt;0,0,IF((SUM($G270:CP270)-$E269)&lt;CP270,SUM($G270:CP270)-$E269,CP270))</f>
        <v>30</v>
      </c>
      <c r="CQ310" s="402">
        <f ca="1">IF((SUM($G270:CQ270)-$E269)&lt;0,0,IF((SUM($G270:CQ270)-$E269)&lt;CQ270,SUM($G270:CQ270)-$E269,CQ270))</f>
        <v>31</v>
      </c>
      <c r="CR310" s="402">
        <f ca="1">IF((SUM($G270:CR270)-$E269)&lt;0,0,IF((SUM($G270:CR270)-$E269)&lt;CR270,SUM($G270:CR270)-$E269,CR270))</f>
        <v>31</v>
      </c>
      <c r="CS310" s="402">
        <f ca="1">IF((SUM($G270:CS270)-$E269)&lt;0,0,IF((SUM($G270:CS270)-$E269)&lt;CS270,SUM($G270:CS270)-$E269,CS270))</f>
        <v>30</v>
      </c>
      <c r="CT310" s="402">
        <f ca="1">IF((SUM($G270:CT270)-$E269)&lt;0,0,IF((SUM($G270:CT270)-$E269)&lt;CT270,SUM($G270:CT270)-$E269,CT270))</f>
        <v>31</v>
      </c>
      <c r="CU310" s="402">
        <f ca="1">IF((SUM($G270:CU270)-$E269)&lt;0,0,IF((SUM($G270:CU270)-$E269)&lt;CU270,SUM($G270:CU270)-$E269,CU270))</f>
        <v>30</v>
      </c>
      <c r="CV310" s="402">
        <f ca="1">IF((SUM($G270:CV270)-$E269)&lt;0,0,IF((SUM($G270:CV270)-$E269)&lt;CV270,SUM($G270:CV270)-$E269,CV270))</f>
        <v>31</v>
      </c>
      <c r="CW310" s="402">
        <f ca="1">IF((SUM($G270:CW270)-$E269)&lt;0,0,IF((SUM($G270:CW270)-$E269)&lt;CW270,SUM($G270:CW270)-$E269,CW270))</f>
        <v>31</v>
      </c>
      <c r="CX310" s="402">
        <f ca="1">IF((SUM($G270:CX270)-$E269)&lt;0,0,IF((SUM($G270:CX270)-$E269)&lt;CX270,SUM($G270:CX270)-$E269,CX270))</f>
        <v>28</v>
      </c>
      <c r="CY310" s="402">
        <f ca="1">IF((SUM($G270:CY270)-$E269)&lt;0,0,IF((SUM($G270:CY270)-$E269)&lt;CY270,SUM($G270:CY270)-$E269,CY270))</f>
        <v>31</v>
      </c>
      <c r="CZ310" s="402">
        <f ca="1">IF((SUM($G270:CZ270)-$E269)&lt;0,0,IF((SUM($G270:CZ270)-$E269)&lt;CZ270,SUM($G270:CZ270)-$E269,CZ270))</f>
        <v>30</v>
      </c>
      <c r="DA310" s="402">
        <f ca="1">IF((SUM($G270:DA270)-$E269)&lt;0,0,IF((SUM($G270:DA270)-$E269)&lt;DA270,SUM($G270:DA270)-$E269,DA270))</f>
        <v>31</v>
      </c>
      <c r="DB310" s="402">
        <f ca="1">IF((SUM($G270:DB270)-$E269)&lt;0,0,IF((SUM($G270:DB270)-$E269)&lt;DB270,SUM($G270:DB270)-$E269,DB270))</f>
        <v>30</v>
      </c>
      <c r="DC310" s="402">
        <f ca="1">IF((SUM($G270:DC270)-$E269)&lt;0,0,IF((SUM($G270:DC270)-$E269)&lt;DC270,SUM($G270:DC270)-$E269,DC270))</f>
        <v>31</v>
      </c>
      <c r="DD310" s="402">
        <f ca="1">IF((SUM($G270:DD270)-$E269)&lt;0,0,IF((SUM($G270:DD270)-$E269)&lt;DD270,SUM($G270:DD270)-$E269,DD270))</f>
        <v>31</v>
      </c>
      <c r="DE310" s="402">
        <f ca="1">IF((SUM($G270:DE270)-$E269)&lt;0,0,IF((SUM($G270:DE270)-$E269)&lt;DE270,SUM($G270:DE270)-$E269,DE270))</f>
        <v>30</v>
      </c>
      <c r="DF310" s="402">
        <f ca="1">IF((SUM($G270:DF270)-$E269)&lt;0,0,IF((SUM($G270:DF270)-$E269)&lt;DF270,SUM($G270:DF270)-$E269,DF270))</f>
        <v>31</v>
      </c>
      <c r="DG310" s="402">
        <f ca="1">IF((SUM($G270:DG270)-$E269)&lt;0,0,IF((SUM($G270:DG270)-$E269)&lt;DG270,SUM($G270:DG270)-$E269,DG270))</f>
        <v>30</v>
      </c>
      <c r="DH310" s="402">
        <f ca="1">IF((SUM($G270:DH270)-$E269)&lt;0,0,IF((SUM($G270:DH270)-$E269)&lt;DH270,SUM($G270:DH270)-$E269,DH270))</f>
        <v>31</v>
      </c>
      <c r="DI310" s="402">
        <f ca="1">IF((SUM($G270:DI270)-$E269)&lt;0,0,IF((SUM($G270:DI270)-$E269)&lt;DI270,SUM($G270:DI270)-$E269,DI270))</f>
        <v>31</v>
      </c>
      <c r="DJ310" s="402">
        <f ca="1">IF((SUM($G270:DJ270)-$E269)&lt;0,0,IF((SUM($G270:DJ270)-$E269)&lt;DJ270,SUM($G270:DJ270)-$E269,DJ270))</f>
        <v>29</v>
      </c>
      <c r="DK310" s="402">
        <f ca="1">IF((SUM($G270:DK270)-$E269)&lt;0,0,IF((SUM($G270:DK270)-$E269)&lt;DK270,SUM($G270:DK270)-$E269,DK270))</f>
        <v>31</v>
      </c>
      <c r="DL310" s="402">
        <f ca="1">IF((SUM($G270:DL270)-$E269)&lt;0,0,IF((SUM($G270:DL270)-$E269)&lt;DL270,SUM($G270:DL270)-$E269,DL270))</f>
        <v>30</v>
      </c>
      <c r="DM310" s="402">
        <f ca="1">IF((SUM($G270:DM270)-$E269)&lt;0,0,IF((SUM($G270:DM270)-$E269)&lt;DM270,SUM($G270:DM270)-$E269,DM270))</f>
        <v>31</v>
      </c>
      <c r="DN310" s="402">
        <f ca="1">IF((SUM($G270:DN270)-$E269)&lt;0,0,IF((SUM($G270:DN270)-$E269)&lt;DN270,SUM($G270:DN270)-$E269,DN270))</f>
        <v>30</v>
      </c>
      <c r="DO310" s="402">
        <f ca="1">IF((SUM($G270:DO270)-$E269)&lt;0,0,IF((SUM($G270:DO270)-$E269)&lt;DO270,SUM($G270:DO270)-$E269,DO270))</f>
        <v>31</v>
      </c>
      <c r="DP310" s="402">
        <f ca="1">IF((SUM($G270:DP270)-$E269)&lt;0,0,IF((SUM($G270:DP270)-$E269)&lt;DP270,SUM($G270:DP270)-$E269,DP270))</f>
        <v>31</v>
      </c>
      <c r="DQ310" s="402">
        <f ca="1">IF((SUM($G270:DQ270)-$E269)&lt;0,0,IF((SUM($G270:DQ270)-$E269)&lt;DQ270,SUM($G270:DQ270)-$E269,DQ270))</f>
        <v>30</v>
      </c>
      <c r="DR310" s="402">
        <f ca="1">IF((SUM($G270:DR270)-$E269)&lt;0,0,IF((SUM($G270:DR270)-$E269)&lt;DR270,SUM($G270:DR270)-$E269,DR270))</f>
        <v>31</v>
      </c>
      <c r="DS310" s="402">
        <f ca="1">IF((SUM($G270:DS270)-$E269)&lt;0,0,IF((SUM($G270:DS270)-$E269)&lt;DS270,SUM($G270:DS270)-$E269,DS270))</f>
        <v>30</v>
      </c>
      <c r="DT310" s="402">
        <f ca="1">IF((SUM($G270:DT270)-$E269)&lt;0,0,IF((SUM($G270:DT270)-$E269)&lt;DT270,SUM($G270:DT270)-$E269,DT270))</f>
        <v>31</v>
      </c>
      <c r="DU310" s="402">
        <f ca="1">IF((SUM($G270:DU270)-$E269)&lt;0,0,IF((SUM($G270:DU270)-$E269)&lt;DU270,SUM($G270:DU270)-$E269,DU270))</f>
        <v>31</v>
      </c>
      <c r="DV310" s="402">
        <f ca="1">IF((SUM($G270:DV270)-$E269)&lt;0,0,IF((SUM($G270:DV270)-$E269)&lt;DV270,SUM($G270:DV270)-$E269,DV270))</f>
        <v>28</v>
      </c>
      <c r="DW310" s="402">
        <f ca="1">IF((SUM($G270:DW270)-$E269)&lt;0,0,IF((SUM($G270:DW270)-$E269)&lt;DW270,SUM($G270:DW270)-$E269,DW270))</f>
        <v>31</v>
      </c>
      <c r="DX310" s="402">
        <f ca="1">IF((SUM($G270:DX270)-$E269)&lt;0,0,IF((SUM($G270:DX270)-$E269)&lt;DX270,SUM($G270:DX270)-$E269,DX270))</f>
        <v>30</v>
      </c>
      <c r="DY310" s="402">
        <f ca="1">IF((SUM($G270:DY270)-$E269)&lt;0,0,IF((SUM($G270:DY270)-$E269)&lt;DY270,SUM($G270:DY270)-$E269,DY270))</f>
        <v>31</v>
      </c>
      <c r="DZ310" s="402">
        <f ca="1">IF((SUM($G270:DZ270)-$E269)&lt;0,0,IF((SUM($G270:DZ270)-$E269)&lt;DZ270,SUM($G270:DZ270)-$E269,DZ270))</f>
        <v>30</v>
      </c>
      <c r="EA310" s="402">
        <f ca="1">IF((SUM($G270:EA270)-$E269)&lt;0,0,IF((SUM($G270:EA270)-$E269)&lt;EA270,SUM($G270:EA270)-$E269,EA270))</f>
        <v>31</v>
      </c>
      <c r="EB310" s="402">
        <f ca="1">IF((SUM($G270:EB270)-$E269)&lt;0,0,IF((SUM($G270:EB270)-$E269)&lt;EB270,SUM($G270:EB270)-$E269,EB270))</f>
        <v>31</v>
      </c>
      <c r="EC310" s="402">
        <f ca="1">IF((SUM($G270:EC270)-$E269)&lt;0,0,IF((SUM($G270:EC270)-$E269)&lt;EC270,SUM($G270:EC270)-$E269,EC270))</f>
        <v>30</v>
      </c>
      <c r="ED310" s="402">
        <f ca="1">IF((SUM($G270:ED270)-$E269)&lt;0,0,IF((SUM($G270:ED270)-$E269)&lt;ED270,SUM($G270:ED270)-$E269,ED270))</f>
        <v>31</v>
      </c>
      <c r="EE310" s="402">
        <f ca="1">IF((SUM($G270:EE270)-$E269)&lt;0,0,IF((SUM($G270:EE270)-$E269)&lt;EE270,SUM($G270:EE270)-$E269,EE270))</f>
        <v>30</v>
      </c>
      <c r="EF310" s="402">
        <f ca="1">IF((SUM($G270:EF270)-$E269)&lt;0,0,IF((SUM($G270:EF270)-$E269)&lt;EF270,SUM($G270:EF270)-$E269,EF270))</f>
        <v>31</v>
      </c>
      <c r="EG310" s="402">
        <f ca="1">IF((SUM($G270:EG270)-$E269)&lt;0,0,IF((SUM($G270:EG270)-$E269)&lt;EG270,SUM($G270:EG270)-$E269,EG270))</f>
        <v>31</v>
      </c>
      <c r="EH310" s="402">
        <f ca="1">IF((SUM($G270:EH270)-$E269)&lt;0,0,IF((SUM($G270:EH270)-$E269)&lt;EH270,SUM($G270:EH270)-$E269,EH270))</f>
        <v>28</v>
      </c>
      <c r="EI310" s="402">
        <f ca="1">IF((SUM($G270:EI270)-$E269)&lt;0,0,IF((SUM($G270:EI270)-$E269)&lt;EI270,SUM($G270:EI270)-$E269,EI270))</f>
        <v>31</v>
      </c>
    </row>
    <row r="311" spans="1:141" hidden="1" outlineLevel="2">
      <c r="A311" s="332"/>
      <c r="D311" s="305" t="s">
        <v>670</v>
      </c>
      <c r="E311" s="403">
        <f ca="1">MIN(G311:EI311)</f>
        <v>46388</v>
      </c>
      <c r="F311" s="404">
        <f ca="1">MAX(G311:EI311)</f>
        <v>46388</v>
      </c>
      <c r="G311" s="403" t="str">
        <f ca="1">IF(G309=0,"",IF(SUM($G309:G309)&gt;=1,OFFSET(G$228,-1,0),""))</f>
        <v/>
      </c>
      <c r="H311" s="403" t="str">
        <f ca="1">IF(SUM($G311:G311)&gt;=1,"",IF(H309=0,"",IF(SUM($G309:H309)&gt;=1,OFFSET(H$228,-1,0),"")))</f>
        <v/>
      </c>
      <c r="I311" s="403" t="str">
        <f ca="1">IF(SUM($G311:H311)&gt;=1,"",IF(I309=0,"",IF(SUM($G309:I309)&gt;=1,OFFSET(I$228,-1,0),"")))</f>
        <v/>
      </c>
      <c r="J311" s="403" t="str">
        <f ca="1">IF(SUM($G311:I311)&gt;=1,"",IF(J309=0,"",IF(SUM($G309:J309)&gt;=1,OFFSET(J$228,-1,0),"")))</f>
        <v/>
      </c>
      <c r="K311" s="403" t="str">
        <f ca="1">IF(SUM($G311:J311)&gt;=1,"",IF(K309=0,"",IF(SUM($G309:K309)&gt;=1,OFFSET(K$228,-1,0),"")))</f>
        <v/>
      </c>
      <c r="L311" s="403" t="str">
        <f ca="1">IF(SUM($G311:K311)&gt;=1,"",IF(L309=0,"",IF(SUM($G309:L309)&gt;=1,OFFSET(L$228,-1,0),"")))</f>
        <v/>
      </c>
      <c r="M311" s="403" t="str">
        <f ca="1">IF(SUM($G311:L311)&gt;=1,"",IF(M309=0,"",IF(SUM($G309:M309)&gt;=1,OFFSET(M$228,-1,0),"")))</f>
        <v/>
      </c>
      <c r="N311" s="403" t="str">
        <f ca="1">IF(SUM($G311:M311)&gt;=1,"",IF(N309=0,"",IF(SUM($G309:N309)&gt;=1,OFFSET(N$228,-1,0),"")))</f>
        <v/>
      </c>
      <c r="O311" s="403" t="str">
        <f ca="1">IF(SUM($G311:N311)&gt;=1,"",IF(O309=0,"",IF(SUM($G309:O309)&gt;=1,OFFSET(O$228,-1,0),"")))</f>
        <v/>
      </c>
      <c r="P311" s="403" t="str">
        <f ca="1">IF(SUM($G311:O311)&gt;=1,"",IF(P309=0,"",IF(SUM($G309:P309)&gt;=1,OFFSET(P$228,-1,0),"")))</f>
        <v/>
      </c>
      <c r="Q311" s="403" t="str">
        <f ca="1">IF(SUM($G311:P311)&gt;=1,"",IF(Q309=0,"",IF(SUM($G309:Q309)&gt;=1,OFFSET(Q$228,-1,0),"")))</f>
        <v/>
      </c>
      <c r="R311" s="403" t="str">
        <f ca="1">IF(SUM($G311:Q311)&gt;=1,"",IF(R309=0,"",IF(SUM($G309:R309)&gt;=1,OFFSET(R$228,-1,0),"")))</f>
        <v/>
      </c>
      <c r="S311" s="403" t="str">
        <f ca="1">IF(SUM($G311:R311)&gt;=1,"",IF(S309=0,"",IF(SUM($G309:S309)&gt;=1,OFFSET(S$228,-1,0),"")))</f>
        <v/>
      </c>
      <c r="T311" s="403" t="str">
        <f ca="1">IF(SUM($G311:S311)&gt;=1,"",IF(T309=0,"",IF(SUM($G309:T309)&gt;=1,OFFSET(T$228,-1,0),"")))</f>
        <v/>
      </c>
      <c r="U311" s="403" t="str">
        <f ca="1">IF(SUM($G311:T311)&gt;=1,"",IF(U309=0,"",IF(SUM($G309:U309)&gt;=1,OFFSET(U$228,-1,0),"")))</f>
        <v/>
      </c>
      <c r="V311" s="403" t="str">
        <f ca="1">IF(SUM($G311:U311)&gt;=1,"",IF(V309=0,"",IF(SUM($G309:V309)&gt;=1,OFFSET(V$228,-1,0),"")))</f>
        <v/>
      </c>
      <c r="W311" s="403" t="str">
        <f ca="1">IF(SUM($G311:V311)&gt;=1,"",IF(W309=0,"",IF(SUM($G309:W309)&gt;=1,OFFSET(W$228,-1,0),"")))</f>
        <v/>
      </c>
      <c r="X311" s="403" t="str">
        <f ca="1">IF(SUM($G311:W311)&gt;=1,"",IF(X309=0,"",IF(SUM($G309:X309)&gt;=1,OFFSET(X$228,-1,0),"")))</f>
        <v/>
      </c>
      <c r="Y311" s="403" t="str">
        <f ca="1">IF(SUM($G311:X311)&gt;=1,"",IF(Y309=0,"",IF(SUM($G309:Y309)&gt;=1,OFFSET(Y$228,-1,0),"")))</f>
        <v/>
      </c>
      <c r="Z311" s="403" t="str">
        <f ca="1">IF(SUM($G311:Y311)&gt;=1,"",IF(Z309=0,"",IF(SUM($G309:Z309)&gt;=1,OFFSET(Z$228,-1,0),"")))</f>
        <v/>
      </c>
      <c r="AA311" s="403" t="str">
        <f ca="1">IF(SUM($G311:Z311)&gt;=1,"",IF(AA309=0,"",IF(SUM($G309:AA309)&gt;=1,OFFSET(AA$228,-1,0),"")))</f>
        <v/>
      </c>
      <c r="AB311" s="403" t="str">
        <f ca="1">IF(SUM($G311:AA311)&gt;=1,"",IF(AB309=0,"",IF(SUM($G309:AB309)&gt;=1,OFFSET(AB$228,-1,0),"")))</f>
        <v/>
      </c>
      <c r="AC311" s="403" t="str">
        <f ca="1">IF(SUM($G311:AB311)&gt;=1,"",IF(AC309=0,"",IF(SUM($G309:AC309)&gt;=1,OFFSET(AC$228,-1,0),"")))</f>
        <v/>
      </c>
      <c r="AD311" s="403" t="str">
        <f ca="1">IF(SUM($G311:AC311)&gt;=1,"",IF(AD309=0,"",IF(SUM($G309:AD309)&gt;=1,OFFSET(AD$228,-1,0),"")))</f>
        <v/>
      </c>
      <c r="AE311" s="403" t="str">
        <f ca="1">IF(SUM($G311:AD311)&gt;=1,"",IF(AE309=0,"",IF(SUM($G309:AE309)&gt;=1,OFFSET(AE$228,-1,0),"")))</f>
        <v/>
      </c>
      <c r="AF311" s="403" t="str">
        <f ca="1">IF(SUM($G311:AE311)&gt;=1,"",IF(AF309=0,"",IF(SUM($G309:AF309)&gt;=1,OFFSET(AF$228,-1,0),"")))</f>
        <v/>
      </c>
      <c r="AG311" s="403" t="str">
        <f ca="1">IF(SUM($G311:AF311)&gt;=1,"",IF(AG309=0,"",IF(SUM($G309:AG309)&gt;=1,OFFSET(AG$228,-1,0),"")))</f>
        <v/>
      </c>
      <c r="AH311" s="403" t="str">
        <f ca="1">IF(SUM($G311:AG311)&gt;=1,"",IF(AH309=0,"",IF(SUM($G309:AH309)&gt;=1,OFFSET(AH$228,-1,0),"")))</f>
        <v/>
      </c>
      <c r="AI311" s="403" t="str">
        <f ca="1">IF(SUM($G311:AH311)&gt;=1,"",IF(AI309=0,"",IF(SUM($G309:AI309)&gt;=1,OFFSET(AI$228,-1,0),"")))</f>
        <v/>
      </c>
      <c r="AJ311" s="403" t="str">
        <f ca="1">IF(SUM($G311:AI311)&gt;=1,"",IF(AJ309=0,"",IF(SUM($G309:AJ309)&gt;=1,OFFSET(AJ$228,-1,0),"")))</f>
        <v/>
      </c>
      <c r="AK311" s="403" t="str">
        <f ca="1">IF(SUM($G311:AJ311)&gt;=1,"",IF(AK309=0,"",IF(SUM($G309:AK309)&gt;=1,OFFSET(AK$228,-1,0),"")))</f>
        <v/>
      </c>
      <c r="AL311" s="403" t="str">
        <f ca="1">IF(SUM($G311:AK311)&gt;=1,"",IF(AL309=0,"",IF(SUM($G309:AL309)&gt;=1,OFFSET(AL$228,-1,0),"")))</f>
        <v/>
      </c>
      <c r="AM311" s="403" t="str">
        <f ca="1">IF(SUM($G311:AL311)&gt;=1,"",IF(AM309=0,"",IF(SUM($G309:AM309)&gt;=1,OFFSET(AM$228,-1,0),"")))</f>
        <v/>
      </c>
      <c r="AN311" s="403" t="str">
        <f ca="1">IF(SUM($G311:AM311)&gt;=1,"",IF(AN309=0,"",IF(SUM($G309:AN309)&gt;=1,OFFSET(AN$228,-1,0),"")))</f>
        <v/>
      </c>
      <c r="AO311" s="403" t="str">
        <f ca="1">IF(SUM($G311:AN311)&gt;=1,"",IF(AO309=0,"",IF(SUM($G309:AO309)&gt;=1,OFFSET(AO$228,-1,0),"")))</f>
        <v/>
      </c>
      <c r="AP311" s="403" t="str">
        <f ca="1">IF(SUM($G311:AO311)&gt;=1,"",IF(AP309=0,"",IF(SUM($G309:AP309)&gt;=1,OFFSET(AP$228,-1,0),"")))</f>
        <v/>
      </c>
      <c r="AQ311" s="403" t="str">
        <f ca="1">IF(SUM($G311:AP311)&gt;=1,"",IF(AQ309=0,"",IF(SUM($G309:AQ309)&gt;=1,OFFSET(AQ$228,-1,0),"")))</f>
        <v/>
      </c>
      <c r="AR311" s="403" t="str">
        <f ca="1">IF(SUM($G311:AQ311)&gt;=1,"",IF(AR309=0,"",IF(SUM($G309:AR309)&gt;=1,OFFSET(AR$228,-1,0),"")))</f>
        <v/>
      </c>
      <c r="AS311" s="403" t="str">
        <f ca="1">IF(SUM($G311:AR311)&gt;=1,"",IF(AS309=0,"",IF(SUM($G309:AS309)&gt;=1,OFFSET(AS$228,-1,0),"")))</f>
        <v/>
      </c>
      <c r="AT311" s="403" t="str">
        <f ca="1">IF(SUM($G311:AS311)&gt;=1,"",IF(AT309=0,"",IF(SUM($G309:AT309)&gt;=1,OFFSET(AT$228,-1,0),"")))</f>
        <v/>
      </c>
      <c r="AU311" s="403" t="str">
        <f ca="1">IF(SUM($G311:AT311)&gt;=1,"",IF(AU309=0,"",IF(SUM($G309:AU309)&gt;=1,OFFSET(AU$228,-1,0),"")))</f>
        <v/>
      </c>
      <c r="AV311" s="403" t="str">
        <f ca="1">IF(SUM($G311:AU311)&gt;=1,"",IF(AV309=0,"",IF(SUM($G309:AV309)&gt;=1,OFFSET(AV$228,-1,0),"")))</f>
        <v/>
      </c>
      <c r="AW311" s="403" t="str">
        <f ca="1">IF(SUM($G311:AV311)&gt;=1,"",IF(AW309=0,"",IF(SUM($G309:AW309)&gt;=1,OFFSET(AW$228,-1,0),"")))</f>
        <v/>
      </c>
      <c r="AX311" s="403" t="str">
        <f ca="1">IF(SUM($G311:AW311)&gt;=1,"",IF(AX309=0,"",IF(SUM($G309:AX309)&gt;=1,OFFSET(AX$228,-1,0),"")))</f>
        <v/>
      </c>
      <c r="AY311" s="403" t="str">
        <f ca="1">IF(SUM($G311:AX311)&gt;=1,"",IF(AY309=0,"",IF(SUM($G309:AY309)&gt;=1,OFFSET(AY$228,-1,0),"")))</f>
        <v/>
      </c>
      <c r="AZ311" s="403" t="str">
        <f ca="1">IF(SUM($G311:AY311)&gt;=1,"",IF(AZ309=0,"",IF(SUM($G309:AZ309)&gt;=1,OFFSET(AZ$228,-1,0),"")))</f>
        <v/>
      </c>
      <c r="BA311" s="403">
        <f ca="1">IF(SUM($G311:AZ311)&gt;=1,"",IF(BA309=0,"",IF(SUM($G309:BA309)&gt;=1,OFFSET(BA$228,-1,0),"")))</f>
        <v>46388</v>
      </c>
      <c r="BB311" s="403" t="str">
        <f ca="1">IF(SUM($G311:BA311)&gt;=1,"",IF(BB309=0,"",IF(SUM($G309:BB309)&gt;=1,OFFSET(BB$228,-1,0),"")))</f>
        <v/>
      </c>
      <c r="BC311" s="403" t="str">
        <f ca="1">IF(SUM($G311:BB311)&gt;=1,"",IF(BC309=0,"",IF(SUM($G309:BC309)&gt;=1,OFFSET(BC$228,-1,0),"")))</f>
        <v/>
      </c>
      <c r="BD311" s="403" t="str">
        <f ca="1">IF(SUM($G311:BC311)&gt;=1,"",IF(BD309=0,"",IF(SUM($G309:BD309)&gt;=1,OFFSET(BD$228,-1,0),"")))</f>
        <v/>
      </c>
      <c r="BE311" s="403" t="str">
        <f ca="1">IF(SUM($G311:BD311)&gt;=1,"",IF(BE309=0,"",IF(SUM($G309:BE309)&gt;=1,OFFSET(BE$228,-1,0),"")))</f>
        <v/>
      </c>
      <c r="BF311" s="403" t="str">
        <f ca="1">IF(SUM($G311:BE311)&gt;=1,"",IF(BF309=0,"",IF(SUM($G309:BF309)&gt;=1,OFFSET(BF$228,-1,0),"")))</f>
        <v/>
      </c>
      <c r="BG311" s="403" t="str">
        <f ca="1">IF(SUM($G311:BF311)&gt;=1,"",IF(BG309=0,"",IF(SUM($G309:BG309)&gt;=1,OFFSET(BG$228,-1,0),"")))</f>
        <v/>
      </c>
      <c r="BH311" s="403" t="str">
        <f ca="1">IF(SUM($G311:BG311)&gt;=1,"",IF(BH309=0,"",IF(SUM($G309:BH309)&gt;=1,OFFSET(BH$228,-1,0),"")))</f>
        <v/>
      </c>
      <c r="BI311" s="403" t="str">
        <f ca="1">IF(SUM($G311:BH311)&gt;=1,"",IF(BI309=0,"",IF(SUM($G309:BI309)&gt;=1,OFFSET(BI$228,-1,0),"")))</f>
        <v/>
      </c>
      <c r="BJ311" s="403" t="str">
        <f ca="1">IF(SUM($G311:BI311)&gt;=1,"",IF(BJ309=0,"",IF(SUM($G309:BJ309)&gt;=1,OFFSET(BJ$228,-1,0),"")))</f>
        <v/>
      </c>
      <c r="BK311" s="403" t="str">
        <f ca="1">IF(SUM($G311:BJ311)&gt;=1,"",IF(BK309=0,"",IF(SUM($G309:BK309)&gt;=1,OFFSET(BK$228,-1,0),"")))</f>
        <v/>
      </c>
      <c r="BL311" s="403" t="str">
        <f ca="1">IF(SUM($G311:BK311)&gt;=1,"",IF(BL309=0,"",IF(SUM($G309:BL309)&gt;=1,OFFSET(BL$228,-1,0),"")))</f>
        <v/>
      </c>
      <c r="BM311" s="403" t="str">
        <f ca="1">IF(SUM($G311:BL311)&gt;=1,"",IF(BM309=0,"",IF(SUM($G309:BM309)&gt;=1,OFFSET(BM$228,-1,0),"")))</f>
        <v/>
      </c>
      <c r="BN311" s="403" t="str">
        <f ca="1">IF(SUM($G311:BM311)&gt;=1,"",IF(BN309=0,"",IF(SUM($G309:BN309)&gt;=1,OFFSET(BN$228,-1,0),"")))</f>
        <v/>
      </c>
      <c r="BO311" s="403" t="str">
        <f ca="1">IF(SUM($G311:BN311)&gt;=1,"",IF(BO309=0,"",IF(SUM($G309:BO309)&gt;=1,OFFSET(BO$228,-1,0),"")))</f>
        <v/>
      </c>
      <c r="BP311" s="403" t="str">
        <f ca="1">IF(SUM($G311:BO311)&gt;=1,"",IF(BP309=0,"",IF(SUM($G309:BP309)&gt;=1,OFFSET(BP$228,-1,0),"")))</f>
        <v/>
      </c>
      <c r="BQ311" s="403" t="str">
        <f ca="1">IF(SUM($G311:BP311)&gt;=1,"",IF(BQ309=0,"",IF(SUM($G309:BQ309)&gt;=1,OFFSET(BQ$228,-1,0),"")))</f>
        <v/>
      </c>
      <c r="BR311" s="403" t="str">
        <f ca="1">IF(SUM($G311:BQ311)&gt;=1,"",IF(BR309=0,"",IF(SUM($G309:BR309)&gt;=1,OFFSET(BR$228,-1,0),"")))</f>
        <v/>
      </c>
      <c r="BS311" s="403" t="str">
        <f ca="1">IF(SUM($G311:BR311)&gt;=1,"",IF(BS309=0,"",IF(SUM($G309:BS309)&gt;=1,OFFSET(BS$228,-1,0),"")))</f>
        <v/>
      </c>
      <c r="BT311" s="403" t="str">
        <f ca="1">IF(SUM($G311:BS311)&gt;=1,"",IF(BT309=0,"",IF(SUM($G309:BT309)&gt;=1,OFFSET(BT$228,-1,0),"")))</f>
        <v/>
      </c>
      <c r="BU311" s="403" t="str">
        <f ca="1">IF(SUM($G311:BT311)&gt;=1,"",IF(BU309=0,"",IF(SUM($G309:BU309)&gt;=1,OFFSET(BU$228,-1,0),"")))</f>
        <v/>
      </c>
      <c r="BV311" s="403" t="str">
        <f ca="1">IF(SUM($G311:BU311)&gt;=1,"",IF(BV309=0,"",IF(SUM($G309:BV309)&gt;=1,OFFSET(BV$228,-1,0),"")))</f>
        <v/>
      </c>
      <c r="BW311" s="403" t="str">
        <f ca="1">IF(SUM($G311:BV311)&gt;=1,"",IF(BW309=0,"",IF(SUM($G309:BW309)&gt;=1,OFFSET(BW$228,-1,0),"")))</f>
        <v/>
      </c>
      <c r="BX311" s="403" t="str">
        <f ca="1">IF(SUM($G311:BW311)&gt;=1,"",IF(BX309=0,"",IF(SUM($G309:BX309)&gt;=1,OFFSET(BX$228,-1,0),"")))</f>
        <v/>
      </c>
      <c r="BY311" s="403" t="str">
        <f ca="1">IF(SUM($G311:BX311)&gt;=1,"",IF(BY309=0,"",IF(SUM($G309:BY309)&gt;=1,OFFSET(BY$228,-1,0),"")))</f>
        <v/>
      </c>
      <c r="BZ311" s="403" t="str">
        <f ca="1">IF(SUM($G311:BY311)&gt;=1,"",IF(BZ309=0,"",IF(SUM($G309:BZ309)&gt;=1,OFFSET(BZ$228,-1,0),"")))</f>
        <v/>
      </c>
      <c r="CA311" s="403" t="str">
        <f ca="1">IF(SUM($G311:BZ311)&gt;=1,"",IF(CA309=0,"",IF(SUM($G309:CA309)&gt;=1,OFFSET(CA$228,-1,0),"")))</f>
        <v/>
      </c>
      <c r="CB311" s="403" t="str">
        <f ca="1">IF(SUM($G311:CA311)&gt;=1,"",IF(CB309=0,"",IF(SUM($G309:CB309)&gt;=1,OFFSET(CB$228,-1,0),"")))</f>
        <v/>
      </c>
      <c r="CC311" s="403" t="str">
        <f ca="1">IF(SUM($G311:CB311)&gt;=1,"",IF(CC309=0,"",IF(SUM($G309:CC309)&gt;=1,OFFSET(CC$228,-1,0),"")))</f>
        <v/>
      </c>
      <c r="CD311" s="403" t="str">
        <f ca="1">IF(SUM($G311:CC311)&gt;=1,"",IF(CD309=0,"",IF(SUM($G309:CD309)&gt;=1,OFFSET(CD$228,-1,0),"")))</f>
        <v/>
      </c>
      <c r="CE311" s="403" t="str">
        <f ca="1">IF(SUM($G311:CD311)&gt;=1,"",IF(CE309=0,"",IF(SUM($G309:CE309)&gt;=1,OFFSET(CE$228,-1,0),"")))</f>
        <v/>
      </c>
      <c r="CF311" s="403" t="str">
        <f ca="1">IF(SUM($G311:CE311)&gt;=1,"",IF(CF309=0,"",IF(SUM($G309:CF309)&gt;=1,OFFSET(CF$228,-1,0),"")))</f>
        <v/>
      </c>
      <c r="CG311" s="403" t="str">
        <f ca="1">IF(SUM($G311:CF311)&gt;=1,"",IF(CG309=0,"",IF(SUM($G309:CG309)&gt;=1,OFFSET(CG$228,-1,0),"")))</f>
        <v/>
      </c>
      <c r="CH311" s="403" t="str">
        <f ca="1">IF(SUM($G311:CG311)&gt;=1,"",IF(CH309=0,"",IF(SUM($G309:CH309)&gt;=1,OFFSET(CH$228,-1,0),"")))</f>
        <v/>
      </c>
      <c r="CI311" s="403" t="str">
        <f ca="1">IF(SUM($G311:CH311)&gt;=1,"",IF(CI309=0,"",IF(SUM($G309:CI309)&gt;=1,OFFSET(CI$228,-1,0),"")))</f>
        <v/>
      </c>
      <c r="CJ311" s="403" t="str">
        <f ca="1">IF(SUM($G311:CI311)&gt;=1,"",IF(CJ309=0,"",IF(SUM($G309:CJ309)&gt;=1,OFFSET(CJ$228,-1,0),"")))</f>
        <v/>
      </c>
      <c r="CK311" s="403" t="str">
        <f ca="1">IF(SUM($G311:CJ311)&gt;=1,"",IF(CK309=0,"",IF(SUM($G309:CK309)&gt;=1,OFFSET(CK$228,-1,0),"")))</f>
        <v/>
      </c>
      <c r="CL311" s="403" t="str">
        <f ca="1">IF(SUM($G311:CK311)&gt;=1,"",IF(CL309=0,"",IF(SUM($G309:CL309)&gt;=1,OFFSET(CL$228,-1,0),"")))</f>
        <v/>
      </c>
      <c r="CM311" s="403" t="str">
        <f ca="1">IF(SUM($G311:CL311)&gt;=1,"",IF(CM309=0,"",IF(SUM($G309:CM309)&gt;=1,OFFSET(CM$228,-1,0),"")))</f>
        <v/>
      </c>
      <c r="CN311" s="403" t="str">
        <f ca="1">IF(SUM($G311:CM311)&gt;=1,"",IF(CN309=0,"",IF(SUM($G309:CN309)&gt;=1,OFFSET(CN$228,-1,0),"")))</f>
        <v/>
      </c>
      <c r="CO311" s="403" t="str">
        <f ca="1">IF(SUM($G311:CN311)&gt;=1,"",IF(CO309=0,"",IF(SUM($G309:CO309)&gt;=1,OFFSET(CO$228,-1,0),"")))</f>
        <v/>
      </c>
      <c r="CP311" s="403" t="str">
        <f ca="1">IF(SUM($G311:CO311)&gt;=1,"",IF(CP309=0,"",IF(SUM($G309:CP309)&gt;=1,OFFSET(CP$228,-1,0),"")))</f>
        <v/>
      </c>
      <c r="CQ311" s="403" t="str">
        <f ca="1">IF(SUM($G311:CP311)&gt;=1,"",IF(CQ309=0,"",IF(SUM($G309:CQ309)&gt;=1,OFFSET(CQ$228,-1,0),"")))</f>
        <v/>
      </c>
      <c r="CR311" s="403" t="str">
        <f ca="1">IF(SUM($G311:CQ311)&gt;=1,"",IF(CR309=0,"",IF(SUM($G309:CR309)&gt;=1,OFFSET(CR$228,-1,0),"")))</f>
        <v/>
      </c>
      <c r="CS311" s="403" t="str">
        <f ca="1">IF(SUM($G311:CR311)&gt;=1,"",IF(CS309=0,"",IF(SUM($G309:CS309)&gt;=1,OFFSET(CS$228,-1,0),"")))</f>
        <v/>
      </c>
      <c r="CT311" s="403" t="str">
        <f ca="1">IF(SUM($G311:CS311)&gt;=1,"",IF(CT309=0,"",IF(SUM($G309:CT309)&gt;=1,OFFSET(CT$228,-1,0),"")))</f>
        <v/>
      </c>
      <c r="CU311" s="403" t="str">
        <f ca="1">IF(SUM($G311:CT311)&gt;=1,"",IF(CU309=0,"",IF(SUM($G309:CU309)&gt;=1,OFFSET(CU$228,-1,0),"")))</f>
        <v/>
      </c>
      <c r="CV311" s="403" t="str">
        <f ca="1">IF(SUM($G311:CU311)&gt;=1,"",IF(CV309=0,"",IF(SUM($G309:CV309)&gt;=1,OFFSET(CV$228,-1,0),"")))</f>
        <v/>
      </c>
      <c r="CW311" s="403" t="str">
        <f ca="1">IF(SUM($G311:CV311)&gt;=1,"",IF(CW309=0,"",IF(SUM($G309:CW309)&gt;=1,OFFSET(CW$228,-1,0),"")))</f>
        <v/>
      </c>
      <c r="CX311" s="403" t="str">
        <f ca="1">IF(SUM($G311:CW311)&gt;=1,"",IF(CX309=0,"",IF(SUM($G309:CX309)&gt;=1,OFFSET(CX$228,-1,0),"")))</f>
        <v/>
      </c>
      <c r="CY311" s="403" t="str">
        <f ca="1">IF(SUM($G311:CX311)&gt;=1,"",IF(CY309=0,"",IF(SUM($G309:CY309)&gt;=1,OFFSET(CY$228,-1,0),"")))</f>
        <v/>
      </c>
      <c r="CZ311" s="403" t="str">
        <f ca="1">IF(SUM($G311:CY311)&gt;=1,"",IF(CZ309=0,"",IF(SUM($G309:CZ309)&gt;=1,OFFSET(CZ$228,-1,0),"")))</f>
        <v/>
      </c>
      <c r="DA311" s="403" t="str">
        <f ca="1">IF(SUM($G311:CZ311)&gt;=1,"",IF(DA309=0,"",IF(SUM($G309:DA309)&gt;=1,OFFSET(DA$228,-1,0),"")))</f>
        <v/>
      </c>
      <c r="DB311" s="403" t="str">
        <f ca="1">IF(SUM($G311:DA311)&gt;=1,"",IF(DB309=0,"",IF(SUM($G309:DB309)&gt;=1,OFFSET(DB$228,-1,0),"")))</f>
        <v/>
      </c>
      <c r="DC311" s="403" t="str">
        <f ca="1">IF(SUM($G311:DB311)&gt;=1,"",IF(DC309=0,"",IF(SUM($G309:DC309)&gt;=1,OFFSET(DC$228,-1,0),"")))</f>
        <v/>
      </c>
      <c r="DD311" s="403" t="str">
        <f ca="1">IF(SUM($G311:DC311)&gt;=1,"",IF(DD309=0,"",IF(SUM($G309:DD309)&gt;=1,OFFSET(DD$228,-1,0),"")))</f>
        <v/>
      </c>
      <c r="DE311" s="403" t="str">
        <f ca="1">IF(SUM($G311:DD311)&gt;=1,"",IF(DE309=0,"",IF(SUM($G309:DE309)&gt;=1,OFFSET(DE$228,-1,0),"")))</f>
        <v/>
      </c>
      <c r="DF311" s="403" t="str">
        <f ca="1">IF(SUM($G311:DE311)&gt;=1,"",IF(DF309=0,"",IF(SUM($G309:DF309)&gt;=1,OFFSET(DF$228,-1,0),"")))</f>
        <v/>
      </c>
      <c r="DG311" s="403" t="str">
        <f ca="1">IF(SUM($G311:DF311)&gt;=1,"",IF(DG309=0,"",IF(SUM($G309:DG309)&gt;=1,OFFSET(DG$228,-1,0),"")))</f>
        <v/>
      </c>
      <c r="DH311" s="403" t="str">
        <f ca="1">IF(SUM($G311:DG311)&gt;=1,"",IF(DH309=0,"",IF(SUM($G309:DH309)&gt;=1,OFFSET(DH$228,-1,0),"")))</f>
        <v/>
      </c>
      <c r="DI311" s="403" t="str">
        <f ca="1">IF(SUM($G311:DH311)&gt;=1,"",IF(DI309=0,"",IF(SUM($G309:DI309)&gt;=1,OFFSET(DI$228,-1,0),"")))</f>
        <v/>
      </c>
      <c r="DJ311" s="403" t="str">
        <f ca="1">IF(SUM($G311:DI311)&gt;=1,"",IF(DJ309=0,"",IF(SUM($G309:DJ309)&gt;=1,OFFSET(DJ$228,-1,0),"")))</f>
        <v/>
      </c>
      <c r="DK311" s="403" t="str">
        <f ca="1">IF(SUM($G311:DJ311)&gt;=1,"",IF(DK309=0,"",IF(SUM($G309:DK309)&gt;=1,OFFSET(DK$228,-1,0),"")))</f>
        <v/>
      </c>
      <c r="DL311" s="403" t="str">
        <f ca="1">IF(SUM($G311:DK311)&gt;=1,"",IF(DL309=0,"",IF(SUM($G309:DL309)&gt;=1,OFFSET(DL$228,-1,0),"")))</f>
        <v/>
      </c>
      <c r="DM311" s="403" t="str">
        <f ca="1">IF(SUM($G311:DL311)&gt;=1,"",IF(DM309=0,"",IF(SUM($G309:DM309)&gt;=1,OFFSET(DM$228,-1,0),"")))</f>
        <v/>
      </c>
      <c r="DN311" s="403" t="str">
        <f ca="1">IF(SUM($G311:DM311)&gt;=1,"",IF(DN309=0,"",IF(SUM($G309:DN309)&gt;=1,OFFSET(DN$228,-1,0),"")))</f>
        <v/>
      </c>
      <c r="DO311" s="403" t="str">
        <f ca="1">IF(SUM($G311:DN311)&gt;=1,"",IF(DO309=0,"",IF(SUM($G309:DO309)&gt;=1,OFFSET(DO$228,-1,0),"")))</f>
        <v/>
      </c>
      <c r="DP311" s="403" t="str">
        <f ca="1">IF(SUM($G311:DO311)&gt;=1,"",IF(DP309=0,"",IF(SUM($G309:DP309)&gt;=1,OFFSET(DP$228,-1,0),"")))</f>
        <v/>
      </c>
      <c r="DQ311" s="403" t="str">
        <f ca="1">IF(SUM($G311:DP311)&gt;=1,"",IF(DQ309=0,"",IF(SUM($G309:DQ309)&gt;=1,OFFSET(DQ$228,-1,0),"")))</f>
        <v/>
      </c>
      <c r="DR311" s="403" t="str">
        <f ca="1">IF(SUM($G311:DQ311)&gt;=1,"",IF(DR309=0,"",IF(SUM($G309:DR309)&gt;=1,OFFSET(DR$228,-1,0),"")))</f>
        <v/>
      </c>
      <c r="DS311" s="403" t="str">
        <f ca="1">IF(SUM($G311:DR311)&gt;=1,"",IF(DS309=0,"",IF(SUM($G309:DS309)&gt;=1,OFFSET(DS$228,-1,0),"")))</f>
        <v/>
      </c>
      <c r="DT311" s="403" t="str">
        <f ca="1">IF(SUM($G311:DS311)&gt;=1,"",IF(DT309=0,"",IF(SUM($G309:DT309)&gt;=1,OFFSET(DT$228,-1,0),"")))</f>
        <v/>
      </c>
      <c r="DU311" s="403" t="str">
        <f ca="1">IF(SUM($G311:DT311)&gt;=1,"",IF(DU309=0,"",IF(SUM($G309:DU309)&gt;=1,OFFSET(DU$228,-1,0),"")))</f>
        <v/>
      </c>
      <c r="DV311" s="403" t="str">
        <f ca="1">IF(SUM($G311:DU311)&gt;=1,"",IF(DV309=0,"",IF(SUM($G309:DV309)&gt;=1,OFFSET(DV$228,-1,0),"")))</f>
        <v/>
      </c>
      <c r="DW311" s="403" t="str">
        <f ca="1">IF(SUM($G311:DV311)&gt;=1,"",IF(DW309=0,"",IF(SUM($G309:DW309)&gt;=1,OFFSET(DW$228,-1,0),"")))</f>
        <v/>
      </c>
      <c r="DX311" s="403" t="str">
        <f ca="1">IF(SUM($G311:DW311)&gt;=1,"",IF(DX309=0,"",IF(SUM($G309:DX309)&gt;=1,OFFSET(DX$228,-1,0),"")))</f>
        <v/>
      </c>
      <c r="DY311" s="403" t="str">
        <f ca="1">IF(SUM($G311:DX311)&gt;=1,"",IF(DY309=0,"",IF(SUM($G309:DY309)&gt;=1,OFFSET(DY$228,-1,0),"")))</f>
        <v/>
      </c>
      <c r="DZ311" s="403" t="str">
        <f ca="1">IF(SUM($G311:DY311)&gt;=1,"",IF(DZ309=0,"",IF(SUM($G309:DZ309)&gt;=1,OFFSET(DZ$228,-1,0),"")))</f>
        <v/>
      </c>
      <c r="EA311" s="403" t="str">
        <f ca="1">IF(SUM($G311:DZ311)&gt;=1,"",IF(EA309=0,"",IF(SUM($G309:EA309)&gt;=1,OFFSET(EA$228,-1,0),"")))</f>
        <v/>
      </c>
      <c r="EB311" s="403" t="str">
        <f ca="1">IF(SUM($G311:EA311)&gt;=1,"",IF(EB309=0,"",IF(SUM($G309:EB309)&gt;=1,OFFSET(EB$228,-1,0),"")))</f>
        <v/>
      </c>
      <c r="EC311" s="403" t="str">
        <f ca="1">IF(SUM($G311:EB311)&gt;=1,"",IF(EC309=0,"",IF(SUM($G309:EC309)&gt;=1,OFFSET(EC$228,-1,0),"")))</f>
        <v/>
      </c>
      <c r="ED311" s="403" t="str">
        <f ca="1">IF(SUM($G311:EC311)&gt;=1,"",IF(ED309=0,"",IF(SUM($G309:ED309)&gt;=1,OFFSET(ED$228,-1,0),"")))</f>
        <v/>
      </c>
      <c r="EE311" s="403" t="str">
        <f ca="1">IF(SUM($G311:ED311)&gt;=1,"",IF(EE309=0,"",IF(SUM($G309:EE309)&gt;=1,OFFSET(EE$228,-1,0),"")))</f>
        <v/>
      </c>
      <c r="EF311" s="403" t="str">
        <f ca="1">IF(SUM($G311:EE311)&gt;=1,"",IF(EF309=0,"",IF(SUM($G309:EF309)&gt;=1,OFFSET(EF$228,-1,0),"")))</f>
        <v/>
      </c>
      <c r="EG311" s="403" t="str">
        <f ca="1">IF(SUM($G311:EF311)&gt;=1,"",IF(EG309=0,"",IF(SUM($G309:EG309)&gt;=1,OFFSET(EG$228,-1,0),"")))</f>
        <v/>
      </c>
      <c r="EH311" s="403" t="str">
        <f ca="1">IF(SUM($G311:EG311)&gt;=1,"",IF(EH309=0,"",IF(SUM($G309:EH309)&gt;=1,OFFSET(EH$228,-1,0),"")))</f>
        <v/>
      </c>
      <c r="EI311" s="403" t="str">
        <f ca="1">IF(SUM($G311:EH311)&gt;=1,"",IF(EI309=0,"",IF(SUM($G309:EI309)&gt;=1,OFFSET(EI$228,-1,0),"")))</f>
        <v/>
      </c>
    </row>
    <row r="312" spans="1:141" hidden="1" outlineLevel="2">
      <c r="A312" s="332"/>
      <c r="D312" s="305" t="s">
        <v>671</v>
      </c>
      <c r="E312" s="1002">
        <f ca="1">IF(E309=0,"",MIN(G312:EI312))</f>
        <v>46414</v>
      </c>
      <c r="F312" s="1003"/>
      <c r="G312" s="403" t="str">
        <f>IF(G309=0,"",IF(G309=G$3,G311,G$5+H$5-G313-1))</f>
        <v/>
      </c>
      <c r="H312" s="403" t="str">
        <f ca="1">IF(H309=0,"",IF(H309=H$3,H311,H$5+I$5-H313-1))</f>
        <v/>
      </c>
      <c r="I312" s="403" t="str">
        <f t="shared" ref="I312:BT312" ca="1" si="506">IF(I309=0,"",IF(I309=I$3,I311,I$5+J$5-I313-1))</f>
        <v/>
      </c>
      <c r="J312" s="403" t="str">
        <f t="shared" ca="1" si="506"/>
        <v/>
      </c>
      <c r="K312" s="403" t="str">
        <f t="shared" ca="1" si="506"/>
        <v/>
      </c>
      <c r="L312" s="403" t="str">
        <f t="shared" ca="1" si="506"/>
        <v/>
      </c>
      <c r="M312" s="403" t="str">
        <f t="shared" ca="1" si="506"/>
        <v/>
      </c>
      <c r="N312" s="403" t="str">
        <f t="shared" ca="1" si="506"/>
        <v/>
      </c>
      <c r="O312" s="403" t="str">
        <f t="shared" ca="1" si="506"/>
        <v/>
      </c>
      <c r="P312" s="403" t="str">
        <f t="shared" ca="1" si="506"/>
        <v/>
      </c>
      <c r="Q312" s="403" t="str">
        <f t="shared" ca="1" si="506"/>
        <v/>
      </c>
      <c r="R312" s="403" t="str">
        <f t="shared" ca="1" si="506"/>
        <v/>
      </c>
      <c r="S312" s="403" t="str">
        <f t="shared" ca="1" si="506"/>
        <v/>
      </c>
      <c r="T312" s="403" t="str">
        <f t="shared" ca="1" si="506"/>
        <v/>
      </c>
      <c r="U312" s="403" t="str">
        <f t="shared" ca="1" si="506"/>
        <v/>
      </c>
      <c r="V312" s="403" t="str">
        <f t="shared" ca="1" si="506"/>
        <v/>
      </c>
      <c r="W312" s="403" t="str">
        <f t="shared" ca="1" si="506"/>
        <v/>
      </c>
      <c r="X312" s="403" t="str">
        <f t="shared" ca="1" si="506"/>
        <v/>
      </c>
      <c r="Y312" s="403" t="str">
        <f t="shared" ca="1" si="506"/>
        <v/>
      </c>
      <c r="Z312" s="403" t="str">
        <f t="shared" ca="1" si="506"/>
        <v/>
      </c>
      <c r="AA312" s="403" t="str">
        <f t="shared" ca="1" si="506"/>
        <v/>
      </c>
      <c r="AB312" s="403" t="str">
        <f t="shared" ca="1" si="506"/>
        <v/>
      </c>
      <c r="AC312" s="403" t="str">
        <f t="shared" ca="1" si="506"/>
        <v/>
      </c>
      <c r="AD312" s="403" t="str">
        <f t="shared" ca="1" si="506"/>
        <v/>
      </c>
      <c r="AE312" s="403" t="str">
        <f t="shared" ca="1" si="506"/>
        <v/>
      </c>
      <c r="AF312" s="403" t="str">
        <f t="shared" ca="1" si="506"/>
        <v/>
      </c>
      <c r="AG312" s="403" t="str">
        <f t="shared" ca="1" si="506"/>
        <v/>
      </c>
      <c r="AH312" s="403" t="str">
        <f t="shared" ca="1" si="506"/>
        <v/>
      </c>
      <c r="AI312" s="403" t="str">
        <f t="shared" ca="1" si="506"/>
        <v/>
      </c>
      <c r="AJ312" s="403" t="str">
        <f t="shared" ca="1" si="506"/>
        <v/>
      </c>
      <c r="AK312" s="403" t="str">
        <f t="shared" ca="1" si="506"/>
        <v/>
      </c>
      <c r="AL312" s="403" t="str">
        <f t="shared" ca="1" si="506"/>
        <v/>
      </c>
      <c r="AM312" s="403" t="str">
        <f t="shared" ca="1" si="506"/>
        <v/>
      </c>
      <c r="AN312" s="403" t="str">
        <f t="shared" ca="1" si="506"/>
        <v/>
      </c>
      <c r="AO312" s="403" t="str">
        <f t="shared" ca="1" si="506"/>
        <v/>
      </c>
      <c r="AP312" s="403" t="str">
        <f t="shared" ca="1" si="506"/>
        <v/>
      </c>
      <c r="AQ312" s="403" t="str">
        <f t="shared" ca="1" si="506"/>
        <v/>
      </c>
      <c r="AR312" s="403" t="str">
        <f t="shared" ca="1" si="506"/>
        <v/>
      </c>
      <c r="AS312" s="403" t="str">
        <f t="shared" ca="1" si="506"/>
        <v/>
      </c>
      <c r="AT312" s="403" t="str">
        <f t="shared" ca="1" si="506"/>
        <v/>
      </c>
      <c r="AU312" s="403" t="str">
        <f t="shared" ca="1" si="506"/>
        <v/>
      </c>
      <c r="AV312" s="403" t="str">
        <f t="shared" ca="1" si="506"/>
        <v/>
      </c>
      <c r="AW312" s="403" t="str">
        <f t="shared" ca="1" si="506"/>
        <v/>
      </c>
      <c r="AX312" s="403" t="str">
        <f t="shared" ca="1" si="506"/>
        <v/>
      </c>
      <c r="AY312" s="403" t="str">
        <f t="shared" ca="1" si="506"/>
        <v/>
      </c>
      <c r="AZ312" s="403" t="str">
        <f t="shared" ca="1" si="506"/>
        <v/>
      </c>
      <c r="BA312" s="403">
        <f t="shared" ca="1" si="506"/>
        <v>46414</v>
      </c>
      <c r="BB312" s="403" t="str">
        <f t="shared" ca="1" si="506"/>
        <v/>
      </c>
      <c r="BC312" s="403" t="str">
        <f t="shared" ca="1" si="506"/>
        <v/>
      </c>
      <c r="BD312" s="403" t="str">
        <f t="shared" ca="1" si="506"/>
        <v/>
      </c>
      <c r="BE312" s="403">
        <f t="shared" ca="1" si="506"/>
        <v>46531</v>
      </c>
      <c r="BF312" s="403" t="str">
        <f t="shared" ca="1" si="506"/>
        <v/>
      </c>
      <c r="BG312" s="403" t="str">
        <f t="shared" ca="1" si="506"/>
        <v/>
      </c>
      <c r="BH312" s="403" t="str">
        <f t="shared" ca="1" si="506"/>
        <v/>
      </c>
      <c r="BI312" s="403" t="str">
        <f t="shared" ca="1" si="506"/>
        <v/>
      </c>
      <c r="BJ312" s="403" t="str">
        <f t="shared" ca="1" si="506"/>
        <v/>
      </c>
      <c r="BK312" s="403" t="str">
        <f t="shared" ca="1" si="506"/>
        <v/>
      </c>
      <c r="BL312" s="403" t="str">
        <f t="shared" ca="1" si="506"/>
        <v/>
      </c>
      <c r="BM312" s="403" t="str">
        <f t="shared" ca="1" si="506"/>
        <v/>
      </c>
      <c r="BN312" s="403" t="str">
        <f t="shared" ca="1" si="506"/>
        <v/>
      </c>
      <c r="BO312" s="403" t="str">
        <f t="shared" ca="1" si="506"/>
        <v/>
      </c>
      <c r="BP312" s="403" t="str">
        <f t="shared" ca="1" si="506"/>
        <v/>
      </c>
      <c r="BQ312" s="403" t="str">
        <f t="shared" ca="1" si="506"/>
        <v/>
      </c>
      <c r="BR312" s="403" t="str">
        <f t="shared" ca="1" si="506"/>
        <v/>
      </c>
      <c r="BS312" s="403" t="str">
        <f t="shared" ca="1" si="506"/>
        <v/>
      </c>
      <c r="BT312" s="403" t="str">
        <f t="shared" ca="1" si="506"/>
        <v/>
      </c>
      <c r="BU312" s="403" t="str">
        <f t="shared" ref="BU312:EF312" ca="1" si="507">IF(BU309=0,"",IF(BU309=BU$3,BU311,BU$5+BV$5-BU313-1))</f>
        <v/>
      </c>
      <c r="BV312" s="403" t="str">
        <f t="shared" ca="1" si="507"/>
        <v/>
      </c>
      <c r="BW312" s="403" t="str">
        <f t="shared" ca="1" si="507"/>
        <v/>
      </c>
      <c r="BX312" s="403" t="str">
        <f t="shared" ca="1" si="507"/>
        <v/>
      </c>
      <c r="BY312" s="403" t="str">
        <f t="shared" ca="1" si="507"/>
        <v/>
      </c>
      <c r="BZ312" s="403" t="str">
        <f t="shared" ca="1" si="507"/>
        <v/>
      </c>
      <c r="CA312" s="403" t="str">
        <f t="shared" ca="1" si="507"/>
        <v/>
      </c>
      <c r="CB312" s="403" t="str">
        <f t="shared" ca="1" si="507"/>
        <v/>
      </c>
      <c r="CC312" s="403" t="str">
        <f t="shared" ca="1" si="507"/>
        <v/>
      </c>
      <c r="CD312" s="403" t="str">
        <f t="shared" ca="1" si="507"/>
        <v/>
      </c>
      <c r="CE312" s="403" t="str">
        <f t="shared" ca="1" si="507"/>
        <v/>
      </c>
      <c r="CF312" s="403" t="str">
        <f t="shared" ca="1" si="507"/>
        <v/>
      </c>
      <c r="CG312" s="403" t="str">
        <f t="shared" ca="1" si="507"/>
        <v/>
      </c>
      <c r="CH312" s="403" t="str">
        <f t="shared" ca="1" si="507"/>
        <v/>
      </c>
      <c r="CI312" s="403" t="str">
        <f t="shared" ca="1" si="507"/>
        <v/>
      </c>
      <c r="CJ312" s="403" t="str">
        <f t="shared" ca="1" si="507"/>
        <v/>
      </c>
      <c r="CK312" s="403" t="str">
        <f t="shared" ca="1" si="507"/>
        <v/>
      </c>
      <c r="CL312" s="403" t="str">
        <f t="shared" ca="1" si="507"/>
        <v/>
      </c>
      <c r="CM312" s="403" t="str">
        <f t="shared" ca="1" si="507"/>
        <v/>
      </c>
      <c r="CN312" s="403" t="str">
        <f t="shared" ca="1" si="507"/>
        <v/>
      </c>
      <c r="CO312" s="403" t="str">
        <f t="shared" ca="1" si="507"/>
        <v/>
      </c>
      <c r="CP312" s="403" t="str">
        <f t="shared" ca="1" si="507"/>
        <v/>
      </c>
      <c r="CQ312" s="403" t="str">
        <f t="shared" ca="1" si="507"/>
        <v/>
      </c>
      <c r="CR312" s="403" t="str">
        <f t="shared" ca="1" si="507"/>
        <v/>
      </c>
      <c r="CS312" s="403" t="str">
        <f t="shared" ca="1" si="507"/>
        <v/>
      </c>
      <c r="CT312" s="403" t="str">
        <f t="shared" ca="1" si="507"/>
        <v/>
      </c>
      <c r="CU312" s="403" t="str">
        <f t="shared" ca="1" si="507"/>
        <v/>
      </c>
      <c r="CV312" s="403" t="str">
        <f t="shared" ca="1" si="507"/>
        <v/>
      </c>
      <c r="CW312" s="403" t="str">
        <f t="shared" ca="1" si="507"/>
        <v/>
      </c>
      <c r="CX312" s="403" t="str">
        <f t="shared" ca="1" si="507"/>
        <v/>
      </c>
      <c r="CY312" s="403" t="str">
        <f t="shared" ca="1" si="507"/>
        <v/>
      </c>
      <c r="CZ312" s="403" t="str">
        <f t="shared" ca="1" si="507"/>
        <v/>
      </c>
      <c r="DA312" s="403" t="str">
        <f t="shared" ca="1" si="507"/>
        <v/>
      </c>
      <c r="DB312" s="403" t="str">
        <f t="shared" ca="1" si="507"/>
        <v/>
      </c>
      <c r="DC312" s="403" t="str">
        <f t="shared" ca="1" si="507"/>
        <v/>
      </c>
      <c r="DD312" s="403" t="str">
        <f t="shared" ca="1" si="507"/>
        <v/>
      </c>
      <c r="DE312" s="403" t="str">
        <f t="shared" ca="1" si="507"/>
        <v/>
      </c>
      <c r="DF312" s="403" t="str">
        <f t="shared" ca="1" si="507"/>
        <v/>
      </c>
      <c r="DG312" s="403" t="str">
        <f t="shared" ca="1" si="507"/>
        <v/>
      </c>
      <c r="DH312" s="403" t="str">
        <f t="shared" ca="1" si="507"/>
        <v/>
      </c>
      <c r="DI312" s="403" t="str">
        <f t="shared" ca="1" si="507"/>
        <v/>
      </c>
      <c r="DJ312" s="403" t="str">
        <f t="shared" ca="1" si="507"/>
        <v/>
      </c>
      <c r="DK312" s="403" t="str">
        <f t="shared" ca="1" si="507"/>
        <v/>
      </c>
      <c r="DL312" s="403" t="str">
        <f t="shared" ca="1" si="507"/>
        <v/>
      </c>
      <c r="DM312" s="403" t="str">
        <f t="shared" ca="1" si="507"/>
        <v/>
      </c>
      <c r="DN312" s="403" t="str">
        <f t="shared" ca="1" si="507"/>
        <v/>
      </c>
      <c r="DO312" s="403" t="str">
        <f t="shared" ca="1" si="507"/>
        <v/>
      </c>
      <c r="DP312" s="403" t="str">
        <f t="shared" ca="1" si="507"/>
        <v/>
      </c>
      <c r="DQ312" s="403" t="str">
        <f t="shared" ca="1" si="507"/>
        <v/>
      </c>
      <c r="DR312" s="403" t="str">
        <f t="shared" ca="1" si="507"/>
        <v/>
      </c>
      <c r="DS312" s="403" t="str">
        <f t="shared" ca="1" si="507"/>
        <v/>
      </c>
      <c r="DT312" s="403" t="str">
        <f t="shared" ca="1" si="507"/>
        <v/>
      </c>
      <c r="DU312" s="403" t="str">
        <f t="shared" ca="1" si="507"/>
        <v/>
      </c>
      <c r="DV312" s="403" t="str">
        <f t="shared" ca="1" si="507"/>
        <v/>
      </c>
      <c r="DW312" s="403" t="str">
        <f t="shared" ca="1" si="507"/>
        <v/>
      </c>
      <c r="DX312" s="403" t="str">
        <f t="shared" ca="1" si="507"/>
        <v/>
      </c>
      <c r="DY312" s="403" t="str">
        <f t="shared" ca="1" si="507"/>
        <v/>
      </c>
      <c r="DZ312" s="403" t="str">
        <f t="shared" ca="1" si="507"/>
        <v/>
      </c>
      <c r="EA312" s="403" t="str">
        <f t="shared" ca="1" si="507"/>
        <v/>
      </c>
      <c r="EB312" s="403" t="str">
        <f t="shared" ca="1" si="507"/>
        <v/>
      </c>
      <c r="EC312" s="403" t="str">
        <f t="shared" ca="1" si="507"/>
        <v/>
      </c>
      <c r="ED312" s="403" t="str">
        <f t="shared" ca="1" si="507"/>
        <v/>
      </c>
      <c r="EE312" s="403" t="str">
        <f t="shared" ca="1" si="507"/>
        <v/>
      </c>
      <c r="EF312" s="403" t="str">
        <f t="shared" ca="1" si="507"/>
        <v/>
      </c>
      <c r="EG312" s="403" t="str">
        <f t="shared" ref="EG312:EI312" ca="1" si="508">IF(EG309=0,"",IF(EG309=EG$3,EG311,EG$5+EH$5-EG313-1))</f>
        <v/>
      </c>
      <c r="EH312" s="403" t="str">
        <f t="shared" ca="1" si="508"/>
        <v/>
      </c>
      <c r="EI312" s="403" t="str">
        <f t="shared" ca="1" si="508"/>
        <v/>
      </c>
    </row>
    <row r="313" spans="1:141" hidden="1" outlineLevel="2">
      <c r="A313" s="332"/>
      <c r="D313" s="305" t="s">
        <v>672</v>
      </c>
      <c r="E313" s="1002">
        <f ca="1">IF(E309=0,"",MAX(G313:EI313))</f>
        <v>46515</v>
      </c>
      <c r="F313" s="1003"/>
      <c r="G313" s="403">
        <f ca="1">IF(SUM(G309:$EI309)=0,"",IF(G$227="","",G$227+G309-1))</f>
        <v>44985</v>
      </c>
      <c r="H313" s="403">
        <f ca="1">IF(SUM(H309:$EI309)=0,"",IF(H$227="","",H$227+H309-1))</f>
        <v>45016</v>
      </c>
      <c r="I313" s="403">
        <f ca="1">IF(SUM(I309:$EI309)=0,"",IF(I$227="","",I$227+I309-1))</f>
        <v>45046</v>
      </c>
      <c r="J313" s="403">
        <f ca="1">IF(SUM(J309:$EI309)=0,"",IF(J$227="","",J$227+J309-1))</f>
        <v>45077</v>
      </c>
      <c r="K313" s="403">
        <f ca="1">IF(SUM(K309:$EI309)=0,"",IF(K$227="","",K$227+K309-1))</f>
        <v>45107</v>
      </c>
      <c r="L313" s="403">
        <f ca="1">IF(SUM(L309:$EI309)=0,"",IF(L$227="","",L$227+L309-1))</f>
        <v>45138</v>
      </c>
      <c r="M313" s="403">
        <f ca="1">IF(SUM(M309:$EI309)=0,"",IF(M$227="","",M$227+M309-1))</f>
        <v>45169</v>
      </c>
      <c r="N313" s="403">
        <f ca="1">IF(SUM(N309:$EI309)=0,"",IF(N$227="","",N$227+N309-1))</f>
        <v>45199</v>
      </c>
      <c r="O313" s="403">
        <f ca="1">IF(SUM(O309:$EI309)=0,"",IF(O$227="","",O$227+O309-1))</f>
        <v>45230</v>
      </c>
      <c r="P313" s="403">
        <f ca="1">IF(SUM(P309:$EI309)=0,"",IF(P$227="","",P$227+P309-1))</f>
        <v>45260</v>
      </c>
      <c r="Q313" s="403">
        <f ca="1">IF(SUM(Q309:$EI309)=0,"",IF(Q$227="","",Q$227+Q309-1))</f>
        <v>45291</v>
      </c>
      <c r="R313" s="403">
        <f ca="1">IF(SUM(R309:$EI309)=0,"",IF(R$227="","",R$227+R309-1))</f>
        <v>45322</v>
      </c>
      <c r="S313" s="403">
        <f ca="1">IF(SUM(S309:$EI309)=0,"",IF(S$227="","",S$227+S309-1))</f>
        <v>45351</v>
      </c>
      <c r="T313" s="403">
        <f ca="1">IF(SUM(T309:$EI309)=0,"",IF(T$227="","",T$227+T309-1))</f>
        <v>45382</v>
      </c>
      <c r="U313" s="403">
        <f ca="1">IF(SUM(U309:$EI309)=0,"",IF(U$227="","",U$227+U309-1))</f>
        <v>45412</v>
      </c>
      <c r="V313" s="403">
        <f ca="1">IF(SUM(V309:$EI309)=0,"",IF(V$227="","",V$227+V309-1))</f>
        <v>45443</v>
      </c>
      <c r="W313" s="403">
        <f ca="1">IF(SUM(W309:$EI309)=0,"",IF(W$227="","",W$227+W309-1))</f>
        <v>45473</v>
      </c>
      <c r="X313" s="403">
        <f ca="1">IF(SUM(X309:$EI309)=0,"",IF(X$227="","",X$227+X309-1))</f>
        <v>45504</v>
      </c>
      <c r="Y313" s="403">
        <f ca="1">IF(SUM(Y309:$EI309)=0,"",IF(Y$227="","",Y$227+Y309-1))</f>
        <v>45535</v>
      </c>
      <c r="Z313" s="403">
        <f ca="1">IF(SUM(Z309:$EI309)=0,"",IF(Z$227="","",Z$227+Z309-1))</f>
        <v>45565</v>
      </c>
      <c r="AA313" s="403">
        <f ca="1">IF(SUM(AA309:$EI309)=0,"",IF(AA$227="","",AA$227+AA309-1))</f>
        <v>45596</v>
      </c>
      <c r="AB313" s="403">
        <f ca="1">IF(SUM(AB309:$EI309)=0,"",IF(AB$227="","",AB$227+AB309-1))</f>
        <v>45626</v>
      </c>
      <c r="AC313" s="403">
        <f ca="1">IF(SUM(AC309:$EI309)=0,"",IF(AC$227="","",AC$227+AC309-1))</f>
        <v>45657</v>
      </c>
      <c r="AD313" s="403">
        <f ca="1">IF(SUM(AD309:$EI309)=0,"",IF(AD$227="","",AD$227+AD309-1))</f>
        <v>45688</v>
      </c>
      <c r="AE313" s="403">
        <f ca="1">IF(SUM(AE309:$EI309)=0,"",IF(AE$227="","",AE$227+AE309-1))</f>
        <v>45716</v>
      </c>
      <c r="AF313" s="403">
        <f ca="1">IF(SUM(AF309:$EI309)=0,"",IF(AF$227="","",AF$227+AF309-1))</f>
        <v>45747</v>
      </c>
      <c r="AG313" s="403">
        <f ca="1">IF(SUM(AG309:$EI309)=0,"",IF(AG$227="","",AG$227+AG309-1))</f>
        <v>45777</v>
      </c>
      <c r="AH313" s="403">
        <f ca="1">IF(SUM(AH309:$EI309)=0,"",IF(AH$227="","",AH$227+AH309-1))</f>
        <v>45808</v>
      </c>
      <c r="AI313" s="403">
        <f ca="1">IF(SUM(AI309:$EI309)=0,"",IF(AI$227="","",AI$227+AI309-1))</f>
        <v>45838</v>
      </c>
      <c r="AJ313" s="403">
        <f ca="1">IF(SUM(AJ309:$EI309)=0,"",IF(AJ$227="","",AJ$227+AJ309-1))</f>
        <v>45869</v>
      </c>
      <c r="AK313" s="403">
        <f ca="1">IF(SUM(AK309:$EI309)=0,"",IF(AK$227="","",AK$227+AK309-1))</f>
        <v>45900</v>
      </c>
      <c r="AL313" s="403">
        <f ca="1">IF(SUM(AL309:$EI309)=0,"",IF(AL$227="","",AL$227+AL309-1))</f>
        <v>45930</v>
      </c>
      <c r="AM313" s="403">
        <f ca="1">IF(SUM(AM309:$EI309)=0,"",IF(AM$227="","",AM$227+AM309-1))</f>
        <v>45961</v>
      </c>
      <c r="AN313" s="403">
        <f ca="1">IF(SUM(AN309:$EI309)=0,"",IF(AN$227="","",AN$227+AN309-1))</f>
        <v>45991</v>
      </c>
      <c r="AO313" s="403">
        <f ca="1">IF(SUM(AO309:$EI309)=0,"",IF(AO$227="","",AO$227+AO309-1))</f>
        <v>46022</v>
      </c>
      <c r="AP313" s="403">
        <f ca="1">IF(SUM(AP309:$EI309)=0,"",IF(AP$227="","",AP$227+AP309-1))</f>
        <v>46053</v>
      </c>
      <c r="AQ313" s="403">
        <f ca="1">IF(SUM(AQ309:$EI309)=0,"",IF(AQ$227="","",AQ$227+AQ309-1))</f>
        <v>46081</v>
      </c>
      <c r="AR313" s="403">
        <f ca="1">IF(SUM(AR309:$EI309)=0,"",IF(AR$227="","",AR$227+AR309-1))</f>
        <v>46112</v>
      </c>
      <c r="AS313" s="403">
        <f ca="1">IF(SUM(AS309:$EI309)=0,"",IF(AS$227="","",AS$227+AS309-1))</f>
        <v>46142</v>
      </c>
      <c r="AT313" s="403">
        <f ca="1">IF(SUM(AT309:$EI309)=0,"",IF(AT$227="","",AT$227+AT309-1))</f>
        <v>46173</v>
      </c>
      <c r="AU313" s="403">
        <f ca="1">IF(SUM(AU309:$EI309)=0,"",IF(AU$227="","",AU$227+AU309-1))</f>
        <v>46203</v>
      </c>
      <c r="AV313" s="403">
        <f ca="1">IF(SUM(AV309:$EI309)=0,"",IF(AV$227="","",AV$227+AV309-1))</f>
        <v>46234</v>
      </c>
      <c r="AW313" s="403">
        <f ca="1">IF(SUM(AW309:$EI309)=0,"",IF(AW$227="","",AW$227+AW309-1))</f>
        <v>46265</v>
      </c>
      <c r="AX313" s="403">
        <f ca="1">IF(SUM(AX309:$EI309)=0,"",IF(AX$227="","",AX$227+AX309-1))</f>
        <v>46295</v>
      </c>
      <c r="AY313" s="403">
        <f ca="1">IF(SUM(AY309:$EI309)=0,"",IF(AY$227="","",AY$227+AY309-1))</f>
        <v>46326</v>
      </c>
      <c r="AZ313" s="403">
        <f ca="1">IF(SUM(AZ309:$EI309)=0,"",IF(AZ$227="","",AZ$227+AZ309-1))</f>
        <v>46356</v>
      </c>
      <c r="BA313" s="403">
        <f ca="1">IF(SUM(BA309:$EI309)=0,"",IF(BA$227="","",BA$227+BA309-1))</f>
        <v>46392</v>
      </c>
      <c r="BB313" s="403">
        <f ca="1">IF(SUM(BB309:$EI309)=0,"",IF(BB$227="","",BB$227+BB309-1))</f>
        <v>46446</v>
      </c>
      <c r="BC313" s="403">
        <f ca="1">IF(SUM(BC309:$EI309)=0,"",IF(BC$227="","",BC$227+BC309-1))</f>
        <v>46477</v>
      </c>
      <c r="BD313" s="403">
        <f ca="1">IF(SUM(BD309:$EI309)=0,"",IF(BD$227="","",BD$227+BD309-1))</f>
        <v>46507</v>
      </c>
      <c r="BE313" s="403">
        <f ca="1">IF(SUM(BE309:$EI309)=0,"",IF(BE$227="","",BE$227+BE309-1))</f>
        <v>46515</v>
      </c>
      <c r="BF313" s="403" t="str">
        <f ca="1">IF(SUM(BF309:$EI309)=0,"",IF(BF$227="","",BF$227+BF309-1))</f>
        <v/>
      </c>
      <c r="BG313" s="403" t="str">
        <f ca="1">IF(SUM(BG309:$EI309)=0,"",IF(BG$227="","",BG$227+BG309-1))</f>
        <v/>
      </c>
      <c r="BH313" s="403" t="str">
        <f ca="1">IF(SUM(BH309:$EI309)=0,"",IF(BH$227="","",BH$227+BH309-1))</f>
        <v/>
      </c>
      <c r="BI313" s="403" t="str">
        <f ca="1">IF(SUM(BI309:$EI309)=0,"",IF(BI$227="","",BI$227+BI309-1))</f>
        <v/>
      </c>
      <c r="BJ313" s="403" t="str">
        <f ca="1">IF(SUM(BJ309:$EI309)=0,"",IF(BJ$227="","",BJ$227+BJ309-1))</f>
        <v/>
      </c>
      <c r="BK313" s="403" t="str">
        <f ca="1">IF(SUM(BK309:$EI309)=0,"",IF(BK$227="","",BK$227+BK309-1))</f>
        <v/>
      </c>
      <c r="BL313" s="403" t="str">
        <f ca="1">IF(SUM(BL309:$EI309)=0,"",IF(BL$227="","",BL$227+BL309-1))</f>
        <v/>
      </c>
      <c r="BM313" s="403" t="str">
        <f ca="1">IF(SUM(BM309:$EI309)=0,"",IF(BM$227="","",BM$227+BM309-1))</f>
        <v/>
      </c>
      <c r="BN313" s="403" t="str">
        <f ca="1">IF(SUM(BN309:$EI309)=0,"",IF(BN$227="","",BN$227+BN309-1))</f>
        <v/>
      </c>
      <c r="BO313" s="403" t="str">
        <f ca="1">IF(SUM(BO309:$EI309)=0,"",IF(BO$227="","",BO$227+BO309-1))</f>
        <v/>
      </c>
      <c r="BP313" s="403" t="str">
        <f ca="1">IF(SUM(BP309:$EI309)=0,"",IF(BP$227="","",BP$227+BP309-1))</f>
        <v/>
      </c>
      <c r="BQ313" s="403" t="str">
        <f ca="1">IF(SUM(BQ309:$EI309)=0,"",IF(BQ$227="","",BQ$227+BQ309-1))</f>
        <v/>
      </c>
      <c r="BR313" s="403" t="str">
        <f ca="1">IF(SUM(BR309:$EI309)=0,"",IF(BR$227="","",BR$227+BR309-1))</f>
        <v/>
      </c>
      <c r="BS313" s="403" t="str">
        <f ca="1">IF(SUM(BS309:$EI309)=0,"",IF(BS$227="","",BS$227+BS309-1))</f>
        <v/>
      </c>
      <c r="BT313" s="403" t="str">
        <f ca="1">IF(SUM(BT309:$EI309)=0,"",IF(BT$227="","",BT$227+BT309-1))</f>
        <v/>
      </c>
      <c r="BU313" s="403" t="str">
        <f ca="1">IF(SUM(BU309:$EI309)=0,"",IF(BU$227="","",BU$227+BU309-1))</f>
        <v/>
      </c>
      <c r="BV313" s="403" t="str">
        <f ca="1">IF(SUM(BV309:$EI309)=0,"",IF(BV$227="","",BV$227+BV309-1))</f>
        <v/>
      </c>
      <c r="BW313" s="403" t="str">
        <f ca="1">IF(SUM(BW309:$EI309)=0,"",IF(BW$227="","",BW$227+BW309-1))</f>
        <v/>
      </c>
      <c r="BX313" s="403" t="str">
        <f ca="1">IF(SUM(BX309:$EI309)=0,"",IF(BX$227="","",BX$227+BX309-1))</f>
        <v/>
      </c>
      <c r="BY313" s="403" t="str">
        <f ca="1">IF(SUM(BY309:$EI309)=0,"",IF(BY$227="","",BY$227+BY309-1))</f>
        <v/>
      </c>
      <c r="BZ313" s="403" t="str">
        <f ca="1">IF(SUM(BZ309:$EI309)=0,"",IF(BZ$227="","",BZ$227+BZ309-1))</f>
        <v/>
      </c>
      <c r="CA313" s="403" t="str">
        <f ca="1">IF(SUM(CA309:$EI309)=0,"",IF(CA$227="","",CA$227+CA309-1))</f>
        <v/>
      </c>
      <c r="CB313" s="403" t="str">
        <f ca="1">IF(SUM(CB309:$EI309)=0,"",IF(CB$227="","",CB$227+CB309-1))</f>
        <v/>
      </c>
      <c r="CC313" s="403" t="str">
        <f ca="1">IF(SUM(CC309:$EI309)=0,"",IF(CC$227="","",CC$227+CC309-1))</f>
        <v/>
      </c>
      <c r="CD313" s="403" t="str">
        <f ca="1">IF(SUM(CD309:$EI309)=0,"",IF(CD$227="","",CD$227+CD309-1))</f>
        <v/>
      </c>
      <c r="CE313" s="403" t="str">
        <f ca="1">IF(SUM(CE309:$EI309)=0,"",IF(CE$227="","",CE$227+CE309-1))</f>
        <v/>
      </c>
      <c r="CF313" s="403" t="str">
        <f ca="1">IF(SUM(CF309:$EI309)=0,"",IF(CF$227="","",CF$227+CF309-1))</f>
        <v/>
      </c>
      <c r="CG313" s="403" t="str">
        <f ca="1">IF(SUM(CG309:$EI309)=0,"",IF(CG$227="","",CG$227+CG309-1))</f>
        <v/>
      </c>
      <c r="CH313" s="403" t="str">
        <f ca="1">IF(SUM(CH309:$EI309)=0,"",IF(CH$227="","",CH$227+CH309-1))</f>
        <v/>
      </c>
      <c r="CI313" s="403" t="str">
        <f ca="1">IF(SUM(CI309:$EI309)=0,"",IF(CI$227="","",CI$227+CI309-1))</f>
        <v/>
      </c>
      <c r="CJ313" s="403" t="str">
        <f ca="1">IF(SUM(CJ309:$EI309)=0,"",IF(CJ$227="","",CJ$227+CJ309-1))</f>
        <v/>
      </c>
      <c r="CK313" s="403" t="str">
        <f ca="1">IF(SUM(CK309:$EI309)=0,"",IF(CK$227="","",CK$227+CK309-1))</f>
        <v/>
      </c>
      <c r="CL313" s="403" t="str">
        <f ca="1">IF(SUM(CL309:$EI309)=0,"",IF(CL$227="","",CL$227+CL309-1))</f>
        <v/>
      </c>
      <c r="CM313" s="403" t="str">
        <f ca="1">IF(SUM(CM309:$EI309)=0,"",IF(CM$227="","",CM$227+CM309-1))</f>
        <v/>
      </c>
      <c r="CN313" s="403" t="str">
        <f ca="1">IF(SUM(CN309:$EI309)=0,"",IF(CN$227="","",CN$227+CN309-1))</f>
        <v/>
      </c>
      <c r="CO313" s="403" t="str">
        <f ca="1">IF(SUM(CO309:$EI309)=0,"",IF(CO$227="","",CO$227+CO309-1))</f>
        <v/>
      </c>
      <c r="CP313" s="403" t="str">
        <f ca="1">IF(SUM(CP309:$EI309)=0,"",IF(CP$227="","",CP$227+CP309-1))</f>
        <v/>
      </c>
      <c r="CQ313" s="403" t="str">
        <f ca="1">IF(SUM(CQ309:$EI309)=0,"",IF(CQ$227="","",CQ$227+CQ309-1))</f>
        <v/>
      </c>
      <c r="CR313" s="403" t="str">
        <f ca="1">IF(SUM(CR309:$EI309)=0,"",IF(CR$227="","",CR$227+CR309-1))</f>
        <v/>
      </c>
      <c r="CS313" s="403" t="str">
        <f ca="1">IF(SUM(CS309:$EI309)=0,"",IF(CS$227="","",CS$227+CS309-1))</f>
        <v/>
      </c>
      <c r="CT313" s="403" t="str">
        <f ca="1">IF(SUM(CT309:$EI309)=0,"",IF(CT$227="","",CT$227+CT309-1))</f>
        <v/>
      </c>
      <c r="CU313" s="403" t="str">
        <f ca="1">IF(SUM(CU309:$EI309)=0,"",IF(CU$227="","",CU$227+CU309-1))</f>
        <v/>
      </c>
      <c r="CV313" s="403" t="str">
        <f ca="1">IF(SUM(CV309:$EI309)=0,"",IF(CV$227="","",CV$227+CV309-1))</f>
        <v/>
      </c>
      <c r="CW313" s="403" t="str">
        <f ca="1">IF(SUM(CW309:$EI309)=0,"",IF(CW$227="","",CW$227+CW309-1))</f>
        <v/>
      </c>
      <c r="CX313" s="403" t="str">
        <f ca="1">IF(SUM(CX309:$EI309)=0,"",IF(CX$227="","",CX$227+CX309-1))</f>
        <v/>
      </c>
      <c r="CY313" s="403" t="str">
        <f ca="1">IF(SUM(CY309:$EI309)=0,"",IF(CY$227="","",CY$227+CY309-1))</f>
        <v/>
      </c>
      <c r="CZ313" s="403" t="str">
        <f ca="1">IF(SUM(CZ309:$EI309)=0,"",IF(CZ$227="","",CZ$227+CZ309-1))</f>
        <v/>
      </c>
      <c r="DA313" s="403" t="str">
        <f ca="1">IF(SUM(DA309:$EI309)=0,"",IF(DA$227="","",DA$227+DA309-1))</f>
        <v/>
      </c>
      <c r="DB313" s="403" t="str">
        <f ca="1">IF(SUM(DB309:$EI309)=0,"",IF(DB$227="","",DB$227+DB309-1))</f>
        <v/>
      </c>
      <c r="DC313" s="403" t="str">
        <f ca="1">IF(SUM(DC309:$EI309)=0,"",IF(DC$227="","",DC$227+DC309-1))</f>
        <v/>
      </c>
      <c r="DD313" s="403" t="str">
        <f ca="1">IF(SUM(DD309:$EI309)=0,"",IF(DD$227="","",DD$227+DD309-1))</f>
        <v/>
      </c>
      <c r="DE313" s="403" t="str">
        <f ca="1">IF(SUM(DE309:$EI309)=0,"",IF(DE$227="","",DE$227+DE309-1))</f>
        <v/>
      </c>
      <c r="DF313" s="403" t="str">
        <f ca="1">IF(SUM(DF309:$EI309)=0,"",IF(DF$227="","",DF$227+DF309-1))</f>
        <v/>
      </c>
      <c r="DG313" s="403" t="str">
        <f ca="1">IF(SUM(DG309:$EI309)=0,"",IF(DG$227="","",DG$227+DG309-1))</f>
        <v/>
      </c>
      <c r="DH313" s="403" t="str">
        <f ca="1">IF(SUM(DH309:$EI309)=0,"",IF(DH$227="","",DH$227+DH309-1))</f>
        <v/>
      </c>
      <c r="DI313" s="403" t="str">
        <f ca="1">IF(SUM(DI309:$EI309)=0,"",IF(DI$227="","",DI$227+DI309-1))</f>
        <v/>
      </c>
      <c r="DJ313" s="403" t="str">
        <f ca="1">IF(SUM(DJ309:$EI309)=0,"",IF(DJ$227="","",DJ$227+DJ309-1))</f>
        <v/>
      </c>
      <c r="DK313" s="403" t="str">
        <f ca="1">IF(SUM(DK309:$EI309)=0,"",IF(DK$227="","",DK$227+DK309-1))</f>
        <v/>
      </c>
      <c r="DL313" s="403" t="str">
        <f ca="1">IF(SUM(DL309:$EI309)=0,"",IF(DL$227="","",DL$227+DL309-1))</f>
        <v/>
      </c>
      <c r="DM313" s="403" t="str">
        <f ca="1">IF(SUM(DM309:$EI309)=0,"",IF(DM$227="","",DM$227+DM309-1))</f>
        <v/>
      </c>
      <c r="DN313" s="403" t="str">
        <f ca="1">IF(SUM(DN309:$EI309)=0,"",IF(DN$227="","",DN$227+DN309-1))</f>
        <v/>
      </c>
      <c r="DO313" s="403" t="str">
        <f ca="1">IF(SUM(DO309:$EI309)=0,"",IF(DO$227="","",DO$227+DO309-1))</f>
        <v/>
      </c>
      <c r="DP313" s="403" t="str">
        <f ca="1">IF(SUM(DP309:$EI309)=0,"",IF(DP$227="","",DP$227+DP309-1))</f>
        <v/>
      </c>
      <c r="DQ313" s="403" t="str">
        <f ca="1">IF(SUM(DQ309:$EI309)=0,"",IF(DQ$227="","",DQ$227+DQ309-1))</f>
        <v/>
      </c>
      <c r="DR313" s="403" t="str">
        <f ca="1">IF(SUM(DR309:$EI309)=0,"",IF(DR$227="","",DR$227+DR309-1))</f>
        <v/>
      </c>
      <c r="DS313" s="403" t="str">
        <f ca="1">IF(SUM(DS309:$EI309)=0,"",IF(DS$227="","",DS$227+DS309-1))</f>
        <v/>
      </c>
      <c r="DT313" s="403" t="str">
        <f ca="1">IF(SUM(DT309:$EI309)=0,"",IF(DT$227="","",DT$227+DT309-1))</f>
        <v/>
      </c>
      <c r="DU313" s="403" t="str">
        <f ca="1">IF(SUM(DU309:$EI309)=0,"",IF(DU$227="","",DU$227+DU309-1))</f>
        <v/>
      </c>
      <c r="DV313" s="403" t="str">
        <f ca="1">IF(SUM(DV309:$EI309)=0,"",IF(DV$227="","",DV$227+DV309-1))</f>
        <v/>
      </c>
      <c r="DW313" s="403" t="str">
        <f ca="1">IF(SUM(DW309:$EI309)=0,"",IF(DW$227="","",DW$227+DW309-1))</f>
        <v/>
      </c>
      <c r="DX313" s="403" t="str">
        <f ca="1">IF(SUM(DX309:$EI309)=0,"",IF(DX$227="","",DX$227+DX309-1))</f>
        <v/>
      </c>
      <c r="DY313" s="403" t="str">
        <f ca="1">IF(SUM(DY309:$EI309)=0,"",IF(DY$227="","",DY$227+DY309-1))</f>
        <v/>
      </c>
      <c r="DZ313" s="403" t="str">
        <f ca="1">IF(SUM(DZ309:$EI309)=0,"",IF(DZ$227="","",DZ$227+DZ309-1))</f>
        <v/>
      </c>
      <c r="EA313" s="403" t="str">
        <f ca="1">IF(SUM(EA309:$EI309)=0,"",IF(EA$227="","",EA$227+EA309-1))</f>
        <v/>
      </c>
      <c r="EB313" s="403" t="str">
        <f ca="1">IF(SUM(EB309:$EI309)=0,"",IF(EB$227="","",EB$227+EB309-1))</f>
        <v/>
      </c>
      <c r="EC313" s="403" t="str">
        <f ca="1">IF(SUM(EC309:$EI309)=0,"",IF(EC$227="","",EC$227+EC309-1))</f>
        <v/>
      </c>
      <c r="ED313" s="403" t="str">
        <f ca="1">IF(SUM(ED309:$EI309)=0,"",IF(ED$227="","",ED$227+ED309-1))</f>
        <v/>
      </c>
      <c r="EE313" s="403" t="str">
        <f ca="1">IF(SUM(EE309:$EI309)=0,"",IF(EE$227="","",EE$227+EE309-1))</f>
        <v/>
      </c>
      <c r="EF313" s="403" t="str">
        <f ca="1">IF(SUM(EF309:$EI309)=0,"",IF(EF$227="","",EF$227+EF309-1))</f>
        <v/>
      </c>
      <c r="EG313" s="403" t="str">
        <f ca="1">IF(SUM(EG309:$EI309)=0,"",IF(EG$227="","",EG$227+EG309-1))</f>
        <v/>
      </c>
      <c r="EH313" s="403" t="str">
        <f ca="1">IF(SUM(EH309:$EI309)=0,"",IF(EH$227="","",EH$227+EH309-1))</f>
        <v/>
      </c>
      <c r="EI313" s="403" t="str">
        <f ca="1">IF(SUM(EI309:$EI309)=0,"",IF(EI$227="","",EI$227+EI309-1))</f>
        <v/>
      </c>
    </row>
    <row r="314" spans="1:141" outlineLevel="1" collapsed="1">
      <c r="A314" s="332"/>
      <c r="B314" s="313"/>
      <c r="C314" s="317" t="s">
        <v>91</v>
      </c>
      <c r="D314" s="317" t="s">
        <v>677</v>
      </c>
      <c r="E314" s="400">
        <f ca="1">IF(ГРП!B26=0,длительность!B71,ГРП!B26)</f>
        <v>60</v>
      </c>
      <c r="F314" s="318">
        <f ca="1">E314-SUM(G314:EJ314)</f>
        <v>0</v>
      </c>
      <c r="G314" s="401"/>
      <c r="H314" s="401">
        <f ca="1">IF(SUM($G314:G314)&gt;=$E314,0,IF($E314-SUM($G314:G314)&gt;H315,H315,$E314-SUM($G315:G315)))</f>
        <v>0</v>
      </c>
      <c r="I314" s="401">
        <f ca="1">IF(SUM($G314:H314)&gt;=$E314,0,IF($E314-SUM($G314:H314)&gt;I315,I315,$E314-SUM($G315:H315)))</f>
        <v>0</v>
      </c>
      <c r="J314" s="401">
        <f ca="1">IF(SUM($G314:I314)&gt;=$E314,0,IF($E314-SUM($G314:I314)&gt;J315,J315,$E314-SUM($G315:I315)))</f>
        <v>0</v>
      </c>
      <c r="K314" s="401">
        <f ca="1">IF(SUM($G314:J314)&gt;=$E314,0,IF($E314-SUM($G314:J314)&gt;K315,K315,$E314-SUM($G315:J315)))</f>
        <v>0</v>
      </c>
      <c r="L314" s="401">
        <f ca="1">IF(SUM($G314:K314)&gt;=$E314,0,IF($E314-SUM($G314:K314)&gt;L315,L315,$E314-SUM($G315:K315)))</f>
        <v>0</v>
      </c>
      <c r="M314" s="401">
        <f ca="1">IF(SUM($G314:L314)&gt;=$E314,0,IF($E314-SUM($G314:L314)&gt;M315,M315,$E314-SUM($G315:L315)))</f>
        <v>0</v>
      </c>
      <c r="N314" s="401">
        <f ca="1">IF(SUM($G314:M314)&gt;=$E314,0,IF($E314-SUM($G314:M314)&gt;N315,N315,$E314-SUM($G315:M315)))</f>
        <v>0</v>
      </c>
      <c r="O314" s="401">
        <f ca="1">IF(SUM($G314:N314)&gt;=$E314,0,IF($E314-SUM($G314:N314)&gt;O315,O315,$E314-SUM($G315:N315)))</f>
        <v>0</v>
      </c>
      <c r="P314" s="401">
        <f ca="1">IF(SUM($G314:O314)&gt;=$E314,0,IF($E314-SUM($G314:O314)&gt;P315,P315,$E314-SUM($G315:O315)))</f>
        <v>0</v>
      </c>
      <c r="Q314" s="401">
        <f ca="1">IF(SUM($G314:P314)&gt;=$E314,0,IF($E314-SUM($G314:P314)&gt;Q315,Q315,$E314-SUM($G315:P315)))</f>
        <v>0</v>
      </c>
      <c r="R314" s="401">
        <f ca="1">IF(SUM($G314:Q314)&gt;=$E314,0,IF($E314-SUM($G314:Q314)&gt;R315,R315,$E314-SUM($G315:Q315)))</f>
        <v>0</v>
      </c>
      <c r="S314" s="401">
        <f ca="1">IF(SUM($G314:R314)&gt;=$E314,0,IF($E314-SUM($G314:R314)&gt;S315,S315,$E314-SUM($G315:R315)))</f>
        <v>0</v>
      </c>
      <c r="T314" s="401">
        <f ca="1">IF(SUM($G314:S314)&gt;=$E314,0,IF($E314-SUM($G314:S314)&gt;T315,T315,$E314-SUM($G315:S315)))</f>
        <v>0</v>
      </c>
      <c r="U314" s="401">
        <f ca="1">IF(SUM($G314:T314)&gt;=$E314,0,IF($E314-SUM($G314:T314)&gt;U315,U315,$E314-SUM($G315:T315)))</f>
        <v>0</v>
      </c>
      <c r="V314" s="401">
        <f ca="1">IF(SUM($G314:U314)&gt;=$E314,0,IF($E314-SUM($G314:U314)&gt;V315,V315,$E314-SUM($G315:U315)))</f>
        <v>0</v>
      </c>
      <c r="W314" s="401">
        <f ca="1">IF(SUM($G314:V314)&gt;=$E314,0,IF($E314-SUM($G314:V314)&gt;W315,W315,$E314-SUM($G315:V315)))</f>
        <v>0</v>
      </c>
      <c r="X314" s="401">
        <f ca="1">IF(SUM($G314:W314)&gt;=$E314,0,IF($E314-SUM($G314:W314)&gt;X315,X315,$E314-SUM($G315:W315)))</f>
        <v>0</v>
      </c>
      <c r="Y314" s="401">
        <f ca="1">IF(SUM($G314:X314)&gt;=$E314,0,IF($E314-SUM($G314:X314)&gt;Y315,Y315,$E314-SUM($G315:X315)))</f>
        <v>0</v>
      </c>
      <c r="Z314" s="401">
        <f ca="1">IF(SUM($G314:Y314)&gt;=$E314,0,IF($E314-SUM($G314:Y314)&gt;Z315,Z315,$E314-SUM($G315:Y315)))</f>
        <v>0</v>
      </c>
      <c r="AA314" s="401">
        <f ca="1">IF(SUM($G314:Z314)&gt;=$E314,0,IF($E314-SUM($G314:Z314)&gt;AA315,AA315,$E314-SUM($G315:Z315)))</f>
        <v>0</v>
      </c>
      <c r="AB314" s="401">
        <f ca="1">IF(SUM($G314:AA314)&gt;=$E314,0,IF($E314-SUM($G314:AA314)&gt;AB315,AB315,$E314-SUM($G315:AA315)))</f>
        <v>0</v>
      </c>
      <c r="AC314" s="401">
        <f ca="1">IF(SUM($G314:AB314)&gt;=$E314,0,IF($E314-SUM($G314:AB314)&gt;AC315,AC315,$E314-SUM($G315:AB315)))</f>
        <v>0</v>
      </c>
      <c r="AD314" s="401">
        <f ca="1">IF(SUM($G314:AC314)&gt;=$E314,0,IF($E314-SUM($G314:AC314)&gt;AD315,AD315,$E314-SUM($G315:AC315)))</f>
        <v>0</v>
      </c>
      <c r="AE314" s="401">
        <f ca="1">IF(SUM($G314:AD314)&gt;=$E314,0,IF($E314-SUM($G314:AD314)&gt;AE315,AE315,$E314-SUM($G315:AD315)))</f>
        <v>0</v>
      </c>
      <c r="AF314" s="401">
        <f ca="1">IF(SUM($G314:AE314)&gt;=$E314,0,IF($E314-SUM($G314:AE314)&gt;AF315,AF315,$E314-SUM($G315:AE315)))</f>
        <v>0</v>
      </c>
      <c r="AG314" s="401">
        <f ca="1">IF(SUM($G314:AF314)&gt;=$E314,0,IF($E314-SUM($G314:AF314)&gt;AG315,AG315,$E314-SUM($G315:AF315)))</f>
        <v>0</v>
      </c>
      <c r="AH314" s="401">
        <f ca="1">IF(SUM($G314:AG314)&gt;=$E314,0,IF($E314-SUM($G314:AG314)&gt;AH315,AH315,$E314-SUM($G315:AG315)))</f>
        <v>0</v>
      </c>
      <c r="AI314" s="401">
        <f ca="1">IF(SUM($G314:AH314)&gt;=$E314,0,IF($E314-SUM($G314:AH314)&gt;AI315,AI315,$E314-SUM($G315:AH315)))</f>
        <v>0</v>
      </c>
      <c r="AJ314" s="401">
        <f ca="1">IF(SUM($G314:AI314)&gt;=$E314,0,IF($E314-SUM($G314:AI314)&gt;AJ315,AJ315,$E314-SUM($G315:AI315)))</f>
        <v>0</v>
      </c>
      <c r="AK314" s="401">
        <f ca="1">IF(SUM($G314:AJ314)&gt;=$E314,0,IF($E314-SUM($G314:AJ314)&gt;AK315,AK315,$E314-SUM($G315:AJ315)))</f>
        <v>0</v>
      </c>
      <c r="AL314" s="401">
        <f ca="1">IF(SUM($G314:AK314)&gt;=$E314,0,IF($E314-SUM($G314:AK314)&gt;AL315,AL315,$E314-SUM($G315:AK315)))</f>
        <v>0</v>
      </c>
      <c r="AM314" s="401">
        <f ca="1">IF(SUM($G314:AL314)&gt;=$E314,0,IF($E314-SUM($G314:AL314)&gt;AM315,AM315,$E314-SUM($G315:AL315)))</f>
        <v>0</v>
      </c>
      <c r="AN314" s="401">
        <f ca="1">IF(SUM($G314:AM314)&gt;=$E314,0,IF($E314-SUM($G314:AM314)&gt;AN315,AN315,$E314-SUM($G315:AM315)))</f>
        <v>0</v>
      </c>
      <c r="AO314" s="401">
        <f ca="1">IF(SUM($G314:AN314)&gt;=$E314,0,IF($E314-SUM($G314:AN314)&gt;AO315,AO315,$E314-SUM($G315:AN315)))</f>
        <v>0</v>
      </c>
      <c r="AP314" s="401">
        <f ca="1">IF(SUM($G314:AO314)&gt;=$E314,0,IF($E314-SUM($G314:AO314)&gt;AP315,AP315,$E314-SUM($G315:AO315)))</f>
        <v>0</v>
      </c>
      <c r="AQ314" s="401">
        <f ca="1">IF(SUM($G314:AP314)&gt;=$E314,0,IF($E314-SUM($G314:AP314)&gt;AQ315,AQ315,$E314-SUM($G315:AP315)))</f>
        <v>0</v>
      </c>
      <c r="AR314" s="401">
        <f ca="1">IF(SUM($G314:AQ314)&gt;=$E314,0,IF($E314-SUM($G314:AQ314)&gt;AR315,AR315,$E314-SUM($G315:AQ315)))</f>
        <v>0</v>
      </c>
      <c r="AS314" s="401">
        <f ca="1">IF(SUM($G314:AR314)&gt;=$E314,0,IF($E314-SUM($G314:AR314)&gt;AS315,AS315,$E314-SUM($G315:AR315)))</f>
        <v>0</v>
      </c>
      <c r="AT314" s="401">
        <f ca="1">IF(SUM($G314:AS314)&gt;=$E314,0,IF($E314-SUM($G314:AS314)&gt;AT315,AT315,$E314-SUM($G315:AS315)))</f>
        <v>0</v>
      </c>
      <c r="AU314" s="401">
        <f ca="1">IF(SUM($G314:AT314)&gt;=$E314,0,IF($E314-SUM($G314:AT314)&gt;AU315,AU315,$E314-SUM($G315:AT315)))</f>
        <v>0</v>
      </c>
      <c r="AV314" s="401">
        <f ca="1">IF(SUM($G314:AU314)&gt;=$E314,0,IF($E314-SUM($G314:AU314)&gt;AV315,AV315,$E314-SUM($G315:AU315)))</f>
        <v>0</v>
      </c>
      <c r="AW314" s="401">
        <f ca="1">IF(SUM($G314:AV314)&gt;=$E314,0,IF($E314-SUM($G314:AV314)&gt;AW315,AW315,$E314-SUM($G315:AV315)))</f>
        <v>5.0500000000000114</v>
      </c>
      <c r="AX314" s="401">
        <f ca="1">IF(SUM($G314:AW314)&gt;=$E314,0,IF($E314-SUM($G314:AW314)&gt;AX315,AX315,$E314-SUM($G315:AW315)))</f>
        <v>31</v>
      </c>
      <c r="AY314" s="401">
        <f ca="1">IF(SUM($G314:AX314)&gt;=$E314,0,IF($E314-SUM($G314:AX314)&gt;AY315,AY315,$E314-SUM($G315:AX315)))</f>
        <v>23.949999999999989</v>
      </c>
      <c r="AZ314" s="401">
        <f ca="1">IF(SUM($G314:AY314)&gt;=$E314,0,IF($E314-SUM($G314:AY314)&gt;AZ315,AZ315,$E314-SUM($G315:AY315)))</f>
        <v>0</v>
      </c>
      <c r="BA314" s="401">
        <f ca="1">IF(SUM($G314:AZ314)&gt;=$E314,0,IF($E314-SUM($G314:AZ314)&gt;BA315,BA315,$E314-SUM($G315:AZ315)))</f>
        <v>0</v>
      </c>
      <c r="BB314" s="401">
        <f ca="1">IF(SUM($G314:BA314)&gt;=$E314,0,IF($E314-SUM($G314:BA314)&gt;BB315,BB315,$E314-SUM($G315:BA315)))</f>
        <v>0</v>
      </c>
      <c r="BC314" s="401">
        <f ca="1">IF(SUM($G314:BB314)&gt;=$E314,0,IF($E314-SUM($G314:BB314)&gt;BC315,BC315,$E314-SUM($G315:BB315)))</f>
        <v>0</v>
      </c>
      <c r="BD314" s="401">
        <f ca="1">IF(SUM($G314:BC314)&gt;=$E314,0,IF($E314-SUM($G314:BC314)&gt;BD315,BD315,$E314-SUM($G315:BC315)))</f>
        <v>0</v>
      </c>
      <c r="BE314" s="401">
        <f ca="1">IF(SUM($G314:BD314)&gt;=$E314,0,IF($E314-SUM($G314:BD314)&gt;BE315,BE315,$E314-SUM($G315:BD315)))</f>
        <v>0</v>
      </c>
      <c r="BF314" s="401">
        <f ca="1">IF(SUM($G314:BE314)&gt;=$E314,0,IF($E314-SUM($G314:BE314)&gt;BF315,BF315,$E314-SUM($G315:BE315)))</f>
        <v>0</v>
      </c>
      <c r="BG314" s="401">
        <f ca="1">IF(SUM($G314:BF314)&gt;=$E314,0,IF($E314-SUM($G314:BF314)&gt;BG315,BG315,$E314-SUM($G315:BF315)))</f>
        <v>0</v>
      </c>
      <c r="BH314" s="401">
        <f ca="1">IF(SUM($G314:BG314)&gt;=$E314,0,IF($E314-SUM($G314:BG314)&gt;BH315,BH315,$E314-SUM($G315:BG315)))</f>
        <v>0</v>
      </c>
      <c r="BI314" s="401">
        <f ca="1">IF(SUM($G314:BH314)&gt;=$E314,0,IF($E314-SUM($G314:BH314)&gt;BI315,BI315,$E314-SUM($G315:BH315)))</f>
        <v>0</v>
      </c>
      <c r="BJ314" s="401">
        <f ca="1">IF(SUM($G314:BI314)&gt;=$E314,0,IF($E314-SUM($G314:BI314)&gt;BJ315,BJ315,$E314-SUM($G315:BI315)))</f>
        <v>0</v>
      </c>
      <c r="BK314" s="401">
        <f ca="1">IF(SUM($G314:BJ314)&gt;=$E314,0,IF($E314-SUM($G314:BJ314)&gt;BK315,BK315,$E314-SUM($G315:BJ315)))</f>
        <v>0</v>
      </c>
      <c r="BL314" s="401">
        <f ca="1">IF(SUM($G314:BK314)&gt;=$E314,0,IF($E314-SUM($G314:BK314)&gt;BL315,BL315,$E314-SUM($G315:BK315)))</f>
        <v>0</v>
      </c>
      <c r="BM314" s="401">
        <f ca="1">IF(SUM($G314:BL314)&gt;=$E314,0,IF($E314-SUM($G314:BL314)&gt;BM315,BM315,$E314-SUM($G315:BL315)))</f>
        <v>0</v>
      </c>
      <c r="BN314" s="401">
        <f ca="1">IF(SUM($G314:BM314)&gt;=$E314,0,IF($E314-SUM($G314:BM314)&gt;BN315,BN315,$E314-SUM($G315:BM315)))</f>
        <v>0</v>
      </c>
      <c r="BO314" s="401">
        <f ca="1">IF(SUM($G314:BN314)&gt;=$E314,0,IF($E314-SUM($G314:BN314)&gt;BO315,BO315,$E314-SUM($G315:BN315)))</f>
        <v>0</v>
      </c>
      <c r="BP314" s="401">
        <f ca="1">IF(SUM($G314:BO314)&gt;=$E314,0,IF($E314-SUM($G314:BO314)&gt;BP315,BP315,$E314-SUM($G315:BO315)))</f>
        <v>0</v>
      </c>
      <c r="BQ314" s="401">
        <f ca="1">IF(SUM($G314:BP314)&gt;=$E314,0,IF($E314-SUM($G314:BP314)&gt;BQ315,BQ315,$E314-SUM($G315:BP315)))</f>
        <v>0</v>
      </c>
      <c r="BR314" s="401">
        <f ca="1">IF(SUM($G314:BQ314)&gt;=$E314,0,IF($E314-SUM($G314:BQ314)&gt;BR315,BR315,$E314-SUM($G315:BQ315)))</f>
        <v>0</v>
      </c>
      <c r="BS314" s="401">
        <f ca="1">IF(SUM($G314:BR314)&gt;=$E314,0,IF($E314-SUM($G314:BR314)&gt;BS315,BS315,$E314-SUM($G315:BR315)))</f>
        <v>0</v>
      </c>
      <c r="BT314" s="401">
        <f ca="1">IF(SUM($G314:BS314)&gt;=$E314,0,IF($E314-SUM($G314:BS314)&gt;BT315,BT315,$E314-SUM($G315:BS315)))</f>
        <v>0</v>
      </c>
      <c r="BU314" s="401">
        <f ca="1">IF(SUM($G314:BT314)&gt;=$E314,0,IF($E314-SUM($G314:BT314)&gt;BU315,BU315,$E314-SUM($G315:BT315)))</f>
        <v>0</v>
      </c>
      <c r="BV314" s="401">
        <f ca="1">IF(SUM($G314:BU314)&gt;=$E314,0,IF($E314-SUM($G314:BU314)&gt;BV315,BV315,$E314-SUM($G315:BU315)))</f>
        <v>0</v>
      </c>
      <c r="BW314" s="401">
        <f ca="1">IF(SUM($G314:BV314)&gt;=$E314,0,IF($E314-SUM($G314:BV314)&gt;BW315,BW315,$E314-SUM($G315:BV315)))</f>
        <v>0</v>
      </c>
      <c r="BX314" s="401">
        <f ca="1">IF(SUM($G314:BW314)&gt;=$E314,0,IF($E314-SUM($G314:BW314)&gt;BX315,BX315,$E314-SUM($G315:BW315)))</f>
        <v>0</v>
      </c>
      <c r="BY314" s="401">
        <f ca="1">IF(SUM($G314:BX314)&gt;=$E314,0,IF($E314-SUM($G314:BX314)&gt;BY315,BY315,$E314-SUM($G315:BX315)))</f>
        <v>0</v>
      </c>
      <c r="BZ314" s="401">
        <f ca="1">IF(SUM($G314:BY314)&gt;=$E314,0,IF($E314-SUM($G314:BY314)&gt;BZ315,BZ315,$E314-SUM($G315:BY315)))</f>
        <v>0</v>
      </c>
      <c r="CA314" s="401">
        <f ca="1">IF(SUM($G314:BZ314)&gt;=$E314,0,IF($E314-SUM($G314:BZ314)&gt;CA315,CA315,$E314-SUM($G315:BZ315)))</f>
        <v>0</v>
      </c>
      <c r="CB314" s="401">
        <f ca="1">IF(SUM($G314:CA314)&gt;=$E314,0,IF($E314-SUM($G314:CA314)&gt;CB315,CB315,$E314-SUM($G315:CA315)))</f>
        <v>0</v>
      </c>
      <c r="CC314" s="401">
        <f ca="1">IF(SUM($G314:CB314)&gt;=$E314,0,IF($E314-SUM($G314:CB314)&gt;CC315,CC315,$E314-SUM($G315:CB315)))</f>
        <v>0</v>
      </c>
      <c r="CD314" s="401">
        <f ca="1">IF(SUM($G314:CC314)&gt;=$E314,0,IF($E314-SUM($G314:CC314)&gt;CD315,CD315,$E314-SUM($G315:CC315)))</f>
        <v>0</v>
      </c>
      <c r="CE314" s="401">
        <f ca="1">IF(SUM($G314:CD314)&gt;=$E314,0,IF($E314-SUM($G314:CD314)&gt;CE315,CE315,$E314-SUM($G315:CD315)))</f>
        <v>0</v>
      </c>
      <c r="CF314" s="401">
        <f ca="1">IF(SUM($G314:CE314)&gt;=$E314,0,IF($E314-SUM($G314:CE314)&gt;CF315,CF315,$E314-SUM($G315:CE315)))</f>
        <v>0</v>
      </c>
      <c r="CG314" s="401">
        <f ca="1">IF(SUM($G314:CF314)&gt;=$E314,0,IF($E314-SUM($G314:CF314)&gt;CG315,CG315,$E314-SUM($G315:CF315)))</f>
        <v>0</v>
      </c>
      <c r="CH314" s="401">
        <f ca="1">IF(SUM($G314:CG314)&gt;=$E314,0,IF($E314-SUM($G314:CG314)&gt;CH315,CH315,$E314-SUM($G315:CG315)))</f>
        <v>0</v>
      </c>
      <c r="CI314" s="401">
        <f ca="1">IF(SUM($G314:CH314)&gt;=$E314,0,IF($E314-SUM($G314:CH314)&gt;CI315,CI315,$E314-SUM($G315:CH315)))</f>
        <v>0</v>
      </c>
      <c r="CJ314" s="401">
        <f ca="1">IF(SUM($G314:CI314)&gt;=$E314,0,IF($E314-SUM($G314:CI314)&gt;CJ315,CJ315,$E314-SUM($G315:CI315)))</f>
        <v>0</v>
      </c>
      <c r="CK314" s="401">
        <f ca="1">IF(SUM($G314:CJ314)&gt;=$E314,0,IF($E314-SUM($G314:CJ314)&gt;CK315,CK315,$E314-SUM($G315:CJ315)))</f>
        <v>0</v>
      </c>
      <c r="CL314" s="401">
        <f ca="1">IF(SUM($G314:CK314)&gt;=$E314,0,IF($E314-SUM($G314:CK314)&gt;CL315,CL315,$E314-SUM($G315:CK315)))</f>
        <v>0</v>
      </c>
      <c r="CM314" s="401">
        <f ca="1">IF(SUM($G314:CL314)&gt;=$E314,0,IF($E314-SUM($G314:CL314)&gt;CM315,CM315,$E314-SUM($G315:CL315)))</f>
        <v>0</v>
      </c>
      <c r="CN314" s="401">
        <f ca="1">IF(SUM($G314:CM314)&gt;=$E314,0,IF($E314-SUM($G314:CM314)&gt;CN315,CN315,$E314-SUM($G315:CM315)))</f>
        <v>0</v>
      </c>
      <c r="CO314" s="401">
        <f ca="1">IF(SUM($G314:CN314)&gt;=$E314,0,IF($E314-SUM($G314:CN314)&gt;CO315,CO315,$E314-SUM($G315:CN315)))</f>
        <v>0</v>
      </c>
      <c r="CP314" s="401">
        <f ca="1">IF(SUM($G314:CO314)&gt;=$E314,0,IF($E314-SUM($G314:CO314)&gt;CP315,CP315,$E314-SUM($G315:CO315)))</f>
        <v>0</v>
      </c>
      <c r="CQ314" s="401">
        <f ca="1">IF(SUM($G314:CP314)&gt;=$E314,0,IF($E314-SUM($G314:CP314)&gt;CQ315,CQ315,$E314-SUM($G315:CP315)))</f>
        <v>0</v>
      </c>
      <c r="CR314" s="401">
        <f ca="1">IF(SUM($G314:CQ314)&gt;=$E314,0,IF($E314-SUM($G314:CQ314)&gt;CR315,CR315,$E314-SUM($G315:CQ315)))</f>
        <v>0</v>
      </c>
      <c r="CS314" s="401">
        <f ca="1">IF(SUM($G314:CR314)&gt;=$E314,0,IF($E314-SUM($G314:CR314)&gt;CS315,CS315,$E314-SUM($G315:CR315)))</f>
        <v>0</v>
      </c>
      <c r="CT314" s="401">
        <f ca="1">IF(SUM($G314:CS314)&gt;=$E314,0,IF($E314-SUM($G314:CS314)&gt;CT315,CT315,$E314-SUM($G315:CS315)))</f>
        <v>0</v>
      </c>
      <c r="CU314" s="401">
        <f ca="1">IF(SUM($G314:CT314)&gt;=$E314,0,IF($E314-SUM($G314:CT314)&gt;CU315,CU315,$E314-SUM($G315:CT315)))</f>
        <v>0</v>
      </c>
      <c r="CV314" s="401">
        <f ca="1">IF(SUM($G314:CU314)&gt;=$E314,0,IF($E314-SUM($G314:CU314)&gt;CV315,CV315,$E314-SUM($G315:CU315)))</f>
        <v>0</v>
      </c>
      <c r="CW314" s="401">
        <f ca="1">IF(SUM($G314:CV314)&gt;=$E314,0,IF($E314-SUM($G314:CV314)&gt;CW315,CW315,$E314-SUM($G315:CV315)))</f>
        <v>0</v>
      </c>
      <c r="CX314" s="401">
        <f ca="1">IF(SUM($G314:CW314)&gt;=$E314,0,IF($E314-SUM($G314:CW314)&gt;CX315,CX315,$E314-SUM($G315:CW315)))</f>
        <v>0</v>
      </c>
      <c r="CY314" s="401">
        <f ca="1">IF(SUM($G314:CX314)&gt;=$E314,0,IF($E314-SUM($G314:CX314)&gt;CY315,CY315,$E314-SUM($G315:CX315)))</f>
        <v>0</v>
      </c>
      <c r="CZ314" s="401">
        <f ca="1">IF(SUM($G314:CY314)&gt;=$E314,0,IF($E314-SUM($G314:CY314)&gt;CZ315,CZ315,$E314-SUM($G315:CY315)))</f>
        <v>0</v>
      </c>
      <c r="DA314" s="401">
        <f ca="1">IF(SUM($G314:CZ314)&gt;=$E314,0,IF($E314-SUM($G314:CZ314)&gt;DA315,DA315,$E314-SUM($G315:CZ315)))</f>
        <v>0</v>
      </c>
      <c r="DB314" s="401">
        <f ca="1">IF(SUM($G314:DA314)&gt;=$E314,0,IF($E314-SUM($G314:DA314)&gt;DB315,DB315,$E314-SUM($G315:DA315)))</f>
        <v>0</v>
      </c>
      <c r="DC314" s="401">
        <f ca="1">IF(SUM($G314:DB314)&gt;=$E314,0,IF($E314-SUM($G314:DB314)&gt;DC315,DC315,$E314-SUM($G315:DB315)))</f>
        <v>0</v>
      </c>
      <c r="DD314" s="401">
        <f ca="1">IF(SUM($G314:DC314)&gt;=$E314,0,IF($E314-SUM($G314:DC314)&gt;DD315,DD315,$E314-SUM($G315:DC315)))</f>
        <v>0</v>
      </c>
      <c r="DE314" s="401">
        <f ca="1">IF(SUM($G314:DD314)&gt;=$E314,0,IF($E314-SUM($G314:DD314)&gt;DE315,DE315,$E314-SUM($G315:DD315)))</f>
        <v>0</v>
      </c>
      <c r="DF314" s="401">
        <f ca="1">IF(SUM($G314:DE314)&gt;=$E314,0,IF($E314-SUM($G314:DE314)&gt;DF315,DF315,$E314-SUM($G315:DE315)))</f>
        <v>0</v>
      </c>
      <c r="DG314" s="401">
        <f ca="1">IF(SUM($G314:DF314)&gt;=$E314,0,IF($E314-SUM($G314:DF314)&gt;DG315,DG315,$E314-SUM($G315:DF315)))</f>
        <v>0</v>
      </c>
      <c r="DH314" s="401">
        <f ca="1">IF(SUM($G314:DG314)&gt;=$E314,0,IF($E314-SUM($G314:DG314)&gt;DH315,DH315,$E314-SUM($G315:DG315)))</f>
        <v>0</v>
      </c>
      <c r="DI314" s="401">
        <f ca="1">IF(SUM($G314:DH314)&gt;=$E314,0,IF($E314-SUM($G314:DH314)&gt;DI315,DI315,$E314-SUM($G315:DH315)))</f>
        <v>0</v>
      </c>
      <c r="DJ314" s="401">
        <f ca="1">IF(SUM($G314:DI314)&gt;=$E314,0,IF($E314-SUM($G314:DI314)&gt;DJ315,DJ315,$E314-SUM($G315:DI315)))</f>
        <v>0</v>
      </c>
      <c r="DK314" s="401">
        <f ca="1">IF(SUM($G314:DJ314)&gt;=$E314,0,IF($E314-SUM($G314:DJ314)&gt;DK315,DK315,$E314-SUM($G315:DJ315)))</f>
        <v>0</v>
      </c>
      <c r="DL314" s="401">
        <f ca="1">IF(SUM($G314:DK314)&gt;=$E314,0,IF($E314-SUM($G314:DK314)&gt;DL315,DL315,$E314-SUM($G315:DK315)))</f>
        <v>0</v>
      </c>
      <c r="DM314" s="401">
        <f ca="1">IF(SUM($G314:DL314)&gt;=$E314,0,IF($E314-SUM($G314:DL314)&gt;DM315,DM315,$E314-SUM($G315:DL315)))</f>
        <v>0</v>
      </c>
      <c r="DN314" s="401">
        <f ca="1">IF(SUM($G314:DM314)&gt;=$E314,0,IF($E314-SUM($G314:DM314)&gt;DN315,DN315,$E314-SUM($G315:DM315)))</f>
        <v>0</v>
      </c>
      <c r="DO314" s="401">
        <f ca="1">IF(SUM($G314:DN314)&gt;=$E314,0,IF($E314-SUM($G314:DN314)&gt;DO315,DO315,$E314-SUM($G315:DN315)))</f>
        <v>0</v>
      </c>
      <c r="DP314" s="401">
        <f ca="1">IF(SUM($G314:DO314)&gt;=$E314,0,IF($E314-SUM($G314:DO314)&gt;DP315,DP315,$E314-SUM($G315:DO315)))</f>
        <v>0</v>
      </c>
      <c r="DQ314" s="401">
        <f ca="1">IF(SUM($G314:DP314)&gt;=$E314,0,IF($E314-SUM($G314:DP314)&gt;DQ315,DQ315,$E314-SUM($G315:DP315)))</f>
        <v>0</v>
      </c>
      <c r="DR314" s="401">
        <f ca="1">IF(SUM($G314:DQ314)&gt;=$E314,0,IF($E314-SUM($G314:DQ314)&gt;DR315,DR315,$E314-SUM($G315:DQ315)))</f>
        <v>0</v>
      </c>
      <c r="DS314" s="401">
        <f ca="1">IF(SUM($G314:DR314)&gt;=$E314,0,IF($E314-SUM($G314:DR314)&gt;DS315,DS315,$E314-SUM($G315:DR315)))</f>
        <v>0</v>
      </c>
      <c r="DT314" s="401">
        <f ca="1">IF(SUM($G314:DS314)&gt;=$E314,0,IF($E314-SUM($G314:DS314)&gt;DT315,DT315,$E314-SUM($G315:DS315)))</f>
        <v>0</v>
      </c>
      <c r="DU314" s="401">
        <f ca="1">IF(SUM($G314:DT314)&gt;=$E314,0,IF($E314-SUM($G314:DT314)&gt;DU315,DU315,$E314-SUM($G315:DT315)))</f>
        <v>0</v>
      </c>
      <c r="DV314" s="401">
        <f ca="1">IF(SUM($G314:DU314)&gt;=$E314,0,IF($E314-SUM($G314:DU314)&gt;DV315,DV315,$E314-SUM($G315:DU315)))</f>
        <v>0</v>
      </c>
      <c r="DW314" s="401">
        <f ca="1">IF(SUM($G314:DV314)&gt;=$E314,0,IF($E314-SUM($G314:DV314)&gt;DW315,DW315,$E314-SUM($G315:DV315)))</f>
        <v>0</v>
      </c>
      <c r="DX314" s="401">
        <f ca="1">IF(SUM($G314:DW314)&gt;=$E314,0,IF($E314-SUM($G314:DW314)&gt;DX315,DX315,$E314-SUM($G315:DW315)))</f>
        <v>0</v>
      </c>
      <c r="DY314" s="401">
        <f ca="1">IF(SUM($G314:DX314)&gt;=$E314,0,IF($E314-SUM($G314:DX314)&gt;DY315,DY315,$E314-SUM($G315:DX315)))</f>
        <v>0</v>
      </c>
      <c r="DZ314" s="401">
        <f ca="1">IF(SUM($G314:DY314)&gt;=$E314,0,IF($E314-SUM($G314:DY314)&gt;DZ315,DZ315,$E314-SUM($G315:DY315)))</f>
        <v>0</v>
      </c>
      <c r="EA314" s="401">
        <f ca="1">IF(SUM($G314:DZ314)&gt;=$E314,0,IF($E314-SUM($G314:DZ314)&gt;EA315,EA315,$E314-SUM($G315:DZ315)))</f>
        <v>0</v>
      </c>
      <c r="EB314" s="401">
        <f ca="1">IF(SUM($G314:EA314)&gt;=$E314,0,IF($E314-SUM($G314:EA314)&gt;EB315,EB315,$E314-SUM($G315:EA315)))</f>
        <v>0</v>
      </c>
      <c r="EC314" s="401">
        <f ca="1">IF(SUM($G314:EB314)&gt;=$E314,0,IF($E314-SUM($G314:EB314)&gt;EC315,EC315,$E314-SUM($G315:EB315)))</f>
        <v>0</v>
      </c>
      <c r="ED314" s="401">
        <f ca="1">IF(SUM($G314:EC314)&gt;=$E314,0,IF($E314-SUM($G314:EC314)&gt;ED315,ED315,$E314-SUM($G315:EC315)))</f>
        <v>0</v>
      </c>
      <c r="EE314" s="401">
        <f ca="1">IF(SUM($G314:ED314)&gt;=$E314,0,IF($E314-SUM($G314:ED314)&gt;EE315,EE315,$E314-SUM($G315:ED315)))</f>
        <v>0</v>
      </c>
      <c r="EF314" s="401">
        <f ca="1">IF(SUM($G314:EE314)&gt;=$E314,0,IF($E314-SUM($G314:EE314)&gt;EF315,EF315,$E314-SUM($G315:EE315)))</f>
        <v>0</v>
      </c>
      <c r="EG314" s="401">
        <f ca="1">IF(SUM($G314:EF314)&gt;=$E314,0,IF($E314-SUM($G314:EF314)&gt;EG315,EG315,$E314-SUM($G315:EF315)))</f>
        <v>0</v>
      </c>
      <c r="EH314" s="401">
        <f ca="1">IF(SUM($G314:EG314)&gt;=$E314,0,IF($E314-SUM($G314:EG314)&gt;EH315,EH315,$E314-SUM($G315:EG315)))</f>
        <v>0</v>
      </c>
      <c r="EI314" s="401">
        <f ca="1">IF(SUM($G314:EH314)&gt;=$E314,0,IF($E314-SUM($G314:EH314)&gt;EI315,EI315,$E314-SUM($G315:EH315)))</f>
        <v>0</v>
      </c>
      <c r="EK314" s="313"/>
    </row>
    <row r="315" spans="1:141" hidden="1" outlineLevel="2">
      <c r="A315" s="332"/>
      <c r="B315" s="313"/>
      <c r="C315" s="308"/>
      <c r="D315" s="308"/>
      <c r="E315" s="308"/>
      <c r="G315" s="402"/>
      <c r="H315" s="402">
        <f ca="1">IF((SUM($G300:H300)-$E299*IF(длительность!$B$13&gt;70,0.25,0.4))&lt;0,0,IF((SUM($G300:H300)-$E299*IF(длительность!$B$13&gt;70,0.25,0.4))&lt;H300,SUM($G300:H300)-$E299*IF(длительность!$B$13&gt;70,0.25,0.4),H300))</f>
        <v>0</v>
      </c>
      <c r="I315" s="402">
        <f ca="1">IF((SUM($G300:I300)-$E299*IF(длительность!$B$13&gt;70,0.25,0.4))&lt;0,0,IF((SUM($G300:I300)-$E299*IF(длительность!$B$13&gt;70,0.25,0.4))&lt;I300,SUM($G300:I300)-$E299*IF(длительность!$B$13&gt;70,0.25,0.4),I300))</f>
        <v>0</v>
      </c>
      <c r="J315" s="402">
        <f ca="1">IF((SUM($G300:J300)-$E299*IF(длительность!$B$13&gt;70,0.25,0.4))&lt;0,0,IF((SUM($G300:J300)-$E299*IF(длительность!$B$13&gt;70,0.25,0.4))&lt;J300,SUM($G300:J300)-$E299*IF(длительность!$B$13&gt;70,0.25,0.4),J300))</f>
        <v>0</v>
      </c>
      <c r="K315" s="402">
        <f ca="1">IF((SUM($G300:K300)-$E299*IF(длительность!$B$13&gt;70,0.25,0.4))&lt;0,0,IF((SUM($G300:K300)-$E299*IF(длительность!$B$13&gt;70,0.25,0.4))&lt;K300,SUM($G300:K300)-$E299*IF(длительность!$B$13&gt;70,0.25,0.4),K300))</f>
        <v>0</v>
      </c>
      <c r="L315" s="402">
        <f ca="1">IF((SUM($G300:L300)-$E299*IF(длительность!$B$13&gt;70,0.25,0.4))&lt;0,0,IF((SUM($G300:L300)-$E299*IF(длительность!$B$13&gt;70,0.25,0.4))&lt;L300,SUM($G300:L300)-$E299*IF(длительность!$B$13&gt;70,0.25,0.4),L300))</f>
        <v>0</v>
      </c>
      <c r="M315" s="402">
        <f ca="1">IF((SUM($G300:M300)-$E299*IF(длительность!$B$13&gt;70,0.25,0.4))&lt;0,0,IF((SUM($G300:M300)-$E299*IF(длительность!$B$13&gt;70,0.25,0.4))&lt;M300,SUM($G300:M300)-$E299*IF(длительность!$B$13&gt;70,0.25,0.4),M300))</f>
        <v>0</v>
      </c>
      <c r="N315" s="402">
        <f ca="1">IF((SUM($G300:N300)-$E299*IF(длительность!$B$13&gt;70,0.25,0.4))&lt;0,0,IF((SUM($G300:N300)-$E299*IF(длительность!$B$13&gt;70,0.25,0.4))&lt;N300,SUM($G300:N300)-$E299*IF(длительность!$B$13&gt;70,0.25,0.4),N300))</f>
        <v>0</v>
      </c>
      <c r="O315" s="402">
        <f ca="1">IF((SUM($G300:O300)-$E299*IF(длительность!$B$13&gt;70,0.25,0.4))&lt;0,0,IF((SUM($G300:O300)-$E299*IF(длительность!$B$13&gt;70,0.25,0.4))&lt;O300,SUM($G300:O300)-$E299*IF(длительность!$B$13&gt;70,0.25,0.4),O300))</f>
        <v>0</v>
      </c>
      <c r="P315" s="402">
        <f ca="1">IF((SUM($G300:P300)-$E299*IF(длительность!$B$13&gt;70,0.25,0.4))&lt;0,0,IF((SUM($G300:P300)-$E299*IF(длительность!$B$13&gt;70,0.25,0.4))&lt;P300,SUM($G300:P300)-$E299*IF(длительность!$B$13&gt;70,0.25,0.4),P300))</f>
        <v>0</v>
      </c>
      <c r="Q315" s="402">
        <f ca="1">IF((SUM($G300:Q300)-$E299*IF(длительность!$B$13&gt;70,0.25,0.4))&lt;0,0,IF((SUM($G300:Q300)-$E299*IF(длительность!$B$13&gt;70,0.25,0.4))&lt;Q300,SUM($G300:Q300)-$E299*IF(длительность!$B$13&gt;70,0.25,0.4),Q300))</f>
        <v>0</v>
      </c>
      <c r="R315" s="402">
        <f ca="1">IF((SUM($G300:R300)-$E299*IF(длительность!$B$13&gt;70,0.25,0.4))&lt;0,0,IF((SUM($G300:R300)-$E299*IF(длительность!$B$13&gt;70,0.25,0.4))&lt;R300,SUM($G300:R300)-$E299*IF(длительность!$B$13&gt;70,0.25,0.4),R300))</f>
        <v>0</v>
      </c>
      <c r="S315" s="402">
        <f ca="1">IF((SUM($G300:S300)-$E299*IF(длительность!$B$13&gt;70,0.25,0.4))&lt;0,0,IF((SUM($G300:S300)-$E299*IF(длительность!$B$13&gt;70,0.25,0.4))&lt;S300,SUM($G300:S300)-$E299*IF(длительность!$B$13&gt;70,0.25,0.4),S300))</f>
        <v>0</v>
      </c>
      <c r="T315" s="402">
        <f ca="1">IF((SUM($G300:T300)-$E299*IF(длительность!$B$13&gt;70,0.25,0.4))&lt;0,0,IF((SUM($G300:T300)-$E299*IF(длительность!$B$13&gt;70,0.25,0.4))&lt;T300,SUM($G300:T300)-$E299*IF(длительность!$B$13&gt;70,0.25,0.4),T300))</f>
        <v>0</v>
      </c>
      <c r="U315" s="402">
        <f ca="1">IF((SUM($G300:U300)-$E299*IF(длительность!$B$13&gt;70,0.25,0.4))&lt;0,0,IF((SUM($G300:U300)-$E299*IF(длительность!$B$13&gt;70,0.25,0.4))&lt;U300,SUM($G300:U300)-$E299*IF(длительность!$B$13&gt;70,0.25,0.4),U300))</f>
        <v>0</v>
      </c>
      <c r="V315" s="402">
        <f ca="1">IF((SUM($G300:V300)-$E299*IF(длительность!$B$13&gt;70,0.25,0.4))&lt;0,0,IF((SUM($G300:V300)-$E299*IF(длительность!$B$13&gt;70,0.25,0.4))&lt;V300,SUM($G300:V300)-$E299*IF(длительность!$B$13&gt;70,0.25,0.4),V300))</f>
        <v>0</v>
      </c>
      <c r="W315" s="402">
        <f ca="1">IF((SUM($G300:W300)-$E299*IF(длительность!$B$13&gt;70,0.25,0.4))&lt;0,0,IF((SUM($G300:W300)-$E299*IF(длительность!$B$13&gt;70,0.25,0.4))&lt;W300,SUM($G300:W300)-$E299*IF(длительность!$B$13&gt;70,0.25,0.4),W300))</f>
        <v>0</v>
      </c>
      <c r="X315" s="402">
        <f ca="1">IF((SUM($G300:X300)-$E299*IF(длительность!$B$13&gt;70,0.25,0.4))&lt;0,0,IF((SUM($G300:X300)-$E299*IF(длительность!$B$13&gt;70,0.25,0.4))&lt;X300,SUM($G300:X300)-$E299*IF(длительность!$B$13&gt;70,0.25,0.4),X300))</f>
        <v>0</v>
      </c>
      <c r="Y315" s="402">
        <f ca="1">IF((SUM($G300:Y300)-$E299*IF(длительность!$B$13&gt;70,0.25,0.4))&lt;0,0,IF((SUM($G300:Y300)-$E299*IF(длительность!$B$13&gt;70,0.25,0.4))&lt;Y300,SUM($G300:Y300)-$E299*IF(длительность!$B$13&gt;70,0.25,0.4),Y300))</f>
        <v>0</v>
      </c>
      <c r="Z315" s="402">
        <f ca="1">IF((SUM($G300:Z300)-$E299*IF(длительность!$B$13&gt;70,0.25,0.4))&lt;0,0,IF((SUM($G300:Z300)-$E299*IF(длительность!$B$13&gt;70,0.25,0.4))&lt;Z300,SUM($G300:Z300)-$E299*IF(длительность!$B$13&gt;70,0.25,0.4),Z300))</f>
        <v>0</v>
      </c>
      <c r="AA315" s="402">
        <f ca="1">IF((SUM($G300:AA300)-$E299*IF(длительность!$B$13&gt;70,0.25,0.4))&lt;0,0,IF((SUM($G300:AA300)-$E299*IF(длительность!$B$13&gt;70,0.25,0.4))&lt;AA300,SUM($G300:AA300)-$E299*IF(длительность!$B$13&gt;70,0.25,0.4),AA300))</f>
        <v>0</v>
      </c>
      <c r="AB315" s="402">
        <f ca="1">IF((SUM($G300:AB300)-$E299*IF(длительность!$B$13&gt;70,0.25,0.4))&lt;0,0,IF((SUM($G300:AB300)-$E299*IF(длительность!$B$13&gt;70,0.25,0.4))&lt;AB300,SUM($G300:AB300)-$E299*IF(длительность!$B$13&gt;70,0.25,0.4),AB300))</f>
        <v>0</v>
      </c>
      <c r="AC315" s="402">
        <f ca="1">IF((SUM($G300:AC300)-$E299*IF(длительность!$B$13&gt;70,0.25,0.4))&lt;0,0,IF((SUM($G300:AC300)-$E299*IF(длительность!$B$13&gt;70,0.25,0.4))&lt;AC300,SUM($G300:AC300)-$E299*IF(длительность!$B$13&gt;70,0.25,0.4),AC300))</f>
        <v>0</v>
      </c>
      <c r="AD315" s="402">
        <f ca="1">IF((SUM($G300:AD300)-$E299*IF(длительность!$B$13&gt;70,0.25,0.4))&lt;0,0,IF((SUM($G300:AD300)-$E299*IF(длительность!$B$13&gt;70,0.25,0.4))&lt;AD300,SUM($G300:AD300)-$E299*IF(длительность!$B$13&gt;70,0.25,0.4),AD300))</f>
        <v>0</v>
      </c>
      <c r="AE315" s="402">
        <f ca="1">IF((SUM($G300:AE300)-$E299*IF(длительность!$B$13&gt;70,0.25,0.4))&lt;0,0,IF((SUM($G300:AE300)-$E299*IF(длительность!$B$13&gt;70,0.25,0.4))&lt;AE300,SUM($G300:AE300)-$E299*IF(длительность!$B$13&gt;70,0.25,0.4),AE300))</f>
        <v>0</v>
      </c>
      <c r="AF315" s="402">
        <f ca="1">IF((SUM($G300:AF300)-$E299*IF(длительность!$B$13&gt;70,0.25,0.4))&lt;0,0,IF((SUM($G300:AF300)-$E299*IF(длительность!$B$13&gt;70,0.25,0.4))&lt;AF300,SUM($G300:AF300)-$E299*IF(длительность!$B$13&gt;70,0.25,0.4),AF300))</f>
        <v>0</v>
      </c>
      <c r="AG315" s="402">
        <f ca="1">IF((SUM($G300:AG300)-$E299*IF(длительность!$B$13&gt;70,0.25,0.4))&lt;0,0,IF((SUM($G300:AG300)-$E299*IF(длительность!$B$13&gt;70,0.25,0.4))&lt;AG300,SUM($G300:AG300)-$E299*IF(длительность!$B$13&gt;70,0.25,0.4),AG300))</f>
        <v>0</v>
      </c>
      <c r="AH315" s="402">
        <f ca="1">IF((SUM($G300:AH300)-$E299*IF(длительность!$B$13&gt;70,0.25,0.4))&lt;0,0,IF((SUM($G300:AH300)-$E299*IF(длительность!$B$13&gt;70,0.25,0.4))&lt;AH300,SUM($G300:AH300)-$E299*IF(длительность!$B$13&gt;70,0.25,0.4),AH300))</f>
        <v>0</v>
      </c>
      <c r="AI315" s="402">
        <f ca="1">IF((SUM($G300:AI300)-$E299*IF(длительность!$B$13&gt;70,0.25,0.4))&lt;0,0,IF((SUM($G300:AI300)-$E299*IF(длительность!$B$13&gt;70,0.25,0.4))&lt;AI300,SUM($G300:AI300)-$E299*IF(длительность!$B$13&gt;70,0.25,0.4),AI300))</f>
        <v>0</v>
      </c>
      <c r="AJ315" s="402">
        <f ca="1">IF((SUM($G300:AJ300)-$E299*IF(длительность!$B$13&gt;70,0.25,0.4))&lt;0,0,IF((SUM($G300:AJ300)-$E299*IF(длительность!$B$13&gt;70,0.25,0.4))&lt;AJ300,SUM($G300:AJ300)-$E299*IF(длительность!$B$13&gt;70,0.25,0.4),AJ300))</f>
        <v>0</v>
      </c>
      <c r="AK315" s="402">
        <f ca="1">IF((SUM($G300:AK300)-$E299*IF(длительность!$B$13&gt;70,0.25,0.4))&lt;0,0,IF((SUM($G300:AK300)-$E299*IF(длительность!$B$13&gt;70,0.25,0.4))&lt;AK300,SUM($G300:AK300)-$E299*IF(длительность!$B$13&gt;70,0.25,0.4),AK300))</f>
        <v>0</v>
      </c>
      <c r="AL315" s="402">
        <f ca="1">IF((SUM($G300:AL300)-$E299*IF(длительность!$B$13&gt;70,0.25,0.4))&lt;0,0,IF((SUM($G300:AL300)-$E299*IF(длительность!$B$13&gt;70,0.25,0.4))&lt;AL300,SUM($G300:AL300)-$E299*IF(длительность!$B$13&gt;70,0.25,0.4),AL300))</f>
        <v>0</v>
      </c>
      <c r="AM315" s="402">
        <f ca="1">IF((SUM($G300:AM300)-$E299*IF(длительность!$B$13&gt;70,0.25,0.4))&lt;0,0,IF((SUM($G300:AM300)-$E299*IF(длительность!$B$13&gt;70,0.25,0.4))&lt;AM300,SUM($G300:AM300)-$E299*IF(длительность!$B$13&gt;70,0.25,0.4),AM300))</f>
        <v>0</v>
      </c>
      <c r="AN315" s="402">
        <f ca="1">IF((SUM($G300:AN300)-$E299*IF(длительность!$B$13&gt;70,0.25,0.4))&lt;0,0,IF((SUM($G300:AN300)-$E299*IF(длительность!$B$13&gt;70,0.25,0.4))&lt;AN300,SUM($G300:AN300)-$E299*IF(длительность!$B$13&gt;70,0.25,0.4),AN300))</f>
        <v>0</v>
      </c>
      <c r="AO315" s="402">
        <f ca="1">IF((SUM($G300:AO300)-$E299*IF(длительность!$B$13&gt;70,0.25,0.4))&lt;0,0,IF((SUM($G300:AO300)-$E299*IF(длительность!$B$13&gt;70,0.25,0.4))&lt;AO300,SUM($G300:AO300)-$E299*IF(длительность!$B$13&gt;70,0.25,0.4),AO300))</f>
        <v>0</v>
      </c>
      <c r="AP315" s="402">
        <f ca="1">IF((SUM($G300:AP300)-$E299*IF(длительность!$B$13&gt;70,0.25,0.4))&lt;0,0,IF((SUM($G300:AP300)-$E299*IF(длительность!$B$13&gt;70,0.25,0.4))&lt;AP300,SUM($G300:AP300)-$E299*IF(длительность!$B$13&gt;70,0.25,0.4),AP300))</f>
        <v>0</v>
      </c>
      <c r="AQ315" s="402">
        <f ca="1">IF((SUM($G300:AQ300)-$E299*IF(длительность!$B$13&gt;70,0.25,0.4))&lt;0,0,IF((SUM($G300:AQ300)-$E299*IF(длительность!$B$13&gt;70,0.25,0.4))&lt;AQ300,SUM($G300:AQ300)-$E299*IF(длительность!$B$13&gt;70,0.25,0.4),AQ300))</f>
        <v>0</v>
      </c>
      <c r="AR315" s="402">
        <f ca="1">IF((SUM($G300:AR300)-$E299*IF(длительность!$B$13&gt;70,0.25,0.4))&lt;0,0,IF((SUM($G300:AR300)-$E299*IF(длительность!$B$13&gt;70,0.25,0.4))&lt;AR300,SUM($G300:AR300)-$E299*IF(длительность!$B$13&gt;70,0.25,0.4),AR300))</f>
        <v>0</v>
      </c>
      <c r="AS315" s="402">
        <f ca="1">IF((SUM($G300:AS300)-$E299*IF(длительность!$B$13&gt;70,0.25,0.4))&lt;0,0,IF((SUM($G300:AS300)-$E299*IF(длительность!$B$13&gt;70,0.25,0.4))&lt;AS300,SUM($G300:AS300)-$E299*IF(длительность!$B$13&gt;70,0.25,0.4),AS300))</f>
        <v>0</v>
      </c>
      <c r="AT315" s="402">
        <f ca="1">IF((SUM($G300:AT300)-$E299*IF(длительность!$B$13&gt;70,0.25,0.4))&lt;0,0,IF((SUM($G300:AT300)-$E299*IF(длительность!$B$13&gt;70,0.25,0.4))&lt;AT300,SUM($G300:AT300)-$E299*IF(длительность!$B$13&gt;70,0.25,0.4),AT300))</f>
        <v>0</v>
      </c>
      <c r="AU315" s="402">
        <f ca="1">IF((SUM($G300:AU300)-$E299*IF(длительность!$B$13&gt;70,0.25,0.4))&lt;0,0,IF((SUM($G300:AU300)-$E299*IF(длительность!$B$13&gt;70,0.25,0.4))&lt;AU300,SUM($G300:AU300)-$E299*IF(длительность!$B$13&gt;70,0.25,0.4),AU300))</f>
        <v>0</v>
      </c>
      <c r="AV315" s="402">
        <f ca="1">IF((SUM($G300:AV300)-$E299*IF(длительность!$B$13&gt;70,0.25,0.4))&lt;0,0,IF((SUM($G300:AV300)-$E299*IF(длительность!$B$13&gt;70,0.25,0.4))&lt;AV300,SUM($G300:AV300)-$E299*IF(длительность!$B$13&gt;70,0.25,0.4),AV300))</f>
        <v>0</v>
      </c>
      <c r="AW315" s="402">
        <f ca="1">IF((SUM($G300:AW300)-$E299*IF(длительность!$B$13&gt;70,0.25,0.4))&lt;0,0,IF((SUM($G300:AW300)-$E299*IF(длительность!$B$13&gt;70,0.25,0.4))&lt;AW300,SUM($G300:AW300)-$E299*IF(длительность!$B$13&gt;70,0.25,0.4),AW300))</f>
        <v>5.0500000000000114</v>
      </c>
      <c r="AX315" s="402">
        <f ca="1">IF((SUM($G300:AX300)-$E299*IF(длительность!$B$13&gt;70,0.25,0.4))&lt;0,0,IF((SUM($G300:AX300)-$E299*IF(длительность!$B$13&gt;70,0.25,0.4))&lt;AX300,SUM($G300:AX300)-$E299*IF(длительность!$B$13&gt;70,0.25,0.4),AX300))</f>
        <v>31</v>
      </c>
      <c r="AY315" s="402">
        <f ca="1">IF((SUM($G300:AY300)-$E299*IF(длительность!$B$13&gt;70,0.25,0.4))&lt;0,0,IF((SUM($G300:AY300)-$E299*IF(длительность!$B$13&gt;70,0.25,0.4))&lt;AY300,SUM($G300:AY300)-$E299*IF(длительность!$B$13&gt;70,0.25,0.4),AY300))</f>
        <v>30</v>
      </c>
      <c r="AZ315" s="402">
        <f ca="1">IF((SUM($G300:AZ300)-$E299*IF(длительность!$B$13&gt;70,0.25,0.4))&lt;0,0,IF((SUM($G300:AZ300)-$E299*IF(длительность!$B$13&gt;70,0.25,0.4))&lt;AZ300,SUM($G300:AZ300)-$E299*IF(длительность!$B$13&gt;70,0.25,0.4),AZ300))</f>
        <v>31</v>
      </c>
      <c r="BA315" s="402">
        <f ca="1">IF((SUM($G300:BA300)-$E299*IF(длительность!$B$13&gt;70,0.25,0.4))&lt;0,0,IF((SUM($G300:BA300)-$E299*IF(длительность!$B$13&gt;70,0.25,0.4))&lt;BA300,SUM($G300:BA300)-$E299*IF(длительность!$B$13&gt;70,0.25,0.4),BA300))</f>
        <v>31</v>
      </c>
      <c r="BB315" s="402">
        <f ca="1">IF((SUM($G300:BB300)-$E299*IF(длительность!$B$13&gt;70,0.25,0.4))&lt;0,0,IF((SUM($G300:BB300)-$E299*IF(длительность!$B$13&gt;70,0.25,0.4))&lt;BB300,SUM($G300:BB300)-$E299*IF(длительность!$B$13&gt;70,0.25,0.4),BB300))</f>
        <v>28</v>
      </c>
      <c r="BC315" s="402">
        <f ca="1">IF((SUM($G300:BC300)-$E299*IF(длительность!$B$13&gt;70,0.25,0.4))&lt;0,0,IF((SUM($G300:BC300)-$E299*IF(длительность!$B$13&gt;70,0.25,0.4))&lt;BC300,SUM($G300:BC300)-$E299*IF(длительность!$B$13&gt;70,0.25,0.4),BC300))</f>
        <v>31</v>
      </c>
      <c r="BD315" s="402">
        <f ca="1">IF((SUM($G300:BD300)-$E299*IF(длительность!$B$13&gt;70,0.25,0.4))&lt;0,0,IF((SUM($G300:BD300)-$E299*IF(длительность!$B$13&gt;70,0.25,0.4))&lt;BD300,SUM($G300:BD300)-$E299*IF(длительность!$B$13&gt;70,0.25,0.4),BD300))</f>
        <v>30</v>
      </c>
      <c r="BE315" s="402">
        <f ca="1">IF((SUM($G300:BE300)-$E299*IF(длительность!$B$13&gt;70,0.25,0.4))&lt;0,0,IF((SUM($G300:BE300)-$E299*IF(длительность!$B$13&gt;70,0.25,0.4))&lt;BE300,SUM($G300:BE300)-$E299*IF(длительность!$B$13&gt;70,0.25,0.4),BE300))</f>
        <v>31</v>
      </c>
      <c r="BF315" s="402">
        <f ca="1">IF((SUM($G300:BF300)-$E299*IF(длительность!$B$13&gt;70,0.25,0.4))&lt;0,0,IF((SUM($G300:BF300)-$E299*IF(длительность!$B$13&gt;70,0.25,0.4))&lt;BF300,SUM($G300:BF300)-$E299*IF(длительность!$B$13&gt;70,0.25,0.4),BF300))</f>
        <v>30</v>
      </c>
      <c r="BG315" s="402">
        <f ca="1">IF((SUM($G300:BG300)-$E299*IF(длительность!$B$13&gt;70,0.25,0.4))&lt;0,0,IF((SUM($G300:BG300)-$E299*IF(длительность!$B$13&gt;70,0.25,0.4))&lt;BG300,SUM($G300:BG300)-$E299*IF(длительность!$B$13&gt;70,0.25,0.4),BG300))</f>
        <v>31</v>
      </c>
      <c r="BH315" s="402">
        <f ca="1">IF((SUM($G300:BH300)-$E299*IF(длительность!$B$13&gt;70,0.25,0.4))&lt;0,0,IF((SUM($G300:BH300)-$E299*IF(длительность!$B$13&gt;70,0.25,0.4))&lt;BH300,SUM($G300:BH300)-$E299*IF(длительность!$B$13&gt;70,0.25,0.4),BH300))</f>
        <v>31</v>
      </c>
      <c r="BI315" s="402">
        <f ca="1">IF((SUM($G300:BI300)-$E299*IF(длительность!$B$13&gt;70,0.25,0.4))&lt;0,0,IF((SUM($G300:BI300)-$E299*IF(длительность!$B$13&gt;70,0.25,0.4))&lt;BI300,SUM($G300:BI300)-$E299*IF(длительность!$B$13&gt;70,0.25,0.4),BI300))</f>
        <v>30</v>
      </c>
      <c r="BJ315" s="402">
        <f ca="1">IF((SUM($G300:BJ300)-$E299*IF(длительность!$B$13&gt;70,0.25,0.4))&lt;0,0,IF((SUM($G300:BJ300)-$E299*IF(длительность!$B$13&gt;70,0.25,0.4))&lt;BJ300,SUM($G300:BJ300)-$E299*IF(длительность!$B$13&gt;70,0.25,0.4),BJ300))</f>
        <v>31</v>
      </c>
      <c r="BK315" s="402">
        <f ca="1">IF((SUM($G300:BK300)-$E299*IF(длительность!$B$13&gt;70,0.25,0.4))&lt;0,0,IF((SUM($G300:BK300)-$E299*IF(длительность!$B$13&gt;70,0.25,0.4))&lt;BK300,SUM($G300:BK300)-$E299*IF(длительность!$B$13&gt;70,0.25,0.4),BK300))</f>
        <v>30</v>
      </c>
      <c r="BL315" s="402">
        <f ca="1">IF((SUM($G300:BL300)-$E299*IF(длительность!$B$13&gt;70,0.25,0.4))&lt;0,0,IF((SUM($G300:BL300)-$E299*IF(длительность!$B$13&gt;70,0.25,0.4))&lt;BL300,SUM($G300:BL300)-$E299*IF(длительность!$B$13&gt;70,0.25,0.4),BL300))</f>
        <v>31</v>
      </c>
      <c r="BM315" s="402">
        <f ca="1">IF((SUM($G300:BM300)-$E299*IF(длительность!$B$13&gt;70,0.25,0.4))&lt;0,0,IF((SUM($G300:BM300)-$E299*IF(длительность!$B$13&gt;70,0.25,0.4))&lt;BM300,SUM($G300:BM300)-$E299*IF(длительность!$B$13&gt;70,0.25,0.4),BM300))</f>
        <v>31</v>
      </c>
      <c r="BN315" s="402">
        <f ca="1">IF((SUM($G300:BN300)-$E299*IF(длительность!$B$13&gt;70,0.25,0.4))&lt;0,0,IF((SUM($G300:BN300)-$E299*IF(длительность!$B$13&gt;70,0.25,0.4))&lt;BN300,SUM($G300:BN300)-$E299*IF(длительность!$B$13&gt;70,0.25,0.4),BN300))</f>
        <v>29</v>
      </c>
      <c r="BO315" s="402">
        <f ca="1">IF((SUM($G300:BO300)-$E299*IF(длительность!$B$13&gt;70,0.25,0.4))&lt;0,0,IF((SUM($G300:BO300)-$E299*IF(длительность!$B$13&gt;70,0.25,0.4))&lt;BO300,SUM($G300:BO300)-$E299*IF(длительность!$B$13&gt;70,0.25,0.4),BO300))</f>
        <v>31</v>
      </c>
      <c r="BP315" s="402">
        <f ca="1">IF((SUM($G300:BP300)-$E299*IF(длительность!$B$13&gt;70,0.25,0.4))&lt;0,0,IF((SUM($G300:BP300)-$E299*IF(длительность!$B$13&gt;70,0.25,0.4))&lt;BP300,SUM($G300:BP300)-$E299*IF(длительность!$B$13&gt;70,0.25,0.4),BP300))</f>
        <v>30</v>
      </c>
      <c r="BQ315" s="402">
        <f ca="1">IF((SUM($G300:BQ300)-$E299*IF(длительность!$B$13&gt;70,0.25,0.4))&lt;0,0,IF((SUM($G300:BQ300)-$E299*IF(длительность!$B$13&gt;70,0.25,0.4))&lt;BQ300,SUM($G300:BQ300)-$E299*IF(длительность!$B$13&gt;70,0.25,0.4),BQ300))</f>
        <v>31</v>
      </c>
      <c r="BR315" s="402">
        <f ca="1">IF((SUM($G300:BR300)-$E299*IF(длительность!$B$13&gt;70,0.25,0.4))&lt;0,0,IF((SUM($G300:BR300)-$E299*IF(длительность!$B$13&gt;70,0.25,0.4))&lt;BR300,SUM($G300:BR300)-$E299*IF(длительность!$B$13&gt;70,0.25,0.4),BR300))</f>
        <v>30</v>
      </c>
      <c r="BS315" s="402">
        <f ca="1">IF((SUM($G300:BS300)-$E299*IF(длительность!$B$13&gt;70,0.25,0.4))&lt;0,0,IF((SUM($G300:BS300)-$E299*IF(длительность!$B$13&gt;70,0.25,0.4))&lt;BS300,SUM($G300:BS300)-$E299*IF(длительность!$B$13&gt;70,0.25,0.4),BS300))</f>
        <v>31</v>
      </c>
      <c r="BT315" s="402">
        <f ca="1">IF((SUM($G300:BT300)-$E299*IF(длительность!$B$13&gt;70,0.25,0.4))&lt;0,0,IF((SUM($G300:BT300)-$E299*IF(длительность!$B$13&gt;70,0.25,0.4))&lt;BT300,SUM($G300:BT300)-$E299*IF(длительность!$B$13&gt;70,0.25,0.4),BT300))</f>
        <v>31</v>
      </c>
      <c r="BU315" s="402">
        <f ca="1">IF((SUM($G300:BU300)-$E299*IF(длительность!$B$13&gt;70,0.25,0.4))&lt;0,0,IF((SUM($G300:BU300)-$E299*IF(длительность!$B$13&gt;70,0.25,0.4))&lt;BU300,SUM($G300:BU300)-$E299*IF(длительность!$B$13&gt;70,0.25,0.4),BU300))</f>
        <v>30</v>
      </c>
      <c r="BV315" s="402">
        <f ca="1">IF((SUM($G300:BV300)-$E299*IF(длительность!$B$13&gt;70,0.25,0.4))&lt;0,0,IF((SUM($G300:BV300)-$E299*IF(длительность!$B$13&gt;70,0.25,0.4))&lt;BV300,SUM($G300:BV300)-$E299*IF(длительность!$B$13&gt;70,0.25,0.4),BV300))</f>
        <v>31</v>
      </c>
      <c r="BW315" s="402">
        <f ca="1">IF((SUM($G300:BW300)-$E299*IF(длительность!$B$13&gt;70,0.25,0.4))&lt;0,0,IF((SUM($G300:BW300)-$E299*IF(длительность!$B$13&gt;70,0.25,0.4))&lt;BW300,SUM($G300:BW300)-$E299*IF(длительность!$B$13&gt;70,0.25,0.4),BW300))</f>
        <v>30</v>
      </c>
      <c r="BX315" s="402">
        <f ca="1">IF((SUM($G300:BX300)-$E299*IF(длительность!$B$13&gt;70,0.25,0.4))&lt;0,0,IF((SUM($G300:BX300)-$E299*IF(длительность!$B$13&gt;70,0.25,0.4))&lt;BX300,SUM($G300:BX300)-$E299*IF(длительность!$B$13&gt;70,0.25,0.4),BX300))</f>
        <v>31</v>
      </c>
      <c r="BY315" s="402">
        <f ca="1">IF((SUM($G300:BY300)-$E299*IF(длительность!$B$13&gt;70,0.25,0.4))&lt;0,0,IF((SUM($G300:BY300)-$E299*IF(длительность!$B$13&gt;70,0.25,0.4))&lt;BY300,SUM($G300:BY300)-$E299*IF(длительность!$B$13&gt;70,0.25,0.4),BY300))</f>
        <v>31</v>
      </c>
      <c r="BZ315" s="402">
        <f ca="1">IF((SUM($G300:BZ300)-$E299*IF(длительность!$B$13&gt;70,0.25,0.4))&lt;0,0,IF((SUM($G300:BZ300)-$E299*IF(длительность!$B$13&gt;70,0.25,0.4))&lt;BZ300,SUM($G300:BZ300)-$E299*IF(длительность!$B$13&gt;70,0.25,0.4),BZ300))</f>
        <v>28</v>
      </c>
      <c r="CA315" s="402">
        <f ca="1">IF((SUM($G300:CA300)-$E299*IF(длительность!$B$13&gt;70,0.25,0.4))&lt;0,0,IF((SUM($G300:CA300)-$E299*IF(длительность!$B$13&gt;70,0.25,0.4))&lt;CA300,SUM($G300:CA300)-$E299*IF(длительность!$B$13&gt;70,0.25,0.4),CA300))</f>
        <v>31</v>
      </c>
      <c r="CB315" s="402">
        <f ca="1">IF((SUM($G300:CB300)-$E299*IF(длительность!$B$13&gt;70,0.25,0.4))&lt;0,0,IF((SUM($G300:CB300)-$E299*IF(длительность!$B$13&gt;70,0.25,0.4))&lt;CB300,SUM($G300:CB300)-$E299*IF(длительность!$B$13&gt;70,0.25,0.4),CB300))</f>
        <v>30</v>
      </c>
      <c r="CC315" s="402">
        <f ca="1">IF((SUM($G300:CC300)-$E299*IF(длительность!$B$13&gt;70,0.25,0.4))&lt;0,0,IF((SUM($G300:CC300)-$E299*IF(длительность!$B$13&gt;70,0.25,0.4))&lt;CC300,SUM($G300:CC300)-$E299*IF(длительность!$B$13&gt;70,0.25,0.4),CC300))</f>
        <v>31</v>
      </c>
      <c r="CD315" s="402">
        <f ca="1">IF((SUM($G300:CD300)-$E299*IF(длительность!$B$13&gt;70,0.25,0.4))&lt;0,0,IF((SUM($G300:CD300)-$E299*IF(длительность!$B$13&gt;70,0.25,0.4))&lt;CD300,SUM($G300:CD300)-$E299*IF(длительность!$B$13&gt;70,0.25,0.4),CD300))</f>
        <v>30</v>
      </c>
      <c r="CE315" s="402">
        <f ca="1">IF((SUM($G300:CE300)-$E299*IF(длительность!$B$13&gt;70,0.25,0.4))&lt;0,0,IF((SUM($G300:CE300)-$E299*IF(длительность!$B$13&gt;70,0.25,0.4))&lt;CE300,SUM($G300:CE300)-$E299*IF(длительность!$B$13&gt;70,0.25,0.4),CE300))</f>
        <v>31</v>
      </c>
      <c r="CF315" s="402">
        <f ca="1">IF((SUM($G300:CF300)-$E299*IF(длительность!$B$13&gt;70,0.25,0.4))&lt;0,0,IF((SUM($G300:CF300)-$E299*IF(длительность!$B$13&gt;70,0.25,0.4))&lt;CF300,SUM($G300:CF300)-$E299*IF(длительность!$B$13&gt;70,0.25,0.4),CF300))</f>
        <v>31</v>
      </c>
      <c r="CG315" s="402">
        <f ca="1">IF((SUM($G300:CG300)-$E299*IF(длительность!$B$13&gt;70,0.25,0.4))&lt;0,0,IF((SUM($G300:CG300)-$E299*IF(длительность!$B$13&gt;70,0.25,0.4))&lt;CG300,SUM($G300:CG300)-$E299*IF(длительность!$B$13&gt;70,0.25,0.4),CG300))</f>
        <v>30</v>
      </c>
      <c r="CH315" s="402">
        <f ca="1">IF((SUM($G300:CH300)-$E299*IF(длительность!$B$13&gt;70,0.25,0.4))&lt;0,0,IF((SUM($G300:CH300)-$E299*IF(длительность!$B$13&gt;70,0.25,0.4))&lt;CH300,SUM($G300:CH300)-$E299*IF(длительность!$B$13&gt;70,0.25,0.4),CH300))</f>
        <v>31</v>
      </c>
      <c r="CI315" s="402">
        <f ca="1">IF((SUM($G300:CI300)-$E299*IF(длительность!$B$13&gt;70,0.25,0.4))&lt;0,0,IF((SUM($G300:CI300)-$E299*IF(длительность!$B$13&gt;70,0.25,0.4))&lt;CI300,SUM($G300:CI300)-$E299*IF(длительность!$B$13&gt;70,0.25,0.4),CI300))</f>
        <v>30</v>
      </c>
      <c r="CJ315" s="402">
        <f ca="1">IF((SUM($G300:CJ300)-$E299*IF(длительность!$B$13&gt;70,0.25,0.4))&lt;0,0,IF((SUM($G300:CJ300)-$E299*IF(длительность!$B$13&gt;70,0.25,0.4))&lt;CJ300,SUM($G300:CJ300)-$E299*IF(длительность!$B$13&gt;70,0.25,0.4),CJ300))</f>
        <v>31</v>
      </c>
      <c r="CK315" s="402">
        <f ca="1">IF((SUM($G300:CK300)-$E299*IF(длительность!$B$13&gt;70,0.25,0.4))&lt;0,0,IF((SUM($G300:CK300)-$E299*IF(длительность!$B$13&gt;70,0.25,0.4))&lt;CK300,SUM($G300:CK300)-$E299*IF(длительность!$B$13&gt;70,0.25,0.4),CK300))</f>
        <v>31</v>
      </c>
      <c r="CL315" s="402">
        <f ca="1">IF((SUM($G300:CL300)-$E299*IF(длительность!$B$13&gt;70,0.25,0.4))&lt;0,0,IF((SUM($G300:CL300)-$E299*IF(длительность!$B$13&gt;70,0.25,0.4))&lt;CL300,SUM($G300:CL300)-$E299*IF(длительность!$B$13&gt;70,0.25,0.4),CL300))</f>
        <v>28</v>
      </c>
      <c r="CM315" s="402">
        <f ca="1">IF((SUM($G300:CM300)-$E299*IF(длительность!$B$13&gt;70,0.25,0.4))&lt;0,0,IF((SUM($G300:CM300)-$E299*IF(длительность!$B$13&gt;70,0.25,0.4))&lt;CM300,SUM($G300:CM300)-$E299*IF(длительность!$B$13&gt;70,0.25,0.4),CM300))</f>
        <v>31</v>
      </c>
      <c r="CN315" s="402">
        <f ca="1">IF((SUM($G300:CN300)-$E299*IF(длительность!$B$13&gt;70,0.25,0.4))&lt;0,0,IF((SUM($G300:CN300)-$E299*IF(длительность!$B$13&gt;70,0.25,0.4))&lt;CN300,SUM($G300:CN300)-$E299*IF(длительность!$B$13&gt;70,0.25,0.4),CN300))</f>
        <v>30</v>
      </c>
      <c r="CO315" s="402">
        <f ca="1">IF((SUM($G300:CO300)-$E299*IF(длительность!$B$13&gt;70,0.25,0.4))&lt;0,0,IF((SUM($G300:CO300)-$E299*IF(длительность!$B$13&gt;70,0.25,0.4))&lt;CO300,SUM($G300:CO300)-$E299*IF(длительность!$B$13&gt;70,0.25,0.4),CO300))</f>
        <v>31</v>
      </c>
      <c r="CP315" s="402">
        <f ca="1">IF((SUM($G300:CP300)-$E299*IF(длительность!$B$13&gt;70,0.25,0.4))&lt;0,0,IF((SUM($G300:CP300)-$E299*IF(длительность!$B$13&gt;70,0.25,0.4))&lt;CP300,SUM($G300:CP300)-$E299*IF(длительность!$B$13&gt;70,0.25,0.4),CP300))</f>
        <v>30</v>
      </c>
      <c r="CQ315" s="402">
        <f ca="1">IF((SUM($G300:CQ300)-$E299*IF(длительность!$B$13&gt;70,0.25,0.4))&lt;0,0,IF((SUM($G300:CQ300)-$E299*IF(длительность!$B$13&gt;70,0.25,0.4))&lt;CQ300,SUM($G300:CQ300)-$E299*IF(длительность!$B$13&gt;70,0.25,0.4),CQ300))</f>
        <v>31</v>
      </c>
      <c r="CR315" s="402">
        <f ca="1">IF((SUM($G300:CR300)-$E299*IF(длительность!$B$13&gt;70,0.25,0.4))&lt;0,0,IF((SUM($G300:CR300)-$E299*IF(длительность!$B$13&gt;70,0.25,0.4))&lt;CR300,SUM($G300:CR300)-$E299*IF(длительность!$B$13&gt;70,0.25,0.4),CR300))</f>
        <v>31</v>
      </c>
      <c r="CS315" s="402">
        <f ca="1">IF((SUM($G300:CS300)-$E299*IF(длительность!$B$13&gt;70,0.25,0.4))&lt;0,0,IF((SUM($G300:CS300)-$E299*IF(длительность!$B$13&gt;70,0.25,0.4))&lt;CS300,SUM($G300:CS300)-$E299*IF(длительность!$B$13&gt;70,0.25,0.4),CS300))</f>
        <v>30</v>
      </c>
      <c r="CT315" s="402">
        <f ca="1">IF((SUM($G300:CT300)-$E299*IF(длительность!$B$13&gt;70,0.25,0.4))&lt;0,0,IF((SUM($G300:CT300)-$E299*IF(длительность!$B$13&gt;70,0.25,0.4))&lt;CT300,SUM($G300:CT300)-$E299*IF(длительность!$B$13&gt;70,0.25,0.4),CT300))</f>
        <v>31</v>
      </c>
      <c r="CU315" s="402">
        <f ca="1">IF((SUM($G300:CU300)-$E299*IF(длительность!$B$13&gt;70,0.25,0.4))&lt;0,0,IF((SUM($G300:CU300)-$E299*IF(длительность!$B$13&gt;70,0.25,0.4))&lt;CU300,SUM($G300:CU300)-$E299*IF(длительность!$B$13&gt;70,0.25,0.4),CU300))</f>
        <v>30</v>
      </c>
      <c r="CV315" s="402">
        <f ca="1">IF((SUM($G300:CV300)-$E299*IF(длительность!$B$13&gt;70,0.25,0.4))&lt;0,0,IF((SUM($G300:CV300)-$E299*IF(длительность!$B$13&gt;70,0.25,0.4))&lt;CV300,SUM($G300:CV300)-$E299*IF(длительность!$B$13&gt;70,0.25,0.4),CV300))</f>
        <v>31</v>
      </c>
      <c r="CW315" s="402">
        <f ca="1">IF((SUM($G300:CW300)-$E299*IF(длительность!$B$13&gt;70,0.25,0.4))&lt;0,0,IF((SUM($G300:CW300)-$E299*IF(длительность!$B$13&gt;70,0.25,0.4))&lt;CW300,SUM($G300:CW300)-$E299*IF(длительность!$B$13&gt;70,0.25,0.4),CW300))</f>
        <v>31</v>
      </c>
      <c r="CX315" s="402">
        <f ca="1">IF((SUM($G300:CX300)-$E299*IF(длительность!$B$13&gt;70,0.25,0.4))&lt;0,0,IF((SUM($G300:CX300)-$E299*IF(длительность!$B$13&gt;70,0.25,0.4))&lt;CX300,SUM($G300:CX300)-$E299*IF(длительность!$B$13&gt;70,0.25,0.4),CX300))</f>
        <v>28</v>
      </c>
      <c r="CY315" s="402">
        <f ca="1">IF((SUM($G300:CY300)-$E299*IF(длительность!$B$13&gt;70,0.25,0.4))&lt;0,0,IF((SUM($G300:CY300)-$E299*IF(длительность!$B$13&gt;70,0.25,0.4))&lt;CY300,SUM($G300:CY300)-$E299*IF(длительность!$B$13&gt;70,0.25,0.4),CY300))</f>
        <v>31</v>
      </c>
      <c r="CZ315" s="402">
        <f ca="1">IF((SUM($G300:CZ300)-$E299*IF(длительность!$B$13&gt;70,0.25,0.4))&lt;0,0,IF((SUM($G300:CZ300)-$E299*IF(длительность!$B$13&gt;70,0.25,0.4))&lt;CZ300,SUM($G300:CZ300)-$E299*IF(длительность!$B$13&gt;70,0.25,0.4),CZ300))</f>
        <v>30</v>
      </c>
      <c r="DA315" s="402">
        <f ca="1">IF((SUM($G300:DA300)-$E299*IF(длительность!$B$13&gt;70,0.25,0.4))&lt;0,0,IF((SUM($G300:DA300)-$E299*IF(длительность!$B$13&gt;70,0.25,0.4))&lt;DA300,SUM($G300:DA300)-$E299*IF(длительность!$B$13&gt;70,0.25,0.4),DA300))</f>
        <v>31</v>
      </c>
      <c r="DB315" s="402">
        <f ca="1">IF((SUM($G300:DB300)-$E299*IF(длительность!$B$13&gt;70,0.25,0.4))&lt;0,0,IF((SUM($G300:DB300)-$E299*IF(длительность!$B$13&gt;70,0.25,0.4))&lt;DB300,SUM($G300:DB300)-$E299*IF(длительность!$B$13&gt;70,0.25,0.4),DB300))</f>
        <v>30</v>
      </c>
      <c r="DC315" s="402">
        <f ca="1">IF((SUM($G300:DC300)-$E299*IF(длительность!$B$13&gt;70,0.25,0.4))&lt;0,0,IF((SUM($G300:DC300)-$E299*IF(длительность!$B$13&gt;70,0.25,0.4))&lt;DC300,SUM($G300:DC300)-$E299*IF(длительность!$B$13&gt;70,0.25,0.4),DC300))</f>
        <v>31</v>
      </c>
      <c r="DD315" s="402">
        <f ca="1">IF((SUM($G300:DD300)-$E299*IF(длительность!$B$13&gt;70,0.25,0.4))&lt;0,0,IF((SUM($G300:DD300)-$E299*IF(длительность!$B$13&gt;70,0.25,0.4))&lt;DD300,SUM($G300:DD300)-$E299*IF(длительность!$B$13&gt;70,0.25,0.4),DD300))</f>
        <v>31</v>
      </c>
      <c r="DE315" s="402">
        <f ca="1">IF((SUM($G300:DE300)-$E299*IF(длительность!$B$13&gt;70,0.25,0.4))&lt;0,0,IF((SUM($G300:DE300)-$E299*IF(длительность!$B$13&gt;70,0.25,0.4))&lt;DE300,SUM($G300:DE300)-$E299*IF(длительность!$B$13&gt;70,0.25,0.4),DE300))</f>
        <v>30</v>
      </c>
      <c r="DF315" s="402">
        <f ca="1">IF((SUM($G300:DF300)-$E299*IF(длительность!$B$13&gt;70,0.25,0.4))&lt;0,0,IF((SUM($G300:DF300)-$E299*IF(длительность!$B$13&gt;70,0.25,0.4))&lt;DF300,SUM($G300:DF300)-$E299*IF(длительность!$B$13&gt;70,0.25,0.4),DF300))</f>
        <v>31</v>
      </c>
      <c r="DG315" s="402">
        <f ca="1">IF((SUM($G300:DG300)-$E299*IF(длительность!$B$13&gt;70,0.25,0.4))&lt;0,0,IF((SUM($G300:DG300)-$E299*IF(длительность!$B$13&gt;70,0.25,0.4))&lt;DG300,SUM($G300:DG300)-$E299*IF(длительность!$B$13&gt;70,0.25,0.4),DG300))</f>
        <v>30</v>
      </c>
      <c r="DH315" s="402">
        <f ca="1">IF((SUM($G300:DH300)-$E299*IF(длительность!$B$13&gt;70,0.25,0.4))&lt;0,0,IF((SUM($G300:DH300)-$E299*IF(длительность!$B$13&gt;70,0.25,0.4))&lt;DH300,SUM($G300:DH300)-$E299*IF(длительность!$B$13&gt;70,0.25,0.4),DH300))</f>
        <v>31</v>
      </c>
      <c r="DI315" s="402">
        <f ca="1">IF((SUM($G300:DI300)-$E299*IF(длительность!$B$13&gt;70,0.25,0.4))&lt;0,0,IF((SUM($G300:DI300)-$E299*IF(длительность!$B$13&gt;70,0.25,0.4))&lt;DI300,SUM($G300:DI300)-$E299*IF(длительность!$B$13&gt;70,0.25,0.4),DI300))</f>
        <v>31</v>
      </c>
      <c r="DJ315" s="402">
        <f ca="1">IF((SUM($G300:DJ300)-$E299*IF(длительность!$B$13&gt;70,0.25,0.4))&lt;0,0,IF((SUM($G300:DJ300)-$E299*IF(длительность!$B$13&gt;70,0.25,0.4))&lt;DJ300,SUM($G300:DJ300)-$E299*IF(длительность!$B$13&gt;70,0.25,0.4),DJ300))</f>
        <v>29</v>
      </c>
      <c r="DK315" s="402">
        <f ca="1">IF((SUM($G300:DK300)-$E299*IF(длительность!$B$13&gt;70,0.25,0.4))&lt;0,0,IF((SUM($G300:DK300)-$E299*IF(длительность!$B$13&gt;70,0.25,0.4))&lt;DK300,SUM($G300:DK300)-$E299*IF(длительность!$B$13&gt;70,0.25,0.4),DK300))</f>
        <v>31</v>
      </c>
      <c r="DL315" s="402">
        <f ca="1">IF((SUM($G300:DL300)-$E299*IF(длительность!$B$13&gt;70,0.25,0.4))&lt;0,0,IF((SUM($G300:DL300)-$E299*IF(длительность!$B$13&gt;70,0.25,0.4))&lt;DL300,SUM($G300:DL300)-$E299*IF(длительность!$B$13&gt;70,0.25,0.4),DL300))</f>
        <v>30</v>
      </c>
      <c r="DM315" s="402">
        <f ca="1">IF((SUM($G300:DM300)-$E299*IF(длительность!$B$13&gt;70,0.25,0.4))&lt;0,0,IF((SUM($G300:DM300)-$E299*IF(длительность!$B$13&gt;70,0.25,0.4))&lt;DM300,SUM($G300:DM300)-$E299*IF(длительность!$B$13&gt;70,0.25,0.4),DM300))</f>
        <v>31</v>
      </c>
      <c r="DN315" s="402">
        <f ca="1">IF((SUM($G300:DN300)-$E299*IF(длительность!$B$13&gt;70,0.25,0.4))&lt;0,0,IF((SUM($G300:DN300)-$E299*IF(длительность!$B$13&gt;70,0.25,0.4))&lt;DN300,SUM($G300:DN300)-$E299*IF(длительность!$B$13&gt;70,0.25,0.4),DN300))</f>
        <v>30</v>
      </c>
      <c r="DO315" s="402">
        <f ca="1">IF((SUM($G300:DO300)-$E299*IF(длительность!$B$13&gt;70,0.25,0.4))&lt;0,0,IF((SUM($G300:DO300)-$E299*IF(длительность!$B$13&gt;70,0.25,0.4))&lt;DO300,SUM($G300:DO300)-$E299*IF(длительность!$B$13&gt;70,0.25,0.4),DO300))</f>
        <v>31</v>
      </c>
      <c r="DP315" s="402">
        <f ca="1">IF((SUM($G300:DP300)-$E299*IF(длительность!$B$13&gt;70,0.25,0.4))&lt;0,0,IF((SUM($G300:DP300)-$E299*IF(длительность!$B$13&gt;70,0.25,0.4))&lt;DP300,SUM($G300:DP300)-$E299*IF(длительность!$B$13&gt;70,0.25,0.4),DP300))</f>
        <v>31</v>
      </c>
      <c r="DQ315" s="402">
        <f ca="1">IF((SUM($G300:DQ300)-$E299*IF(длительность!$B$13&gt;70,0.25,0.4))&lt;0,0,IF((SUM($G300:DQ300)-$E299*IF(длительность!$B$13&gt;70,0.25,0.4))&lt;DQ300,SUM($G300:DQ300)-$E299*IF(длительность!$B$13&gt;70,0.25,0.4),DQ300))</f>
        <v>30</v>
      </c>
      <c r="DR315" s="402">
        <f ca="1">IF((SUM($G300:DR300)-$E299*IF(длительность!$B$13&gt;70,0.25,0.4))&lt;0,0,IF((SUM($G300:DR300)-$E299*IF(длительность!$B$13&gt;70,0.25,0.4))&lt;DR300,SUM($G300:DR300)-$E299*IF(длительность!$B$13&gt;70,0.25,0.4),DR300))</f>
        <v>31</v>
      </c>
      <c r="DS315" s="402">
        <f ca="1">IF((SUM($G300:DS300)-$E299*IF(длительность!$B$13&gt;70,0.25,0.4))&lt;0,0,IF((SUM($G300:DS300)-$E299*IF(длительность!$B$13&gt;70,0.25,0.4))&lt;DS300,SUM($G300:DS300)-$E299*IF(длительность!$B$13&gt;70,0.25,0.4),DS300))</f>
        <v>30</v>
      </c>
      <c r="DT315" s="402">
        <f ca="1">IF((SUM($G300:DT300)-$E299*IF(длительность!$B$13&gt;70,0.25,0.4))&lt;0,0,IF((SUM($G300:DT300)-$E299*IF(длительность!$B$13&gt;70,0.25,0.4))&lt;DT300,SUM($G300:DT300)-$E299*IF(длительность!$B$13&gt;70,0.25,0.4),DT300))</f>
        <v>31</v>
      </c>
      <c r="DU315" s="402">
        <f ca="1">IF((SUM($G300:DU300)-$E299*IF(длительность!$B$13&gt;70,0.25,0.4))&lt;0,0,IF((SUM($G300:DU300)-$E299*IF(длительность!$B$13&gt;70,0.25,0.4))&lt;DU300,SUM($G300:DU300)-$E299*IF(длительность!$B$13&gt;70,0.25,0.4),DU300))</f>
        <v>31</v>
      </c>
      <c r="DV315" s="402">
        <f ca="1">IF((SUM($G300:DV300)-$E299*IF(длительность!$B$13&gt;70,0.25,0.4))&lt;0,0,IF((SUM($G300:DV300)-$E299*IF(длительность!$B$13&gt;70,0.25,0.4))&lt;DV300,SUM($G300:DV300)-$E299*IF(длительность!$B$13&gt;70,0.25,0.4),DV300))</f>
        <v>28</v>
      </c>
      <c r="DW315" s="402">
        <f ca="1">IF((SUM($G300:DW300)-$E299*IF(длительность!$B$13&gt;70,0.25,0.4))&lt;0,0,IF((SUM($G300:DW300)-$E299*IF(длительность!$B$13&gt;70,0.25,0.4))&lt;DW300,SUM($G300:DW300)-$E299*IF(длительность!$B$13&gt;70,0.25,0.4),DW300))</f>
        <v>31</v>
      </c>
      <c r="DX315" s="402">
        <f ca="1">IF((SUM($G300:DX300)-$E299*IF(длительность!$B$13&gt;70,0.25,0.4))&lt;0,0,IF((SUM($G300:DX300)-$E299*IF(длительность!$B$13&gt;70,0.25,0.4))&lt;DX300,SUM($G300:DX300)-$E299*IF(длительность!$B$13&gt;70,0.25,0.4),DX300))</f>
        <v>30</v>
      </c>
      <c r="DY315" s="402">
        <f ca="1">IF((SUM($G300:DY300)-$E299*IF(длительность!$B$13&gt;70,0.25,0.4))&lt;0,0,IF((SUM($G300:DY300)-$E299*IF(длительность!$B$13&gt;70,0.25,0.4))&lt;DY300,SUM($G300:DY300)-$E299*IF(длительность!$B$13&gt;70,0.25,0.4),DY300))</f>
        <v>31</v>
      </c>
      <c r="DZ315" s="402">
        <f ca="1">IF((SUM($G300:DZ300)-$E299*IF(длительность!$B$13&gt;70,0.25,0.4))&lt;0,0,IF((SUM($G300:DZ300)-$E299*IF(длительность!$B$13&gt;70,0.25,0.4))&lt;DZ300,SUM($G300:DZ300)-$E299*IF(длительность!$B$13&gt;70,0.25,0.4),DZ300))</f>
        <v>30</v>
      </c>
      <c r="EA315" s="402">
        <f ca="1">IF((SUM($G300:EA300)-$E299*IF(длительность!$B$13&gt;70,0.25,0.4))&lt;0,0,IF((SUM($G300:EA300)-$E299*IF(длительность!$B$13&gt;70,0.25,0.4))&lt;EA300,SUM($G300:EA300)-$E299*IF(длительность!$B$13&gt;70,0.25,0.4),EA300))</f>
        <v>31</v>
      </c>
      <c r="EB315" s="402">
        <f ca="1">IF((SUM($G300:EB300)-$E299*IF(длительность!$B$13&gt;70,0.25,0.4))&lt;0,0,IF((SUM($G300:EB300)-$E299*IF(длительность!$B$13&gt;70,0.25,0.4))&lt;EB300,SUM($G300:EB300)-$E299*IF(длительность!$B$13&gt;70,0.25,0.4),EB300))</f>
        <v>31</v>
      </c>
      <c r="EC315" s="402">
        <f ca="1">IF((SUM($G300:EC300)-$E299*IF(длительность!$B$13&gt;70,0.25,0.4))&lt;0,0,IF((SUM($G300:EC300)-$E299*IF(длительность!$B$13&gt;70,0.25,0.4))&lt;EC300,SUM($G300:EC300)-$E299*IF(длительность!$B$13&gt;70,0.25,0.4),EC300))</f>
        <v>30</v>
      </c>
      <c r="ED315" s="402">
        <f ca="1">IF((SUM($G300:ED300)-$E299*IF(длительность!$B$13&gt;70,0.25,0.4))&lt;0,0,IF((SUM($G300:ED300)-$E299*IF(длительность!$B$13&gt;70,0.25,0.4))&lt;ED300,SUM($G300:ED300)-$E299*IF(длительность!$B$13&gt;70,0.25,0.4),ED300))</f>
        <v>31</v>
      </c>
      <c r="EE315" s="402">
        <f ca="1">IF((SUM($G300:EE300)-$E299*IF(длительность!$B$13&gt;70,0.25,0.4))&lt;0,0,IF((SUM($G300:EE300)-$E299*IF(длительность!$B$13&gt;70,0.25,0.4))&lt;EE300,SUM($G300:EE300)-$E299*IF(длительность!$B$13&gt;70,0.25,0.4),EE300))</f>
        <v>30</v>
      </c>
      <c r="EF315" s="402">
        <f ca="1">IF((SUM($G300:EF300)-$E299*IF(длительность!$B$13&gt;70,0.25,0.4))&lt;0,0,IF((SUM($G300:EF300)-$E299*IF(длительность!$B$13&gt;70,0.25,0.4))&lt;EF300,SUM($G300:EF300)-$E299*IF(длительность!$B$13&gt;70,0.25,0.4),EF300))</f>
        <v>31</v>
      </c>
      <c r="EG315" s="402">
        <f ca="1">IF((SUM($G300:EG300)-$E299*IF(длительность!$B$13&gt;70,0.25,0.4))&lt;0,0,IF((SUM($G300:EG300)-$E299*IF(длительность!$B$13&gt;70,0.25,0.4))&lt;EG300,SUM($G300:EG300)-$E299*IF(длительность!$B$13&gt;70,0.25,0.4),EG300))</f>
        <v>31</v>
      </c>
      <c r="EH315" s="402">
        <f ca="1">IF((SUM($G300:EH300)-$E299*IF(длительность!$B$13&gt;70,0.25,0.4))&lt;0,0,IF((SUM($G300:EH300)-$E299*IF(длительность!$B$13&gt;70,0.25,0.4))&lt;EH300,SUM($G300:EH300)-$E299*IF(длительность!$B$13&gt;70,0.25,0.4),EH300))</f>
        <v>28</v>
      </c>
      <c r="EI315" s="402">
        <f ca="1">IF((SUM($G300:EI300)-$E299*IF(длительность!$B$13&gt;70,0.25,0.4))&lt;0,0,IF((SUM($G300:EI300)-$E299*IF(длительность!$B$13&gt;70,0.25,0.4))&lt;EI300,SUM($G300:EI300)-$E299*IF(длительность!$B$13&gt;70,0.25,0.4),EI300))</f>
        <v>31</v>
      </c>
    </row>
    <row r="316" spans="1:141" hidden="1" outlineLevel="2">
      <c r="A316" s="332"/>
      <c r="D316" s="305" t="s">
        <v>670</v>
      </c>
      <c r="E316" s="403">
        <f ca="1">MIN(G316:EI316)</f>
        <v>46266</v>
      </c>
      <c r="F316" s="404">
        <f ca="1">MAX(G316:EI316)</f>
        <v>46266</v>
      </c>
      <c r="G316" s="403" t="str">
        <f ca="1">IF(G314=0,"",IF(SUM($G314:G314)&gt;=1,OFFSET(G$228,-1,0),""))</f>
        <v/>
      </c>
      <c r="H316" s="403" t="str">
        <f ca="1">IF(SUM($G316:G316)&gt;=1,"",IF(H314=0,"",IF(SUM($G314:H314)&gt;=1,OFFSET(H$228,-1,0),"")))</f>
        <v/>
      </c>
      <c r="I316" s="403" t="str">
        <f ca="1">IF(SUM($G316:H316)&gt;=1,"",IF(I314=0,"",IF(SUM($G314:I314)&gt;=1,OFFSET(I$228,-1,0),"")))</f>
        <v/>
      </c>
      <c r="J316" s="403" t="str">
        <f ca="1">IF(SUM($G316:I316)&gt;=1,"",IF(J314=0,"",IF(SUM($G314:J314)&gt;=1,OFFSET(J$228,-1,0),"")))</f>
        <v/>
      </c>
      <c r="K316" s="403" t="str">
        <f ca="1">IF(SUM($G316:J316)&gt;=1,"",IF(K314=0,"",IF(SUM($G314:K314)&gt;=1,OFFSET(K$228,-1,0),"")))</f>
        <v/>
      </c>
      <c r="L316" s="403" t="str">
        <f ca="1">IF(SUM($G316:K316)&gt;=1,"",IF(L314=0,"",IF(SUM($G314:L314)&gt;=1,OFFSET(L$228,-1,0),"")))</f>
        <v/>
      </c>
      <c r="M316" s="403" t="str">
        <f ca="1">IF(SUM($G316:L316)&gt;=1,"",IF(M314=0,"",IF(SUM($G314:M314)&gt;=1,OFFSET(M$228,-1,0),"")))</f>
        <v/>
      </c>
      <c r="N316" s="403" t="str">
        <f ca="1">IF(SUM($G316:M316)&gt;=1,"",IF(N314=0,"",IF(SUM($G314:N314)&gt;=1,OFFSET(N$228,-1,0),"")))</f>
        <v/>
      </c>
      <c r="O316" s="403" t="str">
        <f ca="1">IF(SUM($G316:N316)&gt;=1,"",IF(O314=0,"",IF(SUM($G314:O314)&gt;=1,OFFSET(O$228,-1,0),"")))</f>
        <v/>
      </c>
      <c r="P316" s="403" t="str">
        <f ca="1">IF(SUM($G316:O316)&gt;=1,"",IF(P314=0,"",IF(SUM($G314:P314)&gt;=1,OFFSET(P$228,-1,0),"")))</f>
        <v/>
      </c>
      <c r="Q316" s="403" t="str">
        <f ca="1">IF(SUM($G316:P316)&gt;=1,"",IF(Q314=0,"",IF(SUM($G314:Q314)&gt;=1,OFFSET(Q$228,-1,0),"")))</f>
        <v/>
      </c>
      <c r="R316" s="403" t="str">
        <f ca="1">IF(SUM($G316:Q316)&gt;=1,"",IF(R314=0,"",IF(SUM($G314:R314)&gt;=1,OFFSET(R$228,-1,0),"")))</f>
        <v/>
      </c>
      <c r="S316" s="403" t="str">
        <f ca="1">IF(SUM($G316:R316)&gt;=1,"",IF(S314=0,"",IF(SUM($G314:S314)&gt;=1,OFFSET(S$228,-1,0),"")))</f>
        <v/>
      </c>
      <c r="T316" s="403" t="str">
        <f ca="1">IF(SUM($G316:S316)&gt;=1,"",IF(T314=0,"",IF(SUM($G314:T314)&gt;=1,OFFSET(T$228,-1,0),"")))</f>
        <v/>
      </c>
      <c r="U316" s="403" t="str">
        <f ca="1">IF(SUM($G316:T316)&gt;=1,"",IF(U314=0,"",IF(SUM($G314:U314)&gt;=1,OFFSET(U$228,-1,0),"")))</f>
        <v/>
      </c>
      <c r="V316" s="403" t="str">
        <f ca="1">IF(SUM($G316:U316)&gt;=1,"",IF(V314=0,"",IF(SUM($G314:V314)&gt;=1,OFFSET(V$228,-1,0),"")))</f>
        <v/>
      </c>
      <c r="W316" s="403" t="str">
        <f ca="1">IF(SUM($G316:V316)&gt;=1,"",IF(W314=0,"",IF(SUM($G314:W314)&gt;=1,OFFSET(W$228,-1,0),"")))</f>
        <v/>
      </c>
      <c r="X316" s="403" t="str">
        <f ca="1">IF(SUM($G316:W316)&gt;=1,"",IF(X314=0,"",IF(SUM($G314:X314)&gt;=1,OFFSET(X$228,-1,0),"")))</f>
        <v/>
      </c>
      <c r="Y316" s="403" t="str">
        <f ca="1">IF(SUM($G316:X316)&gt;=1,"",IF(Y314=0,"",IF(SUM($G314:Y314)&gt;=1,OFFSET(Y$228,-1,0),"")))</f>
        <v/>
      </c>
      <c r="Z316" s="403" t="str">
        <f ca="1">IF(SUM($G316:Y316)&gt;=1,"",IF(Z314=0,"",IF(SUM($G314:Z314)&gt;=1,OFFSET(Z$228,-1,0),"")))</f>
        <v/>
      </c>
      <c r="AA316" s="403" t="str">
        <f ca="1">IF(SUM($G316:Z316)&gt;=1,"",IF(AA314=0,"",IF(SUM($G314:AA314)&gt;=1,OFFSET(AA$228,-1,0),"")))</f>
        <v/>
      </c>
      <c r="AB316" s="403" t="str">
        <f ca="1">IF(SUM($G316:AA316)&gt;=1,"",IF(AB314=0,"",IF(SUM($G314:AB314)&gt;=1,OFFSET(AB$228,-1,0),"")))</f>
        <v/>
      </c>
      <c r="AC316" s="403" t="str">
        <f ca="1">IF(SUM($G316:AB316)&gt;=1,"",IF(AC314=0,"",IF(SUM($G314:AC314)&gt;=1,OFFSET(AC$228,-1,0),"")))</f>
        <v/>
      </c>
      <c r="AD316" s="403" t="str">
        <f ca="1">IF(SUM($G316:AC316)&gt;=1,"",IF(AD314=0,"",IF(SUM($G314:AD314)&gt;=1,OFFSET(AD$228,-1,0),"")))</f>
        <v/>
      </c>
      <c r="AE316" s="403" t="str">
        <f ca="1">IF(SUM($G316:AD316)&gt;=1,"",IF(AE314=0,"",IF(SUM($G314:AE314)&gt;=1,OFFSET(AE$228,-1,0),"")))</f>
        <v/>
      </c>
      <c r="AF316" s="403" t="str">
        <f ca="1">IF(SUM($G316:AE316)&gt;=1,"",IF(AF314=0,"",IF(SUM($G314:AF314)&gt;=1,OFFSET(AF$228,-1,0),"")))</f>
        <v/>
      </c>
      <c r="AG316" s="403" t="str">
        <f ca="1">IF(SUM($G316:AF316)&gt;=1,"",IF(AG314=0,"",IF(SUM($G314:AG314)&gt;=1,OFFSET(AG$228,-1,0),"")))</f>
        <v/>
      </c>
      <c r="AH316" s="403" t="str">
        <f ca="1">IF(SUM($G316:AG316)&gt;=1,"",IF(AH314=0,"",IF(SUM($G314:AH314)&gt;=1,OFFSET(AH$228,-1,0),"")))</f>
        <v/>
      </c>
      <c r="AI316" s="403" t="str">
        <f ca="1">IF(SUM($G316:AH316)&gt;=1,"",IF(AI314=0,"",IF(SUM($G314:AI314)&gt;=1,OFFSET(AI$228,-1,0),"")))</f>
        <v/>
      </c>
      <c r="AJ316" s="403" t="str">
        <f ca="1">IF(SUM($G316:AI316)&gt;=1,"",IF(AJ314=0,"",IF(SUM($G314:AJ314)&gt;=1,OFFSET(AJ$228,-1,0),"")))</f>
        <v/>
      </c>
      <c r="AK316" s="403" t="str">
        <f ca="1">IF(SUM($G316:AJ316)&gt;=1,"",IF(AK314=0,"",IF(SUM($G314:AK314)&gt;=1,OFFSET(AK$228,-1,0),"")))</f>
        <v/>
      </c>
      <c r="AL316" s="403" t="str">
        <f ca="1">IF(SUM($G316:AK316)&gt;=1,"",IF(AL314=0,"",IF(SUM($G314:AL314)&gt;=1,OFFSET(AL$228,-1,0),"")))</f>
        <v/>
      </c>
      <c r="AM316" s="403" t="str">
        <f ca="1">IF(SUM($G316:AL316)&gt;=1,"",IF(AM314=0,"",IF(SUM($G314:AM314)&gt;=1,OFFSET(AM$228,-1,0),"")))</f>
        <v/>
      </c>
      <c r="AN316" s="403" t="str">
        <f ca="1">IF(SUM($G316:AM316)&gt;=1,"",IF(AN314=0,"",IF(SUM($G314:AN314)&gt;=1,OFFSET(AN$228,-1,0),"")))</f>
        <v/>
      </c>
      <c r="AO316" s="403" t="str">
        <f ca="1">IF(SUM($G316:AN316)&gt;=1,"",IF(AO314=0,"",IF(SUM($G314:AO314)&gt;=1,OFFSET(AO$228,-1,0),"")))</f>
        <v/>
      </c>
      <c r="AP316" s="403" t="str">
        <f ca="1">IF(SUM($G316:AO316)&gt;=1,"",IF(AP314=0,"",IF(SUM($G314:AP314)&gt;=1,OFFSET(AP$228,-1,0),"")))</f>
        <v/>
      </c>
      <c r="AQ316" s="403" t="str">
        <f ca="1">IF(SUM($G316:AP316)&gt;=1,"",IF(AQ314=0,"",IF(SUM($G314:AQ314)&gt;=1,OFFSET(AQ$228,-1,0),"")))</f>
        <v/>
      </c>
      <c r="AR316" s="403" t="str">
        <f ca="1">IF(SUM($G316:AQ316)&gt;=1,"",IF(AR314=0,"",IF(SUM($G314:AR314)&gt;=1,OFFSET(AR$228,-1,0),"")))</f>
        <v/>
      </c>
      <c r="AS316" s="403" t="str">
        <f ca="1">IF(SUM($G316:AR316)&gt;=1,"",IF(AS314=0,"",IF(SUM($G314:AS314)&gt;=1,OFFSET(AS$228,-1,0),"")))</f>
        <v/>
      </c>
      <c r="AT316" s="403" t="str">
        <f ca="1">IF(SUM($G316:AS316)&gt;=1,"",IF(AT314=0,"",IF(SUM($G314:AT314)&gt;=1,OFFSET(AT$228,-1,0),"")))</f>
        <v/>
      </c>
      <c r="AU316" s="403" t="str">
        <f ca="1">IF(SUM($G316:AT316)&gt;=1,"",IF(AU314=0,"",IF(SUM($G314:AU314)&gt;=1,OFFSET(AU$228,-1,0),"")))</f>
        <v/>
      </c>
      <c r="AV316" s="403" t="str">
        <f ca="1">IF(SUM($G316:AU316)&gt;=1,"",IF(AV314=0,"",IF(SUM($G314:AV314)&gt;=1,OFFSET(AV$228,-1,0),"")))</f>
        <v/>
      </c>
      <c r="AW316" s="403">
        <f ca="1">IF(SUM($G316:AV316)&gt;=1,"",IF(AW314=0,"",IF(SUM($G314:AW314)&gt;=1,OFFSET(AW$228,-1,0),"")))</f>
        <v>46266</v>
      </c>
      <c r="AX316" s="403" t="str">
        <f ca="1">IF(SUM($G316:AW316)&gt;=1,"",IF(AX314=0,"",IF(SUM($G314:AX314)&gt;=1,OFFSET(AX$228,-1,0),"")))</f>
        <v/>
      </c>
      <c r="AY316" s="403" t="str">
        <f ca="1">IF(SUM($G316:AX316)&gt;=1,"",IF(AY314=0,"",IF(SUM($G314:AY314)&gt;=1,OFFSET(AY$228,-1,0),"")))</f>
        <v/>
      </c>
      <c r="AZ316" s="403" t="str">
        <f ca="1">IF(SUM($G316:AY316)&gt;=1,"",IF(AZ314=0,"",IF(SUM($G314:AZ314)&gt;=1,OFFSET(AZ$228,-1,0),"")))</f>
        <v/>
      </c>
      <c r="BA316" s="403" t="str">
        <f ca="1">IF(SUM($G316:AZ316)&gt;=1,"",IF(BA314=0,"",IF(SUM($G314:BA314)&gt;=1,OFFSET(BA$228,-1,0),"")))</f>
        <v/>
      </c>
      <c r="BB316" s="403" t="str">
        <f ca="1">IF(SUM($G316:BA316)&gt;=1,"",IF(BB314=0,"",IF(SUM($G314:BB314)&gt;=1,OFFSET(BB$228,-1,0),"")))</f>
        <v/>
      </c>
      <c r="BC316" s="403" t="str">
        <f ca="1">IF(SUM($G316:BB316)&gt;=1,"",IF(BC314=0,"",IF(SUM($G314:BC314)&gt;=1,OFFSET(BC$228,-1,0),"")))</f>
        <v/>
      </c>
      <c r="BD316" s="403" t="str">
        <f ca="1">IF(SUM($G316:BC316)&gt;=1,"",IF(BD314=0,"",IF(SUM($G314:BD314)&gt;=1,OFFSET(BD$228,-1,0),"")))</f>
        <v/>
      </c>
      <c r="BE316" s="403" t="str">
        <f ca="1">IF(SUM($G316:BD316)&gt;=1,"",IF(BE314=0,"",IF(SUM($G314:BE314)&gt;=1,OFFSET(BE$228,-1,0),"")))</f>
        <v/>
      </c>
      <c r="BF316" s="403" t="str">
        <f ca="1">IF(SUM($G316:BE316)&gt;=1,"",IF(BF314=0,"",IF(SUM($G314:BF314)&gt;=1,OFFSET(BF$228,-1,0),"")))</f>
        <v/>
      </c>
      <c r="BG316" s="403" t="str">
        <f ca="1">IF(SUM($G316:BF316)&gt;=1,"",IF(BG314=0,"",IF(SUM($G314:BG314)&gt;=1,OFFSET(BG$228,-1,0),"")))</f>
        <v/>
      </c>
      <c r="BH316" s="403" t="str">
        <f ca="1">IF(SUM($G316:BG316)&gt;=1,"",IF(BH314=0,"",IF(SUM($G314:BH314)&gt;=1,OFFSET(BH$228,-1,0),"")))</f>
        <v/>
      </c>
      <c r="BI316" s="403" t="str">
        <f ca="1">IF(SUM($G316:BH316)&gt;=1,"",IF(BI314=0,"",IF(SUM($G314:BI314)&gt;=1,OFFSET(BI$228,-1,0),"")))</f>
        <v/>
      </c>
      <c r="BJ316" s="403" t="str">
        <f ca="1">IF(SUM($G316:BI316)&gt;=1,"",IF(BJ314=0,"",IF(SUM($G314:BJ314)&gt;=1,OFFSET(BJ$228,-1,0),"")))</f>
        <v/>
      </c>
      <c r="BK316" s="403" t="str">
        <f ca="1">IF(SUM($G316:BJ316)&gt;=1,"",IF(BK314=0,"",IF(SUM($G314:BK314)&gt;=1,OFFSET(BK$228,-1,0),"")))</f>
        <v/>
      </c>
      <c r="BL316" s="403" t="str">
        <f ca="1">IF(SUM($G316:BK316)&gt;=1,"",IF(BL314=0,"",IF(SUM($G314:BL314)&gt;=1,OFFSET(BL$228,-1,0),"")))</f>
        <v/>
      </c>
      <c r="BM316" s="403" t="str">
        <f ca="1">IF(SUM($G316:BL316)&gt;=1,"",IF(BM314=0,"",IF(SUM($G314:BM314)&gt;=1,OFFSET(BM$228,-1,0),"")))</f>
        <v/>
      </c>
      <c r="BN316" s="403" t="str">
        <f ca="1">IF(SUM($G316:BM316)&gt;=1,"",IF(BN314=0,"",IF(SUM($G314:BN314)&gt;=1,OFFSET(BN$228,-1,0),"")))</f>
        <v/>
      </c>
      <c r="BO316" s="403" t="str">
        <f ca="1">IF(SUM($G316:BN316)&gt;=1,"",IF(BO314=0,"",IF(SUM($G314:BO314)&gt;=1,OFFSET(BO$228,-1,0),"")))</f>
        <v/>
      </c>
      <c r="BP316" s="403" t="str">
        <f ca="1">IF(SUM($G316:BO316)&gt;=1,"",IF(BP314=0,"",IF(SUM($G314:BP314)&gt;=1,OFFSET(BP$228,-1,0),"")))</f>
        <v/>
      </c>
      <c r="BQ316" s="403" t="str">
        <f ca="1">IF(SUM($G316:BP316)&gt;=1,"",IF(BQ314=0,"",IF(SUM($G314:BQ314)&gt;=1,OFFSET(BQ$228,-1,0),"")))</f>
        <v/>
      </c>
      <c r="BR316" s="403" t="str">
        <f ca="1">IF(SUM($G316:BQ316)&gt;=1,"",IF(BR314=0,"",IF(SUM($G314:BR314)&gt;=1,OFFSET(BR$228,-1,0),"")))</f>
        <v/>
      </c>
      <c r="BS316" s="403" t="str">
        <f ca="1">IF(SUM($G316:BR316)&gt;=1,"",IF(BS314=0,"",IF(SUM($G314:BS314)&gt;=1,OFFSET(BS$228,-1,0),"")))</f>
        <v/>
      </c>
      <c r="BT316" s="403" t="str">
        <f ca="1">IF(SUM($G316:BS316)&gt;=1,"",IF(BT314=0,"",IF(SUM($G314:BT314)&gt;=1,OFFSET(BT$228,-1,0),"")))</f>
        <v/>
      </c>
      <c r="BU316" s="403" t="str">
        <f ca="1">IF(SUM($G316:BT316)&gt;=1,"",IF(BU314=0,"",IF(SUM($G314:BU314)&gt;=1,OFFSET(BU$228,-1,0),"")))</f>
        <v/>
      </c>
      <c r="BV316" s="403" t="str">
        <f ca="1">IF(SUM($G316:BU316)&gt;=1,"",IF(BV314=0,"",IF(SUM($G314:BV314)&gt;=1,OFFSET(BV$228,-1,0),"")))</f>
        <v/>
      </c>
      <c r="BW316" s="403" t="str">
        <f ca="1">IF(SUM($G316:BV316)&gt;=1,"",IF(BW314=0,"",IF(SUM($G314:BW314)&gt;=1,OFFSET(BW$228,-1,0),"")))</f>
        <v/>
      </c>
      <c r="BX316" s="403" t="str">
        <f ca="1">IF(SUM($G316:BW316)&gt;=1,"",IF(BX314=0,"",IF(SUM($G314:BX314)&gt;=1,OFFSET(BX$228,-1,0),"")))</f>
        <v/>
      </c>
      <c r="BY316" s="403" t="str">
        <f ca="1">IF(SUM($G316:BX316)&gt;=1,"",IF(BY314=0,"",IF(SUM($G314:BY314)&gt;=1,OFFSET(BY$228,-1,0),"")))</f>
        <v/>
      </c>
      <c r="BZ316" s="403" t="str">
        <f ca="1">IF(SUM($G316:BY316)&gt;=1,"",IF(BZ314=0,"",IF(SUM($G314:BZ314)&gt;=1,OFFSET(BZ$228,-1,0),"")))</f>
        <v/>
      </c>
      <c r="CA316" s="403" t="str">
        <f ca="1">IF(SUM($G316:BZ316)&gt;=1,"",IF(CA314=0,"",IF(SUM($G314:CA314)&gt;=1,OFFSET(CA$228,-1,0),"")))</f>
        <v/>
      </c>
      <c r="CB316" s="403" t="str">
        <f ca="1">IF(SUM($G316:CA316)&gt;=1,"",IF(CB314=0,"",IF(SUM($G314:CB314)&gt;=1,OFFSET(CB$228,-1,0),"")))</f>
        <v/>
      </c>
      <c r="CC316" s="403" t="str">
        <f ca="1">IF(SUM($G316:CB316)&gt;=1,"",IF(CC314=0,"",IF(SUM($G314:CC314)&gt;=1,OFFSET(CC$228,-1,0),"")))</f>
        <v/>
      </c>
      <c r="CD316" s="403" t="str">
        <f ca="1">IF(SUM($G316:CC316)&gt;=1,"",IF(CD314=0,"",IF(SUM($G314:CD314)&gt;=1,OFFSET(CD$228,-1,0),"")))</f>
        <v/>
      </c>
      <c r="CE316" s="403" t="str">
        <f ca="1">IF(SUM($G316:CD316)&gt;=1,"",IF(CE314=0,"",IF(SUM($G314:CE314)&gt;=1,OFFSET(CE$228,-1,0),"")))</f>
        <v/>
      </c>
      <c r="CF316" s="403" t="str">
        <f ca="1">IF(SUM($G316:CE316)&gt;=1,"",IF(CF314=0,"",IF(SUM($G314:CF314)&gt;=1,OFFSET(CF$228,-1,0),"")))</f>
        <v/>
      </c>
      <c r="CG316" s="403" t="str">
        <f ca="1">IF(SUM($G316:CF316)&gt;=1,"",IF(CG314=0,"",IF(SUM($G314:CG314)&gt;=1,OFFSET(CG$228,-1,0),"")))</f>
        <v/>
      </c>
      <c r="CH316" s="403" t="str">
        <f ca="1">IF(SUM($G316:CG316)&gt;=1,"",IF(CH314=0,"",IF(SUM($G314:CH314)&gt;=1,OFFSET(CH$228,-1,0),"")))</f>
        <v/>
      </c>
      <c r="CI316" s="403" t="str">
        <f ca="1">IF(SUM($G316:CH316)&gt;=1,"",IF(CI314=0,"",IF(SUM($G314:CI314)&gt;=1,OFFSET(CI$228,-1,0),"")))</f>
        <v/>
      </c>
      <c r="CJ316" s="403" t="str">
        <f ca="1">IF(SUM($G316:CI316)&gt;=1,"",IF(CJ314=0,"",IF(SUM($G314:CJ314)&gt;=1,OFFSET(CJ$228,-1,0),"")))</f>
        <v/>
      </c>
      <c r="CK316" s="403" t="str">
        <f ca="1">IF(SUM($G316:CJ316)&gt;=1,"",IF(CK314=0,"",IF(SUM($G314:CK314)&gt;=1,OFFSET(CK$228,-1,0),"")))</f>
        <v/>
      </c>
      <c r="CL316" s="403" t="str">
        <f ca="1">IF(SUM($G316:CK316)&gt;=1,"",IF(CL314=0,"",IF(SUM($G314:CL314)&gt;=1,OFFSET(CL$228,-1,0),"")))</f>
        <v/>
      </c>
      <c r="CM316" s="403" t="str">
        <f ca="1">IF(SUM($G316:CL316)&gt;=1,"",IF(CM314=0,"",IF(SUM($G314:CM314)&gt;=1,OFFSET(CM$228,-1,0),"")))</f>
        <v/>
      </c>
      <c r="CN316" s="403" t="str">
        <f ca="1">IF(SUM($G316:CM316)&gt;=1,"",IF(CN314=0,"",IF(SUM($G314:CN314)&gt;=1,OFFSET(CN$228,-1,0),"")))</f>
        <v/>
      </c>
      <c r="CO316" s="403" t="str">
        <f ca="1">IF(SUM($G316:CN316)&gt;=1,"",IF(CO314=0,"",IF(SUM($G314:CO314)&gt;=1,OFFSET(CO$228,-1,0),"")))</f>
        <v/>
      </c>
      <c r="CP316" s="403" t="str">
        <f ca="1">IF(SUM($G316:CO316)&gt;=1,"",IF(CP314=0,"",IF(SUM($G314:CP314)&gt;=1,OFFSET(CP$228,-1,0),"")))</f>
        <v/>
      </c>
      <c r="CQ316" s="403" t="str">
        <f ca="1">IF(SUM($G316:CP316)&gt;=1,"",IF(CQ314=0,"",IF(SUM($G314:CQ314)&gt;=1,OFFSET(CQ$228,-1,0),"")))</f>
        <v/>
      </c>
      <c r="CR316" s="403" t="str">
        <f ca="1">IF(SUM($G316:CQ316)&gt;=1,"",IF(CR314=0,"",IF(SUM($G314:CR314)&gt;=1,OFFSET(CR$228,-1,0),"")))</f>
        <v/>
      </c>
      <c r="CS316" s="403" t="str">
        <f ca="1">IF(SUM($G316:CR316)&gt;=1,"",IF(CS314=0,"",IF(SUM($G314:CS314)&gt;=1,OFFSET(CS$228,-1,0),"")))</f>
        <v/>
      </c>
      <c r="CT316" s="403" t="str">
        <f ca="1">IF(SUM($G316:CS316)&gt;=1,"",IF(CT314=0,"",IF(SUM($G314:CT314)&gt;=1,OFFSET(CT$228,-1,0),"")))</f>
        <v/>
      </c>
      <c r="CU316" s="403" t="str">
        <f ca="1">IF(SUM($G316:CT316)&gt;=1,"",IF(CU314=0,"",IF(SUM($G314:CU314)&gt;=1,OFFSET(CU$228,-1,0),"")))</f>
        <v/>
      </c>
      <c r="CV316" s="403" t="str">
        <f ca="1">IF(SUM($G316:CU316)&gt;=1,"",IF(CV314=0,"",IF(SUM($G314:CV314)&gt;=1,OFFSET(CV$228,-1,0),"")))</f>
        <v/>
      </c>
      <c r="CW316" s="403" t="str">
        <f ca="1">IF(SUM($G316:CV316)&gt;=1,"",IF(CW314=0,"",IF(SUM($G314:CW314)&gt;=1,OFFSET(CW$228,-1,0),"")))</f>
        <v/>
      </c>
      <c r="CX316" s="403" t="str">
        <f ca="1">IF(SUM($G316:CW316)&gt;=1,"",IF(CX314=0,"",IF(SUM($G314:CX314)&gt;=1,OFFSET(CX$228,-1,0),"")))</f>
        <v/>
      </c>
      <c r="CY316" s="403" t="str">
        <f ca="1">IF(SUM($G316:CX316)&gt;=1,"",IF(CY314=0,"",IF(SUM($G314:CY314)&gt;=1,OFFSET(CY$228,-1,0),"")))</f>
        <v/>
      </c>
      <c r="CZ316" s="403" t="str">
        <f ca="1">IF(SUM($G316:CY316)&gt;=1,"",IF(CZ314=0,"",IF(SUM($G314:CZ314)&gt;=1,OFFSET(CZ$228,-1,0),"")))</f>
        <v/>
      </c>
      <c r="DA316" s="403" t="str">
        <f ca="1">IF(SUM($G316:CZ316)&gt;=1,"",IF(DA314=0,"",IF(SUM($G314:DA314)&gt;=1,OFFSET(DA$228,-1,0),"")))</f>
        <v/>
      </c>
      <c r="DB316" s="403" t="str">
        <f ca="1">IF(SUM($G316:DA316)&gt;=1,"",IF(DB314=0,"",IF(SUM($G314:DB314)&gt;=1,OFFSET(DB$228,-1,0),"")))</f>
        <v/>
      </c>
      <c r="DC316" s="403" t="str">
        <f ca="1">IF(SUM($G316:DB316)&gt;=1,"",IF(DC314=0,"",IF(SUM($G314:DC314)&gt;=1,OFFSET(DC$228,-1,0),"")))</f>
        <v/>
      </c>
      <c r="DD316" s="403" t="str">
        <f ca="1">IF(SUM($G316:DC316)&gt;=1,"",IF(DD314=0,"",IF(SUM($G314:DD314)&gt;=1,OFFSET(DD$228,-1,0),"")))</f>
        <v/>
      </c>
      <c r="DE316" s="403" t="str">
        <f ca="1">IF(SUM($G316:DD316)&gt;=1,"",IF(DE314=0,"",IF(SUM($G314:DE314)&gt;=1,OFFSET(DE$228,-1,0),"")))</f>
        <v/>
      </c>
      <c r="DF316" s="403" t="str">
        <f ca="1">IF(SUM($G316:DE316)&gt;=1,"",IF(DF314=0,"",IF(SUM($G314:DF314)&gt;=1,OFFSET(DF$228,-1,0),"")))</f>
        <v/>
      </c>
      <c r="DG316" s="403" t="str">
        <f ca="1">IF(SUM($G316:DF316)&gt;=1,"",IF(DG314=0,"",IF(SUM($G314:DG314)&gt;=1,OFFSET(DG$228,-1,0),"")))</f>
        <v/>
      </c>
      <c r="DH316" s="403" t="str">
        <f ca="1">IF(SUM($G316:DG316)&gt;=1,"",IF(DH314=0,"",IF(SUM($G314:DH314)&gt;=1,OFFSET(DH$228,-1,0),"")))</f>
        <v/>
      </c>
      <c r="DI316" s="403" t="str">
        <f ca="1">IF(SUM($G316:DH316)&gt;=1,"",IF(DI314=0,"",IF(SUM($G314:DI314)&gt;=1,OFFSET(DI$228,-1,0),"")))</f>
        <v/>
      </c>
      <c r="DJ316" s="403" t="str">
        <f ca="1">IF(SUM($G316:DI316)&gt;=1,"",IF(DJ314=0,"",IF(SUM($G314:DJ314)&gt;=1,OFFSET(DJ$228,-1,0),"")))</f>
        <v/>
      </c>
      <c r="DK316" s="403" t="str">
        <f ca="1">IF(SUM($G316:DJ316)&gt;=1,"",IF(DK314=0,"",IF(SUM($G314:DK314)&gt;=1,OFFSET(DK$228,-1,0),"")))</f>
        <v/>
      </c>
      <c r="DL316" s="403" t="str">
        <f ca="1">IF(SUM($G316:DK316)&gt;=1,"",IF(DL314=0,"",IF(SUM($G314:DL314)&gt;=1,OFFSET(DL$228,-1,0),"")))</f>
        <v/>
      </c>
      <c r="DM316" s="403" t="str">
        <f ca="1">IF(SUM($G316:DL316)&gt;=1,"",IF(DM314=0,"",IF(SUM($G314:DM314)&gt;=1,OFFSET(DM$228,-1,0),"")))</f>
        <v/>
      </c>
      <c r="DN316" s="403" t="str">
        <f ca="1">IF(SUM($G316:DM316)&gt;=1,"",IF(DN314=0,"",IF(SUM($G314:DN314)&gt;=1,OFFSET(DN$228,-1,0),"")))</f>
        <v/>
      </c>
      <c r="DO316" s="403" t="str">
        <f ca="1">IF(SUM($G316:DN316)&gt;=1,"",IF(DO314=0,"",IF(SUM($G314:DO314)&gt;=1,OFFSET(DO$228,-1,0),"")))</f>
        <v/>
      </c>
      <c r="DP316" s="403" t="str">
        <f ca="1">IF(SUM($G316:DO316)&gt;=1,"",IF(DP314=0,"",IF(SUM($G314:DP314)&gt;=1,OFFSET(DP$228,-1,0),"")))</f>
        <v/>
      </c>
      <c r="DQ316" s="403" t="str">
        <f ca="1">IF(SUM($G316:DP316)&gt;=1,"",IF(DQ314=0,"",IF(SUM($G314:DQ314)&gt;=1,OFFSET(DQ$228,-1,0),"")))</f>
        <v/>
      </c>
      <c r="DR316" s="403" t="str">
        <f ca="1">IF(SUM($G316:DQ316)&gt;=1,"",IF(DR314=0,"",IF(SUM($G314:DR314)&gt;=1,OFFSET(DR$228,-1,0),"")))</f>
        <v/>
      </c>
      <c r="DS316" s="403" t="str">
        <f ca="1">IF(SUM($G316:DR316)&gt;=1,"",IF(DS314=0,"",IF(SUM($G314:DS314)&gt;=1,OFFSET(DS$228,-1,0),"")))</f>
        <v/>
      </c>
      <c r="DT316" s="403" t="str">
        <f ca="1">IF(SUM($G316:DS316)&gt;=1,"",IF(DT314=0,"",IF(SUM($G314:DT314)&gt;=1,OFFSET(DT$228,-1,0),"")))</f>
        <v/>
      </c>
      <c r="DU316" s="403" t="str">
        <f ca="1">IF(SUM($G316:DT316)&gt;=1,"",IF(DU314=0,"",IF(SUM($G314:DU314)&gt;=1,OFFSET(DU$228,-1,0),"")))</f>
        <v/>
      </c>
      <c r="DV316" s="403" t="str">
        <f ca="1">IF(SUM($G316:DU316)&gt;=1,"",IF(DV314=0,"",IF(SUM($G314:DV314)&gt;=1,OFFSET(DV$228,-1,0),"")))</f>
        <v/>
      </c>
      <c r="DW316" s="403" t="str">
        <f ca="1">IF(SUM($G316:DV316)&gt;=1,"",IF(DW314=0,"",IF(SUM($G314:DW314)&gt;=1,OFFSET(DW$228,-1,0),"")))</f>
        <v/>
      </c>
      <c r="DX316" s="403" t="str">
        <f ca="1">IF(SUM($G316:DW316)&gt;=1,"",IF(DX314=0,"",IF(SUM($G314:DX314)&gt;=1,OFFSET(DX$228,-1,0),"")))</f>
        <v/>
      </c>
      <c r="DY316" s="403" t="str">
        <f ca="1">IF(SUM($G316:DX316)&gt;=1,"",IF(DY314=0,"",IF(SUM($G314:DY314)&gt;=1,OFFSET(DY$228,-1,0),"")))</f>
        <v/>
      </c>
      <c r="DZ316" s="403" t="str">
        <f ca="1">IF(SUM($G316:DY316)&gt;=1,"",IF(DZ314=0,"",IF(SUM($G314:DZ314)&gt;=1,OFFSET(DZ$228,-1,0),"")))</f>
        <v/>
      </c>
      <c r="EA316" s="403" t="str">
        <f ca="1">IF(SUM($G316:DZ316)&gt;=1,"",IF(EA314=0,"",IF(SUM($G314:EA314)&gt;=1,OFFSET(EA$228,-1,0),"")))</f>
        <v/>
      </c>
      <c r="EB316" s="403" t="str">
        <f ca="1">IF(SUM($G316:EA316)&gt;=1,"",IF(EB314=0,"",IF(SUM($G314:EB314)&gt;=1,OFFSET(EB$228,-1,0),"")))</f>
        <v/>
      </c>
      <c r="EC316" s="403" t="str">
        <f ca="1">IF(SUM($G316:EB316)&gt;=1,"",IF(EC314=0,"",IF(SUM($G314:EC314)&gt;=1,OFFSET(EC$228,-1,0),"")))</f>
        <v/>
      </c>
      <c r="ED316" s="403" t="str">
        <f ca="1">IF(SUM($G316:EC316)&gt;=1,"",IF(ED314=0,"",IF(SUM($G314:ED314)&gt;=1,OFFSET(ED$228,-1,0),"")))</f>
        <v/>
      </c>
      <c r="EE316" s="403" t="str">
        <f ca="1">IF(SUM($G316:ED316)&gt;=1,"",IF(EE314=0,"",IF(SUM($G314:EE314)&gt;=1,OFFSET(EE$228,-1,0),"")))</f>
        <v/>
      </c>
      <c r="EF316" s="403" t="str">
        <f ca="1">IF(SUM($G316:EE316)&gt;=1,"",IF(EF314=0,"",IF(SUM($G314:EF314)&gt;=1,OFFSET(EF$228,-1,0),"")))</f>
        <v/>
      </c>
      <c r="EG316" s="403" t="str">
        <f ca="1">IF(SUM($G316:EF316)&gt;=1,"",IF(EG314=0,"",IF(SUM($G314:EG314)&gt;=1,OFFSET(EG$228,-1,0),"")))</f>
        <v/>
      </c>
      <c r="EH316" s="403" t="str">
        <f ca="1">IF(SUM($G316:EG316)&gt;=1,"",IF(EH314=0,"",IF(SUM($G314:EH314)&gt;=1,OFFSET(EH$228,-1,0),"")))</f>
        <v/>
      </c>
      <c r="EI316" s="403" t="str">
        <f ca="1">IF(SUM($G316:EH316)&gt;=1,"",IF(EI314=0,"",IF(SUM($G314:EI314)&gt;=1,OFFSET(EI$228,-1,0),"")))</f>
        <v/>
      </c>
    </row>
    <row r="317" spans="1:141" hidden="1" outlineLevel="2">
      <c r="A317" s="332"/>
      <c r="D317" s="305" t="s">
        <v>671</v>
      </c>
      <c r="E317" s="1002">
        <f ca="1">IF(E314=0,"",MIN(G317:EI317))</f>
        <v>46290.95</v>
      </c>
      <c r="F317" s="1003"/>
      <c r="G317" s="403" t="str">
        <f>IF(G314=0,"",IF(G314=G$3,G316,G$5+H$5-G318-1))</f>
        <v/>
      </c>
      <c r="H317" s="403" t="str">
        <f ca="1">IF(H314=0,"",IF(H314=H$3,H316,H$5+I$5-H318-1))</f>
        <v/>
      </c>
      <c r="I317" s="403" t="str">
        <f t="shared" ref="I317:BT317" ca="1" si="509">IF(I314=0,"",IF(I314=I$3,I316,I$5+J$5-I318-1))</f>
        <v/>
      </c>
      <c r="J317" s="403" t="str">
        <f t="shared" ca="1" si="509"/>
        <v/>
      </c>
      <c r="K317" s="403" t="str">
        <f t="shared" ca="1" si="509"/>
        <v/>
      </c>
      <c r="L317" s="403" t="str">
        <f t="shared" ca="1" si="509"/>
        <v/>
      </c>
      <c r="M317" s="403" t="str">
        <f t="shared" ca="1" si="509"/>
        <v/>
      </c>
      <c r="N317" s="403" t="str">
        <f t="shared" ca="1" si="509"/>
        <v/>
      </c>
      <c r="O317" s="403" t="str">
        <f t="shared" ca="1" si="509"/>
        <v/>
      </c>
      <c r="P317" s="403" t="str">
        <f t="shared" ca="1" si="509"/>
        <v/>
      </c>
      <c r="Q317" s="403" t="str">
        <f t="shared" ca="1" si="509"/>
        <v/>
      </c>
      <c r="R317" s="403" t="str">
        <f t="shared" ca="1" si="509"/>
        <v/>
      </c>
      <c r="S317" s="403" t="str">
        <f t="shared" ca="1" si="509"/>
        <v/>
      </c>
      <c r="T317" s="403" t="str">
        <f t="shared" ca="1" si="509"/>
        <v/>
      </c>
      <c r="U317" s="403" t="str">
        <f t="shared" ca="1" si="509"/>
        <v/>
      </c>
      <c r="V317" s="403" t="str">
        <f t="shared" ca="1" si="509"/>
        <v/>
      </c>
      <c r="W317" s="403" t="str">
        <f t="shared" ca="1" si="509"/>
        <v/>
      </c>
      <c r="X317" s="403" t="str">
        <f t="shared" ca="1" si="509"/>
        <v/>
      </c>
      <c r="Y317" s="403" t="str">
        <f t="shared" ca="1" si="509"/>
        <v/>
      </c>
      <c r="Z317" s="403" t="str">
        <f t="shared" ca="1" si="509"/>
        <v/>
      </c>
      <c r="AA317" s="403" t="str">
        <f t="shared" ca="1" si="509"/>
        <v/>
      </c>
      <c r="AB317" s="403" t="str">
        <f t="shared" ca="1" si="509"/>
        <v/>
      </c>
      <c r="AC317" s="403" t="str">
        <f t="shared" ca="1" si="509"/>
        <v/>
      </c>
      <c r="AD317" s="403" t="str">
        <f t="shared" ca="1" si="509"/>
        <v/>
      </c>
      <c r="AE317" s="403" t="str">
        <f t="shared" ca="1" si="509"/>
        <v/>
      </c>
      <c r="AF317" s="403" t="str">
        <f t="shared" ca="1" si="509"/>
        <v/>
      </c>
      <c r="AG317" s="403" t="str">
        <f t="shared" ca="1" si="509"/>
        <v/>
      </c>
      <c r="AH317" s="403" t="str">
        <f t="shared" ca="1" si="509"/>
        <v/>
      </c>
      <c r="AI317" s="403" t="str">
        <f t="shared" ca="1" si="509"/>
        <v/>
      </c>
      <c r="AJ317" s="403" t="str">
        <f t="shared" ca="1" si="509"/>
        <v/>
      </c>
      <c r="AK317" s="403" t="str">
        <f t="shared" ca="1" si="509"/>
        <v/>
      </c>
      <c r="AL317" s="403" t="str">
        <f t="shared" ca="1" si="509"/>
        <v/>
      </c>
      <c r="AM317" s="403" t="str">
        <f t="shared" ca="1" si="509"/>
        <v/>
      </c>
      <c r="AN317" s="403" t="str">
        <f t="shared" ca="1" si="509"/>
        <v/>
      </c>
      <c r="AO317" s="403" t="str">
        <f t="shared" ca="1" si="509"/>
        <v/>
      </c>
      <c r="AP317" s="403" t="str">
        <f t="shared" ca="1" si="509"/>
        <v/>
      </c>
      <c r="AQ317" s="403" t="str">
        <f t="shared" ca="1" si="509"/>
        <v/>
      </c>
      <c r="AR317" s="403" t="str">
        <f t="shared" ca="1" si="509"/>
        <v/>
      </c>
      <c r="AS317" s="403" t="str">
        <f t="shared" ca="1" si="509"/>
        <v/>
      </c>
      <c r="AT317" s="403" t="str">
        <f t="shared" ca="1" si="509"/>
        <v/>
      </c>
      <c r="AU317" s="403" t="str">
        <f t="shared" ca="1" si="509"/>
        <v/>
      </c>
      <c r="AV317" s="403" t="str">
        <f t="shared" ca="1" si="509"/>
        <v/>
      </c>
      <c r="AW317" s="403">
        <f t="shared" ca="1" si="509"/>
        <v>46290.95</v>
      </c>
      <c r="AX317" s="403" t="str">
        <f t="shared" ca="1" si="509"/>
        <v/>
      </c>
      <c r="AY317" s="403">
        <f t="shared" ca="1" si="509"/>
        <v>46333.05</v>
      </c>
      <c r="AZ317" s="403" t="str">
        <f t="shared" ca="1" si="509"/>
        <v/>
      </c>
      <c r="BA317" s="403" t="str">
        <f t="shared" ca="1" si="509"/>
        <v/>
      </c>
      <c r="BB317" s="403" t="str">
        <f t="shared" ca="1" si="509"/>
        <v/>
      </c>
      <c r="BC317" s="403" t="str">
        <f t="shared" ca="1" si="509"/>
        <v/>
      </c>
      <c r="BD317" s="403" t="str">
        <f t="shared" ca="1" si="509"/>
        <v/>
      </c>
      <c r="BE317" s="403" t="str">
        <f t="shared" ca="1" si="509"/>
        <v/>
      </c>
      <c r="BF317" s="403" t="str">
        <f t="shared" ca="1" si="509"/>
        <v/>
      </c>
      <c r="BG317" s="403" t="str">
        <f t="shared" ca="1" si="509"/>
        <v/>
      </c>
      <c r="BH317" s="403" t="str">
        <f t="shared" ca="1" si="509"/>
        <v/>
      </c>
      <c r="BI317" s="403" t="str">
        <f t="shared" ca="1" si="509"/>
        <v/>
      </c>
      <c r="BJ317" s="403" t="str">
        <f t="shared" ca="1" si="509"/>
        <v/>
      </c>
      <c r="BK317" s="403" t="str">
        <f t="shared" ca="1" si="509"/>
        <v/>
      </c>
      <c r="BL317" s="403" t="str">
        <f t="shared" ca="1" si="509"/>
        <v/>
      </c>
      <c r="BM317" s="403" t="str">
        <f t="shared" ca="1" si="509"/>
        <v/>
      </c>
      <c r="BN317" s="403" t="str">
        <f t="shared" ca="1" si="509"/>
        <v/>
      </c>
      <c r="BO317" s="403" t="str">
        <f t="shared" ca="1" si="509"/>
        <v/>
      </c>
      <c r="BP317" s="403" t="str">
        <f t="shared" ca="1" si="509"/>
        <v/>
      </c>
      <c r="BQ317" s="403" t="str">
        <f t="shared" ca="1" si="509"/>
        <v/>
      </c>
      <c r="BR317" s="403" t="str">
        <f t="shared" ca="1" si="509"/>
        <v/>
      </c>
      <c r="BS317" s="403" t="str">
        <f t="shared" ca="1" si="509"/>
        <v/>
      </c>
      <c r="BT317" s="403" t="str">
        <f t="shared" ca="1" si="509"/>
        <v/>
      </c>
      <c r="BU317" s="403" t="str">
        <f t="shared" ref="BU317:EF317" ca="1" si="510">IF(BU314=0,"",IF(BU314=BU$3,BU316,BU$5+BV$5-BU318-1))</f>
        <v/>
      </c>
      <c r="BV317" s="403" t="str">
        <f t="shared" ca="1" si="510"/>
        <v/>
      </c>
      <c r="BW317" s="403" t="str">
        <f t="shared" ca="1" si="510"/>
        <v/>
      </c>
      <c r="BX317" s="403" t="str">
        <f t="shared" ca="1" si="510"/>
        <v/>
      </c>
      <c r="BY317" s="403" t="str">
        <f t="shared" ca="1" si="510"/>
        <v/>
      </c>
      <c r="BZ317" s="403" t="str">
        <f t="shared" ca="1" si="510"/>
        <v/>
      </c>
      <c r="CA317" s="403" t="str">
        <f t="shared" ca="1" si="510"/>
        <v/>
      </c>
      <c r="CB317" s="403" t="str">
        <f t="shared" ca="1" si="510"/>
        <v/>
      </c>
      <c r="CC317" s="403" t="str">
        <f t="shared" ca="1" si="510"/>
        <v/>
      </c>
      <c r="CD317" s="403" t="str">
        <f t="shared" ca="1" si="510"/>
        <v/>
      </c>
      <c r="CE317" s="403" t="str">
        <f t="shared" ca="1" si="510"/>
        <v/>
      </c>
      <c r="CF317" s="403" t="str">
        <f t="shared" ca="1" si="510"/>
        <v/>
      </c>
      <c r="CG317" s="403" t="str">
        <f t="shared" ca="1" si="510"/>
        <v/>
      </c>
      <c r="CH317" s="403" t="str">
        <f t="shared" ca="1" si="510"/>
        <v/>
      </c>
      <c r="CI317" s="403" t="str">
        <f t="shared" ca="1" si="510"/>
        <v/>
      </c>
      <c r="CJ317" s="403" t="str">
        <f t="shared" ca="1" si="510"/>
        <v/>
      </c>
      <c r="CK317" s="403" t="str">
        <f t="shared" ca="1" si="510"/>
        <v/>
      </c>
      <c r="CL317" s="403" t="str">
        <f t="shared" ca="1" si="510"/>
        <v/>
      </c>
      <c r="CM317" s="403" t="str">
        <f t="shared" ca="1" si="510"/>
        <v/>
      </c>
      <c r="CN317" s="403" t="str">
        <f t="shared" ca="1" si="510"/>
        <v/>
      </c>
      <c r="CO317" s="403" t="str">
        <f t="shared" ca="1" si="510"/>
        <v/>
      </c>
      <c r="CP317" s="403" t="str">
        <f t="shared" ca="1" si="510"/>
        <v/>
      </c>
      <c r="CQ317" s="403" t="str">
        <f t="shared" ca="1" si="510"/>
        <v/>
      </c>
      <c r="CR317" s="403" t="str">
        <f t="shared" ca="1" si="510"/>
        <v/>
      </c>
      <c r="CS317" s="403" t="str">
        <f t="shared" ca="1" si="510"/>
        <v/>
      </c>
      <c r="CT317" s="403" t="str">
        <f t="shared" ca="1" si="510"/>
        <v/>
      </c>
      <c r="CU317" s="403" t="str">
        <f t="shared" ca="1" si="510"/>
        <v/>
      </c>
      <c r="CV317" s="403" t="str">
        <f t="shared" ca="1" si="510"/>
        <v/>
      </c>
      <c r="CW317" s="403" t="str">
        <f t="shared" ca="1" si="510"/>
        <v/>
      </c>
      <c r="CX317" s="403" t="str">
        <f t="shared" ca="1" si="510"/>
        <v/>
      </c>
      <c r="CY317" s="403" t="str">
        <f t="shared" ca="1" si="510"/>
        <v/>
      </c>
      <c r="CZ317" s="403" t="str">
        <f t="shared" ca="1" si="510"/>
        <v/>
      </c>
      <c r="DA317" s="403" t="str">
        <f t="shared" ca="1" si="510"/>
        <v/>
      </c>
      <c r="DB317" s="403" t="str">
        <f t="shared" ca="1" si="510"/>
        <v/>
      </c>
      <c r="DC317" s="403" t="str">
        <f t="shared" ca="1" si="510"/>
        <v/>
      </c>
      <c r="DD317" s="403" t="str">
        <f t="shared" ca="1" si="510"/>
        <v/>
      </c>
      <c r="DE317" s="403" t="str">
        <f t="shared" ca="1" si="510"/>
        <v/>
      </c>
      <c r="DF317" s="403" t="str">
        <f t="shared" ca="1" si="510"/>
        <v/>
      </c>
      <c r="DG317" s="403" t="str">
        <f t="shared" ca="1" si="510"/>
        <v/>
      </c>
      <c r="DH317" s="403" t="str">
        <f t="shared" ca="1" si="510"/>
        <v/>
      </c>
      <c r="DI317" s="403" t="str">
        <f t="shared" ca="1" si="510"/>
        <v/>
      </c>
      <c r="DJ317" s="403" t="str">
        <f t="shared" ca="1" si="510"/>
        <v/>
      </c>
      <c r="DK317" s="403" t="str">
        <f t="shared" ca="1" si="510"/>
        <v/>
      </c>
      <c r="DL317" s="403" t="str">
        <f t="shared" ca="1" si="510"/>
        <v/>
      </c>
      <c r="DM317" s="403" t="str">
        <f t="shared" ca="1" si="510"/>
        <v/>
      </c>
      <c r="DN317" s="403" t="str">
        <f t="shared" ca="1" si="510"/>
        <v/>
      </c>
      <c r="DO317" s="403" t="str">
        <f t="shared" ca="1" si="510"/>
        <v/>
      </c>
      <c r="DP317" s="403" t="str">
        <f t="shared" ca="1" si="510"/>
        <v/>
      </c>
      <c r="DQ317" s="403" t="str">
        <f t="shared" ca="1" si="510"/>
        <v/>
      </c>
      <c r="DR317" s="403" t="str">
        <f t="shared" ca="1" si="510"/>
        <v/>
      </c>
      <c r="DS317" s="403" t="str">
        <f t="shared" ca="1" si="510"/>
        <v/>
      </c>
      <c r="DT317" s="403" t="str">
        <f t="shared" ca="1" si="510"/>
        <v/>
      </c>
      <c r="DU317" s="403" t="str">
        <f t="shared" ca="1" si="510"/>
        <v/>
      </c>
      <c r="DV317" s="403" t="str">
        <f t="shared" ca="1" si="510"/>
        <v/>
      </c>
      <c r="DW317" s="403" t="str">
        <f t="shared" ca="1" si="510"/>
        <v/>
      </c>
      <c r="DX317" s="403" t="str">
        <f t="shared" ca="1" si="510"/>
        <v/>
      </c>
      <c r="DY317" s="403" t="str">
        <f t="shared" ca="1" si="510"/>
        <v/>
      </c>
      <c r="DZ317" s="403" t="str">
        <f t="shared" ca="1" si="510"/>
        <v/>
      </c>
      <c r="EA317" s="403" t="str">
        <f t="shared" ca="1" si="510"/>
        <v/>
      </c>
      <c r="EB317" s="403" t="str">
        <f t="shared" ca="1" si="510"/>
        <v/>
      </c>
      <c r="EC317" s="403" t="str">
        <f t="shared" ca="1" si="510"/>
        <v/>
      </c>
      <c r="ED317" s="403" t="str">
        <f t="shared" ca="1" si="510"/>
        <v/>
      </c>
      <c r="EE317" s="403" t="str">
        <f t="shared" ca="1" si="510"/>
        <v/>
      </c>
      <c r="EF317" s="403" t="str">
        <f t="shared" ca="1" si="510"/>
        <v/>
      </c>
      <c r="EG317" s="403" t="str">
        <f t="shared" ref="EG317:EI317" ca="1" si="511">IF(EG314=0,"",IF(EG314=EG$3,EG316,EG$5+EH$5-EG318-1))</f>
        <v/>
      </c>
      <c r="EH317" s="403" t="str">
        <f t="shared" ca="1" si="511"/>
        <v/>
      </c>
      <c r="EI317" s="403" t="str">
        <f t="shared" ca="1" si="511"/>
        <v/>
      </c>
    </row>
    <row r="318" spans="1:141" hidden="1" outlineLevel="2">
      <c r="A318" s="332"/>
      <c r="D318" s="305" t="s">
        <v>672</v>
      </c>
      <c r="E318" s="1002">
        <f ca="1">IF(E314=0,"",MAX(G318:EI318))</f>
        <v>46349.95</v>
      </c>
      <c r="F318" s="1003"/>
      <c r="G318" s="403">
        <f ca="1">IF(SUM(G314:$EI314)=0,"",IF(G$227="","",G$227+G314-1))</f>
        <v>44985</v>
      </c>
      <c r="H318" s="403">
        <f ca="1">IF(SUM(H314:$EI314)=0,"",IF(H$227="","",H$227+H314-1))</f>
        <v>45016</v>
      </c>
      <c r="I318" s="403">
        <f ca="1">IF(SUM(I314:$EI314)=0,"",IF(I$227="","",I$227+I314-1))</f>
        <v>45046</v>
      </c>
      <c r="J318" s="403">
        <f ca="1">IF(SUM(J314:$EI314)=0,"",IF(J$227="","",J$227+J314-1))</f>
        <v>45077</v>
      </c>
      <c r="K318" s="403">
        <f ca="1">IF(SUM(K314:$EI314)=0,"",IF(K$227="","",K$227+K314-1))</f>
        <v>45107</v>
      </c>
      <c r="L318" s="403">
        <f ca="1">IF(SUM(L314:$EI314)=0,"",IF(L$227="","",L$227+L314-1))</f>
        <v>45138</v>
      </c>
      <c r="M318" s="403">
        <f ca="1">IF(SUM(M314:$EI314)=0,"",IF(M$227="","",M$227+M314-1))</f>
        <v>45169</v>
      </c>
      <c r="N318" s="403">
        <f ca="1">IF(SUM(N314:$EI314)=0,"",IF(N$227="","",N$227+N314-1))</f>
        <v>45199</v>
      </c>
      <c r="O318" s="403">
        <f ca="1">IF(SUM(O314:$EI314)=0,"",IF(O$227="","",O$227+O314-1))</f>
        <v>45230</v>
      </c>
      <c r="P318" s="403">
        <f ca="1">IF(SUM(P314:$EI314)=0,"",IF(P$227="","",P$227+P314-1))</f>
        <v>45260</v>
      </c>
      <c r="Q318" s="403">
        <f ca="1">IF(SUM(Q314:$EI314)=0,"",IF(Q$227="","",Q$227+Q314-1))</f>
        <v>45291</v>
      </c>
      <c r="R318" s="403">
        <f ca="1">IF(SUM(R314:$EI314)=0,"",IF(R$227="","",R$227+R314-1))</f>
        <v>45322</v>
      </c>
      <c r="S318" s="403">
        <f ca="1">IF(SUM(S314:$EI314)=0,"",IF(S$227="","",S$227+S314-1))</f>
        <v>45351</v>
      </c>
      <c r="T318" s="403">
        <f ca="1">IF(SUM(T314:$EI314)=0,"",IF(T$227="","",T$227+T314-1))</f>
        <v>45382</v>
      </c>
      <c r="U318" s="403">
        <f ca="1">IF(SUM(U314:$EI314)=0,"",IF(U$227="","",U$227+U314-1))</f>
        <v>45412</v>
      </c>
      <c r="V318" s="403">
        <f ca="1">IF(SUM(V314:$EI314)=0,"",IF(V$227="","",V$227+V314-1))</f>
        <v>45443</v>
      </c>
      <c r="W318" s="403">
        <f ca="1">IF(SUM(W314:$EI314)=0,"",IF(W$227="","",W$227+W314-1))</f>
        <v>45473</v>
      </c>
      <c r="X318" s="403">
        <f ca="1">IF(SUM(X314:$EI314)=0,"",IF(X$227="","",X$227+X314-1))</f>
        <v>45504</v>
      </c>
      <c r="Y318" s="403">
        <f ca="1">IF(SUM(Y314:$EI314)=0,"",IF(Y$227="","",Y$227+Y314-1))</f>
        <v>45535</v>
      </c>
      <c r="Z318" s="403">
        <f ca="1">IF(SUM(Z314:$EI314)=0,"",IF(Z$227="","",Z$227+Z314-1))</f>
        <v>45565</v>
      </c>
      <c r="AA318" s="403">
        <f ca="1">IF(SUM(AA314:$EI314)=0,"",IF(AA$227="","",AA$227+AA314-1))</f>
        <v>45596</v>
      </c>
      <c r="AB318" s="403">
        <f ca="1">IF(SUM(AB314:$EI314)=0,"",IF(AB$227="","",AB$227+AB314-1))</f>
        <v>45626</v>
      </c>
      <c r="AC318" s="403">
        <f ca="1">IF(SUM(AC314:$EI314)=0,"",IF(AC$227="","",AC$227+AC314-1))</f>
        <v>45657</v>
      </c>
      <c r="AD318" s="403">
        <f ca="1">IF(SUM(AD314:$EI314)=0,"",IF(AD$227="","",AD$227+AD314-1))</f>
        <v>45688</v>
      </c>
      <c r="AE318" s="403">
        <f ca="1">IF(SUM(AE314:$EI314)=0,"",IF(AE$227="","",AE$227+AE314-1))</f>
        <v>45716</v>
      </c>
      <c r="AF318" s="403">
        <f ca="1">IF(SUM(AF314:$EI314)=0,"",IF(AF$227="","",AF$227+AF314-1))</f>
        <v>45747</v>
      </c>
      <c r="AG318" s="403">
        <f ca="1">IF(SUM(AG314:$EI314)=0,"",IF(AG$227="","",AG$227+AG314-1))</f>
        <v>45777</v>
      </c>
      <c r="AH318" s="403">
        <f ca="1">IF(SUM(AH314:$EI314)=0,"",IF(AH$227="","",AH$227+AH314-1))</f>
        <v>45808</v>
      </c>
      <c r="AI318" s="403">
        <f ca="1">IF(SUM(AI314:$EI314)=0,"",IF(AI$227="","",AI$227+AI314-1))</f>
        <v>45838</v>
      </c>
      <c r="AJ318" s="403">
        <f ca="1">IF(SUM(AJ314:$EI314)=0,"",IF(AJ$227="","",AJ$227+AJ314-1))</f>
        <v>45869</v>
      </c>
      <c r="AK318" s="403">
        <f ca="1">IF(SUM(AK314:$EI314)=0,"",IF(AK$227="","",AK$227+AK314-1))</f>
        <v>45900</v>
      </c>
      <c r="AL318" s="403">
        <f ca="1">IF(SUM(AL314:$EI314)=0,"",IF(AL$227="","",AL$227+AL314-1))</f>
        <v>45930</v>
      </c>
      <c r="AM318" s="403">
        <f ca="1">IF(SUM(AM314:$EI314)=0,"",IF(AM$227="","",AM$227+AM314-1))</f>
        <v>45961</v>
      </c>
      <c r="AN318" s="403">
        <f ca="1">IF(SUM(AN314:$EI314)=0,"",IF(AN$227="","",AN$227+AN314-1))</f>
        <v>45991</v>
      </c>
      <c r="AO318" s="403">
        <f ca="1">IF(SUM(AO314:$EI314)=0,"",IF(AO$227="","",AO$227+AO314-1))</f>
        <v>46022</v>
      </c>
      <c r="AP318" s="403">
        <f ca="1">IF(SUM(AP314:$EI314)=0,"",IF(AP$227="","",AP$227+AP314-1))</f>
        <v>46053</v>
      </c>
      <c r="AQ318" s="403">
        <f ca="1">IF(SUM(AQ314:$EI314)=0,"",IF(AQ$227="","",AQ$227+AQ314-1))</f>
        <v>46081</v>
      </c>
      <c r="AR318" s="403">
        <f ca="1">IF(SUM(AR314:$EI314)=0,"",IF(AR$227="","",AR$227+AR314-1))</f>
        <v>46112</v>
      </c>
      <c r="AS318" s="403">
        <f ca="1">IF(SUM(AS314:$EI314)=0,"",IF(AS$227="","",AS$227+AS314-1))</f>
        <v>46142</v>
      </c>
      <c r="AT318" s="403">
        <f ca="1">IF(SUM(AT314:$EI314)=0,"",IF(AT$227="","",AT$227+AT314-1))</f>
        <v>46173</v>
      </c>
      <c r="AU318" s="403">
        <f ca="1">IF(SUM(AU314:$EI314)=0,"",IF(AU$227="","",AU$227+AU314-1))</f>
        <v>46203</v>
      </c>
      <c r="AV318" s="403">
        <f ca="1">IF(SUM(AV314:$EI314)=0,"",IF(AV$227="","",AV$227+AV314-1))</f>
        <v>46234</v>
      </c>
      <c r="AW318" s="403">
        <f ca="1">IF(SUM(AW314:$EI314)=0,"",IF(AW$227="","",AW$227+AW314-1))</f>
        <v>46270.05</v>
      </c>
      <c r="AX318" s="403">
        <f ca="1">IF(SUM(AX314:$EI314)=0,"",IF(AX$227="","",AX$227+AX314-1))</f>
        <v>46326</v>
      </c>
      <c r="AY318" s="403">
        <f ca="1">IF(SUM(AY314:$EI314)=0,"",IF(AY$227="","",AY$227+AY314-1))</f>
        <v>46349.95</v>
      </c>
      <c r="AZ318" s="403" t="str">
        <f ca="1">IF(SUM(AZ314:$EI314)=0,"",IF(AZ$227="","",AZ$227+AZ314-1))</f>
        <v/>
      </c>
      <c r="BA318" s="403" t="str">
        <f ca="1">IF(SUM(BA314:$EI314)=0,"",IF(BA$227="","",BA$227+BA314-1))</f>
        <v/>
      </c>
      <c r="BB318" s="403" t="str">
        <f ca="1">IF(SUM(BB314:$EI314)=0,"",IF(BB$227="","",BB$227+BB314-1))</f>
        <v/>
      </c>
      <c r="BC318" s="403" t="str">
        <f ca="1">IF(SUM(BC314:$EI314)=0,"",IF(BC$227="","",BC$227+BC314-1))</f>
        <v/>
      </c>
      <c r="BD318" s="403" t="str">
        <f ca="1">IF(SUM(BD314:$EI314)=0,"",IF(BD$227="","",BD$227+BD314-1))</f>
        <v/>
      </c>
      <c r="BE318" s="403" t="str">
        <f ca="1">IF(SUM(BE314:$EI314)=0,"",IF(BE$227="","",BE$227+BE314-1))</f>
        <v/>
      </c>
      <c r="BF318" s="403" t="str">
        <f ca="1">IF(SUM(BF314:$EI314)=0,"",IF(BF$227="","",BF$227+BF314-1))</f>
        <v/>
      </c>
      <c r="BG318" s="403" t="str">
        <f ca="1">IF(SUM(BG314:$EI314)=0,"",IF(BG$227="","",BG$227+BG314-1))</f>
        <v/>
      </c>
      <c r="BH318" s="403" t="str">
        <f ca="1">IF(SUM(BH314:$EI314)=0,"",IF(BH$227="","",BH$227+BH314-1))</f>
        <v/>
      </c>
      <c r="BI318" s="403" t="str">
        <f ca="1">IF(SUM(BI314:$EI314)=0,"",IF(BI$227="","",BI$227+BI314-1))</f>
        <v/>
      </c>
      <c r="BJ318" s="403" t="str">
        <f ca="1">IF(SUM(BJ314:$EI314)=0,"",IF(BJ$227="","",BJ$227+BJ314-1))</f>
        <v/>
      </c>
      <c r="BK318" s="403" t="str">
        <f ca="1">IF(SUM(BK314:$EI314)=0,"",IF(BK$227="","",BK$227+BK314-1))</f>
        <v/>
      </c>
      <c r="BL318" s="403" t="str">
        <f ca="1">IF(SUM(BL314:$EI314)=0,"",IF(BL$227="","",BL$227+BL314-1))</f>
        <v/>
      </c>
      <c r="BM318" s="403" t="str">
        <f ca="1">IF(SUM(BM314:$EI314)=0,"",IF(BM$227="","",BM$227+BM314-1))</f>
        <v/>
      </c>
      <c r="BN318" s="403" t="str">
        <f ca="1">IF(SUM(BN314:$EI314)=0,"",IF(BN$227="","",BN$227+BN314-1))</f>
        <v/>
      </c>
      <c r="BO318" s="403" t="str">
        <f ca="1">IF(SUM(BO314:$EI314)=0,"",IF(BO$227="","",BO$227+BO314-1))</f>
        <v/>
      </c>
      <c r="BP318" s="403" t="str">
        <f ca="1">IF(SUM(BP314:$EI314)=0,"",IF(BP$227="","",BP$227+BP314-1))</f>
        <v/>
      </c>
      <c r="BQ318" s="403" t="str">
        <f ca="1">IF(SUM(BQ314:$EI314)=0,"",IF(BQ$227="","",BQ$227+BQ314-1))</f>
        <v/>
      </c>
      <c r="BR318" s="403" t="str">
        <f ca="1">IF(SUM(BR314:$EI314)=0,"",IF(BR$227="","",BR$227+BR314-1))</f>
        <v/>
      </c>
      <c r="BS318" s="403" t="str">
        <f ca="1">IF(SUM(BS314:$EI314)=0,"",IF(BS$227="","",BS$227+BS314-1))</f>
        <v/>
      </c>
      <c r="BT318" s="403" t="str">
        <f ca="1">IF(SUM(BT314:$EI314)=0,"",IF(BT$227="","",BT$227+BT314-1))</f>
        <v/>
      </c>
      <c r="BU318" s="403" t="str">
        <f ca="1">IF(SUM(BU314:$EI314)=0,"",IF(BU$227="","",BU$227+BU314-1))</f>
        <v/>
      </c>
      <c r="BV318" s="403" t="str">
        <f ca="1">IF(SUM(BV314:$EI314)=0,"",IF(BV$227="","",BV$227+BV314-1))</f>
        <v/>
      </c>
      <c r="BW318" s="403" t="str">
        <f ca="1">IF(SUM(BW314:$EI314)=0,"",IF(BW$227="","",BW$227+BW314-1))</f>
        <v/>
      </c>
      <c r="BX318" s="403" t="str">
        <f ca="1">IF(SUM(BX314:$EI314)=0,"",IF(BX$227="","",BX$227+BX314-1))</f>
        <v/>
      </c>
      <c r="BY318" s="403" t="str">
        <f ca="1">IF(SUM(BY314:$EI314)=0,"",IF(BY$227="","",BY$227+BY314-1))</f>
        <v/>
      </c>
      <c r="BZ318" s="403" t="str">
        <f ca="1">IF(SUM(BZ314:$EI314)=0,"",IF(BZ$227="","",BZ$227+BZ314-1))</f>
        <v/>
      </c>
      <c r="CA318" s="403" t="str">
        <f ca="1">IF(SUM(CA314:$EI314)=0,"",IF(CA$227="","",CA$227+CA314-1))</f>
        <v/>
      </c>
      <c r="CB318" s="403" t="str">
        <f ca="1">IF(SUM(CB314:$EI314)=0,"",IF(CB$227="","",CB$227+CB314-1))</f>
        <v/>
      </c>
      <c r="CC318" s="403" t="str">
        <f ca="1">IF(SUM(CC314:$EI314)=0,"",IF(CC$227="","",CC$227+CC314-1))</f>
        <v/>
      </c>
      <c r="CD318" s="403" t="str">
        <f ca="1">IF(SUM(CD314:$EI314)=0,"",IF(CD$227="","",CD$227+CD314-1))</f>
        <v/>
      </c>
      <c r="CE318" s="403" t="str">
        <f ca="1">IF(SUM(CE314:$EI314)=0,"",IF(CE$227="","",CE$227+CE314-1))</f>
        <v/>
      </c>
      <c r="CF318" s="403" t="str">
        <f ca="1">IF(SUM(CF314:$EI314)=0,"",IF(CF$227="","",CF$227+CF314-1))</f>
        <v/>
      </c>
      <c r="CG318" s="403" t="str">
        <f ca="1">IF(SUM(CG314:$EI314)=0,"",IF(CG$227="","",CG$227+CG314-1))</f>
        <v/>
      </c>
      <c r="CH318" s="403" t="str">
        <f ca="1">IF(SUM(CH314:$EI314)=0,"",IF(CH$227="","",CH$227+CH314-1))</f>
        <v/>
      </c>
      <c r="CI318" s="403" t="str">
        <f ca="1">IF(SUM(CI314:$EI314)=0,"",IF(CI$227="","",CI$227+CI314-1))</f>
        <v/>
      </c>
      <c r="CJ318" s="403" t="str">
        <f ca="1">IF(SUM(CJ314:$EI314)=0,"",IF(CJ$227="","",CJ$227+CJ314-1))</f>
        <v/>
      </c>
      <c r="CK318" s="403" t="str">
        <f ca="1">IF(SUM(CK314:$EI314)=0,"",IF(CK$227="","",CK$227+CK314-1))</f>
        <v/>
      </c>
      <c r="CL318" s="403" t="str">
        <f ca="1">IF(SUM(CL314:$EI314)=0,"",IF(CL$227="","",CL$227+CL314-1))</f>
        <v/>
      </c>
      <c r="CM318" s="403" t="str">
        <f ca="1">IF(SUM(CM314:$EI314)=0,"",IF(CM$227="","",CM$227+CM314-1))</f>
        <v/>
      </c>
      <c r="CN318" s="403" t="str">
        <f ca="1">IF(SUM(CN314:$EI314)=0,"",IF(CN$227="","",CN$227+CN314-1))</f>
        <v/>
      </c>
      <c r="CO318" s="403" t="str">
        <f ca="1">IF(SUM(CO314:$EI314)=0,"",IF(CO$227="","",CO$227+CO314-1))</f>
        <v/>
      </c>
      <c r="CP318" s="403" t="str">
        <f ca="1">IF(SUM(CP314:$EI314)=0,"",IF(CP$227="","",CP$227+CP314-1))</f>
        <v/>
      </c>
      <c r="CQ318" s="403" t="str">
        <f ca="1">IF(SUM(CQ314:$EI314)=0,"",IF(CQ$227="","",CQ$227+CQ314-1))</f>
        <v/>
      </c>
      <c r="CR318" s="403" t="str">
        <f ca="1">IF(SUM(CR314:$EI314)=0,"",IF(CR$227="","",CR$227+CR314-1))</f>
        <v/>
      </c>
      <c r="CS318" s="403" t="str">
        <f ca="1">IF(SUM(CS314:$EI314)=0,"",IF(CS$227="","",CS$227+CS314-1))</f>
        <v/>
      </c>
      <c r="CT318" s="403" t="str">
        <f ca="1">IF(SUM(CT314:$EI314)=0,"",IF(CT$227="","",CT$227+CT314-1))</f>
        <v/>
      </c>
      <c r="CU318" s="403" t="str">
        <f ca="1">IF(SUM(CU314:$EI314)=0,"",IF(CU$227="","",CU$227+CU314-1))</f>
        <v/>
      </c>
      <c r="CV318" s="403" t="str">
        <f ca="1">IF(SUM(CV314:$EI314)=0,"",IF(CV$227="","",CV$227+CV314-1))</f>
        <v/>
      </c>
      <c r="CW318" s="403" t="str">
        <f ca="1">IF(SUM(CW314:$EI314)=0,"",IF(CW$227="","",CW$227+CW314-1))</f>
        <v/>
      </c>
      <c r="CX318" s="403" t="str">
        <f ca="1">IF(SUM(CX314:$EI314)=0,"",IF(CX$227="","",CX$227+CX314-1))</f>
        <v/>
      </c>
      <c r="CY318" s="403" t="str">
        <f ca="1">IF(SUM(CY314:$EI314)=0,"",IF(CY$227="","",CY$227+CY314-1))</f>
        <v/>
      </c>
      <c r="CZ318" s="403" t="str">
        <f ca="1">IF(SUM(CZ314:$EI314)=0,"",IF(CZ$227="","",CZ$227+CZ314-1))</f>
        <v/>
      </c>
      <c r="DA318" s="403" t="str">
        <f ca="1">IF(SUM(DA314:$EI314)=0,"",IF(DA$227="","",DA$227+DA314-1))</f>
        <v/>
      </c>
      <c r="DB318" s="403" t="str">
        <f ca="1">IF(SUM(DB314:$EI314)=0,"",IF(DB$227="","",DB$227+DB314-1))</f>
        <v/>
      </c>
      <c r="DC318" s="403" t="str">
        <f ca="1">IF(SUM(DC314:$EI314)=0,"",IF(DC$227="","",DC$227+DC314-1))</f>
        <v/>
      </c>
      <c r="DD318" s="403" t="str">
        <f ca="1">IF(SUM(DD314:$EI314)=0,"",IF(DD$227="","",DD$227+DD314-1))</f>
        <v/>
      </c>
      <c r="DE318" s="403" t="str">
        <f ca="1">IF(SUM(DE314:$EI314)=0,"",IF(DE$227="","",DE$227+DE314-1))</f>
        <v/>
      </c>
      <c r="DF318" s="403" t="str">
        <f ca="1">IF(SUM(DF314:$EI314)=0,"",IF(DF$227="","",DF$227+DF314-1))</f>
        <v/>
      </c>
      <c r="DG318" s="403" t="str">
        <f ca="1">IF(SUM(DG314:$EI314)=0,"",IF(DG$227="","",DG$227+DG314-1))</f>
        <v/>
      </c>
      <c r="DH318" s="403" t="str">
        <f ca="1">IF(SUM(DH314:$EI314)=0,"",IF(DH$227="","",DH$227+DH314-1))</f>
        <v/>
      </c>
      <c r="DI318" s="403" t="str">
        <f ca="1">IF(SUM(DI314:$EI314)=0,"",IF(DI$227="","",DI$227+DI314-1))</f>
        <v/>
      </c>
      <c r="DJ318" s="403" t="str">
        <f ca="1">IF(SUM(DJ314:$EI314)=0,"",IF(DJ$227="","",DJ$227+DJ314-1))</f>
        <v/>
      </c>
      <c r="DK318" s="403" t="str">
        <f ca="1">IF(SUM(DK314:$EI314)=0,"",IF(DK$227="","",DK$227+DK314-1))</f>
        <v/>
      </c>
      <c r="DL318" s="403" t="str">
        <f ca="1">IF(SUM(DL314:$EI314)=0,"",IF(DL$227="","",DL$227+DL314-1))</f>
        <v/>
      </c>
      <c r="DM318" s="403" t="str">
        <f ca="1">IF(SUM(DM314:$EI314)=0,"",IF(DM$227="","",DM$227+DM314-1))</f>
        <v/>
      </c>
      <c r="DN318" s="403" t="str">
        <f ca="1">IF(SUM(DN314:$EI314)=0,"",IF(DN$227="","",DN$227+DN314-1))</f>
        <v/>
      </c>
      <c r="DO318" s="403" t="str">
        <f ca="1">IF(SUM(DO314:$EI314)=0,"",IF(DO$227="","",DO$227+DO314-1))</f>
        <v/>
      </c>
      <c r="DP318" s="403" t="str">
        <f ca="1">IF(SUM(DP314:$EI314)=0,"",IF(DP$227="","",DP$227+DP314-1))</f>
        <v/>
      </c>
      <c r="DQ318" s="403" t="str">
        <f ca="1">IF(SUM(DQ314:$EI314)=0,"",IF(DQ$227="","",DQ$227+DQ314-1))</f>
        <v/>
      </c>
      <c r="DR318" s="403" t="str">
        <f ca="1">IF(SUM(DR314:$EI314)=0,"",IF(DR$227="","",DR$227+DR314-1))</f>
        <v/>
      </c>
      <c r="DS318" s="403" t="str">
        <f ca="1">IF(SUM(DS314:$EI314)=0,"",IF(DS$227="","",DS$227+DS314-1))</f>
        <v/>
      </c>
      <c r="DT318" s="403" t="str">
        <f ca="1">IF(SUM(DT314:$EI314)=0,"",IF(DT$227="","",DT$227+DT314-1))</f>
        <v/>
      </c>
      <c r="DU318" s="403" t="str">
        <f ca="1">IF(SUM(DU314:$EI314)=0,"",IF(DU$227="","",DU$227+DU314-1))</f>
        <v/>
      </c>
      <c r="DV318" s="403" t="str">
        <f ca="1">IF(SUM(DV314:$EI314)=0,"",IF(DV$227="","",DV$227+DV314-1))</f>
        <v/>
      </c>
      <c r="DW318" s="403" t="str">
        <f ca="1">IF(SUM(DW314:$EI314)=0,"",IF(DW$227="","",DW$227+DW314-1))</f>
        <v/>
      </c>
      <c r="DX318" s="403" t="str">
        <f ca="1">IF(SUM(DX314:$EI314)=0,"",IF(DX$227="","",DX$227+DX314-1))</f>
        <v/>
      </c>
      <c r="DY318" s="403" t="str">
        <f ca="1">IF(SUM(DY314:$EI314)=0,"",IF(DY$227="","",DY$227+DY314-1))</f>
        <v/>
      </c>
      <c r="DZ318" s="403" t="str">
        <f ca="1">IF(SUM(DZ314:$EI314)=0,"",IF(DZ$227="","",DZ$227+DZ314-1))</f>
        <v/>
      </c>
      <c r="EA318" s="403" t="str">
        <f ca="1">IF(SUM(EA314:$EI314)=0,"",IF(EA$227="","",EA$227+EA314-1))</f>
        <v/>
      </c>
      <c r="EB318" s="403" t="str">
        <f ca="1">IF(SUM(EB314:$EI314)=0,"",IF(EB$227="","",EB$227+EB314-1))</f>
        <v/>
      </c>
      <c r="EC318" s="403" t="str">
        <f ca="1">IF(SUM(EC314:$EI314)=0,"",IF(EC$227="","",EC$227+EC314-1))</f>
        <v/>
      </c>
      <c r="ED318" s="403" t="str">
        <f ca="1">IF(SUM(ED314:$EI314)=0,"",IF(ED$227="","",ED$227+ED314-1))</f>
        <v/>
      </c>
      <c r="EE318" s="403" t="str">
        <f ca="1">IF(SUM(EE314:$EI314)=0,"",IF(EE$227="","",EE$227+EE314-1))</f>
        <v/>
      </c>
      <c r="EF318" s="403" t="str">
        <f ca="1">IF(SUM(EF314:$EI314)=0,"",IF(EF$227="","",EF$227+EF314-1))</f>
        <v/>
      </c>
      <c r="EG318" s="403" t="str">
        <f ca="1">IF(SUM(EG314:$EI314)=0,"",IF(EG$227="","",EG$227+EG314-1))</f>
        <v/>
      </c>
      <c r="EH318" s="403" t="str">
        <f ca="1">IF(SUM(EH314:$EI314)=0,"",IF(EH$227="","",EH$227+EH314-1))</f>
        <v/>
      </c>
      <c r="EI318" s="403" t="str">
        <f ca="1">IF(SUM(EI314:$EI314)=0,"",IF(EI$227="","",EI$227+EI314-1))</f>
        <v/>
      </c>
    </row>
    <row r="319" spans="1:141" outlineLevel="1" collapsed="1">
      <c r="A319" s="332"/>
      <c r="B319" s="313"/>
      <c r="C319" s="317" t="s">
        <v>91</v>
      </c>
      <c r="D319" s="317" t="s">
        <v>678</v>
      </c>
      <c r="E319" s="400">
        <f ca="1">IF(ГРП!B27=0,длительность!B158,ГРП!B27)</f>
        <v>238</v>
      </c>
      <c r="F319" s="318">
        <f ca="1">E319-SUM(G319:EJ319)</f>
        <v>0</v>
      </c>
      <c r="G319" s="401"/>
      <c r="H319" s="401">
        <f ca="1">IF(SUM($G319:G319)&gt;=$E319,0,IF($E319-SUM($G319:G319)&gt;H320,H320,$E319-SUM($G320:G320)))</f>
        <v>0</v>
      </c>
      <c r="I319" s="401">
        <f ca="1">IF(SUM($G319:H319)&gt;=$E319,0,IF($E319-SUM($G319:H319)&gt;I320,I320,$E319-SUM($G320:H320)))</f>
        <v>0</v>
      </c>
      <c r="J319" s="401">
        <f ca="1">IF(SUM($G319:I319)&gt;=$E319,0,IF($E319-SUM($G319:I319)&gt;J320,J320,$E319-SUM($G320:I320)))</f>
        <v>0</v>
      </c>
      <c r="K319" s="401">
        <f ca="1">IF(SUM($G319:J319)&gt;=$E319,0,IF($E319-SUM($G319:J319)&gt;K320,K320,$E319-SUM($G320:J320)))</f>
        <v>0</v>
      </c>
      <c r="L319" s="401">
        <f ca="1">IF(SUM($G319:K319)&gt;=$E319,0,IF($E319-SUM($G319:K319)&gt;L320,L320,$E319-SUM($G320:K320)))</f>
        <v>0</v>
      </c>
      <c r="M319" s="401">
        <f ca="1">IF(SUM($G319:L319)&gt;=$E319,0,IF($E319-SUM($G319:L319)&gt;M320,M320,$E319-SUM($G320:L320)))</f>
        <v>0</v>
      </c>
      <c r="N319" s="401">
        <f ca="1">IF(SUM($G319:M319)&gt;=$E319,0,IF($E319-SUM($G319:M319)&gt;N320,N320,$E319-SUM($G320:M320)))</f>
        <v>0</v>
      </c>
      <c r="O319" s="401">
        <f ca="1">IF(SUM($G319:N319)&gt;=$E319,0,IF($E319-SUM($G319:N319)&gt;O320,O320,$E319-SUM($G320:N320)))</f>
        <v>0</v>
      </c>
      <c r="P319" s="401">
        <f ca="1">IF(SUM($G319:O319)&gt;=$E319,0,IF($E319-SUM($G319:O319)&gt;P320,P320,$E319-SUM($G320:O320)))</f>
        <v>0</v>
      </c>
      <c r="Q319" s="401">
        <f ca="1">IF(SUM($G319:P319)&gt;=$E319,0,IF($E319-SUM($G319:P319)&gt;Q320,Q320,$E319-SUM($G320:P320)))</f>
        <v>0</v>
      </c>
      <c r="R319" s="401">
        <f ca="1">IF(SUM($G319:Q319)&gt;=$E319,0,IF($E319-SUM($G319:Q319)&gt;R320,R320,$E319-SUM($G320:Q320)))</f>
        <v>0</v>
      </c>
      <c r="S319" s="401">
        <f ca="1">IF(SUM($G319:R319)&gt;=$E319,0,IF($E319-SUM($G319:R319)&gt;S320,S320,$E319-SUM($G320:R320)))</f>
        <v>0</v>
      </c>
      <c r="T319" s="401">
        <f ca="1">IF(SUM($G319:S319)&gt;=$E319,0,IF($E319-SUM($G319:S319)&gt;T320,T320,$E319-SUM($G320:S320)))</f>
        <v>0</v>
      </c>
      <c r="U319" s="401">
        <f ca="1">IF(SUM($G319:T319)&gt;=$E319,0,IF($E319-SUM($G319:T319)&gt;U320,U320,$E319-SUM($G320:T320)))</f>
        <v>0</v>
      </c>
      <c r="V319" s="401">
        <f ca="1">IF(SUM($G319:U319)&gt;=$E319,0,IF($E319-SUM($G319:U319)&gt;V320,V320,$E319-SUM($G320:U320)))</f>
        <v>0</v>
      </c>
      <c r="W319" s="401">
        <f ca="1">IF(SUM($G319:V319)&gt;=$E319,0,IF($E319-SUM($G319:V319)&gt;W320,W320,$E319-SUM($G320:V320)))</f>
        <v>0</v>
      </c>
      <c r="X319" s="401">
        <f ca="1">IF(SUM($G319:W319)&gt;=$E319,0,IF($E319-SUM($G319:W319)&gt;X320,X320,$E319-SUM($G320:W320)))</f>
        <v>0</v>
      </c>
      <c r="Y319" s="401">
        <f ca="1">IF(SUM($G319:X319)&gt;=$E319,0,IF($E319-SUM($G319:X319)&gt;Y320,Y320,$E319-SUM($G320:X320)))</f>
        <v>0</v>
      </c>
      <c r="Z319" s="401">
        <f ca="1">IF(SUM($G319:Y319)&gt;=$E319,0,IF($E319-SUM($G319:Y319)&gt;Z320,Z320,$E319-SUM($G320:Y320)))</f>
        <v>0</v>
      </c>
      <c r="AA319" s="401">
        <f ca="1">IF(SUM($G319:Z319)&gt;=$E319,0,IF($E319-SUM($G319:Z319)&gt;AA320,AA320,$E319-SUM($G320:Z320)))</f>
        <v>0</v>
      </c>
      <c r="AB319" s="401">
        <f ca="1">IF(SUM($G319:AA319)&gt;=$E319,0,IF($E319-SUM($G319:AA319)&gt;AB320,AB320,$E319-SUM($G320:AA320)))</f>
        <v>0</v>
      </c>
      <c r="AC319" s="401">
        <f ca="1">IF(SUM($G319:AB319)&gt;=$E319,0,IF($E319-SUM($G319:AB319)&gt;AC320,AC320,$E319-SUM($G320:AB320)))</f>
        <v>0</v>
      </c>
      <c r="AD319" s="401">
        <f ca="1">IF(SUM($G319:AC319)&gt;=$E319,0,IF($E319-SUM($G319:AC319)&gt;AD320,AD320,$E319-SUM($G320:AC320)))</f>
        <v>0</v>
      </c>
      <c r="AE319" s="401">
        <f ca="1">IF(SUM($G319:AD319)&gt;=$E319,0,IF($E319-SUM($G319:AD319)&gt;AE320,AE320,$E319-SUM($G320:AD320)))</f>
        <v>0</v>
      </c>
      <c r="AF319" s="401">
        <f ca="1">IF(SUM($G319:AE319)&gt;=$E319,0,IF($E319-SUM($G319:AE319)&gt;AF320,AF320,$E319-SUM($G320:AE320)))</f>
        <v>0</v>
      </c>
      <c r="AG319" s="401">
        <f ca="1">IF(SUM($G319:AF319)&gt;=$E319,0,IF($E319-SUM($G319:AF319)&gt;AG320,AG320,$E319-SUM($G320:AF320)))</f>
        <v>0</v>
      </c>
      <c r="AH319" s="401">
        <f ca="1">IF(SUM($G319:AG319)&gt;=$E319,0,IF($E319-SUM($G319:AG319)&gt;AH320,AH320,$E319-SUM($G320:AG320)))</f>
        <v>0</v>
      </c>
      <c r="AI319" s="401">
        <f ca="1">IF(SUM($G319:AH319)&gt;=$E319,0,IF($E319-SUM($G319:AH319)&gt;AI320,AI320,$E319-SUM($G320:AH320)))</f>
        <v>0</v>
      </c>
      <c r="AJ319" s="401">
        <f ca="1">IF(SUM($G319:AI319)&gt;=$E319,0,IF($E319-SUM($G319:AI319)&gt;AJ320,AJ320,$E319-SUM($G320:AI320)))</f>
        <v>0</v>
      </c>
      <c r="AK319" s="401">
        <f ca="1">IF(SUM($G319:AJ319)&gt;=$E319,0,IF($E319-SUM($G319:AJ319)&gt;AK320,AK320,$E319-SUM($G320:AJ320)))</f>
        <v>0</v>
      </c>
      <c r="AL319" s="401">
        <f ca="1">IF(SUM($G319:AK319)&gt;=$E319,0,IF($E319-SUM($G319:AK319)&gt;AL320,AL320,$E319-SUM($G320:AK320)))</f>
        <v>0</v>
      </c>
      <c r="AM319" s="401">
        <f ca="1">IF(SUM($G319:AL319)&gt;=$E319,0,IF($E319-SUM($G319:AL319)&gt;AM320,AM320,$E319-SUM($G320:AL320)))</f>
        <v>0</v>
      </c>
      <c r="AN319" s="401">
        <f ca="1">IF(SUM($G319:AM319)&gt;=$E319,0,IF($E319-SUM($G319:AM319)&gt;AN320,AN320,$E319-SUM($G320:AM320)))</f>
        <v>0</v>
      </c>
      <c r="AO319" s="401">
        <f ca="1">IF(SUM($G319:AN319)&gt;=$E319,0,IF($E319-SUM($G319:AN319)&gt;AO320,AO320,$E319-SUM($G320:AN320)))</f>
        <v>0</v>
      </c>
      <c r="AP319" s="401">
        <f ca="1">IF(SUM($G319:AO319)&gt;=$E319,0,IF($E319-SUM($G319:AO319)&gt;AP320,AP320,$E319-SUM($G320:AO320)))</f>
        <v>0</v>
      </c>
      <c r="AQ319" s="401">
        <f ca="1">IF(SUM($G319:AP319)&gt;=$E319,0,IF($E319-SUM($G319:AP319)&gt;AQ320,AQ320,$E319-SUM($G320:AP320)))</f>
        <v>0</v>
      </c>
      <c r="AR319" s="401">
        <f ca="1">IF(SUM($G319:AQ319)&gt;=$E319,0,IF($E319-SUM($G319:AQ319)&gt;AR320,AR320,$E319-SUM($G320:AQ320)))</f>
        <v>0</v>
      </c>
      <c r="AS319" s="401">
        <f ca="1">IF(SUM($G319:AR319)&gt;=$E319,0,IF($E319-SUM($G319:AR319)&gt;AS320,AS320,$E319-SUM($G320:AR320)))</f>
        <v>0</v>
      </c>
      <c r="AT319" s="401">
        <f ca="1">IF(SUM($G319:AS319)&gt;=$E319,0,IF($E319-SUM($G319:AS319)&gt;AT320,AT320,$E319-SUM($G320:AS320)))</f>
        <v>0</v>
      </c>
      <c r="AU319" s="401">
        <f ca="1">IF(SUM($G319:AT319)&gt;=$E319,0,IF($E319-SUM($G319:AT319)&gt;AU320,AU320,$E319-SUM($G320:AT320)))</f>
        <v>0</v>
      </c>
      <c r="AV319" s="401">
        <f ca="1">IF(SUM($G319:AU319)&gt;=$E319,0,IF($E319-SUM($G319:AU319)&gt;AV320,AV320,$E319-SUM($G320:AU320)))</f>
        <v>0</v>
      </c>
      <c r="AW319" s="401">
        <f ca="1">IF(SUM($G319:AV319)&gt;=$E319,0,IF($E319-SUM($G319:AV319)&gt;AW320,AW320,$E319-SUM($G320:AV320)))</f>
        <v>5.0500000000000114</v>
      </c>
      <c r="AX319" s="401">
        <f ca="1">IF(SUM($G319:AW319)&gt;=$E319,0,IF($E319-SUM($G319:AW319)&gt;AX320,AX320,$E319-SUM($G320:AW320)))</f>
        <v>31</v>
      </c>
      <c r="AY319" s="401">
        <f ca="1">IF(SUM($G319:AX319)&gt;=$E319,0,IF($E319-SUM($G319:AX319)&gt;AY320,AY320,$E319-SUM($G320:AX320)))</f>
        <v>30</v>
      </c>
      <c r="AZ319" s="401">
        <f ca="1">IF(SUM($G319:AY319)&gt;=$E319,0,IF($E319-SUM($G319:AY319)&gt;AZ320,AZ320,$E319-SUM($G320:AY320)))</f>
        <v>31</v>
      </c>
      <c r="BA319" s="401">
        <f ca="1">IF(SUM($G319:AZ319)&gt;=$E319,0,IF($E319-SUM($G319:AZ319)&gt;BA320,BA320,$E319-SUM($G320:AZ320)))</f>
        <v>31</v>
      </c>
      <c r="BB319" s="401">
        <f ca="1">IF(SUM($G319:BA319)&gt;=$E319,0,IF($E319-SUM($G319:BA319)&gt;BB320,BB320,$E319-SUM($G320:BA320)))</f>
        <v>28</v>
      </c>
      <c r="BC319" s="401">
        <f ca="1">IF(SUM($G319:BB319)&gt;=$E319,0,IF($E319-SUM($G319:BB319)&gt;BC320,BC320,$E319-SUM($G320:BB320)))</f>
        <v>31</v>
      </c>
      <c r="BD319" s="401">
        <f ca="1">IF(SUM($G319:BC319)&gt;=$E319,0,IF($E319-SUM($G319:BC319)&gt;BD320,BD320,$E319-SUM($G320:BC320)))</f>
        <v>30</v>
      </c>
      <c r="BE319" s="401">
        <f ca="1">IF(SUM($G319:BD319)&gt;=$E319,0,IF($E319-SUM($G319:BD319)&gt;BE320,BE320,$E319-SUM($G320:BD320)))</f>
        <v>20.949999999999989</v>
      </c>
      <c r="BF319" s="401">
        <f ca="1">IF(SUM($G319:BE319)&gt;=$E319,0,IF($E319-SUM($G319:BE319)&gt;BF320,BF320,$E319-SUM($G320:BE320)))</f>
        <v>0</v>
      </c>
      <c r="BG319" s="401">
        <f ca="1">IF(SUM($G319:BF319)&gt;=$E319,0,IF($E319-SUM($G319:BF319)&gt;BG320,BG320,$E319-SUM($G320:BF320)))</f>
        <v>0</v>
      </c>
      <c r="BH319" s="401">
        <f ca="1">IF(SUM($G319:BG319)&gt;=$E319,0,IF($E319-SUM($G319:BG319)&gt;BH320,BH320,$E319-SUM($G320:BG320)))</f>
        <v>0</v>
      </c>
      <c r="BI319" s="401">
        <f ca="1">IF(SUM($G319:BH319)&gt;=$E319,0,IF($E319-SUM($G319:BH319)&gt;BI320,BI320,$E319-SUM($G320:BH320)))</f>
        <v>0</v>
      </c>
      <c r="BJ319" s="401">
        <f ca="1">IF(SUM($G319:BI319)&gt;=$E319,0,IF($E319-SUM($G319:BI319)&gt;BJ320,BJ320,$E319-SUM($G320:BI320)))</f>
        <v>0</v>
      </c>
      <c r="BK319" s="401">
        <f ca="1">IF(SUM($G319:BJ319)&gt;=$E319,0,IF($E319-SUM($G319:BJ319)&gt;BK320,BK320,$E319-SUM($G320:BJ320)))</f>
        <v>0</v>
      </c>
      <c r="BL319" s="401">
        <f ca="1">IF(SUM($G319:BK319)&gt;=$E319,0,IF($E319-SUM($G319:BK319)&gt;BL320,BL320,$E319-SUM($G320:BK320)))</f>
        <v>0</v>
      </c>
      <c r="BM319" s="401">
        <f ca="1">IF(SUM($G319:BL319)&gt;=$E319,0,IF($E319-SUM($G319:BL319)&gt;BM320,BM320,$E319-SUM($G320:BL320)))</f>
        <v>0</v>
      </c>
      <c r="BN319" s="401">
        <f ca="1">IF(SUM($G319:BM319)&gt;=$E319,0,IF($E319-SUM($G319:BM319)&gt;BN320,BN320,$E319-SUM($G320:BM320)))</f>
        <v>0</v>
      </c>
      <c r="BO319" s="401">
        <f ca="1">IF(SUM($G319:BN319)&gt;=$E319,0,IF($E319-SUM($G319:BN319)&gt;BO320,BO320,$E319-SUM($G320:BN320)))</f>
        <v>0</v>
      </c>
      <c r="BP319" s="401">
        <f ca="1">IF(SUM($G319:BO319)&gt;=$E319,0,IF($E319-SUM($G319:BO319)&gt;BP320,BP320,$E319-SUM($G320:BO320)))</f>
        <v>0</v>
      </c>
      <c r="BQ319" s="401">
        <f ca="1">IF(SUM($G319:BP319)&gt;=$E319,0,IF($E319-SUM($G319:BP319)&gt;BQ320,BQ320,$E319-SUM($G320:BP320)))</f>
        <v>0</v>
      </c>
      <c r="BR319" s="401">
        <f ca="1">IF(SUM($G319:BQ319)&gt;=$E319,0,IF($E319-SUM($G319:BQ319)&gt;BR320,BR320,$E319-SUM($G320:BQ320)))</f>
        <v>0</v>
      </c>
      <c r="BS319" s="401">
        <f ca="1">IF(SUM($G319:BR319)&gt;=$E319,0,IF($E319-SUM($G319:BR319)&gt;BS320,BS320,$E319-SUM($G320:BR320)))</f>
        <v>0</v>
      </c>
      <c r="BT319" s="401">
        <f ca="1">IF(SUM($G319:BS319)&gt;=$E319,0,IF($E319-SUM($G319:BS319)&gt;BT320,BT320,$E319-SUM($G320:BS320)))</f>
        <v>0</v>
      </c>
      <c r="BU319" s="401">
        <f ca="1">IF(SUM($G319:BT319)&gt;=$E319,0,IF($E319-SUM($G319:BT319)&gt;BU320,BU320,$E319-SUM($G320:BT320)))</f>
        <v>0</v>
      </c>
      <c r="BV319" s="401">
        <f ca="1">IF(SUM($G319:BU319)&gt;=$E319,0,IF($E319-SUM($G319:BU319)&gt;BV320,BV320,$E319-SUM($G320:BU320)))</f>
        <v>0</v>
      </c>
      <c r="BW319" s="401">
        <f ca="1">IF(SUM($G319:BV319)&gt;=$E319,0,IF($E319-SUM($G319:BV319)&gt;BW320,BW320,$E319-SUM($G320:BV320)))</f>
        <v>0</v>
      </c>
      <c r="BX319" s="401">
        <f ca="1">IF(SUM($G319:BW319)&gt;=$E319,0,IF($E319-SUM($G319:BW319)&gt;BX320,BX320,$E319-SUM($G320:BW320)))</f>
        <v>0</v>
      </c>
      <c r="BY319" s="401">
        <f ca="1">IF(SUM($G319:BX319)&gt;=$E319,0,IF($E319-SUM($G319:BX319)&gt;BY320,BY320,$E319-SUM($G320:BX320)))</f>
        <v>0</v>
      </c>
      <c r="BZ319" s="401">
        <f ca="1">IF(SUM($G319:BY319)&gt;=$E319,0,IF($E319-SUM($G319:BY319)&gt;BZ320,BZ320,$E319-SUM($G320:BY320)))</f>
        <v>0</v>
      </c>
      <c r="CA319" s="401">
        <f ca="1">IF(SUM($G319:BZ319)&gt;=$E319,0,IF($E319-SUM($G319:BZ319)&gt;CA320,CA320,$E319-SUM($G320:BZ320)))</f>
        <v>0</v>
      </c>
      <c r="CB319" s="401">
        <f ca="1">IF(SUM($G319:CA319)&gt;=$E319,0,IF($E319-SUM($G319:CA319)&gt;CB320,CB320,$E319-SUM($G320:CA320)))</f>
        <v>0</v>
      </c>
      <c r="CC319" s="401">
        <f ca="1">IF(SUM($G319:CB319)&gt;=$E319,0,IF($E319-SUM($G319:CB319)&gt;CC320,CC320,$E319-SUM($G320:CB320)))</f>
        <v>0</v>
      </c>
      <c r="CD319" s="401">
        <f ca="1">IF(SUM($G319:CC319)&gt;=$E319,0,IF($E319-SUM($G319:CC319)&gt;CD320,CD320,$E319-SUM($G320:CC320)))</f>
        <v>0</v>
      </c>
      <c r="CE319" s="401">
        <f ca="1">IF(SUM($G319:CD319)&gt;=$E319,0,IF($E319-SUM($G319:CD319)&gt;CE320,CE320,$E319-SUM($G320:CD320)))</f>
        <v>0</v>
      </c>
      <c r="CF319" s="401">
        <f ca="1">IF(SUM($G319:CE319)&gt;=$E319,0,IF($E319-SUM($G319:CE319)&gt;CF320,CF320,$E319-SUM($G320:CE320)))</f>
        <v>0</v>
      </c>
      <c r="CG319" s="401">
        <f ca="1">IF(SUM($G319:CF319)&gt;=$E319,0,IF($E319-SUM($G319:CF319)&gt;CG320,CG320,$E319-SUM($G320:CF320)))</f>
        <v>0</v>
      </c>
      <c r="CH319" s="401">
        <f ca="1">IF(SUM($G319:CG319)&gt;=$E319,0,IF($E319-SUM($G319:CG319)&gt;CH320,CH320,$E319-SUM($G320:CG320)))</f>
        <v>0</v>
      </c>
      <c r="CI319" s="401">
        <f ca="1">IF(SUM($G319:CH319)&gt;=$E319,0,IF($E319-SUM($G319:CH319)&gt;CI320,CI320,$E319-SUM($G320:CH320)))</f>
        <v>0</v>
      </c>
      <c r="CJ319" s="401">
        <f ca="1">IF(SUM($G319:CI319)&gt;=$E319,0,IF($E319-SUM($G319:CI319)&gt;CJ320,CJ320,$E319-SUM($G320:CI320)))</f>
        <v>0</v>
      </c>
      <c r="CK319" s="401">
        <f ca="1">IF(SUM($G319:CJ319)&gt;=$E319,0,IF($E319-SUM($G319:CJ319)&gt;CK320,CK320,$E319-SUM($G320:CJ320)))</f>
        <v>0</v>
      </c>
      <c r="CL319" s="401">
        <f ca="1">IF(SUM($G319:CK319)&gt;=$E319,0,IF($E319-SUM($G319:CK319)&gt;CL320,CL320,$E319-SUM($G320:CK320)))</f>
        <v>0</v>
      </c>
      <c r="CM319" s="401">
        <f ca="1">IF(SUM($G319:CL319)&gt;=$E319,0,IF($E319-SUM($G319:CL319)&gt;CM320,CM320,$E319-SUM($G320:CL320)))</f>
        <v>0</v>
      </c>
      <c r="CN319" s="401">
        <f ca="1">IF(SUM($G319:CM319)&gt;=$E319,0,IF($E319-SUM($G319:CM319)&gt;CN320,CN320,$E319-SUM($G320:CM320)))</f>
        <v>0</v>
      </c>
      <c r="CO319" s="401">
        <f ca="1">IF(SUM($G319:CN319)&gt;=$E319,0,IF($E319-SUM($G319:CN319)&gt;CO320,CO320,$E319-SUM($G320:CN320)))</f>
        <v>0</v>
      </c>
      <c r="CP319" s="401">
        <f ca="1">IF(SUM($G319:CO319)&gt;=$E319,0,IF($E319-SUM($G319:CO319)&gt;CP320,CP320,$E319-SUM($G320:CO320)))</f>
        <v>0</v>
      </c>
      <c r="CQ319" s="401">
        <f ca="1">IF(SUM($G319:CP319)&gt;=$E319,0,IF($E319-SUM($G319:CP319)&gt;CQ320,CQ320,$E319-SUM($G320:CP320)))</f>
        <v>0</v>
      </c>
      <c r="CR319" s="401">
        <f ca="1">IF(SUM($G319:CQ319)&gt;=$E319,0,IF($E319-SUM($G319:CQ319)&gt;CR320,CR320,$E319-SUM($G320:CQ320)))</f>
        <v>0</v>
      </c>
      <c r="CS319" s="401">
        <f ca="1">IF(SUM($G319:CR319)&gt;=$E319,0,IF($E319-SUM($G319:CR319)&gt;CS320,CS320,$E319-SUM($G320:CR320)))</f>
        <v>0</v>
      </c>
      <c r="CT319" s="401">
        <f ca="1">IF(SUM($G319:CS319)&gt;=$E319,0,IF($E319-SUM($G319:CS319)&gt;CT320,CT320,$E319-SUM($G320:CS320)))</f>
        <v>0</v>
      </c>
      <c r="CU319" s="401">
        <f ca="1">IF(SUM($G319:CT319)&gt;=$E319,0,IF($E319-SUM($G319:CT319)&gt;CU320,CU320,$E319-SUM($G320:CT320)))</f>
        <v>0</v>
      </c>
      <c r="CV319" s="401">
        <f ca="1">IF(SUM($G319:CU319)&gt;=$E319,0,IF($E319-SUM($G319:CU319)&gt;CV320,CV320,$E319-SUM($G320:CU320)))</f>
        <v>0</v>
      </c>
      <c r="CW319" s="401">
        <f ca="1">IF(SUM($G319:CV319)&gt;=$E319,0,IF($E319-SUM($G319:CV319)&gt;CW320,CW320,$E319-SUM($G320:CV320)))</f>
        <v>0</v>
      </c>
      <c r="CX319" s="401">
        <f ca="1">IF(SUM($G319:CW319)&gt;=$E319,0,IF($E319-SUM($G319:CW319)&gt;CX320,CX320,$E319-SUM($G320:CW320)))</f>
        <v>0</v>
      </c>
      <c r="CY319" s="401">
        <f ca="1">IF(SUM($G319:CX319)&gt;=$E319,0,IF($E319-SUM($G319:CX319)&gt;CY320,CY320,$E319-SUM($G320:CX320)))</f>
        <v>0</v>
      </c>
      <c r="CZ319" s="401">
        <f ca="1">IF(SUM($G319:CY319)&gt;=$E319,0,IF($E319-SUM($G319:CY319)&gt;CZ320,CZ320,$E319-SUM($G320:CY320)))</f>
        <v>0</v>
      </c>
      <c r="DA319" s="401">
        <f ca="1">IF(SUM($G319:CZ319)&gt;=$E319,0,IF($E319-SUM($G319:CZ319)&gt;DA320,DA320,$E319-SUM($G320:CZ320)))</f>
        <v>0</v>
      </c>
      <c r="DB319" s="401">
        <f ca="1">IF(SUM($G319:DA319)&gt;=$E319,0,IF($E319-SUM($G319:DA319)&gt;DB320,DB320,$E319-SUM($G320:DA320)))</f>
        <v>0</v>
      </c>
      <c r="DC319" s="401">
        <f ca="1">IF(SUM($G319:DB319)&gt;=$E319,0,IF($E319-SUM($G319:DB319)&gt;DC320,DC320,$E319-SUM($G320:DB320)))</f>
        <v>0</v>
      </c>
      <c r="DD319" s="401">
        <f ca="1">IF(SUM($G319:DC319)&gt;=$E319,0,IF($E319-SUM($G319:DC319)&gt;DD320,DD320,$E319-SUM($G320:DC320)))</f>
        <v>0</v>
      </c>
      <c r="DE319" s="401">
        <f ca="1">IF(SUM($G319:DD319)&gt;=$E319,0,IF($E319-SUM($G319:DD319)&gt;DE320,DE320,$E319-SUM($G320:DD320)))</f>
        <v>0</v>
      </c>
      <c r="DF319" s="401">
        <f ca="1">IF(SUM($G319:DE319)&gt;=$E319,0,IF($E319-SUM($G319:DE319)&gt;DF320,DF320,$E319-SUM($G320:DE320)))</f>
        <v>0</v>
      </c>
      <c r="DG319" s="401">
        <f ca="1">IF(SUM($G319:DF319)&gt;=$E319,0,IF($E319-SUM($G319:DF319)&gt;DG320,DG320,$E319-SUM($G320:DF320)))</f>
        <v>0</v>
      </c>
      <c r="DH319" s="401">
        <f ca="1">IF(SUM($G319:DG319)&gt;=$E319,0,IF($E319-SUM($G319:DG319)&gt;DH320,DH320,$E319-SUM($G320:DG320)))</f>
        <v>0</v>
      </c>
      <c r="DI319" s="401">
        <f ca="1">IF(SUM($G319:DH319)&gt;=$E319,0,IF($E319-SUM($G319:DH319)&gt;DI320,DI320,$E319-SUM($G320:DH320)))</f>
        <v>0</v>
      </c>
      <c r="DJ319" s="401">
        <f ca="1">IF(SUM($G319:DI319)&gt;=$E319,0,IF($E319-SUM($G319:DI319)&gt;DJ320,DJ320,$E319-SUM($G320:DI320)))</f>
        <v>0</v>
      </c>
      <c r="DK319" s="401">
        <f ca="1">IF(SUM($G319:DJ319)&gt;=$E319,0,IF($E319-SUM($G319:DJ319)&gt;DK320,DK320,$E319-SUM($G320:DJ320)))</f>
        <v>0</v>
      </c>
      <c r="DL319" s="401">
        <f ca="1">IF(SUM($G319:DK319)&gt;=$E319,0,IF($E319-SUM($G319:DK319)&gt;DL320,DL320,$E319-SUM($G320:DK320)))</f>
        <v>0</v>
      </c>
      <c r="DM319" s="401">
        <f ca="1">IF(SUM($G319:DL319)&gt;=$E319,0,IF($E319-SUM($G319:DL319)&gt;DM320,DM320,$E319-SUM($G320:DL320)))</f>
        <v>0</v>
      </c>
      <c r="DN319" s="401">
        <f ca="1">IF(SUM($G319:DM319)&gt;=$E319,0,IF($E319-SUM($G319:DM319)&gt;DN320,DN320,$E319-SUM($G320:DM320)))</f>
        <v>0</v>
      </c>
      <c r="DO319" s="401">
        <f ca="1">IF(SUM($G319:DN319)&gt;=$E319,0,IF($E319-SUM($G319:DN319)&gt;DO320,DO320,$E319-SUM($G320:DN320)))</f>
        <v>0</v>
      </c>
      <c r="DP319" s="401">
        <f ca="1">IF(SUM($G319:DO319)&gt;=$E319,0,IF($E319-SUM($G319:DO319)&gt;DP320,DP320,$E319-SUM($G320:DO320)))</f>
        <v>0</v>
      </c>
      <c r="DQ319" s="401">
        <f ca="1">IF(SUM($G319:DP319)&gt;=$E319,0,IF($E319-SUM($G319:DP319)&gt;DQ320,DQ320,$E319-SUM($G320:DP320)))</f>
        <v>0</v>
      </c>
      <c r="DR319" s="401">
        <f ca="1">IF(SUM($G319:DQ319)&gt;=$E319,0,IF($E319-SUM($G319:DQ319)&gt;DR320,DR320,$E319-SUM($G320:DQ320)))</f>
        <v>0</v>
      </c>
      <c r="DS319" s="401">
        <f ca="1">IF(SUM($G319:DR319)&gt;=$E319,0,IF($E319-SUM($G319:DR319)&gt;DS320,DS320,$E319-SUM($G320:DR320)))</f>
        <v>0</v>
      </c>
      <c r="DT319" s="401">
        <f ca="1">IF(SUM($G319:DS319)&gt;=$E319,0,IF($E319-SUM($G319:DS319)&gt;DT320,DT320,$E319-SUM($G320:DS320)))</f>
        <v>0</v>
      </c>
      <c r="DU319" s="401">
        <f ca="1">IF(SUM($G319:DT319)&gt;=$E319,0,IF($E319-SUM($G319:DT319)&gt;DU320,DU320,$E319-SUM($G320:DT320)))</f>
        <v>0</v>
      </c>
      <c r="DV319" s="401">
        <f ca="1">IF(SUM($G319:DU319)&gt;=$E319,0,IF($E319-SUM($G319:DU319)&gt;DV320,DV320,$E319-SUM($G320:DU320)))</f>
        <v>0</v>
      </c>
      <c r="DW319" s="401">
        <f ca="1">IF(SUM($G319:DV319)&gt;=$E319,0,IF($E319-SUM($G319:DV319)&gt;DW320,DW320,$E319-SUM($G320:DV320)))</f>
        <v>0</v>
      </c>
      <c r="DX319" s="401">
        <f ca="1">IF(SUM($G319:DW319)&gt;=$E319,0,IF($E319-SUM($G319:DW319)&gt;DX320,DX320,$E319-SUM($G320:DW320)))</f>
        <v>0</v>
      </c>
      <c r="DY319" s="401">
        <f ca="1">IF(SUM($G319:DX319)&gt;=$E319,0,IF($E319-SUM($G319:DX319)&gt;DY320,DY320,$E319-SUM($G320:DX320)))</f>
        <v>0</v>
      </c>
      <c r="DZ319" s="401">
        <f ca="1">IF(SUM($G319:DY319)&gt;=$E319,0,IF($E319-SUM($G319:DY319)&gt;DZ320,DZ320,$E319-SUM($G320:DY320)))</f>
        <v>0</v>
      </c>
      <c r="EA319" s="401">
        <f ca="1">IF(SUM($G319:DZ319)&gt;=$E319,0,IF($E319-SUM($G319:DZ319)&gt;EA320,EA320,$E319-SUM($G320:DZ320)))</f>
        <v>0</v>
      </c>
      <c r="EB319" s="401">
        <f ca="1">IF(SUM($G319:EA319)&gt;=$E319,0,IF($E319-SUM($G319:EA319)&gt;EB320,EB320,$E319-SUM($G320:EA320)))</f>
        <v>0</v>
      </c>
      <c r="EC319" s="401">
        <f ca="1">IF(SUM($G319:EB319)&gt;=$E319,0,IF($E319-SUM($G319:EB319)&gt;EC320,EC320,$E319-SUM($G320:EB320)))</f>
        <v>0</v>
      </c>
      <c r="ED319" s="401">
        <f ca="1">IF(SUM($G319:EC319)&gt;=$E319,0,IF($E319-SUM($G319:EC319)&gt;ED320,ED320,$E319-SUM($G320:EC320)))</f>
        <v>0</v>
      </c>
      <c r="EE319" s="401">
        <f ca="1">IF(SUM($G319:ED319)&gt;=$E319,0,IF($E319-SUM($G319:ED319)&gt;EE320,EE320,$E319-SUM($G320:ED320)))</f>
        <v>0</v>
      </c>
      <c r="EF319" s="401">
        <f ca="1">IF(SUM($G319:EE319)&gt;=$E319,0,IF($E319-SUM($G319:EE319)&gt;EF320,EF320,$E319-SUM($G320:EE320)))</f>
        <v>0</v>
      </c>
      <c r="EG319" s="401">
        <f ca="1">IF(SUM($G319:EF319)&gt;=$E319,0,IF($E319-SUM($G319:EF319)&gt;EG320,EG320,$E319-SUM($G320:EF320)))</f>
        <v>0</v>
      </c>
      <c r="EH319" s="401">
        <f ca="1">IF(SUM($G319:EG319)&gt;=$E319,0,IF($E319-SUM($G319:EG319)&gt;EH320,EH320,$E319-SUM($G320:EG320)))</f>
        <v>0</v>
      </c>
      <c r="EI319" s="401">
        <f ca="1">IF(SUM($G319:EH319)&gt;=$E319,0,IF($E319-SUM($G319:EH319)&gt;EI320,EI320,$E319-SUM($G320:EH320)))</f>
        <v>0</v>
      </c>
      <c r="EK319" s="313"/>
    </row>
    <row r="320" spans="1:141" hidden="1" outlineLevel="2">
      <c r="A320" s="332"/>
      <c r="B320" s="313"/>
      <c r="C320" s="308"/>
      <c r="D320" s="308"/>
      <c r="E320" s="308"/>
      <c r="G320" s="402"/>
      <c r="H320" s="402">
        <f ca="1">IF((SUM($G300:H300)-$E299*IF(длительность!$B$13&gt;70,0.25,0.4))&lt;0,0,IF((SUM($G300:H300)-$E299*IF(длительность!$B$13&gt;70,0.25,0.4))&lt;H300,SUM($G300:H300)-$E299*IF(длительность!$B$13&gt;70,0.25,0.4),H300))</f>
        <v>0</v>
      </c>
      <c r="I320" s="402">
        <f ca="1">IF((SUM($G300:I300)-$E299*IF(длительность!$B$13&gt;70,0.25,0.4))&lt;0,0,IF((SUM($G300:I300)-$E299*IF(длительность!$B$13&gt;70,0.25,0.4))&lt;I300,SUM($G300:I300)-$E299*IF(длительность!$B$13&gt;70,0.25,0.4),I300))</f>
        <v>0</v>
      </c>
      <c r="J320" s="402">
        <f ca="1">IF((SUM($G300:J300)-$E299*IF(длительность!$B$13&gt;70,0.25,0.4))&lt;0,0,IF((SUM($G300:J300)-$E299*IF(длительность!$B$13&gt;70,0.25,0.4))&lt;J300,SUM($G300:J300)-$E299*IF(длительность!$B$13&gt;70,0.25,0.4),J300))</f>
        <v>0</v>
      </c>
      <c r="K320" s="402">
        <f ca="1">IF((SUM($G300:K300)-$E299*IF(длительность!$B$13&gt;70,0.25,0.4))&lt;0,0,IF((SUM($G300:K300)-$E299*IF(длительность!$B$13&gt;70,0.25,0.4))&lt;K300,SUM($G300:K300)-$E299*IF(длительность!$B$13&gt;70,0.25,0.4),K300))</f>
        <v>0</v>
      </c>
      <c r="L320" s="402">
        <f ca="1">IF((SUM($G300:L300)-$E299*IF(длительность!$B$13&gt;70,0.25,0.4))&lt;0,0,IF((SUM($G300:L300)-$E299*IF(длительность!$B$13&gt;70,0.25,0.4))&lt;L300,SUM($G300:L300)-$E299*IF(длительность!$B$13&gt;70,0.25,0.4),L300))</f>
        <v>0</v>
      </c>
      <c r="M320" s="402">
        <f ca="1">IF((SUM($G300:M300)-$E299*IF(длительность!$B$13&gt;70,0.25,0.4))&lt;0,0,IF((SUM($G300:M300)-$E299*IF(длительность!$B$13&gt;70,0.25,0.4))&lt;M300,SUM($G300:M300)-$E299*IF(длительность!$B$13&gt;70,0.25,0.4),M300))</f>
        <v>0</v>
      </c>
      <c r="N320" s="402">
        <f ca="1">IF((SUM($G300:N300)-$E299*IF(длительность!$B$13&gt;70,0.25,0.4))&lt;0,0,IF((SUM($G300:N300)-$E299*IF(длительность!$B$13&gt;70,0.25,0.4))&lt;N300,SUM($G300:N300)-$E299*IF(длительность!$B$13&gt;70,0.25,0.4),N300))</f>
        <v>0</v>
      </c>
      <c r="O320" s="402">
        <f ca="1">IF((SUM($G300:O300)-$E299*IF(длительность!$B$13&gt;70,0.25,0.4))&lt;0,0,IF((SUM($G300:O300)-$E299*IF(длительность!$B$13&gt;70,0.25,0.4))&lt;O300,SUM($G300:O300)-$E299*IF(длительность!$B$13&gt;70,0.25,0.4),O300))</f>
        <v>0</v>
      </c>
      <c r="P320" s="402">
        <f ca="1">IF((SUM($G300:P300)-$E299*IF(длительность!$B$13&gt;70,0.25,0.4))&lt;0,0,IF((SUM($G300:P300)-$E299*IF(длительность!$B$13&gt;70,0.25,0.4))&lt;P300,SUM($G300:P300)-$E299*IF(длительность!$B$13&gt;70,0.25,0.4),P300))</f>
        <v>0</v>
      </c>
      <c r="Q320" s="402">
        <f ca="1">IF((SUM($G300:Q300)-$E299*IF(длительность!$B$13&gt;70,0.25,0.4))&lt;0,0,IF((SUM($G300:Q300)-$E299*IF(длительность!$B$13&gt;70,0.25,0.4))&lt;Q300,SUM($G300:Q300)-$E299*IF(длительность!$B$13&gt;70,0.25,0.4),Q300))</f>
        <v>0</v>
      </c>
      <c r="R320" s="402">
        <f ca="1">IF((SUM($G300:R300)-$E299*IF(длительность!$B$13&gt;70,0.25,0.4))&lt;0,0,IF((SUM($G300:R300)-$E299*IF(длительность!$B$13&gt;70,0.25,0.4))&lt;R300,SUM($G300:R300)-$E299*IF(длительность!$B$13&gt;70,0.25,0.4),R300))</f>
        <v>0</v>
      </c>
      <c r="S320" s="402">
        <f ca="1">IF((SUM($G300:S300)-$E299*IF(длительность!$B$13&gt;70,0.25,0.4))&lt;0,0,IF((SUM($G300:S300)-$E299*IF(длительность!$B$13&gt;70,0.25,0.4))&lt;S300,SUM($G300:S300)-$E299*IF(длительность!$B$13&gt;70,0.25,0.4),S300))</f>
        <v>0</v>
      </c>
      <c r="T320" s="402">
        <f ca="1">IF((SUM($G300:T300)-$E299*IF(длительность!$B$13&gt;70,0.25,0.4))&lt;0,0,IF((SUM($G300:T300)-$E299*IF(длительность!$B$13&gt;70,0.25,0.4))&lt;T300,SUM($G300:T300)-$E299*IF(длительность!$B$13&gt;70,0.25,0.4),T300))</f>
        <v>0</v>
      </c>
      <c r="U320" s="402">
        <f ca="1">IF((SUM($G300:U300)-$E299*IF(длительность!$B$13&gt;70,0.25,0.4))&lt;0,0,IF((SUM($G300:U300)-$E299*IF(длительность!$B$13&gt;70,0.25,0.4))&lt;U300,SUM($G300:U300)-$E299*IF(длительность!$B$13&gt;70,0.25,0.4),U300))</f>
        <v>0</v>
      </c>
      <c r="V320" s="402">
        <f ca="1">IF((SUM($G300:V300)-$E299*IF(длительность!$B$13&gt;70,0.25,0.4))&lt;0,0,IF((SUM($G300:V300)-$E299*IF(длительность!$B$13&gt;70,0.25,0.4))&lt;V300,SUM($G300:V300)-$E299*IF(длительность!$B$13&gt;70,0.25,0.4),V300))</f>
        <v>0</v>
      </c>
      <c r="W320" s="402">
        <f ca="1">IF((SUM($G300:W300)-$E299*IF(длительность!$B$13&gt;70,0.25,0.4))&lt;0,0,IF((SUM($G300:W300)-$E299*IF(длительность!$B$13&gt;70,0.25,0.4))&lt;W300,SUM($G300:W300)-$E299*IF(длительность!$B$13&gt;70,0.25,0.4),W300))</f>
        <v>0</v>
      </c>
      <c r="X320" s="402">
        <f ca="1">IF((SUM($G300:X300)-$E299*IF(длительность!$B$13&gt;70,0.25,0.4))&lt;0,0,IF((SUM($G300:X300)-$E299*IF(длительность!$B$13&gt;70,0.25,0.4))&lt;X300,SUM($G300:X300)-$E299*IF(длительность!$B$13&gt;70,0.25,0.4),X300))</f>
        <v>0</v>
      </c>
      <c r="Y320" s="402">
        <f ca="1">IF((SUM($G300:Y300)-$E299*IF(длительность!$B$13&gt;70,0.25,0.4))&lt;0,0,IF((SUM($G300:Y300)-$E299*IF(длительность!$B$13&gt;70,0.25,0.4))&lt;Y300,SUM($G300:Y300)-$E299*IF(длительность!$B$13&gt;70,0.25,0.4),Y300))</f>
        <v>0</v>
      </c>
      <c r="Z320" s="402">
        <f ca="1">IF((SUM($G300:Z300)-$E299*IF(длительность!$B$13&gt;70,0.25,0.4))&lt;0,0,IF((SUM($G300:Z300)-$E299*IF(длительность!$B$13&gt;70,0.25,0.4))&lt;Z300,SUM($G300:Z300)-$E299*IF(длительность!$B$13&gt;70,0.25,0.4),Z300))</f>
        <v>0</v>
      </c>
      <c r="AA320" s="402">
        <f ca="1">IF((SUM($G300:AA300)-$E299*IF(длительность!$B$13&gt;70,0.25,0.4))&lt;0,0,IF((SUM($G300:AA300)-$E299*IF(длительность!$B$13&gt;70,0.25,0.4))&lt;AA300,SUM($G300:AA300)-$E299*IF(длительность!$B$13&gt;70,0.25,0.4),AA300))</f>
        <v>0</v>
      </c>
      <c r="AB320" s="402">
        <f ca="1">IF((SUM($G300:AB300)-$E299*IF(длительность!$B$13&gt;70,0.25,0.4))&lt;0,0,IF((SUM($G300:AB300)-$E299*IF(длительность!$B$13&gt;70,0.25,0.4))&lt;AB300,SUM($G300:AB300)-$E299*IF(длительность!$B$13&gt;70,0.25,0.4),AB300))</f>
        <v>0</v>
      </c>
      <c r="AC320" s="402">
        <f ca="1">IF((SUM($G300:AC300)-$E299*IF(длительность!$B$13&gt;70,0.25,0.4))&lt;0,0,IF((SUM($G300:AC300)-$E299*IF(длительность!$B$13&gt;70,0.25,0.4))&lt;AC300,SUM($G300:AC300)-$E299*IF(длительность!$B$13&gt;70,0.25,0.4),AC300))</f>
        <v>0</v>
      </c>
      <c r="AD320" s="402">
        <f ca="1">IF((SUM($G300:AD300)-$E299*IF(длительность!$B$13&gt;70,0.25,0.4))&lt;0,0,IF((SUM($G300:AD300)-$E299*IF(длительность!$B$13&gt;70,0.25,0.4))&lt;AD300,SUM($G300:AD300)-$E299*IF(длительность!$B$13&gt;70,0.25,0.4),AD300))</f>
        <v>0</v>
      </c>
      <c r="AE320" s="402">
        <f ca="1">IF((SUM($G300:AE300)-$E299*IF(длительность!$B$13&gt;70,0.25,0.4))&lt;0,0,IF((SUM($G300:AE300)-$E299*IF(длительность!$B$13&gt;70,0.25,0.4))&lt;AE300,SUM($G300:AE300)-$E299*IF(длительность!$B$13&gt;70,0.25,0.4),AE300))</f>
        <v>0</v>
      </c>
      <c r="AF320" s="402">
        <f ca="1">IF((SUM($G300:AF300)-$E299*IF(длительность!$B$13&gt;70,0.25,0.4))&lt;0,0,IF((SUM($G300:AF300)-$E299*IF(длительность!$B$13&gt;70,0.25,0.4))&lt;AF300,SUM($G300:AF300)-$E299*IF(длительность!$B$13&gt;70,0.25,0.4),AF300))</f>
        <v>0</v>
      </c>
      <c r="AG320" s="402">
        <f ca="1">IF((SUM($G300:AG300)-$E299*IF(длительность!$B$13&gt;70,0.25,0.4))&lt;0,0,IF((SUM($G300:AG300)-$E299*IF(длительность!$B$13&gt;70,0.25,0.4))&lt;AG300,SUM($G300:AG300)-$E299*IF(длительность!$B$13&gt;70,0.25,0.4),AG300))</f>
        <v>0</v>
      </c>
      <c r="AH320" s="402">
        <f ca="1">IF((SUM($G300:AH300)-$E299*IF(длительность!$B$13&gt;70,0.25,0.4))&lt;0,0,IF((SUM($G300:AH300)-$E299*IF(длительность!$B$13&gt;70,0.25,0.4))&lt;AH300,SUM($G300:AH300)-$E299*IF(длительность!$B$13&gt;70,0.25,0.4),AH300))</f>
        <v>0</v>
      </c>
      <c r="AI320" s="402">
        <f ca="1">IF((SUM($G300:AI300)-$E299*IF(длительность!$B$13&gt;70,0.25,0.4))&lt;0,0,IF((SUM($G300:AI300)-$E299*IF(длительность!$B$13&gt;70,0.25,0.4))&lt;AI300,SUM($G300:AI300)-$E299*IF(длительность!$B$13&gt;70,0.25,0.4),AI300))</f>
        <v>0</v>
      </c>
      <c r="AJ320" s="402">
        <f ca="1">IF((SUM($G300:AJ300)-$E299*IF(длительность!$B$13&gt;70,0.25,0.4))&lt;0,0,IF((SUM($G300:AJ300)-$E299*IF(длительность!$B$13&gt;70,0.25,0.4))&lt;AJ300,SUM($G300:AJ300)-$E299*IF(длительность!$B$13&gt;70,0.25,0.4),AJ300))</f>
        <v>0</v>
      </c>
      <c r="AK320" s="402">
        <f ca="1">IF((SUM($G300:AK300)-$E299*IF(длительность!$B$13&gt;70,0.25,0.4))&lt;0,0,IF((SUM($G300:AK300)-$E299*IF(длительность!$B$13&gt;70,0.25,0.4))&lt;AK300,SUM($G300:AK300)-$E299*IF(длительность!$B$13&gt;70,0.25,0.4),AK300))</f>
        <v>0</v>
      </c>
      <c r="AL320" s="402">
        <f ca="1">IF((SUM($G300:AL300)-$E299*IF(длительность!$B$13&gt;70,0.25,0.4))&lt;0,0,IF((SUM($G300:AL300)-$E299*IF(длительность!$B$13&gt;70,0.25,0.4))&lt;AL300,SUM($G300:AL300)-$E299*IF(длительность!$B$13&gt;70,0.25,0.4),AL300))</f>
        <v>0</v>
      </c>
      <c r="AM320" s="402">
        <f ca="1">IF((SUM($G300:AM300)-$E299*IF(длительность!$B$13&gt;70,0.25,0.4))&lt;0,0,IF((SUM($G300:AM300)-$E299*IF(длительность!$B$13&gt;70,0.25,0.4))&lt;AM300,SUM($G300:AM300)-$E299*IF(длительность!$B$13&gt;70,0.25,0.4),AM300))</f>
        <v>0</v>
      </c>
      <c r="AN320" s="402">
        <f ca="1">IF((SUM($G300:AN300)-$E299*IF(длительность!$B$13&gt;70,0.25,0.4))&lt;0,0,IF((SUM($G300:AN300)-$E299*IF(длительность!$B$13&gt;70,0.25,0.4))&lt;AN300,SUM($G300:AN300)-$E299*IF(длительность!$B$13&gt;70,0.25,0.4),AN300))</f>
        <v>0</v>
      </c>
      <c r="AO320" s="402">
        <f ca="1">IF((SUM($G300:AO300)-$E299*IF(длительность!$B$13&gt;70,0.25,0.4))&lt;0,0,IF((SUM($G300:AO300)-$E299*IF(длительность!$B$13&gt;70,0.25,0.4))&lt;AO300,SUM($G300:AO300)-$E299*IF(длительность!$B$13&gt;70,0.25,0.4),AO300))</f>
        <v>0</v>
      </c>
      <c r="AP320" s="402">
        <f ca="1">IF((SUM($G300:AP300)-$E299*IF(длительность!$B$13&gt;70,0.25,0.4))&lt;0,0,IF((SUM($G300:AP300)-$E299*IF(длительность!$B$13&gt;70,0.25,0.4))&lt;AP300,SUM($G300:AP300)-$E299*IF(длительность!$B$13&gt;70,0.25,0.4),AP300))</f>
        <v>0</v>
      </c>
      <c r="AQ320" s="402">
        <f ca="1">IF((SUM($G300:AQ300)-$E299*IF(длительность!$B$13&gt;70,0.25,0.4))&lt;0,0,IF((SUM($G300:AQ300)-$E299*IF(длительность!$B$13&gt;70,0.25,0.4))&lt;AQ300,SUM($G300:AQ300)-$E299*IF(длительность!$B$13&gt;70,0.25,0.4),AQ300))</f>
        <v>0</v>
      </c>
      <c r="AR320" s="402">
        <f ca="1">IF((SUM($G300:AR300)-$E299*IF(длительность!$B$13&gt;70,0.25,0.4))&lt;0,0,IF((SUM($G300:AR300)-$E299*IF(длительность!$B$13&gt;70,0.25,0.4))&lt;AR300,SUM($G300:AR300)-$E299*IF(длительность!$B$13&gt;70,0.25,0.4),AR300))</f>
        <v>0</v>
      </c>
      <c r="AS320" s="402">
        <f ca="1">IF((SUM($G300:AS300)-$E299*IF(длительность!$B$13&gt;70,0.25,0.4))&lt;0,0,IF((SUM($G300:AS300)-$E299*IF(длительность!$B$13&gt;70,0.25,0.4))&lt;AS300,SUM($G300:AS300)-$E299*IF(длительность!$B$13&gt;70,0.25,0.4),AS300))</f>
        <v>0</v>
      </c>
      <c r="AT320" s="402">
        <f ca="1">IF((SUM($G300:AT300)-$E299*IF(длительность!$B$13&gt;70,0.25,0.4))&lt;0,0,IF((SUM($G300:AT300)-$E299*IF(длительность!$B$13&gt;70,0.25,0.4))&lt;AT300,SUM($G300:AT300)-$E299*IF(длительность!$B$13&gt;70,0.25,0.4),AT300))</f>
        <v>0</v>
      </c>
      <c r="AU320" s="402">
        <f ca="1">IF((SUM($G300:AU300)-$E299*IF(длительность!$B$13&gt;70,0.25,0.4))&lt;0,0,IF((SUM($G300:AU300)-$E299*IF(длительность!$B$13&gt;70,0.25,0.4))&lt;AU300,SUM($G300:AU300)-$E299*IF(длительность!$B$13&gt;70,0.25,0.4),AU300))</f>
        <v>0</v>
      </c>
      <c r="AV320" s="402">
        <f ca="1">IF((SUM($G300:AV300)-$E299*IF(длительность!$B$13&gt;70,0.25,0.4))&lt;0,0,IF((SUM($G300:AV300)-$E299*IF(длительность!$B$13&gt;70,0.25,0.4))&lt;AV300,SUM($G300:AV300)-$E299*IF(длительность!$B$13&gt;70,0.25,0.4),AV300))</f>
        <v>0</v>
      </c>
      <c r="AW320" s="402">
        <f ca="1">IF((SUM($G300:AW300)-$E299*IF(длительность!$B$13&gt;70,0.25,0.4))&lt;0,0,IF((SUM($G300:AW300)-$E299*IF(длительность!$B$13&gt;70,0.25,0.4))&lt;AW300,SUM($G300:AW300)-$E299*IF(длительность!$B$13&gt;70,0.25,0.4),AW300))</f>
        <v>5.0500000000000114</v>
      </c>
      <c r="AX320" s="402">
        <f ca="1">IF((SUM($G300:AX300)-$E299*IF(длительность!$B$13&gt;70,0.25,0.4))&lt;0,0,IF((SUM($G300:AX300)-$E299*IF(длительность!$B$13&gt;70,0.25,0.4))&lt;AX300,SUM($G300:AX300)-$E299*IF(длительность!$B$13&gt;70,0.25,0.4),AX300))</f>
        <v>31</v>
      </c>
      <c r="AY320" s="402">
        <f ca="1">IF((SUM($G300:AY300)-$E299*IF(длительность!$B$13&gt;70,0.25,0.4))&lt;0,0,IF((SUM($G300:AY300)-$E299*IF(длительность!$B$13&gt;70,0.25,0.4))&lt;AY300,SUM($G300:AY300)-$E299*IF(длительность!$B$13&gt;70,0.25,0.4),AY300))</f>
        <v>30</v>
      </c>
      <c r="AZ320" s="402">
        <f ca="1">IF((SUM($G300:AZ300)-$E299*IF(длительность!$B$13&gt;70,0.25,0.4))&lt;0,0,IF((SUM($G300:AZ300)-$E299*IF(длительность!$B$13&gt;70,0.25,0.4))&lt;AZ300,SUM($G300:AZ300)-$E299*IF(длительность!$B$13&gt;70,0.25,0.4),AZ300))</f>
        <v>31</v>
      </c>
      <c r="BA320" s="402">
        <f ca="1">IF((SUM($G300:BA300)-$E299*IF(длительность!$B$13&gt;70,0.25,0.4))&lt;0,0,IF((SUM($G300:BA300)-$E299*IF(длительность!$B$13&gt;70,0.25,0.4))&lt;BA300,SUM($G300:BA300)-$E299*IF(длительность!$B$13&gt;70,0.25,0.4),BA300))</f>
        <v>31</v>
      </c>
      <c r="BB320" s="402">
        <f ca="1">IF((SUM($G300:BB300)-$E299*IF(длительность!$B$13&gt;70,0.25,0.4))&lt;0,0,IF((SUM($G300:BB300)-$E299*IF(длительность!$B$13&gt;70,0.25,0.4))&lt;BB300,SUM($G300:BB300)-$E299*IF(длительность!$B$13&gt;70,0.25,0.4),BB300))</f>
        <v>28</v>
      </c>
      <c r="BC320" s="402">
        <f ca="1">IF((SUM($G300:BC300)-$E299*IF(длительность!$B$13&gt;70,0.25,0.4))&lt;0,0,IF((SUM($G300:BC300)-$E299*IF(длительность!$B$13&gt;70,0.25,0.4))&lt;BC300,SUM($G300:BC300)-$E299*IF(длительность!$B$13&gt;70,0.25,0.4),BC300))</f>
        <v>31</v>
      </c>
      <c r="BD320" s="402">
        <f ca="1">IF((SUM($G300:BD300)-$E299*IF(длительность!$B$13&gt;70,0.25,0.4))&lt;0,0,IF((SUM($G300:BD300)-$E299*IF(длительность!$B$13&gt;70,0.25,0.4))&lt;BD300,SUM($G300:BD300)-$E299*IF(длительность!$B$13&gt;70,0.25,0.4),BD300))</f>
        <v>30</v>
      </c>
      <c r="BE320" s="402">
        <f ca="1">IF((SUM($G300:BE300)-$E299*IF(длительность!$B$13&gt;70,0.25,0.4))&lt;0,0,IF((SUM($G300:BE300)-$E299*IF(длительность!$B$13&gt;70,0.25,0.4))&lt;BE300,SUM($G300:BE300)-$E299*IF(длительность!$B$13&gt;70,0.25,0.4),BE300))</f>
        <v>31</v>
      </c>
      <c r="BF320" s="402">
        <f ca="1">IF((SUM($G300:BF300)-$E299*IF(длительность!$B$13&gt;70,0.25,0.4))&lt;0,0,IF((SUM($G300:BF300)-$E299*IF(длительность!$B$13&gt;70,0.25,0.4))&lt;BF300,SUM($G300:BF300)-$E299*IF(длительность!$B$13&gt;70,0.25,0.4),BF300))</f>
        <v>30</v>
      </c>
      <c r="BG320" s="402">
        <f ca="1">IF((SUM($G300:BG300)-$E299*IF(длительность!$B$13&gt;70,0.25,0.4))&lt;0,0,IF((SUM($G300:BG300)-$E299*IF(длительность!$B$13&gt;70,0.25,0.4))&lt;BG300,SUM($G300:BG300)-$E299*IF(длительность!$B$13&gt;70,0.25,0.4),BG300))</f>
        <v>31</v>
      </c>
      <c r="BH320" s="402">
        <f ca="1">IF((SUM($G300:BH300)-$E299*IF(длительность!$B$13&gt;70,0.25,0.4))&lt;0,0,IF((SUM($G300:BH300)-$E299*IF(длительность!$B$13&gt;70,0.25,0.4))&lt;BH300,SUM($G300:BH300)-$E299*IF(длительность!$B$13&gt;70,0.25,0.4),BH300))</f>
        <v>31</v>
      </c>
      <c r="BI320" s="402">
        <f ca="1">IF((SUM($G300:BI300)-$E299*IF(длительность!$B$13&gt;70,0.25,0.4))&lt;0,0,IF((SUM($G300:BI300)-$E299*IF(длительность!$B$13&gt;70,0.25,0.4))&lt;BI300,SUM($G300:BI300)-$E299*IF(длительность!$B$13&gt;70,0.25,0.4),BI300))</f>
        <v>30</v>
      </c>
      <c r="BJ320" s="402">
        <f ca="1">IF((SUM($G300:BJ300)-$E299*IF(длительность!$B$13&gt;70,0.25,0.4))&lt;0,0,IF((SUM($G300:BJ300)-$E299*IF(длительность!$B$13&gt;70,0.25,0.4))&lt;BJ300,SUM($G300:BJ300)-$E299*IF(длительность!$B$13&gt;70,0.25,0.4),BJ300))</f>
        <v>31</v>
      </c>
      <c r="BK320" s="402">
        <f ca="1">IF((SUM($G300:BK300)-$E299*IF(длительность!$B$13&gt;70,0.25,0.4))&lt;0,0,IF((SUM($G300:BK300)-$E299*IF(длительность!$B$13&gt;70,0.25,0.4))&lt;BK300,SUM($G300:BK300)-$E299*IF(длительность!$B$13&gt;70,0.25,0.4),BK300))</f>
        <v>30</v>
      </c>
      <c r="BL320" s="402">
        <f ca="1">IF((SUM($G300:BL300)-$E299*IF(длительность!$B$13&gt;70,0.25,0.4))&lt;0,0,IF((SUM($G300:BL300)-$E299*IF(длительность!$B$13&gt;70,0.25,0.4))&lt;BL300,SUM($G300:BL300)-$E299*IF(длительность!$B$13&gt;70,0.25,0.4),BL300))</f>
        <v>31</v>
      </c>
      <c r="BM320" s="402">
        <f ca="1">IF((SUM($G300:BM300)-$E299*IF(длительность!$B$13&gt;70,0.25,0.4))&lt;0,0,IF((SUM($G300:BM300)-$E299*IF(длительность!$B$13&gt;70,0.25,0.4))&lt;BM300,SUM($G300:BM300)-$E299*IF(длительность!$B$13&gt;70,0.25,0.4),BM300))</f>
        <v>31</v>
      </c>
      <c r="BN320" s="402">
        <f ca="1">IF((SUM($G300:BN300)-$E299*IF(длительность!$B$13&gt;70,0.25,0.4))&lt;0,0,IF((SUM($G300:BN300)-$E299*IF(длительность!$B$13&gt;70,0.25,0.4))&lt;BN300,SUM($G300:BN300)-$E299*IF(длительность!$B$13&gt;70,0.25,0.4),BN300))</f>
        <v>29</v>
      </c>
      <c r="BO320" s="402">
        <f ca="1">IF((SUM($G300:BO300)-$E299*IF(длительность!$B$13&gt;70,0.25,0.4))&lt;0,0,IF((SUM($G300:BO300)-$E299*IF(длительность!$B$13&gt;70,0.25,0.4))&lt;BO300,SUM($G300:BO300)-$E299*IF(длительность!$B$13&gt;70,0.25,0.4),BO300))</f>
        <v>31</v>
      </c>
      <c r="BP320" s="402">
        <f ca="1">IF((SUM($G300:BP300)-$E299*IF(длительность!$B$13&gt;70,0.25,0.4))&lt;0,0,IF((SUM($G300:BP300)-$E299*IF(длительность!$B$13&gt;70,0.25,0.4))&lt;BP300,SUM($G300:BP300)-$E299*IF(длительность!$B$13&gt;70,0.25,0.4),BP300))</f>
        <v>30</v>
      </c>
      <c r="BQ320" s="402">
        <f ca="1">IF((SUM($G300:BQ300)-$E299*IF(длительность!$B$13&gt;70,0.25,0.4))&lt;0,0,IF((SUM($G300:BQ300)-$E299*IF(длительность!$B$13&gt;70,0.25,0.4))&lt;BQ300,SUM($G300:BQ300)-$E299*IF(длительность!$B$13&gt;70,0.25,0.4),BQ300))</f>
        <v>31</v>
      </c>
      <c r="BR320" s="402">
        <f ca="1">IF((SUM($G300:BR300)-$E299*IF(длительность!$B$13&gt;70,0.25,0.4))&lt;0,0,IF((SUM($G300:BR300)-$E299*IF(длительность!$B$13&gt;70,0.25,0.4))&lt;BR300,SUM($G300:BR300)-$E299*IF(длительность!$B$13&gt;70,0.25,0.4),BR300))</f>
        <v>30</v>
      </c>
      <c r="BS320" s="402">
        <f ca="1">IF((SUM($G300:BS300)-$E299*IF(длительность!$B$13&gt;70,0.25,0.4))&lt;0,0,IF((SUM($G300:BS300)-$E299*IF(длительность!$B$13&gt;70,0.25,0.4))&lt;BS300,SUM($G300:BS300)-$E299*IF(длительность!$B$13&gt;70,0.25,0.4),BS300))</f>
        <v>31</v>
      </c>
      <c r="BT320" s="402">
        <f ca="1">IF((SUM($G300:BT300)-$E299*IF(длительность!$B$13&gt;70,0.25,0.4))&lt;0,0,IF((SUM($G300:BT300)-$E299*IF(длительность!$B$13&gt;70,0.25,0.4))&lt;BT300,SUM($G300:BT300)-$E299*IF(длительность!$B$13&gt;70,0.25,0.4),BT300))</f>
        <v>31</v>
      </c>
      <c r="BU320" s="402">
        <f ca="1">IF((SUM($G300:BU300)-$E299*IF(длительность!$B$13&gt;70,0.25,0.4))&lt;0,0,IF((SUM($G300:BU300)-$E299*IF(длительность!$B$13&gt;70,0.25,0.4))&lt;BU300,SUM($G300:BU300)-$E299*IF(длительность!$B$13&gt;70,0.25,0.4),BU300))</f>
        <v>30</v>
      </c>
      <c r="BV320" s="402">
        <f ca="1">IF((SUM($G300:BV300)-$E299*IF(длительность!$B$13&gt;70,0.25,0.4))&lt;0,0,IF((SUM($G300:BV300)-$E299*IF(длительность!$B$13&gt;70,0.25,0.4))&lt;BV300,SUM($G300:BV300)-$E299*IF(длительность!$B$13&gt;70,0.25,0.4),BV300))</f>
        <v>31</v>
      </c>
      <c r="BW320" s="402">
        <f ca="1">IF((SUM($G300:BW300)-$E299*IF(длительность!$B$13&gt;70,0.25,0.4))&lt;0,0,IF((SUM($G300:BW300)-$E299*IF(длительность!$B$13&gt;70,0.25,0.4))&lt;BW300,SUM($G300:BW300)-$E299*IF(длительность!$B$13&gt;70,0.25,0.4),BW300))</f>
        <v>30</v>
      </c>
      <c r="BX320" s="402">
        <f ca="1">IF((SUM($G300:BX300)-$E299*IF(длительность!$B$13&gt;70,0.25,0.4))&lt;0,0,IF((SUM($G300:BX300)-$E299*IF(длительность!$B$13&gt;70,0.25,0.4))&lt;BX300,SUM($G300:BX300)-$E299*IF(длительность!$B$13&gt;70,0.25,0.4),BX300))</f>
        <v>31</v>
      </c>
      <c r="BY320" s="402">
        <f ca="1">IF((SUM($G300:BY300)-$E299*IF(длительность!$B$13&gt;70,0.25,0.4))&lt;0,0,IF((SUM($G300:BY300)-$E299*IF(длительность!$B$13&gt;70,0.25,0.4))&lt;BY300,SUM($G300:BY300)-$E299*IF(длительность!$B$13&gt;70,0.25,0.4),BY300))</f>
        <v>31</v>
      </c>
      <c r="BZ320" s="402">
        <f ca="1">IF((SUM($G300:BZ300)-$E299*IF(длительность!$B$13&gt;70,0.25,0.4))&lt;0,0,IF((SUM($G300:BZ300)-$E299*IF(длительность!$B$13&gt;70,0.25,0.4))&lt;BZ300,SUM($G300:BZ300)-$E299*IF(длительность!$B$13&gt;70,0.25,0.4),BZ300))</f>
        <v>28</v>
      </c>
      <c r="CA320" s="402">
        <f ca="1">IF((SUM($G300:CA300)-$E299*IF(длительность!$B$13&gt;70,0.25,0.4))&lt;0,0,IF((SUM($G300:CA300)-$E299*IF(длительность!$B$13&gt;70,0.25,0.4))&lt;CA300,SUM($G300:CA300)-$E299*IF(длительность!$B$13&gt;70,0.25,0.4),CA300))</f>
        <v>31</v>
      </c>
      <c r="CB320" s="402">
        <f ca="1">IF((SUM($G300:CB300)-$E299*IF(длительность!$B$13&gt;70,0.25,0.4))&lt;0,0,IF((SUM($G300:CB300)-$E299*IF(длительность!$B$13&gt;70,0.25,0.4))&lt;CB300,SUM($G300:CB300)-$E299*IF(длительность!$B$13&gt;70,0.25,0.4),CB300))</f>
        <v>30</v>
      </c>
      <c r="CC320" s="402">
        <f ca="1">IF((SUM($G300:CC300)-$E299*IF(длительность!$B$13&gt;70,0.25,0.4))&lt;0,0,IF((SUM($G300:CC300)-$E299*IF(длительность!$B$13&gt;70,0.25,0.4))&lt;CC300,SUM($G300:CC300)-$E299*IF(длительность!$B$13&gt;70,0.25,0.4),CC300))</f>
        <v>31</v>
      </c>
      <c r="CD320" s="402">
        <f ca="1">IF((SUM($G300:CD300)-$E299*IF(длительность!$B$13&gt;70,0.25,0.4))&lt;0,0,IF((SUM($G300:CD300)-$E299*IF(длительность!$B$13&gt;70,0.25,0.4))&lt;CD300,SUM($G300:CD300)-$E299*IF(длительность!$B$13&gt;70,0.25,0.4),CD300))</f>
        <v>30</v>
      </c>
      <c r="CE320" s="402">
        <f ca="1">IF((SUM($G300:CE300)-$E299*IF(длительность!$B$13&gt;70,0.25,0.4))&lt;0,0,IF((SUM($G300:CE300)-$E299*IF(длительность!$B$13&gt;70,0.25,0.4))&lt;CE300,SUM($G300:CE300)-$E299*IF(длительность!$B$13&gt;70,0.25,0.4),CE300))</f>
        <v>31</v>
      </c>
      <c r="CF320" s="402">
        <f ca="1">IF((SUM($G300:CF300)-$E299*IF(длительность!$B$13&gt;70,0.25,0.4))&lt;0,0,IF((SUM($G300:CF300)-$E299*IF(длительность!$B$13&gt;70,0.25,0.4))&lt;CF300,SUM($G300:CF300)-$E299*IF(длительность!$B$13&gt;70,0.25,0.4),CF300))</f>
        <v>31</v>
      </c>
      <c r="CG320" s="402">
        <f ca="1">IF((SUM($G300:CG300)-$E299*IF(длительность!$B$13&gt;70,0.25,0.4))&lt;0,0,IF((SUM($G300:CG300)-$E299*IF(длительность!$B$13&gt;70,0.25,0.4))&lt;CG300,SUM($G300:CG300)-$E299*IF(длительность!$B$13&gt;70,0.25,0.4),CG300))</f>
        <v>30</v>
      </c>
      <c r="CH320" s="402">
        <f ca="1">IF((SUM($G300:CH300)-$E299*IF(длительность!$B$13&gt;70,0.25,0.4))&lt;0,0,IF((SUM($G300:CH300)-$E299*IF(длительность!$B$13&gt;70,0.25,0.4))&lt;CH300,SUM($G300:CH300)-$E299*IF(длительность!$B$13&gt;70,0.25,0.4),CH300))</f>
        <v>31</v>
      </c>
      <c r="CI320" s="402">
        <f ca="1">IF((SUM($G300:CI300)-$E299*IF(длительность!$B$13&gt;70,0.25,0.4))&lt;0,0,IF((SUM($G300:CI300)-$E299*IF(длительность!$B$13&gt;70,0.25,0.4))&lt;CI300,SUM($G300:CI300)-$E299*IF(длительность!$B$13&gt;70,0.25,0.4),CI300))</f>
        <v>30</v>
      </c>
      <c r="CJ320" s="402">
        <f ca="1">IF((SUM($G300:CJ300)-$E299*IF(длительность!$B$13&gt;70,0.25,0.4))&lt;0,0,IF((SUM($G300:CJ300)-$E299*IF(длительность!$B$13&gt;70,0.25,0.4))&lt;CJ300,SUM($G300:CJ300)-$E299*IF(длительность!$B$13&gt;70,0.25,0.4),CJ300))</f>
        <v>31</v>
      </c>
      <c r="CK320" s="402">
        <f ca="1">IF((SUM($G300:CK300)-$E299*IF(длительность!$B$13&gt;70,0.25,0.4))&lt;0,0,IF((SUM($G300:CK300)-$E299*IF(длительность!$B$13&gt;70,0.25,0.4))&lt;CK300,SUM($G300:CK300)-$E299*IF(длительность!$B$13&gt;70,0.25,0.4),CK300))</f>
        <v>31</v>
      </c>
      <c r="CL320" s="402">
        <f ca="1">IF((SUM($G300:CL300)-$E299*IF(длительность!$B$13&gt;70,0.25,0.4))&lt;0,0,IF((SUM($G300:CL300)-$E299*IF(длительность!$B$13&gt;70,0.25,0.4))&lt;CL300,SUM($G300:CL300)-$E299*IF(длительность!$B$13&gt;70,0.25,0.4),CL300))</f>
        <v>28</v>
      </c>
      <c r="CM320" s="402">
        <f ca="1">IF((SUM($G300:CM300)-$E299*IF(длительность!$B$13&gt;70,0.25,0.4))&lt;0,0,IF((SUM($G300:CM300)-$E299*IF(длительность!$B$13&gt;70,0.25,0.4))&lt;CM300,SUM($G300:CM300)-$E299*IF(длительность!$B$13&gt;70,0.25,0.4),CM300))</f>
        <v>31</v>
      </c>
      <c r="CN320" s="402">
        <f ca="1">IF((SUM($G300:CN300)-$E299*IF(длительность!$B$13&gt;70,0.25,0.4))&lt;0,0,IF((SUM($G300:CN300)-$E299*IF(длительность!$B$13&gt;70,0.25,0.4))&lt;CN300,SUM($G300:CN300)-$E299*IF(длительность!$B$13&gt;70,0.25,0.4),CN300))</f>
        <v>30</v>
      </c>
      <c r="CO320" s="402">
        <f ca="1">IF((SUM($G300:CO300)-$E299*IF(длительность!$B$13&gt;70,0.25,0.4))&lt;0,0,IF((SUM($G300:CO300)-$E299*IF(длительность!$B$13&gt;70,0.25,0.4))&lt;CO300,SUM($G300:CO300)-$E299*IF(длительность!$B$13&gt;70,0.25,0.4),CO300))</f>
        <v>31</v>
      </c>
      <c r="CP320" s="402">
        <f ca="1">IF((SUM($G300:CP300)-$E299*IF(длительность!$B$13&gt;70,0.25,0.4))&lt;0,0,IF((SUM($G300:CP300)-$E299*IF(длительность!$B$13&gt;70,0.25,0.4))&lt;CP300,SUM($G300:CP300)-$E299*IF(длительность!$B$13&gt;70,0.25,0.4),CP300))</f>
        <v>30</v>
      </c>
      <c r="CQ320" s="402">
        <f ca="1">IF((SUM($G300:CQ300)-$E299*IF(длительность!$B$13&gt;70,0.25,0.4))&lt;0,0,IF((SUM($G300:CQ300)-$E299*IF(длительность!$B$13&gt;70,0.25,0.4))&lt;CQ300,SUM($G300:CQ300)-$E299*IF(длительность!$B$13&gt;70,0.25,0.4),CQ300))</f>
        <v>31</v>
      </c>
      <c r="CR320" s="402">
        <f ca="1">IF((SUM($G300:CR300)-$E299*IF(длительность!$B$13&gt;70,0.25,0.4))&lt;0,0,IF((SUM($G300:CR300)-$E299*IF(длительность!$B$13&gt;70,0.25,0.4))&lt;CR300,SUM($G300:CR300)-$E299*IF(длительность!$B$13&gt;70,0.25,0.4),CR300))</f>
        <v>31</v>
      </c>
      <c r="CS320" s="402">
        <f ca="1">IF((SUM($G300:CS300)-$E299*IF(длительность!$B$13&gt;70,0.25,0.4))&lt;0,0,IF((SUM($G300:CS300)-$E299*IF(длительность!$B$13&gt;70,0.25,0.4))&lt;CS300,SUM($G300:CS300)-$E299*IF(длительность!$B$13&gt;70,0.25,0.4),CS300))</f>
        <v>30</v>
      </c>
      <c r="CT320" s="402">
        <f ca="1">IF((SUM($G300:CT300)-$E299*IF(длительность!$B$13&gt;70,0.25,0.4))&lt;0,0,IF((SUM($G300:CT300)-$E299*IF(длительность!$B$13&gt;70,0.25,0.4))&lt;CT300,SUM($G300:CT300)-$E299*IF(длительность!$B$13&gt;70,0.25,0.4),CT300))</f>
        <v>31</v>
      </c>
      <c r="CU320" s="402">
        <f ca="1">IF((SUM($G300:CU300)-$E299*IF(длительность!$B$13&gt;70,0.25,0.4))&lt;0,0,IF((SUM($G300:CU300)-$E299*IF(длительность!$B$13&gt;70,0.25,0.4))&lt;CU300,SUM($G300:CU300)-$E299*IF(длительность!$B$13&gt;70,0.25,0.4),CU300))</f>
        <v>30</v>
      </c>
      <c r="CV320" s="402">
        <f ca="1">IF((SUM($G300:CV300)-$E299*IF(длительность!$B$13&gt;70,0.25,0.4))&lt;0,0,IF((SUM($G300:CV300)-$E299*IF(длительность!$B$13&gt;70,0.25,0.4))&lt;CV300,SUM($G300:CV300)-$E299*IF(длительность!$B$13&gt;70,0.25,0.4),CV300))</f>
        <v>31</v>
      </c>
      <c r="CW320" s="402">
        <f ca="1">IF((SUM($G300:CW300)-$E299*IF(длительность!$B$13&gt;70,0.25,0.4))&lt;0,0,IF((SUM($G300:CW300)-$E299*IF(длительность!$B$13&gt;70,0.25,0.4))&lt;CW300,SUM($G300:CW300)-$E299*IF(длительность!$B$13&gt;70,0.25,0.4),CW300))</f>
        <v>31</v>
      </c>
      <c r="CX320" s="402">
        <f ca="1">IF((SUM($G300:CX300)-$E299*IF(длительность!$B$13&gt;70,0.25,0.4))&lt;0,0,IF((SUM($G300:CX300)-$E299*IF(длительность!$B$13&gt;70,0.25,0.4))&lt;CX300,SUM($G300:CX300)-$E299*IF(длительность!$B$13&gt;70,0.25,0.4),CX300))</f>
        <v>28</v>
      </c>
      <c r="CY320" s="402">
        <f ca="1">IF((SUM($G300:CY300)-$E299*IF(длительность!$B$13&gt;70,0.25,0.4))&lt;0,0,IF((SUM($G300:CY300)-$E299*IF(длительность!$B$13&gt;70,0.25,0.4))&lt;CY300,SUM($G300:CY300)-$E299*IF(длительность!$B$13&gt;70,0.25,0.4),CY300))</f>
        <v>31</v>
      </c>
      <c r="CZ320" s="402">
        <f ca="1">IF((SUM($G300:CZ300)-$E299*IF(длительность!$B$13&gt;70,0.25,0.4))&lt;0,0,IF((SUM($G300:CZ300)-$E299*IF(длительность!$B$13&gt;70,0.25,0.4))&lt;CZ300,SUM($G300:CZ300)-$E299*IF(длительность!$B$13&gt;70,0.25,0.4),CZ300))</f>
        <v>30</v>
      </c>
      <c r="DA320" s="402">
        <f ca="1">IF((SUM($G300:DA300)-$E299*IF(длительность!$B$13&gt;70,0.25,0.4))&lt;0,0,IF((SUM($G300:DA300)-$E299*IF(длительность!$B$13&gt;70,0.25,0.4))&lt;DA300,SUM($G300:DA300)-$E299*IF(длительность!$B$13&gt;70,0.25,0.4),DA300))</f>
        <v>31</v>
      </c>
      <c r="DB320" s="402">
        <f ca="1">IF((SUM($G300:DB300)-$E299*IF(длительность!$B$13&gt;70,0.25,0.4))&lt;0,0,IF((SUM($G300:DB300)-$E299*IF(длительность!$B$13&gt;70,0.25,0.4))&lt;DB300,SUM($G300:DB300)-$E299*IF(длительность!$B$13&gt;70,0.25,0.4),DB300))</f>
        <v>30</v>
      </c>
      <c r="DC320" s="402">
        <f ca="1">IF((SUM($G300:DC300)-$E299*IF(длительность!$B$13&gt;70,0.25,0.4))&lt;0,0,IF((SUM($G300:DC300)-$E299*IF(длительность!$B$13&gt;70,0.25,0.4))&lt;DC300,SUM($G300:DC300)-$E299*IF(длительность!$B$13&gt;70,0.25,0.4),DC300))</f>
        <v>31</v>
      </c>
      <c r="DD320" s="402">
        <f ca="1">IF((SUM($G300:DD300)-$E299*IF(длительность!$B$13&gt;70,0.25,0.4))&lt;0,0,IF((SUM($G300:DD300)-$E299*IF(длительность!$B$13&gt;70,0.25,0.4))&lt;DD300,SUM($G300:DD300)-$E299*IF(длительность!$B$13&gt;70,0.25,0.4),DD300))</f>
        <v>31</v>
      </c>
      <c r="DE320" s="402">
        <f ca="1">IF((SUM($G300:DE300)-$E299*IF(длительность!$B$13&gt;70,0.25,0.4))&lt;0,0,IF((SUM($G300:DE300)-$E299*IF(длительность!$B$13&gt;70,0.25,0.4))&lt;DE300,SUM($G300:DE300)-$E299*IF(длительность!$B$13&gt;70,0.25,0.4),DE300))</f>
        <v>30</v>
      </c>
      <c r="DF320" s="402">
        <f ca="1">IF((SUM($G300:DF300)-$E299*IF(длительность!$B$13&gt;70,0.25,0.4))&lt;0,0,IF((SUM($G300:DF300)-$E299*IF(длительность!$B$13&gt;70,0.25,0.4))&lt;DF300,SUM($G300:DF300)-$E299*IF(длительность!$B$13&gt;70,0.25,0.4),DF300))</f>
        <v>31</v>
      </c>
      <c r="DG320" s="402">
        <f ca="1">IF((SUM($G300:DG300)-$E299*IF(длительность!$B$13&gt;70,0.25,0.4))&lt;0,0,IF((SUM($G300:DG300)-$E299*IF(длительность!$B$13&gt;70,0.25,0.4))&lt;DG300,SUM($G300:DG300)-$E299*IF(длительность!$B$13&gt;70,0.25,0.4),DG300))</f>
        <v>30</v>
      </c>
      <c r="DH320" s="402">
        <f ca="1">IF((SUM($G300:DH300)-$E299*IF(длительность!$B$13&gt;70,0.25,0.4))&lt;0,0,IF((SUM($G300:DH300)-$E299*IF(длительность!$B$13&gt;70,0.25,0.4))&lt;DH300,SUM($G300:DH300)-$E299*IF(длительность!$B$13&gt;70,0.25,0.4),DH300))</f>
        <v>31</v>
      </c>
      <c r="DI320" s="402">
        <f ca="1">IF((SUM($G300:DI300)-$E299*IF(длительность!$B$13&gt;70,0.25,0.4))&lt;0,0,IF((SUM($G300:DI300)-$E299*IF(длительность!$B$13&gt;70,0.25,0.4))&lt;DI300,SUM($G300:DI300)-$E299*IF(длительность!$B$13&gt;70,0.25,0.4),DI300))</f>
        <v>31</v>
      </c>
      <c r="DJ320" s="402">
        <f ca="1">IF((SUM($G300:DJ300)-$E299*IF(длительность!$B$13&gt;70,0.25,0.4))&lt;0,0,IF((SUM($G300:DJ300)-$E299*IF(длительность!$B$13&gt;70,0.25,0.4))&lt;DJ300,SUM($G300:DJ300)-$E299*IF(длительность!$B$13&gt;70,0.25,0.4),DJ300))</f>
        <v>29</v>
      </c>
      <c r="DK320" s="402">
        <f ca="1">IF((SUM($G300:DK300)-$E299*IF(длительность!$B$13&gt;70,0.25,0.4))&lt;0,0,IF((SUM($G300:DK300)-$E299*IF(длительность!$B$13&gt;70,0.25,0.4))&lt;DK300,SUM($G300:DK300)-$E299*IF(длительность!$B$13&gt;70,0.25,0.4),DK300))</f>
        <v>31</v>
      </c>
      <c r="DL320" s="402">
        <f ca="1">IF((SUM($G300:DL300)-$E299*IF(длительность!$B$13&gt;70,0.25,0.4))&lt;0,0,IF((SUM($G300:DL300)-$E299*IF(длительность!$B$13&gt;70,0.25,0.4))&lt;DL300,SUM($G300:DL300)-$E299*IF(длительность!$B$13&gt;70,0.25,0.4),DL300))</f>
        <v>30</v>
      </c>
      <c r="DM320" s="402">
        <f ca="1">IF((SUM($G300:DM300)-$E299*IF(длительность!$B$13&gt;70,0.25,0.4))&lt;0,0,IF((SUM($G300:DM300)-$E299*IF(длительность!$B$13&gt;70,0.25,0.4))&lt;DM300,SUM($G300:DM300)-$E299*IF(длительность!$B$13&gt;70,0.25,0.4),DM300))</f>
        <v>31</v>
      </c>
      <c r="DN320" s="402">
        <f ca="1">IF((SUM($G300:DN300)-$E299*IF(длительность!$B$13&gt;70,0.25,0.4))&lt;0,0,IF((SUM($G300:DN300)-$E299*IF(длительность!$B$13&gt;70,0.25,0.4))&lt;DN300,SUM($G300:DN300)-$E299*IF(длительность!$B$13&gt;70,0.25,0.4),DN300))</f>
        <v>30</v>
      </c>
      <c r="DO320" s="402">
        <f ca="1">IF((SUM($G300:DO300)-$E299*IF(длительность!$B$13&gt;70,0.25,0.4))&lt;0,0,IF((SUM($G300:DO300)-$E299*IF(длительность!$B$13&gt;70,0.25,0.4))&lt;DO300,SUM($G300:DO300)-$E299*IF(длительность!$B$13&gt;70,0.25,0.4),DO300))</f>
        <v>31</v>
      </c>
      <c r="DP320" s="402">
        <f ca="1">IF((SUM($G300:DP300)-$E299*IF(длительность!$B$13&gt;70,0.25,0.4))&lt;0,0,IF((SUM($G300:DP300)-$E299*IF(длительность!$B$13&gt;70,0.25,0.4))&lt;DP300,SUM($G300:DP300)-$E299*IF(длительность!$B$13&gt;70,0.25,0.4),DP300))</f>
        <v>31</v>
      </c>
      <c r="DQ320" s="402">
        <f ca="1">IF((SUM($G300:DQ300)-$E299*IF(длительность!$B$13&gt;70,0.25,0.4))&lt;0,0,IF((SUM($G300:DQ300)-$E299*IF(длительность!$B$13&gt;70,0.25,0.4))&lt;DQ300,SUM($G300:DQ300)-$E299*IF(длительность!$B$13&gt;70,0.25,0.4),DQ300))</f>
        <v>30</v>
      </c>
      <c r="DR320" s="402">
        <f ca="1">IF((SUM($G300:DR300)-$E299*IF(длительность!$B$13&gt;70,0.25,0.4))&lt;0,0,IF((SUM($G300:DR300)-$E299*IF(длительность!$B$13&gt;70,0.25,0.4))&lt;DR300,SUM($G300:DR300)-$E299*IF(длительность!$B$13&gt;70,0.25,0.4),DR300))</f>
        <v>31</v>
      </c>
      <c r="DS320" s="402">
        <f ca="1">IF((SUM($G300:DS300)-$E299*IF(длительность!$B$13&gt;70,0.25,0.4))&lt;0,0,IF((SUM($G300:DS300)-$E299*IF(длительность!$B$13&gt;70,0.25,0.4))&lt;DS300,SUM($G300:DS300)-$E299*IF(длительность!$B$13&gt;70,0.25,0.4),DS300))</f>
        <v>30</v>
      </c>
      <c r="DT320" s="402">
        <f ca="1">IF((SUM($G300:DT300)-$E299*IF(длительность!$B$13&gt;70,0.25,0.4))&lt;0,0,IF((SUM($G300:DT300)-$E299*IF(длительность!$B$13&gt;70,0.25,0.4))&lt;DT300,SUM($G300:DT300)-$E299*IF(длительность!$B$13&gt;70,0.25,0.4),DT300))</f>
        <v>31</v>
      </c>
      <c r="DU320" s="402">
        <f ca="1">IF((SUM($G300:DU300)-$E299*IF(длительность!$B$13&gt;70,0.25,0.4))&lt;0,0,IF((SUM($G300:DU300)-$E299*IF(длительность!$B$13&gt;70,0.25,0.4))&lt;DU300,SUM($G300:DU300)-$E299*IF(длительность!$B$13&gt;70,0.25,0.4),DU300))</f>
        <v>31</v>
      </c>
      <c r="DV320" s="402">
        <f ca="1">IF((SUM($G300:DV300)-$E299*IF(длительность!$B$13&gt;70,0.25,0.4))&lt;0,0,IF((SUM($G300:DV300)-$E299*IF(длительность!$B$13&gt;70,0.25,0.4))&lt;DV300,SUM($G300:DV300)-$E299*IF(длительность!$B$13&gt;70,0.25,0.4),DV300))</f>
        <v>28</v>
      </c>
      <c r="DW320" s="402">
        <f ca="1">IF((SUM($G300:DW300)-$E299*IF(длительность!$B$13&gt;70,0.25,0.4))&lt;0,0,IF((SUM($G300:DW300)-$E299*IF(длительность!$B$13&gt;70,0.25,0.4))&lt;DW300,SUM($G300:DW300)-$E299*IF(длительность!$B$13&gt;70,0.25,0.4),DW300))</f>
        <v>31</v>
      </c>
      <c r="DX320" s="402">
        <f ca="1">IF((SUM($G300:DX300)-$E299*IF(длительность!$B$13&gt;70,0.25,0.4))&lt;0,0,IF((SUM($G300:DX300)-$E299*IF(длительность!$B$13&gt;70,0.25,0.4))&lt;DX300,SUM($G300:DX300)-$E299*IF(длительность!$B$13&gt;70,0.25,0.4),DX300))</f>
        <v>30</v>
      </c>
      <c r="DY320" s="402">
        <f ca="1">IF((SUM($G300:DY300)-$E299*IF(длительность!$B$13&gt;70,0.25,0.4))&lt;0,0,IF((SUM($G300:DY300)-$E299*IF(длительность!$B$13&gt;70,0.25,0.4))&lt;DY300,SUM($G300:DY300)-$E299*IF(длительность!$B$13&gt;70,0.25,0.4),DY300))</f>
        <v>31</v>
      </c>
      <c r="DZ320" s="402">
        <f ca="1">IF((SUM($G300:DZ300)-$E299*IF(длительность!$B$13&gt;70,0.25,0.4))&lt;0,0,IF((SUM($G300:DZ300)-$E299*IF(длительность!$B$13&gt;70,0.25,0.4))&lt;DZ300,SUM($G300:DZ300)-$E299*IF(длительность!$B$13&gt;70,0.25,0.4),DZ300))</f>
        <v>30</v>
      </c>
      <c r="EA320" s="402">
        <f ca="1">IF((SUM($G300:EA300)-$E299*IF(длительность!$B$13&gt;70,0.25,0.4))&lt;0,0,IF((SUM($G300:EA300)-$E299*IF(длительность!$B$13&gt;70,0.25,0.4))&lt;EA300,SUM($G300:EA300)-$E299*IF(длительность!$B$13&gt;70,0.25,0.4),EA300))</f>
        <v>31</v>
      </c>
      <c r="EB320" s="402">
        <f ca="1">IF((SUM($G300:EB300)-$E299*IF(длительность!$B$13&gt;70,0.25,0.4))&lt;0,0,IF((SUM($G300:EB300)-$E299*IF(длительность!$B$13&gt;70,0.25,0.4))&lt;EB300,SUM($G300:EB300)-$E299*IF(длительность!$B$13&gt;70,0.25,0.4),EB300))</f>
        <v>31</v>
      </c>
      <c r="EC320" s="402">
        <f ca="1">IF((SUM($G300:EC300)-$E299*IF(длительность!$B$13&gt;70,0.25,0.4))&lt;0,0,IF((SUM($G300:EC300)-$E299*IF(длительность!$B$13&gt;70,0.25,0.4))&lt;EC300,SUM($G300:EC300)-$E299*IF(длительность!$B$13&gt;70,0.25,0.4),EC300))</f>
        <v>30</v>
      </c>
      <c r="ED320" s="402">
        <f ca="1">IF((SUM($G300:ED300)-$E299*IF(длительность!$B$13&gt;70,0.25,0.4))&lt;0,0,IF((SUM($G300:ED300)-$E299*IF(длительность!$B$13&gt;70,0.25,0.4))&lt;ED300,SUM($G300:ED300)-$E299*IF(длительность!$B$13&gt;70,0.25,0.4),ED300))</f>
        <v>31</v>
      </c>
      <c r="EE320" s="402">
        <f ca="1">IF((SUM($G300:EE300)-$E299*IF(длительность!$B$13&gt;70,0.25,0.4))&lt;0,0,IF((SUM($G300:EE300)-$E299*IF(длительность!$B$13&gt;70,0.25,0.4))&lt;EE300,SUM($G300:EE300)-$E299*IF(длительность!$B$13&gt;70,0.25,0.4),EE300))</f>
        <v>30</v>
      </c>
      <c r="EF320" s="402">
        <f ca="1">IF((SUM($G300:EF300)-$E299*IF(длительность!$B$13&gt;70,0.25,0.4))&lt;0,0,IF((SUM($G300:EF300)-$E299*IF(длительность!$B$13&gt;70,0.25,0.4))&lt;EF300,SUM($G300:EF300)-$E299*IF(длительность!$B$13&gt;70,0.25,0.4),EF300))</f>
        <v>31</v>
      </c>
      <c r="EG320" s="402">
        <f ca="1">IF((SUM($G300:EG300)-$E299*IF(длительность!$B$13&gt;70,0.25,0.4))&lt;0,0,IF((SUM($G300:EG300)-$E299*IF(длительность!$B$13&gt;70,0.25,0.4))&lt;EG300,SUM($G300:EG300)-$E299*IF(длительность!$B$13&gt;70,0.25,0.4),EG300))</f>
        <v>31</v>
      </c>
      <c r="EH320" s="402">
        <f ca="1">IF((SUM($G300:EH300)-$E299*IF(длительность!$B$13&gt;70,0.25,0.4))&lt;0,0,IF((SUM($G300:EH300)-$E299*IF(длительность!$B$13&gt;70,0.25,0.4))&lt;EH300,SUM($G300:EH300)-$E299*IF(длительность!$B$13&gt;70,0.25,0.4),EH300))</f>
        <v>28</v>
      </c>
      <c r="EI320" s="402">
        <f ca="1">IF((SUM($G300:EI300)-$E299*IF(длительность!$B$13&gt;70,0.25,0.4))&lt;0,0,IF((SUM($G300:EI300)-$E299*IF(длительность!$B$13&gt;70,0.25,0.4))&lt;EI300,SUM($G300:EI300)-$E299*IF(длительность!$B$13&gt;70,0.25,0.4),EI300))</f>
        <v>31</v>
      </c>
    </row>
    <row r="321" spans="1:141" hidden="1" outlineLevel="2">
      <c r="A321" s="332"/>
      <c r="D321" s="305" t="s">
        <v>670</v>
      </c>
      <c r="E321" s="403">
        <f ca="1">MIN(G321:EI321)</f>
        <v>46266</v>
      </c>
      <c r="F321" s="404">
        <f ca="1">MAX(G321:EI321)</f>
        <v>46266</v>
      </c>
      <c r="G321" s="403" t="str">
        <f ca="1">IF(G319=0,"",IF(SUM($G319:G319)&gt;=1,OFFSET(G$228,-1,0),""))</f>
        <v/>
      </c>
      <c r="H321" s="403" t="str">
        <f ca="1">IF(SUM($G321:G321)&gt;=1,"",IF(H319=0,"",IF(SUM($G319:H319)&gt;=1,OFFSET(H$228,-1,0),"")))</f>
        <v/>
      </c>
      <c r="I321" s="403" t="str">
        <f ca="1">IF(SUM($G321:H321)&gt;=1,"",IF(I319=0,"",IF(SUM($G319:I319)&gt;=1,OFFSET(I$228,-1,0),"")))</f>
        <v/>
      </c>
      <c r="J321" s="403" t="str">
        <f ca="1">IF(SUM($G321:I321)&gt;=1,"",IF(J319=0,"",IF(SUM($G319:J319)&gt;=1,OFFSET(J$228,-1,0),"")))</f>
        <v/>
      </c>
      <c r="K321" s="403" t="str">
        <f ca="1">IF(SUM($G321:J321)&gt;=1,"",IF(K319=0,"",IF(SUM($G319:K319)&gt;=1,OFFSET(K$228,-1,0),"")))</f>
        <v/>
      </c>
      <c r="L321" s="403" t="str">
        <f ca="1">IF(SUM($G321:K321)&gt;=1,"",IF(L319=0,"",IF(SUM($G319:L319)&gt;=1,OFFSET(L$228,-1,0),"")))</f>
        <v/>
      </c>
      <c r="M321" s="403" t="str">
        <f ca="1">IF(SUM($G321:L321)&gt;=1,"",IF(M319=0,"",IF(SUM($G319:M319)&gt;=1,OFFSET(M$228,-1,0),"")))</f>
        <v/>
      </c>
      <c r="N321" s="403" t="str">
        <f ca="1">IF(SUM($G321:M321)&gt;=1,"",IF(N319=0,"",IF(SUM($G319:N319)&gt;=1,OFFSET(N$228,-1,0),"")))</f>
        <v/>
      </c>
      <c r="O321" s="403" t="str">
        <f ca="1">IF(SUM($G321:N321)&gt;=1,"",IF(O319=0,"",IF(SUM($G319:O319)&gt;=1,OFFSET(O$228,-1,0),"")))</f>
        <v/>
      </c>
      <c r="P321" s="403" t="str">
        <f ca="1">IF(SUM($G321:O321)&gt;=1,"",IF(P319=0,"",IF(SUM($G319:P319)&gt;=1,OFFSET(P$228,-1,0),"")))</f>
        <v/>
      </c>
      <c r="Q321" s="403" t="str">
        <f ca="1">IF(SUM($G321:P321)&gt;=1,"",IF(Q319=0,"",IF(SUM($G319:Q319)&gt;=1,OFFSET(Q$228,-1,0),"")))</f>
        <v/>
      </c>
      <c r="R321" s="403" t="str">
        <f ca="1">IF(SUM($G321:Q321)&gt;=1,"",IF(R319=0,"",IF(SUM($G319:R319)&gt;=1,OFFSET(R$228,-1,0),"")))</f>
        <v/>
      </c>
      <c r="S321" s="403" t="str">
        <f ca="1">IF(SUM($G321:R321)&gt;=1,"",IF(S319=0,"",IF(SUM($G319:S319)&gt;=1,OFFSET(S$228,-1,0),"")))</f>
        <v/>
      </c>
      <c r="T321" s="403" t="str">
        <f ca="1">IF(SUM($G321:S321)&gt;=1,"",IF(T319=0,"",IF(SUM($G319:T319)&gt;=1,OFFSET(T$228,-1,0),"")))</f>
        <v/>
      </c>
      <c r="U321" s="403" t="str">
        <f ca="1">IF(SUM($G321:T321)&gt;=1,"",IF(U319=0,"",IF(SUM($G319:U319)&gt;=1,OFFSET(U$228,-1,0),"")))</f>
        <v/>
      </c>
      <c r="V321" s="403" t="str">
        <f ca="1">IF(SUM($G321:U321)&gt;=1,"",IF(V319=0,"",IF(SUM($G319:V319)&gt;=1,OFFSET(V$228,-1,0),"")))</f>
        <v/>
      </c>
      <c r="W321" s="403" t="str">
        <f ca="1">IF(SUM($G321:V321)&gt;=1,"",IF(W319=0,"",IF(SUM($G319:W319)&gt;=1,OFFSET(W$228,-1,0),"")))</f>
        <v/>
      </c>
      <c r="X321" s="403" t="str">
        <f ca="1">IF(SUM($G321:W321)&gt;=1,"",IF(X319=0,"",IF(SUM($G319:X319)&gt;=1,OFFSET(X$228,-1,0),"")))</f>
        <v/>
      </c>
      <c r="Y321" s="403" t="str">
        <f ca="1">IF(SUM($G321:X321)&gt;=1,"",IF(Y319=0,"",IF(SUM($G319:Y319)&gt;=1,OFFSET(Y$228,-1,0),"")))</f>
        <v/>
      </c>
      <c r="Z321" s="403" t="str">
        <f ca="1">IF(SUM($G321:Y321)&gt;=1,"",IF(Z319=0,"",IF(SUM($G319:Z319)&gt;=1,OFFSET(Z$228,-1,0),"")))</f>
        <v/>
      </c>
      <c r="AA321" s="403" t="str">
        <f ca="1">IF(SUM($G321:Z321)&gt;=1,"",IF(AA319=0,"",IF(SUM($G319:AA319)&gt;=1,OFFSET(AA$228,-1,0),"")))</f>
        <v/>
      </c>
      <c r="AB321" s="403" t="str">
        <f ca="1">IF(SUM($G321:AA321)&gt;=1,"",IF(AB319=0,"",IF(SUM($G319:AB319)&gt;=1,OFFSET(AB$228,-1,0),"")))</f>
        <v/>
      </c>
      <c r="AC321" s="403" t="str">
        <f ca="1">IF(SUM($G321:AB321)&gt;=1,"",IF(AC319=0,"",IF(SUM($G319:AC319)&gt;=1,OFFSET(AC$228,-1,0),"")))</f>
        <v/>
      </c>
      <c r="AD321" s="403" t="str">
        <f ca="1">IF(SUM($G321:AC321)&gt;=1,"",IF(AD319=0,"",IF(SUM($G319:AD319)&gt;=1,OFFSET(AD$228,-1,0),"")))</f>
        <v/>
      </c>
      <c r="AE321" s="403" t="str">
        <f ca="1">IF(SUM($G321:AD321)&gt;=1,"",IF(AE319=0,"",IF(SUM($G319:AE319)&gt;=1,OFFSET(AE$228,-1,0),"")))</f>
        <v/>
      </c>
      <c r="AF321" s="403" t="str">
        <f ca="1">IF(SUM($G321:AE321)&gt;=1,"",IF(AF319=0,"",IF(SUM($G319:AF319)&gt;=1,OFFSET(AF$228,-1,0),"")))</f>
        <v/>
      </c>
      <c r="AG321" s="403" t="str">
        <f ca="1">IF(SUM($G321:AF321)&gt;=1,"",IF(AG319=0,"",IF(SUM($G319:AG319)&gt;=1,OFFSET(AG$228,-1,0),"")))</f>
        <v/>
      </c>
      <c r="AH321" s="403" t="str">
        <f ca="1">IF(SUM($G321:AG321)&gt;=1,"",IF(AH319=0,"",IF(SUM($G319:AH319)&gt;=1,OFFSET(AH$228,-1,0),"")))</f>
        <v/>
      </c>
      <c r="AI321" s="403" t="str">
        <f ca="1">IF(SUM($G321:AH321)&gt;=1,"",IF(AI319=0,"",IF(SUM($G319:AI319)&gt;=1,OFFSET(AI$228,-1,0),"")))</f>
        <v/>
      </c>
      <c r="AJ321" s="403" t="str">
        <f ca="1">IF(SUM($G321:AI321)&gt;=1,"",IF(AJ319=0,"",IF(SUM($G319:AJ319)&gt;=1,OFFSET(AJ$228,-1,0),"")))</f>
        <v/>
      </c>
      <c r="AK321" s="403" t="str">
        <f ca="1">IF(SUM($G321:AJ321)&gt;=1,"",IF(AK319=0,"",IF(SUM($G319:AK319)&gt;=1,OFFSET(AK$228,-1,0),"")))</f>
        <v/>
      </c>
      <c r="AL321" s="403" t="str">
        <f ca="1">IF(SUM($G321:AK321)&gt;=1,"",IF(AL319=0,"",IF(SUM($G319:AL319)&gt;=1,OFFSET(AL$228,-1,0),"")))</f>
        <v/>
      </c>
      <c r="AM321" s="403" t="str">
        <f ca="1">IF(SUM($G321:AL321)&gt;=1,"",IF(AM319=0,"",IF(SUM($G319:AM319)&gt;=1,OFFSET(AM$228,-1,0),"")))</f>
        <v/>
      </c>
      <c r="AN321" s="403" t="str">
        <f ca="1">IF(SUM($G321:AM321)&gt;=1,"",IF(AN319=0,"",IF(SUM($G319:AN319)&gt;=1,OFFSET(AN$228,-1,0),"")))</f>
        <v/>
      </c>
      <c r="AO321" s="403" t="str">
        <f ca="1">IF(SUM($G321:AN321)&gt;=1,"",IF(AO319=0,"",IF(SUM($G319:AO319)&gt;=1,OFFSET(AO$228,-1,0),"")))</f>
        <v/>
      </c>
      <c r="AP321" s="403" t="str">
        <f ca="1">IF(SUM($G321:AO321)&gt;=1,"",IF(AP319=0,"",IF(SUM($G319:AP319)&gt;=1,OFFSET(AP$228,-1,0),"")))</f>
        <v/>
      </c>
      <c r="AQ321" s="403" t="str">
        <f ca="1">IF(SUM($G321:AP321)&gt;=1,"",IF(AQ319=0,"",IF(SUM($G319:AQ319)&gt;=1,OFFSET(AQ$228,-1,0),"")))</f>
        <v/>
      </c>
      <c r="AR321" s="403" t="str">
        <f ca="1">IF(SUM($G321:AQ321)&gt;=1,"",IF(AR319=0,"",IF(SUM($G319:AR319)&gt;=1,OFFSET(AR$228,-1,0),"")))</f>
        <v/>
      </c>
      <c r="AS321" s="403" t="str">
        <f ca="1">IF(SUM($G321:AR321)&gt;=1,"",IF(AS319=0,"",IF(SUM($G319:AS319)&gt;=1,OFFSET(AS$228,-1,0),"")))</f>
        <v/>
      </c>
      <c r="AT321" s="403" t="str">
        <f ca="1">IF(SUM($G321:AS321)&gt;=1,"",IF(AT319=0,"",IF(SUM($G319:AT319)&gt;=1,OFFSET(AT$228,-1,0),"")))</f>
        <v/>
      </c>
      <c r="AU321" s="403" t="str">
        <f ca="1">IF(SUM($G321:AT321)&gt;=1,"",IF(AU319=0,"",IF(SUM($G319:AU319)&gt;=1,OFFSET(AU$228,-1,0),"")))</f>
        <v/>
      </c>
      <c r="AV321" s="403" t="str">
        <f ca="1">IF(SUM($G321:AU321)&gt;=1,"",IF(AV319=0,"",IF(SUM($G319:AV319)&gt;=1,OFFSET(AV$228,-1,0),"")))</f>
        <v/>
      </c>
      <c r="AW321" s="403">
        <f ca="1">IF(SUM($G321:AV321)&gt;=1,"",IF(AW319=0,"",IF(SUM($G319:AW319)&gt;=1,OFFSET(AW$228,-1,0),"")))</f>
        <v>46266</v>
      </c>
      <c r="AX321" s="403" t="str">
        <f ca="1">IF(SUM($G321:AW321)&gt;=1,"",IF(AX319=0,"",IF(SUM($G319:AX319)&gt;=1,OFFSET(AX$228,-1,0),"")))</f>
        <v/>
      </c>
      <c r="AY321" s="403" t="str">
        <f ca="1">IF(SUM($G321:AX321)&gt;=1,"",IF(AY319=0,"",IF(SUM($G319:AY319)&gt;=1,OFFSET(AY$228,-1,0),"")))</f>
        <v/>
      </c>
      <c r="AZ321" s="403" t="str">
        <f ca="1">IF(SUM($G321:AY321)&gt;=1,"",IF(AZ319=0,"",IF(SUM($G319:AZ319)&gt;=1,OFFSET(AZ$228,-1,0),"")))</f>
        <v/>
      </c>
      <c r="BA321" s="403" t="str">
        <f ca="1">IF(SUM($G321:AZ321)&gt;=1,"",IF(BA319=0,"",IF(SUM($G319:BA319)&gt;=1,OFFSET(BA$228,-1,0),"")))</f>
        <v/>
      </c>
      <c r="BB321" s="403" t="str">
        <f ca="1">IF(SUM($G321:BA321)&gt;=1,"",IF(BB319=0,"",IF(SUM($G319:BB319)&gt;=1,OFFSET(BB$228,-1,0),"")))</f>
        <v/>
      </c>
      <c r="BC321" s="403" t="str">
        <f ca="1">IF(SUM($G321:BB321)&gt;=1,"",IF(BC319=0,"",IF(SUM($G319:BC319)&gt;=1,OFFSET(BC$228,-1,0),"")))</f>
        <v/>
      </c>
      <c r="BD321" s="403" t="str">
        <f ca="1">IF(SUM($G321:BC321)&gt;=1,"",IF(BD319=0,"",IF(SUM($G319:BD319)&gt;=1,OFFSET(BD$228,-1,0),"")))</f>
        <v/>
      </c>
      <c r="BE321" s="403" t="str">
        <f ca="1">IF(SUM($G321:BD321)&gt;=1,"",IF(BE319=0,"",IF(SUM($G319:BE319)&gt;=1,OFFSET(BE$228,-1,0),"")))</f>
        <v/>
      </c>
      <c r="BF321" s="403" t="str">
        <f ca="1">IF(SUM($G321:BE321)&gt;=1,"",IF(BF319=0,"",IF(SUM($G319:BF319)&gt;=1,OFFSET(BF$228,-1,0),"")))</f>
        <v/>
      </c>
      <c r="BG321" s="403" t="str">
        <f ca="1">IF(SUM($G321:BF321)&gt;=1,"",IF(BG319=0,"",IF(SUM($G319:BG319)&gt;=1,OFFSET(BG$228,-1,0),"")))</f>
        <v/>
      </c>
      <c r="BH321" s="403" t="str">
        <f ca="1">IF(SUM($G321:BG321)&gt;=1,"",IF(BH319=0,"",IF(SUM($G319:BH319)&gt;=1,OFFSET(BH$228,-1,0),"")))</f>
        <v/>
      </c>
      <c r="BI321" s="403" t="str">
        <f ca="1">IF(SUM($G321:BH321)&gt;=1,"",IF(BI319=0,"",IF(SUM($G319:BI319)&gt;=1,OFFSET(BI$228,-1,0),"")))</f>
        <v/>
      </c>
      <c r="BJ321" s="403" t="str">
        <f ca="1">IF(SUM($G321:BI321)&gt;=1,"",IF(BJ319=0,"",IF(SUM($G319:BJ319)&gt;=1,OFFSET(BJ$228,-1,0),"")))</f>
        <v/>
      </c>
      <c r="BK321" s="403" t="str">
        <f ca="1">IF(SUM($G321:BJ321)&gt;=1,"",IF(BK319=0,"",IF(SUM($G319:BK319)&gt;=1,OFFSET(BK$228,-1,0),"")))</f>
        <v/>
      </c>
      <c r="BL321" s="403" t="str">
        <f ca="1">IF(SUM($G321:BK321)&gt;=1,"",IF(BL319=0,"",IF(SUM($G319:BL319)&gt;=1,OFFSET(BL$228,-1,0),"")))</f>
        <v/>
      </c>
      <c r="BM321" s="403" t="str">
        <f ca="1">IF(SUM($G321:BL321)&gt;=1,"",IF(BM319=0,"",IF(SUM($G319:BM319)&gt;=1,OFFSET(BM$228,-1,0),"")))</f>
        <v/>
      </c>
      <c r="BN321" s="403" t="str">
        <f ca="1">IF(SUM($G321:BM321)&gt;=1,"",IF(BN319=0,"",IF(SUM($G319:BN319)&gt;=1,OFFSET(BN$228,-1,0),"")))</f>
        <v/>
      </c>
      <c r="BO321" s="403" t="str">
        <f ca="1">IF(SUM($G321:BN321)&gt;=1,"",IF(BO319=0,"",IF(SUM($G319:BO319)&gt;=1,OFFSET(BO$228,-1,0),"")))</f>
        <v/>
      </c>
      <c r="BP321" s="403" t="str">
        <f ca="1">IF(SUM($G321:BO321)&gt;=1,"",IF(BP319=0,"",IF(SUM($G319:BP319)&gt;=1,OFFSET(BP$228,-1,0),"")))</f>
        <v/>
      </c>
      <c r="BQ321" s="403" t="str">
        <f ca="1">IF(SUM($G321:BP321)&gt;=1,"",IF(BQ319=0,"",IF(SUM($G319:BQ319)&gt;=1,OFFSET(BQ$228,-1,0),"")))</f>
        <v/>
      </c>
      <c r="BR321" s="403" t="str">
        <f ca="1">IF(SUM($G321:BQ321)&gt;=1,"",IF(BR319=0,"",IF(SUM($G319:BR319)&gt;=1,OFFSET(BR$228,-1,0),"")))</f>
        <v/>
      </c>
      <c r="BS321" s="403" t="str">
        <f ca="1">IF(SUM($G321:BR321)&gt;=1,"",IF(BS319=0,"",IF(SUM($G319:BS319)&gt;=1,OFFSET(BS$228,-1,0),"")))</f>
        <v/>
      </c>
      <c r="BT321" s="403" t="str">
        <f ca="1">IF(SUM($G321:BS321)&gt;=1,"",IF(BT319=0,"",IF(SUM($G319:BT319)&gt;=1,OFFSET(BT$228,-1,0),"")))</f>
        <v/>
      </c>
      <c r="BU321" s="403" t="str">
        <f ca="1">IF(SUM($G321:BT321)&gt;=1,"",IF(BU319=0,"",IF(SUM($G319:BU319)&gt;=1,OFFSET(BU$228,-1,0),"")))</f>
        <v/>
      </c>
      <c r="BV321" s="403" t="str">
        <f ca="1">IF(SUM($G321:BU321)&gt;=1,"",IF(BV319=0,"",IF(SUM($G319:BV319)&gt;=1,OFFSET(BV$228,-1,0),"")))</f>
        <v/>
      </c>
      <c r="BW321" s="403" t="str">
        <f ca="1">IF(SUM($G321:BV321)&gt;=1,"",IF(BW319=0,"",IF(SUM($G319:BW319)&gt;=1,OFFSET(BW$228,-1,0),"")))</f>
        <v/>
      </c>
      <c r="BX321" s="403" t="str">
        <f ca="1">IF(SUM($G321:BW321)&gt;=1,"",IF(BX319=0,"",IF(SUM($G319:BX319)&gt;=1,OFFSET(BX$228,-1,0),"")))</f>
        <v/>
      </c>
      <c r="BY321" s="403" t="str">
        <f ca="1">IF(SUM($G321:BX321)&gt;=1,"",IF(BY319=0,"",IF(SUM($G319:BY319)&gt;=1,OFFSET(BY$228,-1,0),"")))</f>
        <v/>
      </c>
      <c r="BZ321" s="403" t="str">
        <f ca="1">IF(SUM($G321:BY321)&gt;=1,"",IF(BZ319=0,"",IF(SUM($G319:BZ319)&gt;=1,OFFSET(BZ$228,-1,0),"")))</f>
        <v/>
      </c>
      <c r="CA321" s="403" t="str">
        <f ca="1">IF(SUM($G321:BZ321)&gt;=1,"",IF(CA319=0,"",IF(SUM($G319:CA319)&gt;=1,OFFSET(CA$228,-1,0),"")))</f>
        <v/>
      </c>
      <c r="CB321" s="403" t="str">
        <f ca="1">IF(SUM($G321:CA321)&gt;=1,"",IF(CB319=0,"",IF(SUM($G319:CB319)&gt;=1,OFFSET(CB$228,-1,0),"")))</f>
        <v/>
      </c>
      <c r="CC321" s="403" t="str">
        <f ca="1">IF(SUM($G321:CB321)&gt;=1,"",IF(CC319=0,"",IF(SUM($G319:CC319)&gt;=1,OFFSET(CC$228,-1,0),"")))</f>
        <v/>
      </c>
      <c r="CD321" s="403" t="str">
        <f ca="1">IF(SUM($G321:CC321)&gt;=1,"",IF(CD319=0,"",IF(SUM($G319:CD319)&gt;=1,OFFSET(CD$228,-1,0),"")))</f>
        <v/>
      </c>
      <c r="CE321" s="403" t="str">
        <f ca="1">IF(SUM($G321:CD321)&gt;=1,"",IF(CE319=0,"",IF(SUM($G319:CE319)&gt;=1,OFFSET(CE$228,-1,0),"")))</f>
        <v/>
      </c>
      <c r="CF321" s="403" t="str">
        <f ca="1">IF(SUM($G321:CE321)&gt;=1,"",IF(CF319=0,"",IF(SUM($G319:CF319)&gt;=1,OFFSET(CF$228,-1,0),"")))</f>
        <v/>
      </c>
      <c r="CG321" s="403" t="str">
        <f ca="1">IF(SUM($G321:CF321)&gt;=1,"",IF(CG319=0,"",IF(SUM($G319:CG319)&gt;=1,OFFSET(CG$228,-1,0),"")))</f>
        <v/>
      </c>
      <c r="CH321" s="403" t="str">
        <f ca="1">IF(SUM($G321:CG321)&gt;=1,"",IF(CH319=0,"",IF(SUM($G319:CH319)&gt;=1,OFFSET(CH$228,-1,0),"")))</f>
        <v/>
      </c>
      <c r="CI321" s="403" t="str">
        <f ca="1">IF(SUM($G321:CH321)&gt;=1,"",IF(CI319=0,"",IF(SUM($G319:CI319)&gt;=1,OFFSET(CI$228,-1,0),"")))</f>
        <v/>
      </c>
      <c r="CJ321" s="403" t="str">
        <f ca="1">IF(SUM($G321:CI321)&gt;=1,"",IF(CJ319=0,"",IF(SUM($G319:CJ319)&gt;=1,OFFSET(CJ$228,-1,0),"")))</f>
        <v/>
      </c>
      <c r="CK321" s="403" t="str">
        <f ca="1">IF(SUM($G321:CJ321)&gt;=1,"",IF(CK319=0,"",IF(SUM($G319:CK319)&gt;=1,OFFSET(CK$228,-1,0),"")))</f>
        <v/>
      </c>
      <c r="CL321" s="403" t="str">
        <f ca="1">IF(SUM($G321:CK321)&gt;=1,"",IF(CL319=0,"",IF(SUM($G319:CL319)&gt;=1,OFFSET(CL$228,-1,0),"")))</f>
        <v/>
      </c>
      <c r="CM321" s="403" t="str">
        <f ca="1">IF(SUM($G321:CL321)&gt;=1,"",IF(CM319=0,"",IF(SUM($G319:CM319)&gt;=1,OFFSET(CM$228,-1,0),"")))</f>
        <v/>
      </c>
      <c r="CN321" s="403" t="str">
        <f ca="1">IF(SUM($G321:CM321)&gt;=1,"",IF(CN319=0,"",IF(SUM($G319:CN319)&gt;=1,OFFSET(CN$228,-1,0),"")))</f>
        <v/>
      </c>
      <c r="CO321" s="403" t="str">
        <f ca="1">IF(SUM($G321:CN321)&gt;=1,"",IF(CO319=0,"",IF(SUM($G319:CO319)&gt;=1,OFFSET(CO$228,-1,0),"")))</f>
        <v/>
      </c>
      <c r="CP321" s="403" t="str">
        <f ca="1">IF(SUM($G321:CO321)&gt;=1,"",IF(CP319=0,"",IF(SUM($G319:CP319)&gt;=1,OFFSET(CP$228,-1,0),"")))</f>
        <v/>
      </c>
      <c r="CQ321" s="403" t="str">
        <f ca="1">IF(SUM($G321:CP321)&gt;=1,"",IF(CQ319=0,"",IF(SUM($G319:CQ319)&gt;=1,OFFSET(CQ$228,-1,0),"")))</f>
        <v/>
      </c>
      <c r="CR321" s="403" t="str">
        <f ca="1">IF(SUM($G321:CQ321)&gt;=1,"",IF(CR319=0,"",IF(SUM($G319:CR319)&gt;=1,OFFSET(CR$228,-1,0),"")))</f>
        <v/>
      </c>
      <c r="CS321" s="403" t="str">
        <f ca="1">IF(SUM($G321:CR321)&gt;=1,"",IF(CS319=0,"",IF(SUM($G319:CS319)&gt;=1,OFFSET(CS$228,-1,0),"")))</f>
        <v/>
      </c>
      <c r="CT321" s="403" t="str">
        <f ca="1">IF(SUM($G321:CS321)&gt;=1,"",IF(CT319=0,"",IF(SUM($G319:CT319)&gt;=1,OFFSET(CT$228,-1,0),"")))</f>
        <v/>
      </c>
      <c r="CU321" s="403" t="str">
        <f ca="1">IF(SUM($G321:CT321)&gt;=1,"",IF(CU319=0,"",IF(SUM($G319:CU319)&gt;=1,OFFSET(CU$228,-1,0),"")))</f>
        <v/>
      </c>
      <c r="CV321" s="403" t="str">
        <f ca="1">IF(SUM($G321:CU321)&gt;=1,"",IF(CV319=0,"",IF(SUM($G319:CV319)&gt;=1,OFFSET(CV$228,-1,0),"")))</f>
        <v/>
      </c>
      <c r="CW321" s="403" t="str">
        <f ca="1">IF(SUM($G321:CV321)&gt;=1,"",IF(CW319=0,"",IF(SUM($G319:CW319)&gt;=1,OFFSET(CW$228,-1,0),"")))</f>
        <v/>
      </c>
      <c r="CX321" s="403" t="str">
        <f ca="1">IF(SUM($G321:CW321)&gt;=1,"",IF(CX319=0,"",IF(SUM($G319:CX319)&gt;=1,OFFSET(CX$228,-1,0),"")))</f>
        <v/>
      </c>
      <c r="CY321" s="403" t="str">
        <f ca="1">IF(SUM($G321:CX321)&gt;=1,"",IF(CY319=0,"",IF(SUM($G319:CY319)&gt;=1,OFFSET(CY$228,-1,0),"")))</f>
        <v/>
      </c>
      <c r="CZ321" s="403" t="str">
        <f ca="1">IF(SUM($G321:CY321)&gt;=1,"",IF(CZ319=0,"",IF(SUM($G319:CZ319)&gt;=1,OFFSET(CZ$228,-1,0),"")))</f>
        <v/>
      </c>
      <c r="DA321" s="403" t="str">
        <f ca="1">IF(SUM($G321:CZ321)&gt;=1,"",IF(DA319=0,"",IF(SUM($G319:DA319)&gt;=1,OFFSET(DA$228,-1,0),"")))</f>
        <v/>
      </c>
      <c r="DB321" s="403" t="str">
        <f ca="1">IF(SUM($G321:DA321)&gt;=1,"",IF(DB319=0,"",IF(SUM($G319:DB319)&gt;=1,OFFSET(DB$228,-1,0),"")))</f>
        <v/>
      </c>
      <c r="DC321" s="403" t="str">
        <f ca="1">IF(SUM($G321:DB321)&gt;=1,"",IF(DC319=0,"",IF(SUM($G319:DC319)&gt;=1,OFFSET(DC$228,-1,0),"")))</f>
        <v/>
      </c>
      <c r="DD321" s="403" t="str">
        <f ca="1">IF(SUM($G321:DC321)&gt;=1,"",IF(DD319=0,"",IF(SUM($G319:DD319)&gt;=1,OFFSET(DD$228,-1,0),"")))</f>
        <v/>
      </c>
      <c r="DE321" s="403" t="str">
        <f ca="1">IF(SUM($G321:DD321)&gt;=1,"",IF(DE319=0,"",IF(SUM($G319:DE319)&gt;=1,OFFSET(DE$228,-1,0),"")))</f>
        <v/>
      </c>
      <c r="DF321" s="403" t="str">
        <f ca="1">IF(SUM($G321:DE321)&gt;=1,"",IF(DF319=0,"",IF(SUM($G319:DF319)&gt;=1,OFFSET(DF$228,-1,0),"")))</f>
        <v/>
      </c>
      <c r="DG321" s="403" t="str">
        <f ca="1">IF(SUM($G321:DF321)&gt;=1,"",IF(DG319=0,"",IF(SUM($G319:DG319)&gt;=1,OFFSET(DG$228,-1,0),"")))</f>
        <v/>
      </c>
      <c r="DH321" s="403" t="str">
        <f ca="1">IF(SUM($G321:DG321)&gt;=1,"",IF(DH319=0,"",IF(SUM($G319:DH319)&gt;=1,OFFSET(DH$228,-1,0),"")))</f>
        <v/>
      </c>
      <c r="DI321" s="403" t="str">
        <f ca="1">IF(SUM($G321:DH321)&gt;=1,"",IF(DI319=0,"",IF(SUM($G319:DI319)&gt;=1,OFFSET(DI$228,-1,0),"")))</f>
        <v/>
      </c>
      <c r="DJ321" s="403" t="str">
        <f ca="1">IF(SUM($G321:DI321)&gt;=1,"",IF(DJ319=0,"",IF(SUM($G319:DJ319)&gt;=1,OFFSET(DJ$228,-1,0),"")))</f>
        <v/>
      </c>
      <c r="DK321" s="403" t="str">
        <f ca="1">IF(SUM($G321:DJ321)&gt;=1,"",IF(DK319=0,"",IF(SUM($G319:DK319)&gt;=1,OFFSET(DK$228,-1,0),"")))</f>
        <v/>
      </c>
      <c r="DL321" s="403" t="str">
        <f ca="1">IF(SUM($G321:DK321)&gt;=1,"",IF(DL319=0,"",IF(SUM($G319:DL319)&gt;=1,OFFSET(DL$228,-1,0),"")))</f>
        <v/>
      </c>
      <c r="DM321" s="403" t="str">
        <f ca="1">IF(SUM($G321:DL321)&gt;=1,"",IF(DM319=0,"",IF(SUM($G319:DM319)&gt;=1,OFFSET(DM$228,-1,0),"")))</f>
        <v/>
      </c>
      <c r="DN321" s="403" t="str">
        <f ca="1">IF(SUM($G321:DM321)&gt;=1,"",IF(DN319=0,"",IF(SUM($G319:DN319)&gt;=1,OFFSET(DN$228,-1,0),"")))</f>
        <v/>
      </c>
      <c r="DO321" s="403" t="str">
        <f ca="1">IF(SUM($G321:DN321)&gt;=1,"",IF(DO319=0,"",IF(SUM($G319:DO319)&gt;=1,OFFSET(DO$228,-1,0),"")))</f>
        <v/>
      </c>
      <c r="DP321" s="403" t="str">
        <f ca="1">IF(SUM($G321:DO321)&gt;=1,"",IF(DP319=0,"",IF(SUM($G319:DP319)&gt;=1,OFFSET(DP$228,-1,0),"")))</f>
        <v/>
      </c>
      <c r="DQ321" s="403" t="str">
        <f ca="1">IF(SUM($G321:DP321)&gt;=1,"",IF(DQ319=0,"",IF(SUM($G319:DQ319)&gt;=1,OFFSET(DQ$228,-1,0),"")))</f>
        <v/>
      </c>
      <c r="DR321" s="403" t="str">
        <f ca="1">IF(SUM($G321:DQ321)&gt;=1,"",IF(DR319=0,"",IF(SUM($G319:DR319)&gt;=1,OFFSET(DR$228,-1,0),"")))</f>
        <v/>
      </c>
      <c r="DS321" s="403" t="str">
        <f ca="1">IF(SUM($G321:DR321)&gt;=1,"",IF(DS319=0,"",IF(SUM($G319:DS319)&gt;=1,OFFSET(DS$228,-1,0),"")))</f>
        <v/>
      </c>
      <c r="DT321" s="403" t="str">
        <f ca="1">IF(SUM($G321:DS321)&gt;=1,"",IF(DT319=0,"",IF(SUM($G319:DT319)&gt;=1,OFFSET(DT$228,-1,0),"")))</f>
        <v/>
      </c>
      <c r="DU321" s="403" t="str">
        <f ca="1">IF(SUM($G321:DT321)&gt;=1,"",IF(DU319=0,"",IF(SUM($G319:DU319)&gt;=1,OFFSET(DU$228,-1,0),"")))</f>
        <v/>
      </c>
      <c r="DV321" s="403" t="str">
        <f ca="1">IF(SUM($G321:DU321)&gt;=1,"",IF(DV319=0,"",IF(SUM($G319:DV319)&gt;=1,OFFSET(DV$228,-1,0),"")))</f>
        <v/>
      </c>
      <c r="DW321" s="403" t="str">
        <f ca="1">IF(SUM($G321:DV321)&gt;=1,"",IF(DW319=0,"",IF(SUM($G319:DW319)&gt;=1,OFFSET(DW$228,-1,0),"")))</f>
        <v/>
      </c>
      <c r="DX321" s="403" t="str">
        <f ca="1">IF(SUM($G321:DW321)&gt;=1,"",IF(DX319=0,"",IF(SUM($G319:DX319)&gt;=1,OFFSET(DX$228,-1,0),"")))</f>
        <v/>
      </c>
      <c r="DY321" s="403" t="str">
        <f ca="1">IF(SUM($G321:DX321)&gt;=1,"",IF(DY319=0,"",IF(SUM($G319:DY319)&gt;=1,OFFSET(DY$228,-1,0),"")))</f>
        <v/>
      </c>
      <c r="DZ321" s="403" t="str">
        <f ca="1">IF(SUM($G321:DY321)&gt;=1,"",IF(DZ319=0,"",IF(SUM($G319:DZ319)&gt;=1,OFFSET(DZ$228,-1,0),"")))</f>
        <v/>
      </c>
      <c r="EA321" s="403" t="str">
        <f ca="1">IF(SUM($G321:DZ321)&gt;=1,"",IF(EA319=0,"",IF(SUM($G319:EA319)&gt;=1,OFFSET(EA$228,-1,0),"")))</f>
        <v/>
      </c>
      <c r="EB321" s="403" t="str">
        <f ca="1">IF(SUM($G321:EA321)&gt;=1,"",IF(EB319=0,"",IF(SUM($G319:EB319)&gt;=1,OFFSET(EB$228,-1,0),"")))</f>
        <v/>
      </c>
      <c r="EC321" s="403" t="str">
        <f ca="1">IF(SUM($G321:EB321)&gt;=1,"",IF(EC319=0,"",IF(SUM($G319:EC319)&gt;=1,OFFSET(EC$228,-1,0),"")))</f>
        <v/>
      </c>
      <c r="ED321" s="403" t="str">
        <f ca="1">IF(SUM($G321:EC321)&gt;=1,"",IF(ED319=0,"",IF(SUM($G319:ED319)&gt;=1,OFFSET(ED$228,-1,0),"")))</f>
        <v/>
      </c>
      <c r="EE321" s="403" t="str">
        <f ca="1">IF(SUM($G321:ED321)&gt;=1,"",IF(EE319=0,"",IF(SUM($G319:EE319)&gt;=1,OFFSET(EE$228,-1,0),"")))</f>
        <v/>
      </c>
      <c r="EF321" s="403" t="str">
        <f ca="1">IF(SUM($G321:EE321)&gt;=1,"",IF(EF319=0,"",IF(SUM($G319:EF319)&gt;=1,OFFSET(EF$228,-1,0),"")))</f>
        <v/>
      </c>
      <c r="EG321" s="403" t="str">
        <f ca="1">IF(SUM($G321:EF321)&gt;=1,"",IF(EG319=0,"",IF(SUM($G319:EG319)&gt;=1,OFFSET(EG$228,-1,0),"")))</f>
        <v/>
      </c>
      <c r="EH321" s="403" t="str">
        <f ca="1">IF(SUM($G321:EG321)&gt;=1,"",IF(EH319=0,"",IF(SUM($G319:EH319)&gt;=1,OFFSET(EH$228,-1,0),"")))</f>
        <v/>
      </c>
      <c r="EI321" s="403" t="str">
        <f ca="1">IF(SUM($G321:EH321)&gt;=1,"",IF(EI319=0,"",IF(SUM($G319:EI319)&gt;=1,OFFSET(EI$228,-1,0),"")))</f>
        <v/>
      </c>
    </row>
    <row r="322" spans="1:141" hidden="1" outlineLevel="2">
      <c r="A322" s="332"/>
      <c r="D322" s="305" t="s">
        <v>671</v>
      </c>
      <c r="E322" s="1002">
        <f ca="1">IF(E319=0,"",MIN(G322:EI322))</f>
        <v>46290.95</v>
      </c>
      <c r="F322" s="1003"/>
      <c r="G322" s="403" t="str">
        <f>IF(G319=0,"",IF(G319=G$3,G321,G$5+H$5-G323-1))</f>
        <v/>
      </c>
      <c r="H322" s="403" t="str">
        <f ca="1">IF(H319=0,"",IF(H319=H$3,H321,H$5+I$5-H323-1))</f>
        <v/>
      </c>
      <c r="I322" s="403" t="str">
        <f t="shared" ref="I322:BT322" ca="1" si="512">IF(I319=0,"",IF(I319=I$3,I321,I$5+J$5-I323-1))</f>
        <v/>
      </c>
      <c r="J322" s="403" t="str">
        <f t="shared" ca="1" si="512"/>
        <v/>
      </c>
      <c r="K322" s="403" t="str">
        <f t="shared" ca="1" si="512"/>
        <v/>
      </c>
      <c r="L322" s="403" t="str">
        <f t="shared" ca="1" si="512"/>
        <v/>
      </c>
      <c r="M322" s="403" t="str">
        <f t="shared" ca="1" si="512"/>
        <v/>
      </c>
      <c r="N322" s="403" t="str">
        <f t="shared" ca="1" si="512"/>
        <v/>
      </c>
      <c r="O322" s="403" t="str">
        <f t="shared" ca="1" si="512"/>
        <v/>
      </c>
      <c r="P322" s="403" t="str">
        <f t="shared" ca="1" si="512"/>
        <v/>
      </c>
      <c r="Q322" s="403" t="str">
        <f t="shared" ca="1" si="512"/>
        <v/>
      </c>
      <c r="R322" s="403" t="str">
        <f t="shared" ca="1" si="512"/>
        <v/>
      </c>
      <c r="S322" s="403" t="str">
        <f t="shared" ca="1" si="512"/>
        <v/>
      </c>
      <c r="T322" s="403" t="str">
        <f t="shared" ca="1" si="512"/>
        <v/>
      </c>
      <c r="U322" s="403" t="str">
        <f t="shared" ca="1" si="512"/>
        <v/>
      </c>
      <c r="V322" s="403" t="str">
        <f t="shared" ca="1" si="512"/>
        <v/>
      </c>
      <c r="W322" s="403" t="str">
        <f t="shared" ca="1" si="512"/>
        <v/>
      </c>
      <c r="X322" s="403" t="str">
        <f t="shared" ca="1" si="512"/>
        <v/>
      </c>
      <c r="Y322" s="403" t="str">
        <f t="shared" ca="1" si="512"/>
        <v/>
      </c>
      <c r="Z322" s="403" t="str">
        <f t="shared" ca="1" si="512"/>
        <v/>
      </c>
      <c r="AA322" s="403" t="str">
        <f t="shared" ca="1" si="512"/>
        <v/>
      </c>
      <c r="AB322" s="403" t="str">
        <f t="shared" ca="1" si="512"/>
        <v/>
      </c>
      <c r="AC322" s="403" t="str">
        <f t="shared" ca="1" si="512"/>
        <v/>
      </c>
      <c r="AD322" s="403" t="str">
        <f t="shared" ca="1" si="512"/>
        <v/>
      </c>
      <c r="AE322" s="403" t="str">
        <f t="shared" ca="1" si="512"/>
        <v/>
      </c>
      <c r="AF322" s="403" t="str">
        <f t="shared" ca="1" si="512"/>
        <v/>
      </c>
      <c r="AG322" s="403" t="str">
        <f t="shared" ca="1" si="512"/>
        <v/>
      </c>
      <c r="AH322" s="403" t="str">
        <f t="shared" ca="1" si="512"/>
        <v/>
      </c>
      <c r="AI322" s="403" t="str">
        <f t="shared" ca="1" si="512"/>
        <v/>
      </c>
      <c r="AJ322" s="403" t="str">
        <f t="shared" ca="1" si="512"/>
        <v/>
      </c>
      <c r="AK322" s="403" t="str">
        <f t="shared" ca="1" si="512"/>
        <v/>
      </c>
      <c r="AL322" s="403" t="str">
        <f t="shared" ca="1" si="512"/>
        <v/>
      </c>
      <c r="AM322" s="403" t="str">
        <f t="shared" ca="1" si="512"/>
        <v/>
      </c>
      <c r="AN322" s="403" t="str">
        <f t="shared" ca="1" si="512"/>
        <v/>
      </c>
      <c r="AO322" s="403" t="str">
        <f t="shared" ca="1" si="512"/>
        <v/>
      </c>
      <c r="AP322" s="403" t="str">
        <f t="shared" ca="1" si="512"/>
        <v/>
      </c>
      <c r="AQ322" s="403" t="str">
        <f t="shared" ca="1" si="512"/>
        <v/>
      </c>
      <c r="AR322" s="403" t="str">
        <f t="shared" ca="1" si="512"/>
        <v/>
      </c>
      <c r="AS322" s="403" t="str">
        <f t="shared" ca="1" si="512"/>
        <v/>
      </c>
      <c r="AT322" s="403" t="str">
        <f t="shared" ca="1" si="512"/>
        <v/>
      </c>
      <c r="AU322" s="403" t="str">
        <f t="shared" ca="1" si="512"/>
        <v/>
      </c>
      <c r="AV322" s="403" t="str">
        <f t="shared" ca="1" si="512"/>
        <v/>
      </c>
      <c r="AW322" s="403">
        <f t="shared" ca="1" si="512"/>
        <v>46290.95</v>
      </c>
      <c r="AX322" s="403" t="str">
        <f t="shared" ca="1" si="512"/>
        <v/>
      </c>
      <c r="AY322" s="403" t="str">
        <f t="shared" ca="1" si="512"/>
        <v/>
      </c>
      <c r="AZ322" s="403" t="str">
        <f t="shared" ca="1" si="512"/>
        <v/>
      </c>
      <c r="BA322" s="403" t="str">
        <f t="shared" ca="1" si="512"/>
        <v/>
      </c>
      <c r="BB322" s="403" t="str">
        <f t="shared" ca="1" si="512"/>
        <v/>
      </c>
      <c r="BC322" s="403" t="str">
        <f t="shared" ca="1" si="512"/>
        <v/>
      </c>
      <c r="BD322" s="403" t="str">
        <f t="shared" ca="1" si="512"/>
        <v/>
      </c>
      <c r="BE322" s="403">
        <f t="shared" ca="1" si="512"/>
        <v>46518.05</v>
      </c>
      <c r="BF322" s="403" t="str">
        <f t="shared" ca="1" si="512"/>
        <v/>
      </c>
      <c r="BG322" s="403" t="str">
        <f t="shared" ca="1" si="512"/>
        <v/>
      </c>
      <c r="BH322" s="403" t="str">
        <f t="shared" ca="1" si="512"/>
        <v/>
      </c>
      <c r="BI322" s="403" t="str">
        <f t="shared" ca="1" si="512"/>
        <v/>
      </c>
      <c r="BJ322" s="403" t="str">
        <f t="shared" ca="1" si="512"/>
        <v/>
      </c>
      <c r="BK322" s="403" t="str">
        <f t="shared" ca="1" si="512"/>
        <v/>
      </c>
      <c r="BL322" s="403" t="str">
        <f t="shared" ca="1" si="512"/>
        <v/>
      </c>
      <c r="BM322" s="403" t="str">
        <f t="shared" ca="1" si="512"/>
        <v/>
      </c>
      <c r="BN322" s="403" t="str">
        <f t="shared" ca="1" si="512"/>
        <v/>
      </c>
      <c r="BO322" s="403" t="str">
        <f t="shared" ca="1" si="512"/>
        <v/>
      </c>
      <c r="BP322" s="403" t="str">
        <f t="shared" ca="1" si="512"/>
        <v/>
      </c>
      <c r="BQ322" s="403" t="str">
        <f t="shared" ca="1" si="512"/>
        <v/>
      </c>
      <c r="BR322" s="403" t="str">
        <f t="shared" ca="1" si="512"/>
        <v/>
      </c>
      <c r="BS322" s="403" t="str">
        <f t="shared" ca="1" si="512"/>
        <v/>
      </c>
      <c r="BT322" s="403" t="str">
        <f t="shared" ca="1" si="512"/>
        <v/>
      </c>
      <c r="BU322" s="403" t="str">
        <f t="shared" ref="BU322:EF322" ca="1" si="513">IF(BU319=0,"",IF(BU319=BU$3,BU321,BU$5+BV$5-BU323-1))</f>
        <v/>
      </c>
      <c r="BV322" s="403" t="str">
        <f t="shared" ca="1" si="513"/>
        <v/>
      </c>
      <c r="BW322" s="403" t="str">
        <f t="shared" ca="1" si="513"/>
        <v/>
      </c>
      <c r="BX322" s="403" t="str">
        <f t="shared" ca="1" si="513"/>
        <v/>
      </c>
      <c r="BY322" s="403" t="str">
        <f t="shared" ca="1" si="513"/>
        <v/>
      </c>
      <c r="BZ322" s="403" t="str">
        <f t="shared" ca="1" si="513"/>
        <v/>
      </c>
      <c r="CA322" s="403" t="str">
        <f t="shared" ca="1" si="513"/>
        <v/>
      </c>
      <c r="CB322" s="403" t="str">
        <f t="shared" ca="1" si="513"/>
        <v/>
      </c>
      <c r="CC322" s="403" t="str">
        <f t="shared" ca="1" si="513"/>
        <v/>
      </c>
      <c r="CD322" s="403" t="str">
        <f t="shared" ca="1" si="513"/>
        <v/>
      </c>
      <c r="CE322" s="403" t="str">
        <f t="shared" ca="1" si="513"/>
        <v/>
      </c>
      <c r="CF322" s="403" t="str">
        <f t="shared" ca="1" si="513"/>
        <v/>
      </c>
      <c r="CG322" s="403" t="str">
        <f t="shared" ca="1" si="513"/>
        <v/>
      </c>
      <c r="CH322" s="403" t="str">
        <f t="shared" ca="1" si="513"/>
        <v/>
      </c>
      <c r="CI322" s="403" t="str">
        <f t="shared" ca="1" si="513"/>
        <v/>
      </c>
      <c r="CJ322" s="403" t="str">
        <f t="shared" ca="1" si="513"/>
        <v/>
      </c>
      <c r="CK322" s="403" t="str">
        <f t="shared" ca="1" si="513"/>
        <v/>
      </c>
      <c r="CL322" s="403" t="str">
        <f t="shared" ca="1" si="513"/>
        <v/>
      </c>
      <c r="CM322" s="403" t="str">
        <f t="shared" ca="1" si="513"/>
        <v/>
      </c>
      <c r="CN322" s="403" t="str">
        <f t="shared" ca="1" si="513"/>
        <v/>
      </c>
      <c r="CO322" s="403" t="str">
        <f t="shared" ca="1" si="513"/>
        <v/>
      </c>
      <c r="CP322" s="403" t="str">
        <f t="shared" ca="1" si="513"/>
        <v/>
      </c>
      <c r="CQ322" s="403" t="str">
        <f t="shared" ca="1" si="513"/>
        <v/>
      </c>
      <c r="CR322" s="403" t="str">
        <f t="shared" ca="1" si="513"/>
        <v/>
      </c>
      <c r="CS322" s="403" t="str">
        <f t="shared" ca="1" si="513"/>
        <v/>
      </c>
      <c r="CT322" s="403" t="str">
        <f t="shared" ca="1" si="513"/>
        <v/>
      </c>
      <c r="CU322" s="403" t="str">
        <f t="shared" ca="1" si="513"/>
        <v/>
      </c>
      <c r="CV322" s="403" t="str">
        <f t="shared" ca="1" si="513"/>
        <v/>
      </c>
      <c r="CW322" s="403" t="str">
        <f t="shared" ca="1" si="513"/>
        <v/>
      </c>
      <c r="CX322" s="403" t="str">
        <f t="shared" ca="1" si="513"/>
        <v/>
      </c>
      <c r="CY322" s="403" t="str">
        <f t="shared" ca="1" si="513"/>
        <v/>
      </c>
      <c r="CZ322" s="403" t="str">
        <f t="shared" ca="1" si="513"/>
        <v/>
      </c>
      <c r="DA322" s="403" t="str">
        <f t="shared" ca="1" si="513"/>
        <v/>
      </c>
      <c r="DB322" s="403" t="str">
        <f t="shared" ca="1" si="513"/>
        <v/>
      </c>
      <c r="DC322" s="403" t="str">
        <f t="shared" ca="1" si="513"/>
        <v/>
      </c>
      <c r="DD322" s="403" t="str">
        <f t="shared" ca="1" si="513"/>
        <v/>
      </c>
      <c r="DE322" s="403" t="str">
        <f t="shared" ca="1" si="513"/>
        <v/>
      </c>
      <c r="DF322" s="403" t="str">
        <f t="shared" ca="1" si="513"/>
        <v/>
      </c>
      <c r="DG322" s="403" t="str">
        <f t="shared" ca="1" si="513"/>
        <v/>
      </c>
      <c r="DH322" s="403" t="str">
        <f t="shared" ca="1" si="513"/>
        <v/>
      </c>
      <c r="DI322" s="403" t="str">
        <f t="shared" ca="1" si="513"/>
        <v/>
      </c>
      <c r="DJ322" s="403" t="str">
        <f t="shared" ca="1" si="513"/>
        <v/>
      </c>
      <c r="DK322" s="403" t="str">
        <f t="shared" ca="1" si="513"/>
        <v/>
      </c>
      <c r="DL322" s="403" t="str">
        <f t="shared" ca="1" si="513"/>
        <v/>
      </c>
      <c r="DM322" s="403" t="str">
        <f t="shared" ca="1" si="513"/>
        <v/>
      </c>
      <c r="DN322" s="403" t="str">
        <f t="shared" ca="1" si="513"/>
        <v/>
      </c>
      <c r="DO322" s="403" t="str">
        <f t="shared" ca="1" si="513"/>
        <v/>
      </c>
      <c r="DP322" s="403" t="str">
        <f t="shared" ca="1" si="513"/>
        <v/>
      </c>
      <c r="DQ322" s="403" t="str">
        <f t="shared" ca="1" si="513"/>
        <v/>
      </c>
      <c r="DR322" s="403" t="str">
        <f t="shared" ca="1" si="513"/>
        <v/>
      </c>
      <c r="DS322" s="403" t="str">
        <f t="shared" ca="1" si="513"/>
        <v/>
      </c>
      <c r="DT322" s="403" t="str">
        <f t="shared" ca="1" si="513"/>
        <v/>
      </c>
      <c r="DU322" s="403" t="str">
        <f t="shared" ca="1" si="513"/>
        <v/>
      </c>
      <c r="DV322" s="403" t="str">
        <f t="shared" ca="1" si="513"/>
        <v/>
      </c>
      <c r="DW322" s="403" t="str">
        <f t="shared" ca="1" si="513"/>
        <v/>
      </c>
      <c r="DX322" s="403" t="str">
        <f t="shared" ca="1" si="513"/>
        <v/>
      </c>
      <c r="DY322" s="403" t="str">
        <f t="shared" ca="1" si="513"/>
        <v/>
      </c>
      <c r="DZ322" s="403" t="str">
        <f t="shared" ca="1" si="513"/>
        <v/>
      </c>
      <c r="EA322" s="403" t="str">
        <f t="shared" ca="1" si="513"/>
        <v/>
      </c>
      <c r="EB322" s="403" t="str">
        <f t="shared" ca="1" si="513"/>
        <v/>
      </c>
      <c r="EC322" s="403" t="str">
        <f t="shared" ca="1" si="513"/>
        <v/>
      </c>
      <c r="ED322" s="403" t="str">
        <f t="shared" ca="1" si="513"/>
        <v/>
      </c>
      <c r="EE322" s="403" t="str">
        <f t="shared" ca="1" si="513"/>
        <v/>
      </c>
      <c r="EF322" s="403" t="str">
        <f t="shared" ca="1" si="513"/>
        <v/>
      </c>
      <c r="EG322" s="403" t="str">
        <f t="shared" ref="EG322:EI322" ca="1" si="514">IF(EG319=0,"",IF(EG319=EG$3,EG321,EG$5+EH$5-EG323-1))</f>
        <v/>
      </c>
      <c r="EH322" s="403" t="str">
        <f t="shared" ca="1" si="514"/>
        <v/>
      </c>
      <c r="EI322" s="403" t="str">
        <f t="shared" ca="1" si="514"/>
        <v/>
      </c>
    </row>
    <row r="323" spans="1:141" hidden="1" outlineLevel="2">
      <c r="A323" s="332"/>
      <c r="D323" s="305" t="s">
        <v>672</v>
      </c>
      <c r="E323" s="1002">
        <f ca="1">IF(E319=0,"",MAX(G323:EI323))</f>
        <v>46527.95</v>
      </c>
      <c r="F323" s="1003"/>
      <c r="G323" s="403">
        <f ca="1">IF(SUM(G319:$EI319)=0,"",IF(G$227="","",G$227+G319-1))</f>
        <v>44985</v>
      </c>
      <c r="H323" s="403">
        <f ca="1">IF(SUM(H319:$EI319)=0,"",IF(H$227="","",H$227+H319-1))</f>
        <v>45016</v>
      </c>
      <c r="I323" s="403">
        <f ca="1">IF(SUM(I319:$EI319)=0,"",IF(I$227="","",I$227+I319-1))</f>
        <v>45046</v>
      </c>
      <c r="J323" s="403">
        <f ca="1">IF(SUM(J319:$EI319)=0,"",IF(J$227="","",J$227+J319-1))</f>
        <v>45077</v>
      </c>
      <c r="K323" s="403">
        <f ca="1">IF(SUM(K319:$EI319)=0,"",IF(K$227="","",K$227+K319-1))</f>
        <v>45107</v>
      </c>
      <c r="L323" s="403">
        <f ca="1">IF(SUM(L319:$EI319)=0,"",IF(L$227="","",L$227+L319-1))</f>
        <v>45138</v>
      </c>
      <c r="M323" s="403">
        <f ca="1">IF(SUM(M319:$EI319)=0,"",IF(M$227="","",M$227+M319-1))</f>
        <v>45169</v>
      </c>
      <c r="N323" s="403">
        <f ca="1">IF(SUM(N319:$EI319)=0,"",IF(N$227="","",N$227+N319-1))</f>
        <v>45199</v>
      </c>
      <c r="O323" s="403">
        <f ca="1">IF(SUM(O319:$EI319)=0,"",IF(O$227="","",O$227+O319-1))</f>
        <v>45230</v>
      </c>
      <c r="P323" s="403">
        <f ca="1">IF(SUM(P319:$EI319)=0,"",IF(P$227="","",P$227+P319-1))</f>
        <v>45260</v>
      </c>
      <c r="Q323" s="403">
        <f ca="1">IF(SUM(Q319:$EI319)=0,"",IF(Q$227="","",Q$227+Q319-1))</f>
        <v>45291</v>
      </c>
      <c r="R323" s="403">
        <f ca="1">IF(SUM(R319:$EI319)=0,"",IF(R$227="","",R$227+R319-1))</f>
        <v>45322</v>
      </c>
      <c r="S323" s="403">
        <f ca="1">IF(SUM(S319:$EI319)=0,"",IF(S$227="","",S$227+S319-1))</f>
        <v>45351</v>
      </c>
      <c r="T323" s="403">
        <f ca="1">IF(SUM(T319:$EI319)=0,"",IF(T$227="","",T$227+T319-1))</f>
        <v>45382</v>
      </c>
      <c r="U323" s="403">
        <f ca="1">IF(SUM(U319:$EI319)=0,"",IF(U$227="","",U$227+U319-1))</f>
        <v>45412</v>
      </c>
      <c r="V323" s="403">
        <f ca="1">IF(SUM(V319:$EI319)=0,"",IF(V$227="","",V$227+V319-1))</f>
        <v>45443</v>
      </c>
      <c r="W323" s="403">
        <f ca="1">IF(SUM(W319:$EI319)=0,"",IF(W$227="","",W$227+W319-1))</f>
        <v>45473</v>
      </c>
      <c r="X323" s="403">
        <f ca="1">IF(SUM(X319:$EI319)=0,"",IF(X$227="","",X$227+X319-1))</f>
        <v>45504</v>
      </c>
      <c r="Y323" s="403">
        <f ca="1">IF(SUM(Y319:$EI319)=0,"",IF(Y$227="","",Y$227+Y319-1))</f>
        <v>45535</v>
      </c>
      <c r="Z323" s="403">
        <f ca="1">IF(SUM(Z319:$EI319)=0,"",IF(Z$227="","",Z$227+Z319-1))</f>
        <v>45565</v>
      </c>
      <c r="AA323" s="403">
        <f ca="1">IF(SUM(AA319:$EI319)=0,"",IF(AA$227="","",AA$227+AA319-1))</f>
        <v>45596</v>
      </c>
      <c r="AB323" s="403">
        <f ca="1">IF(SUM(AB319:$EI319)=0,"",IF(AB$227="","",AB$227+AB319-1))</f>
        <v>45626</v>
      </c>
      <c r="AC323" s="403">
        <f ca="1">IF(SUM(AC319:$EI319)=0,"",IF(AC$227="","",AC$227+AC319-1))</f>
        <v>45657</v>
      </c>
      <c r="AD323" s="403">
        <f ca="1">IF(SUM(AD319:$EI319)=0,"",IF(AD$227="","",AD$227+AD319-1))</f>
        <v>45688</v>
      </c>
      <c r="AE323" s="403">
        <f ca="1">IF(SUM(AE319:$EI319)=0,"",IF(AE$227="","",AE$227+AE319-1))</f>
        <v>45716</v>
      </c>
      <c r="AF323" s="403">
        <f ca="1">IF(SUM(AF319:$EI319)=0,"",IF(AF$227="","",AF$227+AF319-1))</f>
        <v>45747</v>
      </c>
      <c r="AG323" s="403">
        <f ca="1">IF(SUM(AG319:$EI319)=0,"",IF(AG$227="","",AG$227+AG319-1))</f>
        <v>45777</v>
      </c>
      <c r="AH323" s="403">
        <f ca="1">IF(SUM(AH319:$EI319)=0,"",IF(AH$227="","",AH$227+AH319-1))</f>
        <v>45808</v>
      </c>
      <c r="AI323" s="403">
        <f ca="1">IF(SUM(AI319:$EI319)=0,"",IF(AI$227="","",AI$227+AI319-1))</f>
        <v>45838</v>
      </c>
      <c r="AJ323" s="403">
        <f ca="1">IF(SUM(AJ319:$EI319)=0,"",IF(AJ$227="","",AJ$227+AJ319-1))</f>
        <v>45869</v>
      </c>
      <c r="AK323" s="403">
        <f ca="1">IF(SUM(AK319:$EI319)=0,"",IF(AK$227="","",AK$227+AK319-1))</f>
        <v>45900</v>
      </c>
      <c r="AL323" s="403">
        <f ca="1">IF(SUM(AL319:$EI319)=0,"",IF(AL$227="","",AL$227+AL319-1))</f>
        <v>45930</v>
      </c>
      <c r="AM323" s="403">
        <f ca="1">IF(SUM(AM319:$EI319)=0,"",IF(AM$227="","",AM$227+AM319-1))</f>
        <v>45961</v>
      </c>
      <c r="AN323" s="403">
        <f ca="1">IF(SUM(AN319:$EI319)=0,"",IF(AN$227="","",AN$227+AN319-1))</f>
        <v>45991</v>
      </c>
      <c r="AO323" s="403">
        <f ca="1">IF(SUM(AO319:$EI319)=0,"",IF(AO$227="","",AO$227+AO319-1))</f>
        <v>46022</v>
      </c>
      <c r="AP323" s="403">
        <f ca="1">IF(SUM(AP319:$EI319)=0,"",IF(AP$227="","",AP$227+AP319-1))</f>
        <v>46053</v>
      </c>
      <c r="AQ323" s="403">
        <f ca="1">IF(SUM(AQ319:$EI319)=0,"",IF(AQ$227="","",AQ$227+AQ319-1))</f>
        <v>46081</v>
      </c>
      <c r="AR323" s="403">
        <f ca="1">IF(SUM(AR319:$EI319)=0,"",IF(AR$227="","",AR$227+AR319-1))</f>
        <v>46112</v>
      </c>
      <c r="AS323" s="403">
        <f ca="1">IF(SUM(AS319:$EI319)=0,"",IF(AS$227="","",AS$227+AS319-1))</f>
        <v>46142</v>
      </c>
      <c r="AT323" s="403">
        <f ca="1">IF(SUM(AT319:$EI319)=0,"",IF(AT$227="","",AT$227+AT319-1))</f>
        <v>46173</v>
      </c>
      <c r="AU323" s="403">
        <f ca="1">IF(SUM(AU319:$EI319)=0,"",IF(AU$227="","",AU$227+AU319-1))</f>
        <v>46203</v>
      </c>
      <c r="AV323" s="403">
        <f ca="1">IF(SUM(AV319:$EI319)=0,"",IF(AV$227="","",AV$227+AV319-1))</f>
        <v>46234</v>
      </c>
      <c r="AW323" s="403">
        <f ca="1">IF(SUM(AW319:$EI319)=0,"",IF(AW$227="","",AW$227+AW319-1))</f>
        <v>46270.05</v>
      </c>
      <c r="AX323" s="403">
        <f ca="1">IF(SUM(AX319:$EI319)=0,"",IF(AX$227="","",AX$227+AX319-1))</f>
        <v>46326</v>
      </c>
      <c r="AY323" s="403">
        <f ca="1">IF(SUM(AY319:$EI319)=0,"",IF(AY$227="","",AY$227+AY319-1))</f>
        <v>46356</v>
      </c>
      <c r="AZ323" s="403">
        <f ca="1">IF(SUM(AZ319:$EI319)=0,"",IF(AZ$227="","",AZ$227+AZ319-1))</f>
        <v>46387</v>
      </c>
      <c r="BA323" s="403">
        <f ca="1">IF(SUM(BA319:$EI319)=0,"",IF(BA$227="","",BA$227+BA319-1))</f>
        <v>46418</v>
      </c>
      <c r="BB323" s="403">
        <f ca="1">IF(SUM(BB319:$EI319)=0,"",IF(BB$227="","",BB$227+BB319-1))</f>
        <v>46446</v>
      </c>
      <c r="BC323" s="403">
        <f ca="1">IF(SUM(BC319:$EI319)=0,"",IF(BC$227="","",BC$227+BC319-1))</f>
        <v>46477</v>
      </c>
      <c r="BD323" s="403">
        <f ca="1">IF(SUM(BD319:$EI319)=0,"",IF(BD$227="","",BD$227+BD319-1))</f>
        <v>46507</v>
      </c>
      <c r="BE323" s="403">
        <f ca="1">IF(SUM(BE319:$EI319)=0,"",IF(BE$227="","",BE$227+BE319-1))</f>
        <v>46527.95</v>
      </c>
      <c r="BF323" s="403" t="str">
        <f ca="1">IF(SUM(BF319:$EI319)=0,"",IF(BF$227="","",BF$227+BF319-1))</f>
        <v/>
      </c>
      <c r="BG323" s="403" t="str">
        <f ca="1">IF(SUM(BG319:$EI319)=0,"",IF(BG$227="","",BG$227+BG319-1))</f>
        <v/>
      </c>
      <c r="BH323" s="403" t="str">
        <f ca="1">IF(SUM(BH319:$EI319)=0,"",IF(BH$227="","",BH$227+BH319-1))</f>
        <v/>
      </c>
      <c r="BI323" s="403" t="str">
        <f ca="1">IF(SUM(BI319:$EI319)=0,"",IF(BI$227="","",BI$227+BI319-1))</f>
        <v/>
      </c>
      <c r="BJ323" s="403" t="str">
        <f ca="1">IF(SUM(BJ319:$EI319)=0,"",IF(BJ$227="","",BJ$227+BJ319-1))</f>
        <v/>
      </c>
      <c r="BK323" s="403" t="str">
        <f ca="1">IF(SUM(BK319:$EI319)=0,"",IF(BK$227="","",BK$227+BK319-1))</f>
        <v/>
      </c>
      <c r="BL323" s="403" t="str">
        <f ca="1">IF(SUM(BL319:$EI319)=0,"",IF(BL$227="","",BL$227+BL319-1))</f>
        <v/>
      </c>
      <c r="BM323" s="403" t="str">
        <f ca="1">IF(SUM(BM319:$EI319)=0,"",IF(BM$227="","",BM$227+BM319-1))</f>
        <v/>
      </c>
      <c r="BN323" s="403" t="str">
        <f ca="1">IF(SUM(BN319:$EI319)=0,"",IF(BN$227="","",BN$227+BN319-1))</f>
        <v/>
      </c>
      <c r="BO323" s="403" t="str">
        <f ca="1">IF(SUM(BO319:$EI319)=0,"",IF(BO$227="","",BO$227+BO319-1))</f>
        <v/>
      </c>
      <c r="BP323" s="403" t="str">
        <f ca="1">IF(SUM(BP319:$EI319)=0,"",IF(BP$227="","",BP$227+BP319-1))</f>
        <v/>
      </c>
      <c r="BQ323" s="403" t="str">
        <f ca="1">IF(SUM(BQ319:$EI319)=0,"",IF(BQ$227="","",BQ$227+BQ319-1))</f>
        <v/>
      </c>
      <c r="BR323" s="403" t="str">
        <f ca="1">IF(SUM(BR319:$EI319)=0,"",IF(BR$227="","",BR$227+BR319-1))</f>
        <v/>
      </c>
      <c r="BS323" s="403" t="str">
        <f ca="1">IF(SUM(BS319:$EI319)=0,"",IF(BS$227="","",BS$227+BS319-1))</f>
        <v/>
      </c>
      <c r="BT323" s="403" t="str">
        <f ca="1">IF(SUM(BT319:$EI319)=0,"",IF(BT$227="","",BT$227+BT319-1))</f>
        <v/>
      </c>
      <c r="BU323" s="403" t="str">
        <f ca="1">IF(SUM(BU319:$EI319)=0,"",IF(BU$227="","",BU$227+BU319-1))</f>
        <v/>
      </c>
      <c r="BV323" s="403" t="str">
        <f ca="1">IF(SUM(BV319:$EI319)=0,"",IF(BV$227="","",BV$227+BV319-1))</f>
        <v/>
      </c>
      <c r="BW323" s="403" t="str">
        <f ca="1">IF(SUM(BW319:$EI319)=0,"",IF(BW$227="","",BW$227+BW319-1))</f>
        <v/>
      </c>
      <c r="BX323" s="403" t="str">
        <f ca="1">IF(SUM(BX319:$EI319)=0,"",IF(BX$227="","",BX$227+BX319-1))</f>
        <v/>
      </c>
      <c r="BY323" s="403" t="str">
        <f ca="1">IF(SUM(BY319:$EI319)=0,"",IF(BY$227="","",BY$227+BY319-1))</f>
        <v/>
      </c>
      <c r="BZ323" s="403" t="str">
        <f ca="1">IF(SUM(BZ319:$EI319)=0,"",IF(BZ$227="","",BZ$227+BZ319-1))</f>
        <v/>
      </c>
      <c r="CA323" s="403" t="str">
        <f ca="1">IF(SUM(CA319:$EI319)=0,"",IF(CA$227="","",CA$227+CA319-1))</f>
        <v/>
      </c>
      <c r="CB323" s="403" t="str">
        <f ca="1">IF(SUM(CB319:$EI319)=0,"",IF(CB$227="","",CB$227+CB319-1))</f>
        <v/>
      </c>
      <c r="CC323" s="403" t="str">
        <f ca="1">IF(SUM(CC319:$EI319)=0,"",IF(CC$227="","",CC$227+CC319-1))</f>
        <v/>
      </c>
      <c r="CD323" s="403" t="str">
        <f ca="1">IF(SUM(CD319:$EI319)=0,"",IF(CD$227="","",CD$227+CD319-1))</f>
        <v/>
      </c>
      <c r="CE323" s="403" t="str">
        <f ca="1">IF(SUM(CE319:$EI319)=0,"",IF(CE$227="","",CE$227+CE319-1))</f>
        <v/>
      </c>
      <c r="CF323" s="403" t="str">
        <f ca="1">IF(SUM(CF319:$EI319)=0,"",IF(CF$227="","",CF$227+CF319-1))</f>
        <v/>
      </c>
      <c r="CG323" s="403" t="str">
        <f ca="1">IF(SUM(CG319:$EI319)=0,"",IF(CG$227="","",CG$227+CG319-1))</f>
        <v/>
      </c>
      <c r="CH323" s="403" t="str">
        <f ca="1">IF(SUM(CH319:$EI319)=0,"",IF(CH$227="","",CH$227+CH319-1))</f>
        <v/>
      </c>
      <c r="CI323" s="403" t="str">
        <f ca="1">IF(SUM(CI319:$EI319)=0,"",IF(CI$227="","",CI$227+CI319-1))</f>
        <v/>
      </c>
      <c r="CJ323" s="403" t="str">
        <f ca="1">IF(SUM(CJ319:$EI319)=0,"",IF(CJ$227="","",CJ$227+CJ319-1))</f>
        <v/>
      </c>
      <c r="CK323" s="403" t="str">
        <f ca="1">IF(SUM(CK319:$EI319)=0,"",IF(CK$227="","",CK$227+CK319-1))</f>
        <v/>
      </c>
      <c r="CL323" s="403" t="str">
        <f ca="1">IF(SUM(CL319:$EI319)=0,"",IF(CL$227="","",CL$227+CL319-1))</f>
        <v/>
      </c>
      <c r="CM323" s="403" t="str">
        <f ca="1">IF(SUM(CM319:$EI319)=0,"",IF(CM$227="","",CM$227+CM319-1))</f>
        <v/>
      </c>
      <c r="CN323" s="403" t="str">
        <f ca="1">IF(SUM(CN319:$EI319)=0,"",IF(CN$227="","",CN$227+CN319-1))</f>
        <v/>
      </c>
      <c r="CO323" s="403" t="str">
        <f ca="1">IF(SUM(CO319:$EI319)=0,"",IF(CO$227="","",CO$227+CO319-1))</f>
        <v/>
      </c>
      <c r="CP323" s="403" t="str">
        <f ca="1">IF(SUM(CP319:$EI319)=0,"",IF(CP$227="","",CP$227+CP319-1))</f>
        <v/>
      </c>
      <c r="CQ323" s="403" t="str">
        <f ca="1">IF(SUM(CQ319:$EI319)=0,"",IF(CQ$227="","",CQ$227+CQ319-1))</f>
        <v/>
      </c>
      <c r="CR323" s="403" t="str">
        <f ca="1">IF(SUM(CR319:$EI319)=0,"",IF(CR$227="","",CR$227+CR319-1))</f>
        <v/>
      </c>
      <c r="CS323" s="403" t="str">
        <f ca="1">IF(SUM(CS319:$EI319)=0,"",IF(CS$227="","",CS$227+CS319-1))</f>
        <v/>
      </c>
      <c r="CT323" s="403" t="str">
        <f ca="1">IF(SUM(CT319:$EI319)=0,"",IF(CT$227="","",CT$227+CT319-1))</f>
        <v/>
      </c>
      <c r="CU323" s="403" t="str">
        <f ca="1">IF(SUM(CU319:$EI319)=0,"",IF(CU$227="","",CU$227+CU319-1))</f>
        <v/>
      </c>
      <c r="CV323" s="403" t="str">
        <f ca="1">IF(SUM(CV319:$EI319)=0,"",IF(CV$227="","",CV$227+CV319-1))</f>
        <v/>
      </c>
      <c r="CW323" s="403" t="str">
        <f ca="1">IF(SUM(CW319:$EI319)=0,"",IF(CW$227="","",CW$227+CW319-1))</f>
        <v/>
      </c>
      <c r="CX323" s="403" t="str">
        <f ca="1">IF(SUM(CX319:$EI319)=0,"",IF(CX$227="","",CX$227+CX319-1))</f>
        <v/>
      </c>
      <c r="CY323" s="403" t="str">
        <f ca="1">IF(SUM(CY319:$EI319)=0,"",IF(CY$227="","",CY$227+CY319-1))</f>
        <v/>
      </c>
      <c r="CZ323" s="403" t="str">
        <f ca="1">IF(SUM(CZ319:$EI319)=0,"",IF(CZ$227="","",CZ$227+CZ319-1))</f>
        <v/>
      </c>
      <c r="DA323" s="403" t="str">
        <f ca="1">IF(SUM(DA319:$EI319)=0,"",IF(DA$227="","",DA$227+DA319-1))</f>
        <v/>
      </c>
      <c r="DB323" s="403" t="str">
        <f ca="1">IF(SUM(DB319:$EI319)=0,"",IF(DB$227="","",DB$227+DB319-1))</f>
        <v/>
      </c>
      <c r="DC323" s="403" t="str">
        <f ca="1">IF(SUM(DC319:$EI319)=0,"",IF(DC$227="","",DC$227+DC319-1))</f>
        <v/>
      </c>
      <c r="DD323" s="403" t="str">
        <f ca="1">IF(SUM(DD319:$EI319)=0,"",IF(DD$227="","",DD$227+DD319-1))</f>
        <v/>
      </c>
      <c r="DE323" s="403" t="str">
        <f ca="1">IF(SUM(DE319:$EI319)=0,"",IF(DE$227="","",DE$227+DE319-1))</f>
        <v/>
      </c>
      <c r="DF323" s="403" t="str">
        <f ca="1">IF(SUM(DF319:$EI319)=0,"",IF(DF$227="","",DF$227+DF319-1))</f>
        <v/>
      </c>
      <c r="DG323" s="403" t="str">
        <f ca="1">IF(SUM(DG319:$EI319)=0,"",IF(DG$227="","",DG$227+DG319-1))</f>
        <v/>
      </c>
      <c r="DH323" s="403" t="str">
        <f ca="1">IF(SUM(DH319:$EI319)=0,"",IF(DH$227="","",DH$227+DH319-1))</f>
        <v/>
      </c>
      <c r="DI323" s="403" t="str">
        <f ca="1">IF(SUM(DI319:$EI319)=0,"",IF(DI$227="","",DI$227+DI319-1))</f>
        <v/>
      </c>
      <c r="DJ323" s="403" t="str">
        <f ca="1">IF(SUM(DJ319:$EI319)=0,"",IF(DJ$227="","",DJ$227+DJ319-1))</f>
        <v/>
      </c>
      <c r="DK323" s="403" t="str">
        <f ca="1">IF(SUM(DK319:$EI319)=0,"",IF(DK$227="","",DK$227+DK319-1))</f>
        <v/>
      </c>
      <c r="DL323" s="403" t="str">
        <f ca="1">IF(SUM(DL319:$EI319)=0,"",IF(DL$227="","",DL$227+DL319-1))</f>
        <v/>
      </c>
      <c r="DM323" s="403" t="str">
        <f ca="1">IF(SUM(DM319:$EI319)=0,"",IF(DM$227="","",DM$227+DM319-1))</f>
        <v/>
      </c>
      <c r="DN323" s="403" t="str">
        <f ca="1">IF(SUM(DN319:$EI319)=0,"",IF(DN$227="","",DN$227+DN319-1))</f>
        <v/>
      </c>
      <c r="DO323" s="403" t="str">
        <f ca="1">IF(SUM(DO319:$EI319)=0,"",IF(DO$227="","",DO$227+DO319-1))</f>
        <v/>
      </c>
      <c r="DP323" s="403" t="str">
        <f ca="1">IF(SUM(DP319:$EI319)=0,"",IF(DP$227="","",DP$227+DP319-1))</f>
        <v/>
      </c>
      <c r="DQ323" s="403" t="str">
        <f ca="1">IF(SUM(DQ319:$EI319)=0,"",IF(DQ$227="","",DQ$227+DQ319-1))</f>
        <v/>
      </c>
      <c r="DR323" s="403" t="str">
        <f ca="1">IF(SUM(DR319:$EI319)=0,"",IF(DR$227="","",DR$227+DR319-1))</f>
        <v/>
      </c>
      <c r="DS323" s="403" t="str">
        <f ca="1">IF(SUM(DS319:$EI319)=0,"",IF(DS$227="","",DS$227+DS319-1))</f>
        <v/>
      </c>
      <c r="DT323" s="403" t="str">
        <f ca="1">IF(SUM(DT319:$EI319)=0,"",IF(DT$227="","",DT$227+DT319-1))</f>
        <v/>
      </c>
      <c r="DU323" s="403" t="str">
        <f ca="1">IF(SUM(DU319:$EI319)=0,"",IF(DU$227="","",DU$227+DU319-1))</f>
        <v/>
      </c>
      <c r="DV323" s="403" t="str">
        <f ca="1">IF(SUM(DV319:$EI319)=0,"",IF(DV$227="","",DV$227+DV319-1))</f>
        <v/>
      </c>
      <c r="DW323" s="403" t="str">
        <f ca="1">IF(SUM(DW319:$EI319)=0,"",IF(DW$227="","",DW$227+DW319-1))</f>
        <v/>
      </c>
      <c r="DX323" s="403" t="str">
        <f ca="1">IF(SUM(DX319:$EI319)=0,"",IF(DX$227="","",DX$227+DX319-1))</f>
        <v/>
      </c>
      <c r="DY323" s="403" t="str">
        <f ca="1">IF(SUM(DY319:$EI319)=0,"",IF(DY$227="","",DY$227+DY319-1))</f>
        <v/>
      </c>
      <c r="DZ323" s="403" t="str">
        <f ca="1">IF(SUM(DZ319:$EI319)=0,"",IF(DZ$227="","",DZ$227+DZ319-1))</f>
        <v/>
      </c>
      <c r="EA323" s="403" t="str">
        <f ca="1">IF(SUM(EA319:$EI319)=0,"",IF(EA$227="","",EA$227+EA319-1))</f>
        <v/>
      </c>
      <c r="EB323" s="403" t="str">
        <f ca="1">IF(SUM(EB319:$EI319)=0,"",IF(EB$227="","",EB$227+EB319-1))</f>
        <v/>
      </c>
      <c r="EC323" s="403" t="str">
        <f ca="1">IF(SUM(EC319:$EI319)=0,"",IF(EC$227="","",EC$227+EC319-1))</f>
        <v/>
      </c>
      <c r="ED323" s="403" t="str">
        <f ca="1">IF(SUM(ED319:$EI319)=0,"",IF(ED$227="","",ED$227+ED319-1))</f>
        <v/>
      </c>
      <c r="EE323" s="403" t="str">
        <f ca="1">IF(SUM(EE319:$EI319)=0,"",IF(EE$227="","",EE$227+EE319-1))</f>
        <v/>
      </c>
      <c r="EF323" s="403" t="str">
        <f ca="1">IF(SUM(EF319:$EI319)=0,"",IF(EF$227="","",EF$227+EF319-1))</f>
        <v/>
      </c>
      <c r="EG323" s="403" t="str">
        <f ca="1">IF(SUM(EG319:$EI319)=0,"",IF(EG$227="","",EG$227+EG319-1))</f>
        <v/>
      </c>
      <c r="EH323" s="403" t="str">
        <f ca="1">IF(SUM(EH319:$EI319)=0,"",IF(EH$227="","",EH$227+EH319-1))</f>
        <v/>
      </c>
      <c r="EI323" s="403" t="str">
        <f ca="1">IF(SUM(EI319:$EI319)=0,"",IF(EI$227="","",EI$227+EI319-1))</f>
        <v/>
      </c>
    </row>
    <row r="324" spans="1:141" outlineLevel="1" collapsed="1">
      <c r="A324" s="332"/>
      <c r="B324" s="313"/>
      <c r="C324" s="317" t="s">
        <v>91</v>
      </c>
      <c r="D324" s="317" t="s">
        <v>679</v>
      </c>
      <c r="E324" s="400">
        <f ca="1">IF(ГРП!B28=0,длительность!C158,ГРП!B28)</f>
        <v>75</v>
      </c>
      <c r="F324" s="318">
        <f ca="1">E324-SUM(G324:EJ324)</f>
        <v>0</v>
      </c>
      <c r="G324" s="401"/>
      <c r="H324" s="401">
        <f ca="1">IF(SUM($G324:G324)&gt;=$E324,0,IF($E324-SUM($G324:G324)&gt;H325,H325,$E324-SUM($G325:G325)))</f>
        <v>0</v>
      </c>
      <c r="I324" s="401">
        <f ca="1">IF(SUM($G324:H324)&gt;=$E324,0,IF($E324-SUM($G324:H324)&gt;I325,I325,$E324-SUM($G325:H325)))</f>
        <v>0</v>
      </c>
      <c r="J324" s="401">
        <f ca="1">IF(SUM($G324:I324)&gt;=$E324,0,IF($E324-SUM($G324:I324)&gt;J325,J325,$E324-SUM($G325:I325)))</f>
        <v>0</v>
      </c>
      <c r="K324" s="401">
        <f ca="1">IF(SUM($G324:J324)&gt;=$E324,0,IF($E324-SUM($G324:J324)&gt;K325,K325,$E324-SUM($G325:J325)))</f>
        <v>0</v>
      </c>
      <c r="L324" s="401">
        <f ca="1">IF(SUM($G324:K324)&gt;=$E324,0,IF($E324-SUM($G324:K324)&gt;L325,L325,$E324-SUM($G325:K325)))</f>
        <v>0</v>
      </c>
      <c r="M324" s="401">
        <f ca="1">IF(SUM($G324:L324)&gt;=$E324,0,IF($E324-SUM($G324:L324)&gt;M325,M325,$E324-SUM($G325:L325)))</f>
        <v>0</v>
      </c>
      <c r="N324" s="401">
        <f ca="1">IF(SUM($G324:M324)&gt;=$E324,0,IF($E324-SUM($G324:M324)&gt;N325,N325,$E324-SUM($G325:M325)))</f>
        <v>0</v>
      </c>
      <c r="O324" s="401">
        <f ca="1">IF(SUM($G324:N324)&gt;=$E324,0,IF($E324-SUM($G324:N324)&gt;O325,O325,$E324-SUM($G325:N325)))</f>
        <v>0</v>
      </c>
      <c r="P324" s="401">
        <f ca="1">IF(SUM($G324:O324)&gt;=$E324,0,IF($E324-SUM($G324:O324)&gt;P325,P325,$E324-SUM($G325:O325)))</f>
        <v>0</v>
      </c>
      <c r="Q324" s="401">
        <f ca="1">IF(SUM($G324:P324)&gt;=$E324,0,IF($E324-SUM($G324:P324)&gt;Q325,Q325,$E324-SUM($G325:P325)))</f>
        <v>0</v>
      </c>
      <c r="R324" s="401">
        <f ca="1">IF(SUM($G324:Q324)&gt;=$E324,0,IF($E324-SUM($G324:Q324)&gt;R325,R325,$E324-SUM($G325:Q325)))</f>
        <v>0</v>
      </c>
      <c r="S324" s="401">
        <f ca="1">IF(SUM($G324:R324)&gt;=$E324,0,IF($E324-SUM($G324:R324)&gt;S325,S325,$E324-SUM($G325:R325)))</f>
        <v>0</v>
      </c>
      <c r="T324" s="401">
        <f ca="1">IF(SUM($G324:S324)&gt;=$E324,0,IF($E324-SUM($G324:S324)&gt;T325,T325,$E324-SUM($G325:S325)))</f>
        <v>0</v>
      </c>
      <c r="U324" s="401">
        <f ca="1">IF(SUM($G324:T324)&gt;=$E324,0,IF($E324-SUM($G324:T324)&gt;U325,U325,$E324-SUM($G325:T325)))</f>
        <v>0</v>
      </c>
      <c r="V324" s="401">
        <f ca="1">IF(SUM($G324:U324)&gt;=$E324,0,IF($E324-SUM($G324:U324)&gt;V325,V325,$E324-SUM($G325:U325)))</f>
        <v>0</v>
      </c>
      <c r="W324" s="401">
        <f ca="1">IF(SUM($G324:V324)&gt;=$E324,0,IF($E324-SUM($G324:V324)&gt;W325,W325,$E324-SUM($G325:V325)))</f>
        <v>0</v>
      </c>
      <c r="X324" s="401">
        <f ca="1">IF(SUM($G324:W324)&gt;=$E324,0,IF($E324-SUM($G324:W324)&gt;X325,X325,$E324-SUM($G325:W325)))</f>
        <v>0</v>
      </c>
      <c r="Y324" s="401">
        <f ca="1">IF(SUM($G324:X324)&gt;=$E324,0,IF($E324-SUM($G324:X324)&gt;Y325,Y325,$E324-SUM($G325:X325)))</f>
        <v>0</v>
      </c>
      <c r="Z324" s="401">
        <f ca="1">IF(SUM($G324:Y324)&gt;=$E324,0,IF($E324-SUM($G324:Y324)&gt;Z325,Z325,$E324-SUM($G325:Y325)))</f>
        <v>0</v>
      </c>
      <c r="AA324" s="401">
        <f ca="1">IF(SUM($G324:Z324)&gt;=$E324,0,IF($E324-SUM($G324:Z324)&gt;AA325,AA325,$E324-SUM($G325:Z325)))</f>
        <v>0</v>
      </c>
      <c r="AB324" s="401">
        <f ca="1">IF(SUM($G324:AA324)&gt;=$E324,0,IF($E324-SUM($G324:AA324)&gt;AB325,AB325,$E324-SUM($G325:AA325)))</f>
        <v>0</v>
      </c>
      <c r="AC324" s="401">
        <f ca="1">IF(SUM($G324:AB324)&gt;=$E324,0,IF($E324-SUM($G324:AB324)&gt;AC325,AC325,$E324-SUM($G325:AB325)))</f>
        <v>0</v>
      </c>
      <c r="AD324" s="401">
        <f ca="1">IF(SUM($G324:AC324)&gt;=$E324,0,IF($E324-SUM($G324:AC324)&gt;AD325,AD325,$E324-SUM($G325:AC325)))</f>
        <v>0</v>
      </c>
      <c r="AE324" s="401">
        <f ca="1">IF(SUM($G324:AD324)&gt;=$E324,0,IF($E324-SUM($G324:AD324)&gt;AE325,AE325,$E324-SUM($G325:AD325)))</f>
        <v>0</v>
      </c>
      <c r="AF324" s="401">
        <f ca="1">IF(SUM($G324:AE324)&gt;=$E324,0,IF($E324-SUM($G324:AE324)&gt;AF325,AF325,$E324-SUM($G325:AE325)))</f>
        <v>0</v>
      </c>
      <c r="AG324" s="401">
        <f ca="1">IF(SUM($G324:AF324)&gt;=$E324,0,IF($E324-SUM($G324:AF324)&gt;AG325,AG325,$E324-SUM($G325:AF325)))</f>
        <v>0</v>
      </c>
      <c r="AH324" s="401">
        <f ca="1">IF(SUM($G324:AG324)&gt;=$E324,0,IF($E324-SUM($G324:AG324)&gt;AH325,AH325,$E324-SUM($G325:AG325)))</f>
        <v>0</v>
      </c>
      <c r="AI324" s="401">
        <f ca="1">IF(SUM($G324:AH324)&gt;=$E324,0,IF($E324-SUM($G324:AH324)&gt;AI325,AI325,$E324-SUM($G325:AH325)))</f>
        <v>0</v>
      </c>
      <c r="AJ324" s="401">
        <f ca="1">IF(SUM($G324:AI324)&gt;=$E324,0,IF($E324-SUM($G324:AI324)&gt;AJ325,AJ325,$E324-SUM($G325:AI325)))</f>
        <v>0</v>
      </c>
      <c r="AK324" s="401">
        <f ca="1">IF(SUM($G324:AJ324)&gt;=$E324,0,IF($E324-SUM($G324:AJ324)&gt;AK325,AK325,$E324-SUM($G325:AJ325)))</f>
        <v>0</v>
      </c>
      <c r="AL324" s="401">
        <f ca="1">IF(SUM($G324:AK324)&gt;=$E324,0,IF($E324-SUM($G324:AK324)&gt;AL325,AL325,$E324-SUM($G325:AK325)))</f>
        <v>0</v>
      </c>
      <c r="AM324" s="401">
        <f ca="1">IF(SUM($G324:AL324)&gt;=$E324,0,IF($E324-SUM($G324:AL324)&gt;AM325,AM325,$E324-SUM($G325:AL325)))</f>
        <v>0</v>
      </c>
      <c r="AN324" s="401">
        <f ca="1">IF(SUM($G324:AM324)&gt;=$E324,0,IF($E324-SUM($G324:AM324)&gt;AN325,AN325,$E324-SUM($G325:AM325)))</f>
        <v>0</v>
      </c>
      <c r="AO324" s="401">
        <f ca="1">IF(SUM($G324:AN324)&gt;=$E324,0,IF($E324-SUM($G324:AN324)&gt;AO325,AO325,$E324-SUM($G325:AN325)))</f>
        <v>0</v>
      </c>
      <c r="AP324" s="401">
        <f ca="1">IF(SUM($G324:AO324)&gt;=$E324,0,IF($E324-SUM($G324:AO324)&gt;AP325,AP325,$E324-SUM($G325:AO325)))</f>
        <v>0</v>
      </c>
      <c r="AQ324" s="401">
        <f ca="1">IF(SUM($G324:AP324)&gt;=$E324,0,IF($E324-SUM($G324:AP324)&gt;AQ325,AQ325,$E324-SUM($G325:AP325)))</f>
        <v>0</v>
      </c>
      <c r="AR324" s="401">
        <f ca="1">IF(SUM($G324:AQ324)&gt;=$E324,0,IF($E324-SUM($G324:AQ324)&gt;AR325,AR325,$E324-SUM($G325:AQ325)))</f>
        <v>0</v>
      </c>
      <c r="AS324" s="401">
        <f ca="1">IF(SUM($G324:AR324)&gt;=$E324,0,IF($E324-SUM($G324:AR324)&gt;AS325,AS325,$E324-SUM($G325:AR325)))</f>
        <v>0</v>
      </c>
      <c r="AT324" s="401">
        <f ca="1">IF(SUM($G324:AS324)&gt;=$E324,0,IF($E324-SUM($G324:AS324)&gt;AT325,AT325,$E324-SUM($G325:AS325)))</f>
        <v>0</v>
      </c>
      <c r="AU324" s="401">
        <f ca="1">IF(SUM($G324:AT324)&gt;=$E324,0,IF($E324-SUM($G324:AT324)&gt;AU325,AU325,$E324-SUM($G325:AT325)))</f>
        <v>0</v>
      </c>
      <c r="AV324" s="401">
        <f ca="1">IF(SUM($G324:AU324)&gt;=$E324,0,IF($E324-SUM($G324:AU324)&gt;AV325,AV325,$E324-SUM($G325:AU325)))</f>
        <v>0</v>
      </c>
      <c r="AW324" s="401">
        <f ca="1">IF(SUM($G324:AV324)&gt;=$E324,0,IF($E324-SUM($G324:AV324)&gt;AW325,AW325,$E324-SUM($G325:AV325)))</f>
        <v>5.0500000000000114</v>
      </c>
      <c r="AX324" s="401">
        <f ca="1">IF(SUM($G324:AW324)&gt;=$E324,0,IF($E324-SUM($G324:AW324)&gt;AX325,AX325,$E324-SUM($G325:AW325)))</f>
        <v>31</v>
      </c>
      <c r="AY324" s="401">
        <f ca="1">IF(SUM($G324:AX324)&gt;=$E324,0,IF($E324-SUM($G324:AX324)&gt;AY325,AY325,$E324-SUM($G325:AX325)))</f>
        <v>30</v>
      </c>
      <c r="AZ324" s="401">
        <f ca="1">IF(SUM($G324:AY324)&gt;=$E324,0,IF($E324-SUM($G324:AY324)&gt;AZ325,AZ325,$E324-SUM($G325:AY325)))</f>
        <v>8.9499999999999886</v>
      </c>
      <c r="BA324" s="401">
        <f ca="1">IF(SUM($G324:AZ324)&gt;=$E324,0,IF($E324-SUM($G324:AZ324)&gt;BA325,BA325,$E324-SUM($G325:AZ325)))</f>
        <v>0</v>
      </c>
      <c r="BB324" s="401">
        <f ca="1">IF(SUM($G324:BA324)&gt;=$E324,0,IF($E324-SUM($G324:BA324)&gt;BB325,BB325,$E324-SUM($G325:BA325)))</f>
        <v>0</v>
      </c>
      <c r="BC324" s="401">
        <f ca="1">IF(SUM($G324:BB324)&gt;=$E324,0,IF($E324-SUM($G324:BB324)&gt;BC325,BC325,$E324-SUM($G325:BB325)))</f>
        <v>0</v>
      </c>
      <c r="BD324" s="401">
        <f ca="1">IF(SUM($G324:BC324)&gt;=$E324,0,IF($E324-SUM($G324:BC324)&gt;BD325,BD325,$E324-SUM($G325:BC325)))</f>
        <v>0</v>
      </c>
      <c r="BE324" s="401">
        <f ca="1">IF(SUM($G324:BD324)&gt;=$E324,0,IF($E324-SUM($G324:BD324)&gt;BE325,BE325,$E324-SUM($G325:BD325)))</f>
        <v>0</v>
      </c>
      <c r="BF324" s="401">
        <f ca="1">IF(SUM($G324:BE324)&gt;=$E324,0,IF($E324-SUM($G324:BE324)&gt;BF325,BF325,$E324-SUM($G325:BE325)))</f>
        <v>0</v>
      </c>
      <c r="BG324" s="401">
        <f ca="1">IF(SUM($G324:BF324)&gt;=$E324,0,IF($E324-SUM($G324:BF324)&gt;BG325,BG325,$E324-SUM($G325:BF325)))</f>
        <v>0</v>
      </c>
      <c r="BH324" s="401">
        <f ca="1">IF(SUM($G324:BG324)&gt;=$E324,0,IF($E324-SUM($G324:BG324)&gt;BH325,BH325,$E324-SUM($G325:BG325)))</f>
        <v>0</v>
      </c>
      <c r="BI324" s="401">
        <f ca="1">IF(SUM($G324:BH324)&gt;=$E324,0,IF($E324-SUM($G324:BH324)&gt;BI325,BI325,$E324-SUM($G325:BH325)))</f>
        <v>0</v>
      </c>
      <c r="BJ324" s="401">
        <f ca="1">IF(SUM($G324:BI324)&gt;=$E324,0,IF($E324-SUM($G324:BI324)&gt;BJ325,BJ325,$E324-SUM($G325:BI325)))</f>
        <v>0</v>
      </c>
      <c r="BK324" s="401">
        <f ca="1">IF(SUM($G324:BJ324)&gt;=$E324,0,IF($E324-SUM($G324:BJ324)&gt;BK325,BK325,$E324-SUM($G325:BJ325)))</f>
        <v>0</v>
      </c>
      <c r="BL324" s="401">
        <f ca="1">IF(SUM($G324:BK324)&gt;=$E324,0,IF($E324-SUM($G324:BK324)&gt;BL325,BL325,$E324-SUM($G325:BK325)))</f>
        <v>0</v>
      </c>
      <c r="BM324" s="401">
        <f ca="1">IF(SUM($G324:BL324)&gt;=$E324,0,IF($E324-SUM($G324:BL324)&gt;BM325,BM325,$E324-SUM($G325:BL325)))</f>
        <v>0</v>
      </c>
      <c r="BN324" s="401">
        <f ca="1">IF(SUM($G324:BM324)&gt;=$E324,0,IF($E324-SUM($G324:BM324)&gt;BN325,BN325,$E324-SUM($G325:BM325)))</f>
        <v>0</v>
      </c>
      <c r="BO324" s="401">
        <f ca="1">IF(SUM($G324:BN324)&gt;=$E324,0,IF($E324-SUM($G324:BN324)&gt;BO325,BO325,$E324-SUM($G325:BN325)))</f>
        <v>0</v>
      </c>
      <c r="BP324" s="401">
        <f ca="1">IF(SUM($G324:BO324)&gt;=$E324,0,IF($E324-SUM($G324:BO324)&gt;BP325,BP325,$E324-SUM($G325:BO325)))</f>
        <v>0</v>
      </c>
      <c r="BQ324" s="401">
        <f ca="1">IF(SUM($G324:BP324)&gt;=$E324,0,IF($E324-SUM($G324:BP324)&gt;BQ325,BQ325,$E324-SUM($G325:BP325)))</f>
        <v>0</v>
      </c>
      <c r="BR324" s="401">
        <f ca="1">IF(SUM($G324:BQ324)&gt;=$E324,0,IF($E324-SUM($G324:BQ324)&gt;BR325,BR325,$E324-SUM($G325:BQ325)))</f>
        <v>0</v>
      </c>
      <c r="BS324" s="401">
        <f ca="1">IF(SUM($G324:BR324)&gt;=$E324,0,IF($E324-SUM($G324:BR324)&gt;BS325,BS325,$E324-SUM($G325:BR325)))</f>
        <v>0</v>
      </c>
      <c r="BT324" s="401">
        <f ca="1">IF(SUM($G324:BS324)&gt;=$E324,0,IF($E324-SUM($G324:BS324)&gt;BT325,BT325,$E324-SUM($G325:BS325)))</f>
        <v>0</v>
      </c>
      <c r="BU324" s="401">
        <f ca="1">IF(SUM($G324:BT324)&gt;=$E324,0,IF($E324-SUM($G324:BT324)&gt;BU325,BU325,$E324-SUM($G325:BT325)))</f>
        <v>0</v>
      </c>
      <c r="BV324" s="401">
        <f ca="1">IF(SUM($G324:BU324)&gt;=$E324,0,IF($E324-SUM($G324:BU324)&gt;BV325,BV325,$E324-SUM($G325:BU325)))</f>
        <v>0</v>
      </c>
      <c r="BW324" s="401">
        <f ca="1">IF(SUM($G324:BV324)&gt;=$E324,0,IF($E324-SUM($G324:BV324)&gt;BW325,BW325,$E324-SUM($G325:BV325)))</f>
        <v>0</v>
      </c>
      <c r="BX324" s="401">
        <f ca="1">IF(SUM($G324:BW324)&gt;=$E324,0,IF($E324-SUM($G324:BW324)&gt;BX325,BX325,$E324-SUM($G325:BW325)))</f>
        <v>0</v>
      </c>
      <c r="BY324" s="401">
        <f ca="1">IF(SUM($G324:BX324)&gt;=$E324,0,IF($E324-SUM($G324:BX324)&gt;BY325,BY325,$E324-SUM($G325:BX325)))</f>
        <v>0</v>
      </c>
      <c r="BZ324" s="401">
        <f ca="1">IF(SUM($G324:BY324)&gt;=$E324,0,IF($E324-SUM($G324:BY324)&gt;BZ325,BZ325,$E324-SUM($G325:BY325)))</f>
        <v>0</v>
      </c>
      <c r="CA324" s="401">
        <f ca="1">IF(SUM($G324:BZ324)&gt;=$E324,0,IF($E324-SUM($G324:BZ324)&gt;CA325,CA325,$E324-SUM($G325:BZ325)))</f>
        <v>0</v>
      </c>
      <c r="CB324" s="401">
        <f ca="1">IF(SUM($G324:CA324)&gt;=$E324,0,IF($E324-SUM($G324:CA324)&gt;CB325,CB325,$E324-SUM($G325:CA325)))</f>
        <v>0</v>
      </c>
      <c r="CC324" s="401">
        <f ca="1">IF(SUM($G324:CB324)&gt;=$E324,0,IF($E324-SUM($G324:CB324)&gt;CC325,CC325,$E324-SUM($G325:CB325)))</f>
        <v>0</v>
      </c>
      <c r="CD324" s="401">
        <f ca="1">IF(SUM($G324:CC324)&gt;=$E324,0,IF($E324-SUM($G324:CC324)&gt;CD325,CD325,$E324-SUM($G325:CC325)))</f>
        <v>0</v>
      </c>
      <c r="CE324" s="401">
        <f ca="1">IF(SUM($G324:CD324)&gt;=$E324,0,IF($E324-SUM($G324:CD324)&gt;CE325,CE325,$E324-SUM($G325:CD325)))</f>
        <v>0</v>
      </c>
      <c r="CF324" s="401">
        <f ca="1">IF(SUM($G324:CE324)&gt;=$E324,0,IF($E324-SUM($G324:CE324)&gt;CF325,CF325,$E324-SUM($G325:CE325)))</f>
        <v>0</v>
      </c>
      <c r="CG324" s="401">
        <f ca="1">IF(SUM($G324:CF324)&gt;=$E324,0,IF($E324-SUM($G324:CF324)&gt;CG325,CG325,$E324-SUM($G325:CF325)))</f>
        <v>0</v>
      </c>
      <c r="CH324" s="401">
        <f ca="1">IF(SUM($G324:CG324)&gt;=$E324,0,IF($E324-SUM($G324:CG324)&gt;CH325,CH325,$E324-SUM($G325:CG325)))</f>
        <v>0</v>
      </c>
      <c r="CI324" s="401">
        <f ca="1">IF(SUM($G324:CH324)&gt;=$E324,0,IF($E324-SUM($G324:CH324)&gt;CI325,CI325,$E324-SUM($G325:CH325)))</f>
        <v>0</v>
      </c>
      <c r="CJ324" s="401">
        <f ca="1">IF(SUM($G324:CI324)&gt;=$E324,0,IF($E324-SUM($G324:CI324)&gt;CJ325,CJ325,$E324-SUM($G325:CI325)))</f>
        <v>0</v>
      </c>
      <c r="CK324" s="401">
        <f ca="1">IF(SUM($G324:CJ324)&gt;=$E324,0,IF($E324-SUM($G324:CJ324)&gt;CK325,CK325,$E324-SUM($G325:CJ325)))</f>
        <v>0</v>
      </c>
      <c r="CL324" s="401">
        <f ca="1">IF(SUM($G324:CK324)&gt;=$E324,0,IF($E324-SUM($G324:CK324)&gt;CL325,CL325,$E324-SUM($G325:CK325)))</f>
        <v>0</v>
      </c>
      <c r="CM324" s="401">
        <f ca="1">IF(SUM($G324:CL324)&gt;=$E324,0,IF($E324-SUM($G324:CL324)&gt;CM325,CM325,$E324-SUM($G325:CL325)))</f>
        <v>0</v>
      </c>
      <c r="CN324" s="401">
        <f ca="1">IF(SUM($G324:CM324)&gt;=$E324,0,IF($E324-SUM($G324:CM324)&gt;CN325,CN325,$E324-SUM($G325:CM325)))</f>
        <v>0</v>
      </c>
      <c r="CO324" s="401">
        <f ca="1">IF(SUM($G324:CN324)&gt;=$E324,0,IF($E324-SUM($G324:CN324)&gt;CO325,CO325,$E324-SUM($G325:CN325)))</f>
        <v>0</v>
      </c>
      <c r="CP324" s="401">
        <f ca="1">IF(SUM($G324:CO324)&gt;=$E324,0,IF($E324-SUM($G324:CO324)&gt;CP325,CP325,$E324-SUM($G325:CO325)))</f>
        <v>0</v>
      </c>
      <c r="CQ324" s="401">
        <f ca="1">IF(SUM($G324:CP324)&gt;=$E324,0,IF($E324-SUM($G324:CP324)&gt;CQ325,CQ325,$E324-SUM($G325:CP325)))</f>
        <v>0</v>
      </c>
      <c r="CR324" s="401">
        <f ca="1">IF(SUM($G324:CQ324)&gt;=$E324,0,IF($E324-SUM($G324:CQ324)&gt;CR325,CR325,$E324-SUM($G325:CQ325)))</f>
        <v>0</v>
      </c>
      <c r="CS324" s="401">
        <f ca="1">IF(SUM($G324:CR324)&gt;=$E324,0,IF($E324-SUM($G324:CR324)&gt;CS325,CS325,$E324-SUM($G325:CR325)))</f>
        <v>0</v>
      </c>
      <c r="CT324" s="401">
        <f ca="1">IF(SUM($G324:CS324)&gt;=$E324,0,IF($E324-SUM($G324:CS324)&gt;CT325,CT325,$E324-SUM($G325:CS325)))</f>
        <v>0</v>
      </c>
      <c r="CU324" s="401">
        <f ca="1">IF(SUM($G324:CT324)&gt;=$E324,0,IF($E324-SUM($G324:CT324)&gt;CU325,CU325,$E324-SUM($G325:CT325)))</f>
        <v>0</v>
      </c>
      <c r="CV324" s="401">
        <f ca="1">IF(SUM($G324:CU324)&gt;=$E324,0,IF($E324-SUM($G324:CU324)&gt;CV325,CV325,$E324-SUM($G325:CU325)))</f>
        <v>0</v>
      </c>
      <c r="CW324" s="401">
        <f ca="1">IF(SUM($G324:CV324)&gt;=$E324,0,IF($E324-SUM($G324:CV324)&gt;CW325,CW325,$E324-SUM($G325:CV325)))</f>
        <v>0</v>
      </c>
      <c r="CX324" s="401">
        <f ca="1">IF(SUM($G324:CW324)&gt;=$E324,0,IF($E324-SUM($G324:CW324)&gt;CX325,CX325,$E324-SUM($G325:CW325)))</f>
        <v>0</v>
      </c>
      <c r="CY324" s="401">
        <f ca="1">IF(SUM($G324:CX324)&gt;=$E324,0,IF($E324-SUM($G324:CX324)&gt;CY325,CY325,$E324-SUM($G325:CX325)))</f>
        <v>0</v>
      </c>
      <c r="CZ324" s="401">
        <f ca="1">IF(SUM($G324:CY324)&gt;=$E324,0,IF($E324-SUM($G324:CY324)&gt;CZ325,CZ325,$E324-SUM($G325:CY325)))</f>
        <v>0</v>
      </c>
      <c r="DA324" s="401">
        <f ca="1">IF(SUM($G324:CZ324)&gt;=$E324,0,IF($E324-SUM($G324:CZ324)&gt;DA325,DA325,$E324-SUM($G325:CZ325)))</f>
        <v>0</v>
      </c>
      <c r="DB324" s="401">
        <f ca="1">IF(SUM($G324:DA324)&gt;=$E324,0,IF($E324-SUM($G324:DA324)&gt;DB325,DB325,$E324-SUM($G325:DA325)))</f>
        <v>0</v>
      </c>
      <c r="DC324" s="401">
        <f ca="1">IF(SUM($G324:DB324)&gt;=$E324,0,IF($E324-SUM($G324:DB324)&gt;DC325,DC325,$E324-SUM($G325:DB325)))</f>
        <v>0</v>
      </c>
      <c r="DD324" s="401">
        <f ca="1">IF(SUM($G324:DC324)&gt;=$E324,0,IF($E324-SUM($G324:DC324)&gt;DD325,DD325,$E324-SUM($G325:DC325)))</f>
        <v>0</v>
      </c>
      <c r="DE324" s="401">
        <f ca="1">IF(SUM($G324:DD324)&gt;=$E324,0,IF($E324-SUM($G324:DD324)&gt;DE325,DE325,$E324-SUM($G325:DD325)))</f>
        <v>0</v>
      </c>
      <c r="DF324" s="401">
        <f ca="1">IF(SUM($G324:DE324)&gt;=$E324,0,IF($E324-SUM($G324:DE324)&gt;DF325,DF325,$E324-SUM($G325:DE325)))</f>
        <v>0</v>
      </c>
      <c r="DG324" s="401">
        <f ca="1">IF(SUM($G324:DF324)&gt;=$E324,0,IF($E324-SUM($G324:DF324)&gt;DG325,DG325,$E324-SUM($G325:DF325)))</f>
        <v>0</v>
      </c>
      <c r="DH324" s="401">
        <f ca="1">IF(SUM($G324:DG324)&gt;=$E324,0,IF($E324-SUM($G324:DG324)&gt;DH325,DH325,$E324-SUM($G325:DG325)))</f>
        <v>0</v>
      </c>
      <c r="DI324" s="401">
        <f ca="1">IF(SUM($G324:DH324)&gt;=$E324,0,IF($E324-SUM($G324:DH324)&gt;DI325,DI325,$E324-SUM($G325:DH325)))</f>
        <v>0</v>
      </c>
      <c r="DJ324" s="401">
        <f ca="1">IF(SUM($G324:DI324)&gt;=$E324,0,IF($E324-SUM($G324:DI324)&gt;DJ325,DJ325,$E324-SUM($G325:DI325)))</f>
        <v>0</v>
      </c>
      <c r="DK324" s="401">
        <f ca="1">IF(SUM($G324:DJ324)&gt;=$E324,0,IF($E324-SUM($G324:DJ324)&gt;DK325,DK325,$E324-SUM($G325:DJ325)))</f>
        <v>0</v>
      </c>
      <c r="DL324" s="401">
        <f ca="1">IF(SUM($G324:DK324)&gt;=$E324,0,IF($E324-SUM($G324:DK324)&gt;DL325,DL325,$E324-SUM($G325:DK325)))</f>
        <v>0</v>
      </c>
      <c r="DM324" s="401">
        <f ca="1">IF(SUM($G324:DL324)&gt;=$E324,0,IF($E324-SUM($G324:DL324)&gt;DM325,DM325,$E324-SUM($G325:DL325)))</f>
        <v>0</v>
      </c>
      <c r="DN324" s="401">
        <f ca="1">IF(SUM($G324:DM324)&gt;=$E324,0,IF($E324-SUM($G324:DM324)&gt;DN325,DN325,$E324-SUM($G325:DM325)))</f>
        <v>0</v>
      </c>
      <c r="DO324" s="401">
        <f ca="1">IF(SUM($G324:DN324)&gt;=$E324,0,IF($E324-SUM($G324:DN324)&gt;DO325,DO325,$E324-SUM($G325:DN325)))</f>
        <v>0</v>
      </c>
      <c r="DP324" s="401">
        <f ca="1">IF(SUM($G324:DO324)&gt;=$E324,0,IF($E324-SUM($G324:DO324)&gt;DP325,DP325,$E324-SUM($G325:DO325)))</f>
        <v>0</v>
      </c>
      <c r="DQ324" s="401">
        <f ca="1">IF(SUM($G324:DP324)&gt;=$E324,0,IF($E324-SUM($G324:DP324)&gt;DQ325,DQ325,$E324-SUM($G325:DP325)))</f>
        <v>0</v>
      </c>
      <c r="DR324" s="401">
        <f ca="1">IF(SUM($G324:DQ324)&gt;=$E324,0,IF($E324-SUM($G324:DQ324)&gt;DR325,DR325,$E324-SUM($G325:DQ325)))</f>
        <v>0</v>
      </c>
      <c r="DS324" s="401">
        <f ca="1">IF(SUM($G324:DR324)&gt;=$E324,0,IF($E324-SUM($G324:DR324)&gt;DS325,DS325,$E324-SUM($G325:DR325)))</f>
        <v>0</v>
      </c>
      <c r="DT324" s="401">
        <f ca="1">IF(SUM($G324:DS324)&gt;=$E324,0,IF($E324-SUM($G324:DS324)&gt;DT325,DT325,$E324-SUM($G325:DS325)))</f>
        <v>0</v>
      </c>
      <c r="DU324" s="401">
        <f ca="1">IF(SUM($G324:DT324)&gt;=$E324,0,IF($E324-SUM($G324:DT324)&gt;DU325,DU325,$E324-SUM($G325:DT325)))</f>
        <v>0</v>
      </c>
      <c r="DV324" s="401">
        <f ca="1">IF(SUM($G324:DU324)&gt;=$E324,0,IF($E324-SUM($G324:DU324)&gt;DV325,DV325,$E324-SUM($G325:DU325)))</f>
        <v>0</v>
      </c>
      <c r="DW324" s="401">
        <f ca="1">IF(SUM($G324:DV324)&gt;=$E324,0,IF($E324-SUM($G324:DV324)&gt;DW325,DW325,$E324-SUM($G325:DV325)))</f>
        <v>0</v>
      </c>
      <c r="DX324" s="401">
        <f ca="1">IF(SUM($G324:DW324)&gt;=$E324,0,IF($E324-SUM($G324:DW324)&gt;DX325,DX325,$E324-SUM($G325:DW325)))</f>
        <v>0</v>
      </c>
      <c r="DY324" s="401">
        <f ca="1">IF(SUM($G324:DX324)&gt;=$E324,0,IF($E324-SUM($G324:DX324)&gt;DY325,DY325,$E324-SUM($G325:DX325)))</f>
        <v>0</v>
      </c>
      <c r="DZ324" s="401">
        <f ca="1">IF(SUM($G324:DY324)&gt;=$E324,0,IF($E324-SUM($G324:DY324)&gt;DZ325,DZ325,$E324-SUM($G325:DY325)))</f>
        <v>0</v>
      </c>
      <c r="EA324" s="401">
        <f ca="1">IF(SUM($G324:DZ324)&gt;=$E324,0,IF($E324-SUM($G324:DZ324)&gt;EA325,EA325,$E324-SUM($G325:DZ325)))</f>
        <v>0</v>
      </c>
      <c r="EB324" s="401">
        <f ca="1">IF(SUM($G324:EA324)&gt;=$E324,0,IF($E324-SUM($G324:EA324)&gt;EB325,EB325,$E324-SUM($G325:EA325)))</f>
        <v>0</v>
      </c>
      <c r="EC324" s="401">
        <f ca="1">IF(SUM($G324:EB324)&gt;=$E324,0,IF($E324-SUM($G324:EB324)&gt;EC325,EC325,$E324-SUM($G325:EB325)))</f>
        <v>0</v>
      </c>
      <c r="ED324" s="401">
        <f ca="1">IF(SUM($G324:EC324)&gt;=$E324,0,IF($E324-SUM($G324:EC324)&gt;ED325,ED325,$E324-SUM($G325:EC325)))</f>
        <v>0</v>
      </c>
      <c r="EE324" s="401">
        <f ca="1">IF(SUM($G324:ED324)&gt;=$E324,0,IF($E324-SUM($G324:ED324)&gt;EE325,EE325,$E324-SUM($G325:ED325)))</f>
        <v>0</v>
      </c>
      <c r="EF324" s="401">
        <f ca="1">IF(SUM($G324:EE324)&gt;=$E324,0,IF($E324-SUM($G324:EE324)&gt;EF325,EF325,$E324-SUM($G325:EE325)))</f>
        <v>0</v>
      </c>
      <c r="EG324" s="401">
        <f ca="1">IF(SUM($G324:EF324)&gt;=$E324,0,IF($E324-SUM($G324:EF324)&gt;EG325,EG325,$E324-SUM($G325:EF325)))</f>
        <v>0</v>
      </c>
      <c r="EH324" s="401">
        <f ca="1">IF(SUM($G324:EG324)&gt;=$E324,0,IF($E324-SUM($G324:EG324)&gt;EH325,EH325,$E324-SUM($G325:EG325)))</f>
        <v>0</v>
      </c>
      <c r="EI324" s="401">
        <f ca="1">IF(SUM($G324:EH324)&gt;=$E324,0,IF($E324-SUM($G324:EH324)&gt;EI325,EI325,$E324-SUM($G325:EH325)))</f>
        <v>0</v>
      </c>
      <c r="EK324" s="313"/>
    </row>
    <row r="325" spans="1:141" hidden="1" outlineLevel="2">
      <c r="A325" s="332"/>
      <c r="B325" s="313"/>
      <c r="C325" s="308"/>
      <c r="D325" s="308"/>
      <c r="E325" s="308"/>
      <c r="G325" s="402"/>
      <c r="H325" s="402">
        <f ca="1">IF((SUM($G300:H300)-$E299*IF(длительность!$B$13&gt;70,0.25,0.4))&lt;0,0,IF((SUM($G300:H300)-$E299*IF(длительность!$B$13&gt;70,0.25,0.4))&lt;H300,SUM($G300:H300)-$E299*IF(длительность!$B$13&gt;70,0.25,0.4),H300))</f>
        <v>0</v>
      </c>
      <c r="I325" s="402">
        <f ca="1">IF((SUM($G300:I300)-$E299*IF(длительность!$B$13&gt;70,0.25,0.4))&lt;0,0,IF((SUM($G300:I300)-$E299*IF(длительность!$B$13&gt;70,0.25,0.4))&lt;I300,SUM($G300:I300)-$E299*IF(длительность!$B$13&gt;70,0.25,0.4),I300))</f>
        <v>0</v>
      </c>
      <c r="J325" s="402">
        <f ca="1">IF((SUM($G300:J300)-$E299*IF(длительность!$B$13&gt;70,0.25,0.4))&lt;0,0,IF((SUM($G300:J300)-$E299*IF(длительность!$B$13&gt;70,0.25,0.4))&lt;J300,SUM($G300:J300)-$E299*IF(длительность!$B$13&gt;70,0.25,0.4),J300))</f>
        <v>0</v>
      </c>
      <c r="K325" s="402">
        <f ca="1">IF((SUM($G300:K300)-$E299*IF(длительность!$B$13&gt;70,0.25,0.4))&lt;0,0,IF((SUM($G300:K300)-$E299*IF(длительность!$B$13&gt;70,0.25,0.4))&lt;K300,SUM($G300:K300)-$E299*IF(длительность!$B$13&gt;70,0.25,0.4),K300))</f>
        <v>0</v>
      </c>
      <c r="L325" s="402">
        <f ca="1">IF((SUM($G300:L300)-$E299*IF(длительность!$B$13&gt;70,0.25,0.4))&lt;0,0,IF((SUM($G300:L300)-$E299*IF(длительность!$B$13&gt;70,0.25,0.4))&lt;L300,SUM($G300:L300)-$E299*IF(длительность!$B$13&gt;70,0.25,0.4),L300))</f>
        <v>0</v>
      </c>
      <c r="M325" s="402">
        <f ca="1">IF((SUM($G300:M300)-$E299*IF(длительность!$B$13&gt;70,0.25,0.4))&lt;0,0,IF((SUM($G300:M300)-$E299*IF(длительность!$B$13&gt;70,0.25,0.4))&lt;M300,SUM($G300:M300)-$E299*IF(длительность!$B$13&gt;70,0.25,0.4),M300))</f>
        <v>0</v>
      </c>
      <c r="N325" s="402">
        <f ca="1">IF((SUM($G300:N300)-$E299*IF(длительность!$B$13&gt;70,0.25,0.4))&lt;0,0,IF((SUM($G300:N300)-$E299*IF(длительность!$B$13&gt;70,0.25,0.4))&lt;N300,SUM($G300:N300)-$E299*IF(длительность!$B$13&gt;70,0.25,0.4),N300))</f>
        <v>0</v>
      </c>
      <c r="O325" s="402">
        <f ca="1">IF((SUM($G300:O300)-$E299*IF(длительность!$B$13&gt;70,0.25,0.4))&lt;0,0,IF((SUM($G300:O300)-$E299*IF(длительность!$B$13&gt;70,0.25,0.4))&lt;O300,SUM($G300:O300)-$E299*IF(длительность!$B$13&gt;70,0.25,0.4),O300))</f>
        <v>0</v>
      </c>
      <c r="P325" s="402">
        <f ca="1">IF((SUM($G300:P300)-$E299*IF(длительность!$B$13&gt;70,0.25,0.4))&lt;0,0,IF((SUM($G300:P300)-$E299*IF(длительность!$B$13&gt;70,0.25,0.4))&lt;P300,SUM($G300:P300)-$E299*IF(длительность!$B$13&gt;70,0.25,0.4),P300))</f>
        <v>0</v>
      </c>
      <c r="Q325" s="402">
        <f ca="1">IF((SUM($G300:Q300)-$E299*IF(длительность!$B$13&gt;70,0.25,0.4))&lt;0,0,IF((SUM($G300:Q300)-$E299*IF(длительность!$B$13&gt;70,0.25,0.4))&lt;Q300,SUM($G300:Q300)-$E299*IF(длительность!$B$13&gt;70,0.25,0.4),Q300))</f>
        <v>0</v>
      </c>
      <c r="R325" s="402">
        <f ca="1">IF((SUM($G300:R300)-$E299*IF(длительность!$B$13&gt;70,0.25,0.4))&lt;0,0,IF((SUM($G300:R300)-$E299*IF(длительность!$B$13&gt;70,0.25,0.4))&lt;R300,SUM($G300:R300)-$E299*IF(длительность!$B$13&gt;70,0.25,0.4),R300))</f>
        <v>0</v>
      </c>
      <c r="S325" s="402">
        <f ca="1">IF((SUM($G300:S300)-$E299*IF(длительность!$B$13&gt;70,0.25,0.4))&lt;0,0,IF((SUM($G300:S300)-$E299*IF(длительность!$B$13&gt;70,0.25,0.4))&lt;S300,SUM($G300:S300)-$E299*IF(длительность!$B$13&gt;70,0.25,0.4),S300))</f>
        <v>0</v>
      </c>
      <c r="T325" s="402">
        <f ca="1">IF((SUM($G300:T300)-$E299*IF(длительность!$B$13&gt;70,0.25,0.4))&lt;0,0,IF((SUM($G300:T300)-$E299*IF(длительность!$B$13&gt;70,0.25,0.4))&lt;T300,SUM($G300:T300)-$E299*IF(длительность!$B$13&gt;70,0.25,0.4),T300))</f>
        <v>0</v>
      </c>
      <c r="U325" s="402">
        <f ca="1">IF((SUM($G300:U300)-$E299*IF(длительность!$B$13&gt;70,0.25,0.4))&lt;0,0,IF((SUM($G300:U300)-$E299*IF(длительность!$B$13&gt;70,0.25,0.4))&lt;U300,SUM($G300:U300)-$E299*IF(длительность!$B$13&gt;70,0.25,0.4),U300))</f>
        <v>0</v>
      </c>
      <c r="V325" s="402">
        <f ca="1">IF((SUM($G300:V300)-$E299*IF(длительность!$B$13&gt;70,0.25,0.4))&lt;0,0,IF((SUM($G300:V300)-$E299*IF(длительность!$B$13&gt;70,0.25,0.4))&lt;V300,SUM($G300:V300)-$E299*IF(длительность!$B$13&gt;70,0.25,0.4),V300))</f>
        <v>0</v>
      </c>
      <c r="W325" s="402">
        <f ca="1">IF((SUM($G300:W300)-$E299*IF(длительность!$B$13&gt;70,0.25,0.4))&lt;0,0,IF((SUM($G300:W300)-$E299*IF(длительность!$B$13&gt;70,0.25,0.4))&lt;W300,SUM($G300:W300)-$E299*IF(длительность!$B$13&gt;70,0.25,0.4),W300))</f>
        <v>0</v>
      </c>
      <c r="X325" s="402">
        <f ca="1">IF((SUM($G300:X300)-$E299*IF(длительность!$B$13&gt;70,0.25,0.4))&lt;0,0,IF((SUM($G300:X300)-$E299*IF(длительность!$B$13&gt;70,0.25,0.4))&lt;X300,SUM($G300:X300)-$E299*IF(длительность!$B$13&gt;70,0.25,0.4),X300))</f>
        <v>0</v>
      </c>
      <c r="Y325" s="402">
        <f ca="1">IF((SUM($G300:Y300)-$E299*IF(длительность!$B$13&gt;70,0.25,0.4))&lt;0,0,IF((SUM($G300:Y300)-$E299*IF(длительность!$B$13&gt;70,0.25,0.4))&lt;Y300,SUM($G300:Y300)-$E299*IF(длительность!$B$13&gt;70,0.25,0.4),Y300))</f>
        <v>0</v>
      </c>
      <c r="Z325" s="402">
        <f ca="1">IF((SUM($G300:Z300)-$E299*IF(длительность!$B$13&gt;70,0.25,0.4))&lt;0,0,IF((SUM($G300:Z300)-$E299*IF(длительность!$B$13&gt;70,0.25,0.4))&lt;Z300,SUM($G300:Z300)-$E299*IF(длительность!$B$13&gt;70,0.25,0.4),Z300))</f>
        <v>0</v>
      </c>
      <c r="AA325" s="402">
        <f ca="1">IF((SUM($G300:AA300)-$E299*IF(длительность!$B$13&gt;70,0.25,0.4))&lt;0,0,IF((SUM($G300:AA300)-$E299*IF(длительность!$B$13&gt;70,0.25,0.4))&lt;AA300,SUM($G300:AA300)-$E299*IF(длительность!$B$13&gt;70,0.25,0.4),AA300))</f>
        <v>0</v>
      </c>
      <c r="AB325" s="402">
        <f ca="1">IF((SUM($G300:AB300)-$E299*IF(длительность!$B$13&gt;70,0.25,0.4))&lt;0,0,IF((SUM($G300:AB300)-$E299*IF(длительность!$B$13&gt;70,0.25,0.4))&lt;AB300,SUM($G300:AB300)-$E299*IF(длительность!$B$13&gt;70,0.25,0.4),AB300))</f>
        <v>0</v>
      </c>
      <c r="AC325" s="402">
        <f ca="1">IF((SUM($G300:AC300)-$E299*IF(длительность!$B$13&gt;70,0.25,0.4))&lt;0,0,IF((SUM($G300:AC300)-$E299*IF(длительность!$B$13&gt;70,0.25,0.4))&lt;AC300,SUM($G300:AC300)-$E299*IF(длительность!$B$13&gt;70,0.25,0.4),AC300))</f>
        <v>0</v>
      </c>
      <c r="AD325" s="402">
        <f ca="1">IF((SUM($G300:AD300)-$E299*IF(длительность!$B$13&gt;70,0.25,0.4))&lt;0,0,IF((SUM($G300:AD300)-$E299*IF(длительность!$B$13&gt;70,0.25,0.4))&lt;AD300,SUM($G300:AD300)-$E299*IF(длительность!$B$13&gt;70,0.25,0.4),AD300))</f>
        <v>0</v>
      </c>
      <c r="AE325" s="402">
        <f ca="1">IF((SUM($G300:AE300)-$E299*IF(длительность!$B$13&gt;70,0.25,0.4))&lt;0,0,IF((SUM($G300:AE300)-$E299*IF(длительность!$B$13&gt;70,0.25,0.4))&lt;AE300,SUM($G300:AE300)-$E299*IF(длительность!$B$13&gt;70,0.25,0.4),AE300))</f>
        <v>0</v>
      </c>
      <c r="AF325" s="402">
        <f ca="1">IF((SUM($G300:AF300)-$E299*IF(длительность!$B$13&gt;70,0.25,0.4))&lt;0,0,IF((SUM($G300:AF300)-$E299*IF(длительность!$B$13&gt;70,0.25,0.4))&lt;AF300,SUM($G300:AF300)-$E299*IF(длительность!$B$13&gt;70,0.25,0.4),AF300))</f>
        <v>0</v>
      </c>
      <c r="AG325" s="402">
        <f ca="1">IF((SUM($G300:AG300)-$E299*IF(длительность!$B$13&gt;70,0.25,0.4))&lt;0,0,IF((SUM($G300:AG300)-$E299*IF(длительность!$B$13&gt;70,0.25,0.4))&lt;AG300,SUM($G300:AG300)-$E299*IF(длительность!$B$13&gt;70,0.25,0.4),AG300))</f>
        <v>0</v>
      </c>
      <c r="AH325" s="402">
        <f ca="1">IF((SUM($G300:AH300)-$E299*IF(длительность!$B$13&gt;70,0.25,0.4))&lt;0,0,IF((SUM($G300:AH300)-$E299*IF(длительность!$B$13&gt;70,0.25,0.4))&lt;AH300,SUM($G300:AH300)-$E299*IF(длительность!$B$13&gt;70,0.25,0.4),AH300))</f>
        <v>0</v>
      </c>
      <c r="AI325" s="402">
        <f ca="1">IF((SUM($G300:AI300)-$E299*IF(длительность!$B$13&gt;70,0.25,0.4))&lt;0,0,IF((SUM($G300:AI300)-$E299*IF(длительность!$B$13&gt;70,0.25,0.4))&lt;AI300,SUM($G300:AI300)-$E299*IF(длительность!$B$13&gt;70,0.25,0.4),AI300))</f>
        <v>0</v>
      </c>
      <c r="AJ325" s="402">
        <f ca="1">IF((SUM($G300:AJ300)-$E299*IF(длительность!$B$13&gt;70,0.25,0.4))&lt;0,0,IF((SUM($G300:AJ300)-$E299*IF(длительность!$B$13&gt;70,0.25,0.4))&lt;AJ300,SUM($G300:AJ300)-$E299*IF(длительность!$B$13&gt;70,0.25,0.4),AJ300))</f>
        <v>0</v>
      </c>
      <c r="AK325" s="402">
        <f ca="1">IF((SUM($G300:AK300)-$E299*IF(длительность!$B$13&gt;70,0.25,0.4))&lt;0,0,IF((SUM($G300:AK300)-$E299*IF(длительность!$B$13&gt;70,0.25,0.4))&lt;AK300,SUM($G300:AK300)-$E299*IF(длительность!$B$13&gt;70,0.25,0.4),AK300))</f>
        <v>0</v>
      </c>
      <c r="AL325" s="402">
        <f ca="1">IF((SUM($G300:AL300)-$E299*IF(длительность!$B$13&gt;70,0.25,0.4))&lt;0,0,IF((SUM($G300:AL300)-$E299*IF(длительность!$B$13&gt;70,0.25,0.4))&lt;AL300,SUM($G300:AL300)-$E299*IF(длительность!$B$13&gt;70,0.25,0.4),AL300))</f>
        <v>0</v>
      </c>
      <c r="AM325" s="402">
        <f ca="1">IF((SUM($G300:AM300)-$E299*IF(длительность!$B$13&gt;70,0.25,0.4))&lt;0,0,IF((SUM($G300:AM300)-$E299*IF(длительность!$B$13&gt;70,0.25,0.4))&lt;AM300,SUM($G300:AM300)-$E299*IF(длительность!$B$13&gt;70,0.25,0.4),AM300))</f>
        <v>0</v>
      </c>
      <c r="AN325" s="402">
        <f ca="1">IF((SUM($G300:AN300)-$E299*IF(длительность!$B$13&gt;70,0.25,0.4))&lt;0,0,IF((SUM($G300:AN300)-$E299*IF(длительность!$B$13&gt;70,0.25,0.4))&lt;AN300,SUM($G300:AN300)-$E299*IF(длительность!$B$13&gt;70,0.25,0.4),AN300))</f>
        <v>0</v>
      </c>
      <c r="AO325" s="402">
        <f ca="1">IF((SUM($G300:AO300)-$E299*IF(длительность!$B$13&gt;70,0.25,0.4))&lt;0,0,IF((SUM($G300:AO300)-$E299*IF(длительность!$B$13&gt;70,0.25,0.4))&lt;AO300,SUM($G300:AO300)-$E299*IF(длительность!$B$13&gt;70,0.25,0.4),AO300))</f>
        <v>0</v>
      </c>
      <c r="AP325" s="402">
        <f ca="1">IF((SUM($G300:AP300)-$E299*IF(длительность!$B$13&gt;70,0.25,0.4))&lt;0,0,IF((SUM($G300:AP300)-$E299*IF(длительность!$B$13&gt;70,0.25,0.4))&lt;AP300,SUM($G300:AP300)-$E299*IF(длительность!$B$13&gt;70,0.25,0.4),AP300))</f>
        <v>0</v>
      </c>
      <c r="AQ325" s="402">
        <f ca="1">IF((SUM($G300:AQ300)-$E299*IF(длительность!$B$13&gt;70,0.25,0.4))&lt;0,0,IF((SUM($G300:AQ300)-$E299*IF(длительность!$B$13&gt;70,0.25,0.4))&lt;AQ300,SUM($G300:AQ300)-$E299*IF(длительность!$B$13&gt;70,0.25,0.4),AQ300))</f>
        <v>0</v>
      </c>
      <c r="AR325" s="402">
        <f ca="1">IF((SUM($G300:AR300)-$E299*IF(длительность!$B$13&gt;70,0.25,0.4))&lt;0,0,IF((SUM($G300:AR300)-$E299*IF(длительность!$B$13&gt;70,0.25,0.4))&lt;AR300,SUM($G300:AR300)-$E299*IF(длительность!$B$13&gt;70,0.25,0.4),AR300))</f>
        <v>0</v>
      </c>
      <c r="AS325" s="402">
        <f ca="1">IF((SUM($G300:AS300)-$E299*IF(длительность!$B$13&gt;70,0.25,0.4))&lt;0,0,IF((SUM($G300:AS300)-$E299*IF(длительность!$B$13&gt;70,0.25,0.4))&lt;AS300,SUM($G300:AS300)-$E299*IF(длительность!$B$13&gt;70,0.25,0.4),AS300))</f>
        <v>0</v>
      </c>
      <c r="AT325" s="402">
        <f ca="1">IF((SUM($G300:AT300)-$E299*IF(длительность!$B$13&gt;70,0.25,0.4))&lt;0,0,IF((SUM($G300:AT300)-$E299*IF(длительность!$B$13&gt;70,0.25,0.4))&lt;AT300,SUM($G300:AT300)-$E299*IF(длительность!$B$13&gt;70,0.25,0.4),AT300))</f>
        <v>0</v>
      </c>
      <c r="AU325" s="402">
        <f ca="1">IF((SUM($G300:AU300)-$E299*IF(длительность!$B$13&gt;70,0.25,0.4))&lt;0,0,IF((SUM($G300:AU300)-$E299*IF(длительность!$B$13&gt;70,0.25,0.4))&lt;AU300,SUM($G300:AU300)-$E299*IF(длительность!$B$13&gt;70,0.25,0.4),AU300))</f>
        <v>0</v>
      </c>
      <c r="AV325" s="402">
        <f ca="1">IF((SUM($G300:AV300)-$E299*IF(длительность!$B$13&gt;70,0.25,0.4))&lt;0,0,IF((SUM($G300:AV300)-$E299*IF(длительность!$B$13&gt;70,0.25,0.4))&lt;AV300,SUM($G300:AV300)-$E299*IF(длительность!$B$13&gt;70,0.25,0.4),AV300))</f>
        <v>0</v>
      </c>
      <c r="AW325" s="402">
        <f ca="1">IF((SUM($G300:AW300)-$E299*IF(длительность!$B$13&gt;70,0.25,0.4))&lt;0,0,IF((SUM($G300:AW300)-$E299*IF(длительность!$B$13&gt;70,0.25,0.4))&lt;AW300,SUM($G300:AW300)-$E299*IF(длительность!$B$13&gt;70,0.25,0.4),AW300))</f>
        <v>5.0500000000000114</v>
      </c>
      <c r="AX325" s="402">
        <f ca="1">IF((SUM($G300:AX300)-$E299*IF(длительность!$B$13&gt;70,0.25,0.4))&lt;0,0,IF((SUM($G300:AX300)-$E299*IF(длительность!$B$13&gt;70,0.25,0.4))&lt;AX300,SUM($G300:AX300)-$E299*IF(длительность!$B$13&gt;70,0.25,0.4),AX300))</f>
        <v>31</v>
      </c>
      <c r="AY325" s="402">
        <f ca="1">IF((SUM($G300:AY300)-$E299*IF(длительность!$B$13&gt;70,0.25,0.4))&lt;0,0,IF((SUM($G300:AY300)-$E299*IF(длительность!$B$13&gt;70,0.25,0.4))&lt;AY300,SUM($G300:AY300)-$E299*IF(длительность!$B$13&gt;70,0.25,0.4),AY300))</f>
        <v>30</v>
      </c>
      <c r="AZ325" s="402">
        <f ca="1">IF((SUM($G300:AZ300)-$E299*IF(длительность!$B$13&gt;70,0.25,0.4))&lt;0,0,IF((SUM($G300:AZ300)-$E299*IF(длительность!$B$13&gt;70,0.25,0.4))&lt;AZ300,SUM($G300:AZ300)-$E299*IF(длительность!$B$13&gt;70,0.25,0.4),AZ300))</f>
        <v>31</v>
      </c>
      <c r="BA325" s="402">
        <f ca="1">IF((SUM($G300:BA300)-$E299*IF(длительность!$B$13&gt;70,0.25,0.4))&lt;0,0,IF((SUM($G300:BA300)-$E299*IF(длительность!$B$13&gt;70,0.25,0.4))&lt;BA300,SUM($G300:BA300)-$E299*IF(длительность!$B$13&gt;70,0.25,0.4),BA300))</f>
        <v>31</v>
      </c>
      <c r="BB325" s="402">
        <f ca="1">IF((SUM($G300:BB300)-$E299*IF(длительность!$B$13&gt;70,0.25,0.4))&lt;0,0,IF((SUM($G300:BB300)-$E299*IF(длительность!$B$13&gt;70,0.25,0.4))&lt;BB300,SUM($G300:BB300)-$E299*IF(длительность!$B$13&gt;70,0.25,0.4),BB300))</f>
        <v>28</v>
      </c>
      <c r="BC325" s="402">
        <f ca="1">IF((SUM($G300:BC300)-$E299*IF(длительность!$B$13&gt;70,0.25,0.4))&lt;0,0,IF((SUM($G300:BC300)-$E299*IF(длительность!$B$13&gt;70,0.25,0.4))&lt;BC300,SUM($G300:BC300)-$E299*IF(длительность!$B$13&gt;70,0.25,0.4),BC300))</f>
        <v>31</v>
      </c>
      <c r="BD325" s="402">
        <f ca="1">IF((SUM($G300:BD300)-$E299*IF(длительность!$B$13&gt;70,0.25,0.4))&lt;0,0,IF((SUM($G300:BD300)-$E299*IF(длительность!$B$13&gt;70,0.25,0.4))&lt;BD300,SUM($G300:BD300)-$E299*IF(длительность!$B$13&gt;70,0.25,0.4),BD300))</f>
        <v>30</v>
      </c>
      <c r="BE325" s="402">
        <f ca="1">IF((SUM($G300:BE300)-$E299*IF(длительность!$B$13&gt;70,0.25,0.4))&lt;0,0,IF((SUM($G300:BE300)-$E299*IF(длительность!$B$13&gt;70,0.25,0.4))&lt;BE300,SUM($G300:BE300)-$E299*IF(длительность!$B$13&gt;70,0.25,0.4),BE300))</f>
        <v>31</v>
      </c>
      <c r="BF325" s="402">
        <f ca="1">IF((SUM($G300:BF300)-$E299*IF(длительность!$B$13&gt;70,0.25,0.4))&lt;0,0,IF((SUM($G300:BF300)-$E299*IF(длительность!$B$13&gt;70,0.25,0.4))&lt;BF300,SUM($G300:BF300)-$E299*IF(длительность!$B$13&gt;70,0.25,0.4),BF300))</f>
        <v>30</v>
      </c>
      <c r="BG325" s="402">
        <f ca="1">IF((SUM($G300:BG300)-$E299*IF(длительность!$B$13&gt;70,0.25,0.4))&lt;0,0,IF((SUM($G300:BG300)-$E299*IF(длительность!$B$13&gt;70,0.25,0.4))&lt;BG300,SUM($G300:BG300)-$E299*IF(длительность!$B$13&gt;70,0.25,0.4),BG300))</f>
        <v>31</v>
      </c>
      <c r="BH325" s="402">
        <f ca="1">IF((SUM($G300:BH300)-$E299*IF(длительность!$B$13&gt;70,0.25,0.4))&lt;0,0,IF((SUM($G300:BH300)-$E299*IF(длительность!$B$13&gt;70,0.25,0.4))&lt;BH300,SUM($G300:BH300)-$E299*IF(длительность!$B$13&gt;70,0.25,0.4),BH300))</f>
        <v>31</v>
      </c>
      <c r="BI325" s="402">
        <f ca="1">IF((SUM($G300:BI300)-$E299*IF(длительность!$B$13&gt;70,0.25,0.4))&lt;0,0,IF((SUM($G300:BI300)-$E299*IF(длительность!$B$13&gt;70,0.25,0.4))&lt;BI300,SUM($G300:BI300)-$E299*IF(длительность!$B$13&gt;70,0.25,0.4),BI300))</f>
        <v>30</v>
      </c>
      <c r="BJ325" s="402">
        <f ca="1">IF((SUM($G300:BJ300)-$E299*IF(длительность!$B$13&gt;70,0.25,0.4))&lt;0,0,IF((SUM($G300:BJ300)-$E299*IF(длительность!$B$13&gt;70,0.25,0.4))&lt;BJ300,SUM($G300:BJ300)-$E299*IF(длительность!$B$13&gt;70,0.25,0.4),BJ300))</f>
        <v>31</v>
      </c>
      <c r="BK325" s="402">
        <f ca="1">IF((SUM($G300:BK300)-$E299*IF(длительность!$B$13&gt;70,0.25,0.4))&lt;0,0,IF((SUM($G300:BK300)-$E299*IF(длительность!$B$13&gt;70,0.25,0.4))&lt;BK300,SUM($G300:BK300)-$E299*IF(длительность!$B$13&gt;70,0.25,0.4),BK300))</f>
        <v>30</v>
      </c>
      <c r="BL325" s="402">
        <f ca="1">IF((SUM($G300:BL300)-$E299*IF(длительность!$B$13&gt;70,0.25,0.4))&lt;0,0,IF((SUM($G300:BL300)-$E299*IF(длительность!$B$13&gt;70,0.25,0.4))&lt;BL300,SUM($G300:BL300)-$E299*IF(длительность!$B$13&gt;70,0.25,0.4),BL300))</f>
        <v>31</v>
      </c>
      <c r="BM325" s="402">
        <f ca="1">IF((SUM($G300:BM300)-$E299*IF(длительность!$B$13&gt;70,0.25,0.4))&lt;0,0,IF((SUM($G300:BM300)-$E299*IF(длительность!$B$13&gt;70,0.25,0.4))&lt;BM300,SUM($G300:BM300)-$E299*IF(длительность!$B$13&gt;70,0.25,0.4),BM300))</f>
        <v>31</v>
      </c>
      <c r="BN325" s="402">
        <f ca="1">IF((SUM($G300:BN300)-$E299*IF(длительность!$B$13&gt;70,0.25,0.4))&lt;0,0,IF((SUM($G300:BN300)-$E299*IF(длительность!$B$13&gt;70,0.25,0.4))&lt;BN300,SUM($G300:BN300)-$E299*IF(длительность!$B$13&gt;70,0.25,0.4),BN300))</f>
        <v>29</v>
      </c>
      <c r="BO325" s="402">
        <f ca="1">IF((SUM($G300:BO300)-$E299*IF(длительность!$B$13&gt;70,0.25,0.4))&lt;0,0,IF((SUM($G300:BO300)-$E299*IF(длительность!$B$13&gt;70,0.25,0.4))&lt;BO300,SUM($G300:BO300)-$E299*IF(длительность!$B$13&gt;70,0.25,0.4),BO300))</f>
        <v>31</v>
      </c>
      <c r="BP325" s="402">
        <f ca="1">IF((SUM($G300:BP300)-$E299*IF(длительность!$B$13&gt;70,0.25,0.4))&lt;0,0,IF((SUM($G300:BP300)-$E299*IF(длительность!$B$13&gt;70,0.25,0.4))&lt;BP300,SUM($G300:BP300)-$E299*IF(длительность!$B$13&gt;70,0.25,0.4),BP300))</f>
        <v>30</v>
      </c>
      <c r="BQ325" s="402">
        <f ca="1">IF((SUM($G300:BQ300)-$E299*IF(длительность!$B$13&gt;70,0.25,0.4))&lt;0,0,IF((SUM($G300:BQ300)-$E299*IF(длительность!$B$13&gt;70,0.25,0.4))&lt;BQ300,SUM($G300:BQ300)-$E299*IF(длительность!$B$13&gt;70,0.25,0.4),BQ300))</f>
        <v>31</v>
      </c>
      <c r="BR325" s="402">
        <f ca="1">IF((SUM($G300:BR300)-$E299*IF(длительность!$B$13&gt;70,0.25,0.4))&lt;0,0,IF((SUM($G300:BR300)-$E299*IF(длительность!$B$13&gt;70,0.25,0.4))&lt;BR300,SUM($G300:BR300)-$E299*IF(длительность!$B$13&gt;70,0.25,0.4),BR300))</f>
        <v>30</v>
      </c>
      <c r="BS325" s="402">
        <f ca="1">IF((SUM($G300:BS300)-$E299*IF(длительность!$B$13&gt;70,0.25,0.4))&lt;0,0,IF((SUM($G300:BS300)-$E299*IF(длительность!$B$13&gt;70,0.25,0.4))&lt;BS300,SUM($G300:BS300)-$E299*IF(длительность!$B$13&gt;70,0.25,0.4),BS300))</f>
        <v>31</v>
      </c>
      <c r="BT325" s="402">
        <f ca="1">IF((SUM($G300:BT300)-$E299*IF(длительность!$B$13&gt;70,0.25,0.4))&lt;0,0,IF((SUM($G300:BT300)-$E299*IF(длительность!$B$13&gt;70,0.25,0.4))&lt;BT300,SUM($G300:BT300)-$E299*IF(длительность!$B$13&gt;70,0.25,0.4),BT300))</f>
        <v>31</v>
      </c>
      <c r="BU325" s="402">
        <f ca="1">IF((SUM($G300:BU300)-$E299*IF(длительность!$B$13&gt;70,0.25,0.4))&lt;0,0,IF((SUM($G300:BU300)-$E299*IF(длительность!$B$13&gt;70,0.25,0.4))&lt;BU300,SUM($G300:BU300)-$E299*IF(длительность!$B$13&gt;70,0.25,0.4),BU300))</f>
        <v>30</v>
      </c>
      <c r="BV325" s="402">
        <f ca="1">IF((SUM($G300:BV300)-$E299*IF(длительность!$B$13&gt;70,0.25,0.4))&lt;0,0,IF((SUM($G300:BV300)-$E299*IF(длительность!$B$13&gt;70,0.25,0.4))&lt;BV300,SUM($G300:BV300)-$E299*IF(длительность!$B$13&gt;70,0.25,0.4),BV300))</f>
        <v>31</v>
      </c>
      <c r="BW325" s="402">
        <f ca="1">IF((SUM($G300:BW300)-$E299*IF(длительность!$B$13&gt;70,0.25,0.4))&lt;0,0,IF((SUM($G300:BW300)-$E299*IF(длительность!$B$13&gt;70,0.25,0.4))&lt;BW300,SUM($G300:BW300)-$E299*IF(длительность!$B$13&gt;70,0.25,0.4),BW300))</f>
        <v>30</v>
      </c>
      <c r="BX325" s="402">
        <f ca="1">IF((SUM($G300:BX300)-$E299*IF(длительность!$B$13&gt;70,0.25,0.4))&lt;0,0,IF((SUM($G300:BX300)-$E299*IF(длительность!$B$13&gt;70,0.25,0.4))&lt;BX300,SUM($G300:BX300)-$E299*IF(длительность!$B$13&gt;70,0.25,0.4),BX300))</f>
        <v>31</v>
      </c>
      <c r="BY325" s="402">
        <f ca="1">IF((SUM($G300:BY300)-$E299*IF(длительность!$B$13&gt;70,0.25,0.4))&lt;0,0,IF((SUM($G300:BY300)-$E299*IF(длительность!$B$13&gt;70,0.25,0.4))&lt;BY300,SUM($G300:BY300)-$E299*IF(длительность!$B$13&gt;70,0.25,0.4),BY300))</f>
        <v>31</v>
      </c>
      <c r="BZ325" s="402">
        <f ca="1">IF((SUM($G300:BZ300)-$E299*IF(длительность!$B$13&gt;70,0.25,0.4))&lt;0,0,IF((SUM($G300:BZ300)-$E299*IF(длительность!$B$13&gt;70,0.25,0.4))&lt;BZ300,SUM($G300:BZ300)-$E299*IF(длительность!$B$13&gt;70,0.25,0.4),BZ300))</f>
        <v>28</v>
      </c>
      <c r="CA325" s="402">
        <f ca="1">IF((SUM($G300:CA300)-$E299*IF(длительность!$B$13&gt;70,0.25,0.4))&lt;0,0,IF((SUM($G300:CA300)-$E299*IF(длительность!$B$13&gt;70,0.25,0.4))&lt;CA300,SUM($G300:CA300)-$E299*IF(длительность!$B$13&gt;70,0.25,0.4),CA300))</f>
        <v>31</v>
      </c>
      <c r="CB325" s="402">
        <f ca="1">IF((SUM($G300:CB300)-$E299*IF(длительность!$B$13&gt;70,0.25,0.4))&lt;0,0,IF((SUM($G300:CB300)-$E299*IF(длительность!$B$13&gt;70,0.25,0.4))&lt;CB300,SUM($G300:CB300)-$E299*IF(длительность!$B$13&gt;70,0.25,0.4),CB300))</f>
        <v>30</v>
      </c>
      <c r="CC325" s="402">
        <f ca="1">IF((SUM($G300:CC300)-$E299*IF(длительность!$B$13&gt;70,0.25,0.4))&lt;0,0,IF((SUM($G300:CC300)-$E299*IF(длительность!$B$13&gt;70,0.25,0.4))&lt;CC300,SUM($G300:CC300)-$E299*IF(длительность!$B$13&gt;70,0.25,0.4),CC300))</f>
        <v>31</v>
      </c>
      <c r="CD325" s="402">
        <f ca="1">IF((SUM($G300:CD300)-$E299*IF(длительность!$B$13&gt;70,0.25,0.4))&lt;0,0,IF((SUM($G300:CD300)-$E299*IF(длительность!$B$13&gt;70,0.25,0.4))&lt;CD300,SUM($G300:CD300)-$E299*IF(длительность!$B$13&gt;70,0.25,0.4),CD300))</f>
        <v>30</v>
      </c>
      <c r="CE325" s="402">
        <f ca="1">IF((SUM($G300:CE300)-$E299*IF(длительность!$B$13&gt;70,0.25,0.4))&lt;0,0,IF((SUM($G300:CE300)-$E299*IF(длительность!$B$13&gt;70,0.25,0.4))&lt;CE300,SUM($G300:CE300)-$E299*IF(длительность!$B$13&gt;70,0.25,0.4),CE300))</f>
        <v>31</v>
      </c>
      <c r="CF325" s="402">
        <f ca="1">IF((SUM($G300:CF300)-$E299*IF(длительность!$B$13&gt;70,0.25,0.4))&lt;0,0,IF((SUM($G300:CF300)-$E299*IF(длительность!$B$13&gt;70,0.25,0.4))&lt;CF300,SUM($G300:CF300)-$E299*IF(длительность!$B$13&gt;70,0.25,0.4),CF300))</f>
        <v>31</v>
      </c>
      <c r="CG325" s="402">
        <f ca="1">IF((SUM($G300:CG300)-$E299*IF(длительность!$B$13&gt;70,0.25,0.4))&lt;0,0,IF((SUM($G300:CG300)-$E299*IF(длительность!$B$13&gt;70,0.25,0.4))&lt;CG300,SUM($G300:CG300)-$E299*IF(длительность!$B$13&gt;70,0.25,0.4),CG300))</f>
        <v>30</v>
      </c>
      <c r="CH325" s="402">
        <f ca="1">IF((SUM($G300:CH300)-$E299*IF(длительность!$B$13&gt;70,0.25,0.4))&lt;0,0,IF((SUM($G300:CH300)-$E299*IF(длительность!$B$13&gt;70,0.25,0.4))&lt;CH300,SUM($G300:CH300)-$E299*IF(длительность!$B$13&gt;70,0.25,0.4),CH300))</f>
        <v>31</v>
      </c>
      <c r="CI325" s="402">
        <f ca="1">IF((SUM($G300:CI300)-$E299*IF(длительность!$B$13&gt;70,0.25,0.4))&lt;0,0,IF((SUM($G300:CI300)-$E299*IF(длительность!$B$13&gt;70,0.25,0.4))&lt;CI300,SUM($G300:CI300)-$E299*IF(длительность!$B$13&gt;70,0.25,0.4),CI300))</f>
        <v>30</v>
      </c>
      <c r="CJ325" s="402">
        <f ca="1">IF((SUM($G300:CJ300)-$E299*IF(длительность!$B$13&gt;70,0.25,0.4))&lt;0,0,IF((SUM($G300:CJ300)-$E299*IF(длительность!$B$13&gt;70,0.25,0.4))&lt;CJ300,SUM($G300:CJ300)-$E299*IF(длительность!$B$13&gt;70,0.25,0.4),CJ300))</f>
        <v>31</v>
      </c>
      <c r="CK325" s="402">
        <f ca="1">IF((SUM($G300:CK300)-$E299*IF(длительность!$B$13&gt;70,0.25,0.4))&lt;0,0,IF((SUM($G300:CK300)-$E299*IF(длительность!$B$13&gt;70,0.25,0.4))&lt;CK300,SUM($G300:CK300)-$E299*IF(длительность!$B$13&gt;70,0.25,0.4),CK300))</f>
        <v>31</v>
      </c>
      <c r="CL325" s="402">
        <f ca="1">IF((SUM($G300:CL300)-$E299*IF(длительность!$B$13&gt;70,0.25,0.4))&lt;0,0,IF((SUM($G300:CL300)-$E299*IF(длительность!$B$13&gt;70,0.25,0.4))&lt;CL300,SUM($G300:CL300)-$E299*IF(длительность!$B$13&gt;70,0.25,0.4),CL300))</f>
        <v>28</v>
      </c>
      <c r="CM325" s="402">
        <f ca="1">IF((SUM($G300:CM300)-$E299*IF(длительность!$B$13&gt;70,0.25,0.4))&lt;0,0,IF((SUM($G300:CM300)-$E299*IF(длительность!$B$13&gt;70,0.25,0.4))&lt;CM300,SUM($G300:CM300)-$E299*IF(длительность!$B$13&gt;70,0.25,0.4),CM300))</f>
        <v>31</v>
      </c>
      <c r="CN325" s="402">
        <f ca="1">IF((SUM($G300:CN300)-$E299*IF(длительность!$B$13&gt;70,0.25,0.4))&lt;0,0,IF((SUM($G300:CN300)-$E299*IF(длительность!$B$13&gt;70,0.25,0.4))&lt;CN300,SUM($G300:CN300)-$E299*IF(длительность!$B$13&gt;70,0.25,0.4),CN300))</f>
        <v>30</v>
      </c>
      <c r="CO325" s="402">
        <f ca="1">IF((SUM($G300:CO300)-$E299*IF(длительность!$B$13&gt;70,0.25,0.4))&lt;0,0,IF((SUM($G300:CO300)-$E299*IF(длительность!$B$13&gt;70,0.25,0.4))&lt;CO300,SUM($G300:CO300)-$E299*IF(длительность!$B$13&gt;70,0.25,0.4),CO300))</f>
        <v>31</v>
      </c>
      <c r="CP325" s="402">
        <f ca="1">IF((SUM($G300:CP300)-$E299*IF(длительность!$B$13&gt;70,0.25,0.4))&lt;0,0,IF((SUM($G300:CP300)-$E299*IF(длительность!$B$13&gt;70,0.25,0.4))&lt;CP300,SUM($G300:CP300)-$E299*IF(длительность!$B$13&gt;70,0.25,0.4),CP300))</f>
        <v>30</v>
      </c>
      <c r="CQ325" s="402">
        <f ca="1">IF((SUM($G300:CQ300)-$E299*IF(длительность!$B$13&gt;70,0.25,0.4))&lt;0,0,IF((SUM($G300:CQ300)-$E299*IF(длительность!$B$13&gt;70,0.25,0.4))&lt;CQ300,SUM($G300:CQ300)-$E299*IF(длительность!$B$13&gt;70,0.25,0.4),CQ300))</f>
        <v>31</v>
      </c>
      <c r="CR325" s="402">
        <f ca="1">IF((SUM($G300:CR300)-$E299*IF(длительность!$B$13&gt;70,0.25,0.4))&lt;0,0,IF((SUM($G300:CR300)-$E299*IF(длительность!$B$13&gt;70,0.25,0.4))&lt;CR300,SUM($G300:CR300)-$E299*IF(длительность!$B$13&gt;70,0.25,0.4),CR300))</f>
        <v>31</v>
      </c>
      <c r="CS325" s="402">
        <f ca="1">IF((SUM($G300:CS300)-$E299*IF(длительность!$B$13&gt;70,0.25,0.4))&lt;0,0,IF((SUM($G300:CS300)-$E299*IF(длительность!$B$13&gt;70,0.25,0.4))&lt;CS300,SUM($G300:CS300)-$E299*IF(длительность!$B$13&gt;70,0.25,0.4),CS300))</f>
        <v>30</v>
      </c>
      <c r="CT325" s="402">
        <f ca="1">IF((SUM($G300:CT300)-$E299*IF(длительность!$B$13&gt;70,0.25,0.4))&lt;0,0,IF((SUM($G300:CT300)-$E299*IF(длительность!$B$13&gt;70,0.25,0.4))&lt;CT300,SUM($G300:CT300)-$E299*IF(длительность!$B$13&gt;70,0.25,0.4),CT300))</f>
        <v>31</v>
      </c>
      <c r="CU325" s="402">
        <f ca="1">IF((SUM($G300:CU300)-$E299*IF(длительность!$B$13&gt;70,0.25,0.4))&lt;0,0,IF((SUM($G300:CU300)-$E299*IF(длительность!$B$13&gt;70,0.25,0.4))&lt;CU300,SUM($G300:CU300)-$E299*IF(длительность!$B$13&gt;70,0.25,0.4),CU300))</f>
        <v>30</v>
      </c>
      <c r="CV325" s="402">
        <f ca="1">IF((SUM($G300:CV300)-$E299*IF(длительность!$B$13&gt;70,0.25,0.4))&lt;0,0,IF((SUM($G300:CV300)-$E299*IF(длительность!$B$13&gt;70,0.25,0.4))&lt;CV300,SUM($G300:CV300)-$E299*IF(длительность!$B$13&gt;70,0.25,0.4),CV300))</f>
        <v>31</v>
      </c>
      <c r="CW325" s="402">
        <f ca="1">IF((SUM($G300:CW300)-$E299*IF(длительность!$B$13&gt;70,0.25,0.4))&lt;0,0,IF((SUM($G300:CW300)-$E299*IF(длительность!$B$13&gt;70,0.25,0.4))&lt;CW300,SUM($G300:CW300)-$E299*IF(длительность!$B$13&gt;70,0.25,0.4),CW300))</f>
        <v>31</v>
      </c>
      <c r="CX325" s="402">
        <f ca="1">IF((SUM($G300:CX300)-$E299*IF(длительность!$B$13&gt;70,0.25,0.4))&lt;0,0,IF((SUM($G300:CX300)-$E299*IF(длительность!$B$13&gt;70,0.25,0.4))&lt;CX300,SUM($G300:CX300)-$E299*IF(длительность!$B$13&gt;70,0.25,0.4),CX300))</f>
        <v>28</v>
      </c>
      <c r="CY325" s="402">
        <f ca="1">IF((SUM($G300:CY300)-$E299*IF(длительность!$B$13&gt;70,0.25,0.4))&lt;0,0,IF((SUM($G300:CY300)-$E299*IF(длительность!$B$13&gt;70,0.25,0.4))&lt;CY300,SUM($G300:CY300)-$E299*IF(длительность!$B$13&gt;70,0.25,0.4),CY300))</f>
        <v>31</v>
      </c>
      <c r="CZ325" s="402">
        <f ca="1">IF((SUM($G300:CZ300)-$E299*IF(длительность!$B$13&gt;70,0.25,0.4))&lt;0,0,IF((SUM($G300:CZ300)-$E299*IF(длительность!$B$13&gt;70,0.25,0.4))&lt;CZ300,SUM($G300:CZ300)-$E299*IF(длительность!$B$13&gt;70,0.25,0.4),CZ300))</f>
        <v>30</v>
      </c>
      <c r="DA325" s="402">
        <f ca="1">IF((SUM($G300:DA300)-$E299*IF(длительность!$B$13&gt;70,0.25,0.4))&lt;0,0,IF((SUM($G300:DA300)-$E299*IF(длительность!$B$13&gt;70,0.25,0.4))&lt;DA300,SUM($G300:DA300)-$E299*IF(длительность!$B$13&gt;70,0.25,0.4),DA300))</f>
        <v>31</v>
      </c>
      <c r="DB325" s="402">
        <f ca="1">IF((SUM($G300:DB300)-$E299*IF(длительность!$B$13&gt;70,0.25,0.4))&lt;0,0,IF((SUM($G300:DB300)-$E299*IF(длительность!$B$13&gt;70,0.25,0.4))&lt;DB300,SUM($G300:DB300)-$E299*IF(длительность!$B$13&gt;70,0.25,0.4),DB300))</f>
        <v>30</v>
      </c>
      <c r="DC325" s="402">
        <f ca="1">IF((SUM($G300:DC300)-$E299*IF(длительность!$B$13&gt;70,0.25,0.4))&lt;0,0,IF((SUM($G300:DC300)-$E299*IF(длительность!$B$13&gt;70,0.25,0.4))&lt;DC300,SUM($G300:DC300)-$E299*IF(длительность!$B$13&gt;70,0.25,0.4),DC300))</f>
        <v>31</v>
      </c>
      <c r="DD325" s="402">
        <f ca="1">IF((SUM($G300:DD300)-$E299*IF(длительность!$B$13&gt;70,0.25,0.4))&lt;0,0,IF((SUM($G300:DD300)-$E299*IF(длительность!$B$13&gt;70,0.25,0.4))&lt;DD300,SUM($G300:DD300)-$E299*IF(длительность!$B$13&gt;70,0.25,0.4),DD300))</f>
        <v>31</v>
      </c>
      <c r="DE325" s="402">
        <f ca="1">IF((SUM($G300:DE300)-$E299*IF(длительность!$B$13&gt;70,0.25,0.4))&lt;0,0,IF((SUM($G300:DE300)-$E299*IF(длительность!$B$13&gt;70,0.25,0.4))&lt;DE300,SUM($G300:DE300)-$E299*IF(длительность!$B$13&gt;70,0.25,0.4),DE300))</f>
        <v>30</v>
      </c>
      <c r="DF325" s="402">
        <f ca="1">IF((SUM($G300:DF300)-$E299*IF(длительность!$B$13&gt;70,0.25,0.4))&lt;0,0,IF((SUM($G300:DF300)-$E299*IF(длительность!$B$13&gt;70,0.25,0.4))&lt;DF300,SUM($G300:DF300)-$E299*IF(длительность!$B$13&gt;70,0.25,0.4),DF300))</f>
        <v>31</v>
      </c>
      <c r="DG325" s="402">
        <f ca="1">IF((SUM($G300:DG300)-$E299*IF(длительность!$B$13&gt;70,0.25,0.4))&lt;0,0,IF((SUM($G300:DG300)-$E299*IF(длительность!$B$13&gt;70,0.25,0.4))&lt;DG300,SUM($G300:DG300)-$E299*IF(длительность!$B$13&gt;70,0.25,0.4),DG300))</f>
        <v>30</v>
      </c>
      <c r="DH325" s="402">
        <f ca="1">IF((SUM($G300:DH300)-$E299*IF(длительность!$B$13&gt;70,0.25,0.4))&lt;0,0,IF((SUM($G300:DH300)-$E299*IF(длительность!$B$13&gt;70,0.25,0.4))&lt;DH300,SUM($G300:DH300)-$E299*IF(длительность!$B$13&gt;70,0.25,0.4),DH300))</f>
        <v>31</v>
      </c>
      <c r="DI325" s="402">
        <f ca="1">IF((SUM($G300:DI300)-$E299*IF(длительность!$B$13&gt;70,0.25,0.4))&lt;0,0,IF((SUM($G300:DI300)-$E299*IF(длительность!$B$13&gt;70,0.25,0.4))&lt;DI300,SUM($G300:DI300)-$E299*IF(длительность!$B$13&gt;70,0.25,0.4),DI300))</f>
        <v>31</v>
      </c>
      <c r="DJ325" s="402">
        <f ca="1">IF((SUM($G300:DJ300)-$E299*IF(длительность!$B$13&gt;70,0.25,0.4))&lt;0,0,IF((SUM($G300:DJ300)-$E299*IF(длительность!$B$13&gt;70,0.25,0.4))&lt;DJ300,SUM($G300:DJ300)-$E299*IF(длительность!$B$13&gt;70,0.25,0.4),DJ300))</f>
        <v>29</v>
      </c>
      <c r="DK325" s="402">
        <f ca="1">IF((SUM($G300:DK300)-$E299*IF(длительность!$B$13&gt;70,0.25,0.4))&lt;0,0,IF((SUM($G300:DK300)-$E299*IF(длительность!$B$13&gt;70,0.25,0.4))&lt;DK300,SUM($G300:DK300)-$E299*IF(длительность!$B$13&gt;70,0.25,0.4),DK300))</f>
        <v>31</v>
      </c>
      <c r="DL325" s="402">
        <f ca="1">IF((SUM($G300:DL300)-$E299*IF(длительность!$B$13&gt;70,0.25,0.4))&lt;0,0,IF((SUM($G300:DL300)-$E299*IF(длительность!$B$13&gt;70,0.25,0.4))&lt;DL300,SUM($G300:DL300)-$E299*IF(длительность!$B$13&gt;70,0.25,0.4),DL300))</f>
        <v>30</v>
      </c>
      <c r="DM325" s="402">
        <f ca="1">IF((SUM($G300:DM300)-$E299*IF(длительность!$B$13&gt;70,0.25,0.4))&lt;0,0,IF((SUM($G300:DM300)-$E299*IF(длительность!$B$13&gt;70,0.25,0.4))&lt;DM300,SUM($G300:DM300)-$E299*IF(длительность!$B$13&gt;70,0.25,0.4),DM300))</f>
        <v>31</v>
      </c>
      <c r="DN325" s="402">
        <f ca="1">IF((SUM($G300:DN300)-$E299*IF(длительность!$B$13&gt;70,0.25,0.4))&lt;0,0,IF((SUM($G300:DN300)-$E299*IF(длительность!$B$13&gt;70,0.25,0.4))&lt;DN300,SUM($G300:DN300)-$E299*IF(длительность!$B$13&gt;70,0.25,0.4),DN300))</f>
        <v>30</v>
      </c>
      <c r="DO325" s="402">
        <f ca="1">IF((SUM($G300:DO300)-$E299*IF(длительность!$B$13&gt;70,0.25,0.4))&lt;0,0,IF((SUM($G300:DO300)-$E299*IF(длительность!$B$13&gt;70,0.25,0.4))&lt;DO300,SUM($G300:DO300)-$E299*IF(длительность!$B$13&gt;70,0.25,0.4),DO300))</f>
        <v>31</v>
      </c>
      <c r="DP325" s="402">
        <f ca="1">IF((SUM($G300:DP300)-$E299*IF(длительность!$B$13&gt;70,0.25,0.4))&lt;0,0,IF((SUM($G300:DP300)-$E299*IF(длительность!$B$13&gt;70,0.25,0.4))&lt;DP300,SUM($G300:DP300)-$E299*IF(длительность!$B$13&gt;70,0.25,0.4),DP300))</f>
        <v>31</v>
      </c>
      <c r="DQ325" s="402">
        <f ca="1">IF((SUM($G300:DQ300)-$E299*IF(длительность!$B$13&gt;70,0.25,0.4))&lt;0,0,IF((SUM($G300:DQ300)-$E299*IF(длительность!$B$13&gt;70,0.25,0.4))&lt;DQ300,SUM($G300:DQ300)-$E299*IF(длительность!$B$13&gt;70,0.25,0.4),DQ300))</f>
        <v>30</v>
      </c>
      <c r="DR325" s="402">
        <f ca="1">IF((SUM($G300:DR300)-$E299*IF(длительность!$B$13&gt;70,0.25,0.4))&lt;0,0,IF((SUM($G300:DR300)-$E299*IF(длительность!$B$13&gt;70,0.25,0.4))&lt;DR300,SUM($G300:DR300)-$E299*IF(длительность!$B$13&gt;70,0.25,0.4),DR300))</f>
        <v>31</v>
      </c>
      <c r="DS325" s="402">
        <f ca="1">IF((SUM($G300:DS300)-$E299*IF(длительность!$B$13&gt;70,0.25,0.4))&lt;0,0,IF((SUM($G300:DS300)-$E299*IF(длительность!$B$13&gt;70,0.25,0.4))&lt;DS300,SUM($G300:DS300)-$E299*IF(длительность!$B$13&gt;70,0.25,0.4),DS300))</f>
        <v>30</v>
      </c>
      <c r="DT325" s="402">
        <f ca="1">IF((SUM($G300:DT300)-$E299*IF(длительность!$B$13&gt;70,0.25,0.4))&lt;0,0,IF((SUM($G300:DT300)-$E299*IF(длительность!$B$13&gt;70,0.25,0.4))&lt;DT300,SUM($G300:DT300)-$E299*IF(длительность!$B$13&gt;70,0.25,0.4),DT300))</f>
        <v>31</v>
      </c>
      <c r="DU325" s="402">
        <f ca="1">IF((SUM($G300:DU300)-$E299*IF(длительность!$B$13&gt;70,0.25,0.4))&lt;0,0,IF((SUM($G300:DU300)-$E299*IF(длительность!$B$13&gt;70,0.25,0.4))&lt;DU300,SUM($G300:DU300)-$E299*IF(длительность!$B$13&gt;70,0.25,0.4),DU300))</f>
        <v>31</v>
      </c>
      <c r="DV325" s="402">
        <f ca="1">IF((SUM($G300:DV300)-$E299*IF(длительность!$B$13&gt;70,0.25,0.4))&lt;0,0,IF((SUM($G300:DV300)-$E299*IF(длительность!$B$13&gt;70,0.25,0.4))&lt;DV300,SUM($G300:DV300)-$E299*IF(длительность!$B$13&gt;70,0.25,0.4),DV300))</f>
        <v>28</v>
      </c>
      <c r="DW325" s="402">
        <f ca="1">IF((SUM($G300:DW300)-$E299*IF(длительность!$B$13&gt;70,0.25,0.4))&lt;0,0,IF((SUM($G300:DW300)-$E299*IF(длительность!$B$13&gt;70,0.25,0.4))&lt;DW300,SUM($G300:DW300)-$E299*IF(длительность!$B$13&gt;70,0.25,0.4),DW300))</f>
        <v>31</v>
      </c>
      <c r="DX325" s="402">
        <f ca="1">IF((SUM($G300:DX300)-$E299*IF(длительность!$B$13&gt;70,0.25,0.4))&lt;0,0,IF((SUM($G300:DX300)-$E299*IF(длительность!$B$13&gt;70,0.25,0.4))&lt;DX300,SUM($G300:DX300)-$E299*IF(длительность!$B$13&gt;70,0.25,0.4),DX300))</f>
        <v>30</v>
      </c>
      <c r="DY325" s="402">
        <f ca="1">IF((SUM($G300:DY300)-$E299*IF(длительность!$B$13&gt;70,0.25,0.4))&lt;0,0,IF((SUM($G300:DY300)-$E299*IF(длительность!$B$13&gt;70,0.25,0.4))&lt;DY300,SUM($G300:DY300)-$E299*IF(длительность!$B$13&gt;70,0.25,0.4),DY300))</f>
        <v>31</v>
      </c>
      <c r="DZ325" s="402">
        <f ca="1">IF((SUM($G300:DZ300)-$E299*IF(длительность!$B$13&gt;70,0.25,0.4))&lt;0,0,IF((SUM($G300:DZ300)-$E299*IF(длительность!$B$13&gt;70,0.25,0.4))&lt;DZ300,SUM($G300:DZ300)-$E299*IF(длительность!$B$13&gt;70,0.25,0.4),DZ300))</f>
        <v>30</v>
      </c>
      <c r="EA325" s="402">
        <f ca="1">IF((SUM($G300:EA300)-$E299*IF(длительность!$B$13&gt;70,0.25,0.4))&lt;0,0,IF((SUM($G300:EA300)-$E299*IF(длительность!$B$13&gt;70,0.25,0.4))&lt;EA300,SUM($G300:EA300)-$E299*IF(длительность!$B$13&gt;70,0.25,0.4),EA300))</f>
        <v>31</v>
      </c>
      <c r="EB325" s="402">
        <f ca="1">IF((SUM($G300:EB300)-$E299*IF(длительность!$B$13&gt;70,0.25,0.4))&lt;0,0,IF((SUM($G300:EB300)-$E299*IF(длительность!$B$13&gt;70,0.25,0.4))&lt;EB300,SUM($G300:EB300)-$E299*IF(длительность!$B$13&gt;70,0.25,0.4),EB300))</f>
        <v>31</v>
      </c>
      <c r="EC325" s="402">
        <f ca="1">IF((SUM($G300:EC300)-$E299*IF(длительность!$B$13&gt;70,0.25,0.4))&lt;0,0,IF((SUM($G300:EC300)-$E299*IF(длительность!$B$13&gt;70,0.25,0.4))&lt;EC300,SUM($G300:EC300)-$E299*IF(длительность!$B$13&gt;70,0.25,0.4),EC300))</f>
        <v>30</v>
      </c>
      <c r="ED325" s="402">
        <f ca="1">IF((SUM($G300:ED300)-$E299*IF(длительность!$B$13&gt;70,0.25,0.4))&lt;0,0,IF((SUM($G300:ED300)-$E299*IF(длительность!$B$13&gt;70,0.25,0.4))&lt;ED300,SUM($G300:ED300)-$E299*IF(длительность!$B$13&gt;70,0.25,0.4),ED300))</f>
        <v>31</v>
      </c>
      <c r="EE325" s="402">
        <f ca="1">IF((SUM($G300:EE300)-$E299*IF(длительность!$B$13&gt;70,0.25,0.4))&lt;0,0,IF((SUM($G300:EE300)-$E299*IF(длительность!$B$13&gt;70,0.25,0.4))&lt;EE300,SUM($G300:EE300)-$E299*IF(длительность!$B$13&gt;70,0.25,0.4),EE300))</f>
        <v>30</v>
      </c>
      <c r="EF325" s="402">
        <f ca="1">IF((SUM($G300:EF300)-$E299*IF(длительность!$B$13&gt;70,0.25,0.4))&lt;0,0,IF((SUM($G300:EF300)-$E299*IF(длительность!$B$13&gt;70,0.25,0.4))&lt;EF300,SUM($G300:EF300)-$E299*IF(длительность!$B$13&gt;70,0.25,0.4),EF300))</f>
        <v>31</v>
      </c>
      <c r="EG325" s="402">
        <f ca="1">IF((SUM($G300:EG300)-$E299*IF(длительность!$B$13&gt;70,0.25,0.4))&lt;0,0,IF((SUM($G300:EG300)-$E299*IF(длительность!$B$13&gt;70,0.25,0.4))&lt;EG300,SUM($G300:EG300)-$E299*IF(длительность!$B$13&gt;70,0.25,0.4),EG300))</f>
        <v>31</v>
      </c>
      <c r="EH325" s="402">
        <f ca="1">IF((SUM($G300:EH300)-$E299*IF(длительность!$B$13&gt;70,0.25,0.4))&lt;0,0,IF((SUM($G300:EH300)-$E299*IF(длительность!$B$13&gt;70,0.25,0.4))&lt;EH300,SUM($G300:EH300)-$E299*IF(длительность!$B$13&gt;70,0.25,0.4),EH300))</f>
        <v>28</v>
      </c>
      <c r="EI325" s="402">
        <f ca="1">IF((SUM($G300:EI300)-$E299*IF(длительность!$B$13&gt;70,0.25,0.4))&lt;0,0,IF((SUM($G300:EI300)-$E299*IF(длительность!$B$13&gt;70,0.25,0.4))&lt;EI300,SUM($G300:EI300)-$E299*IF(длительность!$B$13&gt;70,0.25,0.4),EI300))</f>
        <v>31</v>
      </c>
    </row>
    <row r="326" spans="1:141" hidden="1" outlineLevel="2">
      <c r="A326" s="332"/>
      <c r="D326" s="305" t="s">
        <v>670</v>
      </c>
      <c r="E326" s="403">
        <f ca="1">MIN(G326:EI326)</f>
        <v>46266</v>
      </c>
      <c r="F326" s="404">
        <f ca="1">MAX(G326:EI326)</f>
        <v>46266</v>
      </c>
      <c r="G326" s="403" t="str">
        <f ca="1">IF(G324=0,"",IF(SUM($G324:G324)&gt;=1,OFFSET(G$228,-1,0),""))</f>
        <v/>
      </c>
      <c r="H326" s="403" t="str">
        <f ca="1">IF(SUM($G326:G326)&gt;=1,"",IF(H324=0,"",IF(SUM($G324:H324)&gt;=1,OFFSET(H$228,-1,0),"")))</f>
        <v/>
      </c>
      <c r="I326" s="403" t="str">
        <f ca="1">IF(SUM($G326:H326)&gt;=1,"",IF(I324=0,"",IF(SUM($G324:I324)&gt;=1,OFFSET(I$228,-1,0),"")))</f>
        <v/>
      </c>
      <c r="J326" s="403" t="str">
        <f ca="1">IF(SUM($G326:I326)&gt;=1,"",IF(J324=0,"",IF(SUM($G324:J324)&gt;=1,OFFSET(J$228,-1,0),"")))</f>
        <v/>
      </c>
      <c r="K326" s="403" t="str">
        <f ca="1">IF(SUM($G326:J326)&gt;=1,"",IF(K324=0,"",IF(SUM($G324:K324)&gt;=1,OFFSET(K$228,-1,0),"")))</f>
        <v/>
      </c>
      <c r="L326" s="403" t="str">
        <f ca="1">IF(SUM($G326:K326)&gt;=1,"",IF(L324=0,"",IF(SUM($G324:L324)&gt;=1,OFFSET(L$228,-1,0),"")))</f>
        <v/>
      </c>
      <c r="M326" s="403" t="str">
        <f ca="1">IF(SUM($G326:L326)&gt;=1,"",IF(M324=0,"",IF(SUM($G324:M324)&gt;=1,OFFSET(M$228,-1,0),"")))</f>
        <v/>
      </c>
      <c r="N326" s="403" t="str">
        <f ca="1">IF(SUM($G326:M326)&gt;=1,"",IF(N324=0,"",IF(SUM($G324:N324)&gt;=1,OFFSET(N$228,-1,0),"")))</f>
        <v/>
      </c>
      <c r="O326" s="403" t="str">
        <f ca="1">IF(SUM($G326:N326)&gt;=1,"",IF(O324=0,"",IF(SUM($G324:O324)&gt;=1,OFFSET(O$228,-1,0),"")))</f>
        <v/>
      </c>
      <c r="P326" s="403" t="str">
        <f ca="1">IF(SUM($G326:O326)&gt;=1,"",IF(P324=0,"",IF(SUM($G324:P324)&gt;=1,OFFSET(P$228,-1,0),"")))</f>
        <v/>
      </c>
      <c r="Q326" s="403" t="str">
        <f ca="1">IF(SUM($G326:P326)&gt;=1,"",IF(Q324=0,"",IF(SUM($G324:Q324)&gt;=1,OFFSET(Q$228,-1,0),"")))</f>
        <v/>
      </c>
      <c r="R326" s="403" t="str">
        <f ca="1">IF(SUM($G326:Q326)&gt;=1,"",IF(R324=0,"",IF(SUM($G324:R324)&gt;=1,OFFSET(R$228,-1,0),"")))</f>
        <v/>
      </c>
      <c r="S326" s="403" t="str">
        <f ca="1">IF(SUM($G326:R326)&gt;=1,"",IF(S324=0,"",IF(SUM($G324:S324)&gt;=1,OFFSET(S$228,-1,0),"")))</f>
        <v/>
      </c>
      <c r="T326" s="403" t="str">
        <f ca="1">IF(SUM($G326:S326)&gt;=1,"",IF(T324=0,"",IF(SUM($G324:T324)&gt;=1,OFFSET(T$228,-1,0),"")))</f>
        <v/>
      </c>
      <c r="U326" s="403" t="str">
        <f ca="1">IF(SUM($G326:T326)&gt;=1,"",IF(U324=0,"",IF(SUM($G324:U324)&gt;=1,OFFSET(U$228,-1,0),"")))</f>
        <v/>
      </c>
      <c r="V326" s="403" t="str">
        <f ca="1">IF(SUM($G326:U326)&gt;=1,"",IF(V324=0,"",IF(SUM($G324:V324)&gt;=1,OFFSET(V$228,-1,0),"")))</f>
        <v/>
      </c>
      <c r="W326" s="403" t="str">
        <f ca="1">IF(SUM($G326:V326)&gt;=1,"",IF(W324=0,"",IF(SUM($G324:W324)&gt;=1,OFFSET(W$228,-1,0),"")))</f>
        <v/>
      </c>
      <c r="X326" s="403" t="str">
        <f ca="1">IF(SUM($G326:W326)&gt;=1,"",IF(X324=0,"",IF(SUM($G324:X324)&gt;=1,OFFSET(X$228,-1,0),"")))</f>
        <v/>
      </c>
      <c r="Y326" s="403" t="str">
        <f ca="1">IF(SUM($G326:X326)&gt;=1,"",IF(Y324=0,"",IF(SUM($G324:Y324)&gt;=1,OFFSET(Y$228,-1,0),"")))</f>
        <v/>
      </c>
      <c r="Z326" s="403" t="str">
        <f ca="1">IF(SUM($G326:Y326)&gt;=1,"",IF(Z324=0,"",IF(SUM($G324:Z324)&gt;=1,OFFSET(Z$228,-1,0),"")))</f>
        <v/>
      </c>
      <c r="AA326" s="403" t="str">
        <f ca="1">IF(SUM($G326:Z326)&gt;=1,"",IF(AA324=0,"",IF(SUM($G324:AA324)&gt;=1,OFFSET(AA$228,-1,0),"")))</f>
        <v/>
      </c>
      <c r="AB326" s="403" t="str">
        <f ca="1">IF(SUM($G326:AA326)&gt;=1,"",IF(AB324=0,"",IF(SUM($G324:AB324)&gt;=1,OFFSET(AB$228,-1,0),"")))</f>
        <v/>
      </c>
      <c r="AC326" s="403" t="str">
        <f ca="1">IF(SUM($G326:AB326)&gt;=1,"",IF(AC324=0,"",IF(SUM($G324:AC324)&gt;=1,OFFSET(AC$228,-1,0),"")))</f>
        <v/>
      </c>
      <c r="AD326" s="403" t="str">
        <f ca="1">IF(SUM($G326:AC326)&gt;=1,"",IF(AD324=0,"",IF(SUM($G324:AD324)&gt;=1,OFFSET(AD$228,-1,0),"")))</f>
        <v/>
      </c>
      <c r="AE326" s="403" t="str">
        <f ca="1">IF(SUM($G326:AD326)&gt;=1,"",IF(AE324=0,"",IF(SUM($G324:AE324)&gt;=1,OFFSET(AE$228,-1,0),"")))</f>
        <v/>
      </c>
      <c r="AF326" s="403" t="str">
        <f ca="1">IF(SUM($G326:AE326)&gt;=1,"",IF(AF324=0,"",IF(SUM($G324:AF324)&gt;=1,OFFSET(AF$228,-1,0),"")))</f>
        <v/>
      </c>
      <c r="AG326" s="403" t="str">
        <f ca="1">IF(SUM($G326:AF326)&gt;=1,"",IF(AG324=0,"",IF(SUM($G324:AG324)&gt;=1,OFFSET(AG$228,-1,0),"")))</f>
        <v/>
      </c>
      <c r="AH326" s="403" t="str">
        <f ca="1">IF(SUM($G326:AG326)&gt;=1,"",IF(AH324=0,"",IF(SUM($G324:AH324)&gt;=1,OFFSET(AH$228,-1,0),"")))</f>
        <v/>
      </c>
      <c r="AI326" s="403" t="str">
        <f ca="1">IF(SUM($G326:AH326)&gt;=1,"",IF(AI324=0,"",IF(SUM($G324:AI324)&gt;=1,OFFSET(AI$228,-1,0),"")))</f>
        <v/>
      </c>
      <c r="AJ326" s="403" t="str">
        <f ca="1">IF(SUM($G326:AI326)&gt;=1,"",IF(AJ324=0,"",IF(SUM($G324:AJ324)&gt;=1,OFFSET(AJ$228,-1,0),"")))</f>
        <v/>
      </c>
      <c r="AK326" s="403" t="str">
        <f ca="1">IF(SUM($G326:AJ326)&gt;=1,"",IF(AK324=0,"",IF(SUM($G324:AK324)&gt;=1,OFFSET(AK$228,-1,0),"")))</f>
        <v/>
      </c>
      <c r="AL326" s="403" t="str">
        <f ca="1">IF(SUM($G326:AK326)&gt;=1,"",IF(AL324=0,"",IF(SUM($G324:AL324)&gt;=1,OFFSET(AL$228,-1,0),"")))</f>
        <v/>
      </c>
      <c r="AM326" s="403" t="str">
        <f ca="1">IF(SUM($G326:AL326)&gt;=1,"",IF(AM324=0,"",IF(SUM($G324:AM324)&gt;=1,OFFSET(AM$228,-1,0),"")))</f>
        <v/>
      </c>
      <c r="AN326" s="403" t="str">
        <f ca="1">IF(SUM($G326:AM326)&gt;=1,"",IF(AN324=0,"",IF(SUM($G324:AN324)&gt;=1,OFFSET(AN$228,-1,0),"")))</f>
        <v/>
      </c>
      <c r="AO326" s="403" t="str">
        <f ca="1">IF(SUM($G326:AN326)&gt;=1,"",IF(AO324=0,"",IF(SUM($G324:AO324)&gt;=1,OFFSET(AO$228,-1,0),"")))</f>
        <v/>
      </c>
      <c r="AP326" s="403" t="str">
        <f ca="1">IF(SUM($G326:AO326)&gt;=1,"",IF(AP324=0,"",IF(SUM($G324:AP324)&gt;=1,OFFSET(AP$228,-1,0),"")))</f>
        <v/>
      </c>
      <c r="AQ326" s="403" t="str">
        <f ca="1">IF(SUM($G326:AP326)&gt;=1,"",IF(AQ324=0,"",IF(SUM($G324:AQ324)&gt;=1,OFFSET(AQ$228,-1,0),"")))</f>
        <v/>
      </c>
      <c r="AR326" s="403" t="str">
        <f ca="1">IF(SUM($G326:AQ326)&gt;=1,"",IF(AR324=0,"",IF(SUM($G324:AR324)&gt;=1,OFFSET(AR$228,-1,0),"")))</f>
        <v/>
      </c>
      <c r="AS326" s="403" t="str">
        <f ca="1">IF(SUM($G326:AR326)&gt;=1,"",IF(AS324=0,"",IF(SUM($G324:AS324)&gt;=1,OFFSET(AS$228,-1,0),"")))</f>
        <v/>
      </c>
      <c r="AT326" s="403" t="str">
        <f ca="1">IF(SUM($G326:AS326)&gt;=1,"",IF(AT324=0,"",IF(SUM($G324:AT324)&gt;=1,OFFSET(AT$228,-1,0),"")))</f>
        <v/>
      </c>
      <c r="AU326" s="403" t="str">
        <f ca="1">IF(SUM($G326:AT326)&gt;=1,"",IF(AU324=0,"",IF(SUM($G324:AU324)&gt;=1,OFFSET(AU$228,-1,0),"")))</f>
        <v/>
      </c>
      <c r="AV326" s="403" t="str">
        <f ca="1">IF(SUM($G326:AU326)&gt;=1,"",IF(AV324=0,"",IF(SUM($G324:AV324)&gt;=1,OFFSET(AV$228,-1,0),"")))</f>
        <v/>
      </c>
      <c r="AW326" s="403">
        <f ca="1">IF(SUM($G326:AV326)&gt;=1,"",IF(AW324=0,"",IF(SUM($G324:AW324)&gt;=1,OFFSET(AW$228,-1,0),"")))</f>
        <v>46266</v>
      </c>
      <c r="AX326" s="403" t="str">
        <f ca="1">IF(SUM($G326:AW326)&gt;=1,"",IF(AX324=0,"",IF(SUM($G324:AX324)&gt;=1,OFFSET(AX$228,-1,0),"")))</f>
        <v/>
      </c>
      <c r="AY326" s="403" t="str">
        <f ca="1">IF(SUM($G326:AX326)&gt;=1,"",IF(AY324=0,"",IF(SUM($G324:AY324)&gt;=1,OFFSET(AY$228,-1,0),"")))</f>
        <v/>
      </c>
      <c r="AZ326" s="403" t="str">
        <f ca="1">IF(SUM($G326:AY326)&gt;=1,"",IF(AZ324=0,"",IF(SUM($G324:AZ324)&gt;=1,OFFSET(AZ$228,-1,0),"")))</f>
        <v/>
      </c>
      <c r="BA326" s="403" t="str">
        <f ca="1">IF(SUM($G326:AZ326)&gt;=1,"",IF(BA324=0,"",IF(SUM($G324:BA324)&gt;=1,OFFSET(BA$228,-1,0),"")))</f>
        <v/>
      </c>
      <c r="BB326" s="403" t="str">
        <f ca="1">IF(SUM($G326:BA326)&gt;=1,"",IF(BB324=0,"",IF(SUM($G324:BB324)&gt;=1,OFFSET(BB$228,-1,0),"")))</f>
        <v/>
      </c>
      <c r="BC326" s="403" t="str">
        <f ca="1">IF(SUM($G326:BB326)&gt;=1,"",IF(BC324=0,"",IF(SUM($G324:BC324)&gt;=1,OFFSET(BC$228,-1,0),"")))</f>
        <v/>
      </c>
      <c r="BD326" s="403" t="str">
        <f ca="1">IF(SUM($G326:BC326)&gt;=1,"",IF(BD324=0,"",IF(SUM($G324:BD324)&gt;=1,OFFSET(BD$228,-1,0),"")))</f>
        <v/>
      </c>
      <c r="BE326" s="403" t="str">
        <f ca="1">IF(SUM($G326:BD326)&gt;=1,"",IF(BE324=0,"",IF(SUM($G324:BE324)&gt;=1,OFFSET(BE$228,-1,0),"")))</f>
        <v/>
      </c>
      <c r="BF326" s="403" t="str">
        <f ca="1">IF(SUM($G326:BE326)&gt;=1,"",IF(BF324=0,"",IF(SUM($G324:BF324)&gt;=1,OFFSET(BF$228,-1,0),"")))</f>
        <v/>
      </c>
      <c r="BG326" s="403" t="str">
        <f ca="1">IF(SUM($G326:BF326)&gt;=1,"",IF(BG324=0,"",IF(SUM($G324:BG324)&gt;=1,OFFSET(BG$228,-1,0),"")))</f>
        <v/>
      </c>
      <c r="BH326" s="403" t="str">
        <f ca="1">IF(SUM($G326:BG326)&gt;=1,"",IF(BH324=0,"",IF(SUM($G324:BH324)&gt;=1,OFFSET(BH$228,-1,0),"")))</f>
        <v/>
      </c>
      <c r="BI326" s="403" t="str">
        <f ca="1">IF(SUM($G326:BH326)&gt;=1,"",IF(BI324=0,"",IF(SUM($G324:BI324)&gt;=1,OFFSET(BI$228,-1,0),"")))</f>
        <v/>
      </c>
      <c r="BJ326" s="403" t="str">
        <f ca="1">IF(SUM($G326:BI326)&gt;=1,"",IF(BJ324=0,"",IF(SUM($G324:BJ324)&gt;=1,OFFSET(BJ$228,-1,0),"")))</f>
        <v/>
      </c>
      <c r="BK326" s="403" t="str">
        <f ca="1">IF(SUM($G326:BJ326)&gt;=1,"",IF(BK324=0,"",IF(SUM($G324:BK324)&gt;=1,OFFSET(BK$228,-1,0),"")))</f>
        <v/>
      </c>
      <c r="BL326" s="403" t="str">
        <f ca="1">IF(SUM($G326:BK326)&gt;=1,"",IF(BL324=0,"",IF(SUM($G324:BL324)&gt;=1,OFFSET(BL$228,-1,0),"")))</f>
        <v/>
      </c>
      <c r="BM326" s="403" t="str">
        <f ca="1">IF(SUM($G326:BL326)&gt;=1,"",IF(BM324=0,"",IF(SUM($G324:BM324)&gt;=1,OFFSET(BM$228,-1,0),"")))</f>
        <v/>
      </c>
      <c r="BN326" s="403" t="str">
        <f ca="1">IF(SUM($G326:BM326)&gt;=1,"",IF(BN324=0,"",IF(SUM($G324:BN324)&gt;=1,OFFSET(BN$228,-1,0),"")))</f>
        <v/>
      </c>
      <c r="BO326" s="403" t="str">
        <f ca="1">IF(SUM($G326:BN326)&gt;=1,"",IF(BO324=0,"",IF(SUM($G324:BO324)&gt;=1,OFFSET(BO$228,-1,0),"")))</f>
        <v/>
      </c>
      <c r="BP326" s="403" t="str">
        <f ca="1">IF(SUM($G326:BO326)&gt;=1,"",IF(BP324=0,"",IF(SUM($G324:BP324)&gt;=1,OFFSET(BP$228,-1,0),"")))</f>
        <v/>
      </c>
      <c r="BQ326" s="403" t="str">
        <f ca="1">IF(SUM($G326:BP326)&gt;=1,"",IF(BQ324=0,"",IF(SUM($G324:BQ324)&gt;=1,OFFSET(BQ$228,-1,0),"")))</f>
        <v/>
      </c>
      <c r="BR326" s="403" t="str">
        <f ca="1">IF(SUM($G326:BQ326)&gt;=1,"",IF(BR324=0,"",IF(SUM($G324:BR324)&gt;=1,OFFSET(BR$228,-1,0),"")))</f>
        <v/>
      </c>
      <c r="BS326" s="403" t="str">
        <f ca="1">IF(SUM($G326:BR326)&gt;=1,"",IF(BS324=0,"",IF(SUM($G324:BS324)&gt;=1,OFFSET(BS$228,-1,0),"")))</f>
        <v/>
      </c>
      <c r="BT326" s="403" t="str">
        <f ca="1">IF(SUM($G326:BS326)&gt;=1,"",IF(BT324=0,"",IF(SUM($G324:BT324)&gt;=1,OFFSET(BT$228,-1,0),"")))</f>
        <v/>
      </c>
      <c r="BU326" s="403" t="str">
        <f ca="1">IF(SUM($G326:BT326)&gt;=1,"",IF(BU324=0,"",IF(SUM($G324:BU324)&gt;=1,OFFSET(BU$228,-1,0),"")))</f>
        <v/>
      </c>
      <c r="BV326" s="403" t="str">
        <f ca="1">IF(SUM($G326:BU326)&gt;=1,"",IF(BV324=0,"",IF(SUM($G324:BV324)&gt;=1,OFFSET(BV$228,-1,0),"")))</f>
        <v/>
      </c>
      <c r="BW326" s="403" t="str">
        <f ca="1">IF(SUM($G326:BV326)&gt;=1,"",IF(BW324=0,"",IF(SUM($G324:BW324)&gt;=1,OFFSET(BW$228,-1,0),"")))</f>
        <v/>
      </c>
      <c r="BX326" s="403" t="str">
        <f ca="1">IF(SUM($G326:BW326)&gt;=1,"",IF(BX324=0,"",IF(SUM($G324:BX324)&gt;=1,OFFSET(BX$228,-1,0),"")))</f>
        <v/>
      </c>
      <c r="BY326" s="403" t="str">
        <f ca="1">IF(SUM($G326:BX326)&gt;=1,"",IF(BY324=0,"",IF(SUM($G324:BY324)&gt;=1,OFFSET(BY$228,-1,0),"")))</f>
        <v/>
      </c>
      <c r="BZ326" s="403" t="str">
        <f ca="1">IF(SUM($G326:BY326)&gt;=1,"",IF(BZ324=0,"",IF(SUM($G324:BZ324)&gt;=1,OFFSET(BZ$228,-1,0),"")))</f>
        <v/>
      </c>
      <c r="CA326" s="403" t="str">
        <f ca="1">IF(SUM($G326:BZ326)&gt;=1,"",IF(CA324=0,"",IF(SUM($G324:CA324)&gt;=1,OFFSET(CA$228,-1,0),"")))</f>
        <v/>
      </c>
      <c r="CB326" s="403" t="str">
        <f ca="1">IF(SUM($G326:CA326)&gt;=1,"",IF(CB324=0,"",IF(SUM($G324:CB324)&gt;=1,OFFSET(CB$228,-1,0),"")))</f>
        <v/>
      </c>
      <c r="CC326" s="403" t="str">
        <f ca="1">IF(SUM($G326:CB326)&gt;=1,"",IF(CC324=0,"",IF(SUM($G324:CC324)&gt;=1,OFFSET(CC$228,-1,0),"")))</f>
        <v/>
      </c>
      <c r="CD326" s="403" t="str">
        <f ca="1">IF(SUM($G326:CC326)&gt;=1,"",IF(CD324=0,"",IF(SUM($G324:CD324)&gt;=1,OFFSET(CD$228,-1,0),"")))</f>
        <v/>
      </c>
      <c r="CE326" s="403" t="str">
        <f ca="1">IF(SUM($G326:CD326)&gt;=1,"",IF(CE324=0,"",IF(SUM($G324:CE324)&gt;=1,OFFSET(CE$228,-1,0),"")))</f>
        <v/>
      </c>
      <c r="CF326" s="403" t="str">
        <f ca="1">IF(SUM($G326:CE326)&gt;=1,"",IF(CF324=0,"",IF(SUM($G324:CF324)&gt;=1,OFFSET(CF$228,-1,0),"")))</f>
        <v/>
      </c>
      <c r="CG326" s="403" t="str">
        <f ca="1">IF(SUM($G326:CF326)&gt;=1,"",IF(CG324=0,"",IF(SUM($G324:CG324)&gt;=1,OFFSET(CG$228,-1,0),"")))</f>
        <v/>
      </c>
      <c r="CH326" s="403" t="str">
        <f ca="1">IF(SUM($G326:CG326)&gt;=1,"",IF(CH324=0,"",IF(SUM($G324:CH324)&gt;=1,OFFSET(CH$228,-1,0),"")))</f>
        <v/>
      </c>
      <c r="CI326" s="403" t="str">
        <f ca="1">IF(SUM($G326:CH326)&gt;=1,"",IF(CI324=0,"",IF(SUM($G324:CI324)&gt;=1,OFFSET(CI$228,-1,0),"")))</f>
        <v/>
      </c>
      <c r="CJ326" s="403" t="str">
        <f ca="1">IF(SUM($G326:CI326)&gt;=1,"",IF(CJ324=0,"",IF(SUM($G324:CJ324)&gt;=1,OFFSET(CJ$228,-1,0),"")))</f>
        <v/>
      </c>
      <c r="CK326" s="403" t="str">
        <f ca="1">IF(SUM($G326:CJ326)&gt;=1,"",IF(CK324=0,"",IF(SUM($G324:CK324)&gt;=1,OFFSET(CK$228,-1,0),"")))</f>
        <v/>
      </c>
      <c r="CL326" s="403" t="str">
        <f ca="1">IF(SUM($G326:CK326)&gt;=1,"",IF(CL324=0,"",IF(SUM($G324:CL324)&gt;=1,OFFSET(CL$228,-1,0),"")))</f>
        <v/>
      </c>
      <c r="CM326" s="403" t="str">
        <f ca="1">IF(SUM($G326:CL326)&gt;=1,"",IF(CM324=0,"",IF(SUM($G324:CM324)&gt;=1,OFFSET(CM$228,-1,0),"")))</f>
        <v/>
      </c>
      <c r="CN326" s="403" t="str">
        <f ca="1">IF(SUM($G326:CM326)&gt;=1,"",IF(CN324=0,"",IF(SUM($G324:CN324)&gt;=1,OFFSET(CN$228,-1,0),"")))</f>
        <v/>
      </c>
      <c r="CO326" s="403" t="str">
        <f ca="1">IF(SUM($G326:CN326)&gt;=1,"",IF(CO324=0,"",IF(SUM($G324:CO324)&gt;=1,OFFSET(CO$228,-1,0),"")))</f>
        <v/>
      </c>
      <c r="CP326" s="403" t="str">
        <f ca="1">IF(SUM($G326:CO326)&gt;=1,"",IF(CP324=0,"",IF(SUM($G324:CP324)&gt;=1,OFFSET(CP$228,-1,0),"")))</f>
        <v/>
      </c>
      <c r="CQ326" s="403" t="str">
        <f ca="1">IF(SUM($G326:CP326)&gt;=1,"",IF(CQ324=0,"",IF(SUM($G324:CQ324)&gt;=1,OFFSET(CQ$228,-1,0),"")))</f>
        <v/>
      </c>
      <c r="CR326" s="403" t="str">
        <f ca="1">IF(SUM($G326:CQ326)&gt;=1,"",IF(CR324=0,"",IF(SUM($G324:CR324)&gt;=1,OFFSET(CR$228,-1,0),"")))</f>
        <v/>
      </c>
      <c r="CS326" s="403" t="str">
        <f ca="1">IF(SUM($G326:CR326)&gt;=1,"",IF(CS324=0,"",IF(SUM($G324:CS324)&gt;=1,OFFSET(CS$228,-1,0),"")))</f>
        <v/>
      </c>
      <c r="CT326" s="403" t="str">
        <f ca="1">IF(SUM($G326:CS326)&gt;=1,"",IF(CT324=0,"",IF(SUM($G324:CT324)&gt;=1,OFFSET(CT$228,-1,0),"")))</f>
        <v/>
      </c>
      <c r="CU326" s="403" t="str">
        <f ca="1">IF(SUM($G326:CT326)&gt;=1,"",IF(CU324=0,"",IF(SUM($G324:CU324)&gt;=1,OFFSET(CU$228,-1,0),"")))</f>
        <v/>
      </c>
      <c r="CV326" s="403" t="str">
        <f ca="1">IF(SUM($G326:CU326)&gt;=1,"",IF(CV324=0,"",IF(SUM($G324:CV324)&gt;=1,OFFSET(CV$228,-1,0),"")))</f>
        <v/>
      </c>
      <c r="CW326" s="403" t="str">
        <f ca="1">IF(SUM($G326:CV326)&gt;=1,"",IF(CW324=0,"",IF(SUM($G324:CW324)&gt;=1,OFFSET(CW$228,-1,0),"")))</f>
        <v/>
      </c>
      <c r="CX326" s="403" t="str">
        <f ca="1">IF(SUM($G326:CW326)&gt;=1,"",IF(CX324=0,"",IF(SUM($G324:CX324)&gt;=1,OFFSET(CX$228,-1,0),"")))</f>
        <v/>
      </c>
      <c r="CY326" s="403" t="str">
        <f ca="1">IF(SUM($G326:CX326)&gt;=1,"",IF(CY324=0,"",IF(SUM($G324:CY324)&gt;=1,OFFSET(CY$228,-1,0),"")))</f>
        <v/>
      </c>
      <c r="CZ326" s="403" t="str">
        <f ca="1">IF(SUM($G326:CY326)&gt;=1,"",IF(CZ324=0,"",IF(SUM($G324:CZ324)&gt;=1,OFFSET(CZ$228,-1,0),"")))</f>
        <v/>
      </c>
      <c r="DA326" s="403" t="str">
        <f ca="1">IF(SUM($G326:CZ326)&gt;=1,"",IF(DA324=0,"",IF(SUM($G324:DA324)&gt;=1,OFFSET(DA$228,-1,0),"")))</f>
        <v/>
      </c>
      <c r="DB326" s="403" t="str">
        <f ca="1">IF(SUM($G326:DA326)&gt;=1,"",IF(DB324=0,"",IF(SUM($G324:DB324)&gt;=1,OFFSET(DB$228,-1,0),"")))</f>
        <v/>
      </c>
      <c r="DC326" s="403" t="str">
        <f ca="1">IF(SUM($G326:DB326)&gt;=1,"",IF(DC324=0,"",IF(SUM($G324:DC324)&gt;=1,OFFSET(DC$228,-1,0),"")))</f>
        <v/>
      </c>
      <c r="DD326" s="403" t="str">
        <f ca="1">IF(SUM($G326:DC326)&gt;=1,"",IF(DD324=0,"",IF(SUM($G324:DD324)&gt;=1,OFFSET(DD$228,-1,0),"")))</f>
        <v/>
      </c>
      <c r="DE326" s="403" t="str">
        <f ca="1">IF(SUM($G326:DD326)&gt;=1,"",IF(DE324=0,"",IF(SUM($G324:DE324)&gt;=1,OFFSET(DE$228,-1,0),"")))</f>
        <v/>
      </c>
      <c r="DF326" s="403" t="str">
        <f ca="1">IF(SUM($G326:DE326)&gt;=1,"",IF(DF324=0,"",IF(SUM($G324:DF324)&gt;=1,OFFSET(DF$228,-1,0),"")))</f>
        <v/>
      </c>
      <c r="DG326" s="403" t="str">
        <f ca="1">IF(SUM($G326:DF326)&gt;=1,"",IF(DG324=0,"",IF(SUM($G324:DG324)&gt;=1,OFFSET(DG$228,-1,0),"")))</f>
        <v/>
      </c>
      <c r="DH326" s="403" t="str">
        <f ca="1">IF(SUM($G326:DG326)&gt;=1,"",IF(DH324=0,"",IF(SUM($G324:DH324)&gt;=1,OFFSET(DH$228,-1,0),"")))</f>
        <v/>
      </c>
      <c r="DI326" s="403" t="str">
        <f ca="1">IF(SUM($G326:DH326)&gt;=1,"",IF(DI324=0,"",IF(SUM($G324:DI324)&gt;=1,OFFSET(DI$228,-1,0),"")))</f>
        <v/>
      </c>
      <c r="DJ326" s="403" t="str">
        <f ca="1">IF(SUM($G326:DI326)&gt;=1,"",IF(DJ324=0,"",IF(SUM($G324:DJ324)&gt;=1,OFFSET(DJ$228,-1,0),"")))</f>
        <v/>
      </c>
      <c r="DK326" s="403" t="str">
        <f ca="1">IF(SUM($G326:DJ326)&gt;=1,"",IF(DK324=0,"",IF(SUM($G324:DK324)&gt;=1,OFFSET(DK$228,-1,0),"")))</f>
        <v/>
      </c>
      <c r="DL326" s="403" t="str">
        <f ca="1">IF(SUM($G326:DK326)&gt;=1,"",IF(DL324=0,"",IF(SUM($G324:DL324)&gt;=1,OFFSET(DL$228,-1,0),"")))</f>
        <v/>
      </c>
      <c r="DM326" s="403" t="str">
        <f ca="1">IF(SUM($G326:DL326)&gt;=1,"",IF(DM324=0,"",IF(SUM($G324:DM324)&gt;=1,OFFSET(DM$228,-1,0),"")))</f>
        <v/>
      </c>
      <c r="DN326" s="403" t="str">
        <f ca="1">IF(SUM($G326:DM326)&gt;=1,"",IF(DN324=0,"",IF(SUM($G324:DN324)&gt;=1,OFFSET(DN$228,-1,0),"")))</f>
        <v/>
      </c>
      <c r="DO326" s="403" t="str">
        <f ca="1">IF(SUM($G326:DN326)&gt;=1,"",IF(DO324=0,"",IF(SUM($G324:DO324)&gt;=1,OFFSET(DO$228,-1,0),"")))</f>
        <v/>
      </c>
      <c r="DP326" s="403" t="str">
        <f ca="1">IF(SUM($G326:DO326)&gt;=1,"",IF(DP324=0,"",IF(SUM($G324:DP324)&gt;=1,OFFSET(DP$228,-1,0),"")))</f>
        <v/>
      </c>
      <c r="DQ326" s="403" t="str">
        <f ca="1">IF(SUM($G326:DP326)&gt;=1,"",IF(DQ324=0,"",IF(SUM($G324:DQ324)&gt;=1,OFFSET(DQ$228,-1,0),"")))</f>
        <v/>
      </c>
      <c r="DR326" s="403" t="str">
        <f ca="1">IF(SUM($G326:DQ326)&gt;=1,"",IF(DR324=0,"",IF(SUM($G324:DR324)&gt;=1,OFFSET(DR$228,-1,0),"")))</f>
        <v/>
      </c>
      <c r="DS326" s="403" t="str">
        <f ca="1">IF(SUM($G326:DR326)&gt;=1,"",IF(DS324=0,"",IF(SUM($G324:DS324)&gt;=1,OFFSET(DS$228,-1,0),"")))</f>
        <v/>
      </c>
      <c r="DT326" s="403" t="str">
        <f ca="1">IF(SUM($G326:DS326)&gt;=1,"",IF(DT324=0,"",IF(SUM($G324:DT324)&gt;=1,OFFSET(DT$228,-1,0),"")))</f>
        <v/>
      </c>
      <c r="DU326" s="403" t="str">
        <f ca="1">IF(SUM($G326:DT326)&gt;=1,"",IF(DU324=0,"",IF(SUM($G324:DU324)&gt;=1,OFFSET(DU$228,-1,0),"")))</f>
        <v/>
      </c>
      <c r="DV326" s="403" t="str">
        <f ca="1">IF(SUM($G326:DU326)&gt;=1,"",IF(DV324=0,"",IF(SUM($G324:DV324)&gt;=1,OFFSET(DV$228,-1,0),"")))</f>
        <v/>
      </c>
      <c r="DW326" s="403" t="str">
        <f ca="1">IF(SUM($G326:DV326)&gt;=1,"",IF(DW324=0,"",IF(SUM($G324:DW324)&gt;=1,OFFSET(DW$228,-1,0),"")))</f>
        <v/>
      </c>
      <c r="DX326" s="403" t="str">
        <f ca="1">IF(SUM($G326:DW326)&gt;=1,"",IF(DX324=0,"",IF(SUM($G324:DX324)&gt;=1,OFFSET(DX$228,-1,0),"")))</f>
        <v/>
      </c>
      <c r="DY326" s="403" t="str">
        <f ca="1">IF(SUM($G326:DX326)&gt;=1,"",IF(DY324=0,"",IF(SUM($G324:DY324)&gt;=1,OFFSET(DY$228,-1,0),"")))</f>
        <v/>
      </c>
      <c r="DZ326" s="403" t="str">
        <f ca="1">IF(SUM($G326:DY326)&gt;=1,"",IF(DZ324=0,"",IF(SUM($G324:DZ324)&gt;=1,OFFSET(DZ$228,-1,0),"")))</f>
        <v/>
      </c>
      <c r="EA326" s="403" t="str">
        <f ca="1">IF(SUM($G326:DZ326)&gt;=1,"",IF(EA324=0,"",IF(SUM($G324:EA324)&gt;=1,OFFSET(EA$228,-1,0),"")))</f>
        <v/>
      </c>
      <c r="EB326" s="403" t="str">
        <f ca="1">IF(SUM($G326:EA326)&gt;=1,"",IF(EB324=0,"",IF(SUM($G324:EB324)&gt;=1,OFFSET(EB$228,-1,0),"")))</f>
        <v/>
      </c>
      <c r="EC326" s="403" t="str">
        <f ca="1">IF(SUM($G326:EB326)&gt;=1,"",IF(EC324=0,"",IF(SUM($G324:EC324)&gt;=1,OFFSET(EC$228,-1,0),"")))</f>
        <v/>
      </c>
      <c r="ED326" s="403" t="str">
        <f ca="1">IF(SUM($G326:EC326)&gt;=1,"",IF(ED324=0,"",IF(SUM($G324:ED324)&gt;=1,OFFSET(ED$228,-1,0),"")))</f>
        <v/>
      </c>
      <c r="EE326" s="403" t="str">
        <f ca="1">IF(SUM($G326:ED326)&gt;=1,"",IF(EE324=0,"",IF(SUM($G324:EE324)&gt;=1,OFFSET(EE$228,-1,0),"")))</f>
        <v/>
      </c>
      <c r="EF326" s="403" t="str">
        <f ca="1">IF(SUM($G326:EE326)&gt;=1,"",IF(EF324=0,"",IF(SUM($G324:EF324)&gt;=1,OFFSET(EF$228,-1,0),"")))</f>
        <v/>
      </c>
      <c r="EG326" s="403" t="str">
        <f ca="1">IF(SUM($G326:EF326)&gt;=1,"",IF(EG324=0,"",IF(SUM($G324:EG324)&gt;=1,OFFSET(EG$228,-1,0),"")))</f>
        <v/>
      </c>
      <c r="EH326" s="403" t="str">
        <f ca="1">IF(SUM($G326:EG326)&gt;=1,"",IF(EH324=0,"",IF(SUM($G324:EH324)&gt;=1,OFFSET(EH$228,-1,0),"")))</f>
        <v/>
      </c>
      <c r="EI326" s="403" t="str">
        <f ca="1">IF(SUM($G326:EH326)&gt;=1,"",IF(EI324=0,"",IF(SUM($G324:EI324)&gt;=1,OFFSET(EI$228,-1,0),"")))</f>
        <v/>
      </c>
    </row>
    <row r="327" spans="1:141" hidden="1" outlineLevel="2">
      <c r="A327" s="332"/>
      <c r="D327" s="305" t="s">
        <v>671</v>
      </c>
      <c r="E327" s="1002">
        <f ca="1">IF(E324=0,"",MIN(G327:EI327))</f>
        <v>46290.95</v>
      </c>
      <c r="F327" s="1003"/>
      <c r="G327" s="403" t="str">
        <f>IF(G324=0,"",IF(G324=G$3,G326,G$5+H$5-G328-1))</f>
        <v/>
      </c>
      <c r="H327" s="403" t="str">
        <f ca="1">IF(H324=0,"",IF(H324=H$3,H326,H$5+I$5-H328-1))</f>
        <v/>
      </c>
      <c r="I327" s="403" t="str">
        <f t="shared" ref="I327:BT327" ca="1" si="515">IF(I324=0,"",IF(I324=I$3,I326,I$5+J$5-I328-1))</f>
        <v/>
      </c>
      <c r="J327" s="403" t="str">
        <f t="shared" ca="1" si="515"/>
        <v/>
      </c>
      <c r="K327" s="403" t="str">
        <f t="shared" ca="1" si="515"/>
        <v/>
      </c>
      <c r="L327" s="403" t="str">
        <f t="shared" ca="1" si="515"/>
        <v/>
      </c>
      <c r="M327" s="403" t="str">
        <f t="shared" ca="1" si="515"/>
        <v/>
      </c>
      <c r="N327" s="403" t="str">
        <f t="shared" ca="1" si="515"/>
        <v/>
      </c>
      <c r="O327" s="403" t="str">
        <f t="shared" ca="1" si="515"/>
        <v/>
      </c>
      <c r="P327" s="403" t="str">
        <f t="shared" ca="1" si="515"/>
        <v/>
      </c>
      <c r="Q327" s="403" t="str">
        <f t="shared" ca="1" si="515"/>
        <v/>
      </c>
      <c r="R327" s="403" t="str">
        <f t="shared" ca="1" si="515"/>
        <v/>
      </c>
      <c r="S327" s="403" t="str">
        <f t="shared" ca="1" si="515"/>
        <v/>
      </c>
      <c r="T327" s="403" t="str">
        <f t="shared" ca="1" si="515"/>
        <v/>
      </c>
      <c r="U327" s="403" t="str">
        <f t="shared" ca="1" si="515"/>
        <v/>
      </c>
      <c r="V327" s="403" t="str">
        <f t="shared" ca="1" si="515"/>
        <v/>
      </c>
      <c r="W327" s="403" t="str">
        <f t="shared" ca="1" si="515"/>
        <v/>
      </c>
      <c r="X327" s="403" t="str">
        <f t="shared" ca="1" si="515"/>
        <v/>
      </c>
      <c r="Y327" s="403" t="str">
        <f t="shared" ca="1" si="515"/>
        <v/>
      </c>
      <c r="Z327" s="403" t="str">
        <f t="shared" ca="1" si="515"/>
        <v/>
      </c>
      <c r="AA327" s="403" t="str">
        <f t="shared" ca="1" si="515"/>
        <v/>
      </c>
      <c r="AB327" s="403" t="str">
        <f t="shared" ca="1" si="515"/>
        <v/>
      </c>
      <c r="AC327" s="403" t="str">
        <f t="shared" ca="1" si="515"/>
        <v/>
      </c>
      <c r="AD327" s="403" t="str">
        <f t="shared" ca="1" si="515"/>
        <v/>
      </c>
      <c r="AE327" s="403" t="str">
        <f t="shared" ca="1" si="515"/>
        <v/>
      </c>
      <c r="AF327" s="403" t="str">
        <f t="shared" ca="1" si="515"/>
        <v/>
      </c>
      <c r="AG327" s="403" t="str">
        <f t="shared" ca="1" si="515"/>
        <v/>
      </c>
      <c r="AH327" s="403" t="str">
        <f t="shared" ca="1" si="515"/>
        <v/>
      </c>
      <c r="AI327" s="403" t="str">
        <f t="shared" ca="1" si="515"/>
        <v/>
      </c>
      <c r="AJ327" s="403" t="str">
        <f t="shared" ca="1" si="515"/>
        <v/>
      </c>
      <c r="AK327" s="403" t="str">
        <f t="shared" ca="1" si="515"/>
        <v/>
      </c>
      <c r="AL327" s="403" t="str">
        <f t="shared" ca="1" si="515"/>
        <v/>
      </c>
      <c r="AM327" s="403" t="str">
        <f t="shared" ca="1" si="515"/>
        <v/>
      </c>
      <c r="AN327" s="403" t="str">
        <f t="shared" ca="1" si="515"/>
        <v/>
      </c>
      <c r="AO327" s="403" t="str">
        <f t="shared" ca="1" si="515"/>
        <v/>
      </c>
      <c r="AP327" s="403" t="str">
        <f t="shared" ca="1" si="515"/>
        <v/>
      </c>
      <c r="AQ327" s="403" t="str">
        <f t="shared" ca="1" si="515"/>
        <v/>
      </c>
      <c r="AR327" s="403" t="str">
        <f t="shared" ca="1" si="515"/>
        <v/>
      </c>
      <c r="AS327" s="403" t="str">
        <f t="shared" ca="1" si="515"/>
        <v/>
      </c>
      <c r="AT327" s="403" t="str">
        <f t="shared" ca="1" si="515"/>
        <v/>
      </c>
      <c r="AU327" s="403" t="str">
        <f t="shared" ca="1" si="515"/>
        <v/>
      </c>
      <c r="AV327" s="403" t="str">
        <f t="shared" ca="1" si="515"/>
        <v/>
      </c>
      <c r="AW327" s="403">
        <f t="shared" ca="1" si="515"/>
        <v>46290.95</v>
      </c>
      <c r="AX327" s="403" t="str">
        <f t="shared" ca="1" si="515"/>
        <v/>
      </c>
      <c r="AY327" s="403" t="str">
        <f t="shared" ca="1" si="515"/>
        <v/>
      </c>
      <c r="AZ327" s="403">
        <f t="shared" ca="1" si="515"/>
        <v>46379.05</v>
      </c>
      <c r="BA327" s="403" t="str">
        <f t="shared" ca="1" si="515"/>
        <v/>
      </c>
      <c r="BB327" s="403" t="str">
        <f t="shared" ca="1" si="515"/>
        <v/>
      </c>
      <c r="BC327" s="403" t="str">
        <f t="shared" ca="1" si="515"/>
        <v/>
      </c>
      <c r="BD327" s="403" t="str">
        <f t="shared" ca="1" si="515"/>
        <v/>
      </c>
      <c r="BE327" s="403" t="str">
        <f t="shared" ca="1" si="515"/>
        <v/>
      </c>
      <c r="BF327" s="403" t="str">
        <f t="shared" ca="1" si="515"/>
        <v/>
      </c>
      <c r="BG327" s="403" t="str">
        <f t="shared" ca="1" si="515"/>
        <v/>
      </c>
      <c r="BH327" s="403" t="str">
        <f t="shared" ca="1" si="515"/>
        <v/>
      </c>
      <c r="BI327" s="403" t="str">
        <f t="shared" ca="1" si="515"/>
        <v/>
      </c>
      <c r="BJ327" s="403" t="str">
        <f t="shared" ca="1" si="515"/>
        <v/>
      </c>
      <c r="BK327" s="403" t="str">
        <f t="shared" ca="1" si="515"/>
        <v/>
      </c>
      <c r="BL327" s="403" t="str">
        <f t="shared" ca="1" si="515"/>
        <v/>
      </c>
      <c r="BM327" s="403" t="str">
        <f t="shared" ca="1" si="515"/>
        <v/>
      </c>
      <c r="BN327" s="403" t="str">
        <f t="shared" ca="1" si="515"/>
        <v/>
      </c>
      <c r="BO327" s="403" t="str">
        <f t="shared" ca="1" si="515"/>
        <v/>
      </c>
      <c r="BP327" s="403" t="str">
        <f t="shared" ca="1" si="515"/>
        <v/>
      </c>
      <c r="BQ327" s="403" t="str">
        <f t="shared" ca="1" si="515"/>
        <v/>
      </c>
      <c r="BR327" s="403" t="str">
        <f t="shared" ca="1" si="515"/>
        <v/>
      </c>
      <c r="BS327" s="403" t="str">
        <f t="shared" ca="1" si="515"/>
        <v/>
      </c>
      <c r="BT327" s="403" t="str">
        <f t="shared" ca="1" si="515"/>
        <v/>
      </c>
      <c r="BU327" s="403" t="str">
        <f t="shared" ref="BU327:EF327" ca="1" si="516">IF(BU324=0,"",IF(BU324=BU$3,BU326,BU$5+BV$5-BU328-1))</f>
        <v/>
      </c>
      <c r="BV327" s="403" t="str">
        <f t="shared" ca="1" si="516"/>
        <v/>
      </c>
      <c r="BW327" s="403" t="str">
        <f t="shared" ca="1" si="516"/>
        <v/>
      </c>
      <c r="BX327" s="403" t="str">
        <f t="shared" ca="1" si="516"/>
        <v/>
      </c>
      <c r="BY327" s="403" t="str">
        <f t="shared" ca="1" si="516"/>
        <v/>
      </c>
      <c r="BZ327" s="403" t="str">
        <f t="shared" ca="1" si="516"/>
        <v/>
      </c>
      <c r="CA327" s="403" t="str">
        <f t="shared" ca="1" si="516"/>
        <v/>
      </c>
      <c r="CB327" s="403" t="str">
        <f t="shared" ca="1" si="516"/>
        <v/>
      </c>
      <c r="CC327" s="403" t="str">
        <f t="shared" ca="1" si="516"/>
        <v/>
      </c>
      <c r="CD327" s="403" t="str">
        <f t="shared" ca="1" si="516"/>
        <v/>
      </c>
      <c r="CE327" s="403" t="str">
        <f t="shared" ca="1" si="516"/>
        <v/>
      </c>
      <c r="CF327" s="403" t="str">
        <f t="shared" ca="1" si="516"/>
        <v/>
      </c>
      <c r="CG327" s="403" t="str">
        <f t="shared" ca="1" si="516"/>
        <v/>
      </c>
      <c r="CH327" s="403" t="str">
        <f t="shared" ca="1" si="516"/>
        <v/>
      </c>
      <c r="CI327" s="403" t="str">
        <f t="shared" ca="1" si="516"/>
        <v/>
      </c>
      <c r="CJ327" s="403" t="str">
        <f t="shared" ca="1" si="516"/>
        <v/>
      </c>
      <c r="CK327" s="403" t="str">
        <f t="shared" ca="1" si="516"/>
        <v/>
      </c>
      <c r="CL327" s="403" t="str">
        <f t="shared" ca="1" si="516"/>
        <v/>
      </c>
      <c r="CM327" s="403" t="str">
        <f t="shared" ca="1" si="516"/>
        <v/>
      </c>
      <c r="CN327" s="403" t="str">
        <f t="shared" ca="1" si="516"/>
        <v/>
      </c>
      <c r="CO327" s="403" t="str">
        <f t="shared" ca="1" si="516"/>
        <v/>
      </c>
      <c r="CP327" s="403" t="str">
        <f t="shared" ca="1" si="516"/>
        <v/>
      </c>
      <c r="CQ327" s="403" t="str">
        <f t="shared" ca="1" si="516"/>
        <v/>
      </c>
      <c r="CR327" s="403" t="str">
        <f t="shared" ca="1" si="516"/>
        <v/>
      </c>
      <c r="CS327" s="403" t="str">
        <f t="shared" ca="1" si="516"/>
        <v/>
      </c>
      <c r="CT327" s="403" t="str">
        <f t="shared" ca="1" si="516"/>
        <v/>
      </c>
      <c r="CU327" s="403" t="str">
        <f t="shared" ca="1" si="516"/>
        <v/>
      </c>
      <c r="CV327" s="403" t="str">
        <f t="shared" ca="1" si="516"/>
        <v/>
      </c>
      <c r="CW327" s="403" t="str">
        <f t="shared" ca="1" si="516"/>
        <v/>
      </c>
      <c r="CX327" s="403" t="str">
        <f t="shared" ca="1" si="516"/>
        <v/>
      </c>
      <c r="CY327" s="403" t="str">
        <f t="shared" ca="1" si="516"/>
        <v/>
      </c>
      <c r="CZ327" s="403" t="str">
        <f t="shared" ca="1" si="516"/>
        <v/>
      </c>
      <c r="DA327" s="403" t="str">
        <f t="shared" ca="1" si="516"/>
        <v/>
      </c>
      <c r="DB327" s="403" t="str">
        <f t="shared" ca="1" si="516"/>
        <v/>
      </c>
      <c r="DC327" s="403" t="str">
        <f t="shared" ca="1" si="516"/>
        <v/>
      </c>
      <c r="DD327" s="403" t="str">
        <f t="shared" ca="1" si="516"/>
        <v/>
      </c>
      <c r="DE327" s="403" t="str">
        <f t="shared" ca="1" si="516"/>
        <v/>
      </c>
      <c r="DF327" s="403" t="str">
        <f t="shared" ca="1" si="516"/>
        <v/>
      </c>
      <c r="DG327" s="403" t="str">
        <f t="shared" ca="1" si="516"/>
        <v/>
      </c>
      <c r="DH327" s="403" t="str">
        <f t="shared" ca="1" si="516"/>
        <v/>
      </c>
      <c r="DI327" s="403" t="str">
        <f t="shared" ca="1" si="516"/>
        <v/>
      </c>
      <c r="DJ327" s="403" t="str">
        <f t="shared" ca="1" si="516"/>
        <v/>
      </c>
      <c r="DK327" s="403" t="str">
        <f t="shared" ca="1" si="516"/>
        <v/>
      </c>
      <c r="DL327" s="403" t="str">
        <f t="shared" ca="1" si="516"/>
        <v/>
      </c>
      <c r="DM327" s="403" t="str">
        <f t="shared" ca="1" si="516"/>
        <v/>
      </c>
      <c r="DN327" s="403" t="str">
        <f t="shared" ca="1" si="516"/>
        <v/>
      </c>
      <c r="DO327" s="403" t="str">
        <f t="shared" ca="1" si="516"/>
        <v/>
      </c>
      <c r="DP327" s="403" t="str">
        <f t="shared" ca="1" si="516"/>
        <v/>
      </c>
      <c r="DQ327" s="403" t="str">
        <f t="shared" ca="1" si="516"/>
        <v/>
      </c>
      <c r="DR327" s="403" t="str">
        <f t="shared" ca="1" si="516"/>
        <v/>
      </c>
      <c r="DS327" s="403" t="str">
        <f t="shared" ca="1" si="516"/>
        <v/>
      </c>
      <c r="DT327" s="403" t="str">
        <f t="shared" ca="1" si="516"/>
        <v/>
      </c>
      <c r="DU327" s="403" t="str">
        <f t="shared" ca="1" si="516"/>
        <v/>
      </c>
      <c r="DV327" s="403" t="str">
        <f t="shared" ca="1" si="516"/>
        <v/>
      </c>
      <c r="DW327" s="403" t="str">
        <f t="shared" ca="1" si="516"/>
        <v/>
      </c>
      <c r="DX327" s="403" t="str">
        <f t="shared" ca="1" si="516"/>
        <v/>
      </c>
      <c r="DY327" s="403" t="str">
        <f t="shared" ca="1" si="516"/>
        <v/>
      </c>
      <c r="DZ327" s="403" t="str">
        <f t="shared" ca="1" si="516"/>
        <v/>
      </c>
      <c r="EA327" s="403" t="str">
        <f t="shared" ca="1" si="516"/>
        <v/>
      </c>
      <c r="EB327" s="403" t="str">
        <f t="shared" ca="1" si="516"/>
        <v/>
      </c>
      <c r="EC327" s="403" t="str">
        <f t="shared" ca="1" si="516"/>
        <v/>
      </c>
      <c r="ED327" s="403" t="str">
        <f t="shared" ca="1" si="516"/>
        <v/>
      </c>
      <c r="EE327" s="403" t="str">
        <f t="shared" ca="1" si="516"/>
        <v/>
      </c>
      <c r="EF327" s="403" t="str">
        <f t="shared" ca="1" si="516"/>
        <v/>
      </c>
      <c r="EG327" s="403" t="str">
        <f t="shared" ref="EG327:EI327" ca="1" si="517">IF(EG324=0,"",IF(EG324=EG$3,EG326,EG$5+EH$5-EG328-1))</f>
        <v/>
      </c>
      <c r="EH327" s="403" t="str">
        <f t="shared" ca="1" si="517"/>
        <v/>
      </c>
      <c r="EI327" s="403" t="str">
        <f t="shared" ca="1" si="517"/>
        <v/>
      </c>
    </row>
    <row r="328" spans="1:141" hidden="1" outlineLevel="2">
      <c r="A328" s="332"/>
      <c r="D328" s="305" t="s">
        <v>672</v>
      </c>
      <c r="E328" s="1002">
        <f ca="1">IF(E324=0,"",MAX(G328:EI328))</f>
        <v>46364.95</v>
      </c>
      <c r="F328" s="1003"/>
      <c r="G328" s="403">
        <f ca="1">IF(SUM(G324:$EI324)=0,"",IF(G$227="","",G$227+G324-1))</f>
        <v>44985</v>
      </c>
      <c r="H328" s="403">
        <f ca="1">IF(SUM(H324:$EI324)=0,"",IF(H$227="","",H$227+H324-1))</f>
        <v>45016</v>
      </c>
      <c r="I328" s="403">
        <f ca="1">IF(SUM(I324:$EI324)=0,"",IF(I$227="","",I$227+I324-1))</f>
        <v>45046</v>
      </c>
      <c r="J328" s="403">
        <f ca="1">IF(SUM(J324:$EI324)=0,"",IF(J$227="","",J$227+J324-1))</f>
        <v>45077</v>
      </c>
      <c r="K328" s="403">
        <f ca="1">IF(SUM(K324:$EI324)=0,"",IF(K$227="","",K$227+K324-1))</f>
        <v>45107</v>
      </c>
      <c r="L328" s="403">
        <f ca="1">IF(SUM(L324:$EI324)=0,"",IF(L$227="","",L$227+L324-1))</f>
        <v>45138</v>
      </c>
      <c r="M328" s="403">
        <f ca="1">IF(SUM(M324:$EI324)=0,"",IF(M$227="","",M$227+M324-1))</f>
        <v>45169</v>
      </c>
      <c r="N328" s="403">
        <f ca="1">IF(SUM(N324:$EI324)=0,"",IF(N$227="","",N$227+N324-1))</f>
        <v>45199</v>
      </c>
      <c r="O328" s="403">
        <f ca="1">IF(SUM(O324:$EI324)=0,"",IF(O$227="","",O$227+O324-1))</f>
        <v>45230</v>
      </c>
      <c r="P328" s="403">
        <f ca="1">IF(SUM(P324:$EI324)=0,"",IF(P$227="","",P$227+P324-1))</f>
        <v>45260</v>
      </c>
      <c r="Q328" s="403">
        <f ca="1">IF(SUM(Q324:$EI324)=0,"",IF(Q$227="","",Q$227+Q324-1))</f>
        <v>45291</v>
      </c>
      <c r="R328" s="403">
        <f ca="1">IF(SUM(R324:$EI324)=0,"",IF(R$227="","",R$227+R324-1))</f>
        <v>45322</v>
      </c>
      <c r="S328" s="403">
        <f ca="1">IF(SUM(S324:$EI324)=0,"",IF(S$227="","",S$227+S324-1))</f>
        <v>45351</v>
      </c>
      <c r="T328" s="403">
        <f ca="1">IF(SUM(T324:$EI324)=0,"",IF(T$227="","",T$227+T324-1))</f>
        <v>45382</v>
      </c>
      <c r="U328" s="403">
        <f ca="1">IF(SUM(U324:$EI324)=0,"",IF(U$227="","",U$227+U324-1))</f>
        <v>45412</v>
      </c>
      <c r="V328" s="403">
        <f ca="1">IF(SUM(V324:$EI324)=0,"",IF(V$227="","",V$227+V324-1))</f>
        <v>45443</v>
      </c>
      <c r="W328" s="403">
        <f ca="1">IF(SUM(W324:$EI324)=0,"",IF(W$227="","",W$227+W324-1))</f>
        <v>45473</v>
      </c>
      <c r="X328" s="403">
        <f ca="1">IF(SUM(X324:$EI324)=0,"",IF(X$227="","",X$227+X324-1))</f>
        <v>45504</v>
      </c>
      <c r="Y328" s="403">
        <f ca="1">IF(SUM(Y324:$EI324)=0,"",IF(Y$227="","",Y$227+Y324-1))</f>
        <v>45535</v>
      </c>
      <c r="Z328" s="403">
        <f ca="1">IF(SUM(Z324:$EI324)=0,"",IF(Z$227="","",Z$227+Z324-1))</f>
        <v>45565</v>
      </c>
      <c r="AA328" s="403">
        <f ca="1">IF(SUM(AA324:$EI324)=0,"",IF(AA$227="","",AA$227+AA324-1))</f>
        <v>45596</v>
      </c>
      <c r="AB328" s="403">
        <f ca="1">IF(SUM(AB324:$EI324)=0,"",IF(AB$227="","",AB$227+AB324-1))</f>
        <v>45626</v>
      </c>
      <c r="AC328" s="403">
        <f ca="1">IF(SUM(AC324:$EI324)=0,"",IF(AC$227="","",AC$227+AC324-1))</f>
        <v>45657</v>
      </c>
      <c r="AD328" s="403">
        <f ca="1">IF(SUM(AD324:$EI324)=0,"",IF(AD$227="","",AD$227+AD324-1))</f>
        <v>45688</v>
      </c>
      <c r="AE328" s="403">
        <f ca="1">IF(SUM(AE324:$EI324)=0,"",IF(AE$227="","",AE$227+AE324-1))</f>
        <v>45716</v>
      </c>
      <c r="AF328" s="403">
        <f ca="1">IF(SUM(AF324:$EI324)=0,"",IF(AF$227="","",AF$227+AF324-1))</f>
        <v>45747</v>
      </c>
      <c r="AG328" s="403">
        <f ca="1">IF(SUM(AG324:$EI324)=0,"",IF(AG$227="","",AG$227+AG324-1))</f>
        <v>45777</v>
      </c>
      <c r="AH328" s="403">
        <f ca="1">IF(SUM(AH324:$EI324)=0,"",IF(AH$227="","",AH$227+AH324-1))</f>
        <v>45808</v>
      </c>
      <c r="AI328" s="403">
        <f ca="1">IF(SUM(AI324:$EI324)=0,"",IF(AI$227="","",AI$227+AI324-1))</f>
        <v>45838</v>
      </c>
      <c r="AJ328" s="403">
        <f ca="1">IF(SUM(AJ324:$EI324)=0,"",IF(AJ$227="","",AJ$227+AJ324-1))</f>
        <v>45869</v>
      </c>
      <c r="AK328" s="403">
        <f ca="1">IF(SUM(AK324:$EI324)=0,"",IF(AK$227="","",AK$227+AK324-1))</f>
        <v>45900</v>
      </c>
      <c r="AL328" s="403">
        <f ca="1">IF(SUM(AL324:$EI324)=0,"",IF(AL$227="","",AL$227+AL324-1))</f>
        <v>45930</v>
      </c>
      <c r="AM328" s="403">
        <f ca="1">IF(SUM(AM324:$EI324)=0,"",IF(AM$227="","",AM$227+AM324-1))</f>
        <v>45961</v>
      </c>
      <c r="AN328" s="403">
        <f ca="1">IF(SUM(AN324:$EI324)=0,"",IF(AN$227="","",AN$227+AN324-1))</f>
        <v>45991</v>
      </c>
      <c r="AO328" s="403">
        <f ca="1">IF(SUM(AO324:$EI324)=0,"",IF(AO$227="","",AO$227+AO324-1))</f>
        <v>46022</v>
      </c>
      <c r="AP328" s="403">
        <f ca="1">IF(SUM(AP324:$EI324)=0,"",IF(AP$227="","",AP$227+AP324-1))</f>
        <v>46053</v>
      </c>
      <c r="AQ328" s="403">
        <f ca="1">IF(SUM(AQ324:$EI324)=0,"",IF(AQ$227="","",AQ$227+AQ324-1))</f>
        <v>46081</v>
      </c>
      <c r="AR328" s="403">
        <f ca="1">IF(SUM(AR324:$EI324)=0,"",IF(AR$227="","",AR$227+AR324-1))</f>
        <v>46112</v>
      </c>
      <c r="AS328" s="403">
        <f ca="1">IF(SUM(AS324:$EI324)=0,"",IF(AS$227="","",AS$227+AS324-1))</f>
        <v>46142</v>
      </c>
      <c r="AT328" s="403">
        <f ca="1">IF(SUM(AT324:$EI324)=0,"",IF(AT$227="","",AT$227+AT324-1))</f>
        <v>46173</v>
      </c>
      <c r="AU328" s="403">
        <f ca="1">IF(SUM(AU324:$EI324)=0,"",IF(AU$227="","",AU$227+AU324-1))</f>
        <v>46203</v>
      </c>
      <c r="AV328" s="403">
        <f ca="1">IF(SUM(AV324:$EI324)=0,"",IF(AV$227="","",AV$227+AV324-1))</f>
        <v>46234</v>
      </c>
      <c r="AW328" s="403">
        <f ca="1">IF(SUM(AW324:$EI324)=0,"",IF(AW$227="","",AW$227+AW324-1))</f>
        <v>46270.05</v>
      </c>
      <c r="AX328" s="403">
        <f ca="1">IF(SUM(AX324:$EI324)=0,"",IF(AX$227="","",AX$227+AX324-1))</f>
        <v>46326</v>
      </c>
      <c r="AY328" s="403">
        <f ca="1">IF(SUM(AY324:$EI324)=0,"",IF(AY$227="","",AY$227+AY324-1))</f>
        <v>46356</v>
      </c>
      <c r="AZ328" s="403">
        <f ca="1">IF(SUM(AZ324:$EI324)=0,"",IF(AZ$227="","",AZ$227+AZ324-1))</f>
        <v>46364.95</v>
      </c>
      <c r="BA328" s="403" t="str">
        <f ca="1">IF(SUM(BA324:$EI324)=0,"",IF(BA$227="","",BA$227+BA324-1))</f>
        <v/>
      </c>
      <c r="BB328" s="403" t="str">
        <f ca="1">IF(SUM(BB324:$EI324)=0,"",IF(BB$227="","",BB$227+BB324-1))</f>
        <v/>
      </c>
      <c r="BC328" s="403" t="str">
        <f ca="1">IF(SUM(BC324:$EI324)=0,"",IF(BC$227="","",BC$227+BC324-1))</f>
        <v/>
      </c>
      <c r="BD328" s="403" t="str">
        <f ca="1">IF(SUM(BD324:$EI324)=0,"",IF(BD$227="","",BD$227+BD324-1))</f>
        <v/>
      </c>
      <c r="BE328" s="403" t="str">
        <f ca="1">IF(SUM(BE324:$EI324)=0,"",IF(BE$227="","",BE$227+BE324-1))</f>
        <v/>
      </c>
      <c r="BF328" s="403" t="str">
        <f ca="1">IF(SUM(BF324:$EI324)=0,"",IF(BF$227="","",BF$227+BF324-1))</f>
        <v/>
      </c>
      <c r="BG328" s="403" t="str">
        <f ca="1">IF(SUM(BG324:$EI324)=0,"",IF(BG$227="","",BG$227+BG324-1))</f>
        <v/>
      </c>
      <c r="BH328" s="403" t="str">
        <f ca="1">IF(SUM(BH324:$EI324)=0,"",IF(BH$227="","",BH$227+BH324-1))</f>
        <v/>
      </c>
      <c r="BI328" s="403" t="str">
        <f ca="1">IF(SUM(BI324:$EI324)=0,"",IF(BI$227="","",BI$227+BI324-1))</f>
        <v/>
      </c>
      <c r="BJ328" s="403" t="str">
        <f ca="1">IF(SUM(BJ324:$EI324)=0,"",IF(BJ$227="","",BJ$227+BJ324-1))</f>
        <v/>
      </c>
      <c r="BK328" s="403" t="str">
        <f ca="1">IF(SUM(BK324:$EI324)=0,"",IF(BK$227="","",BK$227+BK324-1))</f>
        <v/>
      </c>
      <c r="BL328" s="403" t="str">
        <f ca="1">IF(SUM(BL324:$EI324)=0,"",IF(BL$227="","",BL$227+BL324-1))</f>
        <v/>
      </c>
      <c r="BM328" s="403" t="str">
        <f ca="1">IF(SUM(BM324:$EI324)=0,"",IF(BM$227="","",BM$227+BM324-1))</f>
        <v/>
      </c>
      <c r="BN328" s="403" t="str">
        <f ca="1">IF(SUM(BN324:$EI324)=0,"",IF(BN$227="","",BN$227+BN324-1))</f>
        <v/>
      </c>
      <c r="BO328" s="403" t="str">
        <f ca="1">IF(SUM(BO324:$EI324)=0,"",IF(BO$227="","",BO$227+BO324-1))</f>
        <v/>
      </c>
      <c r="BP328" s="403" t="str">
        <f ca="1">IF(SUM(BP324:$EI324)=0,"",IF(BP$227="","",BP$227+BP324-1))</f>
        <v/>
      </c>
      <c r="BQ328" s="403" t="str">
        <f ca="1">IF(SUM(BQ324:$EI324)=0,"",IF(BQ$227="","",BQ$227+BQ324-1))</f>
        <v/>
      </c>
      <c r="BR328" s="403" t="str">
        <f ca="1">IF(SUM(BR324:$EI324)=0,"",IF(BR$227="","",BR$227+BR324-1))</f>
        <v/>
      </c>
      <c r="BS328" s="403" t="str">
        <f ca="1">IF(SUM(BS324:$EI324)=0,"",IF(BS$227="","",BS$227+BS324-1))</f>
        <v/>
      </c>
      <c r="BT328" s="403" t="str">
        <f ca="1">IF(SUM(BT324:$EI324)=0,"",IF(BT$227="","",BT$227+BT324-1))</f>
        <v/>
      </c>
      <c r="BU328" s="403" t="str">
        <f ca="1">IF(SUM(BU324:$EI324)=0,"",IF(BU$227="","",BU$227+BU324-1))</f>
        <v/>
      </c>
      <c r="BV328" s="403" t="str">
        <f ca="1">IF(SUM(BV324:$EI324)=0,"",IF(BV$227="","",BV$227+BV324-1))</f>
        <v/>
      </c>
      <c r="BW328" s="403" t="str">
        <f ca="1">IF(SUM(BW324:$EI324)=0,"",IF(BW$227="","",BW$227+BW324-1))</f>
        <v/>
      </c>
      <c r="BX328" s="403" t="str">
        <f ca="1">IF(SUM(BX324:$EI324)=0,"",IF(BX$227="","",BX$227+BX324-1))</f>
        <v/>
      </c>
      <c r="BY328" s="403" t="str">
        <f ca="1">IF(SUM(BY324:$EI324)=0,"",IF(BY$227="","",BY$227+BY324-1))</f>
        <v/>
      </c>
      <c r="BZ328" s="403" t="str">
        <f ca="1">IF(SUM(BZ324:$EI324)=0,"",IF(BZ$227="","",BZ$227+BZ324-1))</f>
        <v/>
      </c>
      <c r="CA328" s="403" t="str">
        <f ca="1">IF(SUM(CA324:$EI324)=0,"",IF(CA$227="","",CA$227+CA324-1))</f>
        <v/>
      </c>
      <c r="CB328" s="403" t="str">
        <f ca="1">IF(SUM(CB324:$EI324)=0,"",IF(CB$227="","",CB$227+CB324-1))</f>
        <v/>
      </c>
      <c r="CC328" s="403" t="str">
        <f ca="1">IF(SUM(CC324:$EI324)=0,"",IF(CC$227="","",CC$227+CC324-1))</f>
        <v/>
      </c>
      <c r="CD328" s="403" t="str">
        <f ca="1">IF(SUM(CD324:$EI324)=0,"",IF(CD$227="","",CD$227+CD324-1))</f>
        <v/>
      </c>
      <c r="CE328" s="403" t="str">
        <f ca="1">IF(SUM(CE324:$EI324)=0,"",IF(CE$227="","",CE$227+CE324-1))</f>
        <v/>
      </c>
      <c r="CF328" s="403" t="str">
        <f ca="1">IF(SUM(CF324:$EI324)=0,"",IF(CF$227="","",CF$227+CF324-1))</f>
        <v/>
      </c>
      <c r="CG328" s="403" t="str">
        <f ca="1">IF(SUM(CG324:$EI324)=0,"",IF(CG$227="","",CG$227+CG324-1))</f>
        <v/>
      </c>
      <c r="CH328" s="403" t="str">
        <f ca="1">IF(SUM(CH324:$EI324)=0,"",IF(CH$227="","",CH$227+CH324-1))</f>
        <v/>
      </c>
      <c r="CI328" s="403" t="str">
        <f ca="1">IF(SUM(CI324:$EI324)=0,"",IF(CI$227="","",CI$227+CI324-1))</f>
        <v/>
      </c>
      <c r="CJ328" s="403" t="str">
        <f ca="1">IF(SUM(CJ324:$EI324)=0,"",IF(CJ$227="","",CJ$227+CJ324-1))</f>
        <v/>
      </c>
      <c r="CK328" s="403" t="str">
        <f ca="1">IF(SUM(CK324:$EI324)=0,"",IF(CK$227="","",CK$227+CK324-1))</f>
        <v/>
      </c>
      <c r="CL328" s="403" t="str">
        <f ca="1">IF(SUM(CL324:$EI324)=0,"",IF(CL$227="","",CL$227+CL324-1))</f>
        <v/>
      </c>
      <c r="CM328" s="403" t="str">
        <f ca="1">IF(SUM(CM324:$EI324)=0,"",IF(CM$227="","",CM$227+CM324-1))</f>
        <v/>
      </c>
      <c r="CN328" s="403" t="str">
        <f ca="1">IF(SUM(CN324:$EI324)=0,"",IF(CN$227="","",CN$227+CN324-1))</f>
        <v/>
      </c>
      <c r="CO328" s="403" t="str">
        <f ca="1">IF(SUM(CO324:$EI324)=0,"",IF(CO$227="","",CO$227+CO324-1))</f>
        <v/>
      </c>
      <c r="CP328" s="403" t="str">
        <f ca="1">IF(SUM(CP324:$EI324)=0,"",IF(CP$227="","",CP$227+CP324-1))</f>
        <v/>
      </c>
      <c r="CQ328" s="403" t="str">
        <f ca="1">IF(SUM(CQ324:$EI324)=0,"",IF(CQ$227="","",CQ$227+CQ324-1))</f>
        <v/>
      </c>
      <c r="CR328" s="403" t="str">
        <f ca="1">IF(SUM(CR324:$EI324)=0,"",IF(CR$227="","",CR$227+CR324-1))</f>
        <v/>
      </c>
      <c r="CS328" s="403" t="str">
        <f ca="1">IF(SUM(CS324:$EI324)=0,"",IF(CS$227="","",CS$227+CS324-1))</f>
        <v/>
      </c>
      <c r="CT328" s="403" t="str">
        <f ca="1">IF(SUM(CT324:$EI324)=0,"",IF(CT$227="","",CT$227+CT324-1))</f>
        <v/>
      </c>
      <c r="CU328" s="403" t="str">
        <f ca="1">IF(SUM(CU324:$EI324)=0,"",IF(CU$227="","",CU$227+CU324-1))</f>
        <v/>
      </c>
      <c r="CV328" s="403" t="str">
        <f ca="1">IF(SUM(CV324:$EI324)=0,"",IF(CV$227="","",CV$227+CV324-1))</f>
        <v/>
      </c>
      <c r="CW328" s="403" t="str">
        <f ca="1">IF(SUM(CW324:$EI324)=0,"",IF(CW$227="","",CW$227+CW324-1))</f>
        <v/>
      </c>
      <c r="CX328" s="403" t="str">
        <f ca="1">IF(SUM(CX324:$EI324)=0,"",IF(CX$227="","",CX$227+CX324-1))</f>
        <v/>
      </c>
      <c r="CY328" s="403" t="str">
        <f ca="1">IF(SUM(CY324:$EI324)=0,"",IF(CY$227="","",CY$227+CY324-1))</f>
        <v/>
      </c>
      <c r="CZ328" s="403" t="str">
        <f ca="1">IF(SUM(CZ324:$EI324)=0,"",IF(CZ$227="","",CZ$227+CZ324-1))</f>
        <v/>
      </c>
      <c r="DA328" s="403" t="str">
        <f ca="1">IF(SUM(DA324:$EI324)=0,"",IF(DA$227="","",DA$227+DA324-1))</f>
        <v/>
      </c>
      <c r="DB328" s="403" t="str">
        <f ca="1">IF(SUM(DB324:$EI324)=0,"",IF(DB$227="","",DB$227+DB324-1))</f>
        <v/>
      </c>
      <c r="DC328" s="403" t="str">
        <f ca="1">IF(SUM(DC324:$EI324)=0,"",IF(DC$227="","",DC$227+DC324-1))</f>
        <v/>
      </c>
      <c r="DD328" s="403" t="str">
        <f ca="1">IF(SUM(DD324:$EI324)=0,"",IF(DD$227="","",DD$227+DD324-1))</f>
        <v/>
      </c>
      <c r="DE328" s="403" t="str">
        <f ca="1">IF(SUM(DE324:$EI324)=0,"",IF(DE$227="","",DE$227+DE324-1))</f>
        <v/>
      </c>
      <c r="DF328" s="403" t="str">
        <f ca="1">IF(SUM(DF324:$EI324)=0,"",IF(DF$227="","",DF$227+DF324-1))</f>
        <v/>
      </c>
      <c r="DG328" s="403" t="str">
        <f ca="1">IF(SUM(DG324:$EI324)=0,"",IF(DG$227="","",DG$227+DG324-1))</f>
        <v/>
      </c>
      <c r="DH328" s="403" t="str">
        <f ca="1">IF(SUM(DH324:$EI324)=0,"",IF(DH$227="","",DH$227+DH324-1))</f>
        <v/>
      </c>
      <c r="DI328" s="403" t="str">
        <f ca="1">IF(SUM(DI324:$EI324)=0,"",IF(DI$227="","",DI$227+DI324-1))</f>
        <v/>
      </c>
      <c r="DJ328" s="403" t="str">
        <f ca="1">IF(SUM(DJ324:$EI324)=0,"",IF(DJ$227="","",DJ$227+DJ324-1))</f>
        <v/>
      </c>
      <c r="DK328" s="403" t="str">
        <f ca="1">IF(SUM(DK324:$EI324)=0,"",IF(DK$227="","",DK$227+DK324-1))</f>
        <v/>
      </c>
      <c r="DL328" s="403" t="str">
        <f ca="1">IF(SUM(DL324:$EI324)=0,"",IF(DL$227="","",DL$227+DL324-1))</f>
        <v/>
      </c>
      <c r="DM328" s="403" t="str">
        <f ca="1">IF(SUM(DM324:$EI324)=0,"",IF(DM$227="","",DM$227+DM324-1))</f>
        <v/>
      </c>
      <c r="DN328" s="403" t="str">
        <f ca="1">IF(SUM(DN324:$EI324)=0,"",IF(DN$227="","",DN$227+DN324-1))</f>
        <v/>
      </c>
      <c r="DO328" s="403" t="str">
        <f ca="1">IF(SUM(DO324:$EI324)=0,"",IF(DO$227="","",DO$227+DO324-1))</f>
        <v/>
      </c>
      <c r="DP328" s="403" t="str">
        <f ca="1">IF(SUM(DP324:$EI324)=0,"",IF(DP$227="","",DP$227+DP324-1))</f>
        <v/>
      </c>
      <c r="DQ328" s="403" t="str">
        <f ca="1">IF(SUM(DQ324:$EI324)=0,"",IF(DQ$227="","",DQ$227+DQ324-1))</f>
        <v/>
      </c>
      <c r="DR328" s="403" t="str">
        <f ca="1">IF(SUM(DR324:$EI324)=0,"",IF(DR$227="","",DR$227+DR324-1))</f>
        <v/>
      </c>
      <c r="DS328" s="403" t="str">
        <f ca="1">IF(SUM(DS324:$EI324)=0,"",IF(DS$227="","",DS$227+DS324-1))</f>
        <v/>
      </c>
      <c r="DT328" s="403" t="str">
        <f ca="1">IF(SUM(DT324:$EI324)=0,"",IF(DT$227="","",DT$227+DT324-1))</f>
        <v/>
      </c>
      <c r="DU328" s="403" t="str">
        <f ca="1">IF(SUM(DU324:$EI324)=0,"",IF(DU$227="","",DU$227+DU324-1))</f>
        <v/>
      </c>
      <c r="DV328" s="403" t="str">
        <f ca="1">IF(SUM(DV324:$EI324)=0,"",IF(DV$227="","",DV$227+DV324-1))</f>
        <v/>
      </c>
      <c r="DW328" s="403" t="str">
        <f ca="1">IF(SUM(DW324:$EI324)=0,"",IF(DW$227="","",DW$227+DW324-1))</f>
        <v/>
      </c>
      <c r="DX328" s="403" t="str">
        <f ca="1">IF(SUM(DX324:$EI324)=0,"",IF(DX$227="","",DX$227+DX324-1))</f>
        <v/>
      </c>
      <c r="DY328" s="403" t="str">
        <f ca="1">IF(SUM(DY324:$EI324)=0,"",IF(DY$227="","",DY$227+DY324-1))</f>
        <v/>
      </c>
      <c r="DZ328" s="403" t="str">
        <f ca="1">IF(SUM(DZ324:$EI324)=0,"",IF(DZ$227="","",DZ$227+DZ324-1))</f>
        <v/>
      </c>
      <c r="EA328" s="403" t="str">
        <f ca="1">IF(SUM(EA324:$EI324)=0,"",IF(EA$227="","",EA$227+EA324-1))</f>
        <v/>
      </c>
      <c r="EB328" s="403" t="str">
        <f ca="1">IF(SUM(EB324:$EI324)=0,"",IF(EB$227="","",EB$227+EB324-1))</f>
        <v/>
      </c>
      <c r="EC328" s="403" t="str">
        <f ca="1">IF(SUM(EC324:$EI324)=0,"",IF(EC$227="","",EC$227+EC324-1))</f>
        <v/>
      </c>
      <c r="ED328" s="403" t="str">
        <f ca="1">IF(SUM(ED324:$EI324)=0,"",IF(ED$227="","",ED$227+ED324-1))</f>
        <v/>
      </c>
      <c r="EE328" s="403" t="str">
        <f ca="1">IF(SUM(EE324:$EI324)=0,"",IF(EE$227="","",EE$227+EE324-1))</f>
        <v/>
      </c>
      <c r="EF328" s="403" t="str">
        <f ca="1">IF(SUM(EF324:$EI324)=0,"",IF(EF$227="","",EF$227+EF324-1))</f>
        <v/>
      </c>
      <c r="EG328" s="403" t="str">
        <f ca="1">IF(SUM(EG324:$EI324)=0,"",IF(EG$227="","",EG$227+EG324-1))</f>
        <v/>
      </c>
      <c r="EH328" s="403" t="str">
        <f ca="1">IF(SUM(EH324:$EI324)=0,"",IF(EH$227="","",EH$227+EH324-1))</f>
        <v/>
      </c>
      <c r="EI328" s="403" t="str">
        <f ca="1">IF(SUM(EI324:$EI324)=0,"",IF(EI$227="","",EI$227+EI324-1))</f>
        <v/>
      </c>
    </row>
    <row r="329" spans="1:141" outlineLevel="1" collapsed="1">
      <c r="A329" s="332"/>
      <c r="B329" s="313"/>
      <c r="C329" s="317" t="s">
        <v>91</v>
      </c>
      <c r="D329" s="317" t="s">
        <v>680</v>
      </c>
      <c r="E329" s="400">
        <f ca="1">IF(ГРП!B29=0,длительность!D158,ГРП!B29)</f>
        <v>281</v>
      </c>
      <c r="F329" s="318">
        <f ca="1">E329-SUM(G329:EJ329)</f>
        <v>0</v>
      </c>
      <c r="G329" s="401"/>
      <c r="H329" s="401">
        <f ca="1">IF(SUM($G329:G329)&gt;=$E329,0,IF($E329-SUM($G329:G329)&gt;H330,H330,$E329-SUM($G330:G330)))</f>
        <v>0</v>
      </c>
      <c r="I329" s="401">
        <f ca="1">IF(SUM($G329:H329)&gt;=$E329,0,IF($E329-SUM($G329:H329)&gt;I330,I330,$E329-SUM($G330:H330)))</f>
        <v>0</v>
      </c>
      <c r="J329" s="401">
        <f ca="1">IF(SUM($G329:I329)&gt;=$E329,0,IF($E329-SUM($G329:I329)&gt;J330,J330,$E329-SUM($G330:I330)))</f>
        <v>0</v>
      </c>
      <c r="K329" s="401">
        <f ca="1">IF(SUM($G329:J329)&gt;=$E329,0,IF($E329-SUM($G329:J329)&gt;K330,K330,$E329-SUM($G330:J330)))</f>
        <v>0</v>
      </c>
      <c r="L329" s="401">
        <f ca="1">IF(SUM($G329:K329)&gt;=$E329,0,IF($E329-SUM($G329:K329)&gt;L330,L330,$E329-SUM($G330:K330)))</f>
        <v>0</v>
      </c>
      <c r="M329" s="401">
        <f ca="1">IF(SUM($G329:L329)&gt;=$E329,0,IF($E329-SUM($G329:L329)&gt;M330,M330,$E329-SUM($G330:L330)))</f>
        <v>0</v>
      </c>
      <c r="N329" s="401">
        <f ca="1">IF(SUM($G329:M329)&gt;=$E329,0,IF($E329-SUM($G329:M329)&gt;N330,N330,$E329-SUM($G330:M330)))</f>
        <v>0</v>
      </c>
      <c r="O329" s="401">
        <f ca="1">IF(SUM($G329:N329)&gt;=$E329,0,IF($E329-SUM($G329:N329)&gt;O330,O330,$E329-SUM($G330:N330)))</f>
        <v>0</v>
      </c>
      <c r="P329" s="401">
        <f ca="1">IF(SUM($G329:O329)&gt;=$E329,0,IF($E329-SUM($G329:O329)&gt;P330,P330,$E329-SUM($G330:O330)))</f>
        <v>0</v>
      </c>
      <c r="Q329" s="401">
        <f ca="1">IF(SUM($G329:P329)&gt;=$E329,0,IF($E329-SUM($G329:P329)&gt;Q330,Q330,$E329-SUM($G330:P330)))</f>
        <v>0</v>
      </c>
      <c r="R329" s="401">
        <f ca="1">IF(SUM($G329:Q329)&gt;=$E329,0,IF($E329-SUM($G329:Q329)&gt;R330,R330,$E329-SUM($G330:Q330)))</f>
        <v>0</v>
      </c>
      <c r="S329" s="401">
        <f ca="1">IF(SUM($G329:R329)&gt;=$E329,0,IF($E329-SUM($G329:R329)&gt;S330,S330,$E329-SUM($G330:R330)))</f>
        <v>0</v>
      </c>
      <c r="T329" s="401">
        <f ca="1">IF(SUM($G329:S329)&gt;=$E329,0,IF($E329-SUM($G329:S329)&gt;T330,T330,$E329-SUM($G330:S330)))</f>
        <v>0</v>
      </c>
      <c r="U329" s="401">
        <f ca="1">IF(SUM($G329:T329)&gt;=$E329,0,IF($E329-SUM($G329:T329)&gt;U330,U330,$E329-SUM($G330:T330)))</f>
        <v>0</v>
      </c>
      <c r="V329" s="401">
        <f ca="1">IF(SUM($G329:U329)&gt;=$E329,0,IF($E329-SUM($G329:U329)&gt;V330,V330,$E329-SUM($G330:U330)))</f>
        <v>0</v>
      </c>
      <c r="W329" s="401">
        <f ca="1">IF(SUM($G329:V329)&gt;=$E329,0,IF($E329-SUM($G329:V329)&gt;W330,W330,$E329-SUM($G330:V330)))</f>
        <v>0</v>
      </c>
      <c r="X329" s="401">
        <f ca="1">IF(SUM($G329:W329)&gt;=$E329,0,IF($E329-SUM($G329:W329)&gt;X330,X330,$E329-SUM($G330:W330)))</f>
        <v>0</v>
      </c>
      <c r="Y329" s="401">
        <f ca="1">IF(SUM($G329:X329)&gt;=$E329,0,IF($E329-SUM($G329:X329)&gt;Y330,Y330,$E329-SUM($G330:X330)))</f>
        <v>0</v>
      </c>
      <c r="Z329" s="401">
        <f ca="1">IF(SUM($G329:Y329)&gt;=$E329,0,IF($E329-SUM($G329:Y329)&gt;Z330,Z330,$E329-SUM($G330:Y330)))</f>
        <v>0</v>
      </c>
      <c r="AA329" s="401">
        <f ca="1">IF(SUM($G329:Z329)&gt;=$E329,0,IF($E329-SUM($G329:Z329)&gt;AA330,AA330,$E329-SUM($G330:Z330)))</f>
        <v>0</v>
      </c>
      <c r="AB329" s="401">
        <f ca="1">IF(SUM($G329:AA329)&gt;=$E329,0,IF($E329-SUM($G329:AA329)&gt;AB330,AB330,$E329-SUM($G330:AA330)))</f>
        <v>0</v>
      </c>
      <c r="AC329" s="401">
        <f ca="1">IF(SUM($G329:AB329)&gt;=$E329,0,IF($E329-SUM($G329:AB329)&gt;AC330,AC330,$E329-SUM($G330:AB330)))</f>
        <v>0</v>
      </c>
      <c r="AD329" s="401">
        <f ca="1">IF(SUM($G329:AC329)&gt;=$E329,0,IF($E329-SUM($G329:AC329)&gt;AD330,AD330,$E329-SUM($G330:AC330)))</f>
        <v>0</v>
      </c>
      <c r="AE329" s="401">
        <f ca="1">IF(SUM($G329:AD329)&gt;=$E329,0,IF($E329-SUM($G329:AD329)&gt;AE330,AE330,$E329-SUM($G330:AD330)))</f>
        <v>0</v>
      </c>
      <c r="AF329" s="401">
        <f ca="1">IF(SUM($G329:AE329)&gt;=$E329,0,IF($E329-SUM($G329:AE329)&gt;AF330,AF330,$E329-SUM($G330:AE330)))</f>
        <v>0</v>
      </c>
      <c r="AG329" s="401">
        <f ca="1">IF(SUM($G329:AF329)&gt;=$E329,0,IF($E329-SUM($G329:AF329)&gt;AG330,AG330,$E329-SUM($G330:AF330)))</f>
        <v>0</v>
      </c>
      <c r="AH329" s="401">
        <f ca="1">IF(SUM($G329:AG329)&gt;=$E329,0,IF($E329-SUM($G329:AG329)&gt;AH330,AH330,$E329-SUM($G330:AG330)))</f>
        <v>0</v>
      </c>
      <c r="AI329" s="401">
        <f ca="1">IF(SUM($G329:AH329)&gt;=$E329,0,IF($E329-SUM($G329:AH329)&gt;AI330,AI330,$E329-SUM($G330:AH330)))</f>
        <v>0</v>
      </c>
      <c r="AJ329" s="401">
        <f ca="1">IF(SUM($G329:AI329)&gt;=$E329,0,IF($E329-SUM($G329:AI329)&gt;AJ330,AJ330,$E329-SUM($G330:AI330)))</f>
        <v>0</v>
      </c>
      <c r="AK329" s="401">
        <f ca="1">IF(SUM($G329:AJ329)&gt;=$E329,0,IF($E329-SUM($G329:AJ329)&gt;AK330,AK330,$E329-SUM($G330:AJ330)))</f>
        <v>0</v>
      </c>
      <c r="AL329" s="401">
        <f ca="1">IF(SUM($G329:AK329)&gt;=$E329,0,IF($E329-SUM($G329:AK329)&gt;AL330,AL330,$E329-SUM($G330:AK330)))</f>
        <v>0</v>
      </c>
      <c r="AM329" s="401">
        <f ca="1">IF(SUM($G329:AL329)&gt;=$E329,0,IF($E329-SUM($G329:AL329)&gt;AM330,AM330,$E329-SUM($G330:AL330)))</f>
        <v>0</v>
      </c>
      <c r="AN329" s="401">
        <f ca="1">IF(SUM($G329:AM329)&gt;=$E329,0,IF($E329-SUM($G329:AM329)&gt;AN330,AN330,$E329-SUM($G330:AM330)))</f>
        <v>0</v>
      </c>
      <c r="AO329" s="401">
        <f ca="1">IF(SUM($G329:AN329)&gt;=$E329,0,IF($E329-SUM($G329:AN329)&gt;AO330,AO330,$E329-SUM($G330:AN330)))</f>
        <v>0</v>
      </c>
      <c r="AP329" s="401">
        <f ca="1">IF(SUM($G329:AO329)&gt;=$E329,0,IF($E329-SUM($G329:AO329)&gt;AP330,AP330,$E329-SUM($G330:AO330)))</f>
        <v>0</v>
      </c>
      <c r="AQ329" s="401">
        <f ca="1">IF(SUM($G329:AP329)&gt;=$E329,0,IF($E329-SUM($G329:AP329)&gt;AQ330,AQ330,$E329-SUM($G330:AP330)))</f>
        <v>0</v>
      </c>
      <c r="AR329" s="401">
        <f ca="1">IF(SUM($G329:AQ329)&gt;=$E329,0,IF($E329-SUM($G329:AQ329)&gt;AR330,AR330,$E329-SUM($G330:AQ330)))</f>
        <v>0</v>
      </c>
      <c r="AS329" s="401">
        <f ca="1">IF(SUM($G329:AR329)&gt;=$E329,0,IF($E329-SUM($G329:AR329)&gt;AS330,AS330,$E329-SUM($G330:AR330)))</f>
        <v>0</v>
      </c>
      <c r="AT329" s="401">
        <f ca="1">IF(SUM($G329:AS329)&gt;=$E329,0,IF($E329-SUM($G329:AS329)&gt;AT330,AT330,$E329-SUM($G330:AS330)))</f>
        <v>0</v>
      </c>
      <c r="AU329" s="401">
        <f ca="1">IF(SUM($G329:AT329)&gt;=$E329,0,IF($E329-SUM($G329:AT329)&gt;AU330,AU330,$E329-SUM($G330:AT330)))</f>
        <v>0</v>
      </c>
      <c r="AV329" s="401">
        <f ca="1">IF(SUM($G329:AU329)&gt;=$E329,0,IF($E329-SUM($G329:AU329)&gt;AV330,AV330,$E329-SUM($G330:AU330)))</f>
        <v>0</v>
      </c>
      <c r="AW329" s="401">
        <f ca="1">IF(SUM($G329:AV329)&gt;=$E329,0,IF($E329-SUM($G329:AV329)&gt;AW330,AW330,$E329-SUM($G330:AV330)))</f>
        <v>5.0500000000000114</v>
      </c>
      <c r="AX329" s="401">
        <f ca="1">IF(SUM($G329:AW329)&gt;=$E329,0,IF($E329-SUM($G329:AW329)&gt;AX330,AX330,$E329-SUM($G330:AW330)))</f>
        <v>31</v>
      </c>
      <c r="AY329" s="401">
        <f ca="1">IF(SUM($G329:AX329)&gt;=$E329,0,IF($E329-SUM($G329:AX329)&gt;AY330,AY330,$E329-SUM($G330:AX330)))</f>
        <v>30</v>
      </c>
      <c r="AZ329" s="401">
        <f ca="1">IF(SUM($G329:AY329)&gt;=$E329,0,IF($E329-SUM($G329:AY329)&gt;AZ330,AZ330,$E329-SUM($G330:AY330)))</f>
        <v>31</v>
      </c>
      <c r="BA329" s="401">
        <f ca="1">IF(SUM($G329:AZ329)&gt;=$E329,0,IF($E329-SUM($G329:AZ329)&gt;BA330,BA330,$E329-SUM($G330:AZ330)))</f>
        <v>31</v>
      </c>
      <c r="BB329" s="401">
        <f ca="1">IF(SUM($G329:BA329)&gt;=$E329,0,IF($E329-SUM($G329:BA329)&gt;BB330,BB330,$E329-SUM($G330:BA330)))</f>
        <v>28</v>
      </c>
      <c r="BC329" s="401">
        <f ca="1">IF(SUM($G329:BB329)&gt;=$E329,0,IF($E329-SUM($G329:BB329)&gt;BC330,BC330,$E329-SUM($G330:BB330)))</f>
        <v>31</v>
      </c>
      <c r="BD329" s="401">
        <f ca="1">IF(SUM($G329:BC329)&gt;=$E329,0,IF($E329-SUM($G329:BC329)&gt;BD330,BD330,$E329-SUM($G330:BC330)))</f>
        <v>30</v>
      </c>
      <c r="BE329" s="401">
        <f ca="1">IF(SUM($G329:BD329)&gt;=$E329,0,IF($E329-SUM($G329:BD329)&gt;BE330,BE330,$E329-SUM($G330:BD330)))</f>
        <v>31</v>
      </c>
      <c r="BF329" s="401">
        <f ca="1">IF(SUM($G329:BE329)&gt;=$E329,0,IF($E329-SUM($G329:BE329)&gt;BF330,BF330,$E329-SUM($G330:BE330)))</f>
        <v>30</v>
      </c>
      <c r="BG329" s="401">
        <f ca="1">IF(SUM($G329:BF329)&gt;=$E329,0,IF($E329-SUM($G329:BF329)&gt;BG330,BG330,$E329-SUM($G330:BF330)))</f>
        <v>2.9499999999999886</v>
      </c>
      <c r="BH329" s="401">
        <f ca="1">IF(SUM($G329:BG329)&gt;=$E329,0,IF($E329-SUM($G329:BG329)&gt;BH330,BH330,$E329-SUM($G330:BG330)))</f>
        <v>0</v>
      </c>
      <c r="BI329" s="401">
        <f ca="1">IF(SUM($G329:BH329)&gt;=$E329,0,IF($E329-SUM($G329:BH329)&gt;BI330,BI330,$E329-SUM($G330:BH330)))</f>
        <v>0</v>
      </c>
      <c r="BJ329" s="401">
        <f ca="1">IF(SUM($G329:BI329)&gt;=$E329,0,IF($E329-SUM($G329:BI329)&gt;BJ330,BJ330,$E329-SUM($G330:BI330)))</f>
        <v>0</v>
      </c>
      <c r="BK329" s="401">
        <f ca="1">IF(SUM($G329:BJ329)&gt;=$E329,0,IF($E329-SUM($G329:BJ329)&gt;BK330,BK330,$E329-SUM($G330:BJ330)))</f>
        <v>0</v>
      </c>
      <c r="BL329" s="401">
        <f ca="1">IF(SUM($G329:BK329)&gt;=$E329,0,IF($E329-SUM($G329:BK329)&gt;BL330,BL330,$E329-SUM($G330:BK330)))</f>
        <v>0</v>
      </c>
      <c r="BM329" s="401">
        <f ca="1">IF(SUM($G329:BL329)&gt;=$E329,0,IF($E329-SUM($G329:BL329)&gt;BM330,BM330,$E329-SUM($G330:BL330)))</f>
        <v>0</v>
      </c>
      <c r="BN329" s="401">
        <f ca="1">IF(SUM($G329:BM329)&gt;=$E329,0,IF($E329-SUM($G329:BM329)&gt;BN330,BN330,$E329-SUM($G330:BM330)))</f>
        <v>0</v>
      </c>
      <c r="BO329" s="401">
        <f ca="1">IF(SUM($G329:BN329)&gt;=$E329,0,IF($E329-SUM($G329:BN329)&gt;BO330,BO330,$E329-SUM($G330:BN330)))</f>
        <v>0</v>
      </c>
      <c r="BP329" s="401">
        <f ca="1">IF(SUM($G329:BO329)&gt;=$E329,0,IF($E329-SUM($G329:BO329)&gt;BP330,BP330,$E329-SUM($G330:BO330)))</f>
        <v>0</v>
      </c>
      <c r="BQ329" s="401">
        <f ca="1">IF(SUM($G329:BP329)&gt;=$E329,0,IF($E329-SUM($G329:BP329)&gt;BQ330,BQ330,$E329-SUM($G330:BP330)))</f>
        <v>0</v>
      </c>
      <c r="BR329" s="401">
        <f ca="1">IF(SUM($G329:BQ329)&gt;=$E329,0,IF($E329-SUM($G329:BQ329)&gt;BR330,BR330,$E329-SUM($G330:BQ330)))</f>
        <v>0</v>
      </c>
      <c r="BS329" s="401">
        <f ca="1">IF(SUM($G329:BR329)&gt;=$E329,0,IF($E329-SUM($G329:BR329)&gt;BS330,BS330,$E329-SUM($G330:BR330)))</f>
        <v>0</v>
      </c>
      <c r="BT329" s="401">
        <f ca="1">IF(SUM($G329:BS329)&gt;=$E329,0,IF($E329-SUM($G329:BS329)&gt;BT330,BT330,$E329-SUM($G330:BS330)))</f>
        <v>0</v>
      </c>
      <c r="BU329" s="401">
        <f ca="1">IF(SUM($G329:BT329)&gt;=$E329,0,IF($E329-SUM($G329:BT329)&gt;BU330,BU330,$E329-SUM($G330:BT330)))</f>
        <v>0</v>
      </c>
      <c r="BV329" s="401">
        <f ca="1">IF(SUM($G329:BU329)&gt;=$E329,0,IF($E329-SUM($G329:BU329)&gt;BV330,BV330,$E329-SUM($G330:BU330)))</f>
        <v>0</v>
      </c>
      <c r="BW329" s="401">
        <f ca="1">IF(SUM($G329:BV329)&gt;=$E329,0,IF($E329-SUM($G329:BV329)&gt;BW330,BW330,$E329-SUM($G330:BV330)))</f>
        <v>0</v>
      </c>
      <c r="BX329" s="401">
        <f ca="1">IF(SUM($G329:BW329)&gt;=$E329,0,IF($E329-SUM($G329:BW329)&gt;BX330,BX330,$E329-SUM($G330:BW330)))</f>
        <v>0</v>
      </c>
      <c r="BY329" s="401">
        <f ca="1">IF(SUM($G329:BX329)&gt;=$E329,0,IF($E329-SUM($G329:BX329)&gt;BY330,BY330,$E329-SUM($G330:BX330)))</f>
        <v>0</v>
      </c>
      <c r="BZ329" s="401">
        <f ca="1">IF(SUM($G329:BY329)&gt;=$E329,0,IF($E329-SUM($G329:BY329)&gt;BZ330,BZ330,$E329-SUM($G330:BY330)))</f>
        <v>0</v>
      </c>
      <c r="CA329" s="401">
        <f ca="1">IF(SUM($G329:BZ329)&gt;=$E329,0,IF($E329-SUM($G329:BZ329)&gt;CA330,CA330,$E329-SUM($G330:BZ330)))</f>
        <v>0</v>
      </c>
      <c r="CB329" s="401">
        <f ca="1">IF(SUM($G329:CA329)&gt;=$E329,0,IF($E329-SUM($G329:CA329)&gt;CB330,CB330,$E329-SUM($G330:CA330)))</f>
        <v>0</v>
      </c>
      <c r="CC329" s="401">
        <f ca="1">IF(SUM($G329:CB329)&gt;=$E329,0,IF($E329-SUM($G329:CB329)&gt;CC330,CC330,$E329-SUM($G330:CB330)))</f>
        <v>0</v>
      </c>
      <c r="CD329" s="401">
        <f ca="1">IF(SUM($G329:CC329)&gt;=$E329,0,IF($E329-SUM($G329:CC329)&gt;CD330,CD330,$E329-SUM($G330:CC330)))</f>
        <v>0</v>
      </c>
      <c r="CE329" s="401">
        <f ca="1">IF(SUM($G329:CD329)&gt;=$E329,0,IF($E329-SUM($G329:CD329)&gt;CE330,CE330,$E329-SUM($G330:CD330)))</f>
        <v>0</v>
      </c>
      <c r="CF329" s="401">
        <f ca="1">IF(SUM($G329:CE329)&gt;=$E329,0,IF($E329-SUM($G329:CE329)&gt;CF330,CF330,$E329-SUM($G330:CE330)))</f>
        <v>0</v>
      </c>
      <c r="CG329" s="401">
        <f ca="1">IF(SUM($G329:CF329)&gt;=$E329,0,IF($E329-SUM($G329:CF329)&gt;CG330,CG330,$E329-SUM($G330:CF330)))</f>
        <v>0</v>
      </c>
      <c r="CH329" s="401">
        <f ca="1">IF(SUM($G329:CG329)&gt;=$E329,0,IF($E329-SUM($G329:CG329)&gt;CH330,CH330,$E329-SUM($G330:CG330)))</f>
        <v>0</v>
      </c>
      <c r="CI329" s="401">
        <f ca="1">IF(SUM($G329:CH329)&gt;=$E329,0,IF($E329-SUM($G329:CH329)&gt;CI330,CI330,$E329-SUM($G330:CH330)))</f>
        <v>0</v>
      </c>
      <c r="CJ329" s="401">
        <f ca="1">IF(SUM($G329:CI329)&gt;=$E329,0,IF($E329-SUM($G329:CI329)&gt;CJ330,CJ330,$E329-SUM($G330:CI330)))</f>
        <v>0</v>
      </c>
      <c r="CK329" s="401">
        <f ca="1">IF(SUM($G329:CJ329)&gt;=$E329,0,IF($E329-SUM($G329:CJ329)&gt;CK330,CK330,$E329-SUM($G330:CJ330)))</f>
        <v>0</v>
      </c>
      <c r="CL329" s="401">
        <f ca="1">IF(SUM($G329:CK329)&gt;=$E329,0,IF($E329-SUM($G329:CK329)&gt;CL330,CL330,$E329-SUM($G330:CK330)))</f>
        <v>0</v>
      </c>
      <c r="CM329" s="401">
        <f ca="1">IF(SUM($G329:CL329)&gt;=$E329,0,IF($E329-SUM($G329:CL329)&gt;CM330,CM330,$E329-SUM($G330:CL330)))</f>
        <v>0</v>
      </c>
      <c r="CN329" s="401">
        <f ca="1">IF(SUM($G329:CM329)&gt;=$E329,0,IF($E329-SUM($G329:CM329)&gt;CN330,CN330,$E329-SUM($G330:CM330)))</f>
        <v>0</v>
      </c>
      <c r="CO329" s="401">
        <f ca="1">IF(SUM($G329:CN329)&gt;=$E329,0,IF($E329-SUM($G329:CN329)&gt;CO330,CO330,$E329-SUM($G330:CN330)))</f>
        <v>0</v>
      </c>
      <c r="CP329" s="401">
        <f ca="1">IF(SUM($G329:CO329)&gt;=$E329,0,IF($E329-SUM($G329:CO329)&gt;CP330,CP330,$E329-SUM($G330:CO330)))</f>
        <v>0</v>
      </c>
      <c r="CQ329" s="401">
        <f ca="1">IF(SUM($G329:CP329)&gt;=$E329,0,IF($E329-SUM($G329:CP329)&gt;CQ330,CQ330,$E329-SUM($G330:CP330)))</f>
        <v>0</v>
      </c>
      <c r="CR329" s="401">
        <f ca="1">IF(SUM($G329:CQ329)&gt;=$E329,0,IF($E329-SUM($G329:CQ329)&gt;CR330,CR330,$E329-SUM($G330:CQ330)))</f>
        <v>0</v>
      </c>
      <c r="CS329" s="401">
        <f ca="1">IF(SUM($G329:CR329)&gt;=$E329,0,IF($E329-SUM($G329:CR329)&gt;CS330,CS330,$E329-SUM($G330:CR330)))</f>
        <v>0</v>
      </c>
      <c r="CT329" s="401">
        <f ca="1">IF(SUM($G329:CS329)&gt;=$E329,0,IF($E329-SUM($G329:CS329)&gt;CT330,CT330,$E329-SUM($G330:CS330)))</f>
        <v>0</v>
      </c>
      <c r="CU329" s="401">
        <f ca="1">IF(SUM($G329:CT329)&gt;=$E329,0,IF($E329-SUM($G329:CT329)&gt;CU330,CU330,$E329-SUM($G330:CT330)))</f>
        <v>0</v>
      </c>
      <c r="CV329" s="401">
        <f ca="1">IF(SUM($G329:CU329)&gt;=$E329,0,IF($E329-SUM($G329:CU329)&gt;CV330,CV330,$E329-SUM($G330:CU330)))</f>
        <v>0</v>
      </c>
      <c r="CW329" s="401">
        <f ca="1">IF(SUM($G329:CV329)&gt;=$E329,0,IF($E329-SUM($G329:CV329)&gt;CW330,CW330,$E329-SUM($G330:CV330)))</f>
        <v>0</v>
      </c>
      <c r="CX329" s="401">
        <f ca="1">IF(SUM($G329:CW329)&gt;=$E329,0,IF($E329-SUM($G329:CW329)&gt;CX330,CX330,$E329-SUM($G330:CW330)))</f>
        <v>0</v>
      </c>
      <c r="CY329" s="401">
        <f ca="1">IF(SUM($G329:CX329)&gt;=$E329,0,IF($E329-SUM($G329:CX329)&gt;CY330,CY330,$E329-SUM($G330:CX330)))</f>
        <v>0</v>
      </c>
      <c r="CZ329" s="401">
        <f ca="1">IF(SUM($G329:CY329)&gt;=$E329,0,IF($E329-SUM($G329:CY329)&gt;CZ330,CZ330,$E329-SUM($G330:CY330)))</f>
        <v>0</v>
      </c>
      <c r="DA329" s="401">
        <f ca="1">IF(SUM($G329:CZ329)&gt;=$E329,0,IF($E329-SUM($G329:CZ329)&gt;DA330,DA330,$E329-SUM($G330:CZ330)))</f>
        <v>0</v>
      </c>
      <c r="DB329" s="401">
        <f ca="1">IF(SUM($G329:DA329)&gt;=$E329,0,IF($E329-SUM($G329:DA329)&gt;DB330,DB330,$E329-SUM($G330:DA330)))</f>
        <v>0</v>
      </c>
      <c r="DC329" s="401">
        <f ca="1">IF(SUM($G329:DB329)&gt;=$E329,0,IF($E329-SUM($G329:DB329)&gt;DC330,DC330,$E329-SUM($G330:DB330)))</f>
        <v>0</v>
      </c>
      <c r="DD329" s="401">
        <f ca="1">IF(SUM($G329:DC329)&gt;=$E329,0,IF($E329-SUM($G329:DC329)&gt;DD330,DD330,$E329-SUM($G330:DC330)))</f>
        <v>0</v>
      </c>
      <c r="DE329" s="401">
        <f ca="1">IF(SUM($G329:DD329)&gt;=$E329,0,IF($E329-SUM($G329:DD329)&gt;DE330,DE330,$E329-SUM($G330:DD330)))</f>
        <v>0</v>
      </c>
      <c r="DF329" s="401">
        <f ca="1">IF(SUM($G329:DE329)&gt;=$E329,0,IF($E329-SUM($G329:DE329)&gt;DF330,DF330,$E329-SUM($G330:DE330)))</f>
        <v>0</v>
      </c>
      <c r="DG329" s="401">
        <f ca="1">IF(SUM($G329:DF329)&gt;=$E329,0,IF($E329-SUM($G329:DF329)&gt;DG330,DG330,$E329-SUM($G330:DF330)))</f>
        <v>0</v>
      </c>
      <c r="DH329" s="401">
        <f ca="1">IF(SUM($G329:DG329)&gt;=$E329,0,IF($E329-SUM($G329:DG329)&gt;DH330,DH330,$E329-SUM($G330:DG330)))</f>
        <v>0</v>
      </c>
      <c r="DI329" s="401">
        <f ca="1">IF(SUM($G329:DH329)&gt;=$E329,0,IF($E329-SUM($G329:DH329)&gt;DI330,DI330,$E329-SUM($G330:DH330)))</f>
        <v>0</v>
      </c>
      <c r="DJ329" s="401">
        <f ca="1">IF(SUM($G329:DI329)&gt;=$E329,0,IF($E329-SUM($G329:DI329)&gt;DJ330,DJ330,$E329-SUM($G330:DI330)))</f>
        <v>0</v>
      </c>
      <c r="DK329" s="401">
        <f ca="1">IF(SUM($G329:DJ329)&gt;=$E329,0,IF($E329-SUM($G329:DJ329)&gt;DK330,DK330,$E329-SUM($G330:DJ330)))</f>
        <v>0</v>
      </c>
      <c r="DL329" s="401">
        <f ca="1">IF(SUM($G329:DK329)&gt;=$E329,0,IF($E329-SUM($G329:DK329)&gt;DL330,DL330,$E329-SUM($G330:DK330)))</f>
        <v>0</v>
      </c>
      <c r="DM329" s="401">
        <f ca="1">IF(SUM($G329:DL329)&gt;=$E329,0,IF($E329-SUM($G329:DL329)&gt;DM330,DM330,$E329-SUM($G330:DL330)))</f>
        <v>0</v>
      </c>
      <c r="DN329" s="401">
        <f ca="1">IF(SUM($G329:DM329)&gt;=$E329,0,IF($E329-SUM($G329:DM329)&gt;DN330,DN330,$E329-SUM($G330:DM330)))</f>
        <v>0</v>
      </c>
      <c r="DO329" s="401">
        <f ca="1">IF(SUM($G329:DN329)&gt;=$E329,0,IF($E329-SUM($G329:DN329)&gt;DO330,DO330,$E329-SUM($G330:DN330)))</f>
        <v>0</v>
      </c>
      <c r="DP329" s="401">
        <f ca="1">IF(SUM($G329:DO329)&gt;=$E329,0,IF($E329-SUM($G329:DO329)&gt;DP330,DP330,$E329-SUM($G330:DO330)))</f>
        <v>0</v>
      </c>
      <c r="DQ329" s="401">
        <f ca="1">IF(SUM($G329:DP329)&gt;=$E329,0,IF($E329-SUM($G329:DP329)&gt;DQ330,DQ330,$E329-SUM($G330:DP330)))</f>
        <v>0</v>
      </c>
      <c r="DR329" s="401">
        <f ca="1">IF(SUM($G329:DQ329)&gt;=$E329,0,IF($E329-SUM($G329:DQ329)&gt;DR330,DR330,$E329-SUM($G330:DQ330)))</f>
        <v>0</v>
      </c>
      <c r="DS329" s="401">
        <f ca="1">IF(SUM($G329:DR329)&gt;=$E329,0,IF($E329-SUM($G329:DR329)&gt;DS330,DS330,$E329-SUM($G330:DR330)))</f>
        <v>0</v>
      </c>
      <c r="DT329" s="401">
        <f ca="1">IF(SUM($G329:DS329)&gt;=$E329,0,IF($E329-SUM($G329:DS329)&gt;DT330,DT330,$E329-SUM($G330:DS330)))</f>
        <v>0</v>
      </c>
      <c r="DU329" s="401">
        <f ca="1">IF(SUM($G329:DT329)&gt;=$E329,0,IF($E329-SUM($G329:DT329)&gt;DU330,DU330,$E329-SUM($G330:DT330)))</f>
        <v>0</v>
      </c>
      <c r="DV329" s="401">
        <f ca="1">IF(SUM($G329:DU329)&gt;=$E329,0,IF($E329-SUM($G329:DU329)&gt;DV330,DV330,$E329-SUM($G330:DU330)))</f>
        <v>0</v>
      </c>
      <c r="DW329" s="401">
        <f ca="1">IF(SUM($G329:DV329)&gt;=$E329,0,IF($E329-SUM($G329:DV329)&gt;DW330,DW330,$E329-SUM($G330:DV330)))</f>
        <v>0</v>
      </c>
      <c r="DX329" s="401">
        <f ca="1">IF(SUM($G329:DW329)&gt;=$E329,0,IF($E329-SUM($G329:DW329)&gt;DX330,DX330,$E329-SUM($G330:DW330)))</f>
        <v>0</v>
      </c>
      <c r="DY329" s="401">
        <f ca="1">IF(SUM($G329:DX329)&gt;=$E329,0,IF($E329-SUM($G329:DX329)&gt;DY330,DY330,$E329-SUM($G330:DX330)))</f>
        <v>0</v>
      </c>
      <c r="DZ329" s="401">
        <f ca="1">IF(SUM($G329:DY329)&gt;=$E329,0,IF($E329-SUM($G329:DY329)&gt;DZ330,DZ330,$E329-SUM($G330:DY330)))</f>
        <v>0</v>
      </c>
      <c r="EA329" s="401">
        <f ca="1">IF(SUM($G329:DZ329)&gt;=$E329,0,IF($E329-SUM($G329:DZ329)&gt;EA330,EA330,$E329-SUM($G330:DZ330)))</f>
        <v>0</v>
      </c>
      <c r="EB329" s="401">
        <f ca="1">IF(SUM($G329:EA329)&gt;=$E329,0,IF($E329-SUM($G329:EA329)&gt;EB330,EB330,$E329-SUM($G330:EA330)))</f>
        <v>0</v>
      </c>
      <c r="EC329" s="401">
        <f ca="1">IF(SUM($G329:EB329)&gt;=$E329,0,IF($E329-SUM($G329:EB329)&gt;EC330,EC330,$E329-SUM($G330:EB330)))</f>
        <v>0</v>
      </c>
      <c r="ED329" s="401">
        <f ca="1">IF(SUM($G329:EC329)&gt;=$E329,0,IF($E329-SUM($G329:EC329)&gt;ED330,ED330,$E329-SUM($G330:EC330)))</f>
        <v>0</v>
      </c>
      <c r="EE329" s="401">
        <f ca="1">IF(SUM($G329:ED329)&gt;=$E329,0,IF($E329-SUM($G329:ED329)&gt;EE330,EE330,$E329-SUM($G330:ED330)))</f>
        <v>0</v>
      </c>
      <c r="EF329" s="401">
        <f ca="1">IF(SUM($G329:EE329)&gt;=$E329,0,IF($E329-SUM($G329:EE329)&gt;EF330,EF330,$E329-SUM($G330:EE330)))</f>
        <v>0</v>
      </c>
      <c r="EG329" s="401">
        <f ca="1">IF(SUM($G329:EF329)&gt;=$E329,0,IF($E329-SUM($G329:EF329)&gt;EG330,EG330,$E329-SUM($G330:EF330)))</f>
        <v>0</v>
      </c>
      <c r="EH329" s="401">
        <f ca="1">IF(SUM($G329:EG329)&gt;=$E329,0,IF($E329-SUM($G329:EG329)&gt;EH330,EH330,$E329-SUM($G330:EG330)))</f>
        <v>0</v>
      </c>
      <c r="EI329" s="401">
        <f ca="1">IF(SUM($G329:EH329)&gt;=$E329,0,IF($E329-SUM($G329:EH329)&gt;EI330,EI330,$E329-SUM($G330:EH330)))</f>
        <v>0</v>
      </c>
      <c r="EK329" s="313"/>
    </row>
    <row r="330" spans="1:141" hidden="1" outlineLevel="2">
      <c r="A330" s="332"/>
      <c r="B330" s="313"/>
      <c r="C330" s="308"/>
      <c r="D330" s="308"/>
      <c r="E330" s="308"/>
      <c r="G330" s="402"/>
      <c r="H330" s="402">
        <f ca="1">IF((SUM($G300:H300)-$E299*IF(длительность!$B$13&gt;70,0.25,0.4))&lt;0,0,IF((SUM($G300:H300)-$E299*IF(длительность!$B$13&gt;70,0.25,0.4))&lt;H300,SUM($G300:H300)-$E299*IF(длительность!$B$13&gt;70,0.25,0.4),H300))</f>
        <v>0</v>
      </c>
      <c r="I330" s="402">
        <f ca="1">IF((SUM($G300:I300)-$E299*IF(длительность!$B$13&gt;70,0.25,0.4))&lt;0,0,IF((SUM($G300:I300)-$E299*IF(длительность!$B$13&gt;70,0.25,0.4))&lt;I300,SUM($G300:I300)-$E299*IF(длительность!$B$13&gt;70,0.25,0.4),I300))</f>
        <v>0</v>
      </c>
      <c r="J330" s="402">
        <f ca="1">IF((SUM($G300:J300)-$E299*IF(длительность!$B$13&gt;70,0.25,0.4))&lt;0,0,IF((SUM($G300:J300)-$E299*IF(длительность!$B$13&gt;70,0.25,0.4))&lt;J300,SUM($G300:J300)-$E299*IF(длительность!$B$13&gt;70,0.25,0.4),J300))</f>
        <v>0</v>
      </c>
      <c r="K330" s="402">
        <f ca="1">IF((SUM($G300:K300)-$E299*IF(длительность!$B$13&gt;70,0.25,0.4))&lt;0,0,IF((SUM($G300:K300)-$E299*IF(длительность!$B$13&gt;70,0.25,0.4))&lt;K300,SUM($G300:K300)-$E299*IF(длительность!$B$13&gt;70,0.25,0.4),K300))</f>
        <v>0</v>
      </c>
      <c r="L330" s="402">
        <f ca="1">IF((SUM($G300:L300)-$E299*IF(длительность!$B$13&gt;70,0.25,0.4))&lt;0,0,IF((SUM($G300:L300)-$E299*IF(длительность!$B$13&gt;70,0.25,0.4))&lt;L300,SUM($G300:L300)-$E299*IF(длительность!$B$13&gt;70,0.25,0.4),L300))</f>
        <v>0</v>
      </c>
      <c r="M330" s="402">
        <f ca="1">IF((SUM($G300:M300)-$E299*IF(длительность!$B$13&gt;70,0.25,0.4))&lt;0,0,IF((SUM($G300:M300)-$E299*IF(длительность!$B$13&gt;70,0.25,0.4))&lt;M300,SUM($G300:M300)-$E299*IF(длительность!$B$13&gt;70,0.25,0.4),M300))</f>
        <v>0</v>
      </c>
      <c r="N330" s="402">
        <f ca="1">IF((SUM($G300:N300)-$E299*IF(длительность!$B$13&gt;70,0.25,0.4))&lt;0,0,IF((SUM($G300:N300)-$E299*IF(длительность!$B$13&gt;70,0.25,0.4))&lt;N300,SUM($G300:N300)-$E299*IF(длительность!$B$13&gt;70,0.25,0.4),N300))</f>
        <v>0</v>
      </c>
      <c r="O330" s="402">
        <f ca="1">IF((SUM($G300:O300)-$E299*IF(длительность!$B$13&gt;70,0.25,0.4))&lt;0,0,IF((SUM($G300:O300)-$E299*IF(длительность!$B$13&gt;70,0.25,0.4))&lt;O300,SUM($G300:O300)-$E299*IF(длительность!$B$13&gt;70,0.25,0.4),O300))</f>
        <v>0</v>
      </c>
      <c r="P330" s="402">
        <f ca="1">IF((SUM($G300:P300)-$E299*IF(длительность!$B$13&gt;70,0.25,0.4))&lt;0,0,IF((SUM($G300:P300)-$E299*IF(длительность!$B$13&gt;70,0.25,0.4))&lt;P300,SUM($G300:P300)-$E299*IF(длительность!$B$13&gt;70,0.25,0.4),P300))</f>
        <v>0</v>
      </c>
      <c r="Q330" s="402">
        <f ca="1">IF((SUM($G300:Q300)-$E299*IF(длительность!$B$13&gt;70,0.25,0.4))&lt;0,0,IF((SUM($G300:Q300)-$E299*IF(длительность!$B$13&gt;70,0.25,0.4))&lt;Q300,SUM($G300:Q300)-$E299*IF(длительность!$B$13&gt;70,0.25,0.4),Q300))</f>
        <v>0</v>
      </c>
      <c r="R330" s="402">
        <f ca="1">IF((SUM($G300:R300)-$E299*IF(длительность!$B$13&gt;70,0.25,0.4))&lt;0,0,IF((SUM($G300:R300)-$E299*IF(длительность!$B$13&gt;70,0.25,0.4))&lt;R300,SUM($G300:R300)-$E299*IF(длительность!$B$13&gt;70,0.25,0.4),R300))</f>
        <v>0</v>
      </c>
      <c r="S330" s="402">
        <f ca="1">IF((SUM($G300:S300)-$E299*IF(длительность!$B$13&gt;70,0.25,0.4))&lt;0,0,IF((SUM($G300:S300)-$E299*IF(длительность!$B$13&gt;70,0.25,0.4))&lt;S300,SUM($G300:S300)-$E299*IF(длительность!$B$13&gt;70,0.25,0.4),S300))</f>
        <v>0</v>
      </c>
      <c r="T330" s="402">
        <f ca="1">IF((SUM($G300:T300)-$E299*IF(длительность!$B$13&gt;70,0.25,0.4))&lt;0,0,IF((SUM($G300:T300)-$E299*IF(длительность!$B$13&gt;70,0.25,0.4))&lt;T300,SUM($G300:T300)-$E299*IF(длительность!$B$13&gt;70,0.25,0.4),T300))</f>
        <v>0</v>
      </c>
      <c r="U330" s="402">
        <f ca="1">IF((SUM($G300:U300)-$E299*IF(длительность!$B$13&gt;70,0.25,0.4))&lt;0,0,IF((SUM($G300:U300)-$E299*IF(длительность!$B$13&gt;70,0.25,0.4))&lt;U300,SUM($G300:U300)-$E299*IF(длительность!$B$13&gt;70,0.25,0.4),U300))</f>
        <v>0</v>
      </c>
      <c r="V330" s="402">
        <f ca="1">IF((SUM($G300:V300)-$E299*IF(длительность!$B$13&gt;70,0.25,0.4))&lt;0,0,IF((SUM($G300:V300)-$E299*IF(длительность!$B$13&gt;70,0.25,0.4))&lt;V300,SUM($G300:V300)-$E299*IF(длительность!$B$13&gt;70,0.25,0.4),V300))</f>
        <v>0</v>
      </c>
      <c r="W330" s="402">
        <f ca="1">IF((SUM($G300:W300)-$E299*IF(длительность!$B$13&gt;70,0.25,0.4))&lt;0,0,IF((SUM($G300:W300)-$E299*IF(длительность!$B$13&gt;70,0.25,0.4))&lt;W300,SUM($G300:W300)-$E299*IF(длительность!$B$13&gt;70,0.25,0.4),W300))</f>
        <v>0</v>
      </c>
      <c r="X330" s="402">
        <f ca="1">IF((SUM($G300:X300)-$E299*IF(длительность!$B$13&gt;70,0.25,0.4))&lt;0,0,IF((SUM($G300:X300)-$E299*IF(длительность!$B$13&gt;70,0.25,0.4))&lt;X300,SUM($G300:X300)-$E299*IF(длительность!$B$13&gt;70,0.25,0.4),X300))</f>
        <v>0</v>
      </c>
      <c r="Y330" s="402">
        <f ca="1">IF((SUM($G300:Y300)-$E299*IF(длительность!$B$13&gt;70,0.25,0.4))&lt;0,0,IF((SUM($G300:Y300)-$E299*IF(длительность!$B$13&gt;70,0.25,0.4))&lt;Y300,SUM($G300:Y300)-$E299*IF(длительность!$B$13&gt;70,0.25,0.4),Y300))</f>
        <v>0</v>
      </c>
      <c r="Z330" s="402">
        <f ca="1">IF((SUM($G300:Z300)-$E299*IF(длительность!$B$13&gt;70,0.25,0.4))&lt;0,0,IF((SUM($G300:Z300)-$E299*IF(длительность!$B$13&gt;70,0.25,0.4))&lt;Z300,SUM($G300:Z300)-$E299*IF(длительность!$B$13&gt;70,0.25,0.4),Z300))</f>
        <v>0</v>
      </c>
      <c r="AA330" s="402">
        <f ca="1">IF((SUM($G300:AA300)-$E299*IF(длительность!$B$13&gt;70,0.25,0.4))&lt;0,0,IF((SUM($G300:AA300)-$E299*IF(длительность!$B$13&gt;70,0.25,0.4))&lt;AA300,SUM($G300:AA300)-$E299*IF(длительность!$B$13&gt;70,0.25,0.4),AA300))</f>
        <v>0</v>
      </c>
      <c r="AB330" s="402">
        <f ca="1">IF((SUM($G300:AB300)-$E299*IF(длительность!$B$13&gt;70,0.25,0.4))&lt;0,0,IF((SUM($G300:AB300)-$E299*IF(длительность!$B$13&gt;70,0.25,0.4))&lt;AB300,SUM($G300:AB300)-$E299*IF(длительность!$B$13&gt;70,0.25,0.4),AB300))</f>
        <v>0</v>
      </c>
      <c r="AC330" s="402">
        <f ca="1">IF((SUM($G300:AC300)-$E299*IF(длительность!$B$13&gt;70,0.25,0.4))&lt;0,0,IF((SUM($G300:AC300)-$E299*IF(длительность!$B$13&gt;70,0.25,0.4))&lt;AC300,SUM($G300:AC300)-$E299*IF(длительность!$B$13&gt;70,0.25,0.4),AC300))</f>
        <v>0</v>
      </c>
      <c r="AD330" s="402">
        <f ca="1">IF((SUM($G300:AD300)-$E299*IF(длительность!$B$13&gt;70,0.25,0.4))&lt;0,0,IF((SUM($G300:AD300)-$E299*IF(длительность!$B$13&gt;70,0.25,0.4))&lt;AD300,SUM($G300:AD300)-$E299*IF(длительность!$B$13&gt;70,0.25,0.4),AD300))</f>
        <v>0</v>
      </c>
      <c r="AE330" s="402">
        <f ca="1">IF((SUM($G300:AE300)-$E299*IF(длительность!$B$13&gt;70,0.25,0.4))&lt;0,0,IF((SUM($G300:AE300)-$E299*IF(длительность!$B$13&gt;70,0.25,0.4))&lt;AE300,SUM($G300:AE300)-$E299*IF(длительность!$B$13&gt;70,0.25,0.4),AE300))</f>
        <v>0</v>
      </c>
      <c r="AF330" s="402">
        <f ca="1">IF((SUM($G300:AF300)-$E299*IF(длительность!$B$13&gt;70,0.25,0.4))&lt;0,0,IF((SUM($G300:AF300)-$E299*IF(длительность!$B$13&gt;70,0.25,0.4))&lt;AF300,SUM($G300:AF300)-$E299*IF(длительность!$B$13&gt;70,0.25,0.4),AF300))</f>
        <v>0</v>
      </c>
      <c r="AG330" s="402">
        <f ca="1">IF((SUM($G300:AG300)-$E299*IF(длительность!$B$13&gt;70,0.25,0.4))&lt;0,0,IF((SUM($G300:AG300)-$E299*IF(длительность!$B$13&gt;70,0.25,0.4))&lt;AG300,SUM($G300:AG300)-$E299*IF(длительность!$B$13&gt;70,0.25,0.4),AG300))</f>
        <v>0</v>
      </c>
      <c r="AH330" s="402">
        <f ca="1">IF((SUM($G300:AH300)-$E299*IF(длительность!$B$13&gt;70,0.25,0.4))&lt;0,0,IF((SUM($G300:AH300)-$E299*IF(длительность!$B$13&gt;70,0.25,0.4))&lt;AH300,SUM($G300:AH300)-$E299*IF(длительность!$B$13&gt;70,0.25,0.4),AH300))</f>
        <v>0</v>
      </c>
      <c r="AI330" s="402">
        <f ca="1">IF((SUM($G300:AI300)-$E299*IF(длительность!$B$13&gt;70,0.25,0.4))&lt;0,0,IF((SUM($G300:AI300)-$E299*IF(длительность!$B$13&gt;70,0.25,0.4))&lt;AI300,SUM($G300:AI300)-$E299*IF(длительность!$B$13&gt;70,0.25,0.4),AI300))</f>
        <v>0</v>
      </c>
      <c r="AJ330" s="402">
        <f ca="1">IF((SUM($G300:AJ300)-$E299*IF(длительность!$B$13&gt;70,0.25,0.4))&lt;0,0,IF((SUM($G300:AJ300)-$E299*IF(длительность!$B$13&gt;70,0.25,0.4))&lt;AJ300,SUM($G300:AJ300)-$E299*IF(длительность!$B$13&gt;70,0.25,0.4),AJ300))</f>
        <v>0</v>
      </c>
      <c r="AK330" s="402">
        <f ca="1">IF((SUM($G300:AK300)-$E299*IF(длительность!$B$13&gt;70,0.25,0.4))&lt;0,0,IF((SUM($G300:AK300)-$E299*IF(длительность!$B$13&gt;70,0.25,0.4))&lt;AK300,SUM($G300:AK300)-$E299*IF(длительность!$B$13&gt;70,0.25,0.4),AK300))</f>
        <v>0</v>
      </c>
      <c r="AL330" s="402">
        <f ca="1">IF((SUM($G300:AL300)-$E299*IF(длительность!$B$13&gt;70,0.25,0.4))&lt;0,0,IF((SUM($G300:AL300)-$E299*IF(длительность!$B$13&gt;70,0.25,0.4))&lt;AL300,SUM($G300:AL300)-$E299*IF(длительность!$B$13&gt;70,0.25,0.4),AL300))</f>
        <v>0</v>
      </c>
      <c r="AM330" s="402">
        <f ca="1">IF((SUM($G300:AM300)-$E299*IF(длительность!$B$13&gt;70,0.25,0.4))&lt;0,0,IF((SUM($G300:AM300)-$E299*IF(длительность!$B$13&gt;70,0.25,0.4))&lt;AM300,SUM($G300:AM300)-$E299*IF(длительность!$B$13&gt;70,0.25,0.4),AM300))</f>
        <v>0</v>
      </c>
      <c r="AN330" s="402">
        <f ca="1">IF((SUM($G300:AN300)-$E299*IF(длительность!$B$13&gt;70,0.25,0.4))&lt;0,0,IF((SUM($G300:AN300)-$E299*IF(длительность!$B$13&gt;70,0.25,0.4))&lt;AN300,SUM($G300:AN300)-$E299*IF(длительность!$B$13&gt;70,0.25,0.4),AN300))</f>
        <v>0</v>
      </c>
      <c r="AO330" s="402">
        <f ca="1">IF((SUM($G300:AO300)-$E299*IF(длительность!$B$13&gt;70,0.25,0.4))&lt;0,0,IF((SUM($G300:AO300)-$E299*IF(длительность!$B$13&gt;70,0.25,0.4))&lt;AO300,SUM($G300:AO300)-$E299*IF(длительность!$B$13&gt;70,0.25,0.4),AO300))</f>
        <v>0</v>
      </c>
      <c r="AP330" s="402">
        <f ca="1">IF((SUM($G300:AP300)-$E299*IF(длительность!$B$13&gt;70,0.25,0.4))&lt;0,0,IF((SUM($G300:AP300)-$E299*IF(длительность!$B$13&gt;70,0.25,0.4))&lt;AP300,SUM($G300:AP300)-$E299*IF(длительность!$B$13&gt;70,0.25,0.4),AP300))</f>
        <v>0</v>
      </c>
      <c r="AQ330" s="402">
        <f ca="1">IF((SUM($G300:AQ300)-$E299*IF(длительность!$B$13&gt;70,0.25,0.4))&lt;0,0,IF((SUM($G300:AQ300)-$E299*IF(длительность!$B$13&gt;70,0.25,0.4))&lt;AQ300,SUM($G300:AQ300)-$E299*IF(длительность!$B$13&gt;70,0.25,0.4),AQ300))</f>
        <v>0</v>
      </c>
      <c r="AR330" s="402">
        <f ca="1">IF((SUM($G300:AR300)-$E299*IF(длительность!$B$13&gt;70,0.25,0.4))&lt;0,0,IF((SUM($G300:AR300)-$E299*IF(длительность!$B$13&gt;70,0.25,0.4))&lt;AR300,SUM($G300:AR300)-$E299*IF(длительность!$B$13&gt;70,0.25,0.4),AR300))</f>
        <v>0</v>
      </c>
      <c r="AS330" s="402">
        <f ca="1">IF((SUM($G300:AS300)-$E299*IF(длительность!$B$13&gt;70,0.25,0.4))&lt;0,0,IF((SUM($G300:AS300)-$E299*IF(длительность!$B$13&gt;70,0.25,0.4))&lt;AS300,SUM($G300:AS300)-$E299*IF(длительность!$B$13&gt;70,0.25,0.4),AS300))</f>
        <v>0</v>
      </c>
      <c r="AT330" s="402">
        <f ca="1">IF((SUM($G300:AT300)-$E299*IF(длительность!$B$13&gt;70,0.25,0.4))&lt;0,0,IF((SUM($G300:AT300)-$E299*IF(длительность!$B$13&gt;70,0.25,0.4))&lt;AT300,SUM($G300:AT300)-$E299*IF(длительность!$B$13&gt;70,0.25,0.4),AT300))</f>
        <v>0</v>
      </c>
      <c r="AU330" s="402">
        <f ca="1">IF((SUM($G300:AU300)-$E299*IF(длительность!$B$13&gt;70,0.25,0.4))&lt;0,0,IF((SUM($G300:AU300)-$E299*IF(длительность!$B$13&gt;70,0.25,0.4))&lt;AU300,SUM($G300:AU300)-$E299*IF(длительность!$B$13&gt;70,0.25,0.4),AU300))</f>
        <v>0</v>
      </c>
      <c r="AV330" s="402">
        <f ca="1">IF((SUM($G300:AV300)-$E299*IF(длительность!$B$13&gt;70,0.25,0.4))&lt;0,0,IF((SUM($G300:AV300)-$E299*IF(длительность!$B$13&gt;70,0.25,0.4))&lt;AV300,SUM($G300:AV300)-$E299*IF(длительность!$B$13&gt;70,0.25,0.4),AV300))</f>
        <v>0</v>
      </c>
      <c r="AW330" s="402">
        <f ca="1">IF((SUM($G300:AW300)-$E299*IF(длительность!$B$13&gt;70,0.25,0.4))&lt;0,0,IF((SUM($G300:AW300)-$E299*IF(длительность!$B$13&gt;70,0.25,0.4))&lt;AW300,SUM($G300:AW300)-$E299*IF(длительность!$B$13&gt;70,0.25,0.4),AW300))</f>
        <v>5.0500000000000114</v>
      </c>
      <c r="AX330" s="402">
        <f ca="1">IF((SUM($G300:AX300)-$E299*IF(длительность!$B$13&gt;70,0.25,0.4))&lt;0,0,IF((SUM($G300:AX300)-$E299*IF(длительность!$B$13&gt;70,0.25,0.4))&lt;AX300,SUM($G300:AX300)-$E299*IF(длительность!$B$13&gt;70,0.25,0.4),AX300))</f>
        <v>31</v>
      </c>
      <c r="AY330" s="402">
        <f ca="1">IF((SUM($G300:AY300)-$E299*IF(длительность!$B$13&gt;70,0.25,0.4))&lt;0,0,IF((SUM($G300:AY300)-$E299*IF(длительность!$B$13&gt;70,0.25,0.4))&lt;AY300,SUM($G300:AY300)-$E299*IF(длительность!$B$13&gt;70,0.25,0.4),AY300))</f>
        <v>30</v>
      </c>
      <c r="AZ330" s="402">
        <f ca="1">IF((SUM($G300:AZ300)-$E299*IF(длительность!$B$13&gt;70,0.25,0.4))&lt;0,0,IF((SUM($G300:AZ300)-$E299*IF(длительность!$B$13&gt;70,0.25,0.4))&lt;AZ300,SUM($G300:AZ300)-$E299*IF(длительность!$B$13&gt;70,0.25,0.4),AZ300))</f>
        <v>31</v>
      </c>
      <c r="BA330" s="402">
        <f ca="1">IF((SUM($G300:BA300)-$E299*IF(длительность!$B$13&gt;70,0.25,0.4))&lt;0,0,IF((SUM($G300:BA300)-$E299*IF(длительность!$B$13&gt;70,0.25,0.4))&lt;BA300,SUM($G300:BA300)-$E299*IF(длительность!$B$13&gt;70,0.25,0.4),BA300))</f>
        <v>31</v>
      </c>
      <c r="BB330" s="402">
        <f ca="1">IF((SUM($G300:BB300)-$E299*IF(длительность!$B$13&gt;70,0.25,0.4))&lt;0,0,IF((SUM($G300:BB300)-$E299*IF(длительность!$B$13&gt;70,0.25,0.4))&lt;BB300,SUM($G300:BB300)-$E299*IF(длительность!$B$13&gt;70,0.25,0.4),BB300))</f>
        <v>28</v>
      </c>
      <c r="BC330" s="402">
        <f ca="1">IF((SUM($G300:BC300)-$E299*IF(длительность!$B$13&gt;70,0.25,0.4))&lt;0,0,IF((SUM($G300:BC300)-$E299*IF(длительность!$B$13&gt;70,0.25,0.4))&lt;BC300,SUM($G300:BC300)-$E299*IF(длительность!$B$13&gt;70,0.25,0.4),BC300))</f>
        <v>31</v>
      </c>
      <c r="BD330" s="402">
        <f ca="1">IF((SUM($G300:BD300)-$E299*IF(длительность!$B$13&gt;70,0.25,0.4))&lt;0,0,IF((SUM($G300:BD300)-$E299*IF(длительность!$B$13&gt;70,0.25,0.4))&lt;BD300,SUM($G300:BD300)-$E299*IF(длительность!$B$13&gt;70,0.25,0.4),BD300))</f>
        <v>30</v>
      </c>
      <c r="BE330" s="402">
        <f ca="1">IF((SUM($G300:BE300)-$E299*IF(длительность!$B$13&gt;70,0.25,0.4))&lt;0,0,IF((SUM($G300:BE300)-$E299*IF(длительность!$B$13&gt;70,0.25,0.4))&lt;BE300,SUM($G300:BE300)-$E299*IF(длительность!$B$13&gt;70,0.25,0.4),BE300))</f>
        <v>31</v>
      </c>
      <c r="BF330" s="402">
        <f ca="1">IF((SUM($G300:BF300)-$E299*IF(длительность!$B$13&gt;70,0.25,0.4))&lt;0,0,IF((SUM($G300:BF300)-$E299*IF(длительность!$B$13&gt;70,0.25,0.4))&lt;BF300,SUM($G300:BF300)-$E299*IF(длительность!$B$13&gt;70,0.25,0.4),BF300))</f>
        <v>30</v>
      </c>
      <c r="BG330" s="402">
        <f ca="1">IF((SUM($G300:BG300)-$E299*IF(длительность!$B$13&gt;70,0.25,0.4))&lt;0,0,IF((SUM($G300:BG300)-$E299*IF(длительность!$B$13&gt;70,0.25,0.4))&lt;BG300,SUM($G300:BG300)-$E299*IF(длительность!$B$13&gt;70,0.25,0.4),BG300))</f>
        <v>31</v>
      </c>
      <c r="BH330" s="402">
        <f ca="1">IF((SUM($G300:BH300)-$E299*IF(длительность!$B$13&gt;70,0.25,0.4))&lt;0,0,IF((SUM($G300:BH300)-$E299*IF(длительность!$B$13&gt;70,0.25,0.4))&lt;BH300,SUM($G300:BH300)-$E299*IF(длительность!$B$13&gt;70,0.25,0.4),BH300))</f>
        <v>31</v>
      </c>
      <c r="BI330" s="402">
        <f ca="1">IF((SUM($G300:BI300)-$E299*IF(длительность!$B$13&gt;70,0.25,0.4))&lt;0,0,IF((SUM($G300:BI300)-$E299*IF(длительность!$B$13&gt;70,0.25,0.4))&lt;BI300,SUM($G300:BI300)-$E299*IF(длительность!$B$13&gt;70,0.25,0.4),BI300))</f>
        <v>30</v>
      </c>
      <c r="BJ330" s="402">
        <f ca="1">IF((SUM($G300:BJ300)-$E299*IF(длительность!$B$13&gt;70,0.25,0.4))&lt;0,0,IF((SUM($G300:BJ300)-$E299*IF(длительность!$B$13&gt;70,0.25,0.4))&lt;BJ300,SUM($G300:BJ300)-$E299*IF(длительность!$B$13&gt;70,0.25,0.4),BJ300))</f>
        <v>31</v>
      </c>
      <c r="BK330" s="402">
        <f ca="1">IF((SUM($G300:BK300)-$E299*IF(длительность!$B$13&gt;70,0.25,0.4))&lt;0,0,IF((SUM($G300:BK300)-$E299*IF(длительность!$B$13&gt;70,0.25,0.4))&lt;BK300,SUM($G300:BK300)-$E299*IF(длительность!$B$13&gt;70,0.25,0.4),BK300))</f>
        <v>30</v>
      </c>
      <c r="BL330" s="402">
        <f ca="1">IF((SUM($G300:BL300)-$E299*IF(длительность!$B$13&gt;70,0.25,0.4))&lt;0,0,IF((SUM($G300:BL300)-$E299*IF(длительность!$B$13&gt;70,0.25,0.4))&lt;BL300,SUM($G300:BL300)-$E299*IF(длительность!$B$13&gt;70,0.25,0.4),BL300))</f>
        <v>31</v>
      </c>
      <c r="BM330" s="402">
        <f ca="1">IF((SUM($G300:BM300)-$E299*IF(длительность!$B$13&gt;70,0.25,0.4))&lt;0,0,IF((SUM($G300:BM300)-$E299*IF(длительность!$B$13&gt;70,0.25,0.4))&lt;BM300,SUM($G300:BM300)-$E299*IF(длительность!$B$13&gt;70,0.25,0.4),BM300))</f>
        <v>31</v>
      </c>
      <c r="BN330" s="402">
        <f ca="1">IF((SUM($G300:BN300)-$E299*IF(длительность!$B$13&gt;70,0.25,0.4))&lt;0,0,IF((SUM($G300:BN300)-$E299*IF(длительность!$B$13&gt;70,0.25,0.4))&lt;BN300,SUM($G300:BN300)-$E299*IF(длительность!$B$13&gt;70,0.25,0.4),BN300))</f>
        <v>29</v>
      </c>
      <c r="BO330" s="402">
        <f ca="1">IF((SUM($G300:BO300)-$E299*IF(длительность!$B$13&gt;70,0.25,0.4))&lt;0,0,IF((SUM($G300:BO300)-$E299*IF(длительность!$B$13&gt;70,0.25,0.4))&lt;BO300,SUM($G300:BO300)-$E299*IF(длительность!$B$13&gt;70,0.25,0.4),BO300))</f>
        <v>31</v>
      </c>
      <c r="BP330" s="402">
        <f ca="1">IF((SUM($G300:BP300)-$E299*IF(длительность!$B$13&gt;70,0.25,0.4))&lt;0,0,IF((SUM($G300:BP300)-$E299*IF(длительность!$B$13&gt;70,0.25,0.4))&lt;BP300,SUM($G300:BP300)-$E299*IF(длительность!$B$13&gt;70,0.25,0.4),BP300))</f>
        <v>30</v>
      </c>
      <c r="BQ330" s="402">
        <f ca="1">IF((SUM($G300:BQ300)-$E299*IF(длительность!$B$13&gt;70,0.25,0.4))&lt;0,0,IF((SUM($G300:BQ300)-$E299*IF(длительность!$B$13&gt;70,0.25,0.4))&lt;BQ300,SUM($G300:BQ300)-$E299*IF(длительность!$B$13&gt;70,0.25,0.4),BQ300))</f>
        <v>31</v>
      </c>
      <c r="BR330" s="402">
        <f ca="1">IF((SUM($G300:BR300)-$E299*IF(длительность!$B$13&gt;70,0.25,0.4))&lt;0,0,IF((SUM($G300:BR300)-$E299*IF(длительность!$B$13&gt;70,0.25,0.4))&lt;BR300,SUM($G300:BR300)-$E299*IF(длительность!$B$13&gt;70,0.25,0.4),BR300))</f>
        <v>30</v>
      </c>
      <c r="BS330" s="402">
        <f ca="1">IF((SUM($G300:BS300)-$E299*IF(длительность!$B$13&gt;70,0.25,0.4))&lt;0,0,IF((SUM($G300:BS300)-$E299*IF(длительность!$B$13&gt;70,0.25,0.4))&lt;BS300,SUM($G300:BS300)-$E299*IF(длительность!$B$13&gt;70,0.25,0.4),BS300))</f>
        <v>31</v>
      </c>
      <c r="BT330" s="402">
        <f ca="1">IF((SUM($G300:BT300)-$E299*IF(длительность!$B$13&gt;70,0.25,0.4))&lt;0,0,IF((SUM($G300:BT300)-$E299*IF(длительность!$B$13&gt;70,0.25,0.4))&lt;BT300,SUM($G300:BT300)-$E299*IF(длительность!$B$13&gt;70,0.25,0.4),BT300))</f>
        <v>31</v>
      </c>
      <c r="BU330" s="402">
        <f ca="1">IF((SUM($G300:BU300)-$E299*IF(длительность!$B$13&gt;70,0.25,0.4))&lt;0,0,IF((SUM($G300:BU300)-$E299*IF(длительность!$B$13&gt;70,0.25,0.4))&lt;BU300,SUM($G300:BU300)-$E299*IF(длительность!$B$13&gt;70,0.25,0.4),BU300))</f>
        <v>30</v>
      </c>
      <c r="BV330" s="402">
        <f ca="1">IF((SUM($G300:BV300)-$E299*IF(длительность!$B$13&gt;70,0.25,0.4))&lt;0,0,IF((SUM($G300:BV300)-$E299*IF(длительность!$B$13&gt;70,0.25,0.4))&lt;BV300,SUM($G300:BV300)-$E299*IF(длительность!$B$13&gt;70,0.25,0.4),BV300))</f>
        <v>31</v>
      </c>
      <c r="BW330" s="402">
        <f ca="1">IF((SUM($G300:BW300)-$E299*IF(длительность!$B$13&gt;70,0.25,0.4))&lt;0,0,IF((SUM($G300:BW300)-$E299*IF(длительность!$B$13&gt;70,0.25,0.4))&lt;BW300,SUM($G300:BW300)-$E299*IF(длительность!$B$13&gt;70,0.25,0.4),BW300))</f>
        <v>30</v>
      </c>
      <c r="BX330" s="402">
        <f ca="1">IF((SUM($G300:BX300)-$E299*IF(длительность!$B$13&gt;70,0.25,0.4))&lt;0,0,IF((SUM($G300:BX300)-$E299*IF(длительность!$B$13&gt;70,0.25,0.4))&lt;BX300,SUM($G300:BX300)-$E299*IF(длительность!$B$13&gt;70,0.25,0.4),BX300))</f>
        <v>31</v>
      </c>
      <c r="BY330" s="402">
        <f ca="1">IF((SUM($G300:BY300)-$E299*IF(длительность!$B$13&gt;70,0.25,0.4))&lt;0,0,IF((SUM($G300:BY300)-$E299*IF(длительность!$B$13&gt;70,0.25,0.4))&lt;BY300,SUM($G300:BY300)-$E299*IF(длительность!$B$13&gt;70,0.25,0.4),BY300))</f>
        <v>31</v>
      </c>
      <c r="BZ330" s="402">
        <f ca="1">IF((SUM($G300:BZ300)-$E299*IF(длительность!$B$13&gt;70,0.25,0.4))&lt;0,0,IF((SUM($G300:BZ300)-$E299*IF(длительность!$B$13&gt;70,0.25,0.4))&lt;BZ300,SUM($G300:BZ300)-$E299*IF(длительность!$B$13&gt;70,0.25,0.4),BZ300))</f>
        <v>28</v>
      </c>
      <c r="CA330" s="402">
        <f ca="1">IF((SUM($G300:CA300)-$E299*IF(длительность!$B$13&gt;70,0.25,0.4))&lt;0,0,IF((SUM($G300:CA300)-$E299*IF(длительность!$B$13&gt;70,0.25,0.4))&lt;CA300,SUM($G300:CA300)-$E299*IF(длительность!$B$13&gt;70,0.25,0.4),CA300))</f>
        <v>31</v>
      </c>
      <c r="CB330" s="402">
        <f ca="1">IF((SUM($G300:CB300)-$E299*IF(длительность!$B$13&gt;70,0.25,0.4))&lt;0,0,IF((SUM($G300:CB300)-$E299*IF(длительность!$B$13&gt;70,0.25,0.4))&lt;CB300,SUM($G300:CB300)-$E299*IF(длительность!$B$13&gt;70,0.25,0.4),CB300))</f>
        <v>30</v>
      </c>
      <c r="CC330" s="402">
        <f ca="1">IF((SUM($G300:CC300)-$E299*IF(длительность!$B$13&gt;70,0.25,0.4))&lt;0,0,IF((SUM($G300:CC300)-$E299*IF(длительность!$B$13&gt;70,0.25,0.4))&lt;CC300,SUM($G300:CC300)-$E299*IF(длительность!$B$13&gt;70,0.25,0.4),CC300))</f>
        <v>31</v>
      </c>
      <c r="CD330" s="402">
        <f ca="1">IF((SUM($G300:CD300)-$E299*IF(длительность!$B$13&gt;70,0.25,0.4))&lt;0,0,IF((SUM($G300:CD300)-$E299*IF(длительность!$B$13&gt;70,0.25,0.4))&lt;CD300,SUM($G300:CD300)-$E299*IF(длительность!$B$13&gt;70,0.25,0.4),CD300))</f>
        <v>30</v>
      </c>
      <c r="CE330" s="402">
        <f ca="1">IF((SUM($G300:CE300)-$E299*IF(длительность!$B$13&gt;70,0.25,0.4))&lt;0,0,IF((SUM($G300:CE300)-$E299*IF(длительность!$B$13&gt;70,0.25,0.4))&lt;CE300,SUM($G300:CE300)-$E299*IF(длительность!$B$13&gt;70,0.25,0.4),CE300))</f>
        <v>31</v>
      </c>
      <c r="CF330" s="402">
        <f ca="1">IF((SUM($G300:CF300)-$E299*IF(длительность!$B$13&gt;70,0.25,0.4))&lt;0,0,IF((SUM($G300:CF300)-$E299*IF(длительность!$B$13&gt;70,0.25,0.4))&lt;CF300,SUM($G300:CF300)-$E299*IF(длительность!$B$13&gt;70,0.25,0.4),CF300))</f>
        <v>31</v>
      </c>
      <c r="CG330" s="402">
        <f ca="1">IF((SUM($G300:CG300)-$E299*IF(длительность!$B$13&gt;70,0.25,0.4))&lt;0,0,IF((SUM($G300:CG300)-$E299*IF(длительность!$B$13&gt;70,0.25,0.4))&lt;CG300,SUM($G300:CG300)-$E299*IF(длительность!$B$13&gt;70,0.25,0.4),CG300))</f>
        <v>30</v>
      </c>
      <c r="CH330" s="402">
        <f ca="1">IF((SUM($G300:CH300)-$E299*IF(длительность!$B$13&gt;70,0.25,0.4))&lt;0,0,IF((SUM($G300:CH300)-$E299*IF(длительность!$B$13&gt;70,0.25,0.4))&lt;CH300,SUM($G300:CH300)-$E299*IF(длительность!$B$13&gt;70,0.25,0.4),CH300))</f>
        <v>31</v>
      </c>
      <c r="CI330" s="402">
        <f ca="1">IF((SUM($G300:CI300)-$E299*IF(длительность!$B$13&gt;70,0.25,0.4))&lt;0,0,IF((SUM($G300:CI300)-$E299*IF(длительность!$B$13&gt;70,0.25,0.4))&lt;CI300,SUM($G300:CI300)-$E299*IF(длительность!$B$13&gt;70,0.25,0.4),CI300))</f>
        <v>30</v>
      </c>
      <c r="CJ330" s="402">
        <f ca="1">IF((SUM($G300:CJ300)-$E299*IF(длительность!$B$13&gt;70,0.25,0.4))&lt;0,0,IF((SUM($G300:CJ300)-$E299*IF(длительность!$B$13&gt;70,0.25,0.4))&lt;CJ300,SUM($G300:CJ300)-$E299*IF(длительность!$B$13&gt;70,0.25,0.4),CJ300))</f>
        <v>31</v>
      </c>
      <c r="CK330" s="402">
        <f ca="1">IF((SUM($G300:CK300)-$E299*IF(длительность!$B$13&gt;70,0.25,0.4))&lt;0,0,IF((SUM($G300:CK300)-$E299*IF(длительность!$B$13&gt;70,0.25,0.4))&lt;CK300,SUM($G300:CK300)-$E299*IF(длительность!$B$13&gt;70,0.25,0.4),CK300))</f>
        <v>31</v>
      </c>
      <c r="CL330" s="402">
        <f ca="1">IF((SUM($G300:CL300)-$E299*IF(длительность!$B$13&gt;70,0.25,0.4))&lt;0,0,IF((SUM($G300:CL300)-$E299*IF(длительность!$B$13&gt;70,0.25,0.4))&lt;CL300,SUM($G300:CL300)-$E299*IF(длительность!$B$13&gt;70,0.25,0.4),CL300))</f>
        <v>28</v>
      </c>
      <c r="CM330" s="402">
        <f ca="1">IF((SUM($G300:CM300)-$E299*IF(длительность!$B$13&gt;70,0.25,0.4))&lt;0,0,IF((SUM($G300:CM300)-$E299*IF(длительность!$B$13&gt;70,0.25,0.4))&lt;CM300,SUM($G300:CM300)-$E299*IF(длительность!$B$13&gt;70,0.25,0.4),CM300))</f>
        <v>31</v>
      </c>
      <c r="CN330" s="402">
        <f ca="1">IF((SUM($G300:CN300)-$E299*IF(длительность!$B$13&gt;70,0.25,0.4))&lt;0,0,IF((SUM($G300:CN300)-$E299*IF(длительность!$B$13&gt;70,0.25,0.4))&lt;CN300,SUM($G300:CN300)-$E299*IF(длительность!$B$13&gt;70,0.25,0.4),CN300))</f>
        <v>30</v>
      </c>
      <c r="CO330" s="402">
        <f ca="1">IF((SUM($G300:CO300)-$E299*IF(длительность!$B$13&gt;70,0.25,0.4))&lt;0,0,IF((SUM($G300:CO300)-$E299*IF(длительность!$B$13&gt;70,0.25,0.4))&lt;CO300,SUM($G300:CO300)-$E299*IF(длительность!$B$13&gt;70,0.25,0.4),CO300))</f>
        <v>31</v>
      </c>
      <c r="CP330" s="402">
        <f ca="1">IF((SUM($G300:CP300)-$E299*IF(длительность!$B$13&gt;70,0.25,0.4))&lt;0,0,IF((SUM($G300:CP300)-$E299*IF(длительность!$B$13&gt;70,0.25,0.4))&lt;CP300,SUM($G300:CP300)-$E299*IF(длительность!$B$13&gt;70,0.25,0.4),CP300))</f>
        <v>30</v>
      </c>
      <c r="CQ330" s="402">
        <f ca="1">IF((SUM($G300:CQ300)-$E299*IF(длительность!$B$13&gt;70,0.25,0.4))&lt;0,0,IF((SUM($G300:CQ300)-$E299*IF(длительность!$B$13&gt;70,0.25,0.4))&lt;CQ300,SUM($G300:CQ300)-$E299*IF(длительность!$B$13&gt;70,0.25,0.4),CQ300))</f>
        <v>31</v>
      </c>
      <c r="CR330" s="402">
        <f ca="1">IF((SUM($G300:CR300)-$E299*IF(длительность!$B$13&gt;70,0.25,0.4))&lt;0,0,IF((SUM($G300:CR300)-$E299*IF(длительность!$B$13&gt;70,0.25,0.4))&lt;CR300,SUM($G300:CR300)-$E299*IF(длительность!$B$13&gt;70,0.25,0.4),CR300))</f>
        <v>31</v>
      </c>
      <c r="CS330" s="402">
        <f ca="1">IF((SUM($G300:CS300)-$E299*IF(длительность!$B$13&gt;70,0.25,0.4))&lt;0,0,IF((SUM($G300:CS300)-$E299*IF(длительность!$B$13&gt;70,0.25,0.4))&lt;CS300,SUM($G300:CS300)-$E299*IF(длительность!$B$13&gt;70,0.25,0.4),CS300))</f>
        <v>30</v>
      </c>
      <c r="CT330" s="402">
        <f ca="1">IF((SUM($G300:CT300)-$E299*IF(длительность!$B$13&gt;70,0.25,0.4))&lt;0,0,IF((SUM($G300:CT300)-$E299*IF(длительность!$B$13&gt;70,0.25,0.4))&lt;CT300,SUM($G300:CT300)-$E299*IF(длительность!$B$13&gt;70,0.25,0.4),CT300))</f>
        <v>31</v>
      </c>
      <c r="CU330" s="402">
        <f ca="1">IF((SUM($G300:CU300)-$E299*IF(длительность!$B$13&gt;70,0.25,0.4))&lt;0,0,IF((SUM($G300:CU300)-$E299*IF(длительность!$B$13&gt;70,0.25,0.4))&lt;CU300,SUM($G300:CU300)-$E299*IF(длительность!$B$13&gt;70,0.25,0.4),CU300))</f>
        <v>30</v>
      </c>
      <c r="CV330" s="402">
        <f ca="1">IF((SUM($G300:CV300)-$E299*IF(длительность!$B$13&gt;70,0.25,0.4))&lt;0,0,IF((SUM($G300:CV300)-$E299*IF(длительность!$B$13&gt;70,0.25,0.4))&lt;CV300,SUM($G300:CV300)-$E299*IF(длительность!$B$13&gt;70,0.25,0.4),CV300))</f>
        <v>31</v>
      </c>
      <c r="CW330" s="402">
        <f ca="1">IF((SUM($G300:CW300)-$E299*IF(длительность!$B$13&gt;70,0.25,0.4))&lt;0,0,IF((SUM($G300:CW300)-$E299*IF(длительность!$B$13&gt;70,0.25,0.4))&lt;CW300,SUM($G300:CW300)-$E299*IF(длительность!$B$13&gt;70,0.25,0.4),CW300))</f>
        <v>31</v>
      </c>
      <c r="CX330" s="402">
        <f ca="1">IF((SUM($G300:CX300)-$E299*IF(длительность!$B$13&gt;70,0.25,0.4))&lt;0,0,IF((SUM($G300:CX300)-$E299*IF(длительность!$B$13&gt;70,0.25,0.4))&lt;CX300,SUM($G300:CX300)-$E299*IF(длительность!$B$13&gt;70,0.25,0.4),CX300))</f>
        <v>28</v>
      </c>
      <c r="CY330" s="402">
        <f ca="1">IF((SUM($G300:CY300)-$E299*IF(длительность!$B$13&gt;70,0.25,0.4))&lt;0,0,IF((SUM($G300:CY300)-$E299*IF(длительность!$B$13&gt;70,0.25,0.4))&lt;CY300,SUM($G300:CY300)-$E299*IF(длительность!$B$13&gt;70,0.25,0.4),CY300))</f>
        <v>31</v>
      </c>
      <c r="CZ330" s="402">
        <f ca="1">IF((SUM($G300:CZ300)-$E299*IF(длительность!$B$13&gt;70,0.25,0.4))&lt;0,0,IF((SUM($G300:CZ300)-$E299*IF(длительность!$B$13&gt;70,0.25,0.4))&lt;CZ300,SUM($G300:CZ300)-$E299*IF(длительность!$B$13&gt;70,0.25,0.4),CZ300))</f>
        <v>30</v>
      </c>
      <c r="DA330" s="402">
        <f ca="1">IF((SUM($G300:DA300)-$E299*IF(длительность!$B$13&gt;70,0.25,0.4))&lt;0,0,IF((SUM($G300:DA300)-$E299*IF(длительность!$B$13&gt;70,0.25,0.4))&lt;DA300,SUM($G300:DA300)-$E299*IF(длительность!$B$13&gt;70,0.25,0.4),DA300))</f>
        <v>31</v>
      </c>
      <c r="DB330" s="402">
        <f ca="1">IF((SUM($G300:DB300)-$E299*IF(длительность!$B$13&gt;70,0.25,0.4))&lt;0,0,IF((SUM($G300:DB300)-$E299*IF(длительность!$B$13&gt;70,0.25,0.4))&lt;DB300,SUM($G300:DB300)-$E299*IF(длительность!$B$13&gt;70,0.25,0.4),DB300))</f>
        <v>30</v>
      </c>
      <c r="DC330" s="402">
        <f ca="1">IF((SUM($G300:DC300)-$E299*IF(длительность!$B$13&gt;70,0.25,0.4))&lt;0,0,IF((SUM($G300:DC300)-$E299*IF(длительность!$B$13&gt;70,0.25,0.4))&lt;DC300,SUM($G300:DC300)-$E299*IF(длительность!$B$13&gt;70,0.25,0.4),DC300))</f>
        <v>31</v>
      </c>
      <c r="DD330" s="402">
        <f ca="1">IF((SUM($G300:DD300)-$E299*IF(длительность!$B$13&gt;70,0.25,0.4))&lt;0,0,IF((SUM($G300:DD300)-$E299*IF(длительность!$B$13&gt;70,0.25,0.4))&lt;DD300,SUM($G300:DD300)-$E299*IF(длительность!$B$13&gt;70,0.25,0.4),DD300))</f>
        <v>31</v>
      </c>
      <c r="DE330" s="402">
        <f ca="1">IF((SUM($G300:DE300)-$E299*IF(длительность!$B$13&gt;70,0.25,0.4))&lt;0,0,IF((SUM($G300:DE300)-$E299*IF(длительность!$B$13&gt;70,0.25,0.4))&lt;DE300,SUM($G300:DE300)-$E299*IF(длительность!$B$13&gt;70,0.25,0.4),DE300))</f>
        <v>30</v>
      </c>
      <c r="DF330" s="402">
        <f ca="1">IF((SUM($G300:DF300)-$E299*IF(длительность!$B$13&gt;70,0.25,0.4))&lt;0,0,IF((SUM($G300:DF300)-$E299*IF(длительность!$B$13&gt;70,0.25,0.4))&lt;DF300,SUM($G300:DF300)-$E299*IF(длительность!$B$13&gt;70,0.25,0.4),DF300))</f>
        <v>31</v>
      </c>
      <c r="DG330" s="402">
        <f ca="1">IF((SUM($G300:DG300)-$E299*IF(длительность!$B$13&gt;70,0.25,0.4))&lt;0,0,IF((SUM($G300:DG300)-$E299*IF(длительность!$B$13&gt;70,0.25,0.4))&lt;DG300,SUM($G300:DG300)-$E299*IF(длительность!$B$13&gt;70,0.25,0.4),DG300))</f>
        <v>30</v>
      </c>
      <c r="DH330" s="402">
        <f ca="1">IF((SUM($G300:DH300)-$E299*IF(длительность!$B$13&gt;70,0.25,0.4))&lt;0,0,IF((SUM($G300:DH300)-$E299*IF(длительность!$B$13&gt;70,0.25,0.4))&lt;DH300,SUM($G300:DH300)-$E299*IF(длительность!$B$13&gt;70,0.25,0.4),DH300))</f>
        <v>31</v>
      </c>
      <c r="DI330" s="402">
        <f ca="1">IF((SUM($G300:DI300)-$E299*IF(длительность!$B$13&gt;70,0.25,0.4))&lt;0,0,IF((SUM($G300:DI300)-$E299*IF(длительность!$B$13&gt;70,0.25,0.4))&lt;DI300,SUM($G300:DI300)-$E299*IF(длительность!$B$13&gt;70,0.25,0.4),DI300))</f>
        <v>31</v>
      </c>
      <c r="DJ330" s="402">
        <f ca="1">IF((SUM($G300:DJ300)-$E299*IF(длительность!$B$13&gt;70,0.25,0.4))&lt;0,0,IF((SUM($G300:DJ300)-$E299*IF(длительность!$B$13&gt;70,0.25,0.4))&lt;DJ300,SUM($G300:DJ300)-$E299*IF(длительность!$B$13&gt;70,0.25,0.4),DJ300))</f>
        <v>29</v>
      </c>
      <c r="DK330" s="402">
        <f ca="1">IF((SUM($G300:DK300)-$E299*IF(длительность!$B$13&gt;70,0.25,0.4))&lt;0,0,IF((SUM($G300:DK300)-$E299*IF(длительность!$B$13&gt;70,0.25,0.4))&lt;DK300,SUM($G300:DK300)-$E299*IF(длительность!$B$13&gt;70,0.25,0.4),DK300))</f>
        <v>31</v>
      </c>
      <c r="DL330" s="402">
        <f ca="1">IF((SUM($G300:DL300)-$E299*IF(длительность!$B$13&gt;70,0.25,0.4))&lt;0,0,IF((SUM($G300:DL300)-$E299*IF(длительность!$B$13&gt;70,0.25,0.4))&lt;DL300,SUM($G300:DL300)-$E299*IF(длительность!$B$13&gt;70,0.25,0.4),DL300))</f>
        <v>30</v>
      </c>
      <c r="DM330" s="402">
        <f ca="1">IF((SUM($G300:DM300)-$E299*IF(длительность!$B$13&gt;70,0.25,0.4))&lt;0,0,IF((SUM($G300:DM300)-$E299*IF(длительность!$B$13&gt;70,0.25,0.4))&lt;DM300,SUM($G300:DM300)-$E299*IF(длительность!$B$13&gt;70,0.25,0.4),DM300))</f>
        <v>31</v>
      </c>
      <c r="DN330" s="402">
        <f ca="1">IF((SUM($G300:DN300)-$E299*IF(длительность!$B$13&gt;70,0.25,0.4))&lt;0,0,IF((SUM($G300:DN300)-$E299*IF(длительность!$B$13&gt;70,0.25,0.4))&lt;DN300,SUM($G300:DN300)-$E299*IF(длительность!$B$13&gt;70,0.25,0.4),DN300))</f>
        <v>30</v>
      </c>
      <c r="DO330" s="402">
        <f ca="1">IF((SUM($G300:DO300)-$E299*IF(длительность!$B$13&gt;70,0.25,0.4))&lt;0,0,IF((SUM($G300:DO300)-$E299*IF(длительность!$B$13&gt;70,0.25,0.4))&lt;DO300,SUM($G300:DO300)-$E299*IF(длительность!$B$13&gt;70,0.25,0.4),DO300))</f>
        <v>31</v>
      </c>
      <c r="DP330" s="402">
        <f ca="1">IF((SUM($G300:DP300)-$E299*IF(длительность!$B$13&gt;70,0.25,0.4))&lt;0,0,IF((SUM($G300:DP300)-$E299*IF(длительность!$B$13&gt;70,0.25,0.4))&lt;DP300,SUM($G300:DP300)-$E299*IF(длительность!$B$13&gt;70,0.25,0.4),DP300))</f>
        <v>31</v>
      </c>
      <c r="DQ330" s="402">
        <f ca="1">IF((SUM($G300:DQ300)-$E299*IF(длительность!$B$13&gt;70,0.25,0.4))&lt;0,0,IF((SUM($G300:DQ300)-$E299*IF(длительность!$B$13&gt;70,0.25,0.4))&lt;DQ300,SUM($G300:DQ300)-$E299*IF(длительность!$B$13&gt;70,0.25,0.4),DQ300))</f>
        <v>30</v>
      </c>
      <c r="DR330" s="402">
        <f ca="1">IF((SUM($G300:DR300)-$E299*IF(длительность!$B$13&gt;70,0.25,0.4))&lt;0,0,IF((SUM($G300:DR300)-$E299*IF(длительность!$B$13&gt;70,0.25,0.4))&lt;DR300,SUM($G300:DR300)-$E299*IF(длительность!$B$13&gt;70,0.25,0.4),DR300))</f>
        <v>31</v>
      </c>
      <c r="DS330" s="402">
        <f ca="1">IF((SUM($G300:DS300)-$E299*IF(длительность!$B$13&gt;70,0.25,0.4))&lt;0,0,IF((SUM($G300:DS300)-$E299*IF(длительность!$B$13&gt;70,0.25,0.4))&lt;DS300,SUM($G300:DS300)-$E299*IF(длительность!$B$13&gt;70,0.25,0.4),DS300))</f>
        <v>30</v>
      </c>
      <c r="DT330" s="402">
        <f ca="1">IF((SUM($G300:DT300)-$E299*IF(длительность!$B$13&gt;70,0.25,0.4))&lt;0,0,IF((SUM($G300:DT300)-$E299*IF(длительность!$B$13&gt;70,0.25,0.4))&lt;DT300,SUM($G300:DT300)-$E299*IF(длительность!$B$13&gt;70,0.25,0.4),DT300))</f>
        <v>31</v>
      </c>
      <c r="DU330" s="402">
        <f ca="1">IF((SUM($G300:DU300)-$E299*IF(длительность!$B$13&gt;70,0.25,0.4))&lt;0,0,IF((SUM($G300:DU300)-$E299*IF(длительность!$B$13&gt;70,0.25,0.4))&lt;DU300,SUM($G300:DU300)-$E299*IF(длительность!$B$13&gt;70,0.25,0.4),DU300))</f>
        <v>31</v>
      </c>
      <c r="DV330" s="402">
        <f ca="1">IF((SUM($G300:DV300)-$E299*IF(длительность!$B$13&gt;70,0.25,0.4))&lt;0,0,IF((SUM($G300:DV300)-$E299*IF(длительность!$B$13&gt;70,0.25,0.4))&lt;DV300,SUM($G300:DV300)-$E299*IF(длительность!$B$13&gt;70,0.25,0.4),DV300))</f>
        <v>28</v>
      </c>
      <c r="DW330" s="402">
        <f ca="1">IF((SUM($G300:DW300)-$E299*IF(длительность!$B$13&gt;70,0.25,0.4))&lt;0,0,IF((SUM($G300:DW300)-$E299*IF(длительность!$B$13&gt;70,0.25,0.4))&lt;DW300,SUM($G300:DW300)-$E299*IF(длительность!$B$13&gt;70,0.25,0.4),DW300))</f>
        <v>31</v>
      </c>
      <c r="DX330" s="402">
        <f ca="1">IF((SUM($G300:DX300)-$E299*IF(длительность!$B$13&gt;70,0.25,0.4))&lt;0,0,IF((SUM($G300:DX300)-$E299*IF(длительность!$B$13&gt;70,0.25,0.4))&lt;DX300,SUM($G300:DX300)-$E299*IF(длительность!$B$13&gt;70,0.25,0.4),DX300))</f>
        <v>30</v>
      </c>
      <c r="DY330" s="402">
        <f ca="1">IF((SUM($G300:DY300)-$E299*IF(длительность!$B$13&gt;70,0.25,0.4))&lt;0,0,IF((SUM($G300:DY300)-$E299*IF(длительность!$B$13&gt;70,0.25,0.4))&lt;DY300,SUM($G300:DY300)-$E299*IF(длительность!$B$13&gt;70,0.25,0.4),DY300))</f>
        <v>31</v>
      </c>
      <c r="DZ330" s="402">
        <f ca="1">IF((SUM($G300:DZ300)-$E299*IF(длительность!$B$13&gt;70,0.25,0.4))&lt;0,0,IF((SUM($G300:DZ300)-$E299*IF(длительность!$B$13&gt;70,0.25,0.4))&lt;DZ300,SUM($G300:DZ300)-$E299*IF(длительность!$B$13&gt;70,0.25,0.4),DZ300))</f>
        <v>30</v>
      </c>
      <c r="EA330" s="402">
        <f ca="1">IF((SUM($G300:EA300)-$E299*IF(длительность!$B$13&gt;70,0.25,0.4))&lt;0,0,IF((SUM($G300:EA300)-$E299*IF(длительность!$B$13&gt;70,0.25,0.4))&lt;EA300,SUM($G300:EA300)-$E299*IF(длительность!$B$13&gt;70,0.25,0.4),EA300))</f>
        <v>31</v>
      </c>
      <c r="EB330" s="402">
        <f ca="1">IF((SUM($G300:EB300)-$E299*IF(длительность!$B$13&gt;70,0.25,0.4))&lt;0,0,IF((SUM($G300:EB300)-$E299*IF(длительность!$B$13&gt;70,0.25,0.4))&lt;EB300,SUM($G300:EB300)-$E299*IF(длительность!$B$13&gt;70,0.25,0.4),EB300))</f>
        <v>31</v>
      </c>
      <c r="EC330" s="402">
        <f ca="1">IF((SUM($G300:EC300)-$E299*IF(длительность!$B$13&gt;70,0.25,0.4))&lt;0,0,IF((SUM($G300:EC300)-$E299*IF(длительность!$B$13&gt;70,0.25,0.4))&lt;EC300,SUM($G300:EC300)-$E299*IF(длительность!$B$13&gt;70,0.25,0.4),EC300))</f>
        <v>30</v>
      </c>
      <c r="ED330" s="402">
        <f ca="1">IF((SUM($G300:ED300)-$E299*IF(длительность!$B$13&gt;70,0.25,0.4))&lt;0,0,IF((SUM($G300:ED300)-$E299*IF(длительность!$B$13&gt;70,0.25,0.4))&lt;ED300,SUM($G300:ED300)-$E299*IF(длительность!$B$13&gt;70,0.25,0.4),ED300))</f>
        <v>31</v>
      </c>
      <c r="EE330" s="402">
        <f ca="1">IF((SUM($G300:EE300)-$E299*IF(длительность!$B$13&gt;70,0.25,0.4))&lt;0,0,IF((SUM($G300:EE300)-$E299*IF(длительность!$B$13&gt;70,0.25,0.4))&lt;EE300,SUM($G300:EE300)-$E299*IF(длительность!$B$13&gt;70,0.25,0.4),EE300))</f>
        <v>30</v>
      </c>
      <c r="EF330" s="402">
        <f ca="1">IF((SUM($G300:EF300)-$E299*IF(длительность!$B$13&gt;70,0.25,0.4))&lt;0,0,IF((SUM($G300:EF300)-$E299*IF(длительность!$B$13&gt;70,0.25,0.4))&lt;EF300,SUM($G300:EF300)-$E299*IF(длительность!$B$13&gt;70,0.25,0.4),EF300))</f>
        <v>31</v>
      </c>
      <c r="EG330" s="402">
        <f ca="1">IF((SUM($G300:EG300)-$E299*IF(длительность!$B$13&gt;70,0.25,0.4))&lt;0,0,IF((SUM($G300:EG300)-$E299*IF(длительность!$B$13&gt;70,0.25,0.4))&lt;EG300,SUM($G300:EG300)-$E299*IF(длительность!$B$13&gt;70,0.25,0.4),EG300))</f>
        <v>31</v>
      </c>
      <c r="EH330" s="402">
        <f ca="1">IF((SUM($G300:EH300)-$E299*IF(длительность!$B$13&gt;70,0.25,0.4))&lt;0,0,IF((SUM($G300:EH300)-$E299*IF(длительность!$B$13&gt;70,0.25,0.4))&lt;EH300,SUM($G300:EH300)-$E299*IF(длительность!$B$13&gt;70,0.25,0.4),EH300))</f>
        <v>28</v>
      </c>
      <c r="EI330" s="402">
        <f ca="1">IF((SUM($G300:EI300)-$E299*IF(длительность!$B$13&gt;70,0.25,0.4))&lt;0,0,IF((SUM($G300:EI300)-$E299*IF(длительность!$B$13&gt;70,0.25,0.4))&lt;EI300,SUM($G300:EI300)-$E299*IF(длительность!$B$13&gt;70,0.25,0.4),EI300))</f>
        <v>31</v>
      </c>
    </row>
    <row r="331" spans="1:141" hidden="1" outlineLevel="2">
      <c r="A331" s="332"/>
      <c r="D331" s="305" t="s">
        <v>670</v>
      </c>
      <c r="E331" s="403">
        <f ca="1">MIN(G331:EI331)</f>
        <v>46266</v>
      </c>
      <c r="F331" s="404">
        <f ca="1">MAX(G331:EI331)</f>
        <v>46266</v>
      </c>
      <c r="G331" s="403" t="str">
        <f ca="1">IF(G329=0,"",IF(SUM($G329:G329)&gt;=1,OFFSET(G$228,-1,0),""))</f>
        <v/>
      </c>
      <c r="H331" s="403" t="str">
        <f ca="1">IF(SUM($G331:G331)&gt;=1,"",IF(H329=0,"",IF(SUM($G329:H329)&gt;=1,OFFSET(H$228,-1,0),"")))</f>
        <v/>
      </c>
      <c r="I331" s="403" t="str">
        <f ca="1">IF(SUM($G331:H331)&gt;=1,"",IF(I329=0,"",IF(SUM($G329:I329)&gt;=1,OFFSET(I$228,-1,0),"")))</f>
        <v/>
      </c>
      <c r="J331" s="403" t="str">
        <f ca="1">IF(SUM($G331:I331)&gt;=1,"",IF(J329=0,"",IF(SUM($G329:J329)&gt;=1,OFFSET(J$228,-1,0),"")))</f>
        <v/>
      </c>
      <c r="K331" s="403" t="str">
        <f ca="1">IF(SUM($G331:J331)&gt;=1,"",IF(K329=0,"",IF(SUM($G329:K329)&gt;=1,OFFSET(K$228,-1,0),"")))</f>
        <v/>
      </c>
      <c r="L331" s="403" t="str">
        <f ca="1">IF(SUM($G331:K331)&gt;=1,"",IF(L329=0,"",IF(SUM($G329:L329)&gt;=1,OFFSET(L$228,-1,0),"")))</f>
        <v/>
      </c>
      <c r="M331" s="403" t="str">
        <f ca="1">IF(SUM($G331:L331)&gt;=1,"",IF(M329=0,"",IF(SUM($G329:M329)&gt;=1,OFFSET(M$228,-1,0),"")))</f>
        <v/>
      </c>
      <c r="N331" s="403" t="str">
        <f ca="1">IF(SUM($G331:M331)&gt;=1,"",IF(N329=0,"",IF(SUM($G329:N329)&gt;=1,OFFSET(N$228,-1,0),"")))</f>
        <v/>
      </c>
      <c r="O331" s="403" t="str">
        <f ca="1">IF(SUM($G331:N331)&gt;=1,"",IF(O329=0,"",IF(SUM($G329:O329)&gt;=1,OFFSET(O$228,-1,0),"")))</f>
        <v/>
      </c>
      <c r="P331" s="403" t="str">
        <f ca="1">IF(SUM($G331:O331)&gt;=1,"",IF(P329=0,"",IF(SUM($G329:P329)&gt;=1,OFFSET(P$228,-1,0),"")))</f>
        <v/>
      </c>
      <c r="Q331" s="403" t="str">
        <f ca="1">IF(SUM($G331:P331)&gt;=1,"",IF(Q329=0,"",IF(SUM($G329:Q329)&gt;=1,OFFSET(Q$228,-1,0),"")))</f>
        <v/>
      </c>
      <c r="R331" s="403" t="str">
        <f ca="1">IF(SUM($G331:Q331)&gt;=1,"",IF(R329=0,"",IF(SUM($G329:R329)&gt;=1,OFFSET(R$228,-1,0),"")))</f>
        <v/>
      </c>
      <c r="S331" s="403" t="str">
        <f ca="1">IF(SUM($G331:R331)&gt;=1,"",IF(S329=0,"",IF(SUM($G329:S329)&gt;=1,OFFSET(S$228,-1,0),"")))</f>
        <v/>
      </c>
      <c r="T331" s="403" t="str">
        <f ca="1">IF(SUM($G331:S331)&gt;=1,"",IF(T329=0,"",IF(SUM($G329:T329)&gt;=1,OFFSET(T$228,-1,0),"")))</f>
        <v/>
      </c>
      <c r="U331" s="403" t="str">
        <f ca="1">IF(SUM($G331:T331)&gt;=1,"",IF(U329=0,"",IF(SUM($G329:U329)&gt;=1,OFFSET(U$228,-1,0),"")))</f>
        <v/>
      </c>
      <c r="V331" s="403" t="str">
        <f ca="1">IF(SUM($G331:U331)&gt;=1,"",IF(V329=0,"",IF(SUM($G329:V329)&gt;=1,OFFSET(V$228,-1,0),"")))</f>
        <v/>
      </c>
      <c r="W331" s="403" t="str">
        <f ca="1">IF(SUM($G331:V331)&gt;=1,"",IF(W329=0,"",IF(SUM($G329:W329)&gt;=1,OFFSET(W$228,-1,0),"")))</f>
        <v/>
      </c>
      <c r="X331" s="403" t="str">
        <f ca="1">IF(SUM($G331:W331)&gt;=1,"",IF(X329=0,"",IF(SUM($G329:X329)&gt;=1,OFFSET(X$228,-1,0),"")))</f>
        <v/>
      </c>
      <c r="Y331" s="403" t="str">
        <f ca="1">IF(SUM($G331:X331)&gt;=1,"",IF(Y329=0,"",IF(SUM($G329:Y329)&gt;=1,OFFSET(Y$228,-1,0),"")))</f>
        <v/>
      </c>
      <c r="Z331" s="403" t="str">
        <f ca="1">IF(SUM($G331:Y331)&gt;=1,"",IF(Z329=0,"",IF(SUM($G329:Z329)&gt;=1,OFFSET(Z$228,-1,0),"")))</f>
        <v/>
      </c>
      <c r="AA331" s="403" t="str">
        <f ca="1">IF(SUM($G331:Z331)&gt;=1,"",IF(AA329=0,"",IF(SUM($G329:AA329)&gt;=1,OFFSET(AA$228,-1,0),"")))</f>
        <v/>
      </c>
      <c r="AB331" s="403" t="str">
        <f ca="1">IF(SUM($G331:AA331)&gt;=1,"",IF(AB329=0,"",IF(SUM($G329:AB329)&gt;=1,OFFSET(AB$228,-1,0),"")))</f>
        <v/>
      </c>
      <c r="AC331" s="403" t="str">
        <f ca="1">IF(SUM($G331:AB331)&gt;=1,"",IF(AC329=0,"",IF(SUM($G329:AC329)&gt;=1,OFFSET(AC$228,-1,0),"")))</f>
        <v/>
      </c>
      <c r="AD331" s="403" t="str">
        <f ca="1">IF(SUM($G331:AC331)&gt;=1,"",IF(AD329=0,"",IF(SUM($G329:AD329)&gt;=1,OFFSET(AD$228,-1,0),"")))</f>
        <v/>
      </c>
      <c r="AE331" s="403" t="str">
        <f ca="1">IF(SUM($G331:AD331)&gt;=1,"",IF(AE329=0,"",IF(SUM($G329:AE329)&gt;=1,OFFSET(AE$228,-1,0),"")))</f>
        <v/>
      </c>
      <c r="AF331" s="403" t="str">
        <f ca="1">IF(SUM($G331:AE331)&gt;=1,"",IF(AF329=0,"",IF(SUM($G329:AF329)&gt;=1,OFFSET(AF$228,-1,0),"")))</f>
        <v/>
      </c>
      <c r="AG331" s="403" t="str">
        <f ca="1">IF(SUM($G331:AF331)&gt;=1,"",IF(AG329=0,"",IF(SUM($G329:AG329)&gt;=1,OFFSET(AG$228,-1,0),"")))</f>
        <v/>
      </c>
      <c r="AH331" s="403" t="str">
        <f ca="1">IF(SUM($G331:AG331)&gt;=1,"",IF(AH329=0,"",IF(SUM($G329:AH329)&gt;=1,OFFSET(AH$228,-1,0),"")))</f>
        <v/>
      </c>
      <c r="AI331" s="403" t="str">
        <f ca="1">IF(SUM($G331:AH331)&gt;=1,"",IF(AI329=0,"",IF(SUM($G329:AI329)&gt;=1,OFFSET(AI$228,-1,0),"")))</f>
        <v/>
      </c>
      <c r="AJ331" s="403" t="str">
        <f ca="1">IF(SUM($G331:AI331)&gt;=1,"",IF(AJ329=0,"",IF(SUM($G329:AJ329)&gt;=1,OFFSET(AJ$228,-1,0),"")))</f>
        <v/>
      </c>
      <c r="AK331" s="403" t="str">
        <f ca="1">IF(SUM($G331:AJ331)&gt;=1,"",IF(AK329=0,"",IF(SUM($G329:AK329)&gt;=1,OFFSET(AK$228,-1,0),"")))</f>
        <v/>
      </c>
      <c r="AL331" s="403" t="str">
        <f ca="1">IF(SUM($G331:AK331)&gt;=1,"",IF(AL329=0,"",IF(SUM($G329:AL329)&gt;=1,OFFSET(AL$228,-1,0),"")))</f>
        <v/>
      </c>
      <c r="AM331" s="403" t="str">
        <f ca="1">IF(SUM($G331:AL331)&gt;=1,"",IF(AM329=0,"",IF(SUM($G329:AM329)&gt;=1,OFFSET(AM$228,-1,0),"")))</f>
        <v/>
      </c>
      <c r="AN331" s="403" t="str">
        <f ca="1">IF(SUM($G331:AM331)&gt;=1,"",IF(AN329=0,"",IF(SUM($G329:AN329)&gt;=1,OFFSET(AN$228,-1,0),"")))</f>
        <v/>
      </c>
      <c r="AO331" s="403" t="str">
        <f ca="1">IF(SUM($G331:AN331)&gt;=1,"",IF(AO329=0,"",IF(SUM($G329:AO329)&gt;=1,OFFSET(AO$228,-1,0),"")))</f>
        <v/>
      </c>
      <c r="AP331" s="403" t="str">
        <f ca="1">IF(SUM($G331:AO331)&gt;=1,"",IF(AP329=0,"",IF(SUM($G329:AP329)&gt;=1,OFFSET(AP$228,-1,0),"")))</f>
        <v/>
      </c>
      <c r="AQ331" s="403" t="str">
        <f ca="1">IF(SUM($G331:AP331)&gt;=1,"",IF(AQ329=0,"",IF(SUM($G329:AQ329)&gt;=1,OFFSET(AQ$228,-1,0),"")))</f>
        <v/>
      </c>
      <c r="AR331" s="403" t="str">
        <f ca="1">IF(SUM($G331:AQ331)&gt;=1,"",IF(AR329=0,"",IF(SUM($G329:AR329)&gt;=1,OFFSET(AR$228,-1,0),"")))</f>
        <v/>
      </c>
      <c r="AS331" s="403" t="str">
        <f ca="1">IF(SUM($G331:AR331)&gt;=1,"",IF(AS329=0,"",IF(SUM($G329:AS329)&gt;=1,OFFSET(AS$228,-1,0),"")))</f>
        <v/>
      </c>
      <c r="AT331" s="403" t="str">
        <f ca="1">IF(SUM($G331:AS331)&gt;=1,"",IF(AT329=0,"",IF(SUM($G329:AT329)&gt;=1,OFFSET(AT$228,-1,0),"")))</f>
        <v/>
      </c>
      <c r="AU331" s="403" t="str">
        <f ca="1">IF(SUM($G331:AT331)&gt;=1,"",IF(AU329=0,"",IF(SUM($G329:AU329)&gt;=1,OFFSET(AU$228,-1,0),"")))</f>
        <v/>
      </c>
      <c r="AV331" s="403" t="str">
        <f ca="1">IF(SUM($G331:AU331)&gt;=1,"",IF(AV329=0,"",IF(SUM($G329:AV329)&gt;=1,OFFSET(AV$228,-1,0),"")))</f>
        <v/>
      </c>
      <c r="AW331" s="403">
        <f ca="1">IF(SUM($G331:AV331)&gt;=1,"",IF(AW329=0,"",IF(SUM($G329:AW329)&gt;=1,OFFSET(AW$228,-1,0),"")))</f>
        <v>46266</v>
      </c>
      <c r="AX331" s="403" t="str">
        <f ca="1">IF(SUM($G331:AW331)&gt;=1,"",IF(AX329=0,"",IF(SUM($G329:AX329)&gt;=1,OFFSET(AX$228,-1,0),"")))</f>
        <v/>
      </c>
      <c r="AY331" s="403" t="str">
        <f ca="1">IF(SUM($G331:AX331)&gt;=1,"",IF(AY329=0,"",IF(SUM($G329:AY329)&gt;=1,OFFSET(AY$228,-1,0),"")))</f>
        <v/>
      </c>
      <c r="AZ331" s="403" t="str">
        <f ca="1">IF(SUM($G331:AY331)&gt;=1,"",IF(AZ329=0,"",IF(SUM($G329:AZ329)&gt;=1,OFFSET(AZ$228,-1,0),"")))</f>
        <v/>
      </c>
      <c r="BA331" s="403" t="str">
        <f ca="1">IF(SUM($G331:AZ331)&gt;=1,"",IF(BA329=0,"",IF(SUM($G329:BA329)&gt;=1,OFFSET(BA$228,-1,0),"")))</f>
        <v/>
      </c>
      <c r="BB331" s="403" t="str">
        <f ca="1">IF(SUM($G331:BA331)&gt;=1,"",IF(BB329=0,"",IF(SUM($G329:BB329)&gt;=1,OFFSET(BB$228,-1,0),"")))</f>
        <v/>
      </c>
      <c r="BC331" s="403" t="str">
        <f ca="1">IF(SUM($G331:BB331)&gt;=1,"",IF(BC329=0,"",IF(SUM($G329:BC329)&gt;=1,OFFSET(BC$228,-1,0),"")))</f>
        <v/>
      </c>
      <c r="BD331" s="403" t="str">
        <f ca="1">IF(SUM($G331:BC331)&gt;=1,"",IF(BD329=0,"",IF(SUM($G329:BD329)&gt;=1,OFFSET(BD$228,-1,0),"")))</f>
        <v/>
      </c>
      <c r="BE331" s="403" t="str">
        <f ca="1">IF(SUM($G331:BD331)&gt;=1,"",IF(BE329=0,"",IF(SUM($G329:BE329)&gt;=1,OFFSET(BE$228,-1,0),"")))</f>
        <v/>
      </c>
      <c r="BF331" s="403" t="str">
        <f ca="1">IF(SUM($G331:BE331)&gt;=1,"",IF(BF329=0,"",IF(SUM($G329:BF329)&gt;=1,OFFSET(BF$228,-1,0),"")))</f>
        <v/>
      </c>
      <c r="BG331" s="403" t="str">
        <f ca="1">IF(SUM($G331:BF331)&gt;=1,"",IF(BG329=0,"",IF(SUM($G329:BG329)&gt;=1,OFFSET(BG$228,-1,0),"")))</f>
        <v/>
      </c>
      <c r="BH331" s="403" t="str">
        <f ca="1">IF(SUM($G331:BG331)&gt;=1,"",IF(BH329=0,"",IF(SUM($G329:BH329)&gt;=1,OFFSET(BH$228,-1,0),"")))</f>
        <v/>
      </c>
      <c r="BI331" s="403" t="str">
        <f ca="1">IF(SUM($G331:BH331)&gt;=1,"",IF(BI329=0,"",IF(SUM($G329:BI329)&gt;=1,OFFSET(BI$228,-1,0),"")))</f>
        <v/>
      </c>
      <c r="BJ331" s="403" t="str">
        <f ca="1">IF(SUM($G331:BI331)&gt;=1,"",IF(BJ329=0,"",IF(SUM($G329:BJ329)&gt;=1,OFFSET(BJ$228,-1,0),"")))</f>
        <v/>
      </c>
      <c r="BK331" s="403" t="str">
        <f ca="1">IF(SUM($G331:BJ331)&gt;=1,"",IF(BK329=0,"",IF(SUM($G329:BK329)&gt;=1,OFFSET(BK$228,-1,0),"")))</f>
        <v/>
      </c>
      <c r="BL331" s="403" t="str">
        <f ca="1">IF(SUM($G331:BK331)&gt;=1,"",IF(BL329=0,"",IF(SUM($G329:BL329)&gt;=1,OFFSET(BL$228,-1,0),"")))</f>
        <v/>
      </c>
      <c r="BM331" s="403" t="str">
        <f ca="1">IF(SUM($G331:BL331)&gt;=1,"",IF(BM329=0,"",IF(SUM($G329:BM329)&gt;=1,OFFSET(BM$228,-1,0),"")))</f>
        <v/>
      </c>
      <c r="BN331" s="403" t="str">
        <f ca="1">IF(SUM($G331:BM331)&gt;=1,"",IF(BN329=0,"",IF(SUM($G329:BN329)&gt;=1,OFFSET(BN$228,-1,0),"")))</f>
        <v/>
      </c>
      <c r="BO331" s="403" t="str">
        <f ca="1">IF(SUM($G331:BN331)&gt;=1,"",IF(BO329=0,"",IF(SUM($G329:BO329)&gt;=1,OFFSET(BO$228,-1,0),"")))</f>
        <v/>
      </c>
      <c r="BP331" s="403" t="str">
        <f ca="1">IF(SUM($G331:BO331)&gt;=1,"",IF(BP329=0,"",IF(SUM($G329:BP329)&gt;=1,OFFSET(BP$228,-1,0),"")))</f>
        <v/>
      </c>
      <c r="BQ331" s="403" t="str">
        <f ca="1">IF(SUM($G331:BP331)&gt;=1,"",IF(BQ329=0,"",IF(SUM($G329:BQ329)&gt;=1,OFFSET(BQ$228,-1,0),"")))</f>
        <v/>
      </c>
      <c r="BR331" s="403" t="str">
        <f ca="1">IF(SUM($G331:BQ331)&gt;=1,"",IF(BR329=0,"",IF(SUM($G329:BR329)&gt;=1,OFFSET(BR$228,-1,0),"")))</f>
        <v/>
      </c>
      <c r="BS331" s="403" t="str">
        <f ca="1">IF(SUM($G331:BR331)&gt;=1,"",IF(BS329=0,"",IF(SUM($G329:BS329)&gt;=1,OFFSET(BS$228,-1,0),"")))</f>
        <v/>
      </c>
      <c r="BT331" s="403" t="str">
        <f ca="1">IF(SUM($G331:BS331)&gt;=1,"",IF(BT329=0,"",IF(SUM($G329:BT329)&gt;=1,OFFSET(BT$228,-1,0),"")))</f>
        <v/>
      </c>
      <c r="BU331" s="403" t="str">
        <f ca="1">IF(SUM($G331:BT331)&gt;=1,"",IF(BU329=0,"",IF(SUM($G329:BU329)&gt;=1,OFFSET(BU$228,-1,0),"")))</f>
        <v/>
      </c>
      <c r="BV331" s="403" t="str">
        <f ca="1">IF(SUM($G331:BU331)&gt;=1,"",IF(BV329=0,"",IF(SUM($G329:BV329)&gt;=1,OFFSET(BV$228,-1,0),"")))</f>
        <v/>
      </c>
      <c r="BW331" s="403" t="str">
        <f ca="1">IF(SUM($G331:BV331)&gt;=1,"",IF(BW329=0,"",IF(SUM($G329:BW329)&gt;=1,OFFSET(BW$228,-1,0),"")))</f>
        <v/>
      </c>
      <c r="BX331" s="403" t="str">
        <f ca="1">IF(SUM($G331:BW331)&gt;=1,"",IF(BX329=0,"",IF(SUM($G329:BX329)&gt;=1,OFFSET(BX$228,-1,0),"")))</f>
        <v/>
      </c>
      <c r="BY331" s="403" t="str">
        <f ca="1">IF(SUM($G331:BX331)&gt;=1,"",IF(BY329=0,"",IF(SUM($G329:BY329)&gt;=1,OFFSET(BY$228,-1,0),"")))</f>
        <v/>
      </c>
      <c r="BZ331" s="403" t="str">
        <f ca="1">IF(SUM($G331:BY331)&gt;=1,"",IF(BZ329=0,"",IF(SUM($G329:BZ329)&gt;=1,OFFSET(BZ$228,-1,0),"")))</f>
        <v/>
      </c>
      <c r="CA331" s="403" t="str">
        <f ca="1">IF(SUM($G331:BZ331)&gt;=1,"",IF(CA329=0,"",IF(SUM($G329:CA329)&gt;=1,OFFSET(CA$228,-1,0),"")))</f>
        <v/>
      </c>
      <c r="CB331" s="403" t="str">
        <f ca="1">IF(SUM($G331:CA331)&gt;=1,"",IF(CB329=0,"",IF(SUM($G329:CB329)&gt;=1,OFFSET(CB$228,-1,0),"")))</f>
        <v/>
      </c>
      <c r="CC331" s="403" t="str">
        <f ca="1">IF(SUM($G331:CB331)&gt;=1,"",IF(CC329=0,"",IF(SUM($G329:CC329)&gt;=1,OFFSET(CC$228,-1,0),"")))</f>
        <v/>
      </c>
      <c r="CD331" s="403" t="str">
        <f ca="1">IF(SUM($G331:CC331)&gt;=1,"",IF(CD329=0,"",IF(SUM($G329:CD329)&gt;=1,OFFSET(CD$228,-1,0),"")))</f>
        <v/>
      </c>
      <c r="CE331" s="403" t="str">
        <f ca="1">IF(SUM($G331:CD331)&gt;=1,"",IF(CE329=0,"",IF(SUM($G329:CE329)&gt;=1,OFFSET(CE$228,-1,0),"")))</f>
        <v/>
      </c>
      <c r="CF331" s="403" t="str">
        <f ca="1">IF(SUM($G331:CE331)&gt;=1,"",IF(CF329=0,"",IF(SUM($G329:CF329)&gt;=1,OFFSET(CF$228,-1,0),"")))</f>
        <v/>
      </c>
      <c r="CG331" s="403" t="str">
        <f ca="1">IF(SUM($G331:CF331)&gt;=1,"",IF(CG329=0,"",IF(SUM($G329:CG329)&gt;=1,OFFSET(CG$228,-1,0),"")))</f>
        <v/>
      </c>
      <c r="CH331" s="403" t="str">
        <f ca="1">IF(SUM($G331:CG331)&gt;=1,"",IF(CH329=0,"",IF(SUM($G329:CH329)&gt;=1,OFFSET(CH$228,-1,0),"")))</f>
        <v/>
      </c>
      <c r="CI331" s="403" t="str">
        <f ca="1">IF(SUM($G331:CH331)&gt;=1,"",IF(CI329=0,"",IF(SUM($G329:CI329)&gt;=1,OFFSET(CI$228,-1,0),"")))</f>
        <v/>
      </c>
      <c r="CJ331" s="403" t="str">
        <f ca="1">IF(SUM($G331:CI331)&gt;=1,"",IF(CJ329=0,"",IF(SUM($G329:CJ329)&gt;=1,OFFSET(CJ$228,-1,0),"")))</f>
        <v/>
      </c>
      <c r="CK331" s="403" t="str">
        <f ca="1">IF(SUM($G331:CJ331)&gt;=1,"",IF(CK329=0,"",IF(SUM($G329:CK329)&gt;=1,OFFSET(CK$228,-1,0),"")))</f>
        <v/>
      </c>
      <c r="CL331" s="403" t="str">
        <f ca="1">IF(SUM($G331:CK331)&gt;=1,"",IF(CL329=0,"",IF(SUM($G329:CL329)&gt;=1,OFFSET(CL$228,-1,0),"")))</f>
        <v/>
      </c>
      <c r="CM331" s="403" t="str">
        <f ca="1">IF(SUM($G331:CL331)&gt;=1,"",IF(CM329=0,"",IF(SUM($G329:CM329)&gt;=1,OFFSET(CM$228,-1,0),"")))</f>
        <v/>
      </c>
      <c r="CN331" s="403" t="str">
        <f ca="1">IF(SUM($G331:CM331)&gt;=1,"",IF(CN329=0,"",IF(SUM($G329:CN329)&gt;=1,OFFSET(CN$228,-1,0),"")))</f>
        <v/>
      </c>
      <c r="CO331" s="403" t="str">
        <f ca="1">IF(SUM($G331:CN331)&gt;=1,"",IF(CO329=0,"",IF(SUM($G329:CO329)&gt;=1,OFFSET(CO$228,-1,0),"")))</f>
        <v/>
      </c>
      <c r="CP331" s="403" t="str">
        <f ca="1">IF(SUM($G331:CO331)&gt;=1,"",IF(CP329=0,"",IF(SUM($G329:CP329)&gt;=1,OFFSET(CP$228,-1,0),"")))</f>
        <v/>
      </c>
      <c r="CQ331" s="403" t="str">
        <f ca="1">IF(SUM($G331:CP331)&gt;=1,"",IF(CQ329=0,"",IF(SUM($G329:CQ329)&gt;=1,OFFSET(CQ$228,-1,0),"")))</f>
        <v/>
      </c>
      <c r="CR331" s="403" t="str">
        <f ca="1">IF(SUM($G331:CQ331)&gt;=1,"",IF(CR329=0,"",IF(SUM($G329:CR329)&gt;=1,OFFSET(CR$228,-1,0),"")))</f>
        <v/>
      </c>
      <c r="CS331" s="403" t="str">
        <f ca="1">IF(SUM($G331:CR331)&gt;=1,"",IF(CS329=0,"",IF(SUM($G329:CS329)&gt;=1,OFFSET(CS$228,-1,0),"")))</f>
        <v/>
      </c>
      <c r="CT331" s="403" t="str">
        <f ca="1">IF(SUM($G331:CS331)&gt;=1,"",IF(CT329=0,"",IF(SUM($G329:CT329)&gt;=1,OFFSET(CT$228,-1,0),"")))</f>
        <v/>
      </c>
      <c r="CU331" s="403" t="str">
        <f ca="1">IF(SUM($G331:CT331)&gt;=1,"",IF(CU329=0,"",IF(SUM($G329:CU329)&gt;=1,OFFSET(CU$228,-1,0),"")))</f>
        <v/>
      </c>
      <c r="CV331" s="403" t="str">
        <f ca="1">IF(SUM($G331:CU331)&gt;=1,"",IF(CV329=0,"",IF(SUM($G329:CV329)&gt;=1,OFFSET(CV$228,-1,0),"")))</f>
        <v/>
      </c>
      <c r="CW331" s="403" t="str">
        <f ca="1">IF(SUM($G331:CV331)&gt;=1,"",IF(CW329=0,"",IF(SUM($G329:CW329)&gt;=1,OFFSET(CW$228,-1,0),"")))</f>
        <v/>
      </c>
      <c r="CX331" s="403" t="str">
        <f ca="1">IF(SUM($G331:CW331)&gt;=1,"",IF(CX329=0,"",IF(SUM($G329:CX329)&gt;=1,OFFSET(CX$228,-1,0),"")))</f>
        <v/>
      </c>
      <c r="CY331" s="403" t="str">
        <f ca="1">IF(SUM($G331:CX331)&gt;=1,"",IF(CY329=0,"",IF(SUM($G329:CY329)&gt;=1,OFFSET(CY$228,-1,0),"")))</f>
        <v/>
      </c>
      <c r="CZ331" s="403" t="str">
        <f ca="1">IF(SUM($G331:CY331)&gt;=1,"",IF(CZ329=0,"",IF(SUM($G329:CZ329)&gt;=1,OFFSET(CZ$228,-1,0),"")))</f>
        <v/>
      </c>
      <c r="DA331" s="403" t="str">
        <f ca="1">IF(SUM($G331:CZ331)&gt;=1,"",IF(DA329=0,"",IF(SUM($G329:DA329)&gt;=1,OFFSET(DA$228,-1,0),"")))</f>
        <v/>
      </c>
      <c r="DB331" s="403" t="str">
        <f ca="1">IF(SUM($G331:DA331)&gt;=1,"",IF(DB329=0,"",IF(SUM($G329:DB329)&gt;=1,OFFSET(DB$228,-1,0),"")))</f>
        <v/>
      </c>
      <c r="DC331" s="403" t="str">
        <f ca="1">IF(SUM($G331:DB331)&gt;=1,"",IF(DC329=0,"",IF(SUM($G329:DC329)&gt;=1,OFFSET(DC$228,-1,0),"")))</f>
        <v/>
      </c>
      <c r="DD331" s="403" t="str">
        <f ca="1">IF(SUM($G331:DC331)&gt;=1,"",IF(DD329=0,"",IF(SUM($G329:DD329)&gt;=1,OFFSET(DD$228,-1,0),"")))</f>
        <v/>
      </c>
      <c r="DE331" s="403" t="str">
        <f ca="1">IF(SUM($G331:DD331)&gt;=1,"",IF(DE329=0,"",IF(SUM($G329:DE329)&gt;=1,OFFSET(DE$228,-1,0),"")))</f>
        <v/>
      </c>
      <c r="DF331" s="403" t="str">
        <f ca="1">IF(SUM($G331:DE331)&gt;=1,"",IF(DF329=0,"",IF(SUM($G329:DF329)&gt;=1,OFFSET(DF$228,-1,0),"")))</f>
        <v/>
      </c>
      <c r="DG331" s="403" t="str">
        <f ca="1">IF(SUM($G331:DF331)&gt;=1,"",IF(DG329=0,"",IF(SUM($G329:DG329)&gt;=1,OFFSET(DG$228,-1,0),"")))</f>
        <v/>
      </c>
      <c r="DH331" s="403" t="str">
        <f ca="1">IF(SUM($G331:DG331)&gt;=1,"",IF(DH329=0,"",IF(SUM($G329:DH329)&gt;=1,OFFSET(DH$228,-1,0),"")))</f>
        <v/>
      </c>
      <c r="DI331" s="403" t="str">
        <f ca="1">IF(SUM($G331:DH331)&gt;=1,"",IF(DI329=0,"",IF(SUM($G329:DI329)&gt;=1,OFFSET(DI$228,-1,0),"")))</f>
        <v/>
      </c>
      <c r="DJ331" s="403" t="str">
        <f ca="1">IF(SUM($G331:DI331)&gt;=1,"",IF(DJ329=0,"",IF(SUM($G329:DJ329)&gt;=1,OFFSET(DJ$228,-1,0),"")))</f>
        <v/>
      </c>
      <c r="DK331" s="403" t="str">
        <f ca="1">IF(SUM($G331:DJ331)&gt;=1,"",IF(DK329=0,"",IF(SUM($G329:DK329)&gt;=1,OFFSET(DK$228,-1,0),"")))</f>
        <v/>
      </c>
      <c r="DL331" s="403" t="str">
        <f ca="1">IF(SUM($G331:DK331)&gt;=1,"",IF(DL329=0,"",IF(SUM($G329:DL329)&gt;=1,OFFSET(DL$228,-1,0),"")))</f>
        <v/>
      </c>
      <c r="DM331" s="403" t="str">
        <f ca="1">IF(SUM($G331:DL331)&gt;=1,"",IF(DM329=0,"",IF(SUM($G329:DM329)&gt;=1,OFFSET(DM$228,-1,0),"")))</f>
        <v/>
      </c>
      <c r="DN331" s="403" t="str">
        <f ca="1">IF(SUM($G331:DM331)&gt;=1,"",IF(DN329=0,"",IF(SUM($G329:DN329)&gt;=1,OFFSET(DN$228,-1,0),"")))</f>
        <v/>
      </c>
      <c r="DO331" s="403" t="str">
        <f ca="1">IF(SUM($G331:DN331)&gt;=1,"",IF(DO329=0,"",IF(SUM($G329:DO329)&gt;=1,OFFSET(DO$228,-1,0),"")))</f>
        <v/>
      </c>
      <c r="DP331" s="403" t="str">
        <f ca="1">IF(SUM($G331:DO331)&gt;=1,"",IF(DP329=0,"",IF(SUM($G329:DP329)&gt;=1,OFFSET(DP$228,-1,0),"")))</f>
        <v/>
      </c>
      <c r="DQ331" s="403" t="str">
        <f ca="1">IF(SUM($G331:DP331)&gt;=1,"",IF(DQ329=0,"",IF(SUM($G329:DQ329)&gt;=1,OFFSET(DQ$228,-1,0),"")))</f>
        <v/>
      </c>
      <c r="DR331" s="403" t="str">
        <f ca="1">IF(SUM($G331:DQ331)&gt;=1,"",IF(DR329=0,"",IF(SUM($G329:DR329)&gt;=1,OFFSET(DR$228,-1,0),"")))</f>
        <v/>
      </c>
      <c r="DS331" s="403" t="str">
        <f ca="1">IF(SUM($G331:DR331)&gt;=1,"",IF(DS329=0,"",IF(SUM($G329:DS329)&gt;=1,OFFSET(DS$228,-1,0),"")))</f>
        <v/>
      </c>
      <c r="DT331" s="403" t="str">
        <f ca="1">IF(SUM($G331:DS331)&gt;=1,"",IF(DT329=0,"",IF(SUM($G329:DT329)&gt;=1,OFFSET(DT$228,-1,0),"")))</f>
        <v/>
      </c>
      <c r="DU331" s="403" t="str">
        <f ca="1">IF(SUM($G331:DT331)&gt;=1,"",IF(DU329=0,"",IF(SUM($G329:DU329)&gt;=1,OFFSET(DU$228,-1,0),"")))</f>
        <v/>
      </c>
      <c r="DV331" s="403" t="str">
        <f ca="1">IF(SUM($G331:DU331)&gt;=1,"",IF(DV329=0,"",IF(SUM($G329:DV329)&gt;=1,OFFSET(DV$228,-1,0),"")))</f>
        <v/>
      </c>
      <c r="DW331" s="403" t="str">
        <f ca="1">IF(SUM($G331:DV331)&gt;=1,"",IF(DW329=0,"",IF(SUM($G329:DW329)&gt;=1,OFFSET(DW$228,-1,0),"")))</f>
        <v/>
      </c>
      <c r="DX331" s="403" t="str">
        <f ca="1">IF(SUM($G331:DW331)&gt;=1,"",IF(DX329=0,"",IF(SUM($G329:DX329)&gt;=1,OFFSET(DX$228,-1,0),"")))</f>
        <v/>
      </c>
      <c r="DY331" s="403" t="str">
        <f ca="1">IF(SUM($G331:DX331)&gt;=1,"",IF(DY329=0,"",IF(SUM($G329:DY329)&gt;=1,OFFSET(DY$228,-1,0),"")))</f>
        <v/>
      </c>
      <c r="DZ331" s="403" t="str">
        <f ca="1">IF(SUM($G331:DY331)&gt;=1,"",IF(DZ329=0,"",IF(SUM($G329:DZ329)&gt;=1,OFFSET(DZ$228,-1,0),"")))</f>
        <v/>
      </c>
      <c r="EA331" s="403" t="str">
        <f ca="1">IF(SUM($G331:DZ331)&gt;=1,"",IF(EA329=0,"",IF(SUM($G329:EA329)&gt;=1,OFFSET(EA$228,-1,0),"")))</f>
        <v/>
      </c>
      <c r="EB331" s="403" t="str">
        <f ca="1">IF(SUM($G331:EA331)&gt;=1,"",IF(EB329=0,"",IF(SUM($G329:EB329)&gt;=1,OFFSET(EB$228,-1,0),"")))</f>
        <v/>
      </c>
      <c r="EC331" s="403" t="str">
        <f ca="1">IF(SUM($G331:EB331)&gt;=1,"",IF(EC329=0,"",IF(SUM($G329:EC329)&gt;=1,OFFSET(EC$228,-1,0),"")))</f>
        <v/>
      </c>
      <c r="ED331" s="403" t="str">
        <f ca="1">IF(SUM($G331:EC331)&gt;=1,"",IF(ED329=0,"",IF(SUM($G329:ED329)&gt;=1,OFFSET(ED$228,-1,0),"")))</f>
        <v/>
      </c>
      <c r="EE331" s="403" t="str">
        <f ca="1">IF(SUM($G331:ED331)&gt;=1,"",IF(EE329=0,"",IF(SUM($G329:EE329)&gt;=1,OFFSET(EE$228,-1,0),"")))</f>
        <v/>
      </c>
      <c r="EF331" s="403" t="str">
        <f ca="1">IF(SUM($G331:EE331)&gt;=1,"",IF(EF329=0,"",IF(SUM($G329:EF329)&gt;=1,OFFSET(EF$228,-1,0),"")))</f>
        <v/>
      </c>
      <c r="EG331" s="403" t="str">
        <f ca="1">IF(SUM($G331:EF331)&gt;=1,"",IF(EG329=0,"",IF(SUM($G329:EG329)&gt;=1,OFFSET(EG$228,-1,0),"")))</f>
        <v/>
      </c>
      <c r="EH331" s="403" t="str">
        <f ca="1">IF(SUM($G331:EG331)&gt;=1,"",IF(EH329=0,"",IF(SUM($G329:EH329)&gt;=1,OFFSET(EH$228,-1,0),"")))</f>
        <v/>
      </c>
      <c r="EI331" s="403" t="str">
        <f ca="1">IF(SUM($G331:EH331)&gt;=1,"",IF(EI329=0,"",IF(SUM($G329:EI329)&gt;=1,OFFSET(EI$228,-1,0),"")))</f>
        <v/>
      </c>
    </row>
    <row r="332" spans="1:141" hidden="1" outlineLevel="2">
      <c r="A332" s="332"/>
      <c r="D332" s="305" t="s">
        <v>671</v>
      </c>
      <c r="E332" s="1002">
        <f ca="1">IF(E329=0,"",MIN(G332:EI332))</f>
        <v>46290.95</v>
      </c>
      <c r="F332" s="1003"/>
      <c r="G332" s="403" t="str">
        <f>IF(G329=0,"",IF(G329=G$3,G331,G$5+H$5-G333-1))</f>
        <v/>
      </c>
      <c r="H332" s="403" t="str">
        <f t="shared" ref="H332:BS332" ca="1" si="518">IF(H329=0,"",IF(H329=H$3,H331,H$5+I$5-H333-1))</f>
        <v/>
      </c>
      <c r="I332" s="403" t="str">
        <f t="shared" ca="1" si="518"/>
        <v/>
      </c>
      <c r="J332" s="403" t="str">
        <f t="shared" ca="1" si="518"/>
        <v/>
      </c>
      <c r="K332" s="403" t="str">
        <f t="shared" ca="1" si="518"/>
        <v/>
      </c>
      <c r="L332" s="403" t="str">
        <f t="shared" ca="1" si="518"/>
        <v/>
      </c>
      <c r="M332" s="403" t="str">
        <f t="shared" ca="1" si="518"/>
        <v/>
      </c>
      <c r="N332" s="403" t="str">
        <f t="shared" ca="1" si="518"/>
        <v/>
      </c>
      <c r="O332" s="403" t="str">
        <f t="shared" ca="1" si="518"/>
        <v/>
      </c>
      <c r="P332" s="403" t="str">
        <f t="shared" ca="1" si="518"/>
        <v/>
      </c>
      <c r="Q332" s="403" t="str">
        <f t="shared" ca="1" si="518"/>
        <v/>
      </c>
      <c r="R332" s="403" t="str">
        <f t="shared" ca="1" si="518"/>
        <v/>
      </c>
      <c r="S332" s="403" t="str">
        <f t="shared" ca="1" si="518"/>
        <v/>
      </c>
      <c r="T332" s="403" t="str">
        <f t="shared" ca="1" si="518"/>
        <v/>
      </c>
      <c r="U332" s="403" t="str">
        <f t="shared" ca="1" si="518"/>
        <v/>
      </c>
      <c r="V332" s="403" t="str">
        <f t="shared" ca="1" si="518"/>
        <v/>
      </c>
      <c r="W332" s="403" t="str">
        <f t="shared" ca="1" si="518"/>
        <v/>
      </c>
      <c r="X332" s="403" t="str">
        <f t="shared" ca="1" si="518"/>
        <v/>
      </c>
      <c r="Y332" s="403" t="str">
        <f t="shared" ca="1" si="518"/>
        <v/>
      </c>
      <c r="Z332" s="403" t="str">
        <f t="shared" ca="1" si="518"/>
        <v/>
      </c>
      <c r="AA332" s="403" t="str">
        <f t="shared" ca="1" si="518"/>
        <v/>
      </c>
      <c r="AB332" s="403" t="str">
        <f t="shared" ca="1" si="518"/>
        <v/>
      </c>
      <c r="AC332" s="403" t="str">
        <f t="shared" ca="1" si="518"/>
        <v/>
      </c>
      <c r="AD332" s="403" t="str">
        <f t="shared" ca="1" si="518"/>
        <v/>
      </c>
      <c r="AE332" s="403" t="str">
        <f t="shared" ca="1" si="518"/>
        <v/>
      </c>
      <c r="AF332" s="403" t="str">
        <f t="shared" ca="1" si="518"/>
        <v/>
      </c>
      <c r="AG332" s="403" t="str">
        <f t="shared" ca="1" si="518"/>
        <v/>
      </c>
      <c r="AH332" s="403" t="str">
        <f t="shared" ca="1" si="518"/>
        <v/>
      </c>
      <c r="AI332" s="403" t="str">
        <f t="shared" ca="1" si="518"/>
        <v/>
      </c>
      <c r="AJ332" s="403" t="str">
        <f t="shared" ca="1" si="518"/>
        <v/>
      </c>
      <c r="AK332" s="403" t="str">
        <f t="shared" ca="1" si="518"/>
        <v/>
      </c>
      <c r="AL332" s="403" t="str">
        <f t="shared" ca="1" si="518"/>
        <v/>
      </c>
      <c r="AM332" s="403" t="str">
        <f t="shared" ca="1" si="518"/>
        <v/>
      </c>
      <c r="AN332" s="403" t="str">
        <f t="shared" ca="1" si="518"/>
        <v/>
      </c>
      <c r="AO332" s="403" t="str">
        <f t="shared" ca="1" si="518"/>
        <v/>
      </c>
      <c r="AP332" s="403" t="str">
        <f t="shared" ca="1" si="518"/>
        <v/>
      </c>
      <c r="AQ332" s="403" t="str">
        <f t="shared" ca="1" si="518"/>
        <v/>
      </c>
      <c r="AR332" s="403" t="str">
        <f t="shared" ca="1" si="518"/>
        <v/>
      </c>
      <c r="AS332" s="403" t="str">
        <f t="shared" ca="1" si="518"/>
        <v/>
      </c>
      <c r="AT332" s="403" t="str">
        <f t="shared" ca="1" si="518"/>
        <v/>
      </c>
      <c r="AU332" s="403" t="str">
        <f t="shared" ca="1" si="518"/>
        <v/>
      </c>
      <c r="AV332" s="403" t="str">
        <f t="shared" ca="1" si="518"/>
        <v/>
      </c>
      <c r="AW332" s="403">
        <f t="shared" ca="1" si="518"/>
        <v>46290.95</v>
      </c>
      <c r="AX332" s="403" t="str">
        <f t="shared" ca="1" si="518"/>
        <v/>
      </c>
      <c r="AY332" s="403" t="str">
        <f t="shared" ca="1" si="518"/>
        <v/>
      </c>
      <c r="AZ332" s="403" t="str">
        <f t="shared" ca="1" si="518"/>
        <v/>
      </c>
      <c r="BA332" s="403" t="str">
        <f ca="1">IF(BA329=0,"",IF(BA329=BA$3,BA331,BA$5+BB$5-BA333-1))</f>
        <v/>
      </c>
      <c r="BB332" s="403" t="str">
        <f t="shared" ca="1" si="518"/>
        <v/>
      </c>
      <c r="BC332" s="403" t="str">
        <f t="shared" ca="1" si="518"/>
        <v/>
      </c>
      <c r="BD332" s="403" t="str">
        <f t="shared" ca="1" si="518"/>
        <v/>
      </c>
      <c r="BE332" s="403" t="str">
        <f t="shared" ca="1" si="518"/>
        <v/>
      </c>
      <c r="BF332" s="403" t="str">
        <f t="shared" ca="1" si="518"/>
        <v/>
      </c>
      <c r="BG332" s="403">
        <f t="shared" ca="1" si="518"/>
        <v>46597.05</v>
      </c>
      <c r="BH332" s="403" t="str">
        <f t="shared" ca="1" si="518"/>
        <v/>
      </c>
      <c r="BI332" s="403" t="str">
        <f t="shared" ca="1" si="518"/>
        <v/>
      </c>
      <c r="BJ332" s="403" t="str">
        <f ca="1">IF(BJ329=0,"",IF(BJ329=BJ$3,BJ331,BJ$5+BK$5-BJ333-1))</f>
        <v/>
      </c>
      <c r="BK332" s="403" t="str">
        <f t="shared" ca="1" si="518"/>
        <v/>
      </c>
      <c r="BL332" s="403" t="str">
        <f t="shared" ca="1" si="518"/>
        <v/>
      </c>
      <c r="BM332" s="403" t="str">
        <f t="shared" ca="1" si="518"/>
        <v/>
      </c>
      <c r="BN332" s="403" t="str">
        <f t="shared" ca="1" si="518"/>
        <v/>
      </c>
      <c r="BO332" s="403" t="str">
        <f t="shared" ca="1" si="518"/>
        <v/>
      </c>
      <c r="BP332" s="403" t="str">
        <f t="shared" ca="1" si="518"/>
        <v/>
      </c>
      <c r="BQ332" s="403" t="str">
        <f t="shared" ca="1" si="518"/>
        <v/>
      </c>
      <c r="BR332" s="403" t="str">
        <f t="shared" ca="1" si="518"/>
        <v/>
      </c>
      <c r="BS332" s="403" t="str">
        <f t="shared" ca="1" si="518"/>
        <v/>
      </c>
      <c r="BT332" s="403" t="str">
        <f t="shared" ref="BT332:EE332" ca="1" si="519">IF(BT329=0,"",IF(BT329=BT$3,BT331,BT$5+BU$5-BT333-1))</f>
        <v/>
      </c>
      <c r="BU332" s="403" t="str">
        <f t="shared" ca="1" si="519"/>
        <v/>
      </c>
      <c r="BV332" s="403" t="str">
        <f t="shared" ca="1" si="519"/>
        <v/>
      </c>
      <c r="BW332" s="403" t="str">
        <f t="shared" ca="1" si="519"/>
        <v/>
      </c>
      <c r="BX332" s="403" t="str">
        <f t="shared" ca="1" si="519"/>
        <v/>
      </c>
      <c r="BY332" s="403" t="str">
        <f t="shared" ca="1" si="519"/>
        <v/>
      </c>
      <c r="BZ332" s="403" t="str">
        <f t="shared" ca="1" si="519"/>
        <v/>
      </c>
      <c r="CA332" s="403" t="str">
        <f t="shared" ca="1" si="519"/>
        <v/>
      </c>
      <c r="CB332" s="403" t="str">
        <f t="shared" ca="1" si="519"/>
        <v/>
      </c>
      <c r="CC332" s="403" t="str">
        <f t="shared" ca="1" si="519"/>
        <v/>
      </c>
      <c r="CD332" s="403" t="str">
        <f t="shared" ca="1" si="519"/>
        <v/>
      </c>
      <c r="CE332" s="403" t="str">
        <f t="shared" ca="1" si="519"/>
        <v/>
      </c>
      <c r="CF332" s="403" t="str">
        <f t="shared" ca="1" si="519"/>
        <v/>
      </c>
      <c r="CG332" s="403" t="str">
        <f t="shared" ca="1" si="519"/>
        <v/>
      </c>
      <c r="CH332" s="403" t="str">
        <f t="shared" ca="1" si="519"/>
        <v/>
      </c>
      <c r="CI332" s="403" t="str">
        <f t="shared" ca="1" si="519"/>
        <v/>
      </c>
      <c r="CJ332" s="403" t="str">
        <f t="shared" ca="1" si="519"/>
        <v/>
      </c>
      <c r="CK332" s="403" t="str">
        <f t="shared" ca="1" si="519"/>
        <v/>
      </c>
      <c r="CL332" s="403" t="str">
        <f t="shared" ca="1" si="519"/>
        <v/>
      </c>
      <c r="CM332" s="403" t="str">
        <f t="shared" ca="1" si="519"/>
        <v/>
      </c>
      <c r="CN332" s="403" t="str">
        <f t="shared" ca="1" si="519"/>
        <v/>
      </c>
      <c r="CO332" s="403" t="str">
        <f t="shared" ca="1" si="519"/>
        <v/>
      </c>
      <c r="CP332" s="403" t="str">
        <f t="shared" ca="1" si="519"/>
        <v/>
      </c>
      <c r="CQ332" s="403" t="str">
        <f t="shared" ca="1" si="519"/>
        <v/>
      </c>
      <c r="CR332" s="403" t="str">
        <f t="shared" ca="1" si="519"/>
        <v/>
      </c>
      <c r="CS332" s="403" t="str">
        <f t="shared" ca="1" si="519"/>
        <v/>
      </c>
      <c r="CT332" s="403" t="str">
        <f t="shared" ca="1" si="519"/>
        <v/>
      </c>
      <c r="CU332" s="403" t="str">
        <f t="shared" ca="1" si="519"/>
        <v/>
      </c>
      <c r="CV332" s="403" t="str">
        <f t="shared" ca="1" si="519"/>
        <v/>
      </c>
      <c r="CW332" s="403" t="str">
        <f t="shared" ca="1" si="519"/>
        <v/>
      </c>
      <c r="CX332" s="403" t="str">
        <f t="shared" ca="1" si="519"/>
        <v/>
      </c>
      <c r="CY332" s="403" t="str">
        <f t="shared" ca="1" si="519"/>
        <v/>
      </c>
      <c r="CZ332" s="403" t="str">
        <f t="shared" ca="1" si="519"/>
        <v/>
      </c>
      <c r="DA332" s="403" t="str">
        <f t="shared" ca="1" si="519"/>
        <v/>
      </c>
      <c r="DB332" s="403" t="str">
        <f t="shared" ca="1" si="519"/>
        <v/>
      </c>
      <c r="DC332" s="403" t="str">
        <f t="shared" ca="1" si="519"/>
        <v/>
      </c>
      <c r="DD332" s="403" t="str">
        <f t="shared" ca="1" si="519"/>
        <v/>
      </c>
      <c r="DE332" s="403" t="str">
        <f t="shared" ca="1" si="519"/>
        <v/>
      </c>
      <c r="DF332" s="403" t="str">
        <f t="shared" ca="1" si="519"/>
        <v/>
      </c>
      <c r="DG332" s="403" t="str">
        <f t="shared" ca="1" si="519"/>
        <v/>
      </c>
      <c r="DH332" s="403" t="str">
        <f t="shared" ca="1" si="519"/>
        <v/>
      </c>
      <c r="DI332" s="403" t="str">
        <f t="shared" ca="1" si="519"/>
        <v/>
      </c>
      <c r="DJ332" s="403" t="str">
        <f t="shared" ca="1" si="519"/>
        <v/>
      </c>
      <c r="DK332" s="403" t="str">
        <f t="shared" ca="1" si="519"/>
        <v/>
      </c>
      <c r="DL332" s="403" t="str">
        <f t="shared" ca="1" si="519"/>
        <v/>
      </c>
      <c r="DM332" s="403" t="str">
        <f t="shared" ca="1" si="519"/>
        <v/>
      </c>
      <c r="DN332" s="403" t="str">
        <f t="shared" ca="1" si="519"/>
        <v/>
      </c>
      <c r="DO332" s="403" t="str">
        <f t="shared" ca="1" si="519"/>
        <v/>
      </c>
      <c r="DP332" s="403" t="str">
        <f t="shared" ca="1" si="519"/>
        <v/>
      </c>
      <c r="DQ332" s="403" t="str">
        <f t="shared" ca="1" si="519"/>
        <v/>
      </c>
      <c r="DR332" s="403" t="str">
        <f t="shared" ca="1" si="519"/>
        <v/>
      </c>
      <c r="DS332" s="403" t="str">
        <f t="shared" ca="1" si="519"/>
        <v/>
      </c>
      <c r="DT332" s="403" t="str">
        <f t="shared" ca="1" si="519"/>
        <v/>
      </c>
      <c r="DU332" s="403" t="str">
        <f t="shared" ca="1" si="519"/>
        <v/>
      </c>
      <c r="DV332" s="403" t="str">
        <f t="shared" ca="1" si="519"/>
        <v/>
      </c>
      <c r="DW332" s="403" t="str">
        <f t="shared" ca="1" si="519"/>
        <v/>
      </c>
      <c r="DX332" s="403" t="str">
        <f t="shared" ca="1" si="519"/>
        <v/>
      </c>
      <c r="DY332" s="403" t="str">
        <f t="shared" ca="1" si="519"/>
        <v/>
      </c>
      <c r="DZ332" s="403" t="str">
        <f t="shared" ca="1" si="519"/>
        <v/>
      </c>
      <c r="EA332" s="403" t="str">
        <f t="shared" ca="1" si="519"/>
        <v/>
      </c>
      <c r="EB332" s="403" t="str">
        <f t="shared" ca="1" si="519"/>
        <v/>
      </c>
      <c r="EC332" s="403" t="str">
        <f t="shared" ca="1" si="519"/>
        <v/>
      </c>
      <c r="ED332" s="403" t="str">
        <f t="shared" ca="1" si="519"/>
        <v/>
      </c>
      <c r="EE332" s="403" t="str">
        <f t="shared" ca="1" si="519"/>
        <v/>
      </c>
      <c r="EF332" s="403" t="str">
        <f t="shared" ref="EF332:EI332" ca="1" si="520">IF(EF329=0,"",IF(EF329=EF$3,EF331,EF$5+EG$5-EF333-1))</f>
        <v/>
      </c>
      <c r="EG332" s="403" t="str">
        <f t="shared" ca="1" si="520"/>
        <v/>
      </c>
      <c r="EH332" s="403" t="str">
        <f t="shared" ca="1" si="520"/>
        <v/>
      </c>
      <c r="EI332" s="403" t="str">
        <f t="shared" ca="1" si="520"/>
        <v/>
      </c>
    </row>
    <row r="333" spans="1:141" hidden="1" outlineLevel="2">
      <c r="A333" s="332"/>
      <c r="D333" s="305" t="s">
        <v>672</v>
      </c>
      <c r="E333" s="1002">
        <f ca="1">IF(E329=0,"",MAX(G333:EI333))</f>
        <v>46570.95</v>
      </c>
      <c r="F333" s="1003"/>
      <c r="G333" s="403">
        <f ca="1">IF(SUM(G329:$EI329)=0,"",IF(G$227="","",G$227+G329-1))</f>
        <v>44985</v>
      </c>
      <c r="H333" s="403">
        <f ca="1">IF(SUM(H329:$EI329)=0,"",IF(H$227="","",H$227+H329-1))</f>
        <v>45016</v>
      </c>
      <c r="I333" s="403">
        <f ca="1">IF(SUM(I329:$EI329)=0,"",IF(I$227="","",I$227+I329-1))</f>
        <v>45046</v>
      </c>
      <c r="J333" s="403">
        <f ca="1">IF(SUM(J329:$EI329)=0,"",IF(J$227="","",J$227+J329-1))</f>
        <v>45077</v>
      </c>
      <c r="K333" s="403">
        <f ca="1">IF(SUM(K329:$EI329)=0,"",IF(K$227="","",K$227+K329-1))</f>
        <v>45107</v>
      </c>
      <c r="L333" s="403">
        <f ca="1">IF(SUM(L329:$EI329)=0,"",IF(L$227="","",L$227+L329-1))</f>
        <v>45138</v>
      </c>
      <c r="M333" s="403">
        <f ca="1">IF(SUM(M329:$EI329)=0,"",IF(M$227="","",M$227+M329-1))</f>
        <v>45169</v>
      </c>
      <c r="N333" s="403">
        <f ca="1">IF(SUM(N329:$EI329)=0,"",IF(N$227="","",N$227+N329-1))</f>
        <v>45199</v>
      </c>
      <c r="O333" s="403">
        <f ca="1">IF(SUM(O329:$EI329)=0,"",IF(O$227="","",O$227+O329-1))</f>
        <v>45230</v>
      </c>
      <c r="P333" s="403">
        <f ca="1">IF(SUM(P329:$EI329)=0,"",IF(P$227="","",P$227+P329-1))</f>
        <v>45260</v>
      </c>
      <c r="Q333" s="403">
        <f ca="1">IF(SUM(Q329:$EI329)=0,"",IF(Q$227="","",Q$227+Q329-1))</f>
        <v>45291</v>
      </c>
      <c r="R333" s="403">
        <f ca="1">IF(SUM(R329:$EI329)=0,"",IF(R$227="","",R$227+R329-1))</f>
        <v>45322</v>
      </c>
      <c r="S333" s="403">
        <f ca="1">IF(SUM(S329:$EI329)=0,"",IF(S$227="","",S$227+S329-1))</f>
        <v>45351</v>
      </c>
      <c r="T333" s="403">
        <f ca="1">IF(SUM(T329:$EI329)=0,"",IF(T$227="","",T$227+T329-1))</f>
        <v>45382</v>
      </c>
      <c r="U333" s="403">
        <f ca="1">IF(SUM(U329:$EI329)=0,"",IF(U$227="","",U$227+U329-1))</f>
        <v>45412</v>
      </c>
      <c r="V333" s="403">
        <f ca="1">IF(SUM(V329:$EI329)=0,"",IF(V$227="","",V$227+V329-1))</f>
        <v>45443</v>
      </c>
      <c r="W333" s="403">
        <f ca="1">IF(SUM(W329:$EI329)=0,"",IF(W$227="","",W$227+W329-1))</f>
        <v>45473</v>
      </c>
      <c r="X333" s="403">
        <f ca="1">IF(SUM(X329:$EI329)=0,"",IF(X$227="","",X$227+X329-1))</f>
        <v>45504</v>
      </c>
      <c r="Y333" s="403">
        <f ca="1">IF(SUM(Y329:$EI329)=0,"",IF(Y$227="","",Y$227+Y329-1))</f>
        <v>45535</v>
      </c>
      <c r="Z333" s="403">
        <f ca="1">IF(SUM(Z329:$EI329)=0,"",IF(Z$227="","",Z$227+Z329-1))</f>
        <v>45565</v>
      </c>
      <c r="AA333" s="403">
        <f ca="1">IF(SUM(AA329:$EI329)=0,"",IF(AA$227="","",AA$227+AA329-1))</f>
        <v>45596</v>
      </c>
      <c r="AB333" s="403">
        <f ca="1">IF(SUM(AB329:$EI329)=0,"",IF(AB$227="","",AB$227+AB329-1))</f>
        <v>45626</v>
      </c>
      <c r="AC333" s="403">
        <f ca="1">IF(SUM(AC329:$EI329)=0,"",IF(AC$227="","",AC$227+AC329-1))</f>
        <v>45657</v>
      </c>
      <c r="AD333" s="403">
        <f ca="1">IF(SUM(AD329:$EI329)=0,"",IF(AD$227="","",AD$227+AD329-1))</f>
        <v>45688</v>
      </c>
      <c r="AE333" s="403">
        <f ca="1">IF(SUM(AE329:$EI329)=0,"",IF(AE$227="","",AE$227+AE329-1))</f>
        <v>45716</v>
      </c>
      <c r="AF333" s="403">
        <f ca="1">IF(SUM(AF329:$EI329)=0,"",IF(AF$227="","",AF$227+AF329-1))</f>
        <v>45747</v>
      </c>
      <c r="AG333" s="403">
        <f ca="1">IF(SUM(AG329:$EI329)=0,"",IF(AG$227="","",AG$227+AG329-1))</f>
        <v>45777</v>
      </c>
      <c r="AH333" s="403">
        <f ca="1">IF(SUM(AH329:$EI329)=0,"",IF(AH$227="","",AH$227+AH329-1))</f>
        <v>45808</v>
      </c>
      <c r="AI333" s="403">
        <f ca="1">IF(SUM(AI329:$EI329)=0,"",IF(AI$227="","",AI$227+AI329-1))</f>
        <v>45838</v>
      </c>
      <c r="AJ333" s="403">
        <f ca="1">IF(SUM(AJ329:$EI329)=0,"",IF(AJ$227="","",AJ$227+AJ329-1))</f>
        <v>45869</v>
      </c>
      <c r="AK333" s="403">
        <f ca="1">IF(SUM(AK329:$EI329)=0,"",IF(AK$227="","",AK$227+AK329-1))</f>
        <v>45900</v>
      </c>
      <c r="AL333" s="403">
        <f ca="1">IF(SUM(AL329:$EI329)=0,"",IF(AL$227="","",AL$227+AL329-1))</f>
        <v>45930</v>
      </c>
      <c r="AM333" s="403">
        <f ca="1">IF(SUM(AM329:$EI329)=0,"",IF(AM$227="","",AM$227+AM329-1))</f>
        <v>45961</v>
      </c>
      <c r="AN333" s="403">
        <f ca="1">IF(SUM(AN329:$EI329)=0,"",IF(AN$227="","",AN$227+AN329-1))</f>
        <v>45991</v>
      </c>
      <c r="AO333" s="403">
        <f ca="1">IF(SUM(AO329:$EI329)=0,"",IF(AO$227="","",AO$227+AO329-1))</f>
        <v>46022</v>
      </c>
      <c r="AP333" s="403">
        <f ca="1">IF(SUM(AP329:$EI329)=0,"",IF(AP$227="","",AP$227+AP329-1))</f>
        <v>46053</v>
      </c>
      <c r="AQ333" s="403">
        <f ca="1">IF(SUM(AQ329:$EI329)=0,"",IF(AQ$227="","",AQ$227+AQ329-1))</f>
        <v>46081</v>
      </c>
      <c r="AR333" s="403">
        <f ca="1">IF(SUM(AR329:$EI329)=0,"",IF(AR$227="","",AR$227+AR329-1))</f>
        <v>46112</v>
      </c>
      <c r="AS333" s="403">
        <f ca="1">IF(SUM(AS329:$EI329)=0,"",IF(AS$227="","",AS$227+AS329-1))</f>
        <v>46142</v>
      </c>
      <c r="AT333" s="403">
        <f ca="1">IF(SUM(AT329:$EI329)=0,"",IF(AT$227="","",AT$227+AT329-1))</f>
        <v>46173</v>
      </c>
      <c r="AU333" s="403">
        <f ca="1">IF(SUM(AU329:$EI329)=0,"",IF(AU$227="","",AU$227+AU329-1))</f>
        <v>46203</v>
      </c>
      <c r="AV333" s="403">
        <f ca="1">IF(SUM(AV329:$EI329)=0,"",IF(AV$227="","",AV$227+AV329-1))</f>
        <v>46234</v>
      </c>
      <c r="AW333" s="403">
        <f ca="1">IF(SUM(AW329:$EI329)=0,"",IF(AW$227="","",AW$227+AW329-1))</f>
        <v>46270.05</v>
      </c>
      <c r="AX333" s="403">
        <f ca="1">IF(SUM(AX329:$EI329)=0,"",IF(AX$227="","",AX$227+AX329-1))</f>
        <v>46326</v>
      </c>
      <c r="AY333" s="403">
        <f ca="1">IF(SUM(AY329:$EI329)=0,"",IF(AY$227="","",AY$227+AY329-1))</f>
        <v>46356</v>
      </c>
      <c r="AZ333" s="403">
        <f ca="1">IF(SUM(AZ329:$EI329)=0,"",IF(AZ$227="","",AZ$227+AZ329-1))</f>
        <v>46387</v>
      </c>
      <c r="BA333" s="403">
        <f ca="1">IF(SUM(BA329:$EI329)=0,"",IF(BA$227="","",BA$227+BA329-1))</f>
        <v>46418</v>
      </c>
      <c r="BB333" s="403">
        <f ca="1">IF(SUM(BB329:$EI329)=0,"",IF(BB$227="","",BB$227+BB329-1))</f>
        <v>46446</v>
      </c>
      <c r="BC333" s="403">
        <f ca="1">IF(SUM(BC329:$EI329)=0,"",IF(BC$227="","",BC$227+BC329-1))</f>
        <v>46477</v>
      </c>
      <c r="BD333" s="403">
        <f ca="1">IF(SUM(BD329:$EI329)=0,"",IF(BD$227="","",BD$227+BD329-1))</f>
        <v>46507</v>
      </c>
      <c r="BE333" s="403">
        <f ca="1">IF(SUM(BE329:$EI329)=0,"",IF(BE$227="","",BE$227+BE329-1))</f>
        <v>46538</v>
      </c>
      <c r="BF333" s="403">
        <f ca="1">IF(SUM(BF329:$EI329)=0,"",IF(BF$227="","",BF$227+BF329-1))</f>
        <v>46568</v>
      </c>
      <c r="BG333" s="403">
        <f ca="1">IF(SUM(BG329:$EI329)=0,"",IF(BG$227="","",BG$227+BG329-1))</f>
        <v>46570.95</v>
      </c>
      <c r="BH333" s="403" t="str">
        <f ca="1">IF(SUM(BH329:$EI329)=0,"",IF(BH$227="","",BH$227+BH329-1))</f>
        <v/>
      </c>
      <c r="BI333" s="403" t="str">
        <f ca="1">IF(SUM(BI329:$EI329)=0,"",IF(BI$227="","",BI$227+BI329-1))</f>
        <v/>
      </c>
      <c r="BJ333" s="403" t="str">
        <f ca="1">IF(SUM(BJ329:$EI329)=0,"",IF(BJ$227="","",BJ$227+BJ329-1))</f>
        <v/>
      </c>
      <c r="BK333" s="403" t="str">
        <f ca="1">IF(SUM(BK329:$EI329)=0,"",IF(BK$227="","",BK$227+BK329-1))</f>
        <v/>
      </c>
      <c r="BL333" s="403" t="str">
        <f ca="1">IF(SUM(BL329:$EI329)=0,"",IF(BL$227="","",BL$227+BL329-1))</f>
        <v/>
      </c>
      <c r="BM333" s="403" t="str">
        <f ca="1">IF(SUM(BM329:$EI329)=0,"",IF(BM$227="","",BM$227+BM329-1))</f>
        <v/>
      </c>
      <c r="BN333" s="403" t="str">
        <f ca="1">IF(SUM(BN329:$EI329)=0,"",IF(BN$227="","",BN$227+BN329-1))</f>
        <v/>
      </c>
      <c r="BO333" s="403" t="str">
        <f ca="1">IF(SUM(BO329:$EI329)=0,"",IF(BO$227="","",BO$227+BO329-1))</f>
        <v/>
      </c>
      <c r="BP333" s="403" t="str">
        <f ca="1">IF(SUM(BP329:$EI329)=0,"",IF(BP$227="","",BP$227+BP329-1))</f>
        <v/>
      </c>
      <c r="BQ333" s="403" t="str">
        <f ca="1">IF(SUM(BQ329:$EI329)=0,"",IF(BQ$227="","",BQ$227+BQ329-1))</f>
        <v/>
      </c>
      <c r="BR333" s="403" t="str">
        <f ca="1">IF(SUM(BR329:$EI329)=0,"",IF(BR$227="","",BR$227+BR329-1))</f>
        <v/>
      </c>
      <c r="BS333" s="403" t="str">
        <f ca="1">IF(SUM(BS329:$EI329)=0,"",IF(BS$227="","",BS$227+BS329-1))</f>
        <v/>
      </c>
      <c r="BT333" s="403" t="str">
        <f ca="1">IF(SUM(BT329:$EI329)=0,"",IF(BT$227="","",BT$227+BT329-1))</f>
        <v/>
      </c>
      <c r="BU333" s="403" t="str">
        <f ca="1">IF(SUM(BU329:$EI329)=0,"",IF(BU$227="","",BU$227+BU329-1))</f>
        <v/>
      </c>
      <c r="BV333" s="403" t="str">
        <f ca="1">IF(SUM(BV329:$EI329)=0,"",IF(BV$227="","",BV$227+BV329-1))</f>
        <v/>
      </c>
      <c r="BW333" s="403" t="str">
        <f ca="1">IF(SUM(BW329:$EI329)=0,"",IF(BW$227="","",BW$227+BW329-1))</f>
        <v/>
      </c>
      <c r="BX333" s="403" t="str">
        <f ca="1">IF(SUM(BX329:$EI329)=0,"",IF(BX$227="","",BX$227+BX329-1))</f>
        <v/>
      </c>
      <c r="BY333" s="403" t="str">
        <f ca="1">IF(SUM(BY329:$EI329)=0,"",IF(BY$227="","",BY$227+BY329-1))</f>
        <v/>
      </c>
      <c r="BZ333" s="403" t="str">
        <f ca="1">IF(SUM(BZ329:$EI329)=0,"",IF(BZ$227="","",BZ$227+BZ329-1))</f>
        <v/>
      </c>
      <c r="CA333" s="403" t="str">
        <f ca="1">IF(SUM(CA329:$EI329)=0,"",IF(CA$227="","",CA$227+CA329-1))</f>
        <v/>
      </c>
      <c r="CB333" s="403" t="str">
        <f ca="1">IF(SUM(CB329:$EI329)=0,"",IF(CB$227="","",CB$227+CB329-1))</f>
        <v/>
      </c>
      <c r="CC333" s="403" t="str">
        <f ca="1">IF(SUM(CC329:$EI329)=0,"",IF(CC$227="","",CC$227+CC329-1))</f>
        <v/>
      </c>
      <c r="CD333" s="403" t="str">
        <f ca="1">IF(SUM(CD329:$EI329)=0,"",IF(CD$227="","",CD$227+CD329-1))</f>
        <v/>
      </c>
      <c r="CE333" s="403" t="str">
        <f ca="1">IF(SUM(CE329:$EI329)=0,"",IF(CE$227="","",CE$227+CE329-1))</f>
        <v/>
      </c>
      <c r="CF333" s="403" t="str">
        <f ca="1">IF(SUM(CF329:$EI329)=0,"",IF(CF$227="","",CF$227+CF329-1))</f>
        <v/>
      </c>
      <c r="CG333" s="403" t="str">
        <f ca="1">IF(SUM(CG329:$EI329)=0,"",IF(CG$227="","",CG$227+CG329-1))</f>
        <v/>
      </c>
      <c r="CH333" s="403" t="str">
        <f ca="1">IF(SUM(CH329:$EI329)=0,"",IF(CH$227="","",CH$227+CH329-1))</f>
        <v/>
      </c>
      <c r="CI333" s="403" t="str">
        <f ca="1">IF(SUM(CI329:$EI329)=0,"",IF(CI$227="","",CI$227+CI329-1))</f>
        <v/>
      </c>
      <c r="CJ333" s="403" t="str">
        <f ca="1">IF(SUM(CJ329:$EI329)=0,"",IF(CJ$227="","",CJ$227+CJ329-1))</f>
        <v/>
      </c>
      <c r="CK333" s="403" t="str">
        <f ca="1">IF(SUM(CK329:$EI329)=0,"",IF(CK$227="","",CK$227+CK329-1))</f>
        <v/>
      </c>
      <c r="CL333" s="403" t="str">
        <f ca="1">IF(SUM(CL329:$EI329)=0,"",IF(CL$227="","",CL$227+CL329-1))</f>
        <v/>
      </c>
      <c r="CM333" s="403" t="str">
        <f ca="1">IF(SUM(CM329:$EI329)=0,"",IF(CM$227="","",CM$227+CM329-1))</f>
        <v/>
      </c>
      <c r="CN333" s="403" t="str">
        <f ca="1">IF(SUM(CN329:$EI329)=0,"",IF(CN$227="","",CN$227+CN329-1))</f>
        <v/>
      </c>
      <c r="CO333" s="403" t="str">
        <f ca="1">IF(SUM(CO329:$EI329)=0,"",IF(CO$227="","",CO$227+CO329-1))</f>
        <v/>
      </c>
      <c r="CP333" s="403" t="str">
        <f ca="1">IF(SUM(CP329:$EI329)=0,"",IF(CP$227="","",CP$227+CP329-1))</f>
        <v/>
      </c>
      <c r="CQ333" s="403" t="str">
        <f ca="1">IF(SUM(CQ329:$EI329)=0,"",IF(CQ$227="","",CQ$227+CQ329-1))</f>
        <v/>
      </c>
      <c r="CR333" s="403" t="str">
        <f ca="1">IF(SUM(CR329:$EI329)=0,"",IF(CR$227="","",CR$227+CR329-1))</f>
        <v/>
      </c>
      <c r="CS333" s="403" t="str">
        <f ca="1">IF(SUM(CS329:$EI329)=0,"",IF(CS$227="","",CS$227+CS329-1))</f>
        <v/>
      </c>
      <c r="CT333" s="403" t="str">
        <f ca="1">IF(SUM(CT329:$EI329)=0,"",IF(CT$227="","",CT$227+CT329-1))</f>
        <v/>
      </c>
      <c r="CU333" s="403" t="str">
        <f ca="1">IF(SUM(CU329:$EI329)=0,"",IF(CU$227="","",CU$227+CU329-1))</f>
        <v/>
      </c>
      <c r="CV333" s="403" t="str">
        <f ca="1">IF(SUM(CV329:$EI329)=0,"",IF(CV$227="","",CV$227+CV329-1))</f>
        <v/>
      </c>
      <c r="CW333" s="403" t="str">
        <f ca="1">IF(SUM(CW329:$EI329)=0,"",IF(CW$227="","",CW$227+CW329-1))</f>
        <v/>
      </c>
      <c r="CX333" s="403" t="str">
        <f ca="1">IF(SUM(CX329:$EI329)=0,"",IF(CX$227="","",CX$227+CX329-1))</f>
        <v/>
      </c>
      <c r="CY333" s="403" t="str">
        <f ca="1">IF(SUM(CY329:$EI329)=0,"",IF(CY$227="","",CY$227+CY329-1))</f>
        <v/>
      </c>
      <c r="CZ333" s="403" t="str">
        <f ca="1">IF(SUM(CZ329:$EI329)=0,"",IF(CZ$227="","",CZ$227+CZ329-1))</f>
        <v/>
      </c>
      <c r="DA333" s="403" t="str">
        <f ca="1">IF(SUM(DA329:$EI329)=0,"",IF(DA$227="","",DA$227+DA329-1))</f>
        <v/>
      </c>
      <c r="DB333" s="403" t="str">
        <f ca="1">IF(SUM(DB329:$EI329)=0,"",IF(DB$227="","",DB$227+DB329-1))</f>
        <v/>
      </c>
      <c r="DC333" s="403" t="str">
        <f ca="1">IF(SUM(DC329:$EI329)=0,"",IF(DC$227="","",DC$227+DC329-1))</f>
        <v/>
      </c>
      <c r="DD333" s="403" t="str">
        <f ca="1">IF(SUM(DD329:$EI329)=0,"",IF(DD$227="","",DD$227+DD329-1))</f>
        <v/>
      </c>
      <c r="DE333" s="403" t="str">
        <f ca="1">IF(SUM(DE329:$EI329)=0,"",IF(DE$227="","",DE$227+DE329-1))</f>
        <v/>
      </c>
      <c r="DF333" s="403" t="str">
        <f ca="1">IF(SUM(DF329:$EI329)=0,"",IF(DF$227="","",DF$227+DF329-1))</f>
        <v/>
      </c>
      <c r="DG333" s="403" t="str">
        <f ca="1">IF(SUM(DG329:$EI329)=0,"",IF(DG$227="","",DG$227+DG329-1))</f>
        <v/>
      </c>
      <c r="DH333" s="403" t="str">
        <f ca="1">IF(SUM(DH329:$EI329)=0,"",IF(DH$227="","",DH$227+DH329-1))</f>
        <v/>
      </c>
      <c r="DI333" s="403" t="str">
        <f ca="1">IF(SUM(DI329:$EI329)=0,"",IF(DI$227="","",DI$227+DI329-1))</f>
        <v/>
      </c>
      <c r="DJ333" s="403" t="str">
        <f ca="1">IF(SUM(DJ329:$EI329)=0,"",IF(DJ$227="","",DJ$227+DJ329-1))</f>
        <v/>
      </c>
      <c r="DK333" s="403" t="str">
        <f ca="1">IF(SUM(DK329:$EI329)=0,"",IF(DK$227="","",DK$227+DK329-1))</f>
        <v/>
      </c>
      <c r="DL333" s="403" t="str">
        <f ca="1">IF(SUM(DL329:$EI329)=0,"",IF(DL$227="","",DL$227+DL329-1))</f>
        <v/>
      </c>
      <c r="DM333" s="403" t="str">
        <f ca="1">IF(SUM(DM329:$EI329)=0,"",IF(DM$227="","",DM$227+DM329-1))</f>
        <v/>
      </c>
      <c r="DN333" s="403" t="str">
        <f ca="1">IF(SUM(DN329:$EI329)=0,"",IF(DN$227="","",DN$227+DN329-1))</f>
        <v/>
      </c>
      <c r="DO333" s="403" t="str">
        <f ca="1">IF(SUM(DO329:$EI329)=0,"",IF(DO$227="","",DO$227+DO329-1))</f>
        <v/>
      </c>
      <c r="DP333" s="403" t="str">
        <f ca="1">IF(SUM(DP329:$EI329)=0,"",IF(DP$227="","",DP$227+DP329-1))</f>
        <v/>
      </c>
      <c r="DQ333" s="403" t="str">
        <f ca="1">IF(SUM(DQ329:$EI329)=0,"",IF(DQ$227="","",DQ$227+DQ329-1))</f>
        <v/>
      </c>
      <c r="DR333" s="403" t="str">
        <f ca="1">IF(SUM(DR329:$EI329)=0,"",IF(DR$227="","",DR$227+DR329-1))</f>
        <v/>
      </c>
      <c r="DS333" s="403" t="str">
        <f ca="1">IF(SUM(DS329:$EI329)=0,"",IF(DS$227="","",DS$227+DS329-1))</f>
        <v/>
      </c>
      <c r="DT333" s="403" t="str">
        <f ca="1">IF(SUM(DT329:$EI329)=0,"",IF(DT$227="","",DT$227+DT329-1))</f>
        <v/>
      </c>
      <c r="DU333" s="403" t="str">
        <f ca="1">IF(SUM(DU329:$EI329)=0,"",IF(DU$227="","",DU$227+DU329-1))</f>
        <v/>
      </c>
      <c r="DV333" s="403" t="str">
        <f ca="1">IF(SUM(DV329:$EI329)=0,"",IF(DV$227="","",DV$227+DV329-1))</f>
        <v/>
      </c>
      <c r="DW333" s="403" t="str">
        <f ca="1">IF(SUM(DW329:$EI329)=0,"",IF(DW$227="","",DW$227+DW329-1))</f>
        <v/>
      </c>
      <c r="DX333" s="403" t="str">
        <f ca="1">IF(SUM(DX329:$EI329)=0,"",IF(DX$227="","",DX$227+DX329-1))</f>
        <v/>
      </c>
      <c r="DY333" s="403" t="str">
        <f ca="1">IF(SUM(DY329:$EI329)=0,"",IF(DY$227="","",DY$227+DY329-1))</f>
        <v/>
      </c>
      <c r="DZ333" s="403" t="str">
        <f ca="1">IF(SUM(DZ329:$EI329)=0,"",IF(DZ$227="","",DZ$227+DZ329-1))</f>
        <v/>
      </c>
      <c r="EA333" s="403" t="str">
        <f ca="1">IF(SUM(EA329:$EI329)=0,"",IF(EA$227="","",EA$227+EA329-1))</f>
        <v/>
      </c>
      <c r="EB333" s="403" t="str">
        <f ca="1">IF(SUM(EB329:$EI329)=0,"",IF(EB$227="","",EB$227+EB329-1))</f>
        <v/>
      </c>
      <c r="EC333" s="403" t="str">
        <f ca="1">IF(SUM(EC329:$EI329)=0,"",IF(EC$227="","",EC$227+EC329-1))</f>
        <v/>
      </c>
      <c r="ED333" s="403" t="str">
        <f ca="1">IF(SUM(ED329:$EI329)=0,"",IF(ED$227="","",ED$227+ED329-1))</f>
        <v/>
      </c>
      <c r="EE333" s="403" t="str">
        <f ca="1">IF(SUM(EE329:$EI329)=0,"",IF(EE$227="","",EE$227+EE329-1))</f>
        <v/>
      </c>
      <c r="EF333" s="403" t="str">
        <f ca="1">IF(SUM(EF329:$EI329)=0,"",IF(EF$227="","",EF$227+EF329-1))</f>
        <v/>
      </c>
      <c r="EG333" s="403" t="str">
        <f ca="1">IF(SUM(EG329:$EI329)=0,"",IF(EG$227="","",EG$227+EG329-1))</f>
        <v/>
      </c>
      <c r="EH333" s="403" t="str">
        <f ca="1">IF(SUM(EH329:$EI329)=0,"",IF(EH$227="","",EH$227+EH329-1))</f>
        <v/>
      </c>
      <c r="EI333" s="403" t="str">
        <f ca="1">IF(SUM(EI329:$EI329)=0,"",IF(EI$227="","",EI$227+EI329-1))</f>
        <v/>
      </c>
    </row>
    <row r="334" spans="1:141" outlineLevel="1" collapsed="1">
      <c r="A334" s="332"/>
      <c r="B334" s="313"/>
      <c r="C334" s="317" t="s">
        <v>91</v>
      </c>
      <c r="D334" s="317" t="s">
        <v>681</v>
      </c>
      <c r="E334" s="400">
        <f ca="1">IF(ГРП!B30=0,длительность!E158,ГРП!B30)</f>
        <v>339</v>
      </c>
      <c r="F334" s="318">
        <f ca="1">E334-SUM(G334:EJ334)</f>
        <v>0</v>
      </c>
      <c r="G334" s="401"/>
      <c r="H334" s="401">
        <f ca="1">IF(SUM($G334:G334)&gt;=$E334,0,IF($E334-SUM($G334:G334)&gt;H335,H335,$E334-SUM($G335:G335)))</f>
        <v>0</v>
      </c>
      <c r="I334" s="401">
        <f ca="1">IF(SUM($G334:H334)&gt;=$E334,0,IF($E334-SUM($G334:H334)&gt;I335,I335,$E334-SUM($G335:H335)))</f>
        <v>0</v>
      </c>
      <c r="J334" s="401">
        <f ca="1">IF(SUM($G334:I334)&gt;=$E334,0,IF($E334-SUM($G334:I334)&gt;J335,J335,$E334-SUM($G335:I335)))</f>
        <v>0</v>
      </c>
      <c r="K334" s="401">
        <f ca="1">IF(SUM($G334:J334)&gt;=$E334,0,IF($E334-SUM($G334:J334)&gt;K335,K335,$E334-SUM($G335:J335)))</f>
        <v>0</v>
      </c>
      <c r="L334" s="401">
        <f ca="1">IF(SUM($G334:K334)&gt;=$E334,0,IF($E334-SUM($G334:K334)&gt;L335,L335,$E334-SUM($G335:K335)))</f>
        <v>0</v>
      </c>
      <c r="M334" s="401">
        <f ca="1">IF(SUM($G334:L334)&gt;=$E334,0,IF($E334-SUM($G334:L334)&gt;M335,M335,$E334-SUM($G335:L335)))</f>
        <v>0</v>
      </c>
      <c r="N334" s="401">
        <f ca="1">IF(SUM($G334:M334)&gt;=$E334,0,IF($E334-SUM($G334:M334)&gt;N335,N335,$E334-SUM($G335:M335)))</f>
        <v>0</v>
      </c>
      <c r="O334" s="401">
        <f ca="1">IF(SUM($G334:N334)&gt;=$E334,0,IF($E334-SUM($G334:N334)&gt;O335,O335,$E334-SUM($G335:N335)))</f>
        <v>0</v>
      </c>
      <c r="P334" s="401">
        <f ca="1">IF(SUM($G334:O334)&gt;=$E334,0,IF($E334-SUM($G334:O334)&gt;P335,P335,$E334-SUM($G335:O335)))</f>
        <v>0</v>
      </c>
      <c r="Q334" s="401">
        <f ca="1">IF(SUM($G334:P334)&gt;=$E334,0,IF($E334-SUM($G334:P334)&gt;Q335,Q335,$E334-SUM($G335:P335)))</f>
        <v>0</v>
      </c>
      <c r="R334" s="401">
        <f ca="1">IF(SUM($G334:Q334)&gt;=$E334,0,IF($E334-SUM($G334:Q334)&gt;R335,R335,$E334-SUM($G335:Q335)))</f>
        <v>0</v>
      </c>
      <c r="S334" s="401">
        <f ca="1">IF(SUM($G334:R334)&gt;=$E334,0,IF($E334-SUM($G334:R334)&gt;S335,S335,$E334-SUM($G335:R335)))</f>
        <v>0</v>
      </c>
      <c r="T334" s="401">
        <f ca="1">IF(SUM($G334:S334)&gt;=$E334,0,IF($E334-SUM($G334:S334)&gt;T335,T335,$E334-SUM($G335:S335)))</f>
        <v>0</v>
      </c>
      <c r="U334" s="401">
        <f ca="1">IF(SUM($G334:T334)&gt;=$E334,0,IF($E334-SUM($G334:T334)&gt;U335,U335,$E334-SUM($G335:T335)))</f>
        <v>0</v>
      </c>
      <c r="V334" s="401">
        <f ca="1">IF(SUM($G334:U334)&gt;=$E334,0,IF($E334-SUM($G334:U334)&gt;V335,V335,$E334-SUM($G335:U335)))</f>
        <v>0</v>
      </c>
      <c r="W334" s="401">
        <f ca="1">IF(SUM($G334:V334)&gt;=$E334,0,IF($E334-SUM($G334:V334)&gt;W335,W335,$E334-SUM($G335:V335)))</f>
        <v>0</v>
      </c>
      <c r="X334" s="401">
        <f ca="1">IF(SUM($G334:W334)&gt;=$E334,0,IF($E334-SUM($G334:W334)&gt;X335,X335,$E334-SUM($G335:W335)))</f>
        <v>0</v>
      </c>
      <c r="Y334" s="401">
        <f ca="1">IF(SUM($G334:X334)&gt;=$E334,0,IF($E334-SUM($G334:X334)&gt;Y335,Y335,$E334-SUM($G335:X335)))</f>
        <v>0</v>
      </c>
      <c r="Z334" s="401">
        <f ca="1">IF(SUM($G334:Y334)&gt;=$E334,0,IF($E334-SUM($G334:Y334)&gt;Z335,Z335,$E334-SUM($G335:Y335)))</f>
        <v>0</v>
      </c>
      <c r="AA334" s="401">
        <f ca="1">IF(SUM($G334:Z334)&gt;=$E334,0,IF($E334-SUM($G334:Z334)&gt;AA335,AA335,$E334-SUM($G335:Z335)))</f>
        <v>0</v>
      </c>
      <c r="AB334" s="401">
        <f ca="1">IF(SUM($G334:AA334)&gt;=$E334,0,IF($E334-SUM($G334:AA334)&gt;AB335,AB335,$E334-SUM($G335:AA335)))</f>
        <v>0</v>
      </c>
      <c r="AC334" s="401">
        <f ca="1">IF(SUM($G334:AB334)&gt;=$E334,0,IF($E334-SUM($G334:AB334)&gt;AC335,AC335,$E334-SUM($G335:AB335)))</f>
        <v>0</v>
      </c>
      <c r="AD334" s="401">
        <f ca="1">IF(SUM($G334:AC334)&gt;=$E334,0,IF($E334-SUM($G334:AC334)&gt;AD335,AD335,$E334-SUM($G335:AC335)))</f>
        <v>0</v>
      </c>
      <c r="AE334" s="401">
        <f ca="1">IF(SUM($G334:AD334)&gt;=$E334,0,IF($E334-SUM($G334:AD334)&gt;AE335,AE335,$E334-SUM($G335:AD335)))</f>
        <v>0</v>
      </c>
      <c r="AF334" s="401">
        <f ca="1">IF(SUM($G334:AE334)&gt;=$E334,0,IF($E334-SUM($G334:AE334)&gt;AF335,AF335,$E334-SUM($G335:AE335)))</f>
        <v>0</v>
      </c>
      <c r="AG334" s="401">
        <f ca="1">IF(SUM($G334:AF334)&gt;=$E334,0,IF($E334-SUM($G334:AF334)&gt;AG335,AG335,$E334-SUM($G335:AF335)))</f>
        <v>0</v>
      </c>
      <c r="AH334" s="401">
        <f ca="1">IF(SUM($G334:AG334)&gt;=$E334,0,IF($E334-SUM($G334:AG334)&gt;AH335,AH335,$E334-SUM($G335:AG335)))</f>
        <v>0</v>
      </c>
      <c r="AI334" s="401">
        <f ca="1">IF(SUM($G334:AH334)&gt;=$E334,0,IF($E334-SUM($G334:AH334)&gt;AI335,AI335,$E334-SUM($G335:AH335)))</f>
        <v>0</v>
      </c>
      <c r="AJ334" s="401">
        <f ca="1">IF(SUM($G334:AI334)&gt;=$E334,0,IF($E334-SUM($G334:AI334)&gt;AJ335,AJ335,$E334-SUM($G335:AI335)))</f>
        <v>0</v>
      </c>
      <c r="AK334" s="401">
        <f ca="1">IF(SUM($G334:AJ334)&gt;=$E334,0,IF($E334-SUM($G334:AJ334)&gt;AK335,AK335,$E334-SUM($G335:AJ335)))</f>
        <v>0</v>
      </c>
      <c r="AL334" s="401">
        <f ca="1">IF(SUM($G334:AK334)&gt;=$E334,0,IF($E334-SUM($G334:AK334)&gt;AL335,AL335,$E334-SUM($G335:AK335)))</f>
        <v>0</v>
      </c>
      <c r="AM334" s="401">
        <f ca="1">IF(SUM($G334:AL334)&gt;=$E334,0,IF($E334-SUM($G334:AL334)&gt;AM335,AM335,$E334-SUM($G335:AL335)))</f>
        <v>0</v>
      </c>
      <c r="AN334" s="401">
        <f ca="1">IF(SUM($G334:AM334)&gt;=$E334,0,IF($E334-SUM($G334:AM334)&gt;AN335,AN335,$E334-SUM($G335:AM335)))</f>
        <v>0</v>
      </c>
      <c r="AO334" s="401">
        <f ca="1">IF(SUM($G334:AN334)&gt;=$E334,0,IF($E334-SUM($G334:AN334)&gt;AO335,AO335,$E334-SUM($G335:AN335)))</f>
        <v>0</v>
      </c>
      <c r="AP334" s="401">
        <f ca="1">IF(SUM($G334:AO334)&gt;=$E334,0,IF($E334-SUM($G334:AO334)&gt;AP335,AP335,$E334-SUM($G335:AO335)))</f>
        <v>0</v>
      </c>
      <c r="AQ334" s="401">
        <f ca="1">IF(SUM($G334:AP334)&gt;=$E334,0,IF($E334-SUM($G334:AP334)&gt;AQ335,AQ335,$E334-SUM($G335:AP335)))</f>
        <v>0</v>
      </c>
      <c r="AR334" s="401">
        <f ca="1">IF(SUM($G334:AQ334)&gt;=$E334,0,IF($E334-SUM($G334:AQ334)&gt;AR335,AR335,$E334-SUM($G335:AQ335)))</f>
        <v>0</v>
      </c>
      <c r="AS334" s="401">
        <f ca="1">IF(SUM($G334:AR334)&gt;=$E334,0,IF($E334-SUM($G334:AR334)&gt;AS335,AS335,$E334-SUM($G335:AR335)))</f>
        <v>0</v>
      </c>
      <c r="AT334" s="401">
        <f ca="1">IF(SUM($G334:AS334)&gt;=$E334,0,IF($E334-SUM($G334:AS334)&gt;AT335,AT335,$E334-SUM($G335:AS335)))</f>
        <v>0</v>
      </c>
      <c r="AU334" s="401">
        <f ca="1">IF(SUM($G334:AT334)&gt;=$E334,0,IF($E334-SUM($G334:AT334)&gt;AU335,AU335,$E334-SUM($G335:AT335)))</f>
        <v>0</v>
      </c>
      <c r="AV334" s="401">
        <f ca="1">IF(SUM($G334:AU334)&gt;=$E334,0,IF($E334-SUM($G334:AU334)&gt;AV335,AV335,$E334-SUM($G335:AU335)))</f>
        <v>0</v>
      </c>
      <c r="AW334" s="401">
        <f ca="1">IF(SUM($G334:AV334)&gt;=$E334,0,IF($E334-SUM($G334:AV334)&gt;AW335,AW335,$E334-SUM($G335:AV335)))</f>
        <v>5.0500000000000114</v>
      </c>
      <c r="AX334" s="401">
        <f ca="1">IF(SUM($G334:AW334)&gt;=$E334,0,IF($E334-SUM($G334:AW334)&gt;AX335,AX335,$E334-SUM($G335:AW335)))</f>
        <v>31</v>
      </c>
      <c r="AY334" s="401">
        <f ca="1">IF(SUM($G334:AX334)&gt;=$E334,0,IF($E334-SUM($G334:AX334)&gt;AY335,AY335,$E334-SUM($G335:AX335)))</f>
        <v>30</v>
      </c>
      <c r="AZ334" s="401">
        <f ca="1">IF(SUM($G334:AY334)&gt;=$E334,0,IF($E334-SUM($G334:AY334)&gt;AZ335,AZ335,$E334-SUM($G335:AY335)))</f>
        <v>31</v>
      </c>
      <c r="BA334" s="401">
        <f ca="1">IF(SUM($G334:AZ334)&gt;=$E334,0,IF($E334-SUM($G334:AZ334)&gt;BA335,BA335,$E334-SUM($G335:AZ335)))</f>
        <v>31</v>
      </c>
      <c r="BB334" s="401">
        <f ca="1">IF(SUM($G334:BA334)&gt;=$E334,0,IF($E334-SUM($G334:BA334)&gt;BB335,BB335,$E334-SUM($G335:BA335)))</f>
        <v>28</v>
      </c>
      <c r="BC334" s="401">
        <f ca="1">IF(SUM($G334:BB334)&gt;=$E334,0,IF($E334-SUM($G334:BB334)&gt;BC335,BC335,$E334-SUM($G335:BB335)))</f>
        <v>31</v>
      </c>
      <c r="BD334" s="401">
        <f ca="1">IF(SUM($G334:BC334)&gt;=$E334,0,IF($E334-SUM($G334:BC334)&gt;BD335,BD335,$E334-SUM($G335:BC335)))</f>
        <v>30</v>
      </c>
      <c r="BE334" s="401">
        <f ca="1">IF(SUM($G334:BD334)&gt;=$E334,0,IF($E334-SUM($G334:BD334)&gt;BE335,BE335,$E334-SUM($G335:BD335)))</f>
        <v>31</v>
      </c>
      <c r="BF334" s="401">
        <f ca="1">IF(SUM($G334:BE334)&gt;=$E334,0,IF($E334-SUM($G334:BE334)&gt;BF335,BF335,$E334-SUM($G335:BE335)))</f>
        <v>30</v>
      </c>
      <c r="BG334" s="401">
        <f ca="1">IF(SUM($G334:BF334)&gt;=$E334,0,IF($E334-SUM($G334:BF334)&gt;BG335,BG335,$E334-SUM($G335:BF335)))</f>
        <v>31</v>
      </c>
      <c r="BH334" s="401">
        <f ca="1">IF(SUM($G334:BG334)&gt;=$E334,0,IF($E334-SUM($G334:BG334)&gt;BH335,BH335,$E334-SUM($G335:BG335)))</f>
        <v>29.949999999999989</v>
      </c>
      <c r="BI334" s="401">
        <f ca="1">IF(SUM($G334:BH334)&gt;=$E334,0,IF($E334-SUM($G334:BH334)&gt;BI335,BI335,$E334-SUM($G335:BH335)))</f>
        <v>0</v>
      </c>
      <c r="BJ334" s="401">
        <f ca="1">IF(SUM($G334:BI334)&gt;=$E334,0,IF($E334-SUM($G334:BI334)&gt;BJ335,BJ335,$E334-SUM($G335:BI335)))</f>
        <v>0</v>
      </c>
      <c r="BK334" s="401">
        <f ca="1">IF(SUM($G334:BJ334)&gt;=$E334,0,IF($E334-SUM($G334:BJ334)&gt;BK335,BK335,$E334-SUM($G335:BJ335)))</f>
        <v>0</v>
      </c>
      <c r="BL334" s="401">
        <f ca="1">IF(SUM($G334:BK334)&gt;=$E334,0,IF($E334-SUM($G334:BK334)&gt;BL335,BL335,$E334-SUM($G335:BK335)))</f>
        <v>0</v>
      </c>
      <c r="BM334" s="401">
        <f ca="1">IF(SUM($G334:BL334)&gt;=$E334,0,IF($E334-SUM($G334:BL334)&gt;BM335,BM335,$E334-SUM($G335:BL335)))</f>
        <v>0</v>
      </c>
      <c r="BN334" s="401">
        <f ca="1">IF(SUM($G334:BM334)&gt;=$E334,0,IF($E334-SUM($G334:BM334)&gt;BN335,BN335,$E334-SUM($G335:BM335)))</f>
        <v>0</v>
      </c>
      <c r="BO334" s="401">
        <f ca="1">IF(SUM($G334:BN334)&gt;=$E334,0,IF($E334-SUM($G334:BN334)&gt;BO335,BO335,$E334-SUM($G335:BN335)))</f>
        <v>0</v>
      </c>
      <c r="BP334" s="401">
        <f ca="1">IF(SUM($G334:BO334)&gt;=$E334,0,IF($E334-SUM($G334:BO334)&gt;BP335,BP335,$E334-SUM($G335:BO335)))</f>
        <v>0</v>
      </c>
      <c r="BQ334" s="401">
        <f ca="1">IF(SUM($G334:BP334)&gt;=$E334,0,IF($E334-SUM($G334:BP334)&gt;BQ335,BQ335,$E334-SUM($G335:BP335)))</f>
        <v>0</v>
      </c>
      <c r="BR334" s="401">
        <f ca="1">IF(SUM($G334:BQ334)&gt;=$E334,0,IF($E334-SUM($G334:BQ334)&gt;BR335,BR335,$E334-SUM($G335:BQ335)))</f>
        <v>0</v>
      </c>
      <c r="BS334" s="401">
        <f ca="1">IF(SUM($G334:BR334)&gt;=$E334,0,IF($E334-SUM($G334:BR334)&gt;BS335,BS335,$E334-SUM($G335:BR335)))</f>
        <v>0</v>
      </c>
      <c r="BT334" s="401">
        <f ca="1">IF(SUM($G334:BS334)&gt;=$E334,0,IF($E334-SUM($G334:BS334)&gt;BT335,BT335,$E334-SUM($G335:BS335)))</f>
        <v>0</v>
      </c>
      <c r="BU334" s="401">
        <f ca="1">IF(SUM($G334:BT334)&gt;=$E334,0,IF($E334-SUM($G334:BT334)&gt;BU335,BU335,$E334-SUM($G335:BT335)))</f>
        <v>0</v>
      </c>
      <c r="BV334" s="401">
        <f ca="1">IF(SUM($G334:BU334)&gt;=$E334,0,IF($E334-SUM($G334:BU334)&gt;BV335,BV335,$E334-SUM($G335:BU335)))</f>
        <v>0</v>
      </c>
      <c r="BW334" s="401">
        <f ca="1">IF(SUM($G334:BV334)&gt;=$E334,0,IF($E334-SUM($G334:BV334)&gt;BW335,BW335,$E334-SUM($G335:BV335)))</f>
        <v>0</v>
      </c>
      <c r="BX334" s="401">
        <f ca="1">IF(SUM($G334:BW334)&gt;=$E334,0,IF($E334-SUM($G334:BW334)&gt;BX335,BX335,$E334-SUM($G335:BW335)))</f>
        <v>0</v>
      </c>
      <c r="BY334" s="401">
        <f ca="1">IF(SUM($G334:BX334)&gt;=$E334,0,IF($E334-SUM($G334:BX334)&gt;BY335,BY335,$E334-SUM($G335:BX335)))</f>
        <v>0</v>
      </c>
      <c r="BZ334" s="401">
        <f ca="1">IF(SUM($G334:BY334)&gt;=$E334,0,IF($E334-SUM($G334:BY334)&gt;BZ335,BZ335,$E334-SUM($G335:BY335)))</f>
        <v>0</v>
      </c>
      <c r="CA334" s="401">
        <f ca="1">IF(SUM($G334:BZ334)&gt;=$E334,0,IF($E334-SUM($G334:BZ334)&gt;CA335,CA335,$E334-SUM($G335:BZ335)))</f>
        <v>0</v>
      </c>
      <c r="CB334" s="401">
        <f ca="1">IF(SUM($G334:CA334)&gt;=$E334,0,IF($E334-SUM($G334:CA334)&gt;CB335,CB335,$E334-SUM($G335:CA335)))</f>
        <v>0</v>
      </c>
      <c r="CC334" s="401">
        <f ca="1">IF(SUM($G334:CB334)&gt;=$E334,0,IF($E334-SUM($G334:CB334)&gt;CC335,CC335,$E334-SUM($G335:CB335)))</f>
        <v>0</v>
      </c>
      <c r="CD334" s="401">
        <f ca="1">IF(SUM($G334:CC334)&gt;=$E334,0,IF($E334-SUM($G334:CC334)&gt;CD335,CD335,$E334-SUM($G335:CC335)))</f>
        <v>0</v>
      </c>
      <c r="CE334" s="401">
        <f ca="1">IF(SUM($G334:CD334)&gt;=$E334,0,IF($E334-SUM($G334:CD334)&gt;CE335,CE335,$E334-SUM($G335:CD335)))</f>
        <v>0</v>
      </c>
      <c r="CF334" s="401">
        <f ca="1">IF(SUM($G334:CE334)&gt;=$E334,0,IF($E334-SUM($G334:CE334)&gt;CF335,CF335,$E334-SUM($G335:CE335)))</f>
        <v>0</v>
      </c>
      <c r="CG334" s="401">
        <f ca="1">IF(SUM($G334:CF334)&gt;=$E334,0,IF($E334-SUM($G334:CF334)&gt;CG335,CG335,$E334-SUM($G335:CF335)))</f>
        <v>0</v>
      </c>
      <c r="CH334" s="401">
        <f ca="1">IF(SUM($G334:CG334)&gt;=$E334,0,IF($E334-SUM($G334:CG334)&gt;CH335,CH335,$E334-SUM($G335:CG335)))</f>
        <v>0</v>
      </c>
      <c r="CI334" s="401">
        <f ca="1">IF(SUM($G334:CH334)&gt;=$E334,0,IF($E334-SUM($G334:CH334)&gt;CI335,CI335,$E334-SUM($G335:CH335)))</f>
        <v>0</v>
      </c>
      <c r="CJ334" s="401">
        <f ca="1">IF(SUM($G334:CI334)&gt;=$E334,0,IF($E334-SUM($G334:CI334)&gt;CJ335,CJ335,$E334-SUM($G335:CI335)))</f>
        <v>0</v>
      </c>
      <c r="CK334" s="401">
        <f ca="1">IF(SUM($G334:CJ334)&gt;=$E334,0,IF($E334-SUM($G334:CJ334)&gt;CK335,CK335,$E334-SUM($G335:CJ335)))</f>
        <v>0</v>
      </c>
      <c r="CL334" s="401">
        <f ca="1">IF(SUM($G334:CK334)&gt;=$E334,0,IF($E334-SUM($G334:CK334)&gt;CL335,CL335,$E334-SUM($G335:CK335)))</f>
        <v>0</v>
      </c>
      <c r="CM334" s="401">
        <f ca="1">IF(SUM($G334:CL334)&gt;=$E334,0,IF($E334-SUM($G334:CL334)&gt;CM335,CM335,$E334-SUM($G335:CL335)))</f>
        <v>0</v>
      </c>
      <c r="CN334" s="401">
        <f ca="1">IF(SUM($G334:CM334)&gt;=$E334,0,IF($E334-SUM($G334:CM334)&gt;CN335,CN335,$E334-SUM($G335:CM335)))</f>
        <v>0</v>
      </c>
      <c r="CO334" s="401">
        <f ca="1">IF(SUM($G334:CN334)&gt;=$E334,0,IF($E334-SUM($G334:CN334)&gt;CO335,CO335,$E334-SUM($G335:CN335)))</f>
        <v>0</v>
      </c>
      <c r="CP334" s="401">
        <f ca="1">IF(SUM($G334:CO334)&gt;=$E334,0,IF($E334-SUM($G334:CO334)&gt;CP335,CP335,$E334-SUM($G335:CO335)))</f>
        <v>0</v>
      </c>
      <c r="CQ334" s="401">
        <f ca="1">IF(SUM($G334:CP334)&gt;=$E334,0,IF($E334-SUM($G334:CP334)&gt;CQ335,CQ335,$E334-SUM($G335:CP335)))</f>
        <v>0</v>
      </c>
      <c r="CR334" s="401">
        <f ca="1">IF(SUM($G334:CQ334)&gt;=$E334,0,IF($E334-SUM($G334:CQ334)&gt;CR335,CR335,$E334-SUM($G335:CQ335)))</f>
        <v>0</v>
      </c>
      <c r="CS334" s="401">
        <f ca="1">IF(SUM($G334:CR334)&gt;=$E334,0,IF($E334-SUM($G334:CR334)&gt;CS335,CS335,$E334-SUM($G335:CR335)))</f>
        <v>0</v>
      </c>
      <c r="CT334" s="401">
        <f ca="1">IF(SUM($G334:CS334)&gt;=$E334,0,IF($E334-SUM($G334:CS334)&gt;CT335,CT335,$E334-SUM($G335:CS335)))</f>
        <v>0</v>
      </c>
      <c r="CU334" s="401">
        <f ca="1">IF(SUM($G334:CT334)&gt;=$E334,0,IF($E334-SUM($G334:CT334)&gt;CU335,CU335,$E334-SUM($G335:CT335)))</f>
        <v>0</v>
      </c>
      <c r="CV334" s="401">
        <f ca="1">IF(SUM($G334:CU334)&gt;=$E334,0,IF($E334-SUM($G334:CU334)&gt;CV335,CV335,$E334-SUM($G335:CU335)))</f>
        <v>0</v>
      </c>
      <c r="CW334" s="401">
        <f ca="1">IF(SUM($G334:CV334)&gt;=$E334,0,IF($E334-SUM($G334:CV334)&gt;CW335,CW335,$E334-SUM($G335:CV335)))</f>
        <v>0</v>
      </c>
      <c r="CX334" s="401">
        <f ca="1">IF(SUM($G334:CW334)&gt;=$E334,0,IF($E334-SUM($G334:CW334)&gt;CX335,CX335,$E334-SUM($G335:CW335)))</f>
        <v>0</v>
      </c>
      <c r="CY334" s="401">
        <f ca="1">IF(SUM($G334:CX334)&gt;=$E334,0,IF($E334-SUM($G334:CX334)&gt;CY335,CY335,$E334-SUM($G335:CX335)))</f>
        <v>0</v>
      </c>
      <c r="CZ334" s="401">
        <f ca="1">IF(SUM($G334:CY334)&gt;=$E334,0,IF($E334-SUM($G334:CY334)&gt;CZ335,CZ335,$E334-SUM($G335:CY335)))</f>
        <v>0</v>
      </c>
      <c r="DA334" s="401">
        <f ca="1">IF(SUM($G334:CZ334)&gt;=$E334,0,IF($E334-SUM($G334:CZ334)&gt;DA335,DA335,$E334-SUM($G335:CZ335)))</f>
        <v>0</v>
      </c>
      <c r="DB334" s="401">
        <f ca="1">IF(SUM($G334:DA334)&gt;=$E334,0,IF($E334-SUM($G334:DA334)&gt;DB335,DB335,$E334-SUM($G335:DA335)))</f>
        <v>0</v>
      </c>
      <c r="DC334" s="401">
        <f ca="1">IF(SUM($G334:DB334)&gt;=$E334,0,IF($E334-SUM($G334:DB334)&gt;DC335,DC335,$E334-SUM($G335:DB335)))</f>
        <v>0</v>
      </c>
      <c r="DD334" s="401">
        <f ca="1">IF(SUM($G334:DC334)&gt;=$E334,0,IF($E334-SUM($G334:DC334)&gt;DD335,DD335,$E334-SUM($G335:DC335)))</f>
        <v>0</v>
      </c>
      <c r="DE334" s="401">
        <f ca="1">IF(SUM($G334:DD334)&gt;=$E334,0,IF($E334-SUM($G334:DD334)&gt;DE335,DE335,$E334-SUM($G335:DD335)))</f>
        <v>0</v>
      </c>
      <c r="DF334" s="401">
        <f ca="1">IF(SUM($G334:DE334)&gt;=$E334,0,IF($E334-SUM($G334:DE334)&gt;DF335,DF335,$E334-SUM($G335:DE335)))</f>
        <v>0</v>
      </c>
      <c r="DG334" s="401">
        <f ca="1">IF(SUM($G334:DF334)&gt;=$E334,0,IF($E334-SUM($G334:DF334)&gt;DG335,DG335,$E334-SUM($G335:DF335)))</f>
        <v>0</v>
      </c>
      <c r="DH334" s="401">
        <f ca="1">IF(SUM($G334:DG334)&gt;=$E334,0,IF($E334-SUM($G334:DG334)&gt;DH335,DH335,$E334-SUM($G335:DG335)))</f>
        <v>0</v>
      </c>
      <c r="DI334" s="401">
        <f ca="1">IF(SUM($G334:DH334)&gt;=$E334,0,IF($E334-SUM($G334:DH334)&gt;DI335,DI335,$E334-SUM($G335:DH335)))</f>
        <v>0</v>
      </c>
      <c r="DJ334" s="401">
        <f ca="1">IF(SUM($G334:DI334)&gt;=$E334,0,IF($E334-SUM($G334:DI334)&gt;DJ335,DJ335,$E334-SUM($G335:DI335)))</f>
        <v>0</v>
      </c>
      <c r="DK334" s="401">
        <f ca="1">IF(SUM($G334:DJ334)&gt;=$E334,0,IF($E334-SUM($G334:DJ334)&gt;DK335,DK335,$E334-SUM($G335:DJ335)))</f>
        <v>0</v>
      </c>
      <c r="DL334" s="401">
        <f ca="1">IF(SUM($G334:DK334)&gt;=$E334,0,IF($E334-SUM($G334:DK334)&gt;DL335,DL335,$E334-SUM($G335:DK335)))</f>
        <v>0</v>
      </c>
      <c r="DM334" s="401">
        <f ca="1">IF(SUM($G334:DL334)&gt;=$E334,0,IF($E334-SUM($G334:DL334)&gt;DM335,DM335,$E334-SUM($G335:DL335)))</f>
        <v>0</v>
      </c>
      <c r="DN334" s="401">
        <f ca="1">IF(SUM($G334:DM334)&gt;=$E334,0,IF($E334-SUM($G334:DM334)&gt;DN335,DN335,$E334-SUM($G335:DM335)))</f>
        <v>0</v>
      </c>
      <c r="DO334" s="401">
        <f ca="1">IF(SUM($G334:DN334)&gt;=$E334,0,IF($E334-SUM($G334:DN334)&gt;DO335,DO335,$E334-SUM($G335:DN335)))</f>
        <v>0</v>
      </c>
      <c r="DP334" s="401">
        <f ca="1">IF(SUM($G334:DO334)&gt;=$E334,0,IF($E334-SUM($G334:DO334)&gt;DP335,DP335,$E334-SUM($G335:DO335)))</f>
        <v>0</v>
      </c>
      <c r="DQ334" s="401">
        <f ca="1">IF(SUM($G334:DP334)&gt;=$E334,0,IF($E334-SUM($G334:DP334)&gt;DQ335,DQ335,$E334-SUM($G335:DP335)))</f>
        <v>0</v>
      </c>
      <c r="DR334" s="401">
        <f ca="1">IF(SUM($G334:DQ334)&gt;=$E334,0,IF($E334-SUM($G334:DQ334)&gt;DR335,DR335,$E334-SUM($G335:DQ335)))</f>
        <v>0</v>
      </c>
      <c r="DS334" s="401">
        <f ca="1">IF(SUM($G334:DR334)&gt;=$E334,0,IF($E334-SUM($G334:DR334)&gt;DS335,DS335,$E334-SUM($G335:DR335)))</f>
        <v>0</v>
      </c>
      <c r="DT334" s="401">
        <f ca="1">IF(SUM($G334:DS334)&gt;=$E334,0,IF($E334-SUM($G334:DS334)&gt;DT335,DT335,$E334-SUM($G335:DS335)))</f>
        <v>0</v>
      </c>
      <c r="DU334" s="401">
        <f ca="1">IF(SUM($G334:DT334)&gt;=$E334,0,IF($E334-SUM($G334:DT334)&gt;DU335,DU335,$E334-SUM($G335:DT335)))</f>
        <v>0</v>
      </c>
      <c r="DV334" s="401">
        <f ca="1">IF(SUM($G334:DU334)&gt;=$E334,0,IF($E334-SUM($G334:DU334)&gt;DV335,DV335,$E334-SUM($G335:DU335)))</f>
        <v>0</v>
      </c>
      <c r="DW334" s="401">
        <f ca="1">IF(SUM($G334:DV334)&gt;=$E334,0,IF($E334-SUM($G334:DV334)&gt;DW335,DW335,$E334-SUM($G335:DV335)))</f>
        <v>0</v>
      </c>
      <c r="DX334" s="401">
        <f ca="1">IF(SUM($G334:DW334)&gt;=$E334,0,IF($E334-SUM($G334:DW334)&gt;DX335,DX335,$E334-SUM($G335:DW335)))</f>
        <v>0</v>
      </c>
      <c r="DY334" s="401">
        <f ca="1">IF(SUM($G334:DX334)&gt;=$E334,0,IF($E334-SUM($G334:DX334)&gt;DY335,DY335,$E334-SUM($G335:DX335)))</f>
        <v>0</v>
      </c>
      <c r="DZ334" s="401">
        <f ca="1">IF(SUM($G334:DY334)&gt;=$E334,0,IF($E334-SUM($G334:DY334)&gt;DZ335,DZ335,$E334-SUM($G335:DY335)))</f>
        <v>0</v>
      </c>
      <c r="EA334" s="401">
        <f ca="1">IF(SUM($G334:DZ334)&gt;=$E334,0,IF($E334-SUM($G334:DZ334)&gt;EA335,EA335,$E334-SUM($G335:DZ335)))</f>
        <v>0</v>
      </c>
      <c r="EB334" s="401">
        <f ca="1">IF(SUM($G334:EA334)&gt;=$E334,0,IF($E334-SUM($G334:EA334)&gt;EB335,EB335,$E334-SUM($G335:EA335)))</f>
        <v>0</v>
      </c>
      <c r="EC334" s="401">
        <f ca="1">IF(SUM($G334:EB334)&gt;=$E334,0,IF($E334-SUM($G334:EB334)&gt;EC335,EC335,$E334-SUM($G335:EB335)))</f>
        <v>0</v>
      </c>
      <c r="ED334" s="401">
        <f ca="1">IF(SUM($G334:EC334)&gt;=$E334,0,IF($E334-SUM($G334:EC334)&gt;ED335,ED335,$E334-SUM($G335:EC335)))</f>
        <v>0</v>
      </c>
      <c r="EE334" s="401">
        <f ca="1">IF(SUM($G334:ED334)&gt;=$E334,0,IF($E334-SUM($G334:ED334)&gt;EE335,EE335,$E334-SUM($G335:ED335)))</f>
        <v>0</v>
      </c>
      <c r="EF334" s="401">
        <f ca="1">IF(SUM($G334:EE334)&gt;=$E334,0,IF($E334-SUM($G334:EE334)&gt;EF335,EF335,$E334-SUM($G335:EE335)))</f>
        <v>0</v>
      </c>
      <c r="EG334" s="401">
        <f ca="1">IF(SUM($G334:EF334)&gt;=$E334,0,IF($E334-SUM($G334:EF334)&gt;EG335,EG335,$E334-SUM($G335:EF335)))</f>
        <v>0</v>
      </c>
      <c r="EH334" s="401">
        <f ca="1">IF(SUM($G334:EG334)&gt;=$E334,0,IF($E334-SUM($G334:EG334)&gt;EH335,EH335,$E334-SUM($G335:EG335)))</f>
        <v>0</v>
      </c>
      <c r="EI334" s="401">
        <f ca="1">IF(SUM($G334:EH334)&gt;=$E334,0,IF($E334-SUM($G334:EH334)&gt;EI335,EI335,$E334-SUM($G335:EH335)))</f>
        <v>0</v>
      </c>
      <c r="EK334" s="313"/>
    </row>
    <row r="335" spans="1:141" hidden="1" outlineLevel="2">
      <c r="A335" s="332"/>
      <c r="B335" s="313"/>
      <c r="C335" s="308"/>
      <c r="D335" s="308"/>
      <c r="E335" s="308"/>
      <c r="G335" s="402"/>
      <c r="H335" s="402">
        <f ca="1">IF((SUM($G300:H300)-$E299*IF(длительность!$B$13&gt;70,0.25,0.4))&lt;0,0,IF((SUM($G300:H300)-$E299*IF(длительность!$B$13&gt;70,0.25,0.4))&lt;H300,SUM($G300:H300)-$E299*IF(длительность!$B$13&gt;70,0.25,0.4),H300))</f>
        <v>0</v>
      </c>
      <c r="I335" s="402">
        <f ca="1">IF((SUM($G300:I300)-$E299*IF(длительность!$B$13&gt;70,0.25,0.4))&lt;0,0,IF((SUM($G300:I300)-$E299*IF(длительность!$B$13&gt;70,0.25,0.4))&lt;I300,SUM($G300:I300)-$E299*IF(длительность!$B$13&gt;70,0.25,0.4),I300))</f>
        <v>0</v>
      </c>
      <c r="J335" s="402">
        <f ca="1">IF((SUM($G300:J300)-$E299*IF(длительность!$B$13&gt;70,0.25,0.4))&lt;0,0,IF((SUM($G300:J300)-$E299*IF(длительность!$B$13&gt;70,0.25,0.4))&lt;J300,SUM($G300:J300)-$E299*IF(длительность!$B$13&gt;70,0.25,0.4),J300))</f>
        <v>0</v>
      </c>
      <c r="K335" s="402">
        <f ca="1">IF((SUM($G300:K300)-$E299*IF(длительность!$B$13&gt;70,0.25,0.4))&lt;0,0,IF((SUM($G300:K300)-$E299*IF(длительность!$B$13&gt;70,0.25,0.4))&lt;K300,SUM($G300:K300)-$E299*IF(длительность!$B$13&gt;70,0.25,0.4),K300))</f>
        <v>0</v>
      </c>
      <c r="L335" s="402">
        <f ca="1">IF((SUM($G300:L300)-$E299*IF(длительность!$B$13&gt;70,0.25,0.4))&lt;0,0,IF((SUM($G300:L300)-$E299*IF(длительность!$B$13&gt;70,0.25,0.4))&lt;L300,SUM($G300:L300)-$E299*IF(длительность!$B$13&gt;70,0.25,0.4),L300))</f>
        <v>0</v>
      </c>
      <c r="M335" s="402">
        <f ca="1">IF((SUM($G300:M300)-$E299*IF(длительность!$B$13&gt;70,0.25,0.4))&lt;0,0,IF((SUM($G300:M300)-$E299*IF(длительность!$B$13&gt;70,0.25,0.4))&lt;M300,SUM($G300:M300)-$E299*IF(длительность!$B$13&gt;70,0.25,0.4),M300))</f>
        <v>0</v>
      </c>
      <c r="N335" s="402">
        <f ca="1">IF((SUM($G300:N300)-$E299*IF(длительность!$B$13&gt;70,0.25,0.4))&lt;0,0,IF((SUM($G300:N300)-$E299*IF(длительность!$B$13&gt;70,0.25,0.4))&lt;N300,SUM($G300:N300)-$E299*IF(длительность!$B$13&gt;70,0.25,0.4),N300))</f>
        <v>0</v>
      </c>
      <c r="O335" s="402">
        <f ca="1">IF((SUM($G300:O300)-$E299*IF(длительность!$B$13&gt;70,0.25,0.4))&lt;0,0,IF((SUM($G300:O300)-$E299*IF(длительность!$B$13&gt;70,0.25,0.4))&lt;O300,SUM($G300:O300)-$E299*IF(длительность!$B$13&gt;70,0.25,0.4),O300))</f>
        <v>0</v>
      </c>
      <c r="P335" s="402">
        <f ca="1">IF((SUM($G300:P300)-$E299*IF(длительность!$B$13&gt;70,0.25,0.4))&lt;0,0,IF((SUM($G300:P300)-$E299*IF(длительность!$B$13&gt;70,0.25,0.4))&lt;P300,SUM($G300:P300)-$E299*IF(длительность!$B$13&gt;70,0.25,0.4),P300))</f>
        <v>0</v>
      </c>
      <c r="Q335" s="402">
        <f ca="1">IF((SUM($G300:Q300)-$E299*IF(длительность!$B$13&gt;70,0.25,0.4))&lt;0,0,IF((SUM($G300:Q300)-$E299*IF(длительность!$B$13&gt;70,0.25,0.4))&lt;Q300,SUM($G300:Q300)-$E299*IF(длительность!$B$13&gt;70,0.25,0.4),Q300))</f>
        <v>0</v>
      </c>
      <c r="R335" s="402">
        <f ca="1">IF((SUM($G300:R300)-$E299*IF(длительность!$B$13&gt;70,0.25,0.4))&lt;0,0,IF((SUM($G300:R300)-$E299*IF(длительность!$B$13&gt;70,0.25,0.4))&lt;R300,SUM($G300:R300)-$E299*IF(длительность!$B$13&gt;70,0.25,0.4),R300))</f>
        <v>0</v>
      </c>
      <c r="S335" s="402">
        <f ca="1">IF((SUM($G300:S300)-$E299*IF(длительность!$B$13&gt;70,0.25,0.4))&lt;0,0,IF((SUM($G300:S300)-$E299*IF(длительность!$B$13&gt;70,0.25,0.4))&lt;S300,SUM($G300:S300)-$E299*IF(длительность!$B$13&gt;70,0.25,0.4),S300))</f>
        <v>0</v>
      </c>
      <c r="T335" s="402">
        <f ca="1">IF((SUM($G300:T300)-$E299*IF(длительность!$B$13&gt;70,0.25,0.4))&lt;0,0,IF((SUM($G300:T300)-$E299*IF(длительность!$B$13&gt;70,0.25,0.4))&lt;T300,SUM($G300:T300)-$E299*IF(длительность!$B$13&gt;70,0.25,0.4),T300))</f>
        <v>0</v>
      </c>
      <c r="U335" s="402">
        <f ca="1">IF((SUM($G300:U300)-$E299*IF(длительность!$B$13&gt;70,0.25,0.4))&lt;0,0,IF((SUM($G300:U300)-$E299*IF(длительность!$B$13&gt;70,0.25,0.4))&lt;U300,SUM($G300:U300)-$E299*IF(длительность!$B$13&gt;70,0.25,0.4),U300))</f>
        <v>0</v>
      </c>
      <c r="V335" s="402">
        <f ca="1">IF((SUM($G300:V300)-$E299*IF(длительность!$B$13&gt;70,0.25,0.4))&lt;0,0,IF((SUM($G300:V300)-$E299*IF(длительность!$B$13&gt;70,0.25,0.4))&lt;V300,SUM($G300:V300)-$E299*IF(длительность!$B$13&gt;70,0.25,0.4),V300))</f>
        <v>0</v>
      </c>
      <c r="W335" s="402">
        <f ca="1">IF((SUM($G300:W300)-$E299*IF(длительность!$B$13&gt;70,0.25,0.4))&lt;0,0,IF((SUM($G300:W300)-$E299*IF(длительность!$B$13&gt;70,0.25,0.4))&lt;W300,SUM($G300:W300)-$E299*IF(длительность!$B$13&gt;70,0.25,0.4),W300))</f>
        <v>0</v>
      </c>
      <c r="X335" s="402">
        <f ca="1">IF((SUM($G300:X300)-$E299*IF(длительность!$B$13&gt;70,0.25,0.4))&lt;0,0,IF((SUM($G300:X300)-$E299*IF(длительность!$B$13&gt;70,0.25,0.4))&lt;X300,SUM($G300:X300)-$E299*IF(длительность!$B$13&gt;70,0.25,0.4),X300))</f>
        <v>0</v>
      </c>
      <c r="Y335" s="402">
        <f ca="1">IF((SUM($G300:Y300)-$E299*IF(длительность!$B$13&gt;70,0.25,0.4))&lt;0,0,IF((SUM($G300:Y300)-$E299*IF(длительность!$B$13&gt;70,0.25,0.4))&lt;Y300,SUM($G300:Y300)-$E299*IF(длительность!$B$13&gt;70,0.25,0.4),Y300))</f>
        <v>0</v>
      </c>
      <c r="Z335" s="402">
        <f ca="1">IF((SUM($G300:Z300)-$E299*IF(длительность!$B$13&gt;70,0.25,0.4))&lt;0,0,IF((SUM($G300:Z300)-$E299*IF(длительность!$B$13&gt;70,0.25,0.4))&lt;Z300,SUM($G300:Z300)-$E299*IF(длительность!$B$13&gt;70,0.25,0.4),Z300))</f>
        <v>0</v>
      </c>
      <c r="AA335" s="402">
        <f ca="1">IF((SUM($G300:AA300)-$E299*IF(длительность!$B$13&gt;70,0.25,0.4))&lt;0,0,IF((SUM($G300:AA300)-$E299*IF(длительность!$B$13&gt;70,0.25,0.4))&lt;AA300,SUM($G300:AA300)-$E299*IF(длительность!$B$13&gt;70,0.25,0.4),AA300))</f>
        <v>0</v>
      </c>
      <c r="AB335" s="402">
        <f ca="1">IF((SUM($G300:AB300)-$E299*IF(длительность!$B$13&gt;70,0.25,0.4))&lt;0,0,IF((SUM($G300:AB300)-$E299*IF(длительность!$B$13&gt;70,0.25,0.4))&lt;AB300,SUM($G300:AB300)-$E299*IF(длительность!$B$13&gt;70,0.25,0.4),AB300))</f>
        <v>0</v>
      </c>
      <c r="AC335" s="402">
        <f ca="1">IF((SUM($G300:AC300)-$E299*IF(длительность!$B$13&gt;70,0.25,0.4))&lt;0,0,IF((SUM($G300:AC300)-$E299*IF(длительность!$B$13&gt;70,0.25,0.4))&lt;AC300,SUM($G300:AC300)-$E299*IF(длительность!$B$13&gt;70,0.25,0.4),AC300))</f>
        <v>0</v>
      </c>
      <c r="AD335" s="402">
        <f ca="1">IF((SUM($G300:AD300)-$E299*IF(длительность!$B$13&gt;70,0.25,0.4))&lt;0,0,IF((SUM($G300:AD300)-$E299*IF(длительность!$B$13&gt;70,0.25,0.4))&lt;AD300,SUM($G300:AD300)-$E299*IF(длительность!$B$13&gt;70,0.25,0.4),AD300))</f>
        <v>0</v>
      </c>
      <c r="AE335" s="402">
        <f ca="1">IF((SUM($G300:AE300)-$E299*IF(длительность!$B$13&gt;70,0.25,0.4))&lt;0,0,IF((SUM($G300:AE300)-$E299*IF(длительность!$B$13&gt;70,0.25,0.4))&lt;AE300,SUM($G300:AE300)-$E299*IF(длительность!$B$13&gt;70,0.25,0.4),AE300))</f>
        <v>0</v>
      </c>
      <c r="AF335" s="402">
        <f ca="1">IF((SUM($G300:AF300)-$E299*IF(длительность!$B$13&gt;70,0.25,0.4))&lt;0,0,IF((SUM($G300:AF300)-$E299*IF(длительность!$B$13&gt;70,0.25,0.4))&lt;AF300,SUM($G300:AF300)-$E299*IF(длительность!$B$13&gt;70,0.25,0.4),AF300))</f>
        <v>0</v>
      </c>
      <c r="AG335" s="402">
        <f ca="1">IF((SUM($G300:AG300)-$E299*IF(длительность!$B$13&gt;70,0.25,0.4))&lt;0,0,IF((SUM($G300:AG300)-$E299*IF(длительность!$B$13&gt;70,0.25,0.4))&lt;AG300,SUM($G300:AG300)-$E299*IF(длительность!$B$13&gt;70,0.25,0.4),AG300))</f>
        <v>0</v>
      </c>
      <c r="AH335" s="402">
        <f ca="1">IF((SUM($G300:AH300)-$E299*IF(длительность!$B$13&gt;70,0.25,0.4))&lt;0,0,IF((SUM($G300:AH300)-$E299*IF(длительность!$B$13&gt;70,0.25,0.4))&lt;AH300,SUM($G300:AH300)-$E299*IF(длительность!$B$13&gt;70,0.25,0.4),AH300))</f>
        <v>0</v>
      </c>
      <c r="AI335" s="402">
        <f ca="1">IF((SUM($G300:AI300)-$E299*IF(длительность!$B$13&gt;70,0.25,0.4))&lt;0,0,IF((SUM($G300:AI300)-$E299*IF(длительность!$B$13&gt;70,0.25,0.4))&lt;AI300,SUM($G300:AI300)-$E299*IF(длительность!$B$13&gt;70,0.25,0.4),AI300))</f>
        <v>0</v>
      </c>
      <c r="AJ335" s="402">
        <f ca="1">IF((SUM($G300:AJ300)-$E299*IF(длительность!$B$13&gt;70,0.25,0.4))&lt;0,0,IF((SUM($G300:AJ300)-$E299*IF(длительность!$B$13&gt;70,0.25,0.4))&lt;AJ300,SUM($G300:AJ300)-$E299*IF(длительность!$B$13&gt;70,0.25,0.4),AJ300))</f>
        <v>0</v>
      </c>
      <c r="AK335" s="402">
        <f ca="1">IF((SUM($G300:AK300)-$E299*IF(длительность!$B$13&gt;70,0.25,0.4))&lt;0,0,IF((SUM($G300:AK300)-$E299*IF(длительность!$B$13&gt;70,0.25,0.4))&lt;AK300,SUM($G300:AK300)-$E299*IF(длительность!$B$13&gt;70,0.25,0.4),AK300))</f>
        <v>0</v>
      </c>
      <c r="AL335" s="402">
        <f ca="1">IF((SUM($G300:AL300)-$E299*IF(длительность!$B$13&gt;70,0.25,0.4))&lt;0,0,IF((SUM($G300:AL300)-$E299*IF(длительность!$B$13&gt;70,0.25,0.4))&lt;AL300,SUM($G300:AL300)-$E299*IF(длительность!$B$13&gt;70,0.25,0.4),AL300))</f>
        <v>0</v>
      </c>
      <c r="AM335" s="402">
        <f ca="1">IF((SUM($G300:AM300)-$E299*IF(длительность!$B$13&gt;70,0.25,0.4))&lt;0,0,IF((SUM($G300:AM300)-$E299*IF(длительность!$B$13&gt;70,0.25,0.4))&lt;AM300,SUM($G300:AM300)-$E299*IF(длительность!$B$13&gt;70,0.25,0.4),AM300))</f>
        <v>0</v>
      </c>
      <c r="AN335" s="402">
        <f ca="1">IF((SUM($G300:AN300)-$E299*IF(длительность!$B$13&gt;70,0.25,0.4))&lt;0,0,IF((SUM($G300:AN300)-$E299*IF(длительность!$B$13&gt;70,0.25,0.4))&lt;AN300,SUM($G300:AN300)-$E299*IF(длительность!$B$13&gt;70,0.25,0.4),AN300))</f>
        <v>0</v>
      </c>
      <c r="AO335" s="402">
        <f ca="1">IF((SUM($G300:AO300)-$E299*IF(длительность!$B$13&gt;70,0.25,0.4))&lt;0,0,IF((SUM($G300:AO300)-$E299*IF(длительность!$B$13&gt;70,0.25,0.4))&lt;AO300,SUM($G300:AO300)-$E299*IF(длительность!$B$13&gt;70,0.25,0.4),AO300))</f>
        <v>0</v>
      </c>
      <c r="AP335" s="402">
        <f ca="1">IF((SUM($G300:AP300)-$E299*IF(длительность!$B$13&gt;70,0.25,0.4))&lt;0,0,IF((SUM($G300:AP300)-$E299*IF(длительность!$B$13&gt;70,0.25,0.4))&lt;AP300,SUM($G300:AP300)-$E299*IF(длительность!$B$13&gt;70,0.25,0.4),AP300))</f>
        <v>0</v>
      </c>
      <c r="AQ335" s="402">
        <f ca="1">IF((SUM($G300:AQ300)-$E299*IF(длительность!$B$13&gt;70,0.25,0.4))&lt;0,0,IF((SUM($G300:AQ300)-$E299*IF(длительность!$B$13&gt;70,0.25,0.4))&lt;AQ300,SUM($G300:AQ300)-$E299*IF(длительность!$B$13&gt;70,0.25,0.4),AQ300))</f>
        <v>0</v>
      </c>
      <c r="AR335" s="402">
        <f ca="1">IF((SUM($G300:AR300)-$E299*IF(длительность!$B$13&gt;70,0.25,0.4))&lt;0,0,IF((SUM($G300:AR300)-$E299*IF(длительность!$B$13&gt;70,0.25,0.4))&lt;AR300,SUM($G300:AR300)-$E299*IF(длительность!$B$13&gt;70,0.25,0.4),AR300))</f>
        <v>0</v>
      </c>
      <c r="AS335" s="402">
        <f ca="1">IF((SUM($G300:AS300)-$E299*IF(длительность!$B$13&gt;70,0.25,0.4))&lt;0,0,IF((SUM($G300:AS300)-$E299*IF(длительность!$B$13&gt;70,0.25,0.4))&lt;AS300,SUM($G300:AS300)-$E299*IF(длительность!$B$13&gt;70,0.25,0.4),AS300))</f>
        <v>0</v>
      </c>
      <c r="AT335" s="402">
        <f ca="1">IF((SUM($G300:AT300)-$E299*IF(длительность!$B$13&gt;70,0.25,0.4))&lt;0,0,IF((SUM($G300:AT300)-$E299*IF(длительность!$B$13&gt;70,0.25,0.4))&lt;AT300,SUM($G300:AT300)-$E299*IF(длительность!$B$13&gt;70,0.25,0.4),AT300))</f>
        <v>0</v>
      </c>
      <c r="AU335" s="402">
        <f ca="1">IF((SUM($G300:AU300)-$E299*IF(длительность!$B$13&gt;70,0.25,0.4))&lt;0,0,IF((SUM($G300:AU300)-$E299*IF(длительность!$B$13&gt;70,0.25,0.4))&lt;AU300,SUM($G300:AU300)-$E299*IF(длительность!$B$13&gt;70,0.25,0.4),AU300))</f>
        <v>0</v>
      </c>
      <c r="AV335" s="402">
        <f ca="1">IF((SUM($G300:AV300)-$E299*IF(длительность!$B$13&gt;70,0.25,0.4))&lt;0,0,IF((SUM($G300:AV300)-$E299*IF(длительность!$B$13&gt;70,0.25,0.4))&lt;AV300,SUM($G300:AV300)-$E299*IF(длительность!$B$13&gt;70,0.25,0.4),AV300))</f>
        <v>0</v>
      </c>
      <c r="AW335" s="402">
        <f ca="1">IF((SUM($G300:AW300)-$E299*IF(длительность!$B$13&gt;70,0.25,0.4))&lt;0,0,IF((SUM($G300:AW300)-$E299*IF(длительность!$B$13&gt;70,0.25,0.4))&lt;AW300,SUM($G300:AW300)-$E299*IF(длительность!$B$13&gt;70,0.25,0.4),AW300))</f>
        <v>5.0500000000000114</v>
      </c>
      <c r="AX335" s="402">
        <f ca="1">IF((SUM($G300:AX300)-$E299*IF(длительность!$B$13&gt;70,0.25,0.4))&lt;0,0,IF((SUM($G300:AX300)-$E299*IF(длительность!$B$13&gt;70,0.25,0.4))&lt;AX300,SUM($G300:AX300)-$E299*IF(длительность!$B$13&gt;70,0.25,0.4),AX300))</f>
        <v>31</v>
      </c>
      <c r="AY335" s="402">
        <f ca="1">IF((SUM($G300:AY300)-$E299*IF(длительность!$B$13&gt;70,0.25,0.4))&lt;0,0,IF((SUM($G300:AY300)-$E299*IF(длительность!$B$13&gt;70,0.25,0.4))&lt;AY300,SUM($G300:AY300)-$E299*IF(длительность!$B$13&gt;70,0.25,0.4),AY300))</f>
        <v>30</v>
      </c>
      <c r="AZ335" s="402">
        <f ca="1">IF((SUM($G300:AZ300)-$E299*IF(длительность!$B$13&gt;70,0.25,0.4))&lt;0,0,IF((SUM($G300:AZ300)-$E299*IF(длительность!$B$13&gt;70,0.25,0.4))&lt;AZ300,SUM($G300:AZ300)-$E299*IF(длительность!$B$13&gt;70,0.25,0.4),AZ300))</f>
        <v>31</v>
      </c>
      <c r="BA335" s="402">
        <f ca="1">IF((SUM($G300:BA300)-$E299*IF(длительность!$B$13&gt;70,0.25,0.4))&lt;0,0,IF((SUM($G300:BA300)-$E299*IF(длительность!$B$13&gt;70,0.25,0.4))&lt;BA300,SUM($G300:BA300)-$E299*IF(длительность!$B$13&gt;70,0.25,0.4),BA300))</f>
        <v>31</v>
      </c>
      <c r="BB335" s="402">
        <f ca="1">IF((SUM($G300:BB300)-$E299*IF(длительность!$B$13&gt;70,0.25,0.4))&lt;0,0,IF((SUM($G300:BB300)-$E299*IF(длительность!$B$13&gt;70,0.25,0.4))&lt;BB300,SUM($G300:BB300)-$E299*IF(длительность!$B$13&gt;70,0.25,0.4),BB300))</f>
        <v>28</v>
      </c>
      <c r="BC335" s="402">
        <f ca="1">IF((SUM($G300:BC300)-$E299*IF(длительность!$B$13&gt;70,0.25,0.4))&lt;0,0,IF((SUM($G300:BC300)-$E299*IF(длительность!$B$13&gt;70,0.25,0.4))&lt;BC300,SUM($G300:BC300)-$E299*IF(длительность!$B$13&gt;70,0.25,0.4),BC300))</f>
        <v>31</v>
      </c>
      <c r="BD335" s="402">
        <f ca="1">IF((SUM($G300:BD300)-$E299*IF(длительность!$B$13&gt;70,0.25,0.4))&lt;0,0,IF((SUM($G300:BD300)-$E299*IF(длительность!$B$13&gt;70,0.25,0.4))&lt;BD300,SUM($G300:BD300)-$E299*IF(длительность!$B$13&gt;70,0.25,0.4),BD300))</f>
        <v>30</v>
      </c>
      <c r="BE335" s="402">
        <f ca="1">IF((SUM($G300:BE300)-$E299*IF(длительность!$B$13&gt;70,0.25,0.4))&lt;0,0,IF((SUM($G300:BE300)-$E299*IF(длительность!$B$13&gt;70,0.25,0.4))&lt;BE300,SUM($G300:BE300)-$E299*IF(длительность!$B$13&gt;70,0.25,0.4),BE300))</f>
        <v>31</v>
      </c>
      <c r="BF335" s="402">
        <f ca="1">IF((SUM($G300:BF300)-$E299*IF(длительность!$B$13&gt;70,0.25,0.4))&lt;0,0,IF((SUM($G300:BF300)-$E299*IF(длительность!$B$13&gt;70,0.25,0.4))&lt;BF300,SUM($G300:BF300)-$E299*IF(длительность!$B$13&gt;70,0.25,0.4),BF300))</f>
        <v>30</v>
      </c>
      <c r="BG335" s="402">
        <f ca="1">IF((SUM($G300:BG300)-$E299*IF(длительность!$B$13&gt;70,0.25,0.4))&lt;0,0,IF((SUM($G300:BG300)-$E299*IF(длительность!$B$13&gt;70,0.25,0.4))&lt;BG300,SUM($G300:BG300)-$E299*IF(длительность!$B$13&gt;70,0.25,0.4),BG300))</f>
        <v>31</v>
      </c>
      <c r="BH335" s="402">
        <f ca="1">IF((SUM($G300:BH300)-$E299*IF(длительность!$B$13&gt;70,0.25,0.4))&lt;0,0,IF((SUM($G300:BH300)-$E299*IF(длительность!$B$13&gt;70,0.25,0.4))&lt;BH300,SUM($G300:BH300)-$E299*IF(длительность!$B$13&gt;70,0.25,0.4),BH300))</f>
        <v>31</v>
      </c>
      <c r="BI335" s="402">
        <f ca="1">IF((SUM($G300:BI300)-$E299*IF(длительность!$B$13&gt;70,0.25,0.4))&lt;0,0,IF((SUM($G300:BI300)-$E299*IF(длительность!$B$13&gt;70,0.25,0.4))&lt;BI300,SUM($G300:BI300)-$E299*IF(длительность!$B$13&gt;70,0.25,0.4),BI300))</f>
        <v>30</v>
      </c>
      <c r="BJ335" s="402">
        <f ca="1">IF((SUM($G300:BJ300)-$E299*IF(длительность!$B$13&gt;70,0.25,0.4))&lt;0,0,IF((SUM($G300:BJ300)-$E299*IF(длительность!$B$13&gt;70,0.25,0.4))&lt;BJ300,SUM($G300:BJ300)-$E299*IF(длительность!$B$13&gt;70,0.25,0.4),BJ300))</f>
        <v>31</v>
      </c>
      <c r="BK335" s="402">
        <f ca="1">IF((SUM($G300:BK300)-$E299*IF(длительность!$B$13&gt;70,0.25,0.4))&lt;0,0,IF((SUM($G300:BK300)-$E299*IF(длительность!$B$13&gt;70,0.25,0.4))&lt;BK300,SUM($G300:BK300)-$E299*IF(длительность!$B$13&gt;70,0.25,0.4),BK300))</f>
        <v>30</v>
      </c>
      <c r="BL335" s="402">
        <f ca="1">IF((SUM($G300:BL300)-$E299*IF(длительность!$B$13&gt;70,0.25,0.4))&lt;0,0,IF((SUM($G300:BL300)-$E299*IF(длительность!$B$13&gt;70,0.25,0.4))&lt;BL300,SUM($G300:BL300)-$E299*IF(длительность!$B$13&gt;70,0.25,0.4),BL300))</f>
        <v>31</v>
      </c>
      <c r="BM335" s="402">
        <f ca="1">IF((SUM($G300:BM300)-$E299*IF(длительность!$B$13&gt;70,0.25,0.4))&lt;0,0,IF((SUM($G300:BM300)-$E299*IF(длительность!$B$13&gt;70,0.25,0.4))&lt;BM300,SUM($G300:BM300)-$E299*IF(длительность!$B$13&gt;70,0.25,0.4),BM300))</f>
        <v>31</v>
      </c>
      <c r="BN335" s="402">
        <f ca="1">IF((SUM($G300:BN300)-$E299*IF(длительность!$B$13&gt;70,0.25,0.4))&lt;0,0,IF((SUM($G300:BN300)-$E299*IF(длительность!$B$13&gt;70,0.25,0.4))&lt;BN300,SUM($G300:BN300)-$E299*IF(длительность!$B$13&gt;70,0.25,0.4),BN300))</f>
        <v>29</v>
      </c>
      <c r="BO335" s="402">
        <f ca="1">IF((SUM($G300:BO300)-$E299*IF(длительность!$B$13&gt;70,0.25,0.4))&lt;0,0,IF((SUM($G300:BO300)-$E299*IF(длительность!$B$13&gt;70,0.25,0.4))&lt;BO300,SUM($G300:BO300)-$E299*IF(длительность!$B$13&gt;70,0.25,0.4),BO300))</f>
        <v>31</v>
      </c>
      <c r="BP335" s="402">
        <f ca="1">IF((SUM($G300:BP300)-$E299*IF(длительность!$B$13&gt;70,0.25,0.4))&lt;0,0,IF((SUM($G300:BP300)-$E299*IF(длительность!$B$13&gt;70,0.25,0.4))&lt;BP300,SUM($G300:BP300)-$E299*IF(длительность!$B$13&gt;70,0.25,0.4),BP300))</f>
        <v>30</v>
      </c>
      <c r="BQ335" s="402">
        <f ca="1">IF((SUM($G300:BQ300)-$E299*IF(длительность!$B$13&gt;70,0.25,0.4))&lt;0,0,IF((SUM($G300:BQ300)-$E299*IF(длительность!$B$13&gt;70,0.25,0.4))&lt;BQ300,SUM($G300:BQ300)-$E299*IF(длительность!$B$13&gt;70,0.25,0.4),BQ300))</f>
        <v>31</v>
      </c>
      <c r="BR335" s="402">
        <f ca="1">IF((SUM($G300:BR300)-$E299*IF(длительность!$B$13&gt;70,0.25,0.4))&lt;0,0,IF((SUM($G300:BR300)-$E299*IF(длительность!$B$13&gt;70,0.25,0.4))&lt;BR300,SUM($G300:BR300)-$E299*IF(длительность!$B$13&gt;70,0.25,0.4),BR300))</f>
        <v>30</v>
      </c>
      <c r="BS335" s="402">
        <f ca="1">IF((SUM($G300:BS300)-$E299*IF(длительность!$B$13&gt;70,0.25,0.4))&lt;0,0,IF((SUM($G300:BS300)-$E299*IF(длительность!$B$13&gt;70,0.25,0.4))&lt;BS300,SUM($G300:BS300)-$E299*IF(длительность!$B$13&gt;70,0.25,0.4),BS300))</f>
        <v>31</v>
      </c>
      <c r="BT335" s="402">
        <f ca="1">IF((SUM($G300:BT300)-$E299*IF(длительность!$B$13&gt;70,0.25,0.4))&lt;0,0,IF((SUM($G300:BT300)-$E299*IF(длительность!$B$13&gt;70,0.25,0.4))&lt;BT300,SUM($G300:BT300)-$E299*IF(длительность!$B$13&gt;70,0.25,0.4),BT300))</f>
        <v>31</v>
      </c>
      <c r="BU335" s="402">
        <f ca="1">IF((SUM($G300:BU300)-$E299*IF(длительность!$B$13&gt;70,0.25,0.4))&lt;0,0,IF((SUM($G300:BU300)-$E299*IF(длительность!$B$13&gt;70,0.25,0.4))&lt;BU300,SUM($G300:BU300)-$E299*IF(длительность!$B$13&gt;70,0.25,0.4),BU300))</f>
        <v>30</v>
      </c>
      <c r="BV335" s="402">
        <f ca="1">IF((SUM($G300:BV300)-$E299*IF(длительность!$B$13&gt;70,0.25,0.4))&lt;0,0,IF((SUM($G300:BV300)-$E299*IF(длительность!$B$13&gt;70,0.25,0.4))&lt;BV300,SUM($G300:BV300)-$E299*IF(длительность!$B$13&gt;70,0.25,0.4),BV300))</f>
        <v>31</v>
      </c>
      <c r="BW335" s="402">
        <f ca="1">IF((SUM($G300:BW300)-$E299*IF(длительность!$B$13&gt;70,0.25,0.4))&lt;0,0,IF((SUM($G300:BW300)-$E299*IF(длительность!$B$13&gt;70,0.25,0.4))&lt;BW300,SUM($G300:BW300)-$E299*IF(длительность!$B$13&gt;70,0.25,0.4),BW300))</f>
        <v>30</v>
      </c>
      <c r="BX335" s="402">
        <f ca="1">IF((SUM($G300:BX300)-$E299*IF(длительность!$B$13&gt;70,0.25,0.4))&lt;0,0,IF((SUM($G300:BX300)-$E299*IF(длительность!$B$13&gt;70,0.25,0.4))&lt;BX300,SUM($G300:BX300)-$E299*IF(длительность!$B$13&gt;70,0.25,0.4),BX300))</f>
        <v>31</v>
      </c>
      <c r="BY335" s="402">
        <f ca="1">IF((SUM($G300:BY300)-$E299*IF(длительность!$B$13&gt;70,0.25,0.4))&lt;0,0,IF((SUM($G300:BY300)-$E299*IF(длительность!$B$13&gt;70,0.25,0.4))&lt;BY300,SUM($G300:BY300)-$E299*IF(длительность!$B$13&gt;70,0.25,0.4),BY300))</f>
        <v>31</v>
      </c>
      <c r="BZ335" s="402">
        <f ca="1">IF((SUM($G300:BZ300)-$E299*IF(длительность!$B$13&gt;70,0.25,0.4))&lt;0,0,IF((SUM($G300:BZ300)-$E299*IF(длительность!$B$13&gt;70,0.25,0.4))&lt;BZ300,SUM($G300:BZ300)-$E299*IF(длительность!$B$13&gt;70,0.25,0.4),BZ300))</f>
        <v>28</v>
      </c>
      <c r="CA335" s="402">
        <f ca="1">IF((SUM($G300:CA300)-$E299*IF(длительность!$B$13&gt;70,0.25,0.4))&lt;0,0,IF((SUM($G300:CA300)-$E299*IF(длительность!$B$13&gt;70,0.25,0.4))&lt;CA300,SUM($G300:CA300)-$E299*IF(длительность!$B$13&gt;70,0.25,0.4),CA300))</f>
        <v>31</v>
      </c>
      <c r="CB335" s="402">
        <f ca="1">IF((SUM($G300:CB300)-$E299*IF(длительность!$B$13&gt;70,0.25,0.4))&lt;0,0,IF((SUM($G300:CB300)-$E299*IF(длительность!$B$13&gt;70,0.25,0.4))&lt;CB300,SUM($G300:CB300)-$E299*IF(длительность!$B$13&gt;70,0.25,0.4),CB300))</f>
        <v>30</v>
      </c>
      <c r="CC335" s="402">
        <f ca="1">IF((SUM($G300:CC300)-$E299*IF(длительность!$B$13&gt;70,0.25,0.4))&lt;0,0,IF((SUM($G300:CC300)-$E299*IF(длительность!$B$13&gt;70,0.25,0.4))&lt;CC300,SUM($G300:CC300)-$E299*IF(длительность!$B$13&gt;70,0.25,0.4),CC300))</f>
        <v>31</v>
      </c>
      <c r="CD335" s="402">
        <f ca="1">IF((SUM($G300:CD300)-$E299*IF(длительность!$B$13&gt;70,0.25,0.4))&lt;0,0,IF((SUM($G300:CD300)-$E299*IF(длительность!$B$13&gt;70,0.25,0.4))&lt;CD300,SUM($G300:CD300)-$E299*IF(длительность!$B$13&gt;70,0.25,0.4),CD300))</f>
        <v>30</v>
      </c>
      <c r="CE335" s="402">
        <f ca="1">IF((SUM($G300:CE300)-$E299*IF(длительность!$B$13&gt;70,0.25,0.4))&lt;0,0,IF((SUM($G300:CE300)-$E299*IF(длительность!$B$13&gt;70,0.25,0.4))&lt;CE300,SUM($G300:CE300)-$E299*IF(длительность!$B$13&gt;70,0.25,0.4),CE300))</f>
        <v>31</v>
      </c>
      <c r="CF335" s="402">
        <f ca="1">IF((SUM($G300:CF300)-$E299*IF(длительность!$B$13&gt;70,0.25,0.4))&lt;0,0,IF((SUM($G300:CF300)-$E299*IF(длительность!$B$13&gt;70,0.25,0.4))&lt;CF300,SUM($G300:CF300)-$E299*IF(длительность!$B$13&gt;70,0.25,0.4),CF300))</f>
        <v>31</v>
      </c>
      <c r="CG335" s="402">
        <f ca="1">IF((SUM($G300:CG300)-$E299*IF(длительность!$B$13&gt;70,0.25,0.4))&lt;0,0,IF((SUM($G300:CG300)-$E299*IF(длительность!$B$13&gt;70,0.25,0.4))&lt;CG300,SUM($G300:CG300)-$E299*IF(длительность!$B$13&gt;70,0.25,0.4),CG300))</f>
        <v>30</v>
      </c>
      <c r="CH335" s="402">
        <f ca="1">IF((SUM($G300:CH300)-$E299*IF(длительность!$B$13&gt;70,0.25,0.4))&lt;0,0,IF((SUM($G300:CH300)-$E299*IF(длительность!$B$13&gt;70,0.25,0.4))&lt;CH300,SUM($G300:CH300)-$E299*IF(длительность!$B$13&gt;70,0.25,0.4),CH300))</f>
        <v>31</v>
      </c>
      <c r="CI335" s="402">
        <f ca="1">IF((SUM($G300:CI300)-$E299*IF(длительность!$B$13&gt;70,0.25,0.4))&lt;0,0,IF((SUM($G300:CI300)-$E299*IF(длительность!$B$13&gt;70,0.25,0.4))&lt;CI300,SUM($G300:CI300)-$E299*IF(длительность!$B$13&gt;70,0.25,0.4),CI300))</f>
        <v>30</v>
      </c>
      <c r="CJ335" s="402">
        <f ca="1">IF((SUM($G300:CJ300)-$E299*IF(длительность!$B$13&gt;70,0.25,0.4))&lt;0,0,IF((SUM($G300:CJ300)-$E299*IF(длительность!$B$13&gt;70,0.25,0.4))&lt;CJ300,SUM($G300:CJ300)-$E299*IF(длительность!$B$13&gt;70,0.25,0.4),CJ300))</f>
        <v>31</v>
      </c>
      <c r="CK335" s="402">
        <f ca="1">IF((SUM($G300:CK300)-$E299*IF(длительность!$B$13&gt;70,0.25,0.4))&lt;0,0,IF((SUM($G300:CK300)-$E299*IF(длительность!$B$13&gt;70,0.25,0.4))&lt;CK300,SUM($G300:CK300)-$E299*IF(длительность!$B$13&gt;70,0.25,0.4),CK300))</f>
        <v>31</v>
      </c>
      <c r="CL335" s="402">
        <f ca="1">IF((SUM($G300:CL300)-$E299*IF(длительность!$B$13&gt;70,0.25,0.4))&lt;0,0,IF((SUM($G300:CL300)-$E299*IF(длительность!$B$13&gt;70,0.25,0.4))&lt;CL300,SUM($G300:CL300)-$E299*IF(длительность!$B$13&gt;70,0.25,0.4),CL300))</f>
        <v>28</v>
      </c>
      <c r="CM335" s="402">
        <f ca="1">IF((SUM($G300:CM300)-$E299*IF(длительность!$B$13&gt;70,0.25,0.4))&lt;0,0,IF((SUM($G300:CM300)-$E299*IF(длительность!$B$13&gt;70,0.25,0.4))&lt;CM300,SUM($G300:CM300)-$E299*IF(длительность!$B$13&gt;70,0.25,0.4),CM300))</f>
        <v>31</v>
      </c>
      <c r="CN335" s="402">
        <f ca="1">IF((SUM($G300:CN300)-$E299*IF(длительность!$B$13&gt;70,0.25,0.4))&lt;0,0,IF((SUM($G300:CN300)-$E299*IF(длительность!$B$13&gt;70,0.25,0.4))&lt;CN300,SUM($G300:CN300)-$E299*IF(длительность!$B$13&gt;70,0.25,0.4),CN300))</f>
        <v>30</v>
      </c>
      <c r="CO335" s="402">
        <f ca="1">IF((SUM($G300:CO300)-$E299*IF(длительность!$B$13&gt;70,0.25,0.4))&lt;0,0,IF((SUM($G300:CO300)-$E299*IF(длительность!$B$13&gt;70,0.25,0.4))&lt;CO300,SUM($G300:CO300)-$E299*IF(длительность!$B$13&gt;70,0.25,0.4),CO300))</f>
        <v>31</v>
      </c>
      <c r="CP335" s="402">
        <f ca="1">IF((SUM($G300:CP300)-$E299*IF(длительность!$B$13&gt;70,0.25,0.4))&lt;0,0,IF((SUM($G300:CP300)-$E299*IF(длительность!$B$13&gt;70,0.25,0.4))&lt;CP300,SUM($G300:CP300)-$E299*IF(длительность!$B$13&gt;70,0.25,0.4),CP300))</f>
        <v>30</v>
      </c>
      <c r="CQ335" s="402">
        <f ca="1">IF((SUM($G300:CQ300)-$E299*IF(длительность!$B$13&gt;70,0.25,0.4))&lt;0,0,IF((SUM($G300:CQ300)-$E299*IF(длительность!$B$13&gt;70,0.25,0.4))&lt;CQ300,SUM($G300:CQ300)-$E299*IF(длительность!$B$13&gt;70,0.25,0.4),CQ300))</f>
        <v>31</v>
      </c>
      <c r="CR335" s="402">
        <f ca="1">IF((SUM($G300:CR300)-$E299*IF(длительность!$B$13&gt;70,0.25,0.4))&lt;0,0,IF((SUM($G300:CR300)-$E299*IF(длительность!$B$13&gt;70,0.25,0.4))&lt;CR300,SUM($G300:CR300)-$E299*IF(длительность!$B$13&gt;70,0.25,0.4),CR300))</f>
        <v>31</v>
      </c>
      <c r="CS335" s="402">
        <f ca="1">IF((SUM($G300:CS300)-$E299*IF(длительность!$B$13&gt;70,0.25,0.4))&lt;0,0,IF((SUM($G300:CS300)-$E299*IF(длительность!$B$13&gt;70,0.25,0.4))&lt;CS300,SUM($G300:CS300)-$E299*IF(длительность!$B$13&gt;70,0.25,0.4),CS300))</f>
        <v>30</v>
      </c>
      <c r="CT335" s="402">
        <f ca="1">IF((SUM($G300:CT300)-$E299*IF(длительность!$B$13&gt;70,0.25,0.4))&lt;0,0,IF((SUM($G300:CT300)-$E299*IF(длительность!$B$13&gt;70,0.25,0.4))&lt;CT300,SUM($G300:CT300)-$E299*IF(длительность!$B$13&gt;70,0.25,0.4),CT300))</f>
        <v>31</v>
      </c>
      <c r="CU335" s="402">
        <f ca="1">IF((SUM($G300:CU300)-$E299*IF(длительность!$B$13&gt;70,0.25,0.4))&lt;0,0,IF((SUM($G300:CU300)-$E299*IF(длительность!$B$13&gt;70,0.25,0.4))&lt;CU300,SUM($G300:CU300)-$E299*IF(длительность!$B$13&gt;70,0.25,0.4),CU300))</f>
        <v>30</v>
      </c>
      <c r="CV335" s="402">
        <f ca="1">IF((SUM($G300:CV300)-$E299*IF(длительность!$B$13&gt;70,0.25,0.4))&lt;0,0,IF((SUM($G300:CV300)-$E299*IF(длительность!$B$13&gt;70,0.25,0.4))&lt;CV300,SUM($G300:CV300)-$E299*IF(длительность!$B$13&gt;70,0.25,0.4),CV300))</f>
        <v>31</v>
      </c>
      <c r="CW335" s="402">
        <f ca="1">IF((SUM($G300:CW300)-$E299*IF(длительность!$B$13&gt;70,0.25,0.4))&lt;0,0,IF((SUM($G300:CW300)-$E299*IF(длительность!$B$13&gt;70,0.25,0.4))&lt;CW300,SUM($G300:CW300)-$E299*IF(длительность!$B$13&gt;70,0.25,0.4),CW300))</f>
        <v>31</v>
      </c>
      <c r="CX335" s="402">
        <f ca="1">IF((SUM($G300:CX300)-$E299*IF(длительность!$B$13&gt;70,0.25,0.4))&lt;0,0,IF((SUM($G300:CX300)-$E299*IF(длительность!$B$13&gt;70,0.25,0.4))&lt;CX300,SUM($G300:CX300)-$E299*IF(длительность!$B$13&gt;70,0.25,0.4),CX300))</f>
        <v>28</v>
      </c>
      <c r="CY335" s="402">
        <f ca="1">IF((SUM($G300:CY300)-$E299*IF(длительность!$B$13&gt;70,0.25,0.4))&lt;0,0,IF((SUM($G300:CY300)-$E299*IF(длительность!$B$13&gt;70,0.25,0.4))&lt;CY300,SUM($G300:CY300)-$E299*IF(длительность!$B$13&gt;70,0.25,0.4),CY300))</f>
        <v>31</v>
      </c>
      <c r="CZ335" s="402">
        <f ca="1">IF((SUM($G300:CZ300)-$E299*IF(длительность!$B$13&gt;70,0.25,0.4))&lt;0,0,IF((SUM($G300:CZ300)-$E299*IF(длительность!$B$13&gt;70,0.25,0.4))&lt;CZ300,SUM($G300:CZ300)-$E299*IF(длительность!$B$13&gt;70,0.25,0.4),CZ300))</f>
        <v>30</v>
      </c>
      <c r="DA335" s="402">
        <f ca="1">IF((SUM($G300:DA300)-$E299*IF(длительность!$B$13&gt;70,0.25,0.4))&lt;0,0,IF((SUM($G300:DA300)-$E299*IF(длительность!$B$13&gt;70,0.25,0.4))&lt;DA300,SUM($G300:DA300)-$E299*IF(длительность!$B$13&gt;70,0.25,0.4),DA300))</f>
        <v>31</v>
      </c>
      <c r="DB335" s="402">
        <f ca="1">IF((SUM($G300:DB300)-$E299*IF(длительность!$B$13&gt;70,0.25,0.4))&lt;0,0,IF((SUM($G300:DB300)-$E299*IF(длительность!$B$13&gt;70,0.25,0.4))&lt;DB300,SUM($G300:DB300)-$E299*IF(длительность!$B$13&gt;70,0.25,0.4),DB300))</f>
        <v>30</v>
      </c>
      <c r="DC335" s="402">
        <f ca="1">IF((SUM($G300:DC300)-$E299*IF(длительность!$B$13&gt;70,0.25,0.4))&lt;0,0,IF((SUM($G300:DC300)-$E299*IF(длительность!$B$13&gt;70,0.25,0.4))&lt;DC300,SUM($G300:DC300)-$E299*IF(длительность!$B$13&gt;70,0.25,0.4),DC300))</f>
        <v>31</v>
      </c>
      <c r="DD335" s="402">
        <f ca="1">IF((SUM($G300:DD300)-$E299*IF(длительность!$B$13&gt;70,0.25,0.4))&lt;0,0,IF((SUM($G300:DD300)-$E299*IF(длительность!$B$13&gt;70,0.25,0.4))&lt;DD300,SUM($G300:DD300)-$E299*IF(длительность!$B$13&gt;70,0.25,0.4),DD300))</f>
        <v>31</v>
      </c>
      <c r="DE335" s="402">
        <f ca="1">IF((SUM($G300:DE300)-$E299*IF(длительность!$B$13&gt;70,0.25,0.4))&lt;0,0,IF((SUM($G300:DE300)-$E299*IF(длительность!$B$13&gt;70,0.25,0.4))&lt;DE300,SUM($G300:DE300)-$E299*IF(длительность!$B$13&gt;70,0.25,0.4),DE300))</f>
        <v>30</v>
      </c>
      <c r="DF335" s="402">
        <f ca="1">IF((SUM($G300:DF300)-$E299*IF(длительность!$B$13&gt;70,0.25,0.4))&lt;0,0,IF((SUM($G300:DF300)-$E299*IF(длительность!$B$13&gt;70,0.25,0.4))&lt;DF300,SUM($G300:DF300)-$E299*IF(длительность!$B$13&gt;70,0.25,0.4),DF300))</f>
        <v>31</v>
      </c>
      <c r="DG335" s="402">
        <f ca="1">IF((SUM($G300:DG300)-$E299*IF(длительность!$B$13&gt;70,0.25,0.4))&lt;0,0,IF((SUM($G300:DG300)-$E299*IF(длительность!$B$13&gt;70,0.25,0.4))&lt;DG300,SUM($G300:DG300)-$E299*IF(длительность!$B$13&gt;70,0.25,0.4),DG300))</f>
        <v>30</v>
      </c>
      <c r="DH335" s="402">
        <f ca="1">IF((SUM($G300:DH300)-$E299*IF(длительность!$B$13&gt;70,0.25,0.4))&lt;0,0,IF((SUM($G300:DH300)-$E299*IF(длительность!$B$13&gt;70,0.25,0.4))&lt;DH300,SUM($G300:DH300)-$E299*IF(длительность!$B$13&gt;70,0.25,0.4),DH300))</f>
        <v>31</v>
      </c>
      <c r="DI335" s="402">
        <f ca="1">IF((SUM($G300:DI300)-$E299*IF(длительность!$B$13&gt;70,0.25,0.4))&lt;0,0,IF((SUM($G300:DI300)-$E299*IF(длительность!$B$13&gt;70,0.25,0.4))&lt;DI300,SUM($G300:DI300)-$E299*IF(длительность!$B$13&gt;70,0.25,0.4),DI300))</f>
        <v>31</v>
      </c>
      <c r="DJ335" s="402">
        <f ca="1">IF((SUM($G300:DJ300)-$E299*IF(длительность!$B$13&gt;70,0.25,0.4))&lt;0,0,IF((SUM($G300:DJ300)-$E299*IF(длительность!$B$13&gt;70,0.25,0.4))&lt;DJ300,SUM($G300:DJ300)-$E299*IF(длительность!$B$13&gt;70,0.25,0.4),DJ300))</f>
        <v>29</v>
      </c>
      <c r="DK335" s="402">
        <f ca="1">IF((SUM($G300:DK300)-$E299*IF(длительность!$B$13&gt;70,0.25,0.4))&lt;0,0,IF((SUM($G300:DK300)-$E299*IF(длительность!$B$13&gt;70,0.25,0.4))&lt;DK300,SUM($G300:DK300)-$E299*IF(длительность!$B$13&gt;70,0.25,0.4),DK300))</f>
        <v>31</v>
      </c>
      <c r="DL335" s="402">
        <f ca="1">IF((SUM($G300:DL300)-$E299*IF(длительность!$B$13&gt;70,0.25,0.4))&lt;0,0,IF((SUM($G300:DL300)-$E299*IF(длительность!$B$13&gt;70,0.25,0.4))&lt;DL300,SUM($G300:DL300)-$E299*IF(длительность!$B$13&gt;70,0.25,0.4),DL300))</f>
        <v>30</v>
      </c>
      <c r="DM335" s="402">
        <f ca="1">IF((SUM($G300:DM300)-$E299*IF(длительность!$B$13&gt;70,0.25,0.4))&lt;0,0,IF((SUM($G300:DM300)-$E299*IF(длительность!$B$13&gt;70,0.25,0.4))&lt;DM300,SUM($G300:DM300)-$E299*IF(длительность!$B$13&gt;70,0.25,0.4),DM300))</f>
        <v>31</v>
      </c>
      <c r="DN335" s="402">
        <f ca="1">IF((SUM($G300:DN300)-$E299*IF(длительность!$B$13&gt;70,0.25,0.4))&lt;0,0,IF((SUM($G300:DN300)-$E299*IF(длительность!$B$13&gt;70,0.25,0.4))&lt;DN300,SUM($G300:DN300)-$E299*IF(длительность!$B$13&gt;70,0.25,0.4),DN300))</f>
        <v>30</v>
      </c>
      <c r="DO335" s="402">
        <f ca="1">IF((SUM($G300:DO300)-$E299*IF(длительность!$B$13&gt;70,0.25,0.4))&lt;0,0,IF((SUM($G300:DO300)-$E299*IF(длительность!$B$13&gt;70,0.25,0.4))&lt;DO300,SUM($G300:DO300)-$E299*IF(длительность!$B$13&gt;70,0.25,0.4),DO300))</f>
        <v>31</v>
      </c>
      <c r="DP335" s="402">
        <f ca="1">IF((SUM($G300:DP300)-$E299*IF(длительность!$B$13&gt;70,0.25,0.4))&lt;0,0,IF((SUM($G300:DP300)-$E299*IF(длительность!$B$13&gt;70,0.25,0.4))&lt;DP300,SUM($G300:DP300)-$E299*IF(длительность!$B$13&gt;70,0.25,0.4),DP300))</f>
        <v>31</v>
      </c>
      <c r="DQ335" s="402">
        <f ca="1">IF((SUM($G300:DQ300)-$E299*IF(длительность!$B$13&gt;70,0.25,0.4))&lt;0,0,IF((SUM($G300:DQ300)-$E299*IF(длительность!$B$13&gt;70,0.25,0.4))&lt;DQ300,SUM($G300:DQ300)-$E299*IF(длительность!$B$13&gt;70,0.25,0.4),DQ300))</f>
        <v>30</v>
      </c>
      <c r="DR335" s="402">
        <f ca="1">IF((SUM($G300:DR300)-$E299*IF(длительность!$B$13&gt;70,0.25,0.4))&lt;0,0,IF((SUM($G300:DR300)-$E299*IF(длительность!$B$13&gt;70,0.25,0.4))&lt;DR300,SUM($G300:DR300)-$E299*IF(длительность!$B$13&gt;70,0.25,0.4),DR300))</f>
        <v>31</v>
      </c>
      <c r="DS335" s="402">
        <f ca="1">IF((SUM($G300:DS300)-$E299*IF(длительность!$B$13&gt;70,0.25,0.4))&lt;0,0,IF((SUM($G300:DS300)-$E299*IF(длительность!$B$13&gt;70,0.25,0.4))&lt;DS300,SUM($G300:DS300)-$E299*IF(длительность!$B$13&gt;70,0.25,0.4),DS300))</f>
        <v>30</v>
      </c>
      <c r="DT335" s="402">
        <f ca="1">IF((SUM($G300:DT300)-$E299*IF(длительность!$B$13&gt;70,0.25,0.4))&lt;0,0,IF((SUM($G300:DT300)-$E299*IF(длительность!$B$13&gt;70,0.25,0.4))&lt;DT300,SUM($G300:DT300)-$E299*IF(длительность!$B$13&gt;70,0.25,0.4),DT300))</f>
        <v>31</v>
      </c>
      <c r="DU335" s="402">
        <f ca="1">IF((SUM($G300:DU300)-$E299*IF(длительность!$B$13&gt;70,0.25,0.4))&lt;0,0,IF((SUM($G300:DU300)-$E299*IF(длительность!$B$13&gt;70,0.25,0.4))&lt;DU300,SUM($G300:DU300)-$E299*IF(длительность!$B$13&gt;70,0.25,0.4),DU300))</f>
        <v>31</v>
      </c>
      <c r="DV335" s="402">
        <f ca="1">IF((SUM($G300:DV300)-$E299*IF(длительность!$B$13&gt;70,0.25,0.4))&lt;0,0,IF((SUM($G300:DV300)-$E299*IF(длительность!$B$13&gt;70,0.25,0.4))&lt;DV300,SUM($G300:DV300)-$E299*IF(длительность!$B$13&gt;70,0.25,0.4),DV300))</f>
        <v>28</v>
      </c>
      <c r="DW335" s="402">
        <f ca="1">IF((SUM($G300:DW300)-$E299*IF(длительность!$B$13&gt;70,0.25,0.4))&lt;0,0,IF((SUM($G300:DW300)-$E299*IF(длительность!$B$13&gt;70,0.25,0.4))&lt;DW300,SUM($G300:DW300)-$E299*IF(длительность!$B$13&gt;70,0.25,0.4),DW300))</f>
        <v>31</v>
      </c>
      <c r="DX335" s="402">
        <f ca="1">IF((SUM($G300:DX300)-$E299*IF(длительность!$B$13&gt;70,0.25,0.4))&lt;0,0,IF((SUM($G300:DX300)-$E299*IF(длительность!$B$13&gt;70,0.25,0.4))&lt;DX300,SUM($G300:DX300)-$E299*IF(длительность!$B$13&gt;70,0.25,0.4),DX300))</f>
        <v>30</v>
      </c>
      <c r="DY335" s="402">
        <f ca="1">IF((SUM($G300:DY300)-$E299*IF(длительность!$B$13&gt;70,0.25,0.4))&lt;0,0,IF((SUM($G300:DY300)-$E299*IF(длительность!$B$13&gt;70,0.25,0.4))&lt;DY300,SUM($G300:DY300)-$E299*IF(длительность!$B$13&gt;70,0.25,0.4),DY300))</f>
        <v>31</v>
      </c>
      <c r="DZ335" s="402">
        <f ca="1">IF((SUM($G300:DZ300)-$E299*IF(длительность!$B$13&gt;70,0.25,0.4))&lt;0,0,IF((SUM($G300:DZ300)-$E299*IF(длительность!$B$13&gt;70,0.25,0.4))&lt;DZ300,SUM($G300:DZ300)-$E299*IF(длительность!$B$13&gt;70,0.25,0.4),DZ300))</f>
        <v>30</v>
      </c>
      <c r="EA335" s="402">
        <f ca="1">IF((SUM($G300:EA300)-$E299*IF(длительность!$B$13&gt;70,0.25,0.4))&lt;0,0,IF((SUM($G300:EA300)-$E299*IF(длительность!$B$13&gt;70,0.25,0.4))&lt;EA300,SUM($G300:EA300)-$E299*IF(длительность!$B$13&gt;70,0.25,0.4),EA300))</f>
        <v>31</v>
      </c>
      <c r="EB335" s="402">
        <f ca="1">IF((SUM($G300:EB300)-$E299*IF(длительность!$B$13&gt;70,0.25,0.4))&lt;0,0,IF((SUM($G300:EB300)-$E299*IF(длительность!$B$13&gt;70,0.25,0.4))&lt;EB300,SUM($G300:EB300)-$E299*IF(длительность!$B$13&gt;70,0.25,0.4),EB300))</f>
        <v>31</v>
      </c>
      <c r="EC335" s="402">
        <f ca="1">IF((SUM($G300:EC300)-$E299*IF(длительность!$B$13&gt;70,0.25,0.4))&lt;0,0,IF((SUM($G300:EC300)-$E299*IF(длительность!$B$13&gt;70,0.25,0.4))&lt;EC300,SUM($G300:EC300)-$E299*IF(длительность!$B$13&gt;70,0.25,0.4),EC300))</f>
        <v>30</v>
      </c>
      <c r="ED335" s="402">
        <f ca="1">IF((SUM($G300:ED300)-$E299*IF(длительность!$B$13&gt;70,0.25,0.4))&lt;0,0,IF((SUM($G300:ED300)-$E299*IF(длительность!$B$13&gt;70,0.25,0.4))&lt;ED300,SUM($G300:ED300)-$E299*IF(длительность!$B$13&gt;70,0.25,0.4),ED300))</f>
        <v>31</v>
      </c>
      <c r="EE335" s="402">
        <f ca="1">IF((SUM($G300:EE300)-$E299*IF(длительность!$B$13&gt;70,0.25,0.4))&lt;0,0,IF((SUM($G300:EE300)-$E299*IF(длительность!$B$13&gt;70,0.25,0.4))&lt;EE300,SUM($G300:EE300)-$E299*IF(длительность!$B$13&gt;70,0.25,0.4),EE300))</f>
        <v>30</v>
      </c>
      <c r="EF335" s="402">
        <f ca="1">IF((SUM($G300:EF300)-$E299*IF(длительность!$B$13&gt;70,0.25,0.4))&lt;0,0,IF((SUM($G300:EF300)-$E299*IF(длительность!$B$13&gt;70,0.25,0.4))&lt;EF300,SUM($G300:EF300)-$E299*IF(длительность!$B$13&gt;70,0.25,0.4),EF300))</f>
        <v>31</v>
      </c>
      <c r="EG335" s="402">
        <f ca="1">IF((SUM($G300:EG300)-$E299*IF(длительность!$B$13&gt;70,0.25,0.4))&lt;0,0,IF((SUM($G300:EG300)-$E299*IF(длительность!$B$13&gt;70,0.25,0.4))&lt;EG300,SUM($G300:EG300)-$E299*IF(длительность!$B$13&gt;70,0.25,0.4),EG300))</f>
        <v>31</v>
      </c>
      <c r="EH335" s="402">
        <f ca="1">IF((SUM($G300:EH300)-$E299*IF(длительность!$B$13&gt;70,0.25,0.4))&lt;0,0,IF((SUM($G300:EH300)-$E299*IF(длительность!$B$13&gt;70,0.25,0.4))&lt;EH300,SUM($G300:EH300)-$E299*IF(длительность!$B$13&gt;70,0.25,0.4),EH300))</f>
        <v>28</v>
      </c>
      <c r="EI335" s="402">
        <f ca="1">IF((SUM($G300:EI300)-$E299*IF(длительность!$B$13&gt;70,0.25,0.4))&lt;0,0,IF((SUM($G300:EI300)-$E299*IF(длительность!$B$13&gt;70,0.25,0.4))&lt;EI300,SUM($G300:EI300)-$E299*IF(длительность!$B$13&gt;70,0.25,0.4),EI300))</f>
        <v>31</v>
      </c>
    </row>
    <row r="336" spans="1:141" hidden="1" outlineLevel="2">
      <c r="A336" s="332"/>
      <c r="D336" s="305" t="s">
        <v>670</v>
      </c>
      <c r="E336" s="403">
        <f ca="1">MIN(G336:EI336)</f>
        <v>46266</v>
      </c>
      <c r="F336" s="404">
        <f ca="1">MAX(G336:EI336)</f>
        <v>46266</v>
      </c>
      <c r="G336" s="403" t="str">
        <f ca="1">IF(G334=0,"",IF(SUM($G334:G334)&gt;=1,OFFSET(G$228,-1,0),""))</f>
        <v/>
      </c>
      <c r="H336" s="403" t="str">
        <f ca="1">IF(SUM($G336:G336)&gt;=1,"",IF(H334=0,"",IF(SUM($G334:H334)&gt;=1,OFFSET(H$228,-1,0),"")))</f>
        <v/>
      </c>
      <c r="I336" s="403" t="str">
        <f ca="1">IF(SUM($G336:H336)&gt;=1,"",IF(I334=0,"",IF(SUM($G334:I334)&gt;=1,OFFSET(I$228,-1,0),"")))</f>
        <v/>
      </c>
      <c r="J336" s="403" t="str">
        <f ca="1">IF(SUM($G336:I336)&gt;=1,"",IF(J334=0,"",IF(SUM($G334:J334)&gt;=1,OFFSET(J$228,-1,0),"")))</f>
        <v/>
      </c>
      <c r="K336" s="403" t="str">
        <f ca="1">IF(SUM($G336:J336)&gt;=1,"",IF(K334=0,"",IF(SUM($G334:K334)&gt;=1,OFFSET(K$228,-1,0),"")))</f>
        <v/>
      </c>
      <c r="L336" s="403" t="str">
        <f ca="1">IF(SUM($G336:K336)&gt;=1,"",IF(L334=0,"",IF(SUM($G334:L334)&gt;=1,OFFSET(L$228,-1,0),"")))</f>
        <v/>
      </c>
      <c r="M336" s="403" t="str">
        <f ca="1">IF(SUM($G336:L336)&gt;=1,"",IF(M334=0,"",IF(SUM($G334:M334)&gt;=1,OFFSET(M$228,-1,0),"")))</f>
        <v/>
      </c>
      <c r="N336" s="403" t="str">
        <f ca="1">IF(SUM($G336:M336)&gt;=1,"",IF(N334=0,"",IF(SUM($G334:N334)&gt;=1,OFFSET(N$228,-1,0),"")))</f>
        <v/>
      </c>
      <c r="O336" s="403" t="str">
        <f ca="1">IF(SUM($G336:N336)&gt;=1,"",IF(O334=0,"",IF(SUM($G334:O334)&gt;=1,OFFSET(O$228,-1,0),"")))</f>
        <v/>
      </c>
      <c r="P336" s="403" t="str">
        <f ca="1">IF(SUM($G336:O336)&gt;=1,"",IF(P334=0,"",IF(SUM($G334:P334)&gt;=1,OFFSET(P$228,-1,0),"")))</f>
        <v/>
      </c>
      <c r="Q336" s="403" t="str">
        <f ca="1">IF(SUM($G336:P336)&gt;=1,"",IF(Q334=0,"",IF(SUM($G334:Q334)&gt;=1,OFFSET(Q$228,-1,0),"")))</f>
        <v/>
      </c>
      <c r="R336" s="403" t="str">
        <f ca="1">IF(SUM($G336:Q336)&gt;=1,"",IF(R334=0,"",IF(SUM($G334:R334)&gt;=1,OFFSET(R$228,-1,0),"")))</f>
        <v/>
      </c>
      <c r="S336" s="403" t="str">
        <f ca="1">IF(SUM($G336:R336)&gt;=1,"",IF(S334=0,"",IF(SUM($G334:S334)&gt;=1,OFFSET(S$228,-1,0),"")))</f>
        <v/>
      </c>
      <c r="T336" s="403" t="str">
        <f ca="1">IF(SUM($G336:S336)&gt;=1,"",IF(T334=0,"",IF(SUM($G334:T334)&gt;=1,OFFSET(T$228,-1,0),"")))</f>
        <v/>
      </c>
      <c r="U336" s="403" t="str">
        <f ca="1">IF(SUM($G336:T336)&gt;=1,"",IF(U334=0,"",IF(SUM($G334:U334)&gt;=1,OFFSET(U$228,-1,0),"")))</f>
        <v/>
      </c>
      <c r="V336" s="403" t="str">
        <f ca="1">IF(SUM($G336:U336)&gt;=1,"",IF(V334=0,"",IF(SUM($G334:V334)&gt;=1,OFFSET(V$228,-1,0),"")))</f>
        <v/>
      </c>
      <c r="W336" s="403" t="str">
        <f ca="1">IF(SUM($G336:V336)&gt;=1,"",IF(W334=0,"",IF(SUM($G334:W334)&gt;=1,OFFSET(W$228,-1,0),"")))</f>
        <v/>
      </c>
      <c r="X336" s="403" t="str">
        <f ca="1">IF(SUM($G336:W336)&gt;=1,"",IF(X334=0,"",IF(SUM($G334:X334)&gt;=1,OFFSET(X$228,-1,0),"")))</f>
        <v/>
      </c>
      <c r="Y336" s="403" t="str">
        <f ca="1">IF(SUM($G336:X336)&gt;=1,"",IF(Y334=0,"",IF(SUM($G334:Y334)&gt;=1,OFFSET(Y$228,-1,0),"")))</f>
        <v/>
      </c>
      <c r="Z336" s="403" t="str">
        <f ca="1">IF(SUM($G336:Y336)&gt;=1,"",IF(Z334=0,"",IF(SUM($G334:Z334)&gt;=1,OFFSET(Z$228,-1,0),"")))</f>
        <v/>
      </c>
      <c r="AA336" s="403" t="str">
        <f ca="1">IF(SUM($G336:Z336)&gt;=1,"",IF(AA334=0,"",IF(SUM($G334:AA334)&gt;=1,OFFSET(AA$228,-1,0),"")))</f>
        <v/>
      </c>
      <c r="AB336" s="403" t="str">
        <f ca="1">IF(SUM($G336:AA336)&gt;=1,"",IF(AB334=0,"",IF(SUM($G334:AB334)&gt;=1,OFFSET(AB$228,-1,0),"")))</f>
        <v/>
      </c>
      <c r="AC336" s="403" t="str">
        <f ca="1">IF(SUM($G336:AB336)&gt;=1,"",IF(AC334=0,"",IF(SUM($G334:AC334)&gt;=1,OFFSET(AC$228,-1,0),"")))</f>
        <v/>
      </c>
      <c r="AD336" s="403" t="str">
        <f ca="1">IF(SUM($G336:AC336)&gt;=1,"",IF(AD334=0,"",IF(SUM($G334:AD334)&gt;=1,OFFSET(AD$228,-1,0),"")))</f>
        <v/>
      </c>
      <c r="AE336" s="403" t="str">
        <f ca="1">IF(SUM($G336:AD336)&gt;=1,"",IF(AE334=0,"",IF(SUM($G334:AE334)&gt;=1,OFFSET(AE$228,-1,0),"")))</f>
        <v/>
      </c>
      <c r="AF336" s="403" t="str">
        <f ca="1">IF(SUM($G336:AE336)&gt;=1,"",IF(AF334=0,"",IF(SUM($G334:AF334)&gt;=1,OFFSET(AF$228,-1,0),"")))</f>
        <v/>
      </c>
      <c r="AG336" s="403" t="str">
        <f ca="1">IF(SUM($G336:AF336)&gt;=1,"",IF(AG334=0,"",IF(SUM($G334:AG334)&gt;=1,OFFSET(AG$228,-1,0),"")))</f>
        <v/>
      </c>
      <c r="AH336" s="403" t="str">
        <f ca="1">IF(SUM($G336:AG336)&gt;=1,"",IF(AH334=0,"",IF(SUM($G334:AH334)&gt;=1,OFFSET(AH$228,-1,0),"")))</f>
        <v/>
      </c>
      <c r="AI336" s="403" t="str">
        <f ca="1">IF(SUM($G336:AH336)&gt;=1,"",IF(AI334=0,"",IF(SUM($G334:AI334)&gt;=1,OFFSET(AI$228,-1,0),"")))</f>
        <v/>
      </c>
      <c r="AJ336" s="403" t="str">
        <f ca="1">IF(SUM($G336:AI336)&gt;=1,"",IF(AJ334=0,"",IF(SUM($G334:AJ334)&gt;=1,OFFSET(AJ$228,-1,0),"")))</f>
        <v/>
      </c>
      <c r="AK336" s="403" t="str">
        <f ca="1">IF(SUM($G336:AJ336)&gt;=1,"",IF(AK334=0,"",IF(SUM($G334:AK334)&gt;=1,OFFSET(AK$228,-1,0),"")))</f>
        <v/>
      </c>
      <c r="AL336" s="403" t="str">
        <f ca="1">IF(SUM($G336:AK336)&gt;=1,"",IF(AL334=0,"",IF(SUM($G334:AL334)&gt;=1,OFFSET(AL$228,-1,0),"")))</f>
        <v/>
      </c>
      <c r="AM336" s="403" t="str">
        <f ca="1">IF(SUM($G336:AL336)&gt;=1,"",IF(AM334=0,"",IF(SUM($G334:AM334)&gt;=1,OFFSET(AM$228,-1,0),"")))</f>
        <v/>
      </c>
      <c r="AN336" s="403" t="str">
        <f ca="1">IF(SUM($G336:AM336)&gt;=1,"",IF(AN334=0,"",IF(SUM($G334:AN334)&gt;=1,OFFSET(AN$228,-1,0),"")))</f>
        <v/>
      </c>
      <c r="AO336" s="403" t="str">
        <f ca="1">IF(SUM($G336:AN336)&gt;=1,"",IF(AO334=0,"",IF(SUM($G334:AO334)&gt;=1,OFFSET(AO$228,-1,0),"")))</f>
        <v/>
      </c>
      <c r="AP336" s="403" t="str">
        <f ca="1">IF(SUM($G336:AO336)&gt;=1,"",IF(AP334=0,"",IF(SUM($G334:AP334)&gt;=1,OFFSET(AP$228,-1,0),"")))</f>
        <v/>
      </c>
      <c r="AQ336" s="403" t="str">
        <f ca="1">IF(SUM($G336:AP336)&gt;=1,"",IF(AQ334=0,"",IF(SUM($G334:AQ334)&gt;=1,OFFSET(AQ$228,-1,0),"")))</f>
        <v/>
      </c>
      <c r="AR336" s="403" t="str">
        <f ca="1">IF(SUM($G336:AQ336)&gt;=1,"",IF(AR334=0,"",IF(SUM($G334:AR334)&gt;=1,OFFSET(AR$228,-1,0),"")))</f>
        <v/>
      </c>
      <c r="AS336" s="403" t="str">
        <f ca="1">IF(SUM($G336:AR336)&gt;=1,"",IF(AS334=0,"",IF(SUM($G334:AS334)&gt;=1,OFFSET(AS$228,-1,0),"")))</f>
        <v/>
      </c>
      <c r="AT336" s="403" t="str">
        <f ca="1">IF(SUM($G336:AS336)&gt;=1,"",IF(AT334=0,"",IF(SUM($G334:AT334)&gt;=1,OFFSET(AT$228,-1,0),"")))</f>
        <v/>
      </c>
      <c r="AU336" s="403" t="str">
        <f ca="1">IF(SUM($G336:AT336)&gt;=1,"",IF(AU334=0,"",IF(SUM($G334:AU334)&gt;=1,OFFSET(AU$228,-1,0),"")))</f>
        <v/>
      </c>
      <c r="AV336" s="403" t="str">
        <f ca="1">IF(SUM($G336:AU336)&gt;=1,"",IF(AV334=0,"",IF(SUM($G334:AV334)&gt;=1,OFFSET(AV$228,-1,0),"")))</f>
        <v/>
      </c>
      <c r="AW336" s="403">
        <f ca="1">IF(SUM($G336:AV336)&gt;=1,"",IF(AW334=0,"",IF(SUM($G334:AW334)&gt;=1,OFFSET(AW$228,-1,0),"")))</f>
        <v>46266</v>
      </c>
      <c r="AX336" s="403" t="str">
        <f ca="1">IF(SUM($G336:AW336)&gt;=1,"",IF(AX334=0,"",IF(SUM($G334:AX334)&gt;=1,OFFSET(AX$228,-1,0),"")))</f>
        <v/>
      </c>
      <c r="AY336" s="403" t="str">
        <f ca="1">IF(SUM($G336:AX336)&gt;=1,"",IF(AY334=0,"",IF(SUM($G334:AY334)&gt;=1,OFFSET(AY$228,-1,0),"")))</f>
        <v/>
      </c>
      <c r="AZ336" s="403" t="str">
        <f ca="1">IF(SUM($G336:AY336)&gt;=1,"",IF(AZ334=0,"",IF(SUM($G334:AZ334)&gt;=1,OFFSET(AZ$228,-1,0),"")))</f>
        <v/>
      </c>
      <c r="BA336" s="403" t="str">
        <f ca="1">IF(SUM($G336:AZ336)&gt;=1,"",IF(BA334=0,"",IF(SUM($G334:BA334)&gt;=1,OFFSET(BA$228,-1,0),"")))</f>
        <v/>
      </c>
      <c r="BB336" s="403" t="str">
        <f ca="1">IF(SUM($G336:BA336)&gt;=1,"",IF(BB334=0,"",IF(SUM($G334:BB334)&gt;=1,OFFSET(BB$228,-1,0),"")))</f>
        <v/>
      </c>
      <c r="BC336" s="403" t="str">
        <f ca="1">IF(SUM($G336:BB336)&gt;=1,"",IF(BC334=0,"",IF(SUM($G334:BC334)&gt;=1,OFFSET(BC$228,-1,0),"")))</f>
        <v/>
      </c>
      <c r="BD336" s="403" t="str">
        <f ca="1">IF(SUM($G336:BC336)&gt;=1,"",IF(BD334=0,"",IF(SUM($G334:BD334)&gt;=1,OFFSET(BD$228,-1,0),"")))</f>
        <v/>
      </c>
      <c r="BE336" s="403" t="str">
        <f ca="1">IF(SUM($G336:BD336)&gt;=1,"",IF(BE334=0,"",IF(SUM($G334:BE334)&gt;=1,OFFSET(BE$228,-1,0),"")))</f>
        <v/>
      </c>
      <c r="BF336" s="403" t="str">
        <f ca="1">IF(SUM($G336:BE336)&gt;=1,"",IF(BF334=0,"",IF(SUM($G334:BF334)&gt;=1,OFFSET(BF$228,-1,0),"")))</f>
        <v/>
      </c>
      <c r="BG336" s="403" t="str">
        <f ca="1">IF(SUM($G336:BF336)&gt;=1,"",IF(BG334=0,"",IF(SUM($G334:BG334)&gt;=1,OFFSET(BG$228,-1,0),"")))</f>
        <v/>
      </c>
      <c r="BH336" s="403" t="str">
        <f ca="1">IF(SUM($G336:BG336)&gt;=1,"",IF(BH334=0,"",IF(SUM($G334:BH334)&gt;=1,OFFSET(BH$228,-1,0),"")))</f>
        <v/>
      </c>
      <c r="BI336" s="403" t="str">
        <f ca="1">IF(SUM($G336:BH336)&gt;=1,"",IF(BI334=0,"",IF(SUM($G334:BI334)&gt;=1,OFFSET(BI$228,-1,0),"")))</f>
        <v/>
      </c>
      <c r="BJ336" s="403" t="str">
        <f ca="1">IF(SUM($G336:BI336)&gt;=1,"",IF(BJ334=0,"",IF(SUM($G334:BJ334)&gt;=1,OFFSET(BJ$228,-1,0),"")))</f>
        <v/>
      </c>
      <c r="BK336" s="403" t="str">
        <f ca="1">IF(SUM($G336:BJ336)&gt;=1,"",IF(BK334=0,"",IF(SUM($G334:BK334)&gt;=1,OFFSET(BK$228,-1,0),"")))</f>
        <v/>
      </c>
      <c r="BL336" s="403" t="str">
        <f ca="1">IF(SUM($G336:BK336)&gt;=1,"",IF(BL334=0,"",IF(SUM($G334:BL334)&gt;=1,OFFSET(BL$228,-1,0),"")))</f>
        <v/>
      </c>
      <c r="BM336" s="403" t="str">
        <f ca="1">IF(SUM($G336:BL336)&gt;=1,"",IF(BM334=0,"",IF(SUM($G334:BM334)&gt;=1,OFFSET(BM$228,-1,0),"")))</f>
        <v/>
      </c>
      <c r="BN336" s="403" t="str">
        <f ca="1">IF(SUM($G336:BM336)&gt;=1,"",IF(BN334=0,"",IF(SUM($G334:BN334)&gt;=1,OFFSET(BN$228,-1,0),"")))</f>
        <v/>
      </c>
      <c r="BO336" s="403" t="str">
        <f ca="1">IF(SUM($G336:BN336)&gt;=1,"",IF(BO334=0,"",IF(SUM($G334:BO334)&gt;=1,OFFSET(BO$228,-1,0),"")))</f>
        <v/>
      </c>
      <c r="BP336" s="403" t="str">
        <f ca="1">IF(SUM($G336:BO336)&gt;=1,"",IF(BP334=0,"",IF(SUM($G334:BP334)&gt;=1,OFFSET(BP$228,-1,0),"")))</f>
        <v/>
      </c>
      <c r="BQ336" s="403" t="str">
        <f ca="1">IF(SUM($G336:BP336)&gt;=1,"",IF(BQ334=0,"",IF(SUM($G334:BQ334)&gt;=1,OFFSET(BQ$228,-1,0),"")))</f>
        <v/>
      </c>
      <c r="BR336" s="403" t="str">
        <f ca="1">IF(SUM($G336:BQ336)&gt;=1,"",IF(BR334=0,"",IF(SUM($G334:BR334)&gt;=1,OFFSET(BR$228,-1,0),"")))</f>
        <v/>
      </c>
      <c r="BS336" s="403" t="str">
        <f ca="1">IF(SUM($G336:BR336)&gt;=1,"",IF(BS334=0,"",IF(SUM($G334:BS334)&gt;=1,OFFSET(BS$228,-1,0),"")))</f>
        <v/>
      </c>
      <c r="BT336" s="403" t="str">
        <f ca="1">IF(SUM($G336:BS336)&gt;=1,"",IF(BT334=0,"",IF(SUM($G334:BT334)&gt;=1,OFFSET(BT$228,-1,0),"")))</f>
        <v/>
      </c>
      <c r="BU336" s="403" t="str">
        <f ca="1">IF(SUM($G336:BT336)&gt;=1,"",IF(BU334=0,"",IF(SUM($G334:BU334)&gt;=1,OFFSET(BU$228,-1,0),"")))</f>
        <v/>
      </c>
      <c r="BV336" s="403" t="str">
        <f ca="1">IF(SUM($G336:BU336)&gt;=1,"",IF(BV334=0,"",IF(SUM($G334:BV334)&gt;=1,OFFSET(BV$228,-1,0),"")))</f>
        <v/>
      </c>
      <c r="BW336" s="403" t="str">
        <f ca="1">IF(SUM($G336:BV336)&gt;=1,"",IF(BW334=0,"",IF(SUM($G334:BW334)&gt;=1,OFFSET(BW$228,-1,0),"")))</f>
        <v/>
      </c>
      <c r="BX336" s="403" t="str">
        <f ca="1">IF(SUM($G336:BW336)&gt;=1,"",IF(BX334=0,"",IF(SUM($G334:BX334)&gt;=1,OFFSET(BX$228,-1,0),"")))</f>
        <v/>
      </c>
      <c r="BY336" s="403" t="str">
        <f ca="1">IF(SUM($G336:BX336)&gt;=1,"",IF(BY334=0,"",IF(SUM($G334:BY334)&gt;=1,OFFSET(BY$228,-1,0),"")))</f>
        <v/>
      </c>
      <c r="BZ336" s="403" t="str">
        <f ca="1">IF(SUM($G336:BY336)&gt;=1,"",IF(BZ334=0,"",IF(SUM($G334:BZ334)&gt;=1,OFFSET(BZ$228,-1,0),"")))</f>
        <v/>
      </c>
      <c r="CA336" s="403" t="str">
        <f ca="1">IF(SUM($G336:BZ336)&gt;=1,"",IF(CA334=0,"",IF(SUM($G334:CA334)&gt;=1,OFFSET(CA$228,-1,0),"")))</f>
        <v/>
      </c>
      <c r="CB336" s="403" t="str">
        <f ca="1">IF(SUM($G336:CA336)&gt;=1,"",IF(CB334=0,"",IF(SUM($G334:CB334)&gt;=1,OFFSET(CB$228,-1,0),"")))</f>
        <v/>
      </c>
      <c r="CC336" s="403" t="str">
        <f ca="1">IF(SUM($G336:CB336)&gt;=1,"",IF(CC334=0,"",IF(SUM($G334:CC334)&gt;=1,OFFSET(CC$228,-1,0),"")))</f>
        <v/>
      </c>
      <c r="CD336" s="403" t="str">
        <f ca="1">IF(SUM($G336:CC336)&gt;=1,"",IF(CD334=0,"",IF(SUM($G334:CD334)&gt;=1,OFFSET(CD$228,-1,0),"")))</f>
        <v/>
      </c>
      <c r="CE336" s="403" t="str">
        <f ca="1">IF(SUM($G336:CD336)&gt;=1,"",IF(CE334=0,"",IF(SUM($G334:CE334)&gt;=1,OFFSET(CE$228,-1,0),"")))</f>
        <v/>
      </c>
      <c r="CF336" s="403" t="str">
        <f ca="1">IF(SUM($G336:CE336)&gt;=1,"",IF(CF334=0,"",IF(SUM($G334:CF334)&gt;=1,OFFSET(CF$228,-1,0),"")))</f>
        <v/>
      </c>
      <c r="CG336" s="403" t="str">
        <f ca="1">IF(SUM($G336:CF336)&gt;=1,"",IF(CG334=0,"",IF(SUM($G334:CG334)&gt;=1,OFFSET(CG$228,-1,0),"")))</f>
        <v/>
      </c>
      <c r="CH336" s="403" t="str">
        <f ca="1">IF(SUM($G336:CG336)&gt;=1,"",IF(CH334=0,"",IF(SUM($G334:CH334)&gt;=1,OFFSET(CH$228,-1,0),"")))</f>
        <v/>
      </c>
      <c r="CI336" s="403" t="str">
        <f ca="1">IF(SUM($G336:CH336)&gt;=1,"",IF(CI334=0,"",IF(SUM($G334:CI334)&gt;=1,OFFSET(CI$228,-1,0),"")))</f>
        <v/>
      </c>
      <c r="CJ336" s="403" t="str">
        <f ca="1">IF(SUM($G336:CI336)&gt;=1,"",IF(CJ334=0,"",IF(SUM($G334:CJ334)&gt;=1,OFFSET(CJ$228,-1,0),"")))</f>
        <v/>
      </c>
      <c r="CK336" s="403" t="str">
        <f ca="1">IF(SUM($G336:CJ336)&gt;=1,"",IF(CK334=0,"",IF(SUM($G334:CK334)&gt;=1,OFFSET(CK$228,-1,0),"")))</f>
        <v/>
      </c>
      <c r="CL336" s="403" t="str">
        <f ca="1">IF(SUM($G336:CK336)&gt;=1,"",IF(CL334=0,"",IF(SUM($G334:CL334)&gt;=1,OFFSET(CL$228,-1,0),"")))</f>
        <v/>
      </c>
      <c r="CM336" s="403" t="str">
        <f ca="1">IF(SUM($G336:CL336)&gt;=1,"",IF(CM334=0,"",IF(SUM($G334:CM334)&gt;=1,OFFSET(CM$228,-1,0),"")))</f>
        <v/>
      </c>
      <c r="CN336" s="403" t="str">
        <f ca="1">IF(SUM($G336:CM336)&gt;=1,"",IF(CN334=0,"",IF(SUM($G334:CN334)&gt;=1,OFFSET(CN$228,-1,0),"")))</f>
        <v/>
      </c>
      <c r="CO336" s="403" t="str">
        <f ca="1">IF(SUM($G336:CN336)&gt;=1,"",IF(CO334=0,"",IF(SUM($G334:CO334)&gt;=1,OFFSET(CO$228,-1,0),"")))</f>
        <v/>
      </c>
      <c r="CP336" s="403" t="str">
        <f ca="1">IF(SUM($G336:CO336)&gt;=1,"",IF(CP334=0,"",IF(SUM($G334:CP334)&gt;=1,OFFSET(CP$228,-1,0),"")))</f>
        <v/>
      </c>
      <c r="CQ336" s="403" t="str">
        <f ca="1">IF(SUM($G336:CP336)&gt;=1,"",IF(CQ334=0,"",IF(SUM($G334:CQ334)&gt;=1,OFFSET(CQ$228,-1,0),"")))</f>
        <v/>
      </c>
      <c r="CR336" s="403" t="str">
        <f ca="1">IF(SUM($G336:CQ336)&gt;=1,"",IF(CR334=0,"",IF(SUM($G334:CR334)&gt;=1,OFFSET(CR$228,-1,0),"")))</f>
        <v/>
      </c>
      <c r="CS336" s="403" t="str">
        <f ca="1">IF(SUM($G336:CR336)&gt;=1,"",IF(CS334=0,"",IF(SUM($G334:CS334)&gt;=1,OFFSET(CS$228,-1,0),"")))</f>
        <v/>
      </c>
      <c r="CT336" s="403" t="str">
        <f ca="1">IF(SUM($G336:CS336)&gt;=1,"",IF(CT334=0,"",IF(SUM($G334:CT334)&gt;=1,OFFSET(CT$228,-1,0),"")))</f>
        <v/>
      </c>
      <c r="CU336" s="403" t="str">
        <f ca="1">IF(SUM($G336:CT336)&gt;=1,"",IF(CU334=0,"",IF(SUM($G334:CU334)&gt;=1,OFFSET(CU$228,-1,0),"")))</f>
        <v/>
      </c>
      <c r="CV336" s="403" t="str">
        <f ca="1">IF(SUM($G336:CU336)&gt;=1,"",IF(CV334=0,"",IF(SUM($G334:CV334)&gt;=1,OFFSET(CV$228,-1,0),"")))</f>
        <v/>
      </c>
      <c r="CW336" s="403" t="str">
        <f ca="1">IF(SUM($G336:CV336)&gt;=1,"",IF(CW334=0,"",IF(SUM($G334:CW334)&gt;=1,OFFSET(CW$228,-1,0),"")))</f>
        <v/>
      </c>
      <c r="CX336" s="403" t="str">
        <f ca="1">IF(SUM($G336:CW336)&gt;=1,"",IF(CX334=0,"",IF(SUM($G334:CX334)&gt;=1,OFFSET(CX$228,-1,0),"")))</f>
        <v/>
      </c>
      <c r="CY336" s="403" t="str">
        <f ca="1">IF(SUM($G336:CX336)&gt;=1,"",IF(CY334=0,"",IF(SUM($G334:CY334)&gt;=1,OFFSET(CY$228,-1,0),"")))</f>
        <v/>
      </c>
      <c r="CZ336" s="403" t="str">
        <f ca="1">IF(SUM($G336:CY336)&gt;=1,"",IF(CZ334=0,"",IF(SUM($G334:CZ334)&gt;=1,OFFSET(CZ$228,-1,0),"")))</f>
        <v/>
      </c>
      <c r="DA336" s="403" t="str">
        <f ca="1">IF(SUM($G336:CZ336)&gt;=1,"",IF(DA334=0,"",IF(SUM($G334:DA334)&gt;=1,OFFSET(DA$228,-1,0),"")))</f>
        <v/>
      </c>
      <c r="DB336" s="403" t="str">
        <f ca="1">IF(SUM($G336:DA336)&gt;=1,"",IF(DB334=0,"",IF(SUM($G334:DB334)&gt;=1,OFFSET(DB$228,-1,0),"")))</f>
        <v/>
      </c>
      <c r="DC336" s="403" t="str">
        <f ca="1">IF(SUM($G336:DB336)&gt;=1,"",IF(DC334=0,"",IF(SUM($G334:DC334)&gt;=1,OFFSET(DC$228,-1,0),"")))</f>
        <v/>
      </c>
      <c r="DD336" s="403" t="str">
        <f ca="1">IF(SUM($G336:DC336)&gt;=1,"",IF(DD334=0,"",IF(SUM($G334:DD334)&gt;=1,OFFSET(DD$228,-1,0),"")))</f>
        <v/>
      </c>
      <c r="DE336" s="403" t="str">
        <f ca="1">IF(SUM($G336:DD336)&gt;=1,"",IF(DE334=0,"",IF(SUM($G334:DE334)&gt;=1,OFFSET(DE$228,-1,0),"")))</f>
        <v/>
      </c>
      <c r="DF336" s="403" t="str">
        <f ca="1">IF(SUM($G336:DE336)&gt;=1,"",IF(DF334=0,"",IF(SUM($G334:DF334)&gt;=1,OFFSET(DF$228,-1,0),"")))</f>
        <v/>
      </c>
      <c r="DG336" s="403" t="str">
        <f ca="1">IF(SUM($G336:DF336)&gt;=1,"",IF(DG334=0,"",IF(SUM($G334:DG334)&gt;=1,OFFSET(DG$228,-1,0),"")))</f>
        <v/>
      </c>
      <c r="DH336" s="403" t="str">
        <f ca="1">IF(SUM($G336:DG336)&gt;=1,"",IF(DH334=0,"",IF(SUM($G334:DH334)&gt;=1,OFFSET(DH$228,-1,0),"")))</f>
        <v/>
      </c>
      <c r="DI336" s="403" t="str">
        <f ca="1">IF(SUM($G336:DH336)&gt;=1,"",IF(DI334=0,"",IF(SUM($G334:DI334)&gt;=1,OFFSET(DI$228,-1,0),"")))</f>
        <v/>
      </c>
      <c r="DJ336" s="403" t="str">
        <f ca="1">IF(SUM($G336:DI336)&gt;=1,"",IF(DJ334=0,"",IF(SUM($G334:DJ334)&gt;=1,OFFSET(DJ$228,-1,0),"")))</f>
        <v/>
      </c>
      <c r="DK336" s="403" t="str">
        <f ca="1">IF(SUM($G336:DJ336)&gt;=1,"",IF(DK334=0,"",IF(SUM($G334:DK334)&gt;=1,OFFSET(DK$228,-1,0),"")))</f>
        <v/>
      </c>
      <c r="DL336" s="403" t="str">
        <f ca="1">IF(SUM($G336:DK336)&gt;=1,"",IF(DL334=0,"",IF(SUM($G334:DL334)&gt;=1,OFFSET(DL$228,-1,0),"")))</f>
        <v/>
      </c>
      <c r="DM336" s="403" t="str">
        <f ca="1">IF(SUM($G336:DL336)&gt;=1,"",IF(DM334=0,"",IF(SUM($G334:DM334)&gt;=1,OFFSET(DM$228,-1,0),"")))</f>
        <v/>
      </c>
      <c r="DN336" s="403" t="str">
        <f ca="1">IF(SUM($G336:DM336)&gt;=1,"",IF(DN334=0,"",IF(SUM($G334:DN334)&gt;=1,OFFSET(DN$228,-1,0),"")))</f>
        <v/>
      </c>
      <c r="DO336" s="403" t="str">
        <f ca="1">IF(SUM($G336:DN336)&gt;=1,"",IF(DO334=0,"",IF(SUM($G334:DO334)&gt;=1,OFFSET(DO$228,-1,0),"")))</f>
        <v/>
      </c>
      <c r="DP336" s="403" t="str">
        <f ca="1">IF(SUM($G336:DO336)&gt;=1,"",IF(DP334=0,"",IF(SUM($G334:DP334)&gt;=1,OFFSET(DP$228,-1,0),"")))</f>
        <v/>
      </c>
      <c r="DQ336" s="403" t="str">
        <f ca="1">IF(SUM($G336:DP336)&gt;=1,"",IF(DQ334=0,"",IF(SUM($G334:DQ334)&gt;=1,OFFSET(DQ$228,-1,0),"")))</f>
        <v/>
      </c>
      <c r="DR336" s="403" t="str">
        <f ca="1">IF(SUM($G336:DQ336)&gt;=1,"",IF(DR334=0,"",IF(SUM($G334:DR334)&gt;=1,OFFSET(DR$228,-1,0),"")))</f>
        <v/>
      </c>
      <c r="DS336" s="403" t="str">
        <f ca="1">IF(SUM($G336:DR336)&gt;=1,"",IF(DS334=0,"",IF(SUM($G334:DS334)&gt;=1,OFFSET(DS$228,-1,0),"")))</f>
        <v/>
      </c>
      <c r="DT336" s="403" t="str">
        <f ca="1">IF(SUM($G336:DS336)&gt;=1,"",IF(DT334=0,"",IF(SUM($G334:DT334)&gt;=1,OFFSET(DT$228,-1,0),"")))</f>
        <v/>
      </c>
      <c r="DU336" s="403" t="str">
        <f ca="1">IF(SUM($G336:DT336)&gt;=1,"",IF(DU334=0,"",IF(SUM($G334:DU334)&gt;=1,OFFSET(DU$228,-1,0),"")))</f>
        <v/>
      </c>
      <c r="DV336" s="403" t="str">
        <f ca="1">IF(SUM($G336:DU336)&gt;=1,"",IF(DV334=0,"",IF(SUM($G334:DV334)&gt;=1,OFFSET(DV$228,-1,0),"")))</f>
        <v/>
      </c>
      <c r="DW336" s="403" t="str">
        <f ca="1">IF(SUM($G336:DV336)&gt;=1,"",IF(DW334=0,"",IF(SUM($G334:DW334)&gt;=1,OFFSET(DW$228,-1,0),"")))</f>
        <v/>
      </c>
      <c r="DX336" s="403" t="str">
        <f ca="1">IF(SUM($G336:DW336)&gt;=1,"",IF(DX334=0,"",IF(SUM($G334:DX334)&gt;=1,OFFSET(DX$228,-1,0),"")))</f>
        <v/>
      </c>
      <c r="DY336" s="403" t="str">
        <f ca="1">IF(SUM($G336:DX336)&gt;=1,"",IF(DY334=0,"",IF(SUM($G334:DY334)&gt;=1,OFFSET(DY$228,-1,0),"")))</f>
        <v/>
      </c>
      <c r="DZ336" s="403" t="str">
        <f ca="1">IF(SUM($G336:DY336)&gt;=1,"",IF(DZ334=0,"",IF(SUM($G334:DZ334)&gt;=1,OFFSET(DZ$228,-1,0),"")))</f>
        <v/>
      </c>
      <c r="EA336" s="403" t="str">
        <f ca="1">IF(SUM($G336:DZ336)&gt;=1,"",IF(EA334=0,"",IF(SUM($G334:EA334)&gt;=1,OFFSET(EA$228,-1,0),"")))</f>
        <v/>
      </c>
      <c r="EB336" s="403" t="str">
        <f ca="1">IF(SUM($G336:EA336)&gt;=1,"",IF(EB334=0,"",IF(SUM($G334:EB334)&gt;=1,OFFSET(EB$228,-1,0),"")))</f>
        <v/>
      </c>
      <c r="EC336" s="403" t="str">
        <f ca="1">IF(SUM($G336:EB336)&gt;=1,"",IF(EC334=0,"",IF(SUM($G334:EC334)&gt;=1,OFFSET(EC$228,-1,0),"")))</f>
        <v/>
      </c>
      <c r="ED336" s="403" t="str">
        <f ca="1">IF(SUM($G336:EC336)&gt;=1,"",IF(ED334=0,"",IF(SUM($G334:ED334)&gt;=1,OFFSET(ED$228,-1,0),"")))</f>
        <v/>
      </c>
      <c r="EE336" s="403" t="str">
        <f ca="1">IF(SUM($G336:ED336)&gt;=1,"",IF(EE334=0,"",IF(SUM($G334:EE334)&gt;=1,OFFSET(EE$228,-1,0),"")))</f>
        <v/>
      </c>
      <c r="EF336" s="403" t="str">
        <f ca="1">IF(SUM($G336:EE336)&gt;=1,"",IF(EF334=0,"",IF(SUM($G334:EF334)&gt;=1,OFFSET(EF$228,-1,0),"")))</f>
        <v/>
      </c>
      <c r="EG336" s="403" t="str">
        <f ca="1">IF(SUM($G336:EF336)&gt;=1,"",IF(EG334=0,"",IF(SUM($G334:EG334)&gt;=1,OFFSET(EG$228,-1,0),"")))</f>
        <v/>
      </c>
      <c r="EH336" s="403" t="str">
        <f ca="1">IF(SUM($G336:EG336)&gt;=1,"",IF(EH334=0,"",IF(SUM($G334:EH334)&gt;=1,OFFSET(EH$228,-1,0),"")))</f>
        <v/>
      </c>
      <c r="EI336" s="403" t="str">
        <f ca="1">IF(SUM($G336:EH336)&gt;=1,"",IF(EI334=0,"",IF(SUM($G334:EI334)&gt;=1,OFFSET(EI$228,-1,0),"")))</f>
        <v/>
      </c>
    </row>
    <row r="337" spans="1:141" hidden="1" outlineLevel="2">
      <c r="A337" s="332"/>
      <c r="D337" s="305" t="s">
        <v>671</v>
      </c>
      <c r="E337" s="1002">
        <f ca="1">IF(E334=0,"",MIN(G337:EI337))</f>
        <v>46290.95</v>
      </c>
      <c r="F337" s="1003"/>
      <c r="G337" s="403" t="str">
        <f>IF(G334=0,"",IF(G334=G$3,G336,G$5+H$5-G338-1))</f>
        <v/>
      </c>
      <c r="H337" s="403" t="str">
        <f ca="1">IF(H334=0,"",IF(H334=H$3,H336,H$5+I$5-H338-1))</f>
        <v/>
      </c>
      <c r="I337" s="403" t="str">
        <f t="shared" ref="I337:BK337" ca="1" si="521">IF(I334=0,"",IF(I334=I$3,I336,I$5+J$5-I338-1))</f>
        <v/>
      </c>
      <c r="J337" s="403" t="str">
        <f t="shared" ca="1" si="521"/>
        <v/>
      </c>
      <c r="K337" s="403" t="str">
        <f t="shared" ca="1" si="521"/>
        <v/>
      </c>
      <c r="L337" s="403" t="str">
        <f t="shared" ca="1" si="521"/>
        <v/>
      </c>
      <c r="M337" s="403" t="str">
        <f t="shared" ca="1" si="521"/>
        <v/>
      </c>
      <c r="N337" s="403" t="str">
        <f t="shared" ca="1" si="521"/>
        <v/>
      </c>
      <c r="O337" s="403" t="str">
        <f t="shared" ca="1" si="521"/>
        <v/>
      </c>
      <c r="P337" s="403" t="str">
        <f t="shared" ca="1" si="521"/>
        <v/>
      </c>
      <c r="Q337" s="403" t="str">
        <f t="shared" ca="1" si="521"/>
        <v/>
      </c>
      <c r="R337" s="403" t="str">
        <f t="shared" ca="1" si="521"/>
        <v/>
      </c>
      <c r="S337" s="403" t="str">
        <f t="shared" ca="1" si="521"/>
        <v/>
      </c>
      <c r="T337" s="403" t="str">
        <f t="shared" ca="1" si="521"/>
        <v/>
      </c>
      <c r="U337" s="403" t="str">
        <f t="shared" ca="1" si="521"/>
        <v/>
      </c>
      <c r="V337" s="403" t="str">
        <f t="shared" ca="1" si="521"/>
        <v/>
      </c>
      <c r="W337" s="403" t="str">
        <f t="shared" ca="1" si="521"/>
        <v/>
      </c>
      <c r="X337" s="403" t="str">
        <f t="shared" ca="1" si="521"/>
        <v/>
      </c>
      <c r="Y337" s="403" t="str">
        <f t="shared" ca="1" si="521"/>
        <v/>
      </c>
      <c r="Z337" s="403" t="str">
        <f t="shared" ca="1" si="521"/>
        <v/>
      </c>
      <c r="AA337" s="403" t="str">
        <f t="shared" ca="1" si="521"/>
        <v/>
      </c>
      <c r="AB337" s="403" t="str">
        <f t="shared" ca="1" si="521"/>
        <v/>
      </c>
      <c r="AC337" s="403" t="str">
        <f t="shared" ca="1" si="521"/>
        <v/>
      </c>
      <c r="AD337" s="403" t="str">
        <f t="shared" ca="1" si="521"/>
        <v/>
      </c>
      <c r="AE337" s="403" t="str">
        <f t="shared" ca="1" si="521"/>
        <v/>
      </c>
      <c r="AF337" s="403" t="str">
        <f t="shared" ca="1" si="521"/>
        <v/>
      </c>
      <c r="AG337" s="403" t="str">
        <f t="shared" ca="1" si="521"/>
        <v/>
      </c>
      <c r="AH337" s="403" t="str">
        <f t="shared" ca="1" si="521"/>
        <v/>
      </c>
      <c r="AI337" s="403" t="str">
        <f t="shared" ca="1" si="521"/>
        <v/>
      </c>
      <c r="AJ337" s="403" t="str">
        <f t="shared" ca="1" si="521"/>
        <v/>
      </c>
      <c r="AK337" s="403" t="str">
        <f t="shared" ca="1" si="521"/>
        <v/>
      </c>
      <c r="AL337" s="403" t="str">
        <f t="shared" ca="1" si="521"/>
        <v/>
      </c>
      <c r="AM337" s="403" t="str">
        <f t="shared" ca="1" si="521"/>
        <v/>
      </c>
      <c r="AN337" s="403" t="str">
        <f t="shared" ca="1" si="521"/>
        <v/>
      </c>
      <c r="AO337" s="403" t="str">
        <f t="shared" ca="1" si="521"/>
        <v/>
      </c>
      <c r="AP337" s="403" t="str">
        <f t="shared" ca="1" si="521"/>
        <v/>
      </c>
      <c r="AQ337" s="403" t="str">
        <f t="shared" ca="1" si="521"/>
        <v/>
      </c>
      <c r="AR337" s="403" t="str">
        <f t="shared" ca="1" si="521"/>
        <v/>
      </c>
      <c r="AS337" s="403" t="str">
        <f t="shared" ca="1" si="521"/>
        <v/>
      </c>
      <c r="AT337" s="403" t="str">
        <f t="shared" ca="1" si="521"/>
        <v/>
      </c>
      <c r="AU337" s="403" t="str">
        <f t="shared" ca="1" si="521"/>
        <v/>
      </c>
      <c r="AV337" s="403" t="str">
        <f t="shared" ca="1" si="521"/>
        <v/>
      </c>
      <c r="AW337" s="403">
        <f t="shared" ca="1" si="521"/>
        <v>46290.95</v>
      </c>
      <c r="AX337" s="403" t="str">
        <f t="shared" ca="1" si="521"/>
        <v/>
      </c>
      <c r="AY337" s="403" t="str">
        <f t="shared" ca="1" si="521"/>
        <v/>
      </c>
      <c r="AZ337" s="403" t="str">
        <f t="shared" ca="1" si="521"/>
        <v/>
      </c>
      <c r="BA337" s="403" t="str">
        <f t="shared" ca="1" si="521"/>
        <v/>
      </c>
      <c r="BB337" s="403" t="str">
        <f t="shared" ca="1" si="521"/>
        <v/>
      </c>
      <c r="BC337" s="403" t="str">
        <f t="shared" ca="1" si="521"/>
        <v/>
      </c>
      <c r="BD337" s="403" t="str">
        <f t="shared" ca="1" si="521"/>
        <v/>
      </c>
      <c r="BE337" s="403" t="str">
        <f t="shared" ca="1" si="521"/>
        <v/>
      </c>
      <c r="BF337" s="403" t="str">
        <f t="shared" ca="1" si="521"/>
        <v/>
      </c>
      <c r="BG337" s="403" t="str">
        <f t="shared" ca="1" si="521"/>
        <v/>
      </c>
      <c r="BH337" s="403">
        <f t="shared" ca="1" si="521"/>
        <v>46601.05</v>
      </c>
      <c r="BI337" s="403" t="str">
        <f t="shared" ca="1" si="521"/>
        <v/>
      </c>
      <c r="BJ337" s="403" t="str">
        <f t="shared" ca="1" si="521"/>
        <v/>
      </c>
      <c r="BK337" s="403" t="str">
        <f t="shared" ca="1" si="521"/>
        <v/>
      </c>
      <c r="BL337" s="403" t="str">
        <f ca="1">IF(BL334=0,"",IF(BL334=BL$3,BL336,BL$5+BM$5-BL338-1))</f>
        <v/>
      </c>
      <c r="BM337" s="403" t="str">
        <f t="shared" ref="BM337:DX337" ca="1" si="522">IF(BM334=0,"",IF(BM334=BM$3,BM336,BM$5+BN$5-BM338-1))</f>
        <v/>
      </c>
      <c r="BN337" s="403" t="str">
        <f t="shared" ca="1" si="522"/>
        <v/>
      </c>
      <c r="BO337" s="403" t="str">
        <f t="shared" ca="1" si="522"/>
        <v/>
      </c>
      <c r="BP337" s="403" t="str">
        <f t="shared" ca="1" si="522"/>
        <v/>
      </c>
      <c r="BQ337" s="403" t="str">
        <f t="shared" ca="1" si="522"/>
        <v/>
      </c>
      <c r="BR337" s="403" t="str">
        <f t="shared" ca="1" si="522"/>
        <v/>
      </c>
      <c r="BS337" s="403" t="str">
        <f t="shared" ca="1" si="522"/>
        <v/>
      </c>
      <c r="BT337" s="403" t="str">
        <f t="shared" ca="1" si="522"/>
        <v/>
      </c>
      <c r="BU337" s="403" t="str">
        <f t="shared" ca="1" si="522"/>
        <v/>
      </c>
      <c r="BV337" s="403" t="str">
        <f t="shared" ca="1" si="522"/>
        <v/>
      </c>
      <c r="BW337" s="403" t="str">
        <f t="shared" ca="1" si="522"/>
        <v/>
      </c>
      <c r="BX337" s="403" t="str">
        <f t="shared" ca="1" si="522"/>
        <v/>
      </c>
      <c r="BY337" s="403" t="str">
        <f t="shared" ca="1" si="522"/>
        <v/>
      </c>
      <c r="BZ337" s="403" t="str">
        <f t="shared" ca="1" si="522"/>
        <v/>
      </c>
      <c r="CA337" s="403" t="str">
        <f t="shared" ca="1" si="522"/>
        <v/>
      </c>
      <c r="CB337" s="403" t="str">
        <f t="shared" ca="1" si="522"/>
        <v/>
      </c>
      <c r="CC337" s="403" t="str">
        <f t="shared" ca="1" si="522"/>
        <v/>
      </c>
      <c r="CD337" s="403" t="str">
        <f t="shared" ca="1" si="522"/>
        <v/>
      </c>
      <c r="CE337" s="403" t="str">
        <f t="shared" ca="1" si="522"/>
        <v/>
      </c>
      <c r="CF337" s="403" t="str">
        <f t="shared" ca="1" si="522"/>
        <v/>
      </c>
      <c r="CG337" s="403" t="str">
        <f t="shared" ca="1" si="522"/>
        <v/>
      </c>
      <c r="CH337" s="403" t="str">
        <f t="shared" ca="1" si="522"/>
        <v/>
      </c>
      <c r="CI337" s="403" t="str">
        <f t="shared" ca="1" si="522"/>
        <v/>
      </c>
      <c r="CJ337" s="403" t="str">
        <f t="shared" ca="1" si="522"/>
        <v/>
      </c>
      <c r="CK337" s="403" t="str">
        <f t="shared" ca="1" si="522"/>
        <v/>
      </c>
      <c r="CL337" s="403" t="str">
        <f t="shared" ca="1" si="522"/>
        <v/>
      </c>
      <c r="CM337" s="403" t="str">
        <f t="shared" ca="1" si="522"/>
        <v/>
      </c>
      <c r="CN337" s="403" t="str">
        <f t="shared" ca="1" si="522"/>
        <v/>
      </c>
      <c r="CO337" s="403" t="str">
        <f t="shared" ca="1" si="522"/>
        <v/>
      </c>
      <c r="CP337" s="403" t="str">
        <f t="shared" ca="1" si="522"/>
        <v/>
      </c>
      <c r="CQ337" s="403" t="str">
        <f t="shared" ca="1" si="522"/>
        <v/>
      </c>
      <c r="CR337" s="403" t="str">
        <f t="shared" ca="1" si="522"/>
        <v/>
      </c>
      <c r="CS337" s="403" t="str">
        <f t="shared" ca="1" si="522"/>
        <v/>
      </c>
      <c r="CT337" s="403" t="str">
        <f t="shared" ca="1" si="522"/>
        <v/>
      </c>
      <c r="CU337" s="403" t="str">
        <f t="shared" ca="1" si="522"/>
        <v/>
      </c>
      <c r="CV337" s="403" t="str">
        <f t="shared" ca="1" si="522"/>
        <v/>
      </c>
      <c r="CW337" s="403" t="str">
        <f t="shared" ca="1" si="522"/>
        <v/>
      </c>
      <c r="CX337" s="403" t="str">
        <f t="shared" ca="1" si="522"/>
        <v/>
      </c>
      <c r="CY337" s="403" t="str">
        <f t="shared" ca="1" si="522"/>
        <v/>
      </c>
      <c r="CZ337" s="403" t="str">
        <f t="shared" ca="1" si="522"/>
        <v/>
      </c>
      <c r="DA337" s="403" t="str">
        <f t="shared" ca="1" si="522"/>
        <v/>
      </c>
      <c r="DB337" s="403" t="str">
        <f t="shared" ca="1" si="522"/>
        <v/>
      </c>
      <c r="DC337" s="403" t="str">
        <f t="shared" ca="1" si="522"/>
        <v/>
      </c>
      <c r="DD337" s="403" t="str">
        <f t="shared" ca="1" si="522"/>
        <v/>
      </c>
      <c r="DE337" s="403" t="str">
        <f t="shared" ca="1" si="522"/>
        <v/>
      </c>
      <c r="DF337" s="403" t="str">
        <f t="shared" ca="1" si="522"/>
        <v/>
      </c>
      <c r="DG337" s="403" t="str">
        <f t="shared" ca="1" si="522"/>
        <v/>
      </c>
      <c r="DH337" s="403" t="str">
        <f t="shared" ca="1" si="522"/>
        <v/>
      </c>
      <c r="DI337" s="403" t="str">
        <f t="shared" ca="1" si="522"/>
        <v/>
      </c>
      <c r="DJ337" s="403" t="str">
        <f t="shared" ca="1" si="522"/>
        <v/>
      </c>
      <c r="DK337" s="403" t="str">
        <f t="shared" ca="1" si="522"/>
        <v/>
      </c>
      <c r="DL337" s="403" t="str">
        <f t="shared" ca="1" si="522"/>
        <v/>
      </c>
      <c r="DM337" s="403" t="str">
        <f t="shared" ca="1" si="522"/>
        <v/>
      </c>
      <c r="DN337" s="403" t="str">
        <f t="shared" ca="1" si="522"/>
        <v/>
      </c>
      <c r="DO337" s="403" t="str">
        <f t="shared" ca="1" si="522"/>
        <v/>
      </c>
      <c r="DP337" s="403" t="str">
        <f t="shared" ca="1" si="522"/>
        <v/>
      </c>
      <c r="DQ337" s="403" t="str">
        <f t="shared" ca="1" si="522"/>
        <v/>
      </c>
      <c r="DR337" s="403" t="str">
        <f t="shared" ca="1" si="522"/>
        <v/>
      </c>
      <c r="DS337" s="403" t="str">
        <f t="shared" ca="1" si="522"/>
        <v/>
      </c>
      <c r="DT337" s="403" t="str">
        <f t="shared" ca="1" si="522"/>
        <v/>
      </c>
      <c r="DU337" s="403" t="str">
        <f t="shared" ca="1" si="522"/>
        <v/>
      </c>
      <c r="DV337" s="403" t="str">
        <f t="shared" ca="1" si="522"/>
        <v/>
      </c>
      <c r="DW337" s="403" t="str">
        <f t="shared" ca="1" si="522"/>
        <v/>
      </c>
      <c r="DX337" s="403" t="str">
        <f t="shared" ca="1" si="522"/>
        <v/>
      </c>
      <c r="DY337" s="403" t="str">
        <f t="shared" ref="DY337:EI337" ca="1" si="523">IF(DY334=0,"",IF(DY334=DY$3,DY336,DY$5+DZ$5-DY338-1))</f>
        <v/>
      </c>
      <c r="DZ337" s="403" t="str">
        <f t="shared" ca="1" si="523"/>
        <v/>
      </c>
      <c r="EA337" s="403" t="str">
        <f t="shared" ca="1" si="523"/>
        <v/>
      </c>
      <c r="EB337" s="403" t="str">
        <f t="shared" ca="1" si="523"/>
        <v/>
      </c>
      <c r="EC337" s="403" t="str">
        <f t="shared" ca="1" si="523"/>
        <v/>
      </c>
      <c r="ED337" s="403" t="str">
        <f t="shared" ca="1" si="523"/>
        <v/>
      </c>
      <c r="EE337" s="403" t="str">
        <f t="shared" ca="1" si="523"/>
        <v/>
      </c>
      <c r="EF337" s="403" t="str">
        <f t="shared" ca="1" si="523"/>
        <v/>
      </c>
      <c r="EG337" s="403" t="str">
        <f t="shared" ca="1" si="523"/>
        <v/>
      </c>
      <c r="EH337" s="403" t="str">
        <f t="shared" ca="1" si="523"/>
        <v/>
      </c>
      <c r="EI337" s="403" t="str">
        <f t="shared" ca="1" si="523"/>
        <v/>
      </c>
    </row>
    <row r="338" spans="1:141" hidden="1" outlineLevel="2">
      <c r="A338" s="332"/>
      <c r="D338" s="305" t="s">
        <v>672</v>
      </c>
      <c r="E338" s="1002">
        <f ca="1">IF(E334=0,"",MAX(G338:EI338))</f>
        <v>46628.95</v>
      </c>
      <c r="F338" s="1003"/>
      <c r="G338" s="403">
        <f ca="1">IF(SUM(G334:$EI334)=0,"",IF(G$227="","",G$227+G334-1))</f>
        <v>44985</v>
      </c>
      <c r="H338" s="403">
        <f ca="1">IF(SUM(H334:$EI334)=0,"",IF(H$227="","",H$227+H334-1))</f>
        <v>45016</v>
      </c>
      <c r="I338" s="403">
        <f ca="1">IF(SUM(I334:$EI334)=0,"",IF(I$227="","",I$227+I334-1))</f>
        <v>45046</v>
      </c>
      <c r="J338" s="403">
        <f ca="1">IF(SUM(J334:$EI334)=0,"",IF(J$227="","",J$227+J334-1))</f>
        <v>45077</v>
      </c>
      <c r="K338" s="403">
        <f ca="1">IF(SUM(K334:$EI334)=0,"",IF(K$227="","",K$227+K334-1))</f>
        <v>45107</v>
      </c>
      <c r="L338" s="403">
        <f ca="1">IF(SUM(L334:$EI334)=0,"",IF(L$227="","",L$227+L334-1))</f>
        <v>45138</v>
      </c>
      <c r="M338" s="403">
        <f ca="1">IF(SUM(M334:$EI334)=0,"",IF(M$227="","",M$227+M334-1))</f>
        <v>45169</v>
      </c>
      <c r="N338" s="403">
        <f ca="1">IF(SUM(N334:$EI334)=0,"",IF(N$227="","",N$227+N334-1))</f>
        <v>45199</v>
      </c>
      <c r="O338" s="403">
        <f ca="1">IF(SUM(O334:$EI334)=0,"",IF(O$227="","",O$227+O334-1))</f>
        <v>45230</v>
      </c>
      <c r="P338" s="403">
        <f ca="1">IF(SUM(P334:$EI334)=0,"",IF(P$227="","",P$227+P334-1))</f>
        <v>45260</v>
      </c>
      <c r="Q338" s="403">
        <f ca="1">IF(SUM(Q334:$EI334)=0,"",IF(Q$227="","",Q$227+Q334-1))</f>
        <v>45291</v>
      </c>
      <c r="R338" s="403">
        <f ca="1">IF(SUM(R334:$EI334)=0,"",IF(R$227="","",R$227+R334-1))</f>
        <v>45322</v>
      </c>
      <c r="S338" s="403">
        <f ca="1">IF(SUM(S334:$EI334)=0,"",IF(S$227="","",S$227+S334-1))</f>
        <v>45351</v>
      </c>
      <c r="T338" s="403">
        <f ca="1">IF(SUM(T334:$EI334)=0,"",IF(T$227="","",T$227+T334-1))</f>
        <v>45382</v>
      </c>
      <c r="U338" s="403">
        <f ca="1">IF(SUM(U334:$EI334)=0,"",IF(U$227="","",U$227+U334-1))</f>
        <v>45412</v>
      </c>
      <c r="V338" s="403">
        <f ca="1">IF(SUM(V334:$EI334)=0,"",IF(V$227="","",V$227+V334-1))</f>
        <v>45443</v>
      </c>
      <c r="W338" s="403">
        <f ca="1">IF(SUM(W334:$EI334)=0,"",IF(W$227="","",W$227+W334-1))</f>
        <v>45473</v>
      </c>
      <c r="X338" s="403">
        <f ca="1">IF(SUM(X334:$EI334)=0,"",IF(X$227="","",X$227+X334-1))</f>
        <v>45504</v>
      </c>
      <c r="Y338" s="403">
        <f ca="1">IF(SUM(Y334:$EI334)=0,"",IF(Y$227="","",Y$227+Y334-1))</f>
        <v>45535</v>
      </c>
      <c r="Z338" s="403">
        <f ca="1">IF(SUM(Z334:$EI334)=0,"",IF(Z$227="","",Z$227+Z334-1))</f>
        <v>45565</v>
      </c>
      <c r="AA338" s="403">
        <f ca="1">IF(SUM(AA334:$EI334)=0,"",IF(AA$227="","",AA$227+AA334-1))</f>
        <v>45596</v>
      </c>
      <c r="AB338" s="403">
        <f ca="1">IF(SUM(AB334:$EI334)=0,"",IF(AB$227="","",AB$227+AB334-1))</f>
        <v>45626</v>
      </c>
      <c r="AC338" s="403">
        <f ca="1">IF(SUM(AC334:$EI334)=0,"",IF(AC$227="","",AC$227+AC334-1))</f>
        <v>45657</v>
      </c>
      <c r="AD338" s="403">
        <f ca="1">IF(SUM(AD334:$EI334)=0,"",IF(AD$227="","",AD$227+AD334-1))</f>
        <v>45688</v>
      </c>
      <c r="AE338" s="403">
        <f ca="1">IF(SUM(AE334:$EI334)=0,"",IF(AE$227="","",AE$227+AE334-1))</f>
        <v>45716</v>
      </c>
      <c r="AF338" s="403">
        <f ca="1">IF(SUM(AF334:$EI334)=0,"",IF(AF$227="","",AF$227+AF334-1))</f>
        <v>45747</v>
      </c>
      <c r="AG338" s="403">
        <f ca="1">IF(SUM(AG334:$EI334)=0,"",IF(AG$227="","",AG$227+AG334-1))</f>
        <v>45777</v>
      </c>
      <c r="AH338" s="403">
        <f ca="1">IF(SUM(AH334:$EI334)=0,"",IF(AH$227="","",AH$227+AH334-1))</f>
        <v>45808</v>
      </c>
      <c r="AI338" s="403">
        <f ca="1">IF(SUM(AI334:$EI334)=0,"",IF(AI$227="","",AI$227+AI334-1))</f>
        <v>45838</v>
      </c>
      <c r="AJ338" s="403">
        <f ca="1">IF(SUM(AJ334:$EI334)=0,"",IF(AJ$227="","",AJ$227+AJ334-1))</f>
        <v>45869</v>
      </c>
      <c r="AK338" s="403">
        <f ca="1">IF(SUM(AK334:$EI334)=0,"",IF(AK$227="","",AK$227+AK334-1))</f>
        <v>45900</v>
      </c>
      <c r="AL338" s="403">
        <f ca="1">IF(SUM(AL334:$EI334)=0,"",IF(AL$227="","",AL$227+AL334-1))</f>
        <v>45930</v>
      </c>
      <c r="AM338" s="403">
        <f ca="1">IF(SUM(AM334:$EI334)=0,"",IF(AM$227="","",AM$227+AM334-1))</f>
        <v>45961</v>
      </c>
      <c r="AN338" s="403">
        <f ca="1">IF(SUM(AN334:$EI334)=0,"",IF(AN$227="","",AN$227+AN334-1))</f>
        <v>45991</v>
      </c>
      <c r="AO338" s="403">
        <f ca="1">IF(SUM(AO334:$EI334)=0,"",IF(AO$227="","",AO$227+AO334-1))</f>
        <v>46022</v>
      </c>
      <c r="AP338" s="403">
        <f ca="1">IF(SUM(AP334:$EI334)=0,"",IF(AP$227="","",AP$227+AP334-1))</f>
        <v>46053</v>
      </c>
      <c r="AQ338" s="403">
        <f ca="1">IF(SUM(AQ334:$EI334)=0,"",IF(AQ$227="","",AQ$227+AQ334-1))</f>
        <v>46081</v>
      </c>
      <c r="AR338" s="403">
        <f ca="1">IF(SUM(AR334:$EI334)=0,"",IF(AR$227="","",AR$227+AR334-1))</f>
        <v>46112</v>
      </c>
      <c r="AS338" s="403">
        <f ca="1">IF(SUM(AS334:$EI334)=0,"",IF(AS$227="","",AS$227+AS334-1))</f>
        <v>46142</v>
      </c>
      <c r="AT338" s="403">
        <f ca="1">IF(SUM(AT334:$EI334)=0,"",IF(AT$227="","",AT$227+AT334-1))</f>
        <v>46173</v>
      </c>
      <c r="AU338" s="403">
        <f ca="1">IF(SUM(AU334:$EI334)=0,"",IF(AU$227="","",AU$227+AU334-1))</f>
        <v>46203</v>
      </c>
      <c r="AV338" s="403">
        <f ca="1">IF(SUM(AV334:$EI334)=0,"",IF(AV$227="","",AV$227+AV334-1))</f>
        <v>46234</v>
      </c>
      <c r="AW338" s="403">
        <f ca="1">IF(SUM(AW334:$EI334)=0,"",IF(AW$227="","",AW$227+AW334-1))</f>
        <v>46270.05</v>
      </c>
      <c r="AX338" s="403">
        <f ca="1">IF(SUM(AX334:$EI334)=0,"",IF(AX$227="","",AX$227+AX334-1))</f>
        <v>46326</v>
      </c>
      <c r="AY338" s="403">
        <f ca="1">IF(SUM(AY334:$EI334)=0,"",IF(AY$227="","",AY$227+AY334-1))</f>
        <v>46356</v>
      </c>
      <c r="AZ338" s="403">
        <f ca="1">IF(SUM(AZ334:$EI334)=0,"",IF(AZ$227="","",AZ$227+AZ334-1))</f>
        <v>46387</v>
      </c>
      <c r="BA338" s="403">
        <f ca="1">IF(SUM(BA334:$EI334)=0,"",IF(BA$227="","",BA$227+BA334-1))</f>
        <v>46418</v>
      </c>
      <c r="BB338" s="403">
        <f ca="1">IF(SUM(BB334:$EI334)=0,"",IF(BB$227="","",BB$227+BB334-1))</f>
        <v>46446</v>
      </c>
      <c r="BC338" s="403">
        <f ca="1">IF(SUM(BC334:$EI334)=0,"",IF(BC$227="","",BC$227+BC334-1))</f>
        <v>46477</v>
      </c>
      <c r="BD338" s="403">
        <f ca="1">IF(SUM(BD334:$EI334)=0,"",IF(BD$227="","",BD$227+BD334-1))</f>
        <v>46507</v>
      </c>
      <c r="BE338" s="403">
        <f ca="1">IF(SUM(BE334:$EI334)=0,"",IF(BE$227="","",BE$227+BE334-1))</f>
        <v>46538</v>
      </c>
      <c r="BF338" s="403">
        <f ca="1">IF(SUM(BF334:$EI334)=0,"",IF(BF$227="","",BF$227+BF334-1))</f>
        <v>46568</v>
      </c>
      <c r="BG338" s="403">
        <f ca="1">IF(SUM(BG334:$EI334)=0,"",IF(BG$227="","",BG$227+BG334-1))</f>
        <v>46599</v>
      </c>
      <c r="BH338" s="403">
        <f ca="1">IF(SUM(BH334:$EI334)=0,"",IF(BH$227="","",BH$227+BH334-1))</f>
        <v>46628.95</v>
      </c>
      <c r="BI338" s="403" t="str">
        <f ca="1">IF(SUM(BI334:$EI334)=0,"",IF(BI$227="","",BI$227+BI334-1))</f>
        <v/>
      </c>
      <c r="BJ338" s="403" t="str">
        <f ca="1">IF(SUM(BJ334:$EI334)=0,"",IF(BJ$227="","",BJ$227+BJ334-1))</f>
        <v/>
      </c>
      <c r="BK338" s="403" t="str">
        <f ca="1">IF(SUM(BK334:$EI334)=0,"",IF(BK$227="","",BK$227+BK334-1))</f>
        <v/>
      </c>
      <c r="BL338" s="403" t="str">
        <f ca="1">IF(SUM(BL334:$EI334)=0,"",IF(BL$227="","",BL$227+BL334-1))</f>
        <v/>
      </c>
      <c r="BM338" s="403" t="str">
        <f ca="1">IF(SUM(BM334:$EI334)=0,"",IF(BM$227="","",BM$227+BM334-1))</f>
        <v/>
      </c>
      <c r="BN338" s="403" t="str">
        <f ca="1">IF(SUM(BN334:$EI334)=0,"",IF(BN$227="","",BN$227+BN334-1))</f>
        <v/>
      </c>
      <c r="BO338" s="403" t="str">
        <f ca="1">IF(SUM(BO334:$EI334)=0,"",IF(BO$227="","",BO$227+BO334-1))</f>
        <v/>
      </c>
      <c r="BP338" s="403" t="str">
        <f ca="1">IF(SUM(BP334:$EI334)=0,"",IF(BP$227="","",BP$227+BP334-1))</f>
        <v/>
      </c>
      <c r="BQ338" s="403" t="str">
        <f ca="1">IF(SUM(BQ334:$EI334)=0,"",IF(BQ$227="","",BQ$227+BQ334-1))</f>
        <v/>
      </c>
      <c r="BR338" s="403" t="str">
        <f ca="1">IF(SUM(BR334:$EI334)=0,"",IF(BR$227="","",BR$227+BR334-1))</f>
        <v/>
      </c>
      <c r="BS338" s="403" t="str">
        <f ca="1">IF(SUM(BS334:$EI334)=0,"",IF(BS$227="","",BS$227+BS334-1))</f>
        <v/>
      </c>
      <c r="BT338" s="403" t="str">
        <f ca="1">IF(SUM(BT334:$EI334)=0,"",IF(BT$227="","",BT$227+BT334-1))</f>
        <v/>
      </c>
      <c r="BU338" s="403" t="str">
        <f ca="1">IF(SUM(BU334:$EI334)=0,"",IF(BU$227="","",BU$227+BU334-1))</f>
        <v/>
      </c>
      <c r="BV338" s="403" t="str">
        <f ca="1">IF(SUM(BV334:$EI334)=0,"",IF(BV$227="","",BV$227+BV334-1))</f>
        <v/>
      </c>
      <c r="BW338" s="403" t="str">
        <f ca="1">IF(SUM(BW334:$EI334)=0,"",IF(BW$227="","",BW$227+BW334-1))</f>
        <v/>
      </c>
      <c r="BX338" s="403" t="str">
        <f ca="1">IF(SUM(BX334:$EI334)=0,"",IF(BX$227="","",BX$227+BX334-1))</f>
        <v/>
      </c>
      <c r="BY338" s="403" t="str">
        <f ca="1">IF(SUM(BY334:$EI334)=0,"",IF(BY$227="","",BY$227+BY334-1))</f>
        <v/>
      </c>
      <c r="BZ338" s="403" t="str">
        <f ca="1">IF(SUM(BZ334:$EI334)=0,"",IF(BZ$227="","",BZ$227+BZ334-1))</f>
        <v/>
      </c>
      <c r="CA338" s="403" t="str">
        <f ca="1">IF(SUM(CA334:$EI334)=0,"",IF(CA$227="","",CA$227+CA334-1))</f>
        <v/>
      </c>
      <c r="CB338" s="403" t="str">
        <f ca="1">IF(SUM(CB334:$EI334)=0,"",IF(CB$227="","",CB$227+CB334-1))</f>
        <v/>
      </c>
      <c r="CC338" s="403" t="str">
        <f ca="1">IF(SUM(CC334:$EI334)=0,"",IF(CC$227="","",CC$227+CC334-1))</f>
        <v/>
      </c>
      <c r="CD338" s="403" t="str">
        <f ca="1">IF(SUM(CD334:$EI334)=0,"",IF(CD$227="","",CD$227+CD334-1))</f>
        <v/>
      </c>
      <c r="CE338" s="403" t="str">
        <f ca="1">IF(SUM(CE334:$EI334)=0,"",IF(CE$227="","",CE$227+CE334-1))</f>
        <v/>
      </c>
      <c r="CF338" s="403" t="str">
        <f ca="1">IF(SUM(CF334:$EI334)=0,"",IF(CF$227="","",CF$227+CF334-1))</f>
        <v/>
      </c>
      <c r="CG338" s="403" t="str">
        <f ca="1">IF(SUM(CG334:$EI334)=0,"",IF(CG$227="","",CG$227+CG334-1))</f>
        <v/>
      </c>
      <c r="CH338" s="403" t="str">
        <f ca="1">IF(SUM(CH334:$EI334)=0,"",IF(CH$227="","",CH$227+CH334-1))</f>
        <v/>
      </c>
      <c r="CI338" s="403" t="str">
        <f ca="1">IF(SUM(CI334:$EI334)=0,"",IF(CI$227="","",CI$227+CI334-1))</f>
        <v/>
      </c>
      <c r="CJ338" s="403" t="str">
        <f ca="1">IF(SUM(CJ334:$EI334)=0,"",IF(CJ$227="","",CJ$227+CJ334-1))</f>
        <v/>
      </c>
      <c r="CK338" s="403" t="str">
        <f ca="1">IF(SUM(CK334:$EI334)=0,"",IF(CK$227="","",CK$227+CK334-1))</f>
        <v/>
      </c>
      <c r="CL338" s="403" t="str">
        <f ca="1">IF(SUM(CL334:$EI334)=0,"",IF(CL$227="","",CL$227+CL334-1))</f>
        <v/>
      </c>
      <c r="CM338" s="403" t="str">
        <f ca="1">IF(SUM(CM334:$EI334)=0,"",IF(CM$227="","",CM$227+CM334-1))</f>
        <v/>
      </c>
      <c r="CN338" s="403" t="str">
        <f ca="1">IF(SUM(CN334:$EI334)=0,"",IF(CN$227="","",CN$227+CN334-1))</f>
        <v/>
      </c>
      <c r="CO338" s="403" t="str">
        <f ca="1">IF(SUM(CO334:$EI334)=0,"",IF(CO$227="","",CO$227+CO334-1))</f>
        <v/>
      </c>
      <c r="CP338" s="403" t="str">
        <f ca="1">IF(SUM(CP334:$EI334)=0,"",IF(CP$227="","",CP$227+CP334-1))</f>
        <v/>
      </c>
      <c r="CQ338" s="403" t="str">
        <f ca="1">IF(SUM(CQ334:$EI334)=0,"",IF(CQ$227="","",CQ$227+CQ334-1))</f>
        <v/>
      </c>
      <c r="CR338" s="403" t="str">
        <f ca="1">IF(SUM(CR334:$EI334)=0,"",IF(CR$227="","",CR$227+CR334-1))</f>
        <v/>
      </c>
      <c r="CS338" s="403" t="str">
        <f ca="1">IF(SUM(CS334:$EI334)=0,"",IF(CS$227="","",CS$227+CS334-1))</f>
        <v/>
      </c>
      <c r="CT338" s="403" t="str">
        <f ca="1">IF(SUM(CT334:$EI334)=0,"",IF(CT$227="","",CT$227+CT334-1))</f>
        <v/>
      </c>
      <c r="CU338" s="403" t="str">
        <f ca="1">IF(SUM(CU334:$EI334)=0,"",IF(CU$227="","",CU$227+CU334-1))</f>
        <v/>
      </c>
      <c r="CV338" s="403" t="str">
        <f ca="1">IF(SUM(CV334:$EI334)=0,"",IF(CV$227="","",CV$227+CV334-1))</f>
        <v/>
      </c>
      <c r="CW338" s="403" t="str">
        <f ca="1">IF(SUM(CW334:$EI334)=0,"",IF(CW$227="","",CW$227+CW334-1))</f>
        <v/>
      </c>
      <c r="CX338" s="403" t="str">
        <f ca="1">IF(SUM(CX334:$EI334)=0,"",IF(CX$227="","",CX$227+CX334-1))</f>
        <v/>
      </c>
      <c r="CY338" s="403" t="str">
        <f ca="1">IF(SUM(CY334:$EI334)=0,"",IF(CY$227="","",CY$227+CY334-1))</f>
        <v/>
      </c>
      <c r="CZ338" s="403" t="str">
        <f ca="1">IF(SUM(CZ334:$EI334)=0,"",IF(CZ$227="","",CZ$227+CZ334-1))</f>
        <v/>
      </c>
      <c r="DA338" s="403" t="str">
        <f ca="1">IF(SUM(DA334:$EI334)=0,"",IF(DA$227="","",DA$227+DA334-1))</f>
        <v/>
      </c>
      <c r="DB338" s="403" t="str">
        <f ca="1">IF(SUM(DB334:$EI334)=0,"",IF(DB$227="","",DB$227+DB334-1))</f>
        <v/>
      </c>
      <c r="DC338" s="403" t="str">
        <f ca="1">IF(SUM(DC334:$EI334)=0,"",IF(DC$227="","",DC$227+DC334-1))</f>
        <v/>
      </c>
      <c r="DD338" s="403" t="str">
        <f ca="1">IF(SUM(DD334:$EI334)=0,"",IF(DD$227="","",DD$227+DD334-1))</f>
        <v/>
      </c>
      <c r="DE338" s="403" t="str">
        <f ca="1">IF(SUM(DE334:$EI334)=0,"",IF(DE$227="","",DE$227+DE334-1))</f>
        <v/>
      </c>
      <c r="DF338" s="403" t="str">
        <f ca="1">IF(SUM(DF334:$EI334)=0,"",IF(DF$227="","",DF$227+DF334-1))</f>
        <v/>
      </c>
      <c r="DG338" s="403" t="str">
        <f ca="1">IF(SUM(DG334:$EI334)=0,"",IF(DG$227="","",DG$227+DG334-1))</f>
        <v/>
      </c>
      <c r="DH338" s="403" t="str">
        <f ca="1">IF(SUM(DH334:$EI334)=0,"",IF(DH$227="","",DH$227+DH334-1))</f>
        <v/>
      </c>
      <c r="DI338" s="403" t="str">
        <f ca="1">IF(SUM(DI334:$EI334)=0,"",IF(DI$227="","",DI$227+DI334-1))</f>
        <v/>
      </c>
      <c r="DJ338" s="403" t="str">
        <f ca="1">IF(SUM(DJ334:$EI334)=0,"",IF(DJ$227="","",DJ$227+DJ334-1))</f>
        <v/>
      </c>
      <c r="DK338" s="403" t="str">
        <f ca="1">IF(SUM(DK334:$EI334)=0,"",IF(DK$227="","",DK$227+DK334-1))</f>
        <v/>
      </c>
      <c r="DL338" s="403" t="str">
        <f ca="1">IF(SUM(DL334:$EI334)=0,"",IF(DL$227="","",DL$227+DL334-1))</f>
        <v/>
      </c>
      <c r="DM338" s="403" t="str">
        <f ca="1">IF(SUM(DM334:$EI334)=0,"",IF(DM$227="","",DM$227+DM334-1))</f>
        <v/>
      </c>
      <c r="DN338" s="403" t="str">
        <f ca="1">IF(SUM(DN334:$EI334)=0,"",IF(DN$227="","",DN$227+DN334-1))</f>
        <v/>
      </c>
      <c r="DO338" s="403" t="str">
        <f ca="1">IF(SUM(DO334:$EI334)=0,"",IF(DO$227="","",DO$227+DO334-1))</f>
        <v/>
      </c>
      <c r="DP338" s="403" t="str">
        <f ca="1">IF(SUM(DP334:$EI334)=0,"",IF(DP$227="","",DP$227+DP334-1))</f>
        <v/>
      </c>
      <c r="DQ338" s="403" t="str">
        <f ca="1">IF(SUM(DQ334:$EI334)=0,"",IF(DQ$227="","",DQ$227+DQ334-1))</f>
        <v/>
      </c>
      <c r="DR338" s="403" t="str">
        <f ca="1">IF(SUM(DR334:$EI334)=0,"",IF(DR$227="","",DR$227+DR334-1))</f>
        <v/>
      </c>
      <c r="DS338" s="403" t="str">
        <f ca="1">IF(SUM(DS334:$EI334)=0,"",IF(DS$227="","",DS$227+DS334-1))</f>
        <v/>
      </c>
      <c r="DT338" s="403" t="str">
        <f ca="1">IF(SUM(DT334:$EI334)=0,"",IF(DT$227="","",DT$227+DT334-1))</f>
        <v/>
      </c>
      <c r="DU338" s="403" t="str">
        <f ca="1">IF(SUM(DU334:$EI334)=0,"",IF(DU$227="","",DU$227+DU334-1))</f>
        <v/>
      </c>
      <c r="DV338" s="403" t="str">
        <f ca="1">IF(SUM(DV334:$EI334)=0,"",IF(DV$227="","",DV$227+DV334-1))</f>
        <v/>
      </c>
      <c r="DW338" s="403" t="str">
        <f ca="1">IF(SUM(DW334:$EI334)=0,"",IF(DW$227="","",DW$227+DW334-1))</f>
        <v/>
      </c>
      <c r="DX338" s="403" t="str">
        <f ca="1">IF(SUM(DX334:$EI334)=0,"",IF(DX$227="","",DX$227+DX334-1))</f>
        <v/>
      </c>
      <c r="DY338" s="403" t="str">
        <f ca="1">IF(SUM(DY334:$EI334)=0,"",IF(DY$227="","",DY$227+DY334-1))</f>
        <v/>
      </c>
      <c r="DZ338" s="403" t="str">
        <f ca="1">IF(SUM(DZ334:$EI334)=0,"",IF(DZ$227="","",DZ$227+DZ334-1))</f>
        <v/>
      </c>
      <c r="EA338" s="403" t="str">
        <f ca="1">IF(SUM(EA334:$EI334)=0,"",IF(EA$227="","",EA$227+EA334-1))</f>
        <v/>
      </c>
      <c r="EB338" s="403" t="str">
        <f ca="1">IF(SUM(EB334:$EI334)=0,"",IF(EB$227="","",EB$227+EB334-1))</f>
        <v/>
      </c>
      <c r="EC338" s="403" t="str">
        <f ca="1">IF(SUM(EC334:$EI334)=0,"",IF(EC$227="","",EC$227+EC334-1))</f>
        <v/>
      </c>
      <c r="ED338" s="403" t="str">
        <f ca="1">IF(SUM(ED334:$EI334)=0,"",IF(ED$227="","",ED$227+ED334-1))</f>
        <v/>
      </c>
      <c r="EE338" s="403" t="str">
        <f ca="1">IF(SUM(EE334:$EI334)=0,"",IF(EE$227="","",EE$227+EE334-1))</f>
        <v/>
      </c>
      <c r="EF338" s="403" t="str">
        <f ca="1">IF(SUM(EF334:$EI334)=0,"",IF(EF$227="","",EF$227+EF334-1))</f>
        <v/>
      </c>
      <c r="EG338" s="403" t="str">
        <f ca="1">IF(SUM(EG334:$EI334)=0,"",IF(EG$227="","",EG$227+EG334-1))</f>
        <v/>
      </c>
      <c r="EH338" s="403" t="str">
        <f ca="1">IF(SUM(EH334:$EI334)=0,"",IF(EH$227="","",EH$227+EH334-1))</f>
        <v/>
      </c>
      <c r="EI338" s="403" t="str">
        <f ca="1">IF(SUM(EI334:$EI334)=0,"",IF(EI$227="","",EI$227+EI334-1))</f>
        <v/>
      </c>
    </row>
    <row r="339" spans="1:141" outlineLevel="1" collapsed="1">
      <c r="A339" s="332"/>
      <c r="B339" s="313"/>
      <c r="C339" s="317" t="s">
        <v>91</v>
      </c>
      <c r="D339" s="317" t="s">
        <v>682</v>
      </c>
      <c r="E339" s="400">
        <f ca="1">IF(ГРП!B31=0,длительность!F158,ГРП!B31)</f>
        <v>180</v>
      </c>
      <c r="F339" s="318">
        <f ca="1">E339-SUM(G339:EJ339)</f>
        <v>0</v>
      </c>
      <c r="G339" s="401"/>
      <c r="H339" s="401">
        <f ca="1">IF(SUM($G339:G339)&gt;=$E339,0,IF($E339-SUM($G339:G339)&gt;H340,H340,$E339-SUM($G340:G340)))</f>
        <v>0</v>
      </c>
      <c r="I339" s="401">
        <f ca="1">IF(SUM($G339:H339)&gt;=$E339,0,IF($E339-SUM($G339:H339)&gt;I340,I340,$E339-SUM($G340:H340)))</f>
        <v>0</v>
      </c>
      <c r="J339" s="401">
        <f ca="1">IF(SUM($G339:I339)&gt;=$E339,0,IF($E339-SUM($G339:I339)&gt;J340,J340,$E339-SUM($G340:I340)))</f>
        <v>0</v>
      </c>
      <c r="K339" s="401">
        <f ca="1">IF(SUM($G339:J339)&gt;=$E339,0,IF($E339-SUM($G339:J339)&gt;K340,K340,$E339-SUM($G340:J340)))</f>
        <v>0</v>
      </c>
      <c r="L339" s="401">
        <f ca="1">IF(SUM($G339:K339)&gt;=$E339,0,IF($E339-SUM($G339:K339)&gt;L340,L340,$E339-SUM($G340:K340)))</f>
        <v>0</v>
      </c>
      <c r="M339" s="401">
        <f ca="1">IF(SUM($G339:L339)&gt;=$E339,0,IF($E339-SUM($G339:L339)&gt;M340,M340,$E339-SUM($G340:L340)))</f>
        <v>0</v>
      </c>
      <c r="N339" s="401">
        <f ca="1">IF(SUM($G339:M339)&gt;=$E339,0,IF($E339-SUM($G339:M339)&gt;N340,N340,$E339-SUM($G340:M340)))</f>
        <v>0</v>
      </c>
      <c r="O339" s="401">
        <f ca="1">IF(SUM($G339:N339)&gt;=$E339,0,IF($E339-SUM($G339:N339)&gt;O340,O340,$E339-SUM($G340:N340)))</f>
        <v>0</v>
      </c>
      <c r="P339" s="401">
        <f ca="1">IF(SUM($G339:O339)&gt;=$E339,0,IF($E339-SUM($G339:O339)&gt;P340,P340,$E339-SUM($G340:O340)))</f>
        <v>0</v>
      </c>
      <c r="Q339" s="401">
        <f ca="1">IF(SUM($G339:P339)&gt;=$E339,0,IF($E339-SUM($G339:P339)&gt;Q340,Q340,$E339-SUM($G340:P340)))</f>
        <v>0</v>
      </c>
      <c r="R339" s="401">
        <f ca="1">IF(SUM($G339:Q339)&gt;=$E339,0,IF($E339-SUM($G339:Q339)&gt;R340,R340,$E339-SUM($G340:Q340)))</f>
        <v>0</v>
      </c>
      <c r="S339" s="401">
        <f ca="1">IF(SUM($G339:R339)&gt;=$E339,0,IF($E339-SUM($G339:R339)&gt;S340,S340,$E339-SUM($G340:R340)))</f>
        <v>0</v>
      </c>
      <c r="T339" s="401">
        <f ca="1">IF(SUM($G339:S339)&gt;=$E339,0,IF($E339-SUM($G339:S339)&gt;T340,T340,$E339-SUM($G340:S340)))</f>
        <v>0</v>
      </c>
      <c r="U339" s="401">
        <f ca="1">IF(SUM($G339:T339)&gt;=$E339,0,IF($E339-SUM($G339:T339)&gt;U340,U340,$E339-SUM($G340:T340)))</f>
        <v>0</v>
      </c>
      <c r="V339" s="401">
        <f ca="1">IF(SUM($G339:U339)&gt;=$E339,0,IF($E339-SUM($G339:U339)&gt;V340,V340,$E339-SUM($G340:U340)))</f>
        <v>0</v>
      </c>
      <c r="W339" s="401">
        <f ca="1">IF(SUM($G339:V339)&gt;=$E339,0,IF($E339-SUM($G339:V339)&gt;W340,W340,$E339-SUM($G340:V340)))</f>
        <v>0</v>
      </c>
      <c r="X339" s="401">
        <f ca="1">IF(SUM($G339:W339)&gt;=$E339,0,IF($E339-SUM($G339:W339)&gt;X340,X340,$E339-SUM($G340:W340)))</f>
        <v>0</v>
      </c>
      <c r="Y339" s="401">
        <f ca="1">IF(SUM($G339:X339)&gt;=$E339,0,IF($E339-SUM($G339:X339)&gt;Y340,Y340,$E339-SUM($G340:X340)))</f>
        <v>0</v>
      </c>
      <c r="Z339" s="401">
        <f ca="1">IF(SUM($G339:Y339)&gt;=$E339,0,IF($E339-SUM($G339:Y339)&gt;Z340,Z340,$E339-SUM($G340:Y340)))</f>
        <v>0</v>
      </c>
      <c r="AA339" s="401">
        <f ca="1">IF(SUM($G339:Z339)&gt;=$E339,0,IF($E339-SUM($G339:Z339)&gt;AA340,AA340,$E339-SUM($G340:Z340)))</f>
        <v>0</v>
      </c>
      <c r="AB339" s="401">
        <f ca="1">IF(SUM($G339:AA339)&gt;=$E339,0,IF($E339-SUM($G339:AA339)&gt;AB340,AB340,$E339-SUM($G340:AA340)))</f>
        <v>0</v>
      </c>
      <c r="AC339" s="401">
        <f ca="1">IF(SUM($G339:AB339)&gt;=$E339,0,IF($E339-SUM($G339:AB339)&gt;AC340,AC340,$E339-SUM($G340:AB340)))</f>
        <v>0</v>
      </c>
      <c r="AD339" s="401">
        <f ca="1">IF(SUM($G339:AC339)&gt;=$E339,0,IF($E339-SUM($G339:AC339)&gt;AD340,AD340,$E339-SUM($G340:AC340)))</f>
        <v>0</v>
      </c>
      <c r="AE339" s="401">
        <f ca="1">IF(SUM($G339:AD339)&gt;=$E339,0,IF($E339-SUM($G339:AD339)&gt;AE340,AE340,$E339-SUM($G340:AD340)))</f>
        <v>0</v>
      </c>
      <c r="AF339" s="401">
        <f ca="1">IF(SUM($G339:AE339)&gt;=$E339,0,IF($E339-SUM($G339:AE339)&gt;AF340,AF340,$E339-SUM($G340:AE340)))</f>
        <v>0</v>
      </c>
      <c r="AG339" s="401">
        <f ca="1">IF(SUM($G339:AF339)&gt;=$E339,0,IF($E339-SUM($G339:AF339)&gt;AG340,AG340,$E339-SUM($G340:AF340)))</f>
        <v>0</v>
      </c>
      <c r="AH339" s="401">
        <f ca="1">IF(SUM($G339:AG339)&gt;=$E339,0,IF($E339-SUM($G339:AG339)&gt;AH340,AH340,$E339-SUM($G340:AG340)))</f>
        <v>0</v>
      </c>
      <c r="AI339" s="401">
        <f ca="1">IF(SUM($G339:AH339)&gt;=$E339,0,IF($E339-SUM($G339:AH339)&gt;AI340,AI340,$E339-SUM($G340:AH340)))</f>
        <v>0</v>
      </c>
      <c r="AJ339" s="401">
        <f ca="1">IF(SUM($G339:AI339)&gt;=$E339,0,IF($E339-SUM($G339:AI339)&gt;AJ340,AJ340,$E339-SUM($G340:AI340)))</f>
        <v>0</v>
      </c>
      <c r="AK339" s="401">
        <f ca="1">IF(SUM($G339:AJ339)&gt;=$E339,0,IF($E339-SUM($G339:AJ339)&gt;AK340,AK340,$E339-SUM($G340:AJ340)))</f>
        <v>0</v>
      </c>
      <c r="AL339" s="401">
        <f ca="1">IF(SUM($G339:AK339)&gt;=$E339,0,IF($E339-SUM($G339:AK339)&gt;AL340,AL340,$E339-SUM($G340:AK340)))</f>
        <v>0</v>
      </c>
      <c r="AM339" s="401">
        <f ca="1">IF(SUM($G339:AL339)&gt;=$E339,0,IF($E339-SUM($G339:AL339)&gt;AM340,AM340,$E339-SUM($G340:AL340)))</f>
        <v>0</v>
      </c>
      <c r="AN339" s="401">
        <f ca="1">IF(SUM($G339:AM339)&gt;=$E339,0,IF($E339-SUM($G339:AM339)&gt;AN340,AN340,$E339-SUM($G340:AM340)))</f>
        <v>0</v>
      </c>
      <c r="AO339" s="401">
        <f ca="1">IF(SUM($G339:AN339)&gt;=$E339,0,IF($E339-SUM($G339:AN339)&gt;AO340,AO340,$E339-SUM($G340:AN340)))</f>
        <v>0</v>
      </c>
      <c r="AP339" s="401">
        <f ca="1">IF(SUM($G339:AO339)&gt;=$E339,0,IF($E339-SUM($G339:AO339)&gt;AP340,AP340,$E339-SUM($G340:AO340)))</f>
        <v>0</v>
      </c>
      <c r="AQ339" s="401">
        <f ca="1">IF(SUM($G339:AP339)&gt;=$E339,0,IF($E339-SUM($G339:AP339)&gt;AQ340,AQ340,$E339-SUM($G340:AP340)))</f>
        <v>0</v>
      </c>
      <c r="AR339" s="401">
        <f ca="1">IF(SUM($G339:AQ339)&gt;=$E339,0,IF($E339-SUM($G339:AQ339)&gt;AR340,AR340,$E339-SUM($G340:AQ340)))</f>
        <v>0</v>
      </c>
      <c r="AS339" s="401">
        <f ca="1">IF(SUM($G339:AR339)&gt;=$E339,0,IF($E339-SUM($G339:AR339)&gt;AS340,AS340,$E339-SUM($G340:AR340)))</f>
        <v>0</v>
      </c>
      <c r="AT339" s="401">
        <f ca="1">IF(SUM($G339:AS339)&gt;=$E339,0,IF($E339-SUM($G339:AS339)&gt;AT340,AT340,$E339-SUM($G340:AS340)))</f>
        <v>0</v>
      </c>
      <c r="AU339" s="401">
        <f ca="1">IF(SUM($G339:AT339)&gt;=$E339,0,IF($E339-SUM($G339:AT339)&gt;AU340,AU340,$E339-SUM($G340:AT340)))</f>
        <v>0</v>
      </c>
      <c r="AV339" s="401">
        <f ca="1">IF(SUM($G339:AU339)&gt;=$E339,0,IF($E339-SUM($G339:AU339)&gt;AV340,AV340,$E339-SUM($G340:AU340)))</f>
        <v>0</v>
      </c>
      <c r="AW339" s="401">
        <f ca="1">IF(SUM($G339:AV339)&gt;=$E339,0,IF($E339-SUM($G339:AV339)&gt;AW340,AW340,$E339-SUM($G340:AV340)))</f>
        <v>5.0500000000000114</v>
      </c>
      <c r="AX339" s="401">
        <f ca="1">IF(SUM($G339:AW339)&gt;=$E339,0,IF($E339-SUM($G339:AW339)&gt;AX340,AX340,$E339-SUM($G340:AW340)))</f>
        <v>31</v>
      </c>
      <c r="AY339" s="401">
        <f ca="1">IF(SUM($G339:AX339)&gt;=$E339,0,IF($E339-SUM($G339:AX339)&gt;AY340,AY340,$E339-SUM($G340:AX340)))</f>
        <v>30</v>
      </c>
      <c r="AZ339" s="401">
        <f ca="1">IF(SUM($G339:AY339)&gt;=$E339,0,IF($E339-SUM($G339:AY339)&gt;AZ340,AZ340,$E339-SUM($G340:AY340)))</f>
        <v>31</v>
      </c>
      <c r="BA339" s="401">
        <f ca="1">IF(SUM($G339:AZ339)&gt;=$E339,0,IF($E339-SUM($G339:AZ339)&gt;BA340,BA340,$E339-SUM($G340:AZ340)))</f>
        <v>31</v>
      </c>
      <c r="BB339" s="401">
        <f ca="1">IF(SUM($G339:BA339)&gt;=$E339,0,IF($E339-SUM($G339:BA339)&gt;BB340,BB340,$E339-SUM($G340:BA340)))</f>
        <v>28</v>
      </c>
      <c r="BC339" s="401">
        <f ca="1">IF(SUM($G339:BB339)&gt;=$E339,0,IF($E339-SUM($G339:BB339)&gt;BC340,BC340,$E339-SUM($G340:BB340)))</f>
        <v>23.949999999999989</v>
      </c>
      <c r="BD339" s="401">
        <f ca="1">IF(SUM($G339:BC339)&gt;=$E339,0,IF($E339-SUM($G339:BC339)&gt;BD340,BD340,$E339-SUM($G340:BC340)))</f>
        <v>0</v>
      </c>
      <c r="BE339" s="401">
        <f ca="1">IF(SUM($G339:BD339)&gt;=$E339,0,IF($E339-SUM($G339:BD339)&gt;BE340,BE340,$E339-SUM($G340:BD340)))</f>
        <v>0</v>
      </c>
      <c r="BF339" s="401">
        <f ca="1">IF(SUM($G339:BE339)&gt;=$E339,0,IF($E339-SUM($G339:BE339)&gt;BF340,BF340,$E339-SUM($G340:BE340)))</f>
        <v>0</v>
      </c>
      <c r="BG339" s="401">
        <f ca="1">IF(SUM($G339:BF339)&gt;=$E339,0,IF($E339-SUM($G339:BF339)&gt;BG340,BG340,$E339-SUM($G340:BF340)))</f>
        <v>0</v>
      </c>
      <c r="BH339" s="401">
        <f ca="1">IF(SUM($G339:BG339)&gt;=$E339,0,IF($E339-SUM($G339:BG339)&gt;BH340,BH340,$E339-SUM($G340:BG340)))</f>
        <v>0</v>
      </c>
      <c r="BI339" s="401">
        <f ca="1">IF(SUM($G339:BH339)&gt;=$E339,0,IF($E339-SUM($G339:BH339)&gt;BI340,BI340,$E339-SUM($G340:BH340)))</f>
        <v>0</v>
      </c>
      <c r="BJ339" s="401">
        <f ca="1">IF(SUM($G339:BI339)&gt;=$E339,0,IF($E339-SUM($G339:BI339)&gt;BJ340,BJ340,$E339-SUM($G340:BI340)))</f>
        <v>0</v>
      </c>
      <c r="BK339" s="401">
        <f ca="1">IF(SUM($G339:BJ339)&gt;=$E339,0,IF($E339-SUM($G339:BJ339)&gt;BK340,BK340,$E339-SUM($G340:BJ340)))</f>
        <v>0</v>
      </c>
      <c r="BL339" s="401">
        <f ca="1">IF(SUM($G339:BK339)&gt;=$E339,0,IF($E339-SUM($G339:BK339)&gt;BL340,BL340,$E339-SUM($G340:BK340)))</f>
        <v>0</v>
      </c>
      <c r="BM339" s="401">
        <f ca="1">IF(SUM($G339:BL339)&gt;=$E339,0,IF($E339-SUM($G339:BL339)&gt;BM340,BM340,$E339-SUM($G340:BL340)))</f>
        <v>0</v>
      </c>
      <c r="BN339" s="401">
        <f ca="1">IF(SUM($G339:BM339)&gt;=$E339,0,IF($E339-SUM($G339:BM339)&gt;BN340,BN340,$E339-SUM($G340:BM340)))</f>
        <v>0</v>
      </c>
      <c r="BO339" s="401">
        <f ca="1">IF(SUM($G339:BN339)&gt;=$E339,0,IF($E339-SUM($G339:BN339)&gt;BO340,BO340,$E339-SUM($G340:BN340)))</f>
        <v>0</v>
      </c>
      <c r="BP339" s="401">
        <f ca="1">IF(SUM($G339:BO339)&gt;=$E339,0,IF($E339-SUM($G339:BO339)&gt;BP340,BP340,$E339-SUM($G340:BO340)))</f>
        <v>0</v>
      </c>
      <c r="BQ339" s="401">
        <f ca="1">IF(SUM($G339:BP339)&gt;=$E339,0,IF($E339-SUM($G339:BP339)&gt;BQ340,BQ340,$E339-SUM($G340:BP340)))</f>
        <v>0</v>
      </c>
      <c r="BR339" s="401">
        <f ca="1">IF(SUM($G339:BQ339)&gt;=$E339,0,IF($E339-SUM($G339:BQ339)&gt;BR340,BR340,$E339-SUM($G340:BQ340)))</f>
        <v>0</v>
      </c>
      <c r="BS339" s="401">
        <f ca="1">IF(SUM($G339:BR339)&gt;=$E339,0,IF($E339-SUM($G339:BR339)&gt;BS340,BS340,$E339-SUM($G340:BR340)))</f>
        <v>0</v>
      </c>
      <c r="BT339" s="401">
        <f ca="1">IF(SUM($G339:BS339)&gt;=$E339,0,IF($E339-SUM($G339:BS339)&gt;BT340,BT340,$E339-SUM($G340:BS340)))</f>
        <v>0</v>
      </c>
      <c r="BU339" s="401">
        <f ca="1">IF(SUM($G339:BT339)&gt;=$E339,0,IF($E339-SUM($G339:BT339)&gt;BU340,BU340,$E339-SUM($G340:BT340)))</f>
        <v>0</v>
      </c>
      <c r="BV339" s="401">
        <f ca="1">IF(SUM($G339:BU339)&gt;=$E339,0,IF($E339-SUM($G339:BU339)&gt;BV340,BV340,$E339-SUM($G340:BU340)))</f>
        <v>0</v>
      </c>
      <c r="BW339" s="401">
        <f ca="1">IF(SUM($G339:BV339)&gt;=$E339,0,IF($E339-SUM($G339:BV339)&gt;BW340,BW340,$E339-SUM($G340:BV340)))</f>
        <v>0</v>
      </c>
      <c r="BX339" s="401">
        <f ca="1">IF(SUM($G339:BW339)&gt;=$E339,0,IF($E339-SUM($G339:BW339)&gt;BX340,BX340,$E339-SUM($G340:BW340)))</f>
        <v>0</v>
      </c>
      <c r="BY339" s="401">
        <f ca="1">IF(SUM($G339:BX339)&gt;=$E339,0,IF($E339-SUM($G339:BX339)&gt;BY340,BY340,$E339-SUM($G340:BX340)))</f>
        <v>0</v>
      </c>
      <c r="BZ339" s="401">
        <f ca="1">IF(SUM($G339:BY339)&gt;=$E339,0,IF($E339-SUM($G339:BY339)&gt;BZ340,BZ340,$E339-SUM($G340:BY340)))</f>
        <v>0</v>
      </c>
      <c r="CA339" s="401">
        <f ca="1">IF(SUM($G339:BZ339)&gt;=$E339,0,IF($E339-SUM($G339:BZ339)&gt;CA340,CA340,$E339-SUM($G340:BZ340)))</f>
        <v>0</v>
      </c>
      <c r="CB339" s="401">
        <f ca="1">IF(SUM($G339:CA339)&gt;=$E339,0,IF($E339-SUM($G339:CA339)&gt;CB340,CB340,$E339-SUM($G340:CA340)))</f>
        <v>0</v>
      </c>
      <c r="CC339" s="401">
        <f ca="1">IF(SUM($G339:CB339)&gt;=$E339,0,IF($E339-SUM($G339:CB339)&gt;CC340,CC340,$E339-SUM($G340:CB340)))</f>
        <v>0</v>
      </c>
      <c r="CD339" s="401">
        <f ca="1">IF(SUM($G339:CC339)&gt;=$E339,0,IF($E339-SUM($G339:CC339)&gt;CD340,CD340,$E339-SUM($G340:CC340)))</f>
        <v>0</v>
      </c>
      <c r="CE339" s="401">
        <f ca="1">IF(SUM($G339:CD339)&gt;=$E339,0,IF($E339-SUM($G339:CD339)&gt;CE340,CE340,$E339-SUM($G340:CD340)))</f>
        <v>0</v>
      </c>
      <c r="CF339" s="401">
        <f ca="1">IF(SUM($G339:CE339)&gt;=$E339,0,IF($E339-SUM($G339:CE339)&gt;CF340,CF340,$E339-SUM($G340:CE340)))</f>
        <v>0</v>
      </c>
      <c r="CG339" s="401">
        <f ca="1">IF(SUM($G339:CF339)&gt;=$E339,0,IF($E339-SUM($G339:CF339)&gt;CG340,CG340,$E339-SUM($G340:CF340)))</f>
        <v>0</v>
      </c>
      <c r="CH339" s="401">
        <f ca="1">IF(SUM($G339:CG339)&gt;=$E339,0,IF($E339-SUM($G339:CG339)&gt;CH340,CH340,$E339-SUM($G340:CG340)))</f>
        <v>0</v>
      </c>
      <c r="CI339" s="401">
        <f ca="1">IF(SUM($G339:CH339)&gt;=$E339,0,IF($E339-SUM($G339:CH339)&gt;CI340,CI340,$E339-SUM($G340:CH340)))</f>
        <v>0</v>
      </c>
      <c r="CJ339" s="401">
        <f ca="1">IF(SUM($G339:CI339)&gt;=$E339,0,IF($E339-SUM($G339:CI339)&gt;CJ340,CJ340,$E339-SUM($G340:CI340)))</f>
        <v>0</v>
      </c>
      <c r="CK339" s="401">
        <f ca="1">IF(SUM($G339:CJ339)&gt;=$E339,0,IF($E339-SUM($G339:CJ339)&gt;CK340,CK340,$E339-SUM($G340:CJ340)))</f>
        <v>0</v>
      </c>
      <c r="CL339" s="401">
        <f ca="1">IF(SUM($G339:CK339)&gt;=$E339,0,IF($E339-SUM($G339:CK339)&gt;CL340,CL340,$E339-SUM($G340:CK340)))</f>
        <v>0</v>
      </c>
      <c r="CM339" s="401">
        <f ca="1">IF(SUM($G339:CL339)&gt;=$E339,0,IF($E339-SUM($G339:CL339)&gt;CM340,CM340,$E339-SUM($G340:CL340)))</f>
        <v>0</v>
      </c>
      <c r="CN339" s="401">
        <f ca="1">IF(SUM($G339:CM339)&gt;=$E339,0,IF($E339-SUM($G339:CM339)&gt;CN340,CN340,$E339-SUM($G340:CM340)))</f>
        <v>0</v>
      </c>
      <c r="CO339" s="401">
        <f ca="1">IF(SUM($G339:CN339)&gt;=$E339,0,IF($E339-SUM($G339:CN339)&gt;CO340,CO340,$E339-SUM($G340:CN340)))</f>
        <v>0</v>
      </c>
      <c r="CP339" s="401">
        <f ca="1">IF(SUM($G339:CO339)&gt;=$E339,0,IF($E339-SUM($G339:CO339)&gt;CP340,CP340,$E339-SUM($G340:CO340)))</f>
        <v>0</v>
      </c>
      <c r="CQ339" s="401">
        <f ca="1">IF(SUM($G339:CP339)&gt;=$E339,0,IF($E339-SUM($G339:CP339)&gt;CQ340,CQ340,$E339-SUM($G340:CP340)))</f>
        <v>0</v>
      </c>
      <c r="CR339" s="401">
        <f ca="1">IF(SUM($G339:CQ339)&gt;=$E339,0,IF($E339-SUM($G339:CQ339)&gt;CR340,CR340,$E339-SUM($G340:CQ340)))</f>
        <v>0</v>
      </c>
      <c r="CS339" s="401">
        <f ca="1">IF(SUM($G339:CR339)&gt;=$E339,0,IF($E339-SUM($G339:CR339)&gt;CS340,CS340,$E339-SUM($G340:CR340)))</f>
        <v>0</v>
      </c>
      <c r="CT339" s="401">
        <f ca="1">IF(SUM($G339:CS339)&gt;=$E339,0,IF($E339-SUM($G339:CS339)&gt;CT340,CT340,$E339-SUM($G340:CS340)))</f>
        <v>0</v>
      </c>
      <c r="CU339" s="401">
        <f ca="1">IF(SUM($G339:CT339)&gt;=$E339,0,IF($E339-SUM($G339:CT339)&gt;CU340,CU340,$E339-SUM($G340:CT340)))</f>
        <v>0</v>
      </c>
      <c r="CV339" s="401">
        <f ca="1">IF(SUM($G339:CU339)&gt;=$E339,0,IF($E339-SUM($G339:CU339)&gt;CV340,CV340,$E339-SUM($G340:CU340)))</f>
        <v>0</v>
      </c>
      <c r="CW339" s="401">
        <f ca="1">IF(SUM($G339:CV339)&gt;=$E339,0,IF($E339-SUM($G339:CV339)&gt;CW340,CW340,$E339-SUM($G340:CV340)))</f>
        <v>0</v>
      </c>
      <c r="CX339" s="401">
        <f ca="1">IF(SUM($G339:CW339)&gt;=$E339,0,IF($E339-SUM($G339:CW339)&gt;CX340,CX340,$E339-SUM($G340:CW340)))</f>
        <v>0</v>
      </c>
      <c r="CY339" s="401">
        <f ca="1">IF(SUM($G339:CX339)&gt;=$E339,0,IF($E339-SUM($G339:CX339)&gt;CY340,CY340,$E339-SUM($G340:CX340)))</f>
        <v>0</v>
      </c>
      <c r="CZ339" s="401">
        <f ca="1">IF(SUM($G339:CY339)&gt;=$E339,0,IF($E339-SUM($G339:CY339)&gt;CZ340,CZ340,$E339-SUM($G340:CY340)))</f>
        <v>0</v>
      </c>
      <c r="DA339" s="401">
        <f ca="1">IF(SUM($G339:CZ339)&gt;=$E339,0,IF($E339-SUM($G339:CZ339)&gt;DA340,DA340,$E339-SUM($G340:CZ340)))</f>
        <v>0</v>
      </c>
      <c r="DB339" s="401">
        <f ca="1">IF(SUM($G339:DA339)&gt;=$E339,0,IF($E339-SUM($G339:DA339)&gt;DB340,DB340,$E339-SUM($G340:DA340)))</f>
        <v>0</v>
      </c>
      <c r="DC339" s="401">
        <f ca="1">IF(SUM($G339:DB339)&gt;=$E339,0,IF($E339-SUM($G339:DB339)&gt;DC340,DC340,$E339-SUM($G340:DB340)))</f>
        <v>0</v>
      </c>
      <c r="DD339" s="401">
        <f ca="1">IF(SUM($G339:DC339)&gt;=$E339,0,IF($E339-SUM($G339:DC339)&gt;DD340,DD340,$E339-SUM($G340:DC340)))</f>
        <v>0</v>
      </c>
      <c r="DE339" s="401">
        <f ca="1">IF(SUM($G339:DD339)&gt;=$E339,0,IF($E339-SUM($G339:DD339)&gt;DE340,DE340,$E339-SUM($G340:DD340)))</f>
        <v>0</v>
      </c>
      <c r="DF339" s="401">
        <f ca="1">IF(SUM($G339:DE339)&gt;=$E339,0,IF($E339-SUM($G339:DE339)&gt;DF340,DF340,$E339-SUM($G340:DE340)))</f>
        <v>0</v>
      </c>
      <c r="DG339" s="401">
        <f ca="1">IF(SUM($G339:DF339)&gt;=$E339,0,IF($E339-SUM($G339:DF339)&gt;DG340,DG340,$E339-SUM($G340:DF340)))</f>
        <v>0</v>
      </c>
      <c r="DH339" s="401">
        <f ca="1">IF(SUM($G339:DG339)&gt;=$E339,0,IF($E339-SUM($G339:DG339)&gt;DH340,DH340,$E339-SUM($G340:DG340)))</f>
        <v>0</v>
      </c>
      <c r="DI339" s="401">
        <f ca="1">IF(SUM($G339:DH339)&gt;=$E339,0,IF($E339-SUM($G339:DH339)&gt;DI340,DI340,$E339-SUM($G340:DH340)))</f>
        <v>0</v>
      </c>
      <c r="DJ339" s="401">
        <f ca="1">IF(SUM($G339:DI339)&gt;=$E339,0,IF($E339-SUM($G339:DI339)&gt;DJ340,DJ340,$E339-SUM($G340:DI340)))</f>
        <v>0</v>
      </c>
      <c r="DK339" s="401">
        <f ca="1">IF(SUM($G339:DJ339)&gt;=$E339,0,IF($E339-SUM($G339:DJ339)&gt;DK340,DK340,$E339-SUM($G340:DJ340)))</f>
        <v>0</v>
      </c>
      <c r="DL339" s="401">
        <f ca="1">IF(SUM($G339:DK339)&gt;=$E339,0,IF($E339-SUM($G339:DK339)&gt;DL340,DL340,$E339-SUM($G340:DK340)))</f>
        <v>0</v>
      </c>
      <c r="DM339" s="401">
        <f ca="1">IF(SUM($G339:DL339)&gt;=$E339,0,IF($E339-SUM($G339:DL339)&gt;DM340,DM340,$E339-SUM($G340:DL340)))</f>
        <v>0</v>
      </c>
      <c r="DN339" s="401">
        <f ca="1">IF(SUM($G339:DM339)&gt;=$E339,0,IF($E339-SUM($G339:DM339)&gt;DN340,DN340,$E339-SUM($G340:DM340)))</f>
        <v>0</v>
      </c>
      <c r="DO339" s="401">
        <f ca="1">IF(SUM($G339:DN339)&gt;=$E339,0,IF($E339-SUM($G339:DN339)&gt;DO340,DO340,$E339-SUM($G340:DN340)))</f>
        <v>0</v>
      </c>
      <c r="DP339" s="401">
        <f ca="1">IF(SUM($G339:DO339)&gt;=$E339,0,IF($E339-SUM($G339:DO339)&gt;DP340,DP340,$E339-SUM($G340:DO340)))</f>
        <v>0</v>
      </c>
      <c r="DQ339" s="401">
        <f ca="1">IF(SUM($G339:DP339)&gt;=$E339,0,IF($E339-SUM($G339:DP339)&gt;DQ340,DQ340,$E339-SUM($G340:DP340)))</f>
        <v>0</v>
      </c>
      <c r="DR339" s="401">
        <f ca="1">IF(SUM($G339:DQ339)&gt;=$E339,0,IF($E339-SUM($G339:DQ339)&gt;DR340,DR340,$E339-SUM($G340:DQ340)))</f>
        <v>0</v>
      </c>
      <c r="DS339" s="401">
        <f ca="1">IF(SUM($G339:DR339)&gt;=$E339,0,IF($E339-SUM($G339:DR339)&gt;DS340,DS340,$E339-SUM($G340:DR340)))</f>
        <v>0</v>
      </c>
      <c r="DT339" s="401">
        <f ca="1">IF(SUM($G339:DS339)&gt;=$E339,0,IF($E339-SUM($G339:DS339)&gt;DT340,DT340,$E339-SUM($G340:DS340)))</f>
        <v>0</v>
      </c>
      <c r="DU339" s="401">
        <f ca="1">IF(SUM($G339:DT339)&gt;=$E339,0,IF($E339-SUM($G339:DT339)&gt;DU340,DU340,$E339-SUM($G340:DT340)))</f>
        <v>0</v>
      </c>
      <c r="DV339" s="401">
        <f ca="1">IF(SUM($G339:DU339)&gt;=$E339,0,IF($E339-SUM($G339:DU339)&gt;DV340,DV340,$E339-SUM($G340:DU340)))</f>
        <v>0</v>
      </c>
      <c r="DW339" s="401">
        <f ca="1">IF(SUM($G339:DV339)&gt;=$E339,0,IF($E339-SUM($G339:DV339)&gt;DW340,DW340,$E339-SUM($G340:DV340)))</f>
        <v>0</v>
      </c>
      <c r="DX339" s="401">
        <f ca="1">IF(SUM($G339:DW339)&gt;=$E339,0,IF($E339-SUM($G339:DW339)&gt;DX340,DX340,$E339-SUM($G340:DW340)))</f>
        <v>0</v>
      </c>
      <c r="DY339" s="401">
        <f ca="1">IF(SUM($G339:DX339)&gt;=$E339,0,IF($E339-SUM($G339:DX339)&gt;DY340,DY340,$E339-SUM($G340:DX340)))</f>
        <v>0</v>
      </c>
      <c r="DZ339" s="401">
        <f ca="1">IF(SUM($G339:DY339)&gt;=$E339,0,IF($E339-SUM($G339:DY339)&gt;DZ340,DZ340,$E339-SUM($G340:DY340)))</f>
        <v>0</v>
      </c>
      <c r="EA339" s="401">
        <f ca="1">IF(SUM($G339:DZ339)&gt;=$E339,0,IF($E339-SUM($G339:DZ339)&gt;EA340,EA340,$E339-SUM($G340:DZ340)))</f>
        <v>0</v>
      </c>
      <c r="EB339" s="401">
        <f ca="1">IF(SUM($G339:EA339)&gt;=$E339,0,IF($E339-SUM($G339:EA339)&gt;EB340,EB340,$E339-SUM($G340:EA340)))</f>
        <v>0</v>
      </c>
      <c r="EC339" s="401">
        <f ca="1">IF(SUM($G339:EB339)&gt;=$E339,0,IF($E339-SUM($G339:EB339)&gt;EC340,EC340,$E339-SUM($G340:EB340)))</f>
        <v>0</v>
      </c>
      <c r="ED339" s="401">
        <f ca="1">IF(SUM($G339:EC339)&gt;=$E339,0,IF($E339-SUM($G339:EC339)&gt;ED340,ED340,$E339-SUM($G340:EC340)))</f>
        <v>0</v>
      </c>
      <c r="EE339" s="401">
        <f ca="1">IF(SUM($G339:ED339)&gt;=$E339,0,IF($E339-SUM($G339:ED339)&gt;EE340,EE340,$E339-SUM($G340:ED340)))</f>
        <v>0</v>
      </c>
      <c r="EF339" s="401">
        <f ca="1">IF(SUM($G339:EE339)&gt;=$E339,0,IF($E339-SUM($G339:EE339)&gt;EF340,EF340,$E339-SUM($G340:EE340)))</f>
        <v>0</v>
      </c>
      <c r="EG339" s="401">
        <f ca="1">IF(SUM($G339:EF339)&gt;=$E339,0,IF($E339-SUM($G339:EF339)&gt;EG340,EG340,$E339-SUM($G340:EF340)))</f>
        <v>0</v>
      </c>
      <c r="EH339" s="401">
        <f ca="1">IF(SUM($G339:EG339)&gt;=$E339,0,IF($E339-SUM($G339:EG339)&gt;EH340,EH340,$E339-SUM($G340:EG340)))</f>
        <v>0</v>
      </c>
      <c r="EI339" s="401">
        <f ca="1">IF(SUM($G339:EH339)&gt;=$E339,0,IF($E339-SUM($G339:EH339)&gt;EI340,EI340,$E339-SUM($G340:EH340)))</f>
        <v>0</v>
      </c>
      <c r="EK339" s="313"/>
    </row>
    <row r="340" spans="1:141" hidden="1" outlineLevel="2">
      <c r="A340" s="332"/>
      <c r="B340" s="313"/>
      <c r="C340" s="308"/>
      <c r="D340" s="308"/>
      <c r="E340" s="308"/>
      <c r="G340" s="402"/>
      <c r="H340" s="402">
        <f ca="1">IF((SUM($G300:H300)-$E299*IF(длительность!$B$13&gt;70,0.25,0.4))&lt;0,0,IF((SUM($G300:H300)-$E299*IF(длительность!$B$13&gt;70,0.25,0.4))&lt;H300,SUM($G300:H300)-$E299*IF(длительность!$B$13&gt;70,0.25,0.4),H300))</f>
        <v>0</v>
      </c>
      <c r="I340" s="402">
        <f ca="1">IF((SUM($G300:I300)-$E299*IF(длительность!$B$13&gt;70,0.25,0.4))&lt;0,0,IF((SUM($G300:I300)-$E299*IF(длительность!$B$13&gt;70,0.25,0.4))&lt;I300,SUM($G300:I300)-$E299*IF(длительность!$B$13&gt;70,0.25,0.4),I300))</f>
        <v>0</v>
      </c>
      <c r="J340" s="402">
        <f ca="1">IF((SUM($G300:J300)-$E299*IF(длительность!$B$13&gt;70,0.25,0.4))&lt;0,0,IF((SUM($G300:J300)-$E299*IF(длительность!$B$13&gt;70,0.25,0.4))&lt;J300,SUM($G300:J300)-$E299*IF(длительность!$B$13&gt;70,0.25,0.4),J300))</f>
        <v>0</v>
      </c>
      <c r="K340" s="402">
        <f ca="1">IF((SUM($G300:K300)-$E299*IF(длительность!$B$13&gt;70,0.25,0.4))&lt;0,0,IF((SUM($G300:K300)-$E299*IF(длительность!$B$13&gt;70,0.25,0.4))&lt;K300,SUM($G300:K300)-$E299*IF(длительность!$B$13&gt;70,0.25,0.4),K300))</f>
        <v>0</v>
      </c>
      <c r="L340" s="402">
        <f ca="1">IF((SUM($G300:L300)-$E299*IF(длительность!$B$13&gt;70,0.25,0.4))&lt;0,0,IF((SUM($G300:L300)-$E299*IF(длительность!$B$13&gt;70,0.25,0.4))&lt;L300,SUM($G300:L300)-$E299*IF(длительность!$B$13&gt;70,0.25,0.4),L300))</f>
        <v>0</v>
      </c>
      <c r="M340" s="402">
        <f ca="1">IF((SUM($G300:M300)-$E299*IF(длительность!$B$13&gt;70,0.25,0.4))&lt;0,0,IF((SUM($G300:M300)-$E299*IF(длительность!$B$13&gt;70,0.25,0.4))&lt;M300,SUM($G300:M300)-$E299*IF(длительность!$B$13&gt;70,0.25,0.4),M300))</f>
        <v>0</v>
      </c>
      <c r="N340" s="402">
        <f ca="1">IF((SUM($G300:N300)-$E299*IF(длительность!$B$13&gt;70,0.25,0.4))&lt;0,0,IF((SUM($G300:N300)-$E299*IF(длительность!$B$13&gt;70,0.25,0.4))&lt;N300,SUM($G300:N300)-$E299*IF(длительность!$B$13&gt;70,0.25,0.4),N300))</f>
        <v>0</v>
      </c>
      <c r="O340" s="402">
        <f ca="1">IF((SUM($G300:O300)-$E299*IF(длительность!$B$13&gt;70,0.25,0.4))&lt;0,0,IF((SUM($G300:O300)-$E299*IF(длительность!$B$13&gt;70,0.25,0.4))&lt;O300,SUM($G300:O300)-$E299*IF(длительность!$B$13&gt;70,0.25,0.4),O300))</f>
        <v>0</v>
      </c>
      <c r="P340" s="402">
        <f ca="1">IF((SUM($G300:P300)-$E299*IF(длительность!$B$13&gt;70,0.25,0.4))&lt;0,0,IF((SUM($G300:P300)-$E299*IF(длительность!$B$13&gt;70,0.25,0.4))&lt;P300,SUM($G300:P300)-$E299*IF(длительность!$B$13&gt;70,0.25,0.4),P300))</f>
        <v>0</v>
      </c>
      <c r="Q340" s="402">
        <f ca="1">IF((SUM($G300:Q300)-$E299*IF(длительность!$B$13&gt;70,0.25,0.4))&lt;0,0,IF((SUM($G300:Q300)-$E299*IF(длительность!$B$13&gt;70,0.25,0.4))&lt;Q300,SUM($G300:Q300)-$E299*IF(длительность!$B$13&gt;70,0.25,0.4),Q300))</f>
        <v>0</v>
      </c>
      <c r="R340" s="402">
        <f ca="1">IF((SUM($G300:R300)-$E299*IF(длительность!$B$13&gt;70,0.25,0.4))&lt;0,0,IF((SUM($G300:R300)-$E299*IF(длительность!$B$13&gt;70,0.25,0.4))&lt;R300,SUM($G300:R300)-$E299*IF(длительность!$B$13&gt;70,0.25,0.4),R300))</f>
        <v>0</v>
      </c>
      <c r="S340" s="402">
        <f ca="1">IF((SUM($G300:S300)-$E299*IF(длительность!$B$13&gt;70,0.25,0.4))&lt;0,0,IF((SUM($G300:S300)-$E299*IF(длительность!$B$13&gt;70,0.25,0.4))&lt;S300,SUM($G300:S300)-$E299*IF(длительность!$B$13&gt;70,0.25,0.4),S300))</f>
        <v>0</v>
      </c>
      <c r="T340" s="402">
        <f ca="1">IF((SUM($G300:T300)-$E299*IF(длительность!$B$13&gt;70,0.25,0.4))&lt;0,0,IF((SUM($G300:T300)-$E299*IF(длительность!$B$13&gt;70,0.25,0.4))&lt;T300,SUM($G300:T300)-$E299*IF(длительность!$B$13&gt;70,0.25,0.4),T300))</f>
        <v>0</v>
      </c>
      <c r="U340" s="402">
        <f ca="1">IF((SUM($G300:U300)-$E299*IF(длительность!$B$13&gt;70,0.25,0.4))&lt;0,0,IF((SUM($G300:U300)-$E299*IF(длительность!$B$13&gt;70,0.25,0.4))&lt;U300,SUM($G300:U300)-$E299*IF(длительность!$B$13&gt;70,0.25,0.4),U300))</f>
        <v>0</v>
      </c>
      <c r="V340" s="402">
        <f ca="1">IF((SUM($G300:V300)-$E299*IF(длительность!$B$13&gt;70,0.25,0.4))&lt;0,0,IF((SUM($G300:V300)-$E299*IF(длительность!$B$13&gt;70,0.25,0.4))&lt;V300,SUM($G300:V300)-$E299*IF(длительность!$B$13&gt;70,0.25,0.4),V300))</f>
        <v>0</v>
      </c>
      <c r="W340" s="402">
        <f ca="1">IF((SUM($G300:W300)-$E299*IF(длительность!$B$13&gt;70,0.25,0.4))&lt;0,0,IF((SUM($G300:W300)-$E299*IF(длительность!$B$13&gt;70,0.25,0.4))&lt;W300,SUM($G300:W300)-$E299*IF(длительность!$B$13&gt;70,0.25,0.4),W300))</f>
        <v>0</v>
      </c>
      <c r="X340" s="402">
        <f ca="1">IF((SUM($G300:X300)-$E299*IF(длительность!$B$13&gt;70,0.25,0.4))&lt;0,0,IF((SUM($G300:X300)-$E299*IF(длительность!$B$13&gt;70,0.25,0.4))&lt;X300,SUM($G300:X300)-$E299*IF(длительность!$B$13&gt;70,0.25,0.4),X300))</f>
        <v>0</v>
      </c>
      <c r="Y340" s="402">
        <f ca="1">IF((SUM($G300:Y300)-$E299*IF(длительность!$B$13&gt;70,0.25,0.4))&lt;0,0,IF((SUM($G300:Y300)-$E299*IF(длительность!$B$13&gt;70,0.25,0.4))&lt;Y300,SUM($G300:Y300)-$E299*IF(длительность!$B$13&gt;70,0.25,0.4),Y300))</f>
        <v>0</v>
      </c>
      <c r="Z340" s="402">
        <f ca="1">IF((SUM($G300:Z300)-$E299*IF(длительность!$B$13&gt;70,0.25,0.4))&lt;0,0,IF((SUM($G300:Z300)-$E299*IF(длительность!$B$13&gt;70,0.25,0.4))&lt;Z300,SUM($G300:Z300)-$E299*IF(длительность!$B$13&gt;70,0.25,0.4),Z300))</f>
        <v>0</v>
      </c>
      <c r="AA340" s="402">
        <f ca="1">IF((SUM($G300:AA300)-$E299*IF(длительность!$B$13&gt;70,0.25,0.4))&lt;0,0,IF((SUM($G300:AA300)-$E299*IF(длительность!$B$13&gt;70,0.25,0.4))&lt;AA300,SUM($G300:AA300)-$E299*IF(длительность!$B$13&gt;70,0.25,0.4),AA300))</f>
        <v>0</v>
      </c>
      <c r="AB340" s="402">
        <f ca="1">IF((SUM($G300:AB300)-$E299*IF(длительность!$B$13&gt;70,0.25,0.4))&lt;0,0,IF((SUM($G300:AB300)-$E299*IF(длительность!$B$13&gt;70,0.25,0.4))&lt;AB300,SUM($G300:AB300)-$E299*IF(длительность!$B$13&gt;70,0.25,0.4),AB300))</f>
        <v>0</v>
      </c>
      <c r="AC340" s="402">
        <f ca="1">IF((SUM($G300:AC300)-$E299*IF(длительность!$B$13&gt;70,0.25,0.4))&lt;0,0,IF((SUM($G300:AC300)-$E299*IF(длительность!$B$13&gt;70,0.25,0.4))&lt;AC300,SUM($G300:AC300)-$E299*IF(длительность!$B$13&gt;70,0.25,0.4),AC300))</f>
        <v>0</v>
      </c>
      <c r="AD340" s="402">
        <f ca="1">IF((SUM($G300:AD300)-$E299*IF(длительность!$B$13&gt;70,0.25,0.4))&lt;0,0,IF((SUM($G300:AD300)-$E299*IF(длительность!$B$13&gt;70,0.25,0.4))&lt;AD300,SUM($G300:AD300)-$E299*IF(длительность!$B$13&gt;70,0.25,0.4),AD300))</f>
        <v>0</v>
      </c>
      <c r="AE340" s="402">
        <f ca="1">IF((SUM($G300:AE300)-$E299*IF(длительность!$B$13&gt;70,0.25,0.4))&lt;0,0,IF((SUM($G300:AE300)-$E299*IF(длительность!$B$13&gt;70,0.25,0.4))&lt;AE300,SUM($G300:AE300)-$E299*IF(длительность!$B$13&gt;70,0.25,0.4),AE300))</f>
        <v>0</v>
      </c>
      <c r="AF340" s="402">
        <f ca="1">IF((SUM($G300:AF300)-$E299*IF(длительность!$B$13&gt;70,0.25,0.4))&lt;0,0,IF((SUM($G300:AF300)-$E299*IF(длительность!$B$13&gt;70,0.25,0.4))&lt;AF300,SUM($G300:AF300)-$E299*IF(длительность!$B$13&gt;70,0.25,0.4),AF300))</f>
        <v>0</v>
      </c>
      <c r="AG340" s="402">
        <f ca="1">IF((SUM($G300:AG300)-$E299*IF(длительность!$B$13&gt;70,0.25,0.4))&lt;0,0,IF((SUM($G300:AG300)-$E299*IF(длительность!$B$13&gt;70,0.25,0.4))&lt;AG300,SUM($G300:AG300)-$E299*IF(длительность!$B$13&gt;70,0.25,0.4),AG300))</f>
        <v>0</v>
      </c>
      <c r="AH340" s="402">
        <f ca="1">IF((SUM($G300:AH300)-$E299*IF(длительность!$B$13&gt;70,0.25,0.4))&lt;0,0,IF((SUM($G300:AH300)-$E299*IF(длительность!$B$13&gt;70,0.25,0.4))&lt;AH300,SUM($G300:AH300)-$E299*IF(длительность!$B$13&gt;70,0.25,0.4),AH300))</f>
        <v>0</v>
      </c>
      <c r="AI340" s="402">
        <f ca="1">IF((SUM($G300:AI300)-$E299*IF(длительность!$B$13&gt;70,0.25,0.4))&lt;0,0,IF((SUM($G300:AI300)-$E299*IF(длительность!$B$13&gt;70,0.25,0.4))&lt;AI300,SUM($G300:AI300)-$E299*IF(длительность!$B$13&gt;70,0.25,0.4),AI300))</f>
        <v>0</v>
      </c>
      <c r="AJ340" s="402">
        <f ca="1">IF((SUM($G300:AJ300)-$E299*IF(длительность!$B$13&gt;70,0.25,0.4))&lt;0,0,IF((SUM($G300:AJ300)-$E299*IF(длительность!$B$13&gt;70,0.25,0.4))&lt;AJ300,SUM($G300:AJ300)-$E299*IF(длительность!$B$13&gt;70,0.25,0.4),AJ300))</f>
        <v>0</v>
      </c>
      <c r="AK340" s="402">
        <f ca="1">IF((SUM($G300:AK300)-$E299*IF(длительность!$B$13&gt;70,0.25,0.4))&lt;0,0,IF((SUM($G300:AK300)-$E299*IF(длительность!$B$13&gt;70,0.25,0.4))&lt;AK300,SUM($G300:AK300)-$E299*IF(длительность!$B$13&gt;70,0.25,0.4),AK300))</f>
        <v>0</v>
      </c>
      <c r="AL340" s="402">
        <f ca="1">IF((SUM($G300:AL300)-$E299*IF(длительность!$B$13&gt;70,0.25,0.4))&lt;0,0,IF((SUM($G300:AL300)-$E299*IF(длительность!$B$13&gt;70,0.25,0.4))&lt;AL300,SUM($G300:AL300)-$E299*IF(длительность!$B$13&gt;70,0.25,0.4),AL300))</f>
        <v>0</v>
      </c>
      <c r="AM340" s="402">
        <f ca="1">IF((SUM($G300:AM300)-$E299*IF(длительность!$B$13&gt;70,0.25,0.4))&lt;0,0,IF((SUM($G300:AM300)-$E299*IF(длительность!$B$13&gt;70,0.25,0.4))&lt;AM300,SUM($G300:AM300)-$E299*IF(длительность!$B$13&gt;70,0.25,0.4),AM300))</f>
        <v>0</v>
      </c>
      <c r="AN340" s="402">
        <f ca="1">IF((SUM($G300:AN300)-$E299*IF(длительность!$B$13&gt;70,0.25,0.4))&lt;0,0,IF((SUM($G300:AN300)-$E299*IF(длительность!$B$13&gt;70,0.25,0.4))&lt;AN300,SUM($G300:AN300)-$E299*IF(длительность!$B$13&gt;70,0.25,0.4),AN300))</f>
        <v>0</v>
      </c>
      <c r="AO340" s="402">
        <f ca="1">IF((SUM($G300:AO300)-$E299*IF(длительность!$B$13&gt;70,0.25,0.4))&lt;0,0,IF((SUM($G300:AO300)-$E299*IF(длительность!$B$13&gt;70,0.25,0.4))&lt;AO300,SUM($G300:AO300)-$E299*IF(длительность!$B$13&gt;70,0.25,0.4),AO300))</f>
        <v>0</v>
      </c>
      <c r="AP340" s="402">
        <f ca="1">IF((SUM($G300:AP300)-$E299*IF(длительность!$B$13&gt;70,0.25,0.4))&lt;0,0,IF((SUM($G300:AP300)-$E299*IF(длительность!$B$13&gt;70,0.25,0.4))&lt;AP300,SUM($G300:AP300)-$E299*IF(длительность!$B$13&gt;70,0.25,0.4),AP300))</f>
        <v>0</v>
      </c>
      <c r="AQ340" s="402">
        <f ca="1">IF((SUM($G300:AQ300)-$E299*IF(длительность!$B$13&gt;70,0.25,0.4))&lt;0,0,IF((SUM($G300:AQ300)-$E299*IF(длительность!$B$13&gt;70,0.25,0.4))&lt;AQ300,SUM($G300:AQ300)-$E299*IF(длительность!$B$13&gt;70,0.25,0.4),AQ300))</f>
        <v>0</v>
      </c>
      <c r="AR340" s="402">
        <f ca="1">IF((SUM($G300:AR300)-$E299*IF(длительность!$B$13&gt;70,0.25,0.4))&lt;0,0,IF((SUM($G300:AR300)-$E299*IF(длительность!$B$13&gt;70,0.25,0.4))&lt;AR300,SUM($G300:AR300)-$E299*IF(длительность!$B$13&gt;70,0.25,0.4),AR300))</f>
        <v>0</v>
      </c>
      <c r="AS340" s="402">
        <f ca="1">IF((SUM($G300:AS300)-$E299*IF(длительность!$B$13&gt;70,0.25,0.4))&lt;0,0,IF((SUM($G300:AS300)-$E299*IF(длительность!$B$13&gt;70,0.25,0.4))&lt;AS300,SUM($G300:AS300)-$E299*IF(длительность!$B$13&gt;70,0.25,0.4),AS300))</f>
        <v>0</v>
      </c>
      <c r="AT340" s="402">
        <f ca="1">IF((SUM($G300:AT300)-$E299*IF(длительность!$B$13&gt;70,0.25,0.4))&lt;0,0,IF((SUM($G300:AT300)-$E299*IF(длительность!$B$13&gt;70,0.25,0.4))&lt;AT300,SUM($G300:AT300)-$E299*IF(длительность!$B$13&gt;70,0.25,0.4),AT300))</f>
        <v>0</v>
      </c>
      <c r="AU340" s="402">
        <f ca="1">IF((SUM($G300:AU300)-$E299*IF(длительность!$B$13&gt;70,0.25,0.4))&lt;0,0,IF((SUM($G300:AU300)-$E299*IF(длительность!$B$13&gt;70,0.25,0.4))&lt;AU300,SUM($G300:AU300)-$E299*IF(длительность!$B$13&gt;70,0.25,0.4),AU300))</f>
        <v>0</v>
      </c>
      <c r="AV340" s="402">
        <f ca="1">IF((SUM($G300:AV300)-$E299*IF(длительность!$B$13&gt;70,0.25,0.4))&lt;0,0,IF((SUM($G300:AV300)-$E299*IF(длительность!$B$13&gt;70,0.25,0.4))&lt;AV300,SUM($G300:AV300)-$E299*IF(длительность!$B$13&gt;70,0.25,0.4),AV300))</f>
        <v>0</v>
      </c>
      <c r="AW340" s="402">
        <f ca="1">IF((SUM($G300:AW300)-$E299*IF(длительность!$B$13&gt;70,0.25,0.4))&lt;0,0,IF((SUM($G300:AW300)-$E299*IF(длительность!$B$13&gt;70,0.25,0.4))&lt;AW300,SUM($G300:AW300)-$E299*IF(длительность!$B$13&gt;70,0.25,0.4),AW300))</f>
        <v>5.0500000000000114</v>
      </c>
      <c r="AX340" s="402">
        <f ca="1">IF((SUM($G300:AX300)-$E299*IF(длительность!$B$13&gt;70,0.25,0.4))&lt;0,0,IF((SUM($G300:AX300)-$E299*IF(длительность!$B$13&gt;70,0.25,0.4))&lt;AX300,SUM($G300:AX300)-$E299*IF(длительность!$B$13&gt;70,0.25,0.4),AX300))</f>
        <v>31</v>
      </c>
      <c r="AY340" s="402">
        <f ca="1">IF((SUM($G300:AY300)-$E299*IF(длительность!$B$13&gt;70,0.25,0.4))&lt;0,0,IF((SUM($G300:AY300)-$E299*IF(длительность!$B$13&gt;70,0.25,0.4))&lt;AY300,SUM($G300:AY300)-$E299*IF(длительность!$B$13&gt;70,0.25,0.4),AY300))</f>
        <v>30</v>
      </c>
      <c r="AZ340" s="402">
        <f ca="1">IF((SUM($G300:AZ300)-$E299*IF(длительность!$B$13&gt;70,0.25,0.4))&lt;0,0,IF((SUM($G300:AZ300)-$E299*IF(длительность!$B$13&gt;70,0.25,0.4))&lt;AZ300,SUM($G300:AZ300)-$E299*IF(длительность!$B$13&gt;70,0.25,0.4),AZ300))</f>
        <v>31</v>
      </c>
      <c r="BA340" s="402">
        <f ca="1">IF((SUM($G300:BA300)-$E299*IF(длительность!$B$13&gt;70,0.25,0.4))&lt;0,0,IF((SUM($G300:BA300)-$E299*IF(длительность!$B$13&gt;70,0.25,0.4))&lt;BA300,SUM($G300:BA300)-$E299*IF(длительность!$B$13&gt;70,0.25,0.4),BA300))</f>
        <v>31</v>
      </c>
      <c r="BB340" s="402">
        <f ca="1">IF((SUM($G300:BB300)-$E299*IF(длительность!$B$13&gt;70,0.25,0.4))&lt;0,0,IF((SUM($G300:BB300)-$E299*IF(длительность!$B$13&gt;70,0.25,0.4))&lt;BB300,SUM($G300:BB300)-$E299*IF(длительность!$B$13&gt;70,0.25,0.4),BB300))</f>
        <v>28</v>
      </c>
      <c r="BC340" s="402">
        <f ca="1">IF((SUM($G300:BC300)-$E299*IF(длительность!$B$13&gt;70,0.25,0.4))&lt;0,0,IF((SUM($G300:BC300)-$E299*IF(длительность!$B$13&gt;70,0.25,0.4))&lt;BC300,SUM($G300:BC300)-$E299*IF(длительность!$B$13&gt;70,0.25,0.4),BC300))</f>
        <v>31</v>
      </c>
      <c r="BD340" s="402">
        <f ca="1">IF((SUM($G300:BD300)-$E299*IF(длительность!$B$13&gt;70,0.25,0.4))&lt;0,0,IF((SUM($G300:BD300)-$E299*IF(длительность!$B$13&gt;70,0.25,0.4))&lt;BD300,SUM($G300:BD300)-$E299*IF(длительность!$B$13&gt;70,0.25,0.4),BD300))</f>
        <v>30</v>
      </c>
      <c r="BE340" s="402">
        <f ca="1">IF((SUM($G300:BE300)-$E299*IF(длительность!$B$13&gt;70,0.25,0.4))&lt;0,0,IF((SUM($G300:BE300)-$E299*IF(длительность!$B$13&gt;70,0.25,0.4))&lt;BE300,SUM($G300:BE300)-$E299*IF(длительность!$B$13&gt;70,0.25,0.4),BE300))</f>
        <v>31</v>
      </c>
      <c r="BF340" s="402">
        <f ca="1">IF((SUM($G300:BF300)-$E299*IF(длительность!$B$13&gt;70,0.25,0.4))&lt;0,0,IF((SUM($G300:BF300)-$E299*IF(длительность!$B$13&gt;70,0.25,0.4))&lt;BF300,SUM($G300:BF300)-$E299*IF(длительность!$B$13&gt;70,0.25,0.4),BF300))</f>
        <v>30</v>
      </c>
      <c r="BG340" s="402">
        <f ca="1">IF((SUM($G300:BG300)-$E299*IF(длительность!$B$13&gt;70,0.25,0.4))&lt;0,0,IF((SUM($G300:BG300)-$E299*IF(длительность!$B$13&gt;70,0.25,0.4))&lt;BG300,SUM($G300:BG300)-$E299*IF(длительность!$B$13&gt;70,0.25,0.4),BG300))</f>
        <v>31</v>
      </c>
      <c r="BH340" s="402">
        <f ca="1">IF((SUM($G300:BH300)-$E299*IF(длительность!$B$13&gt;70,0.25,0.4))&lt;0,0,IF((SUM($G300:BH300)-$E299*IF(длительность!$B$13&gt;70,0.25,0.4))&lt;BH300,SUM($G300:BH300)-$E299*IF(длительность!$B$13&gt;70,0.25,0.4),BH300))</f>
        <v>31</v>
      </c>
      <c r="BI340" s="402">
        <f ca="1">IF((SUM($G300:BI300)-$E299*IF(длительность!$B$13&gt;70,0.25,0.4))&lt;0,0,IF((SUM($G300:BI300)-$E299*IF(длительность!$B$13&gt;70,0.25,0.4))&lt;BI300,SUM($G300:BI300)-$E299*IF(длительность!$B$13&gt;70,0.25,0.4),BI300))</f>
        <v>30</v>
      </c>
      <c r="BJ340" s="402">
        <f ca="1">IF((SUM($G300:BJ300)-$E299*IF(длительность!$B$13&gt;70,0.25,0.4))&lt;0,0,IF((SUM($G300:BJ300)-$E299*IF(длительность!$B$13&gt;70,0.25,0.4))&lt;BJ300,SUM($G300:BJ300)-$E299*IF(длительность!$B$13&gt;70,0.25,0.4),BJ300))</f>
        <v>31</v>
      </c>
      <c r="BK340" s="402">
        <f ca="1">IF((SUM($G300:BK300)-$E299*IF(длительность!$B$13&gt;70,0.25,0.4))&lt;0,0,IF((SUM($G300:BK300)-$E299*IF(длительность!$B$13&gt;70,0.25,0.4))&lt;BK300,SUM($G300:BK300)-$E299*IF(длительность!$B$13&gt;70,0.25,0.4),BK300))</f>
        <v>30</v>
      </c>
      <c r="BL340" s="402">
        <f ca="1">IF((SUM($G300:BL300)-$E299*IF(длительность!$B$13&gt;70,0.25,0.4))&lt;0,0,IF((SUM($G300:BL300)-$E299*IF(длительность!$B$13&gt;70,0.25,0.4))&lt;BL300,SUM($G300:BL300)-$E299*IF(длительность!$B$13&gt;70,0.25,0.4),BL300))</f>
        <v>31</v>
      </c>
      <c r="BM340" s="402">
        <f ca="1">IF((SUM($G300:BM300)-$E299*IF(длительность!$B$13&gt;70,0.25,0.4))&lt;0,0,IF((SUM($G300:BM300)-$E299*IF(длительность!$B$13&gt;70,0.25,0.4))&lt;BM300,SUM($G300:BM300)-$E299*IF(длительность!$B$13&gt;70,0.25,0.4),BM300))</f>
        <v>31</v>
      </c>
      <c r="BN340" s="402">
        <f ca="1">IF((SUM($G300:BN300)-$E299*IF(длительность!$B$13&gt;70,0.25,0.4))&lt;0,0,IF((SUM($G300:BN300)-$E299*IF(длительность!$B$13&gt;70,0.25,0.4))&lt;BN300,SUM($G300:BN300)-$E299*IF(длительность!$B$13&gt;70,0.25,0.4),BN300))</f>
        <v>29</v>
      </c>
      <c r="BO340" s="402">
        <f ca="1">IF((SUM($G300:BO300)-$E299*IF(длительность!$B$13&gt;70,0.25,0.4))&lt;0,0,IF((SUM($G300:BO300)-$E299*IF(длительность!$B$13&gt;70,0.25,0.4))&lt;BO300,SUM($G300:BO300)-$E299*IF(длительность!$B$13&gt;70,0.25,0.4),BO300))</f>
        <v>31</v>
      </c>
      <c r="BP340" s="402">
        <f ca="1">IF((SUM($G300:BP300)-$E299*IF(длительность!$B$13&gt;70,0.25,0.4))&lt;0,0,IF((SUM($G300:BP300)-$E299*IF(длительность!$B$13&gt;70,0.25,0.4))&lt;BP300,SUM($G300:BP300)-$E299*IF(длительность!$B$13&gt;70,0.25,0.4),BP300))</f>
        <v>30</v>
      </c>
      <c r="BQ340" s="402">
        <f ca="1">IF((SUM($G300:BQ300)-$E299*IF(длительность!$B$13&gt;70,0.25,0.4))&lt;0,0,IF((SUM($G300:BQ300)-$E299*IF(длительность!$B$13&gt;70,0.25,0.4))&lt;BQ300,SUM($G300:BQ300)-$E299*IF(длительность!$B$13&gt;70,0.25,0.4),BQ300))</f>
        <v>31</v>
      </c>
      <c r="BR340" s="402">
        <f ca="1">IF((SUM($G300:BR300)-$E299*IF(длительность!$B$13&gt;70,0.25,0.4))&lt;0,0,IF((SUM($G300:BR300)-$E299*IF(длительность!$B$13&gt;70,0.25,0.4))&lt;BR300,SUM($G300:BR300)-$E299*IF(длительность!$B$13&gt;70,0.25,0.4),BR300))</f>
        <v>30</v>
      </c>
      <c r="BS340" s="402">
        <f ca="1">IF((SUM($G300:BS300)-$E299*IF(длительность!$B$13&gt;70,0.25,0.4))&lt;0,0,IF((SUM($G300:BS300)-$E299*IF(длительность!$B$13&gt;70,0.25,0.4))&lt;BS300,SUM($G300:BS300)-$E299*IF(длительность!$B$13&gt;70,0.25,0.4),BS300))</f>
        <v>31</v>
      </c>
      <c r="BT340" s="402">
        <f ca="1">IF((SUM($G300:BT300)-$E299*IF(длительность!$B$13&gt;70,0.25,0.4))&lt;0,0,IF((SUM($G300:BT300)-$E299*IF(длительность!$B$13&gt;70,0.25,0.4))&lt;BT300,SUM($G300:BT300)-$E299*IF(длительность!$B$13&gt;70,0.25,0.4),BT300))</f>
        <v>31</v>
      </c>
      <c r="BU340" s="402">
        <f ca="1">IF((SUM($G300:BU300)-$E299*IF(длительность!$B$13&gt;70,0.25,0.4))&lt;0,0,IF((SUM($G300:BU300)-$E299*IF(длительность!$B$13&gt;70,0.25,0.4))&lt;BU300,SUM($G300:BU300)-$E299*IF(длительность!$B$13&gt;70,0.25,0.4),BU300))</f>
        <v>30</v>
      </c>
      <c r="BV340" s="402">
        <f ca="1">IF((SUM($G300:BV300)-$E299*IF(длительность!$B$13&gt;70,0.25,0.4))&lt;0,0,IF((SUM($G300:BV300)-$E299*IF(длительность!$B$13&gt;70,0.25,0.4))&lt;BV300,SUM($G300:BV300)-$E299*IF(длительность!$B$13&gt;70,0.25,0.4),BV300))</f>
        <v>31</v>
      </c>
      <c r="BW340" s="402">
        <f ca="1">IF((SUM($G300:BW300)-$E299*IF(длительность!$B$13&gt;70,0.25,0.4))&lt;0,0,IF((SUM($G300:BW300)-$E299*IF(длительность!$B$13&gt;70,0.25,0.4))&lt;BW300,SUM($G300:BW300)-$E299*IF(длительность!$B$13&gt;70,0.25,0.4),BW300))</f>
        <v>30</v>
      </c>
      <c r="BX340" s="402">
        <f ca="1">IF((SUM($G300:BX300)-$E299*IF(длительность!$B$13&gt;70,0.25,0.4))&lt;0,0,IF((SUM($G300:BX300)-$E299*IF(длительность!$B$13&gt;70,0.25,0.4))&lt;BX300,SUM($G300:BX300)-$E299*IF(длительность!$B$13&gt;70,0.25,0.4),BX300))</f>
        <v>31</v>
      </c>
      <c r="BY340" s="402">
        <f ca="1">IF((SUM($G300:BY300)-$E299*IF(длительность!$B$13&gt;70,0.25,0.4))&lt;0,0,IF((SUM($G300:BY300)-$E299*IF(длительность!$B$13&gt;70,0.25,0.4))&lt;BY300,SUM($G300:BY300)-$E299*IF(длительность!$B$13&gt;70,0.25,0.4),BY300))</f>
        <v>31</v>
      </c>
      <c r="BZ340" s="402">
        <f ca="1">IF((SUM($G300:BZ300)-$E299*IF(длительность!$B$13&gt;70,0.25,0.4))&lt;0,0,IF((SUM($G300:BZ300)-$E299*IF(длительность!$B$13&gt;70,0.25,0.4))&lt;BZ300,SUM($G300:BZ300)-$E299*IF(длительность!$B$13&gt;70,0.25,0.4),BZ300))</f>
        <v>28</v>
      </c>
      <c r="CA340" s="402">
        <f ca="1">IF((SUM($G300:CA300)-$E299*IF(длительность!$B$13&gt;70,0.25,0.4))&lt;0,0,IF((SUM($G300:CA300)-$E299*IF(длительность!$B$13&gt;70,0.25,0.4))&lt;CA300,SUM($G300:CA300)-$E299*IF(длительность!$B$13&gt;70,0.25,0.4),CA300))</f>
        <v>31</v>
      </c>
      <c r="CB340" s="402">
        <f ca="1">IF((SUM($G300:CB300)-$E299*IF(длительность!$B$13&gt;70,0.25,0.4))&lt;0,0,IF((SUM($G300:CB300)-$E299*IF(длительность!$B$13&gt;70,0.25,0.4))&lt;CB300,SUM($G300:CB300)-$E299*IF(длительность!$B$13&gt;70,0.25,0.4),CB300))</f>
        <v>30</v>
      </c>
      <c r="CC340" s="402">
        <f ca="1">IF((SUM($G300:CC300)-$E299*IF(длительность!$B$13&gt;70,0.25,0.4))&lt;0,0,IF((SUM($G300:CC300)-$E299*IF(длительность!$B$13&gt;70,0.25,0.4))&lt;CC300,SUM($G300:CC300)-$E299*IF(длительность!$B$13&gt;70,0.25,0.4),CC300))</f>
        <v>31</v>
      </c>
      <c r="CD340" s="402">
        <f ca="1">IF((SUM($G300:CD300)-$E299*IF(длительность!$B$13&gt;70,0.25,0.4))&lt;0,0,IF((SUM($G300:CD300)-$E299*IF(длительность!$B$13&gt;70,0.25,0.4))&lt;CD300,SUM($G300:CD300)-$E299*IF(длительность!$B$13&gt;70,0.25,0.4),CD300))</f>
        <v>30</v>
      </c>
      <c r="CE340" s="402">
        <f ca="1">IF((SUM($G300:CE300)-$E299*IF(длительность!$B$13&gt;70,0.25,0.4))&lt;0,0,IF((SUM($G300:CE300)-$E299*IF(длительность!$B$13&gt;70,0.25,0.4))&lt;CE300,SUM($G300:CE300)-$E299*IF(длительность!$B$13&gt;70,0.25,0.4),CE300))</f>
        <v>31</v>
      </c>
      <c r="CF340" s="402">
        <f ca="1">IF((SUM($G300:CF300)-$E299*IF(длительность!$B$13&gt;70,0.25,0.4))&lt;0,0,IF((SUM($G300:CF300)-$E299*IF(длительность!$B$13&gt;70,0.25,0.4))&lt;CF300,SUM($G300:CF300)-$E299*IF(длительность!$B$13&gt;70,0.25,0.4),CF300))</f>
        <v>31</v>
      </c>
      <c r="CG340" s="402">
        <f ca="1">IF((SUM($G300:CG300)-$E299*IF(длительность!$B$13&gt;70,0.25,0.4))&lt;0,0,IF((SUM($G300:CG300)-$E299*IF(длительность!$B$13&gt;70,0.25,0.4))&lt;CG300,SUM($G300:CG300)-$E299*IF(длительность!$B$13&gt;70,0.25,0.4),CG300))</f>
        <v>30</v>
      </c>
      <c r="CH340" s="402">
        <f ca="1">IF((SUM($G300:CH300)-$E299*IF(длительность!$B$13&gt;70,0.25,0.4))&lt;0,0,IF((SUM($G300:CH300)-$E299*IF(длительность!$B$13&gt;70,0.25,0.4))&lt;CH300,SUM($G300:CH300)-$E299*IF(длительность!$B$13&gt;70,0.25,0.4),CH300))</f>
        <v>31</v>
      </c>
      <c r="CI340" s="402">
        <f ca="1">IF((SUM($G300:CI300)-$E299*IF(длительность!$B$13&gt;70,0.25,0.4))&lt;0,0,IF((SUM($G300:CI300)-$E299*IF(длительность!$B$13&gt;70,0.25,0.4))&lt;CI300,SUM($G300:CI300)-$E299*IF(длительность!$B$13&gt;70,0.25,0.4),CI300))</f>
        <v>30</v>
      </c>
      <c r="CJ340" s="402">
        <f ca="1">IF((SUM($G300:CJ300)-$E299*IF(длительность!$B$13&gt;70,0.25,0.4))&lt;0,0,IF((SUM($G300:CJ300)-$E299*IF(длительность!$B$13&gt;70,0.25,0.4))&lt;CJ300,SUM($G300:CJ300)-$E299*IF(длительность!$B$13&gt;70,0.25,0.4),CJ300))</f>
        <v>31</v>
      </c>
      <c r="CK340" s="402">
        <f ca="1">IF((SUM($G300:CK300)-$E299*IF(длительность!$B$13&gt;70,0.25,0.4))&lt;0,0,IF((SUM($G300:CK300)-$E299*IF(длительность!$B$13&gt;70,0.25,0.4))&lt;CK300,SUM($G300:CK300)-$E299*IF(длительность!$B$13&gt;70,0.25,0.4),CK300))</f>
        <v>31</v>
      </c>
      <c r="CL340" s="402">
        <f ca="1">IF((SUM($G300:CL300)-$E299*IF(длительность!$B$13&gt;70,0.25,0.4))&lt;0,0,IF((SUM($G300:CL300)-$E299*IF(длительность!$B$13&gt;70,0.25,0.4))&lt;CL300,SUM($G300:CL300)-$E299*IF(длительность!$B$13&gt;70,0.25,0.4),CL300))</f>
        <v>28</v>
      </c>
      <c r="CM340" s="402">
        <f ca="1">IF((SUM($G300:CM300)-$E299*IF(длительность!$B$13&gt;70,0.25,0.4))&lt;0,0,IF((SUM($G300:CM300)-$E299*IF(длительность!$B$13&gt;70,0.25,0.4))&lt;CM300,SUM($G300:CM300)-$E299*IF(длительность!$B$13&gt;70,0.25,0.4),CM300))</f>
        <v>31</v>
      </c>
      <c r="CN340" s="402">
        <f ca="1">IF((SUM($G300:CN300)-$E299*IF(длительность!$B$13&gt;70,0.25,0.4))&lt;0,0,IF((SUM($G300:CN300)-$E299*IF(длительность!$B$13&gt;70,0.25,0.4))&lt;CN300,SUM($G300:CN300)-$E299*IF(длительность!$B$13&gt;70,0.25,0.4),CN300))</f>
        <v>30</v>
      </c>
      <c r="CO340" s="402">
        <f ca="1">IF((SUM($G300:CO300)-$E299*IF(длительность!$B$13&gt;70,0.25,0.4))&lt;0,0,IF((SUM($G300:CO300)-$E299*IF(длительность!$B$13&gt;70,0.25,0.4))&lt;CO300,SUM($G300:CO300)-$E299*IF(длительность!$B$13&gt;70,0.25,0.4),CO300))</f>
        <v>31</v>
      </c>
      <c r="CP340" s="402">
        <f ca="1">IF((SUM($G300:CP300)-$E299*IF(длительность!$B$13&gt;70,0.25,0.4))&lt;0,0,IF((SUM($G300:CP300)-$E299*IF(длительность!$B$13&gt;70,0.25,0.4))&lt;CP300,SUM($G300:CP300)-$E299*IF(длительность!$B$13&gt;70,0.25,0.4),CP300))</f>
        <v>30</v>
      </c>
      <c r="CQ340" s="402">
        <f ca="1">IF((SUM($G300:CQ300)-$E299*IF(длительность!$B$13&gt;70,0.25,0.4))&lt;0,0,IF((SUM($G300:CQ300)-$E299*IF(длительность!$B$13&gt;70,0.25,0.4))&lt;CQ300,SUM($G300:CQ300)-$E299*IF(длительность!$B$13&gt;70,0.25,0.4),CQ300))</f>
        <v>31</v>
      </c>
      <c r="CR340" s="402">
        <f ca="1">IF((SUM($G300:CR300)-$E299*IF(длительность!$B$13&gt;70,0.25,0.4))&lt;0,0,IF((SUM($G300:CR300)-$E299*IF(длительность!$B$13&gt;70,0.25,0.4))&lt;CR300,SUM($G300:CR300)-$E299*IF(длительность!$B$13&gt;70,0.25,0.4),CR300))</f>
        <v>31</v>
      </c>
      <c r="CS340" s="402">
        <f ca="1">IF((SUM($G300:CS300)-$E299*IF(длительность!$B$13&gt;70,0.25,0.4))&lt;0,0,IF((SUM($G300:CS300)-$E299*IF(длительность!$B$13&gt;70,0.25,0.4))&lt;CS300,SUM($G300:CS300)-$E299*IF(длительность!$B$13&gt;70,0.25,0.4),CS300))</f>
        <v>30</v>
      </c>
      <c r="CT340" s="402">
        <f ca="1">IF((SUM($G300:CT300)-$E299*IF(длительность!$B$13&gt;70,0.25,0.4))&lt;0,0,IF((SUM($G300:CT300)-$E299*IF(длительность!$B$13&gt;70,0.25,0.4))&lt;CT300,SUM($G300:CT300)-$E299*IF(длительность!$B$13&gt;70,0.25,0.4),CT300))</f>
        <v>31</v>
      </c>
      <c r="CU340" s="402">
        <f ca="1">IF((SUM($G300:CU300)-$E299*IF(длительность!$B$13&gt;70,0.25,0.4))&lt;0,0,IF((SUM($G300:CU300)-$E299*IF(длительность!$B$13&gt;70,0.25,0.4))&lt;CU300,SUM($G300:CU300)-$E299*IF(длительность!$B$13&gt;70,0.25,0.4),CU300))</f>
        <v>30</v>
      </c>
      <c r="CV340" s="402">
        <f ca="1">IF((SUM($G300:CV300)-$E299*IF(длительность!$B$13&gt;70,0.25,0.4))&lt;0,0,IF((SUM($G300:CV300)-$E299*IF(длительность!$B$13&gt;70,0.25,0.4))&lt;CV300,SUM($G300:CV300)-$E299*IF(длительность!$B$13&gt;70,0.25,0.4),CV300))</f>
        <v>31</v>
      </c>
      <c r="CW340" s="402">
        <f ca="1">IF((SUM($G300:CW300)-$E299*IF(длительность!$B$13&gt;70,0.25,0.4))&lt;0,0,IF((SUM($G300:CW300)-$E299*IF(длительность!$B$13&gt;70,0.25,0.4))&lt;CW300,SUM($G300:CW300)-$E299*IF(длительность!$B$13&gt;70,0.25,0.4),CW300))</f>
        <v>31</v>
      </c>
      <c r="CX340" s="402">
        <f ca="1">IF((SUM($G300:CX300)-$E299*IF(длительность!$B$13&gt;70,0.25,0.4))&lt;0,0,IF((SUM($G300:CX300)-$E299*IF(длительность!$B$13&gt;70,0.25,0.4))&lt;CX300,SUM($G300:CX300)-$E299*IF(длительность!$B$13&gt;70,0.25,0.4),CX300))</f>
        <v>28</v>
      </c>
      <c r="CY340" s="402">
        <f ca="1">IF((SUM($G300:CY300)-$E299*IF(длительность!$B$13&gt;70,0.25,0.4))&lt;0,0,IF((SUM($G300:CY300)-$E299*IF(длительность!$B$13&gt;70,0.25,0.4))&lt;CY300,SUM($G300:CY300)-$E299*IF(длительность!$B$13&gt;70,0.25,0.4),CY300))</f>
        <v>31</v>
      </c>
      <c r="CZ340" s="402">
        <f ca="1">IF((SUM($G300:CZ300)-$E299*IF(длительность!$B$13&gt;70,0.25,0.4))&lt;0,0,IF((SUM($G300:CZ300)-$E299*IF(длительность!$B$13&gt;70,0.25,0.4))&lt;CZ300,SUM($G300:CZ300)-$E299*IF(длительность!$B$13&gt;70,0.25,0.4),CZ300))</f>
        <v>30</v>
      </c>
      <c r="DA340" s="402">
        <f ca="1">IF((SUM($G300:DA300)-$E299*IF(длительность!$B$13&gt;70,0.25,0.4))&lt;0,0,IF((SUM($G300:DA300)-$E299*IF(длительность!$B$13&gt;70,0.25,0.4))&lt;DA300,SUM($G300:DA300)-$E299*IF(длительность!$B$13&gt;70,0.25,0.4),DA300))</f>
        <v>31</v>
      </c>
      <c r="DB340" s="402">
        <f ca="1">IF((SUM($G300:DB300)-$E299*IF(длительность!$B$13&gt;70,0.25,0.4))&lt;0,0,IF((SUM($G300:DB300)-$E299*IF(длительность!$B$13&gt;70,0.25,0.4))&lt;DB300,SUM($G300:DB300)-$E299*IF(длительность!$B$13&gt;70,0.25,0.4),DB300))</f>
        <v>30</v>
      </c>
      <c r="DC340" s="402">
        <f ca="1">IF((SUM($G300:DC300)-$E299*IF(длительность!$B$13&gt;70,0.25,0.4))&lt;0,0,IF((SUM($G300:DC300)-$E299*IF(длительность!$B$13&gt;70,0.25,0.4))&lt;DC300,SUM($G300:DC300)-$E299*IF(длительность!$B$13&gt;70,0.25,0.4),DC300))</f>
        <v>31</v>
      </c>
      <c r="DD340" s="402">
        <f ca="1">IF((SUM($G300:DD300)-$E299*IF(длительность!$B$13&gt;70,0.25,0.4))&lt;0,0,IF((SUM($G300:DD300)-$E299*IF(длительность!$B$13&gt;70,0.25,0.4))&lt;DD300,SUM($G300:DD300)-$E299*IF(длительность!$B$13&gt;70,0.25,0.4),DD300))</f>
        <v>31</v>
      </c>
      <c r="DE340" s="402">
        <f ca="1">IF((SUM($G300:DE300)-$E299*IF(длительность!$B$13&gt;70,0.25,0.4))&lt;0,0,IF((SUM($G300:DE300)-$E299*IF(длительность!$B$13&gt;70,0.25,0.4))&lt;DE300,SUM($G300:DE300)-$E299*IF(длительность!$B$13&gt;70,0.25,0.4),DE300))</f>
        <v>30</v>
      </c>
      <c r="DF340" s="402">
        <f ca="1">IF((SUM($G300:DF300)-$E299*IF(длительность!$B$13&gt;70,0.25,0.4))&lt;0,0,IF((SUM($G300:DF300)-$E299*IF(длительность!$B$13&gt;70,0.25,0.4))&lt;DF300,SUM($G300:DF300)-$E299*IF(длительность!$B$13&gt;70,0.25,0.4),DF300))</f>
        <v>31</v>
      </c>
      <c r="DG340" s="402">
        <f ca="1">IF((SUM($G300:DG300)-$E299*IF(длительность!$B$13&gt;70,0.25,0.4))&lt;0,0,IF((SUM($G300:DG300)-$E299*IF(длительность!$B$13&gt;70,0.25,0.4))&lt;DG300,SUM($G300:DG300)-$E299*IF(длительность!$B$13&gt;70,0.25,0.4),DG300))</f>
        <v>30</v>
      </c>
      <c r="DH340" s="402">
        <f ca="1">IF((SUM($G300:DH300)-$E299*IF(длительность!$B$13&gt;70,0.25,0.4))&lt;0,0,IF((SUM($G300:DH300)-$E299*IF(длительность!$B$13&gt;70,0.25,0.4))&lt;DH300,SUM($G300:DH300)-$E299*IF(длительность!$B$13&gt;70,0.25,0.4),DH300))</f>
        <v>31</v>
      </c>
      <c r="DI340" s="402">
        <f ca="1">IF((SUM($G300:DI300)-$E299*IF(длительность!$B$13&gt;70,0.25,0.4))&lt;0,0,IF((SUM($G300:DI300)-$E299*IF(длительность!$B$13&gt;70,0.25,0.4))&lt;DI300,SUM($G300:DI300)-$E299*IF(длительность!$B$13&gt;70,0.25,0.4),DI300))</f>
        <v>31</v>
      </c>
      <c r="DJ340" s="402">
        <f ca="1">IF((SUM($G300:DJ300)-$E299*IF(длительность!$B$13&gt;70,0.25,0.4))&lt;0,0,IF((SUM($G300:DJ300)-$E299*IF(длительность!$B$13&gt;70,0.25,0.4))&lt;DJ300,SUM($G300:DJ300)-$E299*IF(длительность!$B$13&gt;70,0.25,0.4),DJ300))</f>
        <v>29</v>
      </c>
      <c r="DK340" s="402">
        <f ca="1">IF((SUM($G300:DK300)-$E299*IF(длительность!$B$13&gt;70,0.25,0.4))&lt;0,0,IF((SUM($G300:DK300)-$E299*IF(длительность!$B$13&gt;70,0.25,0.4))&lt;DK300,SUM($G300:DK300)-$E299*IF(длительность!$B$13&gt;70,0.25,0.4),DK300))</f>
        <v>31</v>
      </c>
      <c r="DL340" s="402">
        <f ca="1">IF((SUM($G300:DL300)-$E299*IF(длительность!$B$13&gt;70,0.25,0.4))&lt;0,0,IF((SUM($G300:DL300)-$E299*IF(длительность!$B$13&gt;70,0.25,0.4))&lt;DL300,SUM($G300:DL300)-$E299*IF(длительность!$B$13&gt;70,0.25,0.4),DL300))</f>
        <v>30</v>
      </c>
      <c r="DM340" s="402">
        <f ca="1">IF((SUM($G300:DM300)-$E299*IF(длительность!$B$13&gt;70,0.25,0.4))&lt;0,0,IF((SUM($G300:DM300)-$E299*IF(длительность!$B$13&gt;70,0.25,0.4))&lt;DM300,SUM($G300:DM300)-$E299*IF(длительность!$B$13&gt;70,0.25,0.4),DM300))</f>
        <v>31</v>
      </c>
      <c r="DN340" s="402">
        <f ca="1">IF((SUM($G300:DN300)-$E299*IF(длительность!$B$13&gt;70,0.25,0.4))&lt;0,0,IF((SUM($G300:DN300)-$E299*IF(длительность!$B$13&gt;70,0.25,0.4))&lt;DN300,SUM($G300:DN300)-$E299*IF(длительность!$B$13&gt;70,0.25,0.4),DN300))</f>
        <v>30</v>
      </c>
      <c r="DO340" s="402">
        <f ca="1">IF((SUM($G300:DO300)-$E299*IF(длительность!$B$13&gt;70,0.25,0.4))&lt;0,0,IF((SUM($G300:DO300)-$E299*IF(длительность!$B$13&gt;70,0.25,0.4))&lt;DO300,SUM($G300:DO300)-$E299*IF(длительность!$B$13&gt;70,0.25,0.4),DO300))</f>
        <v>31</v>
      </c>
      <c r="DP340" s="402">
        <f ca="1">IF((SUM($G300:DP300)-$E299*IF(длительность!$B$13&gt;70,0.25,0.4))&lt;0,0,IF((SUM($G300:DP300)-$E299*IF(длительность!$B$13&gt;70,0.25,0.4))&lt;DP300,SUM($G300:DP300)-$E299*IF(длительность!$B$13&gt;70,0.25,0.4),DP300))</f>
        <v>31</v>
      </c>
      <c r="DQ340" s="402">
        <f ca="1">IF((SUM($G300:DQ300)-$E299*IF(длительность!$B$13&gt;70,0.25,0.4))&lt;0,0,IF((SUM($G300:DQ300)-$E299*IF(длительность!$B$13&gt;70,0.25,0.4))&lt;DQ300,SUM($G300:DQ300)-$E299*IF(длительность!$B$13&gt;70,0.25,0.4),DQ300))</f>
        <v>30</v>
      </c>
      <c r="DR340" s="402">
        <f ca="1">IF((SUM($G300:DR300)-$E299*IF(длительность!$B$13&gt;70,0.25,0.4))&lt;0,0,IF((SUM($G300:DR300)-$E299*IF(длительность!$B$13&gt;70,0.25,0.4))&lt;DR300,SUM($G300:DR300)-$E299*IF(длительность!$B$13&gt;70,0.25,0.4),DR300))</f>
        <v>31</v>
      </c>
      <c r="DS340" s="402">
        <f ca="1">IF((SUM($G300:DS300)-$E299*IF(длительность!$B$13&gt;70,0.25,0.4))&lt;0,0,IF((SUM($G300:DS300)-$E299*IF(длительность!$B$13&gt;70,0.25,0.4))&lt;DS300,SUM($G300:DS300)-$E299*IF(длительность!$B$13&gt;70,0.25,0.4),DS300))</f>
        <v>30</v>
      </c>
      <c r="DT340" s="402">
        <f ca="1">IF((SUM($G300:DT300)-$E299*IF(длительность!$B$13&gt;70,0.25,0.4))&lt;0,0,IF((SUM($G300:DT300)-$E299*IF(длительность!$B$13&gt;70,0.25,0.4))&lt;DT300,SUM($G300:DT300)-$E299*IF(длительность!$B$13&gt;70,0.25,0.4),DT300))</f>
        <v>31</v>
      </c>
      <c r="DU340" s="402">
        <f ca="1">IF((SUM($G300:DU300)-$E299*IF(длительность!$B$13&gt;70,0.25,0.4))&lt;0,0,IF((SUM($G300:DU300)-$E299*IF(длительность!$B$13&gt;70,0.25,0.4))&lt;DU300,SUM($G300:DU300)-$E299*IF(длительность!$B$13&gt;70,0.25,0.4),DU300))</f>
        <v>31</v>
      </c>
      <c r="DV340" s="402">
        <f ca="1">IF((SUM($G300:DV300)-$E299*IF(длительность!$B$13&gt;70,0.25,0.4))&lt;0,0,IF((SUM($G300:DV300)-$E299*IF(длительность!$B$13&gt;70,0.25,0.4))&lt;DV300,SUM($G300:DV300)-$E299*IF(длительность!$B$13&gt;70,0.25,0.4),DV300))</f>
        <v>28</v>
      </c>
      <c r="DW340" s="402">
        <f ca="1">IF((SUM($G300:DW300)-$E299*IF(длительность!$B$13&gt;70,0.25,0.4))&lt;0,0,IF((SUM($G300:DW300)-$E299*IF(длительность!$B$13&gt;70,0.25,0.4))&lt;DW300,SUM($G300:DW300)-$E299*IF(длительность!$B$13&gt;70,0.25,0.4),DW300))</f>
        <v>31</v>
      </c>
      <c r="DX340" s="402">
        <f ca="1">IF((SUM($G300:DX300)-$E299*IF(длительность!$B$13&gt;70,0.25,0.4))&lt;0,0,IF((SUM($G300:DX300)-$E299*IF(длительность!$B$13&gt;70,0.25,0.4))&lt;DX300,SUM($G300:DX300)-$E299*IF(длительность!$B$13&gt;70,0.25,0.4),DX300))</f>
        <v>30</v>
      </c>
      <c r="DY340" s="402">
        <f ca="1">IF((SUM($G300:DY300)-$E299*IF(длительность!$B$13&gt;70,0.25,0.4))&lt;0,0,IF((SUM($G300:DY300)-$E299*IF(длительность!$B$13&gt;70,0.25,0.4))&lt;DY300,SUM($G300:DY300)-$E299*IF(длительность!$B$13&gt;70,0.25,0.4),DY300))</f>
        <v>31</v>
      </c>
      <c r="DZ340" s="402">
        <f ca="1">IF((SUM($G300:DZ300)-$E299*IF(длительность!$B$13&gt;70,0.25,0.4))&lt;0,0,IF((SUM($G300:DZ300)-$E299*IF(длительность!$B$13&gt;70,0.25,0.4))&lt;DZ300,SUM($G300:DZ300)-$E299*IF(длительность!$B$13&gt;70,0.25,0.4),DZ300))</f>
        <v>30</v>
      </c>
      <c r="EA340" s="402">
        <f ca="1">IF((SUM($G300:EA300)-$E299*IF(длительность!$B$13&gt;70,0.25,0.4))&lt;0,0,IF((SUM($G300:EA300)-$E299*IF(длительность!$B$13&gt;70,0.25,0.4))&lt;EA300,SUM($G300:EA300)-$E299*IF(длительность!$B$13&gt;70,0.25,0.4),EA300))</f>
        <v>31</v>
      </c>
      <c r="EB340" s="402">
        <f ca="1">IF((SUM($G300:EB300)-$E299*IF(длительность!$B$13&gt;70,0.25,0.4))&lt;0,0,IF((SUM($G300:EB300)-$E299*IF(длительность!$B$13&gt;70,0.25,0.4))&lt;EB300,SUM($G300:EB300)-$E299*IF(длительность!$B$13&gt;70,0.25,0.4),EB300))</f>
        <v>31</v>
      </c>
      <c r="EC340" s="402">
        <f ca="1">IF((SUM($G300:EC300)-$E299*IF(длительность!$B$13&gt;70,0.25,0.4))&lt;0,0,IF((SUM($G300:EC300)-$E299*IF(длительность!$B$13&gt;70,0.25,0.4))&lt;EC300,SUM($G300:EC300)-$E299*IF(длительность!$B$13&gt;70,0.25,0.4),EC300))</f>
        <v>30</v>
      </c>
      <c r="ED340" s="402">
        <f ca="1">IF((SUM($G300:ED300)-$E299*IF(длительность!$B$13&gt;70,0.25,0.4))&lt;0,0,IF((SUM($G300:ED300)-$E299*IF(длительность!$B$13&gt;70,0.25,0.4))&lt;ED300,SUM($G300:ED300)-$E299*IF(длительность!$B$13&gt;70,0.25,0.4),ED300))</f>
        <v>31</v>
      </c>
      <c r="EE340" s="402">
        <f ca="1">IF((SUM($G300:EE300)-$E299*IF(длительность!$B$13&gt;70,0.25,0.4))&lt;0,0,IF((SUM($G300:EE300)-$E299*IF(длительность!$B$13&gt;70,0.25,0.4))&lt;EE300,SUM($G300:EE300)-$E299*IF(длительность!$B$13&gt;70,0.25,0.4),EE300))</f>
        <v>30</v>
      </c>
      <c r="EF340" s="402">
        <f ca="1">IF((SUM($G300:EF300)-$E299*IF(длительность!$B$13&gt;70,0.25,0.4))&lt;0,0,IF((SUM($G300:EF300)-$E299*IF(длительность!$B$13&gt;70,0.25,0.4))&lt;EF300,SUM($G300:EF300)-$E299*IF(длительность!$B$13&gt;70,0.25,0.4),EF300))</f>
        <v>31</v>
      </c>
      <c r="EG340" s="402">
        <f ca="1">IF((SUM($G300:EG300)-$E299*IF(длительность!$B$13&gt;70,0.25,0.4))&lt;0,0,IF((SUM($G300:EG300)-$E299*IF(длительность!$B$13&gt;70,0.25,0.4))&lt;EG300,SUM($G300:EG300)-$E299*IF(длительность!$B$13&gt;70,0.25,0.4),EG300))</f>
        <v>31</v>
      </c>
      <c r="EH340" s="402">
        <f ca="1">IF((SUM($G300:EH300)-$E299*IF(длительность!$B$13&gt;70,0.25,0.4))&lt;0,0,IF((SUM($G300:EH300)-$E299*IF(длительность!$B$13&gt;70,0.25,0.4))&lt;EH300,SUM($G300:EH300)-$E299*IF(длительность!$B$13&gt;70,0.25,0.4),EH300))</f>
        <v>28</v>
      </c>
      <c r="EI340" s="402">
        <f ca="1">IF((SUM($G300:EI300)-$E299*IF(длительность!$B$13&gt;70,0.25,0.4))&lt;0,0,IF((SUM($G300:EI300)-$E299*IF(длительность!$B$13&gt;70,0.25,0.4))&lt;EI300,SUM($G300:EI300)-$E299*IF(длительность!$B$13&gt;70,0.25,0.4),EI300))</f>
        <v>31</v>
      </c>
    </row>
    <row r="341" spans="1:141" hidden="1" outlineLevel="2">
      <c r="A341" s="332"/>
      <c r="D341" s="305" t="s">
        <v>670</v>
      </c>
      <c r="E341" s="403">
        <f ca="1">MIN(G341:EI341)</f>
        <v>46266</v>
      </c>
      <c r="F341" s="404">
        <f ca="1">MAX(G341:EI341)</f>
        <v>46266</v>
      </c>
      <c r="G341" s="403" t="str">
        <f ca="1">IF(G339=0,"",IF(SUM($G339:G339)&gt;=1,OFFSET(G$228,-1,0),""))</f>
        <v/>
      </c>
      <c r="H341" s="403" t="str">
        <f ca="1">IF(SUM($G341:G341)&gt;=1,"",IF(H339=0,"",IF(SUM($G339:H339)&gt;=1,OFFSET(H$228,-1,0),"")))</f>
        <v/>
      </c>
      <c r="I341" s="403" t="str">
        <f ca="1">IF(SUM($G341:H341)&gt;=1,"",IF(I339=0,"",IF(SUM($G339:I339)&gt;=1,OFFSET(I$228,-1,0),"")))</f>
        <v/>
      </c>
      <c r="J341" s="403" t="str">
        <f ca="1">IF(SUM($G341:I341)&gt;=1,"",IF(J339=0,"",IF(SUM($G339:J339)&gt;=1,OFFSET(J$228,-1,0),"")))</f>
        <v/>
      </c>
      <c r="K341" s="403" t="str">
        <f ca="1">IF(SUM($G341:J341)&gt;=1,"",IF(K339=0,"",IF(SUM($G339:K339)&gt;=1,OFFSET(K$228,-1,0),"")))</f>
        <v/>
      </c>
      <c r="L341" s="403" t="str">
        <f ca="1">IF(SUM($G341:K341)&gt;=1,"",IF(L339=0,"",IF(SUM($G339:L339)&gt;=1,OFFSET(L$228,-1,0),"")))</f>
        <v/>
      </c>
      <c r="M341" s="403" t="str">
        <f ca="1">IF(SUM($G341:L341)&gt;=1,"",IF(M339=0,"",IF(SUM($G339:M339)&gt;=1,OFFSET(M$228,-1,0),"")))</f>
        <v/>
      </c>
      <c r="N341" s="403" t="str">
        <f ca="1">IF(SUM($G341:M341)&gt;=1,"",IF(N339=0,"",IF(SUM($G339:N339)&gt;=1,OFFSET(N$228,-1,0),"")))</f>
        <v/>
      </c>
      <c r="O341" s="403" t="str">
        <f ca="1">IF(SUM($G341:N341)&gt;=1,"",IF(O339=0,"",IF(SUM($G339:O339)&gt;=1,OFFSET(O$228,-1,0),"")))</f>
        <v/>
      </c>
      <c r="P341" s="403" t="str">
        <f ca="1">IF(SUM($G341:O341)&gt;=1,"",IF(P339=0,"",IF(SUM($G339:P339)&gt;=1,OFFSET(P$228,-1,0),"")))</f>
        <v/>
      </c>
      <c r="Q341" s="403" t="str">
        <f ca="1">IF(SUM($G341:P341)&gt;=1,"",IF(Q339=0,"",IF(SUM($G339:Q339)&gt;=1,OFFSET(Q$228,-1,0),"")))</f>
        <v/>
      </c>
      <c r="R341" s="403" t="str">
        <f ca="1">IF(SUM($G341:Q341)&gt;=1,"",IF(R339=0,"",IF(SUM($G339:R339)&gt;=1,OFFSET(R$228,-1,0),"")))</f>
        <v/>
      </c>
      <c r="S341" s="403" t="str">
        <f ca="1">IF(SUM($G341:R341)&gt;=1,"",IF(S339=0,"",IF(SUM($G339:S339)&gt;=1,OFFSET(S$228,-1,0),"")))</f>
        <v/>
      </c>
      <c r="T341" s="403" t="str">
        <f ca="1">IF(SUM($G341:S341)&gt;=1,"",IF(T339=0,"",IF(SUM($G339:T339)&gt;=1,OFFSET(T$228,-1,0),"")))</f>
        <v/>
      </c>
      <c r="U341" s="403" t="str">
        <f ca="1">IF(SUM($G341:T341)&gt;=1,"",IF(U339=0,"",IF(SUM($G339:U339)&gt;=1,OFFSET(U$228,-1,0),"")))</f>
        <v/>
      </c>
      <c r="V341" s="403" t="str">
        <f ca="1">IF(SUM($G341:U341)&gt;=1,"",IF(V339=0,"",IF(SUM($G339:V339)&gt;=1,OFFSET(V$228,-1,0),"")))</f>
        <v/>
      </c>
      <c r="W341" s="403" t="str">
        <f ca="1">IF(SUM($G341:V341)&gt;=1,"",IF(W339=0,"",IF(SUM($G339:W339)&gt;=1,OFFSET(W$228,-1,0),"")))</f>
        <v/>
      </c>
      <c r="X341" s="403" t="str">
        <f ca="1">IF(SUM($G341:W341)&gt;=1,"",IF(X339=0,"",IF(SUM($G339:X339)&gt;=1,OFFSET(X$228,-1,0),"")))</f>
        <v/>
      </c>
      <c r="Y341" s="403" t="str">
        <f ca="1">IF(SUM($G341:X341)&gt;=1,"",IF(Y339=0,"",IF(SUM($G339:Y339)&gt;=1,OFFSET(Y$228,-1,0),"")))</f>
        <v/>
      </c>
      <c r="Z341" s="403" t="str">
        <f ca="1">IF(SUM($G341:Y341)&gt;=1,"",IF(Z339=0,"",IF(SUM($G339:Z339)&gt;=1,OFFSET(Z$228,-1,0),"")))</f>
        <v/>
      </c>
      <c r="AA341" s="403" t="str">
        <f ca="1">IF(SUM($G341:Z341)&gt;=1,"",IF(AA339=0,"",IF(SUM($G339:AA339)&gt;=1,OFFSET(AA$228,-1,0),"")))</f>
        <v/>
      </c>
      <c r="AB341" s="403" t="str">
        <f ca="1">IF(SUM($G341:AA341)&gt;=1,"",IF(AB339=0,"",IF(SUM($G339:AB339)&gt;=1,OFFSET(AB$228,-1,0),"")))</f>
        <v/>
      </c>
      <c r="AC341" s="403" t="str">
        <f ca="1">IF(SUM($G341:AB341)&gt;=1,"",IF(AC339=0,"",IF(SUM($G339:AC339)&gt;=1,OFFSET(AC$228,-1,0),"")))</f>
        <v/>
      </c>
      <c r="AD341" s="403" t="str">
        <f ca="1">IF(SUM($G341:AC341)&gt;=1,"",IF(AD339=0,"",IF(SUM($G339:AD339)&gt;=1,OFFSET(AD$228,-1,0),"")))</f>
        <v/>
      </c>
      <c r="AE341" s="403" t="str">
        <f ca="1">IF(SUM($G341:AD341)&gt;=1,"",IF(AE339=0,"",IF(SUM($G339:AE339)&gt;=1,OFFSET(AE$228,-1,0),"")))</f>
        <v/>
      </c>
      <c r="AF341" s="403" t="str">
        <f ca="1">IF(SUM($G341:AE341)&gt;=1,"",IF(AF339=0,"",IF(SUM($G339:AF339)&gt;=1,OFFSET(AF$228,-1,0),"")))</f>
        <v/>
      </c>
      <c r="AG341" s="403" t="str">
        <f ca="1">IF(SUM($G341:AF341)&gt;=1,"",IF(AG339=0,"",IF(SUM($G339:AG339)&gt;=1,OFFSET(AG$228,-1,0),"")))</f>
        <v/>
      </c>
      <c r="AH341" s="403" t="str">
        <f ca="1">IF(SUM($G341:AG341)&gt;=1,"",IF(AH339=0,"",IF(SUM($G339:AH339)&gt;=1,OFFSET(AH$228,-1,0),"")))</f>
        <v/>
      </c>
      <c r="AI341" s="403" t="str">
        <f ca="1">IF(SUM($G341:AH341)&gt;=1,"",IF(AI339=0,"",IF(SUM($G339:AI339)&gt;=1,OFFSET(AI$228,-1,0),"")))</f>
        <v/>
      </c>
      <c r="AJ341" s="403" t="str">
        <f ca="1">IF(SUM($G341:AI341)&gt;=1,"",IF(AJ339=0,"",IF(SUM($G339:AJ339)&gt;=1,OFFSET(AJ$228,-1,0),"")))</f>
        <v/>
      </c>
      <c r="AK341" s="403" t="str">
        <f ca="1">IF(SUM($G341:AJ341)&gt;=1,"",IF(AK339=0,"",IF(SUM($G339:AK339)&gt;=1,OFFSET(AK$228,-1,0),"")))</f>
        <v/>
      </c>
      <c r="AL341" s="403" t="str">
        <f ca="1">IF(SUM($G341:AK341)&gt;=1,"",IF(AL339=0,"",IF(SUM($G339:AL339)&gt;=1,OFFSET(AL$228,-1,0),"")))</f>
        <v/>
      </c>
      <c r="AM341" s="403" t="str">
        <f ca="1">IF(SUM($G341:AL341)&gt;=1,"",IF(AM339=0,"",IF(SUM($G339:AM339)&gt;=1,OFFSET(AM$228,-1,0),"")))</f>
        <v/>
      </c>
      <c r="AN341" s="403" t="str">
        <f ca="1">IF(SUM($G341:AM341)&gt;=1,"",IF(AN339=0,"",IF(SUM($G339:AN339)&gt;=1,OFFSET(AN$228,-1,0),"")))</f>
        <v/>
      </c>
      <c r="AO341" s="403" t="str">
        <f ca="1">IF(SUM($G341:AN341)&gt;=1,"",IF(AO339=0,"",IF(SUM($G339:AO339)&gt;=1,OFFSET(AO$228,-1,0),"")))</f>
        <v/>
      </c>
      <c r="AP341" s="403" t="str">
        <f ca="1">IF(SUM($G341:AO341)&gt;=1,"",IF(AP339=0,"",IF(SUM($G339:AP339)&gt;=1,OFFSET(AP$228,-1,0),"")))</f>
        <v/>
      </c>
      <c r="AQ341" s="403" t="str">
        <f ca="1">IF(SUM($G341:AP341)&gt;=1,"",IF(AQ339=0,"",IF(SUM($G339:AQ339)&gt;=1,OFFSET(AQ$228,-1,0),"")))</f>
        <v/>
      </c>
      <c r="AR341" s="403" t="str">
        <f ca="1">IF(SUM($G341:AQ341)&gt;=1,"",IF(AR339=0,"",IF(SUM($G339:AR339)&gt;=1,OFFSET(AR$228,-1,0),"")))</f>
        <v/>
      </c>
      <c r="AS341" s="403" t="str">
        <f ca="1">IF(SUM($G341:AR341)&gt;=1,"",IF(AS339=0,"",IF(SUM($G339:AS339)&gt;=1,OFFSET(AS$228,-1,0),"")))</f>
        <v/>
      </c>
      <c r="AT341" s="403" t="str">
        <f ca="1">IF(SUM($G341:AS341)&gt;=1,"",IF(AT339=0,"",IF(SUM($G339:AT339)&gt;=1,OFFSET(AT$228,-1,0),"")))</f>
        <v/>
      </c>
      <c r="AU341" s="403" t="str">
        <f ca="1">IF(SUM($G341:AT341)&gt;=1,"",IF(AU339=0,"",IF(SUM($G339:AU339)&gt;=1,OFFSET(AU$228,-1,0),"")))</f>
        <v/>
      </c>
      <c r="AV341" s="403" t="str">
        <f ca="1">IF(SUM($G341:AU341)&gt;=1,"",IF(AV339=0,"",IF(SUM($G339:AV339)&gt;=1,OFFSET(AV$228,-1,0),"")))</f>
        <v/>
      </c>
      <c r="AW341" s="403">
        <f ca="1">IF(SUM($G341:AV341)&gt;=1,"",IF(AW339=0,"",IF(SUM($G339:AW339)&gt;=1,OFFSET(AW$228,-1,0),"")))</f>
        <v>46266</v>
      </c>
      <c r="AX341" s="403" t="str">
        <f ca="1">IF(SUM($G341:AW341)&gt;=1,"",IF(AX339=0,"",IF(SUM($G339:AX339)&gt;=1,OFFSET(AX$228,-1,0),"")))</f>
        <v/>
      </c>
      <c r="AY341" s="403" t="str">
        <f ca="1">IF(SUM($G341:AX341)&gt;=1,"",IF(AY339=0,"",IF(SUM($G339:AY339)&gt;=1,OFFSET(AY$228,-1,0),"")))</f>
        <v/>
      </c>
      <c r="AZ341" s="403" t="str">
        <f ca="1">IF(SUM($G341:AY341)&gt;=1,"",IF(AZ339=0,"",IF(SUM($G339:AZ339)&gt;=1,OFFSET(AZ$228,-1,0),"")))</f>
        <v/>
      </c>
      <c r="BA341" s="403" t="str">
        <f ca="1">IF(SUM($G341:AZ341)&gt;=1,"",IF(BA339=0,"",IF(SUM($G339:BA339)&gt;=1,OFFSET(BA$228,-1,0),"")))</f>
        <v/>
      </c>
      <c r="BB341" s="403" t="str">
        <f ca="1">IF(SUM($G341:BA341)&gt;=1,"",IF(BB339=0,"",IF(SUM($G339:BB339)&gt;=1,OFFSET(BB$228,-1,0),"")))</f>
        <v/>
      </c>
      <c r="BC341" s="403" t="str">
        <f ca="1">IF(SUM($G341:BB341)&gt;=1,"",IF(BC339=0,"",IF(SUM($G339:BC339)&gt;=1,OFFSET(BC$228,-1,0),"")))</f>
        <v/>
      </c>
      <c r="BD341" s="403" t="str">
        <f ca="1">IF(SUM($G341:BC341)&gt;=1,"",IF(BD339=0,"",IF(SUM($G339:BD339)&gt;=1,OFFSET(BD$228,-1,0),"")))</f>
        <v/>
      </c>
      <c r="BE341" s="403" t="str">
        <f ca="1">IF(SUM($G341:BD341)&gt;=1,"",IF(BE339=0,"",IF(SUM($G339:BE339)&gt;=1,OFFSET(BE$228,-1,0),"")))</f>
        <v/>
      </c>
      <c r="BF341" s="403" t="str">
        <f ca="1">IF(SUM($G341:BE341)&gt;=1,"",IF(BF339=0,"",IF(SUM($G339:BF339)&gt;=1,OFFSET(BF$228,-1,0),"")))</f>
        <v/>
      </c>
      <c r="BG341" s="403" t="str">
        <f ca="1">IF(SUM($G341:BF341)&gt;=1,"",IF(BG339=0,"",IF(SUM($G339:BG339)&gt;=1,OFFSET(BG$228,-1,0),"")))</f>
        <v/>
      </c>
      <c r="BH341" s="403" t="str">
        <f ca="1">IF(SUM($G341:BG341)&gt;=1,"",IF(BH339=0,"",IF(SUM($G339:BH339)&gt;=1,OFFSET(BH$228,-1,0),"")))</f>
        <v/>
      </c>
      <c r="BI341" s="403" t="str">
        <f ca="1">IF(SUM($G341:BH341)&gt;=1,"",IF(BI339=0,"",IF(SUM($G339:BI339)&gt;=1,OFFSET(BI$228,-1,0),"")))</f>
        <v/>
      </c>
      <c r="BJ341" s="403" t="str">
        <f ca="1">IF(SUM($G341:BI341)&gt;=1,"",IF(BJ339=0,"",IF(SUM($G339:BJ339)&gt;=1,OFFSET(BJ$228,-1,0),"")))</f>
        <v/>
      </c>
      <c r="BK341" s="403" t="str">
        <f ca="1">IF(SUM($G341:BJ341)&gt;=1,"",IF(BK339=0,"",IF(SUM($G339:BK339)&gt;=1,OFFSET(BK$228,-1,0),"")))</f>
        <v/>
      </c>
      <c r="BL341" s="403" t="str">
        <f ca="1">IF(SUM($G341:BK341)&gt;=1,"",IF(BL339=0,"",IF(SUM($G339:BL339)&gt;=1,OFFSET(BL$228,-1,0),"")))</f>
        <v/>
      </c>
      <c r="BM341" s="403" t="str">
        <f ca="1">IF(SUM($G341:BL341)&gt;=1,"",IF(BM339=0,"",IF(SUM($G339:BM339)&gt;=1,OFFSET(BM$228,-1,0),"")))</f>
        <v/>
      </c>
      <c r="BN341" s="403" t="str">
        <f ca="1">IF(SUM($G341:BM341)&gt;=1,"",IF(BN339=0,"",IF(SUM($G339:BN339)&gt;=1,OFFSET(BN$228,-1,0),"")))</f>
        <v/>
      </c>
      <c r="BO341" s="403" t="str">
        <f ca="1">IF(SUM($G341:BN341)&gt;=1,"",IF(BO339=0,"",IF(SUM($G339:BO339)&gt;=1,OFFSET(BO$228,-1,0),"")))</f>
        <v/>
      </c>
      <c r="BP341" s="403" t="str">
        <f ca="1">IF(SUM($G341:BO341)&gt;=1,"",IF(BP339=0,"",IF(SUM($G339:BP339)&gt;=1,OFFSET(BP$228,-1,0),"")))</f>
        <v/>
      </c>
      <c r="BQ341" s="403" t="str">
        <f ca="1">IF(SUM($G341:BP341)&gt;=1,"",IF(BQ339=0,"",IF(SUM($G339:BQ339)&gt;=1,OFFSET(BQ$228,-1,0),"")))</f>
        <v/>
      </c>
      <c r="BR341" s="403" t="str">
        <f ca="1">IF(SUM($G341:BQ341)&gt;=1,"",IF(BR339=0,"",IF(SUM($G339:BR339)&gt;=1,OFFSET(BR$228,-1,0),"")))</f>
        <v/>
      </c>
      <c r="BS341" s="403" t="str">
        <f ca="1">IF(SUM($G341:BR341)&gt;=1,"",IF(BS339=0,"",IF(SUM($G339:BS339)&gt;=1,OFFSET(BS$228,-1,0),"")))</f>
        <v/>
      </c>
      <c r="BT341" s="403" t="str">
        <f ca="1">IF(SUM($G341:BS341)&gt;=1,"",IF(BT339=0,"",IF(SUM($G339:BT339)&gt;=1,OFFSET(BT$228,-1,0),"")))</f>
        <v/>
      </c>
      <c r="BU341" s="403" t="str">
        <f ca="1">IF(SUM($G341:BT341)&gt;=1,"",IF(BU339=0,"",IF(SUM($G339:BU339)&gt;=1,OFFSET(BU$228,-1,0),"")))</f>
        <v/>
      </c>
      <c r="BV341" s="403" t="str">
        <f ca="1">IF(SUM($G341:BU341)&gt;=1,"",IF(BV339=0,"",IF(SUM($G339:BV339)&gt;=1,OFFSET(BV$228,-1,0),"")))</f>
        <v/>
      </c>
      <c r="BW341" s="403" t="str">
        <f ca="1">IF(SUM($G341:BV341)&gt;=1,"",IF(BW339=0,"",IF(SUM($G339:BW339)&gt;=1,OFFSET(BW$228,-1,0),"")))</f>
        <v/>
      </c>
      <c r="BX341" s="403" t="str">
        <f ca="1">IF(SUM($G341:BW341)&gt;=1,"",IF(BX339=0,"",IF(SUM($G339:BX339)&gt;=1,OFFSET(BX$228,-1,0),"")))</f>
        <v/>
      </c>
      <c r="BY341" s="403" t="str">
        <f ca="1">IF(SUM($G341:BX341)&gt;=1,"",IF(BY339=0,"",IF(SUM($G339:BY339)&gt;=1,OFFSET(BY$228,-1,0),"")))</f>
        <v/>
      </c>
      <c r="BZ341" s="403" t="str">
        <f ca="1">IF(SUM($G341:BY341)&gt;=1,"",IF(BZ339=0,"",IF(SUM($G339:BZ339)&gt;=1,OFFSET(BZ$228,-1,0),"")))</f>
        <v/>
      </c>
      <c r="CA341" s="403" t="str">
        <f ca="1">IF(SUM($G341:BZ341)&gt;=1,"",IF(CA339=0,"",IF(SUM($G339:CA339)&gt;=1,OFFSET(CA$228,-1,0),"")))</f>
        <v/>
      </c>
      <c r="CB341" s="403" t="str">
        <f ca="1">IF(SUM($G341:CA341)&gt;=1,"",IF(CB339=0,"",IF(SUM($G339:CB339)&gt;=1,OFFSET(CB$228,-1,0),"")))</f>
        <v/>
      </c>
      <c r="CC341" s="403" t="str">
        <f ca="1">IF(SUM($G341:CB341)&gt;=1,"",IF(CC339=0,"",IF(SUM($G339:CC339)&gt;=1,OFFSET(CC$228,-1,0),"")))</f>
        <v/>
      </c>
      <c r="CD341" s="403" t="str">
        <f ca="1">IF(SUM($G341:CC341)&gt;=1,"",IF(CD339=0,"",IF(SUM($G339:CD339)&gt;=1,OFFSET(CD$228,-1,0),"")))</f>
        <v/>
      </c>
      <c r="CE341" s="403" t="str">
        <f ca="1">IF(SUM($G341:CD341)&gt;=1,"",IF(CE339=0,"",IF(SUM($G339:CE339)&gt;=1,OFFSET(CE$228,-1,0),"")))</f>
        <v/>
      </c>
      <c r="CF341" s="403" t="str">
        <f ca="1">IF(SUM($G341:CE341)&gt;=1,"",IF(CF339=0,"",IF(SUM($G339:CF339)&gt;=1,OFFSET(CF$228,-1,0),"")))</f>
        <v/>
      </c>
      <c r="CG341" s="403" t="str">
        <f ca="1">IF(SUM($G341:CF341)&gt;=1,"",IF(CG339=0,"",IF(SUM($G339:CG339)&gt;=1,OFFSET(CG$228,-1,0),"")))</f>
        <v/>
      </c>
      <c r="CH341" s="403" t="str">
        <f ca="1">IF(SUM($G341:CG341)&gt;=1,"",IF(CH339=0,"",IF(SUM($G339:CH339)&gt;=1,OFFSET(CH$228,-1,0),"")))</f>
        <v/>
      </c>
      <c r="CI341" s="403" t="str">
        <f ca="1">IF(SUM($G341:CH341)&gt;=1,"",IF(CI339=0,"",IF(SUM($G339:CI339)&gt;=1,OFFSET(CI$228,-1,0),"")))</f>
        <v/>
      </c>
      <c r="CJ341" s="403" t="str">
        <f ca="1">IF(SUM($G341:CI341)&gt;=1,"",IF(CJ339=0,"",IF(SUM($G339:CJ339)&gt;=1,OFFSET(CJ$228,-1,0),"")))</f>
        <v/>
      </c>
      <c r="CK341" s="403" t="str">
        <f ca="1">IF(SUM($G341:CJ341)&gt;=1,"",IF(CK339=0,"",IF(SUM($G339:CK339)&gt;=1,OFFSET(CK$228,-1,0),"")))</f>
        <v/>
      </c>
      <c r="CL341" s="403" t="str">
        <f ca="1">IF(SUM($G341:CK341)&gt;=1,"",IF(CL339=0,"",IF(SUM($G339:CL339)&gt;=1,OFFSET(CL$228,-1,0),"")))</f>
        <v/>
      </c>
      <c r="CM341" s="403" t="str">
        <f ca="1">IF(SUM($G341:CL341)&gt;=1,"",IF(CM339=0,"",IF(SUM($G339:CM339)&gt;=1,OFFSET(CM$228,-1,0),"")))</f>
        <v/>
      </c>
      <c r="CN341" s="403" t="str">
        <f ca="1">IF(SUM($G341:CM341)&gt;=1,"",IF(CN339=0,"",IF(SUM($G339:CN339)&gt;=1,OFFSET(CN$228,-1,0),"")))</f>
        <v/>
      </c>
      <c r="CO341" s="403" t="str">
        <f ca="1">IF(SUM($G341:CN341)&gt;=1,"",IF(CO339=0,"",IF(SUM($G339:CO339)&gt;=1,OFFSET(CO$228,-1,0),"")))</f>
        <v/>
      </c>
      <c r="CP341" s="403" t="str">
        <f ca="1">IF(SUM($G341:CO341)&gt;=1,"",IF(CP339=0,"",IF(SUM($G339:CP339)&gt;=1,OFFSET(CP$228,-1,0),"")))</f>
        <v/>
      </c>
      <c r="CQ341" s="403" t="str">
        <f ca="1">IF(SUM($G341:CP341)&gt;=1,"",IF(CQ339=0,"",IF(SUM($G339:CQ339)&gt;=1,OFFSET(CQ$228,-1,0),"")))</f>
        <v/>
      </c>
      <c r="CR341" s="403" t="str">
        <f ca="1">IF(SUM($G341:CQ341)&gt;=1,"",IF(CR339=0,"",IF(SUM($G339:CR339)&gt;=1,OFFSET(CR$228,-1,0),"")))</f>
        <v/>
      </c>
      <c r="CS341" s="403" t="str">
        <f ca="1">IF(SUM($G341:CR341)&gt;=1,"",IF(CS339=0,"",IF(SUM($G339:CS339)&gt;=1,OFFSET(CS$228,-1,0),"")))</f>
        <v/>
      </c>
      <c r="CT341" s="403" t="str">
        <f ca="1">IF(SUM($G341:CS341)&gt;=1,"",IF(CT339=0,"",IF(SUM($G339:CT339)&gt;=1,OFFSET(CT$228,-1,0),"")))</f>
        <v/>
      </c>
      <c r="CU341" s="403" t="str">
        <f ca="1">IF(SUM($G341:CT341)&gt;=1,"",IF(CU339=0,"",IF(SUM($G339:CU339)&gt;=1,OFFSET(CU$228,-1,0),"")))</f>
        <v/>
      </c>
      <c r="CV341" s="403" t="str">
        <f ca="1">IF(SUM($G341:CU341)&gt;=1,"",IF(CV339=0,"",IF(SUM($G339:CV339)&gt;=1,OFFSET(CV$228,-1,0),"")))</f>
        <v/>
      </c>
      <c r="CW341" s="403" t="str">
        <f ca="1">IF(SUM($G341:CV341)&gt;=1,"",IF(CW339=0,"",IF(SUM($G339:CW339)&gt;=1,OFFSET(CW$228,-1,0),"")))</f>
        <v/>
      </c>
      <c r="CX341" s="403" t="str">
        <f ca="1">IF(SUM($G341:CW341)&gt;=1,"",IF(CX339=0,"",IF(SUM($G339:CX339)&gt;=1,OFFSET(CX$228,-1,0),"")))</f>
        <v/>
      </c>
      <c r="CY341" s="403" t="str">
        <f ca="1">IF(SUM($G341:CX341)&gt;=1,"",IF(CY339=0,"",IF(SUM($G339:CY339)&gt;=1,OFFSET(CY$228,-1,0),"")))</f>
        <v/>
      </c>
      <c r="CZ341" s="403" t="str">
        <f ca="1">IF(SUM($G341:CY341)&gt;=1,"",IF(CZ339=0,"",IF(SUM($G339:CZ339)&gt;=1,OFFSET(CZ$228,-1,0),"")))</f>
        <v/>
      </c>
      <c r="DA341" s="403" t="str">
        <f ca="1">IF(SUM($G341:CZ341)&gt;=1,"",IF(DA339=0,"",IF(SUM($G339:DA339)&gt;=1,OFFSET(DA$228,-1,0),"")))</f>
        <v/>
      </c>
      <c r="DB341" s="403" t="str">
        <f ca="1">IF(SUM($G341:DA341)&gt;=1,"",IF(DB339=0,"",IF(SUM($G339:DB339)&gt;=1,OFFSET(DB$228,-1,0),"")))</f>
        <v/>
      </c>
      <c r="DC341" s="403" t="str">
        <f ca="1">IF(SUM($G341:DB341)&gt;=1,"",IF(DC339=0,"",IF(SUM($G339:DC339)&gt;=1,OFFSET(DC$228,-1,0),"")))</f>
        <v/>
      </c>
      <c r="DD341" s="403" t="str">
        <f ca="1">IF(SUM($G341:DC341)&gt;=1,"",IF(DD339=0,"",IF(SUM($G339:DD339)&gt;=1,OFFSET(DD$228,-1,0),"")))</f>
        <v/>
      </c>
      <c r="DE341" s="403" t="str">
        <f ca="1">IF(SUM($G341:DD341)&gt;=1,"",IF(DE339=0,"",IF(SUM($G339:DE339)&gt;=1,OFFSET(DE$228,-1,0),"")))</f>
        <v/>
      </c>
      <c r="DF341" s="403" t="str">
        <f ca="1">IF(SUM($G341:DE341)&gt;=1,"",IF(DF339=0,"",IF(SUM($G339:DF339)&gt;=1,OFFSET(DF$228,-1,0),"")))</f>
        <v/>
      </c>
      <c r="DG341" s="403" t="str">
        <f ca="1">IF(SUM($G341:DF341)&gt;=1,"",IF(DG339=0,"",IF(SUM($G339:DG339)&gt;=1,OFFSET(DG$228,-1,0),"")))</f>
        <v/>
      </c>
      <c r="DH341" s="403" t="str">
        <f ca="1">IF(SUM($G341:DG341)&gt;=1,"",IF(DH339=0,"",IF(SUM($G339:DH339)&gt;=1,OFFSET(DH$228,-1,0),"")))</f>
        <v/>
      </c>
      <c r="DI341" s="403" t="str">
        <f ca="1">IF(SUM($G341:DH341)&gt;=1,"",IF(DI339=0,"",IF(SUM($G339:DI339)&gt;=1,OFFSET(DI$228,-1,0),"")))</f>
        <v/>
      </c>
      <c r="DJ341" s="403" t="str">
        <f ca="1">IF(SUM($G341:DI341)&gt;=1,"",IF(DJ339=0,"",IF(SUM($G339:DJ339)&gt;=1,OFFSET(DJ$228,-1,0),"")))</f>
        <v/>
      </c>
      <c r="DK341" s="403" t="str">
        <f ca="1">IF(SUM($G341:DJ341)&gt;=1,"",IF(DK339=0,"",IF(SUM($G339:DK339)&gt;=1,OFFSET(DK$228,-1,0),"")))</f>
        <v/>
      </c>
      <c r="DL341" s="403" t="str">
        <f ca="1">IF(SUM($G341:DK341)&gt;=1,"",IF(DL339=0,"",IF(SUM($G339:DL339)&gt;=1,OFFSET(DL$228,-1,0),"")))</f>
        <v/>
      </c>
      <c r="DM341" s="403" t="str">
        <f ca="1">IF(SUM($G341:DL341)&gt;=1,"",IF(DM339=0,"",IF(SUM($G339:DM339)&gt;=1,OFFSET(DM$228,-1,0),"")))</f>
        <v/>
      </c>
      <c r="DN341" s="403" t="str">
        <f ca="1">IF(SUM($G341:DM341)&gt;=1,"",IF(DN339=0,"",IF(SUM($G339:DN339)&gt;=1,OFFSET(DN$228,-1,0),"")))</f>
        <v/>
      </c>
      <c r="DO341" s="403" t="str">
        <f ca="1">IF(SUM($G341:DN341)&gt;=1,"",IF(DO339=0,"",IF(SUM($G339:DO339)&gt;=1,OFFSET(DO$228,-1,0),"")))</f>
        <v/>
      </c>
      <c r="DP341" s="403" t="str">
        <f ca="1">IF(SUM($G341:DO341)&gt;=1,"",IF(DP339=0,"",IF(SUM($G339:DP339)&gt;=1,OFFSET(DP$228,-1,0),"")))</f>
        <v/>
      </c>
      <c r="DQ341" s="403" t="str">
        <f ca="1">IF(SUM($G341:DP341)&gt;=1,"",IF(DQ339=0,"",IF(SUM($G339:DQ339)&gt;=1,OFFSET(DQ$228,-1,0),"")))</f>
        <v/>
      </c>
      <c r="DR341" s="403" t="str">
        <f ca="1">IF(SUM($G341:DQ341)&gt;=1,"",IF(DR339=0,"",IF(SUM($G339:DR339)&gt;=1,OFFSET(DR$228,-1,0),"")))</f>
        <v/>
      </c>
      <c r="DS341" s="403" t="str">
        <f ca="1">IF(SUM($G341:DR341)&gt;=1,"",IF(DS339=0,"",IF(SUM($G339:DS339)&gt;=1,OFFSET(DS$228,-1,0),"")))</f>
        <v/>
      </c>
      <c r="DT341" s="403" t="str">
        <f ca="1">IF(SUM($G341:DS341)&gt;=1,"",IF(DT339=0,"",IF(SUM($G339:DT339)&gt;=1,OFFSET(DT$228,-1,0),"")))</f>
        <v/>
      </c>
      <c r="DU341" s="403" t="str">
        <f ca="1">IF(SUM($G341:DT341)&gt;=1,"",IF(DU339=0,"",IF(SUM($G339:DU339)&gt;=1,OFFSET(DU$228,-1,0),"")))</f>
        <v/>
      </c>
      <c r="DV341" s="403" t="str">
        <f ca="1">IF(SUM($G341:DU341)&gt;=1,"",IF(DV339=0,"",IF(SUM($G339:DV339)&gt;=1,OFFSET(DV$228,-1,0),"")))</f>
        <v/>
      </c>
      <c r="DW341" s="403" t="str">
        <f ca="1">IF(SUM($G341:DV341)&gt;=1,"",IF(DW339=0,"",IF(SUM($G339:DW339)&gt;=1,OFFSET(DW$228,-1,0),"")))</f>
        <v/>
      </c>
      <c r="DX341" s="403" t="str">
        <f ca="1">IF(SUM($G341:DW341)&gt;=1,"",IF(DX339=0,"",IF(SUM($G339:DX339)&gt;=1,OFFSET(DX$228,-1,0),"")))</f>
        <v/>
      </c>
      <c r="DY341" s="403" t="str">
        <f ca="1">IF(SUM($G341:DX341)&gt;=1,"",IF(DY339=0,"",IF(SUM($G339:DY339)&gt;=1,OFFSET(DY$228,-1,0),"")))</f>
        <v/>
      </c>
      <c r="DZ341" s="403" t="str">
        <f ca="1">IF(SUM($G341:DY341)&gt;=1,"",IF(DZ339=0,"",IF(SUM($G339:DZ339)&gt;=1,OFFSET(DZ$228,-1,0),"")))</f>
        <v/>
      </c>
      <c r="EA341" s="403" t="str">
        <f ca="1">IF(SUM($G341:DZ341)&gt;=1,"",IF(EA339=0,"",IF(SUM($G339:EA339)&gt;=1,OFFSET(EA$228,-1,0),"")))</f>
        <v/>
      </c>
      <c r="EB341" s="403" t="str">
        <f ca="1">IF(SUM($G341:EA341)&gt;=1,"",IF(EB339=0,"",IF(SUM($G339:EB339)&gt;=1,OFFSET(EB$228,-1,0),"")))</f>
        <v/>
      </c>
      <c r="EC341" s="403" t="str">
        <f ca="1">IF(SUM($G341:EB341)&gt;=1,"",IF(EC339=0,"",IF(SUM($G339:EC339)&gt;=1,OFFSET(EC$228,-1,0),"")))</f>
        <v/>
      </c>
      <c r="ED341" s="403" t="str">
        <f ca="1">IF(SUM($G341:EC341)&gt;=1,"",IF(ED339=0,"",IF(SUM($G339:ED339)&gt;=1,OFFSET(ED$228,-1,0),"")))</f>
        <v/>
      </c>
      <c r="EE341" s="403" t="str">
        <f ca="1">IF(SUM($G341:ED341)&gt;=1,"",IF(EE339=0,"",IF(SUM($G339:EE339)&gt;=1,OFFSET(EE$228,-1,0),"")))</f>
        <v/>
      </c>
      <c r="EF341" s="403" t="str">
        <f ca="1">IF(SUM($G341:EE341)&gt;=1,"",IF(EF339=0,"",IF(SUM($G339:EF339)&gt;=1,OFFSET(EF$228,-1,0),"")))</f>
        <v/>
      </c>
      <c r="EG341" s="403" t="str">
        <f ca="1">IF(SUM($G341:EF341)&gt;=1,"",IF(EG339=0,"",IF(SUM($G339:EG339)&gt;=1,OFFSET(EG$228,-1,0),"")))</f>
        <v/>
      </c>
      <c r="EH341" s="403" t="str">
        <f ca="1">IF(SUM($G341:EG341)&gt;=1,"",IF(EH339=0,"",IF(SUM($G339:EH339)&gt;=1,OFFSET(EH$228,-1,0),"")))</f>
        <v/>
      </c>
      <c r="EI341" s="403" t="str">
        <f ca="1">IF(SUM($G341:EH341)&gt;=1,"",IF(EI339=0,"",IF(SUM($G339:EI339)&gt;=1,OFFSET(EI$228,-1,0),"")))</f>
        <v/>
      </c>
    </row>
    <row r="342" spans="1:141" hidden="1" outlineLevel="2">
      <c r="A342" s="332"/>
      <c r="D342" s="305" t="s">
        <v>671</v>
      </c>
      <c r="E342" s="1002">
        <f ca="1">IF(E339=0,"",MIN(G342:EI342))</f>
        <v>46290.95</v>
      </c>
      <c r="F342" s="1003"/>
      <c r="G342" s="403" t="str">
        <f>IF(G339=0,"",IF(G339=G$3,G341,G$5+H$5-G343-1))</f>
        <v/>
      </c>
      <c r="H342" s="403" t="str">
        <f ca="1">IF(H339=0,"",IF(H339=H$3,H341,H$5+I$5-H343-1))</f>
        <v/>
      </c>
      <c r="I342" s="403" t="str">
        <f t="shared" ref="I342:BT342" ca="1" si="524">IF(I339=0,"",IF(I339=I$3,I341,I$5+J$5-I343-1))</f>
        <v/>
      </c>
      <c r="J342" s="403" t="str">
        <f t="shared" ca="1" si="524"/>
        <v/>
      </c>
      <c r="K342" s="403" t="str">
        <f t="shared" ca="1" si="524"/>
        <v/>
      </c>
      <c r="L342" s="403" t="str">
        <f t="shared" ca="1" si="524"/>
        <v/>
      </c>
      <c r="M342" s="403" t="str">
        <f t="shared" ca="1" si="524"/>
        <v/>
      </c>
      <c r="N342" s="403" t="str">
        <f t="shared" ca="1" si="524"/>
        <v/>
      </c>
      <c r="O342" s="403" t="str">
        <f t="shared" ca="1" si="524"/>
        <v/>
      </c>
      <c r="P342" s="403" t="str">
        <f t="shared" ca="1" si="524"/>
        <v/>
      </c>
      <c r="Q342" s="403" t="str">
        <f t="shared" ca="1" si="524"/>
        <v/>
      </c>
      <c r="R342" s="403" t="str">
        <f t="shared" ca="1" si="524"/>
        <v/>
      </c>
      <c r="S342" s="403" t="str">
        <f t="shared" ca="1" si="524"/>
        <v/>
      </c>
      <c r="T342" s="403" t="str">
        <f t="shared" ca="1" si="524"/>
        <v/>
      </c>
      <c r="U342" s="403" t="str">
        <f t="shared" ca="1" si="524"/>
        <v/>
      </c>
      <c r="V342" s="403" t="str">
        <f t="shared" ca="1" si="524"/>
        <v/>
      </c>
      <c r="W342" s="403" t="str">
        <f t="shared" ca="1" si="524"/>
        <v/>
      </c>
      <c r="X342" s="403" t="str">
        <f t="shared" ca="1" si="524"/>
        <v/>
      </c>
      <c r="Y342" s="403" t="str">
        <f t="shared" ca="1" si="524"/>
        <v/>
      </c>
      <c r="Z342" s="403" t="str">
        <f t="shared" ca="1" si="524"/>
        <v/>
      </c>
      <c r="AA342" s="403" t="str">
        <f t="shared" ca="1" si="524"/>
        <v/>
      </c>
      <c r="AB342" s="403" t="str">
        <f t="shared" ca="1" si="524"/>
        <v/>
      </c>
      <c r="AC342" s="403" t="str">
        <f t="shared" ca="1" si="524"/>
        <v/>
      </c>
      <c r="AD342" s="403" t="str">
        <f t="shared" ca="1" si="524"/>
        <v/>
      </c>
      <c r="AE342" s="403" t="str">
        <f t="shared" ca="1" si="524"/>
        <v/>
      </c>
      <c r="AF342" s="403" t="str">
        <f t="shared" ca="1" si="524"/>
        <v/>
      </c>
      <c r="AG342" s="403" t="str">
        <f t="shared" ca="1" si="524"/>
        <v/>
      </c>
      <c r="AH342" s="403" t="str">
        <f t="shared" ca="1" si="524"/>
        <v/>
      </c>
      <c r="AI342" s="403" t="str">
        <f t="shared" ca="1" si="524"/>
        <v/>
      </c>
      <c r="AJ342" s="403" t="str">
        <f t="shared" ca="1" si="524"/>
        <v/>
      </c>
      <c r="AK342" s="403" t="str">
        <f t="shared" ca="1" si="524"/>
        <v/>
      </c>
      <c r="AL342" s="403" t="str">
        <f t="shared" ca="1" si="524"/>
        <v/>
      </c>
      <c r="AM342" s="403" t="str">
        <f t="shared" ca="1" si="524"/>
        <v/>
      </c>
      <c r="AN342" s="403" t="str">
        <f t="shared" ca="1" si="524"/>
        <v/>
      </c>
      <c r="AO342" s="403" t="str">
        <f t="shared" ca="1" si="524"/>
        <v/>
      </c>
      <c r="AP342" s="403" t="str">
        <f t="shared" ca="1" si="524"/>
        <v/>
      </c>
      <c r="AQ342" s="403" t="str">
        <f t="shared" ca="1" si="524"/>
        <v/>
      </c>
      <c r="AR342" s="403" t="str">
        <f t="shared" ca="1" si="524"/>
        <v/>
      </c>
      <c r="AS342" s="403" t="str">
        <f t="shared" ca="1" si="524"/>
        <v/>
      </c>
      <c r="AT342" s="403" t="str">
        <f t="shared" ca="1" si="524"/>
        <v/>
      </c>
      <c r="AU342" s="403" t="str">
        <f t="shared" ca="1" si="524"/>
        <v/>
      </c>
      <c r="AV342" s="403" t="str">
        <f t="shared" ca="1" si="524"/>
        <v/>
      </c>
      <c r="AW342" s="403">
        <f t="shared" ca="1" si="524"/>
        <v>46290.95</v>
      </c>
      <c r="AX342" s="403" t="str">
        <f t="shared" ca="1" si="524"/>
        <v/>
      </c>
      <c r="AY342" s="403" t="str">
        <f t="shared" ca="1" si="524"/>
        <v/>
      </c>
      <c r="AZ342" s="403" t="str">
        <f t="shared" ca="1" si="524"/>
        <v/>
      </c>
      <c r="BA342" s="403" t="str">
        <f t="shared" ca="1" si="524"/>
        <v/>
      </c>
      <c r="BB342" s="403" t="str">
        <f t="shared" ca="1" si="524"/>
        <v/>
      </c>
      <c r="BC342" s="403">
        <f t="shared" ca="1" si="524"/>
        <v>46454.05</v>
      </c>
      <c r="BD342" s="403" t="str">
        <f t="shared" ca="1" si="524"/>
        <v/>
      </c>
      <c r="BE342" s="403" t="str">
        <f t="shared" ca="1" si="524"/>
        <v/>
      </c>
      <c r="BF342" s="403" t="str">
        <f t="shared" ca="1" si="524"/>
        <v/>
      </c>
      <c r="BG342" s="403" t="str">
        <f t="shared" ca="1" si="524"/>
        <v/>
      </c>
      <c r="BH342" s="403" t="str">
        <f t="shared" ca="1" si="524"/>
        <v/>
      </c>
      <c r="BI342" s="403" t="str">
        <f t="shared" ca="1" si="524"/>
        <v/>
      </c>
      <c r="BJ342" s="403" t="str">
        <f t="shared" ca="1" si="524"/>
        <v/>
      </c>
      <c r="BK342" s="403" t="str">
        <f t="shared" ca="1" si="524"/>
        <v/>
      </c>
      <c r="BL342" s="403" t="str">
        <f t="shared" ca="1" si="524"/>
        <v/>
      </c>
      <c r="BM342" s="403" t="str">
        <f t="shared" ca="1" si="524"/>
        <v/>
      </c>
      <c r="BN342" s="403" t="str">
        <f t="shared" ca="1" si="524"/>
        <v/>
      </c>
      <c r="BO342" s="403" t="str">
        <f t="shared" ca="1" si="524"/>
        <v/>
      </c>
      <c r="BP342" s="403" t="str">
        <f t="shared" ca="1" si="524"/>
        <v/>
      </c>
      <c r="BQ342" s="403" t="str">
        <f t="shared" ca="1" si="524"/>
        <v/>
      </c>
      <c r="BR342" s="403" t="str">
        <f t="shared" ca="1" si="524"/>
        <v/>
      </c>
      <c r="BS342" s="403" t="str">
        <f t="shared" ca="1" si="524"/>
        <v/>
      </c>
      <c r="BT342" s="403" t="str">
        <f t="shared" ca="1" si="524"/>
        <v/>
      </c>
      <c r="BU342" s="403" t="str">
        <f t="shared" ref="BU342:EF342" ca="1" si="525">IF(BU339=0,"",IF(BU339=BU$3,BU341,BU$5+BV$5-BU343-1))</f>
        <v/>
      </c>
      <c r="BV342" s="403" t="str">
        <f t="shared" ca="1" si="525"/>
        <v/>
      </c>
      <c r="BW342" s="403" t="str">
        <f t="shared" ca="1" si="525"/>
        <v/>
      </c>
      <c r="BX342" s="403" t="str">
        <f t="shared" ca="1" si="525"/>
        <v/>
      </c>
      <c r="BY342" s="403" t="str">
        <f t="shared" ca="1" si="525"/>
        <v/>
      </c>
      <c r="BZ342" s="403" t="str">
        <f t="shared" ca="1" si="525"/>
        <v/>
      </c>
      <c r="CA342" s="403" t="str">
        <f t="shared" ca="1" si="525"/>
        <v/>
      </c>
      <c r="CB342" s="403" t="str">
        <f t="shared" ca="1" si="525"/>
        <v/>
      </c>
      <c r="CC342" s="403" t="str">
        <f t="shared" ca="1" si="525"/>
        <v/>
      </c>
      <c r="CD342" s="403" t="str">
        <f t="shared" ca="1" si="525"/>
        <v/>
      </c>
      <c r="CE342" s="403" t="str">
        <f t="shared" ca="1" si="525"/>
        <v/>
      </c>
      <c r="CF342" s="403" t="str">
        <f t="shared" ca="1" si="525"/>
        <v/>
      </c>
      <c r="CG342" s="403" t="str">
        <f t="shared" ca="1" si="525"/>
        <v/>
      </c>
      <c r="CH342" s="403" t="str">
        <f t="shared" ca="1" si="525"/>
        <v/>
      </c>
      <c r="CI342" s="403" t="str">
        <f t="shared" ca="1" si="525"/>
        <v/>
      </c>
      <c r="CJ342" s="403" t="str">
        <f t="shared" ca="1" si="525"/>
        <v/>
      </c>
      <c r="CK342" s="403" t="str">
        <f t="shared" ca="1" si="525"/>
        <v/>
      </c>
      <c r="CL342" s="403" t="str">
        <f t="shared" ca="1" si="525"/>
        <v/>
      </c>
      <c r="CM342" s="403" t="str">
        <f t="shared" ca="1" si="525"/>
        <v/>
      </c>
      <c r="CN342" s="403" t="str">
        <f t="shared" ca="1" si="525"/>
        <v/>
      </c>
      <c r="CO342" s="403" t="str">
        <f t="shared" ca="1" si="525"/>
        <v/>
      </c>
      <c r="CP342" s="403" t="str">
        <f t="shared" ca="1" si="525"/>
        <v/>
      </c>
      <c r="CQ342" s="403" t="str">
        <f t="shared" ca="1" si="525"/>
        <v/>
      </c>
      <c r="CR342" s="403" t="str">
        <f t="shared" ca="1" si="525"/>
        <v/>
      </c>
      <c r="CS342" s="403" t="str">
        <f t="shared" ca="1" si="525"/>
        <v/>
      </c>
      <c r="CT342" s="403" t="str">
        <f t="shared" ca="1" si="525"/>
        <v/>
      </c>
      <c r="CU342" s="403" t="str">
        <f t="shared" ca="1" si="525"/>
        <v/>
      </c>
      <c r="CV342" s="403" t="str">
        <f t="shared" ca="1" si="525"/>
        <v/>
      </c>
      <c r="CW342" s="403" t="str">
        <f t="shared" ca="1" si="525"/>
        <v/>
      </c>
      <c r="CX342" s="403" t="str">
        <f t="shared" ca="1" si="525"/>
        <v/>
      </c>
      <c r="CY342" s="403" t="str">
        <f t="shared" ca="1" si="525"/>
        <v/>
      </c>
      <c r="CZ342" s="403" t="str">
        <f t="shared" ca="1" si="525"/>
        <v/>
      </c>
      <c r="DA342" s="403" t="str">
        <f t="shared" ca="1" si="525"/>
        <v/>
      </c>
      <c r="DB342" s="403" t="str">
        <f t="shared" ca="1" si="525"/>
        <v/>
      </c>
      <c r="DC342" s="403" t="str">
        <f t="shared" ca="1" si="525"/>
        <v/>
      </c>
      <c r="DD342" s="403" t="str">
        <f t="shared" ca="1" si="525"/>
        <v/>
      </c>
      <c r="DE342" s="403" t="str">
        <f t="shared" ca="1" si="525"/>
        <v/>
      </c>
      <c r="DF342" s="403" t="str">
        <f t="shared" ca="1" si="525"/>
        <v/>
      </c>
      <c r="DG342" s="403" t="str">
        <f t="shared" ca="1" si="525"/>
        <v/>
      </c>
      <c r="DH342" s="403" t="str">
        <f t="shared" ca="1" si="525"/>
        <v/>
      </c>
      <c r="DI342" s="403" t="str">
        <f t="shared" ca="1" si="525"/>
        <v/>
      </c>
      <c r="DJ342" s="403" t="str">
        <f t="shared" ca="1" si="525"/>
        <v/>
      </c>
      <c r="DK342" s="403" t="str">
        <f t="shared" ca="1" si="525"/>
        <v/>
      </c>
      <c r="DL342" s="403" t="str">
        <f t="shared" ca="1" si="525"/>
        <v/>
      </c>
      <c r="DM342" s="403" t="str">
        <f t="shared" ca="1" si="525"/>
        <v/>
      </c>
      <c r="DN342" s="403" t="str">
        <f t="shared" ca="1" si="525"/>
        <v/>
      </c>
      <c r="DO342" s="403" t="str">
        <f t="shared" ca="1" si="525"/>
        <v/>
      </c>
      <c r="DP342" s="403" t="str">
        <f t="shared" ca="1" si="525"/>
        <v/>
      </c>
      <c r="DQ342" s="403" t="str">
        <f t="shared" ca="1" si="525"/>
        <v/>
      </c>
      <c r="DR342" s="403" t="str">
        <f t="shared" ca="1" si="525"/>
        <v/>
      </c>
      <c r="DS342" s="403" t="str">
        <f t="shared" ca="1" si="525"/>
        <v/>
      </c>
      <c r="DT342" s="403" t="str">
        <f t="shared" ca="1" si="525"/>
        <v/>
      </c>
      <c r="DU342" s="403" t="str">
        <f t="shared" ca="1" si="525"/>
        <v/>
      </c>
      <c r="DV342" s="403" t="str">
        <f t="shared" ca="1" si="525"/>
        <v/>
      </c>
      <c r="DW342" s="403" t="str">
        <f t="shared" ca="1" si="525"/>
        <v/>
      </c>
      <c r="DX342" s="403" t="str">
        <f t="shared" ca="1" si="525"/>
        <v/>
      </c>
      <c r="DY342" s="403" t="str">
        <f t="shared" ca="1" si="525"/>
        <v/>
      </c>
      <c r="DZ342" s="403" t="str">
        <f t="shared" ca="1" si="525"/>
        <v/>
      </c>
      <c r="EA342" s="403" t="str">
        <f t="shared" ca="1" si="525"/>
        <v/>
      </c>
      <c r="EB342" s="403" t="str">
        <f t="shared" ca="1" si="525"/>
        <v/>
      </c>
      <c r="EC342" s="403" t="str">
        <f t="shared" ca="1" si="525"/>
        <v/>
      </c>
      <c r="ED342" s="403" t="str">
        <f t="shared" ca="1" si="525"/>
        <v/>
      </c>
      <c r="EE342" s="403" t="str">
        <f t="shared" ca="1" si="525"/>
        <v/>
      </c>
      <c r="EF342" s="403" t="str">
        <f t="shared" ca="1" si="525"/>
        <v/>
      </c>
      <c r="EG342" s="403" t="str">
        <f t="shared" ref="EG342:EI342" ca="1" si="526">IF(EG339=0,"",IF(EG339=EG$3,EG341,EG$5+EH$5-EG343-1))</f>
        <v/>
      </c>
      <c r="EH342" s="403" t="str">
        <f t="shared" ca="1" si="526"/>
        <v/>
      </c>
      <c r="EI342" s="403" t="str">
        <f t="shared" ca="1" si="526"/>
        <v/>
      </c>
    </row>
    <row r="343" spans="1:141" hidden="1" outlineLevel="2">
      <c r="A343" s="332"/>
      <c r="D343" s="305" t="s">
        <v>672</v>
      </c>
      <c r="E343" s="1002">
        <f ca="1">IF(E339=0,"",MAX(G343:EI343))</f>
        <v>46469.95</v>
      </c>
      <c r="F343" s="1003"/>
      <c r="G343" s="403">
        <f ca="1">IF(SUM(G339:$EI339)=0,"",IF(G$227="","",G$227+G339-1))</f>
        <v>44985</v>
      </c>
      <c r="H343" s="403">
        <f ca="1">IF(SUM(H339:$EI339)=0,"",IF(H$227="","",H$227+H339-1))</f>
        <v>45016</v>
      </c>
      <c r="I343" s="403">
        <f ca="1">IF(SUM(I339:$EI339)=0,"",IF(I$227="","",I$227+I339-1))</f>
        <v>45046</v>
      </c>
      <c r="J343" s="403">
        <f ca="1">IF(SUM(J339:$EI339)=0,"",IF(J$227="","",J$227+J339-1))</f>
        <v>45077</v>
      </c>
      <c r="K343" s="403">
        <f ca="1">IF(SUM(K339:$EI339)=0,"",IF(K$227="","",K$227+K339-1))</f>
        <v>45107</v>
      </c>
      <c r="L343" s="403">
        <f ca="1">IF(SUM(L339:$EI339)=0,"",IF(L$227="","",L$227+L339-1))</f>
        <v>45138</v>
      </c>
      <c r="M343" s="403">
        <f ca="1">IF(SUM(M339:$EI339)=0,"",IF(M$227="","",M$227+M339-1))</f>
        <v>45169</v>
      </c>
      <c r="N343" s="403">
        <f ca="1">IF(SUM(N339:$EI339)=0,"",IF(N$227="","",N$227+N339-1))</f>
        <v>45199</v>
      </c>
      <c r="O343" s="403">
        <f ca="1">IF(SUM(O339:$EI339)=0,"",IF(O$227="","",O$227+O339-1))</f>
        <v>45230</v>
      </c>
      <c r="P343" s="403">
        <f ca="1">IF(SUM(P339:$EI339)=0,"",IF(P$227="","",P$227+P339-1))</f>
        <v>45260</v>
      </c>
      <c r="Q343" s="403">
        <f ca="1">IF(SUM(Q339:$EI339)=0,"",IF(Q$227="","",Q$227+Q339-1))</f>
        <v>45291</v>
      </c>
      <c r="R343" s="403">
        <f ca="1">IF(SUM(R339:$EI339)=0,"",IF(R$227="","",R$227+R339-1))</f>
        <v>45322</v>
      </c>
      <c r="S343" s="403">
        <f ca="1">IF(SUM(S339:$EI339)=0,"",IF(S$227="","",S$227+S339-1))</f>
        <v>45351</v>
      </c>
      <c r="T343" s="403">
        <f ca="1">IF(SUM(T339:$EI339)=0,"",IF(T$227="","",T$227+T339-1))</f>
        <v>45382</v>
      </c>
      <c r="U343" s="403">
        <f ca="1">IF(SUM(U339:$EI339)=0,"",IF(U$227="","",U$227+U339-1))</f>
        <v>45412</v>
      </c>
      <c r="V343" s="403">
        <f ca="1">IF(SUM(V339:$EI339)=0,"",IF(V$227="","",V$227+V339-1))</f>
        <v>45443</v>
      </c>
      <c r="W343" s="403">
        <f ca="1">IF(SUM(W339:$EI339)=0,"",IF(W$227="","",W$227+W339-1))</f>
        <v>45473</v>
      </c>
      <c r="X343" s="403">
        <f ca="1">IF(SUM(X339:$EI339)=0,"",IF(X$227="","",X$227+X339-1))</f>
        <v>45504</v>
      </c>
      <c r="Y343" s="403">
        <f ca="1">IF(SUM(Y339:$EI339)=0,"",IF(Y$227="","",Y$227+Y339-1))</f>
        <v>45535</v>
      </c>
      <c r="Z343" s="403">
        <f ca="1">IF(SUM(Z339:$EI339)=0,"",IF(Z$227="","",Z$227+Z339-1))</f>
        <v>45565</v>
      </c>
      <c r="AA343" s="403">
        <f ca="1">IF(SUM(AA339:$EI339)=0,"",IF(AA$227="","",AA$227+AA339-1))</f>
        <v>45596</v>
      </c>
      <c r="AB343" s="403">
        <f ca="1">IF(SUM(AB339:$EI339)=0,"",IF(AB$227="","",AB$227+AB339-1))</f>
        <v>45626</v>
      </c>
      <c r="AC343" s="403">
        <f ca="1">IF(SUM(AC339:$EI339)=0,"",IF(AC$227="","",AC$227+AC339-1))</f>
        <v>45657</v>
      </c>
      <c r="AD343" s="403">
        <f ca="1">IF(SUM(AD339:$EI339)=0,"",IF(AD$227="","",AD$227+AD339-1))</f>
        <v>45688</v>
      </c>
      <c r="AE343" s="403">
        <f ca="1">IF(SUM(AE339:$EI339)=0,"",IF(AE$227="","",AE$227+AE339-1))</f>
        <v>45716</v>
      </c>
      <c r="AF343" s="403">
        <f ca="1">IF(SUM(AF339:$EI339)=0,"",IF(AF$227="","",AF$227+AF339-1))</f>
        <v>45747</v>
      </c>
      <c r="AG343" s="403">
        <f ca="1">IF(SUM(AG339:$EI339)=0,"",IF(AG$227="","",AG$227+AG339-1))</f>
        <v>45777</v>
      </c>
      <c r="AH343" s="403">
        <f ca="1">IF(SUM(AH339:$EI339)=0,"",IF(AH$227="","",AH$227+AH339-1))</f>
        <v>45808</v>
      </c>
      <c r="AI343" s="403">
        <f ca="1">IF(SUM(AI339:$EI339)=0,"",IF(AI$227="","",AI$227+AI339-1))</f>
        <v>45838</v>
      </c>
      <c r="AJ343" s="403">
        <f ca="1">IF(SUM(AJ339:$EI339)=0,"",IF(AJ$227="","",AJ$227+AJ339-1))</f>
        <v>45869</v>
      </c>
      <c r="AK343" s="403">
        <f ca="1">IF(SUM(AK339:$EI339)=0,"",IF(AK$227="","",AK$227+AK339-1))</f>
        <v>45900</v>
      </c>
      <c r="AL343" s="403">
        <f ca="1">IF(SUM(AL339:$EI339)=0,"",IF(AL$227="","",AL$227+AL339-1))</f>
        <v>45930</v>
      </c>
      <c r="AM343" s="403">
        <f ca="1">IF(SUM(AM339:$EI339)=0,"",IF(AM$227="","",AM$227+AM339-1))</f>
        <v>45961</v>
      </c>
      <c r="AN343" s="403">
        <f ca="1">IF(SUM(AN339:$EI339)=0,"",IF(AN$227="","",AN$227+AN339-1))</f>
        <v>45991</v>
      </c>
      <c r="AO343" s="403">
        <f ca="1">IF(SUM(AO339:$EI339)=0,"",IF(AO$227="","",AO$227+AO339-1))</f>
        <v>46022</v>
      </c>
      <c r="AP343" s="403">
        <f ca="1">IF(SUM(AP339:$EI339)=0,"",IF(AP$227="","",AP$227+AP339-1))</f>
        <v>46053</v>
      </c>
      <c r="AQ343" s="403">
        <f ca="1">IF(SUM(AQ339:$EI339)=0,"",IF(AQ$227="","",AQ$227+AQ339-1))</f>
        <v>46081</v>
      </c>
      <c r="AR343" s="403">
        <f ca="1">IF(SUM(AR339:$EI339)=0,"",IF(AR$227="","",AR$227+AR339-1))</f>
        <v>46112</v>
      </c>
      <c r="AS343" s="403">
        <f ca="1">IF(SUM(AS339:$EI339)=0,"",IF(AS$227="","",AS$227+AS339-1))</f>
        <v>46142</v>
      </c>
      <c r="AT343" s="403">
        <f ca="1">IF(SUM(AT339:$EI339)=0,"",IF(AT$227="","",AT$227+AT339-1))</f>
        <v>46173</v>
      </c>
      <c r="AU343" s="403">
        <f ca="1">IF(SUM(AU339:$EI339)=0,"",IF(AU$227="","",AU$227+AU339-1))</f>
        <v>46203</v>
      </c>
      <c r="AV343" s="403">
        <f ca="1">IF(SUM(AV339:$EI339)=0,"",IF(AV$227="","",AV$227+AV339-1))</f>
        <v>46234</v>
      </c>
      <c r="AW343" s="403">
        <f ca="1">IF(SUM(AW339:$EI339)=0,"",IF(AW$227="","",AW$227+AW339-1))</f>
        <v>46270.05</v>
      </c>
      <c r="AX343" s="403">
        <f ca="1">IF(SUM(AX339:$EI339)=0,"",IF(AX$227="","",AX$227+AX339-1))</f>
        <v>46326</v>
      </c>
      <c r="AY343" s="403">
        <f ca="1">IF(SUM(AY339:$EI339)=0,"",IF(AY$227="","",AY$227+AY339-1))</f>
        <v>46356</v>
      </c>
      <c r="AZ343" s="403">
        <f ca="1">IF(SUM(AZ339:$EI339)=0,"",IF(AZ$227="","",AZ$227+AZ339-1))</f>
        <v>46387</v>
      </c>
      <c r="BA343" s="403">
        <f ca="1">IF(SUM(BA339:$EI339)=0,"",IF(BA$227="","",BA$227+BA339-1))</f>
        <v>46418</v>
      </c>
      <c r="BB343" s="403">
        <f ca="1">IF(SUM(BB339:$EI339)=0,"",IF(BB$227="","",BB$227+BB339-1))</f>
        <v>46446</v>
      </c>
      <c r="BC343" s="403">
        <f ca="1">IF(SUM(BC339:$EI339)=0,"",IF(BC$227="","",BC$227+BC339-1))</f>
        <v>46469.95</v>
      </c>
      <c r="BD343" s="403" t="str">
        <f ca="1">IF(SUM(BD339:$EI339)=0,"",IF(BD$227="","",BD$227+BD339-1))</f>
        <v/>
      </c>
      <c r="BE343" s="403" t="str">
        <f ca="1">IF(SUM(BE339:$EI339)=0,"",IF(BE$227="","",BE$227+BE339-1))</f>
        <v/>
      </c>
      <c r="BF343" s="403" t="str">
        <f ca="1">IF(SUM(BF339:$EI339)=0,"",IF(BF$227="","",BF$227+BF339-1))</f>
        <v/>
      </c>
      <c r="BG343" s="403" t="str">
        <f ca="1">IF(SUM(BG339:$EI339)=0,"",IF(BG$227="","",BG$227+BG339-1))</f>
        <v/>
      </c>
      <c r="BH343" s="403" t="str">
        <f ca="1">IF(SUM(BH339:$EI339)=0,"",IF(BH$227="","",BH$227+BH339-1))</f>
        <v/>
      </c>
      <c r="BI343" s="403" t="str">
        <f ca="1">IF(SUM(BI339:$EI339)=0,"",IF(BI$227="","",BI$227+BI339-1))</f>
        <v/>
      </c>
      <c r="BJ343" s="403" t="str">
        <f ca="1">IF(SUM(BJ339:$EI339)=0,"",IF(BJ$227="","",BJ$227+BJ339-1))</f>
        <v/>
      </c>
      <c r="BK343" s="403" t="str">
        <f ca="1">IF(SUM(BK339:$EI339)=0,"",IF(BK$227="","",BK$227+BK339-1))</f>
        <v/>
      </c>
      <c r="BL343" s="403" t="str">
        <f ca="1">IF(SUM(BL339:$EI339)=0,"",IF(BL$227="","",BL$227+BL339-1))</f>
        <v/>
      </c>
      <c r="BM343" s="403" t="str">
        <f ca="1">IF(SUM(BM339:$EI339)=0,"",IF(BM$227="","",BM$227+BM339-1))</f>
        <v/>
      </c>
      <c r="BN343" s="403" t="str">
        <f ca="1">IF(SUM(BN339:$EI339)=0,"",IF(BN$227="","",BN$227+BN339-1))</f>
        <v/>
      </c>
      <c r="BO343" s="403" t="str">
        <f ca="1">IF(SUM(BO339:$EI339)=0,"",IF(BO$227="","",BO$227+BO339-1))</f>
        <v/>
      </c>
      <c r="BP343" s="403" t="str">
        <f ca="1">IF(SUM(BP339:$EI339)=0,"",IF(BP$227="","",BP$227+BP339-1))</f>
        <v/>
      </c>
      <c r="BQ343" s="403" t="str">
        <f ca="1">IF(SUM(BQ339:$EI339)=0,"",IF(BQ$227="","",BQ$227+BQ339-1))</f>
        <v/>
      </c>
      <c r="BR343" s="403" t="str">
        <f ca="1">IF(SUM(BR339:$EI339)=0,"",IF(BR$227="","",BR$227+BR339-1))</f>
        <v/>
      </c>
      <c r="BS343" s="403" t="str">
        <f ca="1">IF(SUM(BS339:$EI339)=0,"",IF(BS$227="","",BS$227+BS339-1))</f>
        <v/>
      </c>
      <c r="BT343" s="403" t="str">
        <f ca="1">IF(SUM(BT339:$EI339)=0,"",IF(BT$227="","",BT$227+BT339-1))</f>
        <v/>
      </c>
      <c r="BU343" s="403" t="str">
        <f ca="1">IF(SUM(BU339:$EI339)=0,"",IF(BU$227="","",BU$227+BU339-1))</f>
        <v/>
      </c>
      <c r="BV343" s="403" t="str">
        <f ca="1">IF(SUM(BV339:$EI339)=0,"",IF(BV$227="","",BV$227+BV339-1))</f>
        <v/>
      </c>
      <c r="BW343" s="403" t="str">
        <f ca="1">IF(SUM(BW339:$EI339)=0,"",IF(BW$227="","",BW$227+BW339-1))</f>
        <v/>
      </c>
      <c r="BX343" s="403" t="str">
        <f ca="1">IF(SUM(BX339:$EI339)=0,"",IF(BX$227="","",BX$227+BX339-1))</f>
        <v/>
      </c>
      <c r="BY343" s="403" t="str">
        <f ca="1">IF(SUM(BY339:$EI339)=0,"",IF(BY$227="","",BY$227+BY339-1))</f>
        <v/>
      </c>
      <c r="BZ343" s="403" t="str">
        <f ca="1">IF(SUM(BZ339:$EI339)=0,"",IF(BZ$227="","",BZ$227+BZ339-1))</f>
        <v/>
      </c>
      <c r="CA343" s="403" t="str">
        <f ca="1">IF(SUM(CA339:$EI339)=0,"",IF(CA$227="","",CA$227+CA339-1))</f>
        <v/>
      </c>
      <c r="CB343" s="403" t="str">
        <f ca="1">IF(SUM(CB339:$EI339)=0,"",IF(CB$227="","",CB$227+CB339-1))</f>
        <v/>
      </c>
      <c r="CC343" s="403" t="str">
        <f ca="1">IF(SUM(CC339:$EI339)=0,"",IF(CC$227="","",CC$227+CC339-1))</f>
        <v/>
      </c>
      <c r="CD343" s="403" t="str">
        <f ca="1">IF(SUM(CD339:$EI339)=0,"",IF(CD$227="","",CD$227+CD339-1))</f>
        <v/>
      </c>
      <c r="CE343" s="403" t="str">
        <f ca="1">IF(SUM(CE339:$EI339)=0,"",IF(CE$227="","",CE$227+CE339-1))</f>
        <v/>
      </c>
      <c r="CF343" s="403" t="str">
        <f ca="1">IF(SUM(CF339:$EI339)=0,"",IF(CF$227="","",CF$227+CF339-1))</f>
        <v/>
      </c>
      <c r="CG343" s="403" t="str">
        <f ca="1">IF(SUM(CG339:$EI339)=0,"",IF(CG$227="","",CG$227+CG339-1))</f>
        <v/>
      </c>
      <c r="CH343" s="403" t="str">
        <f ca="1">IF(SUM(CH339:$EI339)=0,"",IF(CH$227="","",CH$227+CH339-1))</f>
        <v/>
      </c>
      <c r="CI343" s="403" t="str">
        <f ca="1">IF(SUM(CI339:$EI339)=0,"",IF(CI$227="","",CI$227+CI339-1))</f>
        <v/>
      </c>
      <c r="CJ343" s="403" t="str">
        <f ca="1">IF(SUM(CJ339:$EI339)=0,"",IF(CJ$227="","",CJ$227+CJ339-1))</f>
        <v/>
      </c>
      <c r="CK343" s="403" t="str">
        <f ca="1">IF(SUM(CK339:$EI339)=0,"",IF(CK$227="","",CK$227+CK339-1))</f>
        <v/>
      </c>
      <c r="CL343" s="403" t="str">
        <f ca="1">IF(SUM(CL339:$EI339)=0,"",IF(CL$227="","",CL$227+CL339-1))</f>
        <v/>
      </c>
      <c r="CM343" s="403" t="str">
        <f ca="1">IF(SUM(CM339:$EI339)=0,"",IF(CM$227="","",CM$227+CM339-1))</f>
        <v/>
      </c>
      <c r="CN343" s="403" t="str">
        <f ca="1">IF(SUM(CN339:$EI339)=0,"",IF(CN$227="","",CN$227+CN339-1))</f>
        <v/>
      </c>
      <c r="CO343" s="403" t="str">
        <f ca="1">IF(SUM(CO339:$EI339)=0,"",IF(CO$227="","",CO$227+CO339-1))</f>
        <v/>
      </c>
      <c r="CP343" s="403" t="str">
        <f ca="1">IF(SUM(CP339:$EI339)=0,"",IF(CP$227="","",CP$227+CP339-1))</f>
        <v/>
      </c>
      <c r="CQ343" s="403" t="str">
        <f ca="1">IF(SUM(CQ339:$EI339)=0,"",IF(CQ$227="","",CQ$227+CQ339-1))</f>
        <v/>
      </c>
      <c r="CR343" s="403" t="str">
        <f ca="1">IF(SUM(CR339:$EI339)=0,"",IF(CR$227="","",CR$227+CR339-1))</f>
        <v/>
      </c>
      <c r="CS343" s="403" t="str">
        <f ca="1">IF(SUM(CS339:$EI339)=0,"",IF(CS$227="","",CS$227+CS339-1))</f>
        <v/>
      </c>
      <c r="CT343" s="403" t="str">
        <f ca="1">IF(SUM(CT339:$EI339)=0,"",IF(CT$227="","",CT$227+CT339-1))</f>
        <v/>
      </c>
      <c r="CU343" s="403" t="str">
        <f ca="1">IF(SUM(CU339:$EI339)=0,"",IF(CU$227="","",CU$227+CU339-1))</f>
        <v/>
      </c>
      <c r="CV343" s="403" t="str">
        <f ca="1">IF(SUM(CV339:$EI339)=0,"",IF(CV$227="","",CV$227+CV339-1))</f>
        <v/>
      </c>
      <c r="CW343" s="403" t="str">
        <f ca="1">IF(SUM(CW339:$EI339)=0,"",IF(CW$227="","",CW$227+CW339-1))</f>
        <v/>
      </c>
      <c r="CX343" s="403" t="str">
        <f ca="1">IF(SUM(CX339:$EI339)=0,"",IF(CX$227="","",CX$227+CX339-1))</f>
        <v/>
      </c>
      <c r="CY343" s="403" t="str">
        <f ca="1">IF(SUM(CY339:$EI339)=0,"",IF(CY$227="","",CY$227+CY339-1))</f>
        <v/>
      </c>
      <c r="CZ343" s="403" t="str">
        <f ca="1">IF(SUM(CZ339:$EI339)=0,"",IF(CZ$227="","",CZ$227+CZ339-1))</f>
        <v/>
      </c>
      <c r="DA343" s="403" t="str">
        <f ca="1">IF(SUM(DA339:$EI339)=0,"",IF(DA$227="","",DA$227+DA339-1))</f>
        <v/>
      </c>
      <c r="DB343" s="403" t="str">
        <f ca="1">IF(SUM(DB339:$EI339)=0,"",IF(DB$227="","",DB$227+DB339-1))</f>
        <v/>
      </c>
      <c r="DC343" s="403" t="str">
        <f ca="1">IF(SUM(DC339:$EI339)=0,"",IF(DC$227="","",DC$227+DC339-1))</f>
        <v/>
      </c>
      <c r="DD343" s="403" t="str">
        <f ca="1">IF(SUM(DD339:$EI339)=0,"",IF(DD$227="","",DD$227+DD339-1))</f>
        <v/>
      </c>
      <c r="DE343" s="403" t="str">
        <f ca="1">IF(SUM(DE339:$EI339)=0,"",IF(DE$227="","",DE$227+DE339-1))</f>
        <v/>
      </c>
      <c r="DF343" s="403" t="str">
        <f ca="1">IF(SUM(DF339:$EI339)=0,"",IF(DF$227="","",DF$227+DF339-1))</f>
        <v/>
      </c>
      <c r="DG343" s="403" t="str">
        <f ca="1">IF(SUM(DG339:$EI339)=0,"",IF(DG$227="","",DG$227+DG339-1))</f>
        <v/>
      </c>
      <c r="DH343" s="403" t="str">
        <f ca="1">IF(SUM(DH339:$EI339)=0,"",IF(DH$227="","",DH$227+DH339-1))</f>
        <v/>
      </c>
      <c r="DI343" s="403" t="str">
        <f ca="1">IF(SUM(DI339:$EI339)=0,"",IF(DI$227="","",DI$227+DI339-1))</f>
        <v/>
      </c>
      <c r="DJ343" s="403" t="str">
        <f ca="1">IF(SUM(DJ339:$EI339)=0,"",IF(DJ$227="","",DJ$227+DJ339-1))</f>
        <v/>
      </c>
      <c r="DK343" s="403" t="str">
        <f ca="1">IF(SUM(DK339:$EI339)=0,"",IF(DK$227="","",DK$227+DK339-1))</f>
        <v/>
      </c>
      <c r="DL343" s="403" t="str">
        <f ca="1">IF(SUM(DL339:$EI339)=0,"",IF(DL$227="","",DL$227+DL339-1))</f>
        <v/>
      </c>
      <c r="DM343" s="403" t="str">
        <f ca="1">IF(SUM(DM339:$EI339)=0,"",IF(DM$227="","",DM$227+DM339-1))</f>
        <v/>
      </c>
      <c r="DN343" s="403" t="str">
        <f ca="1">IF(SUM(DN339:$EI339)=0,"",IF(DN$227="","",DN$227+DN339-1))</f>
        <v/>
      </c>
      <c r="DO343" s="403" t="str">
        <f ca="1">IF(SUM(DO339:$EI339)=0,"",IF(DO$227="","",DO$227+DO339-1))</f>
        <v/>
      </c>
      <c r="DP343" s="403" t="str">
        <f ca="1">IF(SUM(DP339:$EI339)=0,"",IF(DP$227="","",DP$227+DP339-1))</f>
        <v/>
      </c>
      <c r="DQ343" s="403" t="str">
        <f ca="1">IF(SUM(DQ339:$EI339)=0,"",IF(DQ$227="","",DQ$227+DQ339-1))</f>
        <v/>
      </c>
      <c r="DR343" s="403" t="str">
        <f ca="1">IF(SUM(DR339:$EI339)=0,"",IF(DR$227="","",DR$227+DR339-1))</f>
        <v/>
      </c>
      <c r="DS343" s="403" t="str">
        <f ca="1">IF(SUM(DS339:$EI339)=0,"",IF(DS$227="","",DS$227+DS339-1))</f>
        <v/>
      </c>
      <c r="DT343" s="403" t="str">
        <f ca="1">IF(SUM(DT339:$EI339)=0,"",IF(DT$227="","",DT$227+DT339-1))</f>
        <v/>
      </c>
      <c r="DU343" s="403" t="str">
        <f ca="1">IF(SUM(DU339:$EI339)=0,"",IF(DU$227="","",DU$227+DU339-1))</f>
        <v/>
      </c>
      <c r="DV343" s="403" t="str">
        <f ca="1">IF(SUM(DV339:$EI339)=0,"",IF(DV$227="","",DV$227+DV339-1))</f>
        <v/>
      </c>
      <c r="DW343" s="403" t="str">
        <f ca="1">IF(SUM(DW339:$EI339)=0,"",IF(DW$227="","",DW$227+DW339-1))</f>
        <v/>
      </c>
      <c r="DX343" s="403" t="str">
        <f ca="1">IF(SUM(DX339:$EI339)=0,"",IF(DX$227="","",DX$227+DX339-1))</f>
        <v/>
      </c>
      <c r="DY343" s="403" t="str">
        <f ca="1">IF(SUM(DY339:$EI339)=0,"",IF(DY$227="","",DY$227+DY339-1))</f>
        <v/>
      </c>
      <c r="DZ343" s="403" t="str">
        <f ca="1">IF(SUM(DZ339:$EI339)=0,"",IF(DZ$227="","",DZ$227+DZ339-1))</f>
        <v/>
      </c>
      <c r="EA343" s="403" t="str">
        <f ca="1">IF(SUM(EA339:$EI339)=0,"",IF(EA$227="","",EA$227+EA339-1))</f>
        <v/>
      </c>
      <c r="EB343" s="403" t="str">
        <f ca="1">IF(SUM(EB339:$EI339)=0,"",IF(EB$227="","",EB$227+EB339-1))</f>
        <v/>
      </c>
      <c r="EC343" s="403" t="str">
        <f ca="1">IF(SUM(EC339:$EI339)=0,"",IF(EC$227="","",EC$227+EC339-1))</f>
        <v/>
      </c>
      <c r="ED343" s="403" t="str">
        <f ca="1">IF(SUM(ED339:$EI339)=0,"",IF(ED$227="","",ED$227+ED339-1))</f>
        <v/>
      </c>
      <c r="EE343" s="403" t="str">
        <f ca="1">IF(SUM(EE339:$EI339)=0,"",IF(EE$227="","",EE$227+EE339-1))</f>
        <v/>
      </c>
      <c r="EF343" s="403" t="str">
        <f ca="1">IF(SUM(EF339:$EI339)=0,"",IF(EF$227="","",EF$227+EF339-1))</f>
        <v/>
      </c>
      <c r="EG343" s="403" t="str">
        <f ca="1">IF(SUM(EG339:$EI339)=0,"",IF(EG$227="","",EG$227+EG339-1))</f>
        <v/>
      </c>
      <c r="EH343" s="403" t="str">
        <f ca="1">IF(SUM(EH339:$EI339)=0,"",IF(EH$227="","",EH$227+EH339-1))</f>
        <v/>
      </c>
      <c r="EI343" s="403" t="str">
        <f ca="1">IF(SUM(EI339:$EI339)=0,"",IF(EI$227="","",EI$227+EI339-1))</f>
        <v/>
      </c>
    </row>
    <row r="344" spans="1:141" hidden="1" outlineLevel="2">
      <c r="A344" s="332"/>
      <c r="B344" s="313"/>
      <c r="C344" s="308"/>
      <c r="D344" s="308" t="s">
        <v>683</v>
      </c>
      <c r="E344" s="400">
        <f ca="1">MAX(E339,E329)</f>
        <v>281</v>
      </c>
      <c r="G344" s="402"/>
      <c r="H344" s="402">
        <f t="shared" ref="H344:AM344" ca="1" si="527">IF((H330+H340)&gt;H3,H3,H330+H340)</f>
        <v>0</v>
      </c>
      <c r="I344" s="402">
        <f t="shared" ca="1" si="527"/>
        <v>0</v>
      </c>
      <c r="J344" s="402">
        <f t="shared" ca="1" si="527"/>
        <v>0</v>
      </c>
      <c r="K344" s="402">
        <f t="shared" ca="1" si="527"/>
        <v>0</v>
      </c>
      <c r="L344" s="402">
        <f t="shared" ca="1" si="527"/>
        <v>0</v>
      </c>
      <c r="M344" s="402">
        <f t="shared" ca="1" si="527"/>
        <v>0</v>
      </c>
      <c r="N344" s="402">
        <f t="shared" ca="1" si="527"/>
        <v>0</v>
      </c>
      <c r="O344" s="402">
        <f t="shared" ca="1" si="527"/>
        <v>0</v>
      </c>
      <c r="P344" s="402">
        <f t="shared" ca="1" si="527"/>
        <v>0</v>
      </c>
      <c r="Q344" s="402">
        <f t="shared" ca="1" si="527"/>
        <v>0</v>
      </c>
      <c r="R344" s="402">
        <f t="shared" ca="1" si="527"/>
        <v>0</v>
      </c>
      <c r="S344" s="402">
        <f t="shared" ca="1" si="527"/>
        <v>0</v>
      </c>
      <c r="T344" s="402">
        <f t="shared" ca="1" si="527"/>
        <v>0</v>
      </c>
      <c r="U344" s="402">
        <f t="shared" ca="1" si="527"/>
        <v>0</v>
      </c>
      <c r="V344" s="402">
        <f t="shared" ca="1" si="527"/>
        <v>0</v>
      </c>
      <c r="W344" s="402">
        <f t="shared" ca="1" si="527"/>
        <v>0</v>
      </c>
      <c r="X344" s="402">
        <f t="shared" ca="1" si="527"/>
        <v>0</v>
      </c>
      <c r="Y344" s="402">
        <f t="shared" ca="1" si="527"/>
        <v>0</v>
      </c>
      <c r="Z344" s="402">
        <f t="shared" ca="1" si="527"/>
        <v>0</v>
      </c>
      <c r="AA344" s="402">
        <f t="shared" ca="1" si="527"/>
        <v>0</v>
      </c>
      <c r="AB344" s="402">
        <f t="shared" ca="1" si="527"/>
        <v>0</v>
      </c>
      <c r="AC344" s="402">
        <f t="shared" ca="1" si="527"/>
        <v>0</v>
      </c>
      <c r="AD344" s="402">
        <f t="shared" ca="1" si="527"/>
        <v>0</v>
      </c>
      <c r="AE344" s="402">
        <f t="shared" ca="1" si="527"/>
        <v>0</v>
      </c>
      <c r="AF344" s="402">
        <f t="shared" ca="1" si="527"/>
        <v>0</v>
      </c>
      <c r="AG344" s="402">
        <f t="shared" ca="1" si="527"/>
        <v>0</v>
      </c>
      <c r="AH344" s="402">
        <f t="shared" ca="1" si="527"/>
        <v>0</v>
      </c>
      <c r="AI344" s="402">
        <f t="shared" ca="1" si="527"/>
        <v>0</v>
      </c>
      <c r="AJ344" s="402">
        <f t="shared" ca="1" si="527"/>
        <v>0</v>
      </c>
      <c r="AK344" s="402">
        <f t="shared" ca="1" si="527"/>
        <v>0</v>
      </c>
      <c r="AL344" s="402">
        <f t="shared" ca="1" si="527"/>
        <v>0</v>
      </c>
      <c r="AM344" s="402">
        <f t="shared" ca="1" si="527"/>
        <v>0</v>
      </c>
      <c r="AN344" s="402">
        <f t="shared" ref="AN344:BS344" ca="1" si="528">IF((AN330+AN340)&gt;AN3,AN3,AN330+AN340)</f>
        <v>0</v>
      </c>
      <c r="AO344" s="402">
        <f t="shared" ca="1" si="528"/>
        <v>0</v>
      </c>
      <c r="AP344" s="402">
        <f t="shared" ca="1" si="528"/>
        <v>0</v>
      </c>
      <c r="AQ344" s="402">
        <f t="shared" ca="1" si="528"/>
        <v>0</v>
      </c>
      <c r="AR344" s="402">
        <f t="shared" ca="1" si="528"/>
        <v>0</v>
      </c>
      <c r="AS344" s="402">
        <f t="shared" ca="1" si="528"/>
        <v>0</v>
      </c>
      <c r="AT344" s="402">
        <f t="shared" ca="1" si="528"/>
        <v>0</v>
      </c>
      <c r="AU344" s="402">
        <f t="shared" ca="1" si="528"/>
        <v>0</v>
      </c>
      <c r="AV344" s="402">
        <f t="shared" ca="1" si="528"/>
        <v>0</v>
      </c>
      <c r="AW344" s="402">
        <f t="shared" ca="1" si="528"/>
        <v>10.100000000000023</v>
      </c>
      <c r="AX344" s="402">
        <f t="shared" ca="1" si="528"/>
        <v>31</v>
      </c>
      <c r="AY344" s="402">
        <f t="shared" ca="1" si="528"/>
        <v>30</v>
      </c>
      <c r="AZ344" s="402">
        <f t="shared" ca="1" si="528"/>
        <v>31</v>
      </c>
      <c r="BA344" s="402">
        <f t="shared" ca="1" si="528"/>
        <v>31</v>
      </c>
      <c r="BB344" s="402">
        <f t="shared" ca="1" si="528"/>
        <v>28</v>
      </c>
      <c r="BC344" s="402">
        <f t="shared" ca="1" si="528"/>
        <v>31</v>
      </c>
      <c r="BD344" s="402">
        <f t="shared" ca="1" si="528"/>
        <v>30</v>
      </c>
      <c r="BE344" s="402">
        <f t="shared" ca="1" si="528"/>
        <v>31</v>
      </c>
      <c r="BF344" s="402">
        <f t="shared" ca="1" si="528"/>
        <v>30</v>
      </c>
      <c r="BG344" s="402">
        <f t="shared" ca="1" si="528"/>
        <v>31</v>
      </c>
      <c r="BH344" s="402">
        <f t="shared" ca="1" si="528"/>
        <v>31</v>
      </c>
      <c r="BI344" s="402">
        <f t="shared" ca="1" si="528"/>
        <v>30</v>
      </c>
      <c r="BJ344" s="402">
        <f t="shared" ca="1" si="528"/>
        <v>31</v>
      </c>
      <c r="BK344" s="402">
        <f t="shared" ca="1" si="528"/>
        <v>30</v>
      </c>
      <c r="BL344" s="402">
        <f t="shared" ca="1" si="528"/>
        <v>31</v>
      </c>
      <c r="BM344" s="402">
        <f t="shared" ca="1" si="528"/>
        <v>31</v>
      </c>
      <c r="BN344" s="402">
        <f t="shared" ca="1" si="528"/>
        <v>29</v>
      </c>
      <c r="BO344" s="402">
        <f t="shared" ca="1" si="528"/>
        <v>31</v>
      </c>
      <c r="BP344" s="402">
        <f t="shared" ca="1" si="528"/>
        <v>30</v>
      </c>
      <c r="BQ344" s="402">
        <f t="shared" ca="1" si="528"/>
        <v>31</v>
      </c>
      <c r="BR344" s="402">
        <f t="shared" ca="1" si="528"/>
        <v>30</v>
      </c>
      <c r="BS344" s="402">
        <f t="shared" ca="1" si="528"/>
        <v>31</v>
      </c>
      <c r="BT344" s="402">
        <f t="shared" ref="BT344:CY344" ca="1" si="529">IF((BT330+BT340)&gt;BT3,BT3,BT330+BT340)</f>
        <v>31</v>
      </c>
      <c r="BU344" s="402">
        <f t="shared" ca="1" si="529"/>
        <v>30</v>
      </c>
      <c r="BV344" s="402">
        <f t="shared" ca="1" si="529"/>
        <v>31</v>
      </c>
      <c r="BW344" s="402">
        <f t="shared" ca="1" si="529"/>
        <v>30</v>
      </c>
      <c r="BX344" s="402">
        <f t="shared" ca="1" si="529"/>
        <v>31</v>
      </c>
      <c r="BY344" s="402">
        <f t="shared" ca="1" si="529"/>
        <v>31</v>
      </c>
      <c r="BZ344" s="402">
        <f t="shared" ca="1" si="529"/>
        <v>28</v>
      </c>
      <c r="CA344" s="402">
        <f t="shared" ca="1" si="529"/>
        <v>31</v>
      </c>
      <c r="CB344" s="402">
        <f t="shared" ca="1" si="529"/>
        <v>30</v>
      </c>
      <c r="CC344" s="402">
        <f t="shared" ca="1" si="529"/>
        <v>31</v>
      </c>
      <c r="CD344" s="402">
        <f t="shared" ca="1" si="529"/>
        <v>30</v>
      </c>
      <c r="CE344" s="402">
        <f t="shared" ca="1" si="529"/>
        <v>31</v>
      </c>
      <c r="CF344" s="402">
        <f t="shared" ca="1" si="529"/>
        <v>31</v>
      </c>
      <c r="CG344" s="402">
        <f t="shared" ca="1" si="529"/>
        <v>30</v>
      </c>
      <c r="CH344" s="402">
        <f t="shared" ca="1" si="529"/>
        <v>31</v>
      </c>
      <c r="CI344" s="402">
        <f t="shared" ca="1" si="529"/>
        <v>30</v>
      </c>
      <c r="CJ344" s="402">
        <f t="shared" ca="1" si="529"/>
        <v>31</v>
      </c>
      <c r="CK344" s="402">
        <f t="shared" ca="1" si="529"/>
        <v>31</v>
      </c>
      <c r="CL344" s="402">
        <f t="shared" ca="1" si="529"/>
        <v>28</v>
      </c>
      <c r="CM344" s="402">
        <f t="shared" ca="1" si="529"/>
        <v>31</v>
      </c>
      <c r="CN344" s="402">
        <f t="shared" ca="1" si="529"/>
        <v>30</v>
      </c>
      <c r="CO344" s="402">
        <f t="shared" ca="1" si="529"/>
        <v>31</v>
      </c>
      <c r="CP344" s="402">
        <f t="shared" ca="1" si="529"/>
        <v>30</v>
      </c>
      <c r="CQ344" s="402">
        <f t="shared" ca="1" si="529"/>
        <v>31</v>
      </c>
      <c r="CR344" s="402">
        <f t="shared" ca="1" si="529"/>
        <v>31</v>
      </c>
      <c r="CS344" s="402">
        <f t="shared" ca="1" si="529"/>
        <v>30</v>
      </c>
      <c r="CT344" s="402">
        <f t="shared" ca="1" si="529"/>
        <v>31</v>
      </c>
      <c r="CU344" s="402">
        <f t="shared" ca="1" si="529"/>
        <v>30</v>
      </c>
      <c r="CV344" s="402">
        <f t="shared" ca="1" si="529"/>
        <v>31</v>
      </c>
      <c r="CW344" s="402">
        <f t="shared" ca="1" si="529"/>
        <v>31</v>
      </c>
      <c r="CX344" s="402">
        <f t="shared" ca="1" si="529"/>
        <v>28</v>
      </c>
      <c r="CY344" s="402">
        <f t="shared" ca="1" si="529"/>
        <v>31</v>
      </c>
      <c r="CZ344" s="402">
        <f t="shared" ref="CZ344:EI344" ca="1" si="530">IF((CZ330+CZ340)&gt;CZ3,CZ3,CZ330+CZ340)</f>
        <v>30</v>
      </c>
      <c r="DA344" s="402">
        <f t="shared" ca="1" si="530"/>
        <v>31</v>
      </c>
      <c r="DB344" s="402">
        <f t="shared" ca="1" si="530"/>
        <v>30</v>
      </c>
      <c r="DC344" s="402">
        <f t="shared" ca="1" si="530"/>
        <v>31</v>
      </c>
      <c r="DD344" s="402">
        <f t="shared" ca="1" si="530"/>
        <v>31</v>
      </c>
      <c r="DE344" s="402">
        <f t="shared" ca="1" si="530"/>
        <v>30</v>
      </c>
      <c r="DF344" s="402">
        <f t="shared" ca="1" si="530"/>
        <v>31</v>
      </c>
      <c r="DG344" s="402">
        <f t="shared" ca="1" si="530"/>
        <v>30</v>
      </c>
      <c r="DH344" s="402">
        <f t="shared" ca="1" si="530"/>
        <v>31</v>
      </c>
      <c r="DI344" s="402">
        <f t="shared" ca="1" si="530"/>
        <v>31</v>
      </c>
      <c r="DJ344" s="402">
        <f t="shared" ca="1" si="530"/>
        <v>29</v>
      </c>
      <c r="DK344" s="402">
        <f t="shared" ca="1" si="530"/>
        <v>31</v>
      </c>
      <c r="DL344" s="402">
        <f t="shared" ca="1" si="530"/>
        <v>30</v>
      </c>
      <c r="DM344" s="402">
        <f t="shared" ca="1" si="530"/>
        <v>31</v>
      </c>
      <c r="DN344" s="402">
        <f t="shared" ca="1" si="530"/>
        <v>30</v>
      </c>
      <c r="DO344" s="402">
        <f t="shared" ca="1" si="530"/>
        <v>31</v>
      </c>
      <c r="DP344" s="402">
        <f t="shared" ca="1" si="530"/>
        <v>31</v>
      </c>
      <c r="DQ344" s="402">
        <f t="shared" ca="1" si="530"/>
        <v>30</v>
      </c>
      <c r="DR344" s="402">
        <f t="shared" ca="1" si="530"/>
        <v>31</v>
      </c>
      <c r="DS344" s="402">
        <f t="shared" ca="1" si="530"/>
        <v>30</v>
      </c>
      <c r="DT344" s="402">
        <f t="shared" ca="1" si="530"/>
        <v>31</v>
      </c>
      <c r="DU344" s="402">
        <f t="shared" ca="1" si="530"/>
        <v>31</v>
      </c>
      <c r="DV344" s="402">
        <f t="shared" ca="1" si="530"/>
        <v>28</v>
      </c>
      <c r="DW344" s="402">
        <f t="shared" ca="1" si="530"/>
        <v>31</v>
      </c>
      <c r="DX344" s="402">
        <f t="shared" ca="1" si="530"/>
        <v>30</v>
      </c>
      <c r="DY344" s="402">
        <f t="shared" ca="1" si="530"/>
        <v>31</v>
      </c>
      <c r="DZ344" s="402">
        <f t="shared" ca="1" si="530"/>
        <v>30</v>
      </c>
      <c r="EA344" s="402">
        <f t="shared" ca="1" si="530"/>
        <v>31</v>
      </c>
      <c r="EB344" s="402">
        <f t="shared" ca="1" si="530"/>
        <v>31</v>
      </c>
      <c r="EC344" s="402">
        <f t="shared" ca="1" si="530"/>
        <v>30</v>
      </c>
      <c r="ED344" s="402">
        <f t="shared" ca="1" si="530"/>
        <v>31</v>
      </c>
      <c r="EE344" s="402">
        <f t="shared" ca="1" si="530"/>
        <v>30</v>
      </c>
      <c r="EF344" s="402">
        <f t="shared" ca="1" si="530"/>
        <v>31</v>
      </c>
      <c r="EG344" s="402">
        <f t="shared" ca="1" si="530"/>
        <v>31</v>
      </c>
      <c r="EH344" s="402">
        <f t="shared" ca="1" si="530"/>
        <v>28</v>
      </c>
      <c r="EI344" s="402">
        <f t="shared" ca="1" si="530"/>
        <v>31</v>
      </c>
    </row>
    <row r="345" spans="1:141" outlineLevel="1" collapsed="1">
      <c r="A345" s="332"/>
      <c r="B345" s="313"/>
      <c r="C345" s="317" t="s">
        <v>97</v>
      </c>
      <c r="D345" s="317" t="s">
        <v>98</v>
      </c>
      <c r="E345" s="400">
        <f ca="1">IF(ГРП!B32=0,длительность!B95,ГРП!B32)</f>
        <v>60</v>
      </c>
      <c r="F345" s="318">
        <f ca="1">E345-SUM(G345:EJ345)</f>
        <v>0</v>
      </c>
      <c r="G345" s="401"/>
      <c r="H345" s="401">
        <f ca="1">IF(SUM($G345:G345)&gt;=$E345,0,IF($E345-SUM($G345:G345)&gt;H346,H346,$E345-SUM($G346:G346)))</f>
        <v>0</v>
      </c>
      <c r="I345" s="401">
        <f ca="1">IF(SUM($G345:H345)&gt;=$E345,0,IF($E345-SUM($G345:H345)&gt;I346,I346,$E345-SUM($G346:H346)))</f>
        <v>0</v>
      </c>
      <c r="J345" s="401">
        <f ca="1">IF(SUM($G345:I345)&gt;=$E345,0,IF($E345-SUM($G345:I345)&gt;J346,J346,$E345-SUM($G346:I346)))</f>
        <v>0</v>
      </c>
      <c r="K345" s="401">
        <f ca="1">IF(SUM($G345:J345)&gt;=$E345,0,IF($E345-SUM($G345:J345)&gt;K346,K346,$E345-SUM($G346:J346)))</f>
        <v>0</v>
      </c>
      <c r="L345" s="401">
        <f ca="1">IF(SUM($G345:K345)&gt;=$E345,0,IF($E345-SUM($G345:K345)&gt;L346,L346,$E345-SUM($G346:K346)))</f>
        <v>0</v>
      </c>
      <c r="M345" s="401">
        <f ca="1">IF(SUM($G345:L345)&gt;=$E345,0,IF($E345-SUM($G345:L345)&gt;M346,M346,$E345-SUM($G346:L346)))</f>
        <v>0</v>
      </c>
      <c r="N345" s="401">
        <f ca="1">IF(SUM($G345:M345)&gt;=$E345,0,IF($E345-SUM($G345:M345)&gt;N346,N346,$E345-SUM($G346:M346)))</f>
        <v>0</v>
      </c>
      <c r="O345" s="401">
        <f ca="1">IF(SUM($G345:N345)&gt;=$E345,0,IF($E345-SUM($G345:N345)&gt;O346,O346,$E345-SUM($G346:N346)))</f>
        <v>0</v>
      </c>
      <c r="P345" s="401">
        <f ca="1">IF(SUM($G345:O345)&gt;=$E345,0,IF($E345-SUM($G345:O345)&gt;P346,P346,$E345-SUM($G346:O346)))</f>
        <v>0</v>
      </c>
      <c r="Q345" s="401">
        <f ca="1">IF(SUM($G345:P345)&gt;=$E345,0,IF($E345-SUM($G345:P345)&gt;Q346,Q346,$E345-SUM($G346:P346)))</f>
        <v>0</v>
      </c>
      <c r="R345" s="401">
        <f ca="1">IF(SUM($G345:Q345)&gt;=$E345,0,IF($E345-SUM($G345:Q345)&gt;R346,R346,$E345-SUM($G346:Q346)))</f>
        <v>0</v>
      </c>
      <c r="S345" s="401">
        <f ca="1">IF(SUM($G345:R345)&gt;=$E345,0,IF($E345-SUM($G345:R345)&gt;S346,S346,$E345-SUM($G346:R346)))</f>
        <v>0</v>
      </c>
      <c r="T345" s="401">
        <f ca="1">IF(SUM($G345:S345)&gt;=$E345,0,IF($E345-SUM($G345:S345)&gt;T346,T346,$E345-SUM($G346:S346)))</f>
        <v>0</v>
      </c>
      <c r="U345" s="401">
        <f ca="1">IF(SUM($G345:T345)&gt;=$E345,0,IF($E345-SUM($G345:T345)&gt;U346,U346,$E345-SUM($G346:T346)))</f>
        <v>0</v>
      </c>
      <c r="V345" s="401">
        <f ca="1">IF(SUM($G345:U345)&gt;=$E345,0,IF($E345-SUM($G345:U345)&gt;V346,V346,$E345-SUM($G346:U346)))</f>
        <v>0</v>
      </c>
      <c r="W345" s="401">
        <f ca="1">IF(SUM($G345:V345)&gt;=$E345,0,IF($E345-SUM($G345:V345)&gt;W346,W346,$E345-SUM($G346:V346)))</f>
        <v>0</v>
      </c>
      <c r="X345" s="401">
        <f ca="1">IF(SUM($G345:W345)&gt;=$E345,0,IF($E345-SUM($G345:W345)&gt;X346,X346,$E345-SUM($G346:W346)))</f>
        <v>0</v>
      </c>
      <c r="Y345" s="401">
        <f ca="1">IF(SUM($G345:X345)&gt;=$E345,0,IF($E345-SUM($G345:X345)&gt;Y346,Y346,$E345-SUM($G346:X346)))</f>
        <v>0</v>
      </c>
      <c r="Z345" s="401">
        <f ca="1">IF(SUM($G345:Y345)&gt;=$E345,0,IF($E345-SUM($G345:Y345)&gt;Z346,Z346,$E345-SUM($G346:Y346)))</f>
        <v>0</v>
      </c>
      <c r="AA345" s="401">
        <f ca="1">IF(SUM($G345:Z345)&gt;=$E345,0,IF($E345-SUM($G345:Z345)&gt;AA346,AA346,$E345-SUM($G346:Z346)))</f>
        <v>0</v>
      </c>
      <c r="AB345" s="401">
        <f ca="1">IF(SUM($G345:AA345)&gt;=$E345,0,IF($E345-SUM($G345:AA345)&gt;AB346,AB346,$E345-SUM($G346:AA346)))</f>
        <v>0</v>
      </c>
      <c r="AC345" s="401">
        <f ca="1">IF(SUM($G345:AB345)&gt;=$E345,0,IF($E345-SUM($G345:AB345)&gt;AC346,AC346,$E345-SUM($G346:AB346)))</f>
        <v>0</v>
      </c>
      <c r="AD345" s="401">
        <f ca="1">IF(SUM($G345:AC345)&gt;=$E345,0,IF($E345-SUM($G345:AC345)&gt;AD346,AD346,$E345-SUM($G346:AC346)))</f>
        <v>0</v>
      </c>
      <c r="AE345" s="401">
        <f ca="1">IF(SUM($G345:AD345)&gt;=$E345,0,IF($E345-SUM($G345:AD345)&gt;AE346,AE346,$E345-SUM($G346:AD346)))</f>
        <v>0</v>
      </c>
      <c r="AF345" s="401">
        <f ca="1">IF(SUM($G345:AE345)&gt;=$E345,0,IF($E345-SUM($G345:AE345)&gt;AF346,AF346,$E345-SUM($G346:AE346)))</f>
        <v>0</v>
      </c>
      <c r="AG345" s="401">
        <f ca="1">IF(SUM($G345:AF345)&gt;=$E345,0,IF($E345-SUM($G345:AF345)&gt;AG346,AG346,$E345-SUM($G346:AF346)))</f>
        <v>0</v>
      </c>
      <c r="AH345" s="401">
        <f ca="1">IF(SUM($G345:AG345)&gt;=$E345,0,IF($E345-SUM($G345:AG345)&gt;AH346,AH346,$E345-SUM($G346:AG346)))</f>
        <v>0</v>
      </c>
      <c r="AI345" s="401">
        <f ca="1">IF(SUM($G345:AH345)&gt;=$E345,0,IF($E345-SUM($G345:AH345)&gt;AI346,AI346,$E345-SUM($G346:AH346)))</f>
        <v>0</v>
      </c>
      <c r="AJ345" s="401">
        <f ca="1">IF(SUM($G345:AI345)&gt;=$E345,0,IF($E345-SUM($G345:AI345)&gt;AJ346,AJ346,$E345-SUM($G346:AI346)))</f>
        <v>0</v>
      </c>
      <c r="AK345" s="401">
        <f ca="1">IF(SUM($G345:AJ345)&gt;=$E345,0,IF($E345-SUM($G345:AJ345)&gt;AK346,AK346,$E345-SUM($G346:AJ346)))</f>
        <v>0</v>
      </c>
      <c r="AL345" s="401">
        <f ca="1">IF(SUM($G345:AK345)&gt;=$E345,0,IF($E345-SUM($G345:AK345)&gt;AL346,AL346,$E345-SUM($G346:AK346)))</f>
        <v>0</v>
      </c>
      <c r="AM345" s="401">
        <f ca="1">IF(SUM($G345:AL345)&gt;=$E345,0,IF($E345-SUM($G345:AL345)&gt;AM346,AM346,$E345-SUM($G346:AL346)))</f>
        <v>0</v>
      </c>
      <c r="AN345" s="401">
        <f ca="1">IF(SUM($G345:AM345)&gt;=$E345,0,IF($E345-SUM($G345:AM345)&gt;AN346,AN346,$E345-SUM($G346:AM346)))</f>
        <v>0</v>
      </c>
      <c r="AO345" s="401">
        <f ca="1">IF(SUM($G345:AN345)&gt;=$E345,0,IF($E345-SUM($G345:AN345)&gt;AO346,AO346,$E345-SUM($G346:AN346)))</f>
        <v>0</v>
      </c>
      <c r="AP345" s="401">
        <f ca="1">IF(SUM($G345:AO345)&gt;=$E345,0,IF($E345-SUM($G345:AO345)&gt;AP346,AP346,$E345-SUM($G346:AO346)))</f>
        <v>0</v>
      </c>
      <c r="AQ345" s="401">
        <f ca="1">IF(SUM($G345:AP345)&gt;=$E345,0,IF($E345-SUM($G345:AP345)&gt;AQ346,AQ346,$E345-SUM($G346:AP346)))</f>
        <v>0</v>
      </c>
      <c r="AR345" s="401">
        <f ca="1">IF(SUM($G345:AQ345)&gt;=$E345,0,IF($E345-SUM($G345:AQ345)&gt;AR346,AR346,$E345-SUM($G346:AQ346)))</f>
        <v>0</v>
      </c>
      <c r="AS345" s="401">
        <f ca="1">IF(SUM($G345:AR345)&gt;=$E345,0,IF($E345-SUM($G345:AR345)&gt;AS346,AS346,$E345-SUM($G346:AR346)))</f>
        <v>0</v>
      </c>
      <c r="AT345" s="401">
        <f ca="1">IF(SUM($G345:AS345)&gt;=$E345,0,IF($E345-SUM($G345:AS345)&gt;AT346,AT346,$E345-SUM($G346:AS346)))</f>
        <v>0</v>
      </c>
      <c r="AU345" s="401">
        <f ca="1">IF(SUM($G345:AT345)&gt;=$E345,0,IF($E345-SUM($G345:AT345)&gt;AU346,AU346,$E345-SUM($G346:AT346)))</f>
        <v>0</v>
      </c>
      <c r="AV345" s="401">
        <f ca="1">IF(SUM($G345:AU345)&gt;=$E345,0,IF($E345-SUM($G345:AU345)&gt;AV346,AV346,$E345-SUM($G346:AU346)))</f>
        <v>0</v>
      </c>
      <c r="AW345" s="401">
        <f ca="1">IF(SUM($G345:AV345)&gt;=$E345,0,IF($E345-SUM($G345:AV345)&gt;AW346,AW346,$E345-SUM($G346:AV346)))</f>
        <v>0</v>
      </c>
      <c r="AX345" s="401">
        <f ca="1">IF(SUM($G345:AW345)&gt;=$E345,0,IF($E345-SUM($G345:AW345)&gt;AX346,AX346,$E345-SUM($G346:AW346)))</f>
        <v>0</v>
      </c>
      <c r="AY345" s="401">
        <f ca="1">IF(SUM($G345:AX345)&gt;=$E345,0,IF($E345-SUM($G345:AX345)&gt;AY346,AY346,$E345-SUM($G346:AX346)))</f>
        <v>0</v>
      </c>
      <c r="AZ345" s="401">
        <f ca="1">IF(SUM($G345:AY345)&gt;=$E345,0,IF($E345-SUM($G345:AY345)&gt;AZ346,AZ346,$E345-SUM($G346:AY346)))</f>
        <v>0</v>
      </c>
      <c r="BA345" s="401">
        <f ca="1">IF(SUM($G345:AZ345)&gt;=$E345,0,IF($E345-SUM($G345:AZ345)&gt;BA346,BA346,$E345-SUM($G346:AZ346)))</f>
        <v>0</v>
      </c>
      <c r="BB345" s="401">
        <f ca="1">IF(SUM($G345:BA345)&gt;=$E345,0,IF($E345-SUM($G345:BA345)&gt;BB346,BB346,$E345-SUM($G346:BA346)))</f>
        <v>0</v>
      </c>
      <c r="BC345" s="401">
        <f ca="1">IF(SUM($G345:BB345)&gt;=$E345,0,IF($E345-SUM($G345:BB345)&gt;BC346,BC346,$E345-SUM($G346:BB346)))</f>
        <v>0</v>
      </c>
      <c r="BD345" s="401">
        <f ca="1">IF(SUM($G345:BC345)&gt;=$E345,0,IF($E345-SUM($G345:BC345)&gt;BD346,BD346,$E345-SUM($G346:BC346)))</f>
        <v>0</v>
      </c>
      <c r="BE345" s="401">
        <f ca="1">IF(SUM($G345:BD345)&gt;=$E345,0,IF($E345-SUM($G345:BD345)&gt;BE346,BE346,$E345-SUM($G346:BD346)))</f>
        <v>28.300000000000011</v>
      </c>
      <c r="BF345" s="401">
        <f ca="1">IF(SUM($G345:BE345)&gt;=$E345,0,IF($E345-SUM($G345:BE345)&gt;BF346,BF346,$E345-SUM($G346:BE346)))</f>
        <v>30</v>
      </c>
      <c r="BG345" s="401">
        <f ca="1">IF(SUM($G345:BF345)&gt;=$E345,0,IF($E345-SUM($G345:BF345)&gt;BG346,BG346,$E345-SUM($G346:BF346)))</f>
        <v>1.6999999999999886</v>
      </c>
      <c r="BH345" s="401">
        <f ca="1">IF(SUM($G345:BG345)&gt;=$E345,0,IF($E345-SUM($G345:BG345)&gt;BH346,BH346,$E345-SUM($G346:BG346)))</f>
        <v>0</v>
      </c>
      <c r="BI345" s="401">
        <f ca="1">IF(SUM($G345:BH345)&gt;=$E345,0,IF($E345-SUM($G345:BH345)&gt;BI346,BI346,$E345-SUM($G346:BH346)))</f>
        <v>0</v>
      </c>
      <c r="BJ345" s="401">
        <f ca="1">IF(SUM($G345:BI345)&gt;=$E345,0,IF($E345-SUM($G345:BI345)&gt;BJ346,BJ346,$E345-SUM($G346:BI346)))</f>
        <v>0</v>
      </c>
      <c r="BK345" s="401">
        <f ca="1">IF(SUM($G345:BJ345)&gt;=$E345,0,IF($E345-SUM($G345:BJ345)&gt;BK346,BK346,$E345-SUM($G346:BJ346)))</f>
        <v>0</v>
      </c>
      <c r="BL345" s="401">
        <f ca="1">IF(SUM($G345:BK345)&gt;=$E345,0,IF($E345-SUM($G345:BK345)&gt;BL346,BL346,$E345-SUM($G346:BK346)))</f>
        <v>0</v>
      </c>
      <c r="BM345" s="401">
        <f ca="1">IF(SUM($G345:BL345)&gt;=$E345,0,IF($E345-SUM($G345:BL345)&gt;BM346,BM346,$E345-SUM($G346:BL346)))</f>
        <v>0</v>
      </c>
      <c r="BN345" s="401">
        <f ca="1">IF(SUM($G345:BM345)&gt;=$E345,0,IF($E345-SUM($G345:BM345)&gt;BN346,BN346,$E345-SUM($G346:BM346)))</f>
        <v>0</v>
      </c>
      <c r="BO345" s="401">
        <f ca="1">IF(SUM($G345:BN345)&gt;=$E345,0,IF($E345-SUM($G345:BN345)&gt;BO346,BO346,$E345-SUM($G346:BN346)))</f>
        <v>0</v>
      </c>
      <c r="BP345" s="401">
        <f ca="1">IF(SUM($G345:BO345)&gt;=$E345,0,IF($E345-SUM($G345:BO345)&gt;BP346,BP346,$E345-SUM($G346:BO346)))</f>
        <v>0</v>
      </c>
      <c r="BQ345" s="401">
        <f ca="1">IF(SUM($G345:BP345)&gt;=$E345,0,IF($E345-SUM($G345:BP345)&gt;BQ346,BQ346,$E345-SUM($G346:BP346)))</f>
        <v>0</v>
      </c>
      <c r="BR345" s="401">
        <f ca="1">IF(SUM($G345:BQ345)&gt;=$E345,0,IF($E345-SUM($G345:BQ345)&gt;BR346,BR346,$E345-SUM($G346:BQ346)))</f>
        <v>0</v>
      </c>
      <c r="BS345" s="401">
        <f ca="1">IF(SUM($G345:BR345)&gt;=$E345,0,IF($E345-SUM($G345:BR345)&gt;BS346,BS346,$E345-SUM($G346:BR346)))</f>
        <v>0</v>
      </c>
      <c r="BT345" s="401">
        <f ca="1">IF(SUM($G345:BS345)&gt;=$E345,0,IF($E345-SUM($G345:BS345)&gt;BT346,BT346,$E345-SUM($G346:BS346)))</f>
        <v>0</v>
      </c>
      <c r="BU345" s="401">
        <f ca="1">IF(SUM($G345:BT345)&gt;=$E345,0,IF($E345-SUM($G345:BT345)&gt;BU346,BU346,$E345-SUM($G346:BT346)))</f>
        <v>0</v>
      </c>
      <c r="BV345" s="401">
        <f ca="1">IF(SUM($G345:BU345)&gt;=$E345,0,IF($E345-SUM($G345:BU345)&gt;BV346,BV346,$E345-SUM($G346:BU346)))</f>
        <v>0</v>
      </c>
      <c r="BW345" s="401">
        <f ca="1">IF(SUM($G345:BV345)&gt;=$E345,0,IF($E345-SUM($G345:BV345)&gt;BW346,BW346,$E345-SUM($G346:BV346)))</f>
        <v>0</v>
      </c>
      <c r="BX345" s="401">
        <f ca="1">IF(SUM($G345:BW345)&gt;=$E345,0,IF($E345-SUM($G345:BW345)&gt;BX346,BX346,$E345-SUM($G346:BW346)))</f>
        <v>0</v>
      </c>
      <c r="BY345" s="401">
        <f ca="1">IF(SUM($G345:BX345)&gt;=$E345,0,IF($E345-SUM($G345:BX345)&gt;BY346,BY346,$E345-SUM($G346:BX346)))</f>
        <v>0</v>
      </c>
      <c r="BZ345" s="401">
        <f ca="1">IF(SUM($G345:BY345)&gt;=$E345,0,IF($E345-SUM($G345:BY345)&gt;BZ346,BZ346,$E345-SUM($G346:BY346)))</f>
        <v>0</v>
      </c>
      <c r="CA345" s="401">
        <f ca="1">IF(SUM($G345:BZ345)&gt;=$E345,0,IF($E345-SUM($G345:BZ345)&gt;CA346,CA346,$E345-SUM($G346:BZ346)))</f>
        <v>0</v>
      </c>
      <c r="CB345" s="401">
        <f ca="1">IF(SUM($G345:CA345)&gt;=$E345,0,IF($E345-SUM($G345:CA345)&gt;CB346,CB346,$E345-SUM($G346:CA346)))</f>
        <v>0</v>
      </c>
      <c r="CC345" s="401">
        <f ca="1">IF(SUM($G345:CB345)&gt;=$E345,0,IF($E345-SUM($G345:CB345)&gt;CC346,CC346,$E345-SUM($G346:CB346)))</f>
        <v>0</v>
      </c>
      <c r="CD345" s="401">
        <f ca="1">IF(SUM($G345:CC345)&gt;=$E345,0,IF($E345-SUM($G345:CC345)&gt;CD346,CD346,$E345-SUM($G346:CC346)))</f>
        <v>0</v>
      </c>
      <c r="CE345" s="401">
        <f ca="1">IF(SUM($G345:CD345)&gt;=$E345,0,IF($E345-SUM($G345:CD345)&gt;CE346,CE346,$E345-SUM($G346:CD346)))</f>
        <v>0</v>
      </c>
      <c r="CF345" s="401">
        <f ca="1">IF(SUM($G345:CE345)&gt;=$E345,0,IF($E345-SUM($G345:CE345)&gt;CF346,CF346,$E345-SUM($G346:CE346)))</f>
        <v>0</v>
      </c>
      <c r="CG345" s="401">
        <f ca="1">IF(SUM($G345:CF345)&gt;=$E345,0,IF($E345-SUM($G345:CF345)&gt;CG346,CG346,$E345-SUM($G346:CF346)))</f>
        <v>0</v>
      </c>
      <c r="CH345" s="401">
        <f ca="1">IF(SUM($G345:CG345)&gt;=$E345,0,IF($E345-SUM($G345:CG345)&gt;CH346,CH346,$E345-SUM($G346:CG346)))</f>
        <v>0</v>
      </c>
      <c r="CI345" s="401">
        <f ca="1">IF(SUM($G345:CH345)&gt;=$E345,0,IF($E345-SUM($G345:CH345)&gt;CI346,CI346,$E345-SUM($G346:CH346)))</f>
        <v>0</v>
      </c>
      <c r="CJ345" s="401">
        <f ca="1">IF(SUM($G345:CI345)&gt;=$E345,0,IF($E345-SUM($G345:CI345)&gt;CJ346,CJ346,$E345-SUM($G346:CI346)))</f>
        <v>0</v>
      </c>
      <c r="CK345" s="401">
        <f ca="1">IF(SUM($G345:CJ345)&gt;=$E345,0,IF($E345-SUM($G345:CJ345)&gt;CK346,CK346,$E345-SUM($G346:CJ346)))</f>
        <v>0</v>
      </c>
      <c r="CL345" s="401">
        <f ca="1">IF(SUM($G345:CK345)&gt;=$E345,0,IF($E345-SUM($G345:CK345)&gt;CL346,CL346,$E345-SUM($G346:CK346)))</f>
        <v>0</v>
      </c>
      <c r="CM345" s="401">
        <f ca="1">IF(SUM($G345:CL345)&gt;=$E345,0,IF($E345-SUM($G345:CL345)&gt;CM346,CM346,$E345-SUM($G346:CL346)))</f>
        <v>0</v>
      </c>
      <c r="CN345" s="401">
        <f ca="1">IF(SUM($G345:CM345)&gt;=$E345,0,IF($E345-SUM($G345:CM345)&gt;CN346,CN346,$E345-SUM($G346:CM346)))</f>
        <v>0</v>
      </c>
      <c r="CO345" s="401">
        <f ca="1">IF(SUM($G345:CN345)&gt;=$E345,0,IF($E345-SUM($G345:CN345)&gt;CO346,CO346,$E345-SUM($G346:CN346)))</f>
        <v>0</v>
      </c>
      <c r="CP345" s="401">
        <f ca="1">IF(SUM($G345:CO345)&gt;=$E345,0,IF($E345-SUM($G345:CO345)&gt;CP346,CP346,$E345-SUM($G346:CO346)))</f>
        <v>0</v>
      </c>
      <c r="CQ345" s="401">
        <f ca="1">IF(SUM($G345:CP345)&gt;=$E345,0,IF($E345-SUM($G345:CP345)&gt;CQ346,CQ346,$E345-SUM($G346:CP346)))</f>
        <v>0</v>
      </c>
      <c r="CR345" s="401">
        <f ca="1">IF(SUM($G345:CQ345)&gt;=$E345,0,IF($E345-SUM($G345:CQ345)&gt;CR346,CR346,$E345-SUM($G346:CQ346)))</f>
        <v>0</v>
      </c>
      <c r="CS345" s="401">
        <f ca="1">IF(SUM($G345:CR345)&gt;=$E345,0,IF($E345-SUM($G345:CR345)&gt;CS346,CS346,$E345-SUM($G346:CR346)))</f>
        <v>0</v>
      </c>
      <c r="CT345" s="401">
        <f ca="1">IF(SUM($G345:CS345)&gt;=$E345,0,IF($E345-SUM($G345:CS345)&gt;CT346,CT346,$E345-SUM($G346:CS346)))</f>
        <v>0</v>
      </c>
      <c r="CU345" s="401">
        <f ca="1">IF(SUM($G345:CT345)&gt;=$E345,0,IF($E345-SUM($G345:CT345)&gt;CU346,CU346,$E345-SUM($G346:CT346)))</f>
        <v>0</v>
      </c>
      <c r="CV345" s="401">
        <f ca="1">IF(SUM($G345:CU345)&gt;=$E345,0,IF($E345-SUM($G345:CU345)&gt;CV346,CV346,$E345-SUM($G346:CU346)))</f>
        <v>0</v>
      </c>
      <c r="CW345" s="401">
        <f ca="1">IF(SUM($G345:CV345)&gt;=$E345,0,IF($E345-SUM($G345:CV345)&gt;CW346,CW346,$E345-SUM($G346:CV346)))</f>
        <v>0</v>
      </c>
      <c r="CX345" s="401">
        <f ca="1">IF(SUM($G345:CW345)&gt;=$E345,0,IF($E345-SUM($G345:CW345)&gt;CX346,CX346,$E345-SUM($G346:CW346)))</f>
        <v>0</v>
      </c>
      <c r="CY345" s="401">
        <f ca="1">IF(SUM($G345:CX345)&gt;=$E345,0,IF($E345-SUM($G345:CX345)&gt;CY346,CY346,$E345-SUM($G346:CX346)))</f>
        <v>0</v>
      </c>
      <c r="CZ345" s="401">
        <f ca="1">IF(SUM($G345:CY345)&gt;=$E345,0,IF($E345-SUM($G345:CY345)&gt;CZ346,CZ346,$E345-SUM($G346:CY346)))</f>
        <v>0</v>
      </c>
      <c r="DA345" s="401">
        <f ca="1">IF(SUM($G345:CZ345)&gt;=$E345,0,IF($E345-SUM($G345:CZ345)&gt;DA346,DA346,$E345-SUM($G346:CZ346)))</f>
        <v>0</v>
      </c>
      <c r="DB345" s="401">
        <f ca="1">IF(SUM($G345:DA345)&gt;=$E345,0,IF($E345-SUM($G345:DA345)&gt;DB346,DB346,$E345-SUM($G346:DA346)))</f>
        <v>0</v>
      </c>
      <c r="DC345" s="401">
        <f ca="1">IF(SUM($G345:DB345)&gt;=$E345,0,IF($E345-SUM($G345:DB345)&gt;DC346,DC346,$E345-SUM($G346:DB346)))</f>
        <v>0</v>
      </c>
      <c r="DD345" s="401">
        <f ca="1">IF(SUM($G345:DC345)&gt;=$E345,0,IF($E345-SUM($G345:DC345)&gt;DD346,DD346,$E345-SUM($G346:DC346)))</f>
        <v>0</v>
      </c>
      <c r="DE345" s="401">
        <f ca="1">IF(SUM($G345:DD345)&gt;=$E345,0,IF($E345-SUM($G345:DD345)&gt;DE346,DE346,$E345-SUM($G346:DD346)))</f>
        <v>0</v>
      </c>
      <c r="DF345" s="401">
        <f ca="1">IF(SUM($G345:DE345)&gt;=$E345,0,IF($E345-SUM($G345:DE345)&gt;DF346,DF346,$E345-SUM($G346:DE346)))</f>
        <v>0</v>
      </c>
      <c r="DG345" s="401">
        <f ca="1">IF(SUM($G345:DF345)&gt;=$E345,0,IF($E345-SUM($G345:DF345)&gt;DG346,DG346,$E345-SUM($G346:DF346)))</f>
        <v>0</v>
      </c>
      <c r="DH345" s="401">
        <f ca="1">IF(SUM($G345:DG345)&gt;=$E345,0,IF($E345-SUM($G345:DG345)&gt;DH346,DH346,$E345-SUM($G346:DG346)))</f>
        <v>0</v>
      </c>
      <c r="DI345" s="401">
        <f ca="1">IF(SUM($G345:DH345)&gt;=$E345,0,IF($E345-SUM($G345:DH345)&gt;DI346,DI346,$E345-SUM($G346:DH346)))</f>
        <v>0</v>
      </c>
      <c r="DJ345" s="401">
        <f ca="1">IF(SUM($G345:DI345)&gt;=$E345,0,IF($E345-SUM($G345:DI345)&gt;DJ346,DJ346,$E345-SUM($G346:DI346)))</f>
        <v>0</v>
      </c>
      <c r="DK345" s="401">
        <f ca="1">IF(SUM($G345:DJ345)&gt;=$E345,0,IF($E345-SUM($G345:DJ345)&gt;DK346,DK346,$E345-SUM($G346:DJ346)))</f>
        <v>0</v>
      </c>
      <c r="DL345" s="401">
        <f ca="1">IF(SUM($G345:DK345)&gt;=$E345,0,IF($E345-SUM($G345:DK345)&gt;DL346,DL346,$E345-SUM($G346:DK346)))</f>
        <v>0</v>
      </c>
      <c r="DM345" s="401">
        <f ca="1">IF(SUM($G345:DL345)&gt;=$E345,0,IF($E345-SUM($G345:DL345)&gt;DM346,DM346,$E345-SUM($G346:DL346)))</f>
        <v>0</v>
      </c>
      <c r="DN345" s="401">
        <f ca="1">IF(SUM($G345:DM345)&gt;=$E345,0,IF($E345-SUM($G345:DM345)&gt;DN346,DN346,$E345-SUM($G346:DM346)))</f>
        <v>0</v>
      </c>
      <c r="DO345" s="401">
        <f ca="1">IF(SUM($G345:DN345)&gt;=$E345,0,IF($E345-SUM($G345:DN345)&gt;DO346,DO346,$E345-SUM($G346:DN346)))</f>
        <v>0</v>
      </c>
      <c r="DP345" s="401">
        <f ca="1">IF(SUM($G345:DO345)&gt;=$E345,0,IF($E345-SUM($G345:DO345)&gt;DP346,DP346,$E345-SUM($G346:DO346)))</f>
        <v>0</v>
      </c>
      <c r="DQ345" s="401">
        <f ca="1">IF(SUM($G345:DP345)&gt;=$E345,0,IF($E345-SUM($G345:DP345)&gt;DQ346,DQ346,$E345-SUM($G346:DP346)))</f>
        <v>0</v>
      </c>
      <c r="DR345" s="401">
        <f ca="1">IF(SUM($G345:DQ345)&gt;=$E345,0,IF($E345-SUM($G345:DQ345)&gt;DR346,DR346,$E345-SUM($G346:DQ346)))</f>
        <v>0</v>
      </c>
      <c r="DS345" s="401">
        <f ca="1">IF(SUM($G345:DR345)&gt;=$E345,0,IF($E345-SUM($G345:DR345)&gt;DS346,DS346,$E345-SUM($G346:DR346)))</f>
        <v>0</v>
      </c>
      <c r="DT345" s="401">
        <f ca="1">IF(SUM($G345:DS345)&gt;=$E345,0,IF($E345-SUM($G345:DS345)&gt;DT346,DT346,$E345-SUM($G346:DS346)))</f>
        <v>0</v>
      </c>
      <c r="DU345" s="401">
        <f ca="1">IF(SUM($G345:DT345)&gt;=$E345,0,IF($E345-SUM($G345:DT345)&gt;DU346,DU346,$E345-SUM($G346:DT346)))</f>
        <v>0</v>
      </c>
      <c r="DV345" s="401">
        <f ca="1">IF(SUM($G345:DU345)&gt;=$E345,0,IF($E345-SUM($G345:DU345)&gt;DV346,DV346,$E345-SUM($G346:DU346)))</f>
        <v>0</v>
      </c>
      <c r="DW345" s="401">
        <f ca="1">IF(SUM($G345:DV345)&gt;=$E345,0,IF($E345-SUM($G345:DV345)&gt;DW346,DW346,$E345-SUM($G346:DV346)))</f>
        <v>0</v>
      </c>
      <c r="DX345" s="401">
        <f ca="1">IF(SUM($G345:DW345)&gt;=$E345,0,IF($E345-SUM($G345:DW345)&gt;DX346,DX346,$E345-SUM($G346:DW346)))</f>
        <v>0</v>
      </c>
      <c r="DY345" s="401">
        <f ca="1">IF(SUM($G345:DX345)&gt;=$E345,0,IF($E345-SUM($G345:DX345)&gt;DY346,DY346,$E345-SUM($G346:DX346)))</f>
        <v>0</v>
      </c>
      <c r="DZ345" s="401">
        <f ca="1">IF(SUM($G345:DY345)&gt;=$E345,0,IF($E345-SUM($G345:DY345)&gt;DZ346,DZ346,$E345-SUM($G346:DY346)))</f>
        <v>0</v>
      </c>
      <c r="EA345" s="401">
        <f ca="1">IF(SUM($G345:DZ345)&gt;=$E345,0,IF($E345-SUM($G345:DZ345)&gt;EA346,EA346,$E345-SUM($G346:DZ346)))</f>
        <v>0</v>
      </c>
      <c r="EB345" s="401">
        <f ca="1">IF(SUM($G345:EA345)&gt;=$E345,0,IF($E345-SUM($G345:EA345)&gt;EB346,EB346,$E345-SUM($G346:EA346)))</f>
        <v>0</v>
      </c>
      <c r="EC345" s="401">
        <f ca="1">IF(SUM($G345:EB345)&gt;=$E345,0,IF($E345-SUM($G345:EB345)&gt;EC346,EC346,$E345-SUM($G346:EB346)))</f>
        <v>0</v>
      </c>
      <c r="ED345" s="401">
        <f ca="1">IF(SUM($G345:EC345)&gt;=$E345,0,IF($E345-SUM($G345:EC345)&gt;ED346,ED346,$E345-SUM($G346:EC346)))</f>
        <v>0</v>
      </c>
      <c r="EE345" s="401">
        <f ca="1">IF(SUM($G345:ED345)&gt;=$E345,0,IF($E345-SUM($G345:ED345)&gt;EE346,EE346,$E345-SUM($G346:ED346)))</f>
        <v>0</v>
      </c>
      <c r="EF345" s="401">
        <f ca="1">IF(SUM($G345:EE345)&gt;=$E345,0,IF($E345-SUM($G345:EE345)&gt;EF346,EF346,$E345-SUM($G346:EE346)))</f>
        <v>0</v>
      </c>
      <c r="EG345" s="401">
        <f ca="1">IF(SUM($G345:EF345)&gt;=$E345,0,IF($E345-SUM($G345:EF345)&gt;EG346,EG346,$E345-SUM($G346:EF346)))</f>
        <v>0</v>
      </c>
      <c r="EH345" s="401">
        <f ca="1">IF(SUM($G345:EG345)&gt;=$E345,0,IF($E345-SUM($G345:EG345)&gt;EH346,EH346,$E345-SUM($G346:EG346)))</f>
        <v>0</v>
      </c>
      <c r="EI345" s="401">
        <f ca="1">IF(SUM($G345:EH345)&gt;=$E345,0,IF($E345-SUM($G345:EH345)&gt;EI346,EI346,$E345-SUM($G346:EH346)))</f>
        <v>0</v>
      </c>
      <c r="EK345" s="313"/>
    </row>
    <row r="346" spans="1:141" hidden="1" outlineLevel="2">
      <c r="A346" s="332"/>
      <c r="B346" s="313"/>
      <c r="C346" s="308"/>
      <c r="D346" s="308"/>
      <c r="E346" s="308"/>
      <c r="G346" s="402"/>
      <c r="H346" s="402">
        <f ca="1">IF((SUM($G344:H344)-$E344*0.8)&lt;0,0,IF((SUM($G344:H344)-$E344*0.8)&lt;H344,SUM($G344:H344)-$E344*0.8,H344))</f>
        <v>0</v>
      </c>
      <c r="I346" s="402">
        <f ca="1">IF((SUM($G344:I344)-$E344*0.8)&lt;0,0,IF((SUM($G344:I344)-$E344*0.8)&lt;I344,SUM($G344:I344)-$E344*0.8,I344))</f>
        <v>0</v>
      </c>
      <c r="J346" s="402">
        <f ca="1">IF((SUM($G344:J344)-$E344*0.8)&lt;0,0,IF((SUM($G344:J344)-$E344*0.8)&lt;J344,SUM($G344:J344)-$E344*0.8,J344))</f>
        <v>0</v>
      </c>
      <c r="K346" s="402">
        <f ca="1">IF((SUM($G344:K344)-$E344*0.8)&lt;0,0,IF((SUM($G344:K344)-$E344*0.8)&lt;K344,SUM($G344:K344)-$E344*0.8,K344))</f>
        <v>0</v>
      </c>
      <c r="L346" s="402">
        <f ca="1">IF((SUM($G344:L344)-$E344*0.8)&lt;0,0,IF((SUM($G344:L344)-$E344*0.8)&lt;L344,SUM($G344:L344)-$E344*0.8,L344))</f>
        <v>0</v>
      </c>
      <c r="M346" s="402">
        <f ca="1">IF((SUM($G344:M344)-$E344*0.8)&lt;0,0,IF((SUM($G344:M344)-$E344*0.8)&lt;M344,SUM($G344:M344)-$E344*0.8,M344))</f>
        <v>0</v>
      </c>
      <c r="N346" s="402">
        <f ca="1">IF((SUM($G344:N344)-$E344*0.8)&lt;0,0,IF((SUM($G344:N344)-$E344*0.8)&lt;N344,SUM($G344:N344)-$E344*0.8,N344))</f>
        <v>0</v>
      </c>
      <c r="O346" s="402">
        <f ca="1">IF((SUM($G344:O344)-$E344*0.8)&lt;0,0,IF((SUM($G344:O344)-$E344*0.8)&lt;O344,SUM($G344:O344)-$E344*0.8,O344))</f>
        <v>0</v>
      </c>
      <c r="P346" s="402">
        <f ca="1">IF((SUM($G344:P344)-$E344*0.8)&lt;0,0,IF((SUM($G344:P344)-$E344*0.8)&lt;P344,SUM($G344:P344)-$E344*0.8,P344))</f>
        <v>0</v>
      </c>
      <c r="Q346" s="402">
        <f ca="1">IF((SUM($G344:Q344)-$E344*0.8)&lt;0,0,IF((SUM($G344:Q344)-$E344*0.8)&lt;Q344,SUM($G344:Q344)-$E344*0.8,Q344))</f>
        <v>0</v>
      </c>
      <c r="R346" s="402">
        <f ca="1">IF((SUM($G344:R344)-$E344*0.8)&lt;0,0,IF((SUM($G344:R344)-$E344*0.8)&lt;R344,SUM($G344:R344)-$E344*0.8,R344))</f>
        <v>0</v>
      </c>
      <c r="S346" s="402">
        <f ca="1">IF((SUM($G344:S344)-$E344*0.8)&lt;0,0,IF((SUM($G344:S344)-$E344*0.8)&lt;S344,SUM($G344:S344)-$E344*0.8,S344))</f>
        <v>0</v>
      </c>
      <c r="T346" s="402">
        <f ca="1">IF((SUM($G344:T344)-$E344*0.8)&lt;0,0,IF((SUM($G344:T344)-$E344*0.8)&lt;T344,SUM($G344:T344)-$E344*0.8,T344))</f>
        <v>0</v>
      </c>
      <c r="U346" s="402">
        <f ca="1">IF((SUM($G344:U344)-$E344*0.8)&lt;0,0,IF((SUM($G344:U344)-$E344*0.8)&lt;U344,SUM($G344:U344)-$E344*0.8,U344))</f>
        <v>0</v>
      </c>
      <c r="V346" s="402">
        <f ca="1">IF((SUM($G344:V344)-$E344*0.8)&lt;0,0,IF((SUM($G344:V344)-$E344*0.8)&lt;V344,SUM($G344:V344)-$E344*0.8,V344))</f>
        <v>0</v>
      </c>
      <c r="W346" s="402">
        <f ca="1">IF((SUM($G344:W344)-$E344*0.8)&lt;0,0,IF((SUM($G344:W344)-$E344*0.8)&lt;W344,SUM($G344:W344)-$E344*0.8,W344))</f>
        <v>0</v>
      </c>
      <c r="X346" s="402">
        <f ca="1">IF((SUM($G344:X344)-$E344*0.8)&lt;0,0,IF((SUM($G344:X344)-$E344*0.8)&lt;X344,SUM($G344:X344)-$E344*0.8,X344))</f>
        <v>0</v>
      </c>
      <c r="Y346" s="402">
        <f ca="1">IF((SUM($G344:Y344)-$E344*0.8)&lt;0,0,IF((SUM($G344:Y344)-$E344*0.8)&lt;Y344,SUM($G344:Y344)-$E344*0.8,Y344))</f>
        <v>0</v>
      </c>
      <c r="Z346" s="402">
        <f ca="1">IF((SUM($G344:Z344)-$E344*0.8)&lt;0,0,IF((SUM($G344:Z344)-$E344*0.8)&lt;Z344,SUM($G344:Z344)-$E344*0.8,Z344))</f>
        <v>0</v>
      </c>
      <c r="AA346" s="402">
        <f ca="1">IF((SUM($G344:AA344)-$E344*0.8)&lt;0,0,IF((SUM($G344:AA344)-$E344*0.8)&lt;AA344,SUM($G344:AA344)-$E344*0.8,AA344))</f>
        <v>0</v>
      </c>
      <c r="AB346" s="402">
        <f ca="1">IF((SUM($G344:AB344)-$E344*0.8)&lt;0,0,IF((SUM($G344:AB344)-$E344*0.8)&lt;AB344,SUM($G344:AB344)-$E344*0.8,AB344))</f>
        <v>0</v>
      </c>
      <c r="AC346" s="402">
        <f ca="1">IF((SUM($G344:AC344)-$E344*0.8)&lt;0,0,IF((SUM($G344:AC344)-$E344*0.8)&lt;AC344,SUM($G344:AC344)-$E344*0.8,AC344))</f>
        <v>0</v>
      </c>
      <c r="AD346" s="402">
        <f ca="1">IF((SUM($G344:AD344)-$E344*0.8)&lt;0,0,IF((SUM($G344:AD344)-$E344*0.8)&lt;AD344,SUM($G344:AD344)-$E344*0.8,AD344))</f>
        <v>0</v>
      </c>
      <c r="AE346" s="402">
        <f ca="1">IF((SUM($G344:AE344)-$E344*0.8)&lt;0,0,IF((SUM($G344:AE344)-$E344*0.8)&lt;AE344,SUM($G344:AE344)-$E344*0.8,AE344))</f>
        <v>0</v>
      </c>
      <c r="AF346" s="402">
        <f ca="1">IF((SUM($G344:AF344)-$E344*0.8)&lt;0,0,IF((SUM($G344:AF344)-$E344*0.8)&lt;AF344,SUM($G344:AF344)-$E344*0.8,AF344))</f>
        <v>0</v>
      </c>
      <c r="AG346" s="402">
        <f ca="1">IF((SUM($G344:AG344)-$E344*0.8)&lt;0,0,IF((SUM($G344:AG344)-$E344*0.8)&lt;AG344,SUM($G344:AG344)-$E344*0.8,AG344))</f>
        <v>0</v>
      </c>
      <c r="AH346" s="402">
        <f ca="1">IF((SUM($G344:AH344)-$E344*0.8)&lt;0,0,IF((SUM($G344:AH344)-$E344*0.8)&lt;AH344,SUM($G344:AH344)-$E344*0.8,AH344))</f>
        <v>0</v>
      </c>
      <c r="AI346" s="402">
        <f ca="1">IF((SUM($G344:AI344)-$E344*0.8)&lt;0,0,IF((SUM($G344:AI344)-$E344*0.8)&lt;AI344,SUM($G344:AI344)-$E344*0.8,AI344))</f>
        <v>0</v>
      </c>
      <c r="AJ346" s="402">
        <f ca="1">IF((SUM($G344:AJ344)-$E344*0.8)&lt;0,0,IF((SUM($G344:AJ344)-$E344*0.8)&lt;AJ344,SUM($G344:AJ344)-$E344*0.8,AJ344))</f>
        <v>0</v>
      </c>
      <c r="AK346" s="402">
        <f ca="1">IF((SUM($G344:AK344)-$E344*0.8)&lt;0,0,IF((SUM($G344:AK344)-$E344*0.8)&lt;AK344,SUM($G344:AK344)-$E344*0.8,AK344))</f>
        <v>0</v>
      </c>
      <c r="AL346" s="402">
        <f ca="1">IF((SUM($G344:AL344)-$E344*0.8)&lt;0,0,IF((SUM($G344:AL344)-$E344*0.8)&lt;AL344,SUM($G344:AL344)-$E344*0.8,AL344))</f>
        <v>0</v>
      </c>
      <c r="AM346" s="402">
        <f ca="1">IF((SUM($G344:AM344)-$E344*0.8)&lt;0,0,IF((SUM($G344:AM344)-$E344*0.8)&lt;AM344,SUM($G344:AM344)-$E344*0.8,AM344))</f>
        <v>0</v>
      </c>
      <c r="AN346" s="402">
        <f ca="1">IF((SUM($G344:AN344)-$E344*0.8)&lt;0,0,IF((SUM($G344:AN344)-$E344*0.8)&lt;AN344,SUM($G344:AN344)-$E344*0.8,AN344))</f>
        <v>0</v>
      </c>
      <c r="AO346" s="402">
        <f ca="1">IF((SUM($G344:AO344)-$E344*0.8)&lt;0,0,IF((SUM($G344:AO344)-$E344*0.8)&lt;AO344,SUM($G344:AO344)-$E344*0.8,AO344))</f>
        <v>0</v>
      </c>
      <c r="AP346" s="402">
        <f ca="1">IF((SUM($G344:AP344)-$E344*0.8)&lt;0,0,IF((SUM($G344:AP344)-$E344*0.8)&lt;AP344,SUM($G344:AP344)-$E344*0.8,AP344))</f>
        <v>0</v>
      </c>
      <c r="AQ346" s="402">
        <f ca="1">IF((SUM($G344:AQ344)-$E344*0.8)&lt;0,0,IF((SUM($G344:AQ344)-$E344*0.8)&lt;AQ344,SUM($G344:AQ344)-$E344*0.8,AQ344))</f>
        <v>0</v>
      </c>
      <c r="AR346" s="402">
        <f ca="1">IF((SUM($G344:AR344)-$E344*0.8)&lt;0,0,IF((SUM($G344:AR344)-$E344*0.8)&lt;AR344,SUM($G344:AR344)-$E344*0.8,AR344))</f>
        <v>0</v>
      </c>
      <c r="AS346" s="402">
        <f ca="1">IF((SUM($G344:AS344)-$E344*0.8)&lt;0,0,IF((SUM($G344:AS344)-$E344*0.8)&lt;AS344,SUM($G344:AS344)-$E344*0.8,AS344))</f>
        <v>0</v>
      </c>
      <c r="AT346" s="402">
        <f ca="1">IF((SUM($G344:AT344)-$E344*0.8)&lt;0,0,IF((SUM($G344:AT344)-$E344*0.8)&lt;AT344,SUM($G344:AT344)-$E344*0.8,AT344))</f>
        <v>0</v>
      </c>
      <c r="AU346" s="402">
        <f ca="1">IF((SUM($G344:AU344)-$E344*0.8)&lt;0,0,IF((SUM($G344:AU344)-$E344*0.8)&lt;AU344,SUM($G344:AU344)-$E344*0.8,AU344))</f>
        <v>0</v>
      </c>
      <c r="AV346" s="402">
        <f ca="1">IF((SUM($G344:AV344)-$E344*0.8)&lt;0,0,IF((SUM($G344:AV344)-$E344*0.8)&lt;AV344,SUM($G344:AV344)-$E344*0.8,AV344))</f>
        <v>0</v>
      </c>
      <c r="AW346" s="402">
        <f ca="1">IF((SUM($G344:AW344)-$E344*0.8)&lt;0,0,IF((SUM($G344:AW344)-$E344*0.8)&lt;AW344,SUM($G344:AW344)-$E344*0.8,AW344))</f>
        <v>0</v>
      </c>
      <c r="AX346" s="402">
        <f ca="1">IF((SUM($G344:AX344)-$E344*0.8)&lt;0,0,IF((SUM($G344:AX344)-$E344*0.8)&lt;AX344,SUM($G344:AX344)-$E344*0.8,AX344))</f>
        <v>0</v>
      </c>
      <c r="AY346" s="402">
        <f ca="1">IF((SUM($G344:AY344)-$E344*0.8)&lt;0,0,IF((SUM($G344:AY344)-$E344*0.8)&lt;AY344,SUM($G344:AY344)-$E344*0.8,AY344))</f>
        <v>0</v>
      </c>
      <c r="AZ346" s="402">
        <f ca="1">IF((SUM($G344:AZ344)-$E344*0.8)&lt;0,0,IF((SUM($G344:AZ344)-$E344*0.8)&lt;AZ344,SUM($G344:AZ344)-$E344*0.8,AZ344))</f>
        <v>0</v>
      </c>
      <c r="BA346" s="402">
        <f ca="1">IF((SUM($G344:BA344)-$E344*0.8)&lt;0,0,IF((SUM($G344:BA344)-$E344*0.8)&lt;BA344,SUM($G344:BA344)-$E344*0.8,BA344))</f>
        <v>0</v>
      </c>
      <c r="BB346" s="402">
        <f ca="1">IF((SUM($G344:BB344)-$E344*0.8)&lt;0,0,IF((SUM($G344:BB344)-$E344*0.8)&lt;BB344,SUM($G344:BB344)-$E344*0.8,BB344))</f>
        <v>0</v>
      </c>
      <c r="BC346" s="402">
        <f ca="1">IF((SUM($G344:BC344)-$E344*0.8)&lt;0,0,IF((SUM($G344:BC344)-$E344*0.8)&lt;BC344,SUM($G344:BC344)-$E344*0.8,BC344))</f>
        <v>0</v>
      </c>
      <c r="BD346" s="402">
        <f ca="1">IF((SUM($G344:BD344)-$E344*0.8)&lt;0,0,IF((SUM($G344:BD344)-$E344*0.8)&lt;BD344,SUM($G344:BD344)-$E344*0.8,BD344))</f>
        <v>0</v>
      </c>
      <c r="BE346" s="402">
        <f ca="1">IF((SUM($G344:BE344)-$E344*0.8)&lt;0,0,IF((SUM($G344:BE344)-$E344*0.8)&lt;BE344,SUM($G344:BE344)-$E344*0.8,BE344))</f>
        <v>28.300000000000011</v>
      </c>
      <c r="BF346" s="402">
        <f ca="1">IF((SUM($G344:BF344)-$E344*0.8)&lt;0,0,IF((SUM($G344:BF344)-$E344*0.8)&lt;BF344,SUM($G344:BF344)-$E344*0.8,BF344))</f>
        <v>30</v>
      </c>
      <c r="BG346" s="402">
        <f ca="1">IF((SUM($G344:BG344)-$E344*0.8)&lt;0,0,IF((SUM($G344:BG344)-$E344*0.8)&lt;BG344,SUM($G344:BG344)-$E344*0.8,BG344))</f>
        <v>31</v>
      </c>
      <c r="BH346" s="402">
        <f ca="1">IF((SUM($G344:BH344)-$E344*0.8)&lt;0,0,IF((SUM($G344:BH344)-$E344*0.8)&lt;BH344,SUM($G344:BH344)-$E344*0.8,BH344))</f>
        <v>31</v>
      </c>
      <c r="BI346" s="402">
        <f ca="1">IF((SUM($G344:BI344)-$E344*0.8)&lt;0,0,IF((SUM($G344:BI344)-$E344*0.8)&lt;BI344,SUM($G344:BI344)-$E344*0.8,BI344))</f>
        <v>30</v>
      </c>
      <c r="BJ346" s="402">
        <f ca="1">IF((SUM($G344:BJ344)-$E344*0.8)&lt;0,0,IF((SUM($G344:BJ344)-$E344*0.8)&lt;BJ344,SUM($G344:BJ344)-$E344*0.8,BJ344))</f>
        <v>31</v>
      </c>
      <c r="BK346" s="402">
        <f ca="1">IF((SUM($G344:BK344)-$E344*0.8)&lt;0,0,IF((SUM($G344:BK344)-$E344*0.8)&lt;BK344,SUM($G344:BK344)-$E344*0.8,BK344))</f>
        <v>30</v>
      </c>
      <c r="BL346" s="402">
        <f ca="1">IF((SUM($G344:BL344)-$E344*0.8)&lt;0,0,IF((SUM($G344:BL344)-$E344*0.8)&lt;BL344,SUM($G344:BL344)-$E344*0.8,BL344))</f>
        <v>31</v>
      </c>
      <c r="BM346" s="402">
        <f ca="1">IF((SUM($G344:BM344)-$E344*0.8)&lt;0,0,IF((SUM($G344:BM344)-$E344*0.8)&lt;BM344,SUM($G344:BM344)-$E344*0.8,BM344))</f>
        <v>31</v>
      </c>
      <c r="BN346" s="402">
        <f ca="1">IF((SUM($G344:BN344)-$E344*0.8)&lt;0,0,IF((SUM($G344:BN344)-$E344*0.8)&lt;BN344,SUM($G344:BN344)-$E344*0.8,BN344))</f>
        <v>29</v>
      </c>
      <c r="BO346" s="402">
        <f ca="1">IF((SUM($G344:BO344)-$E344*0.8)&lt;0,0,IF((SUM($G344:BO344)-$E344*0.8)&lt;BO344,SUM($G344:BO344)-$E344*0.8,BO344))</f>
        <v>31</v>
      </c>
      <c r="BP346" s="402">
        <f ca="1">IF((SUM($G344:BP344)-$E344*0.8)&lt;0,0,IF((SUM($G344:BP344)-$E344*0.8)&lt;BP344,SUM($G344:BP344)-$E344*0.8,BP344))</f>
        <v>30</v>
      </c>
      <c r="BQ346" s="402">
        <f ca="1">IF((SUM($G344:BQ344)-$E344*0.8)&lt;0,0,IF((SUM($G344:BQ344)-$E344*0.8)&lt;BQ344,SUM($G344:BQ344)-$E344*0.8,BQ344))</f>
        <v>31</v>
      </c>
      <c r="BR346" s="402">
        <f ca="1">IF((SUM($G344:BR344)-$E344*0.8)&lt;0,0,IF((SUM($G344:BR344)-$E344*0.8)&lt;BR344,SUM($G344:BR344)-$E344*0.8,BR344))</f>
        <v>30</v>
      </c>
      <c r="BS346" s="402">
        <f ca="1">IF((SUM($G344:BS344)-$E344*0.8)&lt;0,0,IF((SUM($G344:BS344)-$E344*0.8)&lt;BS344,SUM($G344:BS344)-$E344*0.8,BS344))</f>
        <v>31</v>
      </c>
      <c r="BT346" s="402">
        <f ca="1">IF((SUM($G344:BT344)-$E344*0.8)&lt;0,0,IF((SUM($G344:BT344)-$E344*0.8)&lt;BT344,SUM($G344:BT344)-$E344*0.8,BT344))</f>
        <v>31</v>
      </c>
      <c r="BU346" s="402">
        <f ca="1">IF((SUM($G344:BU344)-$E344*0.8)&lt;0,0,IF((SUM($G344:BU344)-$E344*0.8)&lt;BU344,SUM($G344:BU344)-$E344*0.8,BU344))</f>
        <v>30</v>
      </c>
      <c r="BV346" s="402">
        <f ca="1">IF((SUM($G344:BV344)-$E344*0.8)&lt;0,0,IF((SUM($G344:BV344)-$E344*0.8)&lt;BV344,SUM($G344:BV344)-$E344*0.8,BV344))</f>
        <v>31</v>
      </c>
      <c r="BW346" s="402">
        <f ca="1">IF((SUM($G344:BW344)-$E344*0.8)&lt;0,0,IF((SUM($G344:BW344)-$E344*0.8)&lt;BW344,SUM($G344:BW344)-$E344*0.8,BW344))</f>
        <v>30</v>
      </c>
      <c r="BX346" s="402">
        <f ca="1">IF((SUM($G344:BX344)-$E344*0.8)&lt;0,0,IF((SUM($G344:BX344)-$E344*0.8)&lt;BX344,SUM($G344:BX344)-$E344*0.8,BX344))</f>
        <v>31</v>
      </c>
      <c r="BY346" s="402">
        <f ca="1">IF((SUM($G344:BY344)-$E344*0.8)&lt;0,0,IF((SUM($G344:BY344)-$E344*0.8)&lt;BY344,SUM($G344:BY344)-$E344*0.8,BY344))</f>
        <v>31</v>
      </c>
      <c r="BZ346" s="402">
        <f ca="1">IF((SUM($G344:BZ344)-$E344*0.8)&lt;0,0,IF((SUM($G344:BZ344)-$E344*0.8)&lt;BZ344,SUM($G344:BZ344)-$E344*0.8,BZ344))</f>
        <v>28</v>
      </c>
      <c r="CA346" s="402">
        <f ca="1">IF((SUM($G344:CA344)-$E344*0.8)&lt;0,0,IF((SUM($G344:CA344)-$E344*0.8)&lt;CA344,SUM($G344:CA344)-$E344*0.8,CA344))</f>
        <v>31</v>
      </c>
      <c r="CB346" s="402">
        <f ca="1">IF((SUM($G344:CB344)-$E344*0.8)&lt;0,0,IF((SUM($G344:CB344)-$E344*0.8)&lt;CB344,SUM($G344:CB344)-$E344*0.8,CB344))</f>
        <v>30</v>
      </c>
      <c r="CC346" s="402">
        <f ca="1">IF((SUM($G344:CC344)-$E344*0.8)&lt;0,0,IF((SUM($G344:CC344)-$E344*0.8)&lt;CC344,SUM($G344:CC344)-$E344*0.8,CC344))</f>
        <v>31</v>
      </c>
      <c r="CD346" s="402">
        <f ca="1">IF((SUM($G344:CD344)-$E344*0.8)&lt;0,0,IF((SUM($G344:CD344)-$E344*0.8)&lt;CD344,SUM($G344:CD344)-$E344*0.8,CD344))</f>
        <v>30</v>
      </c>
      <c r="CE346" s="402">
        <f ca="1">IF((SUM($G344:CE344)-$E344*0.8)&lt;0,0,IF((SUM($G344:CE344)-$E344*0.8)&lt;CE344,SUM($G344:CE344)-$E344*0.8,CE344))</f>
        <v>31</v>
      </c>
      <c r="CF346" s="402">
        <f ca="1">IF((SUM($G344:CF344)-$E344*0.8)&lt;0,0,IF((SUM($G344:CF344)-$E344*0.8)&lt;CF344,SUM($G344:CF344)-$E344*0.8,CF344))</f>
        <v>31</v>
      </c>
      <c r="CG346" s="402">
        <f ca="1">IF((SUM($G344:CG344)-$E344*0.8)&lt;0,0,IF((SUM($G344:CG344)-$E344*0.8)&lt;CG344,SUM($G344:CG344)-$E344*0.8,CG344))</f>
        <v>30</v>
      </c>
      <c r="CH346" s="402">
        <f ca="1">IF((SUM($G344:CH344)-$E344*0.8)&lt;0,0,IF((SUM($G344:CH344)-$E344*0.8)&lt;CH344,SUM($G344:CH344)-$E344*0.8,CH344))</f>
        <v>31</v>
      </c>
      <c r="CI346" s="402">
        <f ca="1">IF((SUM($G344:CI344)-$E344*0.8)&lt;0,0,IF((SUM($G344:CI344)-$E344*0.8)&lt;CI344,SUM($G344:CI344)-$E344*0.8,CI344))</f>
        <v>30</v>
      </c>
      <c r="CJ346" s="402">
        <f ca="1">IF((SUM($G344:CJ344)-$E344*0.8)&lt;0,0,IF((SUM($G344:CJ344)-$E344*0.8)&lt;CJ344,SUM($G344:CJ344)-$E344*0.8,CJ344))</f>
        <v>31</v>
      </c>
      <c r="CK346" s="402">
        <f ca="1">IF((SUM($G344:CK344)-$E344*0.8)&lt;0,0,IF((SUM($G344:CK344)-$E344*0.8)&lt;CK344,SUM($G344:CK344)-$E344*0.8,CK344))</f>
        <v>31</v>
      </c>
      <c r="CL346" s="402">
        <f ca="1">IF((SUM($G344:CL344)-$E344*0.8)&lt;0,0,IF((SUM($G344:CL344)-$E344*0.8)&lt;CL344,SUM($G344:CL344)-$E344*0.8,CL344))</f>
        <v>28</v>
      </c>
      <c r="CM346" s="402">
        <f ca="1">IF((SUM($G344:CM344)-$E344*0.8)&lt;0,0,IF((SUM($G344:CM344)-$E344*0.8)&lt;CM344,SUM($G344:CM344)-$E344*0.8,CM344))</f>
        <v>31</v>
      </c>
      <c r="CN346" s="402">
        <f ca="1">IF((SUM($G344:CN344)-$E344*0.8)&lt;0,0,IF((SUM($G344:CN344)-$E344*0.8)&lt;CN344,SUM($G344:CN344)-$E344*0.8,CN344))</f>
        <v>30</v>
      </c>
      <c r="CO346" s="402">
        <f ca="1">IF((SUM($G344:CO344)-$E344*0.8)&lt;0,0,IF((SUM($G344:CO344)-$E344*0.8)&lt;CO344,SUM($G344:CO344)-$E344*0.8,CO344))</f>
        <v>31</v>
      </c>
      <c r="CP346" s="402">
        <f ca="1">IF((SUM($G344:CP344)-$E344*0.8)&lt;0,0,IF((SUM($G344:CP344)-$E344*0.8)&lt;CP344,SUM($G344:CP344)-$E344*0.8,CP344))</f>
        <v>30</v>
      </c>
      <c r="CQ346" s="402">
        <f ca="1">IF((SUM($G344:CQ344)-$E344*0.8)&lt;0,0,IF((SUM($G344:CQ344)-$E344*0.8)&lt;CQ344,SUM($G344:CQ344)-$E344*0.8,CQ344))</f>
        <v>31</v>
      </c>
      <c r="CR346" s="402">
        <f ca="1">IF((SUM($G344:CR344)-$E344*0.8)&lt;0,0,IF((SUM($G344:CR344)-$E344*0.8)&lt;CR344,SUM($G344:CR344)-$E344*0.8,CR344))</f>
        <v>31</v>
      </c>
      <c r="CS346" s="402">
        <f ca="1">IF((SUM($G344:CS344)-$E344*0.8)&lt;0,0,IF((SUM($G344:CS344)-$E344*0.8)&lt;CS344,SUM($G344:CS344)-$E344*0.8,CS344))</f>
        <v>30</v>
      </c>
      <c r="CT346" s="402">
        <f ca="1">IF((SUM($G344:CT344)-$E344*0.8)&lt;0,0,IF((SUM($G344:CT344)-$E344*0.8)&lt;CT344,SUM($G344:CT344)-$E344*0.8,CT344))</f>
        <v>31</v>
      </c>
      <c r="CU346" s="402">
        <f ca="1">IF((SUM($G344:CU344)-$E344*0.8)&lt;0,0,IF((SUM($G344:CU344)-$E344*0.8)&lt;CU344,SUM($G344:CU344)-$E344*0.8,CU344))</f>
        <v>30</v>
      </c>
      <c r="CV346" s="402">
        <f ca="1">IF((SUM($G344:CV344)-$E344*0.8)&lt;0,0,IF((SUM($G344:CV344)-$E344*0.8)&lt;CV344,SUM($G344:CV344)-$E344*0.8,CV344))</f>
        <v>31</v>
      </c>
      <c r="CW346" s="402">
        <f ca="1">IF((SUM($G344:CW344)-$E344*0.8)&lt;0,0,IF((SUM($G344:CW344)-$E344*0.8)&lt;CW344,SUM($G344:CW344)-$E344*0.8,CW344))</f>
        <v>31</v>
      </c>
      <c r="CX346" s="402">
        <f ca="1">IF((SUM($G344:CX344)-$E344*0.8)&lt;0,0,IF((SUM($G344:CX344)-$E344*0.8)&lt;CX344,SUM($G344:CX344)-$E344*0.8,CX344))</f>
        <v>28</v>
      </c>
      <c r="CY346" s="402">
        <f ca="1">IF((SUM($G344:CY344)-$E344*0.8)&lt;0,0,IF((SUM($G344:CY344)-$E344*0.8)&lt;CY344,SUM($G344:CY344)-$E344*0.8,CY344))</f>
        <v>31</v>
      </c>
      <c r="CZ346" s="402">
        <f ca="1">IF((SUM($G344:CZ344)-$E344*0.8)&lt;0,0,IF((SUM($G344:CZ344)-$E344*0.8)&lt;CZ344,SUM($G344:CZ344)-$E344*0.8,CZ344))</f>
        <v>30</v>
      </c>
      <c r="DA346" s="402">
        <f ca="1">IF((SUM($G344:DA344)-$E344*0.8)&lt;0,0,IF((SUM($G344:DA344)-$E344*0.8)&lt;DA344,SUM($G344:DA344)-$E344*0.8,DA344))</f>
        <v>31</v>
      </c>
      <c r="DB346" s="402">
        <f ca="1">IF((SUM($G344:DB344)-$E344*0.8)&lt;0,0,IF((SUM($G344:DB344)-$E344*0.8)&lt;DB344,SUM($G344:DB344)-$E344*0.8,DB344))</f>
        <v>30</v>
      </c>
      <c r="DC346" s="402">
        <f ca="1">IF((SUM($G344:DC344)-$E344*0.8)&lt;0,0,IF((SUM($G344:DC344)-$E344*0.8)&lt;DC344,SUM($G344:DC344)-$E344*0.8,DC344))</f>
        <v>31</v>
      </c>
      <c r="DD346" s="402">
        <f ca="1">IF((SUM($G344:DD344)-$E344*0.8)&lt;0,0,IF((SUM($G344:DD344)-$E344*0.8)&lt;DD344,SUM($G344:DD344)-$E344*0.8,DD344))</f>
        <v>31</v>
      </c>
      <c r="DE346" s="402">
        <f ca="1">IF((SUM($G344:DE344)-$E344*0.8)&lt;0,0,IF((SUM($G344:DE344)-$E344*0.8)&lt;DE344,SUM($G344:DE344)-$E344*0.8,DE344))</f>
        <v>30</v>
      </c>
      <c r="DF346" s="402">
        <f ca="1">IF((SUM($G344:DF344)-$E344*0.8)&lt;0,0,IF((SUM($G344:DF344)-$E344*0.8)&lt;DF344,SUM($G344:DF344)-$E344*0.8,DF344))</f>
        <v>31</v>
      </c>
      <c r="DG346" s="402">
        <f ca="1">IF((SUM($G344:DG344)-$E344*0.8)&lt;0,0,IF((SUM($G344:DG344)-$E344*0.8)&lt;DG344,SUM($G344:DG344)-$E344*0.8,DG344))</f>
        <v>30</v>
      </c>
      <c r="DH346" s="402">
        <f ca="1">IF((SUM($G344:DH344)-$E344*0.8)&lt;0,0,IF((SUM($G344:DH344)-$E344*0.8)&lt;DH344,SUM($G344:DH344)-$E344*0.8,DH344))</f>
        <v>31</v>
      </c>
      <c r="DI346" s="402">
        <f ca="1">IF((SUM($G344:DI344)-$E344*0.8)&lt;0,0,IF((SUM($G344:DI344)-$E344*0.8)&lt;DI344,SUM($G344:DI344)-$E344*0.8,DI344))</f>
        <v>31</v>
      </c>
      <c r="DJ346" s="402">
        <f ca="1">IF((SUM($G344:DJ344)-$E344*0.8)&lt;0,0,IF((SUM($G344:DJ344)-$E344*0.8)&lt;DJ344,SUM($G344:DJ344)-$E344*0.8,DJ344))</f>
        <v>29</v>
      </c>
      <c r="DK346" s="402">
        <f ca="1">IF((SUM($G344:DK344)-$E344*0.8)&lt;0,0,IF((SUM($G344:DK344)-$E344*0.8)&lt;DK344,SUM($G344:DK344)-$E344*0.8,DK344))</f>
        <v>31</v>
      </c>
      <c r="DL346" s="402">
        <f ca="1">IF((SUM($G344:DL344)-$E344*0.8)&lt;0,0,IF((SUM($G344:DL344)-$E344*0.8)&lt;DL344,SUM($G344:DL344)-$E344*0.8,DL344))</f>
        <v>30</v>
      </c>
      <c r="DM346" s="402">
        <f ca="1">IF((SUM($G344:DM344)-$E344*0.8)&lt;0,0,IF((SUM($G344:DM344)-$E344*0.8)&lt;DM344,SUM($G344:DM344)-$E344*0.8,DM344))</f>
        <v>31</v>
      </c>
      <c r="DN346" s="402">
        <f ca="1">IF((SUM($G344:DN344)-$E344*0.8)&lt;0,0,IF((SUM($G344:DN344)-$E344*0.8)&lt;DN344,SUM($G344:DN344)-$E344*0.8,DN344))</f>
        <v>30</v>
      </c>
      <c r="DO346" s="402">
        <f ca="1">IF((SUM($G344:DO344)-$E344*0.8)&lt;0,0,IF((SUM($G344:DO344)-$E344*0.8)&lt;DO344,SUM($G344:DO344)-$E344*0.8,DO344))</f>
        <v>31</v>
      </c>
      <c r="DP346" s="402">
        <f ca="1">IF((SUM($G344:DP344)-$E344*0.8)&lt;0,0,IF((SUM($G344:DP344)-$E344*0.8)&lt;DP344,SUM($G344:DP344)-$E344*0.8,DP344))</f>
        <v>31</v>
      </c>
      <c r="DQ346" s="402">
        <f ca="1">IF((SUM($G344:DQ344)-$E344*0.8)&lt;0,0,IF((SUM($G344:DQ344)-$E344*0.8)&lt;DQ344,SUM($G344:DQ344)-$E344*0.8,DQ344))</f>
        <v>30</v>
      </c>
      <c r="DR346" s="402">
        <f ca="1">IF((SUM($G344:DR344)-$E344*0.8)&lt;0,0,IF((SUM($G344:DR344)-$E344*0.8)&lt;DR344,SUM($G344:DR344)-$E344*0.8,DR344))</f>
        <v>31</v>
      </c>
      <c r="DS346" s="402">
        <f ca="1">IF((SUM($G344:DS344)-$E344*0.8)&lt;0,0,IF((SUM($G344:DS344)-$E344*0.8)&lt;DS344,SUM($G344:DS344)-$E344*0.8,DS344))</f>
        <v>30</v>
      </c>
      <c r="DT346" s="402">
        <f ca="1">IF((SUM($G344:DT344)-$E344*0.8)&lt;0,0,IF((SUM($G344:DT344)-$E344*0.8)&lt;DT344,SUM($G344:DT344)-$E344*0.8,DT344))</f>
        <v>31</v>
      </c>
      <c r="DU346" s="402">
        <f ca="1">IF((SUM($G344:DU344)-$E344*0.8)&lt;0,0,IF((SUM($G344:DU344)-$E344*0.8)&lt;DU344,SUM($G344:DU344)-$E344*0.8,DU344))</f>
        <v>31</v>
      </c>
      <c r="DV346" s="402">
        <f ca="1">IF((SUM($G344:DV344)-$E344*0.8)&lt;0,0,IF((SUM($G344:DV344)-$E344*0.8)&lt;DV344,SUM($G344:DV344)-$E344*0.8,DV344))</f>
        <v>28</v>
      </c>
      <c r="DW346" s="402">
        <f ca="1">IF((SUM($G344:DW344)-$E344*0.8)&lt;0,0,IF((SUM($G344:DW344)-$E344*0.8)&lt;DW344,SUM($G344:DW344)-$E344*0.8,DW344))</f>
        <v>31</v>
      </c>
      <c r="DX346" s="402">
        <f ca="1">IF((SUM($G344:DX344)-$E344*0.8)&lt;0,0,IF((SUM($G344:DX344)-$E344*0.8)&lt;DX344,SUM($G344:DX344)-$E344*0.8,DX344))</f>
        <v>30</v>
      </c>
      <c r="DY346" s="402">
        <f ca="1">IF((SUM($G344:DY344)-$E344*0.8)&lt;0,0,IF((SUM($G344:DY344)-$E344*0.8)&lt;DY344,SUM($G344:DY344)-$E344*0.8,DY344))</f>
        <v>31</v>
      </c>
      <c r="DZ346" s="402">
        <f ca="1">IF((SUM($G344:DZ344)-$E344*0.8)&lt;0,0,IF((SUM($G344:DZ344)-$E344*0.8)&lt;DZ344,SUM($G344:DZ344)-$E344*0.8,DZ344))</f>
        <v>30</v>
      </c>
      <c r="EA346" s="402">
        <f ca="1">IF((SUM($G344:EA344)-$E344*0.8)&lt;0,0,IF((SUM($G344:EA344)-$E344*0.8)&lt;EA344,SUM($G344:EA344)-$E344*0.8,EA344))</f>
        <v>31</v>
      </c>
      <c r="EB346" s="402">
        <f ca="1">IF((SUM($G344:EB344)-$E344*0.8)&lt;0,0,IF((SUM($G344:EB344)-$E344*0.8)&lt;EB344,SUM($G344:EB344)-$E344*0.8,EB344))</f>
        <v>31</v>
      </c>
      <c r="EC346" s="402">
        <f ca="1">IF((SUM($G344:EC344)-$E344*0.8)&lt;0,0,IF((SUM($G344:EC344)-$E344*0.8)&lt;EC344,SUM($G344:EC344)-$E344*0.8,EC344))</f>
        <v>30</v>
      </c>
      <c r="ED346" s="402">
        <f ca="1">IF((SUM($G344:ED344)-$E344*0.8)&lt;0,0,IF((SUM($G344:ED344)-$E344*0.8)&lt;ED344,SUM($G344:ED344)-$E344*0.8,ED344))</f>
        <v>31</v>
      </c>
      <c r="EE346" s="402">
        <f ca="1">IF((SUM($G344:EE344)-$E344*0.8)&lt;0,0,IF((SUM($G344:EE344)-$E344*0.8)&lt;EE344,SUM($G344:EE344)-$E344*0.8,EE344))</f>
        <v>30</v>
      </c>
      <c r="EF346" s="402">
        <f ca="1">IF((SUM($G344:EF344)-$E344*0.8)&lt;0,0,IF((SUM($G344:EF344)-$E344*0.8)&lt;EF344,SUM($G344:EF344)-$E344*0.8,EF344))</f>
        <v>31</v>
      </c>
      <c r="EG346" s="402">
        <f ca="1">IF((SUM($G344:EG344)-$E344*0.8)&lt;0,0,IF((SUM($G344:EG344)-$E344*0.8)&lt;EG344,SUM($G344:EG344)-$E344*0.8,EG344))</f>
        <v>31</v>
      </c>
      <c r="EH346" s="402">
        <f ca="1">IF((SUM($G344:EH344)-$E344*0.8)&lt;0,0,IF((SUM($G344:EH344)-$E344*0.8)&lt;EH344,SUM($G344:EH344)-$E344*0.8,EH344))</f>
        <v>28</v>
      </c>
      <c r="EI346" s="402">
        <f ca="1">IF((SUM($G344:EI344)-$E344*0.8)&lt;0,0,IF((SUM($G344:EI344)-$E344*0.8)&lt;EI344,SUM($G344:EI344)-$E344*0.8,EI344))</f>
        <v>31</v>
      </c>
    </row>
    <row r="347" spans="1:141" hidden="1" outlineLevel="2">
      <c r="A347" s="332"/>
      <c r="D347" s="305" t="s">
        <v>670</v>
      </c>
      <c r="E347" s="403">
        <f ca="1">MIN(G347:EI347)</f>
        <v>46508</v>
      </c>
      <c r="F347" s="404">
        <f ca="1">MAX(G347:EI347)</f>
        <v>46508</v>
      </c>
      <c r="G347" s="403" t="str">
        <f ca="1">IF(G345=0,"",IF(SUM($G345:G345)&gt;=1,OFFSET(G$228,-1,0),""))</f>
        <v/>
      </c>
      <c r="H347" s="403" t="str">
        <f ca="1">IF(SUM($G347:G347)&gt;=1,"",IF(H345=0,"",IF(SUM($G345:H345)&gt;=1,OFFSET(H$228,-1,0),"")))</f>
        <v/>
      </c>
      <c r="I347" s="403" t="str">
        <f ca="1">IF(SUM($G347:H347)&gt;=1,"",IF(I345=0,"",IF(SUM($G345:I345)&gt;=1,OFFSET(I$228,-1,0),"")))</f>
        <v/>
      </c>
      <c r="J347" s="403" t="str">
        <f ca="1">IF(SUM($G347:I347)&gt;=1,"",IF(J345=0,"",IF(SUM($G345:J345)&gt;=1,OFFSET(J$228,-1,0),"")))</f>
        <v/>
      </c>
      <c r="K347" s="403" t="str">
        <f ca="1">IF(SUM($G347:J347)&gt;=1,"",IF(K345=0,"",IF(SUM($G345:K345)&gt;=1,OFFSET(K$228,-1,0),"")))</f>
        <v/>
      </c>
      <c r="L347" s="403" t="str">
        <f ca="1">IF(SUM($G347:K347)&gt;=1,"",IF(L345=0,"",IF(SUM($G345:L345)&gt;=1,OFFSET(L$228,-1,0),"")))</f>
        <v/>
      </c>
      <c r="M347" s="403" t="str">
        <f ca="1">IF(SUM($G347:L347)&gt;=1,"",IF(M345=0,"",IF(SUM($G345:M345)&gt;=1,OFFSET(M$228,-1,0),"")))</f>
        <v/>
      </c>
      <c r="N347" s="403" t="str">
        <f ca="1">IF(SUM($G347:M347)&gt;=1,"",IF(N345=0,"",IF(SUM($G345:N345)&gt;=1,OFFSET(N$228,-1,0),"")))</f>
        <v/>
      </c>
      <c r="O347" s="403" t="str">
        <f ca="1">IF(SUM($G347:N347)&gt;=1,"",IF(O345=0,"",IF(SUM($G345:O345)&gt;=1,OFFSET(O$228,-1,0),"")))</f>
        <v/>
      </c>
      <c r="P347" s="403" t="str">
        <f ca="1">IF(SUM($G347:O347)&gt;=1,"",IF(P345=0,"",IF(SUM($G345:P345)&gt;=1,OFFSET(P$228,-1,0),"")))</f>
        <v/>
      </c>
      <c r="Q347" s="403" t="str">
        <f ca="1">IF(SUM($G347:P347)&gt;=1,"",IF(Q345=0,"",IF(SUM($G345:Q345)&gt;=1,OFFSET(Q$228,-1,0),"")))</f>
        <v/>
      </c>
      <c r="R347" s="403" t="str">
        <f ca="1">IF(SUM($G347:Q347)&gt;=1,"",IF(R345=0,"",IF(SUM($G345:R345)&gt;=1,OFFSET(R$228,-1,0),"")))</f>
        <v/>
      </c>
      <c r="S347" s="403" t="str">
        <f ca="1">IF(SUM($G347:R347)&gt;=1,"",IF(S345=0,"",IF(SUM($G345:S345)&gt;=1,OFFSET(S$228,-1,0),"")))</f>
        <v/>
      </c>
      <c r="T347" s="403" t="str">
        <f ca="1">IF(SUM($G347:S347)&gt;=1,"",IF(T345=0,"",IF(SUM($G345:T345)&gt;=1,OFFSET(T$228,-1,0),"")))</f>
        <v/>
      </c>
      <c r="U347" s="403" t="str">
        <f ca="1">IF(SUM($G347:T347)&gt;=1,"",IF(U345=0,"",IF(SUM($G345:U345)&gt;=1,OFFSET(U$228,-1,0),"")))</f>
        <v/>
      </c>
      <c r="V347" s="403" t="str">
        <f ca="1">IF(SUM($G347:U347)&gt;=1,"",IF(V345=0,"",IF(SUM($G345:V345)&gt;=1,OFFSET(V$228,-1,0),"")))</f>
        <v/>
      </c>
      <c r="W347" s="403" t="str">
        <f ca="1">IF(SUM($G347:V347)&gt;=1,"",IF(W345=0,"",IF(SUM($G345:W345)&gt;=1,OFFSET(W$228,-1,0),"")))</f>
        <v/>
      </c>
      <c r="X347" s="403" t="str">
        <f ca="1">IF(SUM($G347:W347)&gt;=1,"",IF(X345=0,"",IF(SUM($G345:X345)&gt;=1,OFFSET(X$228,-1,0),"")))</f>
        <v/>
      </c>
      <c r="Y347" s="403" t="str">
        <f ca="1">IF(SUM($G347:X347)&gt;=1,"",IF(Y345=0,"",IF(SUM($G345:Y345)&gt;=1,OFFSET(Y$228,-1,0),"")))</f>
        <v/>
      </c>
      <c r="Z347" s="403" t="str">
        <f ca="1">IF(SUM($G347:Y347)&gt;=1,"",IF(Z345=0,"",IF(SUM($G345:Z345)&gt;=1,OFFSET(Z$228,-1,0),"")))</f>
        <v/>
      </c>
      <c r="AA347" s="403" t="str">
        <f ca="1">IF(SUM($G347:Z347)&gt;=1,"",IF(AA345=0,"",IF(SUM($G345:AA345)&gt;=1,OFFSET(AA$228,-1,0),"")))</f>
        <v/>
      </c>
      <c r="AB347" s="403" t="str">
        <f ca="1">IF(SUM($G347:AA347)&gt;=1,"",IF(AB345=0,"",IF(SUM($G345:AB345)&gt;=1,OFFSET(AB$228,-1,0),"")))</f>
        <v/>
      </c>
      <c r="AC347" s="403" t="str">
        <f ca="1">IF(SUM($G347:AB347)&gt;=1,"",IF(AC345=0,"",IF(SUM($G345:AC345)&gt;=1,OFFSET(AC$228,-1,0),"")))</f>
        <v/>
      </c>
      <c r="AD347" s="403" t="str">
        <f ca="1">IF(SUM($G347:AC347)&gt;=1,"",IF(AD345=0,"",IF(SUM($G345:AD345)&gt;=1,OFFSET(AD$228,-1,0),"")))</f>
        <v/>
      </c>
      <c r="AE347" s="403" t="str">
        <f ca="1">IF(SUM($G347:AD347)&gt;=1,"",IF(AE345=0,"",IF(SUM($G345:AE345)&gt;=1,OFFSET(AE$228,-1,0),"")))</f>
        <v/>
      </c>
      <c r="AF347" s="403" t="str">
        <f ca="1">IF(SUM($G347:AE347)&gt;=1,"",IF(AF345=0,"",IF(SUM($G345:AF345)&gt;=1,OFFSET(AF$228,-1,0),"")))</f>
        <v/>
      </c>
      <c r="AG347" s="403" t="str">
        <f ca="1">IF(SUM($G347:AF347)&gt;=1,"",IF(AG345=0,"",IF(SUM($G345:AG345)&gt;=1,OFFSET(AG$228,-1,0),"")))</f>
        <v/>
      </c>
      <c r="AH347" s="403" t="str">
        <f ca="1">IF(SUM($G347:AG347)&gt;=1,"",IF(AH345=0,"",IF(SUM($G345:AH345)&gt;=1,OFFSET(AH$228,-1,0),"")))</f>
        <v/>
      </c>
      <c r="AI347" s="403" t="str">
        <f ca="1">IF(SUM($G347:AH347)&gt;=1,"",IF(AI345=0,"",IF(SUM($G345:AI345)&gt;=1,OFFSET(AI$228,-1,0),"")))</f>
        <v/>
      </c>
      <c r="AJ347" s="403" t="str">
        <f ca="1">IF(SUM($G347:AI347)&gt;=1,"",IF(AJ345=0,"",IF(SUM($G345:AJ345)&gt;=1,OFFSET(AJ$228,-1,0),"")))</f>
        <v/>
      </c>
      <c r="AK347" s="403" t="str">
        <f ca="1">IF(SUM($G347:AJ347)&gt;=1,"",IF(AK345=0,"",IF(SUM($G345:AK345)&gt;=1,OFFSET(AK$228,-1,0),"")))</f>
        <v/>
      </c>
      <c r="AL347" s="403" t="str">
        <f ca="1">IF(SUM($G347:AK347)&gt;=1,"",IF(AL345=0,"",IF(SUM($G345:AL345)&gt;=1,OFFSET(AL$228,-1,0),"")))</f>
        <v/>
      </c>
      <c r="AM347" s="403" t="str">
        <f ca="1">IF(SUM($G347:AL347)&gt;=1,"",IF(AM345=0,"",IF(SUM($G345:AM345)&gt;=1,OFFSET(AM$228,-1,0),"")))</f>
        <v/>
      </c>
      <c r="AN347" s="403" t="str">
        <f ca="1">IF(SUM($G347:AM347)&gt;=1,"",IF(AN345=0,"",IF(SUM($G345:AN345)&gt;=1,OFFSET(AN$228,-1,0),"")))</f>
        <v/>
      </c>
      <c r="AO347" s="403" t="str">
        <f ca="1">IF(SUM($G347:AN347)&gt;=1,"",IF(AO345=0,"",IF(SUM($G345:AO345)&gt;=1,OFFSET(AO$228,-1,0),"")))</f>
        <v/>
      </c>
      <c r="AP347" s="403" t="str">
        <f ca="1">IF(SUM($G347:AO347)&gt;=1,"",IF(AP345=0,"",IF(SUM($G345:AP345)&gt;=1,OFFSET(AP$228,-1,0),"")))</f>
        <v/>
      </c>
      <c r="AQ347" s="403" t="str">
        <f ca="1">IF(SUM($G347:AP347)&gt;=1,"",IF(AQ345=0,"",IF(SUM($G345:AQ345)&gt;=1,OFFSET(AQ$228,-1,0),"")))</f>
        <v/>
      </c>
      <c r="AR347" s="403" t="str">
        <f ca="1">IF(SUM($G347:AQ347)&gt;=1,"",IF(AR345=0,"",IF(SUM($G345:AR345)&gt;=1,OFFSET(AR$228,-1,0),"")))</f>
        <v/>
      </c>
      <c r="AS347" s="403" t="str">
        <f ca="1">IF(SUM($G347:AR347)&gt;=1,"",IF(AS345=0,"",IF(SUM($G345:AS345)&gt;=1,OFFSET(AS$228,-1,0),"")))</f>
        <v/>
      </c>
      <c r="AT347" s="403" t="str">
        <f ca="1">IF(SUM($G347:AS347)&gt;=1,"",IF(AT345=0,"",IF(SUM($G345:AT345)&gt;=1,OFFSET(AT$228,-1,0),"")))</f>
        <v/>
      </c>
      <c r="AU347" s="403" t="str">
        <f ca="1">IF(SUM($G347:AT347)&gt;=1,"",IF(AU345=0,"",IF(SUM($G345:AU345)&gt;=1,OFFSET(AU$228,-1,0),"")))</f>
        <v/>
      </c>
      <c r="AV347" s="403" t="str">
        <f ca="1">IF(SUM($G347:AU347)&gt;=1,"",IF(AV345=0,"",IF(SUM($G345:AV345)&gt;=1,OFFSET(AV$228,-1,0),"")))</f>
        <v/>
      </c>
      <c r="AW347" s="403" t="str">
        <f ca="1">IF(SUM($G347:AV347)&gt;=1,"",IF(AW345=0,"",IF(SUM($G345:AW345)&gt;=1,OFFSET(AW$228,-1,0),"")))</f>
        <v/>
      </c>
      <c r="AX347" s="403" t="str">
        <f ca="1">IF(SUM($G347:AW347)&gt;=1,"",IF(AX345=0,"",IF(SUM($G345:AX345)&gt;=1,OFFSET(AX$228,-1,0),"")))</f>
        <v/>
      </c>
      <c r="AY347" s="403" t="str">
        <f ca="1">IF(SUM($G347:AX347)&gt;=1,"",IF(AY345=0,"",IF(SUM($G345:AY345)&gt;=1,OFFSET(AY$228,-1,0),"")))</f>
        <v/>
      </c>
      <c r="AZ347" s="403" t="str">
        <f ca="1">IF(SUM($G347:AY347)&gt;=1,"",IF(AZ345=0,"",IF(SUM($G345:AZ345)&gt;=1,OFFSET(AZ$228,-1,0),"")))</f>
        <v/>
      </c>
      <c r="BA347" s="403" t="str">
        <f ca="1">IF(SUM($G347:AZ347)&gt;=1,"",IF(BA345=0,"",IF(SUM($G345:BA345)&gt;=1,OFFSET(BA$228,-1,0),"")))</f>
        <v/>
      </c>
      <c r="BB347" s="403" t="str">
        <f ca="1">IF(SUM($G347:BA347)&gt;=1,"",IF(BB345=0,"",IF(SUM($G345:BB345)&gt;=1,OFFSET(BB$228,-1,0),"")))</f>
        <v/>
      </c>
      <c r="BC347" s="403" t="str">
        <f ca="1">IF(SUM($G347:BB347)&gt;=1,"",IF(BC345=0,"",IF(SUM($G345:BC345)&gt;=1,OFFSET(BC$228,-1,0),"")))</f>
        <v/>
      </c>
      <c r="BD347" s="403" t="str">
        <f ca="1">IF(SUM($G347:BC347)&gt;=1,"",IF(BD345=0,"",IF(SUM($G345:BD345)&gt;=1,OFFSET(BD$228,-1,0),"")))</f>
        <v/>
      </c>
      <c r="BE347" s="403">
        <f ca="1">IF(SUM($G347:BD347)&gt;=1,"",IF(BE345=0,"",IF(SUM($G345:BE345)&gt;=1,OFFSET(BE$228,-1,0),"")))</f>
        <v>46508</v>
      </c>
      <c r="BF347" s="403" t="str">
        <f ca="1">IF(SUM($G347:BE347)&gt;=1,"",IF(BF345=0,"",IF(SUM($G345:BF345)&gt;=1,OFFSET(BF$228,-1,0),"")))</f>
        <v/>
      </c>
      <c r="BG347" s="403" t="str">
        <f ca="1">IF(SUM($G347:BF347)&gt;=1,"",IF(BG345=0,"",IF(SUM($G345:BG345)&gt;=1,OFFSET(BG$228,-1,0),"")))</f>
        <v/>
      </c>
      <c r="BH347" s="403" t="str">
        <f ca="1">IF(SUM($G347:BG347)&gt;=1,"",IF(BH345=0,"",IF(SUM($G345:BH345)&gt;=1,OFFSET(BH$228,-1,0),"")))</f>
        <v/>
      </c>
      <c r="BI347" s="403" t="str">
        <f ca="1">IF(SUM($G347:BH347)&gt;=1,"",IF(BI345=0,"",IF(SUM($G345:BI345)&gt;=1,OFFSET(BI$228,-1,0),"")))</f>
        <v/>
      </c>
      <c r="BJ347" s="403" t="str">
        <f ca="1">IF(SUM($G347:BI347)&gt;=1,"",IF(BJ345=0,"",IF(SUM($G345:BJ345)&gt;=1,OFFSET(BJ$228,-1,0),"")))</f>
        <v/>
      </c>
      <c r="BK347" s="403" t="str">
        <f ca="1">IF(SUM($G347:BJ347)&gt;=1,"",IF(BK345=0,"",IF(SUM($G345:BK345)&gt;=1,OFFSET(BK$228,-1,0),"")))</f>
        <v/>
      </c>
      <c r="BL347" s="403" t="str">
        <f ca="1">IF(SUM($G347:BK347)&gt;=1,"",IF(BL345=0,"",IF(SUM($G345:BL345)&gt;=1,OFFSET(BL$228,-1,0),"")))</f>
        <v/>
      </c>
      <c r="BM347" s="403" t="str">
        <f ca="1">IF(SUM($G347:BL347)&gt;=1,"",IF(BM345=0,"",IF(SUM($G345:BM345)&gt;=1,OFFSET(BM$228,-1,0),"")))</f>
        <v/>
      </c>
      <c r="BN347" s="403" t="str">
        <f ca="1">IF(SUM($G347:BM347)&gt;=1,"",IF(BN345=0,"",IF(SUM($G345:BN345)&gt;=1,OFFSET(BN$228,-1,0),"")))</f>
        <v/>
      </c>
      <c r="BO347" s="403" t="str">
        <f ca="1">IF(SUM($G347:BN347)&gt;=1,"",IF(BO345=0,"",IF(SUM($G345:BO345)&gt;=1,OFFSET(BO$228,-1,0),"")))</f>
        <v/>
      </c>
      <c r="BP347" s="403" t="str">
        <f ca="1">IF(SUM($G347:BO347)&gt;=1,"",IF(BP345=0,"",IF(SUM($G345:BP345)&gt;=1,OFFSET(BP$228,-1,0),"")))</f>
        <v/>
      </c>
      <c r="BQ347" s="403" t="str">
        <f ca="1">IF(SUM($G347:BP347)&gt;=1,"",IF(BQ345=0,"",IF(SUM($G345:BQ345)&gt;=1,OFFSET(BQ$228,-1,0),"")))</f>
        <v/>
      </c>
      <c r="BR347" s="403" t="str">
        <f ca="1">IF(SUM($G347:BQ347)&gt;=1,"",IF(BR345=0,"",IF(SUM($G345:BR345)&gt;=1,OFFSET(BR$228,-1,0),"")))</f>
        <v/>
      </c>
      <c r="BS347" s="403" t="str">
        <f ca="1">IF(SUM($G347:BR347)&gt;=1,"",IF(BS345=0,"",IF(SUM($G345:BS345)&gt;=1,OFFSET(BS$228,-1,0),"")))</f>
        <v/>
      </c>
      <c r="BT347" s="403" t="str">
        <f ca="1">IF(SUM($G347:BS347)&gt;=1,"",IF(BT345=0,"",IF(SUM($G345:BT345)&gt;=1,OFFSET(BT$228,-1,0),"")))</f>
        <v/>
      </c>
      <c r="BU347" s="403" t="str">
        <f ca="1">IF(SUM($G347:BT347)&gt;=1,"",IF(BU345=0,"",IF(SUM($G345:BU345)&gt;=1,OFFSET(BU$228,-1,0),"")))</f>
        <v/>
      </c>
      <c r="BV347" s="403" t="str">
        <f ca="1">IF(SUM($G347:BU347)&gt;=1,"",IF(BV345=0,"",IF(SUM($G345:BV345)&gt;=1,OFFSET(BV$228,-1,0),"")))</f>
        <v/>
      </c>
      <c r="BW347" s="403" t="str">
        <f ca="1">IF(SUM($G347:BV347)&gt;=1,"",IF(BW345=0,"",IF(SUM($G345:BW345)&gt;=1,OFFSET(BW$228,-1,0),"")))</f>
        <v/>
      </c>
      <c r="BX347" s="403" t="str">
        <f ca="1">IF(SUM($G347:BW347)&gt;=1,"",IF(BX345=0,"",IF(SUM($G345:BX345)&gt;=1,OFFSET(BX$228,-1,0),"")))</f>
        <v/>
      </c>
      <c r="BY347" s="403" t="str">
        <f ca="1">IF(SUM($G347:BX347)&gt;=1,"",IF(BY345=0,"",IF(SUM($G345:BY345)&gt;=1,OFFSET(BY$228,-1,0),"")))</f>
        <v/>
      </c>
      <c r="BZ347" s="403" t="str">
        <f ca="1">IF(SUM($G347:BY347)&gt;=1,"",IF(BZ345=0,"",IF(SUM($G345:BZ345)&gt;=1,OFFSET(BZ$228,-1,0),"")))</f>
        <v/>
      </c>
      <c r="CA347" s="403" t="str">
        <f ca="1">IF(SUM($G347:BZ347)&gt;=1,"",IF(CA345=0,"",IF(SUM($G345:CA345)&gt;=1,OFFSET(CA$228,-1,0),"")))</f>
        <v/>
      </c>
      <c r="CB347" s="403" t="str">
        <f ca="1">IF(SUM($G347:CA347)&gt;=1,"",IF(CB345=0,"",IF(SUM($G345:CB345)&gt;=1,OFFSET(CB$228,-1,0),"")))</f>
        <v/>
      </c>
      <c r="CC347" s="403" t="str">
        <f ca="1">IF(SUM($G347:CB347)&gt;=1,"",IF(CC345=0,"",IF(SUM($G345:CC345)&gt;=1,OFFSET(CC$228,-1,0),"")))</f>
        <v/>
      </c>
      <c r="CD347" s="403" t="str">
        <f ca="1">IF(SUM($G347:CC347)&gt;=1,"",IF(CD345=0,"",IF(SUM($G345:CD345)&gt;=1,OFFSET(CD$228,-1,0),"")))</f>
        <v/>
      </c>
      <c r="CE347" s="403" t="str">
        <f ca="1">IF(SUM($G347:CD347)&gt;=1,"",IF(CE345=0,"",IF(SUM($G345:CE345)&gt;=1,OFFSET(CE$228,-1,0),"")))</f>
        <v/>
      </c>
      <c r="CF347" s="403" t="str">
        <f ca="1">IF(SUM($G347:CE347)&gt;=1,"",IF(CF345=0,"",IF(SUM($G345:CF345)&gt;=1,OFFSET(CF$228,-1,0),"")))</f>
        <v/>
      </c>
      <c r="CG347" s="403" t="str">
        <f ca="1">IF(SUM($G347:CF347)&gt;=1,"",IF(CG345=0,"",IF(SUM($G345:CG345)&gt;=1,OFFSET(CG$228,-1,0),"")))</f>
        <v/>
      </c>
      <c r="CH347" s="403" t="str">
        <f ca="1">IF(SUM($G347:CG347)&gt;=1,"",IF(CH345=0,"",IF(SUM($G345:CH345)&gt;=1,OFFSET(CH$228,-1,0),"")))</f>
        <v/>
      </c>
      <c r="CI347" s="403" t="str">
        <f ca="1">IF(SUM($G347:CH347)&gt;=1,"",IF(CI345=0,"",IF(SUM($G345:CI345)&gt;=1,OFFSET(CI$228,-1,0),"")))</f>
        <v/>
      </c>
      <c r="CJ347" s="403" t="str">
        <f ca="1">IF(SUM($G347:CI347)&gt;=1,"",IF(CJ345=0,"",IF(SUM($G345:CJ345)&gt;=1,OFFSET(CJ$228,-1,0),"")))</f>
        <v/>
      </c>
      <c r="CK347" s="403" t="str">
        <f ca="1">IF(SUM($G347:CJ347)&gt;=1,"",IF(CK345=0,"",IF(SUM($G345:CK345)&gt;=1,OFFSET(CK$228,-1,0),"")))</f>
        <v/>
      </c>
      <c r="CL347" s="403" t="str">
        <f ca="1">IF(SUM($G347:CK347)&gt;=1,"",IF(CL345=0,"",IF(SUM($G345:CL345)&gt;=1,OFFSET(CL$228,-1,0),"")))</f>
        <v/>
      </c>
      <c r="CM347" s="403" t="str">
        <f ca="1">IF(SUM($G347:CL347)&gt;=1,"",IF(CM345=0,"",IF(SUM($G345:CM345)&gt;=1,OFFSET(CM$228,-1,0),"")))</f>
        <v/>
      </c>
      <c r="CN347" s="403" t="str">
        <f ca="1">IF(SUM($G347:CM347)&gt;=1,"",IF(CN345=0,"",IF(SUM($G345:CN345)&gt;=1,OFFSET(CN$228,-1,0),"")))</f>
        <v/>
      </c>
      <c r="CO347" s="403" t="str">
        <f ca="1">IF(SUM($G347:CN347)&gt;=1,"",IF(CO345=0,"",IF(SUM($G345:CO345)&gt;=1,OFFSET(CO$228,-1,0),"")))</f>
        <v/>
      </c>
      <c r="CP347" s="403" t="str">
        <f ca="1">IF(SUM($G347:CO347)&gt;=1,"",IF(CP345=0,"",IF(SUM($G345:CP345)&gt;=1,OFFSET(CP$228,-1,0),"")))</f>
        <v/>
      </c>
      <c r="CQ347" s="403" t="str">
        <f ca="1">IF(SUM($G347:CP347)&gt;=1,"",IF(CQ345=0,"",IF(SUM($G345:CQ345)&gt;=1,OFFSET(CQ$228,-1,0),"")))</f>
        <v/>
      </c>
      <c r="CR347" s="403" t="str">
        <f ca="1">IF(SUM($G347:CQ347)&gt;=1,"",IF(CR345=0,"",IF(SUM($G345:CR345)&gt;=1,OFFSET(CR$228,-1,0),"")))</f>
        <v/>
      </c>
      <c r="CS347" s="403" t="str">
        <f ca="1">IF(SUM($G347:CR347)&gt;=1,"",IF(CS345=0,"",IF(SUM($G345:CS345)&gt;=1,OFFSET(CS$228,-1,0),"")))</f>
        <v/>
      </c>
      <c r="CT347" s="403" t="str">
        <f ca="1">IF(SUM($G347:CS347)&gt;=1,"",IF(CT345=0,"",IF(SUM($G345:CT345)&gt;=1,OFFSET(CT$228,-1,0),"")))</f>
        <v/>
      </c>
      <c r="CU347" s="403" t="str">
        <f ca="1">IF(SUM($G347:CT347)&gt;=1,"",IF(CU345=0,"",IF(SUM($G345:CU345)&gt;=1,OFFSET(CU$228,-1,0),"")))</f>
        <v/>
      </c>
      <c r="CV347" s="403" t="str">
        <f ca="1">IF(SUM($G347:CU347)&gt;=1,"",IF(CV345=0,"",IF(SUM($G345:CV345)&gt;=1,OFFSET(CV$228,-1,0),"")))</f>
        <v/>
      </c>
      <c r="CW347" s="403" t="str">
        <f ca="1">IF(SUM($G347:CV347)&gt;=1,"",IF(CW345=0,"",IF(SUM($G345:CW345)&gt;=1,OFFSET(CW$228,-1,0),"")))</f>
        <v/>
      </c>
      <c r="CX347" s="403" t="str">
        <f ca="1">IF(SUM($G347:CW347)&gt;=1,"",IF(CX345=0,"",IF(SUM($G345:CX345)&gt;=1,OFFSET(CX$228,-1,0),"")))</f>
        <v/>
      </c>
      <c r="CY347" s="403" t="str">
        <f ca="1">IF(SUM($G347:CX347)&gt;=1,"",IF(CY345=0,"",IF(SUM($G345:CY345)&gt;=1,OFFSET(CY$228,-1,0),"")))</f>
        <v/>
      </c>
      <c r="CZ347" s="403" t="str">
        <f ca="1">IF(SUM($G347:CY347)&gt;=1,"",IF(CZ345=0,"",IF(SUM($G345:CZ345)&gt;=1,OFFSET(CZ$228,-1,0),"")))</f>
        <v/>
      </c>
      <c r="DA347" s="403" t="str">
        <f ca="1">IF(SUM($G347:CZ347)&gt;=1,"",IF(DA345=0,"",IF(SUM($G345:DA345)&gt;=1,OFFSET(DA$228,-1,0),"")))</f>
        <v/>
      </c>
      <c r="DB347" s="403" t="str">
        <f ca="1">IF(SUM($G347:DA347)&gt;=1,"",IF(DB345=0,"",IF(SUM($G345:DB345)&gt;=1,OFFSET(DB$228,-1,0),"")))</f>
        <v/>
      </c>
      <c r="DC347" s="403" t="str">
        <f ca="1">IF(SUM($G347:DB347)&gt;=1,"",IF(DC345=0,"",IF(SUM($G345:DC345)&gt;=1,OFFSET(DC$228,-1,0),"")))</f>
        <v/>
      </c>
      <c r="DD347" s="403" t="str">
        <f ca="1">IF(SUM($G347:DC347)&gt;=1,"",IF(DD345=0,"",IF(SUM($G345:DD345)&gt;=1,OFFSET(DD$228,-1,0),"")))</f>
        <v/>
      </c>
      <c r="DE347" s="403" t="str">
        <f ca="1">IF(SUM($G347:DD347)&gt;=1,"",IF(DE345=0,"",IF(SUM($G345:DE345)&gt;=1,OFFSET(DE$228,-1,0),"")))</f>
        <v/>
      </c>
      <c r="DF347" s="403" t="str">
        <f ca="1">IF(SUM($G347:DE347)&gt;=1,"",IF(DF345=0,"",IF(SUM($G345:DF345)&gt;=1,OFFSET(DF$228,-1,0),"")))</f>
        <v/>
      </c>
      <c r="DG347" s="403" t="str">
        <f ca="1">IF(SUM($G347:DF347)&gt;=1,"",IF(DG345=0,"",IF(SUM($G345:DG345)&gt;=1,OFFSET(DG$228,-1,0),"")))</f>
        <v/>
      </c>
      <c r="DH347" s="403" t="str">
        <f ca="1">IF(SUM($G347:DG347)&gt;=1,"",IF(DH345=0,"",IF(SUM($G345:DH345)&gt;=1,OFFSET(DH$228,-1,0),"")))</f>
        <v/>
      </c>
      <c r="DI347" s="403" t="str">
        <f ca="1">IF(SUM($G347:DH347)&gt;=1,"",IF(DI345=0,"",IF(SUM($G345:DI345)&gt;=1,OFFSET(DI$228,-1,0),"")))</f>
        <v/>
      </c>
      <c r="DJ347" s="403" t="str">
        <f ca="1">IF(SUM($G347:DI347)&gt;=1,"",IF(DJ345=0,"",IF(SUM($G345:DJ345)&gt;=1,OFFSET(DJ$228,-1,0),"")))</f>
        <v/>
      </c>
      <c r="DK347" s="403" t="str">
        <f ca="1">IF(SUM($G347:DJ347)&gt;=1,"",IF(DK345=0,"",IF(SUM($G345:DK345)&gt;=1,OFFSET(DK$228,-1,0),"")))</f>
        <v/>
      </c>
      <c r="DL347" s="403" t="str">
        <f ca="1">IF(SUM($G347:DK347)&gt;=1,"",IF(DL345=0,"",IF(SUM($G345:DL345)&gt;=1,OFFSET(DL$228,-1,0),"")))</f>
        <v/>
      </c>
      <c r="DM347" s="403" t="str">
        <f ca="1">IF(SUM($G347:DL347)&gt;=1,"",IF(DM345=0,"",IF(SUM($G345:DM345)&gt;=1,OFFSET(DM$228,-1,0),"")))</f>
        <v/>
      </c>
      <c r="DN347" s="403" t="str">
        <f ca="1">IF(SUM($G347:DM347)&gt;=1,"",IF(DN345=0,"",IF(SUM($G345:DN345)&gt;=1,OFFSET(DN$228,-1,0),"")))</f>
        <v/>
      </c>
      <c r="DO347" s="403" t="str">
        <f ca="1">IF(SUM($G347:DN347)&gt;=1,"",IF(DO345=0,"",IF(SUM($G345:DO345)&gt;=1,OFFSET(DO$228,-1,0),"")))</f>
        <v/>
      </c>
      <c r="DP347" s="403" t="str">
        <f ca="1">IF(SUM($G347:DO347)&gt;=1,"",IF(DP345=0,"",IF(SUM($G345:DP345)&gt;=1,OFFSET(DP$228,-1,0),"")))</f>
        <v/>
      </c>
      <c r="DQ347" s="403" t="str">
        <f ca="1">IF(SUM($G347:DP347)&gt;=1,"",IF(DQ345=0,"",IF(SUM($G345:DQ345)&gt;=1,OFFSET(DQ$228,-1,0),"")))</f>
        <v/>
      </c>
      <c r="DR347" s="403" t="str">
        <f ca="1">IF(SUM($G347:DQ347)&gt;=1,"",IF(DR345=0,"",IF(SUM($G345:DR345)&gt;=1,OFFSET(DR$228,-1,0),"")))</f>
        <v/>
      </c>
      <c r="DS347" s="403" t="str">
        <f ca="1">IF(SUM($G347:DR347)&gt;=1,"",IF(DS345=0,"",IF(SUM($G345:DS345)&gt;=1,OFFSET(DS$228,-1,0),"")))</f>
        <v/>
      </c>
      <c r="DT347" s="403" t="str">
        <f ca="1">IF(SUM($G347:DS347)&gt;=1,"",IF(DT345=0,"",IF(SUM($G345:DT345)&gt;=1,OFFSET(DT$228,-1,0),"")))</f>
        <v/>
      </c>
      <c r="DU347" s="403" t="str">
        <f ca="1">IF(SUM($G347:DT347)&gt;=1,"",IF(DU345=0,"",IF(SUM($G345:DU345)&gt;=1,OFFSET(DU$228,-1,0),"")))</f>
        <v/>
      </c>
      <c r="DV347" s="403" t="str">
        <f ca="1">IF(SUM($G347:DU347)&gt;=1,"",IF(DV345=0,"",IF(SUM($G345:DV345)&gt;=1,OFFSET(DV$228,-1,0),"")))</f>
        <v/>
      </c>
      <c r="DW347" s="403" t="str">
        <f ca="1">IF(SUM($G347:DV347)&gt;=1,"",IF(DW345=0,"",IF(SUM($G345:DW345)&gt;=1,OFFSET(DW$228,-1,0),"")))</f>
        <v/>
      </c>
      <c r="DX347" s="403" t="str">
        <f ca="1">IF(SUM($G347:DW347)&gt;=1,"",IF(DX345=0,"",IF(SUM($G345:DX345)&gt;=1,OFFSET(DX$228,-1,0),"")))</f>
        <v/>
      </c>
      <c r="DY347" s="403" t="str">
        <f ca="1">IF(SUM($G347:DX347)&gt;=1,"",IF(DY345=0,"",IF(SUM($G345:DY345)&gt;=1,OFFSET(DY$228,-1,0),"")))</f>
        <v/>
      </c>
      <c r="DZ347" s="403" t="str">
        <f ca="1">IF(SUM($G347:DY347)&gt;=1,"",IF(DZ345=0,"",IF(SUM($G345:DZ345)&gt;=1,OFFSET(DZ$228,-1,0),"")))</f>
        <v/>
      </c>
      <c r="EA347" s="403" t="str">
        <f ca="1">IF(SUM($G347:DZ347)&gt;=1,"",IF(EA345=0,"",IF(SUM($G345:EA345)&gt;=1,OFFSET(EA$228,-1,0),"")))</f>
        <v/>
      </c>
      <c r="EB347" s="403" t="str">
        <f ca="1">IF(SUM($G347:EA347)&gt;=1,"",IF(EB345=0,"",IF(SUM($G345:EB345)&gt;=1,OFFSET(EB$228,-1,0),"")))</f>
        <v/>
      </c>
      <c r="EC347" s="403" t="str">
        <f ca="1">IF(SUM($G347:EB347)&gt;=1,"",IF(EC345=0,"",IF(SUM($G345:EC345)&gt;=1,OFFSET(EC$228,-1,0),"")))</f>
        <v/>
      </c>
      <c r="ED347" s="403" t="str">
        <f ca="1">IF(SUM($G347:EC347)&gt;=1,"",IF(ED345=0,"",IF(SUM($G345:ED345)&gt;=1,OFFSET(ED$228,-1,0),"")))</f>
        <v/>
      </c>
      <c r="EE347" s="403" t="str">
        <f ca="1">IF(SUM($G347:ED347)&gt;=1,"",IF(EE345=0,"",IF(SUM($G345:EE345)&gt;=1,OFFSET(EE$228,-1,0),"")))</f>
        <v/>
      </c>
      <c r="EF347" s="403" t="str">
        <f ca="1">IF(SUM($G347:EE347)&gt;=1,"",IF(EF345=0,"",IF(SUM($G345:EF345)&gt;=1,OFFSET(EF$228,-1,0),"")))</f>
        <v/>
      </c>
      <c r="EG347" s="403" t="str">
        <f ca="1">IF(SUM($G347:EF347)&gt;=1,"",IF(EG345=0,"",IF(SUM($G345:EG345)&gt;=1,OFFSET(EG$228,-1,0),"")))</f>
        <v/>
      </c>
      <c r="EH347" s="403" t="str">
        <f ca="1">IF(SUM($G347:EG347)&gt;=1,"",IF(EH345=0,"",IF(SUM($G345:EH345)&gt;=1,OFFSET(EH$228,-1,0),"")))</f>
        <v/>
      </c>
      <c r="EI347" s="403" t="str">
        <f ca="1">IF(SUM($G347:EH347)&gt;=1,"",IF(EI345=0,"",IF(SUM($G345:EI345)&gt;=1,OFFSET(EI$228,-1,0),"")))</f>
        <v/>
      </c>
    </row>
    <row r="348" spans="1:141" hidden="1" outlineLevel="2">
      <c r="A348" s="332"/>
      <c r="D348" s="305" t="s">
        <v>671</v>
      </c>
      <c r="E348" s="1002">
        <f ca="1">IF(E345=0,"",MIN(G348:EI348))</f>
        <v>46510.7</v>
      </c>
      <c r="F348" s="1003"/>
      <c r="G348" s="403" t="str">
        <f>IF(G345=0,"",IF(G345=G$3,G347,G$5+H$5-G349-1))</f>
        <v/>
      </c>
      <c r="H348" s="403" t="str">
        <f ca="1">IF(H345=0,"",IF(H345=H$3,H347,H$5+I$5-H349-1))</f>
        <v/>
      </c>
      <c r="I348" s="403" t="str">
        <f t="shared" ref="I348:BT348" ca="1" si="531">IF(I345=0,"",IF(I345=I$3,I347,I$5+J$5-I349-1))</f>
        <v/>
      </c>
      <c r="J348" s="403" t="str">
        <f t="shared" ca="1" si="531"/>
        <v/>
      </c>
      <c r="K348" s="403" t="str">
        <f t="shared" ca="1" si="531"/>
        <v/>
      </c>
      <c r="L348" s="403" t="str">
        <f t="shared" ca="1" si="531"/>
        <v/>
      </c>
      <c r="M348" s="403" t="str">
        <f t="shared" ca="1" si="531"/>
        <v/>
      </c>
      <c r="N348" s="403" t="str">
        <f t="shared" ca="1" si="531"/>
        <v/>
      </c>
      <c r="O348" s="403" t="str">
        <f t="shared" ca="1" si="531"/>
        <v/>
      </c>
      <c r="P348" s="403" t="str">
        <f t="shared" ca="1" si="531"/>
        <v/>
      </c>
      <c r="Q348" s="403" t="str">
        <f t="shared" ca="1" si="531"/>
        <v/>
      </c>
      <c r="R348" s="403" t="str">
        <f t="shared" ca="1" si="531"/>
        <v/>
      </c>
      <c r="S348" s="403" t="str">
        <f t="shared" ca="1" si="531"/>
        <v/>
      </c>
      <c r="T348" s="403" t="str">
        <f t="shared" ca="1" si="531"/>
        <v/>
      </c>
      <c r="U348" s="403" t="str">
        <f t="shared" ca="1" si="531"/>
        <v/>
      </c>
      <c r="V348" s="403" t="str">
        <f t="shared" ca="1" si="531"/>
        <v/>
      </c>
      <c r="W348" s="403" t="str">
        <f t="shared" ca="1" si="531"/>
        <v/>
      </c>
      <c r="X348" s="403" t="str">
        <f t="shared" ca="1" si="531"/>
        <v/>
      </c>
      <c r="Y348" s="403" t="str">
        <f t="shared" ca="1" si="531"/>
        <v/>
      </c>
      <c r="Z348" s="403" t="str">
        <f t="shared" ca="1" si="531"/>
        <v/>
      </c>
      <c r="AA348" s="403" t="str">
        <f t="shared" ca="1" si="531"/>
        <v/>
      </c>
      <c r="AB348" s="403" t="str">
        <f t="shared" ca="1" si="531"/>
        <v/>
      </c>
      <c r="AC348" s="403" t="str">
        <f t="shared" ca="1" si="531"/>
        <v/>
      </c>
      <c r="AD348" s="403" t="str">
        <f t="shared" ca="1" si="531"/>
        <v/>
      </c>
      <c r="AE348" s="403" t="str">
        <f t="shared" ca="1" si="531"/>
        <v/>
      </c>
      <c r="AF348" s="403" t="str">
        <f t="shared" ca="1" si="531"/>
        <v/>
      </c>
      <c r="AG348" s="403" t="str">
        <f t="shared" ca="1" si="531"/>
        <v/>
      </c>
      <c r="AH348" s="403" t="str">
        <f t="shared" ca="1" si="531"/>
        <v/>
      </c>
      <c r="AI348" s="403" t="str">
        <f t="shared" ca="1" si="531"/>
        <v/>
      </c>
      <c r="AJ348" s="403" t="str">
        <f t="shared" ca="1" si="531"/>
        <v/>
      </c>
      <c r="AK348" s="403" t="str">
        <f t="shared" ca="1" si="531"/>
        <v/>
      </c>
      <c r="AL348" s="403" t="str">
        <f t="shared" ca="1" si="531"/>
        <v/>
      </c>
      <c r="AM348" s="403" t="str">
        <f t="shared" ca="1" si="531"/>
        <v/>
      </c>
      <c r="AN348" s="403" t="str">
        <f t="shared" ca="1" si="531"/>
        <v/>
      </c>
      <c r="AO348" s="403" t="str">
        <f t="shared" ca="1" si="531"/>
        <v/>
      </c>
      <c r="AP348" s="403" t="str">
        <f t="shared" ca="1" si="531"/>
        <v/>
      </c>
      <c r="AQ348" s="403" t="str">
        <f t="shared" ca="1" si="531"/>
        <v/>
      </c>
      <c r="AR348" s="403" t="str">
        <f t="shared" ca="1" si="531"/>
        <v/>
      </c>
      <c r="AS348" s="403" t="str">
        <f t="shared" ca="1" si="531"/>
        <v/>
      </c>
      <c r="AT348" s="403" t="str">
        <f t="shared" ca="1" si="531"/>
        <v/>
      </c>
      <c r="AU348" s="403" t="str">
        <f t="shared" ca="1" si="531"/>
        <v/>
      </c>
      <c r="AV348" s="403" t="str">
        <f t="shared" ca="1" si="531"/>
        <v/>
      </c>
      <c r="AW348" s="403" t="str">
        <f t="shared" ca="1" si="531"/>
        <v/>
      </c>
      <c r="AX348" s="403" t="str">
        <f t="shared" ca="1" si="531"/>
        <v/>
      </c>
      <c r="AY348" s="403" t="str">
        <f t="shared" ca="1" si="531"/>
        <v/>
      </c>
      <c r="AZ348" s="403" t="str">
        <f t="shared" ca="1" si="531"/>
        <v/>
      </c>
      <c r="BA348" s="403" t="str">
        <f t="shared" ca="1" si="531"/>
        <v/>
      </c>
      <c r="BB348" s="403" t="str">
        <f t="shared" ca="1" si="531"/>
        <v/>
      </c>
      <c r="BC348" s="403" t="str">
        <f t="shared" ca="1" si="531"/>
        <v/>
      </c>
      <c r="BD348" s="403" t="str">
        <f t="shared" ca="1" si="531"/>
        <v/>
      </c>
      <c r="BE348" s="403">
        <f t="shared" ca="1" si="531"/>
        <v>46510.7</v>
      </c>
      <c r="BF348" s="403" t="str">
        <f t="shared" ca="1" si="531"/>
        <v/>
      </c>
      <c r="BG348" s="403">
        <f t="shared" ca="1" si="531"/>
        <v>46598.3</v>
      </c>
      <c r="BH348" s="403" t="str">
        <f t="shared" ca="1" si="531"/>
        <v/>
      </c>
      <c r="BI348" s="403" t="str">
        <f t="shared" ca="1" si="531"/>
        <v/>
      </c>
      <c r="BJ348" s="403" t="str">
        <f t="shared" ca="1" si="531"/>
        <v/>
      </c>
      <c r="BK348" s="403" t="str">
        <f t="shared" ca="1" si="531"/>
        <v/>
      </c>
      <c r="BL348" s="403" t="str">
        <f t="shared" ca="1" si="531"/>
        <v/>
      </c>
      <c r="BM348" s="403" t="str">
        <f t="shared" ca="1" si="531"/>
        <v/>
      </c>
      <c r="BN348" s="403" t="str">
        <f t="shared" ca="1" si="531"/>
        <v/>
      </c>
      <c r="BO348" s="403" t="str">
        <f t="shared" ca="1" si="531"/>
        <v/>
      </c>
      <c r="BP348" s="403" t="str">
        <f t="shared" ca="1" si="531"/>
        <v/>
      </c>
      <c r="BQ348" s="403" t="str">
        <f t="shared" ca="1" si="531"/>
        <v/>
      </c>
      <c r="BR348" s="403" t="str">
        <f t="shared" ca="1" si="531"/>
        <v/>
      </c>
      <c r="BS348" s="403" t="str">
        <f t="shared" ca="1" si="531"/>
        <v/>
      </c>
      <c r="BT348" s="403" t="str">
        <f t="shared" ca="1" si="531"/>
        <v/>
      </c>
      <c r="BU348" s="403" t="str">
        <f t="shared" ref="BU348:EF348" ca="1" si="532">IF(BU345=0,"",IF(BU345=BU$3,BU347,BU$5+BV$5-BU349-1))</f>
        <v/>
      </c>
      <c r="BV348" s="403" t="str">
        <f t="shared" ca="1" si="532"/>
        <v/>
      </c>
      <c r="BW348" s="403" t="str">
        <f t="shared" ca="1" si="532"/>
        <v/>
      </c>
      <c r="BX348" s="403" t="str">
        <f t="shared" ca="1" si="532"/>
        <v/>
      </c>
      <c r="BY348" s="403" t="str">
        <f t="shared" ca="1" si="532"/>
        <v/>
      </c>
      <c r="BZ348" s="403" t="str">
        <f t="shared" ca="1" si="532"/>
        <v/>
      </c>
      <c r="CA348" s="403" t="str">
        <f t="shared" ca="1" si="532"/>
        <v/>
      </c>
      <c r="CB348" s="403" t="str">
        <f t="shared" ca="1" si="532"/>
        <v/>
      </c>
      <c r="CC348" s="403" t="str">
        <f t="shared" ca="1" si="532"/>
        <v/>
      </c>
      <c r="CD348" s="403" t="str">
        <f t="shared" ca="1" si="532"/>
        <v/>
      </c>
      <c r="CE348" s="403" t="str">
        <f t="shared" ca="1" si="532"/>
        <v/>
      </c>
      <c r="CF348" s="403" t="str">
        <f t="shared" ca="1" si="532"/>
        <v/>
      </c>
      <c r="CG348" s="403" t="str">
        <f t="shared" ca="1" si="532"/>
        <v/>
      </c>
      <c r="CH348" s="403" t="str">
        <f t="shared" ca="1" si="532"/>
        <v/>
      </c>
      <c r="CI348" s="403" t="str">
        <f t="shared" ca="1" si="532"/>
        <v/>
      </c>
      <c r="CJ348" s="403" t="str">
        <f t="shared" ca="1" si="532"/>
        <v/>
      </c>
      <c r="CK348" s="403" t="str">
        <f t="shared" ca="1" si="532"/>
        <v/>
      </c>
      <c r="CL348" s="403" t="str">
        <f t="shared" ca="1" si="532"/>
        <v/>
      </c>
      <c r="CM348" s="403" t="str">
        <f t="shared" ca="1" si="532"/>
        <v/>
      </c>
      <c r="CN348" s="403" t="str">
        <f t="shared" ca="1" si="532"/>
        <v/>
      </c>
      <c r="CO348" s="403" t="str">
        <f t="shared" ca="1" si="532"/>
        <v/>
      </c>
      <c r="CP348" s="403" t="str">
        <f t="shared" ca="1" si="532"/>
        <v/>
      </c>
      <c r="CQ348" s="403" t="str">
        <f t="shared" ca="1" si="532"/>
        <v/>
      </c>
      <c r="CR348" s="403" t="str">
        <f t="shared" ca="1" si="532"/>
        <v/>
      </c>
      <c r="CS348" s="403" t="str">
        <f t="shared" ca="1" si="532"/>
        <v/>
      </c>
      <c r="CT348" s="403" t="str">
        <f t="shared" ca="1" si="532"/>
        <v/>
      </c>
      <c r="CU348" s="403" t="str">
        <f t="shared" ca="1" si="532"/>
        <v/>
      </c>
      <c r="CV348" s="403" t="str">
        <f t="shared" ca="1" si="532"/>
        <v/>
      </c>
      <c r="CW348" s="403" t="str">
        <f t="shared" ca="1" si="532"/>
        <v/>
      </c>
      <c r="CX348" s="403" t="str">
        <f t="shared" ca="1" si="532"/>
        <v/>
      </c>
      <c r="CY348" s="403" t="str">
        <f t="shared" ca="1" si="532"/>
        <v/>
      </c>
      <c r="CZ348" s="403" t="str">
        <f t="shared" ca="1" si="532"/>
        <v/>
      </c>
      <c r="DA348" s="403" t="str">
        <f t="shared" ca="1" si="532"/>
        <v/>
      </c>
      <c r="DB348" s="403" t="str">
        <f t="shared" ca="1" si="532"/>
        <v/>
      </c>
      <c r="DC348" s="403" t="str">
        <f t="shared" ca="1" si="532"/>
        <v/>
      </c>
      <c r="DD348" s="403" t="str">
        <f t="shared" ca="1" si="532"/>
        <v/>
      </c>
      <c r="DE348" s="403" t="str">
        <f t="shared" ca="1" si="532"/>
        <v/>
      </c>
      <c r="DF348" s="403" t="str">
        <f t="shared" ca="1" si="532"/>
        <v/>
      </c>
      <c r="DG348" s="403" t="str">
        <f t="shared" ca="1" si="532"/>
        <v/>
      </c>
      <c r="DH348" s="403" t="str">
        <f t="shared" ca="1" si="532"/>
        <v/>
      </c>
      <c r="DI348" s="403" t="str">
        <f t="shared" ca="1" si="532"/>
        <v/>
      </c>
      <c r="DJ348" s="403" t="str">
        <f t="shared" ca="1" si="532"/>
        <v/>
      </c>
      <c r="DK348" s="403" t="str">
        <f t="shared" ca="1" si="532"/>
        <v/>
      </c>
      <c r="DL348" s="403" t="str">
        <f t="shared" ca="1" si="532"/>
        <v/>
      </c>
      <c r="DM348" s="403" t="str">
        <f t="shared" ca="1" si="532"/>
        <v/>
      </c>
      <c r="DN348" s="403" t="str">
        <f t="shared" ca="1" si="532"/>
        <v/>
      </c>
      <c r="DO348" s="403" t="str">
        <f t="shared" ca="1" si="532"/>
        <v/>
      </c>
      <c r="DP348" s="403" t="str">
        <f t="shared" ca="1" si="532"/>
        <v/>
      </c>
      <c r="DQ348" s="403" t="str">
        <f t="shared" ca="1" si="532"/>
        <v/>
      </c>
      <c r="DR348" s="403" t="str">
        <f t="shared" ca="1" si="532"/>
        <v/>
      </c>
      <c r="DS348" s="403" t="str">
        <f t="shared" ca="1" si="532"/>
        <v/>
      </c>
      <c r="DT348" s="403" t="str">
        <f t="shared" ca="1" si="532"/>
        <v/>
      </c>
      <c r="DU348" s="403" t="str">
        <f t="shared" ca="1" si="532"/>
        <v/>
      </c>
      <c r="DV348" s="403" t="str">
        <f t="shared" ca="1" si="532"/>
        <v/>
      </c>
      <c r="DW348" s="403" t="str">
        <f t="shared" ca="1" si="532"/>
        <v/>
      </c>
      <c r="DX348" s="403" t="str">
        <f t="shared" ca="1" si="532"/>
        <v/>
      </c>
      <c r="DY348" s="403" t="str">
        <f t="shared" ca="1" si="532"/>
        <v/>
      </c>
      <c r="DZ348" s="403" t="str">
        <f t="shared" ca="1" si="532"/>
        <v/>
      </c>
      <c r="EA348" s="403" t="str">
        <f t="shared" ca="1" si="532"/>
        <v/>
      </c>
      <c r="EB348" s="403" t="str">
        <f t="shared" ca="1" si="532"/>
        <v/>
      </c>
      <c r="EC348" s="403" t="str">
        <f t="shared" ca="1" si="532"/>
        <v/>
      </c>
      <c r="ED348" s="403" t="str">
        <f t="shared" ca="1" si="532"/>
        <v/>
      </c>
      <c r="EE348" s="403" t="str">
        <f t="shared" ca="1" si="532"/>
        <v/>
      </c>
      <c r="EF348" s="403" t="str">
        <f t="shared" ca="1" si="532"/>
        <v/>
      </c>
      <c r="EG348" s="403" t="str">
        <f t="shared" ref="EG348:EI348" ca="1" si="533">IF(EG345=0,"",IF(EG345=EG$3,EG347,EG$5+EH$5-EG349-1))</f>
        <v/>
      </c>
      <c r="EH348" s="403" t="str">
        <f t="shared" ca="1" si="533"/>
        <v/>
      </c>
      <c r="EI348" s="403" t="str">
        <f t="shared" ca="1" si="533"/>
        <v/>
      </c>
    </row>
    <row r="349" spans="1:141" hidden="1" outlineLevel="2">
      <c r="A349" s="332"/>
      <c r="D349" s="305" t="s">
        <v>672</v>
      </c>
      <c r="E349" s="1002">
        <f ca="1">IF(E345=0,"",MAX(G349:EI349))</f>
        <v>46569.7</v>
      </c>
      <c r="F349" s="1003"/>
      <c r="G349" s="403">
        <f ca="1">IF(SUM(G345:$EI345)=0,"",IF(G$227="","",G$227+G345-1))</f>
        <v>44985</v>
      </c>
      <c r="H349" s="403">
        <f ca="1">IF(SUM(H345:$EI345)=0,"",IF(H$227="","",H$227+H345-1))</f>
        <v>45016</v>
      </c>
      <c r="I349" s="403">
        <f ca="1">IF(SUM(I345:$EI345)=0,"",IF(I$227="","",I$227+I345-1))</f>
        <v>45046</v>
      </c>
      <c r="J349" s="403">
        <f ca="1">IF(SUM(J345:$EI345)=0,"",IF(J$227="","",J$227+J345-1))</f>
        <v>45077</v>
      </c>
      <c r="K349" s="403">
        <f ca="1">IF(SUM(K345:$EI345)=0,"",IF(K$227="","",K$227+K345-1))</f>
        <v>45107</v>
      </c>
      <c r="L349" s="403">
        <f ca="1">IF(SUM(L345:$EI345)=0,"",IF(L$227="","",L$227+L345-1))</f>
        <v>45138</v>
      </c>
      <c r="M349" s="403">
        <f ca="1">IF(SUM(M345:$EI345)=0,"",IF(M$227="","",M$227+M345-1))</f>
        <v>45169</v>
      </c>
      <c r="N349" s="403">
        <f ca="1">IF(SUM(N345:$EI345)=0,"",IF(N$227="","",N$227+N345-1))</f>
        <v>45199</v>
      </c>
      <c r="O349" s="403">
        <f ca="1">IF(SUM(O345:$EI345)=0,"",IF(O$227="","",O$227+O345-1))</f>
        <v>45230</v>
      </c>
      <c r="P349" s="403">
        <f ca="1">IF(SUM(P345:$EI345)=0,"",IF(P$227="","",P$227+P345-1))</f>
        <v>45260</v>
      </c>
      <c r="Q349" s="403">
        <f ca="1">IF(SUM(Q345:$EI345)=0,"",IF(Q$227="","",Q$227+Q345-1))</f>
        <v>45291</v>
      </c>
      <c r="R349" s="403">
        <f ca="1">IF(SUM(R345:$EI345)=0,"",IF(R$227="","",R$227+R345-1))</f>
        <v>45322</v>
      </c>
      <c r="S349" s="403">
        <f ca="1">IF(SUM(S345:$EI345)=0,"",IF(S$227="","",S$227+S345-1))</f>
        <v>45351</v>
      </c>
      <c r="T349" s="403">
        <f ca="1">IF(SUM(T345:$EI345)=0,"",IF(T$227="","",T$227+T345-1))</f>
        <v>45382</v>
      </c>
      <c r="U349" s="403">
        <f ca="1">IF(SUM(U345:$EI345)=0,"",IF(U$227="","",U$227+U345-1))</f>
        <v>45412</v>
      </c>
      <c r="V349" s="403">
        <f ca="1">IF(SUM(V345:$EI345)=0,"",IF(V$227="","",V$227+V345-1))</f>
        <v>45443</v>
      </c>
      <c r="W349" s="403">
        <f ca="1">IF(SUM(W345:$EI345)=0,"",IF(W$227="","",W$227+W345-1))</f>
        <v>45473</v>
      </c>
      <c r="X349" s="403">
        <f ca="1">IF(SUM(X345:$EI345)=0,"",IF(X$227="","",X$227+X345-1))</f>
        <v>45504</v>
      </c>
      <c r="Y349" s="403">
        <f ca="1">IF(SUM(Y345:$EI345)=0,"",IF(Y$227="","",Y$227+Y345-1))</f>
        <v>45535</v>
      </c>
      <c r="Z349" s="403">
        <f ca="1">IF(SUM(Z345:$EI345)=0,"",IF(Z$227="","",Z$227+Z345-1))</f>
        <v>45565</v>
      </c>
      <c r="AA349" s="403">
        <f ca="1">IF(SUM(AA345:$EI345)=0,"",IF(AA$227="","",AA$227+AA345-1))</f>
        <v>45596</v>
      </c>
      <c r="AB349" s="403">
        <f ca="1">IF(SUM(AB345:$EI345)=0,"",IF(AB$227="","",AB$227+AB345-1))</f>
        <v>45626</v>
      </c>
      <c r="AC349" s="403">
        <f ca="1">IF(SUM(AC345:$EI345)=0,"",IF(AC$227="","",AC$227+AC345-1))</f>
        <v>45657</v>
      </c>
      <c r="AD349" s="403">
        <f ca="1">IF(SUM(AD345:$EI345)=0,"",IF(AD$227="","",AD$227+AD345-1))</f>
        <v>45688</v>
      </c>
      <c r="AE349" s="403">
        <f ca="1">IF(SUM(AE345:$EI345)=0,"",IF(AE$227="","",AE$227+AE345-1))</f>
        <v>45716</v>
      </c>
      <c r="AF349" s="403">
        <f ca="1">IF(SUM(AF345:$EI345)=0,"",IF(AF$227="","",AF$227+AF345-1))</f>
        <v>45747</v>
      </c>
      <c r="AG349" s="403">
        <f ca="1">IF(SUM(AG345:$EI345)=0,"",IF(AG$227="","",AG$227+AG345-1))</f>
        <v>45777</v>
      </c>
      <c r="AH349" s="403">
        <f ca="1">IF(SUM(AH345:$EI345)=0,"",IF(AH$227="","",AH$227+AH345-1))</f>
        <v>45808</v>
      </c>
      <c r="AI349" s="403">
        <f ca="1">IF(SUM(AI345:$EI345)=0,"",IF(AI$227="","",AI$227+AI345-1))</f>
        <v>45838</v>
      </c>
      <c r="AJ349" s="403">
        <f ca="1">IF(SUM(AJ345:$EI345)=0,"",IF(AJ$227="","",AJ$227+AJ345-1))</f>
        <v>45869</v>
      </c>
      <c r="AK349" s="403">
        <f ca="1">IF(SUM(AK345:$EI345)=0,"",IF(AK$227="","",AK$227+AK345-1))</f>
        <v>45900</v>
      </c>
      <c r="AL349" s="403">
        <f ca="1">IF(SUM(AL345:$EI345)=0,"",IF(AL$227="","",AL$227+AL345-1))</f>
        <v>45930</v>
      </c>
      <c r="AM349" s="403">
        <f ca="1">IF(SUM(AM345:$EI345)=0,"",IF(AM$227="","",AM$227+AM345-1))</f>
        <v>45961</v>
      </c>
      <c r="AN349" s="403">
        <f ca="1">IF(SUM(AN345:$EI345)=0,"",IF(AN$227="","",AN$227+AN345-1))</f>
        <v>45991</v>
      </c>
      <c r="AO349" s="403">
        <f ca="1">IF(SUM(AO345:$EI345)=0,"",IF(AO$227="","",AO$227+AO345-1))</f>
        <v>46022</v>
      </c>
      <c r="AP349" s="403">
        <f ca="1">IF(SUM(AP345:$EI345)=0,"",IF(AP$227="","",AP$227+AP345-1))</f>
        <v>46053</v>
      </c>
      <c r="AQ349" s="403">
        <f ca="1">IF(SUM(AQ345:$EI345)=0,"",IF(AQ$227="","",AQ$227+AQ345-1))</f>
        <v>46081</v>
      </c>
      <c r="AR349" s="403">
        <f ca="1">IF(SUM(AR345:$EI345)=0,"",IF(AR$227="","",AR$227+AR345-1))</f>
        <v>46112</v>
      </c>
      <c r="AS349" s="403">
        <f ca="1">IF(SUM(AS345:$EI345)=0,"",IF(AS$227="","",AS$227+AS345-1))</f>
        <v>46142</v>
      </c>
      <c r="AT349" s="403">
        <f ca="1">IF(SUM(AT345:$EI345)=0,"",IF(AT$227="","",AT$227+AT345-1))</f>
        <v>46173</v>
      </c>
      <c r="AU349" s="403">
        <f ca="1">IF(SUM(AU345:$EI345)=0,"",IF(AU$227="","",AU$227+AU345-1))</f>
        <v>46203</v>
      </c>
      <c r="AV349" s="403">
        <f ca="1">IF(SUM(AV345:$EI345)=0,"",IF(AV$227="","",AV$227+AV345-1))</f>
        <v>46234</v>
      </c>
      <c r="AW349" s="403">
        <f ca="1">IF(SUM(AW345:$EI345)=0,"",IF(AW$227="","",AW$227+AW345-1))</f>
        <v>46265</v>
      </c>
      <c r="AX349" s="403">
        <f ca="1">IF(SUM(AX345:$EI345)=0,"",IF(AX$227="","",AX$227+AX345-1))</f>
        <v>46295</v>
      </c>
      <c r="AY349" s="403">
        <f ca="1">IF(SUM(AY345:$EI345)=0,"",IF(AY$227="","",AY$227+AY345-1))</f>
        <v>46326</v>
      </c>
      <c r="AZ349" s="403">
        <f ca="1">IF(SUM(AZ345:$EI345)=0,"",IF(AZ$227="","",AZ$227+AZ345-1))</f>
        <v>46356</v>
      </c>
      <c r="BA349" s="403">
        <f ca="1">IF(SUM(BA345:$EI345)=0,"",IF(BA$227="","",BA$227+BA345-1))</f>
        <v>46387</v>
      </c>
      <c r="BB349" s="403">
        <f ca="1">IF(SUM(BB345:$EI345)=0,"",IF(BB$227="","",BB$227+BB345-1))</f>
        <v>46418</v>
      </c>
      <c r="BC349" s="403">
        <f ca="1">IF(SUM(BC345:$EI345)=0,"",IF(BC$227="","",BC$227+BC345-1))</f>
        <v>46446</v>
      </c>
      <c r="BD349" s="403">
        <f ca="1">IF(SUM(BD345:$EI345)=0,"",IF(BD$227="","",BD$227+BD345-1))</f>
        <v>46477</v>
      </c>
      <c r="BE349" s="403">
        <f ca="1">IF(SUM(BE345:$EI345)=0,"",IF(BE$227="","",BE$227+BE345-1))</f>
        <v>46535.3</v>
      </c>
      <c r="BF349" s="403">
        <f ca="1">IF(SUM(BF345:$EI345)=0,"",IF(BF$227="","",BF$227+BF345-1))</f>
        <v>46568</v>
      </c>
      <c r="BG349" s="403">
        <f ca="1">IF(SUM(BG345:$EI345)=0,"",IF(BG$227="","",BG$227+BG345-1))</f>
        <v>46569.7</v>
      </c>
      <c r="BH349" s="403" t="str">
        <f ca="1">IF(SUM(BH345:$EI345)=0,"",IF(BH$227="","",BH$227+BH345-1))</f>
        <v/>
      </c>
      <c r="BI349" s="403" t="str">
        <f ca="1">IF(SUM(BI345:$EI345)=0,"",IF(BI$227="","",BI$227+BI345-1))</f>
        <v/>
      </c>
      <c r="BJ349" s="403" t="str">
        <f ca="1">IF(SUM(BJ345:$EI345)=0,"",IF(BJ$227="","",BJ$227+BJ345-1))</f>
        <v/>
      </c>
      <c r="BK349" s="403" t="str">
        <f ca="1">IF(SUM(BK345:$EI345)=0,"",IF(BK$227="","",BK$227+BK345-1))</f>
        <v/>
      </c>
      <c r="BL349" s="403" t="str">
        <f ca="1">IF(SUM(BL345:$EI345)=0,"",IF(BL$227="","",BL$227+BL345-1))</f>
        <v/>
      </c>
      <c r="BM349" s="403" t="str">
        <f ca="1">IF(SUM(BM345:$EI345)=0,"",IF(BM$227="","",BM$227+BM345-1))</f>
        <v/>
      </c>
      <c r="BN349" s="403" t="str">
        <f ca="1">IF(SUM(BN345:$EI345)=0,"",IF(BN$227="","",BN$227+BN345-1))</f>
        <v/>
      </c>
      <c r="BO349" s="403" t="str">
        <f ca="1">IF(SUM(BO345:$EI345)=0,"",IF(BO$227="","",BO$227+BO345-1))</f>
        <v/>
      </c>
      <c r="BP349" s="403" t="str">
        <f ca="1">IF(SUM(BP345:$EI345)=0,"",IF(BP$227="","",BP$227+BP345-1))</f>
        <v/>
      </c>
      <c r="BQ349" s="403" t="str">
        <f ca="1">IF(SUM(BQ345:$EI345)=0,"",IF(BQ$227="","",BQ$227+BQ345-1))</f>
        <v/>
      </c>
      <c r="BR349" s="403" t="str">
        <f ca="1">IF(SUM(BR345:$EI345)=0,"",IF(BR$227="","",BR$227+BR345-1))</f>
        <v/>
      </c>
      <c r="BS349" s="403" t="str">
        <f ca="1">IF(SUM(BS345:$EI345)=0,"",IF(BS$227="","",BS$227+BS345-1))</f>
        <v/>
      </c>
      <c r="BT349" s="403" t="str">
        <f ca="1">IF(SUM(BT345:$EI345)=0,"",IF(BT$227="","",BT$227+BT345-1))</f>
        <v/>
      </c>
      <c r="BU349" s="403" t="str">
        <f ca="1">IF(SUM(BU345:$EI345)=0,"",IF(BU$227="","",BU$227+BU345-1))</f>
        <v/>
      </c>
      <c r="BV349" s="403" t="str">
        <f ca="1">IF(SUM(BV345:$EI345)=0,"",IF(BV$227="","",BV$227+BV345-1))</f>
        <v/>
      </c>
      <c r="BW349" s="403" t="str">
        <f ca="1">IF(SUM(BW345:$EI345)=0,"",IF(BW$227="","",BW$227+BW345-1))</f>
        <v/>
      </c>
      <c r="BX349" s="403" t="str">
        <f ca="1">IF(SUM(BX345:$EI345)=0,"",IF(BX$227="","",BX$227+BX345-1))</f>
        <v/>
      </c>
      <c r="BY349" s="403" t="str">
        <f ca="1">IF(SUM(BY345:$EI345)=0,"",IF(BY$227="","",BY$227+BY345-1))</f>
        <v/>
      </c>
      <c r="BZ349" s="403" t="str">
        <f ca="1">IF(SUM(BZ345:$EI345)=0,"",IF(BZ$227="","",BZ$227+BZ345-1))</f>
        <v/>
      </c>
      <c r="CA349" s="403" t="str">
        <f ca="1">IF(SUM(CA345:$EI345)=0,"",IF(CA$227="","",CA$227+CA345-1))</f>
        <v/>
      </c>
      <c r="CB349" s="403" t="str">
        <f ca="1">IF(SUM(CB345:$EI345)=0,"",IF(CB$227="","",CB$227+CB345-1))</f>
        <v/>
      </c>
      <c r="CC349" s="403" t="str">
        <f ca="1">IF(SUM(CC345:$EI345)=0,"",IF(CC$227="","",CC$227+CC345-1))</f>
        <v/>
      </c>
      <c r="CD349" s="403" t="str">
        <f ca="1">IF(SUM(CD345:$EI345)=0,"",IF(CD$227="","",CD$227+CD345-1))</f>
        <v/>
      </c>
      <c r="CE349" s="403" t="str">
        <f ca="1">IF(SUM(CE345:$EI345)=0,"",IF(CE$227="","",CE$227+CE345-1))</f>
        <v/>
      </c>
      <c r="CF349" s="403" t="str">
        <f ca="1">IF(SUM(CF345:$EI345)=0,"",IF(CF$227="","",CF$227+CF345-1))</f>
        <v/>
      </c>
      <c r="CG349" s="403" t="str">
        <f ca="1">IF(SUM(CG345:$EI345)=0,"",IF(CG$227="","",CG$227+CG345-1))</f>
        <v/>
      </c>
      <c r="CH349" s="403" t="str">
        <f ca="1">IF(SUM(CH345:$EI345)=0,"",IF(CH$227="","",CH$227+CH345-1))</f>
        <v/>
      </c>
      <c r="CI349" s="403" t="str">
        <f ca="1">IF(SUM(CI345:$EI345)=0,"",IF(CI$227="","",CI$227+CI345-1))</f>
        <v/>
      </c>
      <c r="CJ349" s="403" t="str">
        <f ca="1">IF(SUM(CJ345:$EI345)=0,"",IF(CJ$227="","",CJ$227+CJ345-1))</f>
        <v/>
      </c>
      <c r="CK349" s="403" t="str">
        <f ca="1">IF(SUM(CK345:$EI345)=0,"",IF(CK$227="","",CK$227+CK345-1))</f>
        <v/>
      </c>
      <c r="CL349" s="403" t="str">
        <f ca="1">IF(SUM(CL345:$EI345)=0,"",IF(CL$227="","",CL$227+CL345-1))</f>
        <v/>
      </c>
      <c r="CM349" s="403" t="str">
        <f ca="1">IF(SUM(CM345:$EI345)=0,"",IF(CM$227="","",CM$227+CM345-1))</f>
        <v/>
      </c>
      <c r="CN349" s="403" t="str">
        <f ca="1">IF(SUM(CN345:$EI345)=0,"",IF(CN$227="","",CN$227+CN345-1))</f>
        <v/>
      </c>
      <c r="CO349" s="403" t="str">
        <f ca="1">IF(SUM(CO345:$EI345)=0,"",IF(CO$227="","",CO$227+CO345-1))</f>
        <v/>
      </c>
      <c r="CP349" s="403" t="str">
        <f ca="1">IF(SUM(CP345:$EI345)=0,"",IF(CP$227="","",CP$227+CP345-1))</f>
        <v/>
      </c>
      <c r="CQ349" s="403" t="str">
        <f ca="1">IF(SUM(CQ345:$EI345)=0,"",IF(CQ$227="","",CQ$227+CQ345-1))</f>
        <v/>
      </c>
      <c r="CR349" s="403" t="str">
        <f ca="1">IF(SUM(CR345:$EI345)=0,"",IF(CR$227="","",CR$227+CR345-1))</f>
        <v/>
      </c>
      <c r="CS349" s="403" t="str">
        <f ca="1">IF(SUM(CS345:$EI345)=0,"",IF(CS$227="","",CS$227+CS345-1))</f>
        <v/>
      </c>
      <c r="CT349" s="403" t="str">
        <f ca="1">IF(SUM(CT345:$EI345)=0,"",IF(CT$227="","",CT$227+CT345-1))</f>
        <v/>
      </c>
      <c r="CU349" s="403" t="str">
        <f ca="1">IF(SUM(CU345:$EI345)=0,"",IF(CU$227="","",CU$227+CU345-1))</f>
        <v/>
      </c>
      <c r="CV349" s="403" t="str">
        <f ca="1">IF(SUM(CV345:$EI345)=0,"",IF(CV$227="","",CV$227+CV345-1))</f>
        <v/>
      </c>
      <c r="CW349" s="403" t="str">
        <f ca="1">IF(SUM(CW345:$EI345)=0,"",IF(CW$227="","",CW$227+CW345-1))</f>
        <v/>
      </c>
      <c r="CX349" s="403" t="str">
        <f ca="1">IF(SUM(CX345:$EI345)=0,"",IF(CX$227="","",CX$227+CX345-1))</f>
        <v/>
      </c>
      <c r="CY349" s="403" t="str">
        <f ca="1">IF(SUM(CY345:$EI345)=0,"",IF(CY$227="","",CY$227+CY345-1))</f>
        <v/>
      </c>
      <c r="CZ349" s="403" t="str">
        <f ca="1">IF(SUM(CZ345:$EI345)=0,"",IF(CZ$227="","",CZ$227+CZ345-1))</f>
        <v/>
      </c>
      <c r="DA349" s="403" t="str">
        <f ca="1">IF(SUM(DA345:$EI345)=0,"",IF(DA$227="","",DA$227+DA345-1))</f>
        <v/>
      </c>
      <c r="DB349" s="403" t="str">
        <f ca="1">IF(SUM(DB345:$EI345)=0,"",IF(DB$227="","",DB$227+DB345-1))</f>
        <v/>
      </c>
      <c r="DC349" s="403" t="str">
        <f ca="1">IF(SUM(DC345:$EI345)=0,"",IF(DC$227="","",DC$227+DC345-1))</f>
        <v/>
      </c>
      <c r="DD349" s="403" t="str">
        <f ca="1">IF(SUM(DD345:$EI345)=0,"",IF(DD$227="","",DD$227+DD345-1))</f>
        <v/>
      </c>
      <c r="DE349" s="403" t="str">
        <f ca="1">IF(SUM(DE345:$EI345)=0,"",IF(DE$227="","",DE$227+DE345-1))</f>
        <v/>
      </c>
      <c r="DF349" s="403" t="str">
        <f ca="1">IF(SUM(DF345:$EI345)=0,"",IF(DF$227="","",DF$227+DF345-1))</f>
        <v/>
      </c>
      <c r="DG349" s="403" t="str">
        <f ca="1">IF(SUM(DG345:$EI345)=0,"",IF(DG$227="","",DG$227+DG345-1))</f>
        <v/>
      </c>
      <c r="DH349" s="403" t="str">
        <f ca="1">IF(SUM(DH345:$EI345)=0,"",IF(DH$227="","",DH$227+DH345-1))</f>
        <v/>
      </c>
      <c r="DI349" s="403" t="str">
        <f ca="1">IF(SUM(DI345:$EI345)=0,"",IF(DI$227="","",DI$227+DI345-1))</f>
        <v/>
      </c>
      <c r="DJ349" s="403" t="str">
        <f ca="1">IF(SUM(DJ345:$EI345)=0,"",IF(DJ$227="","",DJ$227+DJ345-1))</f>
        <v/>
      </c>
      <c r="DK349" s="403" t="str">
        <f ca="1">IF(SUM(DK345:$EI345)=0,"",IF(DK$227="","",DK$227+DK345-1))</f>
        <v/>
      </c>
      <c r="DL349" s="403" t="str">
        <f ca="1">IF(SUM(DL345:$EI345)=0,"",IF(DL$227="","",DL$227+DL345-1))</f>
        <v/>
      </c>
      <c r="DM349" s="403" t="str">
        <f ca="1">IF(SUM(DM345:$EI345)=0,"",IF(DM$227="","",DM$227+DM345-1))</f>
        <v/>
      </c>
      <c r="DN349" s="403" t="str">
        <f ca="1">IF(SUM(DN345:$EI345)=0,"",IF(DN$227="","",DN$227+DN345-1))</f>
        <v/>
      </c>
      <c r="DO349" s="403" t="str">
        <f ca="1">IF(SUM(DO345:$EI345)=0,"",IF(DO$227="","",DO$227+DO345-1))</f>
        <v/>
      </c>
      <c r="DP349" s="403" t="str">
        <f ca="1">IF(SUM(DP345:$EI345)=0,"",IF(DP$227="","",DP$227+DP345-1))</f>
        <v/>
      </c>
      <c r="DQ349" s="403" t="str">
        <f ca="1">IF(SUM(DQ345:$EI345)=0,"",IF(DQ$227="","",DQ$227+DQ345-1))</f>
        <v/>
      </c>
      <c r="DR349" s="403" t="str">
        <f ca="1">IF(SUM(DR345:$EI345)=0,"",IF(DR$227="","",DR$227+DR345-1))</f>
        <v/>
      </c>
      <c r="DS349" s="403" t="str">
        <f ca="1">IF(SUM(DS345:$EI345)=0,"",IF(DS$227="","",DS$227+DS345-1))</f>
        <v/>
      </c>
      <c r="DT349" s="403" t="str">
        <f ca="1">IF(SUM(DT345:$EI345)=0,"",IF(DT$227="","",DT$227+DT345-1))</f>
        <v/>
      </c>
      <c r="DU349" s="403" t="str">
        <f ca="1">IF(SUM(DU345:$EI345)=0,"",IF(DU$227="","",DU$227+DU345-1))</f>
        <v/>
      </c>
      <c r="DV349" s="403" t="str">
        <f ca="1">IF(SUM(DV345:$EI345)=0,"",IF(DV$227="","",DV$227+DV345-1))</f>
        <v/>
      </c>
      <c r="DW349" s="403" t="str">
        <f ca="1">IF(SUM(DW345:$EI345)=0,"",IF(DW$227="","",DW$227+DW345-1))</f>
        <v/>
      </c>
      <c r="DX349" s="403" t="str">
        <f ca="1">IF(SUM(DX345:$EI345)=0,"",IF(DX$227="","",DX$227+DX345-1))</f>
        <v/>
      </c>
      <c r="DY349" s="403" t="str">
        <f ca="1">IF(SUM(DY345:$EI345)=0,"",IF(DY$227="","",DY$227+DY345-1))</f>
        <v/>
      </c>
      <c r="DZ349" s="403" t="str">
        <f ca="1">IF(SUM(DZ345:$EI345)=0,"",IF(DZ$227="","",DZ$227+DZ345-1))</f>
        <v/>
      </c>
      <c r="EA349" s="403" t="str">
        <f ca="1">IF(SUM(EA345:$EI345)=0,"",IF(EA$227="","",EA$227+EA345-1))</f>
        <v/>
      </c>
      <c r="EB349" s="403" t="str">
        <f ca="1">IF(SUM(EB345:$EI345)=0,"",IF(EB$227="","",EB$227+EB345-1))</f>
        <v/>
      </c>
      <c r="EC349" s="403" t="str">
        <f ca="1">IF(SUM(EC345:$EI345)=0,"",IF(EC$227="","",EC$227+EC345-1))</f>
        <v/>
      </c>
      <c r="ED349" s="403" t="str">
        <f ca="1">IF(SUM(ED345:$EI345)=0,"",IF(ED$227="","",ED$227+ED345-1))</f>
        <v/>
      </c>
      <c r="EE349" s="403" t="str">
        <f ca="1">IF(SUM(EE345:$EI345)=0,"",IF(EE$227="","",EE$227+EE345-1))</f>
        <v/>
      </c>
      <c r="EF349" s="403" t="str">
        <f ca="1">IF(SUM(EF345:$EI345)=0,"",IF(EF$227="","",EF$227+EF345-1))</f>
        <v/>
      </c>
      <c r="EG349" s="403" t="str">
        <f ca="1">IF(SUM(EG345:$EI345)=0,"",IF(EG$227="","",EG$227+EG345-1))</f>
        <v/>
      </c>
      <c r="EH349" s="403" t="str">
        <f ca="1">IF(SUM(EH345:$EI345)=0,"",IF(EH$227="","",EH$227+EH345-1))</f>
        <v/>
      </c>
      <c r="EI349" s="403" t="str">
        <f ca="1">IF(SUM(EI345:$EI345)=0,"",IF(EI$227="","",EI$227+EI345-1))</f>
        <v/>
      </c>
    </row>
    <row r="350" spans="1:141" outlineLevel="1" collapsed="1">
      <c r="A350" s="332"/>
      <c r="B350" s="313"/>
      <c r="C350" s="317" t="s">
        <v>99</v>
      </c>
      <c r="D350" s="317" t="s">
        <v>100</v>
      </c>
      <c r="E350" s="400">
        <f ca="1">IF(ГРП!B33=0,длительность!I140,ГРП!B33)</f>
        <v>300</v>
      </c>
      <c r="F350" s="318">
        <f ca="1">E350-SUM(G350:EJ350)</f>
        <v>0</v>
      </c>
      <c r="G350" s="401"/>
      <c r="H350" s="401">
        <f ca="1">IF(SUM($G350:G350)&gt;=$E350,0,IF($E350-SUM($G350:G350)&gt;H351,H351,$E350-SUM($G351:G351)))</f>
        <v>0</v>
      </c>
      <c r="I350" s="401">
        <f ca="1">IF(SUM($G350:H350)&gt;=$E350,0,IF($E350-SUM($G350:H350)&gt;I351,I351,$E350-SUM($G351:H351)))</f>
        <v>0</v>
      </c>
      <c r="J350" s="401">
        <f ca="1">IF(SUM($G350:I350)&gt;=$E350,0,IF($E350-SUM($G350:I350)&gt;J351,J351,$E350-SUM($G351:I351)))</f>
        <v>0</v>
      </c>
      <c r="K350" s="401">
        <f ca="1">IF(SUM($G350:J350)&gt;=$E350,0,IF($E350-SUM($G350:J350)&gt;K351,K351,$E350-SUM($G351:J351)))</f>
        <v>0</v>
      </c>
      <c r="L350" s="401">
        <f ca="1">IF(SUM($G350:K350)&gt;=$E350,0,IF($E350-SUM($G350:K350)&gt;L351,L351,$E350-SUM($G351:K351)))</f>
        <v>0</v>
      </c>
      <c r="M350" s="401">
        <f ca="1">IF(SUM($G350:L350)&gt;=$E350,0,IF($E350-SUM($G350:L350)&gt;M351,M351,$E350-SUM($G351:L351)))</f>
        <v>0</v>
      </c>
      <c r="N350" s="401">
        <f ca="1">IF(SUM($G350:M350)&gt;=$E350,0,IF($E350-SUM($G350:M350)&gt;N351,N351,$E350-SUM($G351:M351)))</f>
        <v>0</v>
      </c>
      <c r="O350" s="401">
        <f ca="1">IF(SUM($G350:N350)&gt;=$E350,0,IF($E350-SUM($G350:N350)&gt;O351,O351,$E350-SUM($G351:N351)))</f>
        <v>0</v>
      </c>
      <c r="P350" s="401">
        <f ca="1">IF(SUM($G350:O350)&gt;=$E350,0,IF($E350-SUM($G350:O350)&gt;P351,P351,$E350-SUM($G351:O351)))</f>
        <v>0</v>
      </c>
      <c r="Q350" s="401">
        <f ca="1">IF(SUM($G350:P350)&gt;=$E350,0,IF($E350-SUM($G350:P350)&gt;Q351,Q351,$E350-SUM($G351:P351)))</f>
        <v>0</v>
      </c>
      <c r="R350" s="401">
        <f ca="1">IF(SUM($G350:Q350)&gt;=$E350,0,IF($E350-SUM($G350:Q350)&gt;R351,R351,$E350-SUM($G351:Q351)))</f>
        <v>0</v>
      </c>
      <c r="S350" s="401">
        <f ca="1">IF(SUM($G350:R350)&gt;=$E350,0,IF($E350-SUM($G350:R350)&gt;S351,S351,$E350-SUM($G351:R351)))</f>
        <v>0</v>
      </c>
      <c r="T350" s="401">
        <f ca="1">IF(SUM($G350:S350)&gt;=$E350,0,IF($E350-SUM($G350:S350)&gt;T351,T351,$E350-SUM($G351:S351)))</f>
        <v>0</v>
      </c>
      <c r="U350" s="401">
        <f ca="1">IF(SUM($G350:T350)&gt;=$E350,0,IF($E350-SUM($G350:T350)&gt;U351,U351,$E350-SUM($G351:T351)))</f>
        <v>0</v>
      </c>
      <c r="V350" s="401">
        <f ca="1">IF(SUM($G350:U350)&gt;=$E350,0,IF($E350-SUM($G350:U350)&gt;V351,V351,$E350-SUM($G351:U351)))</f>
        <v>0</v>
      </c>
      <c r="W350" s="401">
        <f ca="1">IF(SUM($G350:V350)&gt;=$E350,0,IF($E350-SUM($G350:V350)&gt;W351,W351,$E350-SUM($G351:V351)))</f>
        <v>0</v>
      </c>
      <c r="X350" s="401">
        <f ca="1">IF(SUM($G350:W350)&gt;=$E350,0,IF($E350-SUM($G350:W350)&gt;X351,X351,$E350-SUM($G351:W351)))</f>
        <v>0</v>
      </c>
      <c r="Y350" s="401">
        <f ca="1">IF(SUM($G350:X350)&gt;=$E350,0,IF($E350-SUM($G350:X350)&gt;Y351,Y351,$E350-SUM($G351:X351)))</f>
        <v>0</v>
      </c>
      <c r="Z350" s="401">
        <f ca="1">IF(SUM($G350:Y350)&gt;=$E350,0,IF($E350-SUM($G350:Y350)&gt;Z351,Z351,$E350-SUM($G351:Y351)))</f>
        <v>0</v>
      </c>
      <c r="AA350" s="401">
        <f ca="1">IF(SUM($G350:Z350)&gt;=$E350,0,IF($E350-SUM($G350:Z350)&gt;AA351,AA351,$E350-SUM($G351:Z351)))</f>
        <v>0</v>
      </c>
      <c r="AB350" s="401">
        <f ca="1">IF(SUM($G350:AA350)&gt;=$E350,0,IF($E350-SUM($G350:AA350)&gt;AB351,AB351,$E350-SUM($G351:AA351)))</f>
        <v>0</v>
      </c>
      <c r="AC350" s="401">
        <f ca="1">IF(SUM($G350:AB350)&gt;=$E350,0,IF($E350-SUM($G350:AB350)&gt;AC351,AC351,$E350-SUM($G351:AB351)))</f>
        <v>0</v>
      </c>
      <c r="AD350" s="401">
        <f ca="1">IF(SUM($G350:AC350)&gt;=$E350,0,IF($E350-SUM($G350:AC350)&gt;AD351,AD351,$E350-SUM($G351:AC351)))</f>
        <v>0</v>
      </c>
      <c r="AE350" s="401">
        <f ca="1">IF(SUM($G350:AD350)&gt;=$E350,0,IF($E350-SUM($G350:AD350)&gt;AE351,AE351,$E350-SUM($G351:AD351)))</f>
        <v>0</v>
      </c>
      <c r="AF350" s="401">
        <f ca="1">IF(SUM($G350:AE350)&gt;=$E350,0,IF($E350-SUM($G350:AE350)&gt;AF351,AF351,$E350-SUM($G351:AE351)))</f>
        <v>0</v>
      </c>
      <c r="AG350" s="401">
        <f ca="1">IF(SUM($G350:AF350)&gt;=$E350,0,IF($E350-SUM($G350:AF350)&gt;AG351,AG351,$E350-SUM($G351:AF351)))</f>
        <v>0</v>
      </c>
      <c r="AH350" s="401">
        <f ca="1">IF(SUM($G350:AG350)&gt;=$E350,0,IF($E350-SUM($G350:AG350)&gt;AH351,AH351,$E350-SUM($G351:AG351)))</f>
        <v>0</v>
      </c>
      <c r="AI350" s="401">
        <f ca="1">IF(SUM($G350:AH350)&gt;=$E350,0,IF($E350-SUM($G350:AH350)&gt;AI351,AI351,$E350-SUM($G351:AH351)))</f>
        <v>0</v>
      </c>
      <c r="AJ350" s="401">
        <f ca="1">IF(SUM($G350:AI350)&gt;=$E350,0,IF($E350-SUM($G350:AI350)&gt;AJ351,AJ351,$E350-SUM($G351:AI351)))</f>
        <v>0</v>
      </c>
      <c r="AK350" s="401">
        <f ca="1">IF(SUM($G350:AJ350)&gt;=$E350,0,IF($E350-SUM($G350:AJ350)&gt;AK351,AK351,$E350-SUM($G351:AJ351)))</f>
        <v>0</v>
      </c>
      <c r="AL350" s="401">
        <f ca="1">IF(SUM($G350:AK350)&gt;=$E350,0,IF($E350-SUM($G350:AK350)&gt;AL351,AL351,$E350-SUM($G351:AK351)))</f>
        <v>0</v>
      </c>
      <c r="AM350" s="401">
        <f ca="1">IF(SUM($G350:AL350)&gt;=$E350,0,IF($E350-SUM($G350:AL350)&gt;AM351,AM351,$E350-SUM($G351:AL351)))</f>
        <v>0</v>
      </c>
      <c r="AN350" s="401">
        <f ca="1">IF(SUM($G350:AM350)&gt;=$E350,0,IF($E350-SUM($G350:AM350)&gt;AN351,AN351,$E350-SUM($G351:AM351)))</f>
        <v>0</v>
      </c>
      <c r="AO350" s="401">
        <f ca="1">IF(SUM($G350:AN350)&gt;=$E350,0,IF($E350-SUM($G350:AN350)&gt;AO351,AO351,$E350-SUM($G351:AN351)))</f>
        <v>0</v>
      </c>
      <c r="AP350" s="401">
        <f ca="1">IF(SUM($G350:AO350)&gt;=$E350,0,IF($E350-SUM($G350:AO350)&gt;AP351,AP351,$E350-SUM($G351:AO351)))</f>
        <v>0</v>
      </c>
      <c r="AQ350" s="401">
        <f ca="1">IF(SUM($G350:AP350)&gt;=$E350,0,IF($E350-SUM($G350:AP350)&gt;AQ351,AQ351,$E350-SUM($G351:AP351)))</f>
        <v>0</v>
      </c>
      <c r="AR350" s="401">
        <f ca="1">IF(SUM($G350:AQ350)&gt;=$E350,0,IF($E350-SUM($G350:AQ350)&gt;AR351,AR351,$E350-SUM($G351:AQ351)))</f>
        <v>0</v>
      </c>
      <c r="AS350" s="401">
        <f ca="1">IF(SUM($G350:AR350)&gt;=$E350,0,IF($E350-SUM($G350:AR350)&gt;AS351,AS351,$E350-SUM($G351:AR351)))</f>
        <v>0</v>
      </c>
      <c r="AT350" s="401">
        <f ca="1">IF(SUM($G350:AS350)&gt;=$E350,0,IF($E350-SUM($G350:AS350)&gt;AT351,AT351,$E350-SUM($G351:AS351)))</f>
        <v>0</v>
      </c>
      <c r="AU350" s="401">
        <f ca="1">IF(SUM($G350:AT350)&gt;=$E350,0,IF($E350-SUM($G350:AT350)&gt;AU351,AU351,$E350-SUM($G351:AT351)))</f>
        <v>0</v>
      </c>
      <c r="AV350" s="401">
        <f ca="1">IF(SUM($G350:AU350)&gt;=$E350,0,IF($E350-SUM($G350:AU350)&gt;AV351,AV351,$E350-SUM($G351:AU351)))</f>
        <v>3.5999999999999943</v>
      </c>
      <c r="AW350" s="401">
        <f ca="1">IF(SUM($G350:AV350)&gt;=$E350,0,IF($E350-SUM($G350:AV350)&gt;AW351,AW351,$E350-SUM($G351:AV351)))</f>
        <v>30</v>
      </c>
      <c r="AX350" s="401">
        <f ca="1">IF(SUM($G350:AW350)&gt;=$E350,0,IF($E350-SUM($G350:AW350)&gt;AX351,AX351,$E350-SUM($G351:AW351)))</f>
        <v>31</v>
      </c>
      <c r="AY350" s="401">
        <f ca="1">IF(SUM($G350:AX350)&gt;=$E350,0,IF($E350-SUM($G350:AX350)&gt;AY351,AY351,$E350-SUM($G351:AX351)))</f>
        <v>30</v>
      </c>
      <c r="AZ350" s="401">
        <f ca="1">IF(SUM($G350:AY350)&gt;=$E350,0,IF($E350-SUM($G350:AY350)&gt;AZ351,AZ351,$E350-SUM($G351:AY351)))</f>
        <v>31</v>
      </c>
      <c r="BA350" s="401">
        <f ca="1">IF(SUM($G350:AZ350)&gt;=$E350,0,IF($E350-SUM($G350:AZ350)&gt;BA351,BA351,$E350-SUM($G351:AZ351)))</f>
        <v>31</v>
      </c>
      <c r="BB350" s="401">
        <f ca="1">IF(SUM($G350:BA350)&gt;=$E350,0,IF($E350-SUM($G350:BA350)&gt;BB351,BB351,$E350-SUM($G351:BA351)))</f>
        <v>28</v>
      </c>
      <c r="BC350" s="401">
        <f ca="1">IF(SUM($G350:BB350)&gt;=$E350,0,IF($E350-SUM($G350:BB350)&gt;BC351,BC351,$E350-SUM($G351:BB351)))</f>
        <v>31</v>
      </c>
      <c r="BD350" s="401">
        <f ca="1">IF(SUM($G350:BC350)&gt;=$E350,0,IF($E350-SUM($G350:BC350)&gt;BD351,BD351,$E350-SUM($G351:BC351)))</f>
        <v>30</v>
      </c>
      <c r="BE350" s="401">
        <f ca="1">IF(SUM($G350:BD350)&gt;=$E350,0,IF($E350-SUM($G350:BD350)&gt;BE351,BE351,$E350-SUM($G351:BD351)))</f>
        <v>31</v>
      </c>
      <c r="BF350" s="401">
        <f ca="1">IF(SUM($G350:BE350)&gt;=$E350,0,IF($E350-SUM($G350:BE350)&gt;BF351,BF351,$E350-SUM($G351:BE351)))</f>
        <v>23.399999999999977</v>
      </c>
      <c r="BG350" s="401">
        <f ca="1">IF(SUM($G350:BF350)&gt;=$E350,0,IF($E350-SUM($G350:BF350)&gt;BG351,BG351,$E350-SUM($G351:BF351)))</f>
        <v>0</v>
      </c>
      <c r="BH350" s="401">
        <f ca="1">IF(SUM($G350:BG350)&gt;=$E350,0,IF($E350-SUM($G350:BG350)&gt;BH351,BH351,$E350-SUM($G351:BG351)))</f>
        <v>0</v>
      </c>
      <c r="BI350" s="401">
        <f ca="1">IF(SUM($G350:BH350)&gt;=$E350,0,IF($E350-SUM($G350:BH350)&gt;BI351,BI351,$E350-SUM($G351:BH351)))</f>
        <v>0</v>
      </c>
      <c r="BJ350" s="401">
        <f ca="1">IF(SUM($G350:BI350)&gt;=$E350,0,IF($E350-SUM($G350:BI350)&gt;BJ351,BJ351,$E350-SUM($G351:BI351)))</f>
        <v>0</v>
      </c>
      <c r="BK350" s="401">
        <f ca="1">IF(SUM($G350:BJ350)&gt;=$E350,0,IF($E350-SUM($G350:BJ350)&gt;BK351,BK351,$E350-SUM($G351:BJ351)))</f>
        <v>0</v>
      </c>
      <c r="BL350" s="401">
        <f ca="1">IF(SUM($G350:BK350)&gt;=$E350,0,IF($E350-SUM($G350:BK350)&gt;BL351,BL351,$E350-SUM($G351:BK351)))</f>
        <v>0</v>
      </c>
      <c r="BM350" s="401">
        <f ca="1">IF(SUM($G350:BL350)&gt;=$E350,0,IF($E350-SUM($G350:BL350)&gt;BM351,BM351,$E350-SUM($G351:BL351)))</f>
        <v>0</v>
      </c>
      <c r="BN350" s="401">
        <f ca="1">IF(SUM($G350:BM350)&gt;=$E350,0,IF($E350-SUM($G350:BM350)&gt;BN351,BN351,$E350-SUM($G351:BM351)))</f>
        <v>0</v>
      </c>
      <c r="BO350" s="401">
        <f ca="1">IF(SUM($G350:BN350)&gt;=$E350,0,IF($E350-SUM($G350:BN350)&gt;BO351,BO351,$E350-SUM($G351:BN351)))</f>
        <v>0</v>
      </c>
      <c r="BP350" s="401">
        <f ca="1">IF(SUM($G350:BO350)&gt;=$E350,0,IF($E350-SUM($G350:BO350)&gt;BP351,BP351,$E350-SUM($G351:BO351)))</f>
        <v>0</v>
      </c>
      <c r="BQ350" s="401">
        <f ca="1">IF(SUM($G350:BP350)&gt;=$E350,0,IF($E350-SUM($G350:BP350)&gt;BQ351,BQ351,$E350-SUM($G351:BP351)))</f>
        <v>0</v>
      </c>
      <c r="BR350" s="401">
        <f ca="1">IF(SUM($G350:BQ350)&gt;=$E350,0,IF($E350-SUM($G350:BQ350)&gt;BR351,BR351,$E350-SUM($G351:BQ351)))</f>
        <v>0</v>
      </c>
      <c r="BS350" s="401">
        <f ca="1">IF(SUM($G350:BR350)&gt;=$E350,0,IF($E350-SUM($G350:BR350)&gt;BS351,BS351,$E350-SUM($G351:BR351)))</f>
        <v>0</v>
      </c>
      <c r="BT350" s="401">
        <f ca="1">IF(SUM($G350:BS350)&gt;=$E350,0,IF($E350-SUM($G350:BS350)&gt;BT351,BT351,$E350-SUM($G351:BS351)))</f>
        <v>0</v>
      </c>
      <c r="BU350" s="401">
        <f ca="1">IF(SUM($G350:BT350)&gt;=$E350,0,IF($E350-SUM($G350:BT350)&gt;BU351,BU351,$E350-SUM($G351:BT351)))</f>
        <v>0</v>
      </c>
      <c r="BV350" s="401">
        <f ca="1">IF(SUM($G350:BU350)&gt;=$E350,0,IF($E350-SUM($G350:BU350)&gt;BV351,BV351,$E350-SUM($G351:BU351)))</f>
        <v>0</v>
      </c>
      <c r="BW350" s="401">
        <f ca="1">IF(SUM($G350:BV350)&gt;=$E350,0,IF($E350-SUM($G350:BV350)&gt;BW351,BW351,$E350-SUM($G351:BV351)))</f>
        <v>0</v>
      </c>
      <c r="BX350" s="401">
        <f ca="1">IF(SUM($G350:BW350)&gt;=$E350,0,IF($E350-SUM($G350:BW350)&gt;BX351,BX351,$E350-SUM($G351:BW351)))</f>
        <v>0</v>
      </c>
      <c r="BY350" s="401">
        <f ca="1">IF(SUM($G350:BX350)&gt;=$E350,0,IF($E350-SUM($G350:BX350)&gt;BY351,BY351,$E350-SUM($G351:BX351)))</f>
        <v>0</v>
      </c>
      <c r="BZ350" s="401">
        <f ca="1">IF(SUM($G350:BY350)&gt;=$E350,0,IF($E350-SUM($G350:BY350)&gt;BZ351,BZ351,$E350-SUM($G351:BY351)))</f>
        <v>0</v>
      </c>
      <c r="CA350" s="401">
        <f ca="1">IF(SUM($G350:BZ350)&gt;=$E350,0,IF($E350-SUM($G350:BZ350)&gt;CA351,CA351,$E350-SUM($G351:BZ351)))</f>
        <v>0</v>
      </c>
      <c r="CB350" s="401">
        <f ca="1">IF(SUM($G350:CA350)&gt;=$E350,0,IF($E350-SUM($G350:CA350)&gt;CB351,CB351,$E350-SUM($G351:CA351)))</f>
        <v>0</v>
      </c>
      <c r="CC350" s="401">
        <f ca="1">IF(SUM($G350:CB350)&gt;=$E350,0,IF($E350-SUM($G350:CB350)&gt;CC351,CC351,$E350-SUM($G351:CB351)))</f>
        <v>0</v>
      </c>
      <c r="CD350" s="401">
        <f ca="1">IF(SUM($G350:CC350)&gt;=$E350,0,IF($E350-SUM($G350:CC350)&gt;CD351,CD351,$E350-SUM($G351:CC351)))</f>
        <v>0</v>
      </c>
      <c r="CE350" s="401">
        <f ca="1">IF(SUM($G350:CD350)&gt;=$E350,0,IF($E350-SUM($G350:CD350)&gt;CE351,CE351,$E350-SUM($G351:CD351)))</f>
        <v>0</v>
      </c>
      <c r="CF350" s="401">
        <f ca="1">IF(SUM($G350:CE350)&gt;=$E350,0,IF($E350-SUM($G350:CE350)&gt;CF351,CF351,$E350-SUM($G351:CE351)))</f>
        <v>0</v>
      </c>
      <c r="CG350" s="401">
        <f ca="1">IF(SUM($G350:CF350)&gt;=$E350,0,IF($E350-SUM($G350:CF350)&gt;CG351,CG351,$E350-SUM($G351:CF351)))</f>
        <v>0</v>
      </c>
      <c r="CH350" s="401">
        <f ca="1">IF(SUM($G350:CG350)&gt;=$E350,0,IF($E350-SUM($G350:CG350)&gt;CH351,CH351,$E350-SUM($G351:CG351)))</f>
        <v>0</v>
      </c>
      <c r="CI350" s="401">
        <f ca="1">IF(SUM($G350:CH350)&gt;=$E350,0,IF($E350-SUM($G350:CH350)&gt;CI351,CI351,$E350-SUM($G351:CH351)))</f>
        <v>0</v>
      </c>
      <c r="CJ350" s="401">
        <f ca="1">IF(SUM($G350:CI350)&gt;=$E350,0,IF($E350-SUM($G350:CI350)&gt;CJ351,CJ351,$E350-SUM($G351:CI351)))</f>
        <v>0</v>
      </c>
      <c r="CK350" s="401">
        <f ca="1">IF(SUM($G350:CJ350)&gt;=$E350,0,IF($E350-SUM($G350:CJ350)&gt;CK351,CK351,$E350-SUM($G351:CJ351)))</f>
        <v>0</v>
      </c>
      <c r="CL350" s="401">
        <f ca="1">IF(SUM($G350:CK350)&gt;=$E350,0,IF($E350-SUM($G350:CK350)&gt;CL351,CL351,$E350-SUM($G351:CK351)))</f>
        <v>0</v>
      </c>
      <c r="CM350" s="401">
        <f ca="1">IF(SUM($G350:CL350)&gt;=$E350,0,IF($E350-SUM($G350:CL350)&gt;CM351,CM351,$E350-SUM($G351:CL351)))</f>
        <v>0</v>
      </c>
      <c r="CN350" s="401">
        <f ca="1">IF(SUM($G350:CM350)&gt;=$E350,0,IF($E350-SUM($G350:CM350)&gt;CN351,CN351,$E350-SUM($G351:CM351)))</f>
        <v>0</v>
      </c>
      <c r="CO350" s="401">
        <f ca="1">IF(SUM($G350:CN350)&gt;=$E350,0,IF($E350-SUM($G350:CN350)&gt;CO351,CO351,$E350-SUM($G351:CN351)))</f>
        <v>0</v>
      </c>
      <c r="CP350" s="401">
        <f ca="1">IF(SUM($G350:CO350)&gt;=$E350,0,IF($E350-SUM($G350:CO350)&gt;CP351,CP351,$E350-SUM($G351:CO351)))</f>
        <v>0</v>
      </c>
      <c r="CQ350" s="401">
        <f ca="1">IF(SUM($G350:CP350)&gt;=$E350,0,IF($E350-SUM($G350:CP350)&gt;CQ351,CQ351,$E350-SUM($G351:CP351)))</f>
        <v>0</v>
      </c>
      <c r="CR350" s="401">
        <f ca="1">IF(SUM($G350:CQ350)&gt;=$E350,0,IF($E350-SUM($G350:CQ350)&gt;CR351,CR351,$E350-SUM($G351:CQ351)))</f>
        <v>0</v>
      </c>
      <c r="CS350" s="401">
        <f ca="1">IF(SUM($G350:CR350)&gt;=$E350,0,IF($E350-SUM($G350:CR350)&gt;CS351,CS351,$E350-SUM($G351:CR351)))</f>
        <v>0</v>
      </c>
      <c r="CT350" s="401">
        <f ca="1">IF(SUM($G350:CS350)&gt;=$E350,0,IF($E350-SUM($G350:CS350)&gt;CT351,CT351,$E350-SUM($G351:CS351)))</f>
        <v>0</v>
      </c>
      <c r="CU350" s="401">
        <f ca="1">IF(SUM($G350:CT350)&gt;=$E350,0,IF($E350-SUM($G350:CT350)&gt;CU351,CU351,$E350-SUM($G351:CT351)))</f>
        <v>0</v>
      </c>
      <c r="CV350" s="401">
        <f ca="1">IF(SUM($G350:CU350)&gt;=$E350,0,IF($E350-SUM($G350:CU350)&gt;CV351,CV351,$E350-SUM($G351:CU351)))</f>
        <v>0</v>
      </c>
      <c r="CW350" s="401">
        <f ca="1">IF(SUM($G350:CV350)&gt;=$E350,0,IF($E350-SUM($G350:CV350)&gt;CW351,CW351,$E350-SUM($G351:CV351)))</f>
        <v>0</v>
      </c>
      <c r="CX350" s="401">
        <f ca="1">IF(SUM($G350:CW350)&gt;=$E350,0,IF($E350-SUM($G350:CW350)&gt;CX351,CX351,$E350-SUM($G351:CW351)))</f>
        <v>0</v>
      </c>
      <c r="CY350" s="401">
        <f ca="1">IF(SUM($G350:CX350)&gt;=$E350,0,IF($E350-SUM($G350:CX350)&gt;CY351,CY351,$E350-SUM($G351:CX351)))</f>
        <v>0</v>
      </c>
      <c r="CZ350" s="401">
        <f ca="1">IF(SUM($G350:CY350)&gt;=$E350,0,IF($E350-SUM($G350:CY350)&gt;CZ351,CZ351,$E350-SUM($G351:CY351)))</f>
        <v>0</v>
      </c>
      <c r="DA350" s="401">
        <f ca="1">IF(SUM($G350:CZ350)&gt;=$E350,0,IF($E350-SUM($G350:CZ350)&gt;DA351,DA351,$E350-SUM($G351:CZ351)))</f>
        <v>0</v>
      </c>
      <c r="DB350" s="401">
        <f ca="1">IF(SUM($G350:DA350)&gt;=$E350,0,IF($E350-SUM($G350:DA350)&gt;DB351,DB351,$E350-SUM($G351:DA351)))</f>
        <v>0</v>
      </c>
      <c r="DC350" s="401">
        <f ca="1">IF(SUM($G350:DB350)&gt;=$E350,0,IF($E350-SUM($G350:DB350)&gt;DC351,DC351,$E350-SUM($G351:DB351)))</f>
        <v>0</v>
      </c>
      <c r="DD350" s="401">
        <f ca="1">IF(SUM($G350:DC350)&gt;=$E350,0,IF($E350-SUM($G350:DC350)&gt;DD351,DD351,$E350-SUM($G351:DC351)))</f>
        <v>0</v>
      </c>
      <c r="DE350" s="401">
        <f ca="1">IF(SUM($G350:DD350)&gt;=$E350,0,IF($E350-SUM($G350:DD350)&gt;DE351,DE351,$E350-SUM($G351:DD351)))</f>
        <v>0</v>
      </c>
      <c r="DF350" s="401">
        <f ca="1">IF(SUM($G350:DE350)&gt;=$E350,0,IF($E350-SUM($G350:DE350)&gt;DF351,DF351,$E350-SUM($G351:DE351)))</f>
        <v>0</v>
      </c>
      <c r="DG350" s="401">
        <f ca="1">IF(SUM($G350:DF350)&gt;=$E350,0,IF($E350-SUM($G350:DF350)&gt;DG351,DG351,$E350-SUM($G351:DF351)))</f>
        <v>0</v>
      </c>
      <c r="DH350" s="401">
        <f ca="1">IF(SUM($G350:DG350)&gt;=$E350,0,IF($E350-SUM($G350:DG350)&gt;DH351,DH351,$E350-SUM($G351:DG351)))</f>
        <v>0</v>
      </c>
      <c r="DI350" s="401">
        <f ca="1">IF(SUM($G350:DH350)&gt;=$E350,0,IF($E350-SUM($G350:DH350)&gt;DI351,DI351,$E350-SUM($G351:DH351)))</f>
        <v>0</v>
      </c>
      <c r="DJ350" s="401">
        <f ca="1">IF(SUM($G350:DI350)&gt;=$E350,0,IF($E350-SUM($G350:DI350)&gt;DJ351,DJ351,$E350-SUM($G351:DI351)))</f>
        <v>0</v>
      </c>
      <c r="DK350" s="401">
        <f ca="1">IF(SUM($G350:DJ350)&gt;=$E350,0,IF($E350-SUM($G350:DJ350)&gt;DK351,DK351,$E350-SUM($G351:DJ351)))</f>
        <v>0</v>
      </c>
      <c r="DL350" s="401">
        <f ca="1">IF(SUM($G350:DK350)&gt;=$E350,0,IF($E350-SUM($G350:DK350)&gt;DL351,DL351,$E350-SUM($G351:DK351)))</f>
        <v>0</v>
      </c>
      <c r="DM350" s="401">
        <f ca="1">IF(SUM($G350:DL350)&gt;=$E350,0,IF($E350-SUM($G350:DL350)&gt;DM351,DM351,$E350-SUM($G351:DL351)))</f>
        <v>0</v>
      </c>
      <c r="DN350" s="401">
        <f ca="1">IF(SUM($G350:DM350)&gt;=$E350,0,IF($E350-SUM($G350:DM350)&gt;DN351,DN351,$E350-SUM($G351:DM351)))</f>
        <v>0</v>
      </c>
      <c r="DO350" s="401">
        <f ca="1">IF(SUM($G350:DN350)&gt;=$E350,0,IF($E350-SUM($G350:DN350)&gt;DO351,DO351,$E350-SUM($G351:DN351)))</f>
        <v>0</v>
      </c>
      <c r="DP350" s="401">
        <f ca="1">IF(SUM($G350:DO350)&gt;=$E350,0,IF($E350-SUM($G350:DO350)&gt;DP351,DP351,$E350-SUM($G351:DO351)))</f>
        <v>0</v>
      </c>
      <c r="DQ350" s="401">
        <f ca="1">IF(SUM($G350:DP350)&gt;=$E350,0,IF($E350-SUM($G350:DP350)&gt;DQ351,DQ351,$E350-SUM($G351:DP351)))</f>
        <v>0</v>
      </c>
      <c r="DR350" s="401">
        <f ca="1">IF(SUM($G350:DQ350)&gt;=$E350,0,IF($E350-SUM($G350:DQ350)&gt;DR351,DR351,$E350-SUM($G351:DQ351)))</f>
        <v>0</v>
      </c>
      <c r="DS350" s="401">
        <f ca="1">IF(SUM($G350:DR350)&gt;=$E350,0,IF($E350-SUM($G350:DR350)&gt;DS351,DS351,$E350-SUM($G351:DR351)))</f>
        <v>0</v>
      </c>
      <c r="DT350" s="401">
        <f ca="1">IF(SUM($G350:DS350)&gt;=$E350,0,IF($E350-SUM($G350:DS350)&gt;DT351,DT351,$E350-SUM($G351:DS351)))</f>
        <v>0</v>
      </c>
      <c r="DU350" s="401">
        <f ca="1">IF(SUM($G350:DT350)&gt;=$E350,0,IF($E350-SUM($G350:DT350)&gt;DU351,DU351,$E350-SUM($G351:DT351)))</f>
        <v>0</v>
      </c>
      <c r="DV350" s="401">
        <f ca="1">IF(SUM($G350:DU350)&gt;=$E350,0,IF($E350-SUM($G350:DU350)&gt;DV351,DV351,$E350-SUM($G351:DU351)))</f>
        <v>0</v>
      </c>
      <c r="DW350" s="401">
        <f ca="1">IF(SUM($G350:DV350)&gt;=$E350,0,IF($E350-SUM($G350:DV350)&gt;DW351,DW351,$E350-SUM($G351:DV351)))</f>
        <v>0</v>
      </c>
      <c r="DX350" s="401">
        <f ca="1">IF(SUM($G350:DW350)&gt;=$E350,0,IF($E350-SUM($G350:DW350)&gt;DX351,DX351,$E350-SUM($G351:DW351)))</f>
        <v>0</v>
      </c>
      <c r="DY350" s="401">
        <f ca="1">IF(SUM($G350:DX350)&gt;=$E350,0,IF($E350-SUM($G350:DX350)&gt;DY351,DY351,$E350-SUM($G351:DX351)))</f>
        <v>0</v>
      </c>
      <c r="DZ350" s="401">
        <f ca="1">IF(SUM($G350:DY350)&gt;=$E350,0,IF($E350-SUM($G350:DY350)&gt;DZ351,DZ351,$E350-SUM($G351:DY351)))</f>
        <v>0</v>
      </c>
      <c r="EA350" s="401">
        <f ca="1">IF(SUM($G350:DZ350)&gt;=$E350,0,IF($E350-SUM($G350:DZ350)&gt;EA351,EA351,$E350-SUM($G351:DZ351)))</f>
        <v>0</v>
      </c>
      <c r="EB350" s="401">
        <f ca="1">IF(SUM($G350:EA350)&gt;=$E350,0,IF($E350-SUM($G350:EA350)&gt;EB351,EB351,$E350-SUM($G351:EA351)))</f>
        <v>0</v>
      </c>
      <c r="EC350" s="401">
        <f ca="1">IF(SUM($G350:EB350)&gt;=$E350,0,IF($E350-SUM($G350:EB350)&gt;EC351,EC351,$E350-SUM($G351:EB351)))</f>
        <v>0</v>
      </c>
      <c r="ED350" s="401">
        <f ca="1">IF(SUM($G350:EC350)&gt;=$E350,0,IF($E350-SUM($G350:EC350)&gt;ED351,ED351,$E350-SUM($G351:EC351)))</f>
        <v>0</v>
      </c>
      <c r="EE350" s="401">
        <f ca="1">IF(SUM($G350:ED350)&gt;=$E350,0,IF($E350-SUM($G350:ED350)&gt;EE351,EE351,$E350-SUM($G351:ED351)))</f>
        <v>0</v>
      </c>
      <c r="EF350" s="401">
        <f ca="1">IF(SUM($G350:EE350)&gt;=$E350,0,IF($E350-SUM($G350:EE350)&gt;EF351,EF351,$E350-SUM($G351:EE351)))</f>
        <v>0</v>
      </c>
      <c r="EG350" s="401">
        <f ca="1">IF(SUM($G350:EF350)&gt;=$E350,0,IF($E350-SUM($G350:EF350)&gt;EG351,EG351,$E350-SUM($G351:EF351)))</f>
        <v>0</v>
      </c>
      <c r="EH350" s="401">
        <f ca="1">IF(SUM($G350:EG350)&gt;=$E350,0,IF($E350-SUM($G350:EG350)&gt;EH351,EH351,$E350-SUM($G351:EG351)))</f>
        <v>0</v>
      </c>
      <c r="EI350" s="401">
        <f ca="1">IF(SUM($G350:EH350)&gt;=$E350,0,IF($E350-SUM($G350:EH350)&gt;EI351,EI351,$E350-SUM($G351:EH351)))</f>
        <v>0</v>
      </c>
      <c r="EK350" s="313"/>
    </row>
    <row r="351" spans="1:141" hidden="1" outlineLevel="2">
      <c r="A351" s="332"/>
      <c r="B351" s="313"/>
      <c r="C351" s="308"/>
      <c r="D351" s="308"/>
      <c r="E351" s="308"/>
      <c r="G351" s="402"/>
      <c r="H351" s="402">
        <f ca="1">IF((SUM($G270:H270)-$E269*IF(длительность!$B$13&gt;70,0.6,0.8))&lt;0,0,IF((SUM($G270:H270)-$E269*IF(длительность!$B$13&gt;70,0.6,0.8))&lt;H270,SUM($G270:H270)-$E269*IF(длительность!$B$13&gt;70,0.6,0.8),H270))</f>
        <v>0</v>
      </c>
      <c r="I351" s="402">
        <f ca="1">IF((SUM($G270:I270)-$E269*IF(длительность!$B$13&gt;70,0.6,0.8))&lt;0,0,IF((SUM($G270:I270)-$E269*IF(длительность!$B$13&gt;70,0.6,0.8))&lt;I270,SUM($G270:I270)-$E269*IF(длительность!$B$13&gt;70,0.6,0.8),I270))</f>
        <v>0</v>
      </c>
      <c r="J351" s="402">
        <f ca="1">IF((SUM($G270:J270)-$E269*IF(длительность!$B$13&gt;70,0.6,0.8))&lt;0,0,IF((SUM($G270:J270)-$E269*IF(длительность!$B$13&gt;70,0.6,0.8))&lt;J270,SUM($G270:J270)-$E269*IF(длительность!$B$13&gt;70,0.6,0.8),J270))</f>
        <v>0</v>
      </c>
      <c r="K351" s="402">
        <f ca="1">IF((SUM($G270:K270)-$E269*IF(длительность!$B$13&gt;70,0.6,0.8))&lt;0,0,IF((SUM($G270:K270)-$E269*IF(длительность!$B$13&gt;70,0.6,0.8))&lt;K270,SUM($G270:K270)-$E269*IF(длительность!$B$13&gt;70,0.6,0.8),K270))</f>
        <v>0</v>
      </c>
      <c r="L351" s="402">
        <f ca="1">IF((SUM($G270:L270)-$E269*IF(длительность!$B$13&gt;70,0.6,0.8))&lt;0,0,IF((SUM($G270:L270)-$E269*IF(длительность!$B$13&gt;70,0.6,0.8))&lt;L270,SUM($G270:L270)-$E269*IF(длительность!$B$13&gt;70,0.6,0.8),L270))</f>
        <v>0</v>
      </c>
      <c r="M351" s="402">
        <f ca="1">IF((SUM($G270:M270)-$E269*IF(длительность!$B$13&gt;70,0.6,0.8))&lt;0,0,IF((SUM($G270:M270)-$E269*IF(длительность!$B$13&gt;70,0.6,0.8))&lt;M270,SUM($G270:M270)-$E269*IF(длительность!$B$13&gt;70,0.6,0.8),M270))</f>
        <v>0</v>
      </c>
      <c r="N351" s="402">
        <f ca="1">IF((SUM($G270:N270)-$E269*IF(длительность!$B$13&gt;70,0.6,0.8))&lt;0,0,IF((SUM($G270:N270)-$E269*IF(длительность!$B$13&gt;70,0.6,0.8))&lt;N270,SUM($G270:N270)-$E269*IF(длительность!$B$13&gt;70,0.6,0.8),N270))</f>
        <v>0</v>
      </c>
      <c r="O351" s="402">
        <f ca="1">IF((SUM($G270:O270)-$E269*IF(длительность!$B$13&gt;70,0.6,0.8))&lt;0,0,IF((SUM($G270:O270)-$E269*IF(длительность!$B$13&gt;70,0.6,0.8))&lt;O270,SUM($G270:O270)-$E269*IF(длительность!$B$13&gt;70,0.6,0.8),O270))</f>
        <v>0</v>
      </c>
      <c r="P351" s="402">
        <f ca="1">IF((SUM($G270:P270)-$E269*IF(длительность!$B$13&gt;70,0.6,0.8))&lt;0,0,IF((SUM($G270:P270)-$E269*IF(длительность!$B$13&gt;70,0.6,0.8))&lt;P270,SUM($G270:P270)-$E269*IF(длительность!$B$13&gt;70,0.6,0.8),P270))</f>
        <v>0</v>
      </c>
      <c r="Q351" s="402">
        <f ca="1">IF((SUM($G270:Q270)-$E269*IF(длительность!$B$13&gt;70,0.6,0.8))&lt;0,0,IF((SUM($G270:Q270)-$E269*IF(длительность!$B$13&gt;70,0.6,0.8))&lt;Q270,SUM($G270:Q270)-$E269*IF(длительность!$B$13&gt;70,0.6,0.8),Q270))</f>
        <v>0</v>
      </c>
      <c r="R351" s="402">
        <f ca="1">IF((SUM($G270:R270)-$E269*IF(длительность!$B$13&gt;70,0.6,0.8))&lt;0,0,IF((SUM($G270:R270)-$E269*IF(длительность!$B$13&gt;70,0.6,0.8))&lt;R270,SUM($G270:R270)-$E269*IF(длительность!$B$13&gt;70,0.6,0.8),R270))</f>
        <v>0</v>
      </c>
      <c r="S351" s="402">
        <f ca="1">IF((SUM($G270:S270)-$E269*IF(длительность!$B$13&gt;70,0.6,0.8))&lt;0,0,IF((SUM($G270:S270)-$E269*IF(длительность!$B$13&gt;70,0.6,0.8))&lt;S270,SUM($G270:S270)-$E269*IF(длительность!$B$13&gt;70,0.6,0.8),S270))</f>
        <v>0</v>
      </c>
      <c r="T351" s="402">
        <f ca="1">IF((SUM($G270:T270)-$E269*IF(длительность!$B$13&gt;70,0.6,0.8))&lt;0,0,IF((SUM($G270:T270)-$E269*IF(длительность!$B$13&gt;70,0.6,0.8))&lt;T270,SUM($G270:T270)-$E269*IF(длительность!$B$13&gt;70,0.6,0.8),T270))</f>
        <v>0</v>
      </c>
      <c r="U351" s="402">
        <f ca="1">IF((SUM($G270:U270)-$E269*IF(длительность!$B$13&gt;70,0.6,0.8))&lt;0,0,IF((SUM($G270:U270)-$E269*IF(длительность!$B$13&gt;70,0.6,0.8))&lt;U270,SUM($G270:U270)-$E269*IF(длительность!$B$13&gt;70,0.6,0.8),U270))</f>
        <v>0</v>
      </c>
      <c r="V351" s="402">
        <f ca="1">IF((SUM($G270:V270)-$E269*IF(длительность!$B$13&gt;70,0.6,0.8))&lt;0,0,IF((SUM($G270:V270)-$E269*IF(длительность!$B$13&gt;70,0.6,0.8))&lt;V270,SUM($G270:V270)-$E269*IF(длительность!$B$13&gt;70,0.6,0.8),V270))</f>
        <v>0</v>
      </c>
      <c r="W351" s="402">
        <f ca="1">IF((SUM($G270:W270)-$E269*IF(длительность!$B$13&gt;70,0.6,0.8))&lt;0,0,IF((SUM($G270:W270)-$E269*IF(длительность!$B$13&gt;70,0.6,0.8))&lt;W270,SUM($G270:W270)-$E269*IF(длительность!$B$13&gt;70,0.6,0.8),W270))</f>
        <v>0</v>
      </c>
      <c r="X351" s="402">
        <f ca="1">IF((SUM($G270:X270)-$E269*IF(длительность!$B$13&gt;70,0.6,0.8))&lt;0,0,IF((SUM($G270:X270)-$E269*IF(длительность!$B$13&gt;70,0.6,0.8))&lt;X270,SUM($G270:X270)-$E269*IF(длительность!$B$13&gt;70,0.6,0.8),X270))</f>
        <v>0</v>
      </c>
      <c r="Y351" s="402">
        <f ca="1">IF((SUM($G270:Y270)-$E269*IF(длительность!$B$13&gt;70,0.6,0.8))&lt;0,0,IF((SUM($G270:Y270)-$E269*IF(длительность!$B$13&gt;70,0.6,0.8))&lt;Y270,SUM($G270:Y270)-$E269*IF(длительность!$B$13&gt;70,0.6,0.8),Y270))</f>
        <v>0</v>
      </c>
      <c r="Z351" s="402">
        <f ca="1">IF((SUM($G270:Z270)-$E269*IF(длительность!$B$13&gt;70,0.6,0.8))&lt;0,0,IF((SUM($G270:Z270)-$E269*IF(длительность!$B$13&gt;70,0.6,0.8))&lt;Z270,SUM($G270:Z270)-$E269*IF(длительность!$B$13&gt;70,0.6,0.8),Z270))</f>
        <v>0</v>
      </c>
      <c r="AA351" s="402">
        <f ca="1">IF((SUM($G270:AA270)-$E269*IF(длительность!$B$13&gt;70,0.6,0.8))&lt;0,0,IF((SUM($G270:AA270)-$E269*IF(длительность!$B$13&gt;70,0.6,0.8))&lt;AA270,SUM($G270:AA270)-$E269*IF(длительность!$B$13&gt;70,0.6,0.8),AA270))</f>
        <v>0</v>
      </c>
      <c r="AB351" s="402">
        <f ca="1">IF((SUM($G270:AB270)-$E269*IF(длительность!$B$13&gt;70,0.6,0.8))&lt;0,0,IF((SUM($G270:AB270)-$E269*IF(длительность!$B$13&gt;70,0.6,0.8))&lt;AB270,SUM($G270:AB270)-$E269*IF(длительность!$B$13&gt;70,0.6,0.8),AB270))</f>
        <v>0</v>
      </c>
      <c r="AC351" s="402">
        <f ca="1">IF((SUM($G270:AC270)-$E269*IF(длительность!$B$13&gt;70,0.6,0.8))&lt;0,0,IF((SUM($G270:AC270)-$E269*IF(длительность!$B$13&gt;70,0.6,0.8))&lt;AC270,SUM($G270:AC270)-$E269*IF(длительность!$B$13&gt;70,0.6,0.8),AC270))</f>
        <v>0</v>
      </c>
      <c r="AD351" s="402">
        <f ca="1">IF((SUM($G270:AD270)-$E269*IF(длительность!$B$13&gt;70,0.6,0.8))&lt;0,0,IF((SUM($G270:AD270)-$E269*IF(длительность!$B$13&gt;70,0.6,0.8))&lt;AD270,SUM($G270:AD270)-$E269*IF(длительность!$B$13&gt;70,0.6,0.8),AD270))</f>
        <v>0</v>
      </c>
      <c r="AE351" s="402">
        <f ca="1">IF((SUM($G270:AE270)-$E269*IF(длительность!$B$13&gt;70,0.6,0.8))&lt;0,0,IF((SUM($G270:AE270)-$E269*IF(длительность!$B$13&gt;70,0.6,0.8))&lt;AE270,SUM($G270:AE270)-$E269*IF(длительность!$B$13&gt;70,0.6,0.8),AE270))</f>
        <v>0</v>
      </c>
      <c r="AF351" s="402">
        <f ca="1">IF((SUM($G270:AF270)-$E269*IF(длительность!$B$13&gt;70,0.6,0.8))&lt;0,0,IF((SUM($G270:AF270)-$E269*IF(длительность!$B$13&gt;70,0.6,0.8))&lt;AF270,SUM($G270:AF270)-$E269*IF(длительность!$B$13&gt;70,0.6,0.8),AF270))</f>
        <v>0</v>
      </c>
      <c r="AG351" s="402">
        <f ca="1">IF((SUM($G270:AG270)-$E269*IF(длительность!$B$13&gt;70,0.6,0.8))&lt;0,0,IF((SUM($G270:AG270)-$E269*IF(длительность!$B$13&gt;70,0.6,0.8))&lt;AG270,SUM($G270:AG270)-$E269*IF(длительность!$B$13&gt;70,0.6,0.8),AG270))</f>
        <v>0</v>
      </c>
      <c r="AH351" s="402">
        <f ca="1">IF((SUM($G270:AH270)-$E269*IF(длительность!$B$13&gt;70,0.6,0.8))&lt;0,0,IF((SUM($G270:AH270)-$E269*IF(длительность!$B$13&gt;70,0.6,0.8))&lt;AH270,SUM($G270:AH270)-$E269*IF(длительность!$B$13&gt;70,0.6,0.8),AH270))</f>
        <v>0</v>
      </c>
      <c r="AI351" s="402">
        <f ca="1">IF((SUM($G270:AI270)-$E269*IF(длительность!$B$13&gt;70,0.6,0.8))&lt;0,0,IF((SUM($G270:AI270)-$E269*IF(длительность!$B$13&gt;70,0.6,0.8))&lt;AI270,SUM($G270:AI270)-$E269*IF(длительность!$B$13&gt;70,0.6,0.8),AI270))</f>
        <v>0</v>
      </c>
      <c r="AJ351" s="402">
        <f ca="1">IF((SUM($G270:AJ270)-$E269*IF(длительность!$B$13&gt;70,0.6,0.8))&lt;0,0,IF((SUM($G270:AJ270)-$E269*IF(длительность!$B$13&gt;70,0.6,0.8))&lt;AJ270,SUM($G270:AJ270)-$E269*IF(длительность!$B$13&gt;70,0.6,0.8),AJ270))</f>
        <v>0</v>
      </c>
      <c r="AK351" s="402">
        <f ca="1">IF((SUM($G270:AK270)-$E269*IF(длительность!$B$13&gt;70,0.6,0.8))&lt;0,0,IF((SUM($G270:AK270)-$E269*IF(длительность!$B$13&gt;70,0.6,0.8))&lt;AK270,SUM($G270:AK270)-$E269*IF(длительность!$B$13&gt;70,0.6,0.8),AK270))</f>
        <v>0</v>
      </c>
      <c r="AL351" s="402">
        <f ca="1">IF((SUM($G270:AL270)-$E269*IF(длительность!$B$13&gt;70,0.6,0.8))&lt;0,0,IF((SUM($G270:AL270)-$E269*IF(длительность!$B$13&gt;70,0.6,0.8))&lt;AL270,SUM($G270:AL270)-$E269*IF(длительность!$B$13&gt;70,0.6,0.8),AL270))</f>
        <v>0</v>
      </c>
      <c r="AM351" s="402">
        <f ca="1">IF((SUM($G270:AM270)-$E269*IF(длительность!$B$13&gt;70,0.6,0.8))&lt;0,0,IF((SUM($G270:AM270)-$E269*IF(длительность!$B$13&gt;70,0.6,0.8))&lt;AM270,SUM($G270:AM270)-$E269*IF(длительность!$B$13&gt;70,0.6,0.8),AM270))</f>
        <v>0</v>
      </c>
      <c r="AN351" s="402">
        <f ca="1">IF((SUM($G270:AN270)-$E269*IF(длительность!$B$13&gt;70,0.6,0.8))&lt;0,0,IF((SUM($G270:AN270)-$E269*IF(длительность!$B$13&gt;70,0.6,0.8))&lt;AN270,SUM($G270:AN270)-$E269*IF(длительность!$B$13&gt;70,0.6,0.8),AN270))</f>
        <v>0</v>
      </c>
      <c r="AO351" s="402">
        <f ca="1">IF((SUM($G270:AO270)-$E269*IF(длительность!$B$13&gt;70,0.6,0.8))&lt;0,0,IF((SUM($G270:AO270)-$E269*IF(длительность!$B$13&gt;70,0.6,0.8))&lt;AO270,SUM($G270:AO270)-$E269*IF(длительность!$B$13&gt;70,0.6,0.8),AO270))</f>
        <v>0</v>
      </c>
      <c r="AP351" s="402">
        <f ca="1">IF((SUM($G270:AP270)-$E269*IF(длительность!$B$13&gt;70,0.6,0.8))&lt;0,0,IF((SUM($G270:AP270)-$E269*IF(длительность!$B$13&gt;70,0.6,0.8))&lt;AP270,SUM($G270:AP270)-$E269*IF(длительность!$B$13&gt;70,0.6,0.8),AP270))</f>
        <v>0</v>
      </c>
      <c r="AQ351" s="402">
        <f ca="1">IF((SUM($G270:AQ270)-$E269*IF(длительность!$B$13&gt;70,0.6,0.8))&lt;0,0,IF((SUM($G270:AQ270)-$E269*IF(длительность!$B$13&gt;70,0.6,0.8))&lt;AQ270,SUM($G270:AQ270)-$E269*IF(длительность!$B$13&gt;70,0.6,0.8),AQ270))</f>
        <v>0</v>
      </c>
      <c r="AR351" s="402">
        <f ca="1">IF((SUM($G270:AR270)-$E269*IF(длительность!$B$13&gt;70,0.6,0.8))&lt;0,0,IF((SUM($G270:AR270)-$E269*IF(длительность!$B$13&gt;70,0.6,0.8))&lt;AR270,SUM($G270:AR270)-$E269*IF(длительность!$B$13&gt;70,0.6,0.8),AR270))</f>
        <v>0</v>
      </c>
      <c r="AS351" s="402">
        <f ca="1">IF((SUM($G270:AS270)-$E269*IF(длительность!$B$13&gt;70,0.6,0.8))&lt;0,0,IF((SUM($G270:AS270)-$E269*IF(длительность!$B$13&gt;70,0.6,0.8))&lt;AS270,SUM($G270:AS270)-$E269*IF(длительность!$B$13&gt;70,0.6,0.8),AS270))</f>
        <v>0</v>
      </c>
      <c r="AT351" s="402">
        <f ca="1">IF((SUM($G270:AT270)-$E269*IF(длительность!$B$13&gt;70,0.6,0.8))&lt;0,0,IF((SUM($G270:AT270)-$E269*IF(длительность!$B$13&gt;70,0.6,0.8))&lt;AT270,SUM($G270:AT270)-$E269*IF(длительность!$B$13&gt;70,0.6,0.8),AT270))</f>
        <v>0</v>
      </c>
      <c r="AU351" s="402">
        <f ca="1">IF((SUM($G270:AU270)-$E269*IF(длительность!$B$13&gt;70,0.6,0.8))&lt;0,0,IF((SUM($G270:AU270)-$E269*IF(длительность!$B$13&gt;70,0.6,0.8))&lt;AU270,SUM($G270:AU270)-$E269*IF(длительность!$B$13&gt;70,0.6,0.8),AU270))</f>
        <v>0</v>
      </c>
      <c r="AV351" s="402">
        <f ca="1">IF((SUM($G270:AV270)-$E269*IF(длительность!$B$13&gt;70,0.6,0.8))&lt;0,0,IF((SUM($G270:AV270)-$E269*IF(длительность!$B$13&gt;70,0.6,0.8))&lt;AV270,SUM($G270:AV270)-$E269*IF(длительность!$B$13&gt;70,0.6,0.8),AV270))</f>
        <v>3.5999999999999943</v>
      </c>
      <c r="AW351" s="402">
        <f ca="1">IF((SUM($G270:AW270)-$E269*IF(длительность!$B$13&gt;70,0.6,0.8))&lt;0,0,IF((SUM($G270:AW270)-$E269*IF(длительность!$B$13&gt;70,0.6,0.8))&lt;AW270,SUM($G270:AW270)-$E269*IF(длительность!$B$13&gt;70,0.6,0.8),AW270))</f>
        <v>30</v>
      </c>
      <c r="AX351" s="402">
        <f ca="1">IF((SUM($G270:AX270)-$E269*IF(длительность!$B$13&gt;70,0.6,0.8))&lt;0,0,IF((SUM($G270:AX270)-$E269*IF(длительность!$B$13&gt;70,0.6,0.8))&lt;AX270,SUM($G270:AX270)-$E269*IF(длительность!$B$13&gt;70,0.6,0.8),AX270))</f>
        <v>31</v>
      </c>
      <c r="AY351" s="402">
        <f ca="1">IF((SUM($G270:AY270)-$E269*IF(длительность!$B$13&gt;70,0.6,0.8))&lt;0,0,IF((SUM($G270:AY270)-$E269*IF(длительность!$B$13&gt;70,0.6,0.8))&lt;AY270,SUM($G270:AY270)-$E269*IF(длительность!$B$13&gt;70,0.6,0.8),AY270))</f>
        <v>30</v>
      </c>
      <c r="AZ351" s="402">
        <f ca="1">IF((SUM($G270:AZ270)-$E269*IF(длительность!$B$13&gt;70,0.6,0.8))&lt;0,0,IF((SUM($G270:AZ270)-$E269*IF(длительность!$B$13&gt;70,0.6,0.8))&lt;AZ270,SUM($G270:AZ270)-$E269*IF(длительность!$B$13&gt;70,0.6,0.8),AZ270))</f>
        <v>31</v>
      </c>
      <c r="BA351" s="402">
        <f ca="1">IF((SUM($G270:BA270)-$E269*IF(длительность!$B$13&gt;70,0.6,0.8))&lt;0,0,IF((SUM($G270:BA270)-$E269*IF(длительность!$B$13&gt;70,0.6,0.8))&lt;BA270,SUM($G270:BA270)-$E269*IF(длительность!$B$13&gt;70,0.6,0.8),BA270))</f>
        <v>31</v>
      </c>
      <c r="BB351" s="402">
        <f ca="1">IF((SUM($G270:BB270)-$E269*IF(длительность!$B$13&gt;70,0.6,0.8))&lt;0,0,IF((SUM($G270:BB270)-$E269*IF(длительность!$B$13&gt;70,0.6,0.8))&lt;BB270,SUM($G270:BB270)-$E269*IF(длительность!$B$13&gt;70,0.6,0.8),BB270))</f>
        <v>28</v>
      </c>
      <c r="BC351" s="402">
        <f ca="1">IF((SUM($G270:BC270)-$E269*IF(длительность!$B$13&gt;70,0.6,0.8))&lt;0,0,IF((SUM($G270:BC270)-$E269*IF(длительность!$B$13&gt;70,0.6,0.8))&lt;BC270,SUM($G270:BC270)-$E269*IF(длительность!$B$13&gt;70,0.6,0.8),BC270))</f>
        <v>31</v>
      </c>
      <c r="BD351" s="402">
        <f ca="1">IF((SUM($G270:BD270)-$E269*IF(длительность!$B$13&gt;70,0.6,0.8))&lt;0,0,IF((SUM($G270:BD270)-$E269*IF(длительность!$B$13&gt;70,0.6,0.8))&lt;BD270,SUM($G270:BD270)-$E269*IF(длительность!$B$13&gt;70,0.6,0.8),BD270))</f>
        <v>30</v>
      </c>
      <c r="BE351" s="402">
        <f ca="1">IF((SUM($G270:BE270)-$E269*IF(длительность!$B$13&gt;70,0.6,0.8))&lt;0,0,IF((SUM($G270:BE270)-$E269*IF(длительность!$B$13&gt;70,0.6,0.8))&lt;BE270,SUM($G270:BE270)-$E269*IF(длительность!$B$13&gt;70,0.6,0.8),BE270))</f>
        <v>31</v>
      </c>
      <c r="BF351" s="402">
        <f ca="1">IF((SUM($G270:BF270)-$E269*IF(длительность!$B$13&gt;70,0.6,0.8))&lt;0,0,IF((SUM($G270:BF270)-$E269*IF(длительность!$B$13&gt;70,0.6,0.8))&lt;BF270,SUM($G270:BF270)-$E269*IF(длительность!$B$13&gt;70,0.6,0.8),BF270))</f>
        <v>30</v>
      </c>
      <c r="BG351" s="402">
        <f ca="1">IF((SUM($G270:BG270)-$E269*IF(длительность!$B$13&gt;70,0.6,0.8))&lt;0,0,IF((SUM($G270:BG270)-$E269*IF(длительность!$B$13&gt;70,0.6,0.8))&lt;BG270,SUM($G270:BG270)-$E269*IF(длительность!$B$13&gt;70,0.6,0.8),BG270))</f>
        <v>31</v>
      </c>
      <c r="BH351" s="402">
        <f ca="1">IF((SUM($G270:BH270)-$E269*IF(длительность!$B$13&gt;70,0.6,0.8))&lt;0,0,IF((SUM($G270:BH270)-$E269*IF(длительность!$B$13&gt;70,0.6,0.8))&lt;BH270,SUM($G270:BH270)-$E269*IF(длительность!$B$13&gt;70,0.6,0.8),BH270))</f>
        <v>31</v>
      </c>
      <c r="BI351" s="402">
        <f ca="1">IF((SUM($G270:BI270)-$E269*IF(длительность!$B$13&gt;70,0.6,0.8))&lt;0,0,IF((SUM($G270:BI270)-$E269*IF(длительность!$B$13&gt;70,0.6,0.8))&lt;BI270,SUM($G270:BI270)-$E269*IF(длительность!$B$13&gt;70,0.6,0.8),BI270))</f>
        <v>30</v>
      </c>
      <c r="BJ351" s="402">
        <f ca="1">IF((SUM($G270:BJ270)-$E269*IF(длительность!$B$13&gt;70,0.6,0.8))&lt;0,0,IF((SUM($G270:BJ270)-$E269*IF(длительность!$B$13&gt;70,0.6,0.8))&lt;BJ270,SUM($G270:BJ270)-$E269*IF(длительность!$B$13&gt;70,0.6,0.8),BJ270))</f>
        <v>31</v>
      </c>
      <c r="BK351" s="402">
        <f ca="1">IF((SUM($G270:BK270)-$E269*IF(длительность!$B$13&gt;70,0.6,0.8))&lt;0,0,IF((SUM($G270:BK270)-$E269*IF(длительность!$B$13&gt;70,0.6,0.8))&lt;BK270,SUM($G270:BK270)-$E269*IF(длительность!$B$13&gt;70,0.6,0.8),BK270))</f>
        <v>30</v>
      </c>
      <c r="BL351" s="402">
        <f ca="1">IF((SUM($G270:BL270)-$E269*IF(длительность!$B$13&gt;70,0.6,0.8))&lt;0,0,IF((SUM($G270:BL270)-$E269*IF(длительность!$B$13&gt;70,0.6,0.8))&lt;BL270,SUM($G270:BL270)-$E269*IF(длительность!$B$13&gt;70,0.6,0.8),BL270))</f>
        <v>31</v>
      </c>
      <c r="BM351" s="402">
        <f ca="1">IF((SUM($G270:BM270)-$E269*IF(длительность!$B$13&gt;70,0.6,0.8))&lt;0,0,IF((SUM($G270:BM270)-$E269*IF(длительность!$B$13&gt;70,0.6,0.8))&lt;BM270,SUM($G270:BM270)-$E269*IF(длительность!$B$13&gt;70,0.6,0.8),BM270))</f>
        <v>31</v>
      </c>
      <c r="BN351" s="402">
        <f ca="1">IF((SUM($G270:BN270)-$E269*IF(длительность!$B$13&gt;70,0.6,0.8))&lt;0,0,IF((SUM($G270:BN270)-$E269*IF(длительность!$B$13&gt;70,0.6,0.8))&lt;BN270,SUM($G270:BN270)-$E269*IF(длительность!$B$13&gt;70,0.6,0.8),BN270))</f>
        <v>29</v>
      </c>
      <c r="BO351" s="402">
        <f ca="1">IF((SUM($G270:BO270)-$E269*IF(длительность!$B$13&gt;70,0.6,0.8))&lt;0,0,IF((SUM($G270:BO270)-$E269*IF(длительность!$B$13&gt;70,0.6,0.8))&lt;BO270,SUM($G270:BO270)-$E269*IF(длительность!$B$13&gt;70,0.6,0.8),BO270))</f>
        <v>31</v>
      </c>
      <c r="BP351" s="402">
        <f ca="1">IF((SUM($G270:BP270)-$E269*IF(длительность!$B$13&gt;70,0.6,0.8))&lt;0,0,IF((SUM($G270:BP270)-$E269*IF(длительность!$B$13&gt;70,0.6,0.8))&lt;BP270,SUM($G270:BP270)-$E269*IF(длительность!$B$13&gt;70,0.6,0.8),BP270))</f>
        <v>30</v>
      </c>
      <c r="BQ351" s="402">
        <f ca="1">IF((SUM($G270:BQ270)-$E269*IF(длительность!$B$13&gt;70,0.6,0.8))&lt;0,0,IF((SUM($G270:BQ270)-$E269*IF(длительность!$B$13&gt;70,0.6,0.8))&lt;BQ270,SUM($G270:BQ270)-$E269*IF(длительность!$B$13&gt;70,0.6,0.8),BQ270))</f>
        <v>31</v>
      </c>
      <c r="BR351" s="402">
        <f ca="1">IF((SUM($G270:BR270)-$E269*IF(длительность!$B$13&gt;70,0.6,0.8))&lt;0,0,IF((SUM($G270:BR270)-$E269*IF(длительность!$B$13&gt;70,0.6,0.8))&lt;BR270,SUM($G270:BR270)-$E269*IF(длительность!$B$13&gt;70,0.6,0.8),BR270))</f>
        <v>30</v>
      </c>
      <c r="BS351" s="402">
        <f ca="1">IF((SUM($G270:BS270)-$E269*IF(длительность!$B$13&gt;70,0.6,0.8))&lt;0,0,IF((SUM($G270:BS270)-$E269*IF(длительность!$B$13&gt;70,0.6,0.8))&lt;BS270,SUM($G270:BS270)-$E269*IF(длительность!$B$13&gt;70,0.6,0.8),BS270))</f>
        <v>31</v>
      </c>
      <c r="BT351" s="402">
        <f ca="1">IF((SUM($G270:BT270)-$E269*IF(длительность!$B$13&gt;70,0.6,0.8))&lt;0,0,IF((SUM($G270:BT270)-$E269*IF(длительность!$B$13&gt;70,0.6,0.8))&lt;BT270,SUM($G270:BT270)-$E269*IF(длительность!$B$13&gt;70,0.6,0.8),BT270))</f>
        <v>31</v>
      </c>
      <c r="BU351" s="402">
        <f ca="1">IF((SUM($G270:BU270)-$E269*IF(длительность!$B$13&gt;70,0.6,0.8))&lt;0,0,IF((SUM($G270:BU270)-$E269*IF(длительность!$B$13&gt;70,0.6,0.8))&lt;BU270,SUM($G270:BU270)-$E269*IF(длительность!$B$13&gt;70,0.6,0.8),BU270))</f>
        <v>30</v>
      </c>
      <c r="BV351" s="402">
        <f ca="1">IF((SUM($G270:BV270)-$E269*IF(длительность!$B$13&gt;70,0.6,0.8))&lt;0,0,IF((SUM($G270:BV270)-$E269*IF(длительность!$B$13&gt;70,0.6,0.8))&lt;BV270,SUM($G270:BV270)-$E269*IF(длительность!$B$13&gt;70,0.6,0.8),BV270))</f>
        <v>31</v>
      </c>
      <c r="BW351" s="402">
        <f ca="1">IF((SUM($G270:BW270)-$E269*IF(длительность!$B$13&gt;70,0.6,0.8))&lt;0,0,IF((SUM($G270:BW270)-$E269*IF(длительность!$B$13&gt;70,0.6,0.8))&lt;BW270,SUM($G270:BW270)-$E269*IF(длительность!$B$13&gt;70,0.6,0.8),BW270))</f>
        <v>30</v>
      </c>
      <c r="BX351" s="402">
        <f ca="1">IF((SUM($G270:BX270)-$E269*IF(длительность!$B$13&gt;70,0.6,0.8))&lt;0,0,IF((SUM($G270:BX270)-$E269*IF(длительность!$B$13&gt;70,0.6,0.8))&lt;BX270,SUM($G270:BX270)-$E269*IF(длительность!$B$13&gt;70,0.6,0.8),BX270))</f>
        <v>31</v>
      </c>
      <c r="BY351" s="402">
        <f ca="1">IF((SUM($G270:BY270)-$E269*IF(длительность!$B$13&gt;70,0.6,0.8))&lt;0,0,IF((SUM($G270:BY270)-$E269*IF(длительность!$B$13&gt;70,0.6,0.8))&lt;BY270,SUM($G270:BY270)-$E269*IF(длительность!$B$13&gt;70,0.6,0.8),BY270))</f>
        <v>31</v>
      </c>
      <c r="BZ351" s="402">
        <f ca="1">IF((SUM($G270:BZ270)-$E269*IF(длительность!$B$13&gt;70,0.6,0.8))&lt;0,0,IF((SUM($G270:BZ270)-$E269*IF(длительность!$B$13&gt;70,0.6,0.8))&lt;BZ270,SUM($G270:BZ270)-$E269*IF(длительность!$B$13&gt;70,0.6,0.8),BZ270))</f>
        <v>28</v>
      </c>
      <c r="CA351" s="402">
        <f ca="1">IF((SUM($G270:CA270)-$E269*IF(длительность!$B$13&gt;70,0.6,0.8))&lt;0,0,IF((SUM($G270:CA270)-$E269*IF(длительность!$B$13&gt;70,0.6,0.8))&lt;CA270,SUM($G270:CA270)-$E269*IF(длительность!$B$13&gt;70,0.6,0.8),CA270))</f>
        <v>31</v>
      </c>
      <c r="CB351" s="402">
        <f ca="1">IF((SUM($G270:CB270)-$E269*IF(длительность!$B$13&gt;70,0.6,0.8))&lt;0,0,IF((SUM($G270:CB270)-$E269*IF(длительность!$B$13&gt;70,0.6,0.8))&lt;CB270,SUM($G270:CB270)-$E269*IF(длительность!$B$13&gt;70,0.6,0.8),CB270))</f>
        <v>30</v>
      </c>
      <c r="CC351" s="402">
        <f ca="1">IF((SUM($G270:CC270)-$E269*IF(длительность!$B$13&gt;70,0.6,0.8))&lt;0,0,IF((SUM($G270:CC270)-$E269*IF(длительность!$B$13&gt;70,0.6,0.8))&lt;CC270,SUM($G270:CC270)-$E269*IF(длительность!$B$13&gt;70,0.6,0.8),CC270))</f>
        <v>31</v>
      </c>
      <c r="CD351" s="402">
        <f ca="1">IF((SUM($G270:CD270)-$E269*IF(длительность!$B$13&gt;70,0.6,0.8))&lt;0,0,IF((SUM($G270:CD270)-$E269*IF(длительность!$B$13&gt;70,0.6,0.8))&lt;CD270,SUM($G270:CD270)-$E269*IF(длительность!$B$13&gt;70,0.6,0.8),CD270))</f>
        <v>30</v>
      </c>
      <c r="CE351" s="402">
        <f ca="1">IF((SUM($G270:CE270)-$E269*IF(длительность!$B$13&gt;70,0.6,0.8))&lt;0,0,IF((SUM($G270:CE270)-$E269*IF(длительность!$B$13&gt;70,0.6,0.8))&lt;CE270,SUM($G270:CE270)-$E269*IF(длительность!$B$13&gt;70,0.6,0.8),CE270))</f>
        <v>31</v>
      </c>
      <c r="CF351" s="402">
        <f ca="1">IF((SUM($G270:CF270)-$E269*IF(длительность!$B$13&gt;70,0.6,0.8))&lt;0,0,IF((SUM($G270:CF270)-$E269*IF(длительность!$B$13&gt;70,0.6,0.8))&lt;CF270,SUM($G270:CF270)-$E269*IF(длительность!$B$13&gt;70,0.6,0.8),CF270))</f>
        <v>31</v>
      </c>
      <c r="CG351" s="402">
        <f ca="1">IF((SUM($G270:CG270)-$E269*IF(длительность!$B$13&gt;70,0.6,0.8))&lt;0,0,IF((SUM($G270:CG270)-$E269*IF(длительность!$B$13&gt;70,0.6,0.8))&lt;CG270,SUM($G270:CG270)-$E269*IF(длительность!$B$13&gt;70,0.6,0.8),CG270))</f>
        <v>30</v>
      </c>
      <c r="CH351" s="402">
        <f ca="1">IF((SUM($G270:CH270)-$E269*IF(длительность!$B$13&gt;70,0.6,0.8))&lt;0,0,IF((SUM($G270:CH270)-$E269*IF(длительность!$B$13&gt;70,0.6,0.8))&lt;CH270,SUM($G270:CH270)-$E269*IF(длительность!$B$13&gt;70,0.6,0.8),CH270))</f>
        <v>31</v>
      </c>
      <c r="CI351" s="402">
        <f ca="1">IF((SUM($G270:CI270)-$E269*IF(длительность!$B$13&gt;70,0.6,0.8))&lt;0,0,IF((SUM($G270:CI270)-$E269*IF(длительность!$B$13&gt;70,0.6,0.8))&lt;CI270,SUM($G270:CI270)-$E269*IF(длительность!$B$13&gt;70,0.6,0.8),CI270))</f>
        <v>30</v>
      </c>
      <c r="CJ351" s="402">
        <f ca="1">IF((SUM($G270:CJ270)-$E269*IF(длительность!$B$13&gt;70,0.6,0.8))&lt;0,0,IF((SUM($G270:CJ270)-$E269*IF(длительность!$B$13&gt;70,0.6,0.8))&lt;CJ270,SUM($G270:CJ270)-$E269*IF(длительность!$B$13&gt;70,0.6,0.8),CJ270))</f>
        <v>31</v>
      </c>
      <c r="CK351" s="402">
        <f ca="1">IF((SUM($G270:CK270)-$E269*IF(длительность!$B$13&gt;70,0.6,0.8))&lt;0,0,IF((SUM($G270:CK270)-$E269*IF(длительность!$B$13&gt;70,0.6,0.8))&lt;CK270,SUM($G270:CK270)-$E269*IF(длительность!$B$13&gt;70,0.6,0.8),CK270))</f>
        <v>31</v>
      </c>
      <c r="CL351" s="402">
        <f ca="1">IF((SUM($G270:CL270)-$E269*IF(длительность!$B$13&gt;70,0.6,0.8))&lt;0,0,IF((SUM($G270:CL270)-$E269*IF(длительность!$B$13&gt;70,0.6,0.8))&lt;CL270,SUM($G270:CL270)-$E269*IF(длительность!$B$13&gt;70,0.6,0.8),CL270))</f>
        <v>28</v>
      </c>
      <c r="CM351" s="402">
        <f ca="1">IF((SUM($G270:CM270)-$E269*IF(длительность!$B$13&gt;70,0.6,0.8))&lt;0,0,IF((SUM($G270:CM270)-$E269*IF(длительность!$B$13&gt;70,0.6,0.8))&lt;CM270,SUM($G270:CM270)-$E269*IF(длительность!$B$13&gt;70,0.6,0.8),CM270))</f>
        <v>31</v>
      </c>
      <c r="CN351" s="402">
        <f ca="1">IF((SUM($G270:CN270)-$E269*IF(длительность!$B$13&gt;70,0.6,0.8))&lt;0,0,IF((SUM($G270:CN270)-$E269*IF(длительность!$B$13&gt;70,0.6,0.8))&lt;CN270,SUM($G270:CN270)-$E269*IF(длительность!$B$13&gt;70,0.6,0.8),CN270))</f>
        <v>30</v>
      </c>
      <c r="CO351" s="402">
        <f ca="1">IF((SUM($G270:CO270)-$E269*IF(длительность!$B$13&gt;70,0.6,0.8))&lt;0,0,IF((SUM($G270:CO270)-$E269*IF(длительность!$B$13&gt;70,0.6,0.8))&lt;CO270,SUM($G270:CO270)-$E269*IF(длительность!$B$13&gt;70,0.6,0.8),CO270))</f>
        <v>31</v>
      </c>
      <c r="CP351" s="402">
        <f ca="1">IF((SUM($G270:CP270)-$E269*IF(длительность!$B$13&gt;70,0.6,0.8))&lt;0,0,IF((SUM($G270:CP270)-$E269*IF(длительность!$B$13&gt;70,0.6,0.8))&lt;CP270,SUM($G270:CP270)-$E269*IF(длительность!$B$13&gt;70,0.6,0.8),CP270))</f>
        <v>30</v>
      </c>
      <c r="CQ351" s="402">
        <f ca="1">IF((SUM($G270:CQ270)-$E269*IF(длительность!$B$13&gt;70,0.6,0.8))&lt;0,0,IF((SUM($G270:CQ270)-$E269*IF(длительность!$B$13&gt;70,0.6,0.8))&lt;CQ270,SUM($G270:CQ270)-$E269*IF(длительность!$B$13&gt;70,0.6,0.8),CQ270))</f>
        <v>31</v>
      </c>
      <c r="CR351" s="402">
        <f ca="1">IF((SUM($G270:CR270)-$E269*IF(длительность!$B$13&gt;70,0.6,0.8))&lt;0,0,IF((SUM($G270:CR270)-$E269*IF(длительность!$B$13&gt;70,0.6,0.8))&lt;CR270,SUM($G270:CR270)-$E269*IF(длительность!$B$13&gt;70,0.6,0.8),CR270))</f>
        <v>31</v>
      </c>
      <c r="CS351" s="402">
        <f ca="1">IF((SUM($G270:CS270)-$E269*IF(длительность!$B$13&gt;70,0.6,0.8))&lt;0,0,IF((SUM($G270:CS270)-$E269*IF(длительность!$B$13&gt;70,0.6,0.8))&lt;CS270,SUM($G270:CS270)-$E269*IF(длительность!$B$13&gt;70,0.6,0.8),CS270))</f>
        <v>30</v>
      </c>
      <c r="CT351" s="402">
        <f ca="1">IF((SUM($G270:CT270)-$E269*IF(длительность!$B$13&gt;70,0.6,0.8))&lt;0,0,IF((SUM($G270:CT270)-$E269*IF(длительность!$B$13&gt;70,0.6,0.8))&lt;CT270,SUM($G270:CT270)-$E269*IF(длительность!$B$13&gt;70,0.6,0.8),CT270))</f>
        <v>31</v>
      </c>
      <c r="CU351" s="402">
        <f ca="1">IF((SUM($G270:CU270)-$E269*IF(длительность!$B$13&gt;70,0.6,0.8))&lt;0,0,IF((SUM($G270:CU270)-$E269*IF(длительность!$B$13&gt;70,0.6,0.8))&lt;CU270,SUM($G270:CU270)-$E269*IF(длительность!$B$13&gt;70,0.6,0.8),CU270))</f>
        <v>30</v>
      </c>
      <c r="CV351" s="402">
        <f ca="1">IF((SUM($G270:CV270)-$E269*IF(длительность!$B$13&gt;70,0.6,0.8))&lt;0,0,IF((SUM($G270:CV270)-$E269*IF(длительность!$B$13&gt;70,0.6,0.8))&lt;CV270,SUM($G270:CV270)-$E269*IF(длительность!$B$13&gt;70,0.6,0.8),CV270))</f>
        <v>31</v>
      </c>
      <c r="CW351" s="402">
        <f ca="1">IF((SUM($G270:CW270)-$E269*IF(длительность!$B$13&gt;70,0.6,0.8))&lt;0,0,IF((SUM($G270:CW270)-$E269*IF(длительность!$B$13&gt;70,0.6,0.8))&lt;CW270,SUM($G270:CW270)-$E269*IF(длительность!$B$13&gt;70,0.6,0.8),CW270))</f>
        <v>31</v>
      </c>
      <c r="CX351" s="402">
        <f ca="1">IF((SUM($G270:CX270)-$E269*IF(длительность!$B$13&gt;70,0.6,0.8))&lt;0,0,IF((SUM($G270:CX270)-$E269*IF(длительность!$B$13&gt;70,0.6,0.8))&lt;CX270,SUM($G270:CX270)-$E269*IF(длительность!$B$13&gt;70,0.6,0.8),CX270))</f>
        <v>28</v>
      </c>
      <c r="CY351" s="402">
        <f ca="1">IF((SUM($G270:CY270)-$E269*IF(длительность!$B$13&gt;70,0.6,0.8))&lt;0,0,IF((SUM($G270:CY270)-$E269*IF(длительность!$B$13&gt;70,0.6,0.8))&lt;CY270,SUM($G270:CY270)-$E269*IF(длительность!$B$13&gt;70,0.6,0.8),CY270))</f>
        <v>31</v>
      </c>
      <c r="CZ351" s="402">
        <f ca="1">IF((SUM($G270:CZ270)-$E269*IF(длительность!$B$13&gt;70,0.6,0.8))&lt;0,0,IF((SUM($G270:CZ270)-$E269*IF(длительность!$B$13&gt;70,0.6,0.8))&lt;CZ270,SUM($G270:CZ270)-$E269*IF(длительность!$B$13&gt;70,0.6,0.8),CZ270))</f>
        <v>30</v>
      </c>
      <c r="DA351" s="402">
        <f ca="1">IF((SUM($G270:DA270)-$E269*IF(длительность!$B$13&gt;70,0.6,0.8))&lt;0,0,IF((SUM($G270:DA270)-$E269*IF(длительность!$B$13&gt;70,0.6,0.8))&lt;DA270,SUM($G270:DA270)-$E269*IF(длительность!$B$13&gt;70,0.6,0.8),DA270))</f>
        <v>31</v>
      </c>
      <c r="DB351" s="402">
        <f ca="1">IF((SUM($G270:DB270)-$E269*IF(длительность!$B$13&gt;70,0.6,0.8))&lt;0,0,IF((SUM($G270:DB270)-$E269*IF(длительность!$B$13&gt;70,0.6,0.8))&lt;DB270,SUM($G270:DB270)-$E269*IF(длительность!$B$13&gt;70,0.6,0.8),DB270))</f>
        <v>30</v>
      </c>
      <c r="DC351" s="402">
        <f ca="1">IF((SUM($G270:DC270)-$E269*IF(длительность!$B$13&gt;70,0.6,0.8))&lt;0,0,IF((SUM($G270:DC270)-$E269*IF(длительность!$B$13&gt;70,0.6,0.8))&lt;DC270,SUM($G270:DC270)-$E269*IF(длительность!$B$13&gt;70,0.6,0.8),DC270))</f>
        <v>31</v>
      </c>
      <c r="DD351" s="402">
        <f ca="1">IF((SUM($G270:DD270)-$E269*IF(длительность!$B$13&gt;70,0.6,0.8))&lt;0,0,IF((SUM($G270:DD270)-$E269*IF(длительность!$B$13&gt;70,0.6,0.8))&lt;DD270,SUM($G270:DD270)-$E269*IF(длительность!$B$13&gt;70,0.6,0.8),DD270))</f>
        <v>31</v>
      </c>
      <c r="DE351" s="402">
        <f ca="1">IF((SUM($G270:DE270)-$E269*IF(длительность!$B$13&gt;70,0.6,0.8))&lt;0,0,IF((SUM($G270:DE270)-$E269*IF(длительность!$B$13&gt;70,0.6,0.8))&lt;DE270,SUM($G270:DE270)-$E269*IF(длительность!$B$13&gt;70,0.6,0.8),DE270))</f>
        <v>30</v>
      </c>
      <c r="DF351" s="402">
        <f ca="1">IF((SUM($G270:DF270)-$E269*IF(длительность!$B$13&gt;70,0.6,0.8))&lt;0,0,IF((SUM($G270:DF270)-$E269*IF(длительность!$B$13&gt;70,0.6,0.8))&lt;DF270,SUM($G270:DF270)-$E269*IF(длительность!$B$13&gt;70,0.6,0.8),DF270))</f>
        <v>31</v>
      </c>
      <c r="DG351" s="402">
        <f ca="1">IF((SUM($G270:DG270)-$E269*IF(длительность!$B$13&gt;70,0.6,0.8))&lt;0,0,IF((SUM($G270:DG270)-$E269*IF(длительность!$B$13&gt;70,0.6,0.8))&lt;DG270,SUM($G270:DG270)-$E269*IF(длительность!$B$13&gt;70,0.6,0.8),DG270))</f>
        <v>30</v>
      </c>
      <c r="DH351" s="402">
        <f ca="1">IF((SUM($G270:DH270)-$E269*IF(длительность!$B$13&gt;70,0.6,0.8))&lt;0,0,IF((SUM($G270:DH270)-$E269*IF(длительность!$B$13&gt;70,0.6,0.8))&lt;DH270,SUM($G270:DH270)-$E269*IF(длительность!$B$13&gt;70,0.6,0.8),DH270))</f>
        <v>31</v>
      </c>
      <c r="DI351" s="402">
        <f ca="1">IF((SUM($G270:DI270)-$E269*IF(длительность!$B$13&gt;70,0.6,0.8))&lt;0,0,IF((SUM($G270:DI270)-$E269*IF(длительность!$B$13&gt;70,0.6,0.8))&lt;DI270,SUM($G270:DI270)-$E269*IF(длительность!$B$13&gt;70,0.6,0.8),DI270))</f>
        <v>31</v>
      </c>
      <c r="DJ351" s="402">
        <f ca="1">IF((SUM($G270:DJ270)-$E269*IF(длительность!$B$13&gt;70,0.6,0.8))&lt;0,0,IF((SUM($G270:DJ270)-$E269*IF(длительность!$B$13&gt;70,0.6,0.8))&lt;DJ270,SUM($G270:DJ270)-$E269*IF(длительность!$B$13&gt;70,0.6,0.8),DJ270))</f>
        <v>29</v>
      </c>
      <c r="DK351" s="402">
        <f ca="1">IF((SUM($G270:DK270)-$E269*IF(длительность!$B$13&gt;70,0.6,0.8))&lt;0,0,IF((SUM($G270:DK270)-$E269*IF(длительность!$B$13&gt;70,0.6,0.8))&lt;DK270,SUM($G270:DK270)-$E269*IF(длительность!$B$13&gt;70,0.6,0.8),DK270))</f>
        <v>31</v>
      </c>
      <c r="DL351" s="402">
        <f ca="1">IF((SUM($G270:DL270)-$E269*IF(длительность!$B$13&gt;70,0.6,0.8))&lt;0,0,IF((SUM($G270:DL270)-$E269*IF(длительность!$B$13&gt;70,0.6,0.8))&lt;DL270,SUM($G270:DL270)-$E269*IF(длительность!$B$13&gt;70,0.6,0.8),DL270))</f>
        <v>30</v>
      </c>
      <c r="DM351" s="402">
        <f ca="1">IF((SUM($G270:DM270)-$E269*IF(длительность!$B$13&gt;70,0.6,0.8))&lt;0,0,IF((SUM($G270:DM270)-$E269*IF(длительность!$B$13&gt;70,0.6,0.8))&lt;DM270,SUM($G270:DM270)-$E269*IF(длительность!$B$13&gt;70,0.6,0.8),DM270))</f>
        <v>31</v>
      </c>
      <c r="DN351" s="402">
        <f ca="1">IF((SUM($G270:DN270)-$E269*IF(длительность!$B$13&gt;70,0.6,0.8))&lt;0,0,IF((SUM($G270:DN270)-$E269*IF(длительность!$B$13&gt;70,0.6,0.8))&lt;DN270,SUM($G270:DN270)-$E269*IF(длительность!$B$13&gt;70,0.6,0.8),DN270))</f>
        <v>30</v>
      </c>
      <c r="DO351" s="402">
        <f ca="1">IF((SUM($G270:DO270)-$E269*IF(длительность!$B$13&gt;70,0.6,0.8))&lt;0,0,IF((SUM($G270:DO270)-$E269*IF(длительность!$B$13&gt;70,0.6,0.8))&lt;DO270,SUM($G270:DO270)-$E269*IF(длительность!$B$13&gt;70,0.6,0.8),DO270))</f>
        <v>31</v>
      </c>
      <c r="DP351" s="402">
        <f ca="1">IF((SUM($G270:DP270)-$E269*IF(длительность!$B$13&gt;70,0.6,0.8))&lt;0,0,IF((SUM($G270:DP270)-$E269*IF(длительность!$B$13&gt;70,0.6,0.8))&lt;DP270,SUM($G270:DP270)-$E269*IF(длительность!$B$13&gt;70,0.6,0.8),DP270))</f>
        <v>31</v>
      </c>
      <c r="DQ351" s="402">
        <f ca="1">IF((SUM($G270:DQ270)-$E269*IF(длительность!$B$13&gt;70,0.6,0.8))&lt;0,0,IF((SUM($G270:DQ270)-$E269*IF(длительность!$B$13&gt;70,0.6,0.8))&lt;DQ270,SUM($G270:DQ270)-$E269*IF(длительность!$B$13&gt;70,0.6,0.8),DQ270))</f>
        <v>30</v>
      </c>
      <c r="DR351" s="402">
        <f ca="1">IF((SUM($G270:DR270)-$E269*IF(длительность!$B$13&gt;70,0.6,0.8))&lt;0,0,IF((SUM($G270:DR270)-$E269*IF(длительность!$B$13&gt;70,0.6,0.8))&lt;DR270,SUM($G270:DR270)-$E269*IF(длительность!$B$13&gt;70,0.6,0.8),DR270))</f>
        <v>31</v>
      </c>
      <c r="DS351" s="402">
        <f ca="1">IF((SUM($G270:DS270)-$E269*IF(длительность!$B$13&gt;70,0.6,0.8))&lt;0,0,IF((SUM($G270:DS270)-$E269*IF(длительность!$B$13&gt;70,0.6,0.8))&lt;DS270,SUM($G270:DS270)-$E269*IF(длительность!$B$13&gt;70,0.6,0.8),DS270))</f>
        <v>30</v>
      </c>
      <c r="DT351" s="402">
        <f ca="1">IF((SUM($G270:DT270)-$E269*IF(длительность!$B$13&gt;70,0.6,0.8))&lt;0,0,IF((SUM($G270:DT270)-$E269*IF(длительность!$B$13&gt;70,0.6,0.8))&lt;DT270,SUM($G270:DT270)-$E269*IF(длительность!$B$13&gt;70,0.6,0.8),DT270))</f>
        <v>31</v>
      </c>
      <c r="DU351" s="402">
        <f ca="1">IF((SUM($G270:DU270)-$E269*IF(длительность!$B$13&gt;70,0.6,0.8))&lt;0,0,IF((SUM($G270:DU270)-$E269*IF(длительность!$B$13&gt;70,0.6,0.8))&lt;DU270,SUM($G270:DU270)-$E269*IF(длительность!$B$13&gt;70,0.6,0.8),DU270))</f>
        <v>31</v>
      </c>
      <c r="DV351" s="402">
        <f ca="1">IF((SUM($G270:DV270)-$E269*IF(длительность!$B$13&gt;70,0.6,0.8))&lt;0,0,IF((SUM($G270:DV270)-$E269*IF(длительность!$B$13&gt;70,0.6,0.8))&lt;DV270,SUM($G270:DV270)-$E269*IF(длительность!$B$13&gt;70,0.6,0.8),DV270))</f>
        <v>28</v>
      </c>
      <c r="DW351" s="402">
        <f ca="1">IF((SUM($G270:DW270)-$E269*IF(длительность!$B$13&gt;70,0.6,0.8))&lt;0,0,IF((SUM($G270:DW270)-$E269*IF(длительность!$B$13&gt;70,0.6,0.8))&lt;DW270,SUM($G270:DW270)-$E269*IF(длительность!$B$13&gt;70,0.6,0.8),DW270))</f>
        <v>31</v>
      </c>
      <c r="DX351" s="402">
        <f ca="1">IF((SUM($G270:DX270)-$E269*IF(длительность!$B$13&gt;70,0.6,0.8))&lt;0,0,IF((SUM($G270:DX270)-$E269*IF(длительность!$B$13&gt;70,0.6,0.8))&lt;DX270,SUM($G270:DX270)-$E269*IF(длительность!$B$13&gt;70,0.6,0.8),DX270))</f>
        <v>30</v>
      </c>
      <c r="DY351" s="402">
        <f ca="1">IF((SUM($G270:DY270)-$E269*IF(длительность!$B$13&gt;70,0.6,0.8))&lt;0,0,IF((SUM($G270:DY270)-$E269*IF(длительность!$B$13&gt;70,0.6,0.8))&lt;DY270,SUM($G270:DY270)-$E269*IF(длительность!$B$13&gt;70,0.6,0.8),DY270))</f>
        <v>31</v>
      </c>
      <c r="DZ351" s="402">
        <f ca="1">IF((SUM($G270:DZ270)-$E269*IF(длительность!$B$13&gt;70,0.6,0.8))&lt;0,0,IF((SUM($G270:DZ270)-$E269*IF(длительность!$B$13&gt;70,0.6,0.8))&lt;DZ270,SUM($G270:DZ270)-$E269*IF(длительность!$B$13&gt;70,0.6,0.8),DZ270))</f>
        <v>30</v>
      </c>
      <c r="EA351" s="402">
        <f ca="1">IF((SUM($G270:EA270)-$E269*IF(длительность!$B$13&gt;70,0.6,0.8))&lt;0,0,IF((SUM($G270:EA270)-$E269*IF(длительность!$B$13&gt;70,0.6,0.8))&lt;EA270,SUM($G270:EA270)-$E269*IF(длительность!$B$13&gt;70,0.6,0.8),EA270))</f>
        <v>31</v>
      </c>
      <c r="EB351" s="402">
        <f ca="1">IF((SUM($G270:EB270)-$E269*IF(длительность!$B$13&gt;70,0.6,0.8))&lt;0,0,IF((SUM($G270:EB270)-$E269*IF(длительность!$B$13&gt;70,0.6,0.8))&lt;EB270,SUM($G270:EB270)-$E269*IF(длительность!$B$13&gt;70,0.6,0.8),EB270))</f>
        <v>31</v>
      </c>
      <c r="EC351" s="402">
        <f ca="1">IF((SUM($G270:EC270)-$E269*IF(длительность!$B$13&gt;70,0.6,0.8))&lt;0,0,IF((SUM($G270:EC270)-$E269*IF(длительность!$B$13&gt;70,0.6,0.8))&lt;EC270,SUM($G270:EC270)-$E269*IF(длительность!$B$13&gt;70,0.6,0.8),EC270))</f>
        <v>30</v>
      </c>
      <c r="ED351" s="402">
        <f ca="1">IF((SUM($G270:ED270)-$E269*IF(длительность!$B$13&gt;70,0.6,0.8))&lt;0,0,IF((SUM($G270:ED270)-$E269*IF(длительность!$B$13&gt;70,0.6,0.8))&lt;ED270,SUM($G270:ED270)-$E269*IF(длительность!$B$13&gt;70,0.6,0.8),ED270))</f>
        <v>31</v>
      </c>
      <c r="EE351" s="402">
        <f ca="1">IF((SUM($G270:EE270)-$E269*IF(длительность!$B$13&gt;70,0.6,0.8))&lt;0,0,IF((SUM($G270:EE270)-$E269*IF(длительность!$B$13&gt;70,0.6,0.8))&lt;EE270,SUM($G270:EE270)-$E269*IF(длительность!$B$13&gt;70,0.6,0.8),EE270))</f>
        <v>30</v>
      </c>
      <c r="EF351" s="402">
        <f ca="1">IF((SUM($G270:EF270)-$E269*IF(длительность!$B$13&gt;70,0.6,0.8))&lt;0,0,IF((SUM($G270:EF270)-$E269*IF(длительность!$B$13&gt;70,0.6,0.8))&lt;EF270,SUM($G270:EF270)-$E269*IF(длительность!$B$13&gt;70,0.6,0.8),EF270))</f>
        <v>31</v>
      </c>
      <c r="EG351" s="402">
        <f ca="1">IF((SUM($G270:EG270)-$E269*IF(длительность!$B$13&gt;70,0.6,0.8))&lt;0,0,IF((SUM($G270:EG270)-$E269*IF(длительность!$B$13&gt;70,0.6,0.8))&lt;EG270,SUM($G270:EG270)-$E269*IF(длительность!$B$13&gt;70,0.6,0.8),EG270))</f>
        <v>31</v>
      </c>
      <c r="EH351" s="402">
        <f ca="1">IF((SUM($G270:EH270)-$E269*IF(длительность!$B$13&gt;70,0.6,0.8))&lt;0,0,IF((SUM($G270:EH270)-$E269*IF(длительность!$B$13&gt;70,0.6,0.8))&lt;EH270,SUM($G270:EH270)-$E269*IF(длительность!$B$13&gt;70,0.6,0.8),EH270))</f>
        <v>28</v>
      </c>
      <c r="EI351" s="402">
        <f ca="1">IF((SUM($G270:EI270)-$E269*IF(длительность!$B$13&gt;70,0.6,0.8))&lt;0,0,IF((SUM($G270:EI270)-$E269*IF(длительность!$B$13&gt;70,0.6,0.8))&lt;EI270,SUM($G270:EI270)-$E269*IF(длительность!$B$13&gt;70,0.6,0.8),EI270))</f>
        <v>31</v>
      </c>
    </row>
    <row r="352" spans="1:141" hidden="1" outlineLevel="2">
      <c r="A352" s="332"/>
      <c r="D352" s="305" t="s">
        <v>670</v>
      </c>
      <c r="E352" s="403">
        <f ca="1">MIN(G352:EI352)</f>
        <v>46235</v>
      </c>
      <c r="F352" s="404">
        <f ca="1">MAX(G352:EI352)</f>
        <v>46235</v>
      </c>
      <c r="G352" s="403" t="str">
        <f ca="1">IF(G350=0,"",IF(SUM($G350:G350)&gt;=1,OFFSET(G$228,-1,0),""))</f>
        <v/>
      </c>
      <c r="H352" s="403" t="str">
        <f ca="1">IF(SUM($G352:G352)&gt;=1,"",IF(H350=0,"",IF(SUM($G350:H350)&gt;=1,OFFSET(H$228,-1,0),"")))</f>
        <v/>
      </c>
      <c r="I352" s="403" t="str">
        <f ca="1">IF(SUM($G352:H352)&gt;=1,"",IF(I350=0,"",IF(SUM($G350:I350)&gt;=1,OFFSET(I$228,-1,0),"")))</f>
        <v/>
      </c>
      <c r="J352" s="403" t="str">
        <f ca="1">IF(SUM($G352:I352)&gt;=1,"",IF(J350=0,"",IF(SUM($G350:J350)&gt;=1,OFFSET(J$228,-1,0),"")))</f>
        <v/>
      </c>
      <c r="K352" s="403" t="str">
        <f ca="1">IF(SUM($G352:J352)&gt;=1,"",IF(K350=0,"",IF(SUM($G350:K350)&gt;=1,OFFSET(K$228,-1,0),"")))</f>
        <v/>
      </c>
      <c r="L352" s="403" t="str">
        <f ca="1">IF(SUM($G352:K352)&gt;=1,"",IF(L350=0,"",IF(SUM($G350:L350)&gt;=1,OFFSET(L$228,-1,0),"")))</f>
        <v/>
      </c>
      <c r="M352" s="403" t="str">
        <f ca="1">IF(SUM($G352:L352)&gt;=1,"",IF(M350=0,"",IF(SUM($G350:M350)&gt;=1,OFFSET(M$228,-1,0),"")))</f>
        <v/>
      </c>
      <c r="N352" s="403" t="str">
        <f ca="1">IF(SUM($G352:M352)&gt;=1,"",IF(N350=0,"",IF(SUM($G350:N350)&gt;=1,OFFSET(N$228,-1,0),"")))</f>
        <v/>
      </c>
      <c r="O352" s="403" t="str">
        <f ca="1">IF(SUM($G352:N352)&gt;=1,"",IF(O350=0,"",IF(SUM($G350:O350)&gt;=1,OFFSET(O$228,-1,0),"")))</f>
        <v/>
      </c>
      <c r="P352" s="403" t="str">
        <f ca="1">IF(SUM($G352:O352)&gt;=1,"",IF(P350=0,"",IF(SUM($G350:P350)&gt;=1,OFFSET(P$228,-1,0),"")))</f>
        <v/>
      </c>
      <c r="Q352" s="403" t="str">
        <f ca="1">IF(SUM($G352:P352)&gt;=1,"",IF(Q350=0,"",IF(SUM($G350:Q350)&gt;=1,OFFSET(Q$228,-1,0),"")))</f>
        <v/>
      </c>
      <c r="R352" s="403" t="str">
        <f ca="1">IF(SUM($G352:Q352)&gt;=1,"",IF(R350=0,"",IF(SUM($G350:R350)&gt;=1,OFFSET(R$228,-1,0),"")))</f>
        <v/>
      </c>
      <c r="S352" s="403" t="str">
        <f ca="1">IF(SUM($G352:R352)&gt;=1,"",IF(S350=0,"",IF(SUM($G350:S350)&gt;=1,OFFSET(S$228,-1,0),"")))</f>
        <v/>
      </c>
      <c r="T352" s="403" t="str">
        <f ca="1">IF(SUM($G352:S352)&gt;=1,"",IF(T350=0,"",IF(SUM($G350:T350)&gt;=1,OFFSET(T$228,-1,0),"")))</f>
        <v/>
      </c>
      <c r="U352" s="403" t="str">
        <f ca="1">IF(SUM($G352:T352)&gt;=1,"",IF(U350=0,"",IF(SUM($G350:U350)&gt;=1,OFFSET(U$228,-1,0),"")))</f>
        <v/>
      </c>
      <c r="V352" s="403" t="str">
        <f ca="1">IF(SUM($G352:U352)&gt;=1,"",IF(V350=0,"",IF(SUM($G350:V350)&gt;=1,OFFSET(V$228,-1,0),"")))</f>
        <v/>
      </c>
      <c r="W352" s="403" t="str">
        <f ca="1">IF(SUM($G352:V352)&gt;=1,"",IF(W350=0,"",IF(SUM($G350:W350)&gt;=1,OFFSET(W$228,-1,0),"")))</f>
        <v/>
      </c>
      <c r="X352" s="403" t="str">
        <f ca="1">IF(SUM($G352:W352)&gt;=1,"",IF(X350=0,"",IF(SUM($G350:X350)&gt;=1,OFFSET(X$228,-1,0),"")))</f>
        <v/>
      </c>
      <c r="Y352" s="403" t="str">
        <f ca="1">IF(SUM($G352:X352)&gt;=1,"",IF(Y350=0,"",IF(SUM($G350:Y350)&gt;=1,OFFSET(Y$228,-1,0),"")))</f>
        <v/>
      </c>
      <c r="Z352" s="403" t="str">
        <f ca="1">IF(SUM($G352:Y352)&gt;=1,"",IF(Z350=0,"",IF(SUM($G350:Z350)&gt;=1,OFFSET(Z$228,-1,0),"")))</f>
        <v/>
      </c>
      <c r="AA352" s="403" t="str">
        <f ca="1">IF(SUM($G352:Z352)&gt;=1,"",IF(AA350=0,"",IF(SUM($G350:AA350)&gt;=1,OFFSET(AA$228,-1,0),"")))</f>
        <v/>
      </c>
      <c r="AB352" s="403" t="str">
        <f ca="1">IF(SUM($G352:AA352)&gt;=1,"",IF(AB350=0,"",IF(SUM($G350:AB350)&gt;=1,OFFSET(AB$228,-1,0),"")))</f>
        <v/>
      </c>
      <c r="AC352" s="403" t="str">
        <f ca="1">IF(SUM($G352:AB352)&gt;=1,"",IF(AC350=0,"",IF(SUM($G350:AC350)&gt;=1,OFFSET(AC$228,-1,0),"")))</f>
        <v/>
      </c>
      <c r="AD352" s="403" t="str">
        <f ca="1">IF(SUM($G352:AC352)&gt;=1,"",IF(AD350=0,"",IF(SUM($G350:AD350)&gt;=1,OFFSET(AD$228,-1,0),"")))</f>
        <v/>
      </c>
      <c r="AE352" s="403" t="str">
        <f ca="1">IF(SUM($G352:AD352)&gt;=1,"",IF(AE350=0,"",IF(SUM($G350:AE350)&gt;=1,OFFSET(AE$228,-1,0),"")))</f>
        <v/>
      </c>
      <c r="AF352" s="403" t="str">
        <f ca="1">IF(SUM($G352:AE352)&gt;=1,"",IF(AF350=0,"",IF(SUM($G350:AF350)&gt;=1,OFFSET(AF$228,-1,0),"")))</f>
        <v/>
      </c>
      <c r="AG352" s="403" t="str">
        <f ca="1">IF(SUM($G352:AF352)&gt;=1,"",IF(AG350=0,"",IF(SUM($G350:AG350)&gt;=1,OFFSET(AG$228,-1,0),"")))</f>
        <v/>
      </c>
      <c r="AH352" s="403" t="str">
        <f ca="1">IF(SUM($G352:AG352)&gt;=1,"",IF(AH350=0,"",IF(SUM($G350:AH350)&gt;=1,OFFSET(AH$228,-1,0),"")))</f>
        <v/>
      </c>
      <c r="AI352" s="403" t="str">
        <f ca="1">IF(SUM($G352:AH352)&gt;=1,"",IF(AI350=0,"",IF(SUM($G350:AI350)&gt;=1,OFFSET(AI$228,-1,0),"")))</f>
        <v/>
      </c>
      <c r="AJ352" s="403" t="str">
        <f ca="1">IF(SUM($G352:AI352)&gt;=1,"",IF(AJ350=0,"",IF(SUM($G350:AJ350)&gt;=1,OFFSET(AJ$228,-1,0),"")))</f>
        <v/>
      </c>
      <c r="AK352" s="403" t="str">
        <f ca="1">IF(SUM($G352:AJ352)&gt;=1,"",IF(AK350=0,"",IF(SUM($G350:AK350)&gt;=1,OFFSET(AK$228,-1,0),"")))</f>
        <v/>
      </c>
      <c r="AL352" s="403" t="str">
        <f ca="1">IF(SUM($G352:AK352)&gt;=1,"",IF(AL350=0,"",IF(SUM($G350:AL350)&gt;=1,OFFSET(AL$228,-1,0),"")))</f>
        <v/>
      </c>
      <c r="AM352" s="403" t="str">
        <f ca="1">IF(SUM($G352:AL352)&gt;=1,"",IF(AM350=0,"",IF(SUM($G350:AM350)&gt;=1,OFFSET(AM$228,-1,0),"")))</f>
        <v/>
      </c>
      <c r="AN352" s="403" t="str">
        <f ca="1">IF(SUM($G352:AM352)&gt;=1,"",IF(AN350=0,"",IF(SUM($G350:AN350)&gt;=1,OFFSET(AN$228,-1,0),"")))</f>
        <v/>
      </c>
      <c r="AO352" s="403" t="str">
        <f ca="1">IF(SUM($G352:AN352)&gt;=1,"",IF(AO350=0,"",IF(SUM($G350:AO350)&gt;=1,OFFSET(AO$228,-1,0),"")))</f>
        <v/>
      </c>
      <c r="AP352" s="403" t="str">
        <f ca="1">IF(SUM($G352:AO352)&gt;=1,"",IF(AP350=0,"",IF(SUM($G350:AP350)&gt;=1,OFFSET(AP$228,-1,0),"")))</f>
        <v/>
      </c>
      <c r="AQ352" s="403" t="str">
        <f ca="1">IF(SUM($G352:AP352)&gt;=1,"",IF(AQ350=0,"",IF(SUM($G350:AQ350)&gt;=1,OFFSET(AQ$228,-1,0),"")))</f>
        <v/>
      </c>
      <c r="AR352" s="403" t="str">
        <f ca="1">IF(SUM($G352:AQ352)&gt;=1,"",IF(AR350=0,"",IF(SUM($G350:AR350)&gt;=1,OFFSET(AR$228,-1,0),"")))</f>
        <v/>
      </c>
      <c r="AS352" s="403" t="str">
        <f ca="1">IF(SUM($G352:AR352)&gt;=1,"",IF(AS350=0,"",IF(SUM($G350:AS350)&gt;=1,OFFSET(AS$228,-1,0),"")))</f>
        <v/>
      </c>
      <c r="AT352" s="403" t="str">
        <f ca="1">IF(SUM($G352:AS352)&gt;=1,"",IF(AT350=0,"",IF(SUM($G350:AT350)&gt;=1,OFFSET(AT$228,-1,0),"")))</f>
        <v/>
      </c>
      <c r="AU352" s="403" t="str">
        <f ca="1">IF(SUM($G352:AT352)&gt;=1,"",IF(AU350=0,"",IF(SUM($G350:AU350)&gt;=1,OFFSET(AU$228,-1,0),"")))</f>
        <v/>
      </c>
      <c r="AV352" s="403">
        <f ca="1">IF(SUM($G352:AU352)&gt;=1,"",IF(AV350=0,"",IF(SUM($G350:AV350)&gt;=1,OFFSET(AV$228,-1,0),"")))</f>
        <v>46235</v>
      </c>
      <c r="AW352" s="403" t="str">
        <f ca="1">IF(SUM($G352:AV352)&gt;=1,"",IF(AW350=0,"",IF(SUM($G350:AW350)&gt;=1,OFFSET(AW$228,-1,0),"")))</f>
        <v/>
      </c>
      <c r="AX352" s="403" t="str">
        <f ca="1">IF(SUM($G352:AW352)&gt;=1,"",IF(AX350=0,"",IF(SUM($G350:AX350)&gt;=1,OFFSET(AX$228,-1,0),"")))</f>
        <v/>
      </c>
      <c r="AY352" s="403" t="str">
        <f ca="1">IF(SUM($G352:AX352)&gt;=1,"",IF(AY350=0,"",IF(SUM($G350:AY350)&gt;=1,OFFSET(AY$228,-1,0),"")))</f>
        <v/>
      </c>
      <c r="AZ352" s="403" t="str">
        <f ca="1">IF(SUM($G352:AY352)&gt;=1,"",IF(AZ350=0,"",IF(SUM($G350:AZ350)&gt;=1,OFFSET(AZ$228,-1,0),"")))</f>
        <v/>
      </c>
      <c r="BA352" s="403" t="str">
        <f ca="1">IF(SUM($G352:AZ352)&gt;=1,"",IF(BA350=0,"",IF(SUM($G350:BA350)&gt;=1,OFFSET(BA$228,-1,0),"")))</f>
        <v/>
      </c>
      <c r="BB352" s="403" t="str">
        <f ca="1">IF(SUM($G352:BA352)&gt;=1,"",IF(BB350=0,"",IF(SUM($G350:BB350)&gt;=1,OFFSET(BB$228,-1,0),"")))</f>
        <v/>
      </c>
      <c r="BC352" s="403" t="str">
        <f ca="1">IF(SUM($G352:BB352)&gt;=1,"",IF(BC350=0,"",IF(SUM($G350:BC350)&gt;=1,OFFSET(BC$228,-1,0),"")))</f>
        <v/>
      </c>
      <c r="BD352" s="403" t="str">
        <f ca="1">IF(SUM($G352:BC352)&gt;=1,"",IF(BD350=0,"",IF(SUM($G350:BD350)&gt;=1,OFFSET(BD$228,-1,0),"")))</f>
        <v/>
      </c>
      <c r="BE352" s="403" t="str">
        <f ca="1">IF(SUM($G352:BD352)&gt;=1,"",IF(BE350=0,"",IF(SUM($G350:BE350)&gt;=1,OFFSET(BE$228,-1,0),"")))</f>
        <v/>
      </c>
      <c r="BF352" s="403" t="str">
        <f ca="1">IF(SUM($G352:BE352)&gt;=1,"",IF(BF350=0,"",IF(SUM($G350:BF350)&gt;=1,OFFSET(BF$228,-1,0),"")))</f>
        <v/>
      </c>
      <c r="BG352" s="403" t="str">
        <f ca="1">IF(SUM($G352:BF352)&gt;=1,"",IF(BG350=0,"",IF(SUM($G350:BG350)&gt;=1,OFFSET(BG$228,-1,0),"")))</f>
        <v/>
      </c>
      <c r="BH352" s="403" t="str">
        <f ca="1">IF(SUM($G352:BG352)&gt;=1,"",IF(BH350=0,"",IF(SUM($G350:BH350)&gt;=1,OFFSET(BH$228,-1,0),"")))</f>
        <v/>
      </c>
      <c r="BI352" s="403" t="str">
        <f ca="1">IF(SUM($G352:BH352)&gt;=1,"",IF(BI350=0,"",IF(SUM($G350:BI350)&gt;=1,OFFSET(BI$228,-1,0),"")))</f>
        <v/>
      </c>
      <c r="BJ352" s="403" t="str">
        <f ca="1">IF(SUM($G352:BI352)&gt;=1,"",IF(BJ350=0,"",IF(SUM($G350:BJ350)&gt;=1,OFFSET(BJ$228,-1,0),"")))</f>
        <v/>
      </c>
      <c r="BK352" s="403" t="str">
        <f ca="1">IF(SUM($G352:BJ352)&gt;=1,"",IF(BK350=0,"",IF(SUM($G350:BK350)&gt;=1,OFFSET(BK$228,-1,0),"")))</f>
        <v/>
      </c>
      <c r="BL352" s="403" t="str">
        <f ca="1">IF(SUM($G352:BK352)&gt;=1,"",IF(BL350=0,"",IF(SUM($G350:BL350)&gt;=1,OFFSET(BL$228,-1,0),"")))</f>
        <v/>
      </c>
      <c r="BM352" s="403" t="str">
        <f ca="1">IF(SUM($G352:BL352)&gt;=1,"",IF(BM350=0,"",IF(SUM($G350:BM350)&gt;=1,OFFSET(BM$228,-1,0),"")))</f>
        <v/>
      </c>
      <c r="BN352" s="403" t="str">
        <f ca="1">IF(SUM($G352:BM352)&gt;=1,"",IF(BN350=0,"",IF(SUM($G350:BN350)&gt;=1,OFFSET(BN$228,-1,0),"")))</f>
        <v/>
      </c>
      <c r="BO352" s="403" t="str">
        <f ca="1">IF(SUM($G352:BN352)&gt;=1,"",IF(BO350=0,"",IF(SUM($G350:BO350)&gt;=1,OFFSET(BO$228,-1,0),"")))</f>
        <v/>
      </c>
      <c r="BP352" s="403" t="str">
        <f ca="1">IF(SUM($G352:BO352)&gt;=1,"",IF(BP350=0,"",IF(SUM($G350:BP350)&gt;=1,OFFSET(BP$228,-1,0),"")))</f>
        <v/>
      </c>
      <c r="BQ352" s="403" t="str">
        <f ca="1">IF(SUM($G352:BP352)&gt;=1,"",IF(BQ350=0,"",IF(SUM($G350:BQ350)&gt;=1,OFFSET(BQ$228,-1,0),"")))</f>
        <v/>
      </c>
      <c r="BR352" s="403" t="str">
        <f ca="1">IF(SUM($G352:BQ352)&gt;=1,"",IF(BR350=0,"",IF(SUM($G350:BR350)&gt;=1,OFFSET(BR$228,-1,0),"")))</f>
        <v/>
      </c>
      <c r="BS352" s="403" t="str">
        <f ca="1">IF(SUM($G352:BR352)&gt;=1,"",IF(BS350=0,"",IF(SUM($G350:BS350)&gt;=1,OFFSET(BS$228,-1,0),"")))</f>
        <v/>
      </c>
      <c r="BT352" s="403" t="str">
        <f ca="1">IF(SUM($G352:BS352)&gt;=1,"",IF(BT350=0,"",IF(SUM($G350:BT350)&gt;=1,OFFSET(BT$228,-1,0),"")))</f>
        <v/>
      </c>
      <c r="BU352" s="403" t="str">
        <f ca="1">IF(SUM($G352:BT352)&gt;=1,"",IF(BU350=0,"",IF(SUM($G350:BU350)&gt;=1,OFFSET(BU$228,-1,0),"")))</f>
        <v/>
      </c>
      <c r="BV352" s="403" t="str">
        <f ca="1">IF(SUM($G352:BU352)&gt;=1,"",IF(BV350=0,"",IF(SUM($G350:BV350)&gt;=1,OFFSET(BV$228,-1,0),"")))</f>
        <v/>
      </c>
      <c r="BW352" s="403" t="str">
        <f ca="1">IF(SUM($G352:BV352)&gt;=1,"",IF(BW350=0,"",IF(SUM($G350:BW350)&gt;=1,OFFSET(BW$228,-1,0),"")))</f>
        <v/>
      </c>
      <c r="BX352" s="403" t="str">
        <f ca="1">IF(SUM($G352:BW352)&gt;=1,"",IF(BX350=0,"",IF(SUM($G350:BX350)&gt;=1,OFFSET(BX$228,-1,0),"")))</f>
        <v/>
      </c>
      <c r="BY352" s="403" t="str">
        <f ca="1">IF(SUM($G352:BX352)&gt;=1,"",IF(BY350=0,"",IF(SUM($G350:BY350)&gt;=1,OFFSET(BY$228,-1,0),"")))</f>
        <v/>
      </c>
      <c r="BZ352" s="403" t="str">
        <f ca="1">IF(SUM($G352:BY352)&gt;=1,"",IF(BZ350=0,"",IF(SUM($G350:BZ350)&gt;=1,OFFSET(BZ$228,-1,0),"")))</f>
        <v/>
      </c>
      <c r="CA352" s="403" t="str">
        <f ca="1">IF(SUM($G352:BZ352)&gt;=1,"",IF(CA350=0,"",IF(SUM($G350:CA350)&gt;=1,OFFSET(CA$228,-1,0),"")))</f>
        <v/>
      </c>
      <c r="CB352" s="403" t="str">
        <f ca="1">IF(SUM($G352:CA352)&gt;=1,"",IF(CB350=0,"",IF(SUM($G350:CB350)&gt;=1,OFFSET(CB$228,-1,0),"")))</f>
        <v/>
      </c>
      <c r="CC352" s="403" t="str">
        <f ca="1">IF(SUM($G352:CB352)&gt;=1,"",IF(CC350=0,"",IF(SUM($G350:CC350)&gt;=1,OFFSET(CC$228,-1,0),"")))</f>
        <v/>
      </c>
      <c r="CD352" s="403" t="str">
        <f ca="1">IF(SUM($G352:CC352)&gt;=1,"",IF(CD350=0,"",IF(SUM($G350:CD350)&gt;=1,OFFSET(CD$228,-1,0),"")))</f>
        <v/>
      </c>
      <c r="CE352" s="403" t="str">
        <f ca="1">IF(SUM($G352:CD352)&gt;=1,"",IF(CE350=0,"",IF(SUM($G350:CE350)&gt;=1,OFFSET(CE$228,-1,0),"")))</f>
        <v/>
      </c>
      <c r="CF352" s="403" t="str">
        <f ca="1">IF(SUM($G352:CE352)&gt;=1,"",IF(CF350=0,"",IF(SUM($G350:CF350)&gt;=1,OFFSET(CF$228,-1,0),"")))</f>
        <v/>
      </c>
      <c r="CG352" s="403" t="str">
        <f ca="1">IF(SUM($G352:CF352)&gt;=1,"",IF(CG350=0,"",IF(SUM($G350:CG350)&gt;=1,OFFSET(CG$228,-1,0),"")))</f>
        <v/>
      </c>
      <c r="CH352" s="403" t="str">
        <f ca="1">IF(SUM($G352:CG352)&gt;=1,"",IF(CH350=0,"",IF(SUM($G350:CH350)&gt;=1,OFFSET(CH$228,-1,0),"")))</f>
        <v/>
      </c>
      <c r="CI352" s="403" t="str">
        <f ca="1">IF(SUM($G352:CH352)&gt;=1,"",IF(CI350=0,"",IF(SUM($G350:CI350)&gt;=1,OFFSET(CI$228,-1,0),"")))</f>
        <v/>
      </c>
      <c r="CJ352" s="403" t="str">
        <f ca="1">IF(SUM($G352:CI352)&gt;=1,"",IF(CJ350=0,"",IF(SUM($G350:CJ350)&gt;=1,OFFSET(CJ$228,-1,0),"")))</f>
        <v/>
      </c>
      <c r="CK352" s="403" t="str">
        <f ca="1">IF(SUM($G352:CJ352)&gt;=1,"",IF(CK350=0,"",IF(SUM($G350:CK350)&gt;=1,OFFSET(CK$228,-1,0),"")))</f>
        <v/>
      </c>
      <c r="CL352" s="403" t="str">
        <f ca="1">IF(SUM($G352:CK352)&gt;=1,"",IF(CL350=0,"",IF(SUM($G350:CL350)&gt;=1,OFFSET(CL$228,-1,0),"")))</f>
        <v/>
      </c>
      <c r="CM352" s="403" t="str">
        <f ca="1">IF(SUM($G352:CL352)&gt;=1,"",IF(CM350=0,"",IF(SUM($G350:CM350)&gt;=1,OFFSET(CM$228,-1,0),"")))</f>
        <v/>
      </c>
      <c r="CN352" s="403" t="str">
        <f ca="1">IF(SUM($G352:CM352)&gt;=1,"",IF(CN350=0,"",IF(SUM($G350:CN350)&gt;=1,OFFSET(CN$228,-1,0),"")))</f>
        <v/>
      </c>
      <c r="CO352" s="403" t="str">
        <f ca="1">IF(SUM($G352:CN352)&gt;=1,"",IF(CO350=0,"",IF(SUM($G350:CO350)&gt;=1,OFFSET(CO$228,-1,0),"")))</f>
        <v/>
      </c>
      <c r="CP352" s="403" t="str">
        <f ca="1">IF(SUM($G352:CO352)&gt;=1,"",IF(CP350=0,"",IF(SUM($G350:CP350)&gt;=1,OFFSET(CP$228,-1,0),"")))</f>
        <v/>
      </c>
      <c r="CQ352" s="403" t="str">
        <f ca="1">IF(SUM($G352:CP352)&gt;=1,"",IF(CQ350=0,"",IF(SUM($G350:CQ350)&gt;=1,OFFSET(CQ$228,-1,0),"")))</f>
        <v/>
      </c>
      <c r="CR352" s="403" t="str">
        <f ca="1">IF(SUM($G352:CQ352)&gt;=1,"",IF(CR350=0,"",IF(SUM($G350:CR350)&gt;=1,OFFSET(CR$228,-1,0),"")))</f>
        <v/>
      </c>
      <c r="CS352" s="403" t="str">
        <f ca="1">IF(SUM($G352:CR352)&gt;=1,"",IF(CS350=0,"",IF(SUM($G350:CS350)&gt;=1,OFFSET(CS$228,-1,0),"")))</f>
        <v/>
      </c>
      <c r="CT352" s="403" t="str">
        <f ca="1">IF(SUM($G352:CS352)&gt;=1,"",IF(CT350=0,"",IF(SUM($G350:CT350)&gt;=1,OFFSET(CT$228,-1,0),"")))</f>
        <v/>
      </c>
      <c r="CU352" s="403" t="str">
        <f ca="1">IF(SUM($G352:CT352)&gt;=1,"",IF(CU350=0,"",IF(SUM($G350:CU350)&gt;=1,OFFSET(CU$228,-1,0),"")))</f>
        <v/>
      </c>
      <c r="CV352" s="403" t="str">
        <f ca="1">IF(SUM($G352:CU352)&gt;=1,"",IF(CV350=0,"",IF(SUM($G350:CV350)&gt;=1,OFFSET(CV$228,-1,0),"")))</f>
        <v/>
      </c>
      <c r="CW352" s="403" t="str">
        <f ca="1">IF(SUM($G352:CV352)&gt;=1,"",IF(CW350=0,"",IF(SUM($G350:CW350)&gt;=1,OFFSET(CW$228,-1,0),"")))</f>
        <v/>
      </c>
      <c r="CX352" s="403" t="str">
        <f ca="1">IF(SUM($G352:CW352)&gt;=1,"",IF(CX350=0,"",IF(SUM($G350:CX350)&gt;=1,OFFSET(CX$228,-1,0),"")))</f>
        <v/>
      </c>
      <c r="CY352" s="403" t="str">
        <f ca="1">IF(SUM($G352:CX352)&gt;=1,"",IF(CY350=0,"",IF(SUM($G350:CY350)&gt;=1,OFFSET(CY$228,-1,0),"")))</f>
        <v/>
      </c>
      <c r="CZ352" s="403" t="str">
        <f ca="1">IF(SUM($G352:CY352)&gt;=1,"",IF(CZ350=0,"",IF(SUM($G350:CZ350)&gt;=1,OFFSET(CZ$228,-1,0),"")))</f>
        <v/>
      </c>
      <c r="DA352" s="403" t="str">
        <f ca="1">IF(SUM($G352:CZ352)&gt;=1,"",IF(DA350=0,"",IF(SUM($G350:DA350)&gt;=1,OFFSET(DA$228,-1,0),"")))</f>
        <v/>
      </c>
      <c r="DB352" s="403" t="str">
        <f ca="1">IF(SUM($G352:DA352)&gt;=1,"",IF(DB350=0,"",IF(SUM($G350:DB350)&gt;=1,OFFSET(DB$228,-1,0),"")))</f>
        <v/>
      </c>
      <c r="DC352" s="403" t="str">
        <f ca="1">IF(SUM($G352:DB352)&gt;=1,"",IF(DC350=0,"",IF(SUM($G350:DC350)&gt;=1,OFFSET(DC$228,-1,0),"")))</f>
        <v/>
      </c>
      <c r="DD352" s="403" t="str">
        <f ca="1">IF(SUM($G352:DC352)&gt;=1,"",IF(DD350=0,"",IF(SUM($G350:DD350)&gt;=1,OFFSET(DD$228,-1,0),"")))</f>
        <v/>
      </c>
      <c r="DE352" s="403" t="str">
        <f ca="1">IF(SUM($G352:DD352)&gt;=1,"",IF(DE350=0,"",IF(SUM($G350:DE350)&gt;=1,OFFSET(DE$228,-1,0),"")))</f>
        <v/>
      </c>
      <c r="DF352" s="403" t="str">
        <f ca="1">IF(SUM($G352:DE352)&gt;=1,"",IF(DF350=0,"",IF(SUM($G350:DF350)&gt;=1,OFFSET(DF$228,-1,0),"")))</f>
        <v/>
      </c>
      <c r="DG352" s="403" t="str">
        <f ca="1">IF(SUM($G352:DF352)&gt;=1,"",IF(DG350=0,"",IF(SUM($G350:DG350)&gt;=1,OFFSET(DG$228,-1,0),"")))</f>
        <v/>
      </c>
      <c r="DH352" s="403" t="str">
        <f ca="1">IF(SUM($G352:DG352)&gt;=1,"",IF(DH350=0,"",IF(SUM($G350:DH350)&gt;=1,OFFSET(DH$228,-1,0),"")))</f>
        <v/>
      </c>
      <c r="DI352" s="403" t="str">
        <f ca="1">IF(SUM($G352:DH352)&gt;=1,"",IF(DI350=0,"",IF(SUM($G350:DI350)&gt;=1,OFFSET(DI$228,-1,0),"")))</f>
        <v/>
      </c>
      <c r="DJ352" s="403" t="str">
        <f ca="1">IF(SUM($G352:DI352)&gt;=1,"",IF(DJ350=0,"",IF(SUM($G350:DJ350)&gt;=1,OFFSET(DJ$228,-1,0),"")))</f>
        <v/>
      </c>
      <c r="DK352" s="403" t="str">
        <f ca="1">IF(SUM($G352:DJ352)&gt;=1,"",IF(DK350=0,"",IF(SUM($G350:DK350)&gt;=1,OFFSET(DK$228,-1,0),"")))</f>
        <v/>
      </c>
      <c r="DL352" s="403" t="str">
        <f ca="1">IF(SUM($G352:DK352)&gt;=1,"",IF(DL350=0,"",IF(SUM($G350:DL350)&gt;=1,OFFSET(DL$228,-1,0),"")))</f>
        <v/>
      </c>
      <c r="DM352" s="403" t="str">
        <f ca="1">IF(SUM($G352:DL352)&gt;=1,"",IF(DM350=0,"",IF(SUM($G350:DM350)&gt;=1,OFFSET(DM$228,-1,0),"")))</f>
        <v/>
      </c>
      <c r="DN352" s="403" t="str">
        <f ca="1">IF(SUM($G352:DM352)&gt;=1,"",IF(DN350=0,"",IF(SUM($G350:DN350)&gt;=1,OFFSET(DN$228,-1,0),"")))</f>
        <v/>
      </c>
      <c r="DO352" s="403" t="str">
        <f ca="1">IF(SUM($G352:DN352)&gt;=1,"",IF(DO350=0,"",IF(SUM($G350:DO350)&gt;=1,OFFSET(DO$228,-1,0),"")))</f>
        <v/>
      </c>
      <c r="DP352" s="403" t="str">
        <f ca="1">IF(SUM($G352:DO352)&gt;=1,"",IF(DP350=0,"",IF(SUM($G350:DP350)&gt;=1,OFFSET(DP$228,-1,0),"")))</f>
        <v/>
      </c>
      <c r="DQ352" s="403" t="str">
        <f ca="1">IF(SUM($G352:DP352)&gt;=1,"",IF(DQ350=0,"",IF(SUM($G350:DQ350)&gt;=1,OFFSET(DQ$228,-1,0),"")))</f>
        <v/>
      </c>
      <c r="DR352" s="403" t="str">
        <f ca="1">IF(SUM($G352:DQ352)&gt;=1,"",IF(DR350=0,"",IF(SUM($G350:DR350)&gt;=1,OFFSET(DR$228,-1,0),"")))</f>
        <v/>
      </c>
      <c r="DS352" s="403" t="str">
        <f ca="1">IF(SUM($G352:DR352)&gt;=1,"",IF(DS350=0,"",IF(SUM($G350:DS350)&gt;=1,OFFSET(DS$228,-1,0),"")))</f>
        <v/>
      </c>
      <c r="DT352" s="403" t="str">
        <f ca="1">IF(SUM($G352:DS352)&gt;=1,"",IF(DT350=0,"",IF(SUM($G350:DT350)&gt;=1,OFFSET(DT$228,-1,0),"")))</f>
        <v/>
      </c>
      <c r="DU352" s="403" t="str">
        <f ca="1">IF(SUM($G352:DT352)&gt;=1,"",IF(DU350=0,"",IF(SUM($G350:DU350)&gt;=1,OFFSET(DU$228,-1,0),"")))</f>
        <v/>
      </c>
      <c r="DV352" s="403" t="str">
        <f ca="1">IF(SUM($G352:DU352)&gt;=1,"",IF(DV350=0,"",IF(SUM($G350:DV350)&gt;=1,OFFSET(DV$228,-1,0),"")))</f>
        <v/>
      </c>
      <c r="DW352" s="403" t="str">
        <f ca="1">IF(SUM($G352:DV352)&gt;=1,"",IF(DW350=0,"",IF(SUM($G350:DW350)&gt;=1,OFFSET(DW$228,-1,0),"")))</f>
        <v/>
      </c>
      <c r="DX352" s="403" t="str">
        <f ca="1">IF(SUM($G352:DW352)&gt;=1,"",IF(DX350=0,"",IF(SUM($G350:DX350)&gt;=1,OFFSET(DX$228,-1,0),"")))</f>
        <v/>
      </c>
      <c r="DY352" s="403" t="str">
        <f ca="1">IF(SUM($G352:DX352)&gt;=1,"",IF(DY350=0,"",IF(SUM($G350:DY350)&gt;=1,OFFSET(DY$228,-1,0),"")))</f>
        <v/>
      </c>
      <c r="DZ352" s="403" t="str">
        <f ca="1">IF(SUM($G352:DY352)&gt;=1,"",IF(DZ350=0,"",IF(SUM($G350:DZ350)&gt;=1,OFFSET(DZ$228,-1,0),"")))</f>
        <v/>
      </c>
      <c r="EA352" s="403" t="str">
        <f ca="1">IF(SUM($G352:DZ352)&gt;=1,"",IF(EA350=0,"",IF(SUM($G350:EA350)&gt;=1,OFFSET(EA$228,-1,0),"")))</f>
        <v/>
      </c>
      <c r="EB352" s="403" t="str">
        <f ca="1">IF(SUM($G352:EA352)&gt;=1,"",IF(EB350=0,"",IF(SUM($G350:EB350)&gt;=1,OFFSET(EB$228,-1,0),"")))</f>
        <v/>
      </c>
      <c r="EC352" s="403" t="str">
        <f ca="1">IF(SUM($G352:EB352)&gt;=1,"",IF(EC350=0,"",IF(SUM($G350:EC350)&gt;=1,OFFSET(EC$228,-1,0),"")))</f>
        <v/>
      </c>
      <c r="ED352" s="403" t="str">
        <f ca="1">IF(SUM($G352:EC352)&gt;=1,"",IF(ED350=0,"",IF(SUM($G350:ED350)&gt;=1,OFFSET(ED$228,-1,0),"")))</f>
        <v/>
      </c>
      <c r="EE352" s="403" t="str">
        <f ca="1">IF(SUM($G352:ED352)&gt;=1,"",IF(EE350=0,"",IF(SUM($G350:EE350)&gt;=1,OFFSET(EE$228,-1,0),"")))</f>
        <v/>
      </c>
      <c r="EF352" s="403" t="str">
        <f ca="1">IF(SUM($G352:EE352)&gt;=1,"",IF(EF350=0,"",IF(SUM($G350:EF350)&gt;=1,OFFSET(EF$228,-1,0),"")))</f>
        <v/>
      </c>
      <c r="EG352" s="403" t="str">
        <f ca="1">IF(SUM($G352:EF352)&gt;=1,"",IF(EG350=0,"",IF(SUM($G350:EG350)&gt;=1,OFFSET(EG$228,-1,0),"")))</f>
        <v/>
      </c>
      <c r="EH352" s="403" t="str">
        <f ca="1">IF(SUM($G352:EG352)&gt;=1,"",IF(EH350=0,"",IF(SUM($G350:EH350)&gt;=1,OFFSET(EH$228,-1,0),"")))</f>
        <v/>
      </c>
      <c r="EI352" s="403" t="str">
        <f ca="1">IF(SUM($G352:EH352)&gt;=1,"",IF(EI350=0,"",IF(SUM($G350:EI350)&gt;=1,OFFSET(EI$228,-1,0),"")))</f>
        <v/>
      </c>
    </row>
    <row r="353" spans="1:141" hidden="1" outlineLevel="2">
      <c r="A353" s="332"/>
      <c r="D353" s="305" t="s">
        <v>671</v>
      </c>
      <c r="E353" s="1002">
        <f ca="1">IF(E350=0,"",MIN(G353:EI353))</f>
        <v>46262.400000000001</v>
      </c>
      <c r="F353" s="1003"/>
      <c r="G353" s="403" t="str">
        <f>IF(G350=0,"",IF(G350=G$3,G352,G$5+H$5-G354-1))</f>
        <v/>
      </c>
      <c r="H353" s="403" t="str">
        <f ca="1">IF(H350=0,"",IF(H350=H$3,H352,H$5+I$5-H354-1))</f>
        <v/>
      </c>
      <c r="I353" s="403" t="str">
        <f t="shared" ref="I353:BT353" ca="1" si="534">IF(I350=0,"",IF(I350=I$3,I352,I$5+J$5-I354-1))</f>
        <v/>
      </c>
      <c r="J353" s="403" t="str">
        <f t="shared" ca="1" si="534"/>
        <v/>
      </c>
      <c r="K353" s="403" t="str">
        <f t="shared" ca="1" si="534"/>
        <v/>
      </c>
      <c r="L353" s="403" t="str">
        <f t="shared" ca="1" si="534"/>
        <v/>
      </c>
      <c r="M353" s="403" t="str">
        <f t="shared" ca="1" si="534"/>
        <v/>
      </c>
      <c r="N353" s="403" t="str">
        <f t="shared" ca="1" si="534"/>
        <v/>
      </c>
      <c r="O353" s="403" t="str">
        <f t="shared" ca="1" si="534"/>
        <v/>
      </c>
      <c r="P353" s="403" t="str">
        <f t="shared" ca="1" si="534"/>
        <v/>
      </c>
      <c r="Q353" s="403" t="str">
        <f t="shared" ca="1" si="534"/>
        <v/>
      </c>
      <c r="R353" s="403" t="str">
        <f t="shared" ca="1" si="534"/>
        <v/>
      </c>
      <c r="S353" s="403" t="str">
        <f t="shared" ca="1" si="534"/>
        <v/>
      </c>
      <c r="T353" s="403" t="str">
        <f t="shared" ca="1" si="534"/>
        <v/>
      </c>
      <c r="U353" s="403" t="str">
        <f t="shared" ca="1" si="534"/>
        <v/>
      </c>
      <c r="V353" s="403" t="str">
        <f t="shared" ca="1" si="534"/>
        <v/>
      </c>
      <c r="W353" s="403" t="str">
        <f t="shared" ca="1" si="534"/>
        <v/>
      </c>
      <c r="X353" s="403" t="str">
        <f t="shared" ca="1" si="534"/>
        <v/>
      </c>
      <c r="Y353" s="403" t="str">
        <f t="shared" ca="1" si="534"/>
        <v/>
      </c>
      <c r="Z353" s="403" t="str">
        <f t="shared" ca="1" si="534"/>
        <v/>
      </c>
      <c r="AA353" s="403" t="str">
        <f t="shared" ca="1" si="534"/>
        <v/>
      </c>
      <c r="AB353" s="403" t="str">
        <f t="shared" ca="1" si="534"/>
        <v/>
      </c>
      <c r="AC353" s="403" t="str">
        <f t="shared" ca="1" si="534"/>
        <v/>
      </c>
      <c r="AD353" s="403" t="str">
        <f t="shared" ca="1" si="534"/>
        <v/>
      </c>
      <c r="AE353" s="403" t="str">
        <f t="shared" ca="1" si="534"/>
        <v/>
      </c>
      <c r="AF353" s="403" t="str">
        <f t="shared" ca="1" si="534"/>
        <v/>
      </c>
      <c r="AG353" s="403" t="str">
        <f t="shared" ca="1" si="534"/>
        <v/>
      </c>
      <c r="AH353" s="403" t="str">
        <f t="shared" ca="1" si="534"/>
        <v/>
      </c>
      <c r="AI353" s="403" t="str">
        <f t="shared" ca="1" si="534"/>
        <v/>
      </c>
      <c r="AJ353" s="403" t="str">
        <f t="shared" ca="1" si="534"/>
        <v/>
      </c>
      <c r="AK353" s="403" t="str">
        <f t="shared" ca="1" si="534"/>
        <v/>
      </c>
      <c r="AL353" s="403" t="str">
        <f t="shared" ca="1" si="534"/>
        <v/>
      </c>
      <c r="AM353" s="403" t="str">
        <f t="shared" ca="1" si="534"/>
        <v/>
      </c>
      <c r="AN353" s="403" t="str">
        <f t="shared" ca="1" si="534"/>
        <v/>
      </c>
      <c r="AO353" s="403" t="str">
        <f t="shared" ca="1" si="534"/>
        <v/>
      </c>
      <c r="AP353" s="403" t="str">
        <f t="shared" ca="1" si="534"/>
        <v/>
      </c>
      <c r="AQ353" s="403" t="str">
        <f t="shared" ca="1" si="534"/>
        <v/>
      </c>
      <c r="AR353" s="403" t="str">
        <f t="shared" ca="1" si="534"/>
        <v/>
      </c>
      <c r="AS353" s="403" t="str">
        <f t="shared" ca="1" si="534"/>
        <v/>
      </c>
      <c r="AT353" s="403" t="str">
        <f t="shared" ca="1" si="534"/>
        <v/>
      </c>
      <c r="AU353" s="403" t="str">
        <f t="shared" ca="1" si="534"/>
        <v/>
      </c>
      <c r="AV353" s="403">
        <f t="shared" ca="1" si="534"/>
        <v>46262.400000000001</v>
      </c>
      <c r="AW353" s="403" t="str">
        <f t="shared" ca="1" si="534"/>
        <v/>
      </c>
      <c r="AX353" s="403" t="str">
        <f t="shared" ca="1" si="534"/>
        <v/>
      </c>
      <c r="AY353" s="403" t="str">
        <f t="shared" ca="1" si="534"/>
        <v/>
      </c>
      <c r="AZ353" s="403" t="str">
        <f t="shared" ca="1" si="534"/>
        <v/>
      </c>
      <c r="BA353" s="403" t="str">
        <f t="shared" ca="1" si="534"/>
        <v/>
      </c>
      <c r="BB353" s="403" t="str">
        <f t="shared" ca="1" si="534"/>
        <v/>
      </c>
      <c r="BC353" s="403" t="str">
        <f t="shared" ca="1" si="534"/>
        <v/>
      </c>
      <c r="BD353" s="403" t="str">
        <f t="shared" ca="1" si="534"/>
        <v/>
      </c>
      <c r="BE353" s="403" t="str">
        <f t="shared" ca="1" si="534"/>
        <v/>
      </c>
      <c r="BF353" s="403">
        <f t="shared" ca="1" si="534"/>
        <v>46545.599999999999</v>
      </c>
      <c r="BG353" s="403" t="str">
        <f t="shared" ca="1" si="534"/>
        <v/>
      </c>
      <c r="BH353" s="403" t="str">
        <f t="shared" ca="1" si="534"/>
        <v/>
      </c>
      <c r="BI353" s="403" t="str">
        <f t="shared" ca="1" si="534"/>
        <v/>
      </c>
      <c r="BJ353" s="403" t="str">
        <f t="shared" ca="1" si="534"/>
        <v/>
      </c>
      <c r="BK353" s="403" t="str">
        <f t="shared" ca="1" si="534"/>
        <v/>
      </c>
      <c r="BL353" s="403" t="str">
        <f t="shared" ca="1" si="534"/>
        <v/>
      </c>
      <c r="BM353" s="403" t="str">
        <f t="shared" ca="1" si="534"/>
        <v/>
      </c>
      <c r="BN353" s="403" t="str">
        <f t="shared" ca="1" si="534"/>
        <v/>
      </c>
      <c r="BO353" s="403" t="str">
        <f t="shared" ca="1" si="534"/>
        <v/>
      </c>
      <c r="BP353" s="403" t="str">
        <f t="shared" ca="1" si="534"/>
        <v/>
      </c>
      <c r="BQ353" s="403" t="str">
        <f t="shared" ca="1" si="534"/>
        <v/>
      </c>
      <c r="BR353" s="403" t="str">
        <f t="shared" ca="1" si="534"/>
        <v/>
      </c>
      <c r="BS353" s="403" t="str">
        <f t="shared" ca="1" si="534"/>
        <v/>
      </c>
      <c r="BT353" s="403" t="str">
        <f t="shared" ca="1" si="534"/>
        <v/>
      </c>
      <c r="BU353" s="403" t="str">
        <f t="shared" ref="BU353:EF353" ca="1" si="535">IF(BU350=0,"",IF(BU350=BU$3,BU352,BU$5+BV$5-BU354-1))</f>
        <v/>
      </c>
      <c r="BV353" s="403" t="str">
        <f t="shared" ca="1" si="535"/>
        <v/>
      </c>
      <c r="BW353" s="403" t="str">
        <f t="shared" ca="1" si="535"/>
        <v/>
      </c>
      <c r="BX353" s="403" t="str">
        <f t="shared" ca="1" si="535"/>
        <v/>
      </c>
      <c r="BY353" s="403" t="str">
        <f t="shared" ca="1" si="535"/>
        <v/>
      </c>
      <c r="BZ353" s="403" t="str">
        <f t="shared" ca="1" si="535"/>
        <v/>
      </c>
      <c r="CA353" s="403" t="str">
        <f t="shared" ca="1" si="535"/>
        <v/>
      </c>
      <c r="CB353" s="403" t="str">
        <f t="shared" ca="1" si="535"/>
        <v/>
      </c>
      <c r="CC353" s="403" t="str">
        <f t="shared" ca="1" si="535"/>
        <v/>
      </c>
      <c r="CD353" s="403" t="str">
        <f t="shared" ca="1" si="535"/>
        <v/>
      </c>
      <c r="CE353" s="403" t="str">
        <f t="shared" ca="1" si="535"/>
        <v/>
      </c>
      <c r="CF353" s="403" t="str">
        <f t="shared" ca="1" si="535"/>
        <v/>
      </c>
      <c r="CG353" s="403" t="str">
        <f t="shared" ca="1" si="535"/>
        <v/>
      </c>
      <c r="CH353" s="403" t="str">
        <f t="shared" ca="1" si="535"/>
        <v/>
      </c>
      <c r="CI353" s="403" t="str">
        <f t="shared" ca="1" si="535"/>
        <v/>
      </c>
      <c r="CJ353" s="403" t="str">
        <f t="shared" ca="1" si="535"/>
        <v/>
      </c>
      <c r="CK353" s="403" t="str">
        <f t="shared" ca="1" si="535"/>
        <v/>
      </c>
      <c r="CL353" s="403" t="str">
        <f t="shared" ca="1" si="535"/>
        <v/>
      </c>
      <c r="CM353" s="403" t="str">
        <f t="shared" ca="1" si="535"/>
        <v/>
      </c>
      <c r="CN353" s="403" t="str">
        <f t="shared" ca="1" si="535"/>
        <v/>
      </c>
      <c r="CO353" s="403" t="str">
        <f t="shared" ca="1" si="535"/>
        <v/>
      </c>
      <c r="CP353" s="403" t="str">
        <f t="shared" ca="1" si="535"/>
        <v/>
      </c>
      <c r="CQ353" s="403" t="str">
        <f t="shared" ca="1" si="535"/>
        <v/>
      </c>
      <c r="CR353" s="403" t="str">
        <f t="shared" ca="1" si="535"/>
        <v/>
      </c>
      <c r="CS353" s="403" t="str">
        <f t="shared" ca="1" si="535"/>
        <v/>
      </c>
      <c r="CT353" s="403" t="str">
        <f t="shared" ca="1" si="535"/>
        <v/>
      </c>
      <c r="CU353" s="403" t="str">
        <f t="shared" ca="1" si="535"/>
        <v/>
      </c>
      <c r="CV353" s="403" t="str">
        <f t="shared" ca="1" si="535"/>
        <v/>
      </c>
      <c r="CW353" s="403" t="str">
        <f t="shared" ca="1" si="535"/>
        <v/>
      </c>
      <c r="CX353" s="403" t="str">
        <f t="shared" ca="1" si="535"/>
        <v/>
      </c>
      <c r="CY353" s="403" t="str">
        <f t="shared" ca="1" si="535"/>
        <v/>
      </c>
      <c r="CZ353" s="403" t="str">
        <f t="shared" ca="1" si="535"/>
        <v/>
      </c>
      <c r="DA353" s="403" t="str">
        <f t="shared" ca="1" si="535"/>
        <v/>
      </c>
      <c r="DB353" s="403" t="str">
        <f t="shared" ca="1" si="535"/>
        <v/>
      </c>
      <c r="DC353" s="403" t="str">
        <f t="shared" ca="1" si="535"/>
        <v/>
      </c>
      <c r="DD353" s="403" t="str">
        <f t="shared" ca="1" si="535"/>
        <v/>
      </c>
      <c r="DE353" s="403" t="str">
        <f t="shared" ca="1" si="535"/>
        <v/>
      </c>
      <c r="DF353" s="403" t="str">
        <f t="shared" ca="1" si="535"/>
        <v/>
      </c>
      <c r="DG353" s="403" t="str">
        <f t="shared" ca="1" si="535"/>
        <v/>
      </c>
      <c r="DH353" s="403" t="str">
        <f t="shared" ca="1" si="535"/>
        <v/>
      </c>
      <c r="DI353" s="403" t="str">
        <f t="shared" ca="1" si="535"/>
        <v/>
      </c>
      <c r="DJ353" s="403" t="str">
        <f t="shared" ca="1" si="535"/>
        <v/>
      </c>
      <c r="DK353" s="403" t="str">
        <f t="shared" ca="1" si="535"/>
        <v/>
      </c>
      <c r="DL353" s="403" t="str">
        <f t="shared" ca="1" si="535"/>
        <v/>
      </c>
      <c r="DM353" s="403" t="str">
        <f t="shared" ca="1" si="535"/>
        <v/>
      </c>
      <c r="DN353" s="403" t="str">
        <f t="shared" ca="1" si="535"/>
        <v/>
      </c>
      <c r="DO353" s="403" t="str">
        <f t="shared" ca="1" si="535"/>
        <v/>
      </c>
      <c r="DP353" s="403" t="str">
        <f t="shared" ca="1" si="535"/>
        <v/>
      </c>
      <c r="DQ353" s="403" t="str">
        <f t="shared" ca="1" si="535"/>
        <v/>
      </c>
      <c r="DR353" s="403" t="str">
        <f t="shared" ca="1" si="535"/>
        <v/>
      </c>
      <c r="DS353" s="403" t="str">
        <f t="shared" ca="1" si="535"/>
        <v/>
      </c>
      <c r="DT353" s="403" t="str">
        <f t="shared" ca="1" si="535"/>
        <v/>
      </c>
      <c r="DU353" s="403" t="str">
        <f t="shared" ca="1" si="535"/>
        <v/>
      </c>
      <c r="DV353" s="403" t="str">
        <f t="shared" ca="1" si="535"/>
        <v/>
      </c>
      <c r="DW353" s="403" t="str">
        <f t="shared" ca="1" si="535"/>
        <v/>
      </c>
      <c r="DX353" s="403" t="str">
        <f t="shared" ca="1" si="535"/>
        <v/>
      </c>
      <c r="DY353" s="403" t="str">
        <f t="shared" ca="1" si="535"/>
        <v/>
      </c>
      <c r="DZ353" s="403" t="str">
        <f t="shared" ca="1" si="535"/>
        <v/>
      </c>
      <c r="EA353" s="403" t="str">
        <f t="shared" ca="1" si="535"/>
        <v/>
      </c>
      <c r="EB353" s="403" t="str">
        <f t="shared" ca="1" si="535"/>
        <v/>
      </c>
      <c r="EC353" s="403" t="str">
        <f t="shared" ca="1" si="535"/>
        <v/>
      </c>
      <c r="ED353" s="403" t="str">
        <f t="shared" ca="1" si="535"/>
        <v/>
      </c>
      <c r="EE353" s="403" t="str">
        <f t="shared" ca="1" si="535"/>
        <v/>
      </c>
      <c r="EF353" s="403" t="str">
        <f t="shared" ca="1" si="535"/>
        <v/>
      </c>
      <c r="EG353" s="403" t="str">
        <f t="shared" ref="EG353:EI353" ca="1" si="536">IF(EG350=0,"",IF(EG350=EG$3,EG352,EG$5+EH$5-EG354-1))</f>
        <v/>
      </c>
      <c r="EH353" s="403" t="str">
        <f t="shared" ca="1" si="536"/>
        <v/>
      </c>
      <c r="EI353" s="403" t="str">
        <f t="shared" ca="1" si="536"/>
        <v/>
      </c>
    </row>
    <row r="354" spans="1:141" hidden="1" outlineLevel="2">
      <c r="A354" s="332"/>
      <c r="D354" s="305" t="s">
        <v>672</v>
      </c>
      <c r="E354" s="1002">
        <f ca="1">IF(E350=0,"",MAX(G354:EI354))</f>
        <v>46561.4</v>
      </c>
      <c r="F354" s="1003"/>
      <c r="G354" s="403">
        <f ca="1">IF(SUM(G350:$EI350)=0,"",IF(G$227="","",G$227+G350-1))</f>
        <v>44985</v>
      </c>
      <c r="H354" s="403">
        <f ca="1">IF(SUM(H350:$EI350)=0,"",IF(H$227="","",H$227+H350-1))</f>
        <v>45016</v>
      </c>
      <c r="I354" s="403">
        <f ca="1">IF(SUM(I350:$EI350)=0,"",IF(I$227="","",I$227+I350-1))</f>
        <v>45046</v>
      </c>
      <c r="J354" s="403">
        <f ca="1">IF(SUM(J350:$EI350)=0,"",IF(J$227="","",J$227+J350-1))</f>
        <v>45077</v>
      </c>
      <c r="K354" s="403">
        <f ca="1">IF(SUM(K350:$EI350)=0,"",IF(K$227="","",K$227+K350-1))</f>
        <v>45107</v>
      </c>
      <c r="L354" s="403">
        <f ca="1">IF(SUM(L350:$EI350)=0,"",IF(L$227="","",L$227+L350-1))</f>
        <v>45138</v>
      </c>
      <c r="M354" s="403">
        <f ca="1">IF(SUM(M350:$EI350)=0,"",IF(M$227="","",M$227+M350-1))</f>
        <v>45169</v>
      </c>
      <c r="N354" s="403">
        <f ca="1">IF(SUM(N350:$EI350)=0,"",IF(N$227="","",N$227+N350-1))</f>
        <v>45199</v>
      </c>
      <c r="O354" s="403">
        <f ca="1">IF(SUM(O350:$EI350)=0,"",IF(O$227="","",O$227+O350-1))</f>
        <v>45230</v>
      </c>
      <c r="P354" s="403">
        <f ca="1">IF(SUM(P350:$EI350)=0,"",IF(P$227="","",P$227+P350-1))</f>
        <v>45260</v>
      </c>
      <c r="Q354" s="403">
        <f ca="1">IF(SUM(Q350:$EI350)=0,"",IF(Q$227="","",Q$227+Q350-1))</f>
        <v>45291</v>
      </c>
      <c r="R354" s="403">
        <f ca="1">IF(SUM(R350:$EI350)=0,"",IF(R$227="","",R$227+R350-1))</f>
        <v>45322</v>
      </c>
      <c r="S354" s="403">
        <f ca="1">IF(SUM(S350:$EI350)=0,"",IF(S$227="","",S$227+S350-1))</f>
        <v>45351</v>
      </c>
      <c r="T354" s="403">
        <f ca="1">IF(SUM(T350:$EI350)=0,"",IF(T$227="","",T$227+T350-1))</f>
        <v>45382</v>
      </c>
      <c r="U354" s="403">
        <f ca="1">IF(SUM(U350:$EI350)=0,"",IF(U$227="","",U$227+U350-1))</f>
        <v>45412</v>
      </c>
      <c r="V354" s="403">
        <f ca="1">IF(SUM(V350:$EI350)=0,"",IF(V$227="","",V$227+V350-1))</f>
        <v>45443</v>
      </c>
      <c r="W354" s="403">
        <f ca="1">IF(SUM(W350:$EI350)=0,"",IF(W$227="","",W$227+W350-1))</f>
        <v>45473</v>
      </c>
      <c r="X354" s="403">
        <f ca="1">IF(SUM(X350:$EI350)=0,"",IF(X$227="","",X$227+X350-1))</f>
        <v>45504</v>
      </c>
      <c r="Y354" s="403">
        <f ca="1">IF(SUM(Y350:$EI350)=0,"",IF(Y$227="","",Y$227+Y350-1))</f>
        <v>45535</v>
      </c>
      <c r="Z354" s="403">
        <f ca="1">IF(SUM(Z350:$EI350)=0,"",IF(Z$227="","",Z$227+Z350-1))</f>
        <v>45565</v>
      </c>
      <c r="AA354" s="403">
        <f ca="1">IF(SUM(AA350:$EI350)=0,"",IF(AA$227="","",AA$227+AA350-1))</f>
        <v>45596</v>
      </c>
      <c r="AB354" s="403">
        <f ca="1">IF(SUM(AB350:$EI350)=0,"",IF(AB$227="","",AB$227+AB350-1))</f>
        <v>45626</v>
      </c>
      <c r="AC354" s="403">
        <f ca="1">IF(SUM(AC350:$EI350)=0,"",IF(AC$227="","",AC$227+AC350-1))</f>
        <v>45657</v>
      </c>
      <c r="AD354" s="403">
        <f ca="1">IF(SUM(AD350:$EI350)=0,"",IF(AD$227="","",AD$227+AD350-1))</f>
        <v>45688</v>
      </c>
      <c r="AE354" s="403">
        <f ca="1">IF(SUM(AE350:$EI350)=0,"",IF(AE$227="","",AE$227+AE350-1))</f>
        <v>45716</v>
      </c>
      <c r="AF354" s="403">
        <f ca="1">IF(SUM(AF350:$EI350)=0,"",IF(AF$227="","",AF$227+AF350-1))</f>
        <v>45747</v>
      </c>
      <c r="AG354" s="403">
        <f ca="1">IF(SUM(AG350:$EI350)=0,"",IF(AG$227="","",AG$227+AG350-1))</f>
        <v>45777</v>
      </c>
      <c r="AH354" s="403">
        <f ca="1">IF(SUM(AH350:$EI350)=0,"",IF(AH$227="","",AH$227+AH350-1))</f>
        <v>45808</v>
      </c>
      <c r="AI354" s="403">
        <f ca="1">IF(SUM(AI350:$EI350)=0,"",IF(AI$227="","",AI$227+AI350-1))</f>
        <v>45838</v>
      </c>
      <c r="AJ354" s="403">
        <f ca="1">IF(SUM(AJ350:$EI350)=0,"",IF(AJ$227="","",AJ$227+AJ350-1))</f>
        <v>45869</v>
      </c>
      <c r="AK354" s="403">
        <f ca="1">IF(SUM(AK350:$EI350)=0,"",IF(AK$227="","",AK$227+AK350-1))</f>
        <v>45900</v>
      </c>
      <c r="AL354" s="403">
        <f ca="1">IF(SUM(AL350:$EI350)=0,"",IF(AL$227="","",AL$227+AL350-1))</f>
        <v>45930</v>
      </c>
      <c r="AM354" s="403">
        <f ca="1">IF(SUM(AM350:$EI350)=0,"",IF(AM$227="","",AM$227+AM350-1))</f>
        <v>45961</v>
      </c>
      <c r="AN354" s="403">
        <f ca="1">IF(SUM(AN350:$EI350)=0,"",IF(AN$227="","",AN$227+AN350-1))</f>
        <v>45991</v>
      </c>
      <c r="AO354" s="403">
        <f ca="1">IF(SUM(AO350:$EI350)=0,"",IF(AO$227="","",AO$227+AO350-1))</f>
        <v>46022</v>
      </c>
      <c r="AP354" s="403">
        <f ca="1">IF(SUM(AP350:$EI350)=0,"",IF(AP$227="","",AP$227+AP350-1))</f>
        <v>46053</v>
      </c>
      <c r="AQ354" s="403">
        <f ca="1">IF(SUM(AQ350:$EI350)=0,"",IF(AQ$227="","",AQ$227+AQ350-1))</f>
        <v>46081</v>
      </c>
      <c r="AR354" s="403">
        <f ca="1">IF(SUM(AR350:$EI350)=0,"",IF(AR$227="","",AR$227+AR350-1))</f>
        <v>46112</v>
      </c>
      <c r="AS354" s="403">
        <f ca="1">IF(SUM(AS350:$EI350)=0,"",IF(AS$227="","",AS$227+AS350-1))</f>
        <v>46142</v>
      </c>
      <c r="AT354" s="403">
        <f ca="1">IF(SUM(AT350:$EI350)=0,"",IF(AT$227="","",AT$227+AT350-1))</f>
        <v>46173</v>
      </c>
      <c r="AU354" s="403">
        <f ca="1">IF(SUM(AU350:$EI350)=0,"",IF(AU$227="","",AU$227+AU350-1))</f>
        <v>46203</v>
      </c>
      <c r="AV354" s="403">
        <f ca="1">IF(SUM(AV350:$EI350)=0,"",IF(AV$227="","",AV$227+AV350-1))</f>
        <v>46237.599999999999</v>
      </c>
      <c r="AW354" s="403">
        <f ca="1">IF(SUM(AW350:$EI350)=0,"",IF(AW$227="","",AW$227+AW350-1))</f>
        <v>46295</v>
      </c>
      <c r="AX354" s="403">
        <f ca="1">IF(SUM(AX350:$EI350)=0,"",IF(AX$227="","",AX$227+AX350-1))</f>
        <v>46326</v>
      </c>
      <c r="AY354" s="403">
        <f ca="1">IF(SUM(AY350:$EI350)=0,"",IF(AY$227="","",AY$227+AY350-1))</f>
        <v>46356</v>
      </c>
      <c r="AZ354" s="403">
        <f ca="1">IF(SUM(AZ350:$EI350)=0,"",IF(AZ$227="","",AZ$227+AZ350-1))</f>
        <v>46387</v>
      </c>
      <c r="BA354" s="403">
        <f ca="1">IF(SUM(BA350:$EI350)=0,"",IF(BA$227="","",BA$227+BA350-1))</f>
        <v>46418</v>
      </c>
      <c r="BB354" s="403">
        <f ca="1">IF(SUM(BB350:$EI350)=0,"",IF(BB$227="","",BB$227+BB350-1))</f>
        <v>46446</v>
      </c>
      <c r="BC354" s="403">
        <f ca="1">IF(SUM(BC350:$EI350)=0,"",IF(BC$227="","",BC$227+BC350-1))</f>
        <v>46477</v>
      </c>
      <c r="BD354" s="403">
        <f ca="1">IF(SUM(BD350:$EI350)=0,"",IF(BD$227="","",BD$227+BD350-1))</f>
        <v>46507</v>
      </c>
      <c r="BE354" s="403">
        <f ca="1">IF(SUM(BE350:$EI350)=0,"",IF(BE$227="","",BE$227+BE350-1))</f>
        <v>46538</v>
      </c>
      <c r="BF354" s="403">
        <f ca="1">IF(SUM(BF350:$EI350)=0,"",IF(BF$227="","",BF$227+BF350-1))</f>
        <v>46561.4</v>
      </c>
      <c r="BG354" s="403" t="str">
        <f ca="1">IF(SUM(BG350:$EI350)=0,"",IF(BG$227="","",BG$227+BG350-1))</f>
        <v/>
      </c>
      <c r="BH354" s="403" t="str">
        <f ca="1">IF(SUM(BH350:$EI350)=0,"",IF(BH$227="","",BH$227+BH350-1))</f>
        <v/>
      </c>
      <c r="BI354" s="403" t="str">
        <f ca="1">IF(SUM(BI350:$EI350)=0,"",IF(BI$227="","",BI$227+BI350-1))</f>
        <v/>
      </c>
      <c r="BJ354" s="403" t="str">
        <f ca="1">IF(SUM(BJ350:$EI350)=0,"",IF(BJ$227="","",BJ$227+BJ350-1))</f>
        <v/>
      </c>
      <c r="BK354" s="403" t="str">
        <f ca="1">IF(SUM(BK350:$EI350)=0,"",IF(BK$227="","",BK$227+BK350-1))</f>
        <v/>
      </c>
      <c r="BL354" s="403" t="str">
        <f ca="1">IF(SUM(BL350:$EI350)=0,"",IF(BL$227="","",BL$227+BL350-1))</f>
        <v/>
      </c>
      <c r="BM354" s="403" t="str">
        <f ca="1">IF(SUM(BM350:$EI350)=0,"",IF(BM$227="","",BM$227+BM350-1))</f>
        <v/>
      </c>
      <c r="BN354" s="403" t="str">
        <f ca="1">IF(SUM(BN350:$EI350)=0,"",IF(BN$227="","",BN$227+BN350-1))</f>
        <v/>
      </c>
      <c r="BO354" s="403" t="str">
        <f ca="1">IF(SUM(BO350:$EI350)=0,"",IF(BO$227="","",BO$227+BO350-1))</f>
        <v/>
      </c>
      <c r="BP354" s="403" t="str">
        <f ca="1">IF(SUM(BP350:$EI350)=0,"",IF(BP$227="","",BP$227+BP350-1))</f>
        <v/>
      </c>
      <c r="BQ354" s="403" t="str">
        <f ca="1">IF(SUM(BQ350:$EI350)=0,"",IF(BQ$227="","",BQ$227+BQ350-1))</f>
        <v/>
      </c>
      <c r="BR354" s="403" t="str">
        <f ca="1">IF(SUM(BR350:$EI350)=0,"",IF(BR$227="","",BR$227+BR350-1))</f>
        <v/>
      </c>
      <c r="BS354" s="403" t="str">
        <f ca="1">IF(SUM(BS350:$EI350)=0,"",IF(BS$227="","",BS$227+BS350-1))</f>
        <v/>
      </c>
      <c r="BT354" s="403" t="str">
        <f ca="1">IF(SUM(BT350:$EI350)=0,"",IF(BT$227="","",BT$227+BT350-1))</f>
        <v/>
      </c>
      <c r="BU354" s="403" t="str">
        <f ca="1">IF(SUM(BU350:$EI350)=0,"",IF(BU$227="","",BU$227+BU350-1))</f>
        <v/>
      </c>
      <c r="BV354" s="403" t="str">
        <f ca="1">IF(SUM(BV350:$EI350)=0,"",IF(BV$227="","",BV$227+BV350-1))</f>
        <v/>
      </c>
      <c r="BW354" s="403" t="str">
        <f ca="1">IF(SUM(BW350:$EI350)=0,"",IF(BW$227="","",BW$227+BW350-1))</f>
        <v/>
      </c>
      <c r="BX354" s="403" t="str">
        <f ca="1">IF(SUM(BX350:$EI350)=0,"",IF(BX$227="","",BX$227+BX350-1))</f>
        <v/>
      </c>
      <c r="BY354" s="403" t="str">
        <f ca="1">IF(SUM(BY350:$EI350)=0,"",IF(BY$227="","",BY$227+BY350-1))</f>
        <v/>
      </c>
      <c r="BZ354" s="403" t="str">
        <f ca="1">IF(SUM(BZ350:$EI350)=0,"",IF(BZ$227="","",BZ$227+BZ350-1))</f>
        <v/>
      </c>
      <c r="CA354" s="403" t="str">
        <f ca="1">IF(SUM(CA350:$EI350)=0,"",IF(CA$227="","",CA$227+CA350-1))</f>
        <v/>
      </c>
      <c r="CB354" s="403" t="str">
        <f ca="1">IF(SUM(CB350:$EI350)=0,"",IF(CB$227="","",CB$227+CB350-1))</f>
        <v/>
      </c>
      <c r="CC354" s="403" t="str">
        <f ca="1">IF(SUM(CC350:$EI350)=0,"",IF(CC$227="","",CC$227+CC350-1))</f>
        <v/>
      </c>
      <c r="CD354" s="403" t="str">
        <f ca="1">IF(SUM(CD350:$EI350)=0,"",IF(CD$227="","",CD$227+CD350-1))</f>
        <v/>
      </c>
      <c r="CE354" s="403" t="str">
        <f ca="1">IF(SUM(CE350:$EI350)=0,"",IF(CE$227="","",CE$227+CE350-1))</f>
        <v/>
      </c>
      <c r="CF354" s="403" t="str">
        <f ca="1">IF(SUM(CF350:$EI350)=0,"",IF(CF$227="","",CF$227+CF350-1))</f>
        <v/>
      </c>
      <c r="CG354" s="403" t="str">
        <f ca="1">IF(SUM(CG350:$EI350)=0,"",IF(CG$227="","",CG$227+CG350-1))</f>
        <v/>
      </c>
      <c r="CH354" s="403" t="str">
        <f ca="1">IF(SUM(CH350:$EI350)=0,"",IF(CH$227="","",CH$227+CH350-1))</f>
        <v/>
      </c>
      <c r="CI354" s="403" t="str">
        <f ca="1">IF(SUM(CI350:$EI350)=0,"",IF(CI$227="","",CI$227+CI350-1))</f>
        <v/>
      </c>
      <c r="CJ354" s="403" t="str">
        <f ca="1">IF(SUM(CJ350:$EI350)=0,"",IF(CJ$227="","",CJ$227+CJ350-1))</f>
        <v/>
      </c>
      <c r="CK354" s="403" t="str">
        <f ca="1">IF(SUM(CK350:$EI350)=0,"",IF(CK$227="","",CK$227+CK350-1))</f>
        <v/>
      </c>
      <c r="CL354" s="403" t="str">
        <f ca="1">IF(SUM(CL350:$EI350)=0,"",IF(CL$227="","",CL$227+CL350-1))</f>
        <v/>
      </c>
      <c r="CM354" s="403" t="str">
        <f ca="1">IF(SUM(CM350:$EI350)=0,"",IF(CM$227="","",CM$227+CM350-1))</f>
        <v/>
      </c>
      <c r="CN354" s="403" t="str">
        <f ca="1">IF(SUM(CN350:$EI350)=0,"",IF(CN$227="","",CN$227+CN350-1))</f>
        <v/>
      </c>
      <c r="CO354" s="403" t="str">
        <f ca="1">IF(SUM(CO350:$EI350)=0,"",IF(CO$227="","",CO$227+CO350-1))</f>
        <v/>
      </c>
      <c r="CP354" s="403" t="str">
        <f ca="1">IF(SUM(CP350:$EI350)=0,"",IF(CP$227="","",CP$227+CP350-1))</f>
        <v/>
      </c>
      <c r="CQ354" s="403" t="str">
        <f ca="1">IF(SUM(CQ350:$EI350)=0,"",IF(CQ$227="","",CQ$227+CQ350-1))</f>
        <v/>
      </c>
      <c r="CR354" s="403" t="str">
        <f ca="1">IF(SUM(CR350:$EI350)=0,"",IF(CR$227="","",CR$227+CR350-1))</f>
        <v/>
      </c>
      <c r="CS354" s="403" t="str">
        <f ca="1">IF(SUM(CS350:$EI350)=0,"",IF(CS$227="","",CS$227+CS350-1))</f>
        <v/>
      </c>
      <c r="CT354" s="403" t="str">
        <f ca="1">IF(SUM(CT350:$EI350)=0,"",IF(CT$227="","",CT$227+CT350-1))</f>
        <v/>
      </c>
      <c r="CU354" s="403" t="str">
        <f ca="1">IF(SUM(CU350:$EI350)=0,"",IF(CU$227="","",CU$227+CU350-1))</f>
        <v/>
      </c>
      <c r="CV354" s="403" t="str">
        <f ca="1">IF(SUM(CV350:$EI350)=0,"",IF(CV$227="","",CV$227+CV350-1))</f>
        <v/>
      </c>
      <c r="CW354" s="403" t="str">
        <f ca="1">IF(SUM(CW350:$EI350)=0,"",IF(CW$227="","",CW$227+CW350-1))</f>
        <v/>
      </c>
      <c r="CX354" s="403" t="str">
        <f ca="1">IF(SUM(CX350:$EI350)=0,"",IF(CX$227="","",CX$227+CX350-1))</f>
        <v/>
      </c>
      <c r="CY354" s="403" t="str">
        <f ca="1">IF(SUM(CY350:$EI350)=0,"",IF(CY$227="","",CY$227+CY350-1))</f>
        <v/>
      </c>
      <c r="CZ354" s="403" t="str">
        <f ca="1">IF(SUM(CZ350:$EI350)=0,"",IF(CZ$227="","",CZ$227+CZ350-1))</f>
        <v/>
      </c>
      <c r="DA354" s="403" t="str">
        <f ca="1">IF(SUM(DA350:$EI350)=0,"",IF(DA$227="","",DA$227+DA350-1))</f>
        <v/>
      </c>
      <c r="DB354" s="403" t="str">
        <f ca="1">IF(SUM(DB350:$EI350)=0,"",IF(DB$227="","",DB$227+DB350-1))</f>
        <v/>
      </c>
      <c r="DC354" s="403" t="str">
        <f ca="1">IF(SUM(DC350:$EI350)=0,"",IF(DC$227="","",DC$227+DC350-1))</f>
        <v/>
      </c>
      <c r="DD354" s="403" t="str">
        <f ca="1">IF(SUM(DD350:$EI350)=0,"",IF(DD$227="","",DD$227+DD350-1))</f>
        <v/>
      </c>
      <c r="DE354" s="403" t="str">
        <f ca="1">IF(SUM(DE350:$EI350)=0,"",IF(DE$227="","",DE$227+DE350-1))</f>
        <v/>
      </c>
      <c r="DF354" s="403" t="str">
        <f ca="1">IF(SUM(DF350:$EI350)=0,"",IF(DF$227="","",DF$227+DF350-1))</f>
        <v/>
      </c>
      <c r="DG354" s="403" t="str">
        <f ca="1">IF(SUM(DG350:$EI350)=0,"",IF(DG$227="","",DG$227+DG350-1))</f>
        <v/>
      </c>
      <c r="DH354" s="403" t="str">
        <f ca="1">IF(SUM(DH350:$EI350)=0,"",IF(DH$227="","",DH$227+DH350-1))</f>
        <v/>
      </c>
      <c r="DI354" s="403" t="str">
        <f ca="1">IF(SUM(DI350:$EI350)=0,"",IF(DI$227="","",DI$227+DI350-1))</f>
        <v/>
      </c>
      <c r="DJ354" s="403" t="str">
        <f ca="1">IF(SUM(DJ350:$EI350)=0,"",IF(DJ$227="","",DJ$227+DJ350-1))</f>
        <v/>
      </c>
      <c r="DK354" s="403" t="str">
        <f ca="1">IF(SUM(DK350:$EI350)=0,"",IF(DK$227="","",DK$227+DK350-1))</f>
        <v/>
      </c>
      <c r="DL354" s="403" t="str">
        <f ca="1">IF(SUM(DL350:$EI350)=0,"",IF(DL$227="","",DL$227+DL350-1))</f>
        <v/>
      </c>
      <c r="DM354" s="403" t="str">
        <f ca="1">IF(SUM(DM350:$EI350)=0,"",IF(DM$227="","",DM$227+DM350-1))</f>
        <v/>
      </c>
      <c r="DN354" s="403" t="str">
        <f ca="1">IF(SUM(DN350:$EI350)=0,"",IF(DN$227="","",DN$227+DN350-1))</f>
        <v/>
      </c>
      <c r="DO354" s="403" t="str">
        <f ca="1">IF(SUM(DO350:$EI350)=0,"",IF(DO$227="","",DO$227+DO350-1))</f>
        <v/>
      </c>
      <c r="DP354" s="403" t="str">
        <f ca="1">IF(SUM(DP350:$EI350)=0,"",IF(DP$227="","",DP$227+DP350-1))</f>
        <v/>
      </c>
      <c r="DQ354" s="403" t="str">
        <f ca="1">IF(SUM(DQ350:$EI350)=0,"",IF(DQ$227="","",DQ$227+DQ350-1))</f>
        <v/>
      </c>
      <c r="DR354" s="403" t="str">
        <f ca="1">IF(SUM(DR350:$EI350)=0,"",IF(DR$227="","",DR$227+DR350-1))</f>
        <v/>
      </c>
      <c r="DS354" s="403" t="str">
        <f ca="1">IF(SUM(DS350:$EI350)=0,"",IF(DS$227="","",DS$227+DS350-1))</f>
        <v/>
      </c>
      <c r="DT354" s="403" t="str">
        <f ca="1">IF(SUM(DT350:$EI350)=0,"",IF(DT$227="","",DT$227+DT350-1))</f>
        <v/>
      </c>
      <c r="DU354" s="403" t="str">
        <f ca="1">IF(SUM(DU350:$EI350)=0,"",IF(DU$227="","",DU$227+DU350-1))</f>
        <v/>
      </c>
      <c r="DV354" s="403" t="str">
        <f ca="1">IF(SUM(DV350:$EI350)=0,"",IF(DV$227="","",DV$227+DV350-1))</f>
        <v/>
      </c>
      <c r="DW354" s="403" t="str">
        <f ca="1">IF(SUM(DW350:$EI350)=0,"",IF(DW$227="","",DW$227+DW350-1))</f>
        <v/>
      </c>
      <c r="DX354" s="403" t="str">
        <f ca="1">IF(SUM(DX350:$EI350)=0,"",IF(DX$227="","",DX$227+DX350-1))</f>
        <v/>
      </c>
      <c r="DY354" s="403" t="str">
        <f ca="1">IF(SUM(DY350:$EI350)=0,"",IF(DY$227="","",DY$227+DY350-1))</f>
        <v/>
      </c>
      <c r="DZ354" s="403" t="str">
        <f ca="1">IF(SUM(DZ350:$EI350)=0,"",IF(DZ$227="","",DZ$227+DZ350-1))</f>
        <v/>
      </c>
      <c r="EA354" s="403" t="str">
        <f ca="1">IF(SUM(EA350:$EI350)=0,"",IF(EA$227="","",EA$227+EA350-1))</f>
        <v/>
      </c>
      <c r="EB354" s="403" t="str">
        <f ca="1">IF(SUM(EB350:$EI350)=0,"",IF(EB$227="","",EB$227+EB350-1))</f>
        <v/>
      </c>
      <c r="EC354" s="403" t="str">
        <f ca="1">IF(SUM(EC350:$EI350)=0,"",IF(EC$227="","",EC$227+EC350-1))</f>
        <v/>
      </c>
      <c r="ED354" s="403" t="str">
        <f ca="1">IF(SUM(ED350:$EI350)=0,"",IF(ED$227="","",ED$227+ED350-1))</f>
        <v/>
      </c>
      <c r="EE354" s="403" t="str">
        <f ca="1">IF(SUM(EE350:$EI350)=0,"",IF(EE$227="","",EE$227+EE350-1))</f>
        <v/>
      </c>
      <c r="EF354" s="403" t="str">
        <f ca="1">IF(SUM(EF350:$EI350)=0,"",IF(EF$227="","",EF$227+EF350-1))</f>
        <v/>
      </c>
      <c r="EG354" s="403" t="str">
        <f ca="1">IF(SUM(EG350:$EI350)=0,"",IF(EG$227="","",EG$227+EG350-1))</f>
        <v/>
      </c>
      <c r="EH354" s="403" t="str">
        <f ca="1">IF(SUM(EH350:$EI350)=0,"",IF(EH$227="","",EH$227+EH350-1))</f>
        <v/>
      </c>
      <c r="EI354" s="403" t="str">
        <f ca="1">IF(SUM(EI350:$EI350)=0,"",IF(EI$227="","",EI$227+EI350-1))</f>
        <v/>
      </c>
    </row>
    <row r="355" spans="1:141" outlineLevel="1" collapsed="1">
      <c r="A355" s="332"/>
      <c r="B355" s="313"/>
      <c r="C355" s="317" t="s">
        <v>109</v>
      </c>
      <c r="D355" s="317" t="s">
        <v>19</v>
      </c>
      <c r="E355" s="400">
        <f ca="1">IF(ГРП!B34=0,длительность!B137,ГРП!B34)</f>
        <v>180</v>
      </c>
      <c r="F355" s="318">
        <f ca="1">E355-SUM(G355:EJ355)</f>
        <v>0</v>
      </c>
      <c r="G355" s="401"/>
      <c r="H355" s="401">
        <f ca="1">IF(SUM($G355:G355)&gt;=$E355,0,IF($E355-SUM($G355:G355)&gt;H356,H356,$E355-SUM($G356:G356)))</f>
        <v>0</v>
      </c>
      <c r="I355" s="401">
        <f ca="1">IF(SUM($G355:H355)&gt;=$E355,0,IF($E355-SUM($G355:H355)&gt;I356,I356,$E355-SUM($G356:H356)))</f>
        <v>0</v>
      </c>
      <c r="J355" s="401">
        <f ca="1">IF(SUM($G355:I355)&gt;=$E355,0,IF($E355-SUM($G355:I355)&gt;J356,J356,$E355-SUM($G356:I356)))</f>
        <v>0</v>
      </c>
      <c r="K355" s="401">
        <f ca="1">IF(SUM($G355:J355)&gt;=$E355,0,IF($E355-SUM($G355:J355)&gt;K356,K356,$E355-SUM($G356:J356)))</f>
        <v>0</v>
      </c>
      <c r="L355" s="401">
        <f ca="1">IF(SUM($G355:K355)&gt;=$E355,0,IF($E355-SUM($G355:K355)&gt;L356,L356,$E355-SUM($G356:K356)))</f>
        <v>0</v>
      </c>
      <c r="M355" s="401">
        <f ca="1">IF(SUM($G355:L355)&gt;=$E355,0,IF($E355-SUM($G355:L355)&gt;M356,M356,$E355-SUM($G356:L356)))</f>
        <v>0</v>
      </c>
      <c r="N355" s="401">
        <f ca="1">IF(SUM($G355:M355)&gt;=$E355,0,IF($E355-SUM($G355:M355)&gt;N356,N356,$E355-SUM($G356:M356)))</f>
        <v>0</v>
      </c>
      <c r="O355" s="401">
        <f ca="1">IF(SUM($G355:N355)&gt;=$E355,0,IF($E355-SUM($G355:N355)&gt;O356,O356,$E355-SUM($G356:N356)))</f>
        <v>0</v>
      </c>
      <c r="P355" s="401">
        <f ca="1">IF(SUM($G355:O355)&gt;=$E355,0,IF($E355-SUM($G355:O355)&gt;P356,P356,$E355-SUM($G356:O356)))</f>
        <v>0</v>
      </c>
      <c r="Q355" s="401">
        <f ca="1">IF(SUM($G355:P355)&gt;=$E355,0,IF($E355-SUM($G355:P355)&gt;Q356,Q356,$E355-SUM($G356:P356)))</f>
        <v>0</v>
      </c>
      <c r="R355" s="401">
        <f ca="1">IF(SUM($G355:Q355)&gt;=$E355,0,IF($E355-SUM($G355:Q355)&gt;R356,R356,$E355-SUM($G356:Q356)))</f>
        <v>0</v>
      </c>
      <c r="S355" s="401">
        <f ca="1">IF(SUM($G355:R355)&gt;=$E355,0,IF($E355-SUM($G355:R355)&gt;S356,S356,$E355-SUM($G356:R356)))</f>
        <v>0</v>
      </c>
      <c r="T355" s="401">
        <f ca="1">IF(SUM($G355:S355)&gt;=$E355,0,IF($E355-SUM($G355:S355)&gt;T356,T356,$E355-SUM($G356:S356)))</f>
        <v>0</v>
      </c>
      <c r="U355" s="401">
        <f ca="1">IF(SUM($G355:T355)&gt;=$E355,0,IF($E355-SUM($G355:T355)&gt;U356,U356,$E355-SUM($G356:T356)))</f>
        <v>0</v>
      </c>
      <c r="V355" s="401">
        <f ca="1">IF(SUM($G355:U355)&gt;=$E355,0,IF($E355-SUM($G355:U355)&gt;V356,V356,$E355-SUM($G356:U356)))</f>
        <v>0</v>
      </c>
      <c r="W355" s="401">
        <f ca="1">IF(SUM($G355:V355)&gt;=$E355,0,IF($E355-SUM($G355:V355)&gt;W356,W356,$E355-SUM($G356:V356)))</f>
        <v>0</v>
      </c>
      <c r="X355" s="401">
        <f ca="1">IF(SUM($G355:W355)&gt;=$E355,0,IF($E355-SUM($G355:W355)&gt;X356,X356,$E355-SUM($G356:W356)))</f>
        <v>0</v>
      </c>
      <c r="Y355" s="401">
        <f ca="1">IF(SUM($G355:X355)&gt;=$E355,0,IF($E355-SUM($G355:X355)&gt;Y356,Y356,$E355-SUM($G356:X356)))</f>
        <v>0</v>
      </c>
      <c r="Z355" s="401">
        <f ca="1">IF(SUM($G355:Y355)&gt;=$E355,0,IF($E355-SUM($G355:Y355)&gt;Z356,Z356,$E355-SUM($G356:Y356)))</f>
        <v>0</v>
      </c>
      <c r="AA355" s="401">
        <f ca="1">IF(SUM($G355:Z355)&gt;=$E355,0,IF($E355-SUM($G355:Z355)&gt;AA356,AA356,$E355-SUM($G356:Z356)))</f>
        <v>0</v>
      </c>
      <c r="AB355" s="401">
        <f ca="1">IF(SUM($G355:AA355)&gt;=$E355,0,IF($E355-SUM($G355:AA355)&gt;AB356,AB356,$E355-SUM($G356:AA356)))</f>
        <v>0</v>
      </c>
      <c r="AC355" s="401">
        <f ca="1">IF(SUM($G355:AB355)&gt;=$E355,0,IF($E355-SUM($G355:AB355)&gt;AC356,AC356,$E355-SUM($G356:AB356)))</f>
        <v>0</v>
      </c>
      <c r="AD355" s="401">
        <f ca="1">IF(SUM($G355:AC355)&gt;=$E355,0,IF($E355-SUM($G355:AC355)&gt;AD356,AD356,$E355-SUM($G356:AC356)))</f>
        <v>0</v>
      </c>
      <c r="AE355" s="401">
        <f ca="1">IF(SUM($G355:AD355)&gt;=$E355,0,IF($E355-SUM($G355:AD355)&gt;AE356,AE356,$E355-SUM($G356:AD356)))</f>
        <v>0</v>
      </c>
      <c r="AF355" s="401">
        <f ca="1">IF(SUM($G355:AE355)&gt;=$E355,0,IF($E355-SUM($G355:AE355)&gt;AF356,AF356,$E355-SUM($G356:AE356)))</f>
        <v>0</v>
      </c>
      <c r="AG355" s="401">
        <f ca="1">IF(SUM($G355:AF355)&gt;=$E355,0,IF($E355-SUM($G355:AF355)&gt;AG356,AG356,$E355-SUM($G356:AF356)))</f>
        <v>0</v>
      </c>
      <c r="AH355" s="401">
        <f ca="1">IF(SUM($G355:AG355)&gt;=$E355,0,IF($E355-SUM($G355:AG355)&gt;AH356,AH356,$E355-SUM($G356:AG356)))</f>
        <v>0</v>
      </c>
      <c r="AI355" s="401">
        <f ca="1">IF(SUM($G355:AH355)&gt;=$E355,0,IF($E355-SUM($G355:AH355)&gt;AI356,AI356,$E355-SUM($G356:AH356)))</f>
        <v>0</v>
      </c>
      <c r="AJ355" s="401">
        <f ca="1">IF(SUM($G355:AI355)&gt;=$E355,0,IF($E355-SUM($G355:AI355)&gt;AJ356,AJ356,$E355-SUM($G356:AI356)))</f>
        <v>0</v>
      </c>
      <c r="AK355" s="401">
        <f ca="1">IF(SUM($G355:AJ355)&gt;=$E355,0,IF($E355-SUM($G355:AJ355)&gt;AK356,AK356,$E355-SUM($G356:AJ356)))</f>
        <v>0</v>
      </c>
      <c r="AL355" s="401">
        <f ca="1">IF(SUM($G355:AK355)&gt;=$E355,0,IF($E355-SUM($G355:AK355)&gt;AL356,AL356,$E355-SUM($G356:AK356)))</f>
        <v>0</v>
      </c>
      <c r="AM355" s="401">
        <f ca="1">IF(SUM($G355:AL355)&gt;=$E355,0,IF($E355-SUM($G355:AL355)&gt;AM356,AM356,$E355-SUM($G356:AL356)))</f>
        <v>0</v>
      </c>
      <c r="AN355" s="401">
        <f ca="1">IF(SUM($G355:AM355)&gt;=$E355,0,IF($E355-SUM($G355:AM355)&gt;AN356,AN356,$E355-SUM($G356:AM356)))</f>
        <v>0</v>
      </c>
      <c r="AO355" s="401">
        <f ca="1">IF(SUM($G355:AN355)&gt;=$E355,0,IF($E355-SUM($G355:AN355)&gt;AO356,AO356,$E355-SUM($G356:AN356)))</f>
        <v>0</v>
      </c>
      <c r="AP355" s="401">
        <f ca="1">IF(SUM($G355:AO355)&gt;=$E355,0,IF($E355-SUM($G355:AO355)&gt;AP356,AP356,$E355-SUM($G356:AO356)))</f>
        <v>0</v>
      </c>
      <c r="AQ355" s="401">
        <f ca="1">IF(SUM($G355:AP355)&gt;=$E355,0,IF($E355-SUM($G355:AP355)&gt;AQ356,AQ356,$E355-SUM($G356:AP356)))</f>
        <v>0</v>
      </c>
      <c r="AR355" s="401">
        <f ca="1">IF(SUM($G355:AQ355)&gt;=$E355,0,IF($E355-SUM($G355:AQ355)&gt;AR356,AR356,$E355-SUM($G356:AQ356)))</f>
        <v>0</v>
      </c>
      <c r="AS355" s="401">
        <f ca="1">IF(SUM($G355:AR355)&gt;=$E355,0,IF($E355-SUM($G355:AR355)&gt;AS356,AS356,$E355-SUM($G356:AR356)))</f>
        <v>0</v>
      </c>
      <c r="AT355" s="401">
        <f ca="1">IF(SUM($G355:AS355)&gt;=$E355,0,IF($E355-SUM($G355:AS355)&gt;AT356,AT356,$E355-SUM($G356:AS356)))</f>
        <v>0</v>
      </c>
      <c r="AU355" s="401">
        <f ca="1">IF(SUM($G355:AT355)&gt;=$E355,0,IF($E355-SUM($G355:AT355)&gt;AU356,AU356,$E355-SUM($G356:AT356)))</f>
        <v>0</v>
      </c>
      <c r="AV355" s="401">
        <f ca="1">IF(SUM($G355:AU355)&gt;=$E355,0,IF($E355-SUM($G355:AU355)&gt;AV356,AV356,$E355-SUM($G356:AU356)))</f>
        <v>0</v>
      </c>
      <c r="AW355" s="401">
        <f ca="1">IF(SUM($G355:AV355)&gt;=$E355,0,IF($E355-SUM($G355:AV355)&gt;AW356,AW356,$E355-SUM($G356:AV356)))</f>
        <v>0</v>
      </c>
      <c r="AX355" s="401">
        <f ca="1">IF(SUM($G355:AW355)&gt;=$E355,0,IF($E355-SUM($G355:AW355)&gt;AX356,AX356,$E355-SUM($G356:AW356)))</f>
        <v>0</v>
      </c>
      <c r="AY355" s="401">
        <f ca="1">IF(SUM($G355:AX355)&gt;=$E355,0,IF($E355-SUM($G355:AX355)&gt;AY356,AY356,$E355-SUM($G356:AX356)))</f>
        <v>0</v>
      </c>
      <c r="AZ355" s="401">
        <f ca="1">IF(SUM($G355:AY355)&gt;=$E355,0,IF($E355-SUM($G355:AY355)&gt;AZ356,AZ356,$E355-SUM($G356:AY356)))</f>
        <v>0</v>
      </c>
      <c r="BA355" s="401">
        <f ca="1">IF(SUM($G355:AZ355)&gt;=$E355,0,IF($E355-SUM($G355:AZ355)&gt;BA356,BA356,$E355-SUM($G356:AZ356)))</f>
        <v>6.5999999999999943</v>
      </c>
      <c r="BB355" s="401">
        <f ca="1">IF(SUM($G355:BA355)&gt;=$E355,0,IF($E355-SUM($G355:BA355)&gt;BB356,BB356,$E355-SUM($G356:BA356)))</f>
        <v>28</v>
      </c>
      <c r="BC355" s="401">
        <f ca="1">IF(SUM($G355:BB355)&gt;=$E355,0,IF($E355-SUM($G355:BB355)&gt;BC356,BC356,$E355-SUM($G356:BB356)))</f>
        <v>31</v>
      </c>
      <c r="BD355" s="401">
        <f ca="1">IF(SUM($G355:BC355)&gt;=$E355,0,IF($E355-SUM($G355:BC355)&gt;BD356,BD356,$E355-SUM($G356:BC356)))</f>
        <v>30</v>
      </c>
      <c r="BE355" s="401">
        <f ca="1">IF(SUM($G355:BD355)&gt;=$E355,0,IF($E355-SUM($G355:BD355)&gt;BE356,BE356,$E355-SUM($G356:BD356)))</f>
        <v>31</v>
      </c>
      <c r="BF355" s="401">
        <f ca="1">IF(SUM($G355:BE355)&gt;=$E355,0,IF($E355-SUM($G355:BE355)&gt;BF356,BF356,$E355-SUM($G356:BE356)))</f>
        <v>30</v>
      </c>
      <c r="BG355" s="401">
        <f ca="1">IF(SUM($G355:BF355)&gt;=$E355,0,IF($E355-SUM($G355:BF355)&gt;BG356,BG356,$E355-SUM($G356:BF356)))</f>
        <v>23.400000000000006</v>
      </c>
      <c r="BH355" s="401">
        <f ca="1">IF(SUM($G355:BG355)&gt;=$E355,0,IF($E355-SUM($G355:BG355)&gt;BH356,BH356,$E355-SUM($G356:BG356)))</f>
        <v>0</v>
      </c>
      <c r="BI355" s="401">
        <f ca="1">IF(SUM($G355:BH355)&gt;=$E355,0,IF($E355-SUM($G355:BH355)&gt;BI356,BI356,$E355-SUM($G356:BH356)))</f>
        <v>0</v>
      </c>
      <c r="BJ355" s="401">
        <f ca="1">IF(SUM($G355:BI355)&gt;=$E355,0,IF($E355-SUM($G355:BI355)&gt;BJ356,BJ356,$E355-SUM($G356:BI356)))</f>
        <v>0</v>
      </c>
      <c r="BK355" s="401">
        <f ca="1">IF(SUM($G355:BJ355)&gt;=$E355,0,IF($E355-SUM($G355:BJ355)&gt;BK356,BK356,$E355-SUM($G356:BJ356)))</f>
        <v>0</v>
      </c>
      <c r="BL355" s="401">
        <f ca="1">IF(SUM($G355:BK355)&gt;=$E355,0,IF($E355-SUM($G355:BK355)&gt;BL356,BL356,$E355-SUM($G356:BK356)))</f>
        <v>0</v>
      </c>
      <c r="BM355" s="401">
        <f ca="1">IF(SUM($G355:BL355)&gt;=$E355,0,IF($E355-SUM($G355:BL355)&gt;BM356,BM356,$E355-SUM($G356:BL356)))</f>
        <v>0</v>
      </c>
      <c r="BN355" s="401">
        <f ca="1">IF(SUM($G355:BM355)&gt;=$E355,0,IF($E355-SUM($G355:BM355)&gt;BN356,BN356,$E355-SUM($G356:BM356)))</f>
        <v>0</v>
      </c>
      <c r="BO355" s="401">
        <f ca="1">IF(SUM($G355:BN355)&gt;=$E355,0,IF($E355-SUM($G355:BN355)&gt;BO356,BO356,$E355-SUM($G356:BN356)))</f>
        <v>0</v>
      </c>
      <c r="BP355" s="401">
        <f ca="1">IF(SUM($G355:BO355)&gt;=$E355,0,IF($E355-SUM($G355:BO355)&gt;BP356,BP356,$E355-SUM($G356:BO356)))</f>
        <v>0</v>
      </c>
      <c r="BQ355" s="401">
        <f ca="1">IF(SUM($G355:BP355)&gt;=$E355,0,IF($E355-SUM($G355:BP355)&gt;BQ356,BQ356,$E355-SUM($G356:BP356)))</f>
        <v>0</v>
      </c>
      <c r="BR355" s="401">
        <f ca="1">IF(SUM($G355:BQ355)&gt;=$E355,0,IF($E355-SUM($G355:BQ355)&gt;BR356,BR356,$E355-SUM($G356:BQ356)))</f>
        <v>0</v>
      </c>
      <c r="BS355" s="401">
        <f ca="1">IF(SUM($G355:BR355)&gt;=$E355,0,IF($E355-SUM($G355:BR355)&gt;BS356,BS356,$E355-SUM($G356:BR356)))</f>
        <v>0</v>
      </c>
      <c r="BT355" s="401">
        <f ca="1">IF(SUM($G355:BS355)&gt;=$E355,0,IF($E355-SUM($G355:BS355)&gt;BT356,BT356,$E355-SUM($G356:BS356)))</f>
        <v>0</v>
      </c>
      <c r="BU355" s="401">
        <f ca="1">IF(SUM($G355:BT355)&gt;=$E355,0,IF($E355-SUM($G355:BT355)&gt;BU356,BU356,$E355-SUM($G356:BT356)))</f>
        <v>0</v>
      </c>
      <c r="BV355" s="401">
        <f ca="1">IF(SUM($G355:BU355)&gt;=$E355,0,IF($E355-SUM($G355:BU355)&gt;BV356,BV356,$E355-SUM($G356:BU356)))</f>
        <v>0</v>
      </c>
      <c r="BW355" s="401">
        <f ca="1">IF(SUM($G355:BV355)&gt;=$E355,0,IF($E355-SUM($G355:BV355)&gt;BW356,BW356,$E355-SUM($G356:BV356)))</f>
        <v>0</v>
      </c>
      <c r="BX355" s="401">
        <f ca="1">IF(SUM($G355:BW355)&gt;=$E355,0,IF($E355-SUM($G355:BW355)&gt;BX356,BX356,$E355-SUM($G356:BW356)))</f>
        <v>0</v>
      </c>
      <c r="BY355" s="401">
        <f ca="1">IF(SUM($G355:BX355)&gt;=$E355,0,IF($E355-SUM($G355:BX355)&gt;BY356,BY356,$E355-SUM($G356:BX356)))</f>
        <v>0</v>
      </c>
      <c r="BZ355" s="401">
        <f ca="1">IF(SUM($G355:BY355)&gt;=$E355,0,IF($E355-SUM($G355:BY355)&gt;BZ356,BZ356,$E355-SUM($G356:BY356)))</f>
        <v>0</v>
      </c>
      <c r="CA355" s="401">
        <f ca="1">IF(SUM($G355:BZ355)&gt;=$E355,0,IF($E355-SUM($G355:BZ355)&gt;CA356,CA356,$E355-SUM($G356:BZ356)))</f>
        <v>0</v>
      </c>
      <c r="CB355" s="401">
        <f ca="1">IF(SUM($G355:CA355)&gt;=$E355,0,IF($E355-SUM($G355:CA355)&gt;CB356,CB356,$E355-SUM($G356:CA356)))</f>
        <v>0</v>
      </c>
      <c r="CC355" s="401">
        <f ca="1">IF(SUM($G355:CB355)&gt;=$E355,0,IF($E355-SUM($G355:CB355)&gt;CC356,CC356,$E355-SUM($G356:CB356)))</f>
        <v>0</v>
      </c>
      <c r="CD355" s="401">
        <f ca="1">IF(SUM($G355:CC355)&gt;=$E355,0,IF($E355-SUM($G355:CC355)&gt;CD356,CD356,$E355-SUM($G356:CC356)))</f>
        <v>0</v>
      </c>
      <c r="CE355" s="401">
        <f ca="1">IF(SUM($G355:CD355)&gt;=$E355,0,IF($E355-SUM($G355:CD355)&gt;CE356,CE356,$E355-SUM($G356:CD356)))</f>
        <v>0</v>
      </c>
      <c r="CF355" s="401">
        <f ca="1">IF(SUM($G355:CE355)&gt;=$E355,0,IF($E355-SUM($G355:CE355)&gt;CF356,CF356,$E355-SUM($G356:CE356)))</f>
        <v>0</v>
      </c>
      <c r="CG355" s="401">
        <f ca="1">IF(SUM($G355:CF355)&gt;=$E355,0,IF($E355-SUM($G355:CF355)&gt;CG356,CG356,$E355-SUM($G356:CF356)))</f>
        <v>0</v>
      </c>
      <c r="CH355" s="401">
        <f ca="1">IF(SUM($G355:CG355)&gt;=$E355,0,IF($E355-SUM($G355:CG355)&gt;CH356,CH356,$E355-SUM($G356:CG356)))</f>
        <v>0</v>
      </c>
      <c r="CI355" s="401">
        <f ca="1">IF(SUM($G355:CH355)&gt;=$E355,0,IF($E355-SUM($G355:CH355)&gt;CI356,CI356,$E355-SUM($G356:CH356)))</f>
        <v>0</v>
      </c>
      <c r="CJ355" s="401">
        <f ca="1">IF(SUM($G355:CI355)&gt;=$E355,0,IF($E355-SUM($G355:CI355)&gt;CJ356,CJ356,$E355-SUM($G356:CI356)))</f>
        <v>0</v>
      </c>
      <c r="CK355" s="401">
        <f ca="1">IF(SUM($G355:CJ355)&gt;=$E355,0,IF($E355-SUM($G355:CJ355)&gt;CK356,CK356,$E355-SUM($G356:CJ356)))</f>
        <v>0</v>
      </c>
      <c r="CL355" s="401">
        <f ca="1">IF(SUM($G355:CK355)&gt;=$E355,0,IF($E355-SUM($G355:CK355)&gt;CL356,CL356,$E355-SUM($G356:CK356)))</f>
        <v>0</v>
      </c>
      <c r="CM355" s="401">
        <f ca="1">IF(SUM($G355:CL355)&gt;=$E355,0,IF($E355-SUM($G355:CL355)&gt;CM356,CM356,$E355-SUM($G356:CL356)))</f>
        <v>0</v>
      </c>
      <c r="CN355" s="401">
        <f ca="1">IF(SUM($G355:CM355)&gt;=$E355,0,IF($E355-SUM($G355:CM355)&gt;CN356,CN356,$E355-SUM($G356:CM356)))</f>
        <v>0</v>
      </c>
      <c r="CO355" s="401">
        <f ca="1">IF(SUM($G355:CN355)&gt;=$E355,0,IF($E355-SUM($G355:CN355)&gt;CO356,CO356,$E355-SUM($G356:CN356)))</f>
        <v>0</v>
      </c>
      <c r="CP355" s="401">
        <f ca="1">IF(SUM($G355:CO355)&gt;=$E355,0,IF($E355-SUM($G355:CO355)&gt;CP356,CP356,$E355-SUM($G356:CO356)))</f>
        <v>0</v>
      </c>
      <c r="CQ355" s="401">
        <f ca="1">IF(SUM($G355:CP355)&gt;=$E355,0,IF($E355-SUM($G355:CP355)&gt;CQ356,CQ356,$E355-SUM($G356:CP356)))</f>
        <v>0</v>
      </c>
      <c r="CR355" s="401">
        <f ca="1">IF(SUM($G355:CQ355)&gt;=$E355,0,IF($E355-SUM($G355:CQ355)&gt;CR356,CR356,$E355-SUM($G356:CQ356)))</f>
        <v>0</v>
      </c>
      <c r="CS355" s="401">
        <f ca="1">IF(SUM($G355:CR355)&gt;=$E355,0,IF($E355-SUM($G355:CR355)&gt;CS356,CS356,$E355-SUM($G356:CR356)))</f>
        <v>0</v>
      </c>
      <c r="CT355" s="401">
        <f ca="1">IF(SUM($G355:CS355)&gt;=$E355,0,IF($E355-SUM($G355:CS355)&gt;CT356,CT356,$E355-SUM($G356:CS356)))</f>
        <v>0</v>
      </c>
      <c r="CU355" s="401">
        <f ca="1">IF(SUM($G355:CT355)&gt;=$E355,0,IF($E355-SUM($G355:CT355)&gt;CU356,CU356,$E355-SUM($G356:CT356)))</f>
        <v>0</v>
      </c>
      <c r="CV355" s="401">
        <f ca="1">IF(SUM($G355:CU355)&gt;=$E355,0,IF($E355-SUM($G355:CU355)&gt;CV356,CV356,$E355-SUM($G356:CU356)))</f>
        <v>0</v>
      </c>
      <c r="CW355" s="401">
        <f ca="1">IF(SUM($G355:CV355)&gt;=$E355,0,IF($E355-SUM($G355:CV355)&gt;CW356,CW356,$E355-SUM($G356:CV356)))</f>
        <v>0</v>
      </c>
      <c r="CX355" s="401">
        <f ca="1">IF(SUM($G355:CW355)&gt;=$E355,0,IF($E355-SUM($G355:CW355)&gt;CX356,CX356,$E355-SUM($G356:CW356)))</f>
        <v>0</v>
      </c>
      <c r="CY355" s="401">
        <f ca="1">IF(SUM($G355:CX355)&gt;=$E355,0,IF($E355-SUM($G355:CX355)&gt;CY356,CY356,$E355-SUM($G356:CX356)))</f>
        <v>0</v>
      </c>
      <c r="CZ355" s="401">
        <f ca="1">IF(SUM($G355:CY355)&gt;=$E355,0,IF($E355-SUM($G355:CY355)&gt;CZ356,CZ356,$E355-SUM($G356:CY356)))</f>
        <v>0</v>
      </c>
      <c r="DA355" s="401">
        <f ca="1">IF(SUM($G355:CZ355)&gt;=$E355,0,IF($E355-SUM($G355:CZ355)&gt;DA356,DA356,$E355-SUM($G356:CZ356)))</f>
        <v>0</v>
      </c>
      <c r="DB355" s="401">
        <f ca="1">IF(SUM($G355:DA355)&gt;=$E355,0,IF($E355-SUM($G355:DA355)&gt;DB356,DB356,$E355-SUM($G356:DA356)))</f>
        <v>0</v>
      </c>
      <c r="DC355" s="401">
        <f ca="1">IF(SUM($G355:DB355)&gt;=$E355,0,IF($E355-SUM($G355:DB355)&gt;DC356,DC356,$E355-SUM($G356:DB356)))</f>
        <v>0</v>
      </c>
      <c r="DD355" s="401">
        <f ca="1">IF(SUM($G355:DC355)&gt;=$E355,0,IF($E355-SUM($G355:DC355)&gt;DD356,DD356,$E355-SUM($G356:DC356)))</f>
        <v>0</v>
      </c>
      <c r="DE355" s="401">
        <f ca="1">IF(SUM($G355:DD355)&gt;=$E355,0,IF($E355-SUM($G355:DD355)&gt;DE356,DE356,$E355-SUM($G356:DD356)))</f>
        <v>0</v>
      </c>
      <c r="DF355" s="401">
        <f ca="1">IF(SUM($G355:DE355)&gt;=$E355,0,IF($E355-SUM($G355:DE355)&gt;DF356,DF356,$E355-SUM($G356:DE356)))</f>
        <v>0</v>
      </c>
      <c r="DG355" s="401">
        <f ca="1">IF(SUM($G355:DF355)&gt;=$E355,0,IF($E355-SUM($G355:DF355)&gt;DG356,DG356,$E355-SUM($G356:DF356)))</f>
        <v>0</v>
      </c>
      <c r="DH355" s="401">
        <f ca="1">IF(SUM($G355:DG355)&gt;=$E355,0,IF($E355-SUM($G355:DG355)&gt;DH356,DH356,$E355-SUM($G356:DG356)))</f>
        <v>0</v>
      </c>
      <c r="DI355" s="401">
        <f ca="1">IF(SUM($G355:DH355)&gt;=$E355,0,IF($E355-SUM($G355:DH355)&gt;DI356,DI356,$E355-SUM($G356:DH356)))</f>
        <v>0</v>
      </c>
      <c r="DJ355" s="401">
        <f ca="1">IF(SUM($G355:DI355)&gt;=$E355,0,IF($E355-SUM($G355:DI355)&gt;DJ356,DJ356,$E355-SUM($G356:DI356)))</f>
        <v>0</v>
      </c>
      <c r="DK355" s="401">
        <f ca="1">IF(SUM($G355:DJ355)&gt;=$E355,0,IF($E355-SUM($G355:DJ355)&gt;DK356,DK356,$E355-SUM($G356:DJ356)))</f>
        <v>0</v>
      </c>
      <c r="DL355" s="401">
        <f ca="1">IF(SUM($G355:DK355)&gt;=$E355,0,IF($E355-SUM($G355:DK355)&gt;DL356,DL356,$E355-SUM($G356:DK356)))</f>
        <v>0</v>
      </c>
      <c r="DM355" s="401">
        <f ca="1">IF(SUM($G355:DL355)&gt;=$E355,0,IF($E355-SUM($G355:DL355)&gt;DM356,DM356,$E355-SUM($G356:DL356)))</f>
        <v>0</v>
      </c>
      <c r="DN355" s="401">
        <f ca="1">IF(SUM($G355:DM355)&gt;=$E355,0,IF($E355-SUM($G355:DM355)&gt;DN356,DN356,$E355-SUM($G356:DM356)))</f>
        <v>0</v>
      </c>
      <c r="DO355" s="401">
        <f ca="1">IF(SUM($G355:DN355)&gt;=$E355,0,IF($E355-SUM($G355:DN355)&gt;DO356,DO356,$E355-SUM($G356:DN356)))</f>
        <v>0</v>
      </c>
      <c r="DP355" s="401">
        <f ca="1">IF(SUM($G355:DO355)&gt;=$E355,0,IF($E355-SUM($G355:DO355)&gt;DP356,DP356,$E355-SUM($G356:DO356)))</f>
        <v>0</v>
      </c>
      <c r="DQ355" s="401">
        <f ca="1">IF(SUM($G355:DP355)&gt;=$E355,0,IF($E355-SUM($G355:DP355)&gt;DQ356,DQ356,$E355-SUM($G356:DP356)))</f>
        <v>0</v>
      </c>
      <c r="DR355" s="401">
        <f ca="1">IF(SUM($G355:DQ355)&gt;=$E355,0,IF($E355-SUM($G355:DQ355)&gt;DR356,DR356,$E355-SUM($G356:DQ356)))</f>
        <v>0</v>
      </c>
      <c r="DS355" s="401">
        <f ca="1">IF(SUM($G355:DR355)&gt;=$E355,0,IF($E355-SUM($G355:DR355)&gt;DS356,DS356,$E355-SUM($G356:DR356)))</f>
        <v>0</v>
      </c>
      <c r="DT355" s="401">
        <f ca="1">IF(SUM($G355:DS355)&gt;=$E355,0,IF($E355-SUM($G355:DS355)&gt;DT356,DT356,$E355-SUM($G356:DS356)))</f>
        <v>0</v>
      </c>
      <c r="DU355" s="401">
        <f ca="1">IF(SUM($G355:DT355)&gt;=$E355,0,IF($E355-SUM($G355:DT355)&gt;DU356,DU356,$E355-SUM($G356:DT356)))</f>
        <v>0</v>
      </c>
      <c r="DV355" s="401">
        <f ca="1">IF(SUM($G355:DU355)&gt;=$E355,0,IF($E355-SUM($G355:DU355)&gt;DV356,DV356,$E355-SUM($G356:DU356)))</f>
        <v>0</v>
      </c>
      <c r="DW355" s="401">
        <f ca="1">IF(SUM($G355:DV355)&gt;=$E355,0,IF($E355-SUM($G355:DV355)&gt;DW356,DW356,$E355-SUM($G356:DV356)))</f>
        <v>0</v>
      </c>
      <c r="DX355" s="401">
        <f ca="1">IF(SUM($G355:DW355)&gt;=$E355,0,IF($E355-SUM($G355:DW355)&gt;DX356,DX356,$E355-SUM($G356:DW356)))</f>
        <v>0</v>
      </c>
      <c r="DY355" s="401">
        <f ca="1">IF(SUM($G355:DX355)&gt;=$E355,0,IF($E355-SUM($G355:DX355)&gt;DY356,DY356,$E355-SUM($G356:DX356)))</f>
        <v>0</v>
      </c>
      <c r="DZ355" s="401">
        <f ca="1">IF(SUM($G355:DY355)&gt;=$E355,0,IF($E355-SUM($G355:DY355)&gt;DZ356,DZ356,$E355-SUM($G356:DY356)))</f>
        <v>0</v>
      </c>
      <c r="EA355" s="401">
        <f ca="1">IF(SUM($G355:DZ355)&gt;=$E355,0,IF($E355-SUM($G355:DZ355)&gt;EA356,EA356,$E355-SUM($G356:DZ356)))</f>
        <v>0</v>
      </c>
      <c r="EB355" s="401">
        <f ca="1">IF(SUM($G355:EA355)&gt;=$E355,0,IF($E355-SUM($G355:EA355)&gt;EB356,EB356,$E355-SUM($G356:EA356)))</f>
        <v>0</v>
      </c>
      <c r="EC355" s="401">
        <f ca="1">IF(SUM($G355:EB355)&gt;=$E355,0,IF($E355-SUM($G355:EB355)&gt;EC356,EC356,$E355-SUM($G356:EB356)))</f>
        <v>0</v>
      </c>
      <c r="ED355" s="401">
        <f ca="1">IF(SUM($G355:EC355)&gt;=$E355,0,IF($E355-SUM($G355:EC355)&gt;ED356,ED356,$E355-SUM($G356:EC356)))</f>
        <v>0</v>
      </c>
      <c r="EE355" s="401">
        <f ca="1">IF(SUM($G355:ED355)&gt;=$E355,0,IF($E355-SUM($G355:ED355)&gt;EE356,EE356,$E355-SUM($G356:ED356)))</f>
        <v>0</v>
      </c>
      <c r="EF355" s="401">
        <f ca="1">IF(SUM($G355:EE355)&gt;=$E355,0,IF($E355-SUM($G355:EE355)&gt;EF356,EF356,$E355-SUM($G356:EE356)))</f>
        <v>0</v>
      </c>
      <c r="EG355" s="401">
        <f ca="1">IF(SUM($G355:EF355)&gt;=$E355,0,IF($E355-SUM($G355:EF355)&gt;EG356,EG356,$E355-SUM($G356:EF356)))</f>
        <v>0</v>
      </c>
      <c r="EH355" s="401">
        <f ca="1">IF(SUM($G355:EG355)&gt;=$E355,0,IF($E355-SUM($G355:EG355)&gt;EH356,EH356,$E355-SUM($G356:EG356)))</f>
        <v>0</v>
      </c>
      <c r="EI355" s="401">
        <f ca="1">IF(SUM($G355:EH355)&gt;=$E355,0,IF($E355-SUM($G355:EH355)&gt;EI356,EI356,$E355-SUM($G356:EH356)))</f>
        <v>0</v>
      </c>
      <c r="EK355" s="313"/>
    </row>
    <row r="356" spans="1:141" hidden="1" outlineLevel="2">
      <c r="A356" s="332"/>
      <c r="B356" s="313"/>
      <c r="C356" s="308"/>
      <c r="D356" s="308"/>
      <c r="E356" s="308"/>
      <c r="G356" s="402"/>
      <c r="H356" s="402">
        <f ca="1">IF((SUM($G351:H351)-$E350*0.5)&lt;0,0,IF((SUM($G351:H351)-$E350*0.5)&lt;H351,SUM($G351:H351)-$E350*0.5,H351))</f>
        <v>0</v>
      </c>
      <c r="I356" s="402">
        <f ca="1">IF((SUM($G351:I351)-$E350*0.5)&lt;0,0,IF((SUM($G351:I351)-$E350*0.5)&lt;I351,SUM($G351:I351)-$E350*0.5,I351))</f>
        <v>0</v>
      </c>
      <c r="J356" s="402">
        <f ca="1">IF((SUM($G351:J351)-$E350*0.5)&lt;0,0,IF((SUM($G351:J351)-$E350*0.5)&lt;J351,SUM($G351:J351)-$E350*0.5,J351))</f>
        <v>0</v>
      </c>
      <c r="K356" s="402">
        <f ca="1">IF((SUM($G351:K351)-$E350*0.5)&lt;0,0,IF((SUM($G351:K351)-$E350*0.5)&lt;K351,SUM($G351:K351)-$E350*0.5,K351))</f>
        <v>0</v>
      </c>
      <c r="L356" s="402">
        <f ca="1">IF((SUM($G351:L351)-$E350*0.5)&lt;0,0,IF((SUM($G351:L351)-$E350*0.5)&lt;L351,SUM($G351:L351)-$E350*0.5,L351))</f>
        <v>0</v>
      </c>
      <c r="M356" s="402">
        <f ca="1">IF((SUM($G351:M351)-$E350*0.5)&lt;0,0,IF((SUM($G351:M351)-$E350*0.5)&lt;M351,SUM($G351:M351)-$E350*0.5,M351))</f>
        <v>0</v>
      </c>
      <c r="N356" s="402">
        <f ca="1">IF((SUM($G351:N351)-$E350*0.5)&lt;0,0,IF((SUM($G351:N351)-$E350*0.5)&lt;N351,SUM($G351:N351)-$E350*0.5,N351))</f>
        <v>0</v>
      </c>
      <c r="O356" s="402">
        <f ca="1">IF((SUM($G351:O351)-$E350*0.5)&lt;0,0,IF((SUM($G351:O351)-$E350*0.5)&lt;O351,SUM($G351:O351)-$E350*0.5,O351))</f>
        <v>0</v>
      </c>
      <c r="P356" s="402">
        <f ca="1">IF((SUM($G351:P351)-$E350*0.5)&lt;0,0,IF((SUM($G351:P351)-$E350*0.5)&lt;P351,SUM($G351:P351)-$E350*0.5,P351))</f>
        <v>0</v>
      </c>
      <c r="Q356" s="402">
        <f ca="1">IF((SUM($G351:Q351)-$E350*0.5)&lt;0,0,IF((SUM($G351:Q351)-$E350*0.5)&lt;Q351,SUM($G351:Q351)-$E350*0.5,Q351))</f>
        <v>0</v>
      </c>
      <c r="R356" s="402">
        <f ca="1">IF((SUM($G351:R351)-$E350*0.5)&lt;0,0,IF((SUM($G351:R351)-$E350*0.5)&lt;R351,SUM($G351:R351)-$E350*0.5,R351))</f>
        <v>0</v>
      </c>
      <c r="S356" s="402">
        <f ca="1">IF((SUM($G351:S351)-$E350*0.5)&lt;0,0,IF((SUM($G351:S351)-$E350*0.5)&lt;S351,SUM($G351:S351)-$E350*0.5,S351))</f>
        <v>0</v>
      </c>
      <c r="T356" s="402">
        <f ca="1">IF((SUM($G351:T351)-$E350*0.5)&lt;0,0,IF((SUM($G351:T351)-$E350*0.5)&lt;T351,SUM($G351:T351)-$E350*0.5,T351))</f>
        <v>0</v>
      </c>
      <c r="U356" s="402">
        <f ca="1">IF((SUM($G351:U351)-$E350*0.5)&lt;0,0,IF((SUM($G351:U351)-$E350*0.5)&lt;U351,SUM($G351:U351)-$E350*0.5,U351))</f>
        <v>0</v>
      </c>
      <c r="V356" s="402">
        <f ca="1">IF((SUM($G351:V351)-$E350*0.5)&lt;0,0,IF((SUM($G351:V351)-$E350*0.5)&lt;V351,SUM($G351:V351)-$E350*0.5,V351))</f>
        <v>0</v>
      </c>
      <c r="W356" s="402">
        <f ca="1">IF((SUM($G351:W351)-$E350*0.5)&lt;0,0,IF((SUM($G351:W351)-$E350*0.5)&lt;W351,SUM($G351:W351)-$E350*0.5,W351))</f>
        <v>0</v>
      </c>
      <c r="X356" s="402">
        <f ca="1">IF((SUM($G351:X351)-$E350*0.5)&lt;0,0,IF((SUM($G351:X351)-$E350*0.5)&lt;X351,SUM($G351:X351)-$E350*0.5,X351))</f>
        <v>0</v>
      </c>
      <c r="Y356" s="402">
        <f ca="1">IF((SUM($G351:Y351)-$E350*0.5)&lt;0,0,IF((SUM($G351:Y351)-$E350*0.5)&lt;Y351,SUM($G351:Y351)-$E350*0.5,Y351))</f>
        <v>0</v>
      </c>
      <c r="Z356" s="402">
        <f ca="1">IF((SUM($G351:Z351)-$E350*0.5)&lt;0,0,IF((SUM($G351:Z351)-$E350*0.5)&lt;Z351,SUM($G351:Z351)-$E350*0.5,Z351))</f>
        <v>0</v>
      </c>
      <c r="AA356" s="402">
        <f ca="1">IF((SUM($G351:AA351)-$E350*0.5)&lt;0,0,IF((SUM($G351:AA351)-$E350*0.5)&lt;AA351,SUM($G351:AA351)-$E350*0.5,AA351))</f>
        <v>0</v>
      </c>
      <c r="AB356" s="402">
        <f ca="1">IF((SUM($G351:AB351)-$E350*0.5)&lt;0,0,IF((SUM($G351:AB351)-$E350*0.5)&lt;AB351,SUM($G351:AB351)-$E350*0.5,AB351))</f>
        <v>0</v>
      </c>
      <c r="AC356" s="402">
        <f ca="1">IF((SUM($G351:AC351)-$E350*0.5)&lt;0,0,IF((SUM($G351:AC351)-$E350*0.5)&lt;AC351,SUM($G351:AC351)-$E350*0.5,AC351))</f>
        <v>0</v>
      </c>
      <c r="AD356" s="402">
        <f ca="1">IF((SUM($G351:AD351)-$E350*0.5)&lt;0,0,IF((SUM($G351:AD351)-$E350*0.5)&lt;AD351,SUM($G351:AD351)-$E350*0.5,AD351))</f>
        <v>0</v>
      </c>
      <c r="AE356" s="402">
        <f ca="1">IF((SUM($G351:AE351)-$E350*0.5)&lt;0,0,IF((SUM($G351:AE351)-$E350*0.5)&lt;AE351,SUM($G351:AE351)-$E350*0.5,AE351))</f>
        <v>0</v>
      </c>
      <c r="AF356" s="402">
        <f ca="1">IF((SUM($G351:AF351)-$E350*0.5)&lt;0,0,IF((SUM($G351:AF351)-$E350*0.5)&lt;AF351,SUM($G351:AF351)-$E350*0.5,AF351))</f>
        <v>0</v>
      </c>
      <c r="AG356" s="402">
        <f ca="1">IF((SUM($G351:AG351)-$E350*0.5)&lt;0,0,IF((SUM($G351:AG351)-$E350*0.5)&lt;AG351,SUM($G351:AG351)-$E350*0.5,AG351))</f>
        <v>0</v>
      </c>
      <c r="AH356" s="402">
        <f ca="1">IF((SUM($G351:AH351)-$E350*0.5)&lt;0,0,IF((SUM($G351:AH351)-$E350*0.5)&lt;AH351,SUM($G351:AH351)-$E350*0.5,AH351))</f>
        <v>0</v>
      </c>
      <c r="AI356" s="402">
        <f ca="1">IF((SUM($G351:AI351)-$E350*0.5)&lt;0,0,IF((SUM($G351:AI351)-$E350*0.5)&lt;AI351,SUM($G351:AI351)-$E350*0.5,AI351))</f>
        <v>0</v>
      </c>
      <c r="AJ356" s="402">
        <f ca="1">IF((SUM($G351:AJ351)-$E350*0.5)&lt;0,0,IF((SUM($G351:AJ351)-$E350*0.5)&lt;AJ351,SUM($G351:AJ351)-$E350*0.5,AJ351))</f>
        <v>0</v>
      </c>
      <c r="AK356" s="402">
        <f ca="1">IF((SUM($G351:AK351)-$E350*0.5)&lt;0,0,IF((SUM($G351:AK351)-$E350*0.5)&lt;AK351,SUM($G351:AK351)-$E350*0.5,AK351))</f>
        <v>0</v>
      </c>
      <c r="AL356" s="402">
        <f ca="1">IF((SUM($G351:AL351)-$E350*0.5)&lt;0,0,IF((SUM($G351:AL351)-$E350*0.5)&lt;AL351,SUM($G351:AL351)-$E350*0.5,AL351))</f>
        <v>0</v>
      </c>
      <c r="AM356" s="402">
        <f ca="1">IF((SUM($G351:AM351)-$E350*0.5)&lt;0,0,IF((SUM($G351:AM351)-$E350*0.5)&lt;AM351,SUM($G351:AM351)-$E350*0.5,AM351))</f>
        <v>0</v>
      </c>
      <c r="AN356" s="402">
        <f ca="1">IF((SUM($G351:AN351)-$E350*0.5)&lt;0,0,IF((SUM($G351:AN351)-$E350*0.5)&lt;AN351,SUM($G351:AN351)-$E350*0.5,AN351))</f>
        <v>0</v>
      </c>
      <c r="AO356" s="402">
        <f ca="1">IF((SUM($G351:AO351)-$E350*0.5)&lt;0,0,IF((SUM($G351:AO351)-$E350*0.5)&lt;AO351,SUM($G351:AO351)-$E350*0.5,AO351))</f>
        <v>0</v>
      </c>
      <c r="AP356" s="402">
        <f ca="1">IF((SUM($G351:AP351)-$E350*0.5)&lt;0,0,IF((SUM($G351:AP351)-$E350*0.5)&lt;AP351,SUM($G351:AP351)-$E350*0.5,AP351))</f>
        <v>0</v>
      </c>
      <c r="AQ356" s="402">
        <f ca="1">IF((SUM($G351:AQ351)-$E350*0.5)&lt;0,0,IF((SUM($G351:AQ351)-$E350*0.5)&lt;AQ351,SUM($G351:AQ351)-$E350*0.5,AQ351))</f>
        <v>0</v>
      </c>
      <c r="AR356" s="402">
        <f ca="1">IF((SUM($G351:AR351)-$E350*0.5)&lt;0,0,IF((SUM($G351:AR351)-$E350*0.5)&lt;AR351,SUM($G351:AR351)-$E350*0.5,AR351))</f>
        <v>0</v>
      </c>
      <c r="AS356" s="402">
        <f ca="1">IF((SUM($G351:AS351)-$E350*0.5)&lt;0,0,IF((SUM($G351:AS351)-$E350*0.5)&lt;AS351,SUM($G351:AS351)-$E350*0.5,AS351))</f>
        <v>0</v>
      </c>
      <c r="AT356" s="402">
        <f ca="1">IF((SUM($G351:AT351)-$E350*0.5)&lt;0,0,IF((SUM($G351:AT351)-$E350*0.5)&lt;AT351,SUM($G351:AT351)-$E350*0.5,AT351))</f>
        <v>0</v>
      </c>
      <c r="AU356" s="402">
        <f ca="1">IF((SUM($G351:AU351)-$E350*0.5)&lt;0,0,IF((SUM($G351:AU351)-$E350*0.5)&lt;AU351,SUM($G351:AU351)-$E350*0.5,AU351))</f>
        <v>0</v>
      </c>
      <c r="AV356" s="402">
        <f ca="1">IF((SUM($G351:AV351)-$E350*0.5)&lt;0,0,IF((SUM($G351:AV351)-$E350*0.5)&lt;AV351,SUM($G351:AV351)-$E350*0.5,AV351))</f>
        <v>0</v>
      </c>
      <c r="AW356" s="402">
        <f ca="1">IF((SUM($G351:AW351)-$E350*0.5)&lt;0,0,IF((SUM($G351:AW351)-$E350*0.5)&lt;AW351,SUM($G351:AW351)-$E350*0.5,AW351))</f>
        <v>0</v>
      </c>
      <c r="AX356" s="402">
        <f ca="1">IF((SUM($G351:AX351)-$E350*0.5)&lt;0,0,IF((SUM($G351:AX351)-$E350*0.5)&lt;AX351,SUM($G351:AX351)-$E350*0.5,AX351))</f>
        <v>0</v>
      </c>
      <c r="AY356" s="402">
        <f ca="1">IF((SUM($G351:AY351)-$E350*0.5)&lt;0,0,IF((SUM($G351:AY351)-$E350*0.5)&lt;AY351,SUM($G351:AY351)-$E350*0.5,AY351))</f>
        <v>0</v>
      </c>
      <c r="AZ356" s="402">
        <f ca="1">IF((SUM($G351:AZ351)-$E350*0.5)&lt;0,0,IF((SUM($G351:AZ351)-$E350*0.5)&lt;AZ351,SUM($G351:AZ351)-$E350*0.5,AZ351))</f>
        <v>0</v>
      </c>
      <c r="BA356" s="402">
        <f ca="1">IF((SUM($G351:BA351)-$E350*0.5)&lt;0,0,IF((SUM($G351:BA351)-$E350*0.5)&lt;BA351,SUM($G351:BA351)-$E350*0.5,BA351))</f>
        <v>6.5999999999999943</v>
      </c>
      <c r="BB356" s="402">
        <f ca="1">IF((SUM($G351:BB351)-$E350*0.5)&lt;0,0,IF((SUM($G351:BB351)-$E350*0.5)&lt;BB351,SUM($G351:BB351)-$E350*0.5,BB351))</f>
        <v>28</v>
      </c>
      <c r="BC356" s="402">
        <f ca="1">IF((SUM($G351:BC351)-$E350*0.5)&lt;0,0,IF((SUM($G351:BC351)-$E350*0.5)&lt;BC351,SUM($G351:BC351)-$E350*0.5,BC351))</f>
        <v>31</v>
      </c>
      <c r="BD356" s="402">
        <f ca="1">IF((SUM($G351:BD351)-$E350*0.5)&lt;0,0,IF((SUM($G351:BD351)-$E350*0.5)&lt;BD351,SUM($G351:BD351)-$E350*0.5,BD351))</f>
        <v>30</v>
      </c>
      <c r="BE356" s="402">
        <f ca="1">IF((SUM($G351:BE351)-$E350*0.5)&lt;0,0,IF((SUM($G351:BE351)-$E350*0.5)&lt;BE351,SUM($G351:BE351)-$E350*0.5,BE351))</f>
        <v>31</v>
      </c>
      <c r="BF356" s="402">
        <f ca="1">IF((SUM($G351:BF351)-$E350*0.5)&lt;0,0,IF((SUM($G351:BF351)-$E350*0.5)&lt;BF351,SUM($G351:BF351)-$E350*0.5,BF351))</f>
        <v>30</v>
      </c>
      <c r="BG356" s="402">
        <f ca="1">IF((SUM($G351:BG351)-$E350*0.5)&lt;0,0,IF((SUM($G351:BG351)-$E350*0.5)&lt;BG351,SUM($G351:BG351)-$E350*0.5,BG351))</f>
        <v>31</v>
      </c>
      <c r="BH356" s="402">
        <f ca="1">IF((SUM($G351:BH351)-$E350*0.5)&lt;0,0,IF((SUM($G351:BH351)-$E350*0.5)&lt;BH351,SUM($G351:BH351)-$E350*0.5,BH351))</f>
        <v>31</v>
      </c>
      <c r="BI356" s="402">
        <f ca="1">IF((SUM($G351:BI351)-$E350*0.5)&lt;0,0,IF((SUM($G351:BI351)-$E350*0.5)&lt;BI351,SUM($G351:BI351)-$E350*0.5,BI351))</f>
        <v>30</v>
      </c>
      <c r="BJ356" s="402">
        <f ca="1">IF((SUM($G351:BJ351)-$E350*0.5)&lt;0,0,IF((SUM($G351:BJ351)-$E350*0.5)&lt;BJ351,SUM($G351:BJ351)-$E350*0.5,BJ351))</f>
        <v>31</v>
      </c>
      <c r="BK356" s="402">
        <f ca="1">IF((SUM($G351:BK351)-$E350*0.5)&lt;0,0,IF((SUM($G351:BK351)-$E350*0.5)&lt;BK351,SUM($G351:BK351)-$E350*0.5,BK351))</f>
        <v>30</v>
      </c>
      <c r="BL356" s="402">
        <f ca="1">IF((SUM($G351:BL351)-$E350*0.5)&lt;0,0,IF((SUM($G351:BL351)-$E350*0.5)&lt;BL351,SUM($G351:BL351)-$E350*0.5,BL351))</f>
        <v>31</v>
      </c>
      <c r="BM356" s="402">
        <f ca="1">IF((SUM($G351:BM351)-$E350*0.5)&lt;0,0,IF((SUM($G351:BM351)-$E350*0.5)&lt;BM351,SUM($G351:BM351)-$E350*0.5,BM351))</f>
        <v>31</v>
      </c>
      <c r="BN356" s="402">
        <f ca="1">IF((SUM($G351:BN351)-$E350*0.5)&lt;0,0,IF((SUM($G351:BN351)-$E350*0.5)&lt;BN351,SUM($G351:BN351)-$E350*0.5,BN351))</f>
        <v>29</v>
      </c>
      <c r="BO356" s="402">
        <f ca="1">IF((SUM($G351:BO351)-$E350*0.5)&lt;0,0,IF((SUM($G351:BO351)-$E350*0.5)&lt;BO351,SUM($G351:BO351)-$E350*0.5,BO351))</f>
        <v>31</v>
      </c>
      <c r="BP356" s="402">
        <f ca="1">IF((SUM($G351:BP351)-$E350*0.5)&lt;0,0,IF((SUM($G351:BP351)-$E350*0.5)&lt;BP351,SUM($G351:BP351)-$E350*0.5,BP351))</f>
        <v>30</v>
      </c>
      <c r="BQ356" s="402">
        <f ca="1">IF((SUM($G351:BQ351)-$E350*0.5)&lt;0,0,IF((SUM($G351:BQ351)-$E350*0.5)&lt;BQ351,SUM($G351:BQ351)-$E350*0.5,BQ351))</f>
        <v>31</v>
      </c>
      <c r="BR356" s="402">
        <f ca="1">IF((SUM($G351:BR351)-$E350*0.5)&lt;0,0,IF((SUM($G351:BR351)-$E350*0.5)&lt;BR351,SUM($G351:BR351)-$E350*0.5,BR351))</f>
        <v>30</v>
      </c>
      <c r="BS356" s="402">
        <f ca="1">IF((SUM($G351:BS351)-$E350*0.5)&lt;0,0,IF((SUM($G351:BS351)-$E350*0.5)&lt;BS351,SUM($G351:BS351)-$E350*0.5,BS351))</f>
        <v>31</v>
      </c>
      <c r="BT356" s="402">
        <f ca="1">IF((SUM($G351:BT351)-$E350*0.5)&lt;0,0,IF((SUM($G351:BT351)-$E350*0.5)&lt;BT351,SUM($G351:BT351)-$E350*0.5,BT351))</f>
        <v>31</v>
      </c>
      <c r="BU356" s="402">
        <f ca="1">IF((SUM($G351:BU351)-$E350*0.5)&lt;0,0,IF((SUM($G351:BU351)-$E350*0.5)&lt;BU351,SUM($G351:BU351)-$E350*0.5,BU351))</f>
        <v>30</v>
      </c>
      <c r="BV356" s="402">
        <f ca="1">IF((SUM($G351:BV351)-$E350*0.5)&lt;0,0,IF((SUM($G351:BV351)-$E350*0.5)&lt;BV351,SUM($G351:BV351)-$E350*0.5,BV351))</f>
        <v>31</v>
      </c>
      <c r="BW356" s="402">
        <f ca="1">IF((SUM($G351:BW351)-$E350*0.5)&lt;0,0,IF((SUM($G351:BW351)-$E350*0.5)&lt;BW351,SUM($G351:BW351)-$E350*0.5,BW351))</f>
        <v>30</v>
      </c>
      <c r="BX356" s="402">
        <f ca="1">IF((SUM($G351:BX351)-$E350*0.5)&lt;0,0,IF((SUM($G351:BX351)-$E350*0.5)&lt;BX351,SUM($G351:BX351)-$E350*0.5,BX351))</f>
        <v>31</v>
      </c>
      <c r="BY356" s="402">
        <f ca="1">IF((SUM($G351:BY351)-$E350*0.5)&lt;0,0,IF((SUM($G351:BY351)-$E350*0.5)&lt;BY351,SUM($G351:BY351)-$E350*0.5,BY351))</f>
        <v>31</v>
      </c>
      <c r="BZ356" s="402">
        <f ca="1">IF((SUM($G351:BZ351)-$E350*0.5)&lt;0,0,IF((SUM($G351:BZ351)-$E350*0.5)&lt;BZ351,SUM($G351:BZ351)-$E350*0.5,BZ351))</f>
        <v>28</v>
      </c>
      <c r="CA356" s="402">
        <f ca="1">IF((SUM($G351:CA351)-$E350*0.5)&lt;0,0,IF((SUM($G351:CA351)-$E350*0.5)&lt;CA351,SUM($G351:CA351)-$E350*0.5,CA351))</f>
        <v>31</v>
      </c>
      <c r="CB356" s="402">
        <f ca="1">IF((SUM($G351:CB351)-$E350*0.5)&lt;0,0,IF((SUM($G351:CB351)-$E350*0.5)&lt;CB351,SUM($G351:CB351)-$E350*0.5,CB351))</f>
        <v>30</v>
      </c>
      <c r="CC356" s="402">
        <f ca="1">IF((SUM($G351:CC351)-$E350*0.5)&lt;0,0,IF((SUM($G351:CC351)-$E350*0.5)&lt;CC351,SUM($G351:CC351)-$E350*0.5,CC351))</f>
        <v>31</v>
      </c>
      <c r="CD356" s="402">
        <f ca="1">IF((SUM($G351:CD351)-$E350*0.5)&lt;0,0,IF((SUM($G351:CD351)-$E350*0.5)&lt;CD351,SUM($G351:CD351)-$E350*0.5,CD351))</f>
        <v>30</v>
      </c>
      <c r="CE356" s="402">
        <f ca="1">IF((SUM($G351:CE351)-$E350*0.5)&lt;0,0,IF((SUM($G351:CE351)-$E350*0.5)&lt;CE351,SUM($G351:CE351)-$E350*0.5,CE351))</f>
        <v>31</v>
      </c>
      <c r="CF356" s="402">
        <f ca="1">IF((SUM($G351:CF351)-$E350*0.5)&lt;0,0,IF((SUM($G351:CF351)-$E350*0.5)&lt;CF351,SUM($G351:CF351)-$E350*0.5,CF351))</f>
        <v>31</v>
      </c>
      <c r="CG356" s="402">
        <f ca="1">IF((SUM($G351:CG351)-$E350*0.5)&lt;0,0,IF((SUM($G351:CG351)-$E350*0.5)&lt;CG351,SUM($G351:CG351)-$E350*0.5,CG351))</f>
        <v>30</v>
      </c>
      <c r="CH356" s="402">
        <f ca="1">IF((SUM($G351:CH351)-$E350*0.5)&lt;0,0,IF((SUM($G351:CH351)-$E350*0.5)&lt;CH351,SUM($G351:CH351)-$E350*0.5,CH351))</f>
        <v>31</v>
      </c>
      <c r="CI356" s="402">
        <f ca="1">IF((SUM($G351:CI351)-$E350*0.5)&lt;0,0,IF((SUM($G351:CI351)-$E350*0.5)&lt;CI351,SUM($G351:CI351)-$E350*0.5,CI351))</f>
        <v>30</v>
      </c>
      <c r="CJ356" s="402">
        <f ca="1">IF((SUM($G351:CJ351)-$E350*0.5)&lt;0,0,IF((SUM($G351:CJ351)-$E350*0.5)&lt;CJ351,SUM($G351:CJ351)-$E350*0.5,CJ351))</f>
        <v>31</v>
      </c>
      <c r="CK356" s="402">
        <f ca="1">IF((SUM($G351:CK351)-$E350*0.5)&lt;0,0,IF((SUM($G351:CK351)-$E350*0.5)&lt;CK351,SUM($G351:CK351)-$E350*0.5,CK351))</f>
        <v>31</v>
      </c>
      <c r="CL356" s="402">
        <f ca="1">IF((SUM($G351:CL351)-$E350*0.5)&lt;0,0,IF((SUM($G351:CL351)-$E350*0.5)&lt;CL351,SUM($G351:CL351)-$E350*0.5,CL351))</f>
        <v>28</v>
      </c>
      <c r="CM356" s="402">
        <f ca="1">IF((SUM($G351:CM351)-$E350*0.5)&lt;0,0,IF((SUM($G351:CM351)-$E350*0.5)&lt;CM351,SUM($G351:CM351)-$E350*0.5,CM351))</f>
        <v>31</v>
      </c>
      <c r="CN356" s="402">
        <f ca="1">IF((SUM($G351:CN351)-$E350*0.5)&lt;0,0,IF((SUM($G351:CN351)-$E350*0.5)&lt;CN351,SUM($G351:CN351)-$E350*0.5,CN351))</f>
        <v>30</v>
      </c>
      <c r="CO356" s="402">
        <f ca="1">IF((SUM($G351:CO351)-$E350*0.5)&lt;0,0,IF((SUM($G351:CO351)-$E350*0.5)&lt;CO351,SUM($G351:CO351)-$E350*0.5,CO351))</f>
        <v>31</v>
      </c>
      <c r="CP356" s="402">
        <f ca="1">IF((SUM($G351:CP351)-$E350*0.5)&lt;0,0,IF((SUM($G351:CP351)-$E350*0.5)&lt;CP351,SUM($G351:CP351)-$E350*0.5,CP351))</f>
        <v>30</v>
      </c>
      <c r="CQ356" s="402">
        <f ca="1">IF((SUM($G351:CQ351)-$E350*0.5)&lt;0,0,IF((SUM($G351:CQ351)-$E350*0.5)&lt;CQ351,SUM($G351:CQ351)-$E350*0.5,CQ351))</f>
        <v>31</v>
      </c>
      <c r="CR356" s="402">
        <f ca="1">IF((SUM($G351:CR351)-$E350*0.5)&lt;0,0,IF((SUM($G351:CR351)-$E350*0.5)&lt;CR351,SUM($G351:CR351)-$E350*0.5,CR351))</f>
        <v>31</v>
      </c>
      <c r="CS356" s="402">
        <f ca="1">IF((SUM($G351:CS351)-$E350*0.5)&lt;0,0,IF((SUM($G351:CS351)-$E350*0.5)&lt;CS351,SUM($G351:CS351)-$E350*0.5,CS351))</f>
        <v>30</v>
      </c>
      <c r="CT356" s="402">
        <f ca="1">IF((SUM($G351:CT351)-$E350*0.5)&lt;0,0,IF((SUM($G351:CT351)-$E350*0.5)&lt;CT351,SUM($G351:CT351)-$E350*0.5,CT351))</f>
        <v>31</v>
      </c>
      <c r="CU356" s="402">
        <f ca="1">IF((SUM($G351:CU351)-$E350*0.5)&lt;0,0,IF((SUM($G351:CU351)-$E350*0.5)&lt;CU351,SUM($G351:CU351)-$E350*0.5,CU351))</f>
        <v>30</v>
      </c>
      <c r="CV356" s="402">
        <f ca="1">IF((SUM($G351:CV351)-$E350*0.5)&lt;0,0,IF((SUM($G351:CV351)-$E350*0.5)&lt;CV351,SUM($G351:CV351)-$E350*0.5,CV351))</f>
        <v>31</v>
      </c>
      <c r="CW356" s="402">
        <f ca="1">IF((SUM($G351:CW351)-$E350*0.5)&lt;0,0,IF((SUM($G351:CW351)-$E350*0.5)&lt;CW351,SUM($G351:CW351)-$E350*0.5,CW351))</f>
        <v>31</v>
      </c>
      <c r="CX356" s="402">
        <f ca="1">IF((SUM($G351:CX351)-$E350*0.5)&lt;0,0,IF((SUM($G351:CX351)-$E350*0.5)&lt;CX351,SUM($G351:CX351)-$E350*0.5,CX351))</f>
        <v>28</v>
      </c>
      <c r="CY356" s="402">
        <f ca="1">IF((SUM($G351:CY351)-$E350*0.5)&lt;0,0,IF((SUM($G351:CY351)-$E350*0.5)&lt;CY351,SUM($G351:CY351)-$E350*0.5,CY351))</f>
        <v>31</v>
      </c>
      <c r="CZ356" s="402">
        <f ca="1">IF((SUM($G351:CZ351)-$E350*0.5)&lt;0,0,IF((SUM($G351:CZ351)-$E350*0.5)&lt;CZ351,SUM($G351:CZ351)-$E350*0.5,CZ351))</f>
        <v>30</v>
      </c>
      <c r="DA356" s="402">
        <f ca="1">IF((SUM($G351:DA351)-$E350*0.5)&lt;0,0,IF((SUM($G351:DA351)-$E350*0.5)&lt;DA351,SUM($G351:DA351)-$E350*0.5,DA351))</f>
        <v>31</v>
      </c>
      <c r="DB356" s="402">
        <f ca="1">IF((SUM($G351:DB351)-$E350*0.5)&lt;0,0,IF((SUM($G351:DB351)-$E350*0.5)&lt;DB351,SUM($G351:DB351)-$E350*0.5,DB351))</f>
        <v>30</v>
      </c>
      <c r="DC356" s="402">
        <f ca="1">IF((SUM($G351:DC351)-$E350*0.5)&lt;0,0,IF((SUM($G351:DC351)-$E350*0.5)&lt;DC351,SUM($G351:DC351)-$E350*0.5,DC351))</f>
        <v>31</v>
      </c>
      <c r="DD356" s="402">
        <f ca="1">IF((SUM($G351:DD351)-$E350*0.5)&lt;0,0,IF((SUM($G351:DD351)-$E350*0.5)&lt;DD351,SUM($G351:DD351)-$E350*0.5,DD351))</f>
        <v>31</v>
      </c>
      <c r="DE356" s="402">
        <f ca="1">IF((SUM($G351:DE351)-$E350*0.5)&lt;0,0,IF((SUM($G351:DE351)-$E350*0.5)&lt;DE351,SUM($G351:DE351)-$E350*0.5,DE351))</f>
        <v>30</v>
      </c>
      <c r="DF356" s="402">
        <f ca="1">IF((SUM($G351:DF351)-$E350*0.5)&lt;0,0,IF((SUM($G351:DF351)-$E350*0.5)&lt;DF351,SUM($G351:DF351)-$E350*0.5,DF351))</f>
        <v>31</v>
      </c>
      <c r="DG356" s="402">
        <f ca="1">IF((SUM($G351:DG351)-$E350*0.5)&lt;0,0,IF((SUM($G351:DG351)-$E350*0.5)&lt;DG351,SUM($G351:DG351)-$E350*0.5,DG351))</f>
        <v>30</v>
      </c>
      <c r="DH356" s="402">
        <f ca="1">IF((SUM($G351:DH351)-$E350*0.5)&lt;0,0,IF((SUM($G351:DH351)-$E350*0.5)&lt;DH351,SUM($G351:DH351)-$E350*0.5,DH351))</f>
        <v>31</v>
      </c>
      <c r="DI356" s="402">
        <f ca="1">IF((SUM($G351:DI351)-$E350*0.5)&lt;0,0,IF((SUM($G351:DI351)-$E350*0.5)&lt;DI351,SUM($G351:DI351)-$E350*0.5,DI351))</f>
        <v>31</v>
      </c>
      <c r="DJ356" s="402">
        <f ca="1">IF((SUM($G351:DJ351)-$E350*0.5)&lt;0,0,IF((SUM($G351:DJ351)-$E350*0.5)&lt;DJ351,SUM($G351:DJ351)-$E350*0.5,DJ351))</f>
        <v>29</v>
      </c>
      <c r="DK356" s="402">
        <f ca="1">IF((SUM($G351:DK351)-$E350*0.5)&lt;0,0,IF((SUM($G351:DK351)-$E350*0.5)&lt;DK351,SUM($G351:DK351)-$E350*0.5,DK351))</f>
        <v>31</v>
      </c>
      <c r="DL356" s="402">
        <f ca="1">IF((SUM($G351:DL351)-$E350*0.5)&lt;0,0,IF((SUM($G351:DL351)-$E350*0.5)&lt;DL351,SUM($G351:DL351)-$E350*0.5,DL351))</f>
        <v>30</v>
      </c>
      <c r="DM356" s="402">
        <f ca="1">IF((SUM($G351:DM351)-$E350*0.5)&lt;0,0,IF((SUM($G351:DM351)-$E350*0.5)&lt;DM351,SUM($G351:DM351)-$E350*0.5,DM351))</f>
        <v>31</v>
      </c>
      <c r="DN356" s="402">
        <f ca="1">IF((SUM($G351:DN351)-$E350*0.5)&lt;0,0,IF((SUM($G351:DN351)-$E350*0.5)&lt;DN351,SUM($G351:DN351)-$E350*0.5,DN351))</f>
        <v>30</v>
      </c>
      <c r="DO356" s="402">
        <f ca="1">IF((SUM($G351:DO351)-$E350*0.5)&lt;0,0,IF((SUM($G351:DO351)-$E350*0.5)&lt;DO351,SUM($G351:DO351)-$E350*0.5,DO351))</f>
        <v>31</v>
      </c>
      <c r="DP356" s="402">
        <f ca="1">IF((SUM($G351:DP351)-$E350*0.5)&lt;0,0,IF((SUM($G351:DP351)-$E350*0.5)&lt;DP351,SUM($G351:DP351)-$E350*0.5,DP351))</f>
        <v>31</v>
      </c>
      <c r="DQ356" s="402">
        <f ca="1">IF((SUM($G351:DQ351)-$E350*0.5)&lt;0,0,IF((SUM($G351:DQ351)-$E350*0.5)&lt;DQ351,SUM($G351:DQ351)-$E350*0.5,DQ351))</f>
        <v>30</v>
      </c>
      <c r="DR356" s="402">
        <f ca="1">IF((SUM($G351:DR351)-$E350*0.5)&lt;0,0,IF((SUM($G351:DR351)-$E350*0.5)&lt;DR351,SUM($G351:DR351)-$E350*0.5,DR351))</f>
        <v>31</v>
      </c>
      <c r="DS356" s="402">
        <f ca="1">IF((SUM($G351:DS351)-$E350*0.5)&lt;0,0,IF((SUM($G351:DS351)-$E350*0.5)&lt;DS351,SUM($G351:DS351)-$E350*0.5,DS351))</f>
        <v>30</v>
      </c>
      <c r="DT356" s="402">
        <f ca="1">IF((SUM($G351:DT351)-$E350*0.5)&lt;0,0,IF((SUM($G351:DT351)-$E350*0.5)&lt;DT351,SUM($G351:DT351)-$E350*0.5,DT351))</f>
        <v>31</v>
      </c>
      <c r="DU356" s="402">
        <f ca="1">IF((SUM($G351:DU351)-$E350*0.5)&lt;0,0,IF((SUM($G351:DU351)-$E350*0.5)&lt;DU351,SUM($G351:DU351)-$E350*0.5,DU351))</f>
        <v>31</v>
      </c>
      <c r="DV356" s="402">
        <f ca="1">IF((SUM($G351:DV351)-$E350*0.5)&lt;0,0,IF((SUM($G351:DV351)-$E350*0.5)&lt;DV351,SUM($G351:DV351)-$E350*0.5,DV351))</f>
        <v>28</v>
      </c>
      <c r="DW356" s="402">
        <f ca="1">IF((SUM($G351:DW351)-$E350*0.5)&lt;0,0,IF((SUM($G351:DW351)-$E350*0.5)&lt;DW351,SUM($G351:DW351)-$E350*0.5,DW351))</f>
        <v>31</v>
      </c>
      <c r="DX356" s="402">
        <f ca="1">IF((SUM($G351:DX351)-$E350*0.5)&lt;0,0,IF((SUM($G351:DX351)-$E350*0.5)&lt;DX351,SUM($G351:DX351)-$E350*0.5,DX351))</f>
        <v>30</v>
      </c>
      <c r="DY356" s="402">
        <f ca="1">IF((SUM($G351:DY351)-$E350*0.5)&lt;0,0,IF((SUM($G351:DY351)-$E350*0.5)&lt;DY351,SUM($G351:DY351)-$E350*0.5,DY351))</f>
        <v>31</v>
      </c>
      <c r="DZ356" s="402">
        <f ca="1">IF((SUM($G351:DZ351)-$E350*0.5)&lt;0,0,IF((SUM($G351:DZ351)-$E350*0.5)&lt;DZ351,SUM($G351:DZ351)-$E350*0.5,DZ351))</f>
        <v>30</v>
      </c>
      <c r="EA356" s="402">
        <f ca="1">IF((SUM($G351:EA351)-$E350*0.5)&lt;0,0,IF((SUM($G351:EA351)-$E350*0.5)&lt;EA351,SUM($G351:EA351)-$E350*0.5,EA351))</f>
        <v>31</v>
      </c>
      <c r="EB356" s="402">
        <f ca="1">IF((SUM($G351:EB351)-$E350*0.5)&lt;0,0,IF((SUM($G351:EB351)-$E350*0.5)&lt;EB351,SUM($G351:EB351)-$E350*0.5,EB351))</f>
        <v>31</v>
      </c>
      <c r="EC356" s="402">
        <f ca="1">IF((SUM($G351:EC351)-$E350*0.5)&lt;0,0,IF((SUM($G351:EC351)-$E350*0.5)&lt;EC351,SUM($G351:EC351)-$E350*0.5,EC351))</f>
        <v>30</v>
      </c>
      <c r="ED356" s="402">
        <f ca="1">IF((SUM($G351:ED351)-$E350*0.5)&lt;0,0,IF((SUM($G351:ED351)-$E350*0.5)&lt;ED351,SUM($G351:ED351)-$E350*0.5,ED351))</f>
        <v>31</v>
      </c>
      <c r="EE356" s="402">
        <f ca="1">IF((SUM($G351:EE351)-$E350*0.5)&lt;0,0,IF((SUM($G351:EE351)-$E350*0.5)&lt;EE351,SUM($G351:EE351)-$E350*0.5,EE351))</f>
        <v>30</v>
      </c>
      <c r="EF356" s="402">
        <f ca="1">IF((SUM($G351:EF351)-$E350*0.5)&lt;0,0,IF((SUM($G351:EF351)-$E350*0.5)&lt;EF351,SUM($G351:EF351)-$E350*0.5,EF351))</f>
        <v>31</v>
      </c>
      <c r="EG356" s="402">
        <f ca="1">IF((SUM($G351:EG351)-$E350*0.5)&lt;0,0,IF((SUM($G351:EG351)-$E350*0.5)&lt;EG351,SUM($G351:EG351)-$E350*0.5,EG351))</f>
        <v>31</v>
      </c>
      <c r="EH356" s="402">
        <f ca="1">IF((SUM($G351:EH351)-$E350*0.5)&lt;0,0,IF((SUM($G351:EH351)-$E350*0.5)&lt;EH351,SUM($G351:EH351)-$E350*0.5,EH351))</f>
        <v>28</v>
      </c>
      <c r="EI356" s="402">
        <f ca="1">IF((SUM($G351:EI351)-$E350*0.5)&lt;0,0,IF((SUM($G351:EI351)-$E350*0.5)&lt;EI351,SUM($G351:EI351)-$E350*0.5,EI351))</f>
        <v>31</v>
      </c>
    </row>
    <row r="357" spans="1:141" hidden="1" outlineLevel="2">
      <c r="A357" s="332"/>
      <c r="D357" s="305" t="s">
        <v>670</v>
      </c>
      <c r="E357" s="403">
        <f ca="1">MIN(G357:EI357)</f>
        <v>46388</v>
      </c>
      <c r="F357" s="404">
        <f ca="1">MAX(G357:EI357)</f>
        <v>46388</v>
      </c>
      <c r="G357" s="403" t="str">
        <f ca="1">IF(G355=0,"",IF(SUM($G355:G355)&gt;=1,OFFSET(G$228,-1,0),""))</f>
        <v/>
      </c>
      <c r="H357" s="403" t="str">
        <f ca="1">IF(SUM($G357:G357)&gt;=1,"",IF(H355=0,"",IF(SUM($G355:H355)&gt;=1,OFFSET(H$228,-1,0),"")))</f>
        <v/>
      </c>
      <c r="I357" s="403" t="str">
        <f ca="1">IF(SUM($G357:H357)&gt;=1,"",IF(I355=0,"",IF(SUM($G355:I355)&gt;=1,OFFSET(I$228,-1,0),"")))</f>
        <v/>
      </c>
      <c r="J357" s="403" t="str">
        <f ca="1">IF(SUM($G357:I357)&gt;=1,"",IF(J355=0,"",IF(SUM($G355:J355)&gt;=1,OFFSET(J$228,-1,0),"")))</f>
        <v/>
      </c>
      <c r="K357" s="403" t="str">
        <f ca="1">IF(SUM($G357:J357)&gt;=1,"",IF(K355=0,"",IF(SUM($G355:K355)&gt;=1,OFFSET(K$228,-1,0),"")))</f>
        <v/>
      </c>
      <c r="L357" s="403" t="str">
        <f ca="1">IF(SUM($G357:K357)&gt;=1,"",IF(L355=0,"",IF(SUM($G355:L355)&gt;=1,OFFSET(L$228,-1,0),"")))</f>
        <v/>
      </c>
      <c r="M357" s="403" t="str">
        <f ca="1">IF(SUM($G357:L357)&gt;=1,"",IF(M355=0,"",IF(SUM($G355:M355)&gt;=1,OFFSET(M$228,-1,0),"")))</f>
        <v/>
      </c>
      <c r="N357" s="403" t="str">
        <f ca="1">IF(SUM($G357:M357)&gt;=1,"",IF(N355=0,"",IF(SUM($G355:N355)&gt;=1,OFFSET(N$228,-1,0),"")))</f>
        <v/>
      </c>
      <c r="O357" s="403" t="str">
        <f ca="1">IF(SUM($G357:N357)&gt;=1,"",IF(O355=0,"",IF(SUM($G355:O355)&gt;=1,OFFSET(O$228,-1,0),"")))</f>
        <v/>
      </c>
      <c r="P357" s="403" t="str">
        <f ca="1">IF(SUM($G357:O357)&gt;=1,"",IF(P355=0,"",IF(SUM($G355:P355)&gt;=1,OFFSET(P$228,-1,0),"")))</f>
        <v/>
      </c>
      <c r="Q357" s="403" t="str">
        <f ca="1">IF(SUM($G357:P357)&gt;=1,"",IF(Q355=0,"",IF(SUM($G355:Q355)&gt;=1,OFFSET(Q$228,-1,0),"")))</f>
        <v/>
      </c>
      <c r="R357" s="403" t="str">
        <f ca="1">IF(SUM($G357:Q357)&gt;=1,"",IF(R355=0,"",IF(SUM($G355:R355)&gt;=1,OFFSET(R$228,-1,0),"")))</f>
        <v/>
      </c>
      <c r="S357" s="403" t="str">
        <f ca="1">IF(SUM($G357:R357)&gt;=1,"",IF(S355=0,"",IF(SUM($G355:S355)&gt;=1,OFFSET(S$228,-1,0),"")))</f>
        <v/>
      </c>
      <c r="T357" s="403" t="str">
        <f ca="1">IF(SUM($G357:S357)&gt;=1,"",IF(T355=0,"",IF(SUM($G355:T355)&gt;=1,OFFSET(T$228,-1,0),"")))</f>
        <v/>
      </c>
      <c r="U357" s="403" t="str">
        <f ca="1">IF(SUM($G357:T357)&gt;=1,"",IF(U355=0,"",IF(SUM($G355:U355)&gt;=1,OFFSET(U$228,-1,0),"")))</f>
        <v/>
      </c>
      <c r="V357" s="403" t="str">
        <f ca="1">IF(SUM($G357:U357)&gt;=1,"",IF(V355=0,"",IF(SUM($G355:V355)&gt;=1,OFFSET(V$228,-1,0),"")))</f>
        <v/>
      </c>
      <c r="W357" s="403" t="str">
        <f ca="1">IF(SUM($G357:V357)&gt;=1,"",IF(W355=0,"",IF(SUM($G355:W355)&gt;=1,OFFSET(W$228,-1,0),"")))</f>
        <v/>
      </c>
      <c r="X357" s="403" t="str">
        <f ca="1">IF(SUM($G357:W357)&gt;=1,"",IF(X355=0,"",IF(SUM($G355:X355)&gt;=1,OFFSET(X$228,-1,0),"")))</f>
        <v/>
      </c>
      <c r="Y357" s="403" t="str">
        <f ca="1">IF(SUM($G357:X357)&gt;=1,"",IF(Y355=0,"",IF(SUM($G355:Y355)&gt;=1,OFFSET(Y$228,-1,0),"")))</f>
        <v/>
      </c>
      <c r="Z357" s="403" t="str">
        <f ca="1">IF(SUM($G357:Y357)&gt;=1,"",IF(Z355=0,"",IF(SUM($G355:Z355)&gt;=1,OFFSET(Z$228,-1,0),"")))</f>
        <v/>
      </c>
      <c r="AA357" s="403" t="str">
        <f ca="1">IF(SUM($G357:Z357)&gt;=1,"",IF(AA355=0,"",IF(SUM($G355:AA355)&gt;=1,OFFSET(AA$228,-1,0),"")))</f>
        <v/>
      </c>
      <c r="AB357" s="403" t="str">
        <f ca="1">IF(SUM($G357:AA357)&gt;=1,"",IF(AB355=0,"",IF(SUM($G355:AB355)&gt;=1,OFFSET(AB$228,-1,0),"")))</f>
        <v/>
      </c>
      <c r="AC357" s="403" t="str">
        <f ca="1">IF(SUM($G357:AB357)&gt;=1,"",IF(AC355=0,"",IF(SUM($G355:AC355)&gt;=1,OFFSET(AC$228,-1,0),"")))</f>
        <v/>
      </c>
      <c r="AD357" s="403" t="str">
        <f ca="1">IF(SUM($G357:AC357)&gt;=1,"",IF(AD355=0,"",IF(SUM($G355:AD355)&gt;=1,OFFSET(AD$228,-1,0),"")))</f>
        <v/>
      </c>
      <c r="AE357" s="403" t="str">
        <f ca="1">IF(SUM($G357:AD357)&gt;=1,"",IF(AE355=0,"",IF(SUM($G355:AE355)&gt;=1,OFFSET(AE$228,-1,0),"")))</f>
        <v/>
      </c>
      <c r="AF357" s="403" t="str">
        <f ca="1">IF(SUM($G357:AE357)&gt;=1,"",IF(AF355=0,"",IF(SUM($G355:AF355)&gt;=1,OFFSET(AF$228,-1,0),"")))</f>
        <v/>
      </c>
      <c r="AG357" s="403" t="str">
        <f ca="1">IF(SUM($G357:AF357)&gt;=1,"",IF(AG355=0,"",IF(SUM($G355:AG355)&gt;=1,OFFSET(AG$228,-1,0),"")))</f>
        <v/>
      </c>
      <c r="AH357" s="403" t="str">
        <f ca="1">IF(SUM($G357:AG357)&gt;=1,"",IF(AH355=0,"",IF(SUM($G355:AH355)&gt;=1,OFFSET(AH$228,-1,0),"")))</f>
        <v/>
      </c>
      <c r="AI357" s="403" t="str">
        <f ca="1">IF(SUM($G357:AH357)&gt;=1,"",IF(AI355=0,"",IF(SUM($G355:AI355)&gt;=1,OFFSET(AI$228,-1,0),"")))</f>
        <v/>
      </c>
      <c r="AJ357" s="403" t="str">
        <f ca="1">IF(SUM($G357:AI357)&gt;=1,"",IF(AJ355=0,"",IF(SUM($G355:AJ355)&gt;=1,OFFSET(AJ$228,-1,0),"")))</f>
        <v/>
      </c>
      <c r="AK357" s="403" t="str">
        <f ca="1">IF(SUM($G357:AJ357)&gt;=1,"",IF(AK355=0,"",IF(SUM($G355:AK355)&gt;=1,OFFSET(AK$228,-1,0),"")))</f>
        <v/>
      </c>
      <c r="AL357" s="403" t="str">
        <f ca="1">IF(SUM($G357:AK357)&gt;=1,"",IF(AL355=0,"",IF(SUM($G355:AL355)&gt;=1,OFFSET(AL$228,-1,0),"")))</f>
        <v/>
      </c>
      <c r="AM357" s="403" t="str">
        <f ca="1">IF(SUM($G357:AL357)&gt;=1,"",IF(AM355=0,"",IF(SUM($G355:AM355)&gt;=1,OFFSET(AM$228,-1,0),"")))</f>
        <v/>
      </c>
      <c r="AN357" s="403" t="str">
        <f ca="1">IF(SUM($G357:AM357)&gt;=1,"",IF(AN355=0,"",IF(SUM($G355:AN355)&gt;=1,OFFSET(AN$228,-1,0),"")))</f>
        <v/>
      </c>
      <c r="AO357" s="403" t="str">
        <f ca="1">IF(SUM($G357:AN357)&gt;=1,"",IF(AO355=0,"",IF(SUM($G355:AO355)&gt;=1,OFFSET(AO$228,-1,0),"")))</f>
        <v/>
      </c>
      <c r="AP357" s="403" t="str">
        <f ca="1">IF(SUM($G357:AO357)&gt;=1,"",IF(AP355=0,"",IF(SUM($G355:AP355)&gt;=1,OFFSET(AP$228,-1,0),"")))</f>
        <v/>
      </c>
      <c r="AQ357" s="403" t="str">
        <f ca="1">IF(SUM($G357:AP357)&gt;=1,"",IF(AQ355=0,"",IF(SUM($G355:AQ355)&gt;=1,OFFSET(AQ$228,-1,0),"")))</f>
        <v/>
      </c>
      <c r="AR357" s="403" t="str">
        <f ca="1">IF(SUM($G357:AQ357)&gt;=1,"",IF(AR355=0,"",IF(SUM($G355:AR355)&gt;=1,OFFSET(AR$228,-1,0),"")))</f>
        <v/>
      </c>
      <c r="AS357" s="403" t="str">
        <f ca="1">IF(SUM($G357:AR357)&gt;=1,"",IF(AS355=0,"",IF(SUM($G355:AS355)&gt;=1,OFFSET(AS$228,-1,0),"")))</f>
        <v/>
      </c>
      <c r="AT357" s="403" t="str">
        <f ca="1">IF(SUM($G357:AS357)&gt;=1,"",IF(AT355=0,"",IF(SUM($G355:AT355)&gt;=1,OFFSET(AT$228,-1,0),"")))</f>
        <v/>
      </c>
      <c r="AU357" s="403" t="str">
        <f ca="1">IF(SUM($G357:AT357)&gt;=1,"",IF(AU355=0,"",IF(SUM($G355:AU355)&gt;=1,OFFSET(AU$228,-1,0),"")))</f>
        <v/>
      </c>
      <c r="AV357" s="403" t="str">
        <f ca="1">IF(SUM($G357:AU357)&gt;=1,"",IF(AV355=0,"",IF(SUM($G355:AV355)&gt;=1,OFFSET(AV$228,-1,0),"")))</f>
        <v/>
      </c>
      <c r="AW357" s="403" t="str">
        <f ca="1">IF(SUM($G357:AV357)&gt;=1,"",IF(AW355=0,"",IF(SUM($G355:AW355)&gt;=1,OFFSET(AW$228,-1,0),"")))</f>
        <v/>
      </c>
      <c r="AX357" s="403" t="str">
        <f ca="1">IF(SUM($G357:AW357)&gt;=1,"",IF(AX355=0,"",IF(SUM($G355:AX355)&gt;=1,OFFSET(AX$228,-1,0),"")))</f>
        <v/>
      </c>
      <c r="AY357" s="403" t="str">
        <f ca="1">IF(SUM($G357:AX357)&gt;=1,"",IF(AY355=0,"",IF(SUM($G355:AY355)&gt;=1,OFFSET(AY$228,-1,0),"")))</f>
        <v/>
      </c>
      <c r="AZ357" s="403" t="str">
        <f ca="1">IF(SUM($G357:AY357)&gt;=1,"",IF(AZ355=0,"",IF(SUM($G355:AZ355)&gt;=1,OFFSET(AZ$228,-1,0),"")))</f>
        <v/>
      </c>
      <c r="BA357" s="403">
        <f ca="1">IF(SUM($G357:AZ357)&gt;=1,"",IF(BA355=0,"",IF(SUM($G355:BA355)&gt;=1,OFFSET(BA$228,-1,0),"")))</f>
        <v>46388</v>
      </c>
      <c r="BB357" s="403" t="str">
        <f ca="1">IF(SUM($G357:BA357)&gt;=1,"",IF(BB355=0,"",IF(SUM($G355:BB355)&gt;=1,OFFSET(BB$228,-1,0),"")))</f>
        <v/>
      </c>
      <c r="BC357" s="403" t="str">
        <f ca="1">IF(SUM($G357:BB357)&gt;=1,"",IF(BC355=0,"",IF(SUM($G355:BC355)&gt;=1,OFFSET(BC$228,-1,0),"")))</f>
        <v/>
      </c>
      <c r="BD357" s="403" t="str">
        <f ca="1">IF(SUM($G357:BC357)&gt;=1,"",IF(BD355=0,"",IF(SUM($G355:BD355)&gt;=1,OFFSET(BD$228,-1,0),"")))</f>
        <v/>
      </c>
      <c r="BE357" s="403" t="str">
        <f ca="1">IF(SUM($G357:BD357)&gt;=1,"",IF(BE355=0,"",IF(SUM($G355:BE355)&gt;=1,OFFSET(BE$228,-1,0),"")))</f>
        <v/>
      </c>
      <c r="BF357" s="403" t="str">
        <f ca="1">IF(SUM($G357:BE357)&gt;=1,"",IF(BF355=0,"",IF(SUM($G355:BF355)&gt;=1,OFFSET(BF$228,-1,0),"")))</f>
        <v/>
      </c>
      <c r="BG357" s="403" t="str">
        <f ca="1">IF(SUM($G357:BF357)&gt;=1,"",IF(BG355=0,"",IF(SUM($G355:BG355)&gt;=1,OFFSET(BG$228,-1,0),"")))</f>
        <v/>
      </c>
      <c r="BH357" s="403" t="str">
        <f ca="1">IF(SUM($G357:BG357)&gt;=1,"",IF(BH355=0,"",IF(SUM($G355:BH355)&gt;=1,OFFSET(BH$228,-1,0),"")))</f>
        <v/>
      </c>
      <c r="BI357" s="403" t="str">
        <f ca="1">IF(SUM($G357:BH357)&gt;=1,"",IF(BI355=0,"",IF(SUM($G355:BI355)&gt;=1,OFFSET(BI$228,-1,0),"")))</f>
        <v/>
      </c>
      <c r="BJ357" s="403" t="str">
        <f ca="1">IF(SUM($G357:BI357)&gt;=1,"",IF(BJ355=0,"",IF(SUM($G355:BJ355)&gt;=1,OFFSET(BJ$228,-1,0),"")))</f>
        <v/>
      </c>
      <c r="BK357" s="403" t="str">
        <f ca="1">IF(SUM($G357:BJ357)&gt;=1,"",IF(BK355=0,"",IF(SUM($G355:BK355)&gt;=1,OFFSET(BK$228,-1,0),"")))</f>
        <v/>
      </c>
      <c r="BL357" s="403" t="str">
        <f ca="1">IF(SUM($G357:BK357)&gt;=1,"",IF(BL355=0,"",IF(SUM($G355:BL355)&gt;=1,OFFSET(BL$228,-1,0),"")))</f>
        <v/>
      </c>
      <c r="BM357" s="403" t="str">
        <f ca="1">IF(SUM($G357:BL357)&gt;=1,"",IF(BM355=0,"",IF(SUM($G355:BM355)&gt;=1,OFFSET(BM$228,-1,0),"")))</f>
        <v/>
      </c>
      <c r="BN357" s="403" t="str">
        <f ca="1">IF(SUM($G357:BM357)&gt;=1,"",IF(BN355=0,"",IF(SUM($G355:BN355)&gt;=1,OFFSET(BN$228,-1,0),"")))</f>
        <v/>
      </c>
      <c r="BO357" s="403" t="str">
        <f ca="1">IF(SUM($G357:BN357)&gt;=1,"",IF(BO355=0,"",IF(SUM($G355:BO355)&gt;=1,OFFSET(BO$228,-1,0),"")))</f>
        <v/>
      </c>
      <c r="BP357" s="403" t="str">
        <f ca="1">IF(SUM($G357:BO357)&gt;=1,"",IF(BP355=0,"",IF(SUM($G355:BP355)&gt;=1,OFFSET(BP$228,-1,0),"")))</f>
        <v/>
      </c>
      <c r="BQ357" s="403" t="str">
        <f ca="1">IF(SUM($G357:BP357)&gt;=1,"",IF(BQ355=0,"",IF(SUM($G355:BQ355)&gt;=1,OFFSET(BQ$228,-1,0),"")))</f>
        <v/>
      </c>
      <c r="BR357" s="403" t="str">
        <f ca="1">IF(SUM($G357:BQ357)&gt;=1,"",IF(BR355=0,"",IF(SUM($G355:BR355)&gt;=1,OFFSET(BR$228,-1,0),"")))</f>
        <v/>
      </c>
      <c r="BS357" s="403" t="str">
        <f ca="1">IF(SUM($G357:BR357)&gt;=1,"",IF(BS355=0,"",IF(SUM($G355:BS355)&gt;=1,OFFSET(BS$228,-1,0),"")))</f>
        <v/>
      </c>
      <c r="BT357" s="403" t="str">
        <f ca="1">IF(SUM($G357:BS357)&gt;=1,"",IF(BT355=0,"",IF(SUM($G355:BT355)&gt;=1,OFFSET(BT$228,-1,0),"")))</f>
        <v/>
      </c>
      <c r="BU357" s="403" t="str">
        <f ca="1">IF(SUM($G357:BT357)&gt;=1,"",IF(BU355=0,"",IF(SUM($G355:BU355)&gt;=1,OFFSET(BU$228,-1,0),"")))</f>
        <v/>
      </c>
      <c r="BV357" s="403" t="str">
        <f ca="1">IF(SUM($G357:BU357)&gt;=1,"",IF(BV355=0,"",IF(SUM($G355:BV355)&gt;=1,OFFSET(BV$228,-1,0),"")))</f>
        <v/>
      </c>
      <c r="BW357" s="403" t="str">
        <f ca="1">IF(SUM($G357:BV357)&gt;=1,"",IF(BW355=0,"",IF(SUM($G355:BW355)&gt;=1,OFFSET(BW$228,-1,0),"")))</f>
        <v/>
      </c>
      <c r="BX357" s="403" t="str">
        <f ca="1">IF(SUM($G357:BW357)&gt;=1,"",IF(BX355=0,"",IF(SUM($G355:BX355)&gt;=1,OFFSET(BX$228,-1,0),"")))</f>
        <v/>
      </c>
      <c r="BY357" s="403" t="str">
        <f ca="1">IF(SUM($G357:BX357)&gt;=1,"",IF(BY355=0,"",IF(SUM($G355:BY355)&gt;=1,OFFSET(BY$228,-1,0),"")))</f>
        <v/>
      </c>
      <c r="BZ357" s="403" t="str">
        <f ca="1">IF(SUM($G357:BY357)&gt;=1,"",IF(BZ355=0,"",IF(SUM($G355:BZ355)&gt;=1,OFFSET(BZ$228,-1,0),"")))</f>
        <v/>
      </c>
      <c r="CA357" s="403" t="str">
        <f ca="1">IF(SUM($G357:BZ357)&gt;=1,"",IF(CA355=0,"",IF(SUM($G355:CA355)&gt;=1,OFFSET(CA$228,-1,0),"")))</f>
        <v/>
      </c>
      <c r="CB357" s="403" t="str">
        <f ca="1">IF(SUM($G357:CA357)&gt;=1,"",IF(CB355=0,"",IF(SUM($G355:CB355)&gt;=1,OFFSET(CB$228,-1,0),"")))</f>
        <v/>
      </c>
      <c r="CC357" s="403" t="str">
        <f ca="1">IF(SUM($G357:CB357)&gt;=1,"",IF(CC355=0,"",IF(SUM($G355:CC355)&gt;=1,OFFSET(CC$228,-1,0),"")))</f>
        <v/>
      </c>
      <c r="CD357" s="403" t="str">
        <f ca="1">IF(SUM($G357:CC357)&gt;=1,"",IF(CD355=0,"",IF(SUM($G355:CD355)&gt;=1,OFFSET(CD$228,-1,0),"")))</f>
        <v/>
      </c>
      <c r="CE357" s="403" t="str">
        <f ca="1">IF(SUM($G357:CD357)&gt;=1,"",IF(CE355=0,"",IF(SUM($G355:CE355)&gt;=1,OFFSET(CE$228,-1,0),"")))</f>
        <v/>
      </c>
      <c r="CF357" s="403" t="str">
        <f ca="1">IF(SUM($G357:CE357)&gt;=1,"",IF(CF355=0,"",IF(SUM($G355:CF355)&gt;=1,OFFSET(CF$228,-1,0),"")))</f>
        <v/>
      </c>
      <c r="CG357" s="403" t="str">
        <f ca="1">IF(SUM($G357:CF357)&gt;=1,"",IF(CG355=0,"",IF(SUM($G355:CG355)&gt;=1,OFFSET(CG$228,-1,0),"")))</f>
        <v/>
      </c>
      <c r="CH357" s="403" t="str">
        <f ca="1">IF(SUM($G357:CG357)&gt;=1,"",IF(CH355=0,"",IF(SUM($G355:CH355)&gt;=1,OFFSET(CH$228,-1,0),"")))</f>
        <v/>
      </c>
      <c r="CI357" s="403" t="str">
        <f ca="1">IF(SUM($G357:CH357)&gt;=1,"",IF(CI355=0,"",IF(SUM($G355:CI355)&gt;=1,OFFSET(CI$228,-1,0),"")))</f>
        <v/>
      </c>
      <c r="CJ357" s="403" t="str">
        <f ca="1">IF(SUM($G357:CI357)&gt;=1,"",IF(CJ355=0,"",IF(SUM($G355:CJ355)&gt;=1,OFFSET(CJ$228,-1,0),"")))</f>
        <v/>
      </c>
      <c r="CK357" s="403" t="str">
        <f ca="1">IF(SUM($G357:CJ357)&gt;=1,"",IF(CK355=0,"",IF(SUM($G355:CK355)&gt;=1,OFFSET(CK$228,-1,0),"")))</f>
        <v/>
      </c>
      <c r="CL357" s="403" t="str">
        <f ca="1">IF(SUM($G357:CK357)&gt;=1,"",IF(CL355=0,"",IF(SUM($G355:CL355)&gt;=1,OFFSET(CL$228,-1,0),"")))</f>
        <v/>
      </c>
      <c r="CM357" s="403" t="str">
        <f ca="1">IF(SUM($G357:CL357)&gt;=1,"",IF(CM355=0,"",IF(SUM($G355:CM355)&gt;=1,OFFSET(CM$228,-1,0),"")))</f>
        <v/>
      </c>
      <c r="CN357" s="403" t="str">
        <f ca="1">IF(SUM($G357:CM357)&gt;=1,"",IF(CN355=0,"",IF(SUM($G355:CN355)&gt;=1,OFFSET(CN$228,-1,0),"")))</f>
        <v/>
      </c>
      <c r="CO357" s="403" t="str">
        <f ca="1">IF(SUM($G357:CN357)&gt;=1,"",IF(CO355=0,"",IF(SUM($G355:CO355)&gt;=1,OFFSET(CO$228,-1,0),"")))</f>
        <v/>
      </c>
      <c r="CP357" s="403" t="str">
        <f ca="1">IF(SUM($G357:CO357)&gt;=1,"",IF(CP355=0,"",IF(SUM($G355:CP355)&gt;=1,OFFSET(CP$228,-1,0),"")))</f>
        <v/>
      </c>
      <c r="CQ357" s="403" t="str">
        <f ca="1">IF(SUM($G357:CP357)&gt;=1,"",IF(CQ355=0,"",IF(SUM($G355:CQ355)&gt;=1,OFFSET(CQ$228,-1,0),"")))</f>
        <v/>
      </c>
      <c r="CR357" s="403" t="str">
        <f ca="1">IF(SUM($G357:CQ357)&gt;=1,"",IF(CR355=0,"",IF(SUM($G355:CR355)&gt;=1,OFFSET(CR$228,-1,0),"")))</f>
        <v/>
      </c>
      <c r="CS357" s="403" t="str">
        <f ca="1">IF(SUM($G357:CR357)&gt;=1,"",IF(CS355=0,"",IF(SUM($G355:CS355)&gt;=1,OFFSET(CS$228,-1,0),"")))</f>
        <v/>
      </c>
      <c r="CT357" s="403" t="str">
        <f ca="1">IF(SUM($G357:CS357)&gt;=1,"",IF(CT355=0,"",IF(SUM($G355:CT355)&gt;=1,OFFSET(CT$228,-1,0),"")))</f>
        <v/>
      </c>
      <c r="CU357" s="403" t="str">
        <f ca="1">IF(SUM($G357:CT357)&gt;=1,"",IF(CU355=0,"",IF(SUM($G355:CU355)&gt;=1,OFFSET(CU$228,-1,0),"")))</f>
        <v/>
      </c>
      <c r="CV357" s="403" t="str">
        <f ca="1">IF(SUM($G357:CU357)&gt;=1,"",IF(CV355=0,"",IF(SUM($G355:CV355)&gt;=1,OFFSET(CV$228,-1,0),"")))</f>
        <v/>
      </c>
      <c r="CW357" s="403" t="str">
        <f ca="1">IF(SUM($G357:CV357)&gt;=1,"",IF(CW355=0,"",IF(SUM($G355:CW355)&gt;=1,OFFSET(CW$228,-1,0),"")))</f>
        <v/>
      </c>
      <c r="CX357" s="403" t="str">
        <f ca="1">IF(SUM($G357:CW357)&gt;=1,"",IF(CX355=0,"",IF(SUM($G355:CX355)&gt;=1,OFFSET(CX$228,-1,0),"")))</f>
        <v/>
      </c>
      <c r="CY357" s="403" t="str">
        <f ca="1">IF(SUM($G357:CX357)&gt;=1,"",IF(CY355=0,"",IF(SUM($G355:CY355)&gt;=1,OFFSET(CY$228,-1,0),"")))</f>
        <v/>
      </c>
      <c r="CZ357" s="403" t="str">
        <f ca="1">IF(SUM($G357:CY357)&gt;=1,"",IF(CZ355=0,"",IF(SUM($G355:CZ355)&gt;=1,OFFSET(CZ$228,-1,0),"")))</f>
        <v/>
      </c>
      <c r="DA357" s="403" t="str">
        <f ca="1">IF(SUM($G357:CZ357)&gt;=1,"",IF(DA355=0,"",IF(SUM($G355:DA355)&gt;=1,OFFSET(DA$228,-1,0),"")))</f>
        <v/>
      </c>
      <c r="DB357" s="403" t="str">
        <f ca="1">IF(SUM($G357:DA357)&gt;=1,"",IF(DB355=0,"",IF(SUM($G355:DB355)&gt;=1,OFFSET(DB$228,-1,0),"")))</f>
        <v/>
      </c>
      <c r="DC357" s="403" t="str">
        <f ca="1">IF(SUM($G357:DB357)&gt;=1,"",IF(DC355=0,"",IF(SUM($G355:DC355)&gt;=1,OFFSET(DC$228,-1,0),"")))</f>
        <v/>
      </c>
      <c r="DD357" s="403" t="str">
        <f ca="1">IF(SUM($G357:DC357)&gt;=1,"",IF(DD355=0,"",IF(SUM($G355:DD355)&gt;=1,OFFSET(DD$228,-1,0),"")))</f>
        <v/>
      </c>
      <c r="DE357" s="403" t="str">
        <f ca="1">IF(SUM($G357:DD357)&gt;=1,"",IF(DE355=0,"",IF(SUM($G355:DE355)&gt;=1,OFFSET(DE$228,-1,0),"")))</f>
        <v/>
      </c>
      <c r="DF357" s="403" t="str">
        <f ca="1">IF(SUM($G357:DE357)&gt;=1,"",IF(DF355=0,"",IF(SUM($G355:DF355)&gt;=1,OFFSET(DF$228,-1,0),"")))</f>
        <v/>
      </c>
      <c r="DG357" s="403" t="str">
        <f ca="1">IF(SUM($G357:DF357)&gt;=1,"",IF(DG355=0,"",IF(SUM($G355:DG355)&gt;=1,OFFSET(DG$228,-1,0),"")))</f>
        <v/>
      </c>
      <c r="DH357" s="403" t="str">
        <f ca="1">IF(SUM($G357:DG357)&gt;=1,"",IF(DH355=0,"",IF(SUM($G355:DH355)&gt;=1,OFFSET(DH$228,-1,0),"")))</f>
        <v/>
      </c>
      <c r="DI357" s="403" t="str">
        <f ca="1">IF(SUM($G357:DH357)&gt;=1,"",IF(DI355=0,"",IF(SUM($G355:DI355)&gt;=1,OFFSET(DI$228,-1,0),"")))</f>
        <v/>
      </c>
      <c r="DJ357" s="403" t="str">
        <f ca="1">IF(SUM($G357:DI357)&gt;=1,"",IF(DJ355=0,"",IF(SUM($G355:DJ355)&gt;=1,OFFSET(DJ$228,-1,0),"")))</f>
        <v/>
      </c>
      <c r="DK357" s="403" t="str">
        <f ca="1">IF(SUM($G357:DJ357)&gt;=1,"",IF(DK355=0,"",IF(SUM($G355:DK355)&gt;=1,OFFSET(DK$228,-1,0),"")))</f>
        <v/>
      </c>
      <c r="DL357" s="403" t="str">
        <f ca="1">IF(SUM($G357:DK357)&gt;=1,"",IF(DL355=0,"",IF(SUM($G355:DL355)&gt;=1,OFFSET(DL$228,-1,0),"")))</f>
        <v/>
      </c>
      <c r="DM357" s="403" t="str">
        <f ca="1">IF(SUM($G357:DL357)&gt;=1,"",IF(DM355=0,"",IF(SUM($G355:DM355)&gt;=1,OFFSET(DM$228,-1,0),"")))</f>
        <v/>
      </c>
      <c r="DN357" s="403" t="str">
        <f ca="1">IF(SUM($G357:DM357)&gt;=1,"",IF(DN355=0,"",IF(SUM($G355:DN355)&gt;=1,OFFSET(DN$228,-1,0),"")))</f>
        <v/>
      </c>
      <c r="DO357" s="403" t="str">
        <f ca="1">IF(SUM($G357:DN357)&gt;=1,"",IF(DO355=0,"",IF(SUM($G355:DO355)&gt;=1,OFFSET(DO$228,-1,0),"")))</f>
        <v/>
      </c>
      <c r="DP357" s="403" t="str">
        <f ca="1">IF(SUM($G357:DO357)&gt;=1,"",IF(DP355=0,"",IF(SUM($G355:DP355)&gt;=1,OFFSET(DP$228,-1,0),"")))</f>
        <v/>
      </c>
      <c r="DQ357" s="403" t="str">
        <f ca="1">IF(SUM($G357:DP357)&gt;=1,"",IF(DQ355=0,"",IF(SUM($G355:DQ355)&gt;=1,OFFSET(DQ$228,-1,0),"")))</f>
        <v/>
      </c>
      <c r="DR357" s="403" t="str">
        <f ca="1">IF(SUM($G357:DQ357)&gt;=1,"",IF(DR355=0,"",IF(SUM($G355:DR355)&gt;=1,OFFSET(DR$228,-1,0),"")))</f>
        <v/>
      </c>
      <c r="DS357" s="403" t="str">
        <f ca="1">IF(SUM($G357:DR357)&gt;=1,"",IF(DS355=0,"",IF(SUM($G355:DS355)&gt;=1,OFFSET(DS$228,-1,0),"")))</f>
        <v/>
      </c>
      <c r="DT357" s="403" t="str">
        <f ca="1">IF(SUM($G357:DS357)&gt;=1,"",IF(DT355=0,"",IF(SUM($G355:DT355)&gt;=1,OFFSET(DT$228,-1,0),"")))</f>
        <v/>
      </c>
      <c r="DU357" s="403" t="str">
        <f ca="1">IF(SUM($G357:DT357)&gt;=1,"",IF(DU355=0,"",IF(SUM($G355:DU355)&gt;=1,OFFSET(DU$228,-1,0),"")))</f>
        <v/>
      </c>
      <c r="DV357" s="403" t="str">
        <f ca="1">IF(SUM($G357:DU357)&gt;=1,"",IF(DV355=0,"",IF(SUM($G355:DV355)&gt;=1,OFFSET(DV$228,-1,0),"")))</f>
        <v/>
      </c>
      <c r="DW357" s="403" t="str">
        <f ca="1">IF(SUM($G357:DV357)&gt;=1,"",IF(DW355=0,"",IF(SUM($G355:DW355)&gt;=1,OFFSET(DW$228,-1,0),"")))</f>
        <v/>
      </c>
      <c r="DX357" s="403" t="str">
        <f ca="1">IF(SUM($G357:DW357)&gt;=1,"",IF(DX355=0,"",IF(SUM($G355:DX355)&gt;=1,OFFSET(DX$228,-1,0),"")))</f>
        <v/>
      </c>
      <c r="DY357" s="403" t="str">
        <f ca="1">IF(SUM($G357:DX357)&gt;=1,"",IF(DY355=0,"",IF(SUM($G355:DY355)&gt;=1,OFFSET(DY$228,-1,0),"")))</f>
        <v/>
      </c>
      <c r="DZ357" s="403" t="str">
        <f ca="1">IF(SUM($G357:DY357)&gt;=1,"",IF(DZ355=0,"",IF(SUM($G355:DZ355)&gt;=1,OFFSET(DZ$228,-1,0),"")))</f>
        <v/>
      </c>
      <c r="EA357" s="403" t="str">
        <f ca="1">IF(SUM($G357:DZ357)&gt;=1,"",IF(EA355=0,"",IF(SUM($G355:EA355)&gt;=1,OFFSET(EA$228,-1,0),"")))</f>
        <v/>
      </c>
      <c r="EB357" s="403" t="str">
        <f ca="1">IF(SUM($G357:EA357)&gt;=1,"",IF(EB355=0,"",IF(SUM($G355:EB355)&gt;=1,OFFSET(EB$228,-1,0),"")))</f>
        <v/>
      </c>
      <c r="EC357" s="403" t="str">
        <f ca="1">IF(SUM($G357:EB357)&gt;=1,"",IF(EC355=0,"",IF(SUM($G355:EC355)&gt;=1,OFFSET(EC$228,-1,0),"")))</f>
        <v/>
      </c>
      <c r="ED357" s="403" t="str">
        <f ca="1">IF(SUM($G357:EC357)&gt;=1,"",IF(ED355=0,"",IF(SUM($G355:ED355)&gt;=1,OFFSET(ED$228,-1,0),"")))</f>
        <v/>
      </c>
      <c r="EE357" s="403" t="str">
        <f ca="1">IF(SUM($G357:ED357)&gt;=1,"",IF(EE355=0,"",IF(SUM($G355:EE355)&gt;=1,OFFSET(EE$228,-1,0),"")))</f>
        <v/>
      </c>
      <c r="EF357" s="403" t="str">
        <f ca="1">IF(SUM($G357:EE357)&gt;=1,"",IF(EF355=0,"",IF(SUM($G355:EF355)&gt;=1,OFFSET(EF$228,-1,0),"")))</f>
        <v/>
      </c>
      <c r="EG357" s="403" t="str">
        <f ca="1">IF(SUM($G357:EF357)&gt;=1,"",IF(EG355=0,"",IF(SUM($G355:EG355)&gt;=1,OFFSET(EG$228,-1,0),"")))</f>
        <v/>
      </c>
      <c r="EH357" s="403" t="str">
        <f ca="1">IF(SUM($G357:EG357)&gt;=1,"",IF(EH355=0,"",IF(SUM($G355:EH355)&gt;=1,OFFSET(EH$228,-1,0),"")))</f>
        <v/>
      </c>
      <c r="EI357" s="403" t="str">
        <f ca="1">IF(SUM($G357:EH357)&gt;=1,"",IF(EI355=0,"",IF(SUM($G355:EI355)&gt;=1,OFFSET(EI$228,-1,0),"")))</f>
        <v/>
      </c>
    </row>
    <row r="358" spans="1:141" hidden="1" outlineLevel="2">
      <c r="A358" s="332"/>
      <c r="D358" s="305" t="s">
        <v>671</v>
      </c>
      <c r="E358" s="1002">
        <f ca="1">IF(E355=0,"",MIN(G358:EI358))</f>
        <v>46412.4</v>
      </c>
      <c r="F358" s="1003"/>
      <c r="G358" s="403" t="str">
        <f>IF(G355=0,"",IF(G355=G$3,G357,G$5+H$5-G359-1))</f>
        <v/>
      </c>
      <c r="H358" s="403" t="str">
        <f ca="1">IF(H355=0,"",IF(H355=H$3,H357,H$5+I$5-H359-1))</f>
        <v/>
      </c>
      <c r="I358" s="403" t="str">
        <f t="shared" ref="I358:BT358" ca="1" si="537">IF(I355=0,"",IF(I355=I$3,I357,I$5+J$5-I359-1))</f>
        <v/>
      </c>
      <c r="J358" s="403" t="str">
        <f t="shared" ca="1" si="537"/>
        <v/>
      </c>
      <c r="K358" s="403" t="str">
        <f t="shared" ca="1" si="537"/>
        <v/>
      </c>
      <c r="L358" s="403" t="str">
        <f t="shared" ca="1" si="537"/>
        <v/>
      </c>
      <c r="M358" s="403" t="str">
        <f t="shared" ca="1" si="537"/>
        <v/>
      </c>
      <c r="N358" s="403" t="str">
        <f t="shared" ca="1" si="537"/>
        <v/>
      </c>
      <c r="O358" s="403" t="str">
        <f t="shared" ca="1" si="537"/>
        <v/>
      </c>
      <c r="P358" s="403" t="str">
        <f t="shared" ca="1" si="537"/>
        <v/>
      </c>
      <c r="Q358" s="403" t="str">
        <f t="shared" ca="1" si="537"/>
        <v/>
      </c>
      <c r="R358" s="403" t="str">
        <f t="shared" ca="1" si="537"/>
        <v/>
      </c>
      <c r="S358" s="403" t="str">
        <f t="shared" ca="1" si="537"/>
        <v/>
      </c>
      <c r="T358" s="403" t="str">
        <f t="shared" ca="1" si="537"/>
        <v/>
      </c>
      <c r="U358" s="403" t="str">
        <f t="shared" ca="1" si="537"/>
        <v/>
      </c>
      <c r="V358" s="403" t="str">
        <f t="shared" ca="1" si="537"/>
        <v/>
      </c>
      <c r="W358" s="403" t="str">
        <f t="shared" ca="1" si="537"/>
        <v/>
      </c>
      <c r="X358" s="403" t="str">
        <f t="shared" ca="1" si="537"/>
        <v/>
      </c>
      <c r="Y358" s="403" t="str">
        <f t="shared" ca="1" si="537"/>
        <v/>
      </c>
      <c r="Z358" s="403" t="str">
        <f t="shared" ca="1" si="537"/>
        <v/>
      </c>
      <c r="AA358" s="403" t="str">
        <f t="shared" ca="1" si="537"/>
        <v/>
      </c>
      <c r="AB358" s="403" t="str">
        <f t="shared" ca="1" si="537"/>
        <v/>
      </c>
      <c r="AC358" s="403" t="str">
        <f t="shared" ca="1" si="537"/>
        <v/>
      </c>
      <c r="AD358" s="403" t="str">
        <f t="shared" ca="1" si="537"/>
        <v/>
      </c>
      <c r="AE358" s="403" t="str">
        <f t="shared" ca="1" si="537"/>
        <v/>
      </c>
      <c r="AF358" s="403" t="str">
        <f t="shared" ca="1" si="537"/>
        <v/>
      </c>
      <c r="AG358" s="403" t="str">
        <f t="shared" ca="1" si="537"/>
        <v/>
      </c>
      <c r="AH358" s="403" t="str">
        <f t="shared" ca="1" si="537"/>
        <v/>
      </c>
      <c r="AI358" s="403" t="str">
        <f t="shared" ca="1" si="537"/>
        <v/>
      </c>
      <c r="AJ358" s="403" t="str">
        <f t="shared" ca="1" si="537"/>
        <v/>
      </c>
      <c r="AK358" s="403" t="str">
        <f t="shared" ca="1" si="537"/>
        <v/>
      </c>
      <c r="AL358" s="403" t="str">
        <f t="shared" ca="1" si="537"/>
        <v/>
      </c>
      <c r="AM358" s="403" t="str">
        <f t="shared" ca="1" si="537"/>
        <v/>
      </c>
      <c r="AN358" s="403" t="str">
        <f t="shared" ca="1" si="537"/>
        <v/>
      </c>
      <c r="AO358" s="403" t="str">
        <f t="shared" ca="1" si="537"/>
        <v/>
      </c>
      <c r="AP358" s="403" t="str">
        <f t="shared" ca="1" si="537"/>
        <v/>
      </c>
      <c r="AQ358" s="403" t="str">
        <f t="shared" ca="1" si="537"/>
        <v/>
      </c>
      <c r="AR358" s="403" t="str">
        <f t="shared" ca="1" si="537"/>
        <v/>
      </c>
      <c r="AS358" s="403" t="str">
        <f t="shared" ca="1" si="537"/>
        <v/>
      </c>
      <c r="AT358" s="403" t="str">
        <f t="shared" ca="1" si="537"/>
        <v/>
      </c>
      <c r="AU358" s="403" t="str">
        <f t="shared" ca="1" si="537"/>
        <v/>
      </c>
      <c r="AV358" s="403" t="str">
        <f t="shared" ca="1" si="537"/>
        <v/>
      </c>
      <c r="AW358" s="403" t="str">
        <f t="shared" ca="1" si="537"/>
        <v/>
      </c>
      <c r="AX358" s="403" t="str">
        <f t="shared" ca="1" si="537"/>
        <v/>
      </c>
      <c r="AY358" s="403" t="str">
        <f t="shared" ca="1" si="537"/>
        <v/>
      </c>
      <c r="AZ358" s="403" t="str">
        <f t="shared" ca="1" si="537"/>
        <v/>
      </c>
      <c r="BA358" s="403">
        <f t="shared" ca="1" si="537"/>
        <v>46412.4</v>
      </c>
      <c r="BB358" s="403" t="str">
        <f t="shared" ca="1" si="537"/>
        <v/>
      </c>
      <c r="BC358" s="403" t="str">
        <f t="shared" ca="1" si="537"/>
        <v/>
      </c>
      <c r="BD358" s="403" t="str">
        <f t="shared" ca="1" si="537"/>
        <v/>
      </c>
      <c r="BE358" s="403" t="str">
        <f t="shared" ca="1" si="537"/>
        <v/>
      </c>
      <c r="BF358" s="403" t="str">
        <f t="shared" ca="1" si="537"/>
        <v/>
      </c>
      <c r="BG358" s="403">
        <f t="shared" ca="1" si="537"/>
        <v>46576.6</v>
      </c>
      <c r="BH358" s="403" t="str">
        <f t="shared" ca="1" si="537"/>
        <v/>
      </c>
      <c r="BI358" s="403" t="str">
        <f t="shared" ca="1" si="537"/>
        <v/>
      </c>
      <c r="BJ358" s="403" t="str">
        <f t="shared" ca="1" si="537"/>
        <v/>
      </c>
      <c r="BK358" s="403" t="str">
        <f t="shared" ca="1" si="537"/>
        <v/>
      </c>
      <c r="BL358" s="403" t="str">
        <f t="shared" ca="1" si="537"/>
        <v/>
      </c>
      <c r="BM358" s="403" t="str">
        <f t="shared" ca="1" si="537"/>
        <v/>
      </c>
      <c r="BN358" s="403" t="str">
        <f t="shared" ca="1" si="537"/>
        <v/>
      </c>
      <c r="BO358" s="403" t="str">
        <f t="shared" ca="1" si="537"/>
        <v/>
      </c>
      <c r="BP358" s="403" t="str">
        <f t="shared" ca="1" si="537"/>
        <v/>
      </c>
      <c r="BQ358" s="403" t="str">
        <f t="shared" ca="1" si="537"/>
        <v/>
      </c>
      <c r="BR358" s="403" t="str">
        <f t="shared" ca="1" si="537"/>
        <v/>
      </c>
      <c r="BS358" s="403" t="str">
        <f t="shared" ca="1" si="537"/>
        <v/>
      </c>
      <c r="BT358" s="403" t="str">
        <f t="shared" ca="1" si="537"/>
        <v/>
      </c>
      <c r="BU358" s="403" t="str">
        <f t="shared" ref="BU358:EF358" ca="1" si="538">IF(BU355=0,"",IF(BU355=BU$3,BU357,BU$5+BV$5-BU359-1))</f>
        <v/>
      </c>
      <c r="BV358" s="403" t="str">
        <f t="shared" ca="1" si="538"/>
        <v/>
      </c>
      <c r="BW358" s="403" t="str">
        <f t="shared" ca="1" si="538"/>
        <v/>
      </c>
      <c r="BX358" s="403" t="str">
        <f t="shared" ca="1" si="538"/>
        <v/>
      </c>
      <c r="BY358" s="403" t="str">
        <f t="shared" ca="1" si="538"/>
        <v/>
      </c>
      <c r="BZ358" s="403" t="str">
        <f t="shared" ca="1" si="538"/>
        <v/>
      </c>
      <c r="CA358" s="403" t="str">
        <f t="shared" ca="1" si="538"/>
        <v/>
      </c>
      <c r="CB358" s="403" t="str">
        <f t="shared" ca="1" si="538"/>
        <v/>
      </c>
      <c r="CC358" s="403" t="str">
        <f t="shared" ca="1" si="538"/>
        <v/>
      </c>
      <c r="CD358" s="403" t="str">
        <f t="shared" ca="1" si="538"/>
        <v/>
      </c>
      <c r="CE358" s="403" t="str">
        <f t="shared" ca="1" si="538"/>
        <v/>
      </c>
      <c r="CF358" s="403" t="str">
        <f t="shared" ca="1" si="538"/>
        <v/>
      </c>
      <c r="CG358" s="403" t="str">
        <f t="shared" ca="1" si="538"/>
        <v/>
      </c>
      <c r="CH358" s="403" t="str">
        <f t="shared" ca="1" si="538"/>
        <v/>
      </c>
      <c r="CI358" s="403" t="str">
        <f t="shared" ca="1" si="538"/>
        <v/>
      </c>
      <c r="CJ358" s="403" t="str">
        <f t="shared" ca="1" si="538"/>
        <v/>
      </c>
      <c r="CK358" s="403" t="str">
        <f t="shared" ca="1" si="538"/>
        <v/>
      </c>
      <c r="CL358" s="403" t="str">
        <f t="shared" ca="1" si="538"/>
        <v/>
      </c>
      <c r="CM358" s="403" t="str">
        <f t="shared" ca="1" si="538"/>
        <v/>
      </c>
      <c r="CN358" s="403" t="str">
        <f t="shared" ca="1" si="538"/>
        <v/>
      </c>
      <c r="CO358" s="403" t="str">
        <f t="shared" ca="1" si="538"/>
        <v/>
      </c>
      <c r="CP358" s="403" t="str">
        <f t="shared" ca="1" si="538"/>
        <v/>
      </c>
      <c r="CQ358" s="403" t="str">
        <f t="shared" ca="1" si="538"/>
        <v/>
      </c>
      <c r="CR358" s="403" t="str">
        <f t="shared" ca="1" si="538"/>
        <v/>
      </c>
      <c r="CS358" s="403" t="str">
        <f t="shared" ca="1" si="538"/>
        <v/>
      </c>
      <c r="CT358" s="403" t="str">
        <f t="shared" ca="1" si="538"/>
        <v/>
      </c>
      <c r="CU358" s="403" t="str">
        <f t="shared" ca="1" si="538"/>
        <v/>
      </c>
      <c r="CV358" s="403" t="str">
        <f t="shared" ca="1" si="538"/>
        <v/>
      </c>
      <c r="CW358" s="403" t="str">
        <f t="shared" ca="1" si="538"/>
        <v/>
      </c>
      <c r="CX358" s="403" t="str">
        <f t="shared" ca="1" si="538"/>
        <v/>
      </c>
      <c r="CY358" s="403" t="str">
        <f t="shared" ca="1" si="538"/>
        <v/>
      </c>
      <c r="CZ358" s="403" t="str">
        <f t="shared" ca="1" si="538"/>
        <v/>
      </c>
      <c r="DA358" s="403" t="str">
        <f t="shared" ca="1" si="538"/>
        <v/>
      </c>
      <c r="DB358" s="403" t="str">
        <f t="shared" ca="1" si="538"/>
        <v/>
      </c>
      <c r="DC358" s="403" t="str">
        <f t="shared" ca="1" si="538"/>
        <v/>
      </c>
      <c r="DD358" s="403" t="str">
        <f t="shared" ca="1" si="538"/>
        <v/>
      </c>
      <c r="DE358" s="403" t="str">
        <f t="shared" ca="1" si="538"/>
        <v/>
      </c>
      <c r="DF358" s="403" t="str">
        <f t="shared" ca="1" si="538"/>
        <v/>
      </c>
      <c r="DG358" s="403" t="str">
        <f t="shared" ca="1" si="538"/>
        <v/>
      </c>
      <c r="DH358" s="403" t="str">
        <f t="shared" ca="1" si="538"/>
        <v/>
      </c>
      <c r="DI358" s="403" t="str">
        <f t="shared" ca="1" si="538"/>
        <v/>
      </c>
      <c r="DJ358" s="403" t="str">
        <f t="shared" ca="1" si="538"/>
        <v/>
      </c>
      <c r="DK358" s="403" t="str">
        <f t="shared" ca="1" si="538"/>
        <v/>
      </c>
      <c r="DL358" s="403" t="str">
        <f t="shared" ca="1" si="538"/>
        <v/>
      </c>
      <c r="DM358" s="403" t="str">
        <f t="shared" ca="1" si="538"/>
        <v/>
      </c>
      <c r="DN358" s="403" t="str">
        <f t="shared" ca="1" si="538"/>
        <v/>
      </c>
      <c r="DO358" s="403" t="str">
        <f t="shared" ca="1" si="538"/>
        <v/>
      </c>
      <c r="DP358" s="403" t="str">
        <f t="shared" ca="1" si="538"/>
        <v/>
      </c>
      <c r="DQ358" s="403" t="str">
        <f t="shared" ca="1" si="538"/>
        <v/>
      </c>
      <c r="DR358" s="403" t="str">
        <f t="shared" ca="1" si="538"/>
        <v/>
      </c>
      <c r="DS358" s="403" t="str">
        <f t="shared" ca="1" si="538"/>
        <v/>
      </c>
      <c r="DT358" s="403" t="str">
        <f t="shared" ca="1" si="538"/>
        <v/>
      </c>
      <c r="DU358" s="403" t="str">
        <f t="shared" ca="1" si="538"/>
        <v/>
      </c>
      <c r="DV358" s="403" t="str">
        <f t="shared" ca="1" si="538"/>
        <v/>
      </c>
      <c r="DW358" s="403" t="str">
        <f t="shared" ca="1" si="538"/>
        <v/>
      </c>
      <c r="DX358" s="403" t="str">
        <f t="shared" ca="1" si="538"/>
        <v/>
      </c>
      <c r="DY358" s="403" t="str">
        <f t="shared" ca="1" si="538"/>
        <v/>
      </c>
      <c r="DZ358" s="403" t="str">
        <f t="shared" ca="1" si="538"/>
        <v/>
      </c>
      <c r="EA358" s="403" t="str">
        <f t="shared" ca="1" si="538"/>
        <v/>
      </c>
      <c r="EB358" s="403" t="str">
        <f t="shared" ca="1" si="538"/>
        <v/>
      </c>
      <c r="EC358" s="403" t="str">
        <f t="shared" ca="1" si="538"/>
        <v/>
      </c>
      <c r="ED358" s="403" t="str">
        <f t="shared" ca="1" si="538"/>
        <v/>
      </c>
      <c r="EE358" s="403" t="str">
        <f t="shared" ca="1" si="538"/>
        <v/>
      </c>
      <c r="EF358" s="403" t="str">
        <f t="shared" ca="1" si="538"/>
        <v/>
      </c>
      <c r="EG358" s="403" t="str">
        <f t="shared" ref="EG358:EI358" ca="1" si="539">IF(EG355=0,"",IF(EG355=EG$3,EG357,EG$5+EH$5-EG359-1))</f>
        <v/>
      </c>
      <c r="EH358" s="403" t="str">
        <f t="shared" ca="1" si="539"/>
        <v/>
      </c>
      <c r="EI358" s="403" t="str">
        <f t="shared" ca="1" si="539"/>
        <v/>
      </c>
    </row>
    <row r="359" spans="1:141" hidden="1" outlineLevel="2">
      <c r="A359" s="332"/>
      <c r="D359" s="305" t="s">
        <v>672</v>
      </c>
      <c r="E359" s="1002">
        <f ca="1">IF(E355=0,"",MAX(G359:EI359))</f>
        <v>46591.4</v>
      </c>
      <c r="F359" s="1003"/>
      <c r="G359" s="403">
        <f ca="1">IF(SUM(G355:$EI355)=0,"",IF(G$227="","",G$227+G355-1))</f>
        <v>44985</v>
      </c>
      <c r="H359" s="403">
        <f ca="1">IF(SUM(H355:$EI355)=0,"",IF(H$227="","",H$227+H355-1))</f>
        <v>45016</v>
      </c>
      <c r="I359" s="403">
        <f ca="1">IF(SUM(I355:$EI355)=0,"",IF(I$227="","",I$227+I355-1))</f>
        <v>45046</v>
      </c>
      <c r="J359" s="403">
        <f ca="1">IF(SUM(J355:$EI355)=0,"",IF(J$227="","",J$227+J355-1))</f>
        <v>45077</v>
      </c>
      <c r="K359" s="403">
        <f ca="1">IF(SUM(K355:$EI355)=0,"",IF(K$227="","",K$227+K355-1))</f>
        <v>45107</v>
      </c>
      <c r="L359" s="403">
        <f ca="1">IF(SUM(L355:$EI355)=0,"",IF(L$227="","",L$227+L355-1))</f>
        <v>45138</v>
      </c>
      <c r="M359" s="403">
        <f ca="1">IF(SUM(M355:$EI355)=0,"",IF(M$227="","",M$227+M355-1))</f>
        <v>45169</v>
      </c>
      <c r="N359" s="403">
        <f ca="1">IF(SUM(N355:$EI355)=0,"",IF(N$227="","",N$227+N355-1))</f>
        <v>45199</v>
      </c>
      <c r="O359" s="403">
        <f ca="1">IF(SUM(O355:$EI355)=0,"",IF(O$227="","",O$227+O355-1))</f>
        <v>45230</v>
      </c>
      <c r="P359" s="403">
        <f ca="1">IF(SUM(P355:$EI355)=0,"",IF(P$227="","",P$227+P355-1))</f>
        <v>45260</v>
      </c>
      <c r="Q359" s="403">
        <f ca="1">IF(SUM(Q355:$EI355)=0,"",IF(Q$227="","",Q$227+Q355-1))</f>
        <v>45291</v>
      </c>
      <c r="R359" s="403">
        <f ca="1">IF(SUM(R355:$EI355)=0,"",IF(R$227="","",R$227+R355-1))</f>
        <v>45322</v>
      </c>
      <c r="S359" s="403">
        <f ca="1">IF(SUM(S355:$EI355)=0,"",IF(S$227="","",S$227+S355-1))</f>
        <v>45351</v>
      </c>
      <c r="T359" s="403">
        <f ca="1">IF(SUM(T355:$EI355)=0,"",IF(T$227="","",T$227+T355-1))</f>
        <v>45382</v>
      </c>
      <c r="U359" s="403">
        <f ca="1">IF(SUM(U355:$EI355)=0,"",IF(U$227="","",U$227+U355-1))</f>
        <v>45412</v>
      </c>
      <c r="V359" s="403">
        <f ca="1">IF(SUM(V355:$EI355)=0,"",IF(V$227="","",V$227+V355-1))</f>
        <v>45443</v>
      </c>
      <c r="W359" s="403">
        <f ca="1">IF(SUM(W355:$EI355)=0,"",IF(W$227="","",W$227+W355-1))</f>
        <v>45473</v>
      </c>
      <c r="X359" s="403">
        <f ca="1">IF(SUM(X355:$EI355)=0,"",IF(X$227="","",X$227+X355-1))</f>
        <v>45504</v>
      </c>
      <c r="Y359" s="403">
        <f ca="1">IF(SUM(Y355:$EI355)=0,"",IF(Y$227="","",Y$227+Y355-1))</f>
        <v>45535</v>
      </c>
      <c r="Z359" s="403">
        <f ca="1">IF(SUM(Z355:$EI355)=0,"",IF(Z$227="","",Z$227+Z355-1))</f>
        <v>45565</v>
      </c>
      <c r="AA359" s="403">
        <f ca="1">IF(SUM(AA355:$EI355)=0,"",IF(AA$227="","",AA$227+AA355-1))</f>
        <v>45596</v>
      </c>
      <c r="AB359" s="403">
        <f ca="1">IF(SUM(AB355:$EI355)=0,"",IF(AB$227="","",AB$227+AB355-1))</f>
        <v>45626</v>
      </c>
      <c r="AC359" s="403">
        <f ca="1">IF(SUM(AC355:$EI355)=0,"",IF(AC$227="","",AC$227+AC355-1))</f>
        <v>45657</v>
      </c>
      <c r="AD359" s="403">
        <f ca="1">IF(SUM(AD355:$EI355)=0,"",IF(AD$227="","",AD$227+AD355-1))</f>
        <v>45688</v>
      </c>
      <c r="AE359" s="403">
        <f ca="1">IF(SUM(AE355:$EI355)=0,"",IF(AE$227="","",AE$227+AE355-1))</f>
        <v>45716</v>
      </c>
      <c r="AF359" s="403">
        <f ca="1">IF(SUM(AF355:$EI355)=0,"",IF(AF$227="","",AF$227+AF355-1))</f>
        <v>45747</v>
      </c>
      <c r="AG359" s="403">
        <f ca="1">IF(SUM(AG355:$EI355)=0,"",IF(AG$227="","",AG$227+AG355-1))</f>
        <v>45777</v>
      </c>
      <c r="AH359" s="403">
        <f ca="1">IF(SUM(AH355:$EI355)=0,"",IF(AH$227="","",AH$227+AH355-1))</f>
        <v>45808</v>
      </c>
      <c r="AI359" s="403">
        <f ca="1">IF(SUM(AI355:$EI355)=0,"",IF(AI$227="","",AI$227+AI355-1))</f>
        <v>45838</v>
      </c>
      <c r="AJ359" s="403">
        <f ca="1">IF(SUM(AJ355:$EI355)=0,"",IF(AJ$227="","",AJ$227+AJ355-1))</f>
        <v>45869</v>
      </c>
      <c r="AK359" s="403">
        <f ca="1">IF(SUM(AK355:$EI355)=0,"",IF(AK$227="","",AK$227+AK355-1))</f>
        <v>45900</v>
      </c>
      <c r="AL359" s="403">
        <f ca="1">IF(SUM(AL355:$EI355)=0,"",IF(AL$227="","",AL$227+AL355-1))</f>
        <v>45930</v>
      </c>
      <c r="AM359" s="403">
        <f ca="1">IF(SUM(AM355:$EI355)=0,"",IF(AM$227="","",AM$227+AM355-1))</f>
        <v>45961</v>
      </c>
      <c r="AN359" s="403">
        <f ca="1">IF(SUM(AN355:$EI355)=0,"",IF(AN$227="","",AN$227+AN355-1))</f>
        <v>45991</v>
      </c>
      <c r="AO359" s="403">
        <f ca="1">IF(SUM(AO355:$EI355)=0,"",IF(AO$227="","",AO$227+AO355-1))</f>
        <v>46022</v>
      </c>
      <c r="AP359" s="403">
        <f ca="1">IF(SUM(AP355:$EI355)=0,"",IF(AP$227="","",AP$227+AP355-1))</f>
        <v>46053</v>
      </c>
      <c r="AQ359" s="403">
        <f ca="1">IF(SUM(AQ355:$EI355)=0,"",IF(AQ$227="","",AQ$227+AQ355-1))</f>
        <v>46081</v>
      </c>
      <c r="AR359" s="403">
        <f ca="1">IF(SUM(AR355:$EI355)=0,"",IF(AR$227="","",AR$227+AR355-1))</f>
        <v>46112</v>
      </c>
      <c r="AS359" s="403">
        <f ca="1">IF(SUM(AS355:$EI355)=0,"",IF(AS$227="","",AS$227+AS355-1))</f>
        <v>46142</v>
      </c>
      <c r="AT359" s="403">
        <f ca="1">IF(SUM(AT355:$EI355)=0,"",IF(AT$227="","",AT$227+AT355-1))</f>
        <v>46173</v>
      </c>
      <c r="AU359" s="403">
        <f ca="1">IF(SUM(AU355:$EI355)=0,"",IF(AU$227="","",AU$227+AU355-1))</f>
        <v>46203</v>
      </c>
      <c r="AV359" s="403">
        <f ca="1">IF(SUM(AV355:$EI355)=0,"",IF(AV$227="","",AV$227+AV355-1))</f>
        <v>46234</v>
      </c>
      <c r="AW359" s="403">
        <f ca="1">IF(SUM(AW355:$EI355)=0,"",IF(AW$227="","",AW$227+AW355-1))</f>
        <v>46265</v>
      </c>
      <c r="AX359" s="403">
        <f ca="1">IF(SUM(AX355:$EI355)=0,"",IF(AX$227="","",AX$227+AX355-1))</f>
        <v>46295</v>
      </c>
      <c r="AY359" s="403">
        <f ca="1">IF(SUM(AY355:$EI355)=0,"",IF(AY$227="","",AY$227+AY355-1))</f>
        <v>46326</v>
      </c>
      <c r="AZ359" s="403">
        <f ca="1">IF(SUM(AZ355:$EI355)=0,"",IF(AZ$227="","",AZ$227+AZ355-1))</f>
        <v>46356</v>
      </c>
      <c r="BA359" s="403">
        <f ca="1">IF(SUM(BA355:$EI355)=0,"",IF(BA$227="","",BA$227+BA355-1))</f>
        <v>46393.599999999999</v>
      </c>
      <c r="BB359" s="403">
        <f ca="1">IF(SUM(BB355:$EI355)=0,"",IF(BB$227="","",BB$227+BB355-1))</f>
        <v>46446</v>
      </c>
      <c r="BC359" s="403">
        <f ca="1">IF(SUM(BC355:$EI355)=0,"",IF(BC$227="","",BC$227+BC355-1))</f>
        <v>46477</v>
      </c>
      <c r="BD359" s="403">
        <f ca="1">IF(SUM(BD355:$EI355)=0,"",IF(BD$227="","",BD$227+BD355-1))</f>
        <v>46507</v>
      </c>
      <c r="BE359" s="403">
        <f ca="1">IF(SUM(BE355:$EI355)=0,"",IF(BE$227="","",BE$227+BE355-1))</f>
        <v>46538</v>
      </c>
      <c r="BF359" s="403">
        <f ca="1">IF(SUM(BF355:$EI355)=0,"",IF(BF$227="","",BF$227+BF355-1))</f>
        <v>46568</v>
      </c>
      <c r="BG359" s="403">
        <f ca="1">IF(SUM(BG355:$EI355)=0,"",IF(BG$227="","",BG$227+BG355-1))</f>
        <v>46591.4</v>
      </c>
      <c r="BH359" s="403" t="str">
        <f ca="1">IF(SUM(BH355:$EI355)=0,"",IF(BH$227="","",BH$227+BH355-1))</f>
        <v/>
      </c>
      <c r="BI359" s="403" t="str">
        <f ca="1">IF(SUM(BI355:$EI355)=0,"",IF(BI$227="","",BI$227+BI355-1))</f>
        <v/>
      </c>
      <c r="BJ359" s="403" t="str">
        <f ca="1">IF(SUM(BJ355:$EI355)=0,"",IF(BJ$227="","",BJ$227+BJ355-1))</f>
        <v/>
      </c>
      <c r="BK359" s="403" t="str">
        <f ca="1">IF(SUM(BK355:$EI355)=0,"",IF(BK$227="","",BK$227+BK355-1))</f>
        <v/>
      </c>
      <c r="BL359" s="403" t="str">
        <f ca="1">IF(SUM(BL355:$EI355)=0,"",IF(BL$227="","",BL$227+BL355-1))</f>
        <v/>
      </c>
      <c r="BM359" s="403" t="str">
        <f ca="1">IF(SUM(BM355:$EI355)=0,"",IF(BM$227="","",BM$227+BM355-1))</f>
        <v/>
      </c>
      <c r="BN359" s="403" t="str">
        <f ca="1">IF(SUM(BN355:$EI355)=0,"",IF(BN$227="","",BN$227+BN355-1))</f>
        <v/>
      </c>
      <c r="BO359" s="403" t="str">
        <f ca="1">IF(SUM(BO355:$EI355)=0,"",IF(BO$227="","",BO$227+BO355-1))</f>
        <v/>
      </c>
      <c r="BP359" s="403" t="str">
        <f ca="1">IF(SUM(BP355:$EI355)=0,"",IF(BP$227="","",BP$227+BP355-1))</f>
        <v/>
      </c>
      <c r="BQ359" s="403" t="str">
        <f ca="1">IF(SUM(BQ355:$EI355)=0,"",IF(BQ$227="","",BQ$227+BQ355-1))</f>
        <v/>
      </c>
      <c r="BR359" s="403" t="str">
        <f ca="1">IF(SUM(BR355:$EI355)=0,"",IF(BR$227="","",BR$227+BR355-1))</f>
        <v/>
      </c>
      <c r="BS359" s="403" t="str">
        <f ca="1">IF(SUM(BS355:$EI355)=0,"",IF(BS$227="","",BS$227+BS355-1))</f>
        <v/>
      </c>
      <c r="BT359" s="403" t="str">
        <f ca="1">IF(SUM(BT355:$EI355)=0,"",IF(BT$227="","",BT$227+BT355-1))</f>
        <v/>
      </c>
      <c r="BU359" s="403" t="str">
        <f ca="1">IF(SUM(BU355:$EI355)=0,"",IF(BU$227="","",BU$227+BU355-1))</f>
        <v/>
      </c>
      <c r="BV359" s="403" t="str">
        <f ca="1">IF(SUM(BV355:$EI355)=0,"",IF(BV$227="","",BV$227+BV355-1))</f>
        <v/>
      </c>
      <c r="BW359" s="403" t="str">
        <f ca="1">IF(SUM(BW355:$EI355)=0,"",IF(BW$227="","",BW$227+BW355-1))</f>
        <v/>
      </c>
      <c r="BX359" s="403" t="str">
        <f ca="1">IF(SUM(BX355:$EI355)=0,"",IF(BX$227="","",BX$227+BX355-1))</f>
        <v/>
      </c>
      <c r="BY359" s="403" t="str">
        <f ca="1">IF(SUM(BY355:$EI355)=0,"",IF(BY$227="","",BY$227+BY355-1))</f>
        <v/>
      </c>
      <c r="BZ359" s="403" t="str">
        <f ca="1">IF(SUM(BZ355:$EI355)=0,"",IF(BZ$227="","",BZ$227+BZ355-1))</f>
        <v/>
      </c>
      <c r="CA359" s="403" t="str">
        <f ca="1">IF(SUM(CA355:$EI355)=0,"",IF(CA$227="","",CA$227+CA355-1))</f>
        <v/>
      </c>
      <c r="CB359" s="403" t="str">
        <f ca="1">IF(SUM(CB355:$EI355)=0,"",IF(CB$227="","",CB$227+CB355-1))</f>
        <v/>
      </c>
      <c r="CC359" s="403" t="str">
        <f ca="1">IF(SUM(CC355:$EI355)=0,"",IF(CC$227="","",CC$227+CC355-1))</f>
        <v/>
      </c>
      <c r="CD359" s="403" t="str">
        <f ca="1">IF(SUM(CD355:$EI355)=0,"",IF(CD$227="","",CD$227+CD355-1))</f>
        <v/>
      </c>
      <c r="CE359" s="403" t="str">
        <f ca="1">IF(SUM(CE355:$EI355)=0,"",IF(CE$227="","",CE$227+CE355-1))</f>
        <v/>
      </c>
      <c r="CF359" s="403" t="str">
        <f ca="1">IF(SUM(CF355:$EI355)=0,"",IF(CF$227="","",CF$227+CF355-1))</f>
        <v/>
      </c>
      <c r="CG359" s="403" t="str">
        <f ca="1">IF(SUM(CG355:$EI355)=0,"",IF(CG$227="","",CG$227+CG355-1))</f>
        <v/>
      </c>
      <c r="CH359" s="403" t="str">
        <f ca="1">IF(SUM(CH355:$EI355)=0,"",IF(CH$227="","",CH$227+CH355-1))</f>
        <v/>
      </c>
      <c r="CI359" s="403" t="str">
        <f ca="1">IF(SUM(CI355:$EI355)=0,"",IF(CI$227="","",CI$227+CI355-1))</f>
        <v/>
      </c>
      <c r="CJ359" s="403" t="str">
        <f ca="1">IF(SUM(CJ355:$EI355)=0,"",IF(CJ$227="","",CJ$227+CJ355-1))</f>
        <v/>
      </c>
      <c r="CK359" s="403" t="str">
        <f ca="1">IF(SUM(CK355:$EI355)=0,"",IF(CK$227="","",CK$227+CK355-1))</f>
        <v/>
      </c>
      <c r="CL359" s="403" t="str">
        <f ca="1">IF(SUM(CL355:$EI355)=0,"",IF(CL$227="","",CL$227+CL355-1))</f>
        <v/>
      </c>
      <c r="CM359" s="403" t="str">
        <f ca="1">IF(SUM(CM355:$EI355)=0,"",IF(CM$227="","",CM$227+CM355-1))</f>
        <v/>
      </c>
      <c r="CN359" s="403" t="str">
        <f ca="1">IF(SUM(CN355:$EI355)=0,"",IF(CN$227="","",CN$227+CN355-1))</f>
        <v/>
      </c>
      <c r="CO359" s="403" t="str">
        <f ca="1">IF(SUM(CO355:$EI355)=0,"",IF(CO$227="","",CO$227+CO355-1))</f>
        <v/>
      </c>
      <c r="CP359" s="403" t="str">
        <f ca="1">IF(SUM(CP355:$EI355)=0,"",IF(CP$227="","",CP$227+CP355-1))</f>
        <v/>
      </c>
      <c r="CQ359" s="403" t="str">
        <f ca="1">IF(SUM(CQ355:$EI355)=0,"",IF(CQ$227="","",CQ$227+CQ355-1))</f>
        <v/>
      </c>
      <c r="CR359" s="403" t="str">
        <f ca="1">IF(SUM(CR355:$EI355)=0,"",IF(CR$227="","",CR$227+CR355-1))</f>
        <v/>
      </c>
      <c r="CS359" s="403" t="str">
        <f ca="1">IF(SUM(CS355:$EI355)=0,"",IF(CS$227="","",CS$227+CS355-1))</f>
        <v/>
      </c>
      <c r="CT359" s="403" t="str">
        <f ca="1">IF(SUM(CT355:$EI355)=0,"",IF(CT$227="","",CT$227+CT355-1))</f>
        <v/>
      </c>
      <c r="CU359" s="403" t="str">
        <f ca="1">IF(SUM(CU355:$EI355)=0,"",IF(CU$227="","",CU$227+CU355-1))</f>
        <v/>
      </c>
      <c r="CV359" s="403" t="str">
        <f ca="1">IF(SUM(CV355:$EI355)=0,"",IF(CV$227="","",CV$227+CV355-1))</f>
        <v/>
      </c>
      <c r="CW359" s="403" t="str">
        <f ca="1">IF(SUM(CW355:$EI355)=0,"",IF(CW$227="","",CW$227+CW355-1))</f>
        <v/>
      </c>
      <c r="CX359" s="403" t="str">
        <f ca="1">IF(SUM(CX355:$EI355)=0,"",IF(CX$227="","",CX$227+CX355-1))</f>
        <v/>
      </c>
      <c r="CY359" s="403" t="str">
        <f ca="1">IF(SUM(CY355:$EI355)=0,"",IF(CY$227="","",CY$227+CY355-1))</f>
        <v/>
      </c>
      <c r="CZ359" s="403" t="str">
        <f ca="1">IF(SUM(CZ355:$EI355)=0,"",IF(CZ$227="","",CZ$227+CZ355-1))</f>
        <v/>
      </c>
      <c r="DA359" s="403" t="str">
        <f ca="1">IF(SUM(DA355:$EI355)=0,"",IF(DA$227="","",DA$227+DA355-1))</f>
        <v/>
      </c>
      <c r="DB359" s="403" t="str">
        <f ca="1">IF(SUM(DB355:$EI355)=0,"",IF(DB$227="","",DB$227+DB355-1))</f>
        <v/>
      </c>
      <c r="DC359" s="403" t="str">
        <f ca="1">IF(SUM(DC355:$EI355)=0,"",IF(DC$227="","",DC$227+DC355-1))</f>
        <v/>
      </c>
      <c r="DD359" s="403" t="str">
        <f ca="1">IF(SUM(DD355:$EI355)=0,"",IF(DD$227="","",DD$227+DD355-1))</f>
        <v/>
      </c>
      <c r="DE359" s="403" t="str">
        <f ca="1">IF(SUM(DE355:$EI355)=0,"",IF(DE$227="","",DE$227+DE355-1))</f>
        <v/>
      </c>
      <c r="DF359" s="403" t="str">
        <f ca="1">IF(SUM(DF355:$EI355)=0,"",IF(DF$227="","",DF$227+DF355-1))</f>
        <v/>
      </c>
      <c r="DG359" s="403" t="str">
        <f ca="1">IF(SUM(DG355:$EI355)=0,"",IF(DG$227="","",DG$227+DG355-1))</f>
        <v/>
      </c>
      <c r="DH359" s="403" t="str">
        <f ca="1">IF(SUM(DH355:$EI355)=0,"",IF(DH$227="","",DH$227+DH355-1))</f>
        <v/>
      </c>
      <c r="DI359" s="403" t="str">
        <f ca="1">IF(SUM(DI355:$EI355)=0,"",IF(DI$227="","",DI$227+DI355-1))</f>
        <v/>
      </c>
      <c r="DJ359" s="403" t="str">
        <f ca="1">IF(SUM(DJ355:$EI355)=0,"",IF(DJ$227="","",DJ$227+DJ355-1))</f>
        <v/>
      </c>
      <c r="DK359" s="403" t="str">
        <f ca="1">IF(SUM(DK355:$EI355)=0,"",IF(DK$227="","",DK$227+DK355-1))</f>
        <v/>
      </c>
      <c r="DL359" s="403" t="str">
        <f ca="1">IF(SUM(DL355:$EI355)=0,"",IF(DL$227="","",DL$227+DL355-1))</f>
        <v/>
      </c>
      <c r="DM359" s="403" t="str">
        <f ca="1">IF(SUM(DM355:$EI355)=0,"",IF(DM$227="","",DM$227+DM355-1))</f>
        <v/>
      </c>
      <c r="DN359" s="403" t="str">
        <f ca="1">IF(SUM(DN355:$EI355)=0,"",IF(DN$227="","",DN$227+DN355-1))</f>
        <v/>
      </c>
      <c r="DO359" s="403" t="str">
        <f ca="1">IF(SUM(DO355:$EI355)=0,"",IF(DO$227="","",DO$227+DO355-1))</f>
        <v/>
      </c>
      <c r="DP359" s="403" t="str">
        <f ca="1">IF(SUM(DP355:$EI355)=0,"",IF(DP$227="","",DP$227+DP355-1))</f>
        <v/>
      </c>
      <c r="DQ359" s="403" t="str">
        <f ca="1">IF(SUM(DQ355:$EI355)=0,"",IF(DQ$227="","",DQ$227+DQ355-1))</f>
        <v/>
      </c>
      <c r="DR359" s="403" t="str">
        <f ca="1">IF(SUM(DR355:$EI355)=0,"",IF(DR$227="","",DR$227+DR355-1))</f>
        <v/>
      </c>
      <c r="DS359" s="403" t="str">
        <f ca="1">IF(SUM(DS355:$EI355)=0,"",IF(DS$227="","",DS$227+DS355-1))</f>
        <v/>
      </c>
      <c r="DT359" s="403" t="str">
        <f ca="1">IF(SUM(DT355:$EI355)=0,"",IF(DT$227="","",DT$227+DT355-1))</f>
        <v/>
      </c>
      <c r="DU359" s="403" t="str">
        <f ca="1">IF(SUM(DU355:$EI355)=0,"",IF(DU$227="","",DU$227+DU355-1))</f>
        <v/>
      </c>
      <c r="DV359" s="403" t="str">
        <f ca="1">IF(SUM(DV355:$EI355)=0,"",IF(DV$227="","",DV$227+DV355-1))</f>
        <v/>
      </c>
      <c r="DW359" s="403" t="str">
        <f ca="1">IF(SUM(DW355:$EI355)=0,"",IF(DW$227="","",DW$227+DW355-1))</f>
        <v/>
      </c>
      <c r="DX359" s="403" t="str">
        <f ca="1">IF(SUM(DX355:$EI355)=0,"",IF(DX$227="","",DX$227+DX355-1))</f>
        <v/>
      </c>
      <c r="DY359" s="403" t="str">
        <f ca="1">IF(SUM(DY355:$EI355)=0,"",IF(DY$227="","",DY$227+DY355-1))</f>
        <v/>
      </c>
      <c r="DZ359" s="403" t="str">
        <f ca="1">IF(SUM(DZ355:$EI355)=0,"",IF(DZ$227="","",DZ$227+DZ355-1))</f>
        <v/>
      </c>
      <c r="EA359" s="403" t="str">
        <f ca="1">IF(SUM(EA355:$EI355)=0,"",IF(EA$227="","",EA$227+EA355-1))</f>
        <v/>
      </c>
      <c r="EB359" s="403" t="str">
        <f ca="1">IF(SUM(EB355:$EI355)=0,"",IF(EB$227="","",EB$227+EB355-1))</f>
        <v/>
      </c>
      <c r="EC359" s="403" t="str">
        <f ca="1">IF(SUM(EC355:$EI355)=0,"",IF(EC$227="","",EC$227+EC355-1))</f>
        <v/>
      </c>
      <c r="ED359" s="403" t="str">
        <f ca="1">IF(SUM(ED355:$EI355)=0,"",IF(ED$227="","",ED$227+ED355-1))</f>
        <v/>
      </c>
      <c r="EE359" s="403" t="str">
        <f ca="1">IF(SUM(EE355:$EI355)=0,"",IF(EE$227="","",EE$227+EE355-1))</f>
        <v/>
      </c>
      <c r="EF359" s="403" t="str">
        <f ca="1">IF(SUM(EF355:$EI355)=0,"",IF(EF$227="","",EF$227+EF355-1))</f>
        <v/>
      </c>
      <c r="EG359" s="403" t="str">
        <f ca="1">IF(SUM(EG355:$EI355)=0,"",IF(EG$227="","",EG$227+EG355-1))</f>
        <v/>
      </c>
      <c r="EH359" s="403" t="str">
        <f ca="1">IF(SUM(EH355:$EI355)=0,"",IF(EH$227="","",EH$227+EH355-1))</f>
        <v/>
      </c>
      <c r="EI359" s="403" t="str">
        <f ca="1">IF(SUM(EI355:$EI355)=0,"",IF(EI$227="","",EI$227+EI355-1))</f>
        <v/>
      </c>
    </row>
    <row r="360" spans="1:141" outlineLevel="1" collapsed="1">
      <c r="A360" s="332"/>
      <c r="B360" s="313"/>
      <c r="C360" s="317" t="s">
        <v>113</v>
      </c>
      <c r="D360" s="317" t="s">
        <v>114</v>
      </c>
      <c r="E360" s="400">
        <f ca="1">IF(ГРП!B35=0,длительность!I158,ГРП!B35)</f>
        <v>0</v>
      </c>
      <c r="F360" s="318">
        <f ca="1">E360-SUM(G360:EJ360)</f>
        <v>0</v>
      </c>
      <c r="G360" s="401"/>
      <c r="H360" s="401">
        <f ca="1">IF(SUM($G360:G360)&gt;=$E360,0,IF($E360-SUM($G360:G360)&gt;H361,H361,$E360-SUM($G361:G361)))</f>
        <v>0</v>
      </c>
      <c r="I360" s="401">
        <f ca="1">IF(SUM($G360:H360)&gt;=$E360,0,IF($E360-SUM($G360:H360)&gt;I361,I361,$E360-SUM($G361:H361)))</f>
        <v>0</v>
      </c>
      <c r="J360" s="401">
        <f ca="1">IF(SUM($G360:I360)&gt;=$E360,0,IF($E360-SUM($G360:I360)&gt;J361,J361,$E360-SUM($G361:I361)))</f>
        <v>0</v>
      </c>
      <c r="K360" s="401">
        <f ca="1">IF(SUM($G360:J360)&gt;=$E360,0,IF($E360-SUM($G360:J360)&gt;K361,K361,$E360-SUM($G361:J361)))</f>
        <v>0</v>
      </c>
      <c r="L360" s="401">
        <f ca="1">IF(SUM($G360:K360)&gt;=$E360,0,IF($E360-SUM($G360:K360)&gt;L361,L361,$E360-SUM($G361:K361)))</f>
        <v>0</v>
      </c>
      <c r="M360" s="401">
        <f ca="1">IF(SUM($G360:L360)&gt;=$E360,0,IF($E360-SUM($G360:L360)&gt;M361,M361,$E360-SUM($G361:L361)))</f>
        <v>0</v>
      </c>
      <c r="N360" s="401">
        <f ca="1">IF(SUM($G360:M360)&gt;=$E360,0,IF($E360-SUM($G360:M360)&gt;N361,N361,$E360-SUM($G361:M361)))</f>
        <v>0</v>
      </c>
      <c r="O360" s="401">
        <f ca="1">IF(SUM($G360:N360)&gt;=$E360,0,IF($E360-SUM($G360:N360)&gt;O361,O361,$E360-SUM($G361:N361)))</f>
        <v>0</v>
      </c>
      <c r="P360" s="401">
        <f ca="1">IF(SUM($G360:O360)&gt;=$E360,0,IF($E360-SUM($G360:O360)&gt;P361,P361,$E360-SUM($G361:O361)))</f>
        <v>0</v>
      </c>
      <c r="Q360" s="401">
        <f ca="1">IF(SUM($G360:P360)&gt;=$E360,0,IF($E360-SUM($G360:P360)&gt;Q361,Q361,$E360-SUM($G361:P361)))</f>
        <v>0</v>
      </c>
      <c r="R360" s="401">
        <f ca="1">IF(SUM($G360:Q360)&gt;=$E360,0,IF($E360-SUM($G360:Q360)&gt;R361,R361,$E360-SUM($G361:Q361)))</f>
        <v>0</v>
      </c>
      <c r="S360" s="401">
        <f ca="1">IF(SUM($G360:R360)&gt;=$E360,0,IF($E360-SUM($G360:R360)&gt;S361,S361,$E360-SUM($G361:R361)))</f>
        <v>0</v>
      </c>
      <c r="T360" s="401">
        <f ca="1">IF(SUM($G360:S360)&gt;=$E360,0,IF($E360-SUM($G360:S360)&gt;T361,T361,$E360-SUM($G361:S361)))</f>
        <v>0</v>
      </c>
      <c r="U360" s="401">
        <f ca="1">IF(SUM($G360:T360)&gt;=$E360,0,IF($E360-SUM($G360:T360)&gt;U361,U361,$E360-SUM($G361:T361)))</f>
        <v>0</v>
      </c>
      <c r="V360" s="401">
        <f ca="1">IF(SUM($G360:U360)&gt;=$E360,0,IF($E360-SUM($G360:U360)&gt;V361,V361,$E360-SUM($G361:U361)))</f>
        <v>0</v>
      </c>
      <c r="W360" s="401">
        <f ca="1">IF(SUM($G360:V360)&gt;=$E360,0,IF($E360-SUM($G360:V360)&gt;W361,W361,$E360-SUM($G361:V361)))</f>
        <v>0</v>
      </c>
      <c r="X360" s="401">
        <f ca="1">IF(SUM($G360:W360)&gt;=$E360,0,IF($E360-SUM($G360:W360)&gt;X361,X361,$E360-SUM($G361:W361)))</f>
        <v>0</v>
      </c>
      <c r="Y360" s="401">
        <f ca="1">IF(SUM($G360:X360)&gt;=$E360,0,IF($E360-SUM($G360:X360)&gt;Y361,Y361,$E360-SUM($G361:X361)))</f>
        <v>0</v>
      </c>
      <c r="Z360" s="401">
        <f ca="1">IF(SUM($G360:Y360)&gt;=$E360,0,IF($E360-SUM($G360:Y360)&gt;Z361,Z361,$E360-SUM($G361:Y361)))</f>
        <v>0</v>
      </c>
      <c r="AA360" s="401">
        <f ca="1">IF(SUM($G360:Z360)&gt;=$E360,0,IF($E360-SUM($G360:Z360)&gt;AA361,AA361,$E360-SUM($G361:Z361)))</f>
        <v>0</v>
      </c>
      <c r="AB360" s="401">
        <f ca="1">IF(SUM($G360:AA360)&gt;=$E360,0,IF($E360-SUM($G360:AA360)&gt;AB361,AB361,$E360-SUM($G361:AA361)))</f>
        <v>0</v>
      </c>
      <c r="AC360" s="401">
        <f ca="1">IF(SUM($G360:AB360)&gt;=$E360,0,IF($E360-SUM($G360:AB360)&gt;AC361,AC361,$E360-SUM($G361:AB361)))</f>
        <v>0</v>
      </c>
      <c r="AD360" s="401">
        <f ca="1">IF(SUM($G360:AC360)&gt;=$E360,0,IF($E360-SUM($G360:AC360)&gt;AD361,AD361,$E360-SUM($G361:AC361)))</f>
        <v>0</v>
      </c>
      <c r="AE360" s="401">
        <f ca="1">IF(SUM($G360:AD360)&gt;=$E360,0,IF($E360-SUM($G360:AD360)&gt;AE361,AE361,$E360-SUM($G361:AD361)))</f>
        <v>0</v>
      </c>
      <c r="AF360" s="401">
        <f ca="1">IF(SUM($G360:AE360)&gt;=$E360,0,IF($E360-SUM($G360:AE360)&gt;AF361,AF361,$E360-SUM($G361:AE361)))</f>
        <v>0</v>
      </c>
      <c r="AG360" s="401">
        <f ca="1">IF(SUM($G360:AF360)&gt;=$E360,0,IF($E360-SUM($G360:AF360)&gt;AG361,AG361,$E360-SUM($G361:AF361)))</f>
        <v>0</v>
      </c>
      <c r="AH360" s="401">
        <f ca="1">IF(SUM($G360:AG360)&gt;=$E360,0,IF($E360-SUM($G360:AG360)&gt;AH361,AH361,$E360-SUM($G361:AG361)))</f>
        <v>0</v>
      </c>
      <c r="AI360" s="401">
        <f ca="1">IF(SUM($G360:AH360)&gt;=$E360,0,IF($E360-SUM($G360:AH360)&gt;AI361,AI361,$E360-SUM($G361:AH361)))</f>
        <v>0</v>
      </c>
      <c r="AJ360" s="401">
        <f ca="1">IF(SUM($G360:AI360)&gt;=$E360,0,IF($E360-SUM($G360:AI360)&gt;AJ361,AJ361,$E360-SUM($G361:AI361)))</f>
        <v>0</v>
      </c>
      <c r="AK360" s="401">
        <f ca="1">IF(SUM($G360:AJ360)&gt;=$E360,0,IF($E360-SUM($G360:AJ360)&gt;AK361,AK361,$E360-SUM($G361:AJ361)))</f>
        <v>0</v>
      </c>
      <c r="AL360" s="401">
        <f ca="1">IF(SUM($G360:AK360)&gt;=$E360,0,IF($E360-SUM($G360:AK360)&gt;AL361,AL361,$E360-SUM($G361:AK361)))</f>
        <v>0</v>
      </c>
      <c r="AM360" s="401">
        <f ca="1">IF(SUM($G360:AL360)&gt;=$E360,0,IF($E360-SUM($G360:AL360)&gt;AM361,AM361,$E360-SUM($G361:AL361)))</f>
        <v>0</v>
      </c>
      <c r="AN360" s="401">
        <f ca="1">IF(SUM($G360:AM360)&gt;=$E360,0,IF($E360-SUM($G360:AM360)&gt;AN361,AN361,$E360-SUM($G361:AM361)))</f>
        <v>0</v>
      </c>
      <c r="AO360" s="401">
        <f ca="1">IF(SUM($G360:AN360)&gt;=$E360,0,IF($E360-SUM($G360:AN360)&gt;AO361,AO361,$E360-SUM($G361:AN361)))</f>
        <v>0</v>
      </c>
      <c r="AP360" s="401">
        <f ca="1">IF(SUM($G360:AO360)&gt;=$E360,0,IF($E360-SUM($G360:AO360)&gt;AP361,AP361,$E360-SUM($G361:AO361)))</f>
        <v>0</v>
      </c>
      <c r="AQ360" s="401">
        <f ca="1">IF(SUM($G360:AP360)&gt;=$E360,0,IF($E360-SUM($G360:AP360)&gt;AQ361,AQ361,$E360-SUM($G361:AP361)))</f>
        <v>0</v>
      </c>
      <c r="AR360" s="401">
        <f ca="1">IF(SUM($G360:AQ360)&gt;=$E360,0,IF($E360-SUM($G360:AQ360)&gt;AR361,AR361,$E360-SUM($G361:AQ361)))</f>
        <v>0</v>
      </c>
      <c r="AS360" s="401">
        <f ca="1">IF(SUM($G360:AR360)&gt;=$E360,0,IF($E360-SUM($G360:AR360)&gt;AS361,AS361,$E360-SUM($G361:AR361)))</f>
        <v>0</v>
      </c>
      <c r="AT360" s="401">
        <f ca="1">IF(SUM($G360:AS360)&gt;=$E360,0,IF($E360-SUM($G360:AS360)&gt;AT361,AT361,$E360-SUM($G361:AS361)))</f>
        <v>0</v>
      </c>
      <c r="AU360" s="401">
        <f ca="1">IF(SUM($G360:AT360)&gt;=$E360,0,IF($E360-SUM($G360:AT360)&gt;AU361,AU361,$E360-SUM($G361:AT361)))</f>
        <v>0</v>
      </c>
      <c r="AV360" s="401">
        <f ca="1">IF(SUM($G360:AU360)&gt;=$E360,0,IF($E360-SUM($G360:AU360)&gt;AV361,AV361,$E360-SUM($G361:AU361)))</f>
        <v>0</v>
      </c>
      <c r="AW360" s="401">
        <f ca="1">IF(SUM($G360:AV360)&gt;=$E360,0,IF($E360-SUM($G360:AV360)&gt;AW361,AW361,$E360-SUM($G361:AV361)))</f>
        <v>0</v>
      </c>
      <c r="AX360" s="401">
        <f ca="1">IF(SUM($G360:AW360)&gt;=$E360,0,IF($E360-SUM($G360:AW360)&gt;AX361,AX361,$E360-SUM($G361:AW361)))</f>
        <v>0</v>
      </c>
      <c r="AY360" s="401">
        <f ca="1">IF(SUM($G360:AX360)&gt;=$E360,0,IF($E360-SUM($G360:AX360)&gt;AY361,AY361,$E360-SUM($G361:AX361)))</f>
        <v>0</v>
      </c>
      <c r="AZ360" s="401">
        <f ca="1">IF(SUM($G360:AY360)&gt;=$E360,0,IF($E360-SUM($G360:AY360)&gt;AZ361,AZ361,$E360-SUM($G361:AY361)))</f>
        <v>0</v>
      </c>
      <c r="BA360" s="401">
        <f ca="1">IF(SUM($G360:AZ360)&gt;=$E360,0,IF($E360-SUM($G360:AZ360)&gt;BA361,BA361,$E360-SUM($G361:AZ361)))</f>
        <v>0</v>
      </c>
      <c r="BB360" s="401">
        <f ca="1">IF(SUM($G360:BA360)&gt;=$E360,0,IF($E360-SUM($G360:BA360)&gt;BB361,BB361,$E360-SUM($G361:BA361)))</f>
        <v>0</v>
      </c>
      <c r="BC360" s="401">
        <f ca="1">IF(SUM($G360:BB360)&gt;=$E360,0,IF($E360-SUM($G360:BB360)&gt;BC361,BC361,$E360-SUM($G361:BB361)))</f>
        <v>0</v>
      </c>
      <c r="BD360" s="401">
        <f ca="1">IF(SUM($G360:BC360)&gt;=$E360,0,IF($E360-SUM($G360:BC360)&gt;BD361,BD361,$E360-SUM($G361:BC361)))</f>
        <v>0</v>
      </c>
      <c r="BE360" s="401">
        <f ca="1">IF(SUM($G360:BD360)&gt;=$E360,0,IF($E360-SUM($G360:BD360)&gt;BE361,BE361,$E360-SUM($G361:BD361)))</f>
        <v>0</v>
      </c>
      <c r="BF360" s="401">
        <f ca="1">IF(SUM($G360:BE360)&gt;=$E360,0,IF($E360-SUM($G360:BE360)&gt;BF361,BF361,$E360-SUM($G361:BE361)))</f>
        <v>0</v>
      </c>
      <c r="BG360" s="401">
        <f ca="1">IF(SUM($G360:BF360)&gt;=$E360,0,IF($E360-SUM($G360:BF360)&gt;BG361,BG361,$E360-SUM($G361:BF361)))</f>
        <v>0</v>
      </c>
      <c r="BH360" s="401">
        <f ca="1">IF(SUM($G360:BG360)&gt;=$E360,0,IF($E360-SUM($G360:BG360)&gt;BH361,BH361,$E360-SUM($G361:BG361)))</f>
        <v>0</v>
      </c>
      <c r="BI360" s="401">
        <f ca="1">IF(SUM($G360:BH360)&gt;=$E360,0,IF($E360-SUM($G360:BH360)&gt;BI361,BI361,$E360-SUM($G361:BH361)))</f>
        <v>0</v>
      </c>
      <c r="BJ360" s="401">
        <f ca="1">IF(SUM($G360:BI360)&gt;=$E360,0,IF($E360-SUM($G360:BI360)&gt;BJ361,BJ361,$E360-SUM($G361:BI361)))</f>
        <v>0</v>
      </c>
      <c r="BK360" s="401">
        <f ca="1">IF(SUM($G360:BJ360)&gt;=$E360,0,IF($E360-SUM($G360:BJ360)&gt;BK361,BK361,$E360-SUM($G361:BJ361)))</f>
        <v>0</v>
      </c>
      <c r="BL360" s="401">
        <f ca="1">IF(SUM($G360:BK360)&gt;=$E360,0,IF($E360-SUM($G360:BK360)&gt;BL361,BL361,$E360-SUM($G361:BK361)))</f>
        <v>0</v>
      </c>
      <c r="BM360" s="401">
        <f ca="1">IF(SUM($G360:BL360)&gt;=$E360,0,IF($E360-SUM($G360:BL360)&gt;BM361,BM361,$E360-SUM($G361:BL361)))</f>
        <v>0</v>
      </c>
      <c r="BN360" s="401">
        <f ca="1">IF(SUM($G360:BM360)&gt;=$E360,0,IF($E360-SUM($G360:BM360)&gt;BN361,BN361,$E360-SUM($G361:BM361)))</f>
        <v>0</v>
      </c>
      <c r="BO360" s="401">
        <f ca="1">IF(SUM($G360:BN360)&gt;=$E360,0,IF($E360-SUM($G360:BN360)&gt;BO361,BO361,$E360-SUM($G361:BN361)))</f>
        <v>0</v>
      </c>
      <c r="BP360" s="401">
        <f ca="1">IF(SUM($G360:BO360)&gt;=$E360,0,IF($E360-SUM($G360:BO360)&gt;BP361,BP361,$E360-SUM($G361:BO361)))</f>
        <v>0</v>
      </c>
      <c r="BQ360" s="401">
        <f ca="1">IF(SUM($G360:BP360)&gt;=$E360,0,IF($E360-SUM($G360:BP360)&gt;BQ361,BQ361,$E360-SUM($G361:BP361)))</f>
        <v>0</v>
      </c>
      <c r="BR360" s="401">
        <f ca="1">IF(SUM($G360:BQ360)&gt;=$E360,0,IF($E360-SUM($G360:BQ360)&gt;BR361,BR361,$E360-SUM($G361:BQ361)))</f>
        <v>0</v>
      </c>
      <c r="BS360" s="401">
        <f ca="1">IF(SUM($G360:BR360)&gt;=$E360,0,IF($E360-SUM($G360:BR360)&gt;BS361,BS361,$E360-SUM($G361:BR361)))</f>
        <v>0</v>
      </c>
      <c r="BT360" s="401">
        <f ca="1">IF(SUM($G360:BS360)&gt;=$E360,0,IF($E360-SUM($G360:BS360)&gt;BT361,BT361,$E360-SUM($G361:BS361)))</f>
        <v>0</v>
      </c>
      <c r="BU360" s="401">
        <f ca="1">IF(SUM($G360:BT360)&gt;=$E360,0,IF($E360-SUM($G360:BT360)&gt;BU361,BU361,$E360-SUM($G361:BT361)))</f>
        <v>0</v>
      </c>
      <c r="BV360" s="401">
        <f ca="1">IF(SUM($G360:BU360)&gt;=$E360,0,IF($E360-SUM($G360:BU360)&gt;BV361,BV361,$E360-SUM($G361:BU361)))</f>
        <v>0</v>
      </c>
      <c r="BW360" s="401">
        <f ca="1">IF(SUM($G360:BV360)&gt;=$E360,0,IF($E360-SUM($G360:BV360)&gt;BW361,BW361,$E360-SUM($G361:BV361)))</f>
        <v>0</v>
      </c>
      <c r="BX360" s="401">
        <f ca="1">IF(SUM($G360:BW360)&gt;=$E360,0,IF($E360-SUM($G360:BW360)&gt;BX361,BX361,$E360-SUM($G361:BW361)))</f>
        <v>0</v>
      </c>
      <c r="BY360" s="401">
        <f ca="1">IF(SUM($G360:BX360)&gt;=$E360,0,IF($E360-SUM($G360:BX360)&gt;BY361,BY361,$E360-SUM($G361:BX361)))</f>
        <v>0</v>
      </c>
      <c r="BZ360" s="401">
        <f ca="1">IF(SUM($G360:BY360)&gt;=$E360,0,IF($E360-SUM($G360:BY360)&gt;BZ361,BZ361,$E360-SUM($G361:BY361)))</f>
        <v>0</v>
      </c>
      <c r="CA360" s="401">
        <f ca="1">IF(SUM($G360:BZ360)&gt;=$E360,0,IF($E360-SUM($G360:BZ360)&gt;CA361,CA361,$E360-SUM($G361:BZ361)))</f>
        <v>0</v>
      </c>
      <c r="CB360" s="401">
        <f ca="1">IF(SUM($G360:CA360)&gt;=$E360,0,IF($E360-SUM($G360:CA360)&gt;CB361,CB361,$E360-SUM($G361:CA361)))</f>
        <v>0</v>
      </c>
      <c r="CC360" s="401">
        <f ca="1">IF(SUM($G360:CB360)&gt;=$E360,0,IF($E360-SUM($G360:CB360)&gt;CC361,CC361,$E360-SUM($G361:CB361)))</f>
        <v>0</v>
      </c>
      <c r="CD360" s="401">
        <f ca="1">IF(SUM($G360:CC360)&gt;=$E360,0,IF($E360-SUM($G360:CC360)&gt;CD361,CD361,$E360-SUM($G361:CC361)))</f>
        <v>0</v>
      </c>
      <c r="CE360" s="401">
        <f ca="1">IF(SUM($G360:CD360)&gt;=$E360,0,IF($E360-SUM($G360:CD360)&gt;CE361,CE361,$E360-SUM($G361:CD361)))</f>
        <v>0</v>
      </c>
      <c r="CF360" s="401">
        <f ca="1">IF(SUM($G360:CE360)&gt;=$E360,0,IF($E360-SUM($G360:CE360)&gt;CF361,CF361,$E360-SUM($G361:CE361)))</f>
        <v>0</v>
      </c>
      <c r="CG360" s="401">
        <f ca="1">IF(SUM($G360:CF360)&gt;=$E360,0,IF($E360-SUM($G360:CF360)&gt;CG361,CG361,$E360-SUM($G361:CF361)))</f>
        <v>0</v>
      </c>
      <c r="CH360" s="401">
        <f ca="1">IF(SUM($G360:CG360)&gt;=$E360,0,IF($E360-SUM($G360:CG360)&gt;CH361,CH361,$E360-SUM($G361:CG361)))</f>
        <v>0</v>
      </c>
      <c r="CI360" s="401">
        <f ca="1">IF(SUM($G360:CH360)&gt;=$E360,0,IF($E360-SUM($G360:CH360)&gt;CI361,CI361,$E360-SUM($G361:CH361)))</f>
        <v>0</v>
      </c>
      <c r="CJ360" s="401">
        <f ca="1">IF(SUM($G360:CI360)&gt;=$E360,0,IF($E360-SUM($G360:CI360)&gt;CJ361,CJ361,$E360-SUM($G361:CI361)))</f>
        <v>0</v>
      </c>
      <c r="CK360" s="401">
        <f ca="1">IF(SUM($G360:CJ360)&gt;=$E360,0,IF($E360-SUM($G360:CJ360)&gt;CK361,CK361,$E360-SUM($G361:CJ361)))</f>
        <v>0</v>
      </c>
      <c r="CL360" s="401">
        <f ca="1">IF(SUM($G360:CK360)&gt;=$E360,0,IF($E360-SUM($G360:CK360)&gt;CL361,CL361,$E360-SUM($G361:CK361)))</f>
        <v>0</v>
      </c>
      <c r="CM360" s="401">
        <f ca="1">IF(SUM($G360:CL360)&gt;=$E360,0,IF($E360-SUM($G360:CL360)&gt;CM361,CM361,$E360-SUM($G361:CL361)))</f>
        <v>0</v>
      </c>
      <c r="CN360" s="401">
        <f ca="1">IF(SUM($G360:CM360)&gt;=$E360,0,IF($E360-SUM($G360:CM360)&gt;CN361,CN361,$E360-SUM($G361:CM361)))</f>
        <v>0</v>
      </c>
      <c r="CO360" s="401">
        <f ca="1">IF(SUM($G360:CN360)&gt;=$E360,0,IF($E360-SUM($G360:CN360)&gt;CO361,CO361,$E360-SUM($G361:CN361)))</f>
        <v>0</v>
      </c>
      <c r="CP360" s="401">
        <f ca="1">IF(SUM($G360:CO360)&gt;=$E360,0,IF($E360-SUM($G360:CO360)&gt;CP361,CP361,$E360-SUM($G361:CO361)))</f>
        <v>0</v>
      </c>
      <c r="CQ360" s="401">
        <f ca="1">IF(SUM($G360:CP360)&gt;=$E360,0,IF($E360-SUM($G360:CP360)&gt;CQ361,CQ361,$E360-SUM($G361:CP361)))</f>
        <v>0</v>
      </c>
      <c r="CR360" s="401">
        <f ca="1">IF(SUM($G360:CQ360)&gt;=$E360,0,IF($E360-SUM($G360:CQ360)&gt;CR361,CR361,$E360-SUM($G361:CQ361)))</f>
        <v>0</v>
      </c>
      <c r="CS360" s="401">
        <f ca="1">IF(SUM($G360:CR360)&gt;=$E360,0,IF($E360-SUM($G360:CR360)&gt;CS361,CS361,$E360-SUM($G361:CR361)))</f>
        <v>0</v>
      </c>
      <c r="CT360" s="401">
        <f ca="1">IF(SUM($G360:CS360)&gt;=$E360,0,IF($E360-SUM($G360:CS360)&gt;CT361,CT361,$E360-SUM($G361:CS361)))</f>
        <v>0</v>
      </c>
      <c r="CU360" s="401">
        <f ca="1">IF(SUM($G360:CT360)&gt;=$E360,0,IF($E360-SUM($G360:CT360)&gt;CU361,CU361,$E360-SUM($G361:CT361)))</f>
        <v>0</v>
      </c>
      <c r="CV360" s="401">
        <f ca="1">IF(SUM($G360:CU360)&gt;=$E360,0,IF($E360-SUM($G360:CU360)&gt;CV361,CV361,$E360-SUM($G361:CU361)))</f>
        <v>0</v>
      </c>
      <c r="CW360" s="401">
        <f ca="1">IF(SUM($G360:CV360)&gt;=$E360,0,IF($E360-SUM($G360:CV360)&gt;CW361,CW361,$E360-SUM($G361:CV361)))</f>
        <v>0</v>
      </c>
      <c r="CX360" s="401">
        <f ca="1">IF(SUM($G360:CW360)&gt;=$E360,0,IF($E360-SUM($G360:CW360)&gt;CX361,CX361,$E360-SUM($G361:CW361)))</f>
        <v>0</v>
      </c>
      <c r="CY360" s="401">
        <f ca="1">IF(SUM($G360:CX360)&gt;=$E360,0,IF($E360-SUM($G360:CX360)&gt;CY361,CY361,$E360-SUM($G361:CX361)))</f>
        <v>0</v>
      </c>
      <c r="CZ360" s="401">
        <f ca="1">IF(SUM($G360:CY360)&gt;=$E360,0,IF($E360-SUM($G360:CY360)&gt;CZ361,CZ361,$E360-SUM($G361:CY361)))</f>
        <v>0</v>
      </c>
      <c r="DA360" s="401">
        <f ca="1">IF(SUM($G360:CZ360)&gt;=$E360,0,IF($E360-SUM($G360:CZ360)&gt;DA361,DA361,$E360-SUM($G361:CZ361)))</f>
        <v>0</v>
      </c>
      <c r="DB360" s="401">
        <f ca="1">IF(SUM($G360:DA360)&gt;=$E360,0,IF($E360-SUM($G360:DA360)&gt;DB361,DB361,$E360-SUM($G361:DA361)))</f>
        <v>0</v>
      </c>
      <c r="DC360" s="401">
        <f ca="1">IF(SUM($G360:DB360)&gt;=$E360,0,IF($E360-SUM($G360:DB360)&gt;DC361,DC361,$E360-SUM($G361:DB361)))</f>
        <v>0</v>
      </c>
      <c r="DD360" s="401">
        <f ca="1">IF(SUM($G360:DC360)&gt;=$E360,0,IF($E360-SUM($G360:DC360)&gt;DD361,DD361,$E360-SUM($G361:DC361)))</f>
        <v>0</v>
      </c>
      <c r="DE360" s="401">
        <f ca="1">IF(SUM($G360:DD360)&gt;=$E360,0,IF($E360-SUM($G360:DD360)&gt;DE361,DE361,$E360-SUM($G361:DD361)))</f>
        <v>0</v>
      </c>
      <c r="DF360" s="401">
        <f ca="1">IF(SUM($G360:DE360)&gt;=$E360,0,IF($E360-SUM($G360:DE360)&gt;DF361,DF361,$E360-SUM($G361:DE361)))</f>
        <v>0</v>
      </c>
      <c r="DG360" s="401">
        <f ca="1">IF(SUM($G360:DF360)&gt;=$E360,0,IF($E360-SUM($G360:DF360)&gt;DG361,DG361,$E360-SUM($G361:DF361)))</f>
        <v>0</v>
      </c>
      <c r="DH360" s="401">
        <f ca="1">IF(SUM($G360:DG360)&gt;=$E360,0,IF($E360-SUM($G360:DG360)&gt;DH361,DH361,$E360-SUM($G361:DG361)))</f>
        <v>0</v>
      </c>
      <c r="DI360" s="401">
        <f ca="1">IF(SUM($G360:DH360)&gt;=$E360,0,IF($E360-SUM($G360:DH360)&gt;DI361,DI361,$E360-SUM($G361:DH361)))</f>
        <v>0</v>
      </c>
      <c r="DJ360" s="401">
        <f ca="1">IF(SUM($G360:DI360)&gt;=$E360,0,IF($E360-SUM($G360:DI360)&gt;DJ361,DJ361,$E360-SUM($G361:DI361)))</f>
        <v>0</v>
      </c>
      <c r="DK360" s="401">
        <f ca="1">IF(SUM($G360:DJ360)&gt;=$E360,0,IF($E360-SUM($G360:DJ360)&gt;DK361,DK361,$E360-SUM($G361:DJ361)))</f>
        <v>0</v>
      </c>
      <c r="DL360" s="401">
        <f ca="1">IF(SUM($G360:DK360)&gt;=$E360,0,IF($E360-SUM($G360:DK360)&gt;DL361,DL361,$E360-SUM($G361:DK361)))</f>
        <v>0</v>
      </c>
      <c r="DM360" s="401">
        <f ca="1">IF(SUM($G360:DL360)&gt;=$E360,0,IF($E360-SUM($G360:DL360)&gt;DM361,DM361,$E360-SUM($G361:DL361)))</f>
        <v>0</v>
      </c>
      <c r="DN360" s="401">
        <f ca="1">IF(SUM($G360:DM360)&gt;=$E360,0,IF($E360-SUM($G360:DM360)&gt;DN361,DN361,$E360-SUM($G361:DM361)))</f>
        <v>0</v>
      </c>
      <c r="DO360" s="401">
        <f ca="1">IF(SUM($G360:DN360)&gt;=$E360,0,IF($E360-SUM($G360:DN360)&gt;DO361,DO361,$E360-SUM($G361:DN361)))</f>
        <v>0</v>
      </c>
      <c r="DP360" s="401">
        <f ca="1">IF(SUM($G360:DO360)&gt;=$E360,0,IF($E360-SUM($G360:DO360)&gt;DP361,DP361,$E360-SUM($G361:DO361)))</f>
        <v>0</v>
      </c>
      <c r="DQ360" s="401">
        <f ca="1">IF(SUM($G360:DP360)&gt;=$E360,0,IF($E360-SUM($G360:DP360)&gt;DQ361,DQ361,$E360-SUM($G361:DP361)))</f>
        <v>0</v>
      </c>
      <c r="DR360" s="401">
        <f ca="1">IF(SUM($G360:DQ360)&gt;=$E360,0,IF($E360-SUM($G360:DQ360)&gt;DR361,DR361,$E360-SUM($G361:DQ361)))</f>
        <v>0</v>
      </c>
      <c r="DS360" s="401">
        <f ca="1">IF(SUM($G360:DR360)&gt;=$E360,0,IF($E360-SUM($G360:DR360)&gt;DS361,DS361,$E360-SUM($G361:DR361)))</f>
        <v>0</v>
      </c>
      <c r="DT360" s="401">
        <f ca="1">IF(SUM($G360:DS360)&gt;=$E360,0,IF($E360-SUM($G360:DS360)&gt;DT361,DT361,$E360-SUM($G361:DS361)))</f>
        <v>0</v>
      </c>
      <c r="DU360" s="401">
        <f ca="1">IF(SUM($G360:DT360)&gt;=$E360,0,IF($E360-SUM($G360:DT360)&gt;DU361,DU361,$E360-SUM($G361:DT361)))</f>
        <v>0</v>
      </c>
      <c r="DV360" s="401">
        <f ca="1">IF(SUM($G360:DU360)&gt;=$E360,0,IF($E360-SUM($G360:DU360)&gt;DV361,DV361,$E360-SUM($G361:DU361)))</f>
        <v>0</v>
      </c>
      <c r="DW360" s="401">
        <f ca="1">IF(SUM($G360:DV360)&gt;=$E360,0,IF($E360-SUM($G360:DV360)&gt;DW361,DW361,$E360-SUM($G361:DV361)))</f>
        <v>0</v>
      </c>
      <c r="DX360" s="401">
        <f ca="1">IF(SUM($G360:DW360)&gt;=$E360,0,IF($E360-SUM($G360:DW360)&gt;DX361,DX361,$E360-SUM($G361:DW361)))</f>
        <v>0</v>
      </c>
      <c r="DY360" s="401">
        <f ca="1">IF(SUM($G360:DX360)&gt;=$E360,0,IF($E360-SUM($G360:DX360)&gt;DY361,DY361,$E360-SUM($G361:DX361)))</f>
        <v>0</v>
      </c>
      <c r="DZ360" s="401">
        <f ca="1">IF(SUM($G360:DY360)&gt;=$E360,0,IF($E360-SUM($G360:DY360)&gt;DZ361,DZ361,$E360-SUM($G361:DY361)))</f>
        <v>0</v>
      </c>
      <c r="EA360" s="401">
        <f ca="1">IF(SUM($G360:DZ360)&gt;=$E360,0,IF($E360-SUM($G360:DZ360)&gt;EA361,EA361,$E360-SUM($G361:DZ361)))</f>
        <v>0</v>
      </c>
      <c r="EB360" s="401">
        <f ca="1">IF(SUM($G360:EA360)&gt;=$E360,0,IF($E360-SUM($G360:EA360)&gt;EB361,EB361,$E360-SUM($G361:EA361)))</f>
        <v>0</v>
      </c>
      <c r="EC360" s="401">
        <f ca="1">IF(SUM($G360:EB360)&gt;=$E360,0,IF($E360-SUM($G360:EB360)&gt;EC361,EC361,$E360-SUM($G361:EB361)))</f>
        <v>0</v>
      </c>
      <c r="ED360" s="401">
        <f ca="1">IF(SUM($G360:EC360)&gt;=$E360,0,IF($E360-SUM($G360:EC360)&gt;ED361,ED361,$E360-SUM($G361:EC361)))</f>
        <v>0</v>
      </c>
      <c r="EE360" s="401">
        <f ca="1">IF(SUM($G360:ED360)&gt;=$E360,0,IF($E360-SUM($G360:ED360)&gt;EE361,EE361,$E360-SUM($G361:ED361)))</f>
        <v>0</v>
      </c>
      <c r="EF360" s="401">
        <f ca="1">IF(SUM($G360:EE360)&gt;=$E360,0,IF($E360-SUM($G360:EE360)&gt;EF361,EF361,$E360-SUM($G361:EE361)))</f>
        <v>0</v>
      </c>
      <c r="EG360" s="401">
        <f ca="1">IF(SUM($G360:EF360)&gt;=$E360,0,IF($E360-SUM($G360:EF360)&gt;EG361,EG361,$E360-SUM($G361:EF361)))</f>
        <v>0</v>
      </c>
      <c r="EH360" s="401">
        <f ca="1">IF(SUM($G360:EG360)&gt;=$E360,0,IF($E360-SUM($G360:EG360)&gt;EH361,EH361,$E360-SUM($G361:EG361)))</f>
        <v>0</v>
      </c>
      <c r="EI360" s="401">
        <f ca="1">IF(SUM($G360:EH360)&gt;=$E360,0,IF($E360-SUM($G360:EH360)&gt;EI361,EI361,$E360-SUM($G361:EH361)))</f>
        <v>0</v>
      </c>
      <c r="EK360" s="313"/>
    </row>
    <row r="361" spans="1:141" hidden="1" outlineLevel="2">
      <c r="A361" s="332"/>
      <c r="B361" s="313"/>
      <c r="C361" s="308"/>
      <c r="D361" s="308"/>
      <c r="E361" s="308"/>
      <c r="G361" s="405"/>
      <c r="H361" s="405">
        <f ca="1">IF((SUM($G265:H265)-$E264*0.0001)&lt;0,0,IF((SUM($G265:H265)-$E264*0.0001)&lt;H265,SUM($G265:H265)-$E264*0.0001,H265))</f>
        <v>0</v>
      </c>
      <c r="I361" s="405">
        <f ca="1">IF((SUM($G265:I265)-$E264*0.0001)&lt;0,0,IF((SUM($G265:I265)-$E264*0.0001)&lt;I265,SUM($G265:I265)-$E264*0.0001,I265))</f>
        <v>0</v>
      </c>
      <c r="J361" s="405">
        <f ca="1">IF((SUM($G265:J265)-$E264*0.0001)&lt;0,0,IF((SUM($G265:J265)-$E264*0.0001)&lt;J265,SUM($G265:J265)-$E264*0.0001,J265))</f>
        <v>0</v>
      </c>
      <c r="K361" s="405">
        <f ca="1">IF((SUM($G265:K265)-$E264*0.0001)&lt;0,0,IF((SUM($G265:K265)-$E264*0.0001)&lt;K265,SUM($G265:K265)-$E264*0.0001,K265))</f>
        <v>0</v>
      </c>
      <c r="L361" s="405">
        <f ca="1">IF((SUM($G265:L265)-$E264*0.0001)&lt;0,0,IF((SUM($G265:L265)-$E264*0.0001)&lt;L265,SUM($G265:L265)-$E264*0.0001,L265))</f>
        <v>0</v>
      </c>
      <c r="M361" s="405">
        <f ca="1">IF((SUM($G265:M265)-$E264*0.0001)&lt;0,0,IF((SUM($G265:M265)-$E264*0.0001)&lt;M265,SUM($G265:M265)-$E264*0.0001,M265))</f>
        <v>0</v>
      </c>
      <c r="N361" s="405">
        <f ca="1">IF((SUM($G265:N265)-$E264*0.0001)&lt;0,0,IF((SUM($G265:N265)-$E264*0.0001)&lt;N265,SUM($G265:N265)-$E264*0.0001,N265))</f>
        <v>0</v>
      </c>
      <c r="O361" s="405">
        <f ca="1">IF((SUM($G265:O265)-$E264*0.0001)&lt;0,0,IF((SUM($G265:O265)-$E264*0.0001)&lt;O265,SUM($G265:O265)-$E264*0.0001,O265))</f>
        <v>0</v>
      </c>
      <c r="P361" s="405">
        <f ca="1">IF((SUM($G265:P265)-$E264*0.0001)&lt;0,0,IF((SUM($G265:P265)-$E264*0.0001)&lt;P265,SUM($G265:P265)-$E264*0.0001,P265))</f>
        <v>0</v>
      </c>
      <c r="Q361" s="405">
        <f ca="1">IF((SUM($G265:Q265)-$E264*0.0001)&lt;0,0,IF((SUM($G265:Q265)-$E264*0.0001)&lt;Q265,SUM($G265:Q265)-$E264*0.0001,Q265))</f>
        <v>0</v>
      </c>
      <c r="R361" s="405">
        <f ca="1">IF((SUM($G265:R265)-$E264*0.0001)&lt;0,0,IF((SUM($G265:R265)-$E264*0.0001)&lt;R265,SUM($G265:R265)-$E264*0.0001,R265))</f>
        <v>0</v>
      </c>
      <c r="S361" s="405">
        <f ca="1">IF((SUM($G265:S265)-$E264*0.0001)&lt;0,0,IF((SUM($G265:S265)-$E264*0.0001)&lt;S265,SUM($G265:S265)-$E264*0.0001,S265))</f>
        <v>0</v>
      </c>
      <c r="T361" s="405">
        <f ca="1">IF((SUM($G265:T265)-$E264*0.0001)&lt;0,0,IF((SUM($G265:T265)-$E264*0.0001)&lt;T265,SUM($G265:T265)-$E264*0.0001,T265))</f>
        <v>0</v>
      </c>
      <c r="U361" s="405">
        <f ca="1">IF((SUM($G265:U265)-$E264*0.0001)&lt;0,0,IF((SUM($G265:U265)-$E264*0.0001)&lt;U265,SUM($G265:U265)-$E264*0.0001,U265))</f>
        <v>0</v>
      </c>
      <c r="V361" s="405">
        <f ca="1">IF((SUM($G265:V265)-$E264*0.0001)&lt;0,0,IF((SUM($G265:V265)-$E264*0.0001)&lt;V265,SUM($G265:V265)-$E264*0.0001,V265))</f>
        <v>0</v>
      </c>
      <c r="W361" s="405">
        <f ca="1">IF((SUM($G265:W265)-$E264*0.0001)&lt;0,0,IF((SUM($G265:W265)-$E264*0.0001)&lt;W265,SUM($G265:W265)-$E264*0.0001,W265))</f>
        <v>0</v>
      </c>
      <c r="X361" s="405">
        <f ca="1">IF((SUM($G265:X265)-$E264*0.0001)&lt;0,0,IF((SUM($G265:X265)-$E264*0.0001)&lt;X265,SUM($G265:X265)-$E264*0.0001,X265))</f>
        <v>0</v>
      </c>
      <c r="Y361" s="405">
        <f ca="1">IF((SUM($G265:Y265)-$E264*0.0001)&lt;0,0,IF((SUM($G265:Y265)-$E264*0.0001)&lt;Y265,SUM($G265:Y265)-$E264*0.0001,Y265))</f>
        <v>0</v>
      </c>
      <c r="Z361" s="405">
        <f ca="1">IF((SUM($G265:Z265)-$E264*0.0001)&lt;0,0,IF((SUM($G265:Z265)-$E264*0.0001)&lt;Z265,SUM($G265:Z265)-$E264*0.0001,Z265))</f>
        <v>0</v>
      </c>
      <c r="AA361" s="405">
        <f ca="1">IF((SUM($G265:AA265)-$E264*0.0001)&lt;0,0,IF((SUM($G265:AA265)-$E264*0.0001)&lt;AA265,SUM($G265:AA265)-$E264*0.0001,AA265))</f>
        <v>0</v>
      </c>
      <c r="AB361" s="405">
        <f ca="1">IF((SUM($G265:AB265)-$E264*0.0001)&lt;0,0,IF((SUM($G265:AB265)-$E264*0.0001)&lt;AB265,SUM($G265:AB265)-$E264*0.0001,AB265))</f>
        <v>18.9604</v>
      </c>
      <c r="AC361" s="405">
        <f ca="1">IF((SUM($G265:AC265)-$E264*0.0001)&lt;0,0,IF((SUM($G265:AC265)-$E264*0.0001)&lt;AC265,SUM($G265:AC265)-$E264*0.0001,AC265))</f>
        <v>31</v>
      </c>
      <c r="AD361" s="405">
        <f ca="1">IF((SUM($G265:AD265)-$E264*0.0001)&lt;0,0,IF((SUM($G265:AD265)-$E264*0.0001)&lt;AD265,SUM($G265:AD265)-$E264*0.0001,AD265))</f>
        <v>28</v>
      </c>
      <c r="AE361" s="405">
        <f ca="1">IF((SUM($G265:AE265)-$E264*0.0001)&lt;0,0,IF((SUM($G265:AE265)-$E264*0.0001)&lt;AE265,SUM($G265:AE265)-$E264*0.0001,AE265))</f>
        <v>31</v>
      </c>
      <c r="AF361" s="405">
        <f ca="1">IF((SUM($G265:AF265)-$E264*0.0001)&lt;0,0,IF((SUM($G265:AF265)-$E264*0.0001)&lt;AF265,SUM($G265:AF265)-$E264*0.0001,AF265))</f>
        <v>30</v>
      </c>
      <c r="AG361" s="405">
        <f ca="1">IF((SUM($G265:AG265)-$E264*0.0001)&lt;0,0,IF((SUM($G265:AG265)-$E264*0.0001)&lt;AG265,SUM($G265:AG265)-$E264*0.0001,AG265))</f>
        <v>31</v>
      </c>
      <c r="AH361" s="405">
        <f ca="1">IF((SUM($G265:AH265)-$E264*0.0001)&lt;0,0,IF((SUM($G265:AH265)-$E264*0.0001)&lt;AH265,SUM($G265:AH265)-$E264*0.0001,AH265))</f>
        <v>30</v>
      </c>
      <c r="AI361" s="405">
        <f ca="1">IF((SUM($G265:AI265)-$E264*0.0001)&lt;0,0,IF((SUM($G265:AI265)-$E264*0.0001)&lt;AI265,SUM($G265:AI265)-$E264*0.0001,AI265))</f>
        <v>31</v>
      </c>
      <c r="AJ361" s="405">
        <f ca="1">IF((SUM($G265:AJ265)-$E264*0.0001)&lt;0,0,IF((SUM($G265:AJ265)-$E264*0.0001)&lt;AJ265,SUM($G265:AJ265)-$E264*0.0001,AJ265))</f>
        <v>31</v>
      </c>
      <c r="AK361" s="405">
        <f ca="1">IF((SUM($G265:AK265)-$E264*0.0001)&lt;0,0,IF((SUM($G265:AK265)-$E264*0.0001)&lt;AK265,SUM($G265:AK265)-$E264*0.0001,AK265))</f>
        <v>30</v>
      </c>
      <c r="AL361" s="405">
        <f ca="1">IF((SUM($G265:AL265)-$E264*0.0001)&lt;0,0,IF((SUM($G265:AL265)-$E264*0.0001)&lt;AL265,SUM($G265:AL265)-$E264*0.0001,AL265))</f>
        <v>31</v>
      </c>
      <c r="AM361" s="405">
        <f ca="1">IF((SUM($G265:AM265)-$E264*0.0001)&lt;0,0,IF((SUM($G265:AM265)-$E264*0.0001)&lt;AM265,SUM($G265:AM265)-$E264*0.0001,AM265))</f>
        <v>30</v>
      </c>
      <c r="AN361" s="405">
        <f ca="1">IF((SUM($G265:AN265)-$E264*0.0001)&lt;0,0,IF((SUM($G265:AN265)-$E264*0.0001)&lt;AN265,SUM($G265:AN265)-$E264*0.0001,AN265))</f>
        <v>31</v>
      </c>
      <c r="AO361" s="405">
        <f ca="1">IF((SUM($G265:AO265)-$E264*0.0001)&lt;0,0,IF((SUM($G265:AO265)-$E264*0.0001)&lt;AO265,SUM($G265:AO265)-$E264*0.0001,AO265))</f>
        <v>31</v>
      </c>
      <c r="AP361" s="405">
        <f ca="1">IF((SUM($G265:AP265)-$E264*0.0001)&lt;0,0,IF((SUM($G265:AP265)-$E264*0.0001)&lt;AP265,SUM($G265:AP265)-$E264*0.0001,AP265))</f>
        <v>28</v>
      </c>
      <c r="AQ361" s="405">
        <f ca="1">IF((SUM($G265:AQ265)-$E264*0.0001)&lt;0,0,IF((SUM($G265:AQ265)-$E264*0.0001)&lt;AQ265,SUM($G265:AQ265)-$E264*0.0001,AQ265))</f>
        <v>31</v>
      </c>
      <c r="AR361" s="405">
        <f ca="1">IF((SUM($G265:AR265)-$E264*0.0001)&lt;0,0,IF((SUM($G265:AR265)-$E264*0.0001)&lt;AR265,SUM($G265:AR265)-$E264*0.0001,AR265))</f>
        <v>30</v>
      </c>
      <c r="AS361" s="405">
        <f ca="1">IF((SUM($G265:AS265)-$E264*0.0001)&lt;0,0,IF((SUM($G265:AS265)-$E264*0.0001)&lt;AS265,SUM($G265:AS265)-$E264*0.0001,AS265))</f>
        <v>31</v>
      </c>
      <c r="AT361" s="405">
        <f ca="1">IF((SUM($G265:AT265)-$E264*0.0001)&lt;0,0,IF((SUM($G265:AT265)-$E264*0.0001)&lt;AT265,SUM($G265:AT265)-$E264*0.0001,AT265))</f>
        <v>30</v>
      </c>
      <c r="AU361" s="405">
        <f ca="1">IF((SUM($G265:AU265)-$E264*0.0001)&lt;0,0,IF((SUM($G265:AU265)-$E264*0.0001)&lt;AU265,SUM($G265:AU265)-$E264*0.0001,AU265))</f>
        <v>31</v>
      </c>
      <c r="AV361" s="405">
        <f ca="1">IF((SUM($G265:AV265)-$E264*0.0001)&lt;0,0,IF((SUM($G265:AV265)-$E264*0.0001)&lt;AV265,SUM($G265:AV265)-$E264*0.0001,AV265))</f>
        <v>31</v>
      </c>
      <c r="AW361" s="405">
        <f ca="1">IF((SUM($G265:AW265)-$E264*0.0001)&lt;0,0,IF((SUM($G265:AW265)-$E264*0.0001)&lt;AW265,SUM($G265:AW265)-$E264*0.0001,AW265))</f>
        <v>30</v>
      </c>
      <c r="AX361" s="405">
        <f ca="1">IF((SUM($G265:AX265)-$E264*0.0001)&lt;0,0,IF((SUM($G265:AX265)-$E264*0.0001)&lt;AX265,SUM($G265:AX265)-$E264*0.0001,AX265))</f>
        <v>31</v>
      </c>
      <c r="AY361" s="405">
        <f ca="1">IF((SUM($G265:AY265)-$E264*0.0001)&lt;0,0,IF((SUM($G265:AY265)-$E264*0.0001)&lt;AY265,SUM($G265:AY265)-$E264*0.0001,AY265))</f>
        <v>30</v>
      </c>
      <c r="AZ361" s="405">
        <f ca="1">IF((SUM($G265:AZ265)-$E264*0.0001)&lt;0,0,IF((SUM($G265:AZ265)-$E264*0.0001)&lt;AZ265,SUM($G265:AZ265)-$E264*0.0001,AZ265))</f>
        <v>31</v>
      </c>
      <c r="BA361" s="405">
        <f ca="1">IF((SUM($G265:BA265)-$E264*0.0001)&lt;0,0,IF((SUM($G265:BA265)-$E264*0.0001)&lt;BA265,SUM($G265:BA265)-$E264*0.0001,BA265))</f>
        <v>31</v>
      </c>
      <c r="BB361" s="405">
        <f ca="1">IF((SUM($G265:BB265)-$E264*0.0001)&lt;0,0,IF((SUM($G265:BB265)-$E264*0.0001)&lt;BB265,SUM($G265:BB265)-$E264*0.0001,BB265))</f>
        <v>28</v>
      </c>
      <c r="BC361" s="405">
        <f ca="1">IF((SUM($G265:BC265)-$E264*0.0001)&lt;0,0,IF((SUM($G265:BC265)-$E264*0.0001)&lt;BC265,SUM($G265:BC265)-$E264*0.0001,BC265))</f>
        <v>31</v>
      </c>
      <c r="BD361" s="405">
        <f ca="1">IF((SUM($G265:BD265)-$E264*0.0001)&lt;0,0,IF((SUM($G265:BD265)-$E264*0.0001)&lt;BD265,SUM($G265:BD265)-$E264*0.0001,BD265))</f>
        <v>30</v>
      </c>
      <c r="BE361" s="405">
        <f ca="1">IF((SUM($G265:BE265)-$E264*0.0001)&lt;0,0,IF((SUM($G265:BE265)-$E264*0.0001)&lt;BE265,SUM($G265:BE265)-$E264*0.0001,BE265))</f>
        <v>31</v>
      </c>
      <c r="BF361" s="405">
        <f ca="1">IF((SUM($G265:BF265)-$E264*0.0001)&lt;0,0,IF((SUM($G265:BF265)-$E264*0.0001)&lt;BF265,SUM($G265:BF265)-$E264*0.0001,BF265))</f>
        <v>30</v>
      </c>
      <c r="BG361" s="405">
        <f ca="1">IF((SUM($G265:BG265)-$E264*0.0001)&lt;0,0,IF((SUM($G265:BG265)-$E264*0.0001)&lt;BG265,SUM($G265:BG265)-$E264*0.0001,BG265))</f>
        <v>31</v>
      </c>
      <c r="BH361" s="405">
        <f ca="1">IF((SUM($G265:BH265)-$E264*0.0001)&lt;0,0,IF((SUM($G265:BH265)-$E264*0.0001)&lt;BH265,SUM($G265:BH265)-$E264*0.0001,BH265))</f>
        <v>31</v>
      </c>
      <c r="BI361" s="405">
        <f ca="1">IF((SUM($G265:BI265)-$E264*0.0001)&lt;0,0,IF((SUM($G265:BI265)-$E264*0.0001)&lt;BI265,SUM($G265:BI265)-$E264*0.0001,BI265))</f>
        <v>30</v>
      </c>
      <c r="BJ361" s="405">
        <f ca="1">IF((SUM($G265:BJ265)-$E264*0.0001)&lt;0,0,IF((SUM($G265:BJ265)-$E264*0.0001)&lt;BJ265,SUM($G265:BJ265)-$E264*0.0001,BJ265))</f>
        <v>31</v>
      </c>
      <c r="BK361" s="405">
        <f ca="1">IF((SUM($G265:BK265)-$E264*0.0001)&lt;0,0,IF((SUM($G265:BK265)-$E264*0.0001)&lt;BK265,SUM($G265:BK265)-$E264*0.0001,BK265))</f>
        <v>30</v>
      </c>
      <c r="BL361" s="405">
        <f ca="1">IF((SUM($G265:BL265)-$E264*0.0001)&lt;0,0,IF((SUM($G265:BL265)-$E264*0.0001)&lt;BL265,SUM($G265:BL265)-$E264*0.0001,BL265))</f>
        <v>31</v>
      </c>
      <c r="BM361" s="405">
        <f ca="1">IF((SUM($G265:BM265)-$E264*0.0001)&lt;0,0,IF((SUM($G265:BM265)-$E264*0.0001)&lt;BM265,SUM($G265:BM265)-$E264*0.0001,BM265))</f>
        <v>31</v>
      </c>
      <c r="BN361" s="405">
        <f ca="1">IF((SUM($G265:BN265)-$E264*0.0001)&lt;0,0,IF((SUM($G265:BN265)-$E264*0.0001)&lt;BN265,SUM($G265:BN265)-$E264*0.0001,BN265))</f>
        <v>29</v>
      </c>
      <c r="BO361" s="405">
        <f ca="1">IF((SUM($G265:BO265)-$E264*0.0001)&lt;0,0,IF((SUM($G265:BO265)-$E264*0.0001)&lt;BO265,SUM($G265:BO265)-$E264*0.0001,BO265))</f>
        <v>31</v>
      </c>
      <c r="BP361" s="405">
        <f ca="1">IF((SUM($G265:BP265)-$E264*0.0001)&lt;0,0,IF((SUM($G265:BP265)-$E264*0.0001)&lt;BP265,SUM($G265:BP265)-$E264*0.0001,BP265))</f>
        <v>30</v>
      </c>
      <c r="BQ361" s="405">
        <f ca="1">IF((SUM($G265:BQ265)-$E264*0.0001)&lt;0,0,IF((SUM($G265:BQ265)-$E264*0.0001)&lt;BQ265,SUM($G265:BQ265)-$E264*0.0001,BQ265))</f>
        <v>31</v>
      </c>
      <c r="BR361" s="405">
        <f ca="1">IF((SUM($G265:BR265)-$E264*0.0001)&lt;0,0,IF((SUM($G265:BR265)-$E264*0.0001)&lt;BR265,SUM($G265:BR265)-$E264*0.0001,BR265))</f>
        <v>30</v>
      </c>
      <c r="BS361" s="405">
        <f ca="1">IF((SUM($G265:BS265)-$E264*0.0001)&lt;0,0,IF((SUM($G265:BS265)-$E264*0.0001)&lt;BS265,SUM($G265:BS265)-$E264*0.0001,BS265))</f>
        <v>31</v>
      </c>
      <c r="BT361" s="405">
        <f ca="1">IF((SUM($G265:BT265)-$E264*0.0001)&lt;0,0,IF((SUM($G265:BT265)-$E264*0.0001)&lt;BT265,SUM($G265:BT265)-$E264*0.0001,BT265))</f>
        <v>31</v>
      </c>
      <c r="BU361" s="405">
        <f ca="1">IF((SUM($G265:BU265)-$E264*0.0001)&lt;0,0,IF((SUM($G265:BU265)-$E264*0.0001)&lt;BU265,SUM($G265:BU265)-$E264*0.0001,BU265))</f>
        <v>30</v>
      </c>
      <c r="BV361" s="405">
        <f ca="1">IF((SUM($G265:BV265)-$E264*0.0001)&lt;0,0,IF((SUM($G265:BV265)-$E264*0.0001)&lt;BV265,SUM($G265:BV265)-$E264*0.0001,BV265))</f>
        <v>31</v>
      </c>
      <c r="BW361" s="405">
        <f ca="1">IF((SUM($G265:BW265)-$E264*0.0001)&lt;0,0,IF((SUM($G265:BW265)-$E264*0.0001)&lt;BW265,SUM($G265:BW265)-$E264*0.0001,BW265))</f>
        <v>30</v>
      </c>
      <c r="BX361" s="405">
        <f ca="1">IF((SUM($G265:BX265)-$E264*0.0001)&lt;0,0,IF((SUM($G265:BX265)-$E264*0.0001)&lt;BX265,SUM($G265:BX265)-$E264*0.0001,BX265))</f>
        <v>31</v>
      </c>
      <c r="BY361" s="405">
        <f ca="1">IF((SUM($G265:BY265)-$E264*0.0001)&lt;0,0,IF((SUM($G265:BY265)-$E264*0.0001)&lt;BY265,SUM($G265:BY265)-$E264*0.0001,BY265))</f>
        <v>31</v>
      </c>
      <c r="BZ361" s="405">
        <f ca="1">IF((SUM($G265:BZ265)-$E264*0.0001)&lt;0,0,IF((SUM($G265:BZ265)-$E264*0.0001)&lt;BZ265,SUM($G265:BZ265)-$E264*0.0001,BZ265))</f>
        <v>28</v>
      </c>
      <c r="CA361" s="405">
        <f ca="1">IF((SUM($G265:CA265)-$E264*0.0001)&lt;0,0,IF((SUM($G265:CA265)-$E264*0.0001)&lt;CA265,SUM($G265:CA265)-$E264*0.0001,CA265))</f>
        <v>31</v>
      </c>
      <c r="CB361" s="405">
        <f ca="1">IF((SUM($G265:CB265)-$E264*0.0001)&lt;0,0,IF((SUM($G265:CB265)-$E264*0.0001)&lt;CB265,SUM($G265:CB265)-$E264*0.0001,CB265))</f>
        <v>30</v>
      </c>
      <c r="CC361" s="405">
        <f ca="1">IF((SUM($G265:CC265)-$E264*0.0001)&lt;0,0,IF((SUM($G265:CC265)-$E264*0.0001)&lt;CC265,SUM($G265:CC265)-$E264*0.0001,CC265))</f>
        <v>31</v>
      </c>
      <c r="CD361" s="405">
        <f ca="1">IF((SUM($G265:CD265)-$E264*0.0001)&lt;0,0,IF((SUM($G265:CD265)-$E264*0.0001)&lt;CD265,SUM($G265:CD265)-$E264*0.0001,CD265))</f>
        <v>30</v>
      </c>
      <c r="CE361" s="405">
        <f ca="1">IF((SUM($G265:CE265)-$E264*0.0001)&lt;0,0,IF((SUM($G265:CE265)-$E264*0.0001)&lt;CE265,SUM($G265:CE265)-$E264*0.0001,CE265))</f>
        <v>31</v>
      </c>
      <c r="CF361" s="405">
        <f ca="1">IF((SUM($G265:CF265)-$E264*0.0001)&lt;0,0,IF((SUM($G265:CF265)-$E264*0.0001)&lt;CF265,SUM($G265:CF265)-$E264*0.0001,CF265))</f>
        <v>31</v>
      </c>
      <c r="CG361" s="405">
        <f ca="1">IF((SUM($G265:CG265)-$E264*0.0001)&lt;0,0,IF((SUM($G265:CG265)-$E264*0.0001)&lt;CG265,SUM($G265:CG265)-$E264*0.0001,CG265))</f>
        <v>30</v>
      </c>
      <c r="CH361" s="405">
        <f ca="1">IF((SUM($G265:CH265)-$E264*0.0001)&lt;0,0,IF((SUM($G265:CH265)-$E264*0.0001)&lt;CH265,SUM($G265:CH265)-$E264*0.0001,CH265))</f>
        <v>31</v>
      </c>
      <c r="CI361" s="405">
        <f ca="1">IF((SUM($G265:CI265)-$E264*0.0001)&lt;0,0,IF((SUM($G265:CI265)-$E264*0.0001)&lt;CI265,SUM($G265:CI265)-$E264*0.0001,CI265))</f>
        <v>30</v>
      </c>
      <c r="CJ361" s="405">
        <f ca="1">IF((SUM($G265:CJ265)-$E264*0.0001)&lt;0,0,IF((SUM($G265:CJ265)-$E264*0.0001)&lt;CJ265,SUM($G265:CJ265)-$E264*0.0001,CJ265))</f>
        <v>31</v>
      </c>
      <c r="CK361" s="405">
        <f ca="1">IF((SUM($G265:CK265)-$E264*0.0001)&lt;0,0,IF((SUM($G265:CK265)-$E264*0.0001)&lt;CK265,SUM($G265:CK265)-$E264*0.0001,CK265))</f>
        <v>31</v>
      </c>
      <c r="CL361" s="405">
        <f ca="1">IF((SUM($G265:CL265)-$E264*0.0001)&lt;0,0,IF((SUM($G265:CL265)-$E264*0.0001)&lt;CL265,SUM($G265:CL265)-$E264*0.0001,CL265))</f>
        <v>28</v>
      </c>
      <c r="CM361" s="405">
        <f ca="1">IF((SUM($G265:CM265)-$E264*0.0001)&lt;0,0,IF((SUM($G265:CM265)-$E264*0.0001)&lt;CM265,SUM($G265:CM265)-$E264*0.0001,CM265))</f>
        <v>31</v>
      </c>
      <c r="CN361" s="405">
        <f ca="1">IF((SUM($G265:CN265)-$E264*0.0001)&lt;0,0,IF((SUM($G265:CN265)-$E264*0.0001)&lt;CN265,SUM($G265:CN265)-$E264*0.0001,CN265))</f>
        <v>30</v>
      </c>
      <c r="CO361" s="405">
        <f ca="1">IF((SUM($G265:CO265)-$E264*0.0001)&lt;0,0,IF((SUM($G265:CO265)-$E264*0.0001)&lt;CO265,SUM($G265:CO265)-$E264*0.0001,CO265))</f>
        <v>31</v>
      </c>
      <c r="CP361" s="405">
        <f ca="1">IF((SUM($G265:CP265)-$E264*0.0001)&lt;0,0,IF((SUM($G265:CP265)-$E264*0.0001)&lt;CP265,SUM($G265:CP265)-$E264*0.0001,CP265))</f>
        <v>30</v>
      </c>
      <c r="CQ361" s="405">
        <f ca="1">IF((SUM($G265:CQ265)-$E264*0.0001)&lt;0,0,IF((SUM($G265:CQ265)-$E264*0.0001)&lt;CQ265,SUM($G265:CQ265)-$E264*0.0001,CQ265))</f>
        <v>31</v>
      </c>
      <c r="CR361" s="405">
        <f ca="1">IF((SUM($G265:CR265)-$E264*0.0001)&lt;0,0,IF((SUM($G265:CR265)-$E264*0.0001)&lt;CR265,SUM($G265:CR265)-$E264*0.0001,CR265))</f>
        <v>31</v>
      </c>
      <c r="CS361" s="405">
        <f ca="1">IF((SUM($G265:CS265)-$E264*0.0001)&lt;0,0,IF((SUM($G265:CS265)-$E264*0.0001)&lt;CS265,SUM($G265:CS265)-$E264*0.0001,CS265))</f>
        <v>30</v>
      </c>
      <c r="CT361" s="405">
        <f ca="1">IF((SUM($G265:CT265)-$E264*0.0001)&lt;0,0,IF((SUM($G265:CT265)-$E264*0.0001)&lt;CT265,SUM($G265:CT265)-$E264*0.0001,CT265))</f>
        <v>31</v>
      </c>
      <c r="CU361" s="405">
        <f ca="1">IF((SUM($G265:CU265)-$E264*0.0001)&lt;0,0,IF((SUM($G265:CU265)-$E264*0.0001)&lt;CU265,SUM($G265:CU265)-$E264*0.0001,CU265))</f>
        <v>30</v>
      </c>
      <c r="CV361" s="405">
        <f ca="1">IF((SUM($G265:CV265)-$E264*0.0001)&lt;0,0,IF((SUM($G265:CV265)-$E264*0.0001)&lt;CV265,SUM($G265:CV265)-$E264*0.0001,CV265))</f>
        <v>31</v>
      </c>
      <c r="CW361" s="405">
        <f ca="1">IF((SUM($G265:CW265)-$E264*0.0001)&lt;0,0,IF((SUM($G265:CW265)-$E264*0.0001)&lt;CW265,SUM($G265:CW265)-$E264*0.0001,CW265))</f>
        <v>31</v>
      </c>
      <c r="CX361" s="405">
        <f ca="1">IF((SUM($G265:CX265)-$E264*0.0001)&lt;0,0,IF((SUM($G265:CX265)-$E264*0.0001)&lt;CX265,SUM($G265:CX265)-$E264*0.0001,CX265))</f>
        <v>28</v>
      </c>
      <c r="CY361" s="405">
        <f ca="1">IF((SUM($G265:CY265)-$E264*0.0001)&lt;0,0,IF((SUM($G265:CY265)-$E264*0.0001)&lt;CY265,SUM($G265:CY265)-$E264*0.0001,CY265))</f>
        <v>31</v>
      </c>
      <c r="CZ361" s="405">
        <f ca="1">IF((SUM($G265:CZ265)-$E264*0.0001)&lt;0,0,IF((SUM($G265:CZ265)-$E264*0.0001)&lt;CZ265,SUM($G265:CZ265)-$E264*0.0001,CZ265))</f>
        <v>30</v>
      </c>
      <c r="DA361" s="405">
        <f ca="1">IF((SUM($G265:DA265)-$E264*0.0001)&lt;0,0,IF((SUM($G265:DA265)-$E264*0.0001)&lt;DA265,SUM($G265:DA265)-$E264*0.0001,DA265))</f>
        <v>31</v>
      </c>
      <c r="DB361" s="405">
        <f ca="1">IF((SUM($G265:DB265)-$E264*0.0001)&lt;0,0,IF((SUM($G265:DB265)-$E264*0.0001)&lt;DB265,SUM($G265:DB265)-$E264*0.0001,DB265))</f>
        <v>30</v>
      </c>
      <c r="DC361" s="405">
        <f ca="1">IF((SUM($G265:DC265)-$E264*0.0001)&lt;0,0,IF((SUM($G265:DC265)-$E264*0.0001)&lt;DC265,SUM($G265:DC265)-$E264*0.0001,DC265))</f>
        <v>31</v>
      </c>
      <c r="DD361" s="405">
        <f ca="1">IF((SUM($G265:DD265)-$E264*0.0001)&lt;0,0,IF((SUM($G265:DD265)-$E264*0.0001)&lt;DD265,SUM($G265:DD265)-$E264*0.0001,DD265))</f>
        <v>31</v>
      </c>
      <c r="DE361" s="405">
        <f ca="1">IF((SUM($G265:DE265)-$E264*0.0001)&lt;0,0,IF((SUM($G265:DE265)-$E264*0.0001)&lt;DE265,SUM($G265:DE265)-$E264*0.0001,DE265))</f>
        <v>30</v>
      </c>
      <c r="DF361" s="405">
        <f ca="1">IF((SUM($G265:DF265)-$E264*0.0001)&lt;0,0,IF((SUM($G265:DF265)-$E264*0.0001)&lt;DF265,SUM($G265:DF265)-$E264*0.0001,DF265))</f>
        <v>31</v>
      </c>
      <c r="DG361" s="405">
        <f ca="1">IF((SUM($G265:DG265)-$E264*0.0001)&lt;0,0,IF((SUM($G265:DG265)-$E264*0.0001)&lt;DG265,SUM($G265:DG265)-$E264*0.0001,DG265))</f>
        <v>30</v>
      </c>
      <c r="DH361" s="405">
        <f ca="1">IF((SUM($G265:DH265)-$E264*0.0001)&lt;0,0,IF((SUM($G265:DH265)-$E264*0.0001)&lt;DH265,SUM($G265:DH265)-$E264*0.0001,DH265))</f>
        <v>31</v>
      </c>
      <c r="DI361" s="405">
        <f ca="1">IF((SUM($G265:DI265)-$E264*0.0001)&lt;0,0,IF((SUM($G265:DI265)-$E264*0.0001)&lt;DI265,SUM($G265:DI265)-$E264*0.0001,DI265))</f>
        <v>31</v>
      </c>
      <c r="DJ361" s="405">
        <f ca="1">IF((SUM($G265:DJ265)-$E264*0.0001)&lt;0,0,IF((SUM($G265:DJ265)-$E264*0.0001)&lt;DJ265,SUM($G265:DJ265)-$E264*0.0001,DJ265))</f>
        <v>29</v>
      </c>
      <c r="DK361" s="405">
        <f ca="1">IF((SUM($G265:DK265)-$E264*0.0001)&lt;0,0,IF((SUM($G265:DK265)-$E264*0.0001)&lt;DK265,SUM($G265:DK265)-$E264*0.0001,DK265))</f>
        <v>31</v>
      </c>
      <c r="DL361" s="405">
        <f ca="1">IF((SUM($G265:DL265)-$E264*0.0001)&lt;0,0,IF((SUM($G265:DL265)-$E264*0.0001)&lt;DL265,SUM($G265:DL265)-$E264*0.0001,DL265))</f>
        <v>30</v>
      </c>
      <c r="DM361" s="405">
        <f ca="1">IF((SUM($G265:DM265)-$E264*0.0001)&lt;0,0,IF((SUM($G265:DM265)-$E264*0.0001)&lt;DM265,SUM($G265:DM265)-$E264*0.0001,DM265))</f>
        <v>31</v>
      </c>
      <c r="DN361" s="405">
        <f ca="1">IF((SUM($G265:DN265)-$E264*0.0001)&lt;0,0,IF((SUM($G265:DN265)-$E264*0.0001)&lt;DN265,SUM($G265:DN265)-$E264*0.0001,DN265))</f>
        <v>30</v>
      </c>
      <c r="DO361" s="405">
        <f ca="1">IF((SUM($G265:DO265)-$E264*0.0001)&lt;0,0,IF((SUM($G265:DO265)-$E264*0.0001)&lt;DO265,SUM($G265:DO265)-$E264*0.0001,DO265))</f>
        <v>31</v>
      </c>
      <c r="DP361" s="405">
        <f ca="1">IF((SUM($G265:DP265)-$E264*0.0001)&lt;0,0,IF((SUM($G265:DP265)-$E264*0.0001)&lt;DP265,SUM($G265:DP265)-$E264*0.0001,DP265))</f>
        <v>31</v>
      </c>
      <c r="DQ361" s="405">
        <f ca="1">IF((SUM($G265:DQ265)-$E264*0.0001)&lt;0,0,IF((SUM($G265:DQ265)-$E264*0.0001)&lt;DQ265,SUM($G265:DQ265)-$E264*0.0001,DQ265))</f>
        <v>30</v>
      </c>
      <c r="DR361" s="405">
        <f ca="1">IF((SUM($G265:DR265)-$E264*0.0001)&lt;0,0,IF((SUM($G265:DR265)-$E264*0.0001)&lt;DR265,SUM($G265:DR265)-$E264*0.0001,DR265))</f>
        <v>31</v>
      </c>
      <c r="DS361" s="405">
        <f ca="1">IF((SUM($G265:DS265)-$E264*0.0001)&lt;0,0,IF((SUM($G265:DS265)-$E264*0.0001)&lt;DS265,SUM($G265:DS265)-$E264*0.0001,DS265))</f>
        <v>30</v>
      </c>
      <c r="DT361" s="405">
        <f ca="1">IF((SUM($G265:DT265)-$E264*0.0001)&lt;0,0,IF((SUM($G265:DT265)-$E264*0.0001)&lt;DT265,SUM($G265:DT265)-$E264*0.0001,DT265))</f>
        <v>31</v>
      </c>
      <c r="DU361" s="405">
        <f ca="1">IF((SUM($G265:DU265)-$E264*0.0001)&lt;0,0,IF((SUM($G265:DU265)-$E264*0.0001)&lt;DU265,SUM($G265:DU265)-$E264*0.0001,DU265))</f>
        <v>31</v>
      </c>
      <c r="DV361" s="405">
        <f ca="1">IF((SUM($G265:DV265)-$E264*0.0001)&lt;0,0,IF((SUM($G265:DV265)-$E264*0.0001)&lt;DV265,SUM($G265:DV265)-$E264*0.0001,DV265))</f>
        <v>28</v>
      </c>
      <c r="DW361" s="405">
        <f ca="1">IF((SUM($G265:DW265)-$E264*0.0001)&lt;0,0,IF((SUM($G265:DW265)-$E264*0.0001)&lt;DW265,SUM($G265:DW265)-$E264*0.0001,DW265))</f>
        <v>31</v>
      </c>
      <c r="DX361" s="405">
        <f ca="1">IF((SUM($G265:DX265)-$E264*0.0001)&lt;0,0,IF((SUM($G265:DX265)-$E264*0.0001)&lt;DX265,SUM($G265:DX265)-$E264*0.0001,DX265))</f>
        <v>30</v>
      </c>
      <c r="DY361" s="405">
        <f ca="1">IF((SUM($G265:DY265)-$E264*0.0001)&lt;0,0,IF((SUM($G265:DY265)-$E264*0.0001)&lt;DY265,SUM($G265:DY265)-$E264*0.0001,DY265))</f>
        <v>31</v>
      </c>
      <c r="DZ361" s="405">
        <f ca="1">IF((SUM($G265:DZ265)-$E264*0.0001)&lt;0,0,IF((SUM($G265:DZ265)-$E264*0.0001)&lt;DZ265,SUM($G265:DZ265)-$E264*0.0001,DZ265))</f>
        <v>30</v>
      </c>
      <c r="EA361" s="405">
        <f ca="1">IF((SUM($G265:EA265)-$E264*0.0001)&lt;0,0,IF((SUM($G265:EA265)-$E264*0.0001)&lt;EA265,SUM($G265:EA265)-$E264*0.0001,EA265))</f>
        <v>31</v>
      </c>
      <c r="EB361" s="405">
        <f ca="1">IF((SUM($G265:EB265)-$E264*0.0001)&lt;0,0,IF((SUM($G265:EB265)-$E264*0.0001)&lt;EB265,SUM($G265:EB265)-$E264*0.0001,EB265))</f>
        <v>31</v>
      </c>
      <c r="EC361" s="405">
        <f ca="1">IF((SUM($G265:EC265)-$E264*0.0001)&lt;0,0,IF((SUM($G265:EC265)-$E264*0.0001)&lt;EC265,SUM($G265:EC265)-$E264*0.0001,EC265))</f>
        <v>30</v>
      </c>
      <c r="ED361" s="405">
        <f ca="1">IF((SUM($G265:ED265)-$E264*0.0001)&lt;0,0,IF((SUM($G265:ED265)-$E264*0.0001)&lt;ED265,SUM($G265:ED265)-$E264*0.0001,ED265))</f>
        <v>31</v>
      </c>
      <c r="EE361" s="405">
        <f ca="1">IF((SUM($G265:EE265)-$E264*0.0001)&lt;0,0,IF((SUM($G265:EE265)-$E264*0.0001)&lt;EE265,SUM($G265:EE265)-$E264*0.0001,EE265))</f>
        <v>30</v>
      </c>
      <c r="EF361" s="405">
        <f ca="1">IF((SUM($G265:EF265)-$E264*0.0001)&lt;0,0,IF((SUM($G265:EF265)-$E264*0.0001)&lt;EF265,SUM($G265:EF265)-$E264*0.0001,EF265))</f>
        <v>31</v>
      </c>
      <c r="EG361" s="405">
        <f ca="1">IF((SUM($G265:EG265)-$E264*0.0001)&lt;0,0,IF((SUM($G265:EG265)-$E264*0.0001)&lt;EG265,SUM($G265:EG265)-$E264*0.0001,EG265))</f>
        <v>31</v>
      </c>
      <c r="EH361" s="405">
        <f ca="1">IF((SUM($G265:EH265)-$E264*0.0001)&lt;0,0,IF((SUM($G265:EH265)-$E264*0.0001)&lt;EH265,SUM($G265:EH265)-$E264*0.0001,EH265))</f>
        <v>28</v>
      </c>
      <c r="EI361" s="405">
        <f ca="1">IF((SUM($G265:EI265)-$E264*0.0001)&lt;0,0,IF((SUM($G265:EI265)-$E264*0.0001)&lt;EI265,SUM($G265:EI265)-$E264*0.0001,EI265))</f>
        <v>31</v>
      </c>
    </row>
    <row r="362" spans="1:141" hidden="1" outlineLevel="2">
      <c r="A362" s="332"/>
      <c r="D362" s="305" t="s">
        <v>670</v>
      </c>
      <c r="E362" s="403">
        <f ca="1">MIN(G362:EI362)</f>
        <v>0</v>
      </c>
      <c r="F362" s="404">
        <f ca="1">MAX(G362:EI362)</f>
        <v>0</v>
      </c>
      <c r="G362" s="403" t="str">
        <f ca="1">IF(G360=0,"",IF(SUM($G360:G360)&gt;=1,OFFSET(G$228,-1,0),""))</f>
        <v/>
      </c>
      <c r="H362" s="403" t="str">
        <f ca="1">IF(SUM($G362:G362)&gt;=1,"",IF(H360=0,"",IF(SUM($G360:H360)&gt;=1,OFFSET(H$228,-1,0),"")))</f>
        <v/>
      </c>
      <c r="I362" s="403" t="str">
        <f ca="1">IF(SUM($G362:H362)&gt;=1,"",IF(I360=0,"",IF(SUM($G360:I360)&gt;=1,OFFSET(I$228,-1,0),"")))</f>
        <v/>
      </c>
      <c r="J362" s="403" t="str">
        <f ca="1">IF(SUM($G362:I362)&gt;=1,"",IF(J360=0,"",IF(SUM($G360:J360)&gt;=1,OFFSET(J$228,-1,0),"")))</f>
        <v/>
      </c>
      <c r="K362" s="403" t="str">
        <f ca="1">IF(SUM($G362:J362)&gt;=1,"",IF(K360=0,"",IF(SUM($G360:K360)&gt;=1,OFFSET(K$228,-1,0),"")))</f>
        <v/>
      </c>
      <c r="L362" s="403" t="str">
        <f ca="1">IF(SUM($G362:K362)&gt;=1,"",IF(L360=0,"",IF(SUM($G360:L360)&gt;=1,OFFSET(L$228,-1,0),"")))</f>
        <v/>
      </c>
      <c r="M362" s="403" t="str">
        <f ca="1">IF(SUM($G362:L362)&gt;=1,"",IF(M360=0,"",IF(SUM($G360:M360)&gt;=1,OFFSET(M$228,-1,0),"")))</f>
        <v/>
      </c>
      <c r="N362" s="403" t="str">
        <f ca="1">IF(SUM($G362:M362)&gt;=1,"",IF(N360=0,"",IF(SUM($G360:N360)&gt;=1,OFFSET(N$228,-1,0),"")))</f>
        <v/>
      </c>
      <c r="O362" s="403" t="str">
        <f ca="1">IF(SUM($G362:N362)&gt;=1,"",IF(O360=0,"",IF(SUM($G360:O360)&gt;=1,OFFSET(O$228,-1,0),"")))</f>
        <v/>
      </c>
      <c r="P362" s="403" t="str">
        <f ca="1">IF(SUM($G362:O362)&gt;=1,"",IF(P360=0,"",IF(SUM($G360:P360)&gt;=1,OFFSET(P$228,-1,0),"")))</f>
        <v/>
      </c>
      <c r="Q362" s="403" t="str">
        <f ca="1">IF(SUM($G362:P362)&gt;=1,"",IF(Q360=0,"",IF(SUM($G360:Q360)&gt;=1,OFFSET(Q$228,-1,0),"")))</f>
        <v/>
      </c>
      <c r="R362" s="403" t="str">
        <f ca="1">IF(SUM($G362:Q362)&gt;=1,"",IF(R360=0,"",IF(SUM($G360:R360)&gt;=1,OFFSET(R$228,-1,0),"")))</f>
        <v/>
      </c>
      <c r="S362" s="403" t="str">
        <f ca="1">IF(SUM($G362:R362)&gt;=1,"",IF(S360=0,"",IF(SUM($G360:S360)&gt;=1,OFFSET(S$228,-1,0),"")))</f>
        <v/>
      </c>
      <c r="T362" s="403" t="str">
        <f ca="1">IF(SUM($G362:S362)&gt;=1,"",IF(T360=0,"",IF(SUM($G360:T360)&gt;=1,OFFSET(T$228,-1,0),"")))</f>
        <v/>
      </c>
      <c r="U362" s="403" t="str">
        <f ca="1">IF(SUM($G362:T362)&gt;=1,"",IF(U360=0,"",IF(SUM($G360:U360)&gt;=1,OFFSET(U$228,-1,0),"")))</f>
        <v/>
      </c>
      <c r="V362" s="403" t="str">
        <f ca="1">IF(SUM($G362:U362)&gt;=1,"",IF(V360=0,"",IF(SUM($G360:V360)&gt;=1,OFFSET(V$228,-1,0),"")))</f>
        <v/>
      </c>
      <c r="W362" s="403" t="str">
        <f ca="1">IF(SUM($G362:V362)&gt;=1,"",IF(W360=0,"",IF(SUM($G360:W360)&gt;=1,OFFSET(W$228,-1,0),"")))</f>
        <v/>
      </c>
      <c r="X362" s="403" t="str">
        <f ca="1">IF(SUM($G362:W362)&gt;=1,"",IF(X360=0,"",IF(SUM($G360:X360)&gt;=1,OFFSET(X$228,-1,0),"")))</f>
        <v/>
      </c>
      <c r="Y362" s="403" t="str">
        <f ca="1">IF(SUM($G362:X362)&gt;=1,"",IF(Y360=0,"",IF(SUM($G360:Y360)&gt;=1,OFFSET(Y$228,-1,0),"")))</f>
        <v/>
      </c>
      <c r="Z362" s="403" t="str">
        <f ca="1">IF(SUM($G362:Y362)&gt;=1,"",IF(Z360=0,"",IF(SUM($G360:Z360)&gt;=1,OFFSET(Z$228,-1,0),"")))</f>
        <v/>
      </c>
      <c r="AA362" s="403" t="str">
        <f ca="1">IF(SUM($G362:Z362)&gt;=1,"",IF(AA360=0,"",IF(SUM($G360:AA360)&gt;=1,OFFSET(AA$228,-1,0),"")))</f>
        <v/>
      </c>
      <c r="AB362" s="403" t="str">
        <f ca="1">IF(SUM($G362:AA362)&gt;=1,"",IF(AB360=0,"",IF(SUM($G360:AB360)&gt;=1,OFFSET(AB$228,-1,0),"")))</f>
        <v/>
      </c>
      <c r="AC362" s="403" t="str">
        <f ca="1">IF(SUM($G362:AB362)&gt;=1,"",IF(AC360=0,"",IF(SUM($G360:AC360)&gt;=1,OFFSET(AC$228,-1,0),"")))</f>
        <v/>
      </c>
      <c r="AD362" s="403" t="str">
        <f ca="1">IF(SUM($G362:AC362)&gt;=1,"",IF(AD360=0,"",IF(SUM($G360:AD360)&gt;=1,OFFSET(AD$228,-1,0),"")))</f>
        <v/>
      </c>
      <c r="AE362" s="403" t="str">
        <f ca="1">IF(SUM($G362:AD362)&gt;=1,"",IF(AE360=0,"",IF(SUM($G360:AE360)&gt;=1,OFFSET(AE$228,-1,0),"")))</f>
        <v/>
      </c>
      <c r="AF362" s="403" t="str">
        <f ca="1">IF(SUM($G362:AE362)&gt;=1,"",IF(AF360=0,"",IF(SUM($G360:AF360)&gt;=1,OFFSET(AF$228,-1,0),"")))</f>
        <v/>
      </c>
      <c r="AG362" s="403" t="str">
        <f ca="1">IF(SUM($G362:AF362)&gt;=1,"",IF(AG360=0,"",IF(SUM($G360:AG360)&gt;=1,OFFSET(AG$228,-1,0),"")))</f>
        <v/>
      </c>
      <c r="AH362" s="403" t="str">
        <f ca="1">IF(SUM($G362:AG362)&gt;=1,"",IF(AH360=0,"",IF(SUM($G360:AH360)&gt;=1,OFFSET(AH$228,-1,0),"")))</f>
        <v/>
      </c>
      <c r="AI362" s="403" t="str">
        <f ca="1">IF(SUM($G362:AH362)&gt;=1,"",IF(AI360=0,"",IF(SUM($G360:AI360)&gt;=1,OFFSET(AI$228,-1,0),"")))</f>
        <v/>
      </c>
      <c r="AJ362" s="403" t="str">
        <f ca="1">IF(SUM($G362:AI362)&gt;=1,"",IF(AJ360=0,"",IF(SUM($G360:AJ360)&gt;=1,OFFSET(AJ$228,-1,0),"")))</f>
        <v/>
      </c>
      <c r="AK362" s="403" t="str">
        <f ca="1">IF(SUM($G362:AJ362)&gt;=1,"",IF(AK360=0,"",IF(SUM($G360:AK360)&gt;=1,OFFSET(AK$228,-1,0),"")))</f>
        <v/>
      </c>
      <c r="AL362" s="403" t="str">
        <f ca="1">IF(SUM($G362:AK362)&gt;=1,"",IF(AL360=0,"",IF(SUM($G360:AL360)&gt;=1,OFFSET(AL$228,-1,0),"")))</f>
        <v/>
      </c>
      <c r="AM362" s="403" t="str">
        <f ca="1">IF(SUM($G362:AL362)&gt;=1,"",IF(AM360=0,"",IF(SUM($G360:AM360)&gt;=1,OFFSET(AM$228,-1,0),"")))</f>
        <v/>
      </c>
      <c r="AN362" s="403" t="str">
        <f ca="1">IF(SUM($G362:AM362)&gt;=1,"",IF(AN360=0,"",IF(SUM($G360:AN360)&gt;=1,OFFSET(AN$228,-1,0),"")))</f>
        <v/>
      </c>
      <c r="AO362" s="403" t="str">
        <f ca="1">IF(SUM($G362:AN362)&gt;=1,"",IF(AO360=0,"",IF(SUM($G360:AO360)&gt;=1,OFFSET(AO$228,-1,0),"")))</f>
        <v/>
      </c>
      <c r="AP362" s="403" t="str">
        <f ca="1">IF(SUM($G362:AO362)&gt;=1,"",IF(AP360=0,"",IF(SUM($G360:AP360)&gt;=1,OFFSET(AP$228,-1,0),"")))</f>
        <v/>
      </c>
      <c r="AQ362" s="403" t="str">
        <f ca="1">IF(SUM($G362:AP362)&gt;=1,"",IF(AQ360=0,"",IF(SUM($G360:AQ360)&gt;=1,OFFSET(AQ$228,-1,0),"")))</f>
        <v/>
      </c>
      <c r="AR362" s="403" t="str">
        <f ca="1">IF(SUM($G362:AQ362)&gt;=1,"",IF(AR360=0,"",IF(SUM($G360:AR360)&gt;=1,OFFSET(AR$228,-1,0),"")))</f>
        <v/>
      </c>
      <c r="AS362" s="403" t="str">
        <f ca="1">IF(SUM($G362:AR362)&gt;=1,"",IF(AS360=0,"",IF(SUM($G360:AS360)&gt;=1,OFFSET(AS$228,-1,0),"")))</f>
        <v/>
      </c>
      <c r="AT362" s="403" t="str">
        <f ca="1">IF(SUM($G362:AS362)&gt;=1,"",IF(AT360=0,"",IF(SUM($G360:AT360)&gt;=1,OFFSET(AT$228,-1,0),"")))</f>
        <v/>
      </c>
      <c r="AU362" s="403" t="str">
        <f ca="1">IF(SUM($G362:AT362)&gt;=1,"",IF(AU360=0,"",IF(SUM($G360:AU360)&gt;=1,OFFSET(AU$228,-1,0),"")))</f>
        <v/>
      </c>
      <c r="AV362" s="403" t="str">
        <f ca="1">IF(SUM($G362:AU362)&gt;=1,"",IF(AV360=0,"",IF(SUM($G360:AV360)&gt;=1,OFFSET(AV$228,-1,0),"")))</f>
        <v/>
      </c>
      <c r="AW362" s="403" t="str">
        <f ca="1">IF(SUM($G362:AV362)&gt;=1,"",IF(AW360=0,"",IF(SUM($G360:AW360)&gt;=1,OFFSET(AW$228,-1,0),"")))</f>
        <v/>
      </c>
      <c r="AX362" s="403" t="str">
        <f ca="1">IF(SUM($G362:AW362)&gt;=1,"",IF(AX360=0,"",IF(SUM($G360:AX360)&gt;=1,OFFSET(AX$228,-1,0),"")))</f>
        <v/>
      </c>
      <c r="AY362" s="403" t="str">
        <f ca="1">IF(SUM($G362:AX362)&gt;=1,"",IF(AY360=0,"",IF(SUM($G360:AY360)&gt;=1,OFFSET(AY$228,-1,0),"")))</f>
        <v/>
      </c>
      <c r="AZ362" s="403" t="str">
        <f ca="1">IF(SUM($G362:AY362)&gt;=1,"",IF(AZ360=0,"",IF(SUM($G360:AZ360)&gt;=1,OFFSET(AZ$228,-1,0),"")))</f>
        <v/>
      </c>
      <c r="BA362" s="403" t="str">
        <f ca="1">IF(SUM($G362:AZ362)&gt;=1,"",IF(BA360=0,"",IF(SUM($G360:BA360)&gt;=1,OFFSET(BA$228,-1,0),"")))</f>
        <v/>
      </c>
      <c r="BB362" s="403" t="str">
        <f ca="1">IF(SUM($G362:BA362)&gt;=1,"",IF(BB360=0,"",IF(SUM($G360:BB360)&gt;=1,OFFSET(BB$228,-1,0),"")))</f>
        <v/>
      </c>
      <c r="BC362" s="403" t="str">
        <f ca="1">IF(SUM($G362:BB362)&gt;=1,"",IF(BC360=0,"",IF(SUM($G360:BC360)&gt;=1,OFFSET(BC$228,-1,0),"")))</f>
        <v/>
      </c>
      <c r="BD362" s="403" t="str">
        <f ca="1">IF(SUM($G362:BC362)&gt;=1,"",IF(BD360=0,"",IF(SUM($G360:BD360)&gt;=1,OFFSET(BD$228,-1,0),"")))</f>
        <v/>
      </c>
      <c r="BE362" s="403" t="str">
        <f ca="1">IF(SUM($G362:BD362)&gt;=1,"",IF(BE360=0,"",IF(SUM($G360:BE360)&gt;=1,OFFSET(BE$228,-1,0),"")))</f>
        <v/>
      </c>
      <c r="BF362" s="403" t="str">
        <f ca="1">IF(SUM($G362:BE362)&gt;=1,"",IF(BF360=0,"",IF(SUM($G360:BF360)&gt;=1,OFFSET(BF$228,-1,0),"")))</f>
        <v/>
      </c>
      <c r="BG362" s="403" t="str">
        <f ca="1">IF(SUM($G362:BF362)&gt;=1,"",IF(BG360=0,"",IF(SUM($G360:BG360)&gt;=1,OFFSET(BG$228,-1,0),"")))</f>
        <v/>
      </c>
      <c r="BH362" s="403" t="str">
        <f ca="1">IF(SUM($G362:BG362)&gt;=1,"",IF(BH360=0,"",IF(SUM($G360:BH360)&gt;=1,OFFSET(BH$228,-1,0),"")))</f>
        <v/>
      </c>
      <c r="BI362" s="403" t="str">
        <f ca="1">IF(SUM($G362:BH362)&gt;=1,"",IF(BI360=0,"",IF(SUM($G360:BI360)&gt;=1,OFFSET(BI$228,-1,0),"")))</f>
        <v/>
      </c>
      <c r="BJ362" s="403" t="str">
        <f ca="1">IF(SUM($G362:BI362)&gt;=1,"",IF(BJ360=0,"",IF(SUM($G360:BJ360)&gt;=1,OFFSET(BJ$228,-1,0),"")))</f>
        <v/>
      </c>
      <c r="BK362" s="403" t="str">
        <f ca="1">IF(SUM($G362:BJ362)&gt;=1,"",IF(BK360=0,"",IF(SUM($G360:BK360)&gt;=1,OFFSET(BK$228,-1,0),"")))</f>
        <v/>
      </c>
      <c r="BL362" s="403" t="str">
        <f ca="1">IF(SUM($G362:BK362)&gt;=1,"",IF(BL360=0,"",IF(SUM($G360:BL360)&gt;=1,OFFSET(BL$228,-1,0),"")))</f>
        <v/>
      </c>
      <c r="BM362" s="403" t="str">
        <f ca="1">IF(SUM($G362:BL362)&gt;=1,"",IF(BM360=0,"",IF(SUM($G360:BM360)&gt;=1,OFFSET(BM$228,-1,0),"")))</f>
        <v/>
      </c>
      <c r="BN362" s="403" t="str">
        <f ca="1">IF(SUM($G362:BM362)&gt;=1,"",IF(BN360=0,"",IF(SUM($G360:BN360)&gt;=1,OFFSET(BN$228,-1,0),"")))</f>
        <v/>
      </c>
      <c r="BO362" s="403" t="str">
        <f ca="1">IF(SUM($G362:BN362)&gt;=1,"",IF(BO360=0,"",IF(SUM($G360:BO360)&gt;=1,OFFSET(BO$228,-1,0),"")))</f>
        <v/>
      </c>
      <c r="BP362" s="403" t="str">
        <f ca="1">IF(SUM($G362:BO362)&gt;=1,"",IF(BP360=0,"",IF(SUM($G360:BP360)&gt;=1,OFFSET(BP$228,-1,0),"")))</f>
        <v/>
      </c>
      <c r="BQ362" s="403" t="str">
        <f ca="1">IF(SUM($G362:BP362)&gt;=1,"",IF(BQ360=0,"",IF(SUM($G360:BQ360)&gt;=1,OFFSET(BQ$228,-1,0),"")))</f>
        <v/>
      </c>
      <c r="BR362" s="403" t="str">
        <f ca="1">IF(SUM($G362:BQ362)&gt;=1,"",IF(BR360=0,"",IF(SUM($G360:BR360)&gt;=1,OFFSET(BR$228,-1,0),"")))</f>
        <v/>
      </c>
      <c r="BS362" s="403" t="str">
        <f ca="1">IF(SUM($G362:BR362)&gt;=1,"",IF(BS360=0,"",IF(SUM($G360:BS360)&gt;=1,OFFSET(BS$228,-1,0),"")))</f>
        <v/>
      </c>
      <c r="BT362" s="403" t="str">
        <f ca="1">IF(SUM($G362:BS362)&gt;=1,"",IF(BT360=0,"",IF(SUM($G360:BT360)&gt;=1,OFFSET(BT$228,-1,0),"")))</f>
        <v/>
      </c>
      <c r="BU362" s="403" t="str">
        <f ca="1">IF(SUM($G362:BT362)&gt;=1,"",IF(BU360=0,"",IF(SUM($G360:BU360)&gt;=1,OFFSET(BU$228,-1,0),"")))</f>
        <v/>
      </c>
      <c r="BV362" s="403" t="str">
        <f ca="1">IF(SUM($G362:BU362)&gt;=1,"",IF(BV360=0,"",IF(SUM($G360:BV360)&gt;=1,OFFSET(BV$228,-1,0),"")))</f>
        <v/>
      </c>
      <c r="BW362" s="403" t="str">
        <f ca="1">IF(SUM($G362:BV362)&gt;=1,"",IF(BW360=0,"",IF(SUM($G360:BW360)&gt;=1,OFFSET(BW$228,-1,0),"")))</f>
        <v/>
      </c>
      <c r="BX362" s="403" t="str">
        <f ca="1">IF(SUM($G362:BW362)&gt;=1,"",IF(BX360=0,"",IF(SUM($G360:BX360)&gt;=1,OFFSET(BX$228,-1,0),"")))</f>
        <v/>
      </c>
      <c r="BY362" s="403" t="str">
        <f ca="1">IF(SUM($G362:BX362)&gt;=1,"",IF(BY360=0,"",IF(SUM($G360:BY360)&gt;=1,OFFSET(BY$228,-1,0),"")))</f>
        <v/>
      </c>
      <c r="BZ362" s="403" t="str">
        <f ca="1">IF(SUM($G362:BY362)&gt;=1,"",IF(BZ360=0,"",IF(SUM($G360:BZ360)&gt;=1,OFFSET(BZ$228,-1,0),"")))</f>
        <v/>
      </c>
      <c r="CA362" s="403" t="str">
        <f ca="1">IF(SUM($G362:BZ362)&gt;=1,"",IF(CA360=0,"",IF(SUM($G360:CA360)&gt;=1,OFFSET(CA$228,-1,0),"")))</f>
        <v/>
      </c>
      <c r="CB362" s="403" t="str">
        <f ca="1">IF(SUM($G362:CA362)&gt;=1,"",IF(CB360=0,"",IF(SUM($G360:CB360)&gt;=1,OFFSET(CB$228,-1,0),"")))</f>
        <v/>
      </c>
      <c r="CC362" s="403" t="str">
        <f ca="1">IF(SUM($G362:CB362)&gt;=1,"",IF(CC360=0,"",IF(SUM($G360:CC360)&gt;=1,OFFSET(CC$228,-1,0),"")))</f>
        <v/>
      </c>
      <c r="CD362" s="403" t="str">
        <f ca="1">IF(SUM($G362:CC362)&gt;=1,"",IF(CD360=0,"",IF(SUM($G360:CD360)&gt;=1,OFFSET(CD$228,-1,0),"")))</f>
        <v/>
      </c>
      <c r="CE362" s="403" t="str">
        <f ca="1">IF(SUM($G362:CD362)&gt;=1,"",IF(CE360=0,"",IF(SUM($G360:CE360)&gt;=1,OFFSET(CE$228,-1,0),"")))</f>
        <v/>
      </c>
      <c r="CF362" s="403" t="str">
        <f ca="1">IF(SUM($G362:CE362)&gt;=1,"",IF(CF360=0,"",IF(SUM($G360:CF360)&gt;=1,OFFSET(CF$228,-1,0),"")))</f>
        <v/>
      </c>
      <c r="CG362" s="403" t="str">
        <f ca="1">IF(SUM($G362:CF362)&gt;=1,"",IF(CG360=0,"",IF(SUM($G360:CG360)&gt;=1,OFFSET(CG$228,-1,0),"")))</f>
        <v/>
      </c>
      <c r="CH362" s="403" t="str">
        <f ca="1">IF(SUM($G362:CG362)&gt;=1,"",IF(CH360=0,"",IF(SUM($G360:CH360)&gt;=1,OFFSET(CH$228,-1,0),"")))</f>
        <v/>
      </c>
      <c r="CI362" s="403" t="str">
        <f ca="1">IF(SUM($G362:CH362)&gt;=1,"",IF(CI360=0,"",IF(SUM($G360:CI360)&gt;=1,OFFSET(CI$228,-1,0),"")))</f>
        <v/>
      </c>
      <c r="CJ362" s="403" t="str">
        <f ca="1">IF(SUM($G362:CI362)&gt;=1,"",IF(CJ360=0,"",IF(SUM($G360:CJ360)&gt;=1,OFFSET(CJ$228,-1,0),"")))</f>
        <v/>
      </c>
      <c r="CK362" s="403" t="str">
        <f ca="1">IF(SUM($G362:CJ362)&gt;=1,"",IF(CK360=0,"",IF(SUM($G360:CK360)&gt;=1,OFFSET(CK$228,-1,0),"")))</f>
        <v/>
      </c>
      <c r="CL362" s="403" t="str">
        <f ca="1">IF(SUM($G362:CK362)&gt;=1,"",IF(CL360=0,"",IF(SUM($G360:CL360)&gt;=1,OFFSET(CL$228,-1,0),"")))</f>
        <v/>
      </c>
      <c r="CM362" s="403" t="str">
        <f ca="1">IF(SUM($G362:CL362)&gt;=1,"",IF(CM360=0,"",IF(SUM($G360:CM360)&gt;=1,OFFSET(CM$228,-1,0),"")))</f>
        <v/>
      </c>
      <c r="CN362" s="403" t="str">
        <f ca="1">IF(SUM($G362:CM362)&gt;=1,"",IF(CN360=0,"",IF(SUM($G360:CN360)&gt;=1,OFFSET(CN$228,-1,0),"")))</f>
        <v/>
      </c>
      <c r="CO362" s="403" t="str">
        <f ca="1">IF(SUM($G362:CN362)&gt;=1,"",IF(CO360=0,"",IF(SUM($G360:CO360)&gt;=1,OFFSET(CO$228,-1,0),"")))</f>
        <v/>
      </c>
      <c r="CP362" s="403" t="str">
        <f ca="1">IF(SUM($G362:CO362)&gt;=1,"",IF(CP360=0,"",IF(SUM($G360:CP360)&gt;=1,OFFSET(CP$228,-1,0),"")))</f>
        <v/>
      </c>
      <c r="CQ362" s="403" t="str">
        <f ca="1">IF(SUM($G362:CP362)&gt;=1,"",IF(CQ360=0,"",IF(SUM($G360:CQ360)&gt;=1,OFFSET(CQ$228,-1,0),"")))</f>
        <v/>
      </c>
      <c r="CR362" s="403" t="str">
        <f ca="1">IF(SUM($G362:CQ362)&gt;=1,"",IF(CR360=0,"",IF(SUM($G360:CR360)&gt;=1,OFFSET(CR$228,-1,0),"")))</f>
        <v/>
      </c>
      <c r="CS362" s="403" t="str">
        <f ca="1">IF(SUM($G362:CR362)&gt;=1,"",IF(CS360=0,"",IF(SUM($G360:CS360)&gt;=1,OFFSET(CS$228,-1,0),"")))</f>
        <v/>
      </c>
      <c r="CT362" s="403" t="str">
        <f ca="1">IF(SUM($G362:CS362)&gt;=1,"",IF(CT360=0,"",IF(SUM($G360:CT360)&gt;=1,OFFSET(CT$228,-1,0),"")))</f>
        <v/>
      </c>
      <c r="CU362" s="403" t="str">
        <f ca="1">IF(SUM($G362:CT362)&gt;=1,"",IF(CU360=0,"",IF(SUM($G360:CU360)&gt;=1,OFFSET(CU$228,-1,0),"")))</f>
        <v/>
      </c>
      <c r="CV362" s="403" t="str">
        <f ca="1">IF(SUM($G362:CU362)&gt;=1,"",IF(CV360=0,"",IF(SUM($G360:CV360)&gt;=1,OFFSET(CV$228,-1,0),"")))</f>
        <v/>
      </c>
      <c r="CW362" s="403" t="str">
        <f ca="1">IF(SUM($G362:CV362)&gt;=1,"",IF(CW360=0,"",IF(SUM($G360:CW360)&gt;=1,OFFSET(CW$228,-1,0),"")))</f>
        <v/>
      </c>
      <c r="CX362" s="403" t="str">
        <f ca="1">IF(SUM($G362:CW362)&gt;=1,"",IF(CX360=0,"",IF(SUM($G360:CX360)&gt;=1,OFFSET(CX$228,-1,0),"")))</f>
        <v/>
      </c>
      <c r="CY362" s="403" t="str">
        <f ca="1">IF(SUM($G362:CX362)&gt;=1,"",IF(CY360=0,"",IF(SUM($G360:CY360)&gt;=1,OFFSET(CY$228,-1,0),"")))</f>
        <v/>
      </c>
      <c r="CZ362" s="403" t="str">
        <f ca="1">IF(SUM($G362:CY362)&gt;=1,"",IF(CZ360=0,"",IF(SUM($G360:CZ360)&gt;=1,OFFSET(CZ$228,-1,0),"")))</f>
        <v/>
      </c>
      <c r="DA362" s="403" t="str">
        <f ca="1">IF(SUM($G362:CZ362)&gt;=1,"",IF(DA360=0,"",IF(SUM($G360:DA360)&gt;=1,OFFSET(DA$228,-1,0),"")))</f>
        <v/>
      </c>
      <c r="DB362" s="403" t="str">
        <f ca="1">IF(SUM($G362:DA362)&gt;=1,"",IF(DB360=0,"",IF(SUM($G360:DB360)&gt;=1,OFFSET(DB$228,-1,0),"")))</f>
        <v/>
      </c>
      <c r="DC362" s="403" t="str">
        <f ca="1">IF(SUM($G362:DB362)&gt;=1,"",IF(DC360=0,"",IF(SUM($G360:DC360)&gt;=1,OFFSET(DC$228,-1,0),"")))</f>
        <v/>
      </c>
      <c r="DD362" s="403" t="str">
        <f ca="1">IF(SUM($G362:DC362)&gt;=1,"",IF(DD360=0,"",IF(SUM($G360:DD360)&gt;=1,OFFSET(DD$228,-1,0),"")))</f>
        <v/>
      </c>
      <c r="DE362" s="403" t="str">
        <f ca="1">IF(SUM($G362:DD362)&gt;=1,"",IF(DE360=0,"",IF(SUM($G360:DE360)&gt;=1,OFFSET(DE$228,-1,0),"")))</f>
        <v/>
      </c>
      <c r="DF362" s="403" t="str">
        <f ca="1">IF(SUM($G362:DE362)&gt;=1,"",IF(DF360=0,"",IF(SUM($G360:DF360)&gt;=1,OFFSET(DF$228,-1,0),"")))</f>
        <v/>
      </c>
      <c r="DG362" s="403" t="str">
        <f ca="1">IF(SUM($G362:DF362)&gt;=1,"",IF(DG360=0,"",IF(SUM($G360:DG360)&gt;=1,OFFSET(DG$228,-1,0),"")))</f>
        <v/>
      </c>
      <c r="DH362" s="403" t="str">
        <f ca="1">IF(SUM($G362:DG362)&gt;=1,"",IF(DH360=0,"",IF(SUM($G360:DH360)&gt;=1,OFFSET(DH$228,-1,0),"")))</f>
        <v/>
      </c>
      <c r="DI362" s="403" t="str">
        <f ca="1">IF(SUM($G362:DH362)&gt;=1,"",IF(DI360=0,"",IF(SUM($G360:DI360)&gt;=1,OFFSET(DI$228,-1,0),"")))</f>
        <v/>
      </c>
      <c r="DJ362" s="403" t="str">
        <f ca="1">IF(SUM($G362:DI362)&gt;=1,"",IF(DJ360=0,"",IF(SUM($G360:DJ360)&gt;=1,OFFSET(DJ$228,-1,0),"")))</f>
        <v/>
      </c>
      <c r="DK362" s="403" t="str">
        <f ca="1">IF(SUM($G362:DJ362)&gt;=1,"",IF(DK360=0,"",IF(SUM($G360:DK360)&gt;=1,OFFSET(DK$228,-1,0),"")))</f>
        <v/>
      </c>
      <c r="DL362" s="403" t="str">
        <f ca="1">IF(SUM($G362:DK362)&gt;=1,"",IF(DL360=0,"",IF(SUM($G360:DL360)&gt;=1,OFFSET(DL$228,-1,0),"")))</f>
        <v/>
      </c>
      <c r="DM362" s="403" t="str">
        <f ca="1">IF(SUM($G362:DL362)&gt;=1,"",IF(DM360=0,"",IF(SUM($G360:DM360)&gt;=1,OFFSET(DM$228,-1,0),"")))</f>
        <v/>
      </c>
      <c r="DN362" s="403" t="str">
        <f ca="1">IF(SUM($G362:DM362)&gt;=1,"",IF(DN360=0,"",IF(SUM($G360:DN360)&gt;=1,OFFSET(DN$228,-1,0),"")))</f>
        <v/>
      </c>
      <c r="DO362" s="403" t="str">
        <f ca="1">IF(SUM($G362:DN362)&gt;=1,"",IF(DO360=0,"",IF(SUM($G360:DO360)&gt;=1,OFFSET(DO$228,-1,0),"")))</f>
        <v/>
      </c>
      <c r="DP362" s="403" t="str">
        <f ca="1">IF(SUM($G362:DO362)&gt;=1,"",IF(DP360=0,"",IF(SUM($G360:DP360)&gt;=1,OFFSET(DP$228,-1,0),"")))</f>
        <v/>
      </c>
      <c r="DQ362" s="403" t="str">
        <f ca="1">IF(SUM($G362:DP362)&gt;=1,"",IF(DQ360=0,"",IF(SUM($G360:DQ360)&gt;=1,OFFSET(DQ$228,-1,0),"")))</f>
        <v/>
      </c>
      <c r="DR362" s="403" t="str">
        <f ca="1">IF(SUM($G362:DQ362)&gt;=1,"",IF(DR360=0,"",IF(SUM($G360:DR360)&gt;=1,OFFSET(DR$228,-1,0),"")))</f>
        <v/>
      </c>
      <c r="DS362" s="403" t="str">
        <f ca="1">IF(SUM($G362:DR362)&gt;=1,"",IF(DS360=0,"",IF(SUM($G360:DS360)&gt;=1,OFFSET(DS$228,-1,0),"")))</f>
        <v/>
      </c>
      <c r="DT362" s="403" t="str">
        <f ca="1">IF(SUM($G362:DS362)&gt;=1,"",IF(DT360=0,"",IF(SUM($G360:DT360)&gt;=1,OFFSET(DT$228,-1,0),"")))</f>
        <v/>
      </c>
      <c r="DU362" s="403" t="str">
        <f ca="1">IF(SUM($G362:DT362)&gt;=1,"",IF(DU360=0,"",IF(SUM($G360:DU360)&gt;=1,OFFSET(DU$228,-1,0),"")))</f>
        <v/>
      </c>
      <c r="DV362" s="403" t="str">
        <f ca="1">IF(SUM($G362:DU362)&gt;=1,"",IF(DV360=0,"",IF(SUM($G360:DV360)&gt;=1,OFFSET(DV$228,-1,0),"")))</f>
        <v/>
      </c>
      <c r="DW362" s="403" t="str">
        <f ca="1">IF(SUM($G362:DV362)&gt;=1,"",IF(DW360=0,"",IF(SUM($G360:DW360)&gt;=1,OFFSET(DW$228,-1,0),"")))</f>
        <v/>
      </c>
      <c r="DX362" s="403" t="str">
        <f ca="1">IF(SUM($G362:DW362)&gt;=1,"",IF(DX360=0,"",IF(SUM($G360:DX360)&gt;=1,OFFSET(DX$228,-1,0),"")))</f>
        <v/>
      </c>
      <c r="DY362" s="403" t="str">
        <f ca="1">IF(SUM($G362:DX362)&gt;=1,"",IF(DY360=0,"",IF(SUM($G360:DY360)&gt;=1,OFFSET(DY$228,-1,0),"")))</f>
        <v/>
      </c>
      <c r="DZ362" s="403" t="str">
        <f ca="1">IF(SUM($G362:DY362)&gt;=1,"",IF(DZ360=0,"",IF(SUM($G360:DZ360)&gt;=1,OFFSET(DZ$228,-1,0),"")))</f>
        <v/>
      </c>
      <c r="EA362" s="403" t="str">
        <f ca="1">IF(SUM($G362:DZ362)&gt;=1,"",IF(EA360=0,"",IF(SUM($G360:EA360)&gt;=1,OFFSET(EA$228,-1,0),"")))</f>
        <v/>
      </c>
      <c r="EB362" s="403" t="str">
        <f ca="1">IF(SUM($G362:EA362)&gt;=1,"",IF(EB360=0,"",IF(SUM($G360:EB360)&gt;=1,OFFSET(EB$228,-1,0),"")))</f>
        <v/>
      </c>
      <c r="EC362" s="403" t="str">
        <f ca="1">IF(SUM($G362:EB362)&gt;=1,"",IF(EC360=0,"",IF(SUM($G360:EC360)&gt;=1,OFFSET(EC$228,-1,0),"")))</f>
        <v/>
      </c>
      <c r="ED362" s="403" t="str">
        <f ca="1">IF(SUM($G362:EC362)&gt;=1,"",IF(ED360=0,"",IF(SUM($G360:ED360)&gt;=1,OFFSET(ED$228,-1,0),"")))</f>
        <v/>
      </c>
      <c r="EE362" s="403" t="str">
        <f ca="1">IF(SUM($G362:ED362)&gt;=1,"",IF(EE360=0,"",IF(SUM($G360:EE360)&gt;=1,OFFSET(EE$228,-1,0),"")))</f>
        <v/>
      </c>
      <c r="EF362" s="403" t="str">
        <f ca="1">IF(SUM($G362:EE362)&gt;=1,"",IF(EF360=0,"",IF(SUM($G360:EF360)&gt;=1,OFFSET(EF$228,-1,0),"")))</f>
        <v/>
      </c>
      <c r="EG362" s="403" t="str">
        <f ca="1">IF(SUM($G362:EF362)&gt;=1,"",IF(EG360=0,"",IF(SUM($G360:EG360)&gt;=1,OFFSET(EG$228,-1,0),"")))</f>
        <v/>
      </c>
      <c r="EH362" s="403" t="str">
        <f ca="1">IF(SUM($G362:EG362)&gt;=1,"",IF(EH360=0,"",IF(SUM($G360:EH360)&gt;=1,OFFSET(EH$228,-1,0),"")))</f>
        <v/>
      </c>
      <c r="EI362" s="403" t="str">
        <f ca="1">IF(SUM($G362:EH362)&gt;=1,"",IF(EI360=0,"",IF(SUM($G360:EI360)&gt;=1,OFFSET(EI$228,-1,0),"")))</f>
        <v/>
      </c>
    </row>
    <row r="363" spans="1:141" hidden="1" outlineLevel="2">
      <c r="A363" s="332"/>
      <c r="D363" s="305" t="s">
        <v>671</v>
      </c>
      <c r="E363" s="1002" t="str">
        <f ca="1">IF(E360=0,"",MIN(G363:EI363))</f>
        <v/>
      </c>
      <c r="F363" s="1003"/>
      <c r="G363" s="403" t="str">
        <f>IF(G360=0,"",IF(G360=G$3,G362,G$5+H$5-G364-1))</f>
        <v/>
      </c>
      <c r="H363" s="403" t="str">
        <f ca="1">IF(H360=0,"",IF(H360=H$3,H362,H$5+I$5-H364-1))</f>
        <v/>
      </c>
      <c r="I363" s="403" t="str">
        <f t="shared" ref="I363:BT363" ca="1" si="540">IF(I360=0,"",IF(I360=I$3,I362,I$5+J$5-I364-1))</f>
        <v/>
      </c>
      <c r="J363" s="403" t="str">
        <f t="shared" ca="1" si="540"/>
        <v/>
      </c>
      <c r="K363" s="403" t="str">
        <f t="shared" ca="1" si="540"/>
        <v/>
      </c>
      <c r="L363" s="403" t="str">
        <f t="shared" ca="1" si="540"/>
        <v/>
      </c>
      <c r="M363" s="403" t="str">
        <f t="shared" ca="1" si="540"/>
        <v/>
      </c>
      <c r="N363" s="403" t="str">
        <f t="shared" ca="1" si="540"/>
        <v/>
      </c>
      <c r="O363" s="403" t="str">
        <f t="shared" ca="1" si="540"/>
        <v/>
      </c>
      <c r="P363" s="403" t="str">
        <f t="shared" ca="1" si="540"/>
        <v/>
      </c>
      <c r="Q363" s="403" t="str">
        <f t="shared" ca="1" si="540"/>
        <v/>
      </c>
      <c r="R363" s="403" t="str">
        <f t="shared" ca="1" si="540"/>
        <v/>
      </c>
      <c r="S363" s="403" t="str">
        <f t="shared" ca="1" si="540"/>
        <v/>
      </c>
      <c r="T363" s="403" t="str">
        <f t="shared" ca="1" si="540"/>
        <v/>
      </c>
      <c r="U363" s="403" t="str">
        <f t="shared" ca="1" si="540"/>
        <v/>
      </c>
      <c r="V363" s="403" t="str">
        <f t="shared" ca="1" si="540"/>
        <v/>
      </c>
      <c r="W363" s="403" t="str">
        <f t="shared" ca="1" si="540"/>
        <v/>
      </c>
      <c r="X363" s="403" t="str">
        <f t="shared" ca="1" si="540"/>
        <v/>
      </c>
      <c r="Y363" s="403" t="str">
        <f t="shared" ca="1" si="540"/>
        <v/>
      </c>
      <c r="Z363" s="403" t="str">
        <f t="shared" ca="1" si="540"/>
        <v/>
      </c>
      <c r="AA363" s="403" t="str">
        <f t="shared" ca="1" si="540"/>
        <v/>
      </c>
      <c r="AB363" s="403" t="str">
        <f t="shared" ca="1" si="540"/>
        <v/>
      </c>
      <c r="AC363" s="403" t="str">
        <f t="shared" ca="1" si="540"/>
        <v/>
      </c>
      <c r="AD363" s="403" t="str">
        <f t="shared" ca="1" si="540"/>
        <v/>
      </c>
      <c r="AE363" s="403" t="str">
        <f t="shared" ca="1" si="540"/>
        <v/>
      </c>
      <c r="AF363" s="403" t="str">
        <f t="shared" ca="1" si="540"/>
        <v/>
      </c>
      <c r="AG363" s="403" t="str">
        <f t="shared" ca="1" si="540"/>
        <v/>
      </c>
      <c r="AH363" s="403" t="str">
        <f t="shared" ca="1" si="540"/>
        <v/>
      </c>
      <c r="AI363" s="403" t="str">
        <f t="shared" ca="1" si="540"/>
        <v/>
      </c>
      <c r="AJ363" s="403" t="str">
        <f t="shared" ca="1" si="540"/>
        <v/>
      </c>
      <c r="AK363" s="403" t="str">
        <f t="shared" ca="1" si="540"/>
        <v/>
      </c>
      <c r="AL363" s="403" t="str">
        <f t="shared" ca="1" si="540"/>
        <v/>
      </c>
      <c r="AM363" s="403" t="str">
        <f t="shared" ca="1" si="540"/>
        <v/>
      </c>
      <c r="AN363" s="403" t="str">
        <f t="shared" ca="1" si="540"/>
        <v/>
      </c>
      <c r="AO363" s="403" t="str">
        <f t="shared" ca="1" si="540"/>
        <v/>
      </c>
      <c r="AP363" s="403" t="str">
        <f t="shared" ca="1" si="540"/>
        <v/>
      </c>
      <c r="AQ363" s="403" t="str">
        <f t="shared" ca="1" si="540"/>
        <v/>
      </c>
      <c r="AR363" s="403" t="str">
        <f t="shared" ca="1" si="540"/>
        <v/>
      </c>
      <c r="AS363" s="403" t="str">
        <f t="shared" ca="1" si="540"/>
        <v/>
      </c>
      <c r="AT363" s="403" t="str">
        <f t="shared" ca="1" si="540"/>
        <v/>
      </c>
      <c r="AU363" s="403" t="str">
        <f t="shared" ca="1" si="540"/>
        <v/>
      </c>
      <c r="AV363" s="403" t="str">
        <f t="shared" ca="1" si="540"/>
        <v/>
      </c>
      <c r="AW363" s="403" t="str">
        <f t="shared" ca="1" si="540"/>
        <v/>
      </c>
      <c r="AX363" s="403" t="str">
        <f t="shared" ca="1" si="540"/>
        <v/>
      </c>
      <c r="AY363" s="403" t="str">
        <f t="shared" ca="1" si="540"/>
        <v/>
      </c>
      <c r="AZ363" s="403" t="str">
        <f t="shared" ca="1" si="540"/>
        <v/>
      </c>
      <c r="BA363" s="403" t="str">
        <f t="shared" ca="1" si="540"/>
        <v/>
      </c>
      <c r="BB363" s="403" t="str">
        <f t="shared" ca="1" si="540"/>
        <v/>
      </c>
      <c r="BC363" s="403" t="str">
        <f t="shared" ca="1" si="540"/>
        <v/>
      </c>
      <c r="BD363" s="403" t="str">
        <f t="shared" ca="1" si="540"/>
        <v/>
      </c>
      <c r="BE363" s="403" t="str">
        <f t="shared" ca="1" si="540"/>
        <v/>
      </c>
      <c r="BF363" s="403" t="str">
        <f t="shared" ca="1" si="540"/>
        <v/>
      </c>
      <c r="BG363" s="403" t="str">
        <f t="shared" ca="1" si="540"/>
        <v/>
      </c>
      <c r="BH363" s="403" t="str">
        <f t="shared" ca="1" si="540"/>
        <v/>
      </c>
      <c r="BI363" s="403" t="str">
        <f t="shared" ca="1" si="540"/>
        <v/>
      </c>
      <c r="BJ363" s="403" t="str">
        <f t="shared" ca="1" si="540"/>
        <v/>
      </c>
      <c r="BK363" s="403" t="str">
        <f t="shared" ca="1" si="540"/>
        <v/>
      </c>
      <c r="BL363" s="403" t="str">
        <f t="shared" ca="1" si="540"/>
        <v/>
      </c>
      <c r="BM363" s="403" t="str">
        <f t="shared" ca="1" si="540"/>
        <v/>
      </c>
      <c r="BN363" s="403" t="str">
        <f t="shared" ca="1" si="540"/>
        <v/>
      </c>
      <c r="BO363" s="403" t="str">
        <f t="shared" ca="1" si="540"/>
        <v/>
      </c>
      <c r="BP363" s="403" t="str">
        <f t="shared" ca="1" si="540"/>
        <v/>
      </c>
      <c r="BQ363" s="403" t="str">
        <f t="shared" ca="1" si="540"/>
        <v/>
      </c>
      <c r="BR363" s="403" t="str">
        <f t="shared" ca="1" si="540"/>
        <v/>
      </c>
      <c r="BS363" s="403" t="str">
        <f t="shared" ca="1" si="540"/>
        <v/>
      </c>
      <c r="BT363" s="403" t="str">
        <f t="shared" ca="1" si="540"/>
        <v/>
      </c>
      <c r="BU363" s="403" t="str">
        <f t="shared" ref="BU363:EF363" ca="1" si="541">IF(BU360=0,"",IF(BU360=BU$3,BU362,BU$5+BV$5-BU364-1))</f>
        <v/>
      </c>
      <c r="BV363" s="403" t="str">
        <f t="shared" ca="1" si="541"/>
        <v/>
      </c>
      <c r="BW363" s="403" t="str">
        <f t="shared" ca="1" si="541"/>
        <v/>
      </c>
      <c r="BX363" s="403" t="str">
        <f t="shared" ca="1" si="541"/>
        <v/>
      </c>
      <c r="BY363" s="403" t="str">
        <f t="shared" ca="1" si="541"/>
        <v/>
      </c>
      <c r="BZ363" s="403" t="str">
        <f t="shared" ca="1" si="541"/>
        <v/>
      </c>
      <c r="CA363" s="403" t="str">
        <f t="shared" ca="1" si="541"/>
        <v/>
      </c>
      <c r="CB363" s="403" t="str">
        <f t="shared" ca="1" si="541"/>
        <v/>
      </c>
      <c r="CC363" s="403" t="str">
        <f t="shared" ca="1" si="541"/>
        <v/>
      </c>
      <c r="CD363" s="403" t="str">
        <f t="shared" ca="1" si="541"/>
        <v/>
      </c>
      <c r="CE363" s="403" t="str">
        <f t="shared" ca="1" si="541"/>
        <v/>
      </c>
      <c r="CF363" s="403" t="str">
        <f t="shared" ca="1" si="541"/>
        <v/>
      </c>
      <c r="CG363" s="403" t="str">
        <f t="shared" ca="1" si="541"/>
        <v/>
      </c>
      <c r="CH363" s="403" t="str">
        <f t="shared" ca="1" si="541"/>
        <v/>
      </c>
      <c r="CI363" s="403" t="str">
        <f t="shared" ca="1" si="541"/>
        <v/>
      </c>
      <c r="CJ363" s="403" t="str">
        <f t="shared" ca="1" si="541"/>
        <v/>
      </c>
      <c r="CK363" s="403" t="str">
        <f t="shared" ca="1" si="541"/>
        <v/>
      </c>
      <c r="CL363" s="403" t="str">
        <f t="shared" ca="1" si="541"/>
        <v/>
      </c>
      <c r="CM363" s="403" t="str">
        <f t="shared" ca="1" si="541"/>
        <v/>
      </c>
      <c r="CN363" s="403" t="str">
        <f t="shared" ca="1" si="541"/>
        <v/>
      </c>
      <c r="CO363" s="403" t="str">
        <f t="shared" ca="1" si="541"/>
        <v/>
      </c>
      <c r="CP363" s="403" t="str">
        <f t="shared" ca="1" si="541"/>
        <v/>
      </c>
      <c r="CQ363" s="403" t="str">
        <f t="shared" ca="1" si="541"/>
        <v/>
      </c>
      <c r="CR363" s="403" t="str">
        <f t="shared" ca="1" si="541"/>
        <v/>
      </c>
      <c r="CS363" s="403" t="str">
        <f t="shared" ca="1" si="541"/>
        <v/>
      </c>
      <c r="CT363" s="403" t="str">
        <f t="shared" ca="1" si="541"/>
        <v/>
      </c>
      <c r="CU363" s="403" t="str">
        <f t="shared" ca="1" si="541"/>
        <v/>
      </c>
      <c r="CV363" s="403" t="str">
        <f t="shared" ca="1" si="541"/>
        <v/>
      </c>
      <c r="CW363" s="403" t="str">
        <f t="shared" ca="1" si="541"/>
        <v/>
      </c>
      <c r="CX363" s="403" t="str">
        <f t="shared" ca="1" si="541"/>
        <v/>
      </c>
      <c r="CY363" s="403" t="str">
        <f t="shared" ca="1" si="541"/>
        <v/>
      </c>
      <c r="CZ363" s="403" t="str">
        <f t="shared" ca="1" si="541"/>
        <v/>
      </c>
      <c r="DA363" s="403" t="str">
        <f t="shared" ca="1" si="541"/>
        <v/>
      </c>
      <c r="DB363" s="403" t="str">
        <f t="shared" ca="1" si="541"/>
        <v/>
      </c>
      <c r="DC363" s="403" t="str">
        <f t="shared" ca="1" si="541"/>
        <v/>
      </c>
      <c r="DD363" s="403" t="str">
        <f t="shared" ca="1" si="541"/>
        <v/>
      </c>
      <c r="DE363" s="403" t="str">
        <f t="shared" ca="1" si="541"/>
        <v/>
      </c>
      <c r="DF363" s="403" t="str">
        <f t="shared" ca="1" si="541"/>
        <v/>
      </c>
      <c r="DG363" s="403" t="str">
        <f t="shared" ca="1" si="541"/>
        <v/>
      </c>
      <c r="DH363" s="403" t="str">
        <f t="shared" ca="1" si="541"/>
        <v/>
      </c>
      <c r="DI363" s="403" t="str">
        <f t="shared" ca="1" si="541"/>
        <v/>
      </c>
      <c r="DJ363" s="403" t="str">
        <f t="shared" ca="1" si="541"/>
        <v/>
      </c>
      <c r="DK363" s="403" t="str">
        <f t="shared" ca="1" si="541"/>
        <v/>
      </c>
      <c r="DL363" s="403" t="str">
        <f t="shared" ca="1" si="541"/>
        <v/>
      </c>
      <c r="DM363" s="403" t="str">
        <f t="shared" ca="1" si="541"/>
        <v/>
      </c>
      <c r="DN363" s="403" t="str">
        <f t="shared" ca="1" si="541"/>
        <v/>
      </c>
      <c r="DO363" s="403" t="str">
        <f t="shared" ca="1" si="541"/>
        <v/>
      </c>
      <c r="DP363" s="403" t="str">
        <f t="shared" ca="1" si="541"/>
        <v/>
      </c>
      <c r="DQ363" s="403" t="str">
        <f t="shared" ca="1" si="541"/>
        <v/>
      </c>
      <c r="DR363" s="403" t="str">
        <f t="shared" ca="1" si="541"/>
        <v/>
      </c>
      <c r="DS363" s="403" t="str">
        <f t="shared" ca="1" si="541"/>
        <v/>
      </c>
      <c r="DT363" s="403" t="str">
        <f t="shared" ca="1" si="541"/>
        <v/>
      </c>
      <c r="DU363" s="403" t="str">
        <f t="shared" ca="1" si="541"/>
        <v/>
      </c>
      <c r="DV363" s="403" t="str">
        <f t="shared" ca="1" si="541"/>
        <v/>
      </c>
      <c r="DW363" s="403" t="str">
        <f t="shared" ca="1" si="541"/>
        <v/>
      </c>
      <c r="DX363" s="403" t="str">
        <f t="shared" ca="1" si="541"/>
        <v/>
      </c>
      <c r="DY363" s="403" t="str">
        <f t="shared" ca="1" si="541"/>
        <v/>
      </c>
      <c r="DZ363" s="403" t="str">
        <f t="shared" ca="1" si="541"/>
        <v/>
      </c>
      <c r="EA363" s="403" t="str">
        <f t="shared" ca="1" si="541"/>
        <v/>
      </c>
      <c r="EB363" s="403" t="str">
        <f t="shared" ca="1" si="541"/>
        <v/>
      </c>
      <c r="EC363" s="403" t="str">
        <f t="shared" ca="1" si="541"/>
        <v/>
      </c>
      <c r="ED363" s="403" t="str">
        <f t="shared" ca="1" si="541"/>
        <v/>
      </c>
      <c r="EE363" s="403" t="str">
        <f t="shared" ca="1" si="541"/>
        <v/>
      </c>
      <c r="EF363" s="403" t="str">
        <f t="shared" ca="1" si="541"/>
        <v/>
      </c>
      <c r="EG363" s="403" t="str">
        <f t="shared" ref="EG363:EI363" ca="1" si="542">IF(EG360=0,"",IF(EG360=EG$3,EG362,EG$5+EH$5-EG364-1))</f>
        <v/>
      </c>
      <c r="EH363" s="403" t="str">
        <f t="shared" ca="1" si="542"/>
        <v/>
      </c>
      <c r="EI363" s="403" t="str">
        <f t="shared" ca="1" si="542"/>
        <v/>
      </c>
    </row>
    <row r="364" spans="1:141" hidden="1" outlineLevel="2">
      <c r="A364" s="332"/>
      <c r="D364" s="305" t="s">
        <v>672</v>
      </c>
      <c r="E364" s="1002" t="str">
        <f ca="1">IF(E360=0,"",MAX(G364:EI364))</f>
        <v/>
      </c>
      <c r="F364" s="1003"/>
      <c r="G364" s="403" t="str">
        <f ca="1">IF(SUM(G360:$EI360)=0,"",IF(G$227="","",G$227+G360-1))</f>
        <v/>
      </c>
      <c r="H364" s="403" t="str">
        <f ca="1">IF(SUM(H360:$EI360)=0,"",IF(H$227="","",H$227+H360-1))</f>
        <v/>
      </c>
      <c r="I364" s="403" t="str">
        <f ca="1">IF(SUM(I360:$EI360)=0,"",IF(I$227="","",I$227+I360-1))</f>
        <v/>
      </c>
      <c r="J364" s="403" t="str">
        <f ca="1">IF(SUM(J360:$EI360)=0,"",IF(J$227="","",J$227+J360-1))</f>
        <v/>
      </c>
      <c r="K364" s="403" t="str">
        <f ca="1">IF(SUM(K360:$EI360)=0,"",IF(K$227="","",K$227+K360-1))</f>
        <v/>
      </c>
      <c r="L364" s="403" t="str">
        <f ca="1">IF(SUM(L360:$EI360)=0,"",IF(L$227="","",L$227+L360-1))</f>
        <v/>
      </c>
      <c r="M364" s="403" t="str">
        <f ca="1">IF(SUM(M360:$EI360)=0,"",IF(M$227="","",M$227+M360-1))</f>
        <v/>
      </c>
      <c r="N364" s="403" t="str">
        <f ca="1">IF(SUM(N360:$EI360)=0,"",IF(N$227="","",N$227+N360-1))</f>
        <v/>
      </c>
      <c r="O364" s="403" t="str">
        <f ca="1">IF(SUM(O360:$EI360)=0,"",IF(O$227="","",O$227+O360-1))</f>
        <v/>
      </c>
      <c r="P364" s="403" t="str">
        <f ca="1">IF(SUM(P360:$EI360)=0,"",IF(P$227="","",P$227+P360-1))</f>
        <v/>
      </c>
      <c r="Q364" s="403" t="str">
        <f ca="1">IF(SUM(Q360:$EI360)=0,"",IF(Q$227="","",Q$227+Q360-1))</f>
        <v/>
      </c>
      <c r="R364" s="403" t="str">
        <f ca="1">IF(SUM(R360:$EI360)=0,"",IF(R$227="","",R$227+R360-1))</f>
        <v/>
      </c>
      <c r="S364" s="403" t="str">
        <f ca="1">IF(SUM(S360:$EI360)=0,"",IF(S$227="","",S$227+S360-1))</f>
        <v/>
      </c>
      <c r="T364" s="403" t="str">
        <f ca="1">IF(SUM(T360:$EI360)=0,"",IF(T$227="","",T$227+T360-1))</f>
        <v/>
      </c>
      <c r="U364" s="403" t="str">
        <f ca="1">IF(SUM(U360:$EI360)=0,"",IF(U$227="","",U$227+U360-1))</f>
        <v/>
      </c>
      <c r="V364" s="403" t="str">
        <f ca="1">IF(SUM(V360:$EI360)=0,"",IF(V$227="","",V$227+V360-1))</f>
        <v/>
      </c>
      <c r="W364" s="403" t="str">
        <f ca="1">IF(SUM(W360:$EI360)=0,"",IF(W$227="","",W$227+W360-1))</f>
        <v/>
      </c>
      <c r="X364" s="403" t="str">
        <f ca="1">IF(SUM(X360:$EI360)=0,"",IF(X$227="","",X$227+X360-1))</f>
        <v/>
      </c>
      <c r="Y364" s="403" t="str">
        <f ca="1">IF(SUM(Y360:$EI360)=0,"",IF(Y$227="","",Y$227+Y360-1))</f>
        <v/>
      </c>
      <c r="Z364" s="403" t="str">
        <f ca="1">IF(SUM(Z360:$EI360)=0,"",IF(Z$227="","",Z$227+Z360-1))</f>
        <v/>
      </c>
      <c r="AA364" s="403" t="str">
        <f ca="1">IF(SUM(AA360:$EI360)=0,"",IF(AA$227="","",AA$227+AA360-1))</f>
        <v/>
      </c>
      <c r="AB364" s="403" t="str">
        <f ca="1">IF(SUM(AB360:$EI360)=0,"",IF(AB$227="","",AB$227+AB360-1))</f>
        <v/>
      </c>
      <c r="AC364" s="403" t="str">
        <f ca="1">IF(SUM(AC360:$EI360)=0,"",IF(AC$227="","",AC$227+AC360-1))</f>
        <v/>
      </c>
      <c r="AD364" s="403" t="str">
        <f ca="1">IF(SUM(AD360:$EI360)=0,"",IF(AD$227="","",AD$227+AD360-1))</f>
        <v/>
      </c>
      <c r="AE364" s="403" t="str">
        <f ca="1">IF(SUM(AE360:$EI360)=0,"",IF(AE$227="","",AE$227+AE360-1))</f>
        <v/>
      </c>
      <c r="AF364" s="403" t="str">
        <f ca="1">IF(SUM(AF360:$EI360)=0,"",IF(AF$227="","",AF$227+AF360-1))</f>
        <v/>
      </c>
      <c r="AG364" s="403" t="str">
        <f ca="1">IF(SUM(AG360:$EI360)=0,"",IF(AG$227="","",AG$227+AG360-1))</f>
        <v/>
      </c>
      <c r="AH364" s="403" t="str">
        <f ca="1">IF(SUM(AH360:$EI360)=0,"",IF(AH$227="","",AH$227+AH360-1))</f>
        <v/>
      </c>
      <c r="AI364" s="403" t="str">
        <f ca="1">IF(SUM(AI360:$EI360)=0,"",IF(AI$227="","",AI$227+AI360-1))</f>
        <v/>
      </c>
      <c r="AJ364" s="403" t="str">
        <f ca="1">IF(SUM(AJ360:$EI360)=0,"",IF(AJ$227="","",AJ$227+AJ360-1))</f>
        <v/>
      </c>
      <c r="AK364" s="403" t="str">
        <f ca="1">IF(SUM(AK360:$EI360)=0,"",IF(AK$227="","",AK$227+AK360-1))</f>
        <v/>
      </c>
      <c r="AL364" s="403" t="str">
        <f ca="1">IF(SUM(AL360:$EI360)=0,"",IF(AL$227="","",AL$227+AL360-1))</f>
        <v/>
      </c>
      <c r="AM364" s="403" t="str">
        <f ca="1">IF(SUM(AM360:$EI360)=0,"",IF(AM$227="","",AM$227+AM360-1))</f>
        <v/>
      </c>
      <c r="AN364" s="403" t="str">
        <f ca="1">IF(SUM(AN360:$EI360)=0,"",IF(AN$227="","",AN$227+AN360-1))</f>
        <v/>
      </c>
      <c r="AO364" s="403" t="str">
        <f ca="1">IF(SUM(AO360:$EI360)=0,"",IF(AO$227="","",AO$227+AO360-1))</f>
        <v/>
      </c>
      <c r="AP364" s="403" t="str">
        <f ca="1">IF(SUM(AP360:$EI360)=0,"",IF(AP$227="","",AP$227+AP360-1))</f>
        <v/>
      </c>
      <c r="AQ364" s="403" t="str">
        <f ca="1">IF(SUM(AQ360:$EI360)=0,"",IF(AQ$227="","",AQ$227+AQ360-1))</f>
        <v/>
      </c>
      <c r="AR364" s="403" t="str">
        <f ca="1">IF(SUM(AR360:$EI360)=0,"",IF(AR$227="","",AR$227+AR360-1))</f>
        <v/>
      </c>
      <c r="AS364" s="403" t="str">
        <f ca="1">IF(SUM(AS360:$EI360)=0,"",IF(AS$227="","",AS$227+AS360-1))</f>
        <v/>
      </c>
      <c r="AT364" s="403" t="str">
        <f ca="1">IF(SUM(AT360:$EI360)=0,"",IF(AT$227="","",AT$227+AT360-1))</f>
        <v/>
      </c>
      <c r="AU364" s="403" t="str">
        <f ca="1">IF(SUM(AU360:$EI360)=0,"",IF(AU$227="","",AU$227+AU360-1))</f>
        <v/>
      </c>
      <c r="AV364" s="403" t="str">
        <f ca="1">IF(SUM(AV360:$EI360)=0,"",IF(AV$227="","",AV$227+AV360-1))</f>
        <v/>
      </c>
      <c r="AW364" s="403" t="str">
        <f ca="1">IF(SUM(AW360:$EI360)=0,"",IF(AW$227="","",AW$227+AW360-1))</f>
        <v/>
      </c>
      <c r="AX364" s="403" t="str">
        <f ca="1">IF(SUM(AX360:$EI360)=0,"",IF(AX$227="","",AX$227+AX360-1))</f>
        <v/>
      </c>
      <c r="AY364" s="403" t="str">
        <f ca="1">IF(SUM(AY360:$EI360)=0,"",IF(AY$227="","",AY$227+AY360-1))</f>
        <v/>
      </c>
      <c r="AZ364" s="403" t="str">
        <f ca="1">IF(SUM(AZ360:$EI360)=0,"",IF(AZ$227="","",AZ$227+AZ360-1))</f>
        <v/>
      </c>
      <c r="BA364" s="403" t="str">
        <f ca="1">IF(SUM(BA360:$EI360)=0,"",IF(BA$227="","",BA$227+BA360-1))</f>
        <v/>
      </c>
      <c r="BB364" s="403" t="str">
        <f ca="1">IF(SUM(BB360:$EI360)=0,"",IF(BB$227="","",BB$227+BB360-1))</f>
        <v/>
      </c>
      <c r="BC364" s="403" t="str">
        <f ca="1">IF(SUM(BC360:$EI360)=0,"",IF(BC$227="","",BC$227+BC360-1))</f>
        <v/>
      </c>
      <c r="BD364" s="403" t="str">
        <f ca="1">IF(SUM(BD360:$EI360)=0,"",IF(BD$227="","",BD$227+BD360-1))</f>
        <v/>
      </c>
      <c r="BE364" s="403" t="str">
        <f ca="1">IF(SUM(BE360:$EI360)=0,"",IF(BE$227="","",BE$227+BE360-1))</f>
        <v/>
      </c>
      <c r="BF364" s="403" t="str">
        <f ca="1">IF(SUM(BF360:$EI360)=0,"",IF(BF$227="","",BF$227+BF360-1))</f>
        <v/>
      </c>
      <c r="BG364" s="403" t="str">
        <f ca="1">IF(SUM(BG360:$EI360)=0,"",IF(BG$227="","",BG$227+BG360-1))</f>
        <v/>
      </c>
      <c r="BH364" s="403" t="str">
        <f ca="1">IF(SUM(BH360:$EI360)=0,"",IF(BH$227="","",BH$227+BH360-1))</f>
        <v/>
      </c>
      <c r="BI364" s="403" t="str">
        <f ca="1">IF(SUM(BI360:$EI360)=0,"",IF(BI$227="","",BI$227+BI360-1))</f>
        <v/>
      </c>
      <c r="BJ364" s="403" t="str">
        <f ca="1">IF(SUM(BJ360:$EI360)=0,"",IF(BJ$227="","",BJ$227+BJ360-1))</f>
        <v/>
      </c>
      <c r="BK364" s="403" t="str">
        <f ca="1">IF(SUM(BK360:$EI360)=0,"",IF(BK$227="","",BK$227+BK360-1))</f>
        <v/>
      </c>
      <c r="BL364" s="403" t="str">
        <f ca="1">IF(SUM(BL360:$EI360)=0,"",IF(BL$227="","",BL$227+BL360-1))</f>
        <v/>
      </c>
      <c r="BM364" s="403" t="str">
        <f ca="1">IF(SUM(BM360:$EI360)=0,"",IF(BM$227="","",BM$227+BM360-1))</f>
        <v/>
      </c>
      <c r="BN364" s="403" t="str">
        <f ca="1">IF(SUM(BN360:$EI360)=0,"",IF(BN$227="","",BN$227+BN360-1))</f>
        <v/>
      </c>
      <c r="BO364" s="403" t="str">
        <f ca="1">IF(SUM(BO360:$EI360)=0,"",IF(BO$227="","",BO$227+BO360-1))</f>
        <v/>
      </c>
      <c r="BP364" s="403" t="str">
        <f ca="1">IF(SUM(BP360:$EI360)=0,"",IF(BP$227="","",BP$227+BP360-1))</f>
        <v/>
      </c>
      <c r="BQ364" s="403" t="str">
        <f ca="1">IF(SUM(BQ360:$EI360)=0,"",IF(BQ$227="","",BQ$227+BQ360-1))</f>
        <v/>
      </c>
      <c r="BR364" s="403" t="str">
        <f ca="1">IF(SUM(BR360:$EI360)=0,"",IF(BR$227="","",BR$227+BR360-1))</f>
        <v/>
      </c>
      <c r="BS364" s="403" t="str">
        <f ca="1">IF(SUM(BS360:$EI360)=0,"",IF(BS$227="","",BS$227+BS360-1))</f>
        <v/>
      </c>
      <c r="BT364" s="403" t="str">
        <f ca="1">IF(SUM(BT360:$EI360)=0,"",IF(BT$227="","",BT$227+BT360-1))</f>
        <v/>
      </c>
      <c r="BU364" s="403" t="str">
        <f ca="1">IF(SUM(BU360:$EI360)=0,"",IF(BU$227="","",BU$227+BU360-1))</f>
        <v/>
      </c>
      <c r="BV364" s="403" t="str">
        <f ca="1">IF(SUM(BV360:$EI360)=0,"",IF(BV$227="","",BV$227+BV360-1))</f>
        <v/>
      </c>
      <c r="BW364" s="403" t="str">
        <f ca="1">IF(SUM(BW360:$EI360)=0,"",IF(BW$227="","",BW$227+BW360-1))</f>
        <v/>
      </c>
      <c r="BX364" s="403" t="str">
        <f ca="1">IF(SUM(BX360:$EI360)=0,"",IF(BX$227="","",BX$227+BX360-1))</f>
        <v/>
      </c>
      <c r="BY364" s="403" t="str">
        <f ca="1">IF(SUM(BY360:$EI360)=0,"",IF(BY$227="","",BY$227+BY360-1))</f>
        <v/>
      </c>
      <c r="BZ364" s="403" t="str">
        <f ca="1">IF(SUM(BZ360:$EI360)=0,"",IF(BZ$227="","",BZ$227+BZ360-1))</f>
        <v/>
      </c>
      <c r="CA364" s="403" t="str">
        <f ca="1">IF(SUM(CA360:$EI360)=0,"",IF(CA$227="","",CA$227+CA360-1))</f>
        <v/>
      </c>
      <c r="CB364" s="403" t="str">
        <f ca="1">IF(SUM(CB360:$EI360)=0,"",IF(CB$227="","",CB$227+CB360-1))</f>
        <v/>
      </c>
      <c r="CC364" s="403" t="str">
        <f ca="1">IF(SUM(CC360:$EI360)=0,"",IF(CC$227="","",CC$227+CC360-1))</f>
        <v/>
      </c>
      <c r="CD364" s="403" t="str">
        <f ca="1">IF(SUM(CD360:$EI360)=0,"",IF(CD$227="","",CD$227+CD360-1))</f>
        <v/>
      </c>
      <c r="CE364" s="403" t="str">
        <f ca="1">IF(SUM(CE360:$EI360)=0,"",IF(CE$227="","",CE$227+CE360-1))</f>
        <v/>
      </c>
      <c r="CF364" s="403" t="str">
        <f ca="1">IF(SUM(CF360:$EI360)=0,"",IF(CF$227="","",CF$227+CF360-1))</f>
        <v/>
      </c>
      <c r="CG364" s="403" t="str">
        <f ca="1">IF(SUM(CG360:$EI360)=0,"",IF(CG$227="","",CG$227+CG360-1))</f>
        <v/>
      </c>
      <c r="CH364" s="403" t="str">
        <f ca="1">IF(SUM(CH360:$EI360)=0,"",IF(CH$227="","",CH$227+CH360-1))</f>
        <v/>
      </c>
      <c r="CI364" s="403" t="str">
        <f ca="1">IF(SUM(CI360:$EI360)=0,"",IF(CI$227="","",CI$227+CI360-1))</f>
        <v/>
      </c>
      <c r="CJ364" s="403" t="str">
        <f ca="1">IF(SUM(CJ360:$EI360)=0,"",IF(CJ$227="","",CJ$227+CJ360-1))</f>
        <v/>
      </c>
      <c r="CK364" s="403" t="str">
        <f ca="1">IF(SUM(CK360:$EI360)=0,"",IF(CK$227="","",CK$227+CK360-1))</f>
        <v/>
      </c>
      <c r="CL364" s="403" t="str">
        <f ca="1">IF(SUM(CL360:$EI360)=0,"",IF(CL$227="","",CL$227+CL360-1))</f>
        <v/>
      </c>
      <c r="CM364" s="403" t="str">
        <f ca="1">IF(SUM(CM360:$EI360)=0,"",IF(CM$227="","",CM$227+CM360-1))</f>
        <v/>
      </c>
      <c r="CN364" s="403" t="str">
        <f ca="1">IF(SUM(CN360:$EI360)=0,"",IF(CN$227="","",CN$227+CN360-1))</f>
        <v/>
      </c>
      <c r="CO364" s="403" t="str">
        <f ca="1">IF(SUM(CO360:$EI360)=0,"",IF(CO$227="","",CO$227+CO360-1))</f>
        <v/>
      </c>
      <c r="CP364" s="403" t="str">
        <f ca="1">IF(SUM(CP360:$EI360)=0,"",IF(CP$227="","",CP$227+CP360-1))</f>
        <v/>
      </c>
      <c r="CQ364" s="403" t="str">
        <f ca="1">IF(SUM(CQ360:$EI360)=0,"",IF(CQ$227="","",CQ$227+CQ360-1))</f>
        <v/>
      </c>
      <c r="CR364" s="403" t="str">
        <f ca="1">IF(SUM(CR360:$EI360)=0,"",IF(CR$227="","",CR$227+CR360-1))</f>
        <v/>
      </c>
      <c r="CS364" s="403" t="str">
        <f ca="1">IF(SUM(CS360:$EI360)=0,"",IF(CS$227="","",CS$227+CS360-1))</f>
        <v/>
      </c>
      <c r="CT364" s="403" t="str">
        <f ca="1">IF(SUM(CT360:$EI360)=0,"",IF(CT$227="","",CT$227+CT360-1))</f>
        <v/>
      </c>
      <c r="CU364" s="403" t="str">
        <f ca="1">IF(SUM(CU360:$EI360)=0,"",IF(CU$227="","",CU$227+CU360-1))</f>
        <v/>
      </c>
      <c r="CV364" s="403" t="str">
        <f ca="1">IF(SUM(CV360:$EI360)=0,"",IF(CV$227="","",CV$227+CV360-1))</f>
        <v/>
      </c>
      <c r="CW364" s="403" t="str">
        <f ca="1">IF(SUM(CW360:$EI360)=0,"",IF(CW$227="","",CW$227+CW360-1))</f>
        <v/>
      </c>
      <c r="CX364" s="403" t="str">
        <f ca="1">IF(SUM(CX360:$EI360)=0,"",IF(CX$227="","",CX$227+CX360-1))</f>
        <v/>
      </c>
      <c r="CY364" s="403" t="str">
        <f ca="1">IF(SUM(CY360:$EI360)=0,"",IF(CY$227="","",CY$227+CY360-1))</f>
        <v/>
      </c>
      <c r="CZ364" s="403" t="str">
        <f ca="1">IF(SUM(CZ360:$EI360)=0,"",IF(CZ$227="","",CZ$227+CZ360-1))</f>
        <v/>
      </c>
      <c r="DA364" s="403" t="str">
        <f ca="1">IF(SUM(DA360:$EI360)=0,"",IF(DA$227="","",DA$227+DA360-1))</f>
        <v/>
      </c>
      <c r="DB364" s="403" t="str">
        <f ca="1">IF(SUM(DB360:$EI360)=0,"",IF(DB$227="","",DB$227+DB360-1))</f>
        <v/>
      </c>
      <c r="DC364" s="403" t="str">
        <f ca="1">IF(SUM(DC360:$EI360)=0,"",IF(DC$227="","",DC$227+DC360-1))</f>
        <v/>
      </c>
      <c r="DD364" s="403" t="str">
        <f ca="1">IF(SUM(DD360:$EI360)=0,"",IF(DD$227="","",DD$227+DD360-1))</f>
        <v/>
      </c>
      <c r="DE364" s="403" t="str">
        <f ca="1">IF(SUM(DE360:$EI360)=0,"",IF(DE$227="","",DE$227+DE360-1))</f>
        <v/>
      </c>
      <c r="DF364" s="403" t="str">
        <f ca="1">IF(SUM(DF360:$EI360)=0,"",IF(DF$227="","",DF$227+DF360-1))</f>
        <v/>
      </c>
      <c r="DG364" s="403" t="str">
        <f ca="1">IF(SUM(DG360:$EI360)=0,"",IF(DG$227="","",DG$227+DG360-1))</f>
        <v/>
      </c>
      <c r="DH364" s="403" t="str">
        <f ca="1">IF(SUM(DH360:$EI360)=0,"",IF(DH$227="","",DH$227+DH360-1))</f>
        <v/>
      </c>
      <c r="DI364" s="403" t="str">
        <f ca="1">IF(SUM(DI360:$EI360)=0,"",IF(DI$227="","",DI$227+DI360-1))</f>
        <v/>
      </c>
      <c r="DJ364" s="403" t="str">
        <f ca="1">IF(SUM(DJ360:$EI360)=0,"",IF(DJ$227="","",DJ$227+DJ360-1))</f>
        <v/>
      </c>
      <c r="DK364" s="403" t="str">
        <f ca="1">IF(SUM(DK360:$EI360)=0,"",IF(DK$227="","",DK$227+DK360-1))</f>
        <v/>
      </c>
      <c r="DL364" s="403" t="str">
        <f ca="1">IF(SUM(DL360:$EI360)=0,"",IF(DL$227="","",DL$227+DL360-1))</f>
        <v/>
      </c>
      <c r="DM364" s="403" t="str">
        <f ca="1">IF(SUM(DM360:$EI360)=0,"",IF(DM$227="","",DM$227+DM360-1))</f>
        <v/>
      </c>
      <c r="DN364" s="403" t="str">
        <f ca="1">IF(SUM(DN360:$EI360)=0,"",IF(DN$227="","",DN$227+DN360-1))</f>
        <v/>
      </c>
      <c r="DO364" s="403" t="str">
        <f ca="1">IF(SUM(DO360:$EI360)=0,"",IF(DO$227="","",DO$227+DO360-1))</f>
        <v/>
      </c>
      <c r="DP364" s="403" t="str">
        <f ca="1">IF(SUM(DP360:$EI360)=0,"",IF(DP$227="","",DP$227+DP360-1))</f>
        <v/>
      </c>
      <c r="DQ364" s="403" t="str">
        <f ca="1">IF(SUM(DQ360:$EI360)=0,"",IF(DQ$227="","",DQ$227+DQ360-1))</f>
        <v/>
      </c>
      <c r="DR364" s="403" t="str">
        <f ca="1">IF(SUM(DR360:$EI360)=0,"",IF(DR$227="","",DR$227+DR360-1))</f>
        <v/>
      </c>
      <c r="DS364" s="403" t="str">
        <f ca="1">IF(SUM(DS360:$EI360)=0,"",IF(DS$227="","",DS$227+DS360-1))</f>
        <v/>
      </c>
      <c r="DT364" s="403" t="str">
        <f ca="1">IF(SUM(DT360:$EI360)=0,"",IF(DT$227="","",DT$227+DT360-1))</f>
        <v/>
      </c>
      <c r="DU364" s="403" t="str">
        <f ca="1">IF(SUM(DU360:$EI360)=0,"",IF(DU$227="","",DU$227+DU360-1))</f>
        <v/>
      </c>
      <c r="DV364" s="403" t="str">
        <f ca="1">IF(SUM(DV360:$EI360)=0,"",IF(DV$227="","",DV$227+DV360-1))</f>
        <v/>
      </c>
      <c r="DW364" s="403" t="str">
        <f ca="1">IF(SUM(DW360:$EI360)=0,"",IF(DW$227="","",DW$227+DW360-1))</f>
        <v/>
      </c>
      <c r="DX364" s="403" t="str">
        <f ca="1">IF(SUM(DX360:$EI360)=0,"",IF(DX$227="","",DX$227+DX360-1))</f>
        <v/>
      </c>
      <c r="DY364" s="403" t="str">
        <f ca="1">IF(SUM(DY360:$EI360)=0,"",IF(DY$227="","",DY$227+DY360-1))</f>
        <v/>
      </c>
      <c r="DZ364" s="403" t="str">
        <f ca="1">IF(SUM(DZ360:$EI360)=0,"",IF(DZ$227="","",DZ$227+DZ360-1))</f>
        <v/>
      </c>
      <c r="EA364" s="403" t="str">
        <f ca="1">IF(SUM(EA360:$EI360)=0,"",IF(EA$227="","",EA$227+EA360-1))</f>
        <v/>
      </c>
      <c r="EB364" s="403" t="str">
        <f ca="1">IF(SUM(EB360:$EI360)=0,"",IF(EB$227="","",EB$227+EB360-1))</f>
        <v/>
      </c>
      <c r="EC364" s="403" t="str">
        <f ca="1">IF(SUM(EC360:$EI360)=0,"",IF(EC$227="","",EC$227+EC360-1))</f>
        <v/>
      </c>
      <c r="ED364" s="403" t="str">
        <f ca="1">IF(SUM(ED360:$EI360)=0,"",IF(ED$227="","",ED$227+ED360-1))</f>
        <v/>
      </c>
      <c r="EE364" s="403" t="str">
        <f ca="1">IF(SUM(EE360:$EI360)=0,"",IF(EE$227="","",EE$227+EE360-1))</f>
        <v/>
      </c>
      <c r="EF364" s="403" t="str">
        <f ca="1">IF(SUM(EF360:$EI360)=0,"",IF(EF$227="","",EF$227+EF360-1))</f>
        <v/>
      </c>
      <c r="EG364" s="403" t="str">
        <f ca="1">IF(SUM(EG360:$EI360)=0,"",IF(EG$227="","",EG$227+EG360-1))</f>
        <v/>
      </c>
      <c r="EH364" s="403" t="str">
        <f ca="1">IF(SUM(EH360:$EI360)=0,"",IF(EH$227="","",EH$227+EH360-1))</f>
        <v/>
      </c>
      <c r="EI364" s="403" t="str">
        <f ca="1">IF(SUM(EI360:$EI360)=0,"",IF(EI$227="","",EI$227+EI360-1))</f>
        <v/>
      </c>
    </row>
    <row r="365" spans="1:141" outlineLevel="1" collapsed="1">
      <c r="A365" s="332"/>
      <c r="B365" s="313"/>
      <c r="C365" s="317" t="s">
        <v>118</v>
      </c>
      <c r="D365" s="317" t="s">
        <v>119</v>
      </c>
      <c r="E365" s="400">
        <f ca="1">IF(ГРП!B36=0,длительность!F124,ГРП!B36)</f>
        <v>40</v>
      </c>
      <c r="F365" s="318">
        <f ca="1">E365-SUM(G365:EJ365)</f>
        <v>0</v>
      </c>
      <c r="G365" s="401"/>
      <c r="H365" s="401">
        <f ca="1">IF(SUM($G365:G365)&gt;=$E365,0,IF($E365-SUM($G365:G365)&gt;H366,H366,$E365-SUM($G366:G366)))</f>
        <v>0</v>
      </c>
      <c r="I365" s="401">
        <f ca="1">IF(SUM($G365:H365)&gt;=$E365,0,IF($E365-SUM($G365:H365)&gt;I366,I366,$E365-SUM($G366:H366)))</f>
        <v>0</v>
      </c>
      <c r="J365" s="401">
        <f ca="1">IF(SUM($G365:I365)&gt;=$E365,0,IF($E365-SUM($G365:I365)&gt;J366,J366,$E365-SUM($G366:I366)))</f>
        <v>0</v>
      </c>
      <c r="K365" s="401">
        <f ca="1">IF(SUM($G365:J365)&gt;=$E365,0,IF($E365-SUM($G365:J365)&gt;K366,K366,$E365-SUM($G366:J366)))</f>
        <v>0</v>
      </c>
      <c r="L365" s="401">
        <f ca="1">IF(SUM($G365:K365)&gt;=$E365,0,IF($E365-SUM($G365:K365)&gt;L366,L366,$E365-SUM($G366:K366)))</f>
        <v>0</v>
      </c>
      <c r="M365" s="401">
        <f ca="1">IF(SUM($G365:L365)&gt;=$E365,0,IF($E365-SUM($G365:L365)&gt;M366,M366,$E365-SUM($G366:L366)))</f>
        <v>0</v>
      </c>
      <c r="N365" s="401">
        <f ca="1">IF(SUM($G365:M365)&gt;=$E365,0,IF($E365-SUM($G365:M365)&gt;N366,N366,$E365-SUM($G366:M366)))</f>
        <v>0</v>
      </c>
      <c r="O365" s="401">
        <f ca="1">IF(SUM($G365:N365)&gt;=$E365,0,IF($E365-SUM($G365:N365)&gt;O366,O366,$E365-SUM($G366:N366)))</f>
        <v>0</v>
      </c>
      <c r="P365" s="401">
        <f ca="1">IF(SUM($G365:O365)&gt;=$E365,0,IF($E365-SUM($G365:O365)&gt;P366,P366,$E365-SUM($G366:O366)))</f>
        <v>0</v>
      </c>
      <c r="Q365" s="401">
        <f ca="1">IF(SUM($G365:P365)&gt;=$E365,0,IF($E365-SUM($G365:P365)&gt;Q366,Q366,$E365-SUM($G366:P366)))</f>
        <v>0</v>
      </c>
      <c r="R365" s="401">
        <f ca="1">IF(SUM($G365:Q365)&gt;=$E365,0,IF($E365-SUM($G365:Q365)&gt;R366,R366,$E365-SUM($G366:Q366)))</f>
        <v>6.8499999999999943</v>
      </c>
      <c r="S365" s="401">
        <f ca="1">IF(SUM($G365:R365)&gt;=$E365,0,IF($E365-SUM($G365:R365)&gt;S366,S366,$E365-SUM($G366:R366)))</f>
        <v>31</v>
      </c>
      <c r="T365" s="401">
        <f ca="1">IF(SUM($G365:S365)&gt;=$E365,0,IF($E365-SUM($G365:S365)&gt;T366,T366,$E365-SUM($G366:S366)))</f>
        <v>2.1500000000000057</v>
      </c>
      <c r="U365" s="401">
        <f ca="1">IF(SUM($G365:T365)&gt;=$E365,0,IF($E365-SUM($G365:T365)&gt;U366,U366,$E365-SUM($G366:T366)))</f>
        <v>0</v>
      </c>
      <c r="V365" s="401">
        <f ca="1">IF(SUM($G365:U365)&gt;=$E365,0,IF($E365-SUM($G365:U365)&gt;V366,V366,$E365-SUM($G366:U366)))</f>
        <v>0</v>
      </c>
      <c r="W365" s="401">
        <f ca="1">IF(SUM($G365:V365)&gt;=$E365,0,IF($E365-SUM($G365:V365)&gt;W366,W366,$E365-SUM($G366:V366)))</f>
        <v>0</v>
      </c>
      <c r="X365" s="401">
        <f ca="1">IF(SUM($G365:W365)&gt;=$E365,0,IF($E365-SUM($G365:W365)&gt;X366,X366,$E365-SUM($G366:W366)))</f>
        <v>0</v>
      </c>
      <c r="Y365" s="401">
        <f ca="1">IF(SUM($G365:X365)&gt;=$E365,0,IF($E365-SUM($G365:X365)&gt;Y366,Y366,$E365-SUM($G366:X366)))</f>
        <v>0</v>
      </c>
      <c r="Z365" s="401">
        <f ca="1">IF(SUM($G365:Y365)&gt;=$E365,0,IF($E365-SUM($G365:Y365)&gt;Z366,Z366,$E365-SUM($G366:Y366)))</f>
        <v>0</v>
      </c>
      <c r="AA365" s="401">
        <f ca="1">IF(SUM($G365:Z365)&gt;=$E365,0,IF($E365-SUM($G365:Z365)&gt;AA366,AA366,$E365-SUM($G366:Z366)))</f>
        <v>0</v>
      </c>
      <c r="AB365" s="401">
        <f ca="1">IF(SUM($G365:AA365)&gt;=$E365,0,IF($E365-SUM($G365:AA365)&gt;AB366,AB366,$E365-SUM($G366:AA366)))</f>
        <v>0</v>
      </c>
      <c r="AC365" s="401">
        <f ca="1">IF(SUM($G365:AB365)&gt;=$E365,0,IF($E365-SUM($G365:AB365)&gt;AC366,AC366,$E365-SUM($G366:AB366)))</f>
        <v>0</v>
      </c>
      <c r="AD365" s="401">
        <f ca="1">IF(SUM($G365:AC365)&gt;=$E365,0,IF($E365-SUM($G365:AC365)&gt;AD366,AD366,$E365-SUM($G366:AC366)))</f>
        <v>0</v>
      </c>
      <c r="AE365" s="401">
        <f ca="1">IF(SUM($G365:AD365)&gt;=$E365,0,IF($E365-SUM($G365:AD365)&gt;AE366,AE366,$E365-SUM($G366:AD366)))</f>
        <v>0</v>
      </c>
      <c r="AF365" s="401">
        <f ca="1">IF(SUM($G365:AE365)&gt;=$E365,0,IF($E365-SUM($G365:AE365)&gt;AF366,AF366,$E365-SUM($G366:AE366)))</f>
        <v>0</v>
      </c>
      <c r="AG365" s="401">
        <f ca="1">IF(SUM($G365:AF365)&gt;=$E365,0,IF($E365-SUM($G365:AF365)&gt;AG366,AG366,$E365-SUM($G366:AF366)))</f>
        <v>0</v>
      </c>
      <c r="AH365" s="401">
        <f ca="1">IF(SUM($G365:AG365)&gt;=$E365,0,IF($E365-SUM($G365:AG365)&gt;AH366,AH366,$E365-SUM($G366:AG366)))</f>
        <v>0</v>
      </c>
      <c r="AI365" s="401">
        <f ca="1">IF(SUM($G365:AH365)&gt;=$E365,0,IF($E365-SUM($G365:AH365)&gt;AI366,AI366,$E365-SUM($G366:AH366)))</f>
        <v>0</v>
      </c>
      <c r="AJ365" s="401">
        <f ca="1">IF(SUM($G365:AI365)&gt;=$E365,0,IF($E365-SUM($G365:AI365)&gt;AJ366,AJ366,$E365-SUM($G366:AI366)))</f>
        <v>0</v>
      </c>
      <c r="AK365" s="401">
        <f ca="1">IF(SUM($G365:AJ365)&gt;=$E365,0,IF($E365-SUM($G365:AJ365)&gt;AK366,AK366,$E365-SUM($G366:AJ366)))</f>
        <v>0</v>
      </c>
      <c r="AL365" s="401">
        <f ca="1">IF(SUM($G365:AK365)&gt;=$E365,0,IF($E365-SUM($G365:AK365)&gt;AL366,AL366,$E365-SUM($G366:AK366)))</f>
        <v>0</v>
      </c>
      <c r="AM365" s="401">
        <f ca="1">IF(SUM($G365:AL365)&gt;=$E365,0,IF($E365-SUM($G365:AL365)&gt;AM366,AM366,$E365-SUM($G366:AL366)))</f>
        <v>0</v>
      </c>
      <c r="AN365" s="401">
        <f ca="1">IF(SUM($G365:AM365)&gt;=$E365,0,IF($E365-SUM($G365:AM365)&gt;AN366,AN366,$E365-SUM($G366:AM366)))</f>
        <v>0</v>
      </c>
      <c r="AO365" s="401">
        <f ca="1">IF(SUM($G365:AN365)&gt;=$E365,0,IF($E365-SUM($G365:AN365)&gt;AO366,AO366,$E365-SUM($G366:AN366)))</f>
        <v>0</v>
      </c>
      <c r="AP365" s="401">
        <f ca="1">IF(SUM($G365:AO365)&gt;=$E365,0,IF($E365-SUM($G365:AO365)&gt;AP366,AP366,$E365-SUM($G366:AO366)))</f>
        <v>0</v>
      </c>
      <c r="AQ365" s="401">
        <f ca="1">IF(SUM($G365:AP365)&gt;=$E365,0,IF($E365-SUM($G365:AP365)&gt;AQ366,AQ366,$E365-SUM($G366:AP366)))</f>
        <v>0</v>
      </c>
      <c r="AR365" s="401">
        <f ca="1">IF(SUM($G365:AQ365)&gt;=$E365,0,IF($E365-SUM($G365:AQ365)&gt;AR366,AR366,$E365-SUM($G366:AQ366)))</f>
        <v>0</v>
      </c>
      <c r="AS365" s="401">
        <f ca="1">IF(SUM($G365:AR365)&gt;=$E365,0,IF($E365-SUM($G365:AR365)&gt;AS366,AS366,$E365-SUM($G366:AR366)))</f>
        <v>0</v>
      </c>
      <c r="AT365" s="401">
        <f ca="1">IF(SUM($G365:AS365)&gt;=$E365,0,IF($E365-SUM($G365:AS365)&gt;AT366,AT366,$E365-SUM($G366:AS366)))</f>
        <v>0</v>
      </c>
      <c r="AU365" s="401">
        <f ca="1">IF(SUM($G365:AT365)&gt;=$E365,0,IF($E365-SUM($G365:AT365)&gt;AU366,AU366,$E365-SUM($G366:AT366)))</f>
        <v>0</v>
      </c>
      <c r="AV365" s="401">
        <f ca="1">IF(SUM($G365:AU365)&gt;=$E365,0,IF($E365-SUM($G365:AU365)&gt;AV366,AV366,$E365-SUM($G366:AU366)))</f>
        <v>0</v>
      </c>
      <c r="AW365" s="401">
        <f ca="1">IF(SUM($G365:AV365)&gt;=$E365,0,IF($E365-SUM($G365:AV365)&gt;AW366,AW366,$E365-SUM($G366:AV366)))</f>
        <v>0</v>
      </c>
      <c r="AX365" s="401">
        <f ca="1">IF(SUM($G365:AW365)&gt;=$E365,0,IF($E365-SUM($G365:AW365)&gt;AX366,AX366,$E365-SUM($G366:AW366)))</f>
        <v>0</v>
      </c>
      <c r="AY365" s="401">
        <f ca="1">IF(SUM($G365:AX365)&gt;=$E365,0,IF($E365-SUM($G365:AX365)&gt;AY366,AY366,$E365-SUM($G366:AX366)))</f>
        <v>0</v>
      </c>
      <c r="AZ365" s="401">
        <f ca="1">IF(SUM($G365:AY365)&gt;=$E365,0,IF($E365-SUM($G365:AY365)&gt;AZ366,AZ366,$E365-SUM($G366:AY366)))</f>
        <v>0</v>
      </c>
      <c r="BA365" s="401">
        <f ca="1">IF(SUM($G365:AZ365)&gt;=$E365,0,IF($E365-SUM($G365:AZ365)&gt;BA366,BA366,$E365-SUM($G366:AZ366)))</f>
        <v>0</v>
      </c>
      <c r="BB365" s="401">
        <f ca="1">IF(SUM($G365:BA365)&gt;=$E365,0,IF($E365-SUM($G365:BA365)&gt;BB366,BB366,$E365-SUM($G366:BA366)))</f>
        <v>0</v>
      </c>
      <c r="BC365" s="401">
        <f ca="1">IF(SUM($G365:BB365)&gt;=$E365,0,IF($E365-SUM($G365:BB365)&gt;BC366,BC366,$E365-SUM($G366:BB366)))</f>
        <v>0</v>
      </c>
      <c r="BD365" s="401">
        <f ca="1">IF(SUM($G365:BC365)&gt;=$E365,0,IF($E365-SUM($G365:BC365)&gt;BD366,BD366,$E365-SUM($G366:BC366)))</f>
        <v>0</v>
      </c>
      <c r="BE365" s="401">
        <f ca="1">IF(SUM($G365:BD365)&gt;=$E365,0,IF($E365-SUM($G365:BD365)&gt;BE366,BE366,$E365-SUM($G366:BD366)))</f>
        <v>0</v>
      </c>
      <c r="BF365" s="401">
        <f ca="1">IF(SUM($G365:BE365)&gt;=$E365,0,IF($E365-SUM($G365:BE365)&gt;BF366,BF366,$E365-SUM($G366:BE366)))</f>
        <v>0</v>
      </c>
      <c r="BG365" s="401">
        <f ca="1">IF(SUM($G365:BF365)&gt;=$E365,0,IF($E365-SUM($G365:BF365)&gt;BG366,BG366,$E365-SUM($G366:BF366)))</f>
        <v>0</v>
      </c>
      <c r="BH365" s="401">
        <f ca="1">IF(SUM($G365:BG365)&gt;=$E365,0,IF($E365-SUM($G365:BG365)&gt;BH366,BH366,$E365-SUM($G366:BG366)))</f>
        <v>0</v>
      </c>
      <c r="BI365" s="401">
        <f ca="1">IF(SUM($G365:BH365)&gt;=$E365,0,IF($E365-SUM($G365:BH365)&gt;BI366,BI366,$E365-SUM($G366:BH366)))</f>
        <v>0</v>
      </c>
      <c r="BJ365" s="401">
        <f ca="1">IF(SUM($G365:BI365)&gt;=$E365,0,IF($E365-SUM($G365:BI365)&gt;BJ366,BJ366,$E365-SUM($G366:BI366)))</f>
        <v>0</v>
      </c>
      <c r="BK365" s="401">
        <f ca="1">IF(SUM($G365:BJ365)&gt;=$E365,0,IF($E365-SUM($G365:BJ365)&gt;BK366,BK366,$E365-SUM($G366:BJ366)))</f>
        <v>0</v>
      </c>
      <c r="BL365" s="401">
        <f ca="1">IF(SUM($G365:BK365)&gt;=$E365,0,IF($E365-SUM($G365:BK365)&gt;BL366,BL366,$E365-SUM($G366:BK366)))</f>
        <v>0</v>
      </c>
      <c r="BM365" s="401">
        <f ca="1">IF(SUM($G365:BL365)&gt;=$E365,0,IF($E365-SUM($G365:BL365)&gt;BM366,BM366,$E365-SUM($G366:BL366)))</f>
        <v>0</v>
      </c>
      <c r="BN365" s="401">
        <f ca="1">IF(SUM($G365:BM365)&gt;=$E365,0,IF($E365-SUM($G365:BM365)&gt;BN366,BN366,$E365-SUM($G366:BM366)))</f>
        <v>0</v>
      </c>
      <c r="BO365" s="401">
        <f ca="1">IF(SUM($G365:BN365)&gt;=$E365,0,IF($E365-SUM($G365:BN365)&gt;BO366,BO366,$E365-SUM($G366:BN366)))</f>
        <v>0</v>
      </c>
      <c r="BP365" s="401">
        <f ca="1">IF(SUM($G365:BO365)&gt;=$E365,0,IF($E365-SUM($G365:BO365)&gt;BP366,BP366,$E365-SUM($G366:BO366)))</f>
        <v>0</v>
      </c>
      <c r="BQ365" s="401">
        <f ca="1">IF(SUM($G365:BP365)&gt;=$E365,0,IF($E365-SUM($G365:BP365)&gt;BQ366,BQ366,$E365-SUM($G366:BP366)))</f>
        <v>0</v>
      </c>
      <c r="BR365" s="401">
        <f ca="1">IF(SUM($G365:BQ365)&gt;=$E365,0,IF($E365-SUM($G365:BQ365)&gt;BR366,BR366,$E365-SUM($G366:BQ366)))</f>
        <v>0</v>
      </c>
      <c r="BS365" s="401">
        <f ca="1">IF(SUM($G365:BR365)&gt;=$E365,0,IF($E365-SUM($G365:BR365)&gt;BS366,BS366,$E365-SUM($G366:BR366)))</f>
        <v>0</v>
      </c>
      <c r="BT365" s="401">
        <f ca="1">IF(SUM($G365:BS365)&gt;=$E365,0,IF($E365-SUM($G365:BS365)&gt;BT366,BT366,$E365-SUM($G366:BS366)))</f>
        <v>0</v>
      </c>
      <c r="BU365" s="401">
        <f ca="1">IF(SUM($G365:BT365)&gt;=$E365,0,IF($E365-SUM($G365:BT365)&gt;BU366,BU366,$E365-SUM($G366:BT366)))</f>
        <v>0</v>
      </c>
      <c r="BV365" s="401">
        <f ca="1">IF(SUM($G365:BU365)&gt;=$E365,0,IF($E365-SUM($G365:BU365)&gt;BV366,BV366,$E365-SUM($G366:BU366)))</f>
        <v>0</v>
      </c>
      <c r="BW365" s="401">
        <f ca="1">IF(SUM($G365:BV365)&gt;=$E365,0,IF($E365-SUM($G365:BV365)&gt;BW366,BW366,$E365-SUM($G366:BV366)))</f>
        <v>0</v>
      </c>
      <c r="BX365" s="401">
        <f ca="1">IF(SUM($G365:BW365)&gt;=$E365,0,IF($E365-SUM($G365:BW365)&gt;BX366,BX366,$E365-SUM($G366:BW366)))</f>
        <v>0</v>
      </c>
      <c r="BY365" s="401">
        <f ca="1">IF(SUM($G365:BX365)&gt;=$E365,0,IF($E365-SUM($G365:BX365)&gt;BY366,BY366,$E365-SUM($G366:BX366)))</f>
        <v>0</v>
      </c>
      <c r="BZ365" s="401">
        <f ca="1">IF(SUM($G365:BY365)&gt;=$E365,0,IF($E365-SUM($G365:BY365)&gt;BZ366,BZ366,$E365-SUM($G366:BY366)))</f>
        <v>0</v>
      </c>
      <c r="CA365" s="401">
        <f ca="1">IF(SUM($G365:BZ365)&gt;=$E365,0,IF($E365-SUM($G365:BZ365)&gt;CA366,CA366,$E365-SUM($G366:BZ366)))</f>
        <v>0</v>
      </c>
      <c r="CB365" s="401">
        <f ca="1">IF(SUM($G365:CA365)&gt;=$E365,0,IF($E365-SUM($G365:CA365)&gt;CB366,CB366,$E365-SUM($G366:CA366)))</f>
        <v>0</v>
      </c>
      <c r="CC365" s="401">
        <f ca="1">IF(SUM($G365:CB365)&gt;=$E365,0,IF($E365-SUM($G365:CB365)&gt;CC366,CC366,$E365-SUM($G366:CB366)))</f>
        <v>0</v>
      </c>
      <c r="CD365" s="401">
        <f ca="1">IF(SUM($G365:CC365)&gt;=$E365,0,IF($E365-SUM($G365:CC365)&gt;CD366,CD366,$E365-SUM($G366:CC366)))</f>
        <v>0</v>
      </c>
      <c r="CE365" s="401">
        <f ca="1">IF(SUM($G365:CD365)&gt;=$E365,0,IF($E365-SUM($G365:CD365)&gt;CE366,CE366,$E365-SUM($G366:CD366)))</f>
        <v>0</v>
      </c>
      <c r="CF365" s="401">
        <f ca="1">IF(SUM($G365:CE365)&gt;=$E365,0,IF($E365-SUM($G365:CE365)&gt;CF366,CF366,$E365-SUM($G366:CE366)))</f>
        <v>0</v>
      </c>
      <c r="CG365" s="401">
        <f ca="1">IF(SUM($G365:CF365)&gt;=$E365,0,IF($E365-SUM($G365:CF365)&gt;CG366,CG366,$E365-SUM($G366:CF366)))</f>
        <v>0</v>
      </c>
      <c r="CH365" s="401">
        <f ca="1">IF(SUM($G365:CG365)&gt;=$E365,0,IF($E365-SUM($G365:CG365)&gt;CH366,CH366,$E365-SUM($G366:CG366)))</f>
        <v>0</v>
      </c>
      <c r="CI365" s="401">
        <f ca="1">IF(SUM($G365:CH365)&gt;=$E365,0,IF($E365-SUM($G365:CH365)&gt;CI366,CI366,$E365-SUM($G366:CH366)))</f>
        <v>0</v>
      </c>
      <c r="CJ365" s="401">
        <f ca="1">IF(SUM($G365:CI365)&gt;=$E365,0,IF($E365-SUM($G365:CI365)&gt;CJ366,CJ366,$E365-SUM($G366:CI366)))</f>
        <v>0</v>
      </c>
      <c r="CK365" s="401">
        <f ca="1">IF(SUM($G365:CJ365)&gt;=$E365,0,IF($E365-SUM($G365:CJ365)&gt;CK366,CK366,$E365-SUM($G366:CJ366)))</f>
        <v>0</v>
      </c>
      <c r="CL365" s="401">
        <f ca="1">IF(SUM($G365:CK365)&gt;=$E365,0,IF($E365-SUM($G365:CK365)&gt;CL366,CL366,$E365-SUM($G366:CK366)))</f>
        <v>0</v>
      </c>
      <c r="CM365" s="401">
        <f ca="1">IF(SUM($G365:CL365)&gt;=$E365,0,IF($E365-SUM($G365:CL365)&gt;CM366,CM366,$E365-SUM($G366:CL366)))</f>
        <v>0</v>
      </c>
      <c r="CN365" s="401">
        <f ca="1">IF(SUM($G365:CM365)&gt;=$E365,0,IF($E365-SUM($G365:CM365)&gt;CN366,CN366,$E365-SUM($G366:CM366)))</f>
        <v>0</v>
      </c>
      <c r="CO365" s="401">
        <f ca="1">IF(SUM($G365:CN365)&gt;=$E365,0,IF($E365-SUM($G365:CN365)&gt;CO366,CO366,$E365-SUM($G366:CN366)))</f>
        <v>0</v>
      </c>
      <c r="CP365" s="401">
        <f ca="1">IF(SUM($G365:CO365)&gt;=$E365,0,IF($E365-SUM($G365:CO365)&gt;CP366,CP366,$E365-SUM($G366:CO366)))</f>
        <v>0</v>
      </c>
      <c r="CQ365" s="401">
        <f ca="1">IF(SUM($G365:CP365)&gt;=$E365,0,IF($E365-SUM($G365:CP365)&gt;CQ366,CQ366,$E365-SUM($G366:CP366)))</f>
        <v>0</v>
      </c>
      <c r="CR365" s="401">
        <f ca="1">IF(SUM($G365:CQ365)&gt;=$E365,0,IF($E365-SUM($G365:CQ365)&gt;CR366,CR366,$E365-SUM($G366:CQ366)))</f>
        <v>0</v>
      </c>
      <c r="CS365" s="401">
        <f ca="1">IF(SUM($G365:CR365)&gt;=$E365,0,IF($E365-SUM($G365:CR365)&gt;CS366,CS366,$E365-SUM($G366:CR366)))</f>
        <v>0</v>
      </c>
      <c r="CT365" s="401">
        <f ca="1">IF(SUM($G365:CS365)&gt;=$E365,0,IF($E365-SUM($G365:CS365)&gt;CT366,CT366,$E365-SUM($G366:CS366)))</f>
        <v>0</v>
      </c>
      <c r="CU365" s="401">
        <f ca="1">IF(SUM($G365:CT365)&gt;=$E365,0,IF($E365-SUM($G365:CT365)&gt;CU366,CU366,$E365-SUM($G366:CT366)))</f>
        <v>0</v>
      </c>
      <c r="CV365" s="401">
        <f ca="1">IF(SUM($G365:CU365)&gt;=$E365,0,IF($E365-SUM($G365:CU365)&gt;CV366,CV366,$E365-SUM($G366:CU366)))</f>
        <v>0</v>
      </c>
      <c r="CW365" s="401">
        <f ca="1">IF(SUM($G365:CV365)&gt;=$E365,0,IF($E365-SUM($G365:CV365)&gt;CW366,CW366,$E365-SUM($G366:CV366)))</f>
        <v>0</v>
      </c>
      <c r="CX365" s="401">
        <f ca="1">IF(SUM($G365:CW365)&gt;=$E365,0,IF($E365-SUM($G365:CW365)&gt;CX366,CX366,$E365-SUM($G366:CW366)))</f>
        <v>0</v>
      </c>
      <c r="CY365" s="401">
        <f ca="1">IF(SUM($G365:CX365)&gt;=$E365,0,IF($E365-SUM($G365:CX365)&gt;CY366,CY366,$E365-SUM($G366:CX366)))</f>
        <v>0</v>
      </c>
      <c r="CZ365" s="401">
        <f ca="1">IF(SUM($G365:CY365)&gt;=$E365,0,IF($E365-SUM($G365:CY365)&gt;CZ366,CZ366,$E365-SUM($G366:CY366)))</f>
        <v>0</v>
      </c>
      <c r="DA365" s="401">
        <f ca="1">IF(SUM($G365:CZ365)&gt;=$E365,0,IF($E365-SUM($G365:CZ365)&gt;DA366,DA366,$E365-SUM($G366:CZ366)))</f>
        <v>0</v>
      </c>
      <c r="DB365" s="401">
        <f ca="1">IF(SUM($G365:DA365)&gt;=$E365,0,IF($E365-SUM($G365:DA365)&gt;DB366,DB366,$E365-SUM($G366:DA366)))</f>
        <v>0</v>
      </c>
      <c r="DC365" s="401">
        <f ca="1">IF(SUM($G365:DB365)&gt;=$E365,0,IF($E365-SUM($G365:DB365)&gt;DC366,DC366,$E365-SUM($G366:DB366)))</f>
        <v>0</v>
      </c>
      <c r="DD365" s="401">
        <f ca="1">IF(SUM($G365:DC365)&gt;=$E365,0,IF($E365-SUM($G365:DC365)&gt;DD366,DD366,$E365-SUM($G366:DC366)))</f>
        <v>0</v>
      </c>
      <c r="DE365" s="401">
        <f ca="1">IF(SUM($G365:DD365)&gt;=$E365,0,IF($E365-SUM($G365:DD365)&gt;DE366,DE366,$E365-SUM($G366:DD366)))</f>
        <v>0</v>
      </c>
      <c r="DF365" s="401">
        <f ca="1">IF(SUM($G365:DE365)&gt;=$E365,0,IF($E365-SUM($G365:DE365)&gt;DF366,DF366,$E365-SUM($G366:DE366)))</f>
        <v>0</v>
      </c>
      <c r="DG365" s="401">
        <f ca="1">IF(SUM($G365:DF365)&gt;=$E365,0,IF($E365-SUM($G365:DF365)&gt;DG366,DG366,$E365-SUM($G366:DF366)))</f>
        <v>0</v>
      </c>
      <c r="DH365" s="401">
        <f ca="1">IF(SUM($G365:DG365)&gt;=$E365,0,IF($E365-SUM($G365:DG365)&gt;DH366,DH366,$E365-SUM($G366:DG366)))</f>
        <v>0</v>
      </c>
      <c r="DI365" s="401">
        <f ca="1">IF(SUM($G365:DH365)&gt;=$E365,0,IF($E365-SUM($G365:DH365)&gt;DI366,DI366,$E365-SUM($G366:DH366)))</f>
        <v>0</v>
      </c>
      <c r="DJ365" s="401">
        <f ca="1">IF(SUM($G365:DI365)&gt;=$E365,0,IF($E365-SUM($G365:DI365)&gt;DJ366,DJ366,$E365-SUM($G366:DI366)))</f>
        <v>0</v>
      </c>
      <c r="DK365" s="401">
        <f ca="1">IF(SUM($G365:DJ365)&gt;=$E365,0,IF($E365-SUM($G365:DJ365)&gt;DK366,DK366,$E365-SUM($G366:DJ366)))</f>
        <v>0</v>
      </c>
      <c r="DL365" s="401">
        <f ca="1">IF(SUM($G365:DK365)&gt;=$E365,0,IF($E365-SUM($G365:DK365)&gt;DL366,DL366,$E365-SUM($G366:DK366)))</f>
        <v>0</v>
      </c>
      <c r="DM365" s="401">
        <f ca="1">IF(SUM($G365:DL365)&gt;=$E365,0,IF($E365-SUM($G365:DL365)&gt;DM366,DM366,$E365-SUM($G366:DL366)))</f>
        <v>0</v>
      </c>
      <c r="DN365" s="401">
        <f ca="1">IF(SUM($G365:DM365)&gt;=$E365,0,IF($E365-SUM($G365:DM365)&gt;DN366,DN366,$E365-SUM($G366:DM366)))</f>
        <v>0</v>
      </c>
      <c r="DO365" s="401">
        <f ca="1">IF(SUM($G365:DN365)&gt;=$E365,0,IF($E365-SUM($G365:DN365)&gt;DO366,DO366,$E365-SUM($G366:DN366)))</f>
        <v>0</v>
      </c>
      <c r="DP365" s="401">
        <f ca="1">IF(SUM($G365:DO365)&gt;=$E365,0,IF($E365-SUM($G365:DO365)&gt;DP366,DP366,$E365-SUM($G366:DO366)))</f>
        <v>0</v>
      </c>
      <c r="DQ365" s="401">
        <f ca="1">IF(SUM($G365:DP365)&gt;=$E365,0,IF($E365-SUM($G365:DP365)&gt;DQ366,DQ366,$E365-SUM($G366:DP366)))</f>
        <v>0</v>
      </c>
      <c r="DR365" s="401">
        <f ca="1">IF(SUM($G365:DQ365)&gt;=$E365,0,IF($E365-SUM($G365:DQ365)&gt;DR366,DR366,$E365-SUM($G366:DQ366)))</f>
        <v>0</v>
      </c>
      <c r="DS365" s="401">
        <f ca="1">IF(SUM($G365:DR365)&gt;=$E365,0,IF($E365-SUM($G365:DR365)&gt;DS366,DS366,$E365-SUM($G366:DR366)))</f>
        <v>0</v>
      </c>
      <c r="DT365" s="401">
        <f ca="1">IF(SUM($G365:DS365)&gt;=$E365,0,IF($E365-SUM($G365:DS365)&gt;DT366,DT366,$E365-SUM($G366:DS366)))</f>
        <v>0</v>
      </c>
      <c r="DU365" s="401">
        <f ca="1">IF(SUM($G365:DT365)&gt;=$E365,0,IF($E365-SUM($G365:DT365)&gt;DU366,DU366,$E365-SUM($G366:DT366)))</f>
        <v>0</v>
      </c>
      <c r="DV365" s="401">
        <f ca="1">IF(SUM($G365:DU365)&gt;=$E365,0,IF($E365-SUM($G365:DU365)&gt;DV366,DV366,$E365-SUM($G366:DU366)))</f>
        <v>0</v>
      </c>
      <c r="DW365" s="401">
        <f ca="1">IF(SUM($G365:DV365)&gt;=$E365,0,IF($E365-SUM($G365:DV365)&gt;DW366,DW366,$E365-SUM($G366:DV366)))</f>
        <v>0</v>
      </c>
      <c r="DX365" s="401">
        <f ca="1">IF(SUM($G365:DW365)&gt;=$E365,0,IF($E365-SUM($G365:DW365)&gt;DX366,DX366,$E365-SUM($G366:DW366)))</f>
        <v>0</v>
      </c>
      <c r="DY365" s="401">
        <f ca="1">IF(SUM($G365:DX365)&gt;=$E365,0,IF($E365-SUM($G365:DX365)&gt;DY366,DY366,$E365-SUM($G366:DX366)))</f>
        <v>0</v>
      </c>
      <c r="DZ365" s="401">
        <f ca="1">IF(SUM($G365:DY365)&gt;=$E365,0,IF($E365-SUM($G365:DY365)&gt;DZ366,DZ366,$E365-SUM($G366:DY366)))</f>
        <v>0</v>
      </c>
      <c r="EA365" s="401">
        <f ca="1">IF(SUM($G365:DZ365)&gt;=$E365,0,IF($E365-SUM($G365:DZ365)&gt;EA366,EA366,$E365-SUM($G366:DZ366)))</f>
        <v>0</v>
      </c>
      <c r="EB365" s="401">
        <f ca="1">IF(SUM($G365:EA365)&gt;=$E365,0,IF($E365-SUM($G365:EA365)&gt;EB366,EB366,$E365-SUM($G366:EA366)))</f>
        <v>0</v>
      </c>
      <c r="EC365" s="401">
        <f ca="1">IF(SUM($G365:EB365)&gt;=$E365,0,IF($E365-SUM($G365:EB365)&gt;EC366,EC366,$E365-SUM($G366:EB366)))</f>
        <v>0</v>
      </c>
      <c r="ED365" s="401">
        <f ca="1">IF(SUM($G365:EC365)&gt;=$E365,0,IF($E365-SUM($G365:EC365)&gt;ED366,ED366,$E365-SUM($G366:EC366)))</f>
        <v>0</v>
      </c>
      <c r="EE365" s="401">
        <f ca="1">IF(SUM($G365:ED365)&gt;=$E365,0,IF($E365-SUM($G365:ED365)&gt;EE366,EE366,$E365-SUM($G366:ED366)))</f>
        <v>0</v>
      </c>
      <c r="EF365" s="401">
        <f ca="1">IF(SUM($G365:EE365)&gt;=$E365,0,IF($E365-SUM($G365:EE365)&gt;EF366,EF366,$E365-SUM($G366:EE366)))</f>
        <v>0</v>
      </c>
      <c r="EG365" s="401">
        <f ca="1">IF(SUM($G365:EF365)&gt;=$E365,0,IF($E365-SUM($G365:EF365)&gt;EG366,EG366,$E365-SUM($G366:EF366)))</f>
        <v>0</v>
      </c>
      <c r="EH365" s="401">
        <f ca="1">IF(SUM($G365:EG365)&gt;=$E365,0,IF($E365-SUM($G365:EG365)&gt;EH366,EH366,$E365-SUM($G366:EG366)))</f>
        <v>0</v>
      </c>
      <c r="EI365" s="401">
        <f ca="1">IF(SUM($G365:EH365)&gt;=$E365,0,IF($E365-SUM($G365:EH365)&gt;EI366,EI366,$E365-SUM($G366:EH366)))</f>
        <v>0</v>
      </c>
      <c r="EK365" s="313"/>
    </row>
    <row r="366" spans="1:141" hidden="1" outlineLevel="2">
      <c r="A366" s="332"/>
      <c r="B366" s="313"/>
      <c r="C366" s="308"/>
      <c r="D366" s="308"/>
      <c r="E366" s="308"/>
      <c r="G366" s="405"/>
      <c r="H366" s="405">
        <f ca="1">IF((SUM($G239:H239)-$E238*0.55)&lt;0,0,IF((SUM($G239:H239)-$E238*0.55)&lt;H239,SUM($G239:H239)-$E238*0.55,H239))</f>
        <v>0</v>
      </c>
      <c r="I366" s="405">
        <f ca="1">IF((SUM($G239:I239)-$E238*0.55)&lt;0,0,IF((SUM($G239:I239)-$E238*0.55)&lt;I239,SUM($G239:I239)-$E238*0.55,I239))</f>
        <v>0</v>
      </c>
      <c r="J366" s="405">
        <f ca="1">IF((SUM($G239:J239)-$E238*0.55)&lt;0,0,IF((SUM($G239:J239)-$E238*0.55)&lt;J239,SUM($G239:J239)-$E238*0.55,J239))</f>
        <v>0</v>
      </c>
      <c r="K366" s="405">
        <f ca="1">IF((SUM($G239:K239)-$E238*0.55)&lt;0,0,IF((SUM($G239:K239)-$E238*0.55)&lt;K239,SUM($G239:K239)-$E238*0.55,K239))</f>
        <v>0</v>
      </c>
      <c r="L366" s="405">
        <f ca="1">IF((SUM($G239:L239)-$E238*0.55)&lt;0,0,IF((SUM($G239:L239)-$E238*0.55)&lt;L239,SUM($G239:L239)-$E238*0.55,L239))</f>
        <v>0</v>
      </c>
      <c r="M366" s="405">
        <f ca="1">IF((SUM($G239:M239)-$E238*0.55)&lt;0,0,IF((SUM($G239:M239)-$E238*0.55)&lt;M239,SUM($G239:M239)-$E238*0.55,M239))</f>
        <v>0</v>
      </c>
      <c r="N366" s="405">
        <f ca="1">IF((SUM($G239:N239)-$E238*0.55)&lt;0,0,IF((SUM($G239:N239)-$E238*0.55)&lt;N239,SUM($G239:N239)-$E238*0.55,N239))</f>
        <v>0</v>
      </c>
      <c r="O366" s="405">
        <f ca="1">IF((SUM($G239:O239)-$E238*0.55)&lt;0,0,IF((SUM($G239:O239)-$E238*0.55)&lt;O239,SUM($G239:O239)-$E238*0.55,O239))</f>
        <v>0</v>
      </c>
      <c r="P366" s="405">
        <f ca="1">IF((SUM($G239:P239)-$E238*0.55)&lt;0,0,IF((SUM($G239:P239)-$E238*0.55)&lt;P239,SUM($G239:P239)-$E238*0.55,P239))</f>
        <v>0</v>
      </c>
      <c r="Q366" s="405">
        <f ca="1">IF((SUM($G239:Q239)-$E238*0.55)&lt;0,0,IF((SUM($G239:Q239)-$E238*0.55)&lt;Q239,SUM($G239:Q239)-$E238*0.55,Q239))</f>
        <v>0</v>
      </c>
      <c r="R366" s="405">
        <f ca="1">IF((SUM($G239:R239)-$E238*0.55)&lt;0,0,IF((SUM($G239:R239)-$E238*0.55)&lt;R239,SUM($G239:R239)-$E238*0.55,R239))</f>
        <v>6.8499999999999943</v>
      </c>
      <c r="S366" s="405">
        <f ca="1">IF((SUM($G239:S239)-$E238*0.55)&lt;0,0,IF((SUM($G239:S239)-$E238*0.55)&lt;S239,SUM($G239:S239)-$E238*0.55,S239))</f>
        <v>31</v>
      </c>
      <c r="T366" s="405">
        <f ca="1">IF((SUM($G239:T239)-$E238*0.55)&lt;0,0,IF((SUM($G239:T239)-$E238*0.55)&lt;T239,SUM($G239:T239)-$E238*0.55,T239))</f>
        <v>30</v>
      </c>
      <c r="U366" s="405">
        <f ca="1">IF((SUM($G239:U239)-$E238*0.55)&lt;0,0,IF((SUM($G239:U239)-$E238*0.55)&lt;U239,SUM($G239:U239)-$E238*0.55,U239))</f>
        <v>31</v>
      </c>
      <c r="V366" s="405">
        <f ca="1">IF((SUM($G239:V239)-$E238*0.55)&lt;0,0,IF((SUM($G239:V239)-$E238*0.55)&lt;V239,SUM($G239:V239)-$E238*0.55,V239))</f>
        <v>30</v>
      </c>
      <c r="W366" s="405">
        <f ca="1">IF((SUM($G239:W239)-$E238*0.55)&lt;0,0,IF((SUM($G239:W239)-$E238*0.55)&lt;W239,SUM($G239:W239)-$E238*0.55,W239))</f>
        <v>31</v>
      </c>
      <c r="X366" s="405">
        <f ca="1">IF((SUM($G239:X239)-$E238*0.55)&lt;0,0,IF((SUM($G239:X239)-$E238*0.55)&lt;X239,SUM($G239:X239)-$E238*0.55,X239))</f>
        <v>31</v>
      </c>
      <c r="Y366" s="405">
        <f ca="1">IF((SUM($G239:Y239)-$E238*0.55)&lt;0,0,IF((SUM($G239:Y239)-$E238*0.55)&lt;Y239,SUM($G239:Y239)-$E238*0.55,Y239))</f>
        <v>30</v>
      </c>
      <c r="Z366" s="405">
        <f ca="1">IF((SUM($G239:Z239)-$E238*0.55)&lt;0,0,IF((SUM($G239:Z239)-$E238*0.55)&lt;Z239,SUM($G239:Z239)-$E238*0.55,Z239))</f>
        <v>31</v>
      </c>
      <c r="AA366" s="405">
        <f ca="1">IF((SUM($G239:AA239)-$E238*0.55)&lt;0,0,IF((SUM($G239:AA239)-$E238*0.55)&lt;AA239,SUM($G239:AA239)-$E238*0.55,AA239))</f>
        <v>30</v>
      </c>
      <c r="AB366" s="405">
        <f ca="1">IF((SUM($G239:AB239)-$E238*0.55)&lt;0,0,IF((SUM($G239:AB239)-$E238*0.55)&lt;AB239,SUM($G239:AB239)-$E238*0.55,AB239))</f>
        <v>31</v>
      </c>
      <c r="AC366" s="405">
        <f ca="1">IF((SUM($G239:AC239)-$E238*0.55)&lt;0,0,IF((SUM($G239:AC239)-$E238*0.55)&lt;AC239,SUM($G239:AC239)-$E238*0.55,AC239))</f>
        <v>31</v>
      </c>
      <c r="AD366" s="405">
        <f ca="1">IF((SUM($G239:AD239)-$E238*0.55)&lt;0,0,IF((SUM($G239:AD239)-$E238*0.55)&lt;AD239,SUM($G239:AD239)-$E238*0.55,AD239))</f>
        <v>28</v>
      </c>
      <c r="AE366" s="405">
        <f ca="1">IF((SUM($G239:AE239)-$E238*0.55)&lt;0,0,IF((SUM($G239:AE239)-$E238*0.55)&lt;AE239,SUM($G239:AE239)-$E238*0.55,AE239))</f>
        <v>31</v>
      </c>
      <c r="AF366" s="405">
        <f ca="1">IF((SUM($G239:AF239)-$E238*0.55)&lt;0,0,IF((SUM($G239:AF239)-$E238*0.55)&lt;AF239,SUM($G239:AF239)-$E238*0.55,AF239))</f>
        <v>30</v>
      </c>
      <c r="AG366" s="405">
        <f ca="1">IF((SUM($G239:AG239)-$E238*0.55)&lt;0,0,IF((SUM($G239:AG239)-$E238*0.55)&lt;AG239,SUM($G239:AG239)-$E238*0.55,AG239))</f>
        <v>31</v>
      </c>
      <c r="AH366" s="405">
        <f ca="1">IF((SUM($G239:AH239)-$E238*0.55)&lt;0,0,IF((SUM($G239:AH239)-$E238*0.55)&lt;AH239,SUM($G239:AH239)-$E238*0.55,AH239))</f>
        <v>30</v>
      </c>
      <c r="AI366" s="405">
        <f ca="1">IF((SUM($G239:AI239)-$E238*0.55)&lt;0,0,IF((SUM($G239:AI239)-$E238*0.55)&lt;AI239,SUM($G239:AI239)-$E238*0.55,AI239))</f>
        <v>31</v>
      </c>
      <c r="AJ366" s="405">
        <f ca="1">IF((SUM($G239:AJ239)-$E238*0.55)&lt;0,0,IF((SUM($G239:AJ239)-$E238*0.55)&lt;AJ239,SUM($G239:AJ239)-$E238*0.55,AJ239))</f>
        <v>31</v>
      </c>
      <c r="AK366" s="405">
        <f ca="1">IF((SUM($G239:AK239)-$E238*0.55)&lt;0,0,IF((SUM($G239:AK239)-$E238*0.55)&lt;AK239,SUM($G239:AK239)-$E238*0.55,AK239))</f>
        <v>30</v>
      </c>
      <c r="AL366" s="405">
        <f ca="1">IF((SUM($G239:AL239)-$E238*0.55)&lt;0,0,IF((SUM($G239:AL239)-$E238*0.55)&lt;AL239,SUM($G239:AL239)-$E238*0.55,AL239))</f>
        <v>31</v>
      </c>
      <c r="AM366" s="405">
        <f ca="1">IF((SUM($G239:AM239)-$E238*0.55)&lt;0,0,IF((SUM($G239:AM239)-$E238*0.55)&lt;AM239,SUM($G239:AM239)-$E238*0.55,AM239))</f>
        <v>30</v>
      </c>
      <c r="AN366" s="405">
        <f ca="1">IF((SUM($G239:AN239)-$E238*0.55)&lt;0,0,IF((SUM($G239:AN239)-$E238*0.55)&lt;AN239,SUM($G239:AN239)-$E238*0.55,AN239))</f>
        <v>31</v>
      </c>
      <c r="AO366" s="405">
        <f ca="1">IF((SUM($G239:AO239)-$E238*0.55)&lt;0,0,IF((SUM($G239:AO239)-$E238*0.55)&lt;AO239,SUM($G239:AO239)-$E238*0.55,AO239))</f>
        <v>31</v>
      </c>
      <c r="AP366" s="405">
        <f ca="1">IF((SUM($G239:AP239)-$E238*0.55)&lt;0,0,IF((SUM($G239:AP239)-$E238*0.55)&lt;AP239,SUM($G239:AP239)-$E238*0.55,AP239))</f>
        <v>28</v>
      </c>
      <c r="AQ366" s="405">
        <f ca="1">IF((SUM($G239:AQ239)-$E238*0.55)&lt;0,0,IF((SUM($G239:AQ239)-$E238*0.55)&lt;AQ239,SUM($G239:AQ239)-$E238*0.55,AQ239))</f>
        <v>31</v>
      </c>
      <c r="AR366" s="405">
        <f ca="1">IF((SUM($G239:AR239)-$E238*0.55)&lt;0,0,IF((SUM($G239:AR239)-$E238*0.55)&lt;AR239,SUM($G239:AR239)-$E238*0.55,AR239))</f>
        <v>30</v>
      </c>
      <c r="AS366" s="405">
        <f ca="1">IF((SUM($G239:AS239)-$E238*0.55)&lt;0,0,IF((SUM($G239:AS239)-$E238*0.55)&lt;AS239,SUM($G239:AS239)-$E238*0.55,AS239))</f>
        <v>31</v>
      </c>
      <c r="AT366" s="405">
        <f ca="1">IF((SUM($G239:AT239)-$E238*0.55)&lt;0,0,IF((SUM($G239:AT239)-$E238*0.55)&lt;AT239,SUM($G239:AT239)-$E238*0.55,AT239))</f>
        <v>30</v>
      </c>
      <c r="AU366" s="405">
        <f ca="1">IF((SUM($G239:AU239)-$E238*0.55)&lt;0,0,IF((SUM($G239:AU239)-$E238*0.55)&lt;AU239,SUM($G239:AU239)-$E238*0.55,AU239))</f>
        <v>31</v>
      </c>
      <c r="AV366" s="405">
        <f ca="1">IF((SUM($G239:AV239)-$E238*0.55)&lt;0,0,IF((SUM($G239:AV239)-$E238*0.55)&lt;AV239,SUM($G239:AV239)-$E238*0.55,AV239))</f>
        <v>31</v>
      </c>
      <c r="AW366" s="405">
        <f ca="1">IF((SUM($G239:AW239)-$E238*0.55)&lt;0,0,IF((SUM($G239:AW239)-$E238*0.55)&lt;AW239,SUM($G239:AW239)-$E238*0.55,AW239))</f>
        <v>30</v>
      </c>
      <c r="AX366" s="405">
        <f ca="1">IF((SUM($G239:AX239)-$E238*0.55)&lt;0,0,IF((SUM($G239:AX239)-$E238*0.55)&lt;AX239,SUM($G239:AX239)-$E238*0.55,AX239))</f>
        <v>31</v>
      </c>
      <c r="AY366" s="405">
        <f ca="1">IF((SUM($G239:AY239)-$E238*0.55)&lt;0,0,IF((SUM($G239:AY239)-$E238*0.55)&lt;AY239,SUM($G239:AY239)-$E238*0.55,AY239))</f>
        <v>30</v>
      </c>
      <c r="AZ366" s="405">
        <f ca="1">IF((SUM($G239:AZ239)-$E238*0.55)&lt;0,0,IF((SUM($G239:AZ239)-$E238*0.55)&lt;AZ239,SUM($G239:AZ239)-$E238*0.55,AZ239))</f>
        <v>31</v>
      </c>
      <c r="BA366" s="405">
        <f ca="1">IF((SUM($G239:BA239)-$E238*0.55)&lt;0,0,IF((SUM($G239:BA239)-$E238*0.55)&lt;BA239,SUM($G239:BA239)-$E238*0.55,BA239))</f>
        <v>31</v>
      </c>
      <c r="BB366" s="405">
        <f ca="1">IF((SUM($G239:BB239)-$E238*0.55)&lt;0,0,IF((SUM($G239:BB239)-$E238*0.55)&lt;BB239,SUM($G239:BB239)-$E238*0.55,BB239))</f>
        <v>28</v>
      </c>
      <c r="BC366" s="405">
        <f ca="1">IF((SUM($G239:BC239)-$E238*0.55)&lt;0,0,IF((SUM($G239:BC239)-$E238*0.55)&lt;BC239,SUM($G239:BC239)-$E238*0.55,BC239))</f>
        <v>31</v>
      </c>
      <c r="BD366" s="405">
        <f ca="1">IF((SUM($G239:BD239)-$E238*0.55)&lt;0,0,IF((SUM($G239:BD239)-$E238*0.55)&lt;BD239,SUM($G239:BD239)-$E238*0.55,BD239))</f>
        <v>30</v>
      </c>
      <c r="BE366" s="405">
        <f ca="1">IF((SUM($G239:BE239)-$E238*0.55)&lt;0,0,IF((SUM($G239:BE239)-$E238*0.55)&lt;BE239,SUM($G239:BE239)-$E238*0.55,BE239))</f>
        <v>31</v>
      </c>
      <c r="BF366" s="405">
        <f ca="1">IF((SUM($G239:BF239)-$E238*0.55)&lt;0,0,IF((SUM($G239:BF239)-$E238*0.55)&lt;BF239,SUM($G239:BF239)-$E238*0.55,BF239))</f>
        <v>30</v>
      </c>
      <c r="BG366" s="405">
        <f ca="1">IF((SUM($G239:BG239)-$E238*0.55)&lt;0,0,IF((SUM($G239:BG239)-$E238*0.55)&lt;BG239,SUM($G239:BG239)-$E238*0.55,BG239))</f>
        <v>31</v>
      </c>
      <c r="BH366" s="405">
        <f ca="1">IF((SUM($G239:BH239)-$E238*0.55)&lt;0,0,IF((SUM($G239:BH239)-$E238*0.55)&lt;BH239,SUM($G239:BH239)-$E238*0.55,BH239))</f>
        <v>31</v>
      </c>
      <c r="BI366" s="405">
        <f ca="1">IF((SUM($G239:BI239)-$E238*0.55)&lt;0,0,IF((SUM($G239:BI239)-$E238*0.55)&lt;BI239,SUM($G239:BI239)-$E238*0.55,BI239))</f>
        <v>30</v>
      </c>
      <c r="BJ366" s="405">
        <f ca="1">IF((SUM($G239:BJ239)-$E238*0.55)&lt;0,0,IF((SUM($G239:BJ239)-$E238*0.55)&lt;BJ239,SUM($G239:BJ239)-$E238*0.55,BJ239))</f>
        <v>31</v>
      </c>
      <c r="BK366" s="405">
        <f ca="1">IF((SUM($G239:BK239)-$E238*0.55)&lt;0,0,IF((SUM($G239:BK239)-$E238*0.55)&lt;BK239,SUM($G239:BK239)-$E238*0.55,BK239))</f>
        <v>30</v>
      </c>
      <c r="BL366" s="405">
        <f ca="1">IF((SUM($G239:BL239)-$E238*0.55)&lt;0,0,IF((SUM($G239:BL239)-$E238*0.55)&lt;BL239,SUM($G239:BL239)-$E238*0.55,BL239))</f>
        <v>31</v>
      </c>
      <c r="BM366" s="405">
        <f ca="1">IF((SUM($G239:BM239)-$E238*0.55)&lt;0,0,IF((SUM($G239:BM239)-$E238*0.55)&lt;BM239,SUM($G239:BM239)-$E238*0.55,BM239))</f>
        <v>31</v>
      </c>
      <c r="BN366" s="405">
        <f ca="1">IF((SUM($G239:BN239)-$E238*0.55)&lt;0,0,IF((SUM($G239:BN239)-$E238*0.55)&lt;BN239,SUM($G239:BN239)-$E238*0.55,BN239))</f>
        <v>29</v>
      </c>
      <c r="BO366" s="405">
        <f ca="1">IF((SUM($G239:BO239)-$E238*0.55)&lt;0,0,IF((SUM($G239:BO239)-$E238*0.55)&lt;BO239,SUM($G239:BO239)-$E238*0.55,BO239))</f>
        <v>31</v>
      </c>
      <c r="BP366" s="405">
        <f ca="1">IF((SUM($G239:BP239)-$E238*0.55)&lt;0,0,IF((SUM($G239:BP239)-$E238*0.55)&lt;BP239,SUM($G239:BP239)-$E238*0.55,BP239))</f>
        <v>30</v>
      </c>
      <c r="BQ366" s="405">
        <f ca="1">IF((SUM($G239:BQ239)-$E238*0.55)&lt;0,0,IF((SUM($G239:BQ239)-$E238*0.55)&lt;BQ239,SUM($G239:BQ239)-$E238*0.55,BQ239))</f>
        <v>31</v>
      </c>
      <c r="BR366" s="405">
        <f ca="1">IF((SUM($G239:BR239)-$E238*0.55)&lt;0,0,IF((SUM($G239:BR239)-$E238*0.55)&lt;BR239,SUM($G239:BR239)-$E238*0.55,BR239))</f>
        <v>30</v>
      </c>
      <c r="BS366" s="405">
        <f ca="1">IF((SUM($G239:BS239)-$E238*0.55)&lt;0,0,IF((SUM($G239:BS239)-$E238*0.55)&lt;BS239,SUM($G239:BS239)-$E238*0.55,BS239))</f>
        <v>31</v>
      </c>
      <c r="BT366" s="405">
        <f ca="1">IF((SUM($G239:BT239)-$E238*0.55)&lt;0,0,IF((SUM($G239:BT239)-$E238*0.55)&lt;BT239,SUM($G239:BT239)-$E238*0.55,BT239))</f>
        <v>31</v>
      </c>
      <c r="BU366" s="405">
        <f ca="1">IF((SUM($G239:BU239)-$E238*0.55)&lt;0,0,IF((SUM($G239:BU239)-$E238*0.55)&lt;BU239,SUM($G239:BU239)-$E238*0.55,BU239))</f>
        <v>30</v>
      </c>
      <c r="BV366" s="405">
        <f ca="1">IF((SUM($G239:BV239)-$E238*0.55)&lt;0,0,IF((SUM($G239:BV239)-$E238*0.55)&lt;BV239,SUM($G239:BV239)-$E238*0.55,BV239))</f>
        <v>31</v>
      </c>
      <c r="BW366" s="405">
        <f ca="1">IF((SUM($G239:BW239)-$E238*0.55)&lt;0,0,IF((SUM($G239:BW239)-$E238*0.55)&lt;BW239,SUM($G239:BW239)-$E238*0.55,BW239))</f>
        <v>30</v>
      </c>
      <c r="BX366" s="405">
        <f ca="1">IF((SUM($G239:BX239)-$E238*0.55)&lt;0,0,IF((SUM($G239:BX239)-$E238*0.55)&lt;BX239,SUM($G239:BX239)-$E238*0.55,BX239))</f>
        <v>31</v>
      </c>
      <c r="BY366" s="405">
        <f ca="1">IF((SUM($G239:BY239)-$E238*0.55)&lt;0,0,IF((SUM($G239:BY239)-$E238*0.55)&lt;BY239,SUM($G239:BY239)-$E238*0.55,BY239))</f>
        <v>31</v>
      </c>
      <c r="BZ366" s="405">
        <f ca="1">IF((SUM($G239:BZ239)-$E238*0.55)&lt;0,0,IF((SUM($G239:BZ239)-$E238*0.55)&lt;BZ239,SUM($G239:BZ239)-$E238*0.55,BZ239))</f>
        <v>28</v>
      </c>
      <c r="CA366" s="405">
        <f ca="1">IF((SUM($G239:CA239)-$E238*0.55)&lt;0,0,IF((SUM($G239:CA239)-$E238*0.55)&lt;CA239,SUM($G239:CA239)-$E238*0.55,CA239))</f>
        <v>31</v>
      </c>
      <c r="CB366" s="405">
        <f ca="1">IF((SUM($G239:CB239)-$E238*0.55)&lt;0,0,IF((SUM($G239:CB239)-$E238*0.55)&lt;CB239,SUM($G239:CB239)-$E238*0.55,CB239))</f>
        <v>30</v>
      </c>
      <c r="CC366" s="405">
        <f ca="1">IF((SUM($G239:CC239)-$E238*0.55)&lt;0,0,IF((SUM($G239:CC239)-$E238*0.55)&lt;CC239,SUM($G239:CC239)-$E238*0.55,CC239))</f>
        <v>31</v>
      </c>
      <c r="CD366" s="405">
        <f ca="1">IF((SUM($G239:CD239)-$E238*0.55)&lt;0,0,IF((SUM($G239:CD239)-$E238*0.55)&lt;CD239,SUM($G239:CD239)-$E238*0.55,CD239))</f>
        <v>30</v>
      </c>
      <c r="CE366" s="405">
        <f ca="1">IF((SUM($G239:CE239)-$E238*0.55)&lt;0,0,IF((SUM($G239:CE239)-$E238*0.55)&lt;CE239,SUM($G239:CE239)-$E238*0.55,CE239))</f>
        <v>31</v>
      </c>
      <c r="CF366" s="405">
        <f ca="1">IF((SUM($G239:CF239)-$E238*0.55)&lt;0,0,IF((SUM($G239:CF239)-$E238*0.55)&lt;CF239,SUM($G239:CF239)-$E238*0.55,CF239))</f>
        <v>31</v>
      </c>
      <c r="CG366" s="405">
        <f ca="1">IF((SUM($G239:CG239)-$E238*0.55)&lt;0,0,IF((SUM($G239:CG239)-$E238*0.55)&lt;CG239,SUM($G239:CG239)-$E238*0.55,CG239))</f>
        <v>30</v>
      </c>
      <c r="CH366" s="405">
        <f ca="1">IF((SUM($G239:CH239)-$E238*0.55)&lt;0,0,IF((SUM($G239:CH239)-$E238*0.55)&lt;CH239,SUM($G239:CH239)-$E238*0.55,CH239))</f>
        <v>31</v>
      </c>
      <c r="CI366" s="405">
        <f ca="1">IF((SUM($G239:CI239)-$E238*0.55)&lt;0,0,IF((SUM($G239:CI239)-$E238*0.55)&lt;CI239,SUM($G239:CI239)-$E238*0.55,CI239))</f>
        <v>30</v>
      </c>
      <c r="CJ366" s="405">
        <f ca="1">IF((SUM($G239:CJ239)-$E238*0.55)&lt;0,0,IF((SUM($G239:CJ239)-$E238*0.55)&lt;CJ239,SUM($G239:CJ239)-$E238*0.55,CJ239))</f>
        <v>31</v>
      </c>
      <c r="CK366" s="405">
        <f ca="1">IF((SUM($G239:CK239)-$E238*0.55)&lt;0,0,IF((SUM($G239:CK239)-$E238*0.55)&lt;CK239,SUM($G239:CK239)-$E238*0.55,CK239))</f>
        <v>31</v>
      </c>
      <c r="CL366" s="405">
        <f ca="1">IF((SUM($G239:CL239)-$E238*0.55)&lt;0,0,IF((SUM($G239:CL239)-$E238*0.55)&lt;CL239,SUM($G239:CL239)-$E238*0.55,CL239))</f>
        <v>28</v>
      </c>
      <c r="CM366" s="405">
        <f ca="1">IF((SUM($G239:CM239)-$E238*0.55)&lt;0,0,IF((SUM($G239:CM239)-$E238*0.55)&lt;CM239,SUM($G239:CM239)-$E238*0.55,CM239))</f>
        <v>31</v>
      </c>
      <c r="CN366" s="405">
        <f ca="1">IF((SUM($G239:CN239)-$E238*0.55)&lt;0,0,IF((SUM($G239:CN239)-$E238*0.55)&lt;CN239,SUM($G239:CN239)-$E238*0.55,CN239))</f>
        <v>30</v>
      </c>
      <c r="CO366" s="405">
        <f ca="1">IF((SUM($G239:CO239)-$E238*0.55)&lt;0,0,IF((SUM($G239:CO239)-$E238*0.55)&lt;CO239,SUM($G239:CO239)-$E238*0.55,CO239))</f>
        <v>31</v>
      </c>
      <c r="CP366" s="405">
        <f ca="1">IF((SUM($G239:CP239)-$E238*0.55)&lt;0,0,IF((SUM($G239:CP239)-$E238*0.55)&lt;CP239,SUM($G239:CP239)-$E238*0.55,CP239))</f>
        <v>30</v>
      </c>
      <c r="CQ366" s="405">
        <f ca="1">IF((SUM($G239:CQ239)-$E238*0.55)&lt;0,0,IF((SUM($G239:CQ239)-$E238*0.55)&lt;CQ239,SUM($G239:CQ239)-$E238*0.55,CQ239))</f>
        <v>31</v>
      </c>
      <c r="CR366" s="405">
        <f ca="1">IF((SUM($G239:CR239)-$E238*0.55)&lt;0,0,IF((SUM($G239:CR239)-$E238*0.55)&lt;CR239,SUM($G239:CR239)-$E238*0.55,CR239))</f>
        <v>31</v>
      </c>
      <c r="CS366" s="405">
        <f ca="1">IF((SUM($G239:CS239)-$E238*0.55)&lt;0,0,IF((SUM($G239:CS239)-$E238*0.55)&lt;CS239,SUM($G239:CS239)-$E238*0.55,CS239))</f>
        <v>30</v>
      </c>
      <c r="CT366" s="405">
        <f ca="1">IF((SUM($G239:CT239)-$E238*0.55)&lt;0,0,IF((SUM($G239:CT239)-$E238*0.55)&lt;CT239,SUM($G239:CT239)-$E238*0.55,CT239))</f>
        <v>31</v>
      </c>
      <c r="CU366" s="405">
        <f ca="1">IF((SUM($G239:CU239)-$E238*0.55)&lt;0,0,IF((SUM($G239:CU239)-$E238*0.55)&lt;CU239,SUM($G239:CU239)-$E238*0.55,CU239))</f>
        <v>30</v>
      </c>
      <c r="CV366" s="405">
        <f ca="1">IF((SUM($G239:CV239)-$E238*0.55)&lt;0,0,IF((SUM($G239:CV239)-$E238*0.55)&lt;CV239,SUM($G239:CV239)-$E238*0.55,CV239))</f>
        <v>31</v>
      </c>
      <c r="CW366" s="405">
        <f ca="1">IF((SUM($G239:CW239)-$E238*0.55)&lt;0,0,IF((SUM($G239:CW239)-$E238*0.55)&lt;CW239,SUM($G239:CW239)-$E238*0.55,CW239))</f>
        <v>31</v>
      </c>
      <c r="CX366" s="405">
        <f ca="1">IF((SUM($G239:CX239)-$E238*0.55)&lt;0,0,IF((SUM($G239:CX239)-$E238*0.55)&lt;CX239,SUM($G239:CX239)-$E238*0.55,CX239))</f>
        <v>28</v>
      </c>
      <c r="CY366" s="405">
        <f ca="1">IF((SUM($G239:CY239)-$E238*0.55)&lt;0,0,IF((SUM($G239:CY239)-$E238*0.55)&lt;CY239,SUM($G239:CY239)-$E238*0.55,CY239))</f>
        <v>31</v>
      </c>
      <c r="CZ366" s="405">
        <f ca="1">IF((SUM($G239:CZ239)-$E238*0.55)&lt;0,0,IF((SUM($G239:CZ239)-$E238*0.55)&lt;CZ239,SUM($G239:CZ239)-$E238*0.55,CZ239))</f>
        <v>30</v>
      </c>
      <c r="DA366" s="405">
        <f ca="1">IF((SUM($G239:DA239)-$E238*0.55)&lt;0,0,IF((SUM($G239:DA239)-$E238*0.55)&lt;DA239,SUM($G239:DA239)-$E238*0.55,DA239))</f>
        <v>31</v>
      </c>
      <c r="DB366" s="405">
        <f ca="1">IF((SUM($G239:DB239)-$E238*0.55)&lt;0,0,IF((SUM($G239:DB239)-$E238*0.55)&lt;DB239,SUM($G239:DB239)-$E238*0.55,DB239))</f>
        <v>30</v>
      </c>
      <c r="DC366" s="405">
        <f ca="1">IF((SUM($G239:DC239)-$E238*0.55)&lt;0,0,IF((SUM($G239:DC239)-$E238*0.55)&lt;DC239,SUM($G239:DC239)-$E238*0.55,DC239))</f>
        <v>31</v>
      </c>
      <c r="DD366" s="405">
        <f ca="1">IF((SUM($G239:DD239)-$E238*0.55)&lt;0,0,IF((SUM($G239:DD239)-$E238*0.55)&lt;DD239,SUM($G239:DD239)-$E238*0.55,DD239))</f>
        <v>31</v>
      </c>
      <c r="DE366" s="405">
        <f ca="1">IF((SUM($G239:DE239)-$E238*0.55)&lt;0,0,IF((SUM($G239:DE239)-$E238*0.55)&lt;DE239,SUM($G239:DE239)-$E238*0.55,DE239))</f>
        <v>30</v>
      </c>
      <c r="DF366" s="405">
        <f ca="1">IF((SUM($G239:DF239)-$E238*0.55)&lt;0,0,IF((SUM($G239:DF239)-$E238*0.55)&lt;DF239,SUM($G239:DF239)-$E238*0.55,DF239))</f>
        <v>31</v>
      </c>
      <c r="DG366" s="405">
        <f ca="1">IF((SUM($G239:DG239)-$E238*0.55)&lt;0,0,IF((SUM($G239:DG239)-$E238*0.55)&lt;DG239,SUM($G239:DG239)-$E238*0.55,DG239))</f>
        <v>30</v>
      </c>
      <c r="DH366" s="405">
        <f ca="1">IF((SUM($G239:DH239)-$E238*0.55)&lt;0,0,IF((SUM($G239:DH239)-$E238*0.55)&lt;DH239,SUM($G239:DH239)-$E238*0.55,DH239))</f>
        <v>31</v>
      </c>
      <c r="DI366" s="405">
        <f ca="1">IF((SUM($G239:DI239)-$E238*0.55)&lt;0,0,IF((SUM($G239:DI239)-$E238*0.55)&lt;DI239,SUM($G239:DI239)-$E238*0.55,DI239))</f>
        <v>31</v>
      </c>
      <c r="DJ366" s="405">
        <f ca="1">IF((SUM($G239:DJ239)-$E238*0.55)&lt;0,0,IF((SUM($G239:DJ239)-$E238*0.55)&lt;DJ239,SUM($G239:DJ239)-$E238*0.55,DJ239))</f>
        <v>29</v>
      </c>
      <c r="DK366" s="405">
        <f ca="1">IF((SUM($G239:DK239)-$E238*0.55)&lt;0,0,IF((SUM($G239:DK239)-$E238*0.55)&lt;DK239,SUM($G239:DK239)-$E238*0.55,DK239))</f>
        <v>31</v>
      </c>
      <c r="DL366" s="405">
        <f ca="1">IF((SUM($G239:DL239)-$E238*0.55)&lt;0,0,IF((SUM($G239:DL239)-$E238*0.55)&lt;DL239,SUM($G239:DL239)-$E238*0.55,DL239))</f>
        <v>30</v>
      </c>
      <c r="DM366" s="405">
        <f ca="1">IF((SUM($G239:DM239)-$E238*0.55)&lt;0,0,IF((SUM($G239:DM239)-$E238*0.55)&lt;DM239,SUM($G239:DM239)-$E238*0.55,DM239))</f>
        <v>31</v>
      </c>
      <c r="DN366" s="405">
        <f ca="1">IF((SUM($G239:DN239)-$E238*0.55)&lt;0,0,IF((SUM($G239:DN239)-$E238*0.55)&lt;DN239,SUM($G239:DN239)-$E238*0.55,DN239))</f>
        <v>30</v>
      </c>
      <c r="DO366" s="405">
        <f ca="1">IF((SUM($G239:DO239)-$E238*0.55)&lt;0,0,IF((SUM($G239:DO239)-$E238*0.55)&lt;DO239,SUM($G239:DO239)-$E238*0.55,DO239))</f>
        <v>31</v>
      </c>
      <c r="DP366" s="405">
        <f ca="1">IF((SUM($G239:DP239)-$E238*0.55)&lt;0,0,IF((SUM($G239:DP239)-$E238*0.55)&lt;DP239,SUM($G239:DP239)-$E238*0.55,DP239))</f>
        <v>31</v>
      </c>
      <c r="DQ366" s="405">
        <f ca="1">IF((SUM($G239:DQ239)-$E238*0.55)&lt;0,0,IF((SUM($G239:DQ239)-$E238*0.55)&lt;DQ239,SUM($G239:DQ239)-$E238*0.55,DQ239))</f>
        <v>30</v>
      </c>
      <c r="DR366" s="405">
        <f ca="1">IF((SUM($G239:DR239)-$E238*0.55)&lt;0,0,IF((SUM($G239:DR239)-$E238*0.55)&lt;DR239,SUM($G239:DR239)-$E238*0.55,DR239))</f>
        <v>31</v>
      </c>
      <c r="DS366" s="405">
        <f ca="1">IF((SUM($G239:DS239)-$E238*0.55)&lt;0,0,IF((SUM($G239:DS239)-$E238*0.55)&lt;DS239,SUM($G239:DS239)-$E238*0.55,DS239))</f>
        <v>30</v>
      </c>
      <c r="DT366" s="405">
        <f ca="1">IF((SUM($G239:DT239)-$E238*0.55)&lt;0,0,IF((SUM($G239:DT239)-$E238*0.55)&lt;DT239,SUM($G239:DT239)-$E238*0.55,DT239))</f>
        <v>31</v>
      </c>
      <c r="DU366" s="405">
        <f ca="1">IF((SUM($G239:DU239)-$E238*0.55)&lt;0,0,IF((SUM($G239:DU239)-$E238*0.55)&lt;DU239,SUM($G239:DU239)-$E238*0.55,DU239))</f>
        <v>31</v>
      </c>
      <c r="DV366" s="405">
        <f ca="1">IF((SUM($G239:DV239)-$E238*0.55)&lt;0,0,IF((SUM($G239:DV239)-$E238*0.55)&lt;DV239,SUM($G239:DV239)-$E238*0.55,DV239))</f>
        <v>28</v>
      </c>
      <c r="DW366" s="405">
        <f ca="1">IF((SUM($G239:DW239)-$E238*0.55)&lt;0,0,IF((SUM($G239:DW239)-$E238*0.55)&lt;DW239,SUM($G239:DW239)-$E238*0.55,DW239))</f>
        <v>31</v>
      </c>
      <c r="DX366" s="405">
        <f ca="1">IF((SUM($G239:DX239)-$E238*0.55)&lt;0,0,IF((SUM($G239:DX239)-$E238*0.55)&lt;DX239,SUM($G239:DX239)-$E238*0.55,DX239))</f>
        <v>30</v>
      </c>
      <c r="DY366" s="405">
        <f ca="1">IF((SUM($G239:DY239)-$E238*0.55)&lt;0,0,IF((SUM($G239:DY239)-$E238*0.55)&lt;DY239,SUM($G239:DY239)-$E238*0.55,DY239))</f>
        <v>31</v>
      </c>
      <c r="DZ366" s="405">
        <f ca="1">IF((SUM($G239:DZ239)-$E238*0.55)&lt;0,0,IF((SUM($G239:DZ239)-$E238*0.55)&lt;DZ239,SUM($G239:DZ239)-$E238*0.55,DZ239))</f>
        <v>30</v>
      </c>
      <c r="EA366" s="405">
        <f ca="1">IF((SUM($G239:EA239)-$E238*0.55)&lt;0,0,IF((SUM($G239:EA239)-$E238*0.55)&lt;EA239,SUM($G239:EA239)-$E238*0.55,EA239))</f>
        <v>31</v>
      </c>
      <c r="EB366" s="405">
        <f ca="1">IF((SUM($G239:EB239)-$E238*0.55)&lt;0,0,IF((SUM($G239:EB239)-$E238*0.55)&lt;EB239,SUM($G239:EB239)-$E238*0.55,EB239))</f>
        <v>31</v>
      </c>
      <c r="EC366" s="405">
        <f ca="1">IF((SUM($G239:EC239)-$E238*0.55)&lt;0,0,IF((SUM($G239:EC239)-$E238*0.55)&lt;EC239,SUM($G239:EC239)-$E238*0.55,EC239))</f>
        <v>30</v>
      </c>
      <c r="ED366" s="405">
        <f ca="1">IF((SUM($G239:ED239)-$E238*0.55)&lt;0,0,IF((SUM($G239:ED239)-$E238*0.55)&lt;ED239,SUM($G239:ED239)-$E238*0.55,ED239))</f>
        <v>31</v>
      </c>
      <c r="EE366" s="405">
        <f ca="1">IF((SUM($G239:EE239)-$E238*0.55)&lt;0,0,IF((SUM($G239:EE239)-$E238*0.55)&lt;EE239,SUM($G239:EE239)-$E238*0.55,EE239))</f>
        <v>30</v>
      </c>
      <c r="EF366" s="405">
        <f ca="1">IF((SUM($G239:EF239)-$E238*0.55)&lt;0,0,IF((SUM($G239:EF239)-$E238*0.55)&lt;EF239,SUM($G239:EF239)-$E238*0.55,EF239))</f>
        <v>31</v>
      </c>
      <c r="EG366" s="405">
        <f ca="1">IF((SUM($G239:EG239)-$E238*0.55)&lt;0,0,IF((SUM($G239:EG239)-$E238*0.55)&lt;EG239,SUM($G239:EG239)-$E238*0.55,EG239))</f>
        <v>31</v>
      </c>
      <c r="EH366" s="405">
        <f ca="1">IF((SUM($G239:EH239)-$E238*0.55)&lt;0,0,IF((SUM($G239:EH239)-$E238*0.55)&lt;EH239,SUM($G239:EH239)-$E238*0.55,EH239))</f>
        <v>28</v>
      </c>
      <c r="EI366" s="405">
        <f ca="1">IF((SUM($G239:EI239)-$E238*0.55)&lt;0,0,IF((SUM($G239:EI239)-$E238*0.55)&lt;EI239,SUM($G239:EI239)-$E238*0.55,EI239))</f>
        <v>31</v>
      </c>
    </row>
    <row r="367" spans="1:141" hidden="1" outlineLevel="2">
      <c r="A367" s="332"/>
      <c r="D367" s="305" t="s">
        <v>670</v>
      </c>
      <c r="E367" s="403">
        <f ca="1">MIN(G367:EI367)</f>
        <v>45323</v>
      </c>
      <c r="F367" s="404">
        <f ca="1">MAX(G367:EI367)</f>
        <v>45323</v>
      </c>
      <c r="G367" s="403" t="str">
        <f ca="1">IF(G365=0,"",IF(SUM($G365:G365)&gt;=1,OFFSET(G$228,-1,0),""))</f>
        <v/>
      </c>
      <c r="H367" s="403" t="str">
        <f ca="1">IF(SUM($G367:G367)&gt;=1,"",IF(H365=0,"",IF(SUM($G365:H365)&gt;=1,OFFSET(H$228,-1,0),"")))</f>
        <v/>
      </c>
      <c r="I367" s="403" t="str">
        <f ca="1">IF(SUM($G367:H367)&gt;=1,"",IF(I365=0,"",IF(SUM($G365:I365)&gt;=1,OFFSET(I$228,-1,0),"")))</f>
        <v/>
      </c>
      <c r="J367" s="403" t="str">
        <f ca="1">IF(SUM($G367:I367)&gt;=1,"",IF(J365=0,"",IF(SUM($G365:J365)&gt;=1,OFFSET(J$228,-1,0),"")))</f>
        <v/>
      </c>
      <c r="K367" s="403" t="str">
        <f ca="1">IF(SUM($G367:J367)&gt;=1,"",IF(K365=0,"",IF(SUM($G365:K365)&gt;=1,OFFSET(K$228,-1,0),"")))</f>
        <v/>
      </c>
      <c r="L367" s="403" t="str">
        <f ca="1">IF(SUM($G367:K367)&gt;=1,"",IF(L365=0,"",IF(SUM($G365:L365)&gt;=1,OFFSET(L$228,-1,0),"")))</f>
        <v/>
      </c>
      <c r="M367" s="403" t="str">
        <f ca="1">IF(SUM($G367:L367)&gt;=1,"",IF(M365=0,"",IF(SUM($G365:M365)&gt;=1,OFFSET(M$228,-1,0),"")))</f>
        <v/>
      </c>
      <c r="N367" s="403" t="str">
        <f ca="1">IF(SUM($G367:M367)&gt;=1,"",IF(N365=0,"",IF(SUM($G365:N365)&gt;=1,OFFSET(N$228,-1,0),"")))</f>
        <v/>
      </c>
      <c r="O367" s="403" t="str">
        <f ca="1">IF(SUM($G367:N367)&gt;=1,"",IF(O365=0,"",IF(SUM($G365:O365)&gt;=1,OFFSET(O$228,-1,0),"")))</f>
        <v/>
      </c>
      <c r="P367" s="403" t="str">
        <f ca="1">IF(SUM($G367:O367)&gt;=1,"",IF(P365=0,"",IF(SUM($G365:P365)&gt;=1,OFFSET(P$228,-1,0),"")))</f>
        <v/>
      </c>
      <c r="Q367" s="403" t="str">
        <f ca="1">IF(SUM($G367:P367)&gt;=1,"",IF(Q365=0,"",IF(SUM($G365:Q365)&gt;=1,OFFSET(Q$228,-1,0),"")))</f>
        <v/>
      </c>
      <c r="R367" s="403">
        <f ca="1">IF(SUM($G367:Q367)&gt;=1,"",IF(R365=0,"",IF(SUM($G365:R365)&gt;=1,OFFSET(R$228,-1,0),"")))</f>
        <v>45323</v>
      </c>
      <c r="S367" s="403" t="str">
        <f ca="1">IF(SUM($G367:R367)&gt;=1,"",IF(S365=0,"",IF(SUM($G365:S365)&gt;=1,OFFSET(S$228,-1,0),"")))</f>
        <v/>
      </c>
      <c r="T367" s="403" t="str">
        <f ca="1">IF(SUM($G367:S367)&gt;=1,"",IF(T365=0,"",IF(SUM($G365:T365)&gt;=1,OFFSET(T$228,-1,0),"")))</f>
        <v/>
      </c>
      <c r="U367" s="403" t="str">
        <f ca="1">IF(SUM($G367:T367)&gt;=1,"",IF(U365=0,"",IF(SUM($G365:U365)&gt;=1,OFFSET(U$228,-1,0),"")))</f>
        <v/>
      </c>
      <c r="V367" s="403" t="str">
        <f ca="1">IF(SUM($G367:U367)&gt;=1,"",IF(V365=0,"",IF(SUM($G365:V365)&gt;=1,OFFSET(V$228,-1,0),"")))</f>
        <v/>
      </c>
      <c r="W367" s="403" t="str">
        <f ca="1">IF(SUM($G367:V367)&gt;=1,"",IF(W365=0,"",IF(SUM($G365:W365)&gt;=1,OFFSET(W$228,-1,0),"")))</f>
        <v/>
      </c>
      <c r="X367" s="403" t="str">
        <f ca="1">IF(SUM($G367:W367)&gt;=1,"",IF(X365=0,"",IF(SUM($G365:X365)&gt;=1,OFFSET(X$228,-1,0),"")))</f>
        <v/>
      </c>
      <c r="Y367" s="403" t="str">
        <f ca="1">IF(SUM($G367:X367)&gt;=1,"",IF(Y365=0,"",IF(SUM($G365:Y365)&gt;=1,OFFSET(Y$228,-1,0),"")))</f>
        <v/>
      </c>
      <c r="Z367" s="403" t="str">
        <f ca="1">IF(SUM($G367:Y367)&gt;=1,"",IF(Z365=0,"",IF(SUM($G365:Z365)&gt;=1,OFFSET(Z$228,-1,0),"")))</f>
        <v/>
      </c>
      <c r="AA367" s="403" t="str">
        <f ca="1">IF(SUM($G367:Z367)&gt;=1,"",IF(AA365=0,"",IF(SUM($G365:AA365)&gt;=1,OFFSET(AA$228,-1,0),"")))</f>
        <v/>
      </c>
      <c r="AB367" s="403" t="str">
        <f ca="1">IF(SUM($G367:AA367)&gt;=1,"",IF(AB365=0,"",IF(SUM($G365:AB365)&gt;=1,OFFSET(AB$228,-1,0),"")))</f>
        <v/>
      </c>
      <c r="AC367" s="403" t="str">
        <f ca="1">IF(SUM($G367:AB367)&gt;=1,"",IF(AC365=0,"",IF(SUM($G365:AC365)&gt;=1,OFFSET(AC$228,-1,0),"")))</f>
        <v/>
      </c>
      <c r="AD367" s="403" t="str">
        <f ca="1">IF(SUM($G367:AC367)&gt;=1,"",IF(AD365=0,"",IF(SUM($G365:AD365)&gt;=1,OFFSET(AD$228,-1,0),"")))</f>
        <v/>
      </c>
      <c r="AE367" s="403" t="str">
        <f ca="1">IF(SUM($G367:AD367)&gt;=1,"",IF(AE365=0,"",IF(SUM($G365:AE365)&gt;=1,OFFSET(AE$228,-1,0),"")))</f>
        <v/>
      </c>
      <c r="AF367" s="403" t="str">
        <f ca="1">IF(SUM($G367:AE367)&gt;=1,"",IF(AF365=0,"",IF(SUM($G365:AF365)&gt;=1,OFFSET(AF$228,-1,0),"")))</f>
        <v/>
      </c>
      <c r="AG367" s="403" t="str">
        <f ca="1">IF(SUM($G367:AF367)&gt;=1,"",IF(AG365=0,"",IF(SUM($G365:AG365)&gt;=1,OFFSET(AG$228,-1,0),"")))</f>
        <v/>
      </c>
      <c r="AH367" s="403" t="str">
        <f ca="1">IF(SUM($G367:AG367)&gt;=1,"",IF(AH365=0,"",IF(SUM($G365:AH365)&gt;=1,OFFSET(AH$228,-1,0),"")))</f>
        <v/>
      </c>
      <c r="AI367" s="403" t="str">
        <f ca="1">IF(SUM($G367:AH367)&gt;=1,"",IF(AI365=0,"",IF(SUM($G365:AI365)&gt;=1,OFFSET(AI$228,-1,0),"")))</f>
        <v/>
      </c>
      <c r="AJ367" s="403" t="str">
        <f ca="1">IF(SUM($G367:AI367)&gt;=1,"",IF(AJ365=0,"",IF(SUM($G365:AJ365)&gt;=1,OFFSET(AJ$228,-1,0),"")))</f>
        <v/>
      </c>
      <c r="AK367" s="403" t="str">
        <f ca="1">IF(SUM($G367:AJ367)&gt;=1,"",IF(AK365=0,"",IF(SUM($G365:AK365)&gt;=1,OFFSET(AK$228,-1,0),"")))</f>
        <v/>
      </c>
      <c r="AL367" s="403" t="str">
        <f ca="1">IF(SUM($G367:AK367)&gt;=1,"",IF(AL365=0,"",IF(SUM($G365:AL365)&gt;=1,OFFSET(AL$228,-1,0),"")))</f>
        <v/>
      </c>
      <c r="AM367" s="403" t="str">
        <f ca="1">IF(SUM($G367:AL367)&gt;=1,"",IF(AM365=0,"",IF(SUM($G365:AM365)&gt;=1,OFFSET(AM$228,-1,0),"")))</f>
        <v/>
      </c>
      <c r="AN367" s="403" t="str">
        <f ca="1">IF(SUM($G367:AM367)&gt;=1,"",IF(AN365=0,"",IF(SUM($G365:AN365)&gt;=1,OFFSET(AN$228,-1,0),"")))</f>
        <v/>
      </c>
      <c r="AO367" s="403" t="str">
        <f ca="1">IF(SUM($G367:AN367)&gt;=1,"",IF(AO365=0,"",IF(SUM($G365:AO365)&gt;=1,OFFSET(AO$228,-1,0),"")))</f>
        <v/>
      </c>
      <c r="AP367" s="403" t="str">
        <f ca="1">IF(SUM($G367:AO367)&gt;=1,"",IF(AP365=0,"",IF(SUM($G365:AP365)&gt;=1,OFFSET(AP$228,-1,0),"")))</f>
        <v/>
      </c>
      <c r="AQ367" s="403" t="str">
        <f ca="1">IF(SUM($G367:AP367)&gt;=1,"",IF(AQ365=0,"",IF(SUM($G365:AQ365)&gt;=1,OFFSET(AQ$228,-1,0),"")))</f>
        <v/>
      </c>
      <c r="AR367" s="403" t="str">
        <f ca="1">IF(SUM($G367:AQ367)&gt;=1,"",IF(AR365=0,"",IF(SUM($G365:AR365)&gt;=1,OFFSET(AR$228,-1,0),"")))</f>
        <v/>
      </c>
      <c r="AS367" s="403" t="str">
        <f ca="1">IF(SUM($G367:AR367)&gt;=1,"",IF(AS365=0,"",IF(SUM($G365:AS365)&gt;=1,OFFSET(AS$228,-1,0),"")))</f>
        <v/>
      </c>
      <c r="AT367" s="403" t="str">
        <f ca="1">IF(SUM($G367:AS367)&gt;=1,"",IF(AT365=0,"",IF(SUM($G365:AT365)&gt;=1,OFFSET(AT$228,-1,0),"")))</f>
        <v/>
      </c>
      <c r="AU367" s="403" t="str">
        <f ca="1">IF(SUM($G367:AT367)&gt;=1,"",IF(AU365=0,"",IF(SUM($G365:AU365)&gt;=1,OFFSET(AU$228,-1,0),"")))</f>
        <v/>
      </c>
      <c r="AV367" s="403" t="str">
        <f ca="1">IF(SUM($G367:AU367)&gt;=1,"",IF(AV365=0,"",IF(SUM($G365:AV365)&gt;=1,OFFSET(AV$228,-1,0),"")))</f>
        <v/>
      </c>
      <c r="AW367" s="403" t="str">
        <f ca="1">IF(SUM($G367:AV367)&gt;=1,"",IF(AW365=0,"",IF(SUM($G365:AW365)&gt;=1,OFFSET(AW$228,-1,0),"")))</f>
        <v/>
      </c>
      <c r="AX367" s="403" t="str">
        <f ca="1">IF(SUM($G367:AW367)&gt;=1,"",IF(AX365=0,"",IF(SUM($G365:AX365)&gt;=1,OFFSET(AX$228,-1,0),"")))</f>
        <v/>
      </c>
      <c r="AY367" s="403" t="str">
        <f ca="1">IF(SUM($G367:AX367)&gt;=1,"",IF(AY365=0,"",IF(SUM($G365:AY365)&gt;=1,OFFSET(AY$228,-1,0),"")))</f>
        <v/>
      </c>
      <c r="AZ367" s="403" t="str">
        <f ca="1">IF(SUM($G367:AY367)&gt;=1,"",IF(AZ365=0,"",IF(SUM($G365:AZ365)&gt;=1,OFFSET(AZ$228,-1,0),"")))</f>
        <v/>
      </c>
      <c r="BA367" s="403" t="str">
        <f ca="1">IF(SUM($G367:AZ367)&gt;=1,"",IF(BA365=0,"",IF(SUM($G365:BA365)&gt;=1,OFFSET(BA$228,-1,0),"")))</f>
        <v/>
      </c>
      <c r="BB367" s="403" t="str">
        <f ca="1">IF(SUM($G367:BA367)&gt;=1,"",IF(BB365=0,"",IF(SUM($G365:BB365)&gt;=1,OFFSET(BB$228,-1,0),"")))</f>
        <v/>
      </c>
      <c r="BC367" s="403" t="str">
        <f ca="1">IF(SUM($G367:BB367)&gt;=1,"",IF(BC365=0,"",IF(SUM($G365:BC365)&gt;=1,OFFSET(BC$228,-1,0),"")))</f>
        <v/>
      </c>
      <c r="BD367" s="403" t="str">
        <f ca="1">IF(SUM($G367:BC367)&gt;=1,"",IF(BD365=0,"",IF(SUM($G365:BD365)&gt;=1,OFFSET(BD$228,-1,0),"")))</f>
        <v/>
      </c>
      <c r="BE367" s="403" t="str">
        <f ca="1">IF(SUM($G367:BD367)&gt;=1,"",IF(BE365=0,"",IF(SUM($G365:BE365)&gt;=1,OFFSET(BE$228,-1,0),"")))</f>
        <v/>
      </c>
      <c r="BF367" s="403" t="str">
        <f ca="1">IF(SUM($G367:BE367)&gt;=1,"",IF(BF365=0,"",IF(SUM($G365:BF365)&gt;=1,OFFSET(BF$228,-1,0),"")))</f>
        <v/>
      </c>
      <c r="BG367" s="403" t="str">
        <f ca="1">IF(SUM($G367:BF367)&gt;=1,"",IF(BG365=0,"",IF(SUM($G365:BG365)&gt;=1,OFFSET(BG$228,-1,0),"")))</f>
        <v/>
      </c>
      <c r="BH367" s="403" t="str">
        <f ca="1">IF(SUM($G367:BG367)&gt;=1,"",IF(BH365=0,"",IF(SUM($G365:BH365)&gt;=1,OFFSET(BH$228,-1,0),"")))</f>
        <v/>
      </c>
      <c r="BI367" s="403" t="str">
        <f ca="1">IF(SUM($G367:BH367)&gt;=1,"",IF(BI365=0,"",IF(SUM($G365:BI365)&gt;=1,OFFSET(BI$228,-1,0),"")))</f>
        <v/>
      </c>
      <c r="BJ367" s="403" t="str">
        <f ca="1">IF(SUM($G367:BI367)&gt;=1,"",IF(BJ365=0,"",IF(SUM($G365:BJ365)&gt;=1,OFFSET(BJ$228,-1,0),"")))</f>
        <v/>
      </c>
      <c r="BK367" s="403" t="str">
        <f ca="1">IF(SUM($G367:BJ367)&gt;=1,"",IF(BK365=0,"",IF(SUM($G365:BK365)&gt;=1,OFFSET(BK$228,-1,0),"")))</f>
        <v/>
      </c>
      <c r="BL367" s="403" t="str">
        <f ca="1">IF(SUM($G367:BK367)&gt;=1,"",IF(BL365=0,"",IF(SUM($G365:BL365)&gt;=1,OFFSET(BL$228,-1,0),"")))</f>
        <v/>
      </c>
      <c r="BM367" s="403" t="str">
        <f ca="1">IF(SUM($G367:BL367)&gt;=1,"",IF(BM365=0,"",IF(SUM($G365:BM365)&gt;=1,OFFSET(BM$228,-1,0),"")))</f>
        <v/>
      </c>
      <c r="BN367" s="403" t="str">
        <f ca="1">IF(SUM($G367:BM367)&gt;=1,"",IF(BN365=0,"",IF(SUM($G365:BN365)&gt;=1,OFFSET(BN$228,-1,0),"")))</f>
        <v/>
      </c>
      <c r="BO367" s="403" t="str">
        <f ca="1">IF(SUM($G367:BN367)&gt;=1,"",IF(BO365=0,"",IF(SUM($G365:BO365)&gt;=1,OFFSET(BO$228,-1,0),"")))</f>
        <v/>
      </c>
      <c r="BP367" s="403" t="str">
        <f ca="1">IF(SUM($G367:BO367)&gt;=1,"",IF(BP365=0,"",IF(SUM($G365:BP365)&gt;=1,OFFSET(BP$228,-1,0),"")))</f>
        <v/>
      </c>
      <c r="BQ367" s="403" t="str">
        <f ca="1">IF(SUM($G367:BP367)&gt;=1,"",IF(BQ365=0,"",IF(SUM($G365:BQ365)&gt;=1,OFFSET(BQ$228,-1,0),"")))</f>
        <v/>
      </c>
      <c r="BR367" s="403" t="str">
        <f ca="1">IF(SUM($G367:BQ367)&gt;=1,"",IF(BR365=0,"",IF(SUM($G365:BR365)&gt;=1,OFFSET(BR$228,-1,0),"")))</f>
        <v/>
      </c>
      <c r="BS367" s="403" t="str">
        <f ca="1">IF(SUM($G367:BR367)&gt;=1,"",IF(BS365=0,"",IF(SUM($G365:BS365)&gt;=1,OFFSET(BS$228,-1,0),"")))</f>
        <v/>
      </c>
      <c r="BT367" s="403" t="str">
        <f ca="1">IF(SUM($G367:BS367)&gt;=1,"",IF(BT365=0,"",IF(SUM($G365:BT365)&gt;=1,OFFSET(BT$228,-1,0),"")))</f>
        <v/>
      </c>
      <c r="BU367" s="403" t="str">
        <f ca="1">IF(SUM($G367:BT367)&gt;=1,"",IF(BU365=0,"",IF(SUM($G365:BU365)&gt;=1,OFFSET(BU$228,-1,0),"")))</f>
        <v/>
      </c>
      <c r="BV367" s="403" t="str">
        <f ca="1">IF(SUM($G367:BU367)&gt;=1,"",IF(BV365=0,"",IF(SUM($G365:BV365)&gt;=1,OFFSET(BV$228,-1,0),"")))</f>
        <v/>
      </c>
      <c r="BW367" s="403" t="str">
        <f ca="1">IF(SUM($G367:BV367)&gt;=1,"",IF(BW365=0,"",IF(SUM($G365:BW365)&gt;=1,OFFSET(BW$228,-1,0),"")))</f>
        <v/>
      </c>
      <c r="BX367" s="403" t="str">
        <f ca="1">IF(SUM($G367:BW367)&gt;=1,"",IF(BX365=0,"",IF(SUM($G365:BX365)&gt;=1,OFFSET(BX$228,-1,0),"")))</f>
        <v/>
      </c>
      <c r="BY367" s="403" t="str">
        <f ca="1">IF(SUM($G367:BX367)&gt;=1,"",IF(BY365=0,"",IF(SUM($G365:BY365)&gt;=1,OFFSET(BY$228,-1,0),"")))</f>
        <v/>
      </c>
      <c r="BZ367" s="403" t="str">
        <f ca="1">IF(SUM($G367:BY367)&gt;=1,"",IF(BZ365=0,"",IF(SUM($G365:BZ365)&gt;=1,OFFSET(BZ$228,-1,0),"")))</f>
        <v/>
      </c>
      <c r="CA367" s="403" t="str">
        <f ca="1">IF(SUM($G367:BZ367)&gt;=1,"",IF(CA365=0,"",IF(SUM($G365:CA365)&gt;=1,OFFSET(CA$228,-1,0),"")))</f>
        <v/>
      </c>
      <c r="CB367" s="403" t="str">
        <f ca="1">IF(SUM($G367:CA367)&gt;=1,"",IF(CB365=0,"",IF(SUM($G365:CB365)&gt;=1,OFFSET(CB$228,-1,0),"")))</f>
        <v/>
      </c>
      <c r="CC367" s="403" t="str">
        <f ca="1">IF(SUM($G367:CB367)&gt;=1,"",IF(CC365=0,"",IF(SUM($G365:CC365)&gt;=1,OFFSET(CC$228,-1,0),"")))</f>
        <v/>
      </c>
      <c r="CD367" s="403" t="str">
        <f ca="1">IF(SUM($G367:CC367)&gt;=1,"",IF(CD365=0,"",IF(SUM($G365:CD365)&gt;=1,OFFSET(CD$228,-1,0),"")))</f>
        <v/>
      </c>
      <c r="CE367" s="403" t="str">
        <f ca="1">IF(SUM($G367:CD367)&gt;=1,"",IF(CE365=0,"",IF(SUM($G365:CE365)&gt;=1,OFFSET(CE$228,-1,0),"")))</f>
        <v/>
      </c>
      <c r="CF367" s="403" t="str">
        <f ca="1">IF(SUM($G367:CE367)&gt;=1,"",IF(CF365=0,"",IF(SUM($G365:CF365)&gt;=1,OFFSET(CF$228,-1,0),"")))</f>
        <v/>
      </c>
      <c r="CG367" s="403" t="str">
        <f ca="1">IF(SUM($G367:CF367)&gt;=1,"",IF(CG365=0,"",IF(SUM($G365:CG365)&gt;=1,OFFSET(CG$228,-1,0),"")))</f>
        <v/>
      </c>
      <c r="CH367" s="403" t="str">
        <f ca="1">IF(SUM($G367:CG367)&gt;=1,"",IF(CH365=0,"",IF(SUM($G365:CH365)&gt;=1,OFFSET(CH$228,-1,0),"")))</f>
        <v/>
      </c>
      <c r="CI367" s="403" t="str">
        <f ca="1">IF(SUM($G367:CH367)&gt;=1,"",IF(CI365=0,"",IF(SUM($G365:CI365)&gt;=1,OFFSET(CI$228,-1,0),"")))</f>
        <v/>
      </c>
      <c r="CJ367" s="403" t="str">
        <f ca="1">IF(SUM($G367:CI367)&gt;=1,"",IF(CJ365=0,"",IF(SUM($G365:CJ365)&gt;=1,OFFSET(CJ$228,-1,0),"")))</f>
        <v/>
      </c>
      <c r="CK367" s="403" t="str">
        <f ca="1">IF(SUM($G367:CJ367)&gt;=1,"",IF(CK365=0,"",IF(SUM($G365:CK365)&gt;=1,OFFSET(CK$228,-1,0),"")))</f>
        <v/>
      </c>
      <c r="CL367" s="403" t="str">
        <f ca="1">IF(SUM($G367:CK367)&gt;=1,"",IF(CL365=0,"",IF(SUM($G365:CL365)&gt;=1,OFFSET(CL$228,-1,0),"")))</f>
        <v/>
      </c>
      <c r="CM367" s="403" t="str">
        <f ca="1">IF(SUM($G367:CL367)&gt;=1,"",IF(CM365=0,"",IF(SUM($G365:CM365)&gt;=1,OFFSET(CM$228,-1,0),"")))</f>
        <v/>
      </c>
      <c r="CN367" s="403" t="str">
        <f ca="1">IF(SUM($G367:CM367)&gt;=1,"",IF(CN365=0,"",IF(SUM($G365:CN365)&gt;=1,OFFSET(CN$228,-1,0),"")))</f>
        <v/>
      </c>
      <c r="CO367" s="403" t="str">
        <f ca="1">IF(SUM($G367:CN367)&gt;=1,"",IF(CO365=0,"",IF(SUM($G365:CO365)&gt;=1,OFFSET(CO$228,-1,0),"")))</f>
        <v/>
      </c>
      <c r="CP367" s="403" t="str">
        <f ca="1">IF(SUM($G367:CO367)&gt;=1,"",IF(CP365=0,"",IF(SUM($G365:CP365)&gt;=1,OFFSET(CP$228,-1,0),"")))</f>
        <v/>
      </c>
      <c r="CQ367" s="403" t="str">
        <f ca="1">IF(SUM($G367:CP367)&gt;=1,"",IF(CQ365=0,"",IF(SUM($G365:CQ365)&gt;=1,OFFSET(CQ$228,-1,0),"")))</f>
        <v/>
      </c>
      <c r="CR367" s="403" t="str">
        <f ca="1">IF(SUM($G367:CQ367)&gt;=1,"",IF(CR365=0,"",IF(SUM($G365:CR365)&gt;=1,OFFSET(CR$228,-1,0),"")))</f>
        <v/>
      </c>
      <c r="CS367" s="403" t="str">
        <f ca="1">IF(SUM($G367:CR367)&gt;=1,"",IF(CS365=0,"",IF(SUM($G365:CS365)&gt;=1,OFFSET(CS$228,-1,0),"")))</f>
        <v/>
      </c>
      <c r="CT367" s="403" t="str">
        <f ca="1">IF(SUM($G367:CS367)&gt;=1,"",IF(CT365=0,"",IF(SUM($G365:CT365)&gt;=1,OFFSET(CT$228,-1,0),"")))</f>
        <v/>
      </c>
      <c r="CU367" s="403" t="str">
        <f ca="1">IF(SUM($G367:CT367)&gt;=1,"",IF(CU365=0,"",IF(SUM($G365:CU365)&gt;=1,OFFSET(CU$228,-1,0),"")))</f>
        <v/>
      </c>
      <c r="CV367" s="403" t="str">
        <f ca="1">IF(SUM($G367:CU367)&gt;=1,"",IF(CV365=0,"",IF(SUM($G365:CV365)&gt;=1,OFFSET(CV$228,-1,0),"")))</f>
        <v/>
      </c>
      <c r="CW367" s="403" t="str">
        <f ca="1">IF(SUM($G367:CV367)&gt;=1,"",IF(CW365=0,"",IF(SUM($G365:CW365)&gt;=1,OFFSET(CW$228,-1,0),"")))</f>
        <v/>
      </c>
      <c r="CX367" s="403" t="str">
        <f ca="1">IF(SUM($G367:CW367)&gt;=1,"",IF(CX365=0,"",IF(SUM($G365:CX365)&gt;=1,OFFSET(CX$228,-1,0),"")))</f>
        <v/>
      </c>
      <c r="CY367" s="403" t="str">
        <f ca="1">IF(SUM($G367:CX367)&gt;=1,"",IF(CY365=0,"",IF(SUM($G365:CY365)&gt;=1,OFFSET(CY$228,-1,0),"")))</f>
        <v/>
      </c>
      <c r="CZ367" s="403" t="str">
        <f ca="1">IF(SUM($G367:CY367)&gt;=1,"",IF(CZ365=0,"",IF(SUM($G365:CZ365)&gt;=1,OFFSET(CZ$228,-1,0),"")))</f>
        <v/>
      </c>
      <c r="DA367" s="403" t="str">
        <f ca="1">IF(SUM($G367:CZ367)&gt;=1,"",IF(DA365=0,"",IF(SUM($G365:DA365)&gt;=1,OFFSET(DA$228,-1,0),"")))</f>
        <v/>
      </c>
      <c r="DB367" s="403" t="str">
        <f ca="1">IF(SUM($G367:DA367)&gt;=1,"",IF(DB365=0,"",IF(SUM($G365:DB365)&gt;=1,OFFSET(DB$228,-1,0),"")))</f>
        <v/>
      </c>
      <c r="DC367" s="403" t="str">
        <f ca="1">IF(SUM($G367:DB367)&gt;=1,"",IF(DC365=0,"",IF(SUM($G365:DC365)&gt;=1,OFFSET(DC$228,-1,0),"")))</f>
        <v/>
      </c>
      <c r="DD367" s="403" t="str">
        <f ca="1">IF(SUM($G367:DC367)&gt;=1,"",IF(DD365=0,"",IF(SUM($G365:DD365)&gt;=1,OFFSET(DD$228,-1,0),"")))</f>
        <v/>
      </c>
      <c r="DE367" s="403" t="str">
        <f ca="1">IF(SUM($G367:DD367)&gt;=1,"",IF(DE365=0,"",IF(SUM($G365:DE365)&gt;=1,OFFSET(DE$228,-1,0),"")))</f>
        <v/>
      </c>
      <c r="DF367" s="403" t="str">
        <f ca="1">IF(SUM($G367:DE367)&gt;=1,"",IF(DF365=0,"",IF(SUM($G365:DF365)&gt;=1,OFFSET(DF$228,-1,0),"")))</f>
        <v/>
      </c>
      <c r="DG367" s="403" t="str">
        <f ca="1">IF(SUM($G367:DF367)&gt;=1,"",IF(DG365=0,"",IF(SUM($G365:DG365)&gt;=1,OFFSET(DG$228,-1,0),"")))</f>
        <v/>
      </c>
      <c r="DH367" s="403" t="str">
        <f ca="1">IF(SUM($G367:DG367)&gt;=1,"",IF(DH365=0,"",IF(SUM($G365:DH365)&gt;=1,OFFSET(DH$228,-1,0),"")))</f>
        <v/>
      </c>
      <c r="DI367" s="403" t="str">
        <f ca="1">IF(SUM($G367:DH367)&gt;=1,"",IF(DI365=0,"",IF(SUM($G365:DI365)&gt;=1,OFFSET(DI$228,-1,0),"")))</f>
        <v/>
      </c>
      <c r="DJ367" s="403" t="str">
        <f ca="1">IF(SUM($G367:DI367)&gt;=1,"",IF(DJ365=0,"",IF(SUM($G365:DJ365)&gt;=1,OFFSET(DJ$228,-1,0),"")))</f>
        <v/>
      </c>
      <c r="DK367" s="403" t="str">
        <f ca="1">IF(SUM($G367:DJ367)&gt;=1,"",IF(DK365=0,"",IF(SUM($G365:DK365)&gt;=1,OFFSET(DK$228,-1,0),"")))</f>
        <v/>
      </c>
      <c r="DL367" s="403" t="str">
        <f ca="1">IF(SUM($G367:DK367)&gt;=1,"",IF(DL365=0,"",IF(SUM($G365:DL365)&gt;=1,OFFSET(DL$228,-1,0),"")))</f>
        <v/>
      </c>
      <c r="DM367" s="403" t="str">
        <f ca="1">IF(SUM($G367:DL367)&gt;=1,"",IF(DM365=0,"",IF(SUM($G365:DM365)&gt;=1,OFFSET(DM$228,-1,0),"")))</f>
        <v/>
      </c>
      <c r="DN367" s="403" t="str">
        <f ca="1">IF(SUM($G367:DM367)&gt;=1,"",IF(DN365=0,"",IF(SUM($G365:DN365)&gt;=1,OFFSET(DN$228,-1,0),"")))</f>
        <v/>
      </c>
      <c r="DO367" s="403" t="str">
        <f ca="1">IF(SUM($G367:DN367)&gt;=1,"",IF(DO365=0,"",IF(SUM($G365:DO365)&gt;=1,OFFSET(DO$228,-1,0),"")))</f>
        <v/>
      </c>
      <c r="DP367" s="403" t="str">
        <f ca="1">IF(SUM($G367:DO367)&gt;=1,"",IF(DP365=0,"",IF(SUM($G365:DP365)&gt;=1,OFFSET(DP$228,-1,0),"")))</f>
        <v/>
      </c>
      <c r="DQ367" s="403" t="str">
        <f ca="1">IF(SUM($G367:DP367)&gt;=1,"",IF(DQ365=0,"",IF(SUM($G365:DQ365)&gt;=1,OFFSET(DQ$228,-1,0),"")))</f>
        <v/>
      </c>
      <c r="DR367" s="403" t="str">
        <f ca="1">IF(SUM($G367:DQ367)&gt;=1,"",IF(DR365=0,"",IF(SUM($G365:DR365)&gt;=1,OFFSET(DR$228,-1,0),"")))</f>
        <v/>
      </c>
      <c r="DS367" s="403" t="str">
        <f ca="1">IF(SUM($G367:DR367)&gt;=1,"",IF(DS365=0,"",IF(SUM($G365:DS365)&gt;=1,OFFSET(DS$228,-1,0),"")))</f>
        <v/>
      </c>
      <c r="DT367" s="403" t="str">
        <f ca="1">IF(SUM($G367:DS367)&gt;=1,"",IF(DT365=0,"",IF(SUM($G365:DT365)&gt;=1,OFFSET(DT$228,-1,0),"")))</f>
        <v/>
      </c>
      <c r="DU367" s="403" t="str">
        <f ca="1">IF(SUM($G367:DT367)&gt;=1,"",IF(DU365=0,"",IF(SUM($G365:DU365)&gt;=1,OFFSET(DU$228,-1,0),"")))</f>
        <v/>
      </c>
      <c r="DV367" s="403" t="str">
        <f ca="1">IF(SUM($G367:DU367)&gt;=1,"",IF(DV365=0,"",IF(SUM($G365:DV365)&gt;=1,OFFSET(DV$228,-1,0),"")))</f>
        <v/>
      </c>
      <c r="DW367" s="403" t="str">
        <f ca="1">IF(SUM($G367:DV367)&gt;=1,"",IF(DW365=0,"",IF(SUM($G365:DW365)&gt;=1,OFFSET(DW$228,-1,0),"")))</f>
        <v/>
      </c>
      <c r="DX367" s="403" t="str">
        <f ca="1">IF(SUM($G367:DW367)&gt;=1,"",IF(DX365=0,"",IF(SUM($G365:DX365)&gt;=1,OFFSET(DX$228,-1,0),"")))</f>
        <v/>
      </c>
      <c r="DY367" s="403" t="str">
        <f ca="1">IF(SUM($G367:DX367)&gt;=1,"",IF(DY365=0,"",IF(SUM($G365:DY365)&gt;=1,OFFSET(DY$228,-1,0),"")))</f>
        <v/>
      </c>
      <c r="DZ367" s="403" t="str">
        <f ca="1">IF(SUM($G367:DY367)&gt;=1,"",IF(DZ365=0,"",IF(SUM($G365:DZ365)&gt;=1,OFFSET(DZ$228,-1,0),"")))</f>
        <v/>
      </c>
      <c r="EA367" s="403" t="str">
        <f ca="1">IF(SUM($G367:DZ367)&gt;=1,"",IF(EA365=0,"",IF(SUM($G365:EA365)&gt;=1,OFFSET(EA$228,-1,0),"")))</f>
        <v/>
      </c>
      <c r="EB367" s="403" t="str">
        <f ca="1">IF(SUM($G367:EA367)&gt;=1,"",IF(EB365=0,"",IF(SUM($G365:EB365)&gt;=1,OFFSET(EB$228,-1,0),"")))</f>
        <v/>
      </c>
      <c r="EC367" s="403" t="str">
        <f ca="1">IF(SUM($G367:EB367)&gt;=1,"",IF(EC365=0,"",IF(SUM($G365:EC365)&gt;=1,OFFSET(EC$228,-1,0),"")))</f>
        <v/>
      </c>
      <c r="ED367" s="403" t="str">
        <f ca="1">IF(SUM($G367:EC367)&gt;=1,"",IF(ED365=0,"",IF(SUM($G365:ED365)&gt;=1,OFFSET(ED$228,-1,0),"")))</f>
        <v/>
      </c>
      <c r="EE367" s="403" t="str">
        <f ca="1">IF(SUM($G367:ED367)&gt;=1,"",IF(EE365=0,"",IF(SUM($G365:EE365)&gt;=1,OFFSET(EE$228,-1,0),"")))</f>
        <v/>
      </c>
      <c r="EF367" s="403" t="str">
        <f ca="1">IF(SUM($G367:EE367)&gt;=1,"",IF(EF365=0,"",IF(SUM($G365:EF365)&gt;=1,OFFSET(EF$228,-1,0),"")))</f>
        <v/>
      </c>
      <c r="EG367" s="403" t="str">
        <f ca="1">IF(SUM($G367:EF367)&gt;=1,"",IF(EG365=0,"",IF(SUM($G365:EG365)&gt;=1,OFFSET(EG$228,-1,0),"")))</f>
        <v/>
      </c>
      <c r="EH367" s="403" t="str">
        <f ca="1">IF(SUM($G367:EG367)&gt;=1,"",IF(EH365=0,"",IF(SUM($G365:EH365)&gt;=1,OFFSET(EH$228,-1,0),"")))</f>
        <v/>
      </c>
      <c r="EI367" s="403" t="str">
        <f ca="1">IF(SUM($G367:EH367)&gt;=1,"",IF(EI365=0,"",IF(SUM($G365:EI365)&gt;=1,OFFSET(EI$228,-1,0),"")))</f>
        <v/>
      </c>
    </row>
    <row r="368" spans="1:141" hidden="1" outlineLevel="2">
      <c r="A368" s="332"/>
      <c r="D368" s="305" t="s">
        <v>671</v>
      </c>
      <c r="E368" s="1002">
        <f ca="1">IF(E365=0,"",MIN(G368:EI368))</f>
        <v>45345.15</v>
      </c>
      <c r="F368" s="1003"/>
      <c r="G368" s="403" t="str">
        <f>IF(G365=0,"",IF(G365=G$3,G367,G$5+H$5-G369-1))</f>
        <v/>
      </c>
      <c r="H368" s="403" t="str">
        <f ca="1">IF(H365=0,"",IF(H365=H$3,H367,H$5+I$5-H369-1))</f>
        <v/>
      </c>
      <c r="I368" s="403" t="str">
        <f t="shared" ref="I368:BT368" ca="1" si="543">IF(I365=0,"",IF(I365=I$3,I367,I$5+J$5-I369-1))</f>
        <v/>
      </c>
      <c r="J368" s="403" t="str">
        <f t="shared" ca="1" si="543"/>
        <v/>
      </c>
      <c r="K368" s="403" t="str">
        <f t="shared" ca="1" si="543"/>
        <v/>
      </c>
      <c r="L368" s="403" t="str">
        <f t="shared" ca="1" si="543"/>
        <v/>
      </c>
      <c r="M368" s="403" t="str">
        <f t="shared" ca="1" si="543"/>
        <v/>
      </c>
      <c r="N368" s="403" t="str">
        <f t="shared" ca="1" si="543"/>
        <v/>
      </c>
      <c r="O368" s="403" t="str">
        <f t="shared" ca="1" si="543"/>
        <v/>
      </c>
      <c r="P368" s="403" t="str">
        <f t="shared" ca="1" si="543"/>
        <v/>
      </c>
      <c r="Q368" s="403" t="str">
        <f t="shared" ca="1" si="543"/>
        <v/>
      </c>
      <c r="R368" s="403">
        <f t="shared" ca="1" si="543"/>
        <v>45345.15</v>
      </c>
      <c r="S368" s="403" t="str">
        <f t="shared" ca="1" si="543"/>
        <v/>
      </c>
      <c r="T368" s="403">
        <f t="shared" ca="1" si="543"/>
        <v>45410.85</v>
      </c>
      <c r="U368" s="403" t="str">
        <f t="shared" ca="1" si="543"/>
        <v/>
      </c>
      <c r="V368" s="403" t="str">
        <f t="shared" ca="1" si="543"/>
        <v/>
      </c>
      <c r="W368" s="403" t="str">
        <f t="shared" ca="1" si="543"/>
        <v/>
      </c>
      <c r="X368" s="403" t="str">
        <f t="shared" ca="1" si="543"/>
        <v/>
      </c>
      <c r="Y368" s="403" t="str">
        <f t="shared" ca="1" si="543"/>
        <v/>
      </c>
      <c r="Z368" s="403" t="str">
        <f t="shared" ca="1" si="543"/>
        <v/>
      </c>
      <c r="AA368" s="403" t="str">
        <f t="shared" ca="1" si="543"/>
        <v/>
      </c>
      <c r="AB368" s="403" t="str">
        <f t="shared" ca="1" si="543"/>
        <v/>
      </c>
      <c r="AC368" s="403" t="str">
        <f t="shared" ca="1" si="543"/>
        <v/>
      </c>
      <c r="AD368" s="403" t="str">
        <f t="shared" ca="1" si="543"/>
        <v/>
      </c>
      <c r="AE368" s="403" t="str">
        <f t="shared" ca="1" si="543"/>
        <v/>
      </c>
      <c r="AF368" s="403" t="str">
        <f t="shared" ca="1" si="543"/>
        <v/>
      </c>
      <c r="AG368" s="403" t="str">
        <f t="shared" ca="1" si="543"/>
        <v/>
      </c>
      <c r="AH368" s="403" t="str">
        <f t="shared" ca="1" si="543"/>
        <v/>
      </c>
      <c r="AI368" s="403" t="str">
        <f t="shared" ca="1" si="543"/>
        <v/>
      </c>
      <c r="AJ368" s="403" t="str">
        <f t="shared" ca="1" si="543"/>
        <v/>
      </c>
      <c r="AK368" s="403" t="str">
        <f t="shared" ca="1" si="543"/>
        <v/>
      </c>
      <c r="AL368" s="403" t="str">
        <f t="shared" ca="1" si="543"/>
        <v/>
      </c>
      <c r="AM368" s="403" t="str">
        <f t="shared" ca="1" si="543"/>
        <v/>
      </c>
      <c r="AN368" s="403" t="str">
        <f t="shared" ca="1" si="543"/>
        <v/>
      </c>
      <c r="AO368" s="403" t="str">
        <f t="shared" ca="1" si="543"/>
        <v/>
      </c>
      <c r="AP368" s="403" t="str">
        <f t="shared" ca="1" si="543"/>
        <v/>
      </c>
      <c r="AQ368" s="403" t="str">
        <f t="shared" ca="1" si="543"/>
        <v/>
      </c>
      <c r="AR368" s="403" t="str">
        <f t="shared" ca="1" si="543"/>
        <v/>
      </c>
      <c r="AS368" s="403" t="str">
        <f t="shared" ca="1" si="543"/>
        <v/>
      </c>
      <c r="AT368" s="403" t="str">
        <f t="shared" ca="1" si="543"/>
        <v/>
      </c>
      <c r="AU368" s="403" t="str">
        <f t="shared" ca="1" si="543"/>
        <v/>
      </c>
      <c r="AV368" s="403" t="str">
        <f t="shared" ca="1" si="543"/>
        <v/>
      </c>
      <c r="AW368" s="403" t="str">
        <f t="shared" ca="1" si="543"/>
        <v/>
      </c>
      <c r="AX368" s="403" t="str">
        <f t="shared" ca="1" si="543"/>
        <v/>
      </c>
      <c r="AY368" s="403" t="str">
        <f t="shared" ca="1" si="543"/>
        <v/>
      </c>
      <c r="AZ368" s="403" t="str">
        <f t="shared" ca="1" si="543"/>
        <v/>
      </c>
      <c r="BA368" s="403" t="str">
        <f t="shared" ca="1" si="543"/>
        <v/>
      </c>
      <c r="BB368" s="403" t="str">
        <f t="shared" ca="1" si="543"/>
        <v/>
      </c>
      <c r="BC368" s="403" t="str">
        <f t="shared" ca="1" si="543"/>
        <v/>
      </c>
      <c r="BD368" s="403" t="str">
        <f t="shared" ca="1" si="543"/>
        <v/>
      </c>
      <c r="BE368" s="403" t="str">
        <f t="shared" ca="1" si="543"/>
        <v/>
      </c>
      <c r="BF368" s="403" t="str">
        <f t="shared" ca="1" si="543"/>
        <v/>
      </c>
      <c r="BG368" s="403" t="str">
        <f t="shared" ca="1" si="543"/>
        <v/>
      </c>
      <c r="BH368" s="403" t="str">
        <f t="shared" ca="1" si="543"/>
        <v/>
      </c>
      <c r="BI368" s="403" t="str">
        <f t="shared" ca="1" si="543"/>
        <v/>
      </c>
      <c r="BJ368" s="403" t="str">
        <f t="shared" ca="1" si="543"/>
        <v/>
      </c>
      <c r="BK368" s="403" t="str">
        <f t="shared" ca="1" si="543"/>
        <v/>
      </c>
      <c r="BL368" s="403" t="str">
        <f t="shared" ca="1" si="543"/>
        <v/>
      </c>
      <c r="BM368" s="403" t="str">
        <f t="shared" ca="1" si="543"/>
        <v/>
      </c>
      <c r="BN368" s="403" t="str">
        <f t="shared" ca="1" si="543"/>
        <v/>
      </c>
      <c r="BO368" s="403" t="str">
        <f t="shared" ca="1" si="543"/>
        <v/>
      </c>
      <c r="BP368" s="403" t="str">
        <f t="shared" ca="1" si="543"/>
        <v/>
      </c>
      <c r="BQ368" s="403" t="str">
        <f t="shared" ca="1" si="543"/>
        <v/>
      </c>
      <c r="BR368" s="403" t="str">
        <f t="shared" ca="1" si="543"/>
        <v/>
      </c>
      <c r="BS368" s="403" t="str">
        <f t="shared" ca="1" si="543"/>
        <v/>
      </c>
      <c r="BT368" s="403" t="str">
        <f t="shared" ca="1" si="543"/>
        <v/>
      </c>
      <c r="BU368" s="403" t="str">
        <f t="shared" ref="BU368:EF368" ca="1" si="544">IF(BU365=0,"",IF(BU365=BU$3,BU367,BU$5+BV$5-BU369-1))</f>
        <v/>
      </c>
      <c r="BV368" s="403" t="str">
        <f t="shared" ca="1" si="544"/>
        <v/>
      </c>
      <c r="BW368" s="403" t="str">
        <f t="shared" ca="1" si="544"/>
        <v/>
      </c>
      <c r="BX368" s="403" t="str">
        <f t="shared" ca="1" si="544"/>
        <v/>
      </c>
      <c r="BY368" s="403" t="str">
        <f t="shared" ca="1" si="544"/>
        <v/>
      </c>
      <c r="BZ368" s="403" t="str">
        <f t="shared" ca="1" si="544"/>
        <v/>
      </c>
      <c r="CA368" s="403" t="str">
        <f t="shared" ca="1" si="544"/>
        <v/>
      </c>
      <c r="CB368" s="403" t="str">
        <f t="shared" ca="1" si="544"/>
        <v/>
      </c>
      <c r="CC368" s="403" t="str">
        <f t="shared" ca="1" si="544"/>
        <v/>
      </c>
      <c r="CD368" s="403" t="str">
        <f t="shared" ca="1" si="544"/>
        <v/>
      </c>
      <c r="CE368" s="403" t="str">
        <f t="shared" ca="1" si="544"/>
        <v/>
      </c>
      <c r="CF368" s="403" t="str">
        <f t="shared" ca="1" si="544"/>
        <v/>
      </c>
      <c r="CG368" s="403" t="str">
        <f t="shared" ca="1" si="544"/>
        <v/>
      </c>
      <c r="CH368" s="403" t="str">
        <f t="shared" ca="1" si="544"/>
        <v/>
      </c>
      <c r="CI368" s="403" t="str">
        <f t="shared" ca="1" si="544"/>
        <v/>
      </c>
      <c r="CJ368" s="403" t="str">
        <f t="shared" ca="1" si="544"/>
        <v/>
      </c>
      <c r="CK368" s="403" t="str">
        <f t="shared" ca="1" si="544"/>
        <v/>
      </c>
      <c r="CL368" s="403" t="str">
        <f t="shared" ca="1" si="544"/>
        <v/>
      </c>
      <c r="CM368" s="403" t="str">
        <f t="shared" ca="1" si="544"/>
        <v/>
      </c>
      <c r="CN368" s="403" t="str">
        <f t="shared" ca="1" si="544"/>
        <v/>
      </c>
      <c r="CO368" s="403" t="str">
        <f t="shared" ca="1" si="544"/>
        <v/>
      </c>
      <c r="CP368" s="403" t="str">
        <f t="shared" ca="1" si="544"/>
        <v/>
      </c>
      <c r="CQ368" s="403" t="str">
        <f t="shared" ca="1" si="544"/>
        <v/>
      </c>
      <c r="CR368" s="403" t="str">
        <f t="shared" ca="1" si="544"/>
        <v/>
      </c>
      <c r="CS368" s="403" t="str">
        <f t="shared" ca="1" si="544"/>
        <v/>
      </c>
      <c r="CT368" s="403" t="str">
        <f t="shared" ca="1" si="544"/>
        <v/>
      </c>
      <c r="CU368" s="403" t="str">
        <f t="shared" ca="1" si="544"/>
        <v/>
      </c>
      <c r="CV368" s="403" t="str">
        <f t="shared" ca="1" si="544"/>
        <v/>
      </c>
      <c r="CW368" s="403" t="str">
        <f t="shared" ca="1" si="544"/>
        <v/>
      </c>
      <c r="CX368" s="403" t="str">
        <f t="shared" ca="1" si="544"/>
        <v/>
      </c>
      <c r="CY368" s="403" t="str">
        <f t="shared" ca="1" si="544"/>
        <v/>
      </c>
      <c r="CZ368" s="403" t="str">
        <f t="shared" ca="1" si="544"/>
        <v/>
      </c>
      <c r="DA368" s="403" t="str">
        <f t="shared" ca="1" si="544"/>
        <v/>
      </c>
      <c r="DB368" s="403" t="str">
        <f t="shared" ca="1" si="544"/>
        <v/>
      </c>
      <c r="DC368" s="403" t="str">
        <f t="shared" ca="1" si="544"/>
        <v/>
      </c>
      <c r="DD368" s="403" t="str">
        <f t="shared" ca="1" si="544"/>
        <v/>
      </c>
      <c r="DE368" s="403" t="str">
        <f t="shared" ca="1" si="544"/>
        <v/>
      </c>
      <c r="DF368" s="403" t="str">
        <f t="shared" ca="1" si="544"/>
        <v/>
      </c>
      <c r="DG368" s="403" t="str">
        <f t="shared" ca="1" si="544"/>
        <v/>
      </c>
      <c r="DH368" s="403" t="str">
        <f t="shared" ca="1" si="544"/>
        <v/>
      </c>
      <c r="DI368" s="403" t="str">
        <f t="shared" ca="1" si="544"/>
        <v/>
      </c>
      <c r="DJ368" s="403" t="str">
        <f t="shared" ca="1" si="544"/>
        <v/>
      </c>
      <c r="DK368" s="403" t="str">
        <f t="shared" ca="1" si="544"/>
        <v/>
      </c>
      <c r="DL368" s="403" t="str">
        <f t="shared" ca="1" si="544"/>
        <v/>
      </c>
      <c r="DM368" s="403" t="str">
        <f t="shared" ca="1" si="544"/>
        <v/>
      </c>
      <c r="DN368" s="403" t="str">
        <f t="shared" ca="1" si="544"/>
        <v/>
      </c>
      <c r="DO368" s="403" t="str">
        <f t="shared" ca="1" si="544"/>
        <v/>
      </c>
      <c r="DP368" s="403" t="str">
        <f t="shared" ca="1" si="544"/>
        <v/>
      </c>
      <c r="DQ368" s="403" t="str">
        <f t="shared" ca="1" si="544"/>
        <v/>
      </c>
      <c r="DR368" s="403" t="str">
        <f t="shared" ca="1" si="544"/>
        <v/>
      </c>
      <c r="DS368" s="403" t="str">
        <f t="shared" ca="1" si="544"/>
        <v/>
      </c>
      <c r="DT368" s="403" t="str">
        <f t="shared" ca="1" si="544"/>
        <v/>
      </c>
      <c r="DU368" s="403" t="str">
        <f t="shared" ca="1" si="544"/>
        <v/>
      </c>
      <c r="DV368" s="403" t="str">
        <f t="shared" ca="1" si="544"/>
        <v/>
      </c>
      <c r="DW368" s="403" t="str">
        <f t="shared" ca="1" si="544"/>
        <v/>
      </c>
      <c r="DX368" s="403" t="str">
        <f t="shared" ca="1" si="544"/>
        <v/>
      </c>
      <c r="DY368" s="403" t="str">
        <f t="shared" ca="1" si="544"/>
        <v/>
      </c>
      <c r="DZ368" s="403" t="str">
        <f t="shared" ca="1" si="544"/>
        <v/>
      </c>
      <c r="EA368" s="403" t="str">
        <f t="shared" ca="1" si="544"/>
        <v/>
      </c>
      <c r="EB368" s="403" t="str">
        <f t="shared" ca="1" si="544"/>
        <v/>
      </c>
      <c r="EC368" s="403" t="str">
        <f t="shared" ca="1" si="544"/>
        <v/>
      </c>
      <c r="ED368" s="403" t="str">
        <f t="shared" ca="1" si="544"/>
        <v/>
      </c>
      <c r="EE368" s="403" t="str">
        <f t="shared" ca="1" si="544"/>
        <v/>
      </c>
      <c r="EF368" s="403" t="str">
        <f t="shared" ca="1" si="544"/>
        <v/>
      </c>
      <c r="EG368" s="403" t="str">
        <f t="shared" ref="EG368:EI368" ca="1" si="545">IF(EG365=0,"",IF(EG365=EG$3,EG367,EG$5+EH$5-EG369-1))</f>
        <v/>
      </c>
      <c r="EH368" s="403" t="str">
        <f t="shared" ca="1" si="545"/>
        <v/>
      </c>
      <c r="EI368" s="403" t="str">
        <f t="shared" ca="1" si="545"/>
        <v/>
      </c>
    </row>
    <row r="369" spans="1:141" hidden="1" outlineLevel="2">
      <c r="A369" s="332"/>
      <c r="D369" s="305" t="s">
        <v>672</v>
      </c>
      <c r="E369" s="1002">
        <f ca="1">IF(E365=0,"",MAX(G369:EI369))</f>
        <v>45384.15</v>
      </c>
      <c r="F369" s="1003"/>
      <c r="G369" s="403">
        <f ca="1">IF(SUM(G365:$EI365)=0,"",IF(G$227="","",G$227+G365-1))</f>
        <v>44985</v>
      </c>
      <c r="H369" s="403">
        <f ca="1">IF(SUM(H365:$EI365)=0,"",IF(H$227="","",H$227+H365-1))</f>
        <v>45016</v>
      </c>
      <c r="I369" s="403">
        <f ca="1">IF(SUM(I365:$EI365)=0,"",IF(I$227="","",I$227+I365-1))</f>
        <v>45046</v>
      </c>
      <c r="J369" s="403">
        <f ca="1">IF(SUM(J365:$EI365)=0,"",IF(J$227="","",J$227+J365-1))</f>
        <v>45077</v>
      </c>
      <c r="K369" s="403">
        <f ca="1">IF(SUM(K365:$EI365)=0,"",IF(K$227="","",K$227+K365-1))</f>
        <v>45107</v>
      </c>
      <c r="L369" s="403">
        <f ca="1">IF(SUM(L365:$EI365)=0,"",IF(L$227="","",L$227+L365-1))</f>
        <v>45138</v>
      </c>
      <c r="M369" s="403">
        <f ca="1">IF(SUM(M365:$EI365)=0,"",IF(M$227="","",M$227+M365-1))</f>
        <v>45169</v>
      </c>
      <c r="N369" s="403">
        <f ca="1">IF(SUM(N365:$EI365)=0,"",IF(N$227="","",N$227+N365-1))</f>
        <v>45199</v>
      </c>
      <c r="O369" s="403">
        <f ca="1">IF(SUM(O365:$EI365)=0,"",IF(O$227="","",O$227+O365-1))</f>
        <v>45230</v>
      </c>
      <c r="P369" s="403">
        <f ca="1">IF(SUM(P365:$EI365)=0,"",IF(P$227="","",P$227+P365-1))</f>
        <v>45260</v>
      </c>
      <c r="Q369" s="403">
        <f ca="1">IF(SUM(Q365:$EI365)=0,"",IF(Q$227="","",Q$227+Q365-1))</f>
        <v>45291</v>
      </c>
      <c r="R369" s="403">
        <f ca="1">IF(SUM(R365:$EI365)=0,"",IF(R$227="","",R$227+R365-1))</f>
        <v>45328.85</v>
      </c>
      <c r="S369" s="403">
        <f ca="1">IF(SUM(S365:$EI365)=0,"",IF(S$227="","",S$227+S365-1))</f>
        <v>45382</v>
      </c>
      <c r="T369" s="403">
        <f ca="1">IF(SUM(T365:$EI365)=0,"",IF(T$227="","",T$227+T365-1))</f>
        <v>45384.15</v>
      </c>
      <c r="U369" s="403" t="str">
        <f ca="1">IF(SUM(U365:$EI365)=0,"",IF(U$227="","",U$227+U365-1))</f>
        <v/>
      </c>
      <c r="V369" s="403" t="str">
        <f ca="1">IF(SUM(V365:$EI365)=0,"",IF(V$227="","",V$227+V365-1))</f>
        <v/>
      </c>
      <c r="W369" s="403" t="str">
        <f ca="1">IF(SUM(W365:$EI365)=0,"",IF(W$227="","",W$227+W365-1))</f>
        <v/>
      </c>
      <c r="X369" s="403" t="str">
        <f ca="1">IF(SUM(X365:$EI365)=0,"",IF(X$227="","",X$227+X365-1))</f>
        <v/>
      </c>
      <c r="Y369" s="403" t="str">
        <f ca="1">IF(SUM(Y365:$EI365)=0,"",IF(Y$227="","",Y$227+Y365-1))</f>
        <v/>
      </c>
      <c r="Z369" s="403" t="str">
        <f ca="1">IF(SUM(Z365:$EI365)=0,"",IF(Z$227="","",Z$227+Z365-1))</f>
        <v/>
      </c>
      <c r="AA369" s="403" t="str">
        <f ca="1">IF(SUM(AA365:$EI365)=0,"",IF(AA$227="","",AA$227+AA365-1))</f>
        <v/>
      </c>
      <c r="AB369" s="403" t="str">
        <f ca="1">IF(SUM(AB365:$EI365)=0,"",IF(AB$227="","",AB$227+AB365-1))</f>
        <v/>
      </c>
      <c r="AC369" s="403" t="str">
        <f ca="1">IF(SUM(AC365:$EI365)=0,"",IF(AC$227="","",AC$227+AC365-1))</f>
        <v/>
      </c>
      <c r="AD369" s="403" t="str">
        <f ca="1">IF(SUM(AD365:$EI365)=0,"",IF(AD$227="","",AD$227+AD365-1))</f>
        <v/>
      </c>
      <c r="AE369" s="403" t="str">
        <f ca="1">IF(SUM(AE365:$EI365)=0,"",IF(AE$227="","",AE$227+AE365-1))</f>
        <v/>
      </c>
      <c r="AF369" s="403" t="str">
        <f ca="1">IF(SUM(AF365:$EI365)=0,"",IF(AF$227="","",AF$227+AF365-1))</f>
        <v/>
      </c>
      <c r="AG369" s="403" t="str">
        <f ca="1">IF(SUM(AG365:$EI365)=0,"",IF(AG$227="","",AG$227+AG365-1))</f>
        <v/>
      </c>
      <c r="AH369" s="403" t="str">
        <f ca="1">IF(SUM(AH365:$EI365)=0,"",IF(AH$227="","",AH$227+AH365-1))</f>
        <v/>
      </c>
      <c r="AI369" s="403" t="str">
        <f ca="1">IF(SUM(AI365:$EI365)=0,"",IF(AI$227="","",AI$227+AI365-1))</f>
        <v/>
      </c>
      <c r="AJ369" s="403" t="str">
        <f ca="1">IF(SUM(AJ365:$EI365)=0,"",IF(AJ$227="","",AJ$227+AJ365-1))</f>
        <v/>
      </c>
      <c r="AK369" s="403" t="str">
        <f ca="1">IF(SUM(AK365:$EI365)=0,"",IF(AK$227="","",AK$227+AK365-1))</f>
        <v/>
      </c>
      <c r="AL369" s="403" t="str">
        <f ca="1">IF(SUM(AL365:$EI365)=0,"",IF(AL$227="","",AL$227+AL365-1))</f>
        <v/>
      </c>
      <c r="AM369" s="403" t="str">
        <f ca="1">IF(SUM(AM365:$EI365)=0,"",IF(AM$227="","",AM$227+AM365-1))</f>
        <v/>
      </c>
      <c r="AN369" s="403" t="str">
        <f ca="1">IF(SUM(AN365:$EI365)=0,"",IF(AN$227="","",AN$227+AN365-1))</f>
        <v/>
      </c>
      <c r="AO369" s="403" t="str">
        <f ca="1">IF(SUM(AO365:$EI365)=0,"",IF(AO$227="","",AO$227+AO365-1))</f>
        <v/>
      </c>
      <c r="AP369" s="403" t="str">
        <f ca="1">IF(SUM(AP365:$EI365)=0,"",IF(AP$227="","",AP$227+AP365-1))</f>
        <v/>
      </c>
      <c r="AQ369" s="403" t="str">
        <f ca="1">IF(SUM(AQ365:$EI365)=0,"",IF(AQ$227="","",AQ$227+AQ365-1))</f>
        <v/>
      </c>
      <c r="AR369" s="403" t="str">
        <f ca="1">IF(SUM(AR365:$EI365)=0,"",IF(AR$227="","",AR$227+AR365-1))</f>
        <v/>
      </c>
      <c r="AS369" s="403" t="str">
        <f ca="1">IF(SUM(AS365:$EI365)=0,"",IF(AS$227="","",AS$227+AS365-1))</f>
        <v/>
      </c>
      <c r="AT369" s="403" t="str">
        <f ca="1">IF(SUM(AT365:$EI365)=0,"",IF(AT$227="","",AT$227+AT365-1))</f>
        <v/>
      </c>
      <c r="AU369" s="403" t="str">
        <f ca="1">IF(SUM(AU365:$EI365)=0,"",IF(AU$227="","",AU$227+AU365-1))</f>
        <v/>
      </c>
      <c r="AV369" s="403" t="str">
        <f ca="1">IF(SUM(AV365:$EI365)=0,"",IF(AV$227="","",AV$227+AV365-1))</f>
        <v/>
      </c>
      <c r="AW369" s="403" t="str">
        <f ca="1">IF(SUM(AW365:$EI365)=0,"",IF(AW$227="","",AW$227+AW365-1))</f>
        <v/>
      </c>
      <c r="AX369" s="403" t="str">
        <f ca="1">IF(SUM(AX365:$EI365)=0,"",IF(AX$227="","",AX$227+AX365-1))</f>
        <v/>
      </c>
      <c r="AY369" s="403" t="str">
        <f ca="1">IF(SUM(AY365:$EI365)=0,"",IF(AY$227="","",AY$227+AY365-1))</f>
        <v/>
      </c>
      <c r="AZ369" s="403" t="str">
        <f ca="1">IF(SUM(AZ365:$EI365)=0,"",IF(AZ$227="","",AZ$227+AZ365-1))</f>
        <v/>
      </c>
      <c r="BA369" s="403" t="str">
        <f ca="1">IF(SUM(BA365:$EI365)=0,"",IF(BA$227="","",BA$227+BA365-1))</f>
        <v/>
      </c>
      <c r="BB369" s="403" t="str">
        <f ca="1">IF(SUM(BB365:$EI365)=0,"",IF(BB$227="","",BB$227+BB365-1))</f>
        <v/>
      </c>
      <c r="BC369" s="403" t="str">
        <f ca="1">IF(SUM(BC365:$EI365)=0,"",IF(BC$227="","",BC$227+BC365-1))</f>
        <v/>
      </c>
      <c r="BD369" s="403" t="str">
        <f ca="1">IF(SUM(BD365:$EI365)=0,"",IF(BD$227="","",BD$227+BD365-1))</f>
        <v/>
      </c>
      <c r="BE369" s="403" t="str">
        <f ca="1">IF(SUM(BE365:$EI365)=0,"",IF(BE$227="","",BE$227+BE365-1))</f>
        <v/>
      </c>
      <c r="BF369" s="403" t="str">
        <f ca="1">IF(SUM(BF365:$EI365)=0,"",IF(BF$227="","",BF$227+BF365-1))</f>
        <v/>
      </c>
      <c r="BG369" s="403" t="str">
        <f ca="1">IF(SUM(BG365:$EI365)=0,"",IF(BG$227="","",BG$227+BG365-1))</f>
        <v/>
      </c>
      <c r="BH369" s="403" t="str">
        <f ca="1">IF(SUM(BH365:$EI365)=0,"",IF(BH$227="","",BH$227+BH365-1))</f>
        <v/>
      </c>
      <c r="BI369" s="403" t="str">
        <f ca="1">IF(SUM(BI365:$EI365)=0,"",IF(BI$227="","",BI$227+BI365-1))</f>
        <v/>
      </c>
      <c r="BJ369" s="403" t="str">
        <f ca="1">IF(SUM(BJ365:$EI365)=0,"",IF(BJ$227="","",BJ$227+BJ365-1))</f>
        <v/>
      </c>
      <c r="BK369" s="403" t="str">
        <f ca="1">IF(SUM(BK365:$EI365)=0,"",IF(BK$227="","",BK$227+BK365-1))</f>
        <v/>
      </c>
      <c r="BL369" s="403" t="str">
        <f ca="1">IF(SUM(BL365:$EI365)=0,"",IF(BL$227="","",BL$227+BL365-1))</f>
        <v/>
      </c>
      <c r="BM369" s="403" t="str">
        <f ca="1">IF(SUM(BM365:$EI365)=0,"",IF(BM$227="","",BM$227+BM365-1))</f>
        <v/>
      </c>
      <c r="BN369" s="403" t="str">
        <f ca="1">IF(SUM(BN365:$EI365)=0,"",IF(BN$227="","",BN$227+BN365-1))</f>
        <v/>
      </c>
      <c r="BO369" s="403" t="str">
        <f ca="1">IF(SUM(BO365:$EI365)=0,"",IF(BO$227="","",BO$227+BO365-1))</f>
        <v/>
      </c>
      <c r="BP369" s="403" t="str">
        <f ca="1">IF(SUM(BP365:$EI365)=0,"",IF(BP$227="","",BP$227+BP365-1))</f>
        <v/>
      </c>
      <c r="BQ369" s="403" t="str">
        <f ca="1">IF(SUM(BQ365:$EI365)=0,"",IF(BQ$227="","",BQ$227+BQ365-1))</f>
        <v/>
      </c>
      <c r="BR369" s="403" t="str">
        <f ca="1">IF(SUM(BR365:$EI365)=0,"",IF(BR$227="","",BR$227+BR365-1))</f>
        <v/>
      </c>
      <c r="BS369" s="403" t="str">
        <f ca="1">IF(SUM(BS365:$EI365)=0,"",IF(BS$227="","",BS$227+BS365-1))</f>
        <v/>
      </c>
      <c r="BT369" s="403" t="str">
        <f ca="1">IF(SUM(BT365:$EI365)=0,"",IF(BT$227="","",BT$227+BT365-1))</f>
        <v/>
      </c>
      <c r="BU369" s="403" t="str">
        <f ca="1">IF(SUM(BU365:$EI365)=0,"",IF(BU$227="","",BU$227+BU365-1))</f>
        <v/>
      </c>
      <c r="BV369" s="403" t="str">
        <f ca="1">IF(SUM(BV365:$EI365)=0,"",IF(BV$227="","",BV$227+BV365-1))</f>
        <v/>
      </c>
      <c r="BW369" s="403" t="str">
        <f ca="1">IF(SUM(BW365:$EI365)=0,"",IF(BW$227="","",BW$227+BW365-1))</f>
        <v/>
      </c>
      <c r="BX369" s="403" t="str">
        <f ca="1">IF(SUM(BX365:$EI365)=0,"",IF(BX$227="","",BX$227+BX365-1))</f>
        <v/>
      </c>
      <c r="BY369" s="403" t="str">
        <f ca="1">IF(SUM(BY365:$EI365)=0,"",IF(BY$227="","",BY$227+BY365-1))</f>
        <v/>
      </c>
      <c r="BZ369" s="403" t="str">
        <f ca="1">IF(SUM(BZ365:$EI365)=0,"",IF(BZ$227="","",BZ$227+BZ365-1))</f>
        <v/>
      </c>
      <c r="CA369" s="403" t="str">
        <f ca="1">IF(SUM(CA365:$EI365)=0,"",IF(CA$227="","",CA$227+CA365-1))</f>
        <v/>
      </c>
      <c r="CB369" s="403" t="str">
        <f ca="1">IF(SUM(CB365:$EI365)=0,"",IF(CB$227="","",CB$227+CB365-1))</f>
        <v/>
      </c>
      <c r="CC369" s="403" t="str">
        <f ca="1">IF(SUM(CC365:$EI365)=0,"",IF(CC$227="","",CC$227+CC365-1))</f>
        <v/>
      </c>
      <c r="CD369" s="403" t="str">
        <f ca="1">IF(SUM(CD365:$EI365)=0,"",IF(CD$227="","",CD$227+CD365-1))</f>
        <v/>
      </c>
      <c r="CE369" s="403" t="str">
        <f ca="1">IF(SUM(CE365:$EI365)=0,"",IF(CE$227="","",CE$227+CE365-1))</f>
        <v/>
      </c>
      <c r="CF369" s="403" t="str">
        <f ca="1">IF(SUM(CF365:$EI365)=0,"",IF(CF$227="","",CF$227+CF365-1))</f>
        <v/>
      </c>
      <c r="CG369" s="403" t="str">
        <f ca="1">IF(SUM(CG365:$EI365)=0,"",IF(CG$227="","",CG$227+CG365-1))</f>
        <v/>
      </c>
      <c r="CH369" s="403" t="str">
        <f ca="1">IF(SUM(CH365:$EI365)=0,"",IF(CH$227="","",CH$227+CH365-1))</f>
        <v/>
      </c>
      <c r="CI369" s="403" t="str">
        <f ca="1">IF(SUM(CI365:$EI365)=0,"",IF(CI$227="","",CI$227+CI365-1))</f>
        <v/>
      </c>
      <c r="CJ369" s="403" t="str">
        <f ca="1">IF(SUM(CJ365:$EI365)=0,"",IF(CJ$227="","",CJ$227+CJ365-1))</f>
        <v/>
      </c>
      <c r="CK369" s="403" t="str">
        <f ca="1">IF(SUM(CK365:$EI365)=0,"",IF(CK$227="","",CK$227+CK365-1))</f>
        <v/>
      </c>
      <c r="CL369" s="403" t="str">
        <f ca="1">IF(SUM(CL365:$EI365)=0,"",IF(CL$227="","",CL$227+CL365-1))</f>
        <v/>
      </c>
      <c r="CM369" s="403" t="str">
        <f ca="1">IF(SUM(CM365:$EI365)=0,"",IF(CM$227="","",CM$227+CM365-1))</f>
        <v/>
      </c>
      <c r="CN369" s="403" t="str">
        <f ca="1">IF(SUM(CN365:$EI365)=0,"",IF(CN$227="","",CN$227+CN365-1))</f>
        <v/>
      </c>
      <c r="CO369" s="403" t="str">
        <f ca="1">IF(SUM(CO365:$EI365)=0,"",IF(CO$227="","",CO$227+CO365-1))</f>
        <v/>
      </c>
      <c r="CP369" s="403" t="str">
        <f ca="1">IF(SUM(CP365:$EI365)=0,"",IF(CP$227="","",CP$227+CP365-1))</f>
        <v/>
      </c>
      <c r="CQ369" s="403" t="str">
        <f ca="1">IF(SUM(CQ365:$EI365)=0,"",IF(CQ$227="","",CQ$227+CQ365-1))</f>
        <v/>
      </c>
      <c r="CR369" s="403" t="str">
        <f ca="1">IF(SUM(CR365:$EI365)=0,"",IF(CR$227="","",CR$227+CR365-1))</f>
        <v/>
      </c>
      <c r="CS369" s="403" t="str">
        <f ca="1">IF(SUM(CS365:$EI365)=0,"",IF(CS$227="","",CS$227+CS365-1))</f>
        <v/>
      </c>
      <c r="CT369" s="403" t="str">
        <f ca="1">IF(SUM(CT365:$EI365)=0,"",IF(CT$227="","",CT$227+CT365-1))</f>
        <v/>
      </c>
      <c r="CU369" s="403" t="str">
        <f ca="1">IF(SUM(CU365:$EI365)=0,"",IF(CU$227="","",CU$227+CU365-1))</f>
        <v/>
      </c>
      <c r="CV369" s="403" t="str">
        <f ca="1">IF(SUM(CV365:$EI365)=0,"",IF(CV$227="","",CV$227+CV365-1))</f>
        <v/>
      </c>
      <c r="CW369" s="403" t="str">
        <f ca="1">IF(SUM(CW365:$EI365)=0,"",IF(CW$227="","",CW$227+CW365-1))</f>
        <v/>
      </c>
      <c r="CX369" s="403" t="str">
        <f ca="1">IF(SUM(CX365:$EI365)=0,"",IF(CX$227="","",CX$227+CX365-1))</f>
        <v/>
      </c>
      <c r="CY369" s="403" t="str">
        <f ca="1">IF(SUM(CY365:$EI365)=0,"",IF(CY$227="","",CY$227+CY365-1))</f>
        <v/>
      </c>
      <c r="CZ369" s="403" t="str">
        <f ca="1">IF(SUM(CZ365:$EI365)=0,"",IF(CZ$227="","",CZ$227+CZ365-1))</f>
        <v/>
      </c>
      <c r="DA369" s="403" t="str">
        <f ca="1">IF(SUM(DA365:$EI365)=0,"",IF(DA$227="","",DA$227+DA365-1))</f>
        <v/>
      </c>
      <c r="DB369" s="403" t="str">
        <f ca="1">IF(SUM(DB365:$EI365)=0,"",IF(DB$227="","",DB$227+DB365-1))</f>
        <v/>
      </c>
      <c r="DC369" s="403" t="str">
        <f ca="1">IF(SUM(DC365:$EI365)=0,"",IF(DC$227="","",DC$227+DC365-1))</f>
        <v/>
      </c>
      <c r="DD369" s="403" t="str">
        <f ca="1">IF(SUM(DD365:$EI365)=0,"",IF(DD$227="","",DD$227+DD365-1))</f>
        <v/>
      </c>
      <c r="DE369" s="403" t="str">
        <f ca="1">IF(SUM(DE365:$EI365)=0,"",IF(DE$227="","",DE$227+DE365-1))</f>
        <v/>
      </c>
      <c r="DF369" s="403" t="str">
        <f ca="1">IF(SUM(DF365:$EI365)=0,"",IF(DF$227="","",DF$227+DF365-1))</f>
        <v/>
      </c>
      <c r="DG369" s="403" t="str">
        <f ca="1">IF(SUM(DG365:$EI365)=0,"",IF(DG$227="","",DG$227+DG365-1))</f>
        <v/>
      </c>
      <c r="DH369" s="403" t="str">
        <f ca="1">IF(SUM(DH365:$EI365)=0,"",IF(DH$227="","",DH$227+DH365-1))</f>
        <v/>
      </c>
      <c r="DI369" s="403" t="str">
        <f ca="1">IF(SUM(DI365:$EI365)=0,"",IF(DI$227="","",DI$227+DI365-1))</f>
        <v/>
      </c>
      <c r="DJ369" s="403" t="str">
        <f ca="1">IF(SUM(DJ365:$EI365)=0,"",IF(DJ$227="","",DJ$227+DJ365-1))</f>
        <v/>
      </c>
      <c r="DK369" s="403" t="str">
        <f ca="1">IF(SUM(DK365:$EI365)=0,"",IF(DK$227="","",DK$227+DK365-1))</f>
        <v/>
      </c>
      <c r="DL369" s="403" t="str">
        <f ca="1">IF(SUM(DL365:$EI365)=0,"",IF(DL$227="","",DL$227+DL365-1))</f>
        <v/>
      </c>
      <c r="DM369" s="403" t="str">
        <f ca="1">IF(SUM(DM365:$EI365)=0,"",IF(DM$227="","",DM$227+DM365-1))</f>
        <v/>
      </c>
      <c r="DN369" s="403" t="str">
        <f ca="1">IF(SUM(DN365:$EI365)=0,"",IF(DN$227="","",DN$227+DN365-1))</f>
        <v/>
      </c>
      <c r="DO369" s="403" t="str">
        <f ca="1">IF(SUM(DO365:$EI365)=0,"",IF(DO$227="","",DO$227+DO365-1))</f>
        <v/>
      </c>
      <c r="DP369" s="403" t="str">
        <f ca="1">IF(SUM(DP365:$EI365)=0,"",IF(DP$227="","",DP$227+DP365-1))</f>
        <v/>
      </c>
      <c r="DQ369" s="403" t="str">
        <f ca="1">IF(SUM(DQ365:$EI365)=0,"",IF(DQ$227="","",DQ$227+DQ365-1))</f>
        <v/>
      </c>
      <c r="DR369" s="403" t="str">
        <f ca="1">IF(SUM(DR365:$EI365)=0,"",IF(DR$227="","",DR$227+DR365-1))</f>
        <v/>
      </c>
      <c r="DS369" s="403" t="str">
        <f ca="1">IF(SUM(DS365:$EI365)=0,"",IF(DS$227="","",DS$227+DS365-1))</f>
        <v/>
      </c>
      <c r="DT369" s="403" t="str">
        <f ca="1">IF(SUM(DT365:$EI365)=0,"",IF(DT$227="","",DT$227+DT365-1))</f>
        <v/>
      </c>
      <c r="DU369" s="403" t="str">
        <f ca="1">IF(SUM(DU365:$EI365)=0,"",IF(DU$227="","",DU$227+DU365-1))</f>
        <v/>
      </c>
      <c r="DV369" s="403" t="str">
        <f ca="1">IF(SUM(DV365:$EI365)=0,"",IF(DV$227="","",DV$227+DV365-1))</f>
        <v/>
      </c>
      <c r="DW369" s="403" t="str">
        <f ca="1">IF(SUM(DW365:$EI365)=0,"",IF(DW$227="","",DW$227+DW365-1))</f>
        <v/>
      </c>
      <c r="DX369" s="403" t="str">
        <f ca="1">IF(SUM(DX365:$EI365)=0,"",IF(DX$227="","",DX$227+DX365-1))</f>
        <v/>
      </c>
      <c r="DY369" s="403" t="str">
        <f ca="1">IF(SUM(DY365:$EI365)=0,"",IF(DY$227="","",DY$227+DY365-1))</f>
        <v/>
      </c>
      <c r="DZ369" s="403" t="str">
        <f ca="1">IF(SUM(DZ365:$EI365)=0,"",IF(DZ$227="","",DZ$227+DZ365-1))</f>
        <v/>
      </c>
      <c r="EA369" s="403" t="str">
        <f ca="1">IF(SUM(EA365:$EI365)=0,"",IF(EA$227="","",EA$227+EA365-1))</f>
        <v/>
      </c>
      <c r="EB369" s="403" t="str">
        <f ca="1">IF(SUM(EB365:$EI365)=0,"",IF(EB$227="","",EB$227+EB365-1))</f>
        <v/>
      </c>
      <c r="EC369" s="403" t="str">
        <f ca="1">IF(SUM(EC365:$EI365)=0,"",IF(EC$227="","",EC$227+EC365-1))</f>
        <v/>
      </c>
      <c r="ED369" s="403" t="str">
        <f ca="1">IF(SUM(ED365:$EI365)=0,"",IF(ED$227="","",ED$227+ED365-1))</f>
        <v/>
      </c>
      <c r="EE369" s="403" t="str">
        <f ca="1">IF(SUM(EE365:$EI365)=0,"",IF(EE$227="","",EE$227+EE365-1))</f>
        <v/>
      </c>
      <c r="EF369" s="403" t="str">
        <f ca="1">IF(SUM(EF365:$EI365)=0,"",IF(EF$227="","",EF$227+EF365-1))</f>
        <v/>
      </c>
      <c r="EG369" s="403" t="str">
        <f ca="1">IF(SUM(EG365:$EI365)=0,"",IF(EG$227="","",EG$227+EG365-1))</f>
        <v/>
      </c>
      <c r="EH369" s="403" t="str">
        <f ca="1">IF(SUM(EH365:$EI365)=0,"",IF(EH$227="","",EH$227+EH365-1))</f>
        <v/>
      </c>
      <c r="EI369" s="403" t="str">
        <f ca="1">IF(SUM(EI365:$EI365)=0,"",IF(EI$227="","",EI$227+EI365-1))</f>
        <v/>
      </c>
    </row>
    <row r="370" spans="1:141" outlineLevel="1" collapsed="1">
      <c r="A370" s="332"/>
      <c r="B370" s="313"/>
      <c r="C370" s="317" t="s">
        <v>281</v>
      </c>
      <c r="D370" s="317" t="s">
        <v>684</v>
      </c>
      <c r="E370" s="400">
        <f ca="1">IF(ГРП!B38=0,длительность!B105,ГРП!B38)</f>
        <v>730</v>
      </c>
      <c r="F370" s="318">
        <f ca="1">E370-SUM(G370:EJ370)</f>
        <v>0</v>
      </c>
      <c r="G370" s="401"/>
      <c r="H370" s="401">
        <f ca="1">IF(SUM($G370:G370)&gt;=$E370,0,IF($E370-SUM($G370:G370)&gt;H371,H371,$E370-SUM($G371:G371)))</f>
        <v>0</v>
      </c>
      <c r="I370" s="401">
        <f ca="1">IF(SUM($G370:H370)&gt;=$E370,0,IF($E370-SUM($G370:H370)&gt;I371,I371,$E370-SUM($G371:H371)))</f>
        <v>0</v>
      </c>
      <c r="J370" s="401">
        <f ca="1">IF(SUM($G370:I370)&gt;=$E370,0,IF($E370-SUM($G370:I370)&gt;J371,J371,$E370-SUM($G371:I371)))</f>
        <v>0</v>
      </c>
      <c r="K370" s="401">
        <f ca="1">IF(SUM($G370:J370)&gt;=$E370,0,IF($E370-SUM($G370:J370)&gt;K371,K371,$E370-SUM($G371:J371)))</f>
        <v>0</v>
      </c>
      <c r="L370" s="401">
        <f ca="1">IF(SUM($G370:K370)&gt;=$E370,0,IF($E370-SUM($G370:K370)&gt;L371,L371,$E370-SUM($G371:K371)))</f>
        <v>0</v>
      </c>
      <c r="M370" s="401">
        <f ca="1">IF(SUM($G370:L370)&gt;=$E370,0,IF($E370-SUM($G370:L370)&gt;M371,M371,$E370-SUM($G371:L371)))</f>
        <v>0</v>
      </c>
      <c r="N370" s="401">
        <f ca="1">IF(SUM($G370:M370)&gt;=$E370,0,IF($E370-SUM($G370:M370)&gt;N371,N371,$E370-SUM($G371:M371)))</f>
        <v>0</v>
      </c>
      <c r="O370" s="401">
        <f ca="1">IF(SUM($G370:N370)&gt;=$E370,0,IF($E370-SUM($G370:N370)&gt;O371,O371,$E370-SUM($G371:N371)))</f>
        <v>0</v>
      </c>
      <c r="P370" s="401">
        <f ca="1">IF(SUM($G370:O370)&gt;=$E370,0,IF($E370-SUM($G370:O370)&gt;P371,P371,$E370-SUM($G371:O371)))</f>
        <v>0</v>
      </c>
      <c r="Q370" s="401">
        <f ca="1">IF(SUM($G370:P370)&gt;=$E370,0,IF($E370-SUM($G370:P370)&gt;Q371,Q371,$E370-SUM($G371:P371)))</f>
        <v>0</v>
      </c>
      <c r="R370" s="401">
        <f ca="1">IF(SUM($G370:Q370)&gt;=$E370,0,IF($E370-SUM($G370:Q370)&gt;R371,R371,$E370-SUM($G371:Q371)))</f>
        <v>0</v>
      </c>
      <c r="S370" s="401">
        <f ca="1">IF(SUM($G370:R370)&gt;=$E370,0,IF($E370-SUM($G370:R370)&gt;S371,S371,$E370-SUM($G371:R371)))</f>
        <v>0</v>
      </c>
      <c r="T370" s="401">
        <f ca="1">IF(SUM($G370:S370)&gt;=$E370,0,IF($E370-SUM($G370:S370)&gt;T371,T371,$E370-SUM($G371:S371)))</f>
        <v>0</v>
      </c>
      <c r="U370" s="401">
        <f ca="1">IF(SUM($G370:T370)&gt;=$E370,0,IF($E370-SUM($G370:T370)&gt;U371,U371,$E370-SUM($G371:T371)))</f>
        <v>0</v>
      </c>
      <c r="V370" s="401">
        <f ca="1">IF(SUM($G370:U370)&gt;=$E370,0,IF($E370-SUM($G370:U370)&gt;V371,V371,$E370-SUM($G371:U371)))</f>
        <v>0</v>
      </c>
      <c r="W370" s="401">
        <f ca="1">IF(SUM($G370:V370)&gt;=$E370,0,IF($E370-SUM($G370:V370)&gt;W371,W371,$E370-SUM($G371:V371)))</f>
        <v>0</v>
      </c>
      <c r="X370" s="401">
        <f ca="1">IF(SUM($G370:W370)&gt;=$E370,0,IF($E370-SUM($G370:W370)&gt;X371,X371,$E370-SUM($G371:W371)))</f>
        <v>0</v>
      </c>
      <c r="Y370" s="401">
        <f ca="1">IF(SUM($G370:X370)&gt;=$E370,0,IF($E370-SUM($G370:X370)&gt;Y371,Y371,$E370-SUM($G371:X371)))</f>
        <v>0</v>
      </c>
      <c r="Z370" s="401">
        <f ca="1">IF(SUM($G370:Y370)&gt;=$E370,0,IF($E370-SUM($G370:Y370)&gt;Z371,Z371,$E370-SUM($G371:Y371)))</f>
        <v>0</v>
      </c>
      <c r="AA370" s="401">
        <f ca="1">IF(SUM($G370:Z370)&gt;=$E370,0,IF($E370-SUM($G370:Z370)&gt;AA371,AA371,$E370-SUM($G371:Z371)))</f>
        <v>0</v>
      </c>
      <c r="AB370" s="401">
        <f ca="1">IF(SUM($G370:AA370)&gt;=$E370,0,IF($E370-SUM($G370:AA370)&gt;AB371,AB371,$E370-SUM($G371:AA371)))</f>
        <v>0</v>
      </c>
      <c r="AC370" s="401">
        <f ca="1">IF(SUM($G370:AB370)&gt;=$E370,0,IF($E370-SUM($G370:AB370)&gt;AC371,AC371,$E370-SUM($G371:AB371)))</f>
        <v>0</v>
      </c>
      <c r="AD370" s="401">
        <f ca="1">IF(SUM($G370:AC370)&gt;=$E370,0,IF($E370-SUM($G370:AC370)&gt;AD371,AD371,$E370-SUM($G371:AC371)))</f>
        <v>0</v>
      </c>
      <c r="AE370" s="401">
        <f ca="1">IF(SUM($G370:AD370)&gt;=$E370,0,IF($E370-SUM($G370:AD370)&gt;AE371,AE371,$E370-SUM($G371:AD371)))</f>
        <v>0</v>
      </c>
      <c r="AF370" s="401">
        <f ca="1">IF(SUM($G370:AE370)&gt;=$E370,0,IF($E370-SUM($G370:AE370)&gt;AF371,AF371,$E370-SUM($G371:AE371)))</f>
        <v>0</v>
      </c>
      <c r="AG370" s="401">
        <f ca="1">IF(SUM($G370:AF370)&gt;=$E370,0,IF($E370-SUM($G370:AF370)&gt;AG371,AG371,$E370-SUM($G371:AF371)))</f>
        <v>0</v>
      </c>
      <c r="AH370" s="401">
        <f ca="1">IF(SUM($G370:AG370)&gt;=$E370,0,IF($E370-SUM($G370:AG370)&gt;AH371,AH371,$E370-SUM($G371:AG371)))</f>
        <v>0</v>
      </c>
      <c r="AI370" s="401">
        <f ca="1">IF(SUM($G370:AH370)&gt;=$E370,0,IF($E370-SUM($G370:AH370)&gt;AI371,AI371,$E370-SUM($G371:AH371)))</f>
        <v>0</v>
      </c>
      <c r="AJ370" s="401">
        <f ca="1">IF(SUM($G370:AI370)&gt;=$E370,0,IF($E370-SUM($G370:AI370)&gt;AJ371,AJ371,$E370-SUM($G371:AI371)))</f>
        <v>0</v>
      </c>
      <c r="AK370" s="401">
        <f ca="1">IF(SUM($G370:AJ370)&gt;=$E370,0,IF($E370-SUM($G370:AJ370)&gt;AK371,AK371,$E370-SUM($G371:AJ371)))</f>
        <v>0</v>
      </c>
      <c r="AL370" s="401">
        <f ca="1">IF(SUM($G370:AK370)&gt;=$E370,0,IF($E370-SUM($G370:AK370)&gt;AL371,AL371,$E370-SUM($G371:AK371)))</f>
        <v>0</v>
      </c>
      <c r="AM370" s="401">
        <f ca="1">IF(SUM($G370:AL370)&gt;=$E370,0,IF($E370-SUM($G370:AL370)&gt;AM371,AM371,$E370-SUM($G371:AL371)))</f>
        <v>0</v>
      </c>
      <c r="AN370" s="401">
        <f ca="1">IF(SUM($G370:AM370)&gt;=$E370,0,IF($E370-SUM($G370:AM370)&gt;AN371,AN371,$E370-SUM($G371:AM371)))</f>
        <v>0</v>
      </c>
      <c r="AO370" s="401">
        <f ca="1">IF(SUM($G370:AN370)&gt;=$E370,0,IF($E370-SUM($G370:AN370)&gt;AO371,AO371,$E370-SUM($G371:AN371)))</f>
        <v>0</v>
      </c>
      <c r="AP370" s="401">
        <f ca="1">IF(SUM($G370:AO370)&gt;=$E370,0,IF($E370-SUM($G370:AO370)&gt;AP371,AP371,$E370-SUM($G371:AO371)))</f>
        <v>0</v>
      </c>
      <c r="AQ370" s="401">
        <f ca="1">IF(SUM($G370:AP370)&gt;=$E370,0,IF($E370-SUM($G370:AP370)&gt;AQ371,AQ371,$E370-SUM($G371:AP371)))</f>
        <v>0</v>
      </c>
      <c r="AR370" s="401">
        <f ca="1">IF(SUM($G370:AQ370)&gt;=$E370,0,IF($E370-SUM($G370:AQ370)&gt;AR371,AR371,$E370-SUM($G371:AQ371)))</f>
        <v>0</v>
      </c>
      <c r="AS370" s="401">
        <f ca="1">IF(SUM($G370:AR370)&gt;=$E370,0,IF($E370-SUM($G370:AR370)&gt;AS371,AS371,$E370-SUM($G371:AR371)))</f>
        <v>0</v>
      </c>
      <c r="AT370" s="401">
        <f ca="1">IF(SUM($G370:AS370)&gt;=$E370,0,IF($E370-SUM($G370:AS370)&gt;AT371,AT371,$E370-SUM($G371:AS371)))</f>
        <v>0</v>
      </c>
      <c r="AU370" s="401">
        <f ca="1">IF(SUM($G370:AT370)&gt;=$E370,0,IF($E370-SUM($G370:AT370)&gt;AU371,AU371,$E370-SUM($G371:AT371)))</f>
        <v>0</v>
      </c>
      <c r="AV370" s="401">
        <f ca="1">IF(SUM($G370:AU370)&gt;=$E370,0,IF($E370-SUM($G370:AU370)&gt;AV371,AV371,$E370-SUM($G371:AU371)))</f>
        <v>0</v>
      </c>
      <c r="AW370" s="401">
        <f ca="1">IF(SUM($G370:AV370)&gt;=$E370,0,IF($E370-SUM($G370:AV370)&gt;AW371,AW371,$E370-SUM($G371:AV371)))</f>
        <v>0</v>
      </c>
      <c r="AX370" s="401">
        <f ca="1">IF(SUM($G370:AW370)&gt;=$E370,0,IF($E370-SUM($G370:AW370)&gt;AX371,AX371,$E370-SUM($G371:AW371)))</f>
        <v>0</v>
      </c>
      <c r="AY370" s="401">
        <f ca="1">IF(SUM($G370:AX370)&gt;=$E370,0,IF($E370-SUM($G370:AX370)&gt;AY371,AY371,$E370-SUM($G371:AX371)))</f>
        <v>0</v>
      </c>
      <c r="AZ370" s="401">
        <f ca="1">IF(SUM($G370:AY370)&gt;=$E370,0,IF($E370-SUM($G370:AY370)&gt;AZ371,AZ371,$E370-SUM($G371:AY371)))</f>
        <v>0</v>
      </c>
      <c r="BA370" s="401">
        <f ca="1">IF(SUM($G370:AZ370)&gt;=$E370,0,IF($E370-SUM($G370:AZ370)&gt;BA371,BA371,$E370-SUM($G371:AZ371)))</f>
        <v>5</v>
      </c>
      <c r="BB370" s="401">
        <f ca="1">IF(SUM($G370:BA370)&gt;=$E370,0,IF($E370-SUM($G370:BA370)&gt;BB371,BB371,$E370-SUM($G371:BA371)))</f>
        <v>28</v>
      </c>
      <c r="BC370" s="401">
        <f ca="1">IF(SUM($G370:BB370)&gt;=$E370,0,IF($E370-SUM($G370:BB370)&gt;BC371,BC371,$E370-SUM($G371:BB371)))</f>
        <v>31</v>
      </c>
      <c r="BD370" s="401">
        <f ca="1">IF(SUM($G370:BC370)&gt;=$E370,0,IF($E370-SUM($G370:BC370)&gt;BD371,BD371,$E370-SUM($G371:BC371)))</f>
        <v>30</v>
      </c>
      <c r="BE370" s="401">
        <f ca="1">IF(SUM($G370:BD370)&gt;=$E370,0,IF($E370-SUM($G370:BD370)&gt;BE371,BE371,$E370-SUM($G371:BD371)))</f>
        <v>31</v>
      </c>
      <c r="BF370" s="401">
        <f ca="1">IF(SUM($G370:BE370)&gt;=$E370,0,IF($E370-SUM($G370:BE370)&gt;BF371,BF371,$E370-SUM($G371:BE371)))</f>
        <v>30</v>
      </c>
      <c r="BG370" s="401">
        <f ca="1">IF(SUM($G370:BF370)&gt;=$E370,0,IF($E370-SUM($G370:BF370)&gt;BG371,BG371,$E370-SUM($G371:BF371)))</f>
        <v>31</v>
      </c>
      <c r="BH370" s="401">
        <f ca="1">IF(SUM($G370:BG370)&gt;=$E370,0,IF($E370-SUM($G370:BG370)&gt;BH371,BH371,$E370-SUM($G371:BG371)))</f>
        <v>31</v>
      </c>
      <c r="BI370" s="401">
        <f ca="1">IF(SUM($G370:BH370)&gt;=$E370,0,IF($E370-SUM($G370:BH370)&gt;BI371,BI371,$E370-SUM($G371:BH371)))</f>
        <v>30</v>
      </c>
      <c r="BJ370" s="401">
        <f ca="1">IF(SUM($G370:BI370)&gt;=$E370,0,IF($E370-SUM($G370:BI370)&gt;BJ371,BJ371,$E370-SUM($G371:BI371)))</f>
        <v>31</v>
      </c>
      <c r="BK370" s="401">
        <f ca="1">IF(SUM($G370:BJ370)&gt;=$E370,0,IF($E370-SUM($G370:BJ370)&gt;BK371,BK371,$E370-SUM($G371:BJ371)))</f>
        <v>30</v>
      </c>
      <c r="BL370" s="401">
        <f ca="1">IF(SUM($G370:BK370)&gt;=$E370,0,IF($E370-SUM($G370:BK370)&gt;BL371,BL371,$E370-SUM($G371:BK371)))</f>
        <v>31</v>
      </c>
      <c r="BM370" s="401">
        <f ca="1">IF(SUM($G370:BL370)&gt;=$E370,0,IF($E370-SUM($G370:BL370)&gt;BM371,BM371,$E370-SUM($G371:BL371)))</f>
        <v>31</v>
      </c>
      <c r="BN370" s="401">
        <f ca="1">IF(SUM($G370:BM370)&gt;=$E370,0,IF($E370-SUM($G370:BM370)&gt;BN371,BN371,$E370-SUM($G371:BM371)))</f>
        <v>29</v>
      </c>
      <c r="BO370" s="401">
        <f ca="1">IF(SUM($G370:BN370)&gt;=$E370,0,IF($E370-SUM($G370:BN370)&gt;BO371,BO371,$E370-SUM($G371:BN371)))</f>
        <v>31</v>
      </c>
      <c r="BP370" s="401">
        <f ca="1">IF(SUM($G370:BO370)&gt;=$E370,0,IF($E370-SUM($G370:BO370)&gt;BP371,BP371,$E370-SUM($G371:BO371)))</f>
        <v>30</v>
      </c>
      <c r="BQ370" s="401">
        <f ca="1">IF(SUM($G370:BP370)&gt;=$E370,0,IF($E370-SUM($G370:BP370)&gt;BQ371,BQ371,$E370-SUM($G371:BP371)))</f>
        <v>31</v>
      </c>
      <c r="BR370" s="401">
        <f ca="1">IF(SUM($G370:BQ370)&gt;=$E370,0,IF($E370-SUM($G370:BQ370)&gt;BR371,BR371,$E370-SUM($G371:BQ371)))</f>
        <v>30</v>
      </c>
      <c r="BS370" s="401">
        <f ca="1">IF(SUM($G370:BR370)&gt;=$E370,0,IF($E370-SUM($G370:BR370)&gt;BS371,BS371,$E370-SUM($G371:BR371)))</f>
        <v>31</v>
      </c>
      <c r="BT370" s="401">
        <f ca="1">IF(SUM($G370:BS370)&gt;=$E370,0,IF($E370-SUM($G370:BS370)&gt;BT371,BT371,$E370-SUM($G371:BS371)))</f>
        <v>31</v>
      </c>
      <c r="BU370" s="401">
        <f ca="1">IF(SUM($G370:BT370)&gt;=$E370,0,IF($E370-SUM($G370:BT370)&gt;BU371,BU371,$E370-SUM($G371:BT371)))</f>
        <v>30</v>
      </c>
      <c r="BV370" s="401">
        <f ca="1">IF(SUM($G370:BU370)&gt;=$E370,0,IF($E370-SUM($G370:BU370)&gt;BV371,BV371,$E370-SUM($G371:BU371)))</f>
        <v>31</v>
      </c>
      <c r="BW370" s="401">
        <f ca="1">IF(SUM($G370:BV370)&gt;=$E370,0,IF($E370-SUM($G370:BV370)&gt;BW371,BW371,$E370-SUM($G371:BV371)))</f>
        <v>30</v>
      </c>
      <c r="BX370" s="401">
        <f ca="1">IF(SUM($G370:BW370)&gt;=$E370,0,IF($E370-SUM($G370:BW370)&gt;BX371,BX371,$E370-SUM($G371:BW371)))</f>
        <v>31</v>
      </c>
      <c r="BY370" s="401">
        <f ca="1">IF(SUM($G370:BX370)&gt;=$E370,0,IF($E370-SUM($G370:BX370)&gt;BY371,BY371,$E370-SUM($G371:BX371)))</f>
        <v>25</v>
      </c>
      <c r="BZ370" s="401">
        <f ca="1">IF(SUM($G370:BY370)&gt;=$E370,0,IF($E370-SUM($G370:BY370)&gt;BZ371,BZ371,$E370-SUM($G371:BY371)))</f>
        <v>0</v>
      </c>
      <c r="CA370" s="401">
        <f ca="1">IF(SUM($G370:BZ370)&gt;=$E370,0,IF($E370-SUM($G370:BZ370)&gt;CA371,CA371,$E370-SUM($G371:BZ371)))</f>
        <v>0</v>
      </c>
      <c r="CB370" s="401">
        <f ca="1">IF(SUM($G370:CA370)&gt;=$E370,0,IF($E370-SUM($G370:CA370)&gt;CB371,CB371,$E370-SUM($G371:CA371)))</f>
        <v>0</v>
      </c>
      <c r="CC370" s="401">
        <f ca="1">IF(SUM($G370:CB370)&gt;=$E370,0,IF($E370-SUM($G370:CB370)&gt;CC371,CC371,$E370-SUM($G371:CB371)))</f>
        <v>0</v>
      </c>
      <c r="CD370" s="401">
        <f ca="1">IF(SUM($G370:CC370)&gt;=$E370,0,IF($E370-SUM($G370:CC370)&gt;CD371,CD371,$E370-SUM($G371:CC371)))</f>
        <v>0</v>
      </c>
      <c r="CE370" s="401">
        <f ca="1">IF(SUM($G370:CD370)&gt;=$E370,0,IF($E370-SUM($G370:CD370)&gt;CE371,CE371,$E370-SUM($G371:CD371)))</f>
        <v>0</v>
      </c>
      <c r="CF370" s="401">
        <f ca="1">IF(SUM($G370:CE370)&gt;=$E370,0,IF($E370-SUM($G370:CE370)&gt;CF371,CF371,$E370-SUM($G371:CE371)))</f>
        <v>0</v>
      </c>
      <c r="CG370" s="401">
        <f ca="1">IF(SUM($G370:CF370)&gt;=$E370,0,IF($E370-SUM($G370:CF370)&gt;CG371,CG371,$E370-SUM($G371:CF371)))</f>
        <v>0</v>
      </c>
      <c r="CH370" s="401">
        <f ca="1">IF(SUM($G370:CG370)&gt;=$E370,0,IF($E370-SUM($G370:CG370)&gt;CH371,CH371,$E370-SUM($G371:CG371)))</f>
        <v>0</v>
      </c>
      <c r="CI370" s="401">
        <f ca="1">IF(SUM($G370:CH370)&gt;=$E370,0,IF($E370-SUM($G370:CH370)&gt;CI371,CI371,$E370-SUM($G371:CH371)))</f>
        <v>0</v>
      </c>
      <c r="CJ370" s="401">
        <f ca="1">IF(SUM($G370:CI370)&gt;=$E370,0,IF($E370-SUM($G370:CI370)&gt;CJ371,CJ371,$E370-SUM($G371:CI371)))</f>
        <v>0</v>
      </c>
      <c r="CK370" s="401">
        <f ca="1">IF(SUM($G370:CJ370)&gt;=$E370,0,IF($E370-SUM($G370:CJ370)&gt;CK371,CK371,$E370-SUM($G371:CJ371)))</f>
        <v>0</v>
      </c>
      <c r="CL370" s="401">
        <f ca="1">IF(SUM($G370:CK370)&gt;=$E370,0,IF($E370-SUM($G370:CK370)&gt;CL371,CL371,$E370-SUM($G371:CK371)))</f>
        <v>0</v>
      </c>
      <c r="CM370" s="401">
        <f ca="1">IF(SUM($G370:CL370)&gt;=$E370,0,IF($E370-SUM($G370:CL370)&gt;CM371,CM371,$E370-SUM($G371:CL371)))</f>
        <v>0</v>
      </c>
      <c r="CN370" s="401">
        <f ca="1">IF(SUM($G370:CM370)&gt;=$E370,0,IF($E370-SUM($G370:CM370)&gt;CN371,CN371,$E370-SUM($G371:CM371)))</f>
        <v>0</v>
      </c>
      <c r="CO370" s="401">
        <f ca="1">IF(SUM($G370:CN370)&gt;=$E370,0,IF($E370-SUM($G370:CN370)&gt;CO371,CO371,$E370-SUM($G371:CN371)))</f>
        <v>0</v>
      </c>
      <c r="CP370" s="401">
        <f ca="1">IF(SUM($G370:CO370)&gt;=$E370,0,IF($E370-SUM($G370:CO370)&gt;CP371,CP371,$E370-SUM($G371:CO371)))</f>
        <v>0</v>
      </c>
      <c r="CQ370" s="401">
        <f ca="1">IF(SUM($G370:CP370)&gt;=$E370,0,IF($E370-SUM($G370:CP370)&gt;CQ371,CQ371,$E370-SUM($G371:CP371)))</f>
        <v>0</v>
      </c>
      <c r="CR370" s="401">
        <f ca="1">IF(SUM($G370:CQ370)&gt;=$E370,0,IF($E370-SUM($G370:CQ370)&gt;CR371,CR371,$E370-SUM($G371:CQ371)))</f>
        <v>0</v>
      </c>
      <c r="CS370" s="401">
        <f ca="1">IF(SUM($G370:CR370)&gt;=$E370,0,IF($E370-SUM($G370:CR370)&gt;CS371,CS371,$E370-SUM($G371:CR371)))</f>
        <v>0</v>
      </c>
      <c r="CT370" s="401">
        <f ca="1">IF(SUM($G370:CS370)&gt;=$E370,0,IF($E370-SUM($G370:CS370)&gt;CT371,CT371,$E370-SUM($G371:CS371)))</f>
        <v>0</v>
      </c>
      <c r="CU370" s="401">
        <f ca="1">IF(SUM($G370:CT370)&gt;=$E370,0,IF($E370-SUM($G370:CT370)&gt;CU371,CU371,$E370-SUM($G371:CT371)))</f>
        <v>0</v>
      </c>
      <c r="CV370" s="401">
        <f ca="1">IF(SUM($G370:CU370)&gt;=$E370,0,IF($E370-SUM($G370:CU370)&gt;CV371,CV371,$E370-SUM($G371:CU371)))</f>
        <v>0</v>
      </c>
      <c r="CW370" s="401">
        <f ca="1">IF(SUM($G370:CV370)&gt;=$E370,0,IF($E370-SUM($G370:CV370)&gt;CW371,CW371,$E370-SUM($G371:CV371)))</f>
        <v>0</v>
      </c>
      <c r="CX370" s="401">
        <f ca="1">IF(SUM($G370:CW370)&gt;=$E370,0,IF($E370-SUM($G370:CW370)&gt;CX371,CX371,$E370-SUM($G371:CW371)))</f>
        <v>0</v>
      </c>
      <c r="CY370" s="401">
        <f ca="1">IF(SUM($G370:CX370)&gt;=$E370,0,IF($E370-SUM($G370:CX370)&gt;CY371,CY371,$E370-SUM($G371:CX371)))</f>
        <v>0</v>
      </c>
      <c r="CZ370" s="401">
        <f ca="1">IF(SUM($G370:CY370)&gt;=$E370,0,IF($E370-SUM($G370:CY370)&gt;CZ371,CZ371,$E370-SUM($G371:CY371)))</f>
        <v>0</v>
      </c>
      <c r="DA370" s="401">
        <f ca="1">IF(SUM($G370:CZ370)&gt;=$E370,0,IF($E370-SUM($G370:CZ370)&gt;DA371,DA371,$E370-SUM($G371:CZ371)))</f>
        <v>0</v>
      </c>
      <c r="DB370" s="401">
        <f ca="1">IF(SUM($G370:DA370)&gt;=$E370,0,IF($E370-SUM($G370:DA370)&gt;DB371,DB371,$E370-SUM($G371:DA371)))</f>
        <v>0</v>
      </c>
      <c r="DC370" s="401">
        <f ca="1">IF(SUM($G370:DB370)&gt;=$E370,0,IF($E370-SUM($G370:DB370)&gt;DC371,DC371,$E370-SUM($G371:DB371)))</f>
        <v>0</v>
      </c>
      <c r="DD370" s="401">
        <f ca="1">IF(SUM($G370:DC370)&gt;=$E370,0,IF($E370-SUM($G370:DC370)&gt;DD371,DD371,$E370-SUM($G371:DC371)))</f>
        <v>0</v>
      </c>
      <c r="DE370" s="401">
        <f ca="1">IF(SUM($G370:DD370)&gt;=$E370,0,IF($E370-SUM($G370:DD370)&gt;DE371,DE371,$E370-SUM($G371:DD371)))</f>
        <v>0</v>
      </c>
      <c r="DF370" s="401">
        <f ca="1">IF(SUM($G370:DE370)&gt;=$E370,0,IF($E370-SUM($G370:DE370)&gt;DF371,DF371,$E370-SUM($G371:DE371)))</f>
        <v>0</v>
      </c>
      <c r="DG370" s="401">
        <f ca="1">IF(SUM($G370:DF370)&gt;=$E370,0,IF($E370-SUM($G370:DF370)&gt;DG371,DG371,$E370-SUM($G371:DF371)))</f>
        <v>0</v>
      </c>
      <c r="DH370" s="401">
        <f ca="1">IF(SUM($G370:DG370)&gt;=$E370,0,IF($E370-SUM($G370:DG370)&gt;DH371,DH371,$E370-SUM($G371:DG371)))</f>
        <v>0</v>
      </c>
      <c r="DI370" s="401">
        <f ca="1">IF(SUM($G370:DH370)&gt;=$E370,0,IF($E370-SUM($G370:DH370)&gt;DI371,DI371,$E370-SUM($G371:DH371)))</f>
        <v>0</v>
      </c>
      <c r="DJ370" s="401">
        <f ca="1">IF(SUM($G370:DI370)&gt;=$E370,0,IF($E370-SUM($G370:DI370)&gt;DJ371,DJ371,$E370-SUM($G371:DI371)))</f>
        <v>0</v>
      </c>
      <c r="DK370" s="401">
        <f ca="1">IF(SUM($G370:DJ370)&gt;=$E370,0,IF($E370-SUM($G370:DJ370)&gt;DK371,DK371,$E370-SUM($G371:DJ371)))</f>
        <v>0</v>
      </c>
      <c r="DL370" s="401">
        <f ca="1">IF(SUM($G370:DK370)&gt;=$E370,0,IF($E370-SUM($G370:DK370)&gt;DL371,DL371,$E370-SUM($G371:DK371)))</f>
        <v>0</v>
      </c>
      <c r="DM370" s="401">
        <f ca="1">IF(SUM($G370:DL370)&gt;=$E370,0,IF($E370-SUM($G370:DL370)&gt;DM371,DM371,$E370-SUM($G371:DL371)))</f>
        <v>0</v>
      </c>
      <c r="DN370" s="401">
        <f ca="1">IF(SUM($G370:DM370)&gt;=$E370,0,IF($E370-SUM($G370:DM370)&gt;DN371,DN371,$E370-SUM($G371:DM371)))</f>
        <v>0</v>
      </c>
      <c r="DO370" s="401">
        <f ca="1">IF(SUM($G370:DN370)&gt;=$E370,0,IF($E370-SUM($G370:DN370)&gt;DO371,DO371,$E370-SUM($G371:DN371)))</f>
        <v>0</v>
      </c>
      <c r="DP370" s="401">
        <f ca="1">IF(SUM($G370:DO370)&gt;=$E370,0,IF($E370-SUM($G370:DO370)&gt;DP371,DP371,$E370-SUM($G371:DO371)))</f>
        <v>0</v>
      </c>
      <c r="DQ370" s="401">
        <f ca="1">IF(SUM($G370:DP370)&gt;=$E370,0,IF($E370-SUM($G370:DP370)&gt;DQ371,DQ371,$E370-SUM($G371:DP371)))</f>
        <v>0</v>
      </c>
      <c r="DR370" s="401">
        <f ca="1">IF(SUM($G370:DQ370)&gt;=$E370,0,IF($E370-SUM($G370:DQ370)&gt;DR371,DR371,$E370-SUM($G371:DQ371)))</f>
        <v>0</v>
      </c>
      <c r="DS370" s="401">
        <f ca="1">IF(SUM($G370:DR370)&gt;=$E370,0,IF($E370-SUM($G370:DR370)&gt;DS371,DS371,$E370-SUM($G371:DR371)))</f>
        <v>0</v>
      </c>
      <c r="DT370" s="401">
        <f ca="1">IF(SUM($G370:DS370)&gt;=$E370,0,IF($E370-SUM($G370:DS370)&gt;DT371,DT371,$E370-SUM($G371:DS371)))</f>
        <v>0</v>
      </c>
      <c r="DU370" s="401">
        <f ca="1">IF(SUM($G370:DT370)&gt;=$E370,0,IF($E370-SUM($G370:DT370)&gt;DU371,DU371,$E370-SUM($G371:DT371)))</f>
        <v>0</v>
      </c>
      <c r="DV370" s="401">
        <f ca="1">IF(SUM($G370:DU370)&gt;=$E370,0,IF($E370-SUM($G370:DU370)&gt;DV371,DV371,$E370-SUM($G371:DU371)))</f>
        <v>0</v>
      </c>
      <c r="DW370" s="401">
        <f ca="1">IF(SUM($G370:DV370)&gt;=$E370,0,IF($E370-SUM($G370:DV370)&gt;DW371,DW371,$E370-SUM($G371:DV371)))</f>
        <v>0</v>
      </c>
      <c r="DX370" s="401">
        <f ca="1">IF(SUM($G370:DW370)&gt;=$E370,0,IF($E370-SUM($G370:DW370)&gt;DX371,DX371,$E370-SUM($G371:DW371)))</f>
        <v>0</v>
      </c>
      <c r="DY370" s="401">
        <f ca="1">IF(SUM($G370:DX370)&gt;=$E370,0,IF($E370-SUM($G370:DX370)&gt;DY371,DY371,$E370-SUM($G371:DX371)))</f>
        <v>0</v>
      </c>
      <c r="DZ370" s="401">
        <f ca="1">IF(SUM($G370:DY370)&gt;=$E370,0,IF($E370-SUM($G370:DY370)&gt;DZ371,DZ371,$E370-SUM($G371:DY371)))</f>
        <v>0</v>
      </c>
      <c r="EA370" s="401">
        <f ca="1">IF(SUM($G370:DZ370)&gt;=$E370,0,IF($E370-SUM($G370:DZ370)&gt;EA371,EA371,$E370-SUM($G371:DZ371)))</f>
        <v>0</v>
      </c>
      <c r="EB370" s="401">
        <f ca="1">IF(SUM($G370:EA370)&gt;=$E370,0,IF($E370-SUM($G370:EA370)&gt;EB371,EB371,$E370-SUM($G371:EA371)))</f>
        <v>0</v>
      </c>
      <c r="EC370" s="401">
        <f ca="1">IF(SUM($G370:EB370)&gt;=$E370,0,IF($E370-SUM($G370:EB370)&gt;EC371,EC371,$E370-SUM($G371:EB371)))</f>
        <v>0</v>
      </c>
      <c r="ED370" s="401">
        <f ca="1">IF(SUM($G370:EC370)&gt;=$E370,0,IF($E370-SUM($G370:EC370)&gt;ED371,ED371,$E370-SUM($G371:EC371)))</f>
        <v>0</v>
      </c>
      <c r="EE370" s="401">
        <f ca="1">IF(SUM($G370:ED370)&gt;=$E370,0,IF($E370-SUM($G370:ED370)&gt;EE371,EE371,$E370-SUM($G371:ED371)))</f>
        <v>0</v>
      </c>
      <c r="EF370" s="401">
        <f ca="1">IF(SUM($G370:EE370)&gt;=$E370,0,IF($E370-SUM($G370:EE370)&gt;EF371,EF371,$E370-SUM($G371:EE371)))</f>
        <v>0</v>
      </c>
      <c r="EG370" s="401">
        <f ca="1">IF(SUM($G370:EF370)&gt;=$E370,0,IF($E370-SUM($G370:EF370)&gt;EG371,EG371,$E370-SUM($G371:EF371)))</f>
        <v>0</v>
      </c>
      <c r="EH370" s="401">
        <f ca="1">IF(SUM($G370:EG370)&gt;=$E370,0,IF($E370-SUM($G370:EG370)&gt;EH371,EH371,$E370-SUM($G371:EG371)))</f>
        <v>0</v>
      </c>
      <c r="EI370" s="401">
        <f ca="1">IF(SUM($G370:EH370)&gt;=$E370,0,IF($E370-SUM($G370:EH370)&gt;EI371,EI371,$E370-SUM($G371:EH371)))</f>
        <v>0</v>
      </c>
      <c r="EK370" s="313"/>
    </row>
    <row r="371" spans="1:141" hidden="1" outlineLevel="2">
      <c r="A371" s="332"/>
      <c r="B371" s="313"/>
      <c r="C371" s="308"/>
      <c r="D371" s="308"/>
      <c r="E371" s="308"/>
      <c r="G371" s="405"/>
      <c r="H371" s="405">
        <f ca="1">IF((SUM($G270:H270)-$E269)&lt;0,0,IF((SUM($G270:H270)-$E269)&lt;H270,SUM($G270:H270)-$E269,H270))</f>
        <v>0</v>
      </c>
      <c r="I371" s="405">
        <f ca="1">IF((SUM($G270:I270)-$E269)&lt;0,0,IF((SUM($G270:I270)-$E269)&lt;I270,SUM($G270:I270)-$E269,I270))</f>
        <v>0</v>
      </c>
      <c r="J371" s="405">
        <f ca="1">IF((SUM($G270:J270)-$E269)&lt;0,0,IF((SUM($G270:J270)-$E269)&lt;J270,SUM($G270:J270)-$E269,J270))</f>
        <v>0</v>
      </c>
      <c r="K371" s="405">
        <f ca="1">IF((SUM($G270:K270)-$E269)&lt;0,0,IF((SUM($G270:K270)-$E269)&lt;K270,SUM($G270:K270)-$E269,K270))</f>
        <v>0</v>
      </c>
      <c r="L371" s="405">
        <f ca="1">IF((SUM($G270:L270)-$E269)&lt;0,0,IF((SUM($G270:L270)-$E269)&lt;L270,SUM($G270:L270)-$E269,L270))</f>
        <v>0</v>
      </c>
      <c r="M371" s="405">
        <f ca="1">IF((SUM($G270:M270)-$E269)&lt;0,0,IF((SUM($G270:M270)-$E269)&lt;M270,SUM($G270:M270)-$E269,M270))</f>
        <v>0</v>
      </c>
      <c r="N371" s="405">
        <f ca="1">IF((SUM($G270:N270)-$E269)&lt;0,0,IF((SUM($G270:N270)-$E269)&lt;N270,SUM($G270:N270)-$E269,N270))</f>
        <v>0</v>
      </c>
      <c r="O371" s="405">
        <f ca="1">IF((SUM($G270:O270)-$E269)&lt;0,0,IF((SUM($G270:O270)-$E269)&lt;O270,SUM($G270:O270)-$E269,O270))</f>
        <v>0</v>
      </c>
      <c r="P371" s="405">
        <f ca="1">IF((SUM($G270:P270)-$E269)&lt;0,0,IF((SUM($G270:P270)-$E269)&lt;P270,SUM($G270:P270)-$E269,P270))</f>
        <v>0</v>
      </c>
      <c r="Q371" s="405">
        <f ca="1">IF((SUM($G270:Q270)-$E269)&lt;0,0,IF((SUM($G270:Q270)-$E269)&lt;Q270,SUM($G270:Q270)-$E269,Q270))</f>
        <v>0</v>
      </c>
      <c r="R371" s="405">
        <f ca="1">IF((SUM($G270:R270)-$E269)&lt;0,0,IF((SUM($G270:R270)-$E269)&lt;R270,SUM($G270:R270)-$E269,R270))</f>
        <v>0</v>
      </c>
      <c r="S371" s="405">
        <f ca="1">IF((SUM($G270:S270)-$E269)&lt;0,0,IF((SUM($G270:S270)-$E269)&lt;S270,SUM($G270:S270)-$E269,S270))</f>
        <v>0</v>
      </c>
      <c r="T371" s="405">
        <f ca="1">IF((SUM($G270:T270)-$E269)&lt;0,0,IF((SUM($G270:T270)-$E269)&lt;T270,SUM($G270:T270)-$E269,T270))</f>
        <v>0</v>
      </c>
      <c r="U371" s="405">
        <f ca="1">IF((SUM($G270:U270)-$E269)&lt;0,0,IF((SUM($G270:U270)-$E269)&lt;U270,SUM($G270:U270)-$E269,U270))</f>
        <v>0</v>
      </c>
      <c r="V371" s="405">
        <f ca="1">IF((SUM($G270:V270)-$E269)&lt;0,0,IF((SUM($G270:V270)-$E269)&lt;V270,SUM($G270:V270)-$E269,V270))</f>
        <v>0</v>
      </c>
      <c r="W371" s="405">
        <f ca="1">IF((SUM($G270:W270)-$E269)&lt;0,0,IF((SUM($G270:W270)-$E269)&lt;W270,SUM($G270:W270)-$E269,W270))</f>
        <v>0</v>
      </c>
      <c r="X371" s="405">
        <f ca="1">IF((SUM($G270:X270)-$E269)&lt;0,0,IF((SUM($G270:X270)-$E269)&lt;X270,SUM($G270:X270)-$E269,X270))</f>
        <v>0</v>
      </c>
      <c r="Y371" s="405">
        <f ca="1">IF((SUM($G270:Y270)-$E269)&lt;0,0,IF((SUM($G270:Y270)-$E269)&lt;Y270,SUM($G270:Y270)-$E269,Y270))</f>
        <v>0</v>
      </c>
      <c r="Z371" s="405">
        <f ca="1">IF((SUM($G270:Z270)-$E269)&lt;0,0,IF((SUM($G270:Z270)-$E269)&lt;Z270,SUM($G270:Z270)-$E269,Z270))</f>
        <v>0</v>
      </c>
      <c r="AA371" s="405">
        <f ca="1">IF((SUM($G270:AA270)-$E269)&lt;0,0,IF((SUM($G270:AA270)-$E269)&lt;AA270,SUM($G270:AA270)-$E269,AA270))</f>
        <v>0</v>
      </c>
      <c r="AB371" s="405">
        <f ca="1">IF((SUM($G270:AB270)-$E269)&lt;0,0,IF((SUM($G270:AB270)-$E269)&lt;AB270,SUM($G270:AB270)-$E269,AB270))</f>
        <v>0</v>
      </c>
      <c r="AC371" s="405">
        <f ca="1">IF((SUM($G270:AC270)-$E269)&lt;0,0,IF((SUM($G270:AC270)-$E269)&lt;AC270,SUM($G270:AC270)-$E269,AC270))</f>
        <v>0</v>
      </c>
      <c r="AD371" s="405">
        <f ca="1">IF((SUM($G270:AD270)-$E269)&lt;0,0,IF((SUM($G270:AD270)-$E269)&lt;AD270,SUM($G270:AD270)-$E269,AD270))</f>
        <v>0</v>
      </c>
      <c r="AE371" s="405">
        <f ca="1">IF((SUM($G270:AE270)-$E269)&lt;0,0,IF((SUM($G270:AE270)-$E269)&lt;AE270,SUM($G270:AE270)-$E269,AE270))</f>
        <v>0</v>
      </c>
      <c r="AF371" s="405">
        <f ca="1">IF((SUM($G270:AF270)-$E269)&lt;0,0,IF((SUM($G270:AF270)-$E269)&lt;AF270,SUM($G270:AF270)-$E269,AF270))</f>
        <v>0</v>
      </c>
      <c r="AG371" s="405">
        <f ca="1">IF((SUM($G270:AG270)-$E269)&lt;0,0,IF((SUM($G270:AG270)-$E269)&lt;AG270,SUM($G270:AG270)-$E269,AG270))</f>
        <v>0</v>
      </c>
      <c r="AH371" s="405">
        <f ca="1">IF((SUM($G270:AH270)-$E269)&lt;0,0,IF((SUM($G270:AH270)-$E269)&lt;AH270,SUM($G270:AH270)-$E269,AH270))</f>
        <v>0</v>
      </c>
      <c r="AI371" s="405">
        <f ca="1">IF((SUM($G270:AI270)-$E269)&lt;0,0,IF((SUM($G270:AI270)-$E269)&lt;AI270,SUM($G270:AI270)-$E269,AI270))</f>
        <v>0</v>
      </c>
      <c r="AJ371" s="405">
        <f ca="1">IF((SUM($G270:AJ270)-$E269)&lt;0,0,IF((SUM($G270:AJ270)-$E269)&lt;AJ270,SUM($G270:AJ270)-$E269,AJ270))</f>
        <v>0</v>
      </c>
      <c r="AK371" s="405">
        <f ca="1">IF((SUM($G270:AK270)-$E269)&lt;0,0,IF((SUM($G270:AK270)-$E269)&lt;AK270,SUM($G270:AK270)-$E269,AK270))</f>
        <v>0</v>
      </c>
      <c r="AL371" s="405">
        <f ca="1">IF((SUM($G270:AL270)-$E269)&lt;0,0,IF((SUM($G270:AL270)-$E269)&lt;AL270,SUM($G270:AL270)-$E269,AL270))</f>
        <v>0</v>
      </c>
      <c r="AM371" s="405">
        <f ca="1">IF((SUM($G270:AM270)-$E269)&lt;0,0,IF((SUM($G270:AM270)-$E269)&lt;AM270,SUM($G270:AM270)-$E269,AM270))</f>
        <v>0</v>
      </c>
      <c r="AN371" s="405">
        <f ca="1">IF((SUM($G270:AN270)-$E269)&lt;0,0,IF((SUM($G270:AN270)-$E269)&lt;AN270,SUM($G270:AN270)-$E269,AN270))</f>
        <v>0</v>
      </c>
      <c r="AO371" s="405">
        <f ca="1">IF((SUM($G270:AO270)-$E269)&lt;0,0,IF((SUM($G270:AO270)-$E269)&lt;AO270,SUM($G270:AO270)-$E269,AO270))</f>
        <v>0</v>
      </c>
      <c r="AP371" s="405">
        <f ca="1">IF((SUM($G270:AP270)-$E269)&lt;0,0,IF((SUM($G270:AP270)-$E269)&lt;AP270,SUM($G270:AP270)-$E269,AP270))</f>
        <v>0</v>
      </c>
      <c r="AQ371" s="405">
        <f ca="1">IF((SUM($G270:AQ270)-$E269)&lt;0,0,IF((SUM($G270:AQ270)-$E269)&lt;AQ270,SUM($G270:AQ270)-$E269,AQ270))</f>
        <v>0</v>
      </c>
      <c r="AR371" s="405">
        <f ca="1">IF((SUM($G270:AR270)-$E269)&lt;0,0,IF((SUM($G270:AR270)-$E269)&lt;AR270,SUM($G270:AR270)-$E269,AR270))</f>
        <v>0</v>
      </c>
      <c r="AS371" s="405">
        <f ca="1">IF((SUM($G270:AS270)-$E269)&lt;0,0,IF((SUM($G270:AS270)-$E269)&lt;AS270,SUM($G270:AS270)-$E269,AS270))</f>
        <v>0</v>
      </c>
      <c r="AT371" s="405">
        <f ca="1">IF((SUM($G270:AT270)-$E269)&lt;0,0,IF((SUM($G270:AT270)-$E269)&lt;AT270,SUM($G270:AT270)-$E269,AT270))</f>
        <v>0</v>
      </c>
      <c r="AU371" s="405">
        <f ca="1">IF((SUM($G270:AU270)-$E269)&lt;0,0,IF((SUM($G270:AU270)-$E269)&lt;AU270,SUM($G270:AU270)-$E269,AU270))</f>
        <v>0</v>
      </c>
      <c r="AV371" s="405">
        <f ca="1">IF((SUM($G270:AV270)-$E269)&lt;0,0,IF((SUM($G270:AV270)-$E269)&lt;AV270,SUM($G270:AV270)-$E269,AV270))</f>
        <v>0</v>
      </c>
      <c r="AW371" s="405">
        <f ca="1">IF((SUM($G270:AW270)-$E269)&lt;0,0,IF((SUM($G270:AW270)-$E269)&lt;AW270,SUM($G270:AW270)-$E269,AW270))</f>
        <v>0</v>
      </c>
      <c r="AX371" s="405">
        <f ca="1">IF((SUM($G270:AX270)-$E269)&lt;0,0,IF((SUM($G270:AX270)-$E269)&lt;AX270,SUM($G270:AX270)-$E269,AX270))</f>
        <v>0</v>
      </c>
      <c r="AY371" s="405">
        <f ca="1">IF((SUM($G270:AY270)-$E269)&lt;0,0,IF((SUM($G270:AY270)-$E269)&lt;AY270,SUM($G270:AY270)-$E269,AY270))</f>
        <v>0</v>
      </c>
      <c r="AZ371" s="405">
        <f ca="1">IF((SUM($G270:AZ270)-$E269)&lt;0,0,IF((SUM($G270:AZ270)-$E269)&lt;AZ270,SUM($G270:AZ270)-$E269,AZ270))</f>
        <v>0</v>
      </c>
      <c r="BA371" s="405">
        <f ca="1">IF((SUM($G270:BA270)-$E269)&lt;0,0,IF((SUM($G270:BA270)-$E269)&lt;BA270,SUM($G270:BA270)-$E269,BA270))</f>
        <v>5</v>
      </c>
      <c r="BB371" s="405">
        <f ca="1">IF((SUM($G270:BB270)-$E269)&lt;0,0,IF((SUM($G270:BB270)-$E269)&lt;BB270,SUM($G270:BB270)-$E269,BB270))</f>
        <v>28</v>
      </c>
      <c r="BC371" s="405">
        <f ca="1">IF((SUM($G270:BC270)-$E269)&lt;0,0,IF((SUM($G270:BC270)-$E269)&lt;BC270,SUM($G270:BC270)-$E269,BC270))</f>
        <v>31</v>
      </c>
      <c r="BD371" s="405">
        <f ca="1">IF((SUM($G270:BD270)-$E269)&lt;0,0,IF((SUM($G270:BD270)-$E269)&lt;BD270,SUM($G270:BD270)-$E269,BD270))</f>
        <v>30</v>
      </c>
      <c r="BE371" s="405">
        <f ca="1">IF((SUM($G270:BE270)-$E269)&lt;0,0,IF((SUM($G270:BE270)-$E269)&lt;BE270,SUM($G270:BE270)-$E269,BE270))</f>
        <v>31</v>
      </c>
      <c r="BF371" s="405">
        <f ca="1">IF((SUM($G270:BF270)-$E269)&lt;0,0,IF((SUM($G270:BF270)-$E269)&lt;BF270,SUM($G270:BF270)-$E269,BF270))</f>
        <v>30</v>
      </c>
      <c r="BG371" s="405">
        <f ca="1">IF((SUM($G270:BG270)-$E269)&lt;0,0,IF((SUM($G270:BG270)-$E269)&lt;BG270,SUM($G270:BG270)-$E269,BG270))</f>
        <v>31</v>
      </c>
      <c r="BH371" s="405">
        <f ca="1">IF((SUM($G270:BH270)-$E269)&lt;0,0,IF((SUM($G270:BH270)-$E269)&lt;BH270,SUM($G270:BH270)-$E269,BH270))</f>
        <v>31</v>
      </c>
      <c r="BI371" s="405">
        <f ca="1">IF((SUM($G270:BI270)-$E269)&lt;0,0,IF((SUM($G270:BI270)-$E269)&lt;BI270,SUM($G270:BI270)-$E269,BI270))</f>
        <v>30</v>
      </c>
      <c r="BJ371" s="405">
        <f ca="1">IF((SUM($G270:BJ270)-$E269)&lt;0,0,IF((SUM($G270:BJ270)-$E269)&lt;BJ270,SUM($G270:BJ270)-$E269,BJ270))</f>
        <v>31</v>
      </c>
      <c r="BK371" s="405">
        <f ca="1">IF((SUM($G270:BK270)-$E269)&lt;0,0,IF((SUM($G270:BK270)-$E269)&lt;BK270,SUM($G270:BK270)-$E269,BK270))</f>
        <v>30</v>
      </c>
      <c r="BL371" s="405">
        <f ca="1">IF((SUM($G270:BL270)-$E269)&lt;0,0,IF((SUM($G270:BL270)-$E269)&lt;BL270,SUM($G270:BL270)-$E269,BL270))</f>
        <v>31</v>
      </c>
      <c r="BM371" s="405">
        <f ca="1">IF((SUM($G270:BM270)-$E269)&lt;0,0,IF((SUM($G270:BM270)-$E269)&lt;BM270,SUM($G270:BM270)-$E269,BM270))</f>
        <v>31</v>
      </c>
      <c r="BN371" s="405">
        <f ca="1">IF((SUM($G270:BN270)-$E269)&lt;0,0,IF((SUM($G270:BN270)-$E269)&lt;BN270,SUM($G270:BN270)-$E269,BN270))</f>
        <v>29</v>
      </c>
      <c r="BO371" s="405">
        <f ca="1">IF((SUM($G270:BO270)-$E269)&lt;0,0,IF((SUM($G270:BO270)-$E269)&lt;BO270,SUM($G270:BO270)-$E269,BO270))</f>
        <v>31</v>
      </c>
      <c r="BP371" s="405">
        <f ca="1">IF((SUM($G270:BP270)-$E269)&lt;0,0,IF((SUM($G270:BP270)-$E269)&lt;BP270,SUM($G270:BP270)-$E269,BP270))</f>
        <v>30</v>
      </c>
      <c r="BQ371" s="405">
        <f ca="1">IF((SUM($G270:BQ270)-$E269)&lt;0,0,IF((SUM($G270:BQ270)-$E269)&lt;BQ270,SUM($G270:BQ270)-$E269,BQ270))</f>
        <v>31</v>
      </c>
      <c r="BR371" s="405">
        <f ca="1">IF((SUM($G270:BR270)-$E269)&lt;0,0,IF((SUM($G270:BR270)-$E269)&lt;BR270,SUM($G270:BR270)-$E269,BR270))</f>
        <v>30</v>
      </c>
      <c r="BS371" s="405">
        <f ca="1">IF((SUM($G270:BS270)-$E269)&lt;0,0,IF((SUM($G270:BS270)-$E269)&lt;BS270,SUM($G270:BS270)-$E269,BS270))</f>
        <v>31</v>
      </c>
      <c r="BT371" s="405">
        <f ca="1">IF((SUM($G270:BT270)-$E269)&lt;0,0,IF((SUM($G270:BT270)-$E269)&lt;BT270,SUM($G270:BT270)-$E269,BT270))</f>
        <v>31</v>
      </c>
      <c r="BU371" s="405">
        <f ca="1">IF((SUM($G270:BU270)-$E269)&lt;0,0,IF((SUM($G270:BU270)-$E269)&lt;BU270,SUM($G270:BU270)-$E269,BU270))</f>
        <v>30</v>
      </c>
      <c r="BV371" s="405">
        <f ca="1">IF((SUM($G270:BV270)-$E269)&lt;0,0,IF((SUM($G270:BV270)-$E269)&lt;BV270,SUM($G270:BV270)-$E269,BV270))</f>
        <v>31</v>
      </c>
      <c r="BW371" s="405">
        <f ca="1">IF((SUM($G270:BW270)-$E269)&lt;0,0,IF((SUM($G270:BW270)-$E269)&lt;BW270,SUM($G270:BW270)-$E269,BW270))</f>
        <v>30</v>
      </c>
      <c r="BX371" s="405">
        <f ca="1">IF((SUM($G270:BX270)-$E269)&lt;0,0,IF((SUM($G270:BX270)-$E269)&lt;BX270,SUM($G270:BX270)-$E269,BX270))</f>
        <v>31</v>
      </c>
      <c r="BY371" s="405">
        <f ca="1">IF((SUM($G270:BY270)-$E269)&lt;0,0,IF((SUM($G270:BY270)-$E269)&lt;BY270,SUM($G270:BY270)-$E269,BY270))</f>
        <v>31</v>
      </c>
      <c r="BZ371" s="405">
        <f ca="1">IF((SUM($G270:BZ270)-$E269)&lt;0,0,IF((SUM($G270:BZ270)-$E269)&lt;BZ270,SUM($G270:BZ270)-$E269,BZ270))</f>
        <v>28</v>
      </c>
      <c r="CA371" s="405">
        <f ca="1">IF((SUM($G270:CA270)-$E269)&lt;0,0,IF((SUM($G270:CA270)-$E269)&lt;CA270,SUM($G270:CA270)-$E269,CA270))</f>
        <v>31</v>
      </c>
      <c r="CB371" s="405">
        <f ca="1">IF((SUM($G270:CB270)-$E269)&lt;0,0,IF((SUM($G270:CB270)-$E269)&lt;CB270,SUM($G270:CB270)-$E269,CB270))</f>
        <v>30</v>
      </c>
      <c r="CC371" s="405">
        <f ca="1">IF((SUM($G270:CC270)-$E269)&lt;0,0,IF((SUM($G270:CC270)-$E269)&lt;CC270,SUM($G270:CC270)-$E269,CC270))</f>
        <v>31</v>
      </c>
      <c r="CD371" s="405">
        <f ca="1">IF((SUM($G270:CD270)-$E269)&lt;0,0,IF((SUM($G270:CD270)-$E269)&lt;CD270,SUM($G270:CD270)-$E269,CD270))</f>
        <v>30</v>
      </c>
      <c r="CE371" s="405">
        <f ca="1">IF((SUM($G270:CE270)-$E269)&lt;0,0,IF((SUM($G270:CE270)-$E269)&lt;CE270,SUM($G270:CE270)-$E269,CE270))</f>
        <v>31</v>
      </c>
      <c r="CF371" s="405">
        <f ca="1">IF((SUM($G270:CF270)-$E269)&lt;0,0,IF((SUM($G270:CF270)-$E269)&lt;CF270,SUM($G270:CF270)-$E269,CF270))</f>
        <v>31</v>
      </c>
      <c r="CG371" s="405">
        <f ca="1">IF((SUM($G270:CG270)-$E269)&lt;0,0,IF((SUM($G270:CG270)-$E269)&lt;CG270,SUM($G270:CG270)-$E269,CG270))</f>
        <v>30</v>
      </c>
      <c r="CH371" s="405">
        <f ca="1">IF((SUM($G270:CH270)-$E269)&lt;0,0,IF((SUM($G270:CH270)-$E269)&lt;CH270,SUM($G270:CH270)-$E269,CH270))</f>
        <v>31</v>
      </c>
      <c r="CI371" s="405">
        <f ca="1">IF((SUM($G270:CI270)-$E269)&lt;0,0,IF((SUM($G270:CI270)-$E269)&lt;CI270,SUM($G270:CI270)-$E269,CI270))</f>
        <v>30</v>
      </c>
      <c r="CJ371" s="405">
        <f ca="1">IF((SUM($G270:CJ270)-$E269)&lt;0,0,IF((SUM($G270:CJ270)-$E269)&lt;CJ270,SUM($G270:CJ270)-$E269,CJ270))</f>
        <v>31</v>
      </c>
      <c r="CK371" s="405">
        <f ca="1">IF((SUM($G270:CK270)-$E269)&lt;0,0,IF((SUM($G270:CK270)-$E269)&lt;CK270,SUM($G270:CK270)-$E269,CK270))</f>
        <v>31</v>
      </c>
      <c r="CL371" s="405">
        <f ca="1">IF((SUM($G270:CL270)-$E269)&lt;0,0,IF((SUM($G270:CL270)-$E269)&lt;CL270,SUM($G270:CL270)-$E269,CL270))</f>
        <v>28</v>
      </c>
      <c r="CM371" s="405">
        <f ca="1">IF((SUM($G270:CM270)-$E269)&lt;0,0,IF((SUM($G270:CM270)-$E269)&lt;CM270,SUM($G270:CM270)-$E269,CM270))</f>
        <v>31</v>
      </c>
      <c r="CN371" s="405">
        <f ca="1">IF((SUM($G270:CN270)-$E269)&lt;0,0,IF((SUM($G270:CN270)-$E269)&lt;CN270,SUM($G270:CN270)-$E269,CN270))</f>
        <v>30</v>
      </c>
      <c r="CO371" s="405">
        <f ca="1">IF((SUM($G270:CO270)-$E269)&lt;0,0,IF((SUM($G270:CO270)-$E269)&lt;CO270,SUM($G270:CO270)-$E269,CO270))</f>
        <v>31</v>
      </c>
      <c r="CP371" s="405">
        <f ca="1">IF((SUM($G270:CP270)-$E269)&lt;0,0,IF((SUM($G270:CP270)-$E269)&lt;CP270,SUM($G270:CP270)-$E269,CP270))</f>
        <v>30</v>
      </c>
      <c r="CQ371" s="405">
        <f ca="1">IF((SUM($G270:CQ270)-$E269)&lt;0,0,IF((SUM($G270:CQ270)-$E269)&lt;CQ270,SUM($G270:CQ270)-$E269,CQ270))</f>
        <v>31</v>
      </c>
      <c r="CR371" s="405">
        <f ca="1">IF((SUM($G270:CR270)-$E269)&lt;0,0,IF((SUM($G270:CR270)-$E269)&lt;CR270,SUM($G270:CR270)-$E269,CR270))</f>
        <v>31</v>
      </c>
      <c r="CS371" s="405">
        <f ca="1">IF((SUM($G270:CS270)-$E269)&lt;0,0,IF((SUM($G270:CS270)-$E269)&lt;CS270,SUM($G270:CS270)-$E269,CS270))</f>
        <v>30</v>
      </c>
      <c r="CT371" s="405">
        <f ca="1">IF((SUM($G270:CT270)-$E269)&lt;0,0,IF((SUM($G270:CT270)-$E269)&lt;CT270,SUM($G270:CT270)-$E269,CT270))</f>
        <v>31</v>
      </c>
      <c r="CU371" s="405">
        <f ca="1">IF((SUM($G270:CU270)-$E269)&lt;0,0,IF((SUM($G270:CU270)-$E269)&lt;CU270,SUM($G270:CU270)-$E269,CU270))</f>
        <v>30</v>
      </c>
      <c r="CV371" s="405">
        <f ca="1">IF((SUM($G270:CV270)-$E269)&lt;0,0,IF((SUM($G270:CV270)-$E269)&lt;CV270,SUM($G270:CV270)-$E269,CV270))</f>
        <v>31</v>
      </c>
      <c r="CW371" s="405">
        <f ca="1">IF((SUM($G270:CW270)-$E269)&lt;0,0,IF((SUM($G270:CW270)-$E269)&lt;CW270,SUM($G270:CW270)-$E269,CW270))</f>
        <v>31</v>
      </c>
      <c r="CX371" s="405">
        <f ca="1">IF((SUM($G270:CX270)-$E269)&lt;0,0,IF((SUM($G270:CX270)-$E269)&lt;CX270,SUM($G270:CX270)-$E269,CX270))</f>
        <v>28</v>
      </c>
      <c r="CY371" s="405">
        <f ca="1">IF((SUM($G270:CY270)-$E269)&lt;0,0,IF((SUM($G270:CY270)-$E269)&lt;CY270,SUM($G270:CY270)-$E269,CY270))</f>
        <v>31</v>
      </c>
      <c r="CZ371" s="405">
        <f ca="1">IF((SUM($G270:CZ270)-$E269)&lt;0,0,IF((SUM($G270:CZ270)-$E269)&lt;CZ270,SUM($G270:CZ270)-$E269,CZ270))</f>
        <v>30</v>
      </c>
      <c r="DA371" s="405">
        <f ca="1">IF((SUM($G270:DA270)-$E269)&lt;0,0,IF((SUM($G270:DA270)-$E269)&lt;DA270,SUM($G270:DA270)-$E269,DA270))</f>
        <v>31</v>
      </c>
      <c r="DB371" s="405">
        <f ca="1">IF((SUM($G270:DB270)-$E269)&lt;0,0,IF((SUM($G270:DB270)-$E269)&lt;DB270,SUM($G270:DB270)-$E269,DB270))</f>
        <v>30</v>
      </c>
      <c r="DC371" s="405">
        <f ca="1">IF((SUM($G270:DC270)-$E269)&lt;0,0,IF((SUM($G270:DC270)-$E269)&lt;DC270,SUM($G270:DC270)-$E269,DC270))</f>
        <v>31</v>
      </c>
      <c r="DD371" s="405">
        <f ca="1">IF((SUM($G270:DD270)-$E269)&lt;0,0,IF((SUM($G270:DD270)-$E269)&lt;DD270,SUM($G270:DD270)-$E269,DD270))</f>
        <v>31</v>
      </c>
      <c r="DE371" s="405">
        <f ca="1">IF((SUM($G270:DE270)-$E269)&lt;0,0,IF((SUM($G270:DE270)-$E269)&lt;DE270,SUM($G270:DE270)-$E269,DE270))</f>
        <v>30</v>
      </c>
      <c r="DF371" s="405">
        <f ca="1">IF((SUM($G270:DF270)-$E269)&lt;0,0,IF((SUM($G270:DF270)-$E269)&lt;DF270,SUM($G270:DF270)-$E269,DF270))</f>
        <v>31</v>
      </c>
      <c r="DG371" s="405">
        <f ca="1">IF((SUM($G270:DG270)-$E269)&lt;0,0,IF((SUM($G270:DG270)-$E269)&lt;DG270,SUM($G270:DG270)-$E269,DG270))</f>
        <v>30</v>
      </c>
      <c r="DH371" s="405">
        <f ca="1">IF((SUM($G270:DH270)-$E269)&lt;0,0,IF((SUM($G270:DH270)-$E269)&lt;DH270,SUM($G270:DH270)-$E269,DH270))</f>
        <v>31</v>
      </c>
      <c r="DI371" s="405">
        <f ca="1">IF((SUM($G270:DI270)-$E269)&lt;0,0,IF((SUM($G270:DI270)-$E269)&lt;DI270,SUM($G270:DI270)-$E269,DI270))</f>
        <v>31</v>
      </c>
      <c r="DJ371" s="405">
        <f ca="1">IF((SUM($G270:DJ270)-$E269)&lt;0,0,IF((SUM($G270:DJ270)-$E269)&lt;DJ270,SUM($G270:DJ270)-$E269,DJ270))</f>
        <v>29</v>
      </c>
      <c r="DK371" s="405">
        <f ca="1">IF((SUM($G270:DK270)-$E269)&lt;0,0,IF((SUM($G270:DK270)-$E269)&lt;DK270,SUM($G270:DK270)-$E269,DK270))</f>
        <v>31</v>
      </c>
      <c r="DL371" s="405">
        <f ca="1">IF((SUM($G270:DL270)-$E269)&lt;0,0,IF((SUM($G270:DL270)-$E269)&lt;DL270,SUM($G270:DL270)-$E269,DL270))</f>
        <v>30</v>
      </c>
      <c r="DM371" s="405">
        <f ca="1">IF((SUM($G270:DM270)-$E269)&lt;0,0,IF((SUM($G270:DM270)-$E269)&lt;DM270,SUM($G270:DM270)-$E269,DM270))</f>
        <v>31</v>
      </c>
      <c r="DN371" s="405">
        <f ca="1">IF((SUM($G270:DN270)-$E269)&lt;0,0,IF((SUM($G270:DN270)-$E269)&lt;DN270,SUM($G270:DN270)-$E269,DN270))</f>
        <v>30</v>
      </c>
      <c r="DO371" s="405">
        <f ca="1">IF((SUM($G270:DO270)-$E269)&lt;0,0,IF((SUM($G270:DO270)-$E269)&lt;DO270,SUM($G270:DO270)-$E269,DO270))</f>
        <v>31</v>
      </c>
      <c r="DP371" s="405">
        <f ca="1">IF((SUM($G270:DP270)-$E269)&lt;0,0,IF((SUM($G270:DP270)-$E269)&lt;DP270,SUM($G270:DP270)-$E269,DP270))</f>
        <v>31</v>
      </c>
      <c r="DQ371" s="405">
        <f ca="1">IF((SUM($G270:DQ270)-$E269)&lt;0,0,IF((SUM($G270:DQ270)-$E269)&lt;DQ270,SUM($G270:DQ270)-$E269,DQ270))</f>
        <v>30</v>
      </c>
      <c r="DR371" s="405">
        <f ca="1">IF((SUM($G270:DR270)-$E269)&lt;0,0,IF((SUM($G270:DR270)-$E269)&lt;DR270,SUM($G270:DR270)-$E269,DR270))</f>
        <v>31</v>
      </c>
      <c r="DS371" s="405">
        <f ca="1">IF((SUM($G270:DS270)-$E269)&lt;0,0,IF((SUM($G270:DS270)-$E269)&lt;DS270,SUM($G270:DS270)-$E269,DS270))</f>
        <v>30</v>
      </c>
      <c r="DT371" s="405">
        <f ca="1">IF((SUM($G270:DT270)-$E269)&lt;0,0,IF((SUM($G270:DT270)-$E269)&lt;DT270,SUM($G270:DT270)-$E269,DT270))</f>
        <v>31</v>
      </c>
      <c r="DU371" s="405">
        <f ca="1">IF((SUM($G270:DU270)-$E269)&lt;0,0,IF((SUM($G270:DU270)-$E269)&lt;DU270,SUM($G270:DU270)-$E269,DU270))</f>
        <v>31</v>
      </c>
      <c r="DV371" s="405">
        <f ca="1">IF((SUM($G270:DV270)-$E269)&lt;0,0,IF((SUM($G270:DV270)-$E269)&lt;DV270,SUM($G270:DV270)-$E269,DV270))</f>
        <v>28</v>
      </c>
      <c r="DW371" s="405">
        <f ca="1">IF((SUM($G270:DW270)-$E269)&lt;0,0,IF((SUM($G270:DW270)-$E269)&lt;DW270,SUM($G270:DW270)-$E269,DW270))</f>
        <v>31</v>
      </c>
      <c r="DX371" s="405">
        <f ca="1">IF((SUM($G270:DX270)-$E269)&lt;0,0,IF((SUM($G270:DX270)-$E269)&lt;DX270,SUM($G270:DX270)-$E269,DX270))</f>
        <v>30</v>
      </c>
      <c r="DY371" s="405">
        <f ca="1">IF((SUM($G270:DY270)-$E269)&lt;0,0,IF((SUM($G270:DY270)-$E269)&lt;DY270,SUM($G270:DY270)-$E269,DY270))</f>
        <v>31</v>
      </c>
      <c r="DZ371" s="405">
        <f ca="1">IF((SUM($G270:DZ270)-$E269)&lt;0,0,IF((SUM($G270:DZ270)-$E269)&lt;DZ270,SUM($G270:DZ270)-$E269,DZ270))</f>
        <v>30</v>
      </c>
      <c r="EA371" s="405">
        <f ca="1">IF((SUM($G270:EA270)-$E269)&lt;0,0,IF((SUM($G270:EA270)-$E269)&lt;EA270,SUM($G270:EA270)-$E269,EA270))</f>
        <v>31</v>
      </c>
      <c r="EB371" s="405">
        <f ca="1">IF((SUM($G270:EB270)-$E269)&lt;0,0,IF((SUM($G270:EB270)-$E269)&lt;EB270,SUM($G270:EB270)-$E269,EB270))</f>
        <v>31</v>
      </c>
      <c r="EC371" s="405">
        <f ca="1">IF((SUM($G270:EC270)-$E269)&lt;0,0,IF((SUM($G270:EC270)-$E269)&lt;EC270,SUM($G270:EC270)-$E269,EC270))</f>
        <v>30</v>
      </c>
      <c r="ED371" s="405">
        <f ca="1">IF((SUM($G270:ED270)-$E269)&lt;0,0,IF((SUM($G270:ED270)-$E269)&lt;ED270,SUM($G270:ED270)-$E269,ED270))</f>
        <v>31</v>
      </c>
      <c r="EE371" s="405">
        <f ca="1">IF((SUM($G270:EE270)-$E269)&lt;0,0,IF((SUM($G270:EE270)-$E269)&lt;EE270,SUM($G270:EE270)-$E269,EE270))</f>
        <v>30</v>
      </c>
      <c r="EF371" s="405">
        <f ca="1">IF((SUM($G270:EF270)-$E269)&lt;0,0,IF((SUM($G270:EF270)-$E269)&lt;EF270,SUM($G270:EF270)-$E269,EF270))</f>
        <v>31</v>
      </c>
      <c r="EG371" s="405">
        <f ca="1">IF((SUM($G270:EG270)-$E269)&lt;0,0,IF((SUM($G270:EG270)-$E269)&lt;EG270,SUM($G270:EG270)-$E269,EG270))</f>
        <v>31</v>
      </c>
      <c r="EH371" s="405">
        <f ca="1">IF((SUM($G270:EH270)-$E269)&lt;0,0,IF((SUM($G270:EH270)-$E269)&lt;EH270,SUM($G270:EH270)-$E269,EH270))</f>
        <v>28</v>
      </c>
      <c r="EI371" s="405">
        <f ca="1">IF((SUM($G270:EI270)-$E269)&lt;0,0,IF((SUM($G270:EI270)-$E269)&lt;EI270,SUM($G270:EI270)-$E269,EI270))</f>
        <v>31</v>
      </c>
    </row>
    <row r="372" spans="1:141" hidden="1" outlineLevel="2">
      <c r="A372" s="332"/>
      <c r="D372" s="305" t="s">
        <v>670</v>
      </c>
      <c r="E372" s="403">
        <f ca="1">MIN(G372:EI372)</f>
        <v>46388</v>
      </c>
      <c r="F372" s="404">
        <f ca="1">MAX(G372:EI372)</f>
        <v>46388</v>
      </c>
      <c r="G372" s="403" t="str">
        <f ca="1">IF(G370=0,"",IF(SUM($G370:G370)&gt;=1,OFFSET(G$228,-1,0),""))</f>
        <v/>
      </c>
      <c r="H372" s="403" t="str">
        <f ca="1">IF(SUM($G372:G372)&gt;=1,"",IF(H370=0,"",IF(SUM($G370:H370)&gt;=1,OFFSET(H$228,-1,0),"")))</f>
        <v/>
      </c>
      <c r="I372" s="403" t="str">
        <f ca="1">IF(SUM($G372:H372)&gt;=1,"",IF(I370=0,"",IF(SUM($G370:I370)&gt;=1,OFFSET(I$228,-1,0),"")))</f>
        <v/>
      </c>
      <c r="J372" s="403" t="str">
        <f ca="1">IF(SUM($G372:I372)&gt;=1,"",IF(J370=0,"",IF(SUM($G370:J370)&gt;=1,OFFSET(J$228,-1,0),"")))</f>
        <v/>
      </c>
      <c r="K372" s="403" t="str">
        <f ca="1">IF(SUM($G372:J372)&gt;=1,"",IF(K370=0,"",IF(SUM($G370:K370)&gt;=1,OFFSET(K$228,-1,0),"")))</f>
        <v/>
      </c>
      <c r="L372" s="403" t="str">
        <f ca="1">IF(SUM($G372:K372)&gt;=1,"",IF(L370=0,"",IF(SUM($G370:L370)&gt;=1,OFFSET(L$228,-1,0),"")))</f>
        <v/>
      </c>
      <c r="M372" s="403" t="str">
        <f ca="1">IF(SUM($G372:L372)&gt;=1,"",IF(M370=0,"",IF(SUM($G370:M370)&gt;=1,OFFSET(M$228,-1,0),"")))</f>
        <v/>
      </c>
      <c r="N372" s="403" t="str">
        <f ca="1">IF(SUM($G372:M372)&gt;=1,"",IF(N370=0,"",IF(SUM($G370:N370)&gt;=1,OFFSET(N$228,-1,0),"")))</f>
        <v/>
      </c>
      <c r="O372" s="403" t="str">
        <f ca="1">IF(SUM($G372:N372)&gt;=1,"",IF(O370=0,"",IF(SUM($G370:O370)&gt;=1,OFFSET(O$228,-1,0),"")))</f>
        <v/>
      </c>
      <c r="P372" s="403" t="str">
        <f ca="1">IF(SUM($G372:O372)&gt;=1,"",IF(P370=0,"",IF(SUM($G370:P370)&gt;=1,OFFSET(P$228,-1,0),"")))</f>
        <v/>
      </c>
      <c r="Q372" s="403" t="str">
        <f ca="1">IF(SUM($G372:P372)&gt;=1,"",IF(Q370=0,"",IF(SUM($G370:Q370)&gt;=1,OFFSET(Q$228,-1,0),"")))</f>
        <v/>
      </c>
      <c r="R372" s="403" t="str">
        <f ca="1">IF(SUM($G372:Q372)&gt;=1,"",IF(R370=0,"",IF(SUM($G370:R370)&gt;=1,OFFSET(R$228,-1,0),"")))</f>
        <v/>
      </c>
      <c r="S372" s="403" t="str">
        <f ca="1">IF(SUM($G372:R372)&gt;=1,"",IF(S370=0,"",IF(SUM($G370:S370)&gt;=1,OFFSET(S$228,-1,0),"")))</f>
        <v/>
      </c>
      <c r="T372" s="403" t="str">
        <f ca="1">IF(SUM($G372:S372)&gt;=1,"",IF(T370=0,"",IF(SUM($G370:T370)&gt;=1,OFFSET(T$228,-1,0),"")))</f>
        <v/>
      </c>
      <c r="U372" s="403" t="str">
        <f ca="1">IF(SUM($G372:T372)&gt;=1,"",IF(U370=0,"",IF(SUM($G370:U370)&gt;=1,OFFSET(U$228,-1,0),"")))</f>
        <v/>
      </c>
      <c r="V372" s="403" t="str">
        <f ca="1">IF(SUM($G372:U372)&gt;=1,"",IF(V370=0,"",IF(SUM($G370:V370)&gt;=1,OFFSET(V$228,-1,0),"")))</f>
        <v/>
      </c>
      <c r="W372" s="403" t="str">
        <f ca="1">IF(SUM($G372:V372)&gt;=1,"",IF(W370=0,"",IF(SUM($G370:W370)&gt;=1,OFFSET(W$228,-1,0),"")))</f>
        <v/>
      </c>
      <c r="X372" s="403" t="str">
        <f ca="1">IF(SUM($G372:W372)&gt;=1,"",IF(X370=0,"",IF(SUM($G370:X370)&gt;=1,OFFSET(X$228,-1,0),"")))</f>
        <v/>
      </c>
      <c r="Y372" s="403" t="str">
        <f ca="1">IF(SUM($G372:X372)&gt;=1,"",IF(Y370=0,"",IF(SUM($G370:Y370)&gt;=1,OFFSET(Y$228,-1,0),"")))</f>
        <v/>
      </c>
      <c r="Z372" s="403" t="str">
        <f ca="1">IF(SUM($G372:Y372)&gt;=1,"",IF(Z370=0,"",IF(SUM($G370:Z370)&gt;=1,OFFSET(Z$228,-1,0),"")))</f>
        <v/>
      </c>
      <c r="AA372" s="403" t="str">
        <f ca="1">IF(SUM($G372:Z372)&gt;=1,"",IF(AA370=0,"",IF(SUM($G370:AA370)&gt;=1,OFFSET(AA$228,-1,0),"")))</f>
        <v/>
      </c>
      <c r="AB372" s="403" t="str">
        <f ca="1">IF(SUM($G372:AA372)&gt;=1,"",IF(AB370=0,"",IF(SUM($G370:AB370)&gt;=1,OFFSET(AB$228,-1,0),"")))</f>
        <v/>
      </c>
      <c r="AC372" s="403" t="str">
        <f ca="1">IF(SUM($G372:AB372)&gt;=1,"",IF(AC370=0,"",IF(SUM($G370:AC370)&gt;=1,OFFSET(AC$228,-1,0),"")))</f>
        <v/>
      </c>
      <c r="AD372" s="403" t="str">
        <f ca="1">IF(SUM($G372:AC372)&gt;=1,"",IF(AD370=0,"",IF(SUM($G370:AD370)&gt;=1,OFFSET(AD$228,-1,0),"")))</f>
        <v/>
      </c>
      <c r="AE372" s="403" t="str">
        <f ca="1">IF(SUM($G372:AD372)&gt;=1,"",IF(AE370=0,"",IF(SUM($G370:AE370)&gt;=1,OFFSET(AE$228,-1,0),"")))</f>
        <v/>
      </c>
      <c r="AF372" s="403" t="str">
        <f ca="1">IF(SUM($G372:AE372)&gt;=1,"",IF(AF370=0,"",IF(SUM($G370:AF370)&gt;=1,OFFSET(AF$228,-1,0),"")))</f>
        <v/>
      </c>
      <c r="AG372" s="403" t="str">
        <f ca="1">IF(SUM($G372:AF372)&gt;=1,"",IF(AG370=0,"",IF(SUM($G370:AG370)&gt;=1,OFFSET(AG$228,-1,0),"")))</f>
        <v/>
      </c>
      <c r="AH372" s="403" t="str">
        <f ca="1">IF(SUM($G372:AG372)&gt;=1,"",IF(AH370=0,"",IF(SUM($G370:AH370)&gt;=1,OFFSET(AH$228,-1,0),"")))</f>
        <v/>
      </c>
      <c r="AI372" s="403" t="str">
        <f ca="1">IF(SUM($G372:AH372)&gt;=1,"",IF(AI370=0,"",IF(SUM($G370:AI370)&gt;=1,OFFSET(AI$228,-1,0),"")))</f>
        <v/>
      </c>
      <c r="AJ372" s="403" t="str">
        <f ca="1">IF(SUM($G372:AI372)&gt;=1,"",IF(AJ370=0,"",IF(SUM($G370:AJ370)&gt;=1,OFFSET(AJ$228,-1,0),"")))</f>
        <v/>
      </c>
      <c r="AK372" s="403" t="str">
        <f ca="1">IF(SUM($G372:AJ372)&gt;=1,"",IF(AK370=0,"",IF(SUM($G370:AK370)&gt;=1,OFFSET(AK$228,-1,0),"")))</f>
        <v/>
      </c>
      <c r="AL372" s="403" t="str">
        <f ca="1">IF(SUM($G372:AK372)&gt;=1,"",IF(AL370=0,"",IF(SUM($G370:AL370)&gt;=1,OFFSET(AL$228,-1,0),"")))</f>
        <v/>
      </c>
      <c r="AM372" s="403" t="str">
        <f ca="1">IF(SUM($G372:AL372)&gt;=1,"",IF(AM370=0,"",IF(SUM($G370:AM370)&gt;=1,OFFSET(AM$228,-1,0),"")))</f>
        <v/>
      </c>
      <c r="AN372" s="403" t="str">
        <f ca="1">IF(SUM($G372:AM372)&gt;=1,"",IF(AN370=0,"",IF(SUM($G370:AN370)&gt;=1,OFFSET(AN$228,-1,0),"")))</f>
        <v/>
      </c>
      <c r="AO372" s="403" t="str">
        <f ca="1">IF(SUM($G372:AN372)&gt;=1,"",IF(AO370=0,"",IF(SUM($G370:AO370)&gt;=1,OFFSET(AO$228,-1,0),"")))</f>
        <v/>
      </c>
      <c r="AP372" s="403" t="str">
        <f ca="1">IF(SUM($G372:AO372)&gt;=1,"",IF(AP370=0,"",IF(SUM($G370:AP370)&gt;=1,OFFSET(AP$228,-1,0),"")))</f>
        <v/>
      </c>
      <c r="AQ372" s="403" t="str">
        <f ca="1">IF(SUM($G372:AP372)&gt;=1,"",IF(AQ370=0,"",IF(SUM($G370:AQ370)&gt;=1,OFFSET(AQ$228,-1,0),"")))</f>
        <v/>
      </c>
      <c r="AR372" s="403" t="str">
        <f ca="1">IF(SUM($G372:AQ372)&gt;=1,"",IF(AR370=0,"",IF(SUM($G370:AR370)&gt;=1,OFFSET(AR$228,-1,0),"")))</f>
        <v/>
      </c>
      <c r="AS372" s="403" t="str">
        <f ca="1">IF(SUM($G372:AR372)&gt;=1,"",IF(AS370=0,"",IF(SUM($G370:AS370)&gt;=1,OFFSET(AS$228,-1,0),"")))</f>
        <v/>
      </c>
      <c r="AT372" s="403" t="str">
        <f ca="1">IF(SUM($G372:AS372)&gt;=1,"",IF(AT370=0,"",IF(SUM($G370:AT370)&gt;=1,OFFSET(AT$228,-1,0),"")))</f>
        <v/>
      </c>
      <c r="AU372" s="403" t="str">
        <f ca="1">IF(SUM($G372:AT372)&gt;=1,"",IF(AU370=0,"",IF(SUM($G370:AU370)&gt;=1,OFFSET(AU$228,-1,0),"")))</f>
        <v/>
      </c>
      <c r="AV372" s="403" t="str">
        <f ca="1">IF(SUM($G372:AU372)&gt;=1,"",IF(AV370=0,"",IF(SUM($G370:AV370)&gt;=1,OFFSET(AV$228,-1,0),"")))</f>
        <v/>
      </c>
      <c r="AW372" s="403" t="str">
        <f ca="1">IF(SUM($G372:AV372)&gt;=1,"",IF(AW370=0,"",IF(SUM($G370:AW370)&gt;=1,OFFSET(AW$228,-1,0),"")))</f>
        <v/>
      </c>
      <c r="AX372" s="403" t="str">
        <f ca="1">IF(SUM($G372:AW372)&gt;=1,"",IF(AX370=0,"",IF(SUM($G370:AX370)&gt;=1,OFFSET(AX$228,-1,0),"")))</f>
        <v/>
      </c>
      <c r="AY372" s="403" t="str">
        <f ca="1">IF(SUM($G372:AX372)&gt;=1,"",IF(AY370=0,"",IF(SUM($G370:AY370)&gt;=1,OFFSET(AY$228,-1,0),"")))</f>
        <v/>
      </c>
      <c r="AZ372" s="403" t="str">
        <f ca="1">IF(SUM($G372:AY372)&gt;=1,"",IF(AZ370=0,"",IF(SUM($G370:AZ370)&gt;=1,OFFSET(AZ$228,-1,0),"")))</f>
        <v/>
      </c>
      <c r="BA372" s="403">
        <f ca="1">IF(SUM($G372:AZ372)&gt;=1,"",IF(BA370=0,"",IF(SUM($G370:BA370)&gt;=1,OFFSET(BA$228,-1,0),"")))</f>
        <v>46388</v>
      </c>
      <c r="BB372" s="403" t="str">
        <f ca="1">IF(SUM($G372:BA372)&gt;=1,"",IF(BB370=0,"",IF(SUM($G370:BB370)&gt;=1,OFFSET(BB$228,-1,0),"")))</f>
        <v/>
      </c>
      <c r="BC372" s="403" t="str">
        <f ca="1">IF(SUM($G372:BB372)&gt;=1,"",IF(BC370=0,"",IF(SUM($G370:BC370)&gt;=1,OFFSET(BC$228,-1,0),"")))</f>
        <v/>
      </c>
      <c r="BD372" s="403" t="str">
        <f ca="1">IF(SUM($G372:BC372)&gt;=1,"",IF(BD370=0,"",IF(SUM($G370:BD370)&gt;=1,OFFSET(BD$228,-1,0),"")))</f>
        <v/>
      </c>
      <c r="BE372" s="403" t="str">
        <f ca="1">IF(SUM($G372:BD372)&gt;=1,"",IF(BE370=0,"",IF(SUM($G370:BE370)&gt;=1,OFFSET(BE$228,-1,0),"")))</f>
        <v/>
      </c>
      <c r="BF372" s="403" t="str">
        <f ca="1">IF(SUM($G372:BE372)&gt;=1,"",IF(BF370=0,"",IF(SUM($G370:BF370)&gt;=1,OFFSET(BF$228,-1,0),"")))</f>
        <v/>
      </c>
      <c r="BG372" s="403" t="str">
        <f ca="1">IF(SUM($G372:BF372)&gt;=1,"",IF(BG370=0,"",IF(SUM($G370:BG370)&gt;=1,OFFSET(BG$228,-1,0),"")))</f>
        <v/>
      </c>
      <c r="BH372" s="403" t="str">
        <f ca="1">IF(SUM($G372:BG372)&gt;=1,"",IF(BH370=0,"",IF(SUM($G370:BH370)&gt;=1,OFFSET(BH$228,-1,0),"")))</f>
        <v/>
      </c>
      <c r="BI372" s="403" t="str">
        <f ca="1">IF(SUM($G372:BH372)&gt;=1,"",IF(BI370=0,"",IF(SUM($G370:BI370)&gt;=1,OFFSET(BI$228,-1,0),"")))</f>
        <v/>
      </c>
      <c r="BJ372" s="403" t="str">
        <f ca="1">IF(SUM($G372:BI372)&gt;=1,"",IF(BJ370=0,"",IF(SUM($G370:BJ370)&gt;=1,OFFSET(BJ$228,-1,0),"")))</f>
        <v/>
      </c>
      <c r="BK372" s="403" t="str">
        <f ca="1">IF(SUM($G372:BJ372)&gt;=1,"",IF(BK370=0,"",IF(SUM($G370:BK370)&gt;=1,OFFSET(BK$228,-1,0),"")))</f>
        <v/>
      </c>
      <c r="BL372" s="403" t="str">
        <f ca="1">IF(SUM($G372:BK372)&gt;=1,"",IF(BL370=0,"",IF(SUM($G370:BL370)&gt;=1,OFFSET(BL$228,-1,0),"")))</f>
        <v/>
      </c>
      <c r="BM372" s="403" t="str">
        <f ca="1">IF(SUM($G372:BL372)&gt;=1,"",IF(BM370=0,"",IF(SUM($G370:BM370)&gt;=1,OFFSET(BM$228,-1,0),"")))</f>
        <v/>
      </c>
      <c r="BN372" s="403" t="str">
        <f ca="1">IF(SUM($G372:BM372)&gt;=1,"",IF(BN370=0,"",IF(SUM($G370:BN370)&gt;=1,OFFSET(BN$228,-1,0),"")))</f>
        <v/>
      </c>
      <c r="BO372" s="403" t="str">
        <f ca="1">IF(SUM($G372:BN372)&gt;=1,"",IF(BO370=0,"",IF(SUM($G370:BO370)&gt;=1,OFFSET(BO$228,-1,0),"")))</f>
        <v/>
      </c>
      <c r="BP372" s="403" t="str">
        <f ca="1">IF(SUM($G372:BO372)&gt;=1,"",IF(BP370=0,"",IF(SUM($G370:BP370)&gt;=1,OFFSET(BP$228,-1,0),"")))</f>
        <v/>
      </c>
      <c r="BQ372" s="403" t="str">
        <f ca="1">IF(SUM($G372:BP372)&gt;=1,"",IF(BQ370=0,"",IF(SUM($G370:BQ370)&gt;=1,OFFSET(BQ$228,-1,0),"")))</f>
        <v/>
      </c>
      <c r="BR372" s="403" t="str">
        <f ca="1">IF(SUM($G372:BQ372)&gt;=1,"",IF(BR370=0,"",IF(SUM($G370:BR370)&gt;=1,OFFSET(BR$228,-1,0),"")))</f>
        <v/>
      </c>
      <c r="BS372" s="403" t="str">
        <f ca="1">IF(SUM($G372:BR372)&gt;=1,"",IF(BS370=0,"",IF(SUM($G370:BS370)&gt;=1,OFFSET(BS$228,-1,0),"")))</f>
        <v/>
      </c>
      <c r="BT372" s="403" t="str">
        <f ca="1">IF(SUM($G372:BS372)&gt;=1,"",IF(BT370=0,"",IF(SUM($G370:BT370)&gt;=1,OFFSET(BT$228,-1,0),"")))</f>
        <v/>
      </c>
      <c r="BU372" s="403" t="str">
        <f ca="1">IF(SUM($G372:BT372)&gt;=1,"",IF(BU370=0,"",IF(SUM($G370:BU370)&gt;=1,OFFSET(BU$228,-1,0),"")))</f>
        <v/>
      </c>
      <c r="BV372" s="403" t="str">
        <f ca="1">IF(SUM($G372:BU372)&gt;=1,"",IF(BV370=0,"",IF(SUM($G370:BV370)&gt;=1,OFFSET(BV$228,-1,0),"")))</f>
        <v/>
      </c>
      <c r="BW372" s="403" t="str">
        <f ca="1">IF(SUM($G372:BV372)&gt;=1,"",IF(BW370=0,"",IF(SUM($G370:BW370)&gt;=1,OFFSET(BW$228,-1,0),"")))</f>
        <v/>
      </c>
      <c r="BX372" s="403" t="str">
        <f ca="1">IF(SUM($G372:BW372)&gt;=1,"",IF(BX370=0,"",IF(SUM($G370:BX370)&gt;=1,OFFSET(BX$228,-1,0),"")))</f>
        <v/>
      </c>
      <c r="BY372" s="403" t="str">
        <f ca="1">IF(SUM($G372:BX372)&gt;=1,"",IF(BY370=0,"",IF(SUM($G370:BY370)&gt;=1,OFFSET(BY$228,-1,0),"")))</f>
        <v/>
      </c>
      <c r="BZ372" s="403" t="str">
        <f ca="1">IF(SUM($G372:BY372)&gt;=1,"",IF(BZ370=0,"",IF(SUM($G370:BZ370)&gt;=1,OFFSET(BZ$228,-1,0),"")))</f>
        <v/>
      </c>
      <c r="CA372" s="403" t="str">
        <f ca="1">IF(SUM($G372:BZ372)&gt;=1,"",IF(CA370=0,"",IF(SUM($G370:CA370)&gt;=1,OFFSET(CA$228,-1,0),"")))</f>
        <v/>
      </c>
      <c r="CB372" s="403" t="str">
        <f ca="1">IF(SUM($G372:CA372)&gt;=1,"",IF(CB370=0,"",IF(SUM($G370:CB370)&gt;=1,OFFSET(CB$228,-1,0),"")))</f>
        <v/>
      </c>
      <c r="CC372" s="403" t="str">
        <f ca="1">IF(SUM($G372:CB372)&gt;=1,"",IF(CC370=0,"",IF(SUM($G370:CC370)&gt;=1,OFFSET(CC$228,-1,0),"")))</f>
        <v/>
      </c>
      <c r="CD372" s="403" t="str">
        <f ca="1">IF(SUM($G372:CC372)&gt;=1,"",IF(CD370=0,"",IF(SUM($G370:CD370)&gt;=1,OFFSET(CD$228,-1,0),"")))</f>
        <v/>
      </c>
      <c r="CE372" s="403" t="str">
        <f ca="1">IF(SUM($G372:CD372)&gt;=1,"",IF(CE370=0,"",IF(SUM($G370:CE370)&gt;=1,OFFSET(CE$228,-1,0),"")))</f>
        <v/>
      </c>
      <c r="CF372" s="403" t="str">
        <f ca="1">IF(SUM($G372:CE372)&gt;=1,"",IF(CF370=0,"",IF(SUM($G370:CF370)&gt;=1,OFFSET(CF$228,-1,0),"")))</f>
        <v/>
      </c>
      <c r="CG372" s="403" t="str">
        <f ca="1">IF(SUM($G372:CF372)&gt;=1,"",IF(CG370=0,"",IF(SUM($G370:CG370)&gt;=1,OFFSET(CG$228,-1,0),"")))</f>
        <v/>
      </c>
      <c r="CH372" s="403" t="str">
        <f ca="1">IF(SUM($G372:CG372)&gt;=1,"",IF(CH370=0,"",IF(SUM($G370:CH370)&gt;=1,OFFSET(CH$228,-1,0),"")))</f>
        <v/>
      </c>
      <c r="CI372" s="403" t="str">
        <f ca="1">IF(SUM($G372:CH372)&gt;=1,"",IF(CI370=0,"",IF(SUM($G370:CI370)&gt;=1,OFFSET(CI$228,-1,0),"")))</f>
        <v/>
      </c>
      <c r="CJ372" s="403" t="str">
        <f ca="1">IF(SUM($G372:CI372)&gt;=1,"",IF(CJ370=0,"",IF(SUM($G370:CJ370)&gt;=1,OFFSET(CJ$228,-1,0),"")))</f>
        <v/>
      </c>
      <c r="CK372" s="403" t="str">
        <f ca="1">IF(SUM($G372:CJ372)&gt;=1,"",IF(CK370=0,"",IF(SUM($G370:CK370)&gt;=1,OFFSET(CK$228,-1,0),"")))</f>
        <v/>
      </c>
      <c r="CL372" s="403" t="str">
        <f ca="1">IF(SUM($G372:CK372)&gt;=1,"",IF(CL370=0,"",IF(SUM($G370:CL370)&gt;=1,OFFSET(CL$228,-1,0),"")))</f>
        <v/>
      </c>
      <c r="CM372" s="403" t="str">
        <f ca="1">IF(SUM($G372:CL372)&gt;=1,"",IF(CM370=0,"",IF(SUM($G370:CM370)&gt;=1,OFFSET(CM$228,-1,0),"")))</f>
        <v/>
      </c>
      <c r="CN372" s="403" t="str">
        <f ca="1">IF(SUM($G372:CM372)&gt;=1,"",IF(CN370=0,"",IF(SUM($G370:CN370)&gt;=1,OFFSET(CN$228,-1,0),"")))</f>
        <v/>
      </c>
      <c r="CO372" s="403" t="str">
        <f ca="1">IF(SUM($G372:CN372)&gt;=1,"",IF(CO370=0,"",IF(SUM($G370:CO370)&gt;=1,OFFSET(CO$228,-1,0),"")))</f>
        <v/>
      </c>
      <c r="CP372" s="403" t="str">
        <f ca="1">IF(SUM($G372:CO372)&gt;=1,"",IF(CP370=0,"",IF(SUM($G370:CP370)&gt;=1,OFFSET(CP$228,-1,0),"")))</f>
        <v/>
      </c>
      <c r="CQ372" s="403" t="str">
        <f ca="1">IF(SUM($G372:CP372)&gt;=1,"",IF(CQ370=0,"",IF(SUM($G370:CQ370)&gt;=1,OFFSET(CQ$228,-1,0),"")))</f>
        <v/>
      </c>
      <c r="CR372" s="403" t="str">
        <f ca="1">IF(SUM($G372:CQ372)&gt;=1,"",IF(CR370=0,"",IF(SUM($G370:CR370)&gt;=1,OFFSET(CR$228,-1,0),"")))</f>
        <v/>
      </c>
      <c r="CS372" s="403" t="str">
        <f ca="1">IF(SUM($G372:CR372)&gt;=1,"",IF(CS370=0,"",IF(SUM($G370:CS370)&gt;=1,OFFSET(CS$228,-1,0),"")))</f>
        <v/>
      </c>
      <c r="CT372" s="403" t="str">
        <f ca="1">IF(SUM($G372:CS372)&gt;=1,"",IF(CT370=0,"",IF(SUM($G370:CT370)&gt;=1,OFFSET(CT$228,-1,0),"")))</f>
        <v/>
      </c>
      <c r="CU372" s="403" t="str">
        <f ca="1">IF(SUM($G372:CT372)&gt;=1,"",IF(CU370=0,"",IF(SUM($G370:CU370)&gt;=1,OFFSET(CU$228,-1,0),"")))</f>
        <v/>
      </c>
      <c r="CV372" s="403" t="str">
        <f ca="1">IF(SUM($G372:CU372)&gt;=1,"",IF(CV370=0,"",IF(SUM($G370:CV370)&gt;=1,OFFSET(CV$228,-1,0),"")))</f>
        <v/>
      </c>
      <c r="CW372" s="403" t="str">
        <f ca="1">IF(SUM($G372:CV372)&gt;=1,"",IF(CW370=0,"",IF(SUM($G370:CW370)&gt;=1,OFFSET(CW$228,-1,0),"")))</f>
        <v/>
      </c>
      <c r="CX372" s="403" t="str">
        <f ca="1">IF(SUM($G372:CW372)&gt;=1,"",IF(CX370=0,"",IF(SUM($G370:CX370)&gt;=1,OFFSET(CX$228,-1,0),"")))</f>
        <v/>
      </c>
      <c r="CY372" s="403" t="str">
        <f ca="1">IF(SUM($G372:CX372)&gt;=1,"",IF(CY370=0,"",IF(SUM($G370:CY370)&gt;=1,OFFSET(CY$228,-1,0),"")))</f>
        <v/>
      </c>
      <c r="CZ372" s="403" t="str">
        <f ca="1">IF(SUM($G372:CY372)&gt;=1,"",IF(CZ370=0,"",IF(SUM($G370:CZ370)&gt;=1,OFFSET(CZ$228,-1,0),"")))</f>
        <v/>
      </c>
      <c r="DA372" s="403" t="str">
        <f ca="1">IF(SUM($G372:CZ372)&gt;=1,"",IF(DA370=0,"",IF(SUM($G370:DA370)&gt;=1,OFFSET(DA$228,-1,0),"")))</f>
        <v/>
      </c>
      <c r="DB372" s="403" t="str">
        <f ca="1">IF(SUM($G372:DA372)&gt;=1,"",IF(DB370=0,"",IF(SUM($G370:DB370)&gt;=1,OFFSET(DB$228,-1,0),"")))</f>
        <v/>
      </c>
      <c r="DC372" s="403" t="str">
        <f ca="1">IF(SUM($G372:DB372)&gt;=1,"",IF(DC370=0,"",IF(SUM($G370:DC370)&gt;=1,OFFSET(DC$228,-1,0),"")))</f>
        <v/>
      </c>
      <c r="DD372" s="403" t="str">
        <f ca="1">IF(SUM($G372:DC372)&gt;=1,"",IF(DD370=0,"",IF(SUM($G370:DD370)&gt;=1,OFFSET(DD$228,-1,0),"")))</f>
        <v/>
      </c>
      <c r="DE372" s="403" t="str">
        <f ca="1">IF(SUM($G372:DD372)&gt;=1,"",IF(DE370=0,"",IF(SUM($G370:DE370)&gt;=1,OFFSET(DE$228,-1,0),"")))</f>
        <v/>
      </c>
      <c r="DF372" s="403" t="str">
        <f ca="1">IF(SUM($G372:DE372)&gt;=1,"",IF(DF370=0,"",IF(SUM($G370:DF370)&gt;=1,OFFSET(DF$228,-1,0),"")))</f>
        <v/>
      </c>
      <c r="DG372" s="403" t="str">
        <f ca="1">IF(SUM($G372:DF372)&gt;=1,"",IF(DG370=0,"",IF(SUM($G370:DG370)&gt;=1,OFFSET(DG$228,-1,0),"")))</f>
        <v/>
      </c>
      <c r="DH372" s="403" t="str">
        <f ca="1">IF(SUM($G372:DG372)&gt;=1,"",IF(DH370=0,"",IF(SUM($G370:DH370)&gt;=1,OFFSET(DH$228,-1,0),"")))</f>
        <v/>
      </c>
      <c r="DI372" s="403" t="str">
        <f ca="1">IF(SUM($G372:DH372)&gt;=1,"",IF(DI370=0,"",IF(SUM($G370:DI370)&gt;=1,OFFSET(DI$228,-1,0),"")))</f>
        <v/>
      </c>
      <c r="DJ372" s="403" t="str">
        <f ca="1">IF(SUM($G372:DI372)&gt;=1,"",IF(DJ370=0,"",IF(SUM($G370:DJ370)&gt;=1,OFFSET(DJ$228,-1,0),"")))</f>
        <v/>
      </c>
      <c r="DK372" s="403" t="str">
        <f ca="1">IF(SUM($G372:DJ372)&gt;=1,"",IF(DK370=0,"",IF(SUM($G370:DK370)&gt;=1,OFFSET(DK$228,-1,0),"")))</f>
        <v/>
      </c>
      <c r="DL372" s="403" t="str">
        <f ca="1">IF(SUM($G372:DK372)&gt;=1,"",IF(DL370=0,"",IF(SUM($G370:DL370)&gt;=1,OFFSET(DL$228,-1,0),"")))</f>
        <v/>
      </c>
      <c r="DM372" s="403" t="str">
        <f ca="1">IF(SUM($G372:DL372)&gt;=1,"",IF(DM370=0,"",IF(SUM($G370:DM370)&gt;=1,OFFSET(DM$228,-1,0),"")))</f>
        <v/>
      </c>
      <c r="DN372" s="403" t="str">
        <f ca="1">IF(SUM($G372:DM372)&gt;=1,"",IF(DN370=0,"",IF(SUM($G370:DN370)&gt;=1,OFFSET(DN$228,-1,0),"")))</f>
        <v/>
      </c>
      <c r="DO372" s="403" t="str">
        <f ca="1">IF(SUM($G372:DN372)&gt;=1,"",IF(DO370=0,"",IF(SUM($G370:DO370)&gt;=1,OFFSET(DO$228,-1,0),"")))</f>
        <v/>
      </c>
      <c r="DP372" s="403" t="str">
        <f ca="1">IF(SUM($G372:DO372)&gt;=1,"",IF(DP370=0,"",IF(SUM($G370:DP370)&gt;=1,OFFSET(DP$228,-1,0),"")))</f>
        <v/>
      </c>
      <c r="DQ372" s="403" t="str">
        <f ca="1">IF(SUM($G372:DP372)&gt;=1,"",IF(DQ370=0,"",IF(SUM($G370:DQ370)&gt;=1,OFFSET(DQ$228,-1,0),"")))</f>
        <v/>
      </c>
      <c r="DR372" s="403" t="str">
        <f ca="1">IF(SUM($G372:DQ372)&gt;=1,"",IF(DR370=0,"",IF(SUM($G370:DR370)&gt;=1,OFFSET(DR$228,-1,0),"")))</f>
        <v/>
      </c>
      <c r="DS372" s="403" t="str">
        <f ca="1">IF(SUM($G372:DR372)&gt;=1,"",IF(DS370=0,"",IF(SUM($G370:DS370)&gt;=1,OFFSET(DS$228,-1,0),"")))</f>
        <v/>
      </c>
      <c r="DT372" s="403" t="str">
        <f ca="1">IF(SUM($G372:DS372)&gt;=1,"",IF(DT370=0,"",IF(SUM($G370:DT370)&gt;=1,OFFSET(DT$228,-1,0),"")))</f>
        <v/>
      </c>
      <c r="DU372" s="403" t="str">
        <f ca="1">IF(SUM($G372:DT372)&gt;=1,"",IF(DU370=0,"",IF(SUM($G370:DU370)&gt;=1,OFFSET(DU$228,-1,0),"")))</f>
        <v/>
      </c>
      <c r="DV372" s="403" t="str">
        <f ca="1">IF(SUM($G372:DU372)&gt;=1,"",IF(DV370=0,"",IF(SUM($G370:DV370)&gt;=1,OFFSET(DV$228,-1,0),"")))</f>
        <v/>
      </c>
      <c r="DW372" s="403" t="str">
        <f ca="1">IF(SUM($G372:DV372)&gt;=1,"",IF(DW370=0,"",IF(SUM($G370:DW370)&gt;=1,OFFSET(DW$228,-1,0),"")))</f>
        <v/>
      </c>
      <c r="DX372" s="403" t="str">
        <f ca="1">IF(SUM($G372:DW372)&gt;=1,"",IF(DX370=0,"",IF(SUM($G370:DX370)&gt;=1,OFFSET(DX$228,-1,0),"")))</f>
        <v/>
      </c>
      <c r="DY372" s="403" t="str">
        <f ca="1">IF(SUM($G372:DX372)&gt;=1,"",IF(DY370=0,"",IF(SUM($G370:DY370)&gt;=1,OFFSET(DY$228,-1,0),"")))</f>
        <v/>
      </c>
      <c r="DZ372" s="403" t="str">
        <f ca="1">IF(SUM($G372:DY372)&gt;=1,"",IF(DZ370=0,"",IF(SUM($G370:DZ370)&gt;=1,OFFSET(DZ$228,-1,0),"")))</f>
        <v/>
      </c>
      <c r="EA372" s="403" t="str">
        <f ca="1">IF(SUM($G372:DZ372)&gt;=1,"",IF(EA370=0,"",IF(SUM($G370:EA370)&gt;=1,OFFSET(EA$228,-1,0),"")))</f>
        <v/>
      </c>
      <c r="EB372" s="403" t="str">
        <f ca="1">IF(SUM($G372:EA372)&gt;=1,"",IF(EB370=0,"",IF(SUM($G370:EB370)&gt;=1,OFFSET(EB$228,-1,0),"")))</f>
        <v/>
      </c>
      <c r="EC372" s="403" t="str">
        <f ca="1">IF(SUM($G372:EB372)&gt;=1,"",IF(EC370=0,"",IF(SUM($G370:EC370)&gt;=1,OFFSET(EC$228,-1,0),"")))</f>
        <v/>
      </c>
      <c r="ED372" s="403" t="str">
        <f ca="1">IF(SUM($G372:EC372)&gt;=1,"",IF(ED370=0,"",IF(SUM($G370:ED370)&gt;=1,OFFSET(ED$228,-1,0),"")))</f>
        <v/>
      </c>
      <c r="EE372" s="403" t="str">
        <f ca="1">IF(SUM($G372:ED372)&gt;=1,"",IF(EE370=0,"",IF(SUM($G370:EE370)&gt;=1,OFFSET(EE$228,-1,0),"")))</f>
        <v/>
      </c>
      <c r="EF372" s="403" t="str">
        <f ca="1">IF(SUM($G372:EE372)&gt;=1,"",IF(EF370=0,"",IF(SUM($G370:EF370)&gt;=1,OFFSET(EF$228,-1,0),"")))</f>
        <v/>
      </c>
      <c r="EG372" s="403" t="str">
        <f ca="1">IF(SUM($G372:EF372)&gt;=1,"",IF(EG370=0,"",IF(SUM($G370:EG370)&gt;=1,OFFSET(EG$228,-1,0),"")))</f>
        <v/>
      </c>
      <c r="EH372" s="403" t="str">
        <f ca="1">IF(SUM($G372:EG372)&gt;=1,"",IF(EH370=0,"",IF(SUM($G370:EH370)&gt;=1,OFFSET(EH$228,-1,0),"")))</f>
        <v/>
      </c>
      <c r="EI372" s="403" t="str">
        <f ca="1">IF(SUM($G372:EH372)&gt;=1,"",IF(EI370=0,"",IF(SUM($G370:EI370)&gt;=1,OFFSET(EI$228,-1,0),"")))</f>
        <v/>
      </c>
    </row>
    <row r="373" spans="1:141" hidden="1" outlineLevel="2">
      <c r="A373" s="332"/>
      <c r="D373" s="305" t="s">
        <v>671</v>
      </c>
      <c r="E373" s="1002">
        <f ca="1">IF(E370=0,"",MIN(G373:EI373))</f>
        <v>46414</v>
      </c>
      <c r="F373" s="1003"/>
      <c r="G373" s="403" t="str">
        <f>IF(G370=0,"",IF(G370=G$3,G372,G$5+H$5-G374-1))</f>
        <v/>
      </c>
      <c r="H373" s="403" t="str">
        <f ca="1">IF(H370=0,"",IF(H370=H$3,H372,H$5+I$5-H374-1))</f>
        <v/>
      </c>
      <c r="I373" s="403" t="str">
        <f t="shared" ref="I373:BT373" ca="1" si="546">IF(I370=0,"",IF(I370=I$3,I372,I$5+J$5-I374-1))</f>
        <v/>
      </c>
      <c r="J373" s="403" t="str">
        <f t="shared" ca="1" si="546"/>
        <v/>
      </c>
      <c r="K373" s="403" t="str">
        <f t="shared" ca="1" si="546"/>
        <v/>
      </c>
      <c r="L373" s="403" t="str">
        <f t="shared" ca="1" si="546"/>
        <v/>
      </c>
      <c r="M373" s="403" t="str">
        <f t="shared" ca="1" si="546"/>
        <v/>
      </c>
      <c r="N373" s="403" t="str">
        <f t="shared" ca="1" si="546"/>
        <v/>
      </c>
      <c r="O373" s="403" t="str">
        <f t="shared" ca="1" si="546"/>
        <v/>
      </c>
      <c r="P373" s="403" t="str">
        <f t="shared" ca="1" si="546"/>
        <v/>
      </c>
      <c r="Q373" s="403" t="str">
        <f t="shared" ca="1" si="546"/>
        <v/>
      </c>
      <c r="R373" s="403" t="str">
        <f t="shared" ca="1" si="546"/>
        <v/>
      </c>
      <c r="S373" s="403" t="str">
        <f t="shared" ca="1" si="546"/>
        <v/>
      </c>
      <c r="T373" s="403" t="str">
        <f t="shared" ca="1" si="546"/>
        <v/>
      </c>
      <c r="U373" s="403" t="str">
        <f t="shared" ca="1" si="546"/>
        <v/>
      </c>
      <c r="V373" s="403" t="str">
        <f t="shared" ca="1" si="546"/>
        <v/>
      </c>
      <c r="W373" s="403" t="str">
        <f t="shared" ca="1" si="546"/>
        <v/>
      </c>
      <c r="X373" s="403" t="str">
        <f t="shared" ca="1" si="546"/>
        <v/>
      </c>
      <c r="Y373" s="403" t="str">
        <f t="shared" ca="1" si="546"/>
        <v/>
      </c>
      <c r="Z373" s="403" t="str">
        <f t="shared" ca="1" si="546"/>
        <v/>
      </c>
      <c r="AA373" s="403" t="str">
        <f t="shared" ca="1" si="546"/>
        <v/>
      </c>
      <c r="AB373" s="403" t="str">
        <f t="shared" ca="1" si="546"/>
        <v/>
      </c>
      <c r="AC373" s="403" t="str">
        <f t="shared" ca="1" si="546"/>
        <v/>
      </c>
      <c r="AD373" s="403" t="str">
        <f t="shared" ca="1" si="546"/>
        <v/>
      </c>
      <c r="AE373" s="403" t="str">
        <f t="shared" ca="1" si="546"/>
        <v/>
      </c>
      <c r="AF373" s="403" t="str">
        <f t="shared" ca="1" si="546"/>
        <v/>
      </c>
      <c r="AG373" s="403" t="str">
        <f t="shared" ca="1" si="546"/>
        <v/>
      </c>
      <c r="AH373" s="403" t="str">
        <f t="shared" ca="1" si="546"/>
        <v/>
      </c>
      <c r="AI373" s="403" t="str">
        <f t="shared" ca="1" si="546"/>
        <v/>
      </c>
      <c r="AJ373" s="403" t="str">
        <f t="shared" ca="1" si="546"/>
        <v/>
      </c>
      <c r="AK373" s="403" t="str">
        <f t="shared" ca="1" si="546"/>
        <v/>
      </c>
      <c r="AL373" s="403" t="str">
        <f t="shared" ca="1" si="546"/>
        <v/>
      </c>
      <c r="AM373" s="403" t="str">
        <f t="shared" ca="1" si="546"/>
        <v/>
      </c>
      <c r="AN373" s="403" t="str">
        <f t="shared" ca="1" si="546"/>
        <v/>
      </c>
      <c r="AO373" s="403" t="str">
        <f t="shared" ca="1" si="546"/>
        <v/>
      </c>
      <c r="AP373" s="403" t="str">
        <f t="shared" ca="1" si="546"/>
        <v/>
      </c>
      <c r="AQ373" s="403" t="str">
        <f t="shared" ca="1" si="546"/>
        <v/>
      </c>
      <c r="AR373" s="403" t="str">
        <f t="shared" ca="1" si="546"/>
        <v/>
      </c>
      <c r="AS373" s="403" t="str">
        <f t="shared" ca="1" si="546"/>
        <v/>
      </c>
      <c r="AT373" s="403" t="str">
        <f t="shared" ca="1" si="546"/>
        <v/>
      </c>
      <c r="AU373" s="403" t="str">
        <f t="shared" ca="1" si="546"/>
        <v/>
      </c>
      <c r="AV373" s="403" t="str">
        <f t="shared" ca="1" si="546"/>
        <v/>
      </c>
      <c r="AW373" s="403" t="str">
        <f t="shared" ca="1" si="546"/>
        <v/>
      </c>
      <c r="AX373" s="403" t="str">
        <f t="shared" ca="1" si="546"/>
        <v/>
      </c>
      <c r="AY373" s="403" t="str">
        <f t="shared" ca="1" si="546"/>
        <v/>
      </c>
      <c r="AZ373" s="403" t="str">
        <f t="shared" ca="1" si="546"/>
        <v/>
      </c>
      <c r="BA373" s="403">
        <f t="shared" ca="1" si="546"/>
        <v>46414</v>
      </c>
      <c r="BB373" s="403" t="str">
        <f t="shared" ca="1" si="546"/>
        <v/>
      </c>
      <c r="BC373" s="403" t="str">
        <f t="shared" ca="1" si="546"/>
        <v/>
      </c>
      <c r="BD373" s="403" t="str">
        <f t="shared" ca="1" si="546"/>
        <v/>
      </c>
      <c r="BE373" s="403" t="str">
        <f t="shared" ca="1" si="546"/>
        <v/>
      </c>
      <c r="BF373" s="403" t="str">
        <f t="shared" ca="1" si="546"/>
        <v/>
      </c>
      <c r="BG373" s="403" t="str">
        <f t="shared" ca="1" si="546"/>
        <v/>
      </c>
      <c r="BH373" s="403" t="str">
        <f t="shared" ca="1" si="546"/>
        <v/>
      </c>
      <c r="BI373" s="403" t="str">
        <f t="shared" ca="1" si="546"/>
        <v/>
      </c>
      <c r="BJ373" s="403" t="str">
        <f t="shared" ca="1" si="546"/>
        <v/>
      </c>
      <c r="BK373" s="403" t="str">
        <f t="shared" ca="1" si="546"/>
        <v/>
      </c>
      <c r="BL373" s="403" t="str">
        <f t="shared" ca="1" si="546"/>
        <v/>
      </c>
      <c r="BM373" s="403" t="str">
        <f t="shared" ca="1" si="546"/>
        <v/>
      </c>
      <c r="BN373" s="403" t="str">
        <f t="shared" ca="1" si="546"/>
        <v/>
      </c>
      <c r="BO373" s="403" t="str">
        <f t="shared" ca="1" si="546"/>
        <v/>
      </c>
      <c r="BP373" s="403" t="str">
        <f t="shared" ca="1" si="546"/>
        <v/>
      </c>
      <c r="BQ373" s="403" t="str">
        <f t="shared" ca="1" si="546"/>
        <v/>
      </c>
      <c r="BR373" s="403" t="str">
        <f t="shared" ca="1" si="546"/>
        <v/>
      </c>
      <c r="BS373" s="403" t="str">
        <f t="shared" ca="1" si="546"/>
        <v/>
      </c>
      <c r="BT373" s="403" t="str">
        <f t="shared" ca="1" si="546"/>
        <v/>
      </c>
      <c r="BU373" s="403" t="str">
        <f t="shared" ref="BU373:EF373" ca="1" si="547">IF(BU370=0,"",IF(BU370=BU$3,BU372,BU$5+BV$5-BU374-1))</f>
        <v/>
      </c>
      <c r="BV373" s="403" t="str">
        <f t="shared" ca="1" si="547"/>
        <v/>
      </c>
      <c r="BW373" s="403" t="str">
        <f t="shared" ca="1" si="547"/>
        <v/>
      </c>
      <c r="BX373" s="403" t="str">
        <f t="shared" ca="1" si="547"/>
        <v/>
      </c>
      <c r="BY373" s="403">
        <f t="shared" ca="1" si="547"/>
        <v>47125</v>
      </c>
      <c r="BZ373" s="403" t="str">
        <f t="shared" ca="1" si="547"/>
        <v/>
      </c>
      <c r="CA373" s="403" t="str">
        <f t="shared" ca="1" si="547"/>
        <v/>
      </c>
      <c r="CB373" s="403" t="str">
        <f t="shared" ca="1" si="547"/>
        <v/>
      </c>
      <c r="CC373" s="403" t="str">
        <f t="shared" ca="1" si="547"/>
        <v/>
      </c>
      <c r="CD373" s="403" t="str">
        <f t="shared" ca="1" si="547"/>
        <v/>
      </c>
      <c r="CE373" s="403" t="str">
        <f t="shared" ca="1" si="547"/>
        <v/>
      </c>
      <c r="CF373" s="403" t="str">
        <f t="shared" ca="1" si="547"/>
        <v/>
      </c>
      <c r="CG373" s="403" t="str">
        <f t="shared" ca="1" si="547"/>
        <v/>
      </c>
      <c r="CH373" s="403" t="str">
        <f t="shared" ca="1" si="547"/>
        <v/>
      </c>
      <c r="CI373" s="403" t="str">
        <f t="shared" ca="1" si="547"/>
        <v/>
      </c>
      <c r="CJ373" s="403" t="str">
        <f t="shared" ca="1" si="547"/>
        <v/>
      </c>
      <c r="CK373" s="403" t="str">
        <f t="shared" ca="1" si="547"/>
        <v/>
      </c>
      <c r="CL373" s="403" t="str">
        <f t="shared" ca="1" si="547"/>
        <v/>
      </c>
      <c r="CM373" s="403" t="str">
        <f t="shared" ca="1" si="547"/>
        <v/>
      </c>
      <c r="CN373" s="403" t="str">
        <f t="shared" ca="1" si="547"/>
        <v/>
      </c>
      <c r="CO373" s="403" t="str">
        <f t="shared" ca="1" si="547"/>
        <v/>
      </c>
      <c r="CP373" s="403" t="str">
        <f t="shared" ca="1" si="547"/>
        <v/>
      </c>
      <c r="CQ373" s="403" t="str">
        <f t="shared" ca="1" si="547"/>
        <v/>
      </c>
      <c r="CR373" s="403" t="str">
        <f t="shared" ca="1" si="547"/>
        <v/>
      </c>
      <c r="CS373" s="403" t="str">
        <f t="shared" ca="1" si="547"/>
        <v/>
      </c>
      <c r="CT373" s="403" t="str">
        <f t="shared" ca="1" si="547"/>
        <v/>
      </c>
      <c r="CU373" s="403" t="str">
        <f t="shared" ca="1" si="547"/>
        <v/>
      </c>
      <c r="CV373" s="403" t="str">
        <f t="shared" ca="1" si="547"/>
        <v/>
      </c>
      <c r="CW373" s="403" t="str">
        <f t="shared" ca="1" si="547"/>
        <v/>
      </c>
      <c r="CX373" s="403" t="str">
        <f t="shared" ca="1" si="547"/>
        <v/>
      </c>
      <c r="CY373" s="403" t="str">
        <f t="shared" ca="1" si="547"/>
        <v/>
      </c>
      <c r="CZ373" s="403" t="str">
        <f t="shared" ca="1" si="547"/>
        <v/>
      </c>
      <c r="DA373" s="403" t="str">
        <f t="shared" ca="1" si="547"/>
        <v/>
      </c>
      <c r="DB373" s="403" t="str">
        <f t="shared" ca="1" si="547"/>
        <v/>
      </c>
      <c r="DC373" s="403" t="str">
        <f t="shared" ca="1" si="547"/>
        <v/>
      </c>
      <c r="DD373" s="403" t="str">
        <f t="shared" ca="1" si="547"/>
        <v/>
      </c>
      <c r="DE373" s="403" t="str">
        <f t="shared" ca="1" si="547"/>
        <v/>
      </c>
      <c r="DF373" s="403" t="str">
        <f t="shared" ca="1" si="547"/>
        <v/>
      </c>
      <c r="DG373" s="403" t="str">
        <f t="shared" ca="1" si="547"/>
        <v/>
      </c>
      <c r="DH373" s="403" t="str">
        <f t="shared" ca="1" si="547"/>
        <v/>
      </c>
      <c r="DI373" s="403" t="str">
        <f t="shared" ca="1" si="547"/>
        <v/>
      </c>
      <c r="DJ373" s="403" t="str">
        <f t="shared" ca="1" si="547"/>
        <v/>
      </c>
      <c r="DK373" s="403" t="str">
        <f t="shared" ca="1" si="547"/>
        <v/>
      </c>
      <c r="DL373" s="403" t="str">
        <f t="shared" ca="1" si="547"/>
        <v/>
      </c>
      <c r="DM373" s="403" t="str">
        <f t="shared" ca="1" si="547"/>
        <v/>
      </c>
      <c r="DN373" s="403" t="str">
        <f t="shared" ca="1" si="547"/>
        <v/>
      </c>
      <c r="DO373" s="403" t="str">
        <f t="shared" ca="1" si="547"/>
        <v/>
      </c>
      <c r="DP373" s="403" t="str">
        <f t="shared" ca="1" si="547"/>
        <v/>
      </c>
      <c r="DQ373" s="403" t="str">
        <f t="shared" ca="1" si="547"/>
        <v/>
      </c>
      <c r="DR373" s="403" t="str">
        <f t="shared" ca="1" si="547"/>
        <v/>
      </c>
      <c r="DS373" s="403" t="str">
        <f t="shared" ca="1" si="547"/>
        <v/>
      </c>
      <c r="DT373" s="403" t="str">
        <f t="shared" ca="1" si="547"/>
        <v/>
      </c>
      <c r="DU373" s="403" t="str">
        <f t="shared" ca="1" si="547"/>
        <v/>
      </c>
      <c r="DV373" s="403" t="str">
        <f t="shared" ca="1" si="547"/>
        <v/>
      </c>
      <c r="DW373" s="403" t="str">
        <f t="shared" ca="1" si="547"/>
        <v/>
      </c>
      <c r="DX373" s="403" t="str">
        <f t="shared" ca="1" si="547"/>
        <v/>
      </c>
      <c r="DY373" s="403" t="str">
        <f t="shared" ca="1" si="547"/>
        <v/>
      </c>
      <c r="DZ373" s="403" t="str">
        <f t="shared" ca="1" si="547"/>
        <v/>
      </c>
      <c r="EA373" s="403" t="str">
        <f t="shared" ca="1" si="547"/>
        <v/>
      </c>
      <c r="EB373" s="403" t="str">
        <f t="shared" ca="1" si="547"/>
        <v/>
      </c>
      <c r="EC373" s="403" t="str">
        <f t="shared" ca="1" si="547"/>
        <v/>
      </c>
      <c r="ED373" s="403" t="str">
        <f t="shared" ca="1" si="547"/>
        <v/>
      </c>
      <c r="EE373" s="403" t="str">
        <f t="shared" ca="1" si="547"/>
        <v/>
      </c>
      <c r="EF373" s="403" t="str">
        <f t="shared" ca="1" si="547"/>
        <v/>
      </c>
      <c r="EG373" s="403" t="str">
        <f t="shared" ref="EG373:EI373" ca="1" si="548">IF(EG370=0,"",IF(EG370=EG$3,EG372,EG$5+EH$5-EG374-1))</f>
        <v/>
      </c>
      <c r="EH373" s="403" t="str">
        <f t="shared" ca="1" si="548"/>
        <v/>
      </c>
      <c r="EI373" s="403" t="str">
        <f t="shared" ca="1" si="548"/>
        <v/>
      </c>
    </row>
    <row r="374" spans="1:141" hidden="1" outlineLevel="2">
      <c r="A374" s="332"/>
      <c r="D374" s="305" t="s">
        <v>672</v>
      </c>
      <c r="E374" s="1002">
        <f ca="1">IF(E370=0,"",MAX(G374:EI374))</f>
        <v>47143</v>
      </c>
      <c r="F374" s="1003"/>
      <c r="G374" s="403">
        <f ca="1">IF(SUM(G370:$EI370)=0,"",IF(G$227="","",G$227+G370-1))</f>
        <v>44985</v>
      </c>
      <c r="H374" s="403">
        <f ca="1">IF(SUM(H370:$EI370)=0,"",IF(H$227="","",H$227+H370-1))</f>
        <v>45016</v>
      </c>
      <c r="I374" s="403">
        <f ca="1">IF(SUM(I370:$EI370)=0,"",IF(I$227="","",I$227+I370-1))</f>
        <v>45046</v>
      </c>
      <c r="J374" s="403">
        <f ca="1">IF(SUM(J370:$EI370)=0,"",IF(J$227="","",J$227+J370-1))</f>
        <v>45077</v>
      </c>
      <c r="K374" s="403">
        <f ca="1">IF(SUM(K370:$EI370)=0,"",IF(K$227="","",K$227+K370-1))</f>
        <v>45107</v>
      </c>
      <c r="L374" s="403">
        <f ca="1">IF(SUM(L370:$EI370)=0,"",IF(L$227="","",L$227+L370-1))</f>
        <v>45138</v>
      </c>
      <c r="M374" s="403">
        <f ca="1">IF(SUM(M370:$EI370)=0,"",IF(M$227="","",M$227+M370-1))</f>
        <v>45169</v>
      </c>
      <c r="N374" s="403">
        <f ca="1">IF(SUM(N370:$EI370)=0,"",IF(N$227="","",N$227+N370-1))</f>
        <v>45199</v>
      </c>
      <c r="O374" s="403">
        <f ca="1">IF(SUM(O370:$EI370)=0,"",IF(O$227="","",O$227+O370-1))</f>
        <v>45230</v>
      </c>
      <c r="P374" s="403">
        <f ca="1">IF(SUM(P370:$EI370)=0,"",IF(P$227="","",P$227+P370-1))</f>
        <v>45260</v>
      </c>
      <c r="Q374" s="403">
        <f ca="1">IF(SUM(Q370:$EI370)=0,"",IF(Q$227="","",Q$227+Q370-1))</f>
        <v>45291</v>
      </c>
      <c r="R374" s="403">
        <f ca="1">IF(SUM(R370:$EI370)=0,"",IF(R$227="","",R$227+R370-1))</f>
        <v>45322</v>
      </c>
      <c r="S374" s="403">
        <f ca="1">IF(SUM(S370:$EI370)=0,"",IF(S$227="","",S$227+S370-1))</f>
        <v>45351</v>
      </c>
      <c r="T374" s="403">
        <f ca="1">IF(SUM(T370:$EI370)=0,"",IF(T$227="","",T$227+T370-1))</f>
        <v>45382</v>
      </c>
      <c r="U374" s="403">
        <f ca="1">IF(SUM(U370:$EI370)=0,"",IF(U$227="","",U$227+U370-1))</f>
        <v>45412</v>
      </c>
      <c r="V374" s="403">
        <f ca="1">IF(SUM(V370:$EI370)=0,"",IF(V$227="","",V$227+V370-1))</f>
        <v>45443</v>
      </c>
      <c r="W374" s="403">
        <f ca="1">IF(SUM(W370:$EI370)=0,"",IF(W$227="","",W$227+W370-1))</f>
        <v>45473</v>
      </c>
      <c r="X374" s="403">
        <f ca="1">IF(SUM(X370:$EI370)=0,"",IF(X$227="","",X$227+X370-1))</f>
        <v>45504</v>
      </c>
      <c r="Y374" s="403">
        <f ca="1">IF(SUM(Y370:$EI370)=0,"",IF(Y$227="","",Y$227+Y370-1))</f>
        <v>45535</v>
      </c>
      <c r="Z374" s="403">
        <f ca="1">IF(SUM(Z370:$EI370)=0,"",IF(Z$227="","",Z$227+Z370-1))</f>
        <v>45565</v>
      </c>
      <c r="AA374" s="403">
        <f ca="1">IF(SUM(AA370:$EI370)=0,"",IF(AA$227="","",AA$227+AA370-1))</f>
        <v>45596</v>
      </c>
      <c r="AB374" s="403">
        <f ca="1">IF(SUM(AB370:$EI370)=0,"",IF(AB$227="","",AB$227+AB370-1))</f>
        <v>45626</v>
      </c>
      <c r="AC374" s="403">
        <f ca="1">IF(SUM(AC370:$EI370)=0,"",IF(AC$227="","",AC$227+AC370-1))</f>
        <v>45657</v>
      </c>
      <c r="AD374" s="403">
        <f ca="1">IF(SUM(AD370:$EI370)=0,"",IF(AD$227="","",AD$227+AD370-1))</f>
        <v>45688</v>
      </c>
      <c r="AE374" s="403">
        <f ca="1">IF(SUM(AE370:$EI370)=0,"",IF(AE$227="","",AE$227+AE370-1))</f>
        <v>45716</v>
      </c>
      <c r="AF374" s="403">
        <f ca="1">IF(SUM(AF370:$EI370)=0,"",IF(AF$227="","",AF$227+AF370-1))</f>
        <v>45747</v>
      </c>
      <c r="AG374" s="403">
        <f ca="1">IF(SUM(AG370:$EI370)=0,"",IF(AG$227="","",AG$227+AG370-1))</f>
        <v>45777</v>
      </c>
      <c r="AH374" s="403">
        <f ca="1">IF(SUM(AH370:$EI370)=0,"",IF(AH$227="","",AH$227+AH370-1))</f>
        <v>45808</v>
      </c>
      <c r="AI374" s="403">
        <f ca="1">IF(SUM(AI370:$EI370)=0,"",IF(AI$227="","",AI$227+AI370-1))</f>
        <v>45838</v>
      </c>
      <c r="AJ374" s="403">
        <f ca="1">IF(SUM(AJ370:$EI370)=0,"",IF(AJ$227="","",AJ$227+AJ370-1))</f>
        <v>45869</v>
      </c>
      <c r="AK374" s="403">
        <f ca="1">IF(SUM(AK370:$EI370)=0,"",IF(AK$227="","",AK$227+AK370-1))</f>
        <v>45900</v>
      </c>
      <c r="AL374" s="403">
        <f ca="1">IF(SUM(AL370:$EI370)=0,"",IF(AL$227="","",AL$227+AL370-1))</f>
        <v>45930</v>
      </c>
      <c r="AM374" s="403">
        <f ca="1">IF(SUM(AM370:$EI370)=0,"",IF(AM$227="","",AM$227+AM370-1))</f>
        <v>45961</v>
      </c>
      <c r="AN374" s="403">
        <f ca="1">IF(SUM(AN370:$EI370)=0,"",IF(AN$227="","",AN$227+AN370-1))</f>
        <v>45991</v>
      </c>
      <c r="AO374" s="403">
        <f ca="1">IF(SUM(AO370:$EI370)=0,"",IF(AO$227="","",AO$227+AO370-1))</f>
        <v>46022</v>
      </c>
      <c r="AP374" s="403">
        <f ca="1">IF(SUM(AP370:$EI370)=0,"",IF(AP$227="","",AP$227+AP370-1))</f>
        <v>46053</v>
      </c>
      <c r="AQ374" s="403">
        <f ca="1">IF(SUM(AQ370:$EI370)=0,"",IF(AQ$227="","",AQ$227+AQ370-1))</f>
        <v>46081</v>
      </c>
      <c r="AR374" s="403">
        <f ca="1">IF(SUM(AR370:$EI370)=0,"",IF(AR$227="","",AR$227+AR370-1))</f>
        <v>46112</v>
      </c>
      <c r="AS374" s="403">
        <f ca="1">IF(SUM(AS370:$EI370)=0,"",IF(AS$227="","",AS$227+AS370-1))</f>
        <v>46142</v>
      </c>
      <c r="AT374" s="403">
        <f ca="1">IF(SUM(AT370:$EI370)=0,"",IF(AT$227="","",AT$227+AT370-1))</f>
        <v>46173</v>
      </c>
      <c r="AU374" s="403">
        <f ca="1">IF(SUM(AU370:$EI370)=0,"",IF(AU$227="","",AU$227+AU370-1))</f>
        <v>46203</v>
      </c>
      <c r="AV374" s="403">
        <f ca="1">IF(SUM(AV370:$EI370)=0,"",IF(AV$227="","",AV$227+AV370-1))</f>
        <v>46234</v>
      </c>
      <c r="AW374" s="403">
        <f ca="1">IF(SUM(AW370:$EI370)=0,"",IF(AW$227="","",AW$227+AW370-1))</f>
        <v>46265</v>
      </c>
      <c r="AX374" s="403">
        <f ca="1">IF(SUM(AX370:$EI370)=0,"",IF(AX$227="","",AX$227+AX370-1))</f>
        <v>46295</v>
      </c>
      <c r="AY374" s="403">
        <f ca="1">IF(SUM(AY370:$EI370)=0,"",IF(AY$227="","",AY$227+AY370-1))</f>
        <v>46326</v>
      </c>
      <c r="AZ374" s="403">
        <f ca="1">IF(SUM(AZ370:$EI370)=0,"",IF(AZ$227="","",AZ$227+AZ370-1))</f>
        <v>46356</v>
      </c>
      <c r="BA374" s="403">
        <f ca="1">IF(SUM(BA370:$EI370)=0,"",IF(BA$227="","",BA$227+BA370-1))</f>
        <v>46392</v>
      </c>
      <c r="BB374" s="403">
        <f ca="1">IF(SUM(BB370:$EI370)=0,"",IF(BB$227="","",BB$227+BB370-1))</f>
        <v>46446</v>
      </c>
      <c r="BC374" s="403">
        <f ca="1">IF(SUM(BC370:$EI370)=0,"",IF(BC$227="","",BC$227+BC370-1))</f>
        <v>46477</v>
      </c>
      <c r="BD374" s="403">
        <f ca="1">IF(SUM(BD370:$EI370)=0,"",IF(BD$227="","",BD$227+BD370-1))</f>
        <v>46507</v>
      </c>
      <c r="BE374" s="403">
        <f ca="1">IF(SUM(BE370:$EI370)=0,"",IF(BE$227="","",BE$227+BE370-1))</f>
        <v>46538</v>
      </c>
      <c r="BF374" s="403">
        <f ca="1">IF(SUM(BF370:$EI370)=0,"",IF(BF$227="","",BF$227+BF370-1))</f>
        <v>46568</v>
      </c>
      <c r="BG374" s="403">
        <f ca="1">IF(SUM(BG370:$EI370)=0,"",IF(BG$227="","",BG$227+BG370-1))</f>
        <v>46599</v>
      </c>
      <c r="BH374" s="403">
        <f ca="1">IF(SUM(BH370:$EI370)=0,"",IF(BH$227="","",BH$227+BH370-1))</f>
        <v>46630</v>
      </c>
      <c r="BI374" s="403">
        <f ca="1">IF(SUM(BI370:$EI370)=0,"",IF(BI$227="","",BI$227+BI370-1))</f>
        <v>46660</v>
      </c>
      <c r="BJ374" s="403">
        <f ca="1">IF(SUM(BJ370:$EI370)=0,"",IF(BJ$227="","",BJ$227+BJ370-1))</f>
        <v>46691</v>
      </c>
      <c r="BK374" s="403">
        <f ca="1">IF(SUM(BK370:$EI370)=0,"",IF(BK$227="","",BK$227+BK370-1))</f>
        <v>46721</v>
      </c>
      <c r="BL374" s="403">
        <f ca="1">IF(SUM(BL370:$EI370)=0,"",IF(BL$227="","",BL$227+BL370-1))</f>
        <v>46752</v>
      </c>
      <c r="BM374" s="403">
        <f ca="1">IF(SUM(BM370:$EI370)=0,"",IF(BM$227="","",BM$227+BM370-1))</f>
        <v>46783</v>
      </c>
      <c r="BN374" s="403">
        <f ca="1">IF(SUM(BN370:$EI370)=0,"",IF(BN$227="","",BN$227+BN370-1))</f>
        <v>46812</v>
      </c>
      <c r="BO374" s="403">
        <f ca="1">IF(SUM(BO370:$EI370)=0,"",IF(BO$227="","",BO$227+BO370-1))</f>
        <v>46843</v>
      </c>
      <c r="BP374" s="403">
        <f ca="1">IF(SUM(BP370:$EI370)=0,"",IF(BP$227="","",BP$227+BP370-1))</f>
        <v>46873</v>
      </c>
      <c r="BQ374" s="403">
        <f ca="1">IF(SUM(BQ370:$EI370)=0,"",IF(BQ$227="","",BQ$227+BQ370-1))</f>
        <v>46904</v>
      </c>
      <c r="BR374" s="403">
        <f ca="1">IF(SUM(BR370:$EI370)=0,"",IF(BR$227="","",BR$227+BR370-1))</f>
        <v>46934</v>
      </c>
      <c r="BS374" s="403">
        <f ca="1">IF(SUM(BS370:$EI370)=0,"",IF(BS$227="","",BS$227+BS370-1))</f>
        <v>46965</v>
      </c>
      <c r="BT374" s="403">
        <f ca="1">IF(SUM(BT370:$EI370)=0,"",IF(BT$227="","",BT$227+BT370-1))</f>
        <v>46996</v>
      </c>
      <c r="BU374" s="403">
        <f ca="1">IF(SUM(BU370:$EI370)=0,"",IF(BU$227="","",BU$227+BU370-1))</f>
        <v>47026</v>
      </c>
      <c r="BV374" s="403">
        <f ca="1">IF(SUM(BV370:$EI370)=0,"",IF(BV$227="","",BV$227+BV370-1))</f>
        <v>47057</v>
      </c>
      <c r="BW374" s="403">
        <f ca="1">IF(SUM(BW370:$EI370)=0,"",IF(BW$227="","",BW$227+BW370-1))</f>
        <v>47087</v>
      </c>
      <c r="BX374" s="403">
        <f ca="1">IF(SUM(BX370:$EI370)=0,"",IF(BX$227="","",BX$227+BX370-1))</f>
        <v>47118</v>
      </c>
      <c r="BY374" s="403">
        <f ca="1">IF(SUM(BY370:$EI370)=0,"",IF(BY$227="","",BY$227+BY370-1))</f>
        <v>47143</v>
      </c>
      <c r="BZ374" s="403" t="str">
        <f ca="1">IF(SUM(BZ370:$EI370)=0,"",IF(BZ$227="","",BZ$227+BZ370-1))</f>
        <v/>
      </c>
      <c r="CA374" s="403" t="str">
        <f ca="1">IF(SUM(CA370:$EI370)=0,"",IF(CA$227="","",CA$227+CA370-1))</f>
        <v/>
      </c>
      <c r="CB374" s="403" t="str">
        <f ca="1">IF(SUM(CB370:$EI370)=0,"",IF(CB$227="","",CB$227+CB370-1))</f>
        <v/>
      </c>
      <c r="CC374" s="403" t="str">
        <f ca="1">IF(SUM(CC370:$EI370)=0,"",IF(CC$227="","",CC$227+CC370-1))</f>
        <v/>
      </c>
      <c r="CD374" s="403" t="str">
        <f ca="1">IF(SUM(CD370:$EI370)=0,"",IF(CD$227="","",CD$227+CD370-1))</f>
        <v/>
      </c>
      <c r="CE374" s="403" t="str">
        <f ca="1">IF(SUM(CE370:$EI370)=0,"",IF(CE$227="","",CE$227+CE370-1))</f>
        <v/>
      </c>
      <c r="CF374" s="403" t="str">
        <f ca="1">IF(SUM(CF370:$EI370)=0,"",IF(CF$227="","",CF$227+CF370-1))</f>
        <v/>
      </c>
      <c r="CG374" s="403" t="str">
        <f ca="1">IF(SUM(CG370:$EI370)=0,"",IF(CG$227="","",CG$227+CG370-1))</f>
        <v/>
      </c>
      <c r="CH374" s="403" t="str">
        <f ca="1">IF(SUM(CH370:$EI370)=0,"",IF(CH$227="","",CH$227+CH370-1))</f>
        <v/>
      </c>
      <c r="CI374" s="403" t="str">
        <f ca="1">IF(SUM(CI370:$EI370)=0,"",IF(CI$227="","",CI$227+CI370-1))</f>
        <v/>
      </c>
      <c r="CJ374" s="403" t="str">
        <f ca="1">IF(SUM(CJ370:$EI370)=0,"",IF(CJ$227="","",CJ$227+CJ370-1))</f>
        <v/>
      </c>
      <c r="CK374" s="403" t="str">
        <f ca="1">IF(SUM(CK370:$EI370)=0,"",IF(CK$227="","",CK$227+CK370-1))</f>
        <v/>
      </c>
      <c r="CL374" s="403" t="str">
        <f ca="1">IF(SUM(CL370:$EI370)=0,"",IF(CL$227="","",CL$227+CL370-1))</f>
        <v/>
      </c>
      <c r="CM374" s="403" t="str">
        <f ca="1">IF(SUM(CM370:$EI370)=0,"",IF(CM$227="","",CM$227+CM370-1))</f>
        <v/>
      </c>
      <c r="CN374" s="403" t="str">
        <f ca="1">IF(SUM(CN370:$EI370)=0,"",IF(CN$227="","",CN$227+CN370-1))</f>
        <v/>
      </c>
      <c r="CO374" s="403" t="str">
        <f ca="1">IF(SUM(CO370:$EI370)=0,"",IF(CO$227="","",CO$227+CO370-1))</f>
        <v/>
      </c>
      <c r="CP374" s="403" t="str">
        <f ca="1">IF(SUM(CP370:$EI370)=0,"",IF(CP$227="","",CP$227+CP370-1))</f>
        <v/>
      </c>
      <c r="CQ374" s="403" t="str">
        <f ca="1">IF(SUM(CQ370:$EI370)=0,"",IF(CQ$227="","",CQ$227+CQ370-1))</f>
        <v/>
      </c>
      <c r="CR374" s="403" t="str">
        <f ca="1">IF(SUM(CR370:$EI370)=0,"",IF(CR$227="","",CR$227+CR370-1))</f>
        <v/>
      </c>
      <c r="CS374" s="403" t="str">
        <f ca="1">IF(SUM(CS370:$EI370)=0,"",IF(CS$227="","",CS$227+CS370-1))</f>
        <v/>
      </c>
      <c r="CT374" s="403" t="str">
        <f ca="1">IF(SUM(CT370:$EI370)=0,"",IF(CT$227="","",CT$227+CT370-1))</f>
        <v/>
      </c>
      <c r="CU374" s="403" t="str">
        <f ca="1">IF(SUM(CU370:$EI370)=0,"",IF(CU$227="","",CU$227+CU370-1))</f>
        <v/>
      </c>
      <c r="CV374" s="403" t="str">
        <f ca="1">IF(SUM(CV370:$EI370)=0,"",IF(CV$227="","",CV$227+CV370-1))</f>
        <v/>
      </c>
      <c r="CW374" s="403" t="str">
        <f ca="1">IF(SUM(CW370:$EI370)=0,"",IF(CW$227="","",CW$227+CW370-1))</f>
        <v/>
      </c>
      <c r="CX374" s="403" t="str">
        <f ca="1">IF(SUM(CX370:$EI370)=0,"",IF(CX$227="","",CX$227+CX370-1))</f>
        <v/>
      </c>
      <c r="CY374" s="403" t="str">
        <f ca="1">IF(SUM(CY370:$EI370)=0,"",IF(CY$227="","",CY$227+CY370-1))</f>
        <v/>
      </c>
      <c r="CZ374" s="403" t="str">
        <f ca="1">IF(SUM(CZ370:$EI370)=0,"",IF(CZ$227="","",CZ$227+CZ370-1))</f>
        <v/>
      </c>
      <c r="DA374" s="403" t="str">
        <f ca="1">IF(SUM(DA370:$EI370)=0,"",IF(DA$227="","",DA$227+DA370-1))</f>
        <v/>
      </c>
      <c r="DB374" s="403" t="str">
        <f ca="1">IF(SUM(DB370:$EI370)=0,"",IF(DB$227="","",DB$227+DB370-1))</f>
        <v/>
      </c>
      <c r="DC374" s="403" t="str">
        <f ca="1">IF(SUM(DC370:$EI370)=0,"",IF(DC$227="","",DC$227+DC370-1))</f>
        <v/>
      </c>
      <c r="DD374" s="403" t="str">
        <f ca="1">IF(SUM(DD370:$EI370)=0,"",IF(DD$227="","",DD$227+DD370-1))</f>
        <v/>
      </c>
      <c r="DE374" s="403" t="str">
        <f ca="1">IF(SUM(DE370:$EI370)=0,"",IF(DE$227="","",DE$227+DE370-1))</f>
        <v/>
      </c>
      <c r="DF374" s="403" t="str">
        <f ca="1">IF(SUM(DF370:$EI370)=0,"",IF(DF$227="","",DF$227+DF370-1))</f>
        <v/>
      </c>
      <c r="DG374" s="403" t="str">
        <f ca="1">IF(SUM(DG370:$EI370)=0,"",IF(DG$227="","",DG$227+DG370-1))</f>
        <v/>
      </c>
      <c r="DH374" s="403" t="str">
        <f ca="1">IF(SUM(DH370:$EI370)=0,"",IF(DH$227="","",DH$227+DH370-1))</f>
        <v/>
      </c>
      <c r="DI374" s="403" t="str">
        <f ca="1">IF(SUM(DI370:$EI370)=0,"",IF(DI$227="","",DI$227+DI370-1))</f>
        <v/>
      </c>
      <c r="DJ374" s="403" t="str">
        <f ca="1">IF(SUM(DJ370:$EI370)=0,"",IF(DJ$227="","",DJ$227+DJ370-1))</f>
        <v/>
      </c>
      <c r="DK374" s="403" t="str">
        <f ca="1">IF(SUM(DK370:$EI370)=0,"",IF(DK$227="","",DK$227+DK370-1))</f>
        <v/>
      </c>
      <c r="DL374" s="403" t="str">
        <f ca="1">IF(SUM(DL370:$EI370)=0,"",IF(DL$227="","",DL$227+DL370-1))</f>
        <v/>
      </c>
      <c r="DM374" s="403" t="str">
        <f ca="1">IF(SUM(DM370:$EI370)=0,"",IF(DM$227="","",DM$227+DM370-1))</f>
        <v/>
      </c>
      <c r="DN374" s="403" t="str">
        <f ca="1">IF(SUM(DN370:$EI370)=0,"",IF(DN$227="","",DN$227+DN370-1))</f>
        <v/>
      </c>
      <c r="DO374" s="403" t="str">
        <f ca="1">IF(SUM(DO370:$EI370)=0,"",IF(DO$227="","",DO$227+DO370-1))</f>
        <v/>
      </c>
      <c r="DP374" s="403" t="str">
        <f ca="1">IF(SUM(DP370:$EI370)=0,"",IF(DP$227="","",DP$227+DP370-1))</f>
        <v/>
      </c>
      <c r="DQ374" s="403" t="str">
        <f ca="1">IF(SUM(DQ370:$EI370)=0,"",IF(DQ$227="","",DQ$227+DQ370-1))</f>
        <v/>
      </c>
      <c r="DR374" s="403" t="str">
        <f ca="1">IF(SUM(DR370:$EI370)=0,"",IF(DR$227="","",DR$227+DR370-1))</f>
        <v/>
      </c>
      <c r="DS374" s="403" t="str">
        <f ca="1">IF(SUM(DS370:$EI370)=0,"",IF(DS$227="","",DS$227+DS370-1))</f>
        <v/>
      </c>
      <c r="DT374" s="403" t="str">
        <f ca="1">IF(SUM(DT370:$EI370)=0,"",IF(DT$227="","",DT$227+DT370-1))</f>
        <v/>
      </c>
      <c r="DU374" s="403" t="str">
        <f ca="1">IF(SUM(DU370:$EI370)=0,"",IF(DU$227="","",DU$227+DU370-1))</f>
        <v/>
      </c>
      <c r="DV374" s="403" t="str">
        <f ca="1">IF(SUM(DV370:$EI370)=0,"",IF(DV$227="","",DV$227+DV370-1))</f>
        <v/>
      </c>
      <c r="DW374" s="403" t="str">
        <f ca="1">IF(SUM(DW370:$EI370)=0,"",IF(DW$227="","",DW$227+DW370-1))</f>
        <v/>
      </c>
      <c r="DX374" s="403" t="str">
        <f ca="1">IF(SUM(DX370:$EI370)=0,"",IF(DX$227="","",DX$227+DX370-1))</f>
        <v/>
      </c>
      <c r="DY374" s="403" t="str">
        <f ca="1">IF(SUM(DY370:$EI370)=0,"",IF(DY$227="","",DY$227+DY370-1))</f>
        <v/>
      </c>
      <c r="DZ374" s="403" t="str">
        <f ca="1">IF(SUM(DZ370:$EI370)=0,"",IF(DZ$227="","",DZ$227+DZ370-1))</f>
        <v/>
      </c>
      <c r="EA374" s="403" t="str">
        <f ca="1">IF(SUM(EA370:$EI370)=0,"",IF(EA$227="","",EA$227+EA370-1))</f>
        <v/>
      </c>
      <c r="EB374" s="403" t="str">
        <f ca="1">IF(SUM(EB370:$EI370)=0,"",IF(EB$227="","",EB$227+EB370-1))</f>
        <v/>
      </c>
      <c r="EC374" s="403" t="str">
        <f ca="1">IF(SUM(EC370:$EI370)=0,"",IF(EC$227="","",EC$227+EC370-1))</f>
        <v/>
      </c>
      <c r="ED374" s="403" t="str">
        <f ca="1">IF(SUM(ED370:$EI370)=0,"",IF(ED$227="","",ED$227+ED370-1))</f>
        <v/>
      </c>
      <c r="EE374" s="403" t="str">
        <f ca="1">IF(SUM(EE370:$EI370)=0,"",IF(EE$227="","",EE$227+EE370-1))</f>
        <v/>
      </c>
      <c r="EF374" s="403" t="str">
        <f ca="1">IF(SUM(EF370:$EI370)=0,"",IF(EF$227="","",EF$227+EF370-1))</f>
        <v/>
      </c>
      <c r="EG374" s="403" t="str">
        <f ca="1">IF(SUM(EG370:$EI370)=0,"",IF(EG$227="","",EG$227+EG370-1))</f>
        <v/>
      </c>
      <c r="EH374" s="403" t="str">
        <f ca="1">IF(SUM(EH370:$EI370)=0,"",IF(EH$227="","",EH$227+EH370-1))</f>
        <v/>
      </c>
      <c r="EI374" s="403" t="str">
        <f ca="1">IF(SUM(EI370:$EI370)=0,"",IF(EI$227="","",EI$227+EI370-1))</f>
        <v/>
      </c>
    </row>
    <row r="375" spans="1:141" s="321" customFormat="1" outlineLevel="1" collapsed="1">
      <c r="A375" s="332"/>
      <c r="B375" s="332"/>
      <c r="C375" s="317" t="s">
        <v>281</v>
      </c>
      <c r="D375" s="317" t="s">
        <v>1245</v>
      </c>
      <c r="E375" s="400">
        <f>IF(ГРП!B39=0,длительность!F104,ГРП!B39)</f>
        <v>0</v>
      </c>
      <c r="F375" s="318">
        <f>E375-SUM(G375:EJ375)</f>
        <v>0</v>
      </c>
      <c r="G375" s="401"/>
      <c r="H375" s="401">
        <f>IF(SUM($G375:G375)&gt;=$E375,0,IF($E375-SUM($G375:G375)&gt;H376,H376,$E375-SUM($G376:G376)))</f>
        <v>0</v>
      </c>
      <c r="I375" s="401">
        <f>IF(SUM($G375:H375)&gt;=$E375,0,IF($E375-SUM($G375:H375)&gt;I376,I376,$E375-SUM($G376:H376)))</f>
        <v>0</v>
      </c>
      <c r="J375" s="401">
        <f>IF(SUM($G375:I375)&gt;=$E375,0,IF($E375-SUM($G375:I375)&gt;J376,J376,$E375-SUM($G376:I376)))</f>
        <v>0</v>
      </c>
      <c r="K375" s="401">
        <f>IF(SUM($G375:J375)&gt;=$E375,0,IF($E375-SUM($G375:J375)&gt;K376,K376,$E375-SUM($G376:J376)))</f>
        <v>0</v>
      </c>
      <c r="L375" s="401">
        <f>IF(SUM($G375:K375)&gt;=$E375,0,IF($E375-SUM($G375:K375)&gt;L376,L376,$E375-SUM($G376:K376)))</f>
        <v>0</v>
      </c>
      <c r="M375" s="401">
        <f>IF(SUM($G375:L375)&gt;=$E375,0,IF($E375-SUM($G375:L375)&gt;M376,M376,$E375-SUM($G376:L376)))</f>
        <v>0</v>
      </c>
      <c r="N375" s="401">
        <f>IF(SUM($G375:M375)&gt;=$E375,0,IF($E375-SUM($G375:M375)&gt;N376,N376,$E375-SUM($G376:M376)))</f>
        <v>0</v>
      </c>
      <c r="O375" s="401">
        <f>IF(SUM($G375:N375)&gt;=$E375,0,IF($E375-SUM($G375:N375)&gt;O376,O376,$E375-SUM($G376:N376)))</f>
        <v>0</v>
      </c>
      <c r="P375" s="401">
        <f>IF(SUM($G375:O375)&gt;=$E375,0,IF($E375-SUM($G375:O375)&gt;P376,P376,$E375-SUM($G376:O376)))</f>
        <v>0</v>
      </c>
      <c r="Q375" s="401">
        <f>IF(SUM($G375:P375)&gt;=$E375,0,IF($E375-SUM($G375:P375)&gt;Q376,Q376,$E375-SUM($G376:P376)))</f>
        <v>0</v>
      </c>
      <c r="R375" s="401">
        <f>IF(SUM($G375:Q375)&gt;=$E375,0,IF($E375-SUM($G375:Q375)&gt;R376,R376,$E375-SUM($G376:Q376)))</f>
        <v>0</v>
      </c>
      <c r="S375" s="401">
        <f>IF(SUM($G375:R375)&gt;=$E375,0,IF($E375-SUM($G375:R375)&gt;S376,S376,$E375-SUM($G376:R376)))</f>
        <v>0</v>
      </c>
      <c r="T375" s="401">
        <f>IF(SUM($G375:S375)&gt;=$E375,0,IF($E375-SUM($G375:S375)&gt;T376,T376,$E375-SUM($G376:S376)))</f>
        <v>0</v>
      </c>
      <c r="U375" s="401">
        <f>IF(SUM($G375:T375)&gt;=$E375,0,IF($E375-SUM($G375:T375)&gt;U376,U376,$E375-SUM($G376:T376)))</f>
        <v>0</v>
      </c>
      <c r="V375" s="401">
        <f>IF(SUM($G375:U375)&gt;=$E375,0,IF($E375-SUM($G375:U375)&gt;V376,V376,$E375-SUM($G376:U376)))</f>
        <v>0</v>
      </c>
      <c r="W375" s="401">
        <f>IF(SUM($G375:V375)&gt;=$E375,0,IF($E375-SUM($G375:V375)&gt;W376,W376,$E375-SUM($G376:V376)))</f>
        <v>0</v>
      </c>
      <c r="X375" s="401">
        <f>IF(SUM($G375:W375)&gt;=$E375,0,IF($E375-SUM($G375:W375)&gt;X376,X376,$E375-SUM($G376:W376)))</f>
        <v>0</v>
      </c>
      <c r="Y375" s="401">
        <f>IF(SUM($G375:X375)&gt;=$E375,0,IF($E375-SUM($G375:X375)&gt;Y376,Y376,$E375-SUM($G376:X376)))</f>
        <v>0</v>
      </c>
      <c r="Z375" s="401">
        <f>IF(SUM($G375:Y375)&gt;=$E375,0,IF($E375-SUM($G375:Y375)&gt;Z376,Z376,$E375-SUM($G376:Y376)))</f>
        <v>0</v>
      </c>
      <c r="AA375" s="401">
        <f>IF(SUM($G375:Z375)&gt;=$E375,0,IF($E375-SUM($G375:Z375)&gt;AA376,AA376,$E375-SUM($G376:Z376)))</f>
        <v>0</v>
      </c>
      <c r="AB375" s="401">
        <f>IF(SUM($G375:AA375)&gt;=$E375,0,IF($E375-SUM($G375:AA375)&gt;AB376,AB376,$E375-SUM($G376:AA376)))</f>
        <v>0</v>
      </c>
      <c r="AC375" s="401">
        <f>IF(SUM($G375:AB375)&gt;=$E375,0,IF($E375-SUM($G375:AB375)&gt;AC376,AC376,$E375-SUM($G376:AB376)))</f>
        <v>0</v>
      </c>
      <c r="AD375" s="401">
        <f>IF(SUM($G375:AC375)&gt;=$E375,0,IF($E375-SUM($G375:AC375)&gt;AD376,AD376,$E375-SUM($G376:AC376)))</f>
        <v>0</v>
      </c>
      <c r="AE375" s="401">
        <f>IF(SUM($G375:AD375)&gt;=$E375,0,IF($E375-SUM($G375:AD375)&gt;AE376,AE376,$E375-SUM($G376:AD376)))</f>
        <v>0</v>
      </c>
      <c r="AF375" s="401">
        <f>IF(SUM($G375:AE375)&gt;=$E375,0,IF($E375-SUM($G375:AE375)&gt;AF376,AF376,$E375-SUM($G376:AE376)))</f>
        <v>0</v>
      </c>
      <c r="AG375" s="401">
        <f>IF(SUM($G375:AF375)&gt;=$E375,0,IF($E375-SUM($G375:AF375)&gt;AG376,AG376,$E375-SUM($G376:AF376)))</f>
        <v>0</v>
      </c>
      <c r="AH375" s="401">
        <f>IF(SUM($G375:AG375)&gt;=$E375,0,IF($E375-SUM($G375:AG375)&gt;AH376,AH376,$E375-SUM($G376:AG376)))</f>
        <v>0</v>
      </c>
      <c r="AI375" s="401">
        <f>IF(SUM($G375:AH375)&gt;=$E375,0,IF($E375-SUM($G375:AH375)&gt;AI376,AI376,$E375-SUM($G376:AH376)))</f>
        <v>0</v>
      </c>
      <c r="AJ375" s="401">
        <f>IF(SUM($G375:AI375)&gt;=$E375,0,IF($E375-SUM($G375:AI375)&gt;AJ376,AJ376,$E375-SUM($G376:AI376)))</f>
        <v>0</v>
      </c>
      <c r="AK375" s="401">
        <f>IF(SUM($G375:AJ375)&gt;=$E375,0,IF($E375-SUM($G375:AJ375)&gt;AK376,AK376,$E375-SUM($G376:AJ376)))</f>
        <v>0</v>
      </c>
      <c r="AL375" s="401">
        <f>IF(SUM($G375:AK375)&gt;=$E375,0,IF($E375-SUM($G375:AK375)&gt;AL376,AL376,$E375-SUM($G376:AK376)))</f>
        <v>0</v>
      </c>
      <c r="AM375" s="401">
        <f>IF(SUM($G375:AL375)&gt;=$E375,0,IF($E375-SUM($G375:AL375)&gt;AM376,AM376,$E375-SUM($G376:AL376)))</f>
        <v>0</v>
      </c>
      <c r="AN375" s="401">
        <f>IF(SUM($G375:AM375)&gt;=$E375,0,IF($E375-SUM($G375:AM375)&gt;AN376,AN376,$E375-SUM($G376:AM376)))</f>
        <v>0</v>
      </c>
      <c r="AO375" s="401">
        <f>IF(SUM($G375:AN375)&gt;=$E375,0,IF($E375-SUM($G375:AN375)&gt;AO376,AO376,$E375-SUM($G376:AN376)))</f>
        <v>0</v>
      </c>
      <c r="AP375" s="401">
        <f>IF(SUM($G375:AO375)&gt;=$E375,0,IF($E375-SUM($G375:AO375)&gt;AP376,AP376,$E375-SUM($G376:AO376)))</f>
        <v>0</v>
      </c>
      <c r="AQ375" s="401">
        <f>IF(SUM($G375:AP375)&gt;=$E375,0,IF($E375-SUM($G375:AP375)&gt;AQ376,AQ376,$E375-SUM($G376:AP376)))</f>
        <v>0</v>
      </c>
      <c r="AR375" s="401">
        <f>IF(SUM($G375:AQ375)&gt;=$E375,0,IF($E375-SUM($G375:AQ375)&gt;AR376,AR376,$E375-SUM($G376:AQ376)))</f>
        <v>0</v>
      </c>
      <c r="AS375" s="401">
        <f>IF(SUM($G375:AR375)&gt;=$E375,0,IF($E375-SUM($G375:AR375)&gt;AS376,AS376,$E375-SUM($G376:AR376)))</f>
        <v>0</v>
      </c>
      <c r="AT375" s="401">
        <f>IF(SUM($G375:AS375)&gt;=$E375,0,IF($E375-SUM($G375:AS375)&gt;AT376,AT376,$E375-SUM($G376:AS376)))</f>
        <v>0</v>
      </c>
      <c r="AU375" s="401">
        <f>IF(SUM($G375:AT375)&gt;=$E375,0,IF($E375-SUM($G375:AT375)&gt;AU376,AU376,$E375-SUM($G376:AT376)))</f>
        <v>0</v>
      </c>
      <c r="AV375" s="401">
        <f>IF(SUM($G375:AU375)&gt;=$E375,0,IF($E375-SUM($G375:AU375)&gt;AV376,AV376,$E375-SUM($G376:AU376)))</f>
        <v>0</v>
      </c>
      <c r="AW375" s="401">
        <f>IF(SUM($G375:AV375)&gt;=$E375,0,IF($E375-SUM($G375:AV375)&gt;AW376,AW376,$E375-SUM($G376:AV376)))</f>
        <v>0</v>
      </c>
      <c r="AX375" s="401">
        <f>IF(SUM($G375:AW375)&gt;=$E375,0,IF($E375-SUM($G375:AW375)&gt;AX376,AX376,$E375-SUM($G376:AW376)))</f>
        <v>0</v>
      </c>
      <c r="AY375" s="401">
        <f>IF(SUM($G375:AX375)&gt;=$E375,0,IF($E375-SUM($G375:AX375)&gt;AY376,AY376,$E375-SUM($G376:AX376)))</f>
        <v>0</v>
      </c>
      <c r="AZ375" s="401">
        <f>IF(SUM($G375:AY375)&gt;=$E375,0,IF($E375-SUM($G375:AY375)&gt;AZ376,AZ376,$E375-SUM($G376:AY376)))</f>
        <v>0</v>
      </c>
      <c r="BA375" s="401">
        <f>IF(SUM($G375:AZ375)&gt;=$E375,0,IF($E375-SUM($G375:AZ375)&gt;BA376,BA376,$E375-SUM($G376:AZ376)))</f>
        <v>0</v>
      </c>
      <c r="BB375" s="401">
        <f>IF(SUM($G375:BA375)&gt;=$E375,0,IF($E375-SUM($G375:BA375)&gt;BB376,BB376,$E375-SUM($G376:BA376)))</f>
        <v>0</v>
      </c>
      <c r="BC375" s="401">
        <f>IF(SUM($G375:BB375)&gt;=$E375,0,IF($E375-SUM($G375:BB375)&gt;BC376,BC376,$E375-SUM($G376:BB376)))</f>
        <v>0</v>
      </c>
      <c r="BD375" s="401">
        <f>IF(SUM($G375:BC375)&gt;=$E375,0,IF($E375-SUM($G375:BC375)&gt;BD376,BD376,$E375-SUM($G376:BC376)))</f>
        <v>0</v>
      </c>
      <c r="BE375" s="401">
        <f>IF(SUM($G375:BD375)&gt;=$E375,0,IF($E375-SUM($G375:BD375)&gt;BE376,BE376,$E375-SUM($G376:BD376)))</f>
        <v>0</v>
      </c>
      <c r="BF375" s="401">
        <f>IF(SUM($G375:BE375)&gt;=$E375,0,IF($E375-SUM($G375:BE375)&gt;BF376,BF376,$E375-SUM($G376:BE376)))</f>
        <v>0</v>
      </c>
      <c r="BG375" s="401">
        <f>IF(SUM($G375:BF375)&gt;=$E375,0,IF($E375-SUM($G375:BF375)&gt;BG376,BG376,$E375-SUM($G376:BF376)))</f>
        <v>0</v>
      </c>
      <c r="BH375" s="401">
        <f>IF(SUM($G375:BG375)&gt;=$E375,0,IF($E375-SUM($G375:BG375)&gt;BH376,BH376,$E375-SUM($G376:BG376)))</f>
        <v>0</v>
      </c>
      <c r="BI375" s="401">
        <f>IF(SUM($G375:BH375)&gt;=$E375,0,IF($E375-SUM($G375:BH375)&gt;BI376,BI376,$E375-SUM($G376:BH376)))</f>
        <v>0</v>
      </c>
      <c r="BJ375" s="401">
        <f>IF(SUM($G375:BI375)&gt;=$E375,0,IF($E375-SUM($G375:BI375)&gt;BJ376,BJ376,$E375-SUM($G376:BI376)))</f>
        <v>0</v>
      </c>
      <c r="BK375" s="401">
        <f>IF(SUM($G375:BJ375)&gt;=$E375,0,IF($E375-SUM($G375:BJ375)&gt;BK376,BK376,$E375-SUM($G376:BJ376)))</f>
        <v>0</v>
      </c>
      <c r="BL375" s="401">
        <f>IF(SUM($G375:BK375)&gt;=$E375,0,IF($E375-SUM($G375:BK375)&gt;BL376,BL376,$E375-SUM($G376:BK376)))</f>
        <v>0</v>
      </c>
      <c r="BM375" s="401">
        <f>IF(SUM($G375:BL375)&gt;=$E375,0,IF($E375-SUM($G375:BL375)&gt;BM376,BM376,$E375-SUM($G376:BL376)))</f>
        <v>0</v>
      </c>
      <c r="BN375" s="401">
        <f>IF(SUM($G375:BM375)&gt;=$E375,0,IF($E375-SUM($G375:BM375)&gt;BN376,BN376,$E375-SUM($G376:BM376)))</f>
        <v>0</v>
      </c>
      <c r="BO375" s="401">
        <f>IF(SUM($G375:BN375)&gt;=$E375,0,IF($E375-SUM($G375:BN375)&gt;BO376,BO376,$E375-SUM($G376:BN376)))</f>
        <v>0</v>
      </c>
      <c r="BP375" s="401">
        <f>IF(SUM($G375:BO375)&gt;=$E375,0,IF($E375-SUM($G375:BO375)&gt;BP376,BP376,$E375-SUM($G376:BO376)))</f>
        <v>0</v>
      </c>
      <c r="BQ375" s="401">
        <f>IF(SUM($G375:BP375)&gt;=$E375,0,IF($E375-SUM($G375:BP375)&gt;BQ376,BQ376,$E375-SUM($G376:BP376)))</f>
        <v>0</v>
      </c>
      <c r="BR375" s="401">
        <f>IF(SUM($G375:BQ375)&gt;=$E375,0,IF($E375-SUM($G375:BQ375)&gt;BR376,BR376,$E375-SUM($G376:BQ376)))</f>
        <v>0</v>
      </c>
      <c r="BS375" s="401">
        <f>IF(SUM($G375:BR375)&gt;=$E375,0,IF($E375-SUM($G375:BR375)&gt;BS376,BS376,$E375-SUM($G376:BR376)))</f>
        <v>0</v>
      </c>
      <c r="BT375" s="401">
        <f>IF(SUM($G375:BS375)&gt;=$E375,0,IF($E375-SUM($G375:BS375)&gt;BT376,BT376,$E375-SUM($G376:BS376)))</f>
        <v>0</v>
      </c>
      <c r="BU375" s="401">
        <f>IF(SUM($G375:BT375)&gt;=$E375,0,IF($E375-SUM($G375:BT375)&gt;BU376,BU376,$E375-SUM($G376:BT376)))</f>
        <v>0</v>
      </c>
      <c r="BV375" s="401">
        <f>IF(SUM($G375:BU375)&gt;=$E375,0,IF($E375-SUM($G375:BU375)&gt;BV376,BV376,$E375-SUM($G376:BU376)))</f>
        <v>0</v>
      </c>
      <c r="BW375" s="401">
        <f>IF(SUM($G375:BV375)&gt;=$E375,0,IF($E375-SUM($G375:BV375)&gt;BW376,BW376,$E375-SUM($G376:BV376)))</f>
        <v>0</v>
      </c>
      <c r="BX375" s="401">
        <f>IF(SUM($G375:BW375)&gt;=$E375,0,IF($E375-SUM($G375:BW375)&gt;BX376,BX376,$E375-SUM($G376:BW376)))</f>
        <v>0</v>
      </c>
      <c r="BY375" s="401">
        <f>IF(SUM($G375:BX375)&gt;=$E375,0,IF($E375-SUM($G375:BX375)&gt;BY376,BY376,$E375-SUM($G376:BX376)))</f>
        <v>0</v>
      </c>
      <c r="BZ375" s="401">
        <f>IF(SUM($G375:BY375)&gt;=$E375,0,IF($E375-SUM($G375:BY375)&gt;BZ376,BZ376,$E375-SUM($G376:BY376)))</f>
        <v>0</v>
      </c>
      <c r="CA375" s="401">
        <f>IF(SUM($G375:BZ375)&gt;=$E375,0,IF($E375-SUM($G375:BZ375)&gt;CA376,CA376,$E375-SUM($G376:BZ376)))</f>
        <v>0</v>
      </c>
      <c r="CB375" s="401">
        <f>IF(SUM($G375:CA375)&gt;=$E375,0,IF($E375-SUM($G375:CA375)&gt;CB376,CB376,$E375-SUM($G376:CA376)))</f>
        <v>0</v>
      </c>
      <c r="CC375" s="401">
        <f>IF(SUM($G375:CB375)&gt;=$E375,0,IF($E375-SUM($G375:CB375)&gt;CC376,CC376,$E375-SUM($G376:CB376)))</f>
        <v>0</v>
      </c>
      <c r="CD375" s="401">
        <f>IF(SUM($G375:CC375)&gt;=$E375,0,IF($E375-SUM($G375:CC375)&gt;CD376,CD376,$E375-SUM($G376:CC376)))</f>
        <v>0</v>
      </c>
      <c r="CE375" s="401">
        <f>IF(SUM($G375:CD375)&gt;=$E375,0,IF($E375-SUM($G375:CD375)&gt;CE376,CE376,$E375-SUM($G376:CD376)))</f>
        <v>0</v>
      </c>
      <c r="CF375" s="401">
        <f>IF(SUM($G375:CE375)&gt;=$E375,0,IF($E375-SUM($G375:CE375)&gt;CF376,CF376,$E375-SUM($G376:CE376)))</f>
        <v>0</v>
      </c>
      <c r="CG375" s="401">
        <f>IF(SUM($G375:CF375)&gt;=$E375,0,IF($E375-SUM($G375:CF375)&gt;CG376,CG376,$E375-SUM($G376:CF376)))</f>
        <v>0</v>
      </c>
      <c r="CH375" s="401">
        <f>IF(SUM($G375:CG375)&gt;=$E375,0,IF($E375-SUM($G375:CG375)&gt;CH376,CH376,$E375-SUM($G376:CG376)))</f>
        <v>0</v>
      </c>
      <c r="CI375" s="401">
        <f>IF(SUM($G375:CH375)&gt;=$E375,0,IF($E375-SUM($G375:CH375)&gt;CI376,CI376,$E375-SUM($G376:CH376)))</f>
        <v>0</v>
      </c>
      <c r="CJ375" s="401">
        <f>IF(SUM($G375:CI375)&gt;=$E375,0,IF($E375-SUM($G375:CI375)&gt;CJ376,CJ376,$E375-SUM($G376:CI376)))</f>
        <v>0</v>
      </c>
      <c r="CK375" s="401">
        <f>IF(SUM($G375:CJ375)&gt;=$E375,0,IF($E375-SUM($G375:CJ375)&gt;CK376,CK376,$E375-SUM($G376:CJ376)))</f>
        <v>0</v>
      </c>
      <c r="CL375" s="401">
        <f>IF(SUM($G375:CK375)&gt;=$E375,0,IF($E375-SUM($G375:CK375)&gt;CL376,CL376,$E375-SUM($G376:CK376)))</f>
        <v>0</v>
      </c>
      <c r="CM375" s="401">
        <f>IF(SUM($G375:CL375)&gt;=$E375,0,IF($E375-SUM($G375:CL375)&gt;CM376,CM376,$E375-SUM($G376:CL376)))</f>
        <v>0</v>
      </c>
      <c r="CN375" s="401">
        <f>IF(SUM($G375:CM375)&gt;=$E375,0,IF($E375-SUM($G375:CM375)&gt;CN376,CN376,$E375-SUM($G376:CM376)))</f>
        <v>0</v>
      </c>
      <c r="CO375" s="401">
        <f>IF(SUM($G375:CN375)&gt;=$E375,0,IF($E375-SUM($G375:CN375)&gt;CO376,CO376,$E375-SUM($G376:CN376)))</f>
        <v>0</v>
      </c>
      <c r="CP375" s="401">
        <f>IF(SUM($G375:CO375)&gt;=$E375,0,IF($E375-SUM($G375:CO375)&gt;CP376,CP376,$E375-SUM($G376:CO376)))</f>
        <v>0</v>
      </c>
      <c r="CQ375" s="401">
        <f>IF(SUM($G375:CP375)&gt;=$E375,0,IF($E375-SUM($G375:CP375)&gt;CQ376,CQ376,$E375-SUM($G376:CP376)))</f>
        <v>0</v>
      </c>
      <c r="CR375" s="401">
        <f>IF(SUM($G375:CQ375)&gt;=$E375,0,IF($E375-SUM($G375:CQ375)&gt;CR376,CR376,$E375-SUM($G376:CQ376)))</f>
        <v>0</v>
      </c>
      <c r="CS375" s="401">
        <f>IF(SUM($G375:CR375)&gt;=$E375,0,IF($E375-SUM($G375:CR375)&gt;CS376,CS376,$E375-SUM($G376:CR376)))</f>
        <v>0</v>
      </c>
      <c r="CT375" s="401">
        <f>IF(SUM($G375:CS375)&gt;=$E375,0,IF($E375-SUM($G375:CS375)&gt;CT376,CT376,$E375-SUM($G376:CS376)))</f>
        <v>0</v>
      </c>
      <c r="CU375" s="401">
        <f>IF(SUM($G375:CT375)&gt;=$E375,0,IF($E375-SUM($G375:CT375)&gt;CU376,CU376,$E375-SUM($G376:CT376)))</f>
        <v>0</v>
      </c>
      <c r="CV375" s="401">
        <f>IF(SUM($G375:CU375)&gt;=$E375,0,IF($E375-SUM($G375:CU375)&gt;CV376,CV376,$E375-SUM($G376:CU376)))</f>
        <v>0</v>
      </c>
      <c r="CW375" s="401">
        <f>IF(SUM($G375:CV375)&gt;=$E375,0,IF($E375-SUM($G375:CV375)&gt;CW376,CW376,$E375-SUM($G376:CV376)))</f>
        <v>0</v>
      </c>
      <c r="CX375" s="401">
        <f>IF(SUM($G375:CW375)&gt;=$E375,0,IF($E375-SUM($G375:CW375)&gt;CX376,CX376,$E375-SUM($G376:CW376)))</f>
        <v>0</v>
      </c>
      <c r="CY375" s="401">
        <f>IF(SUM($G375:CX375)&gt;=$E375,0,IF($E375-SUM($G375:CX375)&gt;CY376,CY376,$E375-SUM($G376:CX376)))</f>
        <v>0</v>
      </c>
      <c r="CZ375" s="401">
        <f>IF(SUM($G375:CY375)&gt;=$E375,0,IF($E375-SUM($G375:CY375)&gt;CZ376,CZ376,$E375-SUM($G376:CY376)))</f>
        <v>0</v>
      </c>
      <c r="DA375" s="401">
        <f>IF(SUM($G375:CZ375)&gt;=$E375,0,IF($E375-SUM($G375:CZ375)&gt;DA376,DA376,$E375-SUM($G376:CZ376)))</f>
        <v>0</v>
      </c>
      <c r="DB375" s="401">
        <f>IF(SUM($G375:DA375)&gt;=$E375,0,IF($E375-SUM($G375:DA375)&gt;DB376,DB376,$E375-SUM($G376:DA376)))</f>
        <v>0</v>
      </c>
      <c r="DC375" s="401">
        <f>IF(SUM($G375:DB375)&gt;=$E375,0,IF($E375-SUM($G375:DB375)&gt;DC376,DC376,$E375-SUM($G376:DB376)))</f>
        <v>0</v>
      </c>
      <c r="DD375" s="401">
        <f>IF(SUM($G375:DC375)&gt;=$E375,0,IF($E375-SUM($G375:DC375)&gt;DD376,DD376,$E375-SUM($G376:DC376)))</f>
        <v>0</v>
      </c>
      <c r="DE375" s="401">
        <f>IF(SUM($G375:DD375)&gt;=$E375,0,IF($E375-SUM($G375:DD375)&gt;DE376,DE376,$E375-SUM($G376:DD376)))</f>
        <v>0</v>
      </c>
      <c r="DF375" s="401">
        <f>IF(SUM($G375:DE375)&gt;=$E375,0,IF($E375-SUM($G375:DE375)&gt;DF376,DF376,$E375-SUM($G376:DE376)))</f>
        <v>0</v>
      </c>
      <c r="DG375" s="401">
        <f>IF(SUM($G375:DF375)&gt;=$E375,0,IF($E375-SUM($G375:DF375)&gt;DG376,DG376,$E375-SUM($G376:DF376)))</f>
        <v>0</v>
      </c>
      <c r="DH375" s="401">
        <f>IF(SUM($G375:DG375)&gt;=$E375,0,IF($E375-SUM($G375:DG375)&gt;DH376,DH376,$E375-SUM($G376:DG376)))</f>
        <v>0</v>
      </c>
      <c r="DI375" s="401">
        <f>IF(SUM($G375:DH375)&gt;=$E375,0,IF($E375-SUM($G375:DH375)&gt;DI376,DI376,$E375-SUM($G376:DH376)))</f>
        <v>0</v>
      </c>
      <c r="DJ375" s="401">
        <f>IF(SUM($G375:DI375)&gt;=$E375,0,IF($E375-SUM($G375:DI375)&gt;DJ376,DJ376,$E375-SUM($G376:DI376)))</f>
        <v>0</v>
      </c>
      <c r="DK375" s="401">
        <f>IF(SUM($G375:DJ375)&gt;=$E375,0,IF($E375-SUM($G375:DJ375)&gt;DK376,DK376,$E375-SUM($G376:DJ376)))</f>
        <v>0</v>
      </c>
      <c r="DL375" s="401">
        <f>IF(SUM($G375:DK375)&gt;=$E375,0,IF($E375-SUM($G375:DK375)&gt;DL376,DL376,$E375-SUM($G376:DK376)))</f>
        <v>0</v>
      </c>
      <c r="DM375" s="401">
        <f>IF(SUM($G375:DL375)&gt;=$E375,0,IF($E375-SUM($G375:DL375)&gt;DM376,DM376,$E375-SUM($G376:DL376)))</f>
        <v>0</v>
      </c>
      <c r="DN375" s="401">
        <f>IF(SUM($G375:DM375)&gt;=$E375,0,IF($E375-SUM($G375:DM375)&gt;DN376,DN376,$E375-SUM($G376:DM376)))</f>
        <v>0</v>
      </c>
      <c r="DO375" s="401">
        <f>IF(SUM($G375:DN375)&gt;=$E375,0,IF($E375-SUM($G375:DN375)&gt;DO376,DO376,$E375-SUM($G376:DN376)))</f>
        <v>0</v>
      </c>
      <c r="DP375" s="401">
        <f>IF(SUM($G375:DO375)&gt;=$E375,0,IF($E375-SUM($G375:DO375)&gt;DP376,DP376,$E375-SUM($G376:DO376)))</f>
        <v>0</v>
      </c>
      <c r="DQ375" s="401">
        <f>IF(SUM($G375:DP375)&gt;=$E375,0,IF($E375-SUM($G375:DP375)&gt;DQ376,DQ376,$E375-SUM($G376:DP376)))</f>
        <v>0</v>
      </c>
      <c r="DR375" s="401">
        <f>IF(SUM($G375:DQ375)&gt;=$E375,0,IF($E375-SUM($G375:DQ375)&gt;DR376,DR376,$E375-SUM($G376:DQ376)))</f>
        <v>0</v>
      </c>
      <c r="DS375" s="401">
        <f>IF(SUM($G375:DR375)&gt;=$E375,0,IF($E375-SUM($G375:DR375)&gt;DS376,DS376,$E375-SUM($G376:DR376)))</f>
        <v>0</v>
      </c>
      <c r="DT375" s="401">
        <f>IF(SUM($G375:DS375)&gt;=$E375,0,IF($E375-SUM($G375:DS375)&gt;DT376,DT376,$E375-SUM($G376:DS376)))</f>
        <v>0</v>
      </c>
      <c r="DU375" s="401">
        <f>IF(SUM($G375:DT375)&gt;=$E375,0,IF($E375-SUM($G375:DT375)&gt;DU376,DU376,$E375-SUM($G376:DT376)))</f>
        <v>0</v>
      </c>
      <c r="DV375" s="401">
        <f>IF(SUM($G375:DU375)&gt;=$E375,0,IF($E375-SUM($G375:DU375)&gt;DV376,DV376,$E375-SUM($G376:DU376)))</f>
        <v>0</v>
      </c>
      <c r="DW375" s="401">
        <f>IF(SUM($G375:DV375)&gt;=$E375,0,IF($E375-SUM($G375:DV375)&gt;DW376,DW376,$E375-SUM($G376:DV376)))</f>
        <v>0</v>
      </c>
      <c r="DX375" s="401">
        <f>IF(SUM($G375:DW375)&gt;=$E375,0,IF($E375-SUM($G375:DW375)&gt;DX376,DX376,$E375-SUM($G376:DW376)))</f>
        <v>0</v>
      </c>
      <c r="DY375" s="401">
        <f>IF(SUM($G375:DX375)&gt;=$E375,0,IF($E375-SUM($G375:DX375)&gt;DY376,DY376,$E375-SUM($G376:DX376)))</f>
        <v>0</v>
      </c>
      <c r="DZ375" s="401">
        <f>IF(SUM($G375:DY375)&gt;=$E375,0,IF($E375-SUM($G375:DY375)&gt;DZ376,DZ376,$E375-SUM($G376:DY376)))</f>
        <v>0</v>
      </c>
      <c r="EA375" s="401">
        <f>IF(SUM($G375:DZ375)&gt;=$E375,0,IF($E375-SUM($G375:DZ375)&gt;EA376,EA376,$E375-SUM($G376:DZ376)))</f>
        <v>0</v>
      </c>
      <c r="EB375" s="401">
        <f>IF(SUM($G375:EA375)&gt;=$E375,0,IF($E375-SUM($G375:EA375)&gt;EB376,EB376,$E375-SUM($G376:EA376)))</f>
        <v>0</v>
      </c>
      <c r="EC375" s="401">
        <f>IF(SUM($G375:EB375)&gt;=$E375,0,IF($E375-SUM($G375:EB375)&gt;EC376,EC376,$E375-SUM($G376:EB376)))</f>
        <v>0</v>
      </c>
      <c r="ED375" s="401">
        <f>IF(SUM($G375:EC375)&gt;=$E375,0,IF($E375-SUM($G375:EC375)&gt;ED376,ED376,$E375-SUM($G376:EC376)))</f>
        <v>0</v>
      </c>
      <c r="EE375" s="401">
        <f>IF(SUM($G375:ED375)&gt;=$E375,0,IF($E375-SUM($G375:ED375)&gt;EE376,EE376,$E375-SUM($G376:ED376)))</f>
        <v>0</v>
      </c>
      <c r="EF375" s="401">
        <f>IF(SUM($G375:EE375)&gt;=$E375,0,IF($E375-SUM($G375:EE375)&gt;EF376,EF376,$E375-SUM($G376:EE376)))</f>
        <v>0</v>
      </c>
      <c r="EG375" s="401">
        <f>IF(SUM($G375:EF375)&gt;=$E375,0,IF($E375-SUM($G375:EF375)&gt;EG376,EG376,$E375-SUM($G376:EF376)))</f>
        <v>0</v>
      </c>
      <c r="EH375" s="401">
        <f>IF(SUM($G375:EG375)&gt;=$E375,0,IF($E375-SUM($G375:EG375)&gt;EH376,EH376,$E375-SUM($G376:EG376)))</f>
        <v>0</v>
      </c>
      <c r="EI375" s="401">
        <f>IF(SUM($G375:EH375)&gt;=$E375,0,IF($E375-SUM($G375:EH375)&gt;EI376,EI376,$E375-SUM($G376:EH376)))</f>
        <v>0</v>
      </c>
      <c r="EK375" s="332"/>
    </row>
    <row r="376" spans="1:141" s="321" customFormat="1" hidden="1" outlineLevel="2">
      <c r="A376" s="332"/>
      <c r="B376" s="332"/>
      <c r="G376" s="405"/>
      <c r="H376" s="405">
        <f ca="1">IF((SUM($G270:H270)-$E269)&lt;0,0,IF((SUM($G270:H270)-$E269)&lt;H270,SUM($G270:H270)-$E269,H270))</f>
        <v>0</v>
      </c>
      <c r="I376" s="405">
        <f ca="1">IF((SUM($G270:I270)-$E269)&lt;0,0,IF((SUM($G270:I270)-$E269)&lt;I270,SUM($G270:I270)-$E269,I270))</f>
        <v>0</v>
      </c>
      <c r="J376" s="405">
        <f ca="1">IF((SUM($G270:J270)-$E269)&lt;0,0,IF((SUM($G270:J270)-$E269)&lt;J270,SUM($G270:J270)-$E269,J270))</f>
        <v>0</v>
      </c>
      <c r="K376" s="405">
        <f ca="1">IF((SUM($G270:K270)-$E269)&lt;0,0,IF((SUM($G270:K270)-$E269)&lt;K270,SUM($G270:K270)-$E269,K270))</f>
        <v>0</v>
      </c>
      <c r="L376" s="405">
        <f ca="1">IF((SUM($G270:L270)-$E269)&lt;0,0,IF((SUM($G270:L270)-$E269)&lt;L270,SUM($G270:L270)-$E269,L270))</f>
        <v>0</v>
      </c>
      <c r="M376" s="405">
        <f ca="1">IF((SUM($G270:M270)-$E269)&lt;0,0,IF((SUM($G270:M270)-$E269)&lt;M270,SUM($G270:M270)-$E269,M270))</f>
        <v>0</v>
      </c>
      <c r="N376" s="405">
        <f ca="1">IF((SUM($G270:N270)-$E269)&lt;0,0,IF((SUM($G270:N270)-$E269)&lt;N270,SUM($G270:N270)-$E269,N270))</f>
        <v>0</v>
      </c>
      <c r="O376" s="405">
        <f ca="1">IF((SUM($G270:O270)-$E269)&lt;0,0,IF((SUM($G270:O270)-$E269)&lt;O270,SUM($G270:O270)-$E269,O270))</f>
        <v>0</v>
      </c>
      <c r="P376" s="405">
        <f ca="1">IF((SUM($G270:P270)-$E269)&lt;0,0,IF((SUM($G270:P270)-$E269)&lt;P270,SUM($G270:P270)-$E269,P270))</f>
        <v>0</v>
      </c>
      <c r="Q376" s="405">
        <f ca="1">IF((SUM($G270:Q270)-$E269)&lt;0,0,IF((SUM($G270:Q270)-$E269)&lt;Q270,SUM($G270:Q270)-$E269,Q270))</f>
        <v>0</v>
      </c>
      <c r="R376" s="405">
        <f ca="1">IF((SUM($G270:R270)-$E269)&lt;0,0,IF((SUM($G270:R270)-$E269)&lt;R270,SUM($G270:R270)-$E269,R270))</f>
        <v>0</v>
      </c>
      <c r="S376" s="405">
        <f ca="1">IF((SUM($G270:S270)-$E269)&lt;0,0,IF((SUM($G270:S270)-$E269)&lt;S270,SUM($G270:S270)-$E269,S270))</f>
        <v>0</v>
      </c>
      <c r="T376" s="405">
        <f ca="1">IF((SUM($G270:T270)-$E269)&lt;0,0,IF((SUM($G270:T270)-$E269)&lt;T270,SUM($G270:T270)-$E269,T270))</f>
        <v>0</v>
      </c>
      <c r="U376" s="405">
        <f ca="1">IF((SUM($G270:U270)-$E269)&lt;0,0,IF((SUM($G270:U270)-$E269)&lt;U270,SUM($G270:U270)-$E269,U270))</f>
        <v>0</v>
      </c>
      <c r="V376" s="405">
        <f ca="1">IF((SUM($G270:V270)-$E269)&lt;0,0,IF((SUM($G270:V270)-$E269)&lt;V270,SUM($G270:V270)-$E269,V270))</f>
        <v>0</v>
      </c>
      <c r="W376" s="405">
        <f ca="1">IF((SUM($G270:W270)-$E269)&lt;0,0,IF((SUM($G270:W270)-$E269)&lt;W270,SUM($G270:W270)-$E269,W270))</f>
        <v>0</v>
      </c>
      <c r="X376" s="405">
        <f ca="1">IF((SUM($G270:X270)-$E269)&lt;0,0,IF((SUM($G270:X270)-$E269)&lt;X270,SUM($G270:X270)-$E269,X270))</f>
        <v>0</v>
      </c>
      <c r="Y376" s="405">
        <f ca="1">IF((SUM($G270:Y270)-$E269)&lt;0,0,IF((SUM($G270:Y270)-$E269)&lt;Y270,SUM($G270:Y270)-$E269,Y270))</f>
        <v>0</v>
      </c>
      <c r="Z376" s="405">
        <f ca="1">IF((SUM($G270:Z270)-$E269)&lt;0,0,IF((SUM($G270:Z270)-$E269)&lt;Z270,SUM($G270:Z270)-$E269,Z270))</f>
        <v>0</v>
      </c>
      <c r="AA376" s="405">
        <f ca="1">IF((SUM($G270:AA270)-$E269)&lt;0,0,IF((SUM($G270:AA270)-$E269)&lt;AA270,SUM($G270:AA270)-$E269,AA270))</f>
        <v>0</v>
      </c>
      <c r="AB376" s="405">
        <f ca="1">IF((SUM($G270:AB270)-$E269)&lt;0,0,IF((SUM($G270:AB270)-$E269)&lt;AB270,SUM($G270:AB270)-$E269,AB270))</f>
        <v>0</v>
      </c>
      <c r="AC376" s="405">
        <f ca="1">IF((SUM($G270:AC270)-$E269)&lt;0,0,IF((SUM($G270:AC270)-$E269)&lt;AC270,SUM($G270:AC270)-$E269,AC270))</f>
        <v>0</v>
      </c>
      <c r="AD376" s="405">
        <f ca="1">IF((SUM($G270:AD270)-$E269)&lt;0,0,IF((SUM($G270:AD270)-$E269)&lt;AD270,SUM($G270:AD270)-$E269,AD270))</f>
        <v>0</v>
      </c>
      <c r="AE376" s="405">
        <f ca="1">IF((SUM($G270:AE270)-$E269)&lt;0,0,IF((SUM($G270:AE270)-$E269)&lt;AE270,SUM($G270:AE270)-$E269,AE270))</f>
        <v>0</v>
      </c>
      <c r="AF376" s="405">
        <f ca="1">IF((SUM($G270:AF270)-$E269)&lt;0,0,IF((SUM($G270:AF270)-$E269)&lt;AF270,SUM($G270:AF270)-$E269,AF270))</f>
        <v>0</v>
      </c>
      <c r="AG376" s="405">
        <f ca="1">IF((SUM($G270:AG270)-$E269)&lt;0,0,IF((SUM($G270:AG270)-$E269)&lt;AG270,SUM($G270:AG270)-$E269,AG270))</f>
        <v>0</v>
      </c>
      <c r="AH376" s="405">
        <f ca="1">IF((SUM($G270:AH270)-$E269)&lt;0,0,IF((SUM($G270:AH270)-$E269)&lt;AH270,SUM($G270:AH270)-$E269,AH270))</f>
        <v>0</v>
      </c>
      <c r="AI376" s="405">
        <f ca="1">IF((SUM($G270:AI270)-$E269)&lt;0,0,IF((SUM($G270:AI270)-$E269)&lt;AI270,SUM($G270:AI270)-$E269,AI270))</f>
        <v>0</v>
      </c>
      <c r="AJ376" s="405">
        <f ca="1">IF((SUM($G270:AJ270)-$E269)&lt;0,0,IF((SUM($G270:AJ270)-$E269)&lt;AJ270,SUM($G270:AJ270)-$E269,AJ270))</f>
        <v>0</v>
      </c>
      <c r="AK376" s="405">
        <f ca="1">IF((SUM($G270:AK270)-$E269)&lt;0,0,IF((SUM($G270:AK270)-$E269)&lt;AK270,SUM($G270:AK270)-$E269,AK270))</f>
        <v>0</v>
      </c>
      <c r="AL376" s="405">
        <f ca="1">IF((SUM($G270:AL270)-$E269)&lt;0,0,IF((SUM($G270:AL270)-$E269)&lt;AL270,SUM($G270:AL270)-$E269,AL270))</f>
        <v>0</v>
      </c>
      <c r="AM376" s="405">
        <f ca="1">IF((SUM($G270:AM270)-$E269)&lt;0,0,IF((SUM($G270:AM270)-$E269)&lt;AM270,SUM($G270:AM270)-$E269,AM270))</f>
        <v>0</v>
      </c>
      <c r="AN376" s="405">
        <f ca="1">IF((SUM($G270:AN270)-$E269)&lt;0,0,IF((SUM($G270:AN270)-$E269)&lt;AN270,SUM($G270:AN270)-$E269,AN270))</f>
        <v>0</v>
      </c>
      <c r="AO376" s="405">
        <f ca="1">IF((SUM($G270:AO270)-$E269)&lt;0,0,IF((SUM($G270:AO270)-$E269)&lt;AO270,SUM($G270:AO270)-$E269,AO270))</f>
        <v>0</v>
      </c>
      <c r="AP376" s="405">
        <f ca="1">IF((SUM($G270:AP270)-$E269)&lt;0,0,IF((SUM($G270:AP270)-$E269)&lt;AP270,SUM($G270:AP270)-$E269,AP270))</f>
        <v>0</v>
      </c>
      <c r="AQ376" s="405">
        <f ca="1">IF((SUM($G270:AQ270)-$E269)&lt;0,0,IF((SUM($G270:AQ270)-$E269)&lt;AQ270,SUM($G270:AQ270)-$E269,AQ270))</f>
        <v>0</v>
      </c>
      <c r="AR376" s="405">
        <f ca="1">IF((SUM($G270:AR270)-$E269)&lt;0,0,IF((SUM($G270:AR270)-$E269)&lt;AR270,SUM($G270:AR270)-$E269,AR270))</f>
        <v>0</v>
      </c>
      <c r="AS376" s="405">
        <f ca="1">IF((SUM($G270:AS270)-$E269)&lt;0,0,IF((SUM($G270:AS270)-$E269)&lt;AS270,SUM($G270:AS270)-$E269,AS270))</f>
        <v>0</v>
      </c>
      <c r="AT376" s="405">
        <f ca="1">IF((SUM($G270:AT270)-$E269)&lt;0,0,IF((SUM($G270:AT270)-$E269)&lt;AT270,SUM($G270:AT270)-$E269,AT270))</f>
        <v>0</v>
      </c>
      <c r="AU376" s="405">
        <f ca="1">IF((SUM($G270:AU270)-$E269)&lt;0,0,IF((SUM($G270:AU270)-$E269)&lt;AU270,SUM($G270:AU270)-$E269,AU270))</f>
        <v>0</v>
      </c>
      <c r="AV376" s="405">
        <f ca="1">IF((SUM($G270:AV270)-$E269)&lt;0,0,IF((SUM($G270:AV270)-$E269)&lt;AV270,SUM($G270:AV270)-$E269,AV270))</f>
        <v>0</v>
      </c>
      <c r="AW376" s="405">
        <f ca="1">IF((SUM($G270:AW270)-$E269)&lt;0,0,IF((SUM($G270:AW270)-$E269)&lt;AW270,SUM($G270:AW270)-$E269,AW270))</f>
        <v>0</v>
      </c>
      <c r="AX376" s="405">
        <f ca="1">IF((SUM($G270:AX270)-$E269)&lt;0,0,IF((SUM($G270:AX270)-$E269)&lt;AX270,SUM($G270:AX270)-$E269,AX270))</f>
        <v>0</v>
      </c>
      <c r="AY376" s="405">
        <f ca="1">IF((SUM($G270:AY270)-$E269)&lt;0,0,IF((SUM($G270:AY270)-$E269)&lt;AY270,SUM($G270:AY270)-$E269,AY270))</f>
        <v>0</v>
      </c>
      <c r="AZ376" s="405">
        <f ca="1">IF((SUM($G270:AZ270)-$E269)&lt;0,0,IF((SUM($G270:AZ270)-$E269)&lt;AZ270,SUM($G270:AZ270)-$E269,AZ270))</f>
        <v>0</v>
      </c>
      <c r="BA376" s="405">
        <f ca="1">IF((SUM($G270:BA270)-$E269)&lt;0,0,IF((SUM($G270:BA270)-$E269)&lt;BA270,SUM($G270:BA270)-$E269,BA270))</f>
        <v>5</v>
      </c>
      <c r="BB376" s="405">
        <f ca="1">IF((SUM($G270:BB270)-$E269)&lt;0,0,IF((SUM($G270:BB270)-$E269)&lt;BB270,SUM($G270:BB270)-$E269,BB270))</f>
        <v>28</v>
      </c>
      <c r="BC376" s="405">
        <f ca="1">IF((SUM($G270:BC270)-$E269)&lt;0,0,IF((SUM($G270:BC270)-$E269)&lt;BC270,SUM($G270:BC270)-$E269,BC270))</f>
        <v>31</v>
      </c>
      <c r="BD376" s="405">
        <f ca="1">IF((SUM($G270:BD270)-$E269)&lt;0,0,IF((SUM($G270:BD270)-$E269)&lt;BD270,SUM($G270:BD270)-$E269,BD270))</f>
        <v>30</v>
      </c>
      <c r="BE376" s="405">
        <f ca="1">IF((SUM($G270:BE270)-$E269)&lt;0,0,IF((SUM($G270:BE270)-$E269)&lt;BE270,SUM($G270:BE270)-$E269,BE270))</f>
        <v>31</v>
      </c>
      <c r="BF376" s="405">
        <f ca="1">IF((SUM($G270:BF270)-$E269)&lt;0,0,IF((SUM($G270:BF270)-$E269)&lt;BF270,SUM($G270:BF270)-$E269,BF270))</f>
        <v>30</v>
      </c>
      <c r="BG376" s="405">
        <f ca="1">IF((SUM($G270:BG270)-$E269)&lt;0,0,IF((SUM($G270:BG270)-$E269)&lt;BG270,SUM($G270:BG270)-$E269,BG270))</f>
        <v>31</v>
      </c>
      <c r="BH376" s="405">
        <f ca="1">IF((SUM($G270:BH270)-$E269)&lt;0,0,IF((SUM($G270:BH270)-$E269)&lt;BH270,SUM($G270:BH270)-$E269,BH270))</f>
        <v>31</v>
      </c>
      <c r="BI376" s="405">
        <f ca="1">IF((SUM($G270:BI270)-$E269)&lt;0,0,IF((SUM($G270:BI270)-$E269)&lt;BI270,SUM($G270:BI270)-$E269,BI270))</f>
        <v>30</v>
      </c>
      <c r="BJ376" s="405">
        <f ca="1">IF((SUM($G270:BJ270)-$E269)&lt;0,0,IF((SUM($G270:BJ270)-$E269)&lt;BJ270,SUM($G270:BJ270)-$E269,BJ270))</f>
        <v>31</v>
      </c>
      <c r="BK376" s="405">
        <f ca="1">IF((SUM($G270:BK270)-$E269)&lt;0,0,IF((SUM($G270:BK270)-$E269)&lt;BK270,SUM($G270:BK270)-$E269,BK270))</f>
        <v>30</v>
      </c>
      <c r="BL376" s="405">
        <f ca="1">IF((SUM($G270:BL270)-$E269)&lt;0,0,IF((SUM($G270:BL270)-$E269)&lt;BL270,SUM($G270:BL270)-$E269,BL270))</f>
        <v>31</v>
      </c>
      <c r="BM376" s="405">
        <f ca="1">IF((SUM($G270:BM270)-$E269)&lt;0,0,IF((SUM($G270:BM270)-$E269)&lt;BM270,SUM($G270:BM270)-$E269,BM270))</f>
        <v>31</v>
      </c>
      <c r="BN376" s="405">
        <f ca="1">IF((SUM($G270:BN270)-$E269)&lt;0,0,IF((SUM($G270:BN270)-$E269)&lt;BN270,SUM($G270:BN270)-$E269,BN270))</f>
        <v>29</v>
      </c>
      <c r="BO376" s="405">
        <f ca="1">IF((SUM($G270:BO270)-$E269)&lt;0,0,IF((SUM($G270:BO270)-$E269)&lt;BO270,SUM($G270:BO270)-$E269,BO270))</f>
        <v>31</v>
      </c>
      <c r="BP376" s="405">
        <f ca="1">IF((SUM($G270:BP270)-$E269)&lt;0,0,IF((SUM($G270:BP270)-$E269)&lt;BP270,SUM($G270:BP270)-$E269,BP270))</f>
        <v>30</v>
      </c>
      <c r="BQ376" s="405">
        <f ca="1">IF((SUM($G270:BQ270)-$E269)&lt;0,0,IF((SUM($G270:BQ270)-$E269)&lt;BQ270,SUM($G270:BQ270)-$E269,BQ270))</f>
        <v>31</v>
      </c>
      <c r="BR376" s="405">
        <f ca="1">IF((SUM($G270:BR270)-$E269)&lt;0,0,IF((SUM($G270:BR270)-$E269)&lt;BR270,SUM($G270:BR270)-$E269,BR270))</f>
        <v>30</v>
      </c>
      <c r="BS376" s="405">
        <f ca="1">IF((SUM($G270:BS270)-$E269)&lt;0,0,IF((SUM($G270:BS270)-$E269)&lt;BS270,SUM($G270:BS270)-$E269,BS270))</f>
        <v>31</v>
      </c>
      <c r="BT376" s="405">
        <f ca="1">IF((SUM($G270:BT270)-$E269)&lt;0,0,IF((SUM($G270:BT270)-$E269)&lt;BT270,SUM($G270:BT270)-$E269,BT270))</f>
        <v>31</v>
      </c>
      <c r="BU376" s="405">
        <f ca="1">IF((SUM($G270:BU270)-$E269)&lt;0,0,IF((SUM($G270:BU270)-$E269)&lt;BU270,SUM($G270:BU270)-$E269,BU270))</f>
        <v>30</v>
      </c>
      <c r="BV376" s="405">
        <f ca="1">IF((SUM($G270:BV270)-$E269)&lt;0,0,IF((SUM($G270:BV270)-$E269)&lt;BV270,SUM($G270:BV270)-$E269,BV270))</f>
        <v>31</v>
      </c>
      <c r="BW376" s="405">
        <f ca="1">IF((SUM($G270:BW270)-$E269)&lt;0,0,IF((SUM($G270:BW270)-$E269)&lt;BW270,SUM($G270:BW270)-$E269,BW270))</f>
        <v>30</v>
      </c>
      <c r="BX376" s="405">
        <f ca="1">IF((SUM($G270:BX270)-$E269)&lt;0,0,IF((SUM($G270:BX270)-$E269)&lt;BX270,SUM($G270:BX270)-$E269,BX270))</f>
        <v>31</v>
      </c>
      <c r="BY376" s="405">
        <f ca="1">IF((SUM($G270:BY270)-$E269)&lt;0,0,IF((SUM($G270:BY270)-$E269)&lt;BY270,SUM($G270:BY270)-$E269,BY270))</f>
        <v>31</v>
      </c>
      <c r="BZ376" s="405">
        <f ca="1">IF((SUM($G270:BZ270)-$E269)&lt;0,0,IF((SUM($G270:BZ270)-$E269)&lt;BZ270,SUM($G270:BZ270)-$E269,BZ270))</f>
        <v>28</v>
      </c>
      <c r="CA376" s="405">
        <f ca="1">IF((SUM($G270:CA270)-$E269)&lt;0,0,IF((SUM($G270:CA270)-$E269)&lt;CA270,SUM($G270:CA270)-$E269,CA270))</f>
        <v>31</v>
      </c>
      <c r="CB376" s="405">
        <f ca="1">IF((SUM($G270:CB270)-$E269)&lt;0,0,IF((SUM($G270:CB270)-$E269)&lt;CB270,SUM($G270:CB270)-$E269,CB270))</f>
        <v>30</v>
      </c>
      <c r="CC376" s="405">
        <f ca="1">IF((SUM($G270:CC270)-$E269)&lt;0,0,IF((SUM($G270:CC270)-$E269)&lt;CC270,SUM($G270:CC270)-$E269,CC270))</f>
        <v>31</v>
      </c>
      <c r="CD376" s="405">
        <f ca="1">IF((SUM($G270:CD270)-$E269)&lt;0,0,IF((SUM($G270:CD270)-$E269)&lt;CD270,SUM($G270:CD270)-$E269,CD270))</f>
        <v>30</v>
      </c>
      <c r="CE376" s="405">
        <f ca="1">IF((SUM($G270:CE270)-$E269)&lt;0,0,IF((SUM($G270:CE270)-$E269)&lt;CE270,SUM($G270:CE270)-$E269,CE270))</f>
        <v>31</v>
      </c>
      <c r="CF376" s="405">
        <f ca="1">IF((SUM($G270:CF270)-$E269)&lt;0,0,IF((SUM($G270:CF270)-$E269)&lt;CF270,SUM($G270:CF270)-$E269,CF270))</f>
        <v>31</v>
      </c>
      <c r="CG376" s="405">
        <f ca="1">IF((SUM($G270:CG270)-$E269)&lt;0,0,IF((SUM($G270:CG270)-$E269)&lt;CG270,SUM($G270:CG270)-$E269,CG270))</f>
        <v>30</v>
      </c>
      <c r="CH376" s="405">
        <f ca="1">IF((SUM($G270:CH270)-$E269)&lt;0,0,IF((SUM($G270:CH270)-$E269)&lt;CH270,SUM($G270:CH270)-$E269,CH270))</f>
        <v>31</v>
      </c>
      <c r="CI376" s="405">
        <f ca="1">IF((SUM($G270:CI270)-$E269)&lt;0,0,IF((SUM($G270:CI270)-$E269)&lt;CI270,SUM($G270:CI270)-$E269,CI270))</f>
        <v>30</v>
      </c>
      <c r="CJ376" s="405">
        <f ca="1">IF((SUM($G270:CJ270)-$E269)&lt;0,0,IF((SUM($G270:CJ270)-$E269)&lt;CJ270,SUM($G270:CJ270)-$E269,CJ270))</f>
        <v>31</v>
      </c>
      <c r="CK376" s="405">
        <f ca="1">IF((SUM($G270:CK270)-$E269)&lt;0,0,IF((SUM($G270:CK270)-$E269)&lt;CK270,SUM($G270:CK270)-$E269,CK270))</f>
        <v>31</v>
      </c>
      <c r="CL376" s="405">
        <f ca="1">IF((SUM($G270:CL270)-$E269)&lt;0,0,IF((SUM($G270:CL270)-$E269)&lt;CL270,SUM($G270:CL270)-$E269,CL270))</f>
        <v>28</v>
      </c>
      <c r="CM376" s="405">
        <f ca="1">IF((SUM($G270:CM270)-$E269)&lt;0,0,IF((SUM($G270:CM270)-$E269)&lt;CM270,SUM($G270:CM270)-$E269,CM270))</f>
        <v>31</v>
      </c>
      <c r="CN376" s="405">
        <f ca="1">IF((SUM($G270:CN270)-$E269)&lt;0,0,IF((SUM($G270:CN270)-$E269)&lt;CN270,SUM($G270:CN270)-$E269,CN270))</f>
        <v>30</v>
      </c>
      <c r="CO376" s="405">
        <f ca="1">IF((SUM($G270:CO270)-$E269)&lt;0,0,IF((SUM($G270:CO270)-$E269)&lt;CO270,SUM($G270:CO270)-$E269,CO270))</f>
        <v>31</v>
      </c>
      <c r="CP376" s="405">
        <f ca="1">IF((SUM($G270:CP270)-$E269)&lt;0,0,IF((SUM($G270:CP270)-$E269)&lt;CP270,SUM($G270:CP270)-$E269,CP270))</f>
        <v>30</v>
      </c>
      <c r="CQ376" s="405">
        <f ca="1">IF((SUM($G270:CQ270)-$E269)&lt;0,0,IF((SUM($G270:CQ270)-$E269)&lt;CQ270,SUM($G270:CQ270)-$E269,CQ270))</f>
        <v>31</v>
      </c>
      <c r="CR376" s="405">
        <f ca="1">IF((SUM($G270:CR270)-$E269)&lt;0,0,IF((SUM($G270:CR270)-$E269)&lt;CR270,SUM($G270:CR270)-$E269,CR270))</f>
        <v>31</v>
      </c>
      <c r="CS376" s="405">
        <f ca="1">IF((SUM($G270:CS270)-$E269)&lt;0,0,IF((SUM($G270:CS270)-$E269)&lt;CS270,SUM($G270:CS270)-$E269,CS270))</f>
        <v>30</v>
      </c>
      <c r="CT376" s="405">
        <f ca="1">IF((SUM($G270:CT270)-$E269)&lt;0,0,IF((SUM($G270:CT270)-$E269)&lt;CT270,SUM($G270:CT270)-$E269,CT270))</f>
        <v>31</v>
      </c>
      <c r="CU376" s="405">
        <f ca="1">IF((SUM($G270:CU270)-$E269)&lt;0,0,IF((SUM($G270:CU270)-$E269)&lt;CU270,SUM($G270:CU270)-$E269,CU270))</f>
        <v>30</v>
      </c>
      <c r="CV376" s="405">
        <f ca="1">IF((SUM($G270:CV270)-$E269)&lt;0,0,IF((SUM($G270:CV270)-$E269)&lt;CV270,SUM($G270:CV270)-$E269,CV270))</f>
        <v>31</v>
      </c>
      <c r="CW376" s="405">
        <f ca="1">IF((SUM($G270:CW270)-$E269)&lt;0,0,IF((SUM($G270:CW270)-$E269)&lt;CW270,SUM($G270:CW270)-$E269,CW270))</f>
        <v>31</v>
      </c>
      <c r="CX376" s="405">
        <f ca="1">IF((SUM($G270:CX270)-$E269)&lt;0,0,IF((SUM($G270:CX270)-$E269)&lt;CX270,SUM($G270:CX270)-$E269,CX270))</f>
        <v>28</v>
      </c>
      <c r="CY376" s="405">
        <f ca="1">IF((SUM($G270:CY270)-$E269)&lt;0,0,IF((SUM($G270:CY270)-$E269)&lt;CY270,SUM($G270:CY270)-$E269,CY270))</f>
        <v>31</v>
      </c>
      <c r="CZ376" s="405">
        <f ca="1">IF((SUM($G270:CZ270)-$E269)&lt;0,0,IF((SUM($G270:CZ270)-$E269)&lt;CZ270,SUM($G270:CZ270)-$E269,CZ270))</f>
        <v>30</v>
      </c>
      <c r="DA376" s="405">
        <f ca="1">IF((SUM($G270:DA270)-$E269)&lt;0,0,IF((SUM($G270:DA270)-$E269)&lt;DA270,SUM($G270:DA270)-$E269,DA270))</f>
        <v>31</v>
      </c>
      <c r="DB376" s="405">
        <f ca="1">IF((SUM($G270:DB270)-$E269)&lt;0,0,IF((SUM($G270:DB270)-$E269)&lt;DB270,SUM($G270:DB270)-$E269,DB270))</f>
        <v>30</v>
      </c>
      <c r="DC376" s="405">
        <f ca="1">IF((SUM($G270:DC270)-$E269)&lt;0,0,IF((SUM($G270:DC270)-$E269)&lt;DC270,SUM($G270:DC270)-$E269,DC270))</f>
        <v>31</v>
      </c>
      <c r="DD376" s="405">
        <f ca="1">IF((SUM($G270:DD270)-$E269)&lt;0,0,IF((SUM($G270:DD270)-$E269)&lt;DD270,SUM($G270:DD270)-$E269,DD270))</f>
        <v>31</v>
      </c>
      <c r="DE376" s="405">
        <f ca="1">IF((SUM($G270:DE270)-$E269)&lt;0,0,IF((SUM($G270:DE270)-$E269)&lt;DE270,SUM($G270:DE270)-$E269,DE270))</f>
        <v>30</v>
      </c>
      <c r="DF376" s="405">
        <f ca="1">IF((SUM($G270:DF270)-$E269)&lt;0,0,IF((SUM($G270:DF270)-$E269)&lt;DF270,SUM($G270:DF270)-$E269,DF270))</f>
        <v>31</v>
      </c>
      <c r="DG376" s="405">
        <f ca="1">IF((SUM($G270:DG270)-$E269)&lt;0,0,IF((SUM($G270:DG270)-$E269)&lt;DG270,SUM($G270:DG270)-$E269,DG270))</f>
        <v>30</v>
      </c>
      <c r="DH376" s="405">
        <f ca="1">IF((SUM($G270:DH270)-$E269)&lt;0,0,IF((SUM($G270:DH270)-$E269)&lt;DH270,SUM($G270:DH270)-$E269,DH270))</f>
        <v>31</v>
      </c>
      <c r="DI376" s="405">
        <f ca="1">IF((SUM($G270:DI270)-$E269)&lt;0,0,IF((SUM($G270:DI270)-$E269)&lt;DI270,SUM($G270:DI270)-$E269,DI270))</f>
        <v>31</v>
      </c>
      <c r="DJ376" s="405">
        <f ca="1">IF((SUM($G270:DJ270)-$E269)&lt;0,0,IF((SUM($G270:DJ270)-$E269)&lt;DJ270,SUM($G270:DJ270)-$E269,DJ270))</f>
        <v>29</v>
      </c>
      <c r="DK376" s="405">
        <f ca="1">IF((SUM($G270:DK270)-$E269)&lt;0,0,IF((SUM($G270:DK270)-$E269)&lt;DK270,SUM($G270:DK270)-$E269,DK270))</f>
        <v>31</v>
      </c>
      <c r="DL376" s="405">
        <f ca="1">IF((SUM($G270:DL270)-$E269)&lt;0,0,IF((SUM($G270:DL270)-$E269)&lt;DL270,SUM($G270:DL270)-$E269,DL270))</f>
        <v>30</v>
      </c>
      <c r="DM376" s="405">
        <f ca="1">IF((SUM($G270:DM270)-$E269)&lt;0,0,IF((SUM($G270:DM270)-$E269)&lt;DM270,SUM($G270:DM270)-$E269,DM270))</f>
        <v>31</v>
      </c>
      <c r="DN376" s="405">
        <f ca="1">IF((SUM($G270:DN270)-$E269)&lt;0,0,IF((SUM($G270:DN270)-$E269)&lt;DN270,SUM($G270:DN270)-$E269,DN270))</f>
        <v>30</v>
      </c>
      <c r="DO376" s="405">
        <f ca="1">IF((SUM($G270:DO270)-$E269)&lt;0,0,IF((SUM($G270:DO270)-$E269)&lt;DO270,SUM($G270:DO270)-$E269,DO270))</f>
        <v>31</v>
      </c>
      <c r="DP376" s="405">
        <f ca="1">IF((SUM($G270:DP270)-$E269)&lt;0,0,IF((SUM($G270:DP270)-$E269)&lt;DP270,SUM($G270:DP270)-$E269,DP270))</f>
        <v>31</v>
      </c>
      <c r="DQ376" s="405">
        <f ca="1">IF((SUM($G270:DQ270)-$E269)&lt;0,0,IF((SUM($G270:DQ270)-$E269)&lt;DQ270,SUM($G270:DQ270)-$E269,DQ270))</f>
        <v>30</v>
      </c>
      <c r="DR376" s="405">
        <f ca="1">IF((SUM($G270:DR270)-$E269)&lt;0,0,IF((SUM($G270:DR270)-$E269)&lt;DR270,SUM($G270:DR270)-$E269,DR270))</f>
        <v>31</v>
      </c>
      <c r="DS376" s="405">
        <f ca="1">IF((SUM($G270:DS270)-$E269)&lt;0,0,IF((SUM($G270:DS270)-$E269)&lt;DS270,SUM($G270:DS270)-$E269,DS270))</f>
        <v>30</v>
      </c>
      <c r="DT376" s="405">
        <f ca="1">IF((SUM($G270:DT270)-$E269)&lt;0,0,IF((SUM($G270:DT270)-$E269)&lt;DT270,SUM($G270:DT270)-$E269,DT270))</f>
        <v>31</v>
      </c>
      <c r="DU376" s="405">
        <f ca="1">IF((SUM($G270:DU270)-$E269)&lt;0,0,IF((SUM($G270:DU270)-$E269)&lt;DU270,SUM($G270:DU270)-$E269,DU270))</f>
        <v>31</v>
      </c>
      <c r="DV376" s="405">
        <f ca="1">IF((SUM($G270:DV270)-$E269)&lt;0,0,IF((SUM($G270:DV270)-$E269)&lt;DV270,SUM($G270:DV270)-$E269,DV270))</f>
        <v>28</v>
      </c>
      <c r="DW376" s="405">
        <f ca="1">IF((SUM($G270:DW270)-$E269)&lt;0,0,IF((SUM($G270:DW270)-$E269)&lt;DW270,SUM($G270:DW270)-$E269,DW270))</f>
        <v>31</v>
      </c>
      <c r="DX376" s="405">
        <f ca="1">IF((SUM($G270:DX270)-$E269)&lt;0,0,IF((SUM($G270:DX270)-$E269)&lt;DX270,SUM($G270:DX270)-$E269,DX270))</f>
        <v>30</v>
      </c>
      <c r="DY376" s="405">
        <f ca="1">IF((SUM($G270:DY270)-$E269)&lt;0,0,IF((SUM($G270:DY270)-$E269)&lt;DY270,SUM($G270:DY270)-$E269,DY270))</f>
        <v>31</v>
      </c>
      <c r="DZ376" s="405">
        <f ca="1">IF((SUM($G270:DZ270)-$E269)&lt;0,0,IF((SUM($G270:DZ270)-$E269)&lt;DZ270,SUM($G270:DZ270)-$E269,DZ270))</f>
        <v>30</v>
      </c>
      <c r="EA376" s="405">
        <f ca="1">IF((SUM($G270:EA270)-$E269)&lt;0,0,IF((SUM($G270:EA270)-$E269)&lt;EA270,SUM($G270:EA270)-$E269,EA270))</f>
        <v>31</v>
      </c>
      <c r="EB376" s="405">
        <f ca="1">IF((SUM($G270:EB270)-$E269)&lt;0,0,IF((SUM($G270:EB270)-$E269)&lt;EB270,SUM($G270:EB270)-$E269,EB270))</f>
        <v>31</v>
      </c>
      <c r="EC376" s="405">
        <f ca="1">IF((SUM($G270:EC270)-$E269)&lt;0,0,IF((SUM($G270:EC270)-$E269)&lt;EC270,SUM($G270:EC270)-$E269,EC270))</f>
        <v>30</v>
      </c>
      <c r="ED376" s="405">
        <f ca="1">IF((SUM($G270:ED270)-$E269)&lt;0,0,IF((SUM($G270:ED270)-$E269)&lt;ED270,SUM($G270:ED270)-$E269,ED270))</f>
        <v>31</v>
      </c>
      <c r="EE376" s="405">
        <f ca="1">IF((SUM($G270:EE270)-$E269)&lt;0,0,IF((SUM($G270:EE270)-$E269)&lt;EE270,SUM($G270:EE270)-$E269,EE270))</f>
        <v>30</v>
      </c>
      <c r="EF376" s="405">
        <f ca="1">IF((SUM($G270:EF270)-$E269)&lt;0,0,IF((SUM($G270:EF270)-$E269)&lt;EF270,SUM($G270:EF270)-$E269,EF270))</f>
        <v>31</v>
      </c>
      <c r="EG376" s="405">
        <f ca="1">IF((SUM($G270:EG270)-$E269)&lt;0,0,IF((SUM($G270:EG270)-$E269)&lt;EG270,SUM($G270:EG270)-$E269,EG270))</f>
        <v>31</v>
      </c>
      <c r="EH376" s="405">
        <f ca="1">IF((SUM($G270:EH270)-$E269)&lt;0,0,IF((SUM($G270:EH270)-$E269)&lt;EH270,SUM($G270:EH270)-$E269,EH270))</f>
        <v>28</v>
      </c>
      <c r="EI376" s="405">
        <f ca="1">IF((SUM($G270:EI270)-$E269)&lt;0,0,IF((SUM($G270:EI270)-$E269)&lt;EI270,SUM($G270:EI270)-$E269,EI270))</f>
        <v>31</v>
      </c>
    </row>
    <row r="377" spans="1:141" s="321" customFormat="1" hidden="1" outlineLevel="2">
      <c r="A377" s="332"/>
      <c r="C377" s="305"/>
      <c r="D377" s="305" t="s">
        <v>670</v>
      </c>
      <c r="E377" s="403">
        <f ca="1">MIN(G377:EI377)</f>
        <v>0</v>
      </c>
      <c r="F377" s="404">
        <f ca="1">MAX(G377:EI377)</f>
        <v>0</v>
      </c>
      <c r="G377" s="403" t="str">
        <f ca="1">IF(G375=0,"",IF(SUM($G375:G375)&gt;=1,OFFSET(G$228,-1,0),""))</f>
        <v/>
      </c>
      <c r="H377" s="403" t="str">
        <f ca="1">IF(SUM($G377:G377)&gt;=1,"",IF(H375=0,"",IF(SUM($G375:H375)&gt;=1,OFFSET(H$228,-1,0),"")))</f>
        <v/>
      </c>
      <c r="I377" s="403" t="str">
        <f ca="1">IF(SUM($G377:H377)&gt;=1,"",IF(I375=0,"",IF(SUM($G375:I375)&gt;=1,OFFSET(I$228,-1,0),"")))</f>
        <v/>
      </c>
      <c r="J377" s="403" t="str">
        <f ca="1">IF(SUM($G377:I377)&gt;=1,"",IF(J375=0,"",IF(SUM($G375:J375)&gt;=1,OFFSET(J$228,-1,0),"")))</f>
        <v/>
      </c>
      <c r="K377" s="403" t="str">
        <f ca="1">IF(SUM($G377:J377)&gt;=1,"",IF(K375=0,"",IF(SUM($G375:K375)&gt;=1,OFFSET(K$228,-1,0),"")))</f>
        <v/>
      </c>
      <c r="L377" s="403" t="str">
        <f ca="1">IF(SUM($G377:K377)&gt;=1,"",IF(L375=0,"",IF(SUM($G375:L375)&gt;=1,OFFSET(L$228,-1,0),"")))</f>
        <v/>
      </c>
      <c r="M377" s="403" t="str">
        <f ca="1">IF(SUM($G377:L377)&gt;=1,"",IF(M375=0,"",IF(SUM($G375:M375)&gt;=1,OFFSET(M$228,-1,0),"")))</f>
        <v/>
      </c>
      <c r="N377" s="403" t="str">
        <f ca="1">IF(SUM($G377:M377)&gt;=1,"",IF(N375=0,"",IF(SUM($G375:N375)&gt;=1,OFFSET(N$228,-1,0),"")))</f>
        <v/>
      </c>
      <c r="O377" s="403" t="str">
        <f ca="1">IF(SUM($G377:N377)&gt;=1,"",IF(O375=0,"",IF(SUM($G375:O375)&gt;=1,OFFSET(O$228,-1,0),"")))</f>
        <v/>
      </c>
      <c r="P377" s="403" t="str">
        <f ca="1">IF(SUM($G377:O377)&gt;=1,"",IF(P375=0,"",IF(SUM($G375:P375)&gt;=1,OFFSET(P$228,-1,0),"")))</f>
        <v/>
      </c>
      <c r="Q377" s="403" t="str">
        <f ca="1">IF(SUM($G377:P377)&gt;=1,"",IF(Q375=0,"",IF(SUM($G375:Q375)&gt;=1,OFFSET(Q$228,-1,0),"")))</f>
        <v/>
      </c>
      <c r="R377" s="403" t="str">
        <f ca="1">IF(SUM($G377:Q377)&gt;=1,"",IF(R375=0,"",IF(SUM($G375:R375)&gt;=1,OFFSET(R$228,-1,0),"")))</f>
        <v/>
      </c>
      <c r="S377" s="403" t="str">
        <f ca="1">IF(SUM($G377:R377)&gt;=1,"",IF(S375=0,"",IF(SUM($G375:S375)&gt;=1,OFFSET(S$228,-1,0),"")))</f>
        <v/>
      </c>
      <c r="T377" s="403" t="str">
        <f ca="1">IF(SUM($G377:S377)&gt;=1,"",IF(T375=0,"",IF(SUM($G375:T375)&gt;=1,OFFSET(T$228,-1,0),"")))</f>
        <v/>
      </c>
      <c r="U377" s="403" t="str">
        <f ca="1">IF(SUM($G377:T377)&gt;=1,"",IF(U375=0,"",IF(SUM($G375:U375)&gt;=1,OFFSET(U$228,-1,0),"")))</f>
        <v/>
      </c>
      <c r="V377" s="403" t="str">
        <f ca="1">IF(SUM($G377:U377)&gt;=1,"",IF(V375=0,"",IF(SUM($G375:V375)&gt;=1,OFFSET(V$228,-1,0),"")))</f>
        <v/>
      </c>
      <c r="W377" s="403" t="str">
        <f ca="1">IF(SUM($G377:V377)&gt;=1,"",IF(W375=0,"",IF(SUM($G375:W375)&gt;=1,OFFSET(W$228,-1,0),"")))</f>
        <v/>
      </c>
      <c r="X377" s="403" t="str">
        <f ca="1">IF(SUM($G377:W377)&gt;=1,"",IF(X375=0,"",IF(SUM($G375:X375)&gt;=1,OFFSET(X$228,-1,0),"")))</f>
        <v/>
      </c>
      <c r="Y377" s="403" t="str">
        <f ca="1">IF(SUM($G377:X377)&gt;=1,"",IF(Y375=0,"",IF(SUM($G375:Y375)&gt;=1,OFFSET(Y$228,-1,0),"")))</f>
        <v/>
      </c>
      <c r="Z377" s="403" t="str">
        <f ca="1">IF(SUM($G377:Y377)&gt;=1,"",IF(Z375=0,"",IF(SUM($G375:Z375)&gt;=1,OFFSET(Z$228,-1,0),"")))</f>
        <v/>
      </c>
      <c r="AA377" s="403" t="str">
        <f ca="1">IF(SUM($G377:Z377)&gt;=1,"",IF(AA375=0,"",IF(SUM($G375:AA375)&gt;=1,OFFSET(AA$228,-1,0),"")))</f>
        <v/>
      </c>
      <c r="AB377" s="403" t="str">
        <f ca="1">IF(SUM($G377:AA377)&gt;=1,"",IF(AB375=0,"",IF(SUM($G375:AB375)&gt;=1,OFFSET(AB$228,-1,0),"")))</f>
        <v/>
      </c>
      <c r="AC377" s="403" t="str">
        <f ca="1">IF(SUM($G377:AB377)&gt;=1,"",IF(AC375=0,"",IF(SUM($G375:AC375)&gt;=1,OFFSET(AC$228,-1,0),"")))</f>
        <v/>
      </c>
      <c r="AD377" s="403" t="str">
        <f ca="1">IF(SUM($G377:AC377)&gt;=1,"",IF(AD375=0,"",IF(SUM($G375:AD375)&gt;=1,OFFSET(AD$228,-1,0),"")))</f>
        <v/>
      </c>
      <c r="AE377" s="403" t="str">
        <f ca="1">IF(SUM($G377:AD377)&gt;=1,"",IF(AE375=0,"",IF(SUM($G375:AE375)&gt;=1,OFFSET(AE$228,-1,0),"")))</f>
        <v/>
      </c>
      <c r="AF377" s="403" t="str">
        <f ca="1">IF(SUM($G377:AE377)&gt;=1,"",IF(AF375=0,"",IF(SUM($G375:AF375)&gt;=1,OFFSET(AF$228,-1,0),"")))</f>
        <v/>
      </c>
      <c r="AG377" s="403" t="str">
        <f ca="1">IF(SUM($G377:AF377)&gt;=1,"",IF(AG375=0,"",IF(SUM($G375:AG375)&gt;=1,OFFSET(AG$228,-1,0),"")))</f>
        <v/>
      </c>
      <c r="AH377" s="403" t="str">
        <f ca="1">IF(SUM($G377:AG377)&gt;=1,"",IF(AH375=0,"",IF(SUM($G375:AH375)&gt;=1,OFFSET(AH$228,-1,0),"")))</f>
        <v/>
      </c>
      <c r="AI377" s="403" t="str">
        <f ca="1">IF(SUM($G377:AH377)&gt;=1,"",IF(AI375=0,"",IF(SUM($G375:AI375)&gt;=1,OFFSET(AI$228,-1,0),"")))</f>
        <v/>
      </c>
      <c r="AJ377" s="403" t="str">
        <f ca="1">IF(SUM($G377:AI377)&gt;=1,"",IF(AJ375=0,"",IF(SUM($G375:AJ375)&gt;=1,OFFSET(AJ$228,-1,0),"")))</f>
        <v/>
      </c>
      <c r="AK377" s="403" t="str">
        <f ca="1">IF(SUM($G377:AJ377)&gt;=1,"",IF(AK375=0,"",IF(SUM($G375:AK375)&gt;=1,OFFSET(AK$228,-1,0),"")))</f>
        <v/>
      </c>
      <c r="AL377" s="403" t="str">
        <f ca="1">IF(SUM($G377:AK377)&gt;=1,"",IF(AL375=0,"",IF(SUM($G375:AL375)&gt;=1,OFFSET(AL$228,-1,0),"")))</f>
        <v/>
      </c>
      <c r="AM377" s="403" t="str">
        <f ca="1">IF(SUM($G377:AL377)&gt;=1,"",IF(AM375=0,"",IF(SUM($G375:AM375)&gt;=1,OFFSET(AM$228,-1,0),"")))</f>
        <v/>
      </c>
      <c r="AN377" s="403" t="str">
        <f ca="1">IF(SUM($G377:AM377)&gt;=1,"",IF(AN375=0,"",IF(SUM($G375:AN375)&gt;=1,OFFSET(AN$228,-1,0),"")))</f>
        <v/>
      </c>
      <c r="AO377" s="403" t="str">
        <f ca="1">IF(SUM($G377:AN377)&gt;=1,"",IF(AO375=0,"",IF(SUM($G375:AO375)&gt;=1,OFFSET(AO$228,-1,0),"")))</f>
        <v/>
      </c>
      <c r="AP377" s="403" t="str">
        <f ca="1">IF(SUM($G377:AO377)&gt;=1,"",IF(AP375=0,"",IF(SUM($G375:AP375)&gt;=1,OFFSET(AP$228,-1,0),"")))</f>
        <v/>
      </c>
      <c r="AQ377" s="403" t="str">
        <f ca="1">IF(SUM($G377:AP377)&gt;=1,"",IF(AQ375=0,"",IF(SUM($G375:AQ375)&gt;=1,OFFSET(AQ$228,-1,0),"")))</f>
        <v/>
      </c>
      <c r="AR377" s="403" t="str">
        <f ca="1">IF(SUM($G377:AQ377)&gt;=1,"",IF(AR375=0,"",IF(SUM($G375:AR375)&gt;=1,OFFSET(AR$228,-1,0),"")))</f>
        <v/>
      </c>
      <c r="AS377" s="403" t="str">
        <f ca="1">IF(SUM($G377:AR377)&gt;=1,"",IF(AS375=0,"",IF(SUM($G375:AS375)&gt;=1,OFFSET(AS$228,-1,0),"")))</f>
        <v/>
      </c>
      <c r="AT377" s="403" t="str">
        <f ca="1">IF(SUM($G377:AS377)&gt;=1,"",IF(AT375=0,"",IF(SUM($G375:AT375)&gt;=1,OFFSET(AT$228,-1,0),"")))</f>
        <v/>
      </c>
      <c r="AU377" s="403" t="str">
        <f ca="1">IF(SUM($G377:AT377)&gt;=1,"",IF(AU375=0,"",IF(SUM($G375:AU375)&gt;=1,OFFSET(AU$228,-1,0),"")))</f>
        <v/>
      </c>
      <c r="AV377" s="403" t="str">
        <f ca="1">IF(SUM($G377:AU377)&gt;=1,"",IF(AV375=0,"",IF(SUM($G375:AV375)&gt;=1,OFFSET(AV$228,-1,0),"")))</f>
        <v/>
      </c>
      <c r="AW377" s="403" t="str">
        <f ca="1">IF(SUM($G377:AV377)&gt;=1,"",IF(AW375=0,"",IF(SUM($G375:AW375)&gt;=1,OFFSET(AW$228,-1,0),"")))</f>
        <v/>
      </c>
      <c r="AX377" s="403" t="str">
        <f ca="1">IF(SUM($G377:AW377)&gt;=1,"",IF(AX375=0,"",IF(SUM($G375:AX375)&gt;=1,OFFSET(AX$228,-1,0),"")))</f>
        <v/>
      </c>
      <c r="AY377" s="403" t="str">
        <f ca="1">IF(SUM($G377:AX377)&gt;=1,"",IF(AY375=0,"",IF(SUM($G375:AY375)&gt;=1,OFFSET(AY$228,-1,0),"")))</f>
        <v/>
      </c>
      <c r="AZ377" s="403" t="str">
        <f ca="1">IF(SUM($G377:AY377)&gt;=1,"",IF(AZ375=0,"",IF(SUM($G375:AZ375)&gt;=1,OFFSET(AZ$228,-1,0),"")))</f>
        <v/>
      </c>
      <c r="BA377" s="403" t="str">
        <f ca="1">IF(SUM($G377:AZ377)&gt;=1,"",IF(BA375=0,"",IF(SUM($G375:BA375)&gt;=1,OFFSET(BA$228,-1,0),"")))</f>
        <v/>
      </c>
      <c r="BB377" s="403" t="str">
        <f ca="1">IF(SUM($G377:BA377)&gt;=1,"",IF(BB375=0,"",IF(SUM($G375:BB375)&gt;=1,OFFSET(BB$228,-1,0),"")))</f>
        <v/>
      </c>
      <c r="BC377" s="403" t="str">
        <f ca="1">IF(SUM($G377:BB377)&gt;=1,"",IF(BC375=0,"",IF(SUM($G375:BC375)&gt;=1,OFFSET(BC$228,-1,0),"")))</f>
        <v/>
      </c>
      <c r="BD377" s="403" t="str">
        <f ca="1">IF(SUM($G377:BC377)&gt;=1,"",IF(BD375=0,"",IF(SUM($G375:BD375)&gt;=1,OFFSET(BD$228,-1,0),"")))</f>
        <v/>
      </c>
      <c r="BE377" s="403" t="str">
        <f ca="1">IF(SUM($G377:BD377)&gt;=1,"",IF(BE375=0,"",IF(SUM($G375:BE375)&gt;=1,OFFSET(BE$228,-1,0),"")))</f>
        <v/>
      </c>
      <c r="BF377" s="403" t="str">
        <f ca="1">IF(SUM($G377:BE377)&gt;=1,"",IF(BF375=0,"",IF(SUM($G375:BF375)&gt;=1,OFFSET(BF$228,-1,0),"")))</f>
        <v/>
      </c>
      <c r="BG377" s="403" t="str">
        <f ca="1">IF(SUM($G377:BF377)&gt;=1,"",IF(BG375=0,"",IF(SUM($G375:BG375)&gt;=1,OFFSET(BG$228,-1,0),"")))</f>
        <v/>
      </c>
      <c r="BH377" s="403" t="str">
        <f ca="1">IF(SUM($G377:BG377)&gt;=1,"",IF(BH375=0,"",IF(SUM($G375:BH375)&gt;=1,OFFSET(BH$228,-1,0),"")))</f>
        <v/>
      </c>
      <c r="BI377" s="403" t="str">
        <f ca="1">IF(SUM($G377:BH377)&gt;=1,"",IF(BI375=0,"",IF(SUM($G375:BI375)&gt;=1,OFFSET(BI$228,-1,0),"")))</f>
        <v/>
      </c>
      <c r="BJ377" s="403" t="str">
        <f ca="1">IF(SUM($G377:BI377)&gt;=1,"",IF(BJ375=0,"",IF(SUM($G375:BJ375)&gt;=1,OFFSET(BJ$228,-1,0),"")))</f>
        <v/>
      </c>
      <c r="BK377" s="403" t="str">
        <f ca="1">IF(SUM($G377:BJ377)&gt;=1,"",IF(BK375=0,"",IF(SUM($G375:BK375)&gt;=1,OFFSET(BK$228,-1,0),"")))</f>
        <v/>
      </c>
      <c r="BL377" s="403" t="str">
        <f ca="1">IF(SUM($G377:BK377)&gt;=1,"",IF(BL375=0,"",IF(SUM($G375:BL375)&gt;=1,OFFSET(BL$228,-1,0),"")))</f>
        <v/>
      </c>
      <c r="BM377" s="403" t="str">
        <f ca="1">IF(SUM($G377:BL377)&gt;=1,"",IF(BM375=0,"",IF(SUM($G375:BM375)&gt;=1,OFFSET(BM$228,-1,0),"")))</f>
        <v/>
      </c>
      <c r="BN377" s="403" t="str">
        <f ca="1">IF(SUM($G377:BM377)&gt;=1,"",IF(BN375=0,"",IF(SUM($G375:BN375)&gt;=1,OFFSET(BN$228,-1,0),"")))</f>
        <v/>
      </c>
      <c r="BO377" s="403" t="str">
        <f ca="1">IF(SUM($G377:BN377)&gt;=1,"",IF(BO375=0,"",IF(SUM($G375:BO375)&gt;=1,OFFSET(BO$228,-1,0),"")))</f>
        <v/>
      </c>
      <c r="BP377" s="403" t="str">
        <f ca="1">IF(SUM($G377:BO377)&gt;=1,"",IF(BP375=0,"",IF(SUM($G375:BP375)&gt;=1,OFFSET(BP$228,-1,0),"")))</f>
        <v/>
      </c>
      <c r="BQ377" s="403" t="str">
        <f ca="1">IF(SUM($G377:BP377)&gt;=1,"",IF(BQ375=0,"",IF(SUM($G375:BQ375)&gt;=1,OFFSET(BQ$228,-1,0),"")))</f>
        <v/>
      </c>
      <c r="BR377" s="403" t="str">
        <f ca="1">IF(SUM($G377:BQ377)&gt;=1,"",IF(BR375=0,"",IF(SUM($G375:BR375)&gt;=1,OFFSET(BR$228,-1,0),"")))</f>
        <v/>
      </c>
      <c r="BS377" s="403" t="str">
        <f ca="1">IF(SUM($G377:BR377)&gt;=1,"",IF(BS375=0,"",IF(SUM($G375:BS375)&gt;=1,OFFSET(BS$228,-1,0),"")))</f>
        <v/>
      </c>
      <c r="BT377" s="403" t="str">
        <f ca="1">IF(SUM($G377:BS377)&gt;=1,"",IF(BT375=0,"",IF(SUM($G375:BT375)&gt;=1,OFFSET(BT$228,-1,0),"")))</f>
        <v/>
      </c>
      <c r="BU377" s="403" t="str">
        <f ca="1">IF(SUM($G377:BT377)&gt;=1,"",IF(BU375=0,"",IF(SUM($G375:BU375)&gt;=1,OFFSET(BU$228,-1,0),"")))</f>
        <v/>
      </c>
      <c r="BV377" s="403" t="str">
        <f ca="1">IF(SUM($G377:BU377)&gt;=1,"",IF(BV375=0,"",IF(SUM($G375:BV375)&gt;=1,OFFSET(BV$228,-1,0),"")))</f>
        <v/>
      </c>
      <c r="BW377" s="403" t="str">
        <f ca="1">IF(SUM($G377:BV377)&gt;=1,"",IF(BW375=0,"",IF(SUM($G375:BW375)&gt;=1,OFFSET(BW$228,-1,0),"")))</f>
        <v/>
      </c>
      <c r="BX377" s="403" t="str">
        <f ca="1">IF(SUM($G377:BW377)&gt;=1,"",IF(BX375=0,"",IF(SUM($G375:BX375)&gt;=1,OFFSET(BX$228,-1,0),"")))</f>
        <v/>
      </c>
      <c r="BY377" s="403" t="str">
        <f ca="1">IF(SUM($G377:BX377)&gt;=1,"",IF(BY375=0,"",IF(SUM($G375:BY375)&gt;=1,OFFSET(BY$228,-1,0),"")))</f>
        <v/>
      </c>
      <c r="BZ377" s="403" t="str">
        <f ca="1">IF(SUM($G377:BY377)&gt;=1,"",IF(BZ375=0,"",IF(SUM($G375:BZ375)&gt;=1,OFFSET(BZ$228,-1,0),"")))</f>
        <v/>
      </c>
      <c r="CA377" s="403" t="str">
        <f ca="1">IF(SUM($G377:BZ377)&gt;=1,"",IF(CA375=0,"",IF(SUM($G375:CA375)&gt;=1,OFFSET(CA$228,-1,0),"")))</f>
        <v/>
      </c>
      <c r="CB377" s="403" t="str">
        <f ca="1">IF(SUM($G377:CA377)&gt;=1,"",IF(CB375=0,"",IF(SUM($G375:CB375)&gt;=1,OFFSET(CB$228,-1,0),"")))</f>
        <v/>
      </c>
      <c r="CC377" s="403" t="str">
        <f ca="1">IF(SUM($G377:CB377)&gt;=1,"",IF(CC375=0,"",IF(SUM($G375:CC375)&gt;=1,OFFSET(CC$228,-1,0),"")))</f>
        <v/>
      </c>
      <c r="CD377" s="403" t="str">
        <f ca="1">IF(SUM($G377:CC377)&gt;=1,"",IF(CD375=0,"",IF(SUM($G375:CD375)&gt;=1,OFFSET(CD$228,-1,0),"")))</f>
        <v/>
      </c>
      <c r="CE377" s="403" t="str">
        <f ca="1">IF(SUM($G377:CD377)&gt;=1,"",IF(CE375=0,"",IF(SUM($G375:CE375)&gt;=1,OFFSET(CE$228,-1,0),"")))</f>
        <v/>
      </c>
      <c r="CF377" s="403" t="str">
        <f ca="1">IF(SUM($G377:CE377)&gt;=1,"",IF(CF375=0,"",IF(SUM($G375:CF375)&gt;=1,OFFSET(CF$228,-1,0),"")))</f>
        <v/>
      </c>
      <c r="CG377" s="403" t="str">
        <f ca="1">IF(SUM($G377:CF377)&gt;=1,"",IF(CG375=0,"",IF(SUM($G375:CG375)&gt;=1,OFFSET(CG$228,-1,0),"")))</f>
        <v/>
      </c>
      <c r="CH377" s="403" t="str">
        <f ca="1">IF(SUM($G377:CG377)&gt;=1,"",IF(CH375=0,"",IF(SUM($G375:CH375)&gt;=1,OFFSET(CH$228,-1,0),"")))</f>
        <v/>
      </c>
      <c r="CI377" s="403" t="str">
        <f ca="1">IF(SUM($G377:CH377)&gt;=1,"",IF(CI375=0,"",IF(SUM($G375:CI375)&gt;=1,OFFSET(CI$228,-1,0),"")))</f>
        <v/>
      </c>
      <c r="CJ377" s="403" t="str">
        <f ca="1">IF(SUM($G377:CI377)&gt;=1,"",IF(CJ375=0,"",IF(SUM($G375:CJ375)&gt;=1,OFFSET(CJ$228,-1,0),"")))</f>
        <v/>
      </c>
      <c r="CK377" s="403" t="str">
        <f ca="1">IF(SUM($G377:CJ377)&gt;=1,"",IF(CK375=0,"",IF(SUM($G375:CK375)&gt;=1,OFFSET(CK$228,-1,0),"")))</f>
        <v/>
      </c>
      <c r="CL377" s="403" t="str">
        <f ca="1">IF(SUM($G377:CK377)&gt;=1,"",IF(CL375=0,"",IF(SUM($G375:CL375)&gt;=1,OFFSET(CL$228,-1,0),"")))</f>
        <v/>
      </c>
      <c r="CM377" s="403" t="str">
        <f ca="1">IF(SUM($G377:CL377)&gt;=1,"",IF(CM375=0,"",IF(SUM($G375:CM375)&gt;=1,OFFSET(CM$228,-1,0),"")))</f>
        <v/>
      </c>
      <c r="CN377" s="403" t="str">
        <f ca="1">IF(SUM($G377:CM377)&gt;=1,"",IF(CN375=0,"",IF(SUM($G375:CN375)&gt;=1,OFFSET(CN$228,-1,0),"")))</f>
        <v/>
      </c>
      <c r="CO377" s="403" t="str">
        <f ca="1">IF(SUM($G377:CN377)&gt;=1,"",IF(CO375=0,"",IF(SUM($G375:CO375)&gt;=1,OFFSET(CO$228,-1,0),"")))</f>
        <v/>
      </c>
      <c r="CP377" s="403" t="str">
        <f ca="1">IF(SUM($G377:CO377)&gt;=1,"",IF(CP375=0,"",IF(SUM($G375:CP375)&gt;=1,OFFSET(CP$228,-1,0),"")))</f>
        <v/>
      </c>
      <c r="CQ377" s="403" t="str">
        <f ca="1">IF(SUM($G377:CP377)&gt;=1,"",IF(CQ375=0,"",IF(SUM($G375:CQ375)&gt;=1,OFFSET(CQ$228,-1,0),"")))</f>
        <v/>
      </c>
      <c r="CR377" s="403" t="str">
        <f ca="1">IF(SUM($G377:CQ377)&gt;=1,"",IF(CR375=0,"",IF(SUM($G375:CR375)&gt;=1,OFFSET(CR$228,-1,0),"")))</f>
        <v/>
      </c>
      <c r="CS377" s="403" t="str">
        <f ca="1">IF(SUM($G377:CR377)&gt;=1,"",IF(CS375=0,"",IF(SUM($G375:CS375)&gt;=1,OFFSET(CS$228,-1,0),"")))</f>
        <v/>
      </c>
      <c r="CT377" s="403" t="str">
        <f ca="1">IF(SUM($G377:CS377)&gt;=1,"",IF(CT375=0,"",IF(SUM($G375:CT375)&gt;=1,OFFSET(CT$228,-1,0),"")))</f>
        <v/>
      </c>
      <c r="CU377" s="403" t="str">
        <f ca="1">IF(SUM($G377:CT377)&gt;=1,"",IF(CU375=0,"",IF(SUM($G375:CU375)&gt;=1,OFFSET(CU$228,-1,0),"")))</f>
        <v/>
      </c>
      <c r="CV377" s="403" t="str">
        <f ca="1">IF(SUM($G377:CU377)&gt;=1,"",IF(CV375=0,"",IF(SUM($G375:CV375)&gt;=1,OFFSET(CV$228,-1,0),"")))</f>
        <v/>
      </c>
      <c r="CW377" s="403" t="str">
        <f ca="1">IF(SUM($G377:CV377)&gt;=1,"",IF(CW375=0,"",IF(SUM($G375:CW375)&gt;=1,OFFSET(CW$228,-1,0),"")))</f>
        <v/>
      </c>
      <c r="CX377" s="403" t="str">
        <f ca="1">IF(SUM($G377:CW377)&gt;=1,"",IF(CX375=0,"",IF(SUM($G375:CX375)&gt;=1,OFFSET(CX$228,-1,0),"")))</f>
        <v/>
      </c>
      <c r="CY377" s="403" t="str">
        <f ca="1">IF(SUM($G377:CX377)&gt;=1,"",IF(CY375=0,"",IF(SUM($G375:CY375)&gt;=1,OFFSET(CY$228,-1,0),"")))</f>
        <v/>
      </c>
      <c r="CZ377" s="403" t="str">
        <f ca="1">IF(SUM($G377:CY377)&gt;=1,"",IF(CZ375=0,"",IF(SUM($G375:CZ375)&gt;=1,OFFSET(CZ$228,-1,0),"")))</f>
        <v/>
      </c>
      <c r="DA377" s="403" t="str">
        <f ca="1">IF(SUM($G377:CZ377)&gt;=1,"",IF(DA375=0,"",IF(SUM($G375:DA375)&gt;=1,OFFSET(DA$228,-1,0),"")))</f>
        <v/>
      </c>
      <c r="DB377" s="403" t="str">
        <f ca="1">IF(SUM($G377:DA377)&gt;=1,"",IF(DB375=0,"",IF(SUM($G375:DB375)&gt;=1,OFFSET(DB$228,-1,0),"")))</f>
        <v/>
      </c>
      <c r="DC377" s="403" t="str">
        <f ca="1">IF(SUM($G377:DB377)&gt;=1,"",IF(DC375=0,"",IF(SUM($G375:DC375)&gt;=1,OFFSET(DC$228,-1,0),"")))</f>
        <v/>
      </c>
      <c r="DD377" s="403" t="str">
        <f ca="1">IF(SUM($G377:DC377)&gt;=1,"",IF(DD375=0,"",IF(SUM($G375:DD375)&gt;=1,OFFSET(DD$228,-1,0),"")))</f>
        <v/>
      </c>
      <c r="DE377" s="403" t="str">
        <f ca="1">IF(SUM($G377:DD377)&gt;=1,"",IF(DE375=0,"",IF(SUM($G375:DE375)&gt;=1,OFFSET(DE$228,-1,0),"")))</f>
        <v/>
      </c>
      <c r="DF377" s="403" t="str">
        <f ca="1">IF(SUM($G377:DE377)&gt;=1,"",IF(DF375=0,"",IF(SUM($G375:DF375)&gt;=1,OFFSET(DF$228,-1,0),"")))</f>
        <v/>
      </c>
      <c r="DG377" s="403" t="str">
        <f ca="1">IF(SUM($G377:DF377)&gt;=1,"",IF(DG375=0,"",IF(SUM($G375:DG375)&gt;=1,OFFSET(DG$228,-1,0),"")))</f>
        <v/>
      </c>
      <c r="DH377" s="403" t="str">
        <f ca="1">IF(SUM($G377:DG377)&gt;=1,"",IF(DH375=0,"",IF(SUM($G375:DH375)&gt;=1,OFFSET(DH$228,-1,0),"")))</f>
        <v/>
      </c>
      <c r="DI377" s="403" t="str">
        <f ca="1">IF(SUM($G377:DH377)&gt;=1,"",IF(DI375=0,"",IF(SUM($G375:DI375)&gt;=1,OFFSET(DI$228,-1,0),"")))</f>
        <v/>
      </c>
      <c r="DJ377" s="403" t="str">
        <f ca="1">IF(SUM($G377:DI377)&gt;=1,"",IF(DJ375=0,"",IF(SUM($G375:DJ375)&gt;=1,OFFSET(DJ$228,-1,0),"")))</f>
        <v/>
      </c>
      <c r="DK377" s="403" t="str">
        <f ca="1">IF(SUM($G377:DJ377)&gt;=1,"",IF(DK375=0,"",IF(SUM($G375:DK375)&gt;=1,OFFSET(DK$228,-1,0),"")))</f>
        <v/>
      </c>
      <c r="DL377" s="403" t="str">
        <f ca="1">IF(SUM($G377:DK377)&gt;=1,"",IF(DL375=0,"",IF(SUM($G375:DL375)&gt;=1,OFFSET(DL$228,-1,0),"")))</f>
        <v/>
      </c>
      <c r="DM377" s="403" t="str">
        <f ca="1">IF(SUM($G377:DL377)&gt;=1,"",IF(DM375=0,"",IF(SUM($G375:DM375)&gt;=1,OFFSET(DM$228,-1,0),"")))</f>
        <v/>
      </c>
      <c r="DN377" s="403" t="str">
        <f ca="1">IF(SUM($G377:DM377)&gt;=1,"",IF(DN375=0,"",IF(SUM($G375:DN375)&gt;=1,OFFSET(DN$228,-1,0),"")))</f>
        <v/>
      </c>
      <c r="DO377" s="403" t="str">
        <f ca="1">IF(SUM($G377:DN377)&gt;=1,"",IF(DO375=0,"",IF(SUM($G375:DO375)&gt;=1,OFFSET(DO$228,-1,0),"")))</f>
        <v/>
      </c>
      <c r="DP377" s="403" t="str">
        <f ca="1">IF(SUM($G377:DO377)&gt;=1,"",IF(DP375=0,"",IF(SUM($G375:DP375)&gt;=1,OFFSET(DP$228,-1,0),"")))</f>
        <v/>
      </c>
      <c r="DQ377" s="403" t="str">
        <f ca="1">IF(SUM($G377:DP377)&gt;=1,"",IF(DQ375=0,"",IF(SUM($G375:DQ375)&gt;=1,OFFSET(DQ$228,-1,0),"")))</f>
        <v/>
      </c>
      <c r="DR377" s="403" t="str">
        <f ca="1">IF(SUM($G377:DQ377)&gt;=1,"",IF(DR375=0,"",IF(SUM($G375:DR375)&gt;=1,OFFSET(DR$228,-1,0),"")))</f>
        <v/>
      </c>
      <c r="DS377" s="403" t="str">
        <f ca="1">IF(SUM($G377:DR377)&gt;=1,"",IF(DS375=0,"",IF(SUM($G375:DS375)&gt;=1,OFFSET(DS$228,-1,0),"")))</f>
        <v/>
      </c>
      <c r="DT377" s="403" t="str">
        <f ca="1">IF(SUM($G377:DS377)&gt;=1,"",IF(DT375=0,"",IF(SUM($G375:DT375)&gt;=1,OFFSET(DT$228,-1,0),"")))</f>
        <v/>
      </c>
      <c r="DU377" s="403" t="str">
        <f ca="1">IF(SUM($G377:DT377)&gt;=1,"",IF(DU375=0,"",IF(SUM($G375:DU375)&gt;=1,OFFSET(DU$228,-1,0),"")))</f>
        <v/>
      </c>
      <c r="DV377" s="403" t="str">
        <f ca="1">IF(SUM($G377:DU377)&gt;=1,"",IF(DV375=0,"",IF(SUM($G375:DV375)&gt;=1,OFFSET(DV$228,-1,0),"")))</f>
        <v/>
      </c>
      <c r="DW377" s="403" t="str">
        <f ca="1">IF(SUM($G377:DV377)&gt;=1,"",IF(DW375=0,"",IF(SUM($G375:DW375)&gt;=1,OFFSET(DW$228,-1,0),"")))</f>
        <v/>
      </c>
      <c r="DX377" s="403" t="str">
        <f ca="1">IF(SUM($G377:DW377)&gt;=1,"",IF(DX375=0,"",IF(SUM($G375:DX375)&gt;=1,OFFSET(DX$228,-1,0),"")))</f>
        <v/>
      </c>
      <c r="DY377" s="403" t="str">
        <f ca="1">IF(SUM($G377:DX377)&gt;=1,"",IF(DY375=0,"",IF(SUM($G375:DY375)&gt;=1,OFFSET(DY$228,-1,0),"")))</f>
        <v/>
      </c>
      <c r="DZ377" s="403" t="str">
        <f ca="1">IF(SUM($G377:DY377)&gt;=1,"",IF(DZ375=0,"",IF(SUM($G375:DZ375)&gt;=1,OFFSET(DZ$228,-1,0),"")))</f>
        <v/>
      </c>
      <c r="EA377" s="403" t="str">
        <f ca="1">IF(SUM($G377:DZ377)&gt;=1,"",IF(EA375=0,"",IF(SUM($G375:EA375)&gt;=1,OFFSET(EA$228,-1,0),"")))</f>
        <v/>
      </c>
      <c r="EB377" s="403" t="str">
        <f ca="1">IF(SUM($G377:EA377)&gt;=1,"",IF(EB375=0,"",IF(SUM($G375:EB375)&gt;=1,OFFSET(EB$228,-1,0),"")))</f>
        <v/>
      </c>
      <c r="EC377" s="403" t="str">
        <f ca="1">IF(SUM($G377:EB377)&gt;=1,"",IF(EC375=0,"",IF(SUM($G375:EC375)&gt;=1,OFFSET(EC$228,-1,0),"")))</f>
        <v/>
      </c>
      <c r="ED377" s="403" t="str">
        <f ca="1">IF(SUM($G377:EC377)&gt;=1,"",IF(ED375=0,"",IF(SUM($G375:ED375)&gt;=1,OFFSET(ED$228,-1,0),"")))</f>
        <v/>
      </c>
      <c r="EE377" s="403" t="str">
        <f ca="1">IF(SUM($G377:ED377)&gt;=1,"",IF(EE375=0,"",IF(SUM($G375:EE375)&gt;=1,OFFSET(EE$228,-1,0),"")))</f>
        <v/>
      </c>
      <c r="EF377" s="403" t="str">
        <f ca="1">IF(SUM($G377:EE377)&gt;=1,"",IF(EF375=0,"",IF(SUM($G375:EF375)&gt;=1,OFFSET(EF$228,-1,0),"")))</f>
        <v/>
      </c>
      <c r="EG377" s="403" t="str">
        <f ca="1">IF(SUM($G377:EF377)&gt;=1,"",IF(EG375=0,"",IF(SUM($G375:EG375)&gt;=1,OFFSET(EG$228,-1,0),"")))</f>
        <v/>
      </c>
      <c r="EH377" s="403" t="str">
        <f ca="1">IF(SUM($G377:EG377)&gt;=1,"",IF(EH375=0,"",IF(SUM($G375:EH375)&gt;=1,OFFSET(EH$228,-1,0),"")))</f>
        <v/>
      </c>
      <c r="EI377" s="403" t="str">
        <f ca="1">IF(SUM($G377:EH377)&gt;=1,"",IF(EI375=0,"",IF(SUM($G375:EI375)&gt;=1,OFFSET(EI$228,-1,0),"")))</f>
        <v/>
      </c>
    </row>
    <row r="378" spans="1:141" s="321" customFormat="1" hidden="1" outlineLevel="2">
      <c r="A378" s="332"/>
      <c r="C378" s="305"/>
      <c r="D378" s="305" t="s">
        <v>671</v>
      </c>
      <c r="E378" s="1002" t="str">
        <f>IF(E375=0,"",MIN(G378:EI378))</f>
        <v/>
      </c>
      <c r="F378" s="1003"/>
      <c r="G378" s="403" t="str">
        <f>IF(G375=0,"",IF(G375=G$3,G377,G$5+H$5-G379-1))</f>
        <v/>
      </c>
      <c r="H378" s="403" t="str">
        <f>IF(H375=0,"",IF(H375=H$3,H377,H$5+I$5-H379-1))</f>
        <v/>
      </c>
      <c r="I378" s="403" t="str">
        <f>IF(I375=0,"",IF(I375=I$3,I377,I$5+J$5-I379-1))</f>
        <v/>
      </c>
      <c r="J378" s="403" t="str">
        <f t="shared" ref="J378" si="549">IF(J375=0,"",IF(J375=J$3,J377,J$5+K$5-J379-1))</f>
        <v/>
      </c>
      <c r="K378" s="403" t="str">
        <f t="shared" ref="K378" si="550">IF(K375=0,"",IF(K375=K$3,K377,K$5+L$5-K379-1))</f>
        <v/>
      </c>
      <c r="L378" s="403" t="str">
        <f t="shared" ref="L378" si="551">IF(L375=0,"",IF(L375=L$3,L377,L$5+M$5-L379-1))</f>
        <v/>
      </c>
      <c r="M378" s="403" t="str">
        <f t="shared" ref="M378" si="552">IF(M375=0,"",IF(M375=M$3,M377,M$5+N$5-M379-1))</f>
        <v/>
      </c>
      <c r="N378" s="403" t="str">
        <f t="shared" ref="N378" si="553">IF(N375=0,"",IF(N375=N$3,N377,N$5+O$5-N379-1))</f>
        <v/>
      </c>
      <c r="O378" s="403" t="str">
        <f t="shared" ref="O378" si="554">IF(O375=0,"",IF(O375=O$3,O377,O$5+P$5-O379-1))</f>
        <v/>
      </c>
      <c r="P378" s="403" t="str">
        <f t="shared" ref="P378" si="555">IF(P375=0,"",IF(P375=P$3,P377,P$5+Q$5-P379-1))</f>
        <v/>
      </c>
      <c r="Q378" s="403" t="str">
        <f t="shared" ref="Q378" si="556">IF(Q375=0,"",IF(Q375=Q$3,Q377,Q$5+R$5-Q379-1))</f>
        <v/>
      </c>
      <c r="R378" s="403" t="str">
        <f t="shared" ref="R378" si="557">IF(R375=0,"",IF(R375=R$3,R377,R$5+S$5-R379-1))</f>
        <v/>
      </c>
      <c r="S378" s="403" t="str">
        <f t="shared" ref="S378" si="558">IF(S375=0,"",IF(S375=S$3,S377,S$5+T$5-S379-1))</f>
        <v/>
      </c>
      <c r="T378" s="403" t="str">
        <f t="shared" ref="T378" si="559">IF(T375=0,"",IF(T375=T$3,T377,T$5+U$5-T379-1))</f>
        <v/>
      </c>
      <c r="U378" s="403" t="str">
        <f t="shared" ref="U378" si="560">IF(U375=0,"",IF(U375=U$3,U377,U$5+V$5-U379-1))</f>
        <v/>
      </c>
      <c r="V378" s="403" t="str">
        <f t="shared" ref="V378" si="561">IF(V375=0,"",IF(V375=V$3,V377,V$5+W$5-V379-1))</f>
        <v/>
      </c>
      <c r="W378" s="403" t="str">
        <f t="shared" ref="W378" si="562">IF(W375=0,"",IF(W375=W$3,W377,W$5+X$5-W379-1))</f>
        <v/>
      </c>
      <c r="X378" s="403" t="str">
        <f t="shared" ref="X378" si="563">IF(X375=0,"",IF(X375=X$3,X377,X$5+Y$5-X379-1))</f>
        <v/>
      </c>
      <c r="Y378" s="403" t="str">
        <f t="shared" ref="Y378" si="564">IF(Y375=0,"",IF(Y375=Y$3,Y377,Y$5+Z$5-Y379-1))</f>
        <v/>
      </c>
      <c r="Z378" s="403" t="str">
        <f t="shared" ref="Z378" si="565">IF(Z375=0,"",IF(Z375=Z$3,Z377,Z$5+AA$5-Z379-1))</f>
        <v/>
      </c>
      <c r="AA378" s="403" t="str">
        <f t="shared" ref="AA378" si="566">IF(AA375=0,"",IF(AA375=AA$3,AA377,AA$5+AB$5-AA379-1))</f>
        <v/>
      </c>
      <c r="AB378" s="403" t="str">
        <f t="shared" ref="AB378" si="567">IF(AB375=0,"",IF(AB375=AB$3,AB377,AB$5+AC$5-AB379-1))</f>
        <v/>
      </c>
      <c r="AC378" s="403" t="str">
        <f t="shared" ref="AC378" si="568">IF(AC375=0,"",IF(AC375=AC$3,AC377,AC$5+AD$5-AC379-1))</f>
        <v/>
      </c>
      <c r="AD378" s="403" t="str">
        <f t="shared" ref="AD378" si="569">IF(AD375=0,"",IF(AD375=AD$3,AD377,AD$5+AE$5-AD379-1))</f>
        <v/>
      </c>
      <c r="AE378" s="403" t="str">
        <f t="shared" ref="AE378" si="570">IF(AE375=0,"",IF(AE375=AE$3,AE377,AE$5+AF$5-AE379-1))</f>
        <v/>
      </c>
      <c r="AF378" s="403" t="str">
        <f t="shared" ref="AF378" si="571">IF(AF375=0,"",IF(AF375=AF$3,AF377,AF$5+AG$5-AF379-1))</f>
        <v/>
      </c>
      <c r="AG378" s="403" t="str">
        <f t="shared" ref="AG378" si="572">IF(AG375=0,"",IF(AG375=AG$3,AG377,AG$5+AH$5-AG379-1))</f>
        <v/>
      </c>
      <c r="AH378" s="403" t="str">
        <f t="shared" ref="AH378" si="573">IF(AH375=0,"",IF(AH375=AH$3,AH377,AH$5+AI$5-AH379-1))</f>
        <v/>
      </c>
      <c r="AI378" s="403" t="str">
        <f t="shared" ref="AI378" si="574">IF(AI375=0,"",IF(AI375=AI$3,AI377,AI$5+AJ$5-AI379-1))</f>
        <v/>
      </c>
      <c r="AJ378" s="403" t="str">
        <f t="shared" ref="AJ378" si="575">IF(AJ375=0,"",IF(AJ375=AJ$3,AJ377,AJ$5+AK$5-AJ379-1))</f>
        <v/>
      </c>
      <c r="AK378" s="403" t="str">
        <f t="shared" ref="AK378" si="576">IF(AK375=0,"",IF(AK375=AK$3,AK377,AK$5+AL$5-AK379-1))</f>
        <v/>
      </c>
      <c r="AL378" s="403" t="str">
        <f t="shared" ref="AL378" si="577">IF(AL375=0,"",IF(AL375=AL$3,AL377,AL$5+AM$5-AL379-1))</f>
        <v/>
      </c>
      <c r="AM378" s="403" t="str">
        <f t="shared" ref="AM378" si="578">IF(AM375=0,"",IF(AM375=AM$3,AM377,AM$5+AN$5-AM379-1))</f>
        <v/>
      </c>
      <c r="AN378" s="403" t="str">
        <f t="shared" ref="AN378" si="579">IF(AN375=0,"",IF(AN375=AN$3,AN377,AN$5+AO$5-AN379-1))</f>
        <v/>
      </c>
      <c r="AO378" s="403" t="str">
        <f t="shared" ref="AO378" si="580">IF(AO375=0,"",IF(AO375=AO$3,AO377,AO$5+AP$5-AO379-1))</f>
        <v/>
      </c>
      <c r="AP378" s="403" t="str">
        <f t="shared" ref="AP378" si="581">IF(AP375=0,"",IF(AP375=AP$3,AP377,AP$5+AQ$5-AP379-1))</f>
        <v/>
      </c>
      <c r="AQ378" s="403" t="str">
        <f t="shared" ref="AQ378" si="582">IF(AQ375=0,"",IF(AQ375=AQ$3,AQ377,AQ$5+AR$5-AQ379-1))</f>
        <v/>
      </c>
      <c r="AR378" s="403" t="str">
        <f t="shared" ref="AR378" si="583">IF(AR375=0,"",IF(AR375=AR$3,AR377,AR$5+AS$5-AR379-1))</f>
        <v/>
      </c>
      <c r="AS378" s="403" t="str">
        <f t="shared" ref="AS378" si="584">IF(AS375=0,"",IF(AS375=AS$3,AS377,AS$5+AT$5-AS379-1))</f>
        <v/>
      </c>
      <c r="AT378" s="403" t="str">
        <f t="shared" ref="AT378" si="585">IF(AT375=0,"",IF(AT375=AT$3,AT377,AT$5+AU$5-AT379-1))</f>
        <v/>
      </c>
      <c r="AU378" s="403" t="str">
        <f t="shared" ref="AU378" si="586">IF(AU375=0,"",IF(AU375=AU$3,AU377,AU$5+AV$5-AU379-1))</f>
        <v/>
      </c>
      <c r="AV378" s="403" t="str">
        <f t="shared" ref="AV378" si="587">IF(AV375=0,"",IF(AV375=AV$3,AV377,AV$5+AW$5-AV379-1))</f>
        <v/>
      </c>
      <c r="AW378" s="403" t="str">
        <f t="shared" ref="AW378" si="588">IF(AW375=0,"",IF(AW375=AW$3,AW377,AW$5+AX$5-AW379-1))</f>
        <v/>
      </c>
      <c r="AX378" s="403" t="str">
        <f t="shared" ref="AX378" si="589">IF(AX375=0,"",IF(AX375=AX$3,AX377,AX$5+AY$5-AX379-1))</f>
        <v/>
      </c>
      <c r="AY378" s="403" t="str">
        <f t="shared" ref="AY378" si="590">IF(AY375=0,"",IF(AY375=AY$3,AY377,AY$5+AZ$5-AY379-1))</f>
        <v/>
      </c>
      <c r="AZ378" s="403" t="str">
        <f t="shared" ref="AZ378" si="591">IF(AZ375=0,"",IF(AZ375=AZ$3,AZ377,AZ$5+BA$5-AZ379-1))</f>
        <v/>
      </c>
      <c r="BA378" s="403" t="str">
        <f t="shared" ref="BA378" si="592">IF(BA375=0,"",IF(BA375=BA$3,BA377,BA$5+BB$5-BA379-1))</f>
        <v/>
      </c>
      <c r="BB378" s="403" t="str">
        <f t="shared" ref="BB378" si="593">IF(BB375=0,"",IF(BB375=BB$3,BB377,BB$5+BC$5-BB379-1))</f>
        <v/>
      </c>
      <c r="BC378" s="403" t="str">
        <f t="shared" ref="BC378" si="594">IF(BC375=0,"",IF(BC375=BC$3,BC377,BC$5+BD$5-BC379-1))</f>
        <v/>
      </c>
      <c r="BD378" s="403" t="str">
        <f t="shared" ref="BD378" si="595">IF(BD375=0,"",IF(BD375=BD$3,BD377,BD$5+BE$5-BD379-1))</f>
        <v/>
      </c>
      <c r="BE378" s="403" t="str">
        <f t="shared" ref="BE378" si="596">IF(BE375=0,"",IF(BE375=BE$3,BE377,BE$5+BF$5-BE379-1))</f>
        <v/>
      </c>
      <c r="BF378" s="403" t="str">
        <f t="shared" ref="BF378" si="597">IF(BF375=0,"",IF(BF375=BF$3,BF377,BF$5+BG$5-BF379-1))</f>
        <v/>
      </c>
      <c r="BG378" s="403" t="str">
        <f t="shared" ref="BG378" si="598">IF(BG375=0,"",IF(BG375=BG$3,BG377,BG$5+BH$5-BG379-1))</f>
        <v/>
      </c>
      <c r="BH378" s="403" t="str">
        <f t="shared" ref="BH378" si="599">IF(BH375=0,"",IF(BH375=BH$3,BH377,BH$5+BI$5-BH379-1))</f>
        <v/>
      </c>
      <c r="BI378" s="403" t="str">
        <f t="shared" ref="BI378" si="600">IF(BI375=0,"",IF(BI375=BI$3,BI377,BI$5+BJ$5-BI379-1))</f>
        <v/>
      </c>
      <c r="BJ378" s="403" t="str">
        <f t="shared" ref="BJ378" si="601">IF(BJ375=0,"",IF(BJ375=BJ$3,BJ377,BJ$5+BK$5-BJ379-1))</f>
        <v/>
      </c>
      <c r="BK378" s="403" t="str">
        <f t="shared" ref="BK378" si="602">IF(BK375=0,"",IF(BK375=BK$3,BK377,BK$5+BL$5-BK379-1))</f>
        <v/>
      </c>
      <c r="BL378" s="403" t="str">
        <f t="shared" ref="BL378" si="603">IF(BL375=0,"",IF(BL375=BL$3,BL377,BL$5+BM$5-BL379-1))</f>
        <v/>
      </c>
      <c r="BM378" s="403" t="str">
        <f t="shared" ref="BM378" si="604">IF(BM375=0,"",IF(BM375=BM$3,BM377,BM$5+BN$5-BM379-1))</f>
        <v/>
      </c>
      <c r="BN378" s="403" t="str">
        <f t="shared" ref="BN378" si="605">IF(BN375=0,"",IF(BN375=BN$3,BN377,BN$5+BO$5-BN379-1))</f>
        <v/>
      </c>
      <c r="BO378" s="403" t="str">
        <f t="shared" ref="BO378" si="606">IF(BO375=0,"",IF(BO375=BO$3,BO377,BO$5+BP$5-BO379-1))</f>
        <v/>
      </c>
      <c r="BP378" s="403" t="str">
        <f t="shared" ref="BP378" si="607">IF(BP375=0,"",IF(BP375=BP$3,BP377,BP$5+BQ$5-BP379-1))</f>
        <v/>
      </c>
      <c r="BQ378" s="403" t="str">
        <f t="shared" ref="BQ378" si="608">IF(BQ375=0,"",IF(BQ375=BQ$3,BQ377,BQ$5+BR$5-BQ379-1))</f>
        <v/>
      </c>
      <c r="BR378" s="403" t="str">
        <f t="shared" ref="BR378" si="609">IF(BR375=0,"",IF(BR375=BR$3,BR377,BR$5+BS$5-BR379-1))</f>
        <v/>
      </c>
      <c r="BS378" s="403" t="str">
        <f t="shared" ref="BS378" si="610">IF(BS375=0,"",IF(BS375=BS$3,BS377,BS$5+BT$5-BS379-1))</f>
        <v/>
      </c>
      <c r="BT378" s="403" t="str">
        <f t="shared" ref="BT378" si="611">IF(BT375=0,"",IF(BT375=BT$3,BT377,BT$5+BU$5-BT379-1))</f>
        <v/>
      </c>
      <c r="BU378" s="403" t="str">
        <f t="shared" ref="BU378" si="612">IF(BU375=0,"",IF(BU375=BU$3,BU377,BU$5+BV$5-BU379-1))</f>
        <v/>
      </c>
      <c r="BV378" s="403" t="str">
        <f t="shared" ref="BV378" si="613">IF(BV375=0,"",IF(BV375=BV$3,BV377,BV$5+BW$5-BV379-1))</f>
        <v/>
      </c>
      <c r="BW378" s="403" t="str">
        <f t="shared" ref="BW378" si="614">IF(BW375=0,"",IF(BW375=BW$3,BW377,BW$5+BX$5-BW379-1))</f>
        <v/>
      </c>
      <c r="BX378" s="403" t="str">
        <f t="shared" ref="BX378" si="615">IF(BX375=0,"",IF(BX375=BX$3,BX377,BX$5+BY$5-BX379-1))</f>
        <v/>
      </c>
      <c r="BY378" s="403" t="str">
        <f t="shared" ref="BY378" si="616">IF(BY375=0,"",IF(BY375=BY$3,BY377,BY$5+BZ$5-BY379-1))</f>
        <v/>
      </c>
      <c r="BZ378" s="403" t="str">
        <f t="shared" ref="BZ378" si="617">IF(BZ375=0,"",IF(BZ375=BZ$3,BZ377,BZ$5+CA$5-BZ379-1))</f>
        <v/>
      </c>
      <c r="CA378" s="403" t="str">
        <f t="shared" ref="CA378" si="618">IF(CA375=0,"",IF(CA375=CA$3,CA377,CA$5+CB$5-CA379-1))</f>
        <v/>
      </c>
      <c r="CB378" s="403" t="str">
        <f t="shared" ref="CB378" si="619">IF(CB375=0,"",IF(CB375=CB$3,CB377,CB$5+CC$5-CB379-1))</f>
        <v/>
      </c>
      <c r="CC378" s="403" t="str">
        <f t="shared" ref="CC378" si="620">IF(CC375=0,"",IF(CC375=CC$3,CC377,CC$5+CD$5-CC379-1))</f>
        <v/>
      </c>
      <c r="CD378" s="403" t="str">
        <f t="shared" ref="CD378" si="621">IF(CD375=0,"",IF(CD375=CD$3,CD377,CD$5+CE$5-CD379-1))</f>
        <v/>
      </c>
      <c r="CE378" s="403" t="str">
        <f t="shared" ref="CE378" si="622">IF(CE375=0,"",IF(CE375=CE$3,CE377,CE$5+CF$5-CE379-1))</f>
        <v/>
      </c>
      <c r="CF378" s="403" t="str">
        <f t="shared" ref="CF378" si="623">IF(CF375=0,"",IF(CF375=CF$3,CF377,CF$5+CG$5-CF379-1))</f>
        <v/>
      </c>
      <c r="CG378" s="403" t="str">
        <f t="shared" ref="CG378" si="624">IF(CG375=0,"",IF(CG375=CG$3,CG377,CG$5+CH$5-CG379-1))</f>
        <v/>
      </c>
      <c r="CH378" s="403" t="str">
        <f t="shared" ref="CH378" si="625">IF(CH375=0,"",IF(CH375=CH$3,CH377,CH$5+CI$5-CH379-1))</f>
        <v/>
      </c>
      <c r="CI378" s="403" t="str">
        <f t="shared" ref="CI378" si="626">IF(CI375=0,"",IF(CI375=CI$3,CI377,CI$5+CJ$5-CI379-1))</f>
        <v/>
      </c>
      <c r="CJ378" s="403" t="str">
        <f t="shared" ref="CJ378" si="627">IF(CJ375=0,"",IF(CJ375=CJ$3,CJ377,CJ$5+CK$5-CJ379-1))</f>
        <v/>
      </c>
      <c r="CK378" s="403" t="str">
        <f t="shared" ref="CK378" si="628">IF(CK375=0,"",IF(CK375=CK$3,CK377,CK$5+CL$5-CK379-1))</f>
        <v/>
      </c>
      <c r="CL378" s="403" t="str">
        <f t="shared" ref="CL378" si="629">IF(CL375=0,"",IF(CL375=CL$3,CL377,CL$5+CM$5-CL379-1))</f>
        <v/>
      </c>
      <c r="CM378" s="403" t="str">
        <f t="shared" ref="CM378" si="630">IF(CM375=0,"",IF(CM375=CM$3,CM377,CM$5+CN$5-CM379-1))</f>
        <v/>
      </c>
      <c r="CN378" s="403" t="str">
        <f t="shared" ref="CN378" si="631">IF(CN375=0,"",IF(CN375=CN$3,CN377,CN$5+CO$5-CN379-1))</f>
        <v/>
      </c>
      <c r="CO378" s="403" t="str">
        <f t="shared" ref="CO378" si="632">IF(CO375=0,"",IF(CO375=CO$3,CO377,CO$5+CP$5-CO379-1))</f>
        <v/>
      </c>
      <c r="CP378" s="403" t="str">
        <f t="shared" ref="CP378" si="633">IF(CP375=0,"",IF(CP375=CP$3,CP377,CP$5+CQ$5-CP379-1))</f>
        <v/>
      </c>
      <c r="CQ378" s="403" t="str">
        <f t="shared" ref="CQ378" si="634">IF(CQ375=0,"",IF(CQ375=CQ$3,CQ377,CQ$5+CR$5-CQ379-1))</f>
        <v/>
      </c>
      <c r="CR378" s="403" t="str">
        <f t="shared" ref="CR378" si="635">IF(CR375=0,"",IF(CR375=CR$3,CR377,CR$5+CS$5-CR379-1))</f>
        <v/>
      </c>
      <c r="CS378" s="403" t="str">
        <f t="shared" ref="CS378" si="636">IF(CS375=0,"",IF(CS375=CS$3,CS377,CS$5+CT$5-CS379-1))</f>
        <v/>
      </c>
      <c r="CT378" s="403" t="str">
        <f t="shared" ref="CT378" si="637">IF(CT375=0,"",IF(CT375=CT$3,CT377,CT$5+CU$5-CT379-1))</f>
        <v/>
      </c>
      <c r="CU378" s="403" t="str">
        <f t="shared" ref="CU378" si="638">IF(CU375=0,"",IF(CU375=CU$3,CU377,CU$5+CV$5-CU379-1))</f>
        <v/>
      </c>
      <c r="CV378" s="403" t="str">
        <f t="shared" ref="CV378" si="639">IF(CV375=0,"",IF(CV375=CV$3,CV377,CV$5+CW$5-CV379-1))</f>
        <v/>
      </c>
      <c r="CW378" s="403" t="str">
        <f t="shared" ref="CW378" si="640">IF(CW375=0,"",IF(CW375=CW$3,CW377,CW$5+CX$5-CW379-1))</f>
        <v/>
      </c>
      <c r="CX378" s="403" t="str">
        <f t="shared" ref="CX378" si="641">IF(CX375=0,"",IF(CX375=CX$3,CX377,CX$5+CY$5-CX379-1))</f>
        <v/>
      </c>
      <c r="CY378" s="403" t="str">
        <f t="shared" ref="CY378" si="642">IF(CY375=0,"",IF(CY375=CY$3,CY377,CY$5+CZ$5-CY379-1))</f>
        <v/>
      </c>
      <c r="CZ378" s="403" t="str">
        <f t="shared" ref="CZ378" si="643">IF(CZ375=0,"",IF(CZ375=CZ$3,CZ377,CZ$5+DA$5-CZ379-1))</f>
        <v/>
      </c>
      <c r="DA378" s="403" t="str">
        <f t="shared" ref="DA378" si="644">IF(DA375=0,"",IF(DA375=DA$3,DA377,DA$5+DB$5-DA379-1))</f>
        <v/>
      </c>
      <c r="DB378" s="403" t="str">
        <f t="shared" ref="DB378" si="645">IF(DB375=0,"",IF(DB375=DB$3,DB377,DB$5+DC$5-DB379-1))</f>
        <v/>
      </c>
      <c r="DC378" s="403" t="str">
        <f t="shared" ref="DC378" si="646">IF(DC375=0,"",IF(DC375=DC$3,DC377,DC$5+DD$5-DC379-1))</f>
        <v/>
      </c>
      <c r="DD378" s="403" t="str">
        <f t="shared" ref="DD378" si="647">IF(DD375=0,"",IF(DD375=DD$3,DD377,DD$5+DE$5-DD379-1))</f>
        <v/>
      </c>
      <c r="DE378" s="403" t="str">
        <f t="shared" ref="DE378" si="648">IF(DE375=0,"",IF(DE375=DE$3,DE377,DE$5+DF$5-DE379-1))</f>
        <v/>
      </c>
      <c r="DF378" s="403" t="str">
        <f t="shared" ref="DF378" si="649">IF(DF375=0,"",IF(DF375=DF$3,DF377,DF$5+DG$5-DF379-1))</f>
        <v/>
      </c>
      <c r="DG378" s="403" t="str">
        <f t="shared" ref="DG378" si="650">IF(DG375=0,"",IF(DG375=DG$3,DG377,DG$5+DH$5-DG379-1))</f>
        <v/>
      </c>
      <c r="DH378" s="403" t="str">
        <f t="shared" ref="DH378" si="651">IF(DH375=0,"",IF(DH375=DH$3,DH377,DH$5+DI$5-DH379-1))</f>
        <v/>
      </c>
      <c r="DI378" s="403" t="str">
        <f t="shared" ref="DI378" si="652">IF(DI375=0,"",IF(DI375=DI$3,DI377,DI$5+DJ$5-DI379-1))</f>
        <v/>
      </c>
      <c r="DJ378" s="403" t="str">
        <f t="shared" ref="DJ378" si="653">IF(DJ375=0,"",IF(DJ375=DJ$3,DJ377,DJ$5+DK$5-DJ379-1))</f>
        <v/>
      </c>
      <c r="DK378" s="403" t="str">
        <f t="shared" ref="DK378" si="654">IF(DK375=0,"",IF(DK375=DK$3,DK377,DK$5+DL$5-DK379-1))</f>
        <v/>
      </c>
      <c r="DL378" s="403" t="str">
        <f t="shared" ref="DL378" si="655">IF(DL375=0,"",IF(DL375=DL$3,DL377,DL$5+DM$5-DL379-1))</f>
        <v/>
      </c>
      <c r="DM378" s="403" t="str">
        <f t="shared" ref="DM378" si="656">IF(DM375=0,"",IF(DM375=DM$3,DM377,DM$5+DN$5-DM379-1))</f>
        <v/>
      </c>
      <c r="DN378" s="403" t="str">
        <f t="shared" ref="DN378" si="657">IF(DN375=0,"",IF(DN375=DN$3,DN377,DN$5+DO$5-DN379-1))</f>
        <v/>
      </c>
      <c r="DO378" s="403" t="str">
        <f t="shared" ref="DO378" si="658">IF(DO375=0,"",IF(DO375=DO$3,DO377,DO$5+DP$5-DO379-1))</f>
        <v/>
      </c>
      <c r="DP378" s="403" t="str">
        <f t="shared" ref="DP378" si="659">IF(DP375=0,"",IF(DP375=DP$3,DP377,DP$5+DQ$5-DP379-1))</f>
        <v/>
      </c>
      <c r="DQ378" s="403" t="str">
        <f t="shared" ref="DQ378" si="660">IF(DQ375=0,"",IF(DQ375=DQ$3,DQ377,DQ$5+DR$5-DQ379-1))</f>
        <v/>
      </c>
      <c r="DR378" s="403" t="str">
        <f t="shared" ref="DR378" si="661">IF(DR375=0,"",IF(DR375=DR$3,DR377,DR$5+DS$5-DR379-1))</f>
        <v/>
      </c>
      <c r="DS378" s="403" t="str">
        <f t="shared" ref="DS378" si="662">IF(DS375=0,"",IF(DS375=DS$3,DS377,DS$5+DT$5-DS379-1))</f>
        <v/>
      </c>
      <c r="DT378" s="403" t="str">
        <f t="shared" ref="DT378" si="663">IF(DT375=0,"",IF(DT375=DT$3,DT377,DT$5+DU$5-DT379-1))</f>
        <v/>
      </c>
      <c r="DU378" s="403" t="str">
        <f t="shared" ref="DU378" si="664">IF(DU375=0,"",IF(DU375=DU$3,DU377,DU$5+DV$5-DU379-1))</f>
        <v/>
      </c>
      <c r="DV378" s="403" t="str">
        <f t="shared" ref="DV378" si="665">IF(DV375=0,"",IF(DV375=DV$3,DV377,DV$5+DW$5-DV379-1))</f>
        <v/>
      </c>
      <c r="DW378" s="403" t="str">
        <f t="shared" ref="DW378" si="666">IF(DW375=0,"",IF(DW375=DW$3,DW377,DW$5+DX$5-DW379-1))</f>
        <v/>
      </c>
      <c r="DX378" s="403" t="str">
        <f t="shared" ref="DX378" si="667">IF(DX375=0,"",IF(DX375=DX$3,DX377,DX$5+DY$5-DX379-1))</f>
        <v/>
      </c>
      <c r="DY378" s="403" t="str">
        <f t="shared" ref="DY378" si="668">IF(DY375=0,"",IF(DY375=DY$3,DY377,DY$5+DZ$5-DY379-1))</f>
        <v/>
      </c>
      <c r="DZ378" s="403" t="str">
        <f t="shared" ref="DZ378" si="669">IF(DZ375=0,"",IF(DZ375=DZ$3,DZ377,DZ$5+EA$5-DZ379-1))</f>
        <v/>
      </c>
      <c r="EA378" s="403" t="str">
        <f t="shared" ref="EA378" si="670">IF(EA375=0,"",IF(EA375=EA$3,EA377,EA$5+EB$5-EA379-1))</f>
        <v/>
      </c>
      <c r="EB378" s="403" t="str">
        <f t="shared" ref="EB378" si="671">IF(EB375=0,"",IF(EB375=EB$3,EB377,EB$5+EC$5-EB379-1))</f>
        <v/>
      </c>
      <c r="EC378" s="403" t="str">
        <f t="shared" ref="EC378" si="672">IF(EC375=0,"",IF(EC375=EC$3,EC377,EC$5+ED$5-EC379-1))</f>
        <v/>
      </c>
      <c r="ED378" s="403" t="str">
        <f t="shared" ref="ED378" si="673">IF(ED375=0,"",IF(ED375=ED$3,ED377,ED$5+EE$5-ED379-1))</f>
        <v/>
      </c>
      <c r="EE378" s="403" t="str">
        <f t="shared" ref="EE378" si="674">IF(EE375=0,"",IF(EE375=EE$3,EE377,EE$5+EF$5-EE379-1))</f>
        <v/>
      </c>
      <c r="EF378" s="403" t="str">
        <f t="shared" ref="EF378" si="675">IF(EF375=0,"",IF(EF375=EF$3,EF377,EF$5+EG$5-EF379-1))</f>
        <v/>
      </c>
      <c r="EG378" s="403" t="str">
        <f t="shared" ref="EG378" si="676">IF(EG375=0,"",IF(EG375=EG$3,EG377,EG$5+EH$5-EG379-1))</f>
        <v/>
      </c>
      <c r="EH378" s="403" t="str">
        <f t="shared" ref="EH378" si="677">IF(EH375=0,"",IF(EH375=EH$3,EH377,EH$5+EI$5-EH379-1))</f>
        <v/>
      </c>
      <c r="EI378" s="403" t="str">
        <f t="shared" ref="EI378" si="678">IF(EI375=0,"",IF(EI375=EI$3,EI377,EI$5+EJ$5-EI379-1))</f>
        <v/>
      </c>
    </row>
    <row r="379" spans="1:141" s="321" customFormat="1" hidden="1" outlineLevel="2">
      <c r="A379" s="332"/>
      <c r="C379" s="305"/>
      <c r="D379" s="305" t="s">
        <v>672</v>
      </c>
      <c r="E379" s="1002" t="str">
        <f>IF(E375=0,"",MAX(G379:EI379))</f>
        <v/>
      </c>
      <c r="F379" s="1003"/>
      <c r="G379" s="403" t="str">
        <f>IF(SUM(G375:$EI375)=0,"",IF(G$227="","",G$227+G375-1))</f>
        <v/>
      </c>
      <c r="H379" s="403" t="str">
        <f>IF(SUM(H375:$EI375)=0,"",IF(H$227="","",H$227+H375-1))</f>
        <v/>
      </c>
      <c r="I379" s="403" t="str">
        <f>IF(SUM(I375:$EI375)=0,"",IF(I$227="","",I$227+I375-1))</f>
        <v/>
      </c>
      <c r="J379" s="403" t="str">
        <f>IF(SUM(J375:$EI375)=0,"",IF(J$227="","",J$227+J375-1))</f>
        <v/>
      </c>
      <c r="K379" s="403" t="str">
        <f>IF(SUM(K375:$EI375)=0,"",IF(K$227="","",K$227+K375-1))</f>
        <v/>
      </c>
      <c r="L379" s="403" t="str">
        <f>IF(SUM(L375:$EI375)=0,"",IF(L$227="","",L$227+L375-1))</f>
        <v/>
      </c>
      <c r="M379" s="403" t="str">
        <f>IF(SUM(M375:$EI375)=0,"",IF(M$227="","",M$227+M375-1))</f>
        <v/>
      </c>
      <c r="N379" s="403" t="str">
        <f>IF(SUM(N375:$EI375)=0,"",IF(N$227="","",N$227+N375-1))</f>
        <v/>
      </c>
      <c r="O379" s="403" t="str">
        <f>IF(SUM(O375:$EI375)=0,"",IF(O$227="","",O$227+O375-1))</f>
        <v/>
      </c>
      <c r="P379" s="403" t="str">
        <f>IF(SUM(P375:$EI375)=0,"",IF(P$227="","",P$227+P375-1))</f>
        <v/>
      </c>
      <c r="Q379" s="403" t="str">
        <f>IF(SUM(Q375:$EI375)=0,"",IF(Q$227="","",Q$227+Q375-1))</f>
        <v/>
      </c>
      <c r="R379" s="403" t="str">
        <f>IF(SUM(R375:$EI375)=0,"",IF(R$227="","",R$227+R375-1))</f>
        <v/>
      </c>
      <c r="S379" s="403" t="str">
        <f>IF(SUM(S375:$EI375)=0,"",IF(S$227="","",S$227+S375-1))</f>
        <v/>
      </c>
      <c r="T379" s="403" t="str">
        <f>IF(SUM(T375:$EI375)=0,"",IF(T$227="","",T$227+T375-1))</f>
        <v/>
      </c>
      <c r="U379" s="403" t="str">
        <f>IF(SUM(U375:$EI375)=0,"",IF(U$227="","",U$227+U375-1))</f>
        <v/>
      </c>
      <c r="V379" s="403" t="str">
        <f>IF(SUM(V375:$EI375)=0,"",IF(V$227="","",V$227+V375-1))</f>
        <v/>
      </c>
      <c r="W379" s="403" t="str">
        <f>IF(SUM(W375:$EI375)=0,"",IF(W$227="","",W$227+W375-1))</f>
        <v/>
      </c>
      <c r="X379" s="403" t="str">
        <f>IF(SUM(X375:$EI375)=0,"",IF(X$227="","",X$227+X375-1))</f>
        <v/>
      </c>
      <c r="Y379" s="403" t="str">
        <f>IF(SUM(Y375:$EI375)=0,"",IF(Y$227="","",Y$227+Y375-1))</f>
        <v/>
      </c>
      <c r="Z379" s="403" t="str">
        <f>IF(SUM(Z375:$EI375)=0,"",IF(Z$227="","",Z$227+Z375-1))</f>
        <v/>
      </c>
      <c r="AA379" s="403" t="str">
        <f>IF(SUM(AA375:$EI375)=0,"",IF(AA$227="","",AA$227+AA375-1))</f>
        <v/>
      </c>
      <c r="AB379" s="403" t="str">
        <f>IF(SUM(AB375:$EI375)=0,"",IF(AB$227="","",AB$227+AB375-1))</f>
        <v/>
      </c>
      <c r="AC379" s="403" t="str">
        <f>IF(SUM(AC375:$EI375)=0,"",IF(AC$227="","",AC$227+AC375-1))</f>
        <v/>
      </c>
      <c r="AD379" s="403" t="str">
        <f>IF(SUM(AD375:$EI375)=0,"",IF(AD$227="","",AD$227+AD375-1))</f>
        <v/>
      </c>
      <c r="AE379" s="403" t="str">
        <f>IF(SUM(AE375:$EI375)=0,"",IF(AE$227="","",AE$227+AE375-1))</f>
        <v/>
      </c>
      <c r="AF379" s="403" t="str">
        <f>IF(SUM(AF375:$EI375)=0,"",IF(AF$227="","",AF$227+AF375-1))</f>
        <v/>
      </c>
      <c r="AG379" s="403" t="str">
        <f>IF(SUM(AG375:$EI375)=0,"",IF(AG$227="","",AG$227+AG375-1))</f>
        <v/>
      </c>
      <c r="AH379" s="403" t="str">
        <f>IF(SUM(AH375:$EI375)=0,"",IF(AH$227="","",AH$227+AH375-1))</f>
        <v/>
      </c>
      <c r="AI379" s="403" t="str">
        <f>IF(SUM(AI375:$EI375)=0,"",IF(AI$227="","",AI$227+AI375-1))</f>
        <v/>
      </c>
      <c r="AJ379" s="403" t="str">
        <f>IF(SUM(AJ375:$EI375)=0,"",IF(AJ$227="","",AJ$227+AJ375-1))</f>
        <v/>
      </c>
      <c r="AK379" s="403" t="str">
        <f>IF(SUM(AK375:$EI375)=0,"",IF(AK$227="","",AK$227+AK375-1))</f>
        <v/>
      </c>
      <c r="AL379" s="403" t="str">
        <f>IF(SUM(AL375:$EI375)=0,"",IF(AL$227="","",AL$227+AL375-1))</f>
        <v/>
      </c>
      <c r="AM379" s="403" t="str">
        <f>IF(SUM(AM375:$EI375)=0,"",IF(AM$227="","",AM$227+AM375-1))</f>
        <v/>
      </c>
      <c r="AN379" s="403" t="str">
        <f>IF(SUM(AN375:$EI375)=0,"",IF(AN$227="","",AN$227+AN375-1))</f>
        <v/>
      </c>
      <c r="AO379" s="403" t="str">
        <f>IF(SUM(AO375:$EI375)=0,"",IF(AO$227="","",AO$227+AO375-1))</f>
        <v/>
      </c>
      <c r="AP379" s="403" t="str">
        <f>IF(SUM(AP375:$EI375)=0,"",IF(AP$227="","",AP$227+AP375-1))</f>
        <v/>
      </c>
      <c r="AQ379" s="403" t="str">
        <f>IF(SUM(AQ375:$EI375)=0,"",IF(AQ$227="","",AQ$227+AQ375-1))</f>
        <v/>
      </c>
      <c r="AR379" s="403" t="str">
        <f>IF(SUM(AR375:$EI375)=0,"",IF(AR$227="","",AR$227+AR375-1))</f>
        <v/>
      </c>
      <c r="AS379" s="403" t="str">
        <f>IF(SUM(AS375:$EI375)=0,"",IF(AS$227="","",AS$227+AS375-1))</f>
        <v/>
      </c>
      <c r="AT379" s="403" t="str">
        <f>IF(SUM(AT375:$EI375)=0,"",IF(AT$227="","",AT$227+AT375-1))</f>
        <v/>
      </c>
      <c r="AU379" s="403" t="str">
        <f>IF(SUM(AU375:$EI375)=0,"",IF(AU$227="","",AU$227+AU375-1))</f>
        <v/>
      </c>
      <c r="AV379" s="403" t="str">
        <f>IF(SUM(AV375:$EI375)=0,"",IF(AV$227="","",AV$227+AV375-1))</f>
        <v/>
      </c>
      <c r="AW379" s="403" t="str">
        <f>IF(SUM(AW375:$EI375)=0,"",IF(AW$227="","",AW$227+AW375-1))</f>
        <v/>
      </c>
      <c r="AX379" s="403" t="str">
        <f>IF(SUM(AX375:$EI375)=0,"",IF(AX$227="","",AX$227+AX375-1))</f>
        <v/>
      </c>
      <c r="AY379" s="403" t="str">
        <f>IF(SUM(AY375:$EI375)=0,"",IF(AY$227="","",AY$227+AY375-1))</f>
        <v/>
      </c>
      <c r="AZ379" s="403" t="str">
        <f>IF(SUM(AZ375:$EI375)=0,"",IF(AZ$227="","",AZ$227+AZ375-1))</f>
        <v/>
      </c>
      <c r="BA379" s="403" t="str">
        <f>IF(SUM(BA375:$EI375)=0,"",IF(BA$227="","",BA$227+BA375-1))</f>
        <v/>
      </c>
      <c r="BB379" s="403" t="str">
        <f>IF(SUM(BB375:$EI375)=0,"",IF(BB$227="","",BB$227+BB375-1))</f>
        <v/>
      </c>
      <c r="BC379" s="403" t="str">
        <f>IF(SUM(BC375:$EI375)=0,"",IF(BC$227="","",BC$227+BC375-1))</f>
        <v/>
      </c>
      <c r="BD379" s="403" t="str">
        <f>IF(SUM(BD375:$EI375)=0,"",IF(BD$227="","",BD$227+BD375-1))</f>
        <v/>
      </c>
      <c r="BE379" s="403" t="str">
        <f>IF(SUM(BE375:$EI375)=0,"",IF(BE$227="","",BE$227+BE375-1))</f>
        <v/>
      </c>
      <c r="BF379" s="403" t="str">
        <f>IF(SUM(BF375:$EI375)=0,"",IF(BF$227="","",BF$227+BF375-1))</f>
        <v/>
      </c>
      <c r="BG379" s="403" t="str">
        <f>IF(SUM(BG375:$EI375)=0,"",IF(BG$227="","",BG$227+BG375-1))</f>
        <v/>
      </c>
      <c r="BH379" s="403" t="str">
        <f>IF(SUM(BH375:$EI375)=0,"",IF(BH$227="","",BH$227+BH375-1))</f>
        <v/>
      </c>
      <c r="BI379" s="403" t="str">
        <f>IF(SUM(BI375:$EI375)=0,"",IF(BI$227="","",BI$227+BI375-1))</f>
        <v/>
      </c>
      <c r="BJ379" s="403" t="str">
        <f>IF(SUM(BJ375:$EI375)=0,"",IF(BJ$227="","",BJ$227+BJ375-1))</f>
        <v/>
      </c>
      <c r="BK379" s="403" t="str">
        <f>IF(SUM(BK375:$EI375)=0,"",IF(BK$227="","",BK$227+BK375-1))</f>
        <v/>
      </c>
      <c r="BL379" s="403" t="str">
        <f>IF(SUM(BL375:$EI375)=0,"",IF(BL$227="","",BL$227+BL375-1))</f>
        <v/>
      </c>
      <c r="BM379" s="403" t="str">
        <f>IF(SUM(BM375:$EI375)=0,"",IF(BM$227="","",BM$227+BM375-1))</f>
        <v/>
      </c>
      <c r="BN379" s="403" t="str">
        <f>IF(SUM(BN375:$EI375)=0,"",IF(BN$227="","",BN$227+BN375-1))</f>
        <v/>
      </c>
      <c r="BO379" s="403" t="str">
        <f>IF(SUM(BO375:$EI375)=0,"",IF(BO$227="","",BO$227+BO375-1))</f>
        <v/>
      </c>
      <c r="BP379" s="403" t="str">
        <f>IF(SUM(BP375:$EI375)=0,"",IF(BP$227="","",BP$227+BP375-1))</f>
        <v/>
      </c>
      <c r="BQ379" s="403" t="str">
        <f>IF(SUM(BQ375:$EI375)=0,"",IF(BQ$227="","",BQ$227+BQ375-1))</f>
        <v/>
      </c>
      <c r="BR379" s="403" t="str">
        <f>IF(SUM(BR375:$EI375)=0,"",IF(BR$227="","",BR$227+BR375-1))</f>
        <v/>
      </c>
      <c r="BS379" s="403" t="str">
        <f>IF(SUM(BS375:$EI375)=0,"",IF(BS$227="","",BS$227+BS375-1))</f>
        <v/>
      </c>
      <c r="BT379" s="403" t="str">
        <f>IF(SUM(BT375:$EI375)=0,"",IF(BT$227="","",BT$227+BT375-1))</f>
        <v/>
      </c>
      <c r="BU379" s="403" t="str">
        <f>IF(SUM(BU375:$EI375)=0,"",IF(BU$227="","",BU$227+BU375-1))</f>
        <v/>
      </c>
      <c r="BV379" s="403" t="str">
        <f>IF(SUM(BV375:$EI375)=0,"",IF(BV$227="","",BV$227+BV375-1))</f>
        <v/>
      </c>
      <c r="BW379" s="403" t="str">
        <f>IF(SUM(BW375:$EI375)=0,"",IF(BW$227="","",BW$227+BW375-1))</f>
        <v/>
      </c>
      <c r="BX379" s="403" t="str">
        <f>IF(SUM(BX375:$EI375)=0,"",IF(BX$227="","",BX$227+BX375-1))</f>
        <v/>
      </c>
      <c r="BY379" s="403" t="str">
        <f>IF(SUM(BY375:$EI375)=0,"",IF(BY$227="","",BY$227+BY375-1))</f>
        <v/>
      </c>
      <c r="BZ379" s="403" t="str">
        <f>IF(SUM(BZ375:$EI375)=0,"",IF(BZ$227="","",BZ$227+BZ375-1))</f>
        <v/>
      </c>
      <c r="CA379" s="403" t="str">
        <f>IF(SUM(CA375:$EI375)=0,"",IF(CA$227="","",CA$227+CA375-1))</f>
        <v/>
      </c>
      <c r="CB379" s="403" t="str">
        <f>IF(SUM(CB375:$EI375)=0,"",IF(CB$227="","",CB$227+CB375-1))</f>
        <v/>
      </c>
      <c r="CC379" s="403" t="str">
        <f>IF(SUM(CC375:$EI375)=0,"",IF(CC$227="","",CC$227+CC375-1))</f>
        <v/>
      </c>
      <c r="CD379" s="403" t="str">
        <f>IF(SUM(CD375:$EI375)=0,"",IF(CD$227="","",CD$227+CD375-1))</f>
        <v/>
      </c>
      <c r="CE379" s="403" t="str">
        <f>IF(SUM(CE375:$EI375)=0,"",IF(CE$227="","",CE$227+CE375-1))</f>
        <v/>
      </c>
      <c r="CF379" s="403" t="str">
        <f>IF(SUM(CF375:$EI375)=0,"",IF(CF$227="","",CF$227+CF375-1))</f>
        <v/>
      </c>
      <c r="CG379" s="403" t="str">
        <f>IF(SUM(CG375:$EI375)=0,"",IF(CG$227="","",CG$227+CG375-1))</f>
        <v/>
      </c>
      <c r="CH379" s="403" t="str">
        <f>IF(SUM(CH375:$EI375)=0,"",IF(CH$227="","",CH$227+CH375-1))</f>
        <v/>
      </c>
      <c r="CI379" s="403" t="str">
        <f>IF(SUM(CI375:$EI375)=0,"",IF(CI$227="","",CI$227+CI375-1))</f>
        <v/>
      </c>
      <c r="CJ379" s="403" t="str">
        <f>IF(SUM(CJ375:$EI375)=0,"",IF(CJ$227="","",CJ$227+CJ375-1))</f>
        <v/>
      </c>
      <c r="CK379" s="403" t="str">
        <f>IF(SUM(CK375:$EI375)=0,"",IF(CK$227="","",CK$227+CK375-1))</f>
        <v/>
      </c>
      <c r="CL379" s="403" t="str">
        <f>IF(SUM(CL375:$EI375)=0,"",IF(CL$227="","",CL$227+CL375-1))</f>
        <v/>
      </c>
      <c r="CM379" s="403" t="str">
        <f>IF(SUM(CM375:$EI375)=0,"",IF(CM$227="","",CM$227+CM375-1))</f>
        <v/>
      </c>
      <c r="CN379" s="403" t="str">
        <f>IF(SUM(CN375:$EI375)=0,"",IF(CN$227="","",CN$227+CN375-1))</f>
        <v/>
      </c>
      <c r="CO379" s="403" t="str">
        <f>IF(SUM(CO375:$EI375)=0,"",IF(CO$227="","",CO$227+CO375-1))</f>
        <v/>
      </c>
      <c r="CP379" s="403" t="str">
        <f>IF(SUM(CP375:$EI375)=0,"",IF(CP$227="","",CP$227+CP375-1))</f>
        <v/>
      </c>
      <c r="CQ379" s="403" t="str">
        <f>IF(SUM(CQ375:$EI375)=0,"",IF(CQ$227="","",CQ$227+CQ375-1))</f>
        <v/>
      </c>
      <c r="CR379" s="403" t="str">
        <f>IF(SUM(CR375:$EI375)=0,"",IF(CR$227="","",CR$227+CR375-1))</f>
        <v/>
      </c>
      <c r="CS379" s="403" t="str">
        <f>IF(SUM(CS375:$EI375)=0,"",IF(CS$227="","",CS$227+CS375-1))</f>
        <v/>
      </c>
      <c r="CT379" s="403" t="str">
        <f>IF(SUM(CT375:$EI375)=0,"",IF(CT$227="","",CT$227+CT375-1))</f>
        <v/>
      </c>
      <c r="CU379" s="403" t="str">
        <f>IF(SUM(CU375:$EI375)=0,"",IF(CU$227="","",CU$227+CU375-1))</f>
        <v/>
      </c>
      <c r="CV379" s="403" t="str">
        <f>IF(SUM(CV375:$EI375)=0,"",IF(CV$227="","",CV$227+CV375-1))</f>
        <v/>
      </c>
      <c r="CW379" s="403" t="str">
        <f>IF(SUM(CW375:$EI375)=0,"",IF(CW$227="","",CW$227+CW375-1))</f>
        <v/>
      </c>
      <c r="CX379" s="403" t="str">
        <f>IF(SUM(CX375:$EI375)=0,"",IF(CX$227="","",CX$227+CX375-1))</f>
        <v/>
      </c>
      <c r="CY379" s="403" t="str">
        <f>IF(SUM(CY375:$EI375)=0,"",IF(CY$227="","",CY$227+CY375-1))</f>
        <v/>
      </c>
      <c r="CZ379" s="403" t="str">
        <f>IF(SUM(CZ375:$EI375)=0,"",IF(CZ$227="","",CZ$227+CZ375-1))</f>
        <v/>
      </c>
      <c r="DA379" s="403" t="str">
        <f>IF(SUM(DA375:$EI375)=0,"",IF(DA$227="","",DA$227+DA375-1))</f>
        <v/>
      </c>
      <c r="DB379" s="403" t="str">
        <f>IF(SUM(DB375:$EI375)=0,"",IF(DB$227="","",DB$227+DB375-1))</f>
        <v/>
      </c>
      <c r="DC379" s="403" t="str">
        <f>IF(SUM(DC375:$EI375)=0,"",IF(DC$227="","",DC$227+DC375-1))</f>
        <v/>
      </c>
      <c r="DD379" s="403" t="str">
        <f>IF(SUM(DD375:$EI375)=0,"",IF(DD$227="","",DD$227+DD375-1))</f>
        <v/>
      </c>
      <c r="DE379" s="403" t="str">
        <f>IF(SUM(DE375:$EI375)=0,"",IF(DE$227="","",DE$227+DE375-1))</f>
        <v/>
      </c>
      <c r="DF379" s="403" t="str">
        <f>IF(SUM(DF375:$EI375)=0,"",IF(DF$227="","",DF$227+DF375-1))</f>
        <v/>
      </c>
      <c r="DG379" s="403" t="str">
        <f>IF(SUM(DG375:$EI375)=0,"",IF(DG$227="","",DG$227+DG375-1))</f>
        <v/>
      </c>
      <c r="DH379" s="403" t="str">
        <f>IF(SUM(DH375:$EI375)=0,"",IF(DH$227="","",DH$227+DH375-1))</f>
        <v/>
      </c>
      <c r="DI379" s="403" t="str">
        <f>IF(SUM(DI375:$EI375)=0,"",IF(DI$227="","",DI$227+DI375-1))</f>
        <v/>
      </c>
      <c r="DJ379" s="403" t="str">
        <f>IF(SUM(DJ375:$EI375)=0,"",IF(DJ$227="","",DJ$227+DJ375-1))</f>
        <v/>
      </c>
      <c r="DK379" s="403" t="str">
        <f>IF(SUM(DK375:$EI375)=0,"",IF(DK$227="","",DK$227+DK375-1))</f>
        <v/>
      </c>
      <c r="DL379" s="403" t="str">
        <f>IF(SUM(DL375:$EI375)=0,"",IF(DL$227="","",DL$227+DL375-1))</f>
        <v/>
      </c>
      <c r="DM379" s="403" t="str">
        <f>IF(SUM(DM375:$EI375)=0,"",IF(DM$227="","",DM$227+DM375-1))</f>
        <v/>
      </c>
      <c r="DN379" s="403" t="str">
        <f>IF(SUM(DN375:$EI375)=0,"",IF(DN$227="","",DN$227+DN375-1))</f>
        <v/>
      </c>
      <c r="DO379" s="403" t="str">
        <f>IF(SUM(DO375:$EI375)=0,"",IF(DO$227="","",DO$227+DO375-1))</f>
        <v/>
      </c>
      <c r="DP379" s="403" t="str">
        <f>IF(SUM(DP375:$EI375)=0,"",IF(DP$227="","",DP$227+DP375-1))</f>
        <v/>
      </c>
      <c r="DQ379" s="403" t="str">
        <f>IF(SUM(DQ375:$EI375)=0,"",IF(DQ$227="","",DQ$227+DQ375-1))</f>
        <v/>
      </c>
      <c r="DR379" s="403" t="str">
        <f>IF(SUM(DR375:$EI375)=0,"",IF(DR$227="","",DR$227+DR375-1))</f>
        <v/>
      </c>
      <c r="DS379" s="403" t="str">
        <f>IF(SUM(DS375:$EI375)=0,"",IF(DS$227="","",DS$227+DS375-1))</f>
        <v/>
      </c>
      <c r="DT379" s="403" t="str">
        <f>IF(SUM(DT375:$EI375)=0,"",IF(DT$227="","",DT$227+DT375-1))</f>
        <v/>
      </c>
      <c r="DU379" s="403" t="str">
        <f>IF(SUM(DU375:$EI375)=0,"",IF(DU$227="","",DU$227+DU375-1))</f>
        <v/>
      </c>
      <c r="DV379" s="403" t="str">
        <f>IF(SUM(DV375:$EI375)=0,"",IF(DV$227="","",DV$227+DV375-1))</f>
        <v/>
      </c>
      <c r="DW379" s="403" t="str">
        <f>IF(SUM(DW375:$EI375)=0,"",IF(DW$227="","",DW$227+DW375-1))</f>
        <v/>
      </c>
      <c r="DX379" s="403" t="str">
        <f>IF(SUM(DX375:$EI375)=0,"",IF(DX$227="","",DX$227+DX375-1))</f>
        <v/>
      </c>
      <c r="DY379" s="403" t="str">
        <f>IF(SUM(DY375:$EI375)=0,"",IF(DY$227="","",DY$227+DY375-1))</f>
        <v/>
      </c>
      <c r="DZ379" s="403" t="str">
        <f>IF(SUM(DZ375:$EI375)=0,"",IF(DZ$227="","",DZ$227+DZ375-1))</f>
        <v/>
      </c>
      <c r="EA379" s="403" t="str">
        <f>IF(SUM(EA375:$EI375)=0,"",IF(EA$227="","",EA$227+EA375-1))</f>
        <v/>
      </c>
      <c r="EB379" s="403" t="str">
        <f>IF(SUM(EB375:$EI375)=0,"",IF(EB$227="","",EB$227+EB375-1))</f>
        <v/>
      </c>
      <c r="EC379" s="403" t="str">
        <f>IF(SUM(EC375:$EI375)=0,"",IF(EC$227="","",EC$227+EC375-1))</f>
        <v/>
      </c>
      <c r="ED379" s="403" t="str">
        <f>IF(SUM(ED375:$EI375)=0,"",IF(ED$227="","",ED$227+ED375-1))</f>
        <v/>
      </c>
      <c r="EE379" s="403" t="str">
        <f>IF(SUM(EE375:$EI375)=0,"",IF(EE$227="","",EE$227+EE375-1))</f>
        <v/>
      </c>
      <c r="EF379" s="403" t="str">
        <f>IF(SUM(EF375:$EI375)=0,"",IF(EF$227="","",EF$227+EF375-1))</f>
        <v/>
      </c>
      <c r="EG379" s="403" t="str">
        <f>IF(SUM(EG375:$EI375)=0,"",IF(EG$227="","",EG$227+EG375-1))</f>
        <v/>
      </c>
      <c r="EH379" s="403" t="str">
        <f>IF(SUM(EH375:$EI375)=0,"",IF(EH$227="","",EH$227+EH375-1))</f>
        <v/>
      </c>
      <c r="EI379" s="403" t="str">
        <f>IF(SUM(EI375:$EI375)=0,"",IF(EI$227="","",EI$227+EI375-1))</f>
        <v/>
      </c>
    </row>
    <row r="380" spans="1:141" outlineLevel="1" collapsed="1">
      <c r="A380" s="332"/>
      <c r="B380" s="313"/>
      <c r="C380" s="317" t="s">
        <v>281</v>
      </c>
      <c r="D380" s="317" t="s">
        <v>685</v>
      </c>
      <c r="E380" s="400">
        <f ca="1">IF(ГРП!B40=0,длительность!C105,ГРП!B40)</f>
        <v>0</v>
      </c>
      <c r="F380" s="318">
        <f ca="1">E380-SUM(G380:EJ380)</f>
        <v>0</v>
      </c>
      <c r="G380" s="401"/>
      <c r="H380" s="401">
        <f ca="1">IF(SUM($G380:G380)&gt;=$E380,0,IF($E380-SUM($G380:G380)&gt;H381,H381,$E380-SUM($G381:G381)))</f>
        <v>0</v>
      </c>
      <c r="I380" s="401">
        <f ca="1">IF(SUM($G380:H380)&gt;=$E380,0,IF($E380-SUM($G380:H380)&gt;I381,I381,$E380-SUM($G381:H381)))</f>
        <v>0</v>
      </c>
      <c r="J380" s="401">
        <f ca="1">IF(SUM($G380:I380)&gt;=$E380,0,IF($E380-SUM($G380:I380)&gt;J381,J381,$E380-SUM($G381:I381)))</f>
        <v>0</v>
      </c>
      <c r="K380" s="401">
        <f ca="1">IF(SUM($G380:J380)&gt;=$E380,0,IF($E380-SUM($G380:J380)&gt;K381,K381,$E380-SUM($G381:J381)))</f>
        <v>0</v>
      </c>
      <c r="L380" s="401">
        <f ca="1">IF(SUM($G380:K380)&gt;=$E380,0,IF($E380-SUM($G380:K380)&gt;L381,L381,$E380-SUM($G381:K381)))</f>
        <v>0</v>
      </c>
      <c r="M380" s="401">
        <f ca="1">IF(SUM($G380:L380)&gt;=$E380,0,IF($E380-SUM($G380:L380)&gt;M381,M381,$E380-SUM($G381:L381)))</f>
        <v>0</v>
      </c>
      <c r="N380" s="401">
        <f ca="1">IF(SUM($G380:M380)&gt;=$E380,0,IF($E380-SUM($G380:M380)&gt;N381,N381,$E380-SUM($G381:M381)))</f>
        <v>0</v>
      </c>
      <c r="O380" s="401">
        <f ca="1">IF(SUM($G380:N380)&gt;=$E380,0,IF($E380-SUM($G380:N380)&gt;O381,O381,$E380-SUM($G381:N381)))</f>
        <v>0</v>
      </c>
      <c r="P380" s="401">
        <f ca="1">IF(SUM($G380:O380)&gt;=$E380,0,IF($E380-SUM($G380:O380)&gt;P381,P381,$E380-SUM($G381:O381)))</f>
        <v>0</v>
      </c>
      <c r="Q380" s="401">
        <f ca="1">IF(SUM($G380:P380)&gt;=$E380,0,IF($E380-SUM($G380:P380)&gt;Q381,Q381,$E380-SUM($G381:P381)))</f>
        <v>0</v>
      </c>
      <c r="R380" s="401">
        <f ca="1">IF(SUM($G380:Q380)&gt;=$E380,0,IF($E380-SUM($G380:Q380)&gt;R381,R381,$E380-SUM($G381:Q381)))</f>
        <v>0</v>
      </c>
      <c r="S380" s="401">
        <f ca="1">IF(SUM($G380:R380)&gt;=$E380,0,IF($E380-SUM($G380:R380)&gt;S381,S381,$E380-SUM($G381:R381)))</f>
        <v>0</v>
      </c>
      <c r="T380" s="401">
        <f ca="1">IF(SUM($G380:S380)&gt;=$E380,0,IF($E380-SUM($G380:S380)&gt;T381,T381,$E380-SUM($G381:S381)))</f>
        <v>0</v>
      </c>
      <c r="U380" s="401">
        <f ca="1">IF(SUM($G380:T380)&gt;=$E380,0,IF($E380-SUM($G380:T380)&gt;U381,U381,$E380-SUM($G381:T381)))</f>
        <v>0</v>
      </c>
      <c r="V380" s="401">
        <f ca="1">IF(SUM($G380:U380)&gt;=$E380,0,IF($E380-SUM($G380:U380)&gt;V381,V381,$E380-SUM($G381:U381)))</f>
        <v>0</v>
      </c>
      <c r="W380" s="401">
        <f ca="1">IF(SUM($G380:V380)&gt;=$E380,0,IF($E380-SUM($G380:V380)&gt;W381,W381,$E380-SUM($G381:V381)))</f>
        <v>0</v>
      </c>
      <c r="X380" s="401">
        <f ca="1">IF(SUM($G380:W380)&gt;=$E380,0,IF($E380-SUM($G380:W380)&gt;X381,X381,$E380-SUM($G381:W381)))</f>
        <v>0</v>
      </c>
      <c r="Y380" s="401">
        <f ca="1">IF(SUM($G380:X380)&gt;=$E380,0,IF($E380-SUM($G380:X380)&gt;Y381,Y381,$E380-SUM($G381:X381)))</f>
        <v>0</v>
      </c>
      <c r="Z380" s="401">
        <f ca="1">IF(SUM($G380:Y380)&gt;=$E380,0,IF($E380-SUM($G380:Y380)&gt;Z381,Z381,$E380-SUM($G381:Y381)))</f>
        <v>0</v>
      </c>
      <c r="AA380" s="401">
        <f ca="1">IF(SUM($G380:Z380)&gt;=$E380,0,IF($E380-SUM($G380:Z380)&gt;AA381,AA381,$E380-SUM($G381:Z381)))</f>
        <v>0</v>
      </c>
      <c r="AB380" s="401">
        <f ca="1">IF(SUM($G380:AA380)&gt;=$E380,0,IF($E380-SUM($G380:AA380)&gt;AB381,AB381,$E380-SUM($G381:AA381)))</f>
        <v>0</v>
      </c>
      <c r="AC380" s="401">
        <f ca="1">IF(SUM($G380:AB380)&gt;=$E380,0,IF($E380-SUM($G380:AB380)&gt;AC381,AC381,$E380-SUM($G381:AB381)))</f>
        <v>0</v>
      </c>
      <c r="AD380" s="401">
        <f ca="1">IF(SUM($G380:AC380)&gt;=$E380,0,IF($E380-SUM($G380:AC380)&gt;AD381,AD381,$E380-SUM($G381:AC381)))</f>
        <v>0</v>
      </c>
      <c r="AE380" s="401">
        <f ca="1">IF(SUM($G380:AD380)&gt;=$E380,0,IF($E380-SUM($G380:AD380)&gt;AE381,AE381,$E380-SUM($G381:AD381)))</f>
        <v>0</v>
      </c>
      <c r="AF380" s="401">
        <f ca="1">IF(SUM($G380:AE380)&gt;=$E380,0,IF($E380-SUM($G380:AE380)&gt;AF381,AF381,$E380-SUM($G381:AE381)))</f>
        <v>0</v>
      </c>
      <c r="AG380" s="401">
        <f ca="1">IF(SUM($G380:AF380)&gt;=$E380,0,IF($E380-SUM($G380:AF380)&gt;AG381,AG381,$E380-SUM($G381:AF381)))</f>
        <v>0</v>
      </c>
      <c r="AH380" s="401">
        <f ca="1">IF(SUM($G380:AG380)&gt;=$E380,0,IF($E380-SUM($G380:AG380)&gt;AH381,AH381,$E380-SUM($G381:AG381)))</f>
        <v>0</v>
      </c>
      <c r="AI380" s="401">
        <f ca="1">IF(SUM($G380:AH380)&gt;=$E380,0,IF($E380-SUM($G380:AH380)&gt;AI381,AI381,$E380-SUM($G381:AH381)))</f>
        <v>0</v>
      </c>
      <c r="AJ380" s="401">
        <f ca="1">IF(SUM($G380:AI380)&gt;=$E380,0,IF($E380-SUM($G380:AI380)&gt;AJ381,AJ381,$E380-SUM($G381:AI381)))</f>
        <v>0</v>
      </c>
      <c r="AK380" s="401">
        <f ca="1">IF(SUM($G380:AJ380)&gt;=$E380,0,IF($E380-SUM($G380:AJ380)&gt;AK381,AK381,$E380-SUM($G381:AJ381)))</f>
        <v>0</v>
      </c>
      <c r="AL380" s="401">
        <f ca="1">IF(SUM($G380:AK380)&gt;=$E380,0,IF($E380-SUM($G380:AK380)&gt;AL381,AL381,$E380-SUM($G381:AK381)))</f>
        <v>0</v>
      </c>
      <c r="AM380" s="401">
        <f ca="1">IF(SUM($G380:AL380)&gt;=$E380,0,IF($E380-SUM($G380:AL380)&gt;AM381,AM381,$E380-SUM($G381:AL381)))</f>
        <v>0</v>
      </c>
      <c r="AN380" s="401">
        <f ca="1">IF(SUM($G380:AM380)&gt;=$E380,0,IF($E380-SUM($G380:AM380)&gt;AN381,AN381,$E380-SUM($G381:AM381)))</f>
        <v>0</v>
      </c>
      <c r="AO380" s="401">
        <f ca="1">IF(SUM($G380:AN380)&gt;=$E380,0,IF($E380-SUM($G380:AN380)&gt;AO381,AO381,$E380-SUM($G381:AN381)))</f>
        <v>0</v>
      </c>
      <c r="AP380" s="401">
        <f ca="1">IF(SUM($G380:AO380)&gt;=$E380,0,IF($E380-SUM($G380:AO380)&gt;AP381,AP381,$E380-SUM($G381:AO381)))</f>
        <v>0</v>
      </c>
      <c r="AQ380" s="401">
        <f ca="1">IF(SUM($G380:AP380)&gt;=$E380,0,IF($E380-SUM($G380:AP380)&gt;AQ381,AQ381,$E380-SUM($G381:AP381)))</f>
        <v>0</v>
      </c>
      <c r="AR380" s="401">
        <f ca="1">IF(SUM($G380:AQ380)&gt;=$E380,0,IF($E380-SUM($G380:AQ380)&gt;AR381,AR381,$E380-SUM($G381:AQ381)))</f>
        <v>0</v>
      </c>
      <c r="AS380" s="401">
        <f ca="1">IF(SUM($G380:AR380)&gt;=$E380,0,IF($E380-SUM($G380:AR380)&gt;AS381,AS381,$E380-SUM($G381:AR381)))</f>
        <v>0</v>
      </c>
      <c r="AT380" s="401">
        <f ca="1">IF(SUM($G380:AS380)&gt;=$E380,0,IF($E380-SUM($G380:AS380)&gt;AT381,AT381,$E380-SUM($G381:AS381)))</f>
        <v>0</v>
      </c>
      <c r="AU380" s="401">
        <f ca="1">IF(SUM($G380:AT380)&gt;=$E380,0,IF($E380-SUM($G380:AT380)&gt;AU381,AU381,$E380-SUM($G381:AT381)))</f>
        <v>0</v>
      </c>
      <c r="AV380" s="401">
        <f ca="1">IF(SUM($G380:AU380)&gt;=$E380,0,IF($E380-SUM($G380:AU380)&gt;AV381,AV381,$E380-SUM($G381:AU381)))</f>
        <v>0</v>
      </c>
      <c r="AW380" s="401">
        <f ca="1">IF(SUM($G380:AV380)&gt;=$E380,0,IF($E380-SUM($G380:AV380)&gt;AW381,AW381,$E380-SUM($G381:AV381)))</f>
        <v>0</v>
      </c>
      <c r="AX380" s="401">
        <f ca="1">IF(SUM($G380:AW380)&gt;=$E380,0,IF($E380-SUM($G380:AW380)&gt;AX381,AX381,$E380-SUM($G381:AW381)))</f>
        <v>0</v>
      </c>
      <c r="AY380" s="401">
        <f ca="1">IF(SUM($G380:AX380)&gt;=$E380,0,IF($E380-SUM($G380:AX380)&gt;AY381,AY381,$E380-SUM($G381:AX381)))</f>
        <v>0</v>
      </c>
      <c r="AZ380" s="401">
        <f ca="1">IF(SUM($G380:AY380)&gt;=$E380,0,IF($E380-SUM($G380:AY380)&gt;AZ381,AZ381,$E380-SUM($G381:AY381)))</f>
        <v>0</v>
      </c>
      <c r="BA380" s="401">
        <f ca="1">IF(SUM($G380:AZ380)&gt;=$E380,0,IF($E380-SUM($G380:AZ380)&gt;BA381,BA381,$E380-SUM($G381:AZ381)))</f>
        <v>0</v>
      </c>
      <c r="BB380" s="401">
        <f ca="1">IF(SUM($G380:BA380)&gt;=$E380,0,IF($E380-SUM($G380:BA380)&gt;BB381,BB381,$E380-SUM($G381:BA381)))</f>
        <v>0</v>
      </c>
      <c r="BC380" s="401">
        <f ca="1">IF(SUM($G380:BB380)&gt;=$E380,0,IF($E380-SUM($G380:BB380)&gt;BC381,BC381,$E380-SUM($G381:BB381)))</f>
        <v>0</v>
      </c>
      <c r="BD380" s="401">
        <f ca="1">IF(SUM($G380:BC380)&gt;=$E380,0,IF($E380-SUM($G380:BC380)&gt;BD381,BD381,$E380-SUM($G381:BC381)))</f>
        <v>0</v>
      </c>
      <c r="BE380" s="401">
        <f ca="1">IF(SUM($G380:BD380)&gt;=$E380,0,IF($E380-SUM($G380:BD380)&gt;BE381,BE381,$E380-SUM($G381:BD381)))</f>
        <v>0</v>
      </c>
      <c r="BF380" s="401">
        <f ca="1">IF(SUM($G380:BE380)&gt;=$E380,0,IF($E380-SUM($G380:BE380)&gt;BF381,BF381,$E380-SUM($G381:BE381)))</f>
        <v>0</v>
      </c>
      <c r="BG380" s="401">
        <f ca="1">IF(SUM($G380:BF380)&gt;=$E380,0,IF($E380-SUM($G380:BF380)&gt;BG381,BG381,$E380-SUM($G381:BF381)))</f>
        <v>0</v>
      </c>
      <c r="BH380" s="401">
        <f ca="1">IF(SUM($G380:BG380)&gt;=$E380,0,IF($E380-SUM($G380:BG380)&gt;BH381,BH381,$E380-SUM($G381:BG381)))</f>
        <v>0</v>
      </c>
      <c r="BI380" s="401">
        <f ca="1">IF(SUM($G380:BH380)&gt;=$E380,0,IF($E380-SUM($G380:BH380)&gt;BI381,BI381,$E380-SUM($G381:BH381)))</f>
        <v>0</v>
      </c>
      <c r="BJ380" s="401">
        <f ca="1">IF(SUM($G380:BI380)&gt;=$E380,0,IF($E380-SUM($G380:BI380)&gt;BJ381,BJ381,$E380-SUM($G381:BI381)))</f>
        <v>0</v>
      </c>
      <c r="BK380" s="401">
        <f ca="1">IF(SUM($G380:BJ380)&gt;=$E380,0,IF($E380-SUM($G380:BJ380)&gt;BK381,BK381,$E380-SUM($G381:BJ381)))</f>
        <v>0</v>
      </c>
      <c r="BL380" s="401">
        <f ca="1">IF(SUM($G380:BK380)&gt;=$E380,0,IF($E380-SUM($G380:BK380)&gt;BL381,BL381,$E380-SUM($G381:BK381)))</f>
        <v>0</v>
      </c>
      <c r="BM380" s="401">
        <f ca="1">IF(SUM($G380:BL380)&gt;=$E380,0,IF($E380-SUM($G380:BL380)&gt;BM381,BM381,$E380-SUM($G381:BL381)))</f>
        <v>0</v>
      </c>
      <c r="BN380" s="401">
        <f ca="1">IF(SUM($G380:BM380)&gt;=$E380,0,IF($E380-SUM($G380:BM380)&gt;BN381,BN381,$E380-SUM($G381:BM381)))</f>
        <v>0</v>
      </c>
      <c r="BO380" s="401">
        <f ca="1">IF(SUM($G380:BN380)&gt;=$E380,0,IF($E380-SUM($G380:BN380)&gt;BO381,BO381,$E380-SUM($G381:BN381)))</f>
        <v>0</v>
      </c>
      <c r="BP380" s="401">
        <f ca="1">IF(SUM($G380:BO380)&gt;=$E380,0,IF($E380-SUM($G380:BO380)&gt;BP381,BP381,$E380-SUM($G381:BO381)))</f>
        <v>0</v>
      </c>
      <c r="BQ380" s="401">
        <f ca="1">IF(SUM($G380:BP380)&gt;=$E380,0,IF($E380-SUM($G380:BP380)&gt;BQ381,BQ381,$E380-SUM($G381:BP381)))</f>
        <v>0</v>
      </c>
      <c r="BR380" s="401">
        <f ca="1">IF(SUM($G380:BQ380)&gt;=$E380,0,IF($E380-SUM($G380:BQ380)&gt;BR381,BR381,$E380-SUM($G381:BQ381)))</f>
        <v>0</v>
      </c>
      <c r="BS380" s="401">
        <f ca="1">IF(SUM($G380:BR380)&gt;=$E380,0,IF($E380-SUM($G380:BR380)&gt;BS381,BS381,$E380-SUM($G381:BR381)))</f>
        <v>0</v>
      </c>
      <c r="BT380" s="401">
        <f ca="1">IF(SUM($G380:BS380)&gt;=$E380,0,IF($E380-SUM($G380:BS380)&gt;BT381,BT381,$E380-SUM($G381:BS381)))</f>
        <v>0</v>
      </c>
      <c r="BU380" s="401">
        <f ca="1">IF(SUM($G380:BT380)&gt;=$E380,0,IF($E380-SUM($G380:BT380)&gt;BU381,BU381,$E380-SUM($G381:BT381)))</f>
        <v>0</v>
      </c>
      <c r="BV380" s="401">
        <f ca="1">IF(SUM($G380:BU380)&gt;=$E380,0,IF($E380-SUM($G380:BU380)&gt;BV381,BV381,$E380-SUM($G381:BU381)))</f>
        <v>0</v>
      </c>
      <c r="BW380" s="401">
        <f ca="1">IF(SUM($G380:BV380)&gt;=$E380,0,IF($E380-SUM($G380:BV380)&gt;BW381,BW381,$E380-SUM($G381:BV381)))</f>
        <v>0</v>
      </c>
      <c r="BX380" s="401">
        <f ca="1">IF(SUM($G380:BW380)&gt;=$E380,0,IF($E380-SUM($G380:BW380)&gt;BX381,BX381,$E380-SUM($G381:BW381)))</f>
        <v>0</v>
      </c>
      <c r="BY380" s="401">
        <f ca="1">IF(SUM($G380:BX380)&gt;=$E380,0,IF($E380-SUM($G380:BX380)&gt;BY381,BY381,$E380-SUM($G381:BX381)))</f>
        <v>0</v>
      </c>
      <c r="BZ380" s="401">
        <f ca="1">IF(SUM($G380:BY380)&gt;=$E380,0,IF($E380-SUM($G380:BY380)&gt;BZ381,BZ381,$E380-SUM($G381:BY381)))</f>
        <v>0</v>
      </c>
      <c r="CA380" s="401">
        <f ca="1">IF(SUM($G380:BZ380)&gt;=$E380,0,IF($E380-SUM($G380:BZ380)&gt;CA381,CA381,$E380-SUM($G381:BZ381)))</f>
        <v>0</v>
      </c>
      <c r="CB380" s="401">
        <f ca="1">IF(SUM($G380:CA380)&gt;=$E380,0,IF($E380-SUM($G380:CA380)&gt;CB381,CB381,$E380-SUM($G381:CA381)))</f>
        <v>0</v>
      </c>
      <c r="CC380" s="401">
        <f ca="1">IF(SUM($G380:CB380)&gt;=$E380,0,IF($E380-SUM($G380:CB380)&gt;CC381,CC381,$E380-SUM($G381:CB381)))</f>
        <v>0</v>
      </c>
      <c r="CD380" s="401">
        <f ca="1">IF(SUM($G380:CC380)&gt;=$E380,0,IF($E380-SUM($G380:CC380)&gt;CD381,CD381,$E380-SUM($G381:CC381)))</f>
        <v>0</v>
      </c>
      <c r="CE380" s="401">
        <f ca="1">IF(SUM($G380:CD380)&gt;=$E380,0,IF($E380-SUM($G380:CD380)&gt;CE381,CE381,$E380-SUM($G381:CD381)))</f>
        <v>0</v>
      </c>
      <c r="CF380" s="401">
        <f ca="1">IF(SUM($G380:CE380)&gt;=$E380,0,IF($E380-SUM($G380:CE380)&gt;CF381,CF381,$E380-SUM($G381:CE381)))</f>
        <v>0</v>
      </c>
      <c r="CG380" s="401">
        <f ca="1">IF(SUM($G380:CF380)&gt;=$E380,0,IF($E380-SUM($G380:CF380)&gt;CG381,CG381,$E380-SUM($G381:CF381)))</f>
        <v>0</v>
      </c>
      <c r="CH380" s="401">
        <f ca="1">IF(SUM($G380:CG380)&gt;=$E380,0,IF($E380-SUM($G380:CG380)&gt;CH381,CH381,$E380-SUM($G381:CG381)))</f>
        <v>0</v>
      </c>
      <c r="CI380" s="401">
        <f ca="1">IF(SUM($G380:CH380)&gt;=$E380,0,IF($E380-SUM($G380:CH380)&gt;CI381,CI381,$E380-SUM($G381:CH381)))</f>
        <v>0</v>
      </c>
      <c r="CJ380" s="401">
        <f ca="1">IF(SUM($G380:CI380)&gt;=$E380,0,IF($E380-SUM($G380:CI380)&gt;CJ381,CJ381,$E380-SUM($G381:CI381)))</f>
        <v>0</v>
      </c>
      <c r="CK380" s="401">
        <f ca="1">IF(SUM($G380:CJ380)&gt;=$E380,0,IF($E380-SUM($G380:CJ380)&gt;CK381,CK381,$E380-SUM($G381:CJ381)))</f>
        <v>0</v>
      </c>
      <c r="CL380" s="401">
        <f ca="1">IF(SUM($G380:CK380)&gt;=$E380,0,IF($E380-SUM($G380:CK380)&gt;CL381,CL381,$E380-SUM($G381:CK381)))</f>
        <v>0</v>
      </c>
      <c r="CM380" s="401">
        <f ca="1">IF(SUM($G380:CL380)&gt;=$E380,0,IF($E380-SUM($G380:CL380)&gt;CM381,CM381,$E380-SUM($G381:CL381)))</f>
        <v>0</v>
      </c>
      <c r="CN380" s="401">
        <f ca="1">IF(SUM($G380:CM380)&gt;=$E380,0,IF($E380-SUM($G380:CM380)&gt;CN381,CN381,$E380-SUM($G381:CM381)))</f>
        <v>0</v>
      </c>
      <c r="CO380" s="401">
        <f ca="1">IF(SUM($G380:CN380)&gt;=$E380,0,IF($E380-SUM($G380:CN380)&gt;CO381,CO381,$E380-SUM($G381:CN381)))</f>
        <v>0</v>
      </c>
      <c r="CP380" s="401">
        <f ca="1">IF(SUM($G380:CO380)&gt;=$E380,0,IF($E380-SUM($G380:CO380)&gt;CP381,CP381,$E380-SUM($G381:CO381)))</f>
        <v>0</v>
      </c>
      <c r="CQ380" s="401">
        <f ca="1">IF(SUM($G380:CP380)&gt;=$E380,0,IF($E380-SUM($G380:CP380)&gt;CQ381,CQ381,$E380-SUM($G381:CP381)))</f>
        <v>0</v>
      </c>
      <c r="CR380" s="401">
        <f ca="1">IF(SUM($G380:CQ380)&gt;=$E380,0,IF($E380-SUM($G380:CQ380)&gt;CR381,CR381,$E380-SUM($G381:CQ381)))</f>
        <v>0</v>
      </c>
      <c r="CS380" s="401">
        <f ca="1">IF(SUM($G380:CR380)&gt;=$E380,0,IF($E380-SUM($G380:CR380)&gt;CS381,CS381,$E380-SUM($G381:CR381)))</f>
        <v>0</v>
      </c>
      <c r="CT380" s="401">
        <f ca="1">IF(SUM($G380:CS380)&gt;=$E380,0,IF($E380-SUM($G380:CS380)&gt;CT381,CT381,$E380-SUM($G381:CS381)))</f>
        <v>0</v>
      </c>
      <c r="CU380" s="401">
        <f ca="1">IF(SUM($G380:CT380)&gt;=$E380,0,IF($E380-SUM($G380:CT380)&gt;CU381,CU381,$E380-SUM($G381:CT381)))</f>
        <v>0</v>
      </c>
      <c r="CV380" s="401">
        <f ca="1">IF(SUM($G380:CU380)&gt;=$E380,0,IF($E380-SUM($G380:CU380)&gt;CV381,CV381,$E380-SUM($G381:CU381)))</f>
        <v>0</v>
      </c>
      <c r="CW380" s="401">
        <f ca="1">IF(SUM($G380:CV380)&gt;=$E380,0,IF($E380-SUM($G380:CV380)&gt;CW381,CW381,$E380-SUM($G381:CV381)))</f>
        <v>0</v>
      </c>
      <c r="CX380" s="401">
        <f ca="1">IF(SUM($G380:CW380)&gt;=$E380,0,IF($E380-SUM($G380:CW380)&gt;CX381,CX381,$E380-SUM($G381:CW381)))</f>
        <v>0</v>
      </c>
      <c r="CY380" s="401">
        <f ca="1">IF(SUM($G380:CX380)&gt;=$E380,0,IF($E380-SUM($G380:CX380)&gt;CY381,CY381,$E380-SUM($G381:CX381)))</f>
        <v>0</v>
      </c>
      <c r="CZ380" s="401">
        <f ca="1">IF(SUM($G380:CY380)&gt;=$E380,0,IF($E380-SUM($G380:CY380)&gt;CZ381,CZ381,$E380-SUM($G381:CY381)))</f>
        <v>0</v>
      </c>
      <c r="DA380" s="401">
        <f ca="1">IF(SUM($G380:CZ380)&gt;=$E380,0,IF($E380-SUM($G380:CZ380)&gt;DA381,DA381,$E380-SUM($G381:CZ381)))</f>
        <v>0</v>
      </c>
      <c r="DB380" s="401">
        <f ca="1">IF(SUM($G380:DA380)&gt;=$E380,0,IF($E380-SUM($G380:DA380)&gt;DB381,DB381,$E380-SUM($G381:DA381)))</f>
        <v>0</v>
      </c>
      <c r="DC380" s="401">
        <f ca="1">IF(SUM($G380:DB380)&gt;=$E380,0,IF($E380-SUM($G380:DB380)&gt;DC381,DC381,$E380-SUM($G381:DB381)))</f>
        <v>0</v>
      </c>
      <c r="DD380" s="401">
        <f ca="1">IF(SUM($G380:DC380)&gt;=$E380,0,IF($E380-SUM($G380:DC380)&gt;DD381,DD381,$E380-SUM($G381:DC381)))</f>
        <v>0</v>
      </c>
      <c r="DE380" s="401">
        <f ca="1">IF(SUM($G380:DD380)&gt;=$E380,0,IF($E380-SUM($G380:DD380)&gt;DE381,DE381,$E380-SUM($G381:DD381)))</f>
        <v>0</v>
      </c>
      <c r="DF380" s="401">
        <f ca="1">IF(SUM($G380:DE380)&gt;=$E380,0,IF($E380-SUM($G380:DE380)&gt;DF381,DF381,$E380-SUM($G381:DE381)))</f>
        <v>0</v>
      </c>
      <c r="DG380" s="401">
        <f ca="1">IF(SUM($G380:DF380)&gt;=$E380,0,IF($E380-SUM($G380:DF380)&gt;DG381,DG381,$E380-SUM($G381:DF381)))</f>
        <v>0</v>
      </c>
      <c r="DH380" s="401">
        <f ca="1">IF(SUM($G380:DG380)&gt;=$E380,0,IF($E380-SUM($G380:DG380)&gt;DH381,DH381,$E380-SUM($G381:DG381)))</f>
        <v>0</v>
      </c>
      <c r="DI380" s="401">
        <f ca="1">IF(SUM($G380:DH380)&gt;=$E380,0,IF($E380-SUM($G380:DH380)&gt;DI381,DI381,$E380-SUM($G381:DH381)))</f>
        <v>0</v>
      </c>
      <c r="DJ380" s="401">
        <f ca="1">IF(SUM($G380:DI380)&gt;=$E380,0,IF($E380-SUM($G380:DI380)&gt;DJ381,DJ381,$E380-SUM($G381:DI381)))</f>
        <v>0</v>
      </c>
      <c r="DK380" s="401">
        <f ca="1">IF(SUM($G380:DJ380)&gt;=$E380,0,IF($E380-SUM($G380:DJ380)&gt;DK381,DK381,$E380-SUM($G381:DJ381)))</f>
        <v>0</v>
      </c>
      <c r="DL380" s="401">
        <f ca="1">IF(SUM($G380:DK380)&gt;=$E380,0,IF($E380-SUM($G380:DK380)&gt;DL381,DL381,$E380-SUM($G381:DK381)))</f>
        <v>0</v>
      </c>
      <c r="DM380" s="401">
        <f ca="1">IF(SUM($G380:DL380)&gt;=$E380,0,IF($E380-SUM($G380:DL380)&gt;DM381,DM381,$E380-SUM($G381:DL381)))</f>
        <v>0</v>
      </c>
      <c r="DN380" s="401">
        <f ca="1">IF(SUM($G380:DM380)&gt;=$E380,0,IF($E380-SUM($G380:DM380)&gt;DN381,DN381,$E380-SUM($G381:DM381)))</f>
        <v>0</v>
      </c>
      <c r="DO380" s="401">
        <f ca="1">IF(SUM($G380:DN380)&gt;=$E380,0,IF($E380-SUM($G380:DN380)&gt;DO381,DO381,$E380-SUM($G381:DN381)))</f>
        <v>0</v>
      </c>
      <c r="DP380" s="401">
        <f ca="1">IF(SUM($G380:DO380)&gt;=$E380,0,IF($E380-SUM($G380:DO380)&gt;DP381,DP381,$E380-SUM($G381:DO381)))</f>
        <v>0</v>
      </c>
      <c r="DQ380" s="401">
        <f ca="1">IF(SUM($G380:DP380)&gt;=$E380,0,IF($E380-SUM($G380:DP380)&gt;DQ381,DQ381,$E380-SUM($G381:DP381)))</f>
        <v>0</v>
      </c>
      <c r="DR380" s="401">
        <f ca="1">IF(SUM($G380:DQ380)&gt;=$E380,0,IF($E380-SUM($G380:DQ380)&gt;DR381,DR381,$E380-SUM($G381:DQ381)))</f>
        <v>0</v>
      </c>
      <c r="DS380" s="401">
        <f ca="1">IF(SUM($G380:DR380)&gt;=$E380,0,IF($E380-SUM($G380:DR380)&gt;DS381,DS381,$E380-SUM($G381:DR381)))</f>
        <v>0</v>
      </c>
      <c r="DT380" s="401">
        <f ca="1">IF(SUM($G380:DS380)&gt;=$E380,0,IF($E380-SUM($G380:DS380)&gt;DT381,DT381,$E380-SUM($G381:DS381)))</f>
        <v>0</v>
      </c>
      <c r="DU380" s="401">
        <f ca="1">IF(SUM($G380:DT380)&gt;=$E380,0,IF($E380-SUM($G380:DT380)&gt;DU381,DU381,$E380-SUM($G381:DT381)))</f>
        <v>0</v>
      </c>
      <c r="DV380" s="401">
        <f ca="1">IF(SUM($G380:DU380)&gt;=$E380,0,IF($E380-SUM($G380:DU380)&gt;DV381,DV381,$E380-SUM($G381:DU381)))</f>
        <v>0</v>
      </c>
      <c r="DW380" s="401">
        <f ca="1">IF(SUM($G380:DV380)&gt;=$E380,0,IF($E380-SUM($G380:DV380)&gt;DW381,DW381,$E380-SUM($G381:DV381)))</f>
        <v>0</v>
      </c>
      <c r="DX380" s="401">
        <f ca="1">IF(SUM($G380:DW380)&gt;=$E380,0,IF($E380-SUM($G380:DW380)&gt;DX381,DX381,$E380-SUM($G381:DW381)))</f>
        <v>0</v>
      </c>
      <c r="DY380" s="401">
        <f ca="1">IF(SUM($G380:DX380)&gt;=$E380,0,IF($E380-SUM($G380:DX380)&gt;DY381,DY381,$E380-SUM($G381:DX381)))</f>
        <v>0</v>
      </c>
      <c r="DZ380" s="401">
        <f ca="1">IF(SUM($G380:DY380)&gt;=$E380,0,IF($E380-SUM($G380:DY380)&gt;DZ381,DZ381,$E380-SUM($G381:DY381)))</f>
        <v>0</v>
      </c>
      <c r="EA380" s="401">
        <f ca="1">IF(SUM($G380:DZ380)&gt;=$E380,0,IF($E380-SUM($G380:DZ380)&gt;EA381,EA381,$E380-SUM($G381:DZ381)))</f>
        <v>0</v>
      </c>
      <c r="EB380" s="401">
        <f ca="1">IF(SUM($G380:EA380)&gt;=$E380,0,IF($E380-SUM($G380:EA380)&gt;EB381,EB381,$E380-SUM($G381:EA381)))</f>
        <v>0</v>
      </c>
      <c r="EC380" s="401">
        <f ca="1">IF(SUM($G380:EB380)&gt;=$E380,0,IF($E380-SUM($G380:EB380)&gt;EC381,EC381,$E380-SUM($G381:EB381)))</f>
        <v>0</v>
      </c>
      <c r="ED380" s="401">
        <f ca="1">IF(SUM($G380:EC380)&gt;=$E380,0,IF($E380-SUM($G380:EC380)&gt;ED381,ED381,$E380-SUM($G381:EC381)))</f>
        <v>0</v>
      </c>
      <c r="EE380" s="401">
        <f ca="1">IF(SUM($G380:ED380)&gt;=$E380,0,IF($E380-SUM($G380:ED380)&gt;EE381,EE381,$E380-SUM($G381:ED381)))</f>
        <v>0</v>
      </c>
      <c r="EF380" s="401">
        <f ca="1">IF(SUM($G380:EE380)&gt;=$E380,0,IF($E380-SUM($G380:EE380)&gt;EF381,EF381,$E380-SUM($G381:EE381)))</f>
        <v>0</v>
      </c>
      <c r="EG380" s="401">
        <f ca="1">IF(SUM($G380:EF380)&gt;=$E380,0,IF($E380-SUM($G380:EF380)&gt;EG381,EG381,$E380-SUM($G381:EF381)))</f>
        <v>0</v>
      </c>
      <c r="EH380" s="401">
        <f ca="1">IF(SUM($G380:EG380)&gt;=$E380,0,IF($E380-SUM($G380:EG380)&gt;EH381,EH381,$E380-SUM($G381:EG381)))</f>
        <v>0</v>
      </c>
      <c r="EI380" s="401">
        <f ca="1">IF(SUM($G380:EH380)&gt;=$E380,0,IF($E380-SUM($G380:EH380)&gt;EI381,EI381,$E380-SUM($G381:EH381)))</f>
        <v>0</v>
      </c>
      <c r="EK380" s="313"/>
    </row>
    <row r="381" spans="1:141" hidden="1" outlineLevel="2">
      <c r="A381" s="332"/>
      <c r="B381" s="313"/>
      <c r="C381" s="308"/>
      <c r="D381" s="308"/>
      <c r="E381" s="308"/>
      <c r="G381" s="405"/>
      <c r="H381" s="405">
        <f ca="1">IF((SUM($G270:H270)-$E269)&lt;0,0,IF((SUM($G270:H270)-$E269)&lt;H270,SUM($G270:H270)-$E269,H270))</f>
        <v>0</v>
      </c>
      <c r="I381" s="405">
        <f ca="1">IF((SUM($G270:I270)-$E269)&lt;0,0,IF((SUM($G270:I270)-$E269)&lt;I270,SUM($G270:I270)-$E269,I270))</f>
        <v>0</v>
      </c>
      <c r="J381" s="405">
        <f ca="1">IF((SUM($G270:J270)-$E269)&lt;0,0,IF((SUM($G270:J270)-$E269)&lt;J270,SUM($G270:J270)-$E269,J270))</f>
        <v>0</v>
      </c>
      <c r="K381" s="405">
        <f ca="1">IF((SUM($G270:K270)-$E269)&lt;0,0,IF((SUM($G270:K270)-$E269)&lt;K270,SUM($G270:K270)-$E269,K270))</f>
        <v>0</v>
      </c>
      <c r="L381" s="405">
        <f ca="1">IF((SUM($G270:L270)-$E269)&lt;0,0,IF((SUM($G270:L270)-$E269)&lt;L270,SUM($G270:L270)-$E269,L270))</f>
        <v>0</v>
      </c>
      <c r="M381" s="405">
        <f ca="1">IF((SUM($G270:M270)-$E269)&lt;0,0,IF((SUM($G270:M270)-$E269)&lt;M270,SUM($G270:M270)-$E269,M270))</f>
        <v>0</v>
      </c>
      <c r="N381" s="405">
        <f ca="1">IF((SUM($G270:N270)-$E269)&lt;0,0,IF((SUM($G270:N270)-$E269)&lt;N270,SUM($G270:N270)-$E269,N270))</f>
        <v>0</v>
      </c>
      <c r="O381" s="405">
        <f ca="1">IF((SUM($G270:O270)-$E269)&lt;0,0,IF((SUM($G270:O270)-$E269)&lt;O270,SUM($G270:O270)-$E269,O270))</f>
        <v>0</v>
      </c>
      <c r="P381" s="405">
        <f ca="1">IF((SUM($G270:P270)-$E269)&lt;0,0,IF((SUM($G270:P270)-$E269)&lt;P270,SUM($G270:P270)-$E269,P270))</f>
        <v>0</v>
      </c>
      <c r="Q381" s="405">
        <f ca="1">IF((SUM($G270:Q270)-$E269)&lt;0,0,IF((SUM($G270:Q270)-$E269)&lt;Q270,SUM($G270:Q270)-$E269,Q270))</f>
        <v>0</v>
      </c>
      <c r="R381" s="405">
        <f ca="1">IF((SUM($G270:R270)-$E269)&lt;0,0,IF((SUM($G270:R270)-$E269)&lt;R270,SUM($G270:R270)-$E269,R270))</f>
        <v>0</v>
      </c>
      <c r="S381" s="405">
        <f ca="1">IF((SUM($G270:S270)-$E269)&lt;0,0,IF((SUM($G270:S270)-$E269)&lt;S270,SUM($G270:S270)-$E269,S270))</f>
        <v>0</v>
      </c>
      <c r="T381" s="405">
        <f ca="1">IF((SUM($G270:T270)-$E269)&lt;0,0,IF((SUM($G270:T270)-$E269)&lt;T270,SUM($G270:T270)-$E269,T270))</f>
        <v>0</v>
      </c>
      <c r="U381" s="405">
        <f ca="1">IF((SUM($G270:U270)-$E269)&lt;0,0,IF((SUM($G270:U270)-$E269)&lt;U270,SUM($G270:U270)-$E269,U270))</f>
        <v>0</v>
      </c>
      <c r="V381" s="405">
        <f ca="1">IF((SUM($G270:V270)-$E269)&lt;0,0,IF((SUM($G270:V270)-$E269)&lt;V270,SUM($G270:V270)-$E269,V270))</f>
        <v>0</v>
      </c>
      <c r="W381" s="405">
        <f ca="1">IF((SUM($G270:W270)-$E269)&lt;0,0,IF((SUM($G270:W270)-$E269)&lt;W270,SUM($G270:W270)-$E269,W270))</f>
        <v>0</v>
      </c>
      <c r="X381" s="405">
        <f ca="1">IF((SUM($G270:X270)-$E269)&lt;0,0,IF((SUM($G270:X270)-$E269)&lt;X270,SUM($G270:X270)-$E269,X270))</f>
        <v>0</v>
      </c>
      <c r="Y381" s="405">
        <f ca="1">IF((SUM($G270:Y270)-$E269)&lt;0,0,IF((SUM($G270:Y270)-$E269)&lt;Y270,SUM($G270:Y270)-$E269,Y270))</f>
        <v>0</v>
      </c>
      <c r="Z381" s="405">
        <f ca="1">IF((SUM($G270:Z270)-$E269)&lt;0,0,IF((SUM($G270:Z270)-$E269)&lt;Z270,SUM($G270:Z270)-$E269,Z270))</f>
        <v>0</v>
      </c>
      <c r="AA381" s="405">
        <f ca="1">IF((SUM($G270:AA270)-$E269)&lt;0,0,IF((SUM($G270:AA270)-$E269)&lt;AA270,SUM($G270:AA270)-$E269,AA270))</f>
        <v>0</v>
      </c>
      <c r="AB381" s="405">
        <f ca="1">IF((SUM($G270:AB270)-$E269)&lt;0,0,IF((SUM($G270:AB270)-$E269)&lt;AB270,SUM($G270:AB270)-$E269,AB270))</f>
        <v>0</v>
      </c>
      <c r="AC381" s="405">
        <f ca="1">IF((SUM($G270:AC270)-$E269)&lt;0,0,IF((SUM($G270:AC270)-$E269)&lt;AC270,SUM($G270:AC270)-$E269,AC270))</f>
        <v>0</v>
      </c>
      <c r="AD381" s="405">
        <f ca="1">IF((SUM($G270:AD270)-$E269)&lt;0,0,IF((SUM($G270:AD270)-$E269)&lt;AD270,SUM($G270:AD270)-$E269,AD270))</f>
        <v>0</v>
      </c>
      <c r="AE381" s="405">
        <f ca="1">IF((SUM($G270:AE270)-$E269)&lt;0,0,IF((SUM($G270:AE270)-$E269)&lt;AE270,SUM($G270:AE270)-$E269,AE270))</f>
        <v>0</v>
      </c>
      <c r="AF381" s="405">
        <f ca="1">IF((SUM($G270:AF270)-$E269)&lt;0,0,IF((SUM($G270:AF270)-$E269)&lt;AF270,SUM($G270:AF270)-$E269,AF270))</f>
        <v>0</v>
      </c>
      <c r="AG381" s="405">
        <f ca="1">IF((SUM($G270:AG270)-$E269)&lt;0,0,IF((SUM($G270:AG270)-$E269)&lt;AG270,SUM($G270:AG270)-$E269,AG270))</f>
        <v>0</v>
      </c>
      <c r="AH381" s="405">
        <f ca="1">IF((SUM($G270:AH270)-$E269)&lt;0,0,IF((SUM($G270:AH270)-$E269)&lt;AH270,SUM($G270:AH270)-$E269,AH270))</f>
        <v>0</v>
      </c>
      <c r="AI381" s="405">
        <f ca="1">IF((SUM($G270:AI270)-$E269)&lt;0,0,IF((SUM($G270:AI270)-$E269)&lt;AI270,SUM($G270:AI270)-$E269,AI270))</f>
        <v>0</v>
      </c>
      <c r="AJ381" s="405">
        <f ca="1">IF((SUM($G270:AJ270)-$E269)&lt;0,0,IF((SUM($G270:AJ270)-$E269)&lt;AJ270,SUM($G270:AJ270)-$E269,AJ270))</f>
        <v>0</v>
      </c>
      <c r="AK381" s="405">
        <f ca="1">IF((SUM($G270:AK270)-$E269)&lt;0,0,IF((SUM($G270:AK270)-$E269)&lt;AK270,SUM($G270:AK270)-$E269,AK270))</f>
        <v>0</v>
      </c>
      <c r="AL381" s="405">
        <f ca="1">IF((SUM($G270:AL270)-$E269)&lt;0,0,IF((SUM($G270:AL270)-$E269)&lt;AL270,SUM($G270:AL270)-$E269,AL270))</f>
        <v>0</v>
      </c>
      <c r="AM381" s="405">
        <f ca="1">IF((SUM($G270:AM270)-$E269)&lt;0,0,IF((SUM($G270:AM270)-$E269)&lt;AM270,SUM($G270:AM270)-$E269,AM270))</f>
        <v>0</v>
      </c>
      <c r="AN381" s="405">
        <f ca="1">IF((SUM($G270:AN270)-$E269)&lt;0,0,IF((SUM($G270:AN270)-$E269)&lt;AN270,SUM($G270:AN270)-$E269,AN270))</f>
        <v>0</v>
      </c>
      <c r="AO381" s="405">
        <f ca="1">IF((SUM($G270:AO270)-$E269)&lt;0,0,IF((SUM($G270:AO270)-$E269)&lt;AO270,SUM($G270:AO270)-$E269,AO270))</f>
        <v>0</v>
      </c>
      <c r="AP381" s="405">
        <f ca="1">IF((SUM($G270:AP270)-$E269)&lt;0,0,IF((SUM($G270:AP270)-$E269)&lt;AP270,SUM($G270:AP270)-$E269,AP270))</f>
        <v>0</v>
      </c>
      <c r="AQ381" s="405">
        <f ca="1">IF((SUM($G270:AQ270)-$E269)&lt;0,0,IF((SUM($G270:AQ270)-$E269)&lt;AQ270,SUM($G270:AQ270)-$E269,AQ270))</f>
        <v>0</v>
      </c>
      <c r="AR381" s="405">
        <f ca="1">IF((SUM($G270:AR270)-$E269)&lt;0,0,IF((SUM($G270:AR270)-$E269)&lt;AR270,SUM($G270:AR270)-$E269,AR270))</f>
        <v>0</v>
      </c>
      <c r="AS381" s="405">
        <f ca="1">IF((SUM($G270:AS270)-$E269)&lt;0,0,IF((SUM($G270:AS270)-$E269)&lt;AS270,SUM($G270:AS270)-$E269,AS270))</f>
        <v>0</v>
      </c>
      <c r="AT381" s="405">
        <f ca="1">IF((SUM($G270:AT270)-$E269)&lt;0,0,IF((SUM($G270:AT270)-$E269)&lt;AT270,SUM($G270:AT270)-$E269,AT270))</f>
        <v>0</v>
      </c>
      <c r="AU381" s="405">
        <f ca="1">IF((SUM($G270:AU270)-$E269)&lt;0,0,IF((SUM($G270:AU270)-$E269)&lt;AU270,SUM($G270:AU270)-$E269,AU270))</f>
        <v>0</v>
      </c>
      <c r="AV381" s="405">
        <f ca="1">IF((SUM($G270:AV270)-$E269)&lt;0,0,IF((SUM($G270:AV270)-$E269)&lt;AV270,SUM($G270:AV270)-$E269,AV270))</f>
        <v>0</v>
      </c>
      <c r="AW381" s="405">
        <f ca="1">IF((SUM($G270:AW270)-$E269)&lt;0,0,IF((SUM($G270:AW270)-$E269)&lt;AW270,SUM($G270:AW270)-$E269,AW270))</f>
        <v>0</v>
      </c>
      <c r="AX381" s="405">
        <f ca="1">IF((SUM($G270:AX270)-$E269)&lt;0,0,IF((SUM($G270:AX270)-$E269)&lt;AX270,SUM($G270:AX270)-$E269,AX270))</f>
        <v>0</v>
      </c>
      <c r="AY381" s="405">
        <f ca="1">IF((SUM($G270:AY270)-$E269)&lt;0,0,IF((SUM($G270:AY270)-$E269)&lt;AY270,SUM($G270:AY270)-$E269,AY270))</f>
        <v>0</v>
      </c>
      <c r="AZ381" s="405">
        <f ca="1">IF((SUM($G270:AZ270)-$E269)&lt;0,0,IF((SUM($G270:AZ270)-$E269)&lt;AZ270,SUM($G270:AZ270)-$E269,AZ270))</f>
        <v>0</v>
      </c>
      <c r="BA381" s="405">
        <f ca="1">IF((SUM($G270:BA270)-$E269)&lt;0,0,IF((SUM($G270:BA270)-$E269)&lt;BA270,SUM($G270:BA270)-$E269,BA270))</f>
        <v>5</v>
      </c>
      <c r="BB381" s="405">
        <f ca="1">IF((SUM($G270:BB270)-$E269)&lt;0,0,IF((SUM($G270:BB270)-$E269)&lt;BB270,SUM($G270:BB270)-$E269,BB270))</f>
        <v>28</v>
      </c>
      <c r="BC381" s="405">
        <f ca="1">IF((SUM($G270:BC270)-$E269)&lt;0,0,IF((SUM($G270:BC270)-$E269)&lt;BC270,SUM($G270:BC270)-$E269,BC270))</f>
        <v>31</v>
      </c>
      <c r="BD381" s="405">
        <f ca="1">IF((SUM($G270:BD270)-$E269)&lt;0,0,IF((SUM($G270:BD270)-$E269)&lt;BD270,SUM($G270:BD270)-$E269,BD270))</f>
        <v>30</v>
      </c>
      <c r="BE381" s="405">
        <f ca="1">IF((SUM($G270:BE270)-$E269)&lt;0,0,IF((SUM($G270:BE270)-$E269)&lt;BE270,SUM($G270:BE270)-$E269,BE270))</f>
        <v>31</v>
      </c>
      <c r="BF381" s="405">
        <f ca="1">IF((SUM($G270:BF270)-$E269)&lt;0,0,IF((SUM($G270:BF270)-$E269)&lt;BF270,SUM($G270:BF270)-$E269,BF270))</f>
        <v>30</v>
      </c>
      <c r="BG381" s="405">
        <f ca="1">IF((SUM($G270:BG270)-$E269)&lt;0,0,IF((SUM($G270:BG270)-$E269)&lt;BG270,SUM($G270:BG270)-$E269,BG270))</f>
        <v>31</v>
      </c>
      <c r="BH381" s="405">
        <f ca="1">IF((SUM($G270:BH270)-$E269)&lt;0,0,IF((SUM($G270:BH270)-$E269)&lt;BH270,SUM($G270:BH270)-$E269,BH270))</f>
        <v>31</v>
      </c>
      <c r="BI381" s="405">
        <f ca="1">IF((SUM($G270:BI270)-$E269)&lt;0,0,IF((SUM($G270:BI270)-$E269)&lt;BI270,SUM($G270:BI270)-$E269,BI270))</f>
        <v>30</v>
      </c>
      <c r="BJ381" s="405">
        <f ca="1">IF((SUM($G270:BJ270)-$E269)&lt;0,0,IF((SUM($G270:BJ270)-$E269)&lt;BJ270,SUM($G270:BJ270)-$E269,BJ270))</f>
        <v>31</v>
      </c>
      <c r="BK381" s="405">
        <f ca="1">IF((SUM($G270:BK270)-$E269)&lt;0,0,IF((SUM($G270:BK270)-$E269)&lt;BK270,SUM($G270:BK270)-$E269,BK270))</f>
        <v>30</v>
      </c>
      <c r="BL381" s="405">
        <f ca="1">IF((SUM($G270:BL270)-$E269)&lt;0,0,IF((SUM($G270:BL270)-$E269)&lt;BL270,SUM($G270:BL270)-$E269,BL270))</f>
        <v>31</v>
      </c>
      <c r="BM381" s="405">
        <f ca="1">IF((SUM($G270:BM270)-$E269)&lt;0,0,IF((SUM($G270:BM270)-$E269)&lt;BM270,SUM($G270:BM270)-$E269,BM270))</f>
        <v>31</v>
      </c>
      <c r="BN381" s="405">
        <f ca="1">IF((SUM($G270:BN270)-$E269)&lt;0,0,IF((SUM($G270:BN270)-$E269)&lt;BN270,SUM($G270:BN270)-$E269,BN270))</f>
        <v>29</v>
      </c>
      <c r="BO381" s="405">
        <f ca="1">IF((SUM($G270:BO270)-$E269)&lt;0,0,IF((SUM($G270:BO270)-$E269)&lt;BO270,SUM($G270:BO270)-$E269,BO270))</f>
        <v>31</v>
      </c>
      <c r="BP381" s="405">
        <f ca="1">IF((SUM($G270:BP270)-$E269)&lt;0,0,IF((SUM($G270:BP270)-$E269)&lt;BP270,SUM($G270:BP270)-$E269,BP270))</f>
        <v>30</v>
      </c>
      <c r="BQ381" s="405">
        <f ca="1">IF((SUM($G270:BQ270)-$E269)&lt;0,0,IF((SUM($G270:BQ270)-$E269)&lt;BQ270,SUM($G270:BQ270)-$E269,BQ270))</f>
        <v>31</v>
      </c>
      <c r="BR381" s="405">
        <f ca="1">IF((SUM($G270:BR270)-$E269)&lt;0,0,IF((SUM($G270:BR270)-$E269)&lt;BR270,SUM($G270:BR270)-$E269,BR270))</f>
        <v>30</v>
      </c>
      <c r="BS381" s="405">
        <f ca="1">IF((SUM($G270:BS270)-$E269)&lt;0,0,IF((SUM($G270:BS270)-$E269)&lt;BS270,SUM($G270:BS270)-$E269,BS270))</f>
        <v>31</v>
      </c>
      <c r="BT381" s="405">
        <f ca="1">IF((SUM($G270:BT270)-$E269)&lt;0,0,IF((SUM($G270:BT270)-$E269)&lt;BT270,SUM($G270:BT270)-$E269,BT270))</f>
        <v>31</v>
      </c>
      <c r="BU381" s="405">
        <f ca="1">IF((SUM($G270:BU270)-$E269)&lt;0,0,IF((SUM($G270:BU270)-$E269)&lt;BU270,SUM($G270:BU270)-$E269,BU270))</f>
        <v>30</v>
      </c>
      <c r="BV381" s="405">
        <f ca="1">IF((SUM($G270:BV270)-$E269)&lt;0,0,IF((SUM($G270:BV270)-$E269)&lt;BV270,SUM($G270:BV270)-$E269,BV270))</f>
        <v>31</v>
      </c>
      <c r="BW381" s="405">
        <f ca="1">IF((SUM($G270:BW270)-$E269)&lt;0,0,IF((SUM($G270:BW270)-$E269)&lt;BW270,SUM($G270:BW270)-$E269,BW270))</f>
        <v>30</v>
      </c>
      <c r="BX381" s="405">
        <f ca="1">IF((SUM($G270:BX270)-$E269)&lt;0,0,IF((SUM($G270:BX270)-$E269)&lt;BX270,SUM($G270:BX270)-$E269,BX270))</f>
        <v>31</v>
      </c>
      <c r="BY381" s="405">
        <f ca="1">IF((SUM($G270:BY270)-$E269)&lt;0,0,IF((SUM($G270:BY270)-$E269)&lt;BY270,SUM($G270:BY270)-$E269,BY270))</f>
        <v>31</v>
      </c>
      <c r="BZ381" s="405">
        <f ca="1">IF((SUM($G270:BZ270)-$E269)&lt;0,0,IF((SUM($G270:BZ270)-$E269)&lt;BZ270,SUM($G270:BZ270)-$E269,BZ270))</f>
        <v>28</v>
      </c>
      <c r="CA381" s="405">
        <f ca="1">IF((SUM($G270:CA270)-$E269)&lt;0,0,IF((SUM($G270:CA270)-$E269)&lt;CA270,SUM($G270:CA270)-$E269,CA270))</f>
        <v>31</v>
      </c>
      <c r="CB381" s="405">
        <f ca="1">IF((SUM($G270:CB270)-$E269)&lt;0,0,IF((SUM($G270:CB270)-$E269)&lt;CB270,SUM($G270:CB270)-$E269,CB270))</f>
        <v>30</v>
      </c>
      <c r="CC381" s="405">
        <f ca="1">IF((SUM($G270:CC270)-$E269)&lt;0,0,IF((SUM($G270:CC270)-$E269)&lt;CC270,SUM($G270:CC270)-$E269,CC270))</f>
        <v>31</v>
      </c>
      <c r="CD381" s="405">
        <f ca="1">IF((SUM($G270:CD270)-$E269)&lt;0,0,IF((SUM($G270:CD270)-$E269)&lt;CD270,SUM($G270:CD270)-$E269,CD270))</f>
        <v>30</v>
      </c>
      <c r="CE381" s="405">
        <f ca="1">IF((SUM($G270:CE270)-$E269)&lt;0,0,IF((SUM($G270:CE270)-$E269)&lt;CE270,SUM($G270:CE270)-$E269,CE270))</f>
        <v>31</v>
      </c>
      <c r="CF381" s="405">
        <f ca="1">IF((SUM($G270:CF270)-$E269)&lt;0,0,IF((SUM($G270:CF270)-$E269)&lt;CF270,SUM($G270:CF270)-$E269,CF270))</f>
        <v>31</v>
      </c>
      <c r="CG381" s="405">
        <f ca="1">IF((SUM($G270:CG270)-$E269)&lt;0,0,IF((SUM($G270:CG270)-$E269)&lt;CG270,SUM($G270:CG270)-$E269,CG270))</f>
        <v>30</v>
      </c>
      <c r="CH381" s="405">
        <f ca="1">IF((SUM($G270:CH270)-$E269)&lt;0,0,IF((SUM($G270:CH270)-$E269)&lt;CH270,SUM($G270:CH270)-$E269,CH270))</f>
        <v>31</v>
      </c>
      <c r="CI381" s="405">
        <f ca="1">IF((SUM($G270:CI270)-$E269)&lt;0,0,IF((SUM($G270:CI270)-$E269)&lt;CI270,SUM($G270:CI270)-$E269,CI270))</f>
        <v>30</v>
      </c>
      <c r="CJ381" s="405">
        <f ca="1">IF((SUM($G270:CJ270)-$E269)&lt;0,0,IF((SUM($G270:CJ270)-$E269)&lt;CJ270,SUM($G270:CJ270)-$E269,CJ270))</f>
        <v>31</v>
      </c>
      <c r="CK381" s="405">
        <f ca="1">IF((SUM($G270:CK270)-$E269)&lt;0,0,IF((SUM($G270:CK270)-$E269)&lt;CK270,SUM($G270:CK270)-$E269,CK270))</f>
        <v>31</v>
      </c>
      <c r="CL381" s="405">
        <f ca="1">IF((SUM($G270:CL270)-$E269)&lt;0,0,IF((SUM($G270:CL270)-$E269)&lt;CL270,SUM($G270:CL270)-$E269,CL270))</f>
        <v>28</v>
      </c>
      <c r="CM381" s="405">
        <f ca="1">IF((SUM($G270:CM270)-$E269)&lt;0,0,IF((SUM($G270:CM270)-$E269)&lt;CM270,SUM($G270:CM270)-$E269,CM270))</f>
        <v>31</v>
      </c>
      <c r="CN381" s="405">
        <f ca="1">IF((SUM($G270:CN270)-$E269)&lt;0,0,IF((SUM($G270:CN270)-$E269)&lt;CN270,SUM($G270:CN270)-$E269,CN270))</f>
        <v>30</v>
      </c>
      <c r="CO381" s="405">
        <f ca="1">IF((SUM($G270:CO270)-$E269)&lt;0,0,IF((SUM($G270:CO270)-$E269)&lt;CO270,SUM($G270:CO270)-$E269,CO270))</f>
        <v>31</v>
      </c>
      <c r="CP381" s="405">
        <f ca="1">IF((SUM($G270:CP270)-$E269)&lt;0,0,IF((SUM($G270:CP270)-$E269)&lt;CP270,SUM($G270:CP270)-$E269,CP270))</f>
        <v>30</v>
      </c>
      <c r="CQ381" s="405">
        <f ca="1">IF((SUM($G270:CQ270)-$E269)&lt;0,0,IF((SUM($G270:CQ270)-$E269)&lt;CQ270,SUM($G270:CQ270)-$E269,CQ270))</f>
        <v>31</v>
      </c>
      <c r="CR381" s="405">
        <f ca="1">IF((SUM($G270:CR270)-$E269)&lt;0,0,IF((SUM($G270:CR270)-$E269)&lt;CR270,SUM($G270:CR270)-$E269,CR270))</f>
        <v>31</v>
      </c>
      <c r="CS381" s="405">
        <f ca="1">IF((SUM($G270:CS270)-$E269)&lt;0,0,IF((SUM($G270:CS270)-$E269)&lt;CS270,SUM($G270:CS270)-$E269,CS270))</f>
        <v>30</v>
      </c>
      <c r="CT381" s="405">
        <f ca="1">IF((SUM($G270:CT270)-$E269)&lt;0,0,IF((SUM($G270:CT270)-$E269)&lt;CT270,SUM($G270:CT270)-$E269,CT270))</f>
        <v>31</v>
      </c>
      <c r="CU381" s="405">
        <f ca="1">IF((SUM($G270:CU270)-$E269)&lt;0,0,IF((SUM($G270:CU270)-$E269)&lt;CU270,SUM($G270:CU270)-$E269,CU270))</f>
        <v>30</v>
      </c>
      <c r="CV381" s="405">
        <f ca="1">IF((SUM($G270:CV270)-$E269)&lt;0,0,IF((SUM($G270:CV270)-$E269)&lt;CV270,SUM($G270:CV270)-$E269,CV270))</f>
        <v>31</v>
      </c>
      <c r="CW381" s="405">
        <f ca="1">IF((SUM($G270:CW270)-$E269)&lt;0,0,IF((SUM($G270:CW270)-$E269)&lt;CW270,SUM($G270:CW270)-$E269,CW270))</f>
        <v>31</v>
      </c>
      <c r="CX381" s="405">
        <f ca="1">IF((SUM($G270:CX270)-$E269)&lt;0,0,IF((SUM($G270:CX270)-$E269)&lt;CX270,SUM($G270:CX270)-$E269,CX270))</f>
        <v>28</v>
      </c>
      <c r="CY381" s="405">
        <f ca="1">IF((SUM($G270:CY270)-$E269)&lt;0,0,IF((SUM($G270:CY270)-$E269)&lt;CY270,SUM($G270:CY270)-$E269,CY270))</f>
        <v>31</v>
      </c>
      <c r="CZ381" s="405">
        <f ca="1">IF((SUM($G270:CZ270)-$E269)&lt;0,0,IF((SUM($G270:CZ270)-$E269)&lt;CZ270,SUM($G270:CZ270)-$E269,CZ270))</f>
        <v>30</v>
      </c>
      <c r="DA381" s="405">
        <f ca="1">IF((SUM($G270:DA270)-$E269)&lt;0,0,IF((SUM($G270:DA270)-$E269)&lt;DA270,SUM($G270:DA270)-$E269,DA270))</f>
        <v>31</v>
      </c>
      <c r="DB381" s="405">
        <f ca="1">IF((SUM($G270:DB270)-$E269)&lt;0,0,IF((SUM($G270:DB270)-$E269)&lt;DB270,SUM($G270:DB270)-$E269,DB270))</f>
        <v>30</v>
      </c>
      <c r="DC381" s="405">
        <f ca="1">IF((SUM($G270:DC270)-$E269)&lt;0,0,IF((SUM($G270:DC270)-$E269)&lt;DC270,SUM($G270:DC270)-$E269,DC270))</f>
        <v>31</v>
      </c>
      <c r="DD381" s="405">
        <f ca="1">IF((SUM($G270:DD270)-$E269)&lt;0,0,IF((SUM($G270:DD270)-$E269)&lt;DD270,SUM($G270:DD270)-$E269,DD270))</f>
        <v>31</v>
      </c>
      <c r="DE381" s="405">
        <f ca="1">IF((SUM($G270:DE270)-$E269)&lt;0,0,IF((SUM($G270:DE270)-$E269)&lt;DE270,SUM($G270:DE270)-$E269,DE270))</f>
        <v>30</v>
      </c>
      <c r="DF381" s="405">
        <f ca="1">IF((SUM($G270:DF270)-$E269)&lt;0,0,IF((SUM($G270:DF270)-$E269)&lt;DF270,SUM($G270:DF270)-$E269,DF270))</f>
        <v>31</v>
      </c>
      <c r="DG381" s="405">
        <f ca="1">IF((SUM($G270:DG270)-$E269)&lt;0,0,IF((SUM($G270:DG270)-$E269)&lt;DG270,SUM($G270:DG270)-$E269,DG270))</f>
        <v>30</v>
      </c>
      <c r="DH381" s="405">
        <f ca="1">IF((SUM($G270:DH270)-$E269)&lt;0,0,IF((SUM($G270:DH270)-$E269)&lt;DH270,SUM($G270:DH270)-$E269,DH270))</f>
        <v>31</v>
      </c>
      <c r="DI381" s="405">
        <f ca="1">IF((SUM($G270:DI270)-$E269)&lt;0,0,IF((SUM($G270:DI270)-$E269)&lt;DI270,SUM($G270:DI270)-$E269,DI270))</f>
        <v>31</v>
      </c>
      <c r="DJ381" s="405">
        <f ca="1">IF((SUM($G270:DJ270)-$E269)&lt;0,0,IF((SUM($G270:DJ270)-$E269)&lt;DJ270,SUM($G270:DJ270)-$E269,DJ270))</f>
        <v>29</v>
      </c>
      <c r="DK381" s="405">
        <f ca="1">IF((SUM($G270:DK270)-$E269)&lt;0,0,IF((SUM($G270:DK270)-$E269)&lt;DK270,SUM($G270:DK270)-$E269,DK270))</f>
        <v>31</v>
      </c>
      <c r="DL381" s="405">
        <f ca="1">IF((SUM($G270:DL270)-$E269)&lt;0,0,IF((SUM($G270:DL270)-$E269)&lt;DL270,SUM($G270:DL270)-$E269,DL270))</f>
        <v>30</v>
      </c>
      <c r="DM381" s="405">
        <f ca="1">IF((SUM($G270:DM270)-$E269)&lt;0,0,IF((SUM($G270:DM270)-$E269)&lt;DM270,SUM($G270:DM270)-$E269,DM270))</f>
        <v>31</v>
      </c>
      <c r="DN381" s="405">
        <f ca="1">IF((SUM($G270:DN270)-$E269)&lt;0,0,IF((SUM($G270:DN270)-$E269)&lt;DN270,SUM($G270:DN270)-$E269,DN270))</f>
        <v>30</v>
      </c>
      <c r="DO381" s="405">
        <f ca="1">IF((SUM($G270:DO270)-$E269)&lt;0,0,IF((SUM($G270:DO270)-$E269)&lt;DO270,SUM($G270:DO270)-$E269,DO270))</f>
        <v>31</v>
      </c>
      <c r="DP381" s="405">
        <f ca="1">IF((SUM($G270:DP270)-$E269)&lt;0,0,IF((SUM($G270:DP270)-$E269)&lt;DP270,SUM($G270:DP270)-$E269,DP270))</f>
        <v>31</v>
      </c>
      <c r="DQ381" s="405">
        <f ca="1">IF((SUM($G270:DQ270)-$E269)&lt;0,0,IF((SUM($G270:DQ270)-$E269)&lt;DQ270,SUM($G270:DQ270)-$E269,DQ270))</f>
        <v>30</v>
      </c>
      <c r="DR381" s="405">
        <f ca="1">IF((SUM($G270:DR270)-$E269)&lt;0,0,IF((SUM($G270:DR270)-$E269)&lt;DR270,SUM($G270:DR270)-$E269,DR270))</f>
        <v>31</v>
      </c>
      <c r="DS381" s="405">
        <f ca="1">IF((SUM($G270:DS270)-$E269)&lt;0,0,IF((SUM($G270:DS270)-$E269)&lt;DS270,SUM($G270:DS270)-$E269,DS270))</f>
        <v>30</v>
      </c>
      <c r="DT381" s="405">
        <f ca="1">IF((SUM($G270:DT270)-$E269)&lt;0,0,IF((SUM($G270:DT270)-$E269)&lt;DT270,SUM($G270:DT270)-$E269,DT270))</f>
        <v>31</v>
      </c>
      <c r="DU381" s="405">
        <f ca="1">IF((SUM($G270:DU270)-$E269)&lt;0,0,IF((SUM($G270:DU270)-$E269)&lt;DU270,SUM($G270:DU270)-$E269,DU270))</f>
        <v>31</v>
      </c>
      <c r="DV381" s="405">
        <f ca="1">IF((SUM($G270:DV270)-$E269)&lt;0,0,IF((SUM($G270:DV270)-$E269)&lt;DV270,SUM($G270:DV270)-$E269,DV270))</f>
        <v>28</v>
      </c>
      <c r="DW381" s="405">
        <f ca="1">IF((SUM($G270:DW270)-$E269)&lt;0,0,IF((SUM($G270:DW270)-$E269)&lt;DW270,SUM($G270:DW270)-$E269,DW270))</f>
        <v>31</v>
      </c>
      <c r="DX381" s="405">
        <f ca="1">IF((SUM($G270:DX270)-$E269)&lt;0,0,IF((SUM($G270:DX270)-$E269)&lt;DX270,SUM($G270:DX270)-$E269,DX270))</f>
        <v>30</v>
      </c>
      <c r="DY381" s="405">
        <f ca="1">IF((SUM($G270:DY270)-$E269)&lt;0,0,IF((SUM($G270:DY270)-$E269)&lt;DY270,SUM($G270:DY270)-$E269,DY270))</f>
        <v>31</v>
      </c>
      <c r="DZ381" s="405">
        <f ca="1">IF((SUM($G270:DZ270)-$E269)&lt;0,0,IF((SUM($G270:DZ270)-$E269)&lt;DZ270,SUM($G270:DZ270)-$E269,DZ270))</f>
        <v>30</v>
      </c>
      <c r="EA381" s="405">
        <f ca="1">IF((SUM($G270:EA270)-$E269)&lt;0,0,IF((SUM($G270:EA270)-$E269)&lt;EA270,SUM($G270:EA270)-$E269,EA270))</f>
        <v>31</v>
      </c>
      <c r="EB381" s="405">
        <f ca="1">IF((SUM($G270:EB270)-$E269)&lt;0,0,IF((SUM($G270:EB270)-$E269)&lt;EB270,SUM($G270:EB270)-$E269,EB270))</f>
        <v>31</v>
      </c>
      <c r="EC381" s="405">
        <f ca="1">IF((SUM($G270:EC270)-$E269)&lt;0,0,IF((SUM($G270:EC270)-$E269)&lt;EC270,SUM($G270:EC270)-$E269,EC270))</f>
        <v>30</v>
      </c>
      <c r="ED381" s="405">
        <f ca="1">IF((SUM($G270:ED270)-$E269)&lt;0,0,IF((SUM($G270:ED270)-$E269)&lt;ED270,SUM($G270:ED270)-$E269,ED270))</f>
        <v>31</v>
      </c>
      <c r="EE381" s="405">
        <f ca="1">IF((SUM($G270:EE270)-$E269)&lt;0,0,IF((SUM($G270:EE270)-$E269)&lt;EE270,SUM($G270:EE270)-$E269,EE270))</f>
        <v>30</v>
      </c>
      <c r="EF381" s="405">
        <f ca="1">IF((SUM($G270:EF270)-$E269)&lt;0,0,IF((SUM($G270:EF270)-$E269)&lt;EF270,SUM($G270:EF270)-$E269,EF270))</f>
        <v>31</v>
      </c>
      <c r="EG381" s="405">
        <f ca="1">IF((SUM($G270:EG270)-$E269)&lt;0,0,IF((SUM($G270:EG270)-$E269)&lt;EG270,SUM($G270:EG270)-$E269,EG270))</f>
        <v>31</v>
      </c>
      <c r="EH381" s="405">
        <f ca="1">IF((SUM($G270:EH270)-$E269)&lt;0,0,IF((SUM($G270:EH270)-$E269)&lt;EH270,SUM($G270:EH270)-$E269,EH270))</f>
        <v>28</v>
      </c>
      <c r="EI381" s="405">
        <f ca="1">IF((SUM($G270:EI270)-$E269)&lt;0,0,IF((SUM($G270:EI270)-$E269)&lt;EI270,SUM($G270:EI270)-$E269,EI270))</f>
        <v>31</v>
      </c>
    </row>
    <row r="382" spans="1:141" hidden="1" outlineLevel="2">
      <c r="A382" s="332"/>
      <c r="D382" s="305" t="s">
        <v>670</v>
      </c>
      <c r="E382" s="403">
        <f ca="1">MIN(G382:EI382)</f>
        <v>0</v>
      </c>
      <c r="F382" s="404">
        <f ca="1">MAX(G382:EI382)</f>
        <v>0</v>
      </c>
      <c r="G382" s="403" t="str">
        <f ca="1">IF(G380=0,"",IF(SUM($G380:G380)&gt;=1,OFFSET(G$228,-1,0),""))</f>
        <v/>
      </c>
      <c r="H382" s="403" t="str">
        <f ca="1">IF(SUM($G382:G382)&gt;=1,"",IF(H380=0,"",IF(SUM($G380:H380)&gt;=1,OFFSET(H$228,-1,0),"")))</f>
        <v/>
      </c>
      <c r="I382" s="403" t="str">
        <f ca="1">IF(SUM($G382:H382)&gt;=1,"",IF(I380=0,"",IF(SUM($G380:I380)&gt;=1,OFFSET(I$228,-1,0),"")))</f>
        <v/>
      </c>
      <c r="J382" s="403" t="str">
        <f ca="1">IF(SUM($G382:I382)&gt;=1,"",IF(J380=0,"",IF(SUM($G380:J380)&gt;=1,OFFSET(J$228,-1,0),"")))</f>
        <v/>
      </c>
      <c r="K382" s="403" t="str">
        <f ca="1">IF(SUM($G382:J382)&gt;=1,"",IF(K380=0,"",IF(SUM($G380:K380)&gt;=1,OFFSET(K$228,-1,0),"")))</f>
        <v/>
      </c>
      <c r="L382" s="403" t="str">
        <f ca="1">IF(SUM($G382:K382)&gt;=1,"",IF(L380=0,"",IF(SUM($G380:L380)&gt;=1,OFFSET(L$228,-1,0),"")))</f>
        <v/>
      </c>
      <c r="M382" s="403" t="str">
        <f ca="1">IF(SUM($G382:L382)&gt;=1,"",IF(M380=0,"",IF(SUM($G380:M380)&gt;=1,OFFSET(M$228,-1,0),"")))</f>
        <v/>
      </c>
      <c r="N382" s="403" t="str">
        <f ca="1">IF(SUM($G382:M382)&gt;=1,"",IF(N380=0,"",IF(SUM($G380:N380)&gt;=1,OFFSET(N$228,-1,0),"")))</f>
        <v/>
      </c>
      <c r="O382" s="403" t="str">
        <f ca="1">IF(SUM($G382:N382)&gt;=1,"",IF(O380=0,"",IF(SUM($G380:O380)&gt;=1,OFFSET(O$228,-1,0),"")))</f>
        <v/>
      </c>
      <c r="P382" s="403" t="str">
        <f ca="1">IF(SUM($G382:O382)&gt;=1,"",IF(P380=0,"",IF(SUM($G380:P380)&gt;=1,OFFSET(P$228,-1,0),"")))</f>
        <v/>
      </c>
      <c r="Q382" s="403" t="str">
        <f ca="1">IF(SUM($G382:P382)&gt;=1,"",IF(Q380=0,"",IF(SUM($G380:Q380)&gt;=1,OFFSET(Q$228,-1,0),"")))</f>
        <v/>
      </c>
      <c r="R382" s="403" t="str">
        <f ca="1">IF(SUM($G382:Q382)&gt;=1,"",IF(R380=0,"",IF(SUM($G380:R380)&gt;=1,OFFSET(R$228,-1,0),"")))</f>
        <v/>
      </c>
      <c r="S382" s="403" t="str">
        <f ca="1">IF(SUM($G382:R382)&gt;=1,"",IF(S380=0,"",IF(SUM($G380:S380)&gt;=1,OFFSET(S$228,-1,0),"")))</f>
        <v/>
      </c>
      <c r="T382" s="403" t="str">
        <f ca="1">IF(SUM($G382:S382)&gt;=1,"",IF(T380=0,"",IF(SUM($G380:T380)&gt;=1,OFFSET(T$228,-1,0),"")))</f>
        <v/>
      </c>
      <c r="U382" s="403" t="str">
        <f ca="1">IF(SUM($G382:T382)&gt;=1,"",IF(U380=0,"",IF(SUM($G380:U380)&gt;=1,OFFSET(U$228,-1,0),"")))</f>
        <v/>
      </c>
      <c r="V382" s="403" t="str">
        <f ca="1">IF(SUM($G382:U382)&gt;=1,"",IF(V380=0,"",IF(SUM($G380:V380)&gt;=1,OFFSET(V$228,-1,0),"")))</f>
        <v/>
      </c>
      <c r="W382" s="403" t="str">
        <f ca="1">IF(SUM($G382:V382)&gt;=1,"",IF(W380=0,"",IF(SUM($G380:W380)&gt;=1,OFFSET(W$228,-1,0),"")))</f>
        <v/>
      </c>
      <c r="X382" s="403" t="str">
        <f ca="1">IF(SUM($G382:W382)&gt;=1,"",IF(X380=0,"",IF(SUM($G380:X380)&gt;=1,OFFSET(X$228,-1,0),"")))</f>
        <v/>
      </c>
      <c r="Y382" s="403" t="str">
        <f ca="1">IF(SUM($G382:X382)&gt;=1,"",IF(Y380=0,"",IF(SUM($G380:Y380)&gt;=1,OFFSET(Y$228,-1,0),"")))</f>
        <v/>
      </c>
      <c r="Z382" s="403" t="str">
        <f ca="1">IF(SUM($G382:Y382)&gt;=1,"",IF(Z380=0,"",IF(SUM($G380:Z380)&gt;=1,OFFSET(Z$228,-1,0),"")))</f>
        <v/>
      </c>
      <c r="AA382" s="403" t="str">
        <f ca="1">IF(SUM($G382:Z382)&gt;=1,"",IF(AA380=0,"",IF(SUM($G380:AA380)&gt;=1,OFFSET(AA$228,-1,0),"")))</f>
        <v/>
      </c>
      <c r="AB382" s="403" t="str">
        <f ca="1">IF(SUM($G382:AA382)&gt;=1,"",IF(AB380=0,"",IF(SUM($G380:AB380)&gt;=1,OFFSET(AB$228,-1,0),"")))</f>
        <v/>
      </c>
      <c r="AC382" s="403" t="str">
        <f ca="1">IF(SUM($G382:AB382)&gt;=1,"",IF(AC380=0,"",IF(SUM($G380:AC380)&gt;=1,OFFSET(AC$228,-1,0),"")))</f>
        <v/>
      </c>
      <c r="AD382" s="403" t="str">
        <f ca="1">IF(SUM($G382:AC382)&gt;=1,"",IF(AD380=0,"",IF(SUM($G380:AD380)&gt;=1,OFFSET(AD$228,-1,0),"")))</f>
        <v/>
      </c>
      <c r="AE382" s="403" t="str">
        <f ca="1">IF(SUM($G382:AD382)&gt;=1,"",IF(AE380=0,"",IF(SUM($G380:AE380)&gt;=1,OFFSET(AE$228,-1,0),"")))</f>
        <v/>
      </c>
      <c r="AF382" s="403" t="str">
        <f ca="1">IF(SUM($G382:AE382)&gt;=1,"",IF(AF380=0,"",IF(SUM($G380:AF380)&gt;=1,OFFSET(AF$228,-1,0),"")))</f>
        <v/>
      </c>
      <c r="AG382" s="403" t="str">
        <f ca="1">IF(SUM($G382:AF382)&gt;=1,"",IF(AG380=0,"",IF(SUM($G380:AG380)&gt;=1,OFFSET(AG$228,-1,0),"")))</f>
        <v/>
      </c>
      <c r="AH382" s="403" t="str">
        <f ca="1">IF(SUM($G382:AG382)&gt;=1,"",IF(AH380=0,"",IF(SUM($G380:AH380)&gt;=1,OFFSET(AH$228,-1,0),"")))</f>
        <v/>
      </c>
      <c r="AI382" s="403" t="str">
        <f ca="1">IF(SUM($G382:AH382)&gt;=1,"",IF(AI380=0,"",IF(SUM($G380:AI380)&gt;=1,OFFSET(AI$228,-1,0),"")))</f>
        <v/>
      </c>
      <c r="AJ382" s="403" t="str">
        <f ca="1">IF(SUM($G382:AI382)&gt;=1,"",IF(AJ380=0,"",IF(SUM($G380:AJ380)&gt;=1,OFFSET(AJ$228,-1,0),"")))</f>
        <v/>
      </c>
      <c r="AK382" s="403" t="str">
        <f ca="1">IF(SUM($G382:AJ382)&gt;=1,"",IF(AK380=0,"",IF(SUM($G380:AK380)&gt;=1,OFFSET(AK$228,-1,0),"")))</f>
        <v/>
      </c>
      <c r="AL382" s="403" t="str">
        <f ca="1">IF(SUM($G382:AK382)&gt;=1,"",IF(AL380=0,"",IF(SUM($G380:AL380)&gt;=1,OFFSET(AL$228,-1,0),"")))</f>
        <v/>
      </c>
      <c r="AM382" s="403" t="str">
        <f ca="1">IF(SUM($G382:AL382)&gt;=1,"",IF(AM380=0,"",IF(SUM($G380:AM380)&gt;=1,OFFSET(AM$228,-1,0),"")))</f>
        <v/>
      </c>
      <c r="AN382" s="403" t="str">
        <f ca="1">IF(SUM($G382:AM382)&gt;=1,"",IF(AN380=0,"",IF(SUM($G380:AN380)&gt;=1,OFFSET(AN$228,-1,0),"")))</f>
        <v/>
      </c>
      <c r="AO382" s="403" t="str">
        <f ca="1">IF(SUM($G382:AN382)&gt;=1,"",IF(AO380=0,"",IF(SUM($G380:AO380)&gt;=1,OFFSET(AO$228,-1,0),"")))</f>
        <v/>
      </c>
      <c r="AP382" s="403" t="str">
        <f ca="1">IF(SUM($G382:AO382)&gt;=1,"",IF(AP380=0,"",IF(SUM($G380:AP380)&gt;=1,OFFSET(AP$228,-1,0),"")))</f>
        <v/>
      </c>
      <c r="AQ382" s="403" t="str">
        <f ca="1">IF(SUM($G382:AP382)&gt;=1,"",IF(AQ380=0,"",IF(SUM($G380:AQ380)&gt;=1,OFFSET(AQ$228,-1,0),"")))</f>
        <v/>
      </c>
      <c r="AR382" s="403" t="str">
        <f ca="1">IF(SUM($G382:AQ382)&gt;=1,"",IF(AR380=0,"",IF(SUM($G380:AR380)&gt;=1,OFFSET(AR$228,-1,0),"")))</f>
        <v/>
      </c>
      <c r="AS382" s="403" t="str">
        <f ca="1">IF(SUM($G382:AR382)&gt;=1,"",IF(AS380=0,"",IF(SUM($G380:AS380)&gt;=1,OFFSET(AS$228,-1,0),"")))</f>
        <v/>
      </c>
      <c r="AT382" s="403" t="str">
        <f ca="1">IF(SUM($G382:AS382)&gt;=1,"",IF(AT380=0,"",IF(SUM($G380:AT380)&gt;=1,OFFSET(AT$228,-1,0),"")))</f>
        <v/>
      </c>
      <c r="AU382" s="403" t="str">
        <f ca="1">IF(SUM($G382:AT382)&gt;=1,"",IF(AU380=0,"",IF(SUM($G380:AU380)&gt;=1,OFFSET(AU$228,-1,0),"")))</f>
        <v/>
      </c>
      <c r="AV382" s="403" t="str">
        <f ca="1">IF(SUM($G382:AU382)&gt;=1,"",IF(AV380=0,"",IF(SUM($G380:AV380)&gt;=1,OFFSET(AV$228,-1,0),"")))</f>
        <v/>
      </c>
      <c r="AW382" s="403" t="str">
        <f ca="1">IF(SUM($G382:AV382)&gt;=1,"",IF(AW380=0,"",IF(SUM($G380:AW380)&gt;=1,OFFSET(AW$228,-1,0),"")))</f>
        <v/>
      </c>
      <c r="AX382" s="403" t="str">
        <f ca="1">IF(SUM($G382:AW382)&gt;=1,"",IF(AX380=0,"",IF(SUM($G380:AX380)&gt;=1,OFFSET(AX$228,-1,0),"")))</f>
        <v/>
      </c>
      <c r="AY382" s="403" t="str">
        <f ca="1">IF(SUM($G382:AX382)&gt;=1,"",IF(AY380=0,"",IF(SUM($G380:AY380)&gt;=1,OFFSET(AY$228,-1,0),"")))</f>
        <v/>
      </c>
      <c r="AZ382" s="403" t="str">
        <f ca="1">IF(SUM($G382:AY382)&gt;=1,"",IF(AZ380=0,"",IF(SUM($G380:AZ380)&gt;=1,OFFSET(AZ$228,-1,0),"")))</f>
        <v/>
      </c>
      <c r="BA382" s="403" t="str">
        <f ca="1">IF(SUM($G382:AZ382)&gt;=1,"",IF(BA380=0,"",IF(SUM($G380:BA380)&gt;=1,OFFSET(BA$228,-1,0),"")))</f>
        <v/>
      </c>
      <c r="BB382" s="403" t="str">
        <f ca="1">IF(SUM($G382:BA382)&gt;=1,"",IF(BB380=0,"",IF(SUM($G380:BB380)&gt;=1,OFFSET(BB$228,-1,0),"")))</f>
        <v/>
      </c>
      <c r="BC382" s="403" t="str">
        <f ca="1">IF(SUM($G382:BB382)&gt;=1,"",IF(BC380=0,"",IF(SUM($G380:BC380)&gt;=1,OFFSET(BC$228,-1,0),"")))</f>
        <v/>
      </c>
      <c r="BD382" s="403" t="str">
        <f ca="1">IF(SUM($G382:BC382)&gt;=1,"",IF(BD380=0,"",IF(SUM($G380:BD380)&gt;=1,OFFSET(BD$228,-1,0),"")))</f>
        <v/>
      </c>
      <c r="BE382" s="403" t="str">
        <f ca="1">IF(SUM($G382:BD382)&gt;=1,"",IF(BE380=0,"",IF(SUM($G380:BE380)&gt;=1,OFFSET(BE$228,-1,0),"")))</f>
        <v/>
      </c>
      <c r="BF382" s="403" t="str">
        <f ca="1">IF(SUM($G382:BE382)&gt;=1,"",IF(BF380=0,"",IF(SUM($G380:BF380)&gt;=1,OFFSET(BF$228,-1,0),"")))</f>
        <v/>
      </c>
      <c r="BG382" s="403" t="str">
        <f ca="1">IF(SUM($G382:BF382)&gt;=1,"",IF(BG380=0,"",IF(SUM($G380:BG380)&gt;=1,OFFSET(BG$228,-1,0),"")))</f>
        <v/>
      </c>
      <c r="BH382" s="403" t="str">
        <f ca="1">IF(SUM($G382:BG382)&gt;=1,"",IF(BH380=0,"",IF(SUM($G380:BH380)&gt;=1,OFFSET(BH$228,-1,0),"")))</f>
        <v/>
      </c>
      <c r="BI382" s="403" t="str">
        <f ca="1">IF(SUM($G382:BH382)&gt;=1,"",IF(BI380=0,"",IF(SUM($G380:BI380)&gt;=1,OFFSET(BI$228,-1,0),"")))</f>
        <v/>
      </c>
      <c r="BJ382" s="403" t="str">
        <f ca="1">IF(SUM($G382:BI382)&gt;=1,"",IF(BJ380=0,"",IF(SUM($G380:BJ380)&gt;=1,OFFSET(BJ$228,-1,0),"")))</f>
        <v/>
      </c>
      <c r="BK382" s="403" t="str">
        <f ca="1">IF(SUM($G382:BJ382)&gt;=1,"",IF(BK380=0,"",IF(SUM($G380:BK380)&gt;=1,OFFSET(BK$228,-1,0),"")))</f>
        <v/>
      </c>
      <c r="BL382" s="403" t="str">
        <f ca="1">IF(SUM($G382:BK382)&gt;=1,"",IF(BL380=0,"",IF(SUM($G380:BL380)&gt;=1,OFFSET(BL$228,-1,0),"")))</f>
        <v/>
      </c>
      <c r="BM382" s="403" t="str">
        <f ca="1">IF(SUM($G382:BL382)&gt;=1,"",IF(BM380=0,"",IF(SUM($G380:BM380)&gt;=1,OFFSET(BM$228,-1,0),"")))</f>
        <v/>
      </c>
      <c r="BN382" s="403" t="str">
        <f ca="1">IF(SUM($G382:BM382)&gt;=1,"",IF(BN380=0,"",IF(SUM($G380:BN380)&gt;=1,OFFSET(BN$228,-1,0),"")))</f>
        <v/>
      </c>
      <c r="BO382" s="403" t="str">
        <f ca="1">IF(SUM($G382:BN382)&gt;=1,"",IF(BO380=0,"",IF(SUM($G380:BO380)&gt;=1,OFFSET(BO$228,-1,0),"")))</f>
        <v/>
      </c>
      <c r="BP382" s="403" t="str">
        <f ca="1">IF(SUM($G382:BO382)&gt;=1,"",IF(BP380=0,"",IF(SUM($G380:BP380)&gt;=1,OFFSET(BP$228,-1,0),"")))</f>
        <v/>
      </c>
      <c r="BQ382" s="403" t="str">
        <f ca="1">IF(SUM($G382:BP382)&gt;=1,"",IF(BQ380=0,"",IF(SUM($G380:BQ380)&gt;=1,OFFSET(BQ$228,-1,0),"")))</f>
        <v/>
      </c>
      <c r="BR382" s="403" t="str">
        <f ca="1">IF(SUM($G382:BQ382)&gt;=1,"",IF(BR380=0,"",IF(SUM($G380:BR380)&gt;=1,OFFSET(BR$228,-1,0),"")))</f>
        <v/>
      </c>
      <c r="BS382" s="403" t="str">
        <f ca="1">IF(SUM($G382:BR382)&gt;=1,"",IF(BS380=0,"",IF(SUM($G380:BS380)&gt;=1,OFFSET(BS$228,-1,0),"")))</f>
        <v/>
      </c>
      <c r="BT382" s="403" t="str">
        <f ca="1">IF(SUM($G382:BS382)&gt;=1,"",IF(BT380=0,"",IF(SUM($G380:BT380)&gt;=1,OFFSET(BT$228,-1,0),"")))</f>
        <v/>
      </c>
      <c r="BU382" s="403" t="str">
        <f ca="1">IF(SUM($G382:BT382)&gt;=1,"",IF(BU380=0,"",IF(SUM($G380:BU380)&gt;=1,OFFSET(BU$228,-1,0),"")))</f>
        <v/>
      </c>
      <c r="BV382" s="403" t="str">
        <f ca="1">IF(SUM($G382:BU382)&gt;=1,"",IF(BV380=0,"",IF(SUM($G380:BV380)&gt;=1,OFFSET(BV$228,-1,0),"")))</f>
        <v/>
      </c>
      <c r="BW382" s="403" t="str">
        <f ca="1">IF(SUM($G382:BV382)&gt;=1,"",IF(BW380=0,"",IF(SUM($G380:BW380)&gt;=1,OFFSET(BW$228,-1,0),"")))</f>
        <v/>
      </c>
      <c r="BX382" s="403" t="str">
        <f ca="1">IF(SUM($G382:BW382)&gt;=1,"",IF(BX380=0,"",IF(SUM($G380:BX380)&gt;=1,OFFSET(BX$228,-1,0),"")))</f>
        <v/>
      </c>
      <c r="BY382" s="403" t="str">
        <f ca="1">IF(SUM($G382:BX382)&gt;=1,"",IF(BY380=0,"",IF(SUM($G380:BY380)&gt;=1,OFFSET(BY$228,-1,0),"")))</f>
        <v/>
      </c>
      <c r="BZ382" s="403" t="str">
        <f ca="1">IF(SUM($G382:BY382)&gt;=1,"",IF(BZ380=0,"",IF(SUM($G380:BZ380)&gt;=1,OFFSET(BZ$228,-1,0),"")))</f>
        <v/>
      </c>
      <c r="CA382" s="403" t="str">
        <f ca="1">IF(SUM($G382:BZ382)&gt;=1,"",IF(CA380=0,"",IF(SUM($G380:CA380)&gt;=1,OFFSET(CA$228,-1,0),"")))</f>
        <v/>
      </c>
      <c r="CB382" s="403" t="str">
        <f ca="1">IF(SUM($G382:CA382)&gt;=1,"",IF(CB380=0,"",IF(SUM($G380:CB380)&gt;=1,OFFSET(CB$228,-1,0),"")))</f>
        <v/>
      </c>
      <c r="CC382" s="403" t="str">
        <f ca="1">IF(SUM($G382:CB382)&gt;=1,"",IF(CC380=0,"",IF(SUM($G380:CC380)&gt;=1,OFFSET(CC$228,-1,0),"")))</f>
        <v/>
      </c>
      <c r="CD382" s="403" t="str">
        <f ca="1">IF(SUM($G382:CC382)&gt;=1,"",IF(CD380=0,"",IF(SUM($G380:CD380)&gt;=1,OFFSET(CD$228,-1,0),"")))</f>
        <v/>
      </c>
      <c r="CE382" s="403" t="str">
        <f ca="1">IF(SUM($G382:CD382)&gt;=1,"",IF(CE380=0,"",IF(SUM($G380:CE380)&gt;=1,OFFSET(CE$228,-1,0),"")))</f>
        <v/>
      </c>
      <c r="CF382" s="403" t="str">
        <f ca="1">IF(SUM($G382:CE382)&gt;=1,"",IF(CF380=0,"",IF(SUM($G380:CF380)&gt;=1,OFFSET(CF$228,-1,0),"")))</f>
        <v/>
      </c>
      <c r="CG382" s="403" t="str">
        <f ca="1">IF(SUM($G382:CF382)&gt;=1,"",IF(CG380=0,"",IF(SUM($G380:CG380)&gt;=1,OFFSET(CG$228,-1,0),"")))</f>
        <v/>
      </c>
      <c r="CH382" s="403" t="str">
        <f ca="1">IF(SUM($G382:CG382)&gt;=1,"",IF(CH380=0,"",IF(SUM($G380:CH380)&gt;=1,OFFSET(CH$228,-1,0),"")))</f>
        <v/>
      </c>
      <c r="CI382" s="403" t="str">
        <f ca="1">IF(SUM($G382:CH382)&gt;=1,"",IF(CI380=0,"",IF(SUM($G380:CI380)&gt;=1,OFFSET(CI$228,-1,0),"")))</f>
        <v/>
      </c>
      <c r="CJ382" s="403" t="str">
        <f ca="1">IF(SUM($G382:CI382)&gt;=1,"",IF(CJ380=0,"",IF(SUM($G380:CJ380)&gt;=1,OFFSET(CJ$228,-1,0),"")))</f>
        <v/>
      </c>
      <c r="CK382" s="403" t="str">
        <f ca="1">IF(SUM($G382:CJ382)&gt;=1,"",IF(CK380=0,"",IF(SUM($G380:CK380)&gt;=1,OFFSET(CK$228,-1,0),"")))</f>
        <v/>
      </c>
      <c r="CL382" s="403" t="str">
        <f ca="1">IF(SUM($G382:CK382)&gt;=1,"",IF(CL380=0,"",IF(SUM($G380:CL380)&gt;=1,OFFSET(CL$228,-1,0),"")))</f>
        <v/>
      </c>
      <c r="CM382" s="403" t="str">
        <f ca="1">IF(SUM($G382:CL382)&gt;=1,"",IF(CM380=0,"",IF(SUM($G380:CM380)&gt;=1,OFFSET(CM$228,-1,0),"")))</f>
        <v/>
      </c>
      <c r="CN382" s="403" t="str">
        <f ca="1">IF(SUM($G382:CM382)&gt;=1,"",IF(CN380=0,"",IF(SUM($G380:CN380)&gt;=1,OFFSET(CN$228,-1,0),"")))</f>
        <v/>
      </c>
      <c r="CO382" s="403" t="str">
        <f ca="1">IF(SUM($G382:CN382)&gt;=1,"",IF(CO380=0,"",IF(SUM($G380:CO380)&gt;=1,OFFSET(CO$228,-1,0),"")))</f>
        <v/>
      </c>
      <c r="CP382" s="403" t="str">
        <f ca="1">IF(SUM($G382:CO382)&gt;=1,"",IF(CP380=0,"",IF(SUM($G380:CP380)&gt;=1,OFFSET(CP$228,-1,0),"")))</f>
        <v/>
      </c>
      <c r="CQ382" s="403" t="str">
        <f ca="1">IF(SUM($G382:CP382)&gt;=1,"",IF(CQ380=0,"",IF(SUM($G380:CQ380)&gt;=1,OFFSET(CQ$228,-1,0),"")))</f>
        <v/>
      </c>
      <c r="CR382" s="403" t="str">
        <f ca="1">IF(SUM($G382:CQ382)&gt;=1,"",IF(CR380=0,"",IF(SUM($G380:CR380)&gt;=1,OFFSET(CR$228,-1,0),"")))</f>
        <v/>
      </c>
      <c r="CS382" s="403" t="str">
        <f ca="1">IF(SUM($G382:CR382)&gt;=1,"",IF(CS380=0,"",IF(SUM($G380:CS380)&gt;=1,OFFSET(CS$228,-1,0),"")))</f>
        <v/>
      </c>
      <c r="CT382" s="403" t="str">
        <f ca="1">IF(SUM($G382:CS382)&gt;=1,"",IF(CT380=0,"",IF(SUM($G380:CT380)&gt;=1,OFFSET(CT$228,-1,0),"")))</f>
        <v/>
      </c>
      <c r="CU382" s="403" t="str">
        <f ca="1">IF(SUM($G382:CT382)&gt;=1,"",IF(CU380=0,"",IF(SUM($G380:CU380)&gt;=1,OFFSET(CU$228,-1,0),"")))</f>
        <v/>
      </c>
      <c r="CV382" s="403" t="str">
        <f ca="1">IF(SUM($G382:CU382)&gt;=1,"",IF(CV380=0,"",IF(SUM($G380:CV380)&gt;=1,OFFSET(CV$228,-1,0),"")))</f>
        <v/>
      </c>
      <c r="CW382" s="403" t="str">
        <f ca="1">IF(SUM($G382:CV382)&gt;=1,"",IF(CW380=0,"",IF(SUM($G380:CW380)&gt;=1,OFFSET(CW$228,-1,0),"")))</f>
        <v/>
      </c>
      <c r="CX382" s="403" t="str">
        <f ca="1">IF(SUM($G382:CW382)&gt;=1,"",IF(CX380=0,"",IF(SUM($G380:CX380)&gt;=1,OFFSET(CX$228,-1,0),"")))</f>
        <v/>
      </c>
      <c r="CY382" s="403" t="str">
        <f ca="1">IF(SUM($G382:CX382)&gt;=1,"",IF(CY380=0,"",IF(SUM($G380:CY380)&gt;=1,OFFSET(CY$228,-1,0),"")))</f>
        <v/>
      </c>
      <c r="CZ382" s="403" t="str">
        <f ca="1">IF(SUM($G382:CY382)&gt;=1,"",IF(CZ380=0,"",IF(SUM($G380:CZ380)&gt;=1,OFFSET(CZ$228,-1,0),"")))</f>
        <v/>
      </c>
      <c r="DA382" s="403" t="str">
        <f ca="1">IF(SUM($G382:CZ382)&gt;=1,"",IF(DA380=0,"",IF(SUM($G380:DA380)&gt;=1,OFFSET(DA$228,-1,0),"")))</f>
        <v/>
      </c>
      <c r="DB382" s="403" t="str">
        <f ca="1">IF(SUM($G382:DA382)&gt;=1,"",IF(DB380=0,"",IF(SUM($G380:DB380)&gt;=1,OFFSET(DB$228,-1,0),"")))</f>
        <v/>
      </c>
      <c r="DC382" s="403" t="str">
        <f ca="1">IF(SUM($G382:DB382)&gt;=1,"",IF(DC380=0,"",IF(SUM($G380:DC380)&gt;=1,OFFSET(DC$228,-1,0),"")))</f>
        <v/>
      </c>
      <c r="DD382" s="403" t="str">
        <f ca="1">IF(SUM($G382:DC382)&gt;=1,"",IF(DD380=0,"",IF(SUM($G380:DD380)&gt;=1,OFFSET(DD$228,-1,0),"")))</f>
        <v/>
      </c>
      <c r="DE382" s="403" t="str">
        <f ca="1">IF(SUM($G382:DD382)&gt;=1,"",IF(DE380=0,"",IF(SUM($G380:DE380)&gt;=1,OFFSET(DE$228,-1,0),"")))</f>
        <v/>
      </c>
      <c r="DF382" s="403" t="str">
        <f ca="1">IF(SUM($G382:DE382)&gt;=1,"",IF(DF380=0,"",IF(SUM($G380:DF380)&gt;=1,OFFSET(DF$228,-1,0),"")))</f>
        <v/>
      </c>
      <c r="DG382" s="403" t="str">
        <f ca="1">IF(SUM($G382:DF382)&gt;=1,"",IF(DG380=0,"",IF(SUM($G380:DG380)&gt;=1,OFFSET(DG$228,-1,0),"")))</f>
        <v/>
      </c>
      <c r="DH382" s="403" t="str">
        <f ca="1">IF(SUM($G382:DG382)&gt;=1,"",IF(DH380=0,"",IF(SUM($G380:DH380)&gt;=1,OFFSET(DH$228,-1,0),"")))</f>
        <v/>
      </c>
      <c r="DI382" s="403" t="str">
        <f ca="1">IF(SUM($G382:DH382)&gt;=1,"",IF(DI380=0,"",IF(SUM($G380:DI380)&gt;=1,OFFSET(DI$228,-1,0),"")))</f>
        <v/>
      </c>
      <c r="DJ382" s="403" t="str">
        <f ca="1">IF(SUM($G382:DI382)&gt;=1,"",IF(DJ380=0,"",IF(SUM($G380:DJ380)&gt;=1,OFFSET(DJ$228,-1,0),"")))</f>
        <v/>
      </c>
      <c r="DK382" s="403" t="str">
        <f ca="1">IF(SUM($G382:DJ382)&gt;=1,"",IF(DK380=0,"",IF(SUM($G380:DK380)&gt;=1,OFFSET(DK$228,-1,0),"")))</f>
        <v/>
      </c>
      <c r="DL382" s="403" t="str">
        <f ca="1">IF(SUM($G382:DK382)&gt;=1,"",IF(DL380=0,"",IF(SUM($G380:DL380)&gt;=1,OFFSET(DL$228,-1,0),"")))</f>
        <v/>
      </c>
      <c r="DM382" s="403" t="str">
        <f ca="1">IF(SUM($G382:DL382)&gt;=1,"",IF(DM380=0,"",IF(SUM($G380:DM380)&gt;=1,OFFSET(DM$228,-1,0),"")))</f>
        <v/>
      </c>
      <c r="DN382" s="403" t="str">
        <f ca="1">IF(SUM($G382:DM382)&gt;=1,"",IF(DN380=0,"",IF(SUM($G380:DN380)&gt;=1,OFFSET(DN$228,-1,0),"")))</f>
        <v/>
      </c>
      <c r="DO382" s="403" t="str">
        <f ca="1">IF(SUM($G382:DN382)&gt;=1,"",IF(DO380=0,"",IF(SUM($G380:DO380)&gt;=1,OFFSET(DO$228,-1,0),"")))</f>
        <v/>
      </c>
      <c r="DP382" s="403" t="str">
        <f ca="1">IF(SUM($G382:DO382)&gt;=1,"",IF(DP380=0,"",IF(SUM($G380:DP380)&gt;=1,OFFSET(DP$228,-1,0),"")))</f>
        <v/>
      </c>
      <c r="DQ382" s="403" t="str">
        <f ca="1">IF(SUM($G382:DP382)&gt;=1,"",IF(DQ380=0,"",IF(SUM($G380:DQ380)&gt;=1,OFFSET(DQ$228,-1,0),"")))</f>
        <v/>
      </c>
      <c r="DR382" s="403" t="str">
        <f ca="1">IF(SUM($G382:DQ382)&gt;=1,"",IF(DR380=0,"",IF(SUM($G380:DR380)&gt;=1,OFFSET(DR$228,-1,0),"")))</f>
        <v/>
      </c>
      <c r="DS382" s="403" t="str">
        <f ca="1">IF(SUM($G382:DR382)&gt;=1,"",IF(DS380=0,"",IF(SUM($G380:DS380)&gt;=1,OFFSET(DS$228,-1,0),"")))</f>
        <v/>
      </c>
      <c r="DT382" s="403" t="str">
        <f ca="1">IF(SUM($G382:DS382)&gt;=1,"",IF(DT380=0,"",IF(SUM($G380:DT380)&gt;=1,OFFSET(DT$228,-1,0),"")))</f>
        <v/>
      </c>
      <c r="DU382" s="403" t="str">
        <f ca="1">IF(SUM($G382:DT382)&gt;=1,"",IF(DU380=0,"",IF(SUM($G380:DU380)&gt;=1,OFFSET(DU$228,-1,0),"")))</f>
        <v/>
      </c>
      <c r="DV382" s="403" t="str">
        <f ca="1">IF(SUM($G382:DU382)&gt;=1,"",IF(DV380=0,"",IF(SUM($G380:DV380)&gt;=1,OFFSET(DV$228,-1,0),"")))</f>
        <v/>
      </c>
      <c r="DW382" s="403" t="str">
        <f ca="1">IF(SUM($G382:DV382)&gt;=1,"",IF(DW380=0,"",IF(SUM($G380:DW380)&gt;=1,OFFSET(DW$228,-1,0),"")))</f>
        <v/>
      </c>
      <c r="DX382" s="403" t="str">
        <f ca="1">IF(SUM($G382:DW382)&gt;=1,"",IF(DX380=0,"",IF(SUM($G380:DX380)&gt;=1,OFFSET(DX$228,-1,0),"")))</f>
        <v/>
      </c>
      <c r="DY382" s="403" t="str">
        <f ca="1">IF(SUM($G382:DX382)&gt;=1,"",IF(DY380=0,"",IF(SUM($G380:DY380)&gt;=1,OFFSET(DY$228,-1,0),"")))</f>
        <v/>
      </c>
      <c r="DZ382" s="403" t="str">
        <f ca="1">IF(SUM($G382:DY382)&gt;=1,"",IF(DZ380=0,"",IF(SUM($G380:DZ380)&gt;=1,OFFSET(DZ$228,-1,0),"")))</f>
        <v/>
      </c>
      <c r="EA382" s="403" t="str">
        <f ca="1">IF(SUM($G382:DZ382)&gt;=1,"",IF(EA380=0,"",IF(SUM($G380:EA380)&gt;=1,OFFSET(EA$228,-1,0),"")))</f>
        <v/>
      </c>
      <c r="EB382" s="403" t="str">
        <f ca="1">IF(SUM($G382:EA382)&gt;=1,"",IF(EB380=0,"",IF(SUM($G380:EB380)&gt;=1,OFFSET(EB$228,-1,0),"")))</f>
        <v/>
      </c>
      <c r="EC382" s="403" t="str">
        <f ca="1">IF(SUM($G382:EB382)&gt;=1,"",IF(EC380=0,"",IF(SUM($G380:EC380)&gt;=1,OFFSET(EC$228,-1,0),"")))</f>
        <v/>
      </c>
      <c r="ED382" s="403" t="str">
        <f ca="1">IF(SUM($G382:EC382)&gt;=1,"",IF(ED380=0,"",IF(SUM($G380:ED380)&gt;=1,OFFSET(ED$228,-1,0),"")))</f>
        <v/>
      </c>
      <c r="EE382" s="403" t="str">
        <f ca="1">IF(SUM($G382:ED382)&gt;=1,"",IF(EE380=0,"",IF(SUM($G380:EE380)&gt;=1,OFFSET(EE$228,-1,0),"")))</f>
        <v/>
      </c>
      <c r="EF382" s="403" t="str">
        <f ca="1">IF(SUM($G382:EE382)&gt;=1,"",IF(EF380=0,"",IF(SUM($G380:EF380)&gt;=1,OFFSET(EF$228,-1,0),"")))</f>
        <v/>
      </c>
      <c r="EG382" s="403" t="str">
        <f ca="1">IF(SUM($G382:EF382)&gt;=1,"",IF(EG380=0,"",IF(SUM($G380:EG380)&gt;=1,OFFSET(EG$228,-1,0),"")))</f>
        <v/>
      </c>
      <c r="EH382" s="403" t="str">
        <f ca="1">IF(SUM($G382:EG382)&gt;=1,"",IF(EH380=0,"",IF(SUM($G380:EH380)&gt;=1,OFFSET(EH$228,-1,0),"")))</f>
        <v/>
      </c>
      <c r="EI382" s="403" t="str">
        <f ca="1">IF(SUM($G382:EH382)&gt;=1,"",IF(EI380=0,"",IF(SUM($G380:EI380)&gt;=1,OFFSET(EI$228,-1,0),"")))</f>
        <v/>
      </c>
    </row>
    <row r="383" spans="1:141" hidden="1" outlineLevel="2">
      <c r="A383" s="332"/>
      <c r="D383" s="305" t="s">
        <v>671</v>
      </c>
      <c r="E383" s="1002" t="str">
        <f ca="1">IF(E380=0,"",MIN(G383:EI383))</f>
        <v/>
      </c>
      <c r="F383" s="1003"/>
      <c r="G383" s="403" t="str">
        <f>IF(G380=0,"",IF(G380=G$3,G382,G$5+H$5-G384-1))</f>
        <v/>
      </c>
      <c r="H383" s="403" t="str">
        <f ca="1">IF(H380=0,"",IF(H380=H$3,H382,H$5+I$5-H384-1))</f>
        <v/>
      </c>
      <c r="I383" s="403" t="str">
        <f t="shared" ref="I383:BT383" ca="1" si="679">IF(I380=0,"",IF(I380=I$3,I382,I$5+J$5-I384-1))</f>
        <v/>
      </c>
      <c r="J383" s="403" t="str">
        <f t="shared" ca="1" si="679"/>
        <v/>
      </c>
      <c r="K383" s="403" t="str">
        <f t="shared" ca="1" si="679"/>
        <v/>
      </c>
      <c r="L383" s="403" t="str">
        <f t="shared" ca="1" si="679"/>
        <v/>
      </c>
      <c r="M383" s="403" t="str">
        <f t="shared" ca="1" si="679"/>
        <v/>
      </c>
      <c r="N383" s="403" t="str">
        <f t="shared" ca="1" si="679"/>
        <v/>
      </c>
      <c r="O383" s="403" t="str">
        <f t="shared" ca="1" si="679"/>
        <v/>
      </c>
      <c r="P383" s="403" t="str">
        <f t="shared" ca="1" si="679"/>
        <v/>
      </c>
      <c r="Q383" s="403" t="str">
        <f t="shared" ca="1" si="679"/>
        <v/>
      </c>
      <c r="R383" s="403" t="str">
        <f t="shared" ca="1" si="679"/>
        <v/>
      </c>
      <c r="S383" s="403" t="str">
        <f t="shared" ca="1" si="679"/>
        <v/>
      </c>
      <c r="T383" s="403" t="str">
        <f t="shared" ca="1" si="679"/>
        <v/>
      </c>
      <c r="U383" s="403" t="str">
        <f t="shared" ca="1" si="679"/>
        <v/>
      </c>
      <c r="V383" s="403" t="str">
        <f t="shared" ca="1" si="679"/>
        <v/>
      </c>
      <c r="W383" s="403" t="str">
        <f t="shared" ca="1" si="679"/>
        <v/>
      </c>
      <c r="X383" s="403" t="str">
        <f t="shared" ca="1" si="679"/>
        <v/>
      </c>
      <c r="Y383" s="403" t="str">
        <f t="shared" ca="1" si="679"/>
        <v/>
      </c>
      <c r="Z383" s="403" t="str">
        <f t="shared" ca="1" si="679"/>
        <v/>
      </c>
      <c r="AA383" s="403" t="str">
        <f t="shared" ca="1" si="679"/>
        <v/>
      </c>
      <c r="AB383" s="403" t="str">
        <f t="shared" ca="1" si="679"/>
        <v/>
      </c>
      <c r="AC383" s="403" t="str">
        <f t="shared" ca="1" si="679"/>
        <v/>
      </c>
      <c r="AD383" s="403" t="str">
        <f t="shared" ca="1" si="679"/>
        <v/>
      </c>
      <c r="AE383" s="403" t="str">
        <f t="shared" ca="1" si="679"/>
        <v/>
      </c>
      <c r="AF383" s="403" t="str">
        <f t="shared" ca="1" si="679"/>
        <v/>
      </c>
      <c r="AG383" s="403" t="str">
        <f t="shared" ca="1" si="679"/>
        <v/>
      </c>
      <c r="AH383" s="403" t="str">
        <f t="shared" ca="1" si="679"/>
        <v/>
      </c>
      <c r="AI383" s="403" t="str">
        <f t="shared" ca="1" si="679"/>
        <v/>
      </c>
      <c r="AJ383" s="403" t="str">
        <f t="shared" ca="1" si="679"/>
        <v/>
      </c>
      <c r="AK383" s="403" t="str">
        <f t="shared" ca="1" si="679"/>
        <v/>
      </c>
      <c r="AL383" s="403" t="str">
        <f t="shared" ca="1" si="679"/>
        <v/>
      </c>
      <c r="AM383" s="403" t="str">
        <f t="shared" ca="1" si="679"/>
        <v/>
      </c>
      <c r="AN383" s="403" t="str">
        <f t="shared" ca="1" si="679"/>
        <v/>
      </c>
      <c r="AO383" s="403" t="str">
        <f t="shared" ca="1" si="679"/>
        <v/>
      </c>
      <c r="AP383" s="403" t="str">
        <f t="shared" ca="1" si="679"/>
        <v/>
      </c>
      <c r="AQ383" s="403" t="str">
        <f t="shared" ca="1" si="679"/>
        <v/>
      </c>
      <c r="AR383" s="403" t="str">
        <f t="shared" ca="1" si="679"/>
        <v/>
      </c>
      <c r="AS383" s="403" t="str">
        <f t="shared" ca="1" si="679"/>
        <v/>
      </c>
      <c r="AT383" s="403" t="str">
        <f t="shared" ca="1" si="679"/>
        <v/>
      </c>
      <c r="AU383" s="403" t="str">
        <f t="shared" ca="1" si="679"/>
        <v/>
      </c>
      <c r="AV383" s="403" t="str">
        <f t="shared" ca="1" si="679"/>
        <v/>
      </c>
      <c r="AW383" s="403" t="str">
        <f t="shared" ca="1" si="679"/>
        <v/>
      </c>
      <c r="AX383" s="403" t="str">
        <f t="shared" ca="1" si="679"/>
        <v/>
      </c>
      <c r="AY383" s="403" t="str">
        <f t="shared" ca="1" si="679"/>
        <v/>
      </c>
      <c r="AZ383" s="403" t="str">
        <f t="shared" ca="1" si="679"/>
        <v/>
      </c>
      <c r="BA383" s="403" t="str">
        <f t="shared" ca="1" si="679"/>
        <v/>
      </c>
      <c r="BB383" s="403" t="str">
        <f t="shared" ca="1" si="679"/>
        <v/>
      </c>
      <c r="BC383" s="403" t="str">
        <f t="shared" ca="1" si="679"/>
        <v/>
      </c>
      <c r="BD383" s="403" t="str">
        <f t="shared" ca="1" si="679"/>
        <v/>
      </c>
      <c r="BE383" s="403" t="str">
        <f t="shared" ca="1" si="679"/>
        <v/>
      </c>
      <c r="BF383" s="403" t="str">
        <f t="shared" ca="1" si="679"/>
        <v/>
      </c>
      <c r="BG383" s="403" t="str">
        <f t="shared" ca="1" si="679"/>
        <v/>
      </c>
      <c r="BH383" s="403" t="str">
        <f t="shared" ca="1" si="679"/>
        <v/>
      </c>
      <c r="BI383" s="403" t="str">
        <f t="shared" ca="1" si="679"/>
        <v/>
      </c>
      <c r="BJ383" s="403" t="str">
        <f t="shared" ca="1" si="679"/>
        <v/>
      </c>
      <c r="BK383" s="403" t="str">
        <f t="shared" ca="1" si="679"/>
        <v/>
      </c>
      <c r="BL383" s="403" t="str">
        <f t="shared" ca="1" si="679"/>
        <v/>
      </c>
      <c r="BM383" s="403" t="str">
        <f t="shared" ca="1" si="679"/>
        <v/>
      </c>
      <c r="BN383" s="403" t="str">
        <f t="shared" ca="1" si="679"/>
        <v/>
      </c>
      <c r="BO383" s="403" t="str">
        <f t="shared" ca="1" si="679"/>
        <v/>
      </c>
      <c r="BP383" s="403" t="str">
        <f t="shared" ca="1" si="679"/>
        <v/>
      </c>
      <c r="BQ383" s="403" t="str">
        <f t="shared" ca="1" si="679"/>
        <v/>
      </c>
      <c r="BR383" s="403" t="str">
        <f t="shared" ca="1" si="679"/>
        <v/>
      </c>
      <c r="BS383" s="403" t="str">
        <f t="shared" ca="1" si="679"/>
        <v/>
      </c>
      <c r="BT383" s="403" t="str">
        <f t="shared" ca="1" si="679"/>
        <v/>
      </c>
      <c r="BU383" s="403" t="str">
        <f t="shared" ref="BU383:EF383" ca="1" si="680">IF(BU380=0,"",IF(BU380=BU$3,BU382,BU$5+BV$5-BU384-1))</f>
        <v/>
      </c>
      <c r="BV383" s="403" t="str">
        <f t="shared" ca="1" si="680"/>
        <v/>
      </c>
      <c r="BW383" s="403" t="str">
        <f t="shared" ca="1" si="680"/>
        <v/>
      </c>
      <c r="BX383" s="403" t="str">
        <f t="shared" ca="1" si="680"/>
        <v/>
      </c>
      <c r="BY383" s="403" t="str">
        <f t="shared" ca="1" si="680"/>
        <v/>
      </c>
      <c r="BZ383" s="403" t="str">
        <f t="shared" ca="1" si="680"/>
        <v/>
      </c>
      <c r="CA383" s="403" t="str">
        <f t="shared" ca="1" si="680"/>
        <v/>
      </c>
      <c r="CB383" s="403" t="str">
        <f t="shared" ca="1" si="680"/>
        <v/>
      </c>
      <c r="CC383" s="403" t="str">
        <f t="shared" ca="1" si="680"/>
        <v/>
      </c>
      <c r="CD383" s="403" t="str">
        <f t="shared" ca="1" si="680"/>
        <v/>
      </c>
      <c r="CE383" s="403" t="str">
        <f t="shared" ca="1" si="680"/>
        <v/>
      </c>
      <c r="CF383" s="403" t="str">
        <f t="shared" ca="1" si="680"/>
        <v/>
      </c>
      <c r="CG383" s="403" t="str">
        <f t="shared" ca="1" si="680"/>
        <v/>
      </c>
      <c r="CH383" s="403" t="str">
        <f t="shared" ca="1" si="680"/>
        <v/>
      </c>
      <c r="CI383" s="403" t="str">
        <f t="shared" ca="1" si="680"/>
        <v/>
      </c>
      <c r="CJ383" s="403" t="str">
        <f t="shared" ca="1" si="680"/>
        <v/>
      </c>
      <c r="CK383" s="403" t="str">
        <f t="shared" ca="1" si="680"/>
        <v/>
      </c>
      <c r="CL383" s="403" t="str">
        <f t="shared" ca="1" si="680"/>
        <v/>
      </c>
      <c r="CM383" s="403" t="str">
        <f t="shared" ca="1" si="680"/>
        <v/>
      </c>
      <c r="CN383" s="403" t="str">
        <f t="shared" ca="1" si="680"/>
        <v/>
      </c>
      <c r="CO383" s="403" t="str">
        <f t="shared" ca="1" si="680"/>
        <v/>
      </c>
      <c r="CP383" s="403" t="str">
        <f t="shared" ca="1" si="680"/>
        <v/>
      </c>
      <c r="CQ383" s="403" t="str">
        <f t="shared" ca="1" si="680"/>
        <v/>
      </c>
      <c r="CR383" s="403" t="str">
        <f t="shared" ca="1" si="680"/>
        <v/>
      </c>
      <c r="CS383" s="403" t="str">
        <f t="shared" ca="1" si="680"/>
        <v/>
      </c>
      <c r="CT383" s="403" t="str">
        <f t="shared" ca="1" si="680"/>
        <v/>
      </c>
      <c r="CU383" s="403" t="str">
        <f t="shared" ca="1" si="680"/>
        <v/>
      </c>
      <c r="CV383" s="403" t="str">
        <f t="shared" ca="1" si="680"/>
        <v/>
      </c>
      <c r="CW383" s="403" t="str">
        <f t="shared" ca="1" si="680"/>
        <v/>
      </c>
      <c r="CX383" s="403" t="str">
        <f t="shared" ca="1" si="680"/>
        <v/>
      </c>
      <c r="CY383" s="403" t="str">
        <f t="shared" ca="1" si="680"/>
        <v/>
      </c>
      <c r="CZ383" s="403" t="str">
        <f t="shared" ca="1" si="680"/>
        <v/>
      </c>
      <c r="DA383" s="403" t="str">
        <f t="shared" ca="1" si="680"/>
        <v/>
      </c>
      <c r="DB383" s="403" t="str">
        <f t="shared" ca="1" si="680"/>
        <v/>
      </c>
      <c r="DC383" s="403" t="str">
        <f t="shared" ca="1" si="680"/>
        <v/>
      </c>
      <c r="DD383" s="403" t="str">
        <f t="shared" ca="1" si="680"/>
        <v/>
      </c>
      <c r="DE383" s="403" t="str">
        <f t="shared" ca="1" si="680"/>
        <v/>
      </c>
      <c r="DF383" s="403" t="str">
        <f t="shared" ca="1" si="680"/>
        <v/>
      </c>
      <c r="DG383" s="403" t="str">
        <f t="shared" ca="1" si="680"/>
        <v/>
      </c>
      <c r="DH383" s="403" t="str">
        <f t="shared" ca="1" si="680"/>
        <v/>
      </c>
      <c r="DI383" s="403" t="str">
        <f t="shared" ca="1" si="680"/>
        <v/>
      </c>
      <c r="DJ383" s="403" t="str">
        <f t="shared" ca="1" si="680"/>
        <v/>
      </c>
      <c r="DK383" s="403" t="str">
        <f t="shared" ca="1" si="680"/>
        <v/>
      </c>
      <c r="DL383" s="403" t="str">
        <f t="shared" ca="1" si="680"/>
        <v/>
      </c>
      <c r="DM383" s="403" t="str">
        <f t="shared" ca="1" si="680"/>
        <v/>
      </c>
      <c r="DN383" s="403" t="str">
        <f t="shared" ca="1" si="680"/>
        <v/>
      </c>
      <c r="DO383" s="403" t="str">
        <f t="shared" ca="1" si="680"/>
        <v/>
      </c>
      <c r="DP383" s="403" t="str">
        <f t="shared" ca="1" si="680"/>
        <v/>
      </c>
      <c r="DQ383" s="403" t="str">
        <f t="shared" ca="1" si="680"/>
        <v/>
      </c>
      <c r="DR383" s="403" t="str">
        <f t="shared" ca="1" si="680"/>
        <v/>
      </c>
      <c r="DS383" s="403" t="str">
        <f t="shared" ca="1" si="680"/>
        <v/>
      </c>
      <c r="DT383" s="403" t="str">
        <f t="shared" ca="1" si="680"/>
        <v/>
      </c>
      <c r="DU383" s="403" t="str">
        <f t="shared" ca="1" si="680"/>
        <v/>
      </c>
      <c r="DV383" s="403" t="str">
        <f t="shared" ca="1" si="680"/>
        <v/>
      </c>
      <c r="DW383" s="403" t="str">
        <f t="shared" ca="1" si="680"/>
        <v/>
      </c>
      <c r="DX383" s="403" t="str">
        <f t="shared" ca="1" si="680"/>
        <v/>
      </c>
      <c r="DY383" s="403" t="str">
        <f t="shared" ca="1" si="680"/>
        <v/>
      </c>
      <c r="DZ383" s="403" t="str">
        <f t="shared" ca="1" si="680"/>
        <v/>
      </c>
      <c r="EA383" s="403" t="str">
        <f t="shared" ca="1" si="680"/>
        <v/>
      </c>
      <c r="EB383" s="403" t="str">
        <f t="shared" ca="1" si="680"/>
        <v/>
      </c>
      <c r="EC383" s="403" t="str">
        <f t="shared" ca="1" si="680"/>
        <v/>
      </c>
      <c r="ED383" s="403" t="str">
        <f t="shared" ca="1" si="680"/>
        <v/>
      </c>
      <c r="EE383" s="403" t="str">
        <f t="shared" ca="1" si="680"/>
        <v/>
      </c>
      <c r="EF383" s="403" t="str">
        <f t="shared" ca="1" si="680"/>
        <v/>
      </c>
      <c r="EG383" s="403" t="str">
        <f t="shared" ref="EG383:EI383" ca="1" si="681">IF(EG380=0,"",IF(EG380=EG$3,EG382,EG$5+EH$5-EG384-1))</f>
        <v/>
      </c>
      <c r="EH383" s="403" t="str">
        <f t="shared" ca="1" si="681"/>
        <v/>
      </c>
      <c r="EI383" s="403" t="str">
        <f t="shared" ca="1" si="681"/>
        <v/>
      </c>
    </row>
    <row r="384" spans="1:141" hidden="1" outlineLevel="2">
      <c r="A384" s="332"/>
      <c r="D384" s="305" t="s">
        <v>672</v>
      </c>
      <c r="E384" s="1002" t="str">
        <f ca="1">IF(E380=0,"",MAX(G384:EI384))</f>
        <v/>
      </c>
      <c r="F384" s="1003"/>
      <c r="G384" s="403" t="str">
        <f ca="1">IF(SUM(G380:$EI380)=0,"",IF(G$227="","",G$227+G380-1))</f>
        <v/>
      </c>
      <c r="H384" s="403" t="str">
        <f ca="1">IF(SUM(H380:$EI380)=0,"",IF(H$227="","",H$227+H380-1))</f>
        <v/>
      </c>
      <c r="I384" s="403" t="str">
        <f ca="1">IF(SUM(I380:$EI380)=0,"",IF(I$227="","",I$227+I380-1))</f>
        <v/>
      </c>
      <c r="J384" s="403" t="str">
        <f ca="1">IF(SUM(J380:$EI380)=0,"",IF(J$227="","",J$227+J380-1))</f>
        <v/>
      </c>
      <c r="K384" s="403" t="str">
        <f ca="1">IF(SUM(K380:$EI380)=0,"",IF(K$227="","",K$227+K380-1))</f>
        <v/>
      </c>
      <c r="L384" s="403" t="str">
        <f ca="1">IF(SUM(L380:$EI380)=0,"",IF(L$227="","",L$227+L380-1))</f>
        <v/>
      </c>
      <c r="M384" s="403" t="str">
        <f ca="1">IF(SUM(M380:$EI380)=0,"",IF(M$227="","",M$227+M380-1))</f>
        <v/>
      </c>
      <c r="N384" s="403" t="str">
        <f ca="1">IF(SUM(N380:$EI380)=0,"",IF(N$227="","",N$227+N380-1))</f>
        <v/>
      </c>
      <c r="O384" s="403" t="str">
        <f ca="1">IF(SUM(O380:$EI380)=0,"",IF(O$227="","",O$227+O380-1))</f>
        <v/>
      </c>
      <c r="P384" s="403" t="str">
        <f ca="1">IF(SUM(P380:$EI380)=0,"",IF(P$227="","",P$227+P380-1))</f>
        <v/>
      </c>
      <c r="Q384" s="403" t="str">
        <f ca="1">IF(SUM(Q380:$EI380)=0,"",IF(Q$227="","",Q$227+Q380-1))</f>
        <v/>
      </c>
      <c r="R384" s="403" t="str">
        <f ca="1">IF(SUM(R380:$EI380)=0,"",IF(R$227="","",R$227+R380-1))</f>
        <v/>
      </c>
      <c r="S384" s="403" t="str">
        <f ca="1">IF(SUM(S380:$EI380)=0,"",IF(S$227="","",S$227+S380-1))</f>
        <v/>
      </c>
      <c r="T384" s="403" t="str">
        <f ca="1">IF(SUM(T380:$EI380)=0,"",IF(T$227="","",T$227+T380-1))</f>
        <v/>
      </c>
      <c r="U384" s="403" t="str">
        <f ca="1">IF(SUM(U380:$EI380)=0,"",IF(U$227="","",U$227+U380-1))</f>
        <v/>
      </c>
      <c r="V384" s="403" t="str">
        <f ca="1">IF(SUM(V380:$EI380)=0,"",IF(V$227="","",V$227+V380-1))</f>
        <v/>
      </c>
      <c r="W384" s="403" t="str">
        <f ca="1">IF(SUM(W380:$EI380)=0,"",IF(W$227="","",W$227+W380-1))</f>
        <v/>
      </c>
      <c r="X384" s="403" t="str">
        <f ca="1">IF(SUM(X380:$EI380)=0,"",IF(X$227="","",X$227+X380-1))</f>
        <v/>
      </c>
      <c r="Y384" s="403" t="str">
        <f ca="1">IF(SUM(Y380:$EI380)=0,"",IF(Y$227="","",Y$227+Y380-1))</f>
        <v/>
      </c>
      <c r="Z384" s="403" t="str">
        <f ca="1">IF(SUM(Z380:$EI380)=0,"",IF(Z$227="","",Z$227+Z380-1))</f>
        <v/>
      </c>
      <c r="AA384" s="403" t="str">
        <f ca="1">IF(SUM(AA380:$EI380)=0,"",IF(AA$227="","",AA$227+AA380-1))</f>
        <v/>
      </c>
      <c r="AB384" s="403" t="str">
        <f ca="1">IF(SUM(AB380:$EI380)=0,"",IF(AB$227="","",AB$227+AB380-1))</f>
        <v/>
      </c>
      <c r="AC384" s="403" t="str">
        <f ca="1">IF(SUM(AC380:$EI380)=0,"",IF(AC$227="","",AC$227+AC380-1))</f>
        <v/>
      </c>
      <c r="AD384" s="403" t="str">
        <f ca="1">IF(SUM(AD380:$EI380)=0,"",IF(AD$227="","",AD$227+AD380-1))</f>
        <v/>
      </c>
      <c r="AE384" s="403" t="str">
        <f ca="1">IF(SUM(AE380:$EI380)=0,"",IF(AE$227="","",AE$227+AE380-1))</f>
        <v/>
      </c>
      <c r="AF384" s="403" t="str">
        <f ca="1">IF(SUM(AF380:$EI380)=0,"",IF(AF$227="","",AF$227+AF380-1))</f>
        <v/>
      </c>
      <c r="AG384" s="403" t="str">
        <f ca="1">IF(SUM(AG380:$EI380)=0,"",IF(AG$227="","",AG$227+AG380-1))</f>
        <v/>
      </c>
      <c r="AH384" s="403" t="str">
        <f ca="1">IF(SUM(AH380:$EI380)=0,"",IF(AH$227="","",AH$227+AH380-1))</f>
        <v/>
      </c>
      <c r="AI384" s="403" t="str">
        <f ca="1">IF(SUM(AI380:$EI380)=0,"",IF(AI$227="","",AI$227+AI380-1))</f>
        <v/>
      </c>
      <c r="AJ384" s="403" t="str">
        <f ca="1">IF(SUM(AJ380:$EI380)=0,"",IF(AJ$227="","",AJ$227+AJ380-1))</f>
        <v/>
      </c>
      <c r="AK384" s="403" t="str">
        <f ca="1">IF(SUM(AK380:$EI380)=0,"",IF(AK$227="","",AK$227+AK380-1))</f>
        <v/>
      </c>
      <c r="AL384" s="403" t="str">
        <f ca="1">IF(SUM(AL380:$EI380)=0,"",IF(AL$227="","",AL$227+AL380-1))</f>
        <v/>
      </c>
      <c r="AM384" s="403" t="str">
        <f ca="1">IF(SUM(AM380:$EI380)=0,"",IF(AM$227="","",AM$227+AM380-1))</f>
        <v/>
      </c>
      <c r="AN384" s="403" t="str">
        <f ca="1">IF(SUM(AN380:$EI380)=0,"",IF(AN$227="","",AN$227+AN380-1))</f>
        <v/>
      </c>
      <c r="AO384" s="403" t="str">
        <f ca="1">IF(SUM(AO380:$EI380)=0,"",IF(AO$227="","",AO$227+AO380-1))</f>
        <v/>
      </c>
      <c r="AP384" s="403" t="str">
        <f ca="1">IF(SUM(AP380:$EI380)=0,"",IF(AP$227="","",AP$227+AP380-1))</f>
        <v/>
      </c>
      <c r="AQ384" s="403" t="str">
        <f ca="1">IF(SUM(AQ380:$EI380)=0,"",IF(AQ$227="","",AQ$227+AQ380-1))</f>
        <v/>
      </c>
      <c r="AR384" s="403" t="str">
        <f ca="1">IF(SUM(AR380:$EI380)=0,"",IF(AR$227="","",AR$227+AR380-1))</f>
        <v/>
      </c>
      <c r="AS384" s="403" t="str">
        <f ca="1">IF(SUM(AS380:$EI380)=0,"",IF(AS$227="","",AS$227+AS380-1))</f>
        <v/>
      </c>
      <c r="AT384" s="403" t="str">
        <f ca="1">IF(SUM(AT380:$EI380)=0,"",IF(AT$227="","",AT$227+AT380-1))</f>
        <v/>
      </c>
      <c r="AU384" s="403" t="str">
        <f ca="1">IF(SUM(AU380:$EI380)=0,"",IF(AU$227="","",AU$227+AU380-1))</f>
        <v/>
      </c>
      <c r="AV384" s="403" t="str">
        <f ca="1">IF(SUM(AV380:$EI380)=0,"",IF(AV$227="","",AV$227+AV380-1))</f>
        <v/>
      </c>
      <c r="AW384" s="403" t="str">
        <f ca="1">IF(SUM(AW380:$EI380)=0,"",IF(AW$227="","",AW$227+AW380-1))</f>
        <v/>
      </c>
      <c r="AX384" s="403" t="str">
        <f ca="1">IF(SUM(AX380:$EI380)=0,"",IF(AX$227="","",AX$227+AX380-1))</f>
        <v/>
      </c>
      <c r="AY384" s="403" t="str">
        <f ca="1">IF(SUM(AY380:$EI380)=0,"",IF(AY$227="","",AY$227+AY380-1))</f>
        <v/>
      </c>
      <c r="AZ384" s="403" t="str">
        <f ca="1">IF(SUM(AZ380:$EI380)=0,"",IF(AZ$227="","",AZ$227+AZ380-1))</f>
        <v/>
      </c>
      <c r="BA384" s="403" t="str">
        <f ca="1">IF(SUM(BA380:$EI380)=0,"",IF(BA$227="","",BA$227+BA380-1))</f>
        <v/>
      </c>
      <c r="BB384" s="403" t="str">
        <f ca="1">IF(SUM(BB380:$EI380)=0,"",IF(BB$227="","",BB$227+BB380-1))</f>
        <v/>
      </c>
      <c r="BC384" s="403" t="str">
        <f ca="1">IF(SUM(BC380:$EI380)=0,"",IF(BC$227="","",BC$227+BC380-1))</f>
        <v/>
      </c>
      <c r="BD384" s="403" t="str">
        <f ca="1">IF(SUM(BD380:$EI380)=0,"",IF(BD$227="","",BD$227+BD380-1))</f>
        <v/>
      </c>
      <c r="BE384" s="403" t="str">
        <f ca="1">IF(SUM(BE380:$EI380)=0,"",IF(BE$227="","",BE$227+BE380-1))</f>
        <v/>
      </c>
      <c r="BF384" s="403" t="str">
        <f ca="1">IF(SUM(BF380:$EI380)=0,"",IF(BF$227="","",BF$227+BF380-1))</f>
        <v/>
      </c>
      <c r="BG384" s="403" t="str">
        <f ca="1">IF(SUM(BG380:$EI380)=0,"",IF(BG$227="","",BG$227+BG380-1))</f>
        <v/>
      </c>
      <c r="BH384" s="403" t="str">
        <f ca="1">IF(SUM(BH380:$EI380)=0,"",IF(BH$227="","",BH$227+BH380-1))</f>
        <v/>
      </c>
      <c r="BI384" s="403" t="str">
        <f ca="1">IF(SUM(BI380:$EI380)=0,"",IF(BI$227="","",BI$227+BI380-1))</f>
        <v/>
      </c>
      <c r="BJ384" s="403" t="str">
        <f ca="1">IF(SUM(BJ380:$EI380)=0,"",IF(BJ$227="","",BJ$227+BJ380-1))</f>
        <v/>
      </c>
      <c r="BK384" s="403" t="str">
        <f ca="1">IF(SUM(BK380:$EI380)=0,"",IF(BK$227="","",BK$227+BK380-1))</f>
        <v/>
      </c>
      <c r="BL384" s="403" t="str">
        <f ca="1">IF(SUM(BL380:$EI380)=0,"",IF(BL$227="","",BL$227+BL380-1))</f>
        <v/>
      </c>
      <c r="BM384" s="403" t="str">
        <f ca="1">IF(SUM(BM380:$EI380)=0,"",IF(BM$227="","",BM$227+BM380-1))</f>
        <v/>
      </c>
      <c r="BN384" s="403" t="str">
        <f ca="1">IF(SUM(BN380:$EI380)=0,"",IF(BN$227="","",BN$227+BN380-1))</f>
        <v/>
      </c>
      <c r="BO384" s="403" t="str">
        <f ca="1">IF(SUM(BO380:$EI380)=0,"",IF(BO$227="","",BO$227+BO380-1))</f>
        <v/>
      </c>
      <c r="BP384" s="403" t="str">
        <f ca="1">IF(SUM(BP380:$EI380)=0,"",IF(BP$227="","",BP$227+BP380-1))</f>
        <v/>
      </c>
      <c r="BQ384" s="403" t="str">
        <f ca="1">IF(SUM(BQ380:$EI380)=0,"",IF(BQ$227="","",BQ$227+BQ380-1))</f>
        <v/>
      </c>
      <c r="BR384" s="403" t="str">
        <f ca="1">IF(SUM(BR380:$EI380)=0,"",IF(BR$227="","",BR$227+BR380-1))</f>
        <v/>
      </c>
      <c r="BS384" s="403" t="str">
        <f ca="1">IF(SUM(BS380:$EI380)=0,"",IF(BS$227="","",BS$227+BS380-1))</f>
        <v/>
      </c>
      <c r="BT384" s="403" t="str">
        <f ca="1">IF(SUM(BT380:$EI380)=0,"",IF(BT$227="","",BT$227+BT380-1))</f>
        <v/>
      </c>
      <c r="BU384" s="403" t="str">
        <f ca="1">IF(SUM(BU380:$EI380)=0,"",IF(BU$227="","",BU$227+BU380-1))</f>
        <v/>
      </c>
      <c r="BV384" s="403" t="str">
        <f ca="1">IF(SUM(BV380:$EI380)=0,"",IF(BV$227="","",BV$227+BV380-1))</f>
        <v/>
      </c>
      <c r="BW384" s="403" t="str">
        <f ca="1">IF(SUM(BW380:$EI380)=0,"",IF(BW$227="","",BW$227+BW380-1))</f>
        <v/>
      </c>
      <c r="BX384" s="403" t="str">
        <f ca="1">IF(SUM(BX380:$EI380)=0,"",IF(BX$227="","",BX$227+BX380-1))</f>
        <v/>
      </c>
      <c r="BY384" s="403" t="str">
        <f ca="1">IF(SUM(BY380:$EI380)=0,"",IF(BY$227="","",BY$227+BY380-1))</f>
        <v/>
      </c>
      <c r="BZ384" s="403" t="str">
        <f ca="1">IF(SUM(BZ380:$EI380)=0,"",IF(BZ$227="","",BZ$227+BZ380-1))</f>
        <v/>
      </c>
      <c r="CA384" s="403" t="str">
        <f ca="1">IF(SUM(CA380:$EI380)=0,"",IF(CA$227="","",CA$227+CA380-1))</f>
        <v/>
      </c>
      <c r="CB384" s="403" t="str">
        <f ca="1">IF(SUM(CB380:$EI380)=0,"",IF(CB$227="","",CB$227+CB380-1))</f>
        <v/>
      </c>
      <c r="CC384" s="403" t="str">
        <f ca="1">IF(SUM(CC380:$EI380)=0,"",IF(CC$227="","",CC$227+CC380-1))</f>
        <v/>
      </c>
      <c r="CD384" s="403" t="str">
        <f ca="1">IF(SUM(CD380:$EI380)=0,"",IF(CD$227="","",CD$227+CD380-1))</f>
        <v/>
      </c>
      <c r="CE384" s="403" t="str">
        <f ca="1">IF(SUM(CE380:$EI380)=0,"",IF(CE$227="","",CE$227+CE380-1))</f>
        <v/>
      </c>
      <c r="CF384" s="403" t="str">
        <f ca="1">IF(SUM(CF380:$EI380)=0,"",IF(CF$227="","",CF$227+CF380-1))</f>
        <v/>
      </c>
      <c r="CG384" s="403" t="str">
        <f ca="1">IF(SUM(CG380:$EI380)=0,"",IF(CG$227="","",CG$227+CG380-1))</f>
        <v/>
      </c>
      <c r="CH384" s="403" t="str">
        <f ca="1">IF(SUM(CH380:$EI380)=0,"",IF(CH$227="","",CH$227+CH380-1))</f>
        <v/>
      </c>
      <c r="CI384" s="403" t="str">
        <f ca="1">IF(SUM(CI380:$EI380)=0,"",IF(CI$227="","",CI$227+CI380-1))</f>
        <v/>
      </c>
      <c r="CJ384" s="403" t="str">
        <f ca="1">IF(SUM(CJ380:$EI380)=0,"",IF(CJ$227="","",CJ$227+CJ380-1))</f>
        <v/>
      </c>
      <c r="CK384" s="403" t="str">
        <f ca="1">IF(SUM(CK380:$EI380)=0,"",IF(CK$227="","",CK$227+CK380-1))</f>
        <v/>
      </c>
      <c r="CL384" s="403" t="str">
        <f ca="1">IF(SUM(CL380:$EI380)=0,"",IF(CL$227="","",CL$227+CL380-1))</f>
        <v/>
      </c>
      <c r="CM384" s="403" t="str">
        <f ca="1">IF(SUM(CM380:$EI380)=0,"",IF(CM$227="","",CM$227+CM380-1))</f>
        <v/>
      </c>
      <c r="CN384" s="403" t="str">
        <f ca="1">IF(SUM(CN380:$EI380)=0,"",IF(CN$227="","",CN$227+CN380-1))</f>
        <v/>
      </c>
      <c r="CO384" s="403" t="str">
        <f ca="1">IF(SUM(CO380:$EI380)=0,"",IF(CO$227="","",CO$227+CO380-1))</f>
        <v/>
      </c>
      <c r="CP384" s="403" t="str">
        <f ca="1">IF(SUM(CP380:$EI380)=0,"",IF(CP$227="","",CP$227+CP380-1))</f>
        <v/>
      </c>
      <c r="CQ384" s="403" t="str">
        <f ca="1">IF(SUM(CQ380:$EI380)=0,"",IF(CQ$227="","",CQ$227+CQ380-1))</f>
        <v/>
      </c>
      <c r="CR384" s="403" t="str">
        <f ca="1">IF(SUM(CR380:$EI380)=0,"",IF(CR$227="","",CR$227+CR380-1))</f>
        <v/>
      </c>
      <c r="CS384" s="403" t="str">
        <f ca="1">IF(SUM(CS380:$EI380)=0,"",IF(CS$227="","",CS$227+CS380-1))</f>
        <v/>
      </c>
      <c r="CT384" s="403" t="str">
        <f ca="1">IF(SUM(CT380:$EI380)=0,"",IF(CT$227="","",CT$227+CT380-1))</f>
        <v/>
      </c>
      <c r="CU384" s="403" t="str">
        <f ca="1">IF(SUM(CU380:$EI380)=0,"",IF(CU$227="","",CU$227+CU380-1))</f>
        <v/>
      </c>
      <c r="CV384" s="403" t="str">
        <f ca="1">IF(SUM(CV380:$EI380)=0,"",IF(CV$227="","",CV$227+CV380-1))</f>
        <v/>
      </c>
      <c r="CW384" s="403" t="str">
        <f ca="1">IF(SUM(CW380:$EI380)=0,"",IF(CW$227="","",CW$227+CW380-1))</f>
        <v/>
      </c>
      <c r="CX384" s="403" t="str">
        <f ca="1">IF(SUM(CX380:$EI380)=0,"",IF(CX$227="","",CX$227+CX380-1))</f>
        <v/>
      </c>
      <c r="CY384" s="403" t="str">
        <f ca="1">IF(SUM(CY380:$EI380)=0,"",IF(CY$227="","",CY$227+CY380-1))</f>
        <v/>
      </c>
      <c r="CZ384" s="403" t="str">
        <f ca="1">IF(SUM(CZ380:$EI380)=0,"",IF(CZ$227="","",CZ$227+CZ380-1))</f>
        <v/>
      </c>
      <c r="DA384" s="403" t="str">
        <f ca="1">IF(SUM(DA380:$EI380)=0,"",IF(DA$227="","",DA$227+DA380-1))</f>
        <v/>
      </c>
      <c r="DB384" s="403" t="str">
        <f ca="1">IF(SUM(DB380:$EI380)=0,"",IF(DB$227="","",DB$227+DB380-1))</f>
        <v/>
      </c>
      <c r="DC384" s="403" t="str">
        <f ca="1">IF(SUM(DC380:$EI380)=0,"",IF(DC$227="","",DC$227+DC380-1))</f>
        <v/>
      </c>
      <c r="DD384" s="403" t="str">
        <f ca="1">IF(SUM(DD380:$EI380)=0,"",IF(DD$227="","",DD$227+DD380-1))</f>
        <v/>
      </c>
      <c r="DE384" s="403" t="str">
        <f ca="1">IF(SUM(DE380:$EI380)=0,"",IF(DE$227="","",DE$227+DE380-1))</f>
        <v/>
      </c>
      <c r="DF384" s="403" t="str">
        <f ca="1">IF(SUM(DF380:$EI380)=0,"",IF(DF$227="","",DF$227+DF380-1))</f>
        <v/>
      </c>
      <c r="DG384" s="403" t="str">
        <f ca="1">IF(SUM(DG380:$EI380)=0,"",IF(DG$227="","",DG$227+DG380-1))</f>
        <v/>
      </c>
      <c r="DH384" s="403" t="str">
        <f ca="1">IF(SUM(DH380:$EI380)=0,"",IF(DH$227="","",DH$227+DH380-1))</f>
        <v/>
      </c>
      <c r="DI384" s="403" t="str">
        <f ca="1">IF(SUM(DI380:$EI380)=0,"",IF(DI$227="","",DI$227+DI380-1))</f>
        <v/>
      </c>
      <c r="DJ384" s="403" t="str">
        <f ca="1">IF(SUM(DJ380:$EI380)=0,"",IF(DJ$227="","",DJ$227+DJ380-1))</f>
        <v/>
      </c>
      <c r="DK384" s="403" t="str">
        <f ca="1">IF(SUM(DK380:$EI380)=0,"",IF(DK$227="","",DK$227+DK380-1))</f>
        <v/>
      </c>
      <c r="DL384" s="403" t="str">
        <f ca="1">IF(SUM(DL380:$EI380)=0,"",IF(DL$227="","",DL$227+DL380-1))</f>
        <v/>
      </c>
      <c r="DM384" s="403" t="str">
        <f ca="1">IF(SUM(DM380:$EI380)=0,"",IF(DM$227="","",DM$227+DM380-1))</f>
        <v/>
      </c>
      <c r="DN384" s="403" t="str">
        <f ca="1">IF(SUM(DN380:$EI380)=0,"",IF(DN$227="","",DN$227+DN380-1))</f>
        <v/>
      </c>
      <c r="DO384" s="403" t="str">
        <f ca="1">IF(SUM(DO380:$EI380)=0,"",IF(DO$227="","",DO$227+DO380-1))</f>
        <v/>
      </c>
      <c r="DP384" s="403" t="str">
        <f ca="1">IF(SUM(DP380:$EI380)=0,"",IF(DP$227="","",DP$227+DP380-1))</f>
        <v/>
      </c>
      <c r="DQ384" s="403" t="str">
        <f ca="1">IF(SUM(DQ380:$EI380)=0,"",IF(DQ$227="","",DQ$227+DQ380-1))</f>
        <v/>
      </c>
      <c r="DR384" s="403" t="str">
        <f ca="1">IF(SUM(DR380:$EI380)=0,"",IF(DR$227="","",DR$227+DR380-1))</f>
        <v/>
      </c>
      <c r="DS384" s="403" t="str">
        <f ca="1">IF(SUM(DS380:$EI380)=0,"",IF(DS$227="","",DS$227+DS380-1))</f>
        <v/>
      </c>
      <c r="DT384" s="403" t="str">
        <f ca="1">IF(SUM(DT380:$EI380)=0,"",IF(DT$227="","",DT$227+DT380-1))</f>
        <v/>
      </c>
      <c r="DU384" s="403" t="str">
        <f ca="1">IF(SUM(DU380:$EI380)=0,"",IF(DU$227="","",DU$227+DU380-1))</f>
        <v/>
      </c>
      <c r="DV384" s="403" t="str">
        <f ca="1">IF(SUM(DV380:$EI380)=0,"",IF(DV$227="","",DV$227+DV380-1))</f>
        <v/>
      </c>
      <c r="DW384" s="403" t="str">
        <f ca="1">IF(SUM(DW380:$EI380)=0,"",IF(DW$227="","",DW$227+DW380-1))</f>
        <v/>
      </c>
      <c r="DX384" s="403" t="str">
        <f ca="1">IF(SUM(DX380:$EI380)=0,"",IF(DX$227="","",DX$227+DX380-1))</f>
        <v/>
      </c>
      <c r="DY384" s="403" t="str">
        <f ca="1">IF(SUM(DY380:$EI380)=0,"",IF(DY$227="","",DY$227+DY380-1))</f>
        <v/>
      </c>
      <c r="DZ384" s="403" t="str">
        <f ca="1">IF(SUM(DZ380:$EI380)=0,"",IF(DZ$227="","",DZ$227+DZ380-1))</f>
        <v/>
      </c>
      <c r="EA384" s="403" t="str">
        <f ca="1">IF(SUM(EA380:$EI380)=0,"",IF(EA$227="","",EA$227+EA380-1))</f>
        <v/>
      </c>
      <c r="EB384" s="403" t="str">
        <f ca="1">IF(SUM(EB380:$EI380)=0,"",IF(EB$227="","",EB$227+EB380-1))</f>
        <v/>
      </c>
      <c r="EC384" s="403" t="str">
        <f ca="1">IF(SUM(EC380:$EI380)=0,"",IF(EC$227="","",EC$227+EC380-1))</f>
        <v/>
      </c>
      <c r="ED384" s="403" t="str">
        <f ca="1">IF(SUM(ED380:$EI380)=0,"",IF(ED$227="","",ED$227+ED380-1))</f>
        <v/>
      </c>
      <c r="EE384" s="403" t="str">
        <f ca="1">IF(SUM(EE380:$EI380)=0,"",IF(EE$227="","",EE$227+EE380-1))</f>
        <v/>
      </c>
      <c r="EF384" s="403" t="str">
        <f ca="1">IF(SUM(EF380:$EI380)=0,"",IF(EF$227="","",EF$227+EF380-1))</f>
        <v/>
      </c>
      <c r="EG384" s="403" t="str">
        <f ca="1">IF(SUM(EG380:$EI380)=0,"",IF(EG$227="","",EG$227+EG380-1))</f>
        <v/>
      </c>
      <c r="EH384" s="403" t="str">
        <f ca="1">IF(SUM(EH380:$EI380)=0,"",IF(EH$227="","",EH$227+EH380-1))</f>
        <v/>
      </c>
      <c r="EI384" s="403" t="str">
        <f ca="1">IF(SUM(EI380:$EI380)=0,"",IF(EI$227="","",EI$227+EI380-1))</f>
        <v/>
      </c>
    </row>
    <row r="385" spans="1:141" outlineLevel="1" collapsed="1">
      <c r="A385" s="332"/>
      <c r="B385" s="313"/>
      <c r="C385" s="317" t="s">
        <v>281</v>
      </c>
      <c r="D385" s="317" t="s">
        <v>686</v>
      </c>
      <c r="E385" s="400">
        <f ca="1">IF(ГРП!B41=0,длительность!D105,ГРП!B41)</f>
        <v>730</v>
      </c>
      <c r="F385" s="318">
        <f ca="1">E385-SUM(G385:EJ385)</f>
        <v>0</v>
      </c>
      <c r="G385" s="401"/>
      <c r="H385" s="401">
        <f ca="1">IF(SUM($G385:G385)&gt;=$E385,0,IF($E385-SUM($G385:G385)&gt;H386,H386,$E385-SUM($G386:G386)))</f>
        <v>0</v>
      </c>
      <c r="I385" s="401">
        <f ca="1">IF(SUM($G385:H385)&gt;=$E385,0,IF($E385-SUM($G385:H385)&gt;I386,I386,$E385-SUM($G386:H386)))</f>
        <v>0</v>
      </c>
      <c r="J385" s="401">
        <f ca="1">IF(SUM($G385:I385)&gt;=$E385,0,IF($E385-SUM($G385:I385)&gt;J386,J386,$E385-SUM($G386:I386)))</f>
        <v>0</v>
      </c>
      <c r="K385" s="401">
        <f ca="1">IF(SUM($G385:J385)&gt;=$E385,0,IF($E385-SUM($G385:J385)&gt;K386,K386,$E385-SUM($G386:J386)))</f>
        <v>0</v>
      </c>
      <c r="L385" s="401">
        <f ca="1">IF(SUM($G385:K385)&gt;=$E385,0,IF($E385-SUM($G385:K385)&gt;L386,L386,$E385-SUM($G386:K386)))</f>
        <v>0</v>
      </c>
      <c r="M385" s="401">
        <f ca="1">IF(SUM($G385:L385)&gt;=$E385,0,IF($E385-SUM($G385:L385)&gt;M386,M386,$E385-SUM($G386:L386)))</f>
        <v>0</v>
      </c>
      <c r="N385" s="401">
        <f ca="1">IF(SUM($G385:M385)&gt;=$E385,0,IF($E385-SUM($G385:M385)&gt;N386,N386,$E385-SUM($G386:M386)))</f>
        <v>0</v>
      </c>
      <c r="O385" s="401">
        <f ca="1">IF(SUM($G385:N385)&gt;=$E385,0,IF($E385-SUM($G385:N385)&gt;O386,O386,$E385-SUM($G386:N386)))</f>
        <v>0</v>
      </c>
      <c r="P385" s="401">
        <f ca="1">IF(SUM($G385:O385)&gt;=$E385,0,IF($E385-SUM($G385:O385)&gt;P386,P386,$E385-SUM($G386:O386)))</f>
        <v>0</v>
      </c>
      <c r="Q385" s="401">
        <f ca="1">IF(SUM($G385:P385)&gt;=$E385,0,IF($E385-SUM($G385:P385)&gt;Q386,Q386,$E385-SUM($G386:P386)))</f>
        <v>0</v>
      </c>
      <c r="R385" s="401">
        <f ca="1">IF(SUM($G385:Q385)&gt;=$E385,0,IF($E385-SUM($G385:Q385)&gt;R386,R386,$E385-SUM($G386:Q386)))</f>
        <v>0</v>
      </c>
      <c r="S385" s="401">
        <f ca="1">IF(SUM($G385:R385)&gt;=$E385,0,IF($E385-SUM($G385:R385)&gt;S386,S386,$E385-SUM($G386:R386)))</f>
        <v>0</v>
      </c>
      <c r="T385" s="401">
        <f ca="1">IF(SUM($G385:S385)&gt;=$E385,0,IF($E385-SUM($G385:S385)&gt;T386,T386,$E385-SUM($G386:S386)))</f>
        <v>0</v>
      </c>
      <c r="U385" s="401">
        <f ca="1">IF(SUM($G385:T385)&gt;=$E385,0,IF($E385-SUM($G385:T385)&gt;U386,U386,$E385-SUM($G386:T386)))</f>
        <v>0</v>
      </c>
      <c r="V385" s="401">
        <f ca="1">IF(SUM($G385:U385)&gt;=$E385,0,IF($E385-SUM($G385:U385)&gt;V386,V386,$E385-SUM($G386:U386)))</f>
        <v>0</v>
      </c>
      <c r="W385" s="401">
        <f ca="1">IF(SUM($G385:V385)&gt;=$E385,0,IF($E385-SUM($G385:V385)&gt;W386,W386,$E385-SUM($G386:V386)))</f>
        <v>0</v>
      </c>
      <c r="X385" s="401">
        <f ca="1">IF(SUM($G385:W385)&gt;=$E385,0,IF($E385-SUM($G385:W385)&gt;X386,X386,$E385-SUM($G386:W386)))</f>
        <v>0</v>
      </c>
      <c r="Y385" s="401">
        <f ca="1">IF(SUM($G385:X385)&gt;=$E385,0,IF($E385-SUM($G385:X385)&gt;Y386,Y386,$E385-SUM($G386:X386)))</f>
        <v>0</v>
      </c>
      <c r="Z385" s="401">
        <f ca="1">IF(SUM($G385:Y385)&gt;=$E385,0,IF($E385-SUM($G385:Y385)&gt;Z386,Z386,$E385-SUM($G386:Y386)))</f>
        <v>0</v>
      </c>
      <c r="AA385" s="401">
        <f ca="1">IF(SUM($G385:Z385)&gt;=$E385,0,IF($E385-SUM($G385:Z385)&gt;AA386,AA386,$E385-SUM($G386:Z386)))</f>
        <v>0</v>
      </c>
      <c r="AB385" s="401">
        <f ca="1">IF(SUM($G385:AA385)&gt;=$E385,0,IF($E385-SUM($G385:AA385)&gt;AB386,AB386,$E385-SUM($G386:AA386)))</f>
        <v>0</v>
      </c>
      <c r="AC385" s="401">
        <f ca="1">IF(SUM($G385:AB385)&gt;=$E385,0,IF($E385-SUM($G385:AB385)&gt;AC386,AC386,$E385-SUM($G386:AB386)))</f>
        <v>0</v>
      </c>
      <c r="AD385" s="401">
        <f ca="1">IF(SUM($G385:AC385)&gt;=$E385,0,IF($E385-SUM($G385:AC385)&gt;AD386,AD386,$E385-SUM($G386:AC386)))</f>
        <v>0</v>
      </c>
      <c r="AE385" s="401">
        <f ca="1">IF(SUM($G385:AD385)&gt;=$E385,0,IF($E385-SUM($G385:AD385)&gt;AE386,AE386,$E385-SUM($G386:AD386)))</f>
        <v>0</v>
      </c>
      <c r="AF385" s="401">
        <f ca="1">IF(SUM($G385:AE385)&gt;=$E385,0,IF($E385-SUM($G385:AE385)&gt;AF386,AF386,$E385-SUM($G386:AE386)))</f>
        <v>0</v>
      </c>
      <c r="AG385" s="401">
        <f ca="1">IF(SUM($G385:AF385)&gt;=$E385,0,IF($E385-SUM($G385:AF385)&gt;AG386,AG386,$E385-SUM($G386:AF386)))</f>
        <v>0</v>
      </c>
      <c r="AH385" s="401">
        <f ca="1">IF(SUM($G385:AG385)&gt;=$E385,0,IF($E385-SUM($G385:AG385)&gt;AH386,AH386,$E385-SUM($G386:AG386)))</f>
        <v>0</v>
      </c>
      <c r="AI385" s="401">
        <f ca="1">IF(SUM($G385:AH385)&gt;=$E385,0,IF($E385-SUM($G385:AH385)&gt;AI386,AI386,$E385-SUM($G386:AH386)))</f>
        <v>0</v>
      </c>
      <c r="AJ385" s="401">
        <f ca="1">IF(SUM($G385:AI385)&gt;=$E385,0,IF($E385-SUM($G385:AI385)&gt;AJ386,AJ386,$E385-SUM($G386:AI386)))</f>
        <v>0</v>
      </c>
      <c r="AK385" s="401">
        <f ca="1">IF(SUM($G385:AJ385)&gt;=$E385,0,IF($E385-SUM($G385:AJ385)&gt;AK386,AK386,$E385-SUM($G386:AJ386)))</f>
        <v>0</v>
      </c>
      <c r="AL385" s="401">
        <f ca="1">IF(SUM($G385:AK385)&gt;=$E385,0,IF($E385-SUM($G385:AK385)&gt;AL386,AL386,$E385-SUM($G386:AK386)))</f>
        <v>0</v>
      </c>
      <c r="AM385" s="401">
        <f ca="1">IF(SUM($G385:AL385)&gt;=$E385,0,IF($E385-SUM($G385:AL385)&gt;AM386,AM386,$E385-SUM($G386:AL386)))</f>
        <v>0</v>
      </c>
      <c r="AN385" s="401">
        <f ca="1">IF(SUM($G385:AM385)&gt;=$E385,0,IF($E385-SUM($G385:AM385)&gt;AN386,AN386,$E385-SUM($G386:AM386)))</f>
        <v>0</v>
      </c>
      <c r="AO385" s="401">
        <f ca="1">IF(SUM($G385:AN385)&gt;=$E385,0,IF($E385-SUM($G385:AN385)&gt;AO386,AO386,$E385-SUM($G386:AN386)))</f>
        <v>0</v>
      </c>
      <c r="AP385" s="401">
        <f ca="1">IF(SUM($G385:AO385)&gt;=$E385,0,IF($E385-SUM($G385:AO385)&gt;AP386,AP386,$E385-SUM($G386:AO386)))</f>
        <v>0</v>
      </c>
      <c r="AQ385" s="401">
        <f ca="1">IF(SUM($G385:AP385)&gt;=$E385,0,IF($E385-SUM($G385:AP385)&gt;AQ386,AQ386,$E385-SUM($G386:AP386)))</f>
        <v>0</v>
      </c>
      <c r="AR385" s="401">
        <f ca="1">IF(SUM($G385:AQ385)&gt;=$E385,0,IF($E385-SUM($G385:AQ385)&gt;AR386,AR386,$E385-SUM($G386:AQ386)))</f>
        <v>0</v>
      </c>
      <c r="AS385" s="401">
        <f ca="1">IF(SUM($G385:AR385)&gt;=$E385,0,IF($E385-SUM($G385:AR385)&gt;AS386,AS386,$E385-SUM($G386:AR386)))</f>
        <v>0</v>
      </c>
      <c r="AT385" s="401">
        <f ca="1">IF(SUM($G385:AS385)&gt;=$E385,0,IF($E385-SUM($G385:AS385)&gt;AT386,AT386,$E385-SUM($G386:AS386)))</f>
        <v>0</v>
      </c>
      <c r="AU385" s="401">
        <f ca="1">IF(SUM($G385:AT385)&gt;=$E385,0,IF($E385-SUM($G385:AT385)&gt;AU386,AU386,$E385-SUM($G386:AT386)))</f>
        <v>0</v>
      </c>
      <c r="AV385" s="401">
        <f ca="1">IF(SUM($G385:AU385)&gt;=$E385,0,IF($E385-SUM($G385:AU385)&gt;AV386,AV386,$E385-SUM($G386:AU386)))</f>
        <v>0</v>
      </c>
      <c r="AW385" s="401">
        <f ca="1">IF(SUM($G385:AV385)&gt;=$E385,0,IF($E385-SUM($G385:AV385)&gt;AW386,AW386,$E385-SUM($G386:AV386)))</f>
        <v>0</v>
      </c>
      <c r="AX385" s="401">
        <f ca="1">IF(SUM($G385:AW385)&gt;=$E385,0,IF($E385-SUM($G385:AW385)&gt;AX386,AX386,$E385-SUM($G386:AW386)))</f>
        <v>0</v>
      </c>
      <c r="AY385" s="401">
        <f ca="1">IF(SUM($G385:AX385)&gt;=$E385,0,IF($E385-SUM($G385:AX385)&gt;AY386,AY386,$E385-SUM($G386:AX386)))</f>
        <v>0</v>
      </c>
      <c r="AZ385" s="401">
        <f ca="1">IF(SUM($G385:AY385)&gt;=$E385,0,IF($E385-SUM($G385:AY385)&gt;AZ386,AZ386,$E385-SUM($G386:AY386)))</f>
        <v>0</v>
      </c>
      <c r="BA385" s="401">
        <f ca="1">IF(SUM($G385:AZ385)&gt;=$E385,0,IF($E385-SUM($G385:AZ385)&gt;BA386,BA386,$E385-SUM($G386:AZ386)))</f>
        <v>5</v>
      </c>
      <c r="BB385" s="401">
        <f ca="1">IF(SUM($G385:BA385)&gt;=$E385,0,IF($E385-SUM($G385:BA385)&gt;BB386,BB386,$E385-SUM($G386:BA386)))</f>
        <v>28</v>
      </c>
      <c r="BC385" s="401">
        <f ca="1">IF(SUM($G385:BB385)&gt;=$E385,0,IF($E385-SUM($G385:BB385)&gt;BC386,BC386,$E385-SUM($G386:BB386)))</f>
        <v>31</v>
      </c>
      <c r="BD385" s="401">
        <f ca="1">IF(SUM($G385:BC385)&gt;=$E385,0,IF($E385-SUM($G385:BC385)&gt;BD386,BD386,$E385-SUM($G386:BC386)))</f>
        <v>30</v>
      </c>
      <c r="BE385" s="401">
        <f ca="1">IF(SUM($G385:BD385)&gt;=$E385,0,IF($E385-SUM($G385:BD385)&gt;BE386,BE386,$E385-SUM($G386:BD386)))</f>
        <v>31</v>
      </c>
      <c r="BF385" s="401">
        <f ca="1">IF(SUM($G385:BE385)&gt;=$E385,0,IF($E385-SUM($G385:BE385)&gt;BF386,BF386,$E385-SUM($G386:BE386)))</f>
        <v>30</v>
      </c>
      <c r="BG385" s="401">
        <f ca="1">IF(SUM($G385:BF385)&gt;=$E385,0,IF($E385-SUM($G385:BF385)&gt;BG386,BG386,$E385-SUM($G386:BF386)))</f>
        <v>31</v>
      </c>
      <c r="BH385" s="401">
        <f ca="1">IF(SUM($G385:BG385)&gt;=$E385,0,IF($E385-SUM($G385:BG385)&gt;BH386,BH386,$E385-SUM($G386:BG386)))</f>
        <v>31</v>
      </c>
      <c r="BI385" s="401">
        <f ca="1">IF(SUM($G385:BH385)&gt;=$E385,0,IF($E385-SUM($G385:BH385)&gt;BI386,BI386,$E385-SUM($G386:BH386)))</f>
        <v>30</v>
      </c>
      <c r="BJ385" s="401">
        <f ca="1">IF(SUM($G385:BI385)&gt;=$E385,0,IF($E385-SUM($G385:BI385)&gt;BJ386,BJ386,$E385-SUM($G386:BI386)))</f>
        <v>31</v>
      </c>
      <c r="BK385" s="401">
        <f ca="1">IF(SUM($G385:BJ385)&gt;=$E385,0,IF($E385-SUM($G385:BJ385)&gt;BK386,BK386,$E385-SUM($G386:BJ386)))</f>
        <v>30</v>
      </c>
      <c r="BL385" s="401">
        <f ca="1">IF(SUM($G385:BK385)&gt;=$E385,0,IF($E385-SUM($G385:BK385)&gt;BL386,BL386,$E385-SUM($G386:BK386)))</f>
        <v>31</v>
      </c>
      <c r="BM385" s="401">
        <f ca="1">IF(SUM($G385:BL385)&gt;=$E385,0,IF($E385-SUM($G385:BL385)&gt;BM386,BM386,$E385-SUM($G386:BL386)))</f>
        <v>31</v>
      </c>
      <c r="BN385" s="401">
        <f ca="1">IF(SUM($G385:BM385)&gt;=$E385,0,IF($E385-SUM($G385:BM385)&gt;BN386,BN386,$E385-SUM($G386:BM386)))</f>
        <v>29</v>
      </c>
      <c r="BO385" s="401">
        <f ca="1">IF(SUM($G385:BN385)&gt;=$E385,0,IF($E385-SUM($G385:BN385)&gt;BO386,BO386,$E385-SUM($G386:BN386)))</f>
        <v>31</v>
      </c>
      <c r="BP385" s="401">
        <f ca="1">IF(SUM($G385:BO385)&gt;=$E385,0,IF($E385-SUM($G385:BO385)&gt;BP386,BP386,$E385-SUM($G386:BO386)))</f>
        <v>30</v>
      </c>
      <c r="BQ385" s="401">
        <f ca="1">IF(SUM($G385:BP385)&gt;=$E385,0,IF($E385-SUM($G385:BP385)&gt;BQ386,BQ386,$E385-SUM($G386:BP386)))</f>
        <v>31</v>
      </c>
      <c r="BR385" s="401">
        <f ca="1">IF(SUM($G385:BQ385)&gt;=$E385,0,IF($E385-SUM($G385:BQ385)&gt;BR386,BR386,$E385-SUM($G386:BQ386)))</f>
        <v>30</v>
      </c>
      <c r="BS385" s="401">
        <f ca="1">IF(SUM($G385:BR385)&gt;=$E385,0,IF($E385-SUM($G385:BR385)&gt;BS386,BS386,$E385-SUM($G386:BR386)))</f>
        <v>31</v>
      </c>
      <c r="BT385" s="401">
        <f ca="1">IF(SUM($G385:BS385)&gt;=$E385,0,IF($E385-SUM($G385:BS385)&gt;BT386,BT386,$E385-SUM($G386:BS386)))</f>
        <v>31</v>
      </c>
      <c r="BU385" s="401">
        <f ca="1">IF(SUM($G385:BT385)&gt;=$E385,0,IF($E385-SUM($G385:BT385)&gt;BU386,BU386,$E385-SUM($G386:BT386)))</f>
        <v>30</v>
      </c>
      <c r="BV385" s="401">
        <f ca="1">IF(SUM($G385:BU385)&gt;=$E385,0,IF($E385-SUM($G385:BU385)&gt;BV386,BV386,$E385-SUM($G386:BU386)))</f>
        <v>31</v>
      </c>
      <c r="BW385" s="401">
        <f ca="1">IF(SUM($G385:BV385)&gt;=$E385,0,IF($E385-SUM($G385:BV385)&gt;BW386,BW386,$E385-SUM($G386:BV386)))</f>
        <v>30</v>
      </c>
      <c r="BX385" s="401">
        <f ca="1">IF(SUM($G385:BW385)&gt;=$E385,0,IF($E385-SUM($G385:BW385)&gt;BX386,BX386,$E385-SUM($G386:BW386)))</f>
        <v>31</v>
      </c>
      <c r="BY385" s="401">
        <f ca="1">IF(SUM($G385:BX385)&gt;=$E385,0,IF($E385-SUM($G385:BX385)&gt;BY386,BY386,$E385-SUM($G386:BX386)))</f>
        <v>25</v>
      </c>
      <c r="BZ385" s="401">
        <f ca="1">IF(SUM($G385:BY385)&gt;=$E385,0,IF($E385-SUM($G385:BY385)&gt;BZ386,BZ386,$E385-SUM($G386:BY386)))</f>
        <v>0</v>
      </c>
      <c r="CA385" s="401">
        <f ca="1">IF(SUM($G385:BZ385)&gt;=$E385,0,IF($E385-SUM($G385:BZ385)&gt;CA386,CA386,$E385-SUM($G386:BZ386)))</f>
        <v>0</v>
      </c>
      <c r="CB385" s="401">
        <f ca="1">IF(SUM($G385:CA385)&gt;=$E385,0,IF($E385-SUM($G385:CA385)&gt;CB386,CB386,$E385-SUM($G386:CA386)))</f>
        <v>0</v>
      </c>
      <c r="CC385" s="401">
        <f ca="1">IF(SUM($G385:CB385)&gt;=$E385,0,IF($E385-SUM($G385:CB385)&gt;CC386,CC386,$E385-SUM($G386:CB386)))</f>
        <v>0</v>
      </c>
      <c r="CD385" s="401">
        <f ca="1">IF(SUM($G385:CC385)&gt;=$E385,0,IF($E385-SUM($G385:CC385)&gt;CD386,CD386,$E385-SUM($G386:CC386)))</f>
        <v>0</v>
      </c>
      <c r="CE385" s="401">
        <f ca="1">IF(SUM($G385:CD385)&gt;=$E385,0,IF($E385-SUM($G385:CD385)&gt;CE386,CE386,$E385-SUM($G386:CD386)))</f>
        <v>0</v>
      </c>
      <c r="CF385" s="401">
        <f ca="1">IF(SUM($G385:CE385)&gt;=$E385,0,IF($E385-SUM($G385:CE385)&gt;CF386,CF386,$E385-SUM($G386:CE386)))</f>
        <v>0</v>
      </c>
      <c r="CG385" s="401">
        <f ca="1">IF(SUM($G385:CF385)&gt;=$E385,0,IF($E385-SUM($G385:CF385)&gt;CG386,CG386,$E385-SUM($G386:CF386)))</f>
        <v>0</v>
      </c>
      <c r="CH385" s="401">
        <f ca="1">IF(SUM($G385:CG385)&gt;=$E385,0,IF($E385-SUM($G385:CG385)&gt;CH386,CH386,$E385-SUM($G386:CG386)))</f>
        <v>0</v>
      </c>
      <c r="CI385" s="401">
        <f ca="1">IF(SUM($G385:CH385)&gt;=$E385,0,IF($E385-SUM($G385:CH385)&gt;CI386,CI386,$E385-SUM($G386:CH386)))</f>
        <v>0</v>
      </c>
      <c r="CJ385" s="401">
        <f ca="1">IF(SUM($G385:CI385)&gt;=$E385,0,IF($E385-SUM($G385:CI385)&gt;CJ386,CJ386,$E385-SUM($G386:CI386)))</f>
        <v>0</v>
      </c>
      <c r="CK385" s="401">
        <f ca="1">IF(SUM($G385:CJ385)&gt;=$E385,0,IF($E385-SUM($G385:CJ385)&gt;CK386,CK386,$E385-SUM($G386:CJ386)))</f>
        <v>0</v>
      </c>
      <c r="CL385" s="401">
        <f ca="1">IF(SUM($G385:CK385)&gt;=$E385,0,IF($E385-SUM($G385:CK385)&gt;CL386,CL386,$E385-SUM($G386:CK386)))</f>
        <v>0</v>
      </c>
      <c r="CM385" s="401">
        <f ca="1">IF(SUM($G385:CL385)&gt;=$E385,0,IF($E385-SUM($G385:CL385)&gt;CM386,CM386,$E385-SUM($G386:CL386)))</f>
        <v>0</v>
      </c>
      <c r="CN385" s="401">
        <f ca="1">IF(SUM($G385:CM385)&gt;=$E385,0,IF($E385-SUM($G385:CM385)&gt;CN386,CN386,$E385-SUM($G386:CM386)))</f>
        <v>0</v>
      </c>
      <c r="CO385" s="401">
        <f ca="1">IF(SUM($G385:CN385)&gt;=$E385,0,IF($E385-SUM($G385:CN385)&gt;CO386,CO386,$E385-SUM($G386:CN386)))</f>
        <v>0</v>
      </c>
      <c r="CP385" s="401">
        <f ca="1">IF(SUM($G385:CO385)&gt;=$E385,0,IF($E385-SUM($G385:CO385)&gt;CP386,CP386,$E385-SUM($G386:CO386)))</f>
        <v>0</v>
      </c>
      <c r="CQ385" s="401">
        <f ca="1">IF(SUM($G385:CP385)&gt;=$E385,0,IF($E385-SUM($G385:CP385)&gt;CQ386,CQ386,$E385-SUM($G386:CP386)))</f>
        <v>0</v>
      </c>
      <c r="CR385" s="401">
        <f ca="1">IF(SUM($G385:CQ385)&gt;=$E385,0,IF($E385-SUM($G385:CQ385)&gt;CR386,CR386,$E385-SUM($G386:CQ386)))</f>
        <v>0</v>
      </c>
      <c r="CS385" s="401">
        <f ca="1">IF(SUM($G385:CR385)&gt;=$E385,0,IF($E385-SUM($G385:CR385)&gt;CS386,CS386,$E385-SUM($G386:CR386)))</f>
        <v>0</v>
      </c>
      <c r="CT385" s="401">
        <f ca="1">IF(SUM($G385:CS385)&gt;=$E385,0,IF($E385-SUM($G385:CS385)&gt;CT386,CT386,$E385-SUM($G386:CS386)))</f>
        <v>0</v>
      </c>
      <c r="CU385" s="401">
        <f ca="1">IF(SUM($G385:CT385)&gt;=$E385,0,IF($E385-SUM($G385:CT385)&gt;CU386,CU386,$E385-SUM($G386:CT386)))</f>
        <v>0</v>
      </c>
      <c r="CV385" s="401">
        <f ca="1">IF(SUM($G385:CU385)&gt;=$E385,0,IF($E385-SUM($G385:CU385)&gt;CV386,CV386,$E385-SUM($G386:CU386)))</f>
        <v>0</v>
      </c>
      <c r="CW385" s="401">
        <f ca="1">IF(SUM($G385:CV385)&gt;=$E385,0,IF($E385-SUM($G385:CV385)&gt;CW386,CW386,$E385-SUM($G386:CV386)))</f>
        <v>0</v>
      </c>
      <c r="CX385" s="401">
        <f ca="1">IF(SUM($G385:CW385)&gt;=$E385,0,IF($E385-SUM($G385:CW385)&gt;CX386,CX386,$E385-SUM($G386:CW386)))</f>
        <v>0</v>
      </c>
      <c r="CY385" s="401">
        <f ca="1">IF(SUM($G385:CX385)&gt;=$E385,0,IF($E385-SUM($G385:CX385)&gt;CY386,CY386,$E385-SUM($G386:CX386)))</f>
        <v>0</v>
      </c>
      <c r="CZ385" s="401">
        <f ca="1">IF(SUM($G385:CY385)&gt;=$E385,0,IF($E385-SUM($G385:CY385)&gt;CZ386,CZ386,$E385-SUM($G386:CY386)))</f>
        <v>0</v>
      </c>
      <c r="DA385" s="401">
        <f ca="1">IF(SUM($G385:CZ385)&gt;=$E385,0,IF($E385-SUM($G385:CZ385)&gt;DA386,DA386,$E385-SUM($G386:CZ386)))</f>
        <v>0</v>
      </c>
      <c r="DB385" s="401">
        <f ca="1">IF(SUM($G385:DA385)&gt;=$E385,0,IF($E385-SUM($G385:DA385)&gt;DB386,DB386,$E385-SUM($G386:DA386)))</f>
        <v>0</v>
      </c>
      <c r="DC385" s="401">
        <f ca="1">IF(SUM($G385:DB385)&gt;=$E385,0,IF($E385-SUM($G385:DB385)&gt;DC386,DC386,$E385-SUM($G386:DB386)))</f>
        <v>0</v>
      </c>
      <c r="DD385" s="401">
        <f ca="1">IF(SUM($G385:DC385)&gt;=$E385,0,IF($E385-SUM($G385:DC385)&gt;DD386,DD386,$E385-SUM($G386:DC386)))</f>
        <v>0</v>
      </c>
      <c r="DE385" s="401">
        <f ca="1">IF(SUM($G385:DD385)&gt;=$E385,0,IF($E385-SUM($G385:DD385)&gt;DE386,DE386,$E385-SUM($G386:DD386)))</f>
        <v>0</v>
      </c>
      <c r="DF385" s="401">
        <f ca="1">IF(SUM($G385:DE385)&gt;=$E385,0,IF($E385-SUM($G385:DE385)&gt;DF386,DF386,$E385-SUM($G386:DE386)))</f>
        <v>0</v>
      </c>
      <c r="DG385" s="401">
        <f ca="1">IF(SUM($G385:DF385)&gt;=$E385,0,IF($E385-SUM($G385:DF385)&gt;DG386,DG386,$E385-SUM($G386:DF386)))</f>
        <v>0</v>
      </c>
      <c r="DH385" s="401">
        <f ca="1">IF(SUM($G385:DG385)&gt;=$E385,0,IF($E385-SUM($G385:DG385)&gt;DH386,DH386,$E385-SUM($G386:DG386)))</f>
        <v>0</v>
      </c>
      <c r="DI385" s="401">
        <f ca="1">IF(SUM($G385:DH385)&gt;=$E385,0,IF($E385-SUM($G385:DH385)&gt;DI386,DI386,$E385-SUM($G386:DH386)))</f>
        <v>0</v>
      </c>
      <c r="DJ385" s="401">
        <f ca="1">IF(SUM($G385:DI385)&gt;=$E385,0,IF($E385-SUM($G385:DI385)&gt;DJ386,DJ386,$E385-SUM($G386:DI386)))</f>
        <v>0</v>
      </c>
      <c r="DK385" s="401">
        <f ca="1">IF(SUM($G385:DJ385)&gt;=$E385,0,IF($E385-SUM($G385:DJ385)&gt;DK386,DK386,$E385-SUM($G386:DJ386)))</f>
        <v>0</v>
      </c>
      <c r="DL385" s="401">
        <f ca="1">IF(SUM($G385:DK385)&gt;=$E385,0,IF($E385-SUM($G385:DK385)&gt;DL386,DL386,$E385-SUM($G386:DK386)))</f>
        <v>0</v>
      </c>
      <c r="DM385" s="401">
        <f ca="1">IF(SUM($G385:DL385)&gt;=$E385,0,IF($E385-SUM($G385:DL385)&gt;DM386,DM386,$E385-SUM($G386:DL386)))</f>
        <v>0</v>
      </c>
      <c r="DN385" s="401">
        <f ca="1">IF(SUM($G385:DM385)&gt;=$E385,0,IF($E385-SUM($G385:DM385)&gt;DN386,DN386,$E385-SUM($G386:DM386)))</f>
        <v>0</v>
      </c>
      <c r="DO385" s="401">
        <f ca="1">IF(SUM($G385:DN385)&gt;=$E385,0,IF($E385-SUM($G385:DN385)&gt;DO386,DO386,$E385-SUM($G386:DN386)))</f>
        <v>0</v>
      </c>
      <c r="DP385" s="401">
        <f ca="1">IF(SUM($G385:DO385)&gt;=$E385,0,IF($E385-SUM($G385:DO385)&gt;DP386,DP386,$E385-SUM($G386:DO386)))</f>
        <v>0</v>
      </c>
      <c r="DQ385" s="401">
        <f ca="1">IF(SUM($G385:DP385)&gt;=$E385,0,IF($E385-SUM($G385:DP385)&gt;DQ386,DQ386,$E385-SUM($G386:DP386)))</f>
        <v>0</v>
      </c>
      <c r="DR385" s="401">
        <f ca="1">IF(SUM($G385:DQ385)&gt;=$E385,0,IF($E385-SUM($G385:DQ385)&gt;DR386,DR386,$E385-SUM($G386:DQ386)))</f>
        <v>0</v>
      </c>
      <c r="DS385" s="401">
        <f ca="1">IF(SUM($G385:DR385)&gt;=$E385,0,IF($E385-SUM($G385:DR385)&gt;DS386,DS386,$E385-SUM($G386:DR386)))</f>
        <v>0</v>
      </c>
      <c r="DT385" s="401">
        <f ca="1">IF(SUM($G385:DS385)&gt;=$E385,0,IF($E385-SUM($G385:DS385)&gt;DT386,DT386,$E385-SUM($G386:DS386)))</f>
        <v>0</v>
      </c>
      <c r="DU385" s="401">
        <f ca="1">IF(SUM($G385:DT385)&gt;=$E385,0,IF($E385-SUM($G385:DT385)&gt;DU386,DU386,$E385-SUM($G386:DT386)))</f>
        <v>0</v>
      </c>
      <c r="DV385" s="401">
        <f ca="1">IF(SUM($G385:DU385)&gt;=$E385,0,IF($E385-SUM($G385:DU385)&gt;DV386,DV386,$E385-SUM($G386:DU386)))</f>
        <v>0</v>
      </c>
      <c r="DW385" s="401">
        <f ca="1">IF(SUM($G385:DV385)&gt;=$E385,0,IF($E385-SUM($G385:DV385)&gt;DW386,DW386,$E385-SUM($G386:DV386)))</f>
        <v>0</v>
      </c>
      <c r="DX385" s="401">
        <f ca="1">IF(SUM($G385:DW385)&gt;=$E385,0,IF($E385-SUM($G385:DW385)&gt;DX386,DX386,$E385-SUM($G386:DW386)))</f>
        <v>0</v>
      </c>
      <c r="DY385" s="401">
        <f ca="1">IF(SUM($G385:DX385)&gt;=$E385,0,IF($E385-SUM($G385:DX385)&gt;DY386,DY386,$E385-SUM($G386:DX386)))</f>
        <v>0</v>
      </c>
      <c r="DZ385" s="401">
        <f ca="1">IF(SUM($G385:DY385)&gt;=$E385,0,IF($E385-SUM($G385:DY385)&gt;DZ386,DZ386,$E385-SUM($G386:DY386)))</f>
        <v>0</v>
      </c>
      <c r="EA385" s="401">
        <f ca="1">IF(SUM($G385:DZ385)&gt;=$E385,0,IF($E385-SUM($G385:DZ385)&gt;EA386,EA386,$E385-SUM($G386:DZ386)))</f>
        <v>0</v>
      </c>
      <c r="EB385" s="401">
        <f ca="1">IF(SUM($G385:EA385)&gt;=$E385,0,IF($E385-SUM($G385:EA385)&gt;EB386,EB386,$E385-SUM($G386:EA386)))</f>
        <v>0</v>
      </c>
      <c r="EC385" s="401">
        <f ca="1">IF(SUM($G385:EB385)&gt;=$E385,0,IF($E385-SUM($G385:EB385)&gt;EC386,EC386,$E385-SUM($G386:EB386)))</f>
        <v>0</v>
      </c>
      <c r="ED385" s="401">
        <f ca="1">IF(SUM($G385:EC385)&gt;=$E385,0,IF($E385-SUM($G385:EC385)&gt;ED386,ED386,$E385-SUM($G386:EC386)))</f>
        <v>0</v>
      </c>
      <c r="EE385" s="401">
        <f ca="1">IF(SUM($G385:ED385)&gt;=$E385,0,IF($E385-SUM($G385:ED385)&gt;EE386,EE386,$E385-SUM($G386:ED386)))</f>
        <v>0</v>
      </c>
      <c r="EF385" s="401">
        <f ca="1">IF(SUM($G385:EE385)&gt;=$E385,0,IF($E385-SUM($G385:EE385)&gt;EF386,EF386,$E385-SUM($G386:EE386)))</f>
        <v>0</v>
      </c>
      <c r="EG385" s="401">
        <f ca="1">IF(SUM($G385:EF385)&gt;=$E385,0,IF($E385-SUM($G385:EF385)&gt;EG386,EG386,$E385-SUM($G386:EF386)))</f>
        <v>0</v>
      </c>
      <c r="EH385" s="401">
        <f ca="1">IF(SUM($G385:EG385)&gt;=$E385,0,IF($E385-SUM($G385:EG385)&gt;EH386,EH386,$E385-SUM($G386:EG386)))</f>
        <v>0</v>
      </c>
      <c r="EI385" s="401">
        <f ca="1">IF(SUM($G385:EH385)&gt;=$E385,0,IF($E385-SUM($G385:EH385)&gt;EI386,EI386,$E385-SUM($G386:EH386)))</f>
        <v>0</v>
      </c>
      <c r="EK385" s="313"/>
    </row>
    <row r="386" spans="1:141" hidden="1" outlineLevel="2">
      <c r="A386" s="332"/>
      <c r="B386" s="313"/>
      <c r="C386" s="308"/>
      <c r="D386" s="308"/>
      <c r="E386" s="308"/>
      <c r="G386" s="405"/>
      <c r="H386" s="405">
        <f ca="1">IF((SUM($G270:H270)-$E269)&lt;0,0,IF((SUM($G270:H270)-$E269)&lt;H270,SUM($G270:H270)-$E269,H270))</f>
        <v>0</v>
      </c>
      <c r="I386" s="405">
        <f ca="1">IF((SUM($G270:I270)-$E269)&lt;0,0,IF((SUM($G270:I270)-$E269)&lt;I270,SUM($G270:I270)-$E269,I270))</f>
        <v>0</v>
      </c>
      <c r="J386" s="405">
        <f ca="1">IF((SUM($G270:J270)-$E269)&lt;0,0,IF((SUM($G270:J270)-$E269)&lt;J270,SUM($G270:J270)-$E269,J270))</f>
        <v>0</v>
      </c>
      <c r="K386" s="405">
        <f ca="1">IF((SUM($G270:K270)-$E269)&lt;0,0,IF((SUM($G270:K270)-$E269)&lt;K270,SUM($G270:K270)-$E269,K270))</f>
        <v>0</v>
      </c>
      <c r="L386" s="405">
        <f ca="1">IF((SUM($G270:L270)-$E269)&lt;0,0,IF((SUM($G270:L270)-$E269)&lt;L270,SUM($G270:L270)-$E269,L270))</f>
        <v>0</v>
      </c>
      <c r="M386" s="405">
        <f ca="1">IF((SUM($G270:M270)-$E269)&lt;0,0,IF((SUM($G270:M270)-$E269)&lt;M270,SUM($G270:M270)-$E269,M270))</f>
        <v>0</v>
      </c>
      <c r="N386" s="405">
        <f ca="1">IF((SUM($G270:N270)-$E269)&lt;0,0,IF((SUM($G270:N270)-$E269)&lt;N270,SUM($G270:N270)-$E269,N270))</f>
        <v>0</v>
      </c>
      <c r="O386" s="405">
        <f ca="1">IF((SUM($G270:O270)-$E269)&lt;0,0,IF((SUM($G270:O270)-$E269)&lt;O270,SUM($G270:O270)-$E269,O270))</f>
        <v>0</v>
      </c>
      <c r="P386" s="405">
        <f ca="1">IF((SUM($G270:P270)-$E269)&lt;0,0,IF((SUM($G270:P270)-$E269)&lt;P270,SUM($G270:P270)-$E269,P270))</f>
        <v>0</v>
      </c>
      <c r="Q386" s="405">
        <f ca="1">IF((SUM($G270:Q270)-$E269)&lt;0,0,IF((SUM($G270:Q270)-$E269)&lt;Q270,SUM($G270:Q270)-$E269,Q270))</f>
        <v>0</v>
      </c>
      <c r="R386" s="405">
        <f ca="1">IF((SUM($G270:R270)-$E269)&lt;0,0,IF((SUM($G270:R270)-$E269)&lt;R270,SUM($G270:R270)-$E269,R270))</f>
        <v>0</v>
      </c>
      <c r="S386" s="405">
        <f ca="1">IF((SUM($G270:S270)-$E269)&lt;0,0,IF((SUM($G270:S270)-$E269)&lt;S270,SUM($G270:S270)-$E269,S270))</f>
        <v>0</v>
      </c>
      <c r="T386" s="405">
        <f ca="1">IF((SUM($G270:T270)-$E269)&lt;0,0,IF((SUM($G270:T270)-$E269)&lt;T270,SUM($G270:T270)-$E269,T270))</f>
        <v>0</v>
      </c>
      <c r="U386" s="405">
        <f ca="1">IF((SUM($G270:U270)-$E269)&lt;0,0,IF((SUM($G270:U270)-$E269)&lt;U270,SUM($G270:U270)-$E269,U270))</f>
        <v>0</v>
      </c>
      <c r="V386" s="405">
        <f ca="1">IF((SUM($G270:V270)-$E269)&lt;0,0,IF((SUM($G270:V270)-$E269)&lt;V270,SUM($G270:V270)-$E269,V270))</f>
        <v>0</v>
      </c>
      <c r="W386" s="405">
        <f ca="1">IF((SUM($G270:W270)-$E269)&lt;0,0,IF((SUM($G270:W270)-$E269)&lt;W270,SUM($G270:W270)-$E269,W270))</f>
        <v>0</v>
      </c>
      <c r="X386" s="405">
        <f ca="1">IF((SUM($G270:X270)-$E269)&lt;0,0,IF((SUM($G270:X270)-$E269)&lt;X270,SUM($G270:X270)-$E269,X270))</f>
        <v>0</v>
      </c>
      <c r="Y386" s="405">
        <f ca="1">IF((SUM($G270:Y270)-$E269)&lt;0,0,IF((SUM($G270:Y270)-$E269)&lt;Y270,SUM($G270:Y270)-$E269,Y270))</f>
        <v>0</v>
      </c>
      <c r="Z386" s="405">
        <f ca="1">IF((SUM($G270:Z270)-$E269)&lt;0,0,IF((SUM($G270:Z270)-$E269)&lt;Z270,SUM($G270:Z270)-$E269,Z270))</f>
        <v>0</v>
      </c>
      <c r="AA386" s="405">
        <f ca="1">IF((SUM($G270:AA270)-$E269)&lt;0,0,IF((SUM($G270:AA270)-$E269)&lt;AA270,SUM($G270:AA270)-$E269,AA270))</f>
        <v>0</v>
      </c>
      <c r="AB386" s="405">
        <f ca="1">IF((SUM($G270:AB270)-$E269)&lt;0,0,IF((SUM($G270:AB270)-$E269)&lt;AB270,SUM($G270:AB270)-$E269,AB270))</f>
        <v>0</v>
      </c>
      <c r="AC386" s="405">
        <f ca="1">IF((SUM($G270:AC270)-$E269)&lt;0,0,IF((SUM($G270:AC270)-$E269)&lt;AC270,SUM($G270:AC270)-$E269,AC270))</f>
        <v>0</v>
      </c>
      <c r="AD386" s="405">
        <f ca="1">IF((SUM($G270:AD270)-$E269)&lt;0,0,IF((SUM($G270:AD270)-$E269)&lt;AD270,SUM($G270:AD270)-$E269,AD270))</f>
        <v>0</v>
      </c>
      <c r="AE386" s="405">
        <f ca="1">IF((SUM($G270:AE270)-$E269)&lt;0,0,IF((SUM($G270:AE270)-$E269)&lt;AE270,SUM($G270:AE270)-$E269,AE270))</f>
        <v>0</v>
      </c>
      <c r="AF386" s="405">
        <f ca="1">IF((SUM($G270:AF270)-$E269)&lt;0,0,IF((SUM($G270:AF270)-$E269)&lt;AF270,SUM($G270:AF270)-$E269,AF270))</f>
        <v>0</v>
      </c>
      <c r="AG386" s="405">
        <f ca="1">IF((SUM($G270:AG270)-$E269)&lt;0,0,IF((SUM($G270:AG270)-$E269)&lt;AG270,SUM($G270:AG270)-$E269,AG270))</f>
        <v>0</v>
      </c>
      <c r="AH386" s="405">
        <f ca="1">IF((SUM($G270:AH270)-$E269)&lt;0,0,IF((SUM($G270:AH270)-$E269)&lt;AH270,SUM($G270:AH270)-$E269,AH270))</f>
        <v>0</v>
      </c>
      <c r="AI386" s="405">
        <f ca="1">IF((SUM($G270:AI270)-$E269)&lt;0,0,IF((SUM($G270:AI270)-$E269)&lt;AI270,SUM($G270:AI270)-$E269,AI270))</f>
        <v>0</v>
      </c>
      <c r="AJ386" s="405">
        <f ca="1">IF((SUM($G270:AJ270)-$E269)&lt;0,0,IF((SUM($G270:AJ270)-$E269)&lt;AJ270,SUM($G270:AJ270)-$E269,AJ270))</f>
        <v>0</v>
      </c>
      <c r="AK386" s="405">
        <f ca="1">IF((SUM($G270:AK270)-$E269)&lt;0,0,IF((SUM($G270:AK270)-$E269)&lt;AK270,SUM($G270:AK270)-$E269,AK270))</f>
        <v>0</v>
      </c>
      <c r="AL386" s="405">
        <f ca="1">IF((SUM($G270:AL270)-$E269)&lt;0,0,IF((SUM($G270:AL270)-$E269)&lt;AL270,SUM($G270:AL270)-$E269,AL270))</f>
        <v>0</v>
      </c>
      <c r="AM386" s="405">
        <f ca="1">IF((SUM($G270:AM270)-$E269)&lt;0,0,IF((SUM($G270:AM270)-$E269)&lt;AM270,SUM($G270:AM270)-$E269,AM270))</f>
        <v>0</v>
      </c>
      <c r="AN386" s="405">
        <f ca="1">IF((SUM($G270:AN270)-$E269)&lt;0,0,IF((SUM($G270:AN270)-$E269)&lt;AN270,SUM($G270:AN270)-$E269,AN270))</f>
        <v>0</v>
      </c>
      <c r="AO386" s="405">
        <f ca="1">IF((SUM($G270:AO270)-$E269)&lt;0,0,IF((SUM($G270:AO270)-$E269)&lt;AO270,SUM($G270:AO270)-$E269,AO270))</f>
        <v>0</v>
      </c>
      <c r="AP386" s="405">
        <f ca="1">IF((SUM($G270:AP270)-$E269)&lt;0,0,IF((SUM($G270:AP270)-$E269)&lt;AP270,SUM($G270:AP270)-$E269,AP270))</f>
        <v>0</v>
      </c>
      <c r="AQ386" s="405">
        <f ca="1">IF((SUM($G270:AQ270)-$E269)&lt;0,0,IF((SUM($G270:AQ270)-$E269)&lt;AQ270,SUM($G270:AQ270)-$E269,AQ270))</f>
        <v>0</v>
      </c>
      <c r="AR386" s="405">
        <f ca="1">IF((SUM($G270:AR270)-$E269)&lt;0,0,IF((SUM($G270:AR270)-$E269)&lt;AR270,SUM($G270:AR270)-$E269,AR270))</f>
        <v>0</v>
      </c>
      <c r="AS386" s="405">
        <f ca="1">IF((SUM($G270:AS270)-$E269)&lt;0,0,IF((SUM($G270:AS270)-$E269)&lt;AS270,SUM($G270:AS270)-$E269,AS270))</f>
        <v>0</v>
      </c>
      <c r="AT386" s="405">
        <f ca="1">IF((SUM($G270:AT270)-$E269)&lt;0,0,IF((SUM($G270:AT270)-$E269)&lt;AT270,SUM($G270:AT270)-$E269,AT270))</f>
        <v>0</v>
      </c>
      <c r="AU386" s="405">
        <f ca="1">IF((SUM($G270:AU270)-$E269)&lt;0,0,IF((SUM($G270:AU270)-$E269)&lt;AU270,SUM($G270:AU270)-$E269,AU270))</f>
        <v>0</v>
      </c>
      <c r="AV386" s="405">
        <f ca="1">IF((SUM($G270:AV270)-$E269)&lt;0,0,IF((SUM($G270:AV270)-$E269)&lt;AV270,SUM($G270:AV270)-$E269,AV270))</f>
        <v>0</v>
      </c>
      <c r="AW386" s="405">
        <f ca="1">IF((SUM($G270:AW270)-$E269)&lt;0,0,IF((SUM($G270:AW270)-$E269)&lt;AW270,SUM($G270:AW270)-$E269,AW270))</f>
        <v>0</v>
      </c>
      <c r="AX386" s="405">
        <f ca="1">IF((SUM($G270:AX270)-$E269)&lt;0,0,IF((SUM($G270:AX270)-$E269)&lt;AX270,SUM($G270:AX270)-$E269,AX270))</f>
        <v>0</v>
      </c>
      <c r="AY386" s="405">
        <f ca="1">IF((SUM($G270:AY270)-$E269)&lt;0,0,IF((SUM($G270:AY270)-$E269)&lt;AY270,SUM($G270:AY270)-$E269,AY270))</f>
        <v>0</v>
      </c>
      <c r="AZ386" s="405">
        <f ca="1">IF((SUM($G270:AZ270)-$E269)&lt;0,0,IF((SUM($G270:AZ270)-$E269)&lt;AZ270,SUM($G270:AZ270)-$E269,AZ270))</f>
        <v>0</v>
      </c>
      <c r="BA386" s="405">
        <f ca="1">IF((SUM($G270:BA270)-$E269)&lt;0,0,IF((SUM($G270:BA270)-$E269)&lt;BA270,SUM($G270:BA270)-$E269,BA270))</f>
        <v>5</v>
      </c>
      <c r="BB386" s="405">
        <f ca="1">IF((SUM($G270:BB270)-$E269)&lt;0,0,IF((SUM($G270:BB270)-$E269)&lt;BB270,SUM($G270:BB270)-$E269,BB270))</f>
        <v>28</v>
      </c>
      <c r="BC386" s="405">
        <f ca="1">IF((SUM($G270:BC270)-$E269)&lt;0,0,IF((SUM($G270:BC270)-$E269)&lt;BC270,SUM($G270:BC270)-$E269,BC270))</f>
        <v>31</v>
      </c>
      <c r="BD386" s="405">
        <f ca="1">IF((SUM($G270:BD270)-$E269)&lt;0,0,IF((SUM($G270:BD270)-$E269)&lt;BD270,SUM($G270:BD270)-$E269,BD270))</f>
        <v>30</v>
      </c>
      <c r="BE386" s="405">
        <f ca="1">IF((SUM($G270:BE270)-$E269)&lt;0,0,IF((SUM($G270:BE270)-$E269)&lt;BE270,SUM($G270:BE270)-$E269,BE270))</f>
        <v>31</v>
      </c>
      <c r="BF386" s="405">
        <f ca="1">IF((SUM($G270:BF270)-$E269)&lt;0,0,IF((SUM($G270:BF270)-$E269)&lt;BF270,SUM($G270:BF270)-$E269,BF270))</f>
        <v>30</v>
      </c>
      <c r="BG386" s="405">
        <f ca="1">IF((SUM($G270:BG270)-$E269)&lt;0,0,IF((SUM($G270:BG270)-$E269)&lt;BG270,SUM($G270:BG270)-$E269,BG270))</f>
        <v>31</v>
      </c>
      <c r="BH386" s="405">
        <f ca="1">IF((SUM($G270:BH270)-$E269)&lt;0,0,IF((SUM($G270:BH270)-$E269)&lt;BH270,SUM($G270:BH270)-$E269,BH270))</f>
        <v>31</v>
      </c>
      <c r="BI386" s="405">
        <f ca="1">IF((SUM($G270:BI270)-$E269)&lt;0,0,IF((SUM($G270:BI270)-$E269)&lt;BI270,SUM($G270:BI270)-$E269,BI270))</f>
        <v>30</v>
      </c>
      <c r="BJ386" s="405">
        <f ca="1">IF((SUM($G270:BJ270)-$E269)&lt;0,0,IF((SUM($G270:BJ270)-$E269)&lt;BJ270,SUM($G270:BJ270)-$E269,BJ270))</f>
        <v>31</v>
      </c>
      <c r="BK386" s="405">
        <f ca="1">IF((SUM($G270:BK270)-$E269)&lt;0,0,IF((SUM($G270:BK270)-$E269)&lt;BK270,SUM($G270:BK270)-$E269,BK270))</f>
        <v>30</v>
      </c>
      <c r="BL386" s="405">
        <f ca="1">IF((SUM($G270:BL270)-$E269)&lt;0,0,IF((SUM($G270:BL270)-$E269)&lt;BL270,SUM($G270:BL270)-$E269,BL270))</f>
        <v>31</v>
      </c>
      <c r="BM386" s="405">
        <f ca="1">IF((SUM($G270:BM270)-$E269)&lt;0,0,IF((SUM($G270:BM270)-$E269)&lt;BM270,SUM($G270:BM270)-$E269,BM270))</f>
        <v>31</v>
      </c>
      <c r="BN386" s="405">
        <f ca="1">IF((SUM($G270:BN270)-$E269)&lt;0,0,IF((SUM($G270:BN270)-$E269)&lt;BN270,SUM($G270:BN270)-$E269,BN270))</f>
        <v>29</v>
      </c>
      <c r="BO386" s="405">
        <f ca="1">IF((SUM($G270:BO270)-$E269)&lt;0,0,IF((SUM($G270:BO270)-$E269)&lt;BO270,SUM($G270:BO270)-$E269,BO270))</f>
        <v>31</v>
      </c>
      <c r="BP386" s="405">
        <f ca="1">IF((SUM($G270:BP270)-$E269)&lt;0,0,IF((SUM($G270:BP270)-$E269)&lt;BP270,SUM($G270:BP270)-$E269,BP270))</f>
        <v>30</v>
      </c>
      <c r="BQ386" s="405">
        <f ca="1">IF((SUM($G270:BQ270)-$E269)&lt;0,0,IF((SUM($G270:BQ270)-$E269)&lt;BQ270,SUM($G270:BQ270)-$E269,BQ270))</f>
        <v>31</v>
      </c>
      <c r="BR386" s="405">
        <f ca="1">IF((SUM($G270:BR270)-$E269)&lt;0,0,IF((SUM($G270:BR270)-$E269)&lt;BR270,SUM($G270:BR270)-$E269,BR270))</f>
        <v>30</v>
      </c>
      <c r="BS386" s="405">
        <f ca="1">IF((SUM($G270:BS270)-$E269)&lt;0,0,IF((SUM($G270:BS270)-$E269)&lt;BS270,SUM($G270:BS270)-$E269,BS270))</f>
        <v>31</v>
      </c>
      <c r="BT386" s="405">
        <f ca="1">IF((SUM($G270:BT270)-$E269)&lt;0,0,IF((SUM($G270:BT270)-$E269)&lt;BT270,SUM($G270:BT270)-$E269,BT270))</f>
        <v>31</v>
      </c>
      <c r="BU386" s="405">
        <f ca="1">IF((SUM($G270:BU270)-$E269)&lt;0,0,IF((SUM($G270:BU270)-$E269)&lt;BU270,SUM($G270:BU270)-$E269,BU270))</f>
        <v>30</v>
      </c>
      <c r="BV386" s="405">
        <f ca="1">IF((SUM($G270:BV270)-$E269)&lt;0,0,IF((SUM($G270:BV270)-$E269)&lt;BV270,SUM($G270:BV270)-$E269,BV270))</f>
        <v>31</v>
      </c>
      <c r="BW386" s="405">
        <f ca="1">IF((SUM($G270:BW270)-$E269)&lt;0,0,IF((SUM($G270:BW270)-$E269)&lt;BW270,SUM($G270:BW270)-$E269,BW270))</f>
        <v>30</v>
      </c>
      <c r="BX386" s="405">
        <f ca="1">IF((SUM($G270:BX270)-$E269)&lt;0,0,IF((SUM($G270:BX270)-$E269)&lt;BX270,SUM($G270:BX270)-$E269,BX270))</f>
        <v>31</v>
      </c>
      <c r="BY386" s="405">
        <f ca="1">IF((SUM($G270:BY270)-$E269)&lt;0,0,IF((SUM($G270:BY270)-$E269)&lt;BY270,SUM($G270:BY270)-$E269,BY270))</f>
        <v>31</v>
      </c>
      <c r="BZ386" s="405">
        <f ca="1">IF((SUM($G270:BZ270)-$E269)&lt;0,0,IF((SUM($G270:BZ270)-$E269)&lt;BZ270,SUM($G270:BZ270)-$E269,BZ270))</f>
        <v>28</v>
      </c>
      <c r="CA386" s="405">
        <f ca="1">IF((SUM($G270:CA270)-$E269)&lt;0,0,IF((SUM($G270:CA270)-$E269)&lt;CA270,SUM($G270:CA270)-$E269,CA270))</f>
        <v>31</v>
      </c>
      <c r="CB386" s="405">
        <f ca="1">IF((SUM($G270:CB270)-$E269)&lt;0,0,IF((SUM($G270:CB270)-$E269)&lt;CB270,SUM($G270:CB270)-$E269,CB270))</f>
        <v>30</v>
      </c>
      <c r="CC386" s="405">
        <f ca="1">IF((SUM($G270:CC270)-$E269)&lt;0,0,IF((SUM($G270:CC270)-$E269)&lt;CC270,SUM($G270:CC270)-$E269,CC270))</f>
        <v>31</v>
      </c>
      <c r="CD386" s="405">
        <f ca="1">IF((SUM($G270:CD270)-$E269)&lt;0,0,IF((SUM($G270:CD270)-$E269)&lt;CD270,SUM($G270:CD270)-$E269,CD270))</f>
        <v>30</v>
      </c>
      <c r="CE386" s="405">
        <f ca="1">IF((SUM($G270:CE270)-$E269)&lt;0,0,IF((SUM($G270:CE270)-$E269)&lt;CE270,SUM($G270:CE270)-$E269,CE270))</f>
        <v>31</v>
      </c>
      <c r="CF386" s="405">
        <f ca="1">IF((SUM($G270:CF270)-$E269)&lt;0,0,IF((SUM($G270:CF270)-$E269)&lt;CF270,SUM($G270:CF270)-$E269,CF270))</f>
        <v>31</v>
      </c>
      <c r="CG386" s="405">
        <f ca="1">IF((SUM($G270:CG270)-$E269)&lt;0,0,IF((SUM($G270:CG270)-$E269)&lt;CG270,SUM($G270:CG270)-$E269,CG270))</f>
        <v>30</v>
      </c>
      <c r="CH386" s="405">
        <f ca="1">IF((SUM($G270:CH270)-$E269)&lt;0,0,IF((SUM($G270:CH270)-$E269)&lt;CH270,SUM($G270:CH270)-$E269,CH270))</f>
        <v>31</v>
      </c>
      <c r="CI386" s="405">
        <f ca="1">IF((SUM($G270:CI270)-$E269)&lt;0,0,IF((SUM($G270:CI270)-$E269)&lt;CI270,SUM($G270:CI270)-$E269,CI270))</f>
        <v>30</v>
      </c>
      <c r="CJ386" s="405">
        <f ca="1">IF((SUM($G270:CJ270)-$E269)&lt;0,0,IF((SUM($G270:CJ270)-$E269)&lt;CJ270,SUM($G270:CJ270)-$E269,CJ270))</f>
        <v>31</v>
      </c>
      <c r="CK386" s="405">
        <f ca="1">IF((SUM($G270:CK270)-$E269)&lt;0,0,IF((SUM($G270:CK270)-$E269)&lt;CK270,SUM($G270:CK270)-$E269,CK270))</f>
        <v>31</v>
      </c>
      <c r="CL386" s="405">
        <f ca="1">IF((SUM($G270:CL270)-$E269)&lt;0,0,IF((SUM($G270:CL270)-$E269)&lt;CL270,SUM($G270:CL270)-$E269,CL270))</f>
        <v>28</v>
      </c>
      <c r="CM386" s="405">
        <f ca="1">IF((SUM($G270:CM270)-$E269)&lt;0,0,IF((SUM($G270:CM270)-$E269)&lt;CM270,SUM($G270:CM270)-$E269,CM270))</f>
        <v>31</v>
      </c>
      <c r="CN386" s="405">
        <f ca="1">IF((SUM($G270:CN270)-$E269)&lt;0,0,IF((SUM($G270:CN270)-$E269)&lt;CN270,SUM($G270:CN270)-$E269,CN270))</f>
        <v>30</v>
      </c>
      <c r="CO386" s="405">
        <f ca="1">IF((SUM($G270:CO270)-$E269)&lt;0,0,IF((SUM($G270:CO270)-$E269)&lt;CO270,SUM($G270:CO270)-$E269,CO270))</f>
        <v>31</v>
      </c>
      <c r="CP386" s="405">
        <f ca="1">IF((SUM($G270:CP270)-$E269)&lt;0,0,IF((SUM($G270:CP270)-$E269)&lt;CP270,SUM($G270:CP270)-$E269,CP270))</f>
        <v>30</v>
      </c>
      <c r="CQ386" s="405">
        <f ca="1">IF((SUM($G270:CQ270)-$E269)&lt;0,0,IF((SUM($G270:CQ270)-$E269)&lt;CQ270,SUM($G270:CQ270)-$E269,CQ270))</f>
        <v>31</v>
      </c>
      <c r="CR386" s="405">
        <f ca="1">IF((SUM($G270:CR270)-$E269)&lt;0,0,IF((SUM($G270:CR270)-$E269)&lt;CR270,SUM($G270:CR270)-$E269,CR270))</f>
        <v>31</v>
      </c>
      <c r="CS386" s="405">
        <f ca="1">IF((SUM($G270:CS270)-$E269)&lt;0,0,IF((SUM($G270:CS270)-$E269)&lt;CS270,SUM($G270:CS270)-$E269,CS270))</f>
        <v>30</v>
      </c>
      <c r="CT386" s="405">
        <f ca="1">IF((SUM($G270:CT270)-$E269)&lt;0,0,IF((SUM($G270:CT270)-$E269)&lt;CT270,SUM($G270:CT270)-$E269,CT270))</f>
        <v>31</v>
      </c>
      <c r="CU386" s="405">
        <f ca="1">IF((SUM($G270:CU270)-$E269)&lt;0,0,IF((SUM($G270:CU270)-$E269)&lt;CU270,SUM($G270:CU270)-$E269,CU270))</f>
        <v>30</v>
      </c>
      <c r="CV386" s="405">
        <f ca="1">IF((SUM($G270:CV270)-$E269)&lt;0,0,IF((SUM($G270:CV270)-$E269)&lt;CV270,SUM($G270:CV270)-$E269,CV270))</f>
        <v>31</v>
      </c>
      <c r="CW386" s="405">
        <f ca="1">IF((SUM($G270:CW270)-$E269)&lt;0,0,IF((SUM($G270:CW270)-$E269)&lt;CW270,SUM($G270:CW270)-$E269,CW270))</f>
        <v>31</v>
      </c>
      <c r="CX386" s="405">
        <f ca="1">IF((SUM($G270:CX270)-$E269)&lt;0,0,IF((SUM($G270:CX270)-$E269)&lt;CX270,SUM($G270:CX270)-$E269,CX270))</f>
        <v>28</v>
      </c>
      <c r="CY386" s="405">
        <f ca="1">IF((SUM($G270:CY270)-$E269)&lt;0,0,IF((SUM($G270:CY270)-$E269)&lt;CY270,SUM($G270:CY270)-$E269,CY270))</f>
        <v>31</v>
      </c>
      <c r="CZ386" s="405">
        <f ca="1">IF((SUM($G270:CZ270)-$E269)&lt;0,0,IF((SUM($G270:CZ270)-$E269)&lt;CZ270,SUM($G270:CZ270)-$E269,CZ270))</f>
        <v>30</v>
      </c>
      <c r="DA386" s="405">
        <f ca="1">IF((SUM($G270:DA270)-$E269)&lt;0,0,IF((SUM($G270:DA270)-$E269)&lt;DA270,SUM($G270:DA270)-$E269,DA270))</f>
        <v>31</v>
      </c>
      <c r="DB386" s="405">
        <f ca="1">IF((SUM($G270:DB270)-$E269)&lt;0,0,IF((SUM($G270:DB270)-$E269)&lt;DB270,SUM($G270:DB270)-$E269,DB270))</f>
        <v>30</v>
      </c>
      <c r="DC386" s="405">
        <f ca="1">IF((SUM($G270:DC270)-$E269)&lt;0,0,IF((SUM($G270:DC270)-$E269)&lt;DC270,SUM($G270:DC270)-$E269,DC270))</f>
        <v>31</v>
      </c>
      <c r="DD386" s="405">
        <f ca="1">IF((SUM($G270:DD270)-$E269)&lt;0,0,IF((SUM($G270:DD270)-$E269)&lt;DD270,SUM($G270:DD270)-$E269,DD270))</f>
        <v>31</v>
      </c>
      <c r="DE386" s="405">
        <f ca="1">IF((SUM($G270:DE270)-$E269)&lt;0,0,IF((SUM($G270:DE270)-$E269)&lt;DE270,SUM($G270:DE270)-$E269,DE270))</f>
        <v>30</v>
      </c>
      <c r="DF386" s="405">
        <f ca="1">IF((SUM($G270:DF270)-$E269)&lt;0,0,IF((SUM($G270:DF270)-$E269)&lt;DF270,SUM($G270:DF270)-$E269,DF270))</f>
        <v>31</v>
      </c>
      <c r="DG386" s="405">
        <f ca="1">IF((SUM($G270:DG270)-$E269)&lt;0,0,IF((SUM($G270:DG270)-$E269)&lt;DG270,SUM($G270:DG270)-$E269,DG270))</f>
        <v>30</v>
      </c>
      <c r="DH386" s="405">
        <f ca="1">IF((SUM($G270:DH270)-$E269)&lt;0,0,IF((SUM($G270:DH270)-$E269)&lt;DH270,SUM($G270:DH270)-$E269,DH270))</f>
        <v>31</v>
      </c>
      <c r="DI386" s="405">
        <f ca="1">IF((SUM($G270:DI270)-$E269)&lt;0,0,IF((SUM($G270:DI270)-$E269)&lt;DI270,SUM($G270:DI270)-$E269,DI270))</f>
        <v>31</v>
      </c>
      <c r="DJ386" s="405">
        <f ca="1">IF((SUM($G270:DJ270)-$E269)&lt;0,0,IF((SUM($G270:DJ270)-$E269)&lt;DJ270,SUM($G270:DJ270)-$E269,DJ270))</f>
        <v>29</v>
      </c>
      <c r="DK386" s="405">
        <f ca="1">IF((SUM($G270:DK270)-$E269)&lt;0,0,IF((SUM($G270:DK270)-$E269)&lt;DK270,SUM($G270:DK270)-$E269,DK270))</f>
        <v>31</v>
      </c>
      <c r="DL386" s="405">
        <f ca="1">IF((SUM($G270:DL270)-$E269)&lt;0,0,IF((SUM($G270:DL270)-$E269)&lt;DL270,SUM($G270:DL270)-$E269,DL270))</f>
        <v>30</v>
      </c>
      <c r="DM386" s="405">
        <f ca="1">IF((SUM($G270:DM270)-$E269)&lt;0,0,IF((SUM($G270:DM270)-$E269)&lt;DM270,SUM($G270:DM270)-$E269,DM270))</f>
        <v>31</v>
      </c>
      <c r="DN386" s="405">
        <f ca="1">IF((SUM($G270:DN270)-$E269)&lt;0,0,IF((SUM($G270:DN270)-$E269)&lt;DN270,SUM($G270:DN270)-$E269,DN270))</f>
        <v>30</v>
      </c>
      <c r="DO386" s="405">
        <f ca="1">IF((SUM($G270:DO270)-$E269)&lt;0,0,IF((SUM($G270:DO270)-$E269)&lt;DO270,SUM($G270:DO270)-$E269,DO270))</f>
        <v>31</v>
      </c>
      <c r="DP386" s="405">
        <f ca="1">IF((SUM($G270:DP270)-$E269)&lt;0,0,IF((SUM($G270:DP270)-$E269)&lt;DP270,SUM($G270:DP270)-$E269,DP270))</f>
        <v>31</v>
      </c>
      <c r="DQ386" s="405">
        <f ca="1">IF((SUM($G270:DQ270)-$E269)&lt;0,0,IF((SUM($G270:DQ270)-$E269)&lt;DQ270,SUM($G270:DQ270)-$E269,DQ270))</f>
        <v>30</v>
      </c>
      <c r="DR386" s="405">
        <f ca="1">IF((SUM($G270:DR270)-$E269)&lt;0,0,IF((SUM($G270:DR270)-$E269)&lt;DR270,SUM($G270:DR270)-$E269,DR270))</f>
        <v>31</v>
      </c>
      <c r="DS386" s="405">
        <f ca="1">IF((SUM($G270:DS270)-$E269)&lt;0,0,IF((SUM($G270:DS270)-$E269)&lt;DS270,SUM($G270:DS270)-$E269,DS270))</f>
        <v>30</v>
      </c>
      <c r="DT386" s="405">
        <f ca="1">IF((SUM($G270:DT270)-$E269)&lt;0,0,IF((SUM($G270:DT270)-$E269)&lt;DT270,SUM($G270:DT270)-$E269,DT270))</f>
        <v>31</v>
      </c>
      <c r="DU386" s="405">
        <f ca="1">IF((SUM($G270:DU270)-$E269)&lt;0,0,IF((SUM($G270:DU270)-$E269)&lt;DU270,SUM($G270:DU270)-$E269,DU270))</f>
        <v>31</v>
      </c>
      <c r="DV386" s="405">
        <f ca="1">IF((SUM($G270:DV270)-$E269)&lt;0,0,IF((SUM($G270:DV270)-$E269)&lt;DV270,SUM($G270:DV270)-$E269,DV270))</f>
        <v>28</v>
      </c>
      <c r="DW386" s="405">
        <f ca="1">IF((SUM($G270:DW270)-$E269)&lt;0,0,IF((SUM($G270:DW270)-$E269)&lt;DW270,SUM($G270:DW270)-$E269,DW270))</f>
        <v>31</v>
      </c>
      <c r="DX386" s="405">
        <f ca="1">IF((SUM($G270:DX270)-$E269)&lt;0,0,IF((SUM($G270:DX270)-$E269)&lt;DX270,SUM($G270:DX270)-$E269,DX270))</f>
        <v>30</v>
      </c>
      <c r="DY386" s="405">
        <f ca="1">IF((SUM($G270:DY270)-$E269)&lt;0,0,IF((SUM($G270:DY270)-$E269)&lt;DY270,SUM($G270:DY270)-$E269,DY270))</f>
        <v>31</v>
      </c>
      <c r="DZ386" s="405">
        <f ca="1">IF((SUM($G270:DZ270)-$E269)&lt;0,0,IF((SUM($G270:DZ270)-$E269)&lt;DZ270,SUM($G270:DZ270)-$E269,DZ270))</f>
        <v>30</v>
      </c>
      <c r="EA386" s="405">
        <f ca="1">IF((SUM($G270:EA270)-$E269)&lt;0,0,IF((SUM($G270:EA270)-$E269)&lt;EA270,SUM($G270:EA270)-$E269,EA270))</f>
        <v>31</v>
      </c>
      <c r="EB386" s="405">
        <f ca="1">IF((SUM($G270:EB270)-$E269)&lt;0,0,IF((SUM($G270:EB270)-$E269)&lt;EB270,SUM($G270:EB270)-$E269,EB270))</f>
        <v>31</v>
      </c>
      <c r="EC386" s="405">
        <f ca="1">IF((SUM($G270:EC270)-$E269)&lt;0,0,IF((SUM($G270:EC270)-$E269)&lt;EC270,SUM($G270:EC270)-$E269,EC270))</f>
        <v>30</v>
      </c>
      <c r="ED386" s="405">
        <f ca="1">IF((SUM($G270:ED270)-$E269)&lt;0,0,IF((SUM($G270:ED270)-$E269)&lt;ED270,SUM($G270:ED270)-$E269,ED270))</f>
        <v>31</v>
      </c>
      <c r="EE386" s="405">
        <f ca="1">IF((SUM($G270:EE270)-$E269)&lt;0,0,IF((SUM($G270:EE270)-$E269)&lt;EE270,SUM($G270:EE270)-$E269,EE270))</f>
        <v>30</v>
      </c>
      <c r="EF386" s="405">
        <f ca="1">IF((SUM($G270:EF270)-$E269)&lt;0,0,IF((SUM($G270:EF270)-$E269)&lt;EF270,SUM($G270:EF270)-$E269,EF270))</f>
        <v>31</v>
      </c>
      <c r="EG386" s="405">
        <f ca="1">IF((SUM($G270:EG270)-$E269)&lt;0,0,IF((SUM($G270:EG270)-$E269)&lt;EG270,SUM($G270:EG270)-$E269,EG270))</f>
        <v>31</v>
      </c>
      <c r="EH386" s="405">
        <f ca="1">IF((SUM($G270:EH270)-$E269)&lt;0,0,IF((SUM($G270:EH270)-$E269)&lt;EH270,SUM($G270:EH270)-$E269,EH270))</f>
        <v>28</v>
      </c>
      <c r="EI386" s="405">
        <f ca="1">IF((SUM($G270:EI270)-$E269)&lt;0,0,IF((SUM($G270:EI270)-$E269)&lt;EI270,SUM($G270:EI270)-$E269,EI270))</f>
        <v>31</v>
      </c>
    </row>
    <row r="387" spans="1:141" hidden="1" outlineLevel="2">
      <c r="A387" s="332"/>
      <c r="D387" s="305" t="s">
        <v>670</v>
      </c>
      <c r="E387" s="403">
        <f ca="1">MIN(G387:EI387)</f>
        <v>46388</v>
      </c>
      <c r="F387" s="404">
        <f ca="1">MAX(G387:EI387)</f>
        <v>46388</v>
      </c>
      <c r="G387" s="403" t="str">
        <f ca="1">IF(G385=0,"",IF(SUM($G385:G385)&gt;=1,OFFSET(G$228,-1,0),""))</f>
        <v/>
      </c>
      <c r="H387" s="403" t="str">
        <f ca="1">IF(SUM($G387:G387)&gt;=1,"",IF(H385=0,"",IF(SUM($G385:H385)&gt;=1,OFFSET(H$228,-1,0),"")))</f>
        <v/>
      </c>
      <c r="I387" s="403" t="str">
        <f ca="1">IF(SUM($G387:H387)&gt;=1,"",IF(I385=0,"",IF(SUM($G385:I385)&gt;=1,OFFSET(I$228,-1,0),"")))</f>
        <v/>
      </c>
      <c r="J387" s="403" t="str">
        <f ca="1">IF(SUM($G387:I387)&gt;=1,"",IF(J385=0,"",IF(SUM($G385:J385)&gt;=1,OFFSET(J$228,-1,0),"")))</f>
        <v/>
      </c>
      <c r="K387" s="403" t="str">
        <f ca="1">IF(SUM($G387:J387)&gt;=1,"",IF(K385=0,"",IF(SUM($G385:K385)&gt;=1,OFFSET(K$228,-1,0),"")))</f>
        <v/>
      </c>
      <c r="L387" s="403" t="str">
        <f ca="1">IF(SUM($G387:K387)&gt;=1,"",IF(L385=0,"",IF(SUM($G385:L385)&gt;=1,OFFSET(L$228,-1,0),"")))</f>
        <v/>
      </c>
      <c r="M387" s="403" t="str">
        <f ca="1">IF(SUM($G387:L387)&gt;=1,"",IF(M385=0,"",IF(SUM($G385:M385)&gt;=1,OFFSET(M$228,-1,0),"")))</f>
        <v/>
      </c>
      <c r="N387" s="403" t="str">
        <f ca="1">IF(SUM($G387:M387)&gt;=1,"",IF(N385=0,"",IF(SUM($G385:N385)&gt;=1,OFFSET(N$228,-1,0),"")))</f>
        <v/>
      </c>
      <c r="O387" s="403" t="str">
        <f ca="1">IF(SUM($G387:N387)&gt;=1,"",IF(O385=0,"",IF(SUM($G385:O385)&gt;=1,OFFSET(O$228,-1,0),"")))</f>
        <v/>
      </c>
      <c r="P387" s="403" t="str">
        <f ca="1">IF(SUM($G387:O387)&gt;=1,"",IF(P385=0,"",IF(SUM($G385:P385)&gt;=1,OFFSET(P$228,-1,0),"")))</f>
        <v/>
      </c>
      <c r="Q387" s="403" t="str">
        <f ca="1">IF(SUM($G387:P387)&gt;=1,"",IF(Q385=0,"",IF(SUM($G385:Q385)&gt;=1,OFFSET(Q$228,-1,0),"")))</f>
        <v/>
      </c>
      <c r="R387" s="403" t="str">
        <f ca="1">IF(SUM($G387:Q387)&gt;=1,"",IF(R385=0,"",IF(SUM($G385:R385)&gt;=1,OFFSET(R$228,-1,0),"")))</f>
        <v/>
      </c>
      <c r="S387" s="403" t="str">
        <f ca="1">IF(SUM($G387:R387)&gt;=1,"",IF(S385=0,"",IF(SUM($G385:S385)&gt;=1,OFFSET(S$228,-1,0),"")))</f>
        <v/>
      </c>
      <c r="T387" s="403" t="str">
        <f ca="1">IF(SUM($G387:S387)&gt;=1,"",IF(T385=0,"",IF(SUM($G385:T385)&gt;=1,OFFSET(T$228,-1,0),"")))</f>
        <v/>
      </c>
      <c r="U387" s="403" t="str">
        <f ca="1">IF(SUM($G387:T387)&gt;=1,"",IF(U385=0,"",IF(SUM($G385:U385)&gt;=1,OFFSET(U$228,-1,0),"")))</f>
        <v/>
      </c>
      <c r="V387" s="403" t="str">
        <f ca="1">IF(SUM($G387:U387)&gt;=1,"",IF(V385=0,"",IF(SUM($G385:V385)&gt;=1,OFFSET(V$228,-1,0),"")))</f>
        <v/>
      </c>
      <c r="W387" s="403" t="str">
        <f ca="1">IF(SUM($G387:V387)&gt;=1,"",IF(W385=0,"",IF(SUM($G385:W385)&gt;=1,OFFSET(W$228,-1,0),"")))</f>
        <v/>
      </c>
      <c r="X387" s="403" t="str">
        <f ca="1">IF(SUM($G387:W387)&gt;=1,"",IF(X385=0,"",IF(SUM($G385:X385)&gt;=1,OFFSET(X$228,-1,0),"")))</f>
        <v/>
      </c>
      <c r="Y387" s="403" t="str">
        <f ca="1">IF(SUM($G387:X387)&gt;=1,"",IF(Y385=0,"",IF(SUM($G385:Y385)&gt;=1,OFFSET(Y$228,-1,0),"")))</f>
        <v/>
      </c>
      <c r="Z387" s="403" t="str">
        <f ca="1">IF(SUM($G387:Y387)&gt;=1,"",IF(Z385=0,"",IF(SUM($G385:Z385)&gt;=1,OFFSET(Z$228,-1,0),"")))</f>
        <v/>
      </c>
      <c r="AA387" s="403" t="str">
        <f ca="1">IF(SUM($G387:Z387)&gt;=1,"",IF(AA385=0,"",IF(SUM($G385:AA385)&gt;=1,OFFSET(AA$228,-1,0),"")))</f>
        <v/>
      </c>
      <c r="AB387" s="403" t="str">
        <f ca="1">IF(SUM($G387:AA387)&gt;=1,"",IF(AB385=0,"",IF(SUM($G385:AB385)&gt;=1,OFFSET(AB$228,-1,0),"")))</f>
        <v/>
      </c>
      <c r="AC387" s="403" t="str">
        <f ca="1">IF(SUM($G387:AB387)&gt;=1,"",IF(AC385=0,"",IF(SUM($G385:AC385)&gt;=1,OFFSET(AC$228,-1,0),"")))</f>
        <v/>
      </c>
      <c r="AD387" s="403" t="str">
        <f ca="1">IF(SUM($G387:AC387)&gt;=1,"",IF(AD385=0,"",IF(SUM($G385:AD385)&gt;=1,OFFSET(AD$228,-1,0),"")))</f>
        <v/>
      </c>
      <c r="AE387" s="403" t="str">
        <f ca="1">IF(SUM($G387:AD387)&gt;=1,"",IF(AE385=0,"",IF(SUM($G385:AE385)&gt;=1,OFFSET(AE$228,-1,0),"")))</f>
        <v/>
      </c>
      <c r="AF387" s="403" t="str">
        <f ca="1">IF(SUM($G387:AE387)&gt;=1,"",IF(AF385=0,"",IF(SUM($G385:AF385)&gt;=1,OFFSET(AF$228,-1,0),"")))</f>
        <v/>
      </c>
      <c r="AG387" s="403" t="str">
        <f ca="1">IF(SUM($G387:AF387)&gt;=1,"",IF(AG385=0,"",IF(SUM($G385:AG385)&gt;=1,OFFSET(AG$228,-1,0),"")))</f>
        <v/>
      </c>
      <c r="AH387" s="403" t="str">
        <f ca="1">IF(SUM($G387:AG387)&gt;=1,"",IF(AH385=0,"",IF(SUM($G385:AH385)&gt;=1,OFFSET(AH$228,-1,0),"")))</f>
        <v/>
      </c>
      <c r="AI387" s="403" t="str">
        <f ca="1">IF(SUM($G387:AH387)&gt;=1,"",IF(AI385=0,"",IF(SUM($G385:AI385)&gt;=1,OFFSET(AI$228,-1,0),"")))</f>
        <v/>
      </c>
      <c r="AJ387" s="403" t="str">
        <f ca="1">IF(SUM($G387:AI387)&gt;=1,"",IF(AJ385=0,"",IF(SUM($G385:AJ385)&gt;=1,OFFSET(AJ$228,-1,0),"")))</f>
        <v/>
      </c>
      <c r="AK387" s="403" t="str">
        <f ca="1">IF(SUM($G387:AJ387)&gt;=1,"",IF(AK385=0,"",IF(SUM($G385:AK385)&gt;=1,OFFSET(AK$228,-1,0),"")))</f>
        <v/>
      </c>
      <c r="AL387" s="403" t="str">
        <f ca="1">IF(SUM($G387:AK387)&gt;=1,"",IF(AL385=0,"",IF(SUM($G385:AL385)&gt;=1,OFFSET(AL$228,-1,0),"")))</f>
        <v/>
      </c>
      <c r="AM387" s="403" t="str">
        <f ca="1">IF(SUM($G387:AL387)&gt;=1,"",IF(AM385=0,"",IF(SUM($G385:AM385)&gt;=1,OFFSET(AM$228,-1,0),"")))</f>
        <v/>
      </c>
      <c r="AN387" s="403" t="str">
        <f ca="1">IF(SUM($G387:AM387)&gt;=1,"",IF(AN385=0,"",IF(SUM($G385:AN385)&gt;=1,OFFSET(AN$228,-1,0),"")))</f>
        <v/>
      </c>
      <c r="AO387" s="403" t="str">
        <f ca="1">IF(SUM($G387:AN387)&gt;=1,"",IF(AO385=0,"",IF(SUM($G385:AO385)&gt;=1,OFFSET(AO$228,-1,0),"")))</f>
        <v/>
      </c>
      <c r="AP387" s="403" t="str">
        <f ca="1">IF(SUM($G387:AO387)&gt;=1,"",IF(AP385=0,"",IF(SUM($G385:AP385)&gt;=1,OFFSET(AP$228,-1,0),"")))</f>
        <v/>
      </c>
      <c r="AQ387" s="403" t="str">
        <f ca="1">IF(SUM($G387:AP387)&gt;=1,"",IF(AQ385=0,"",IF(SUM($G385:AQ385)&gt;=1,OFFSET(AQ$228,-1,0),"")))</f>
        <v/>
      </c>
      <c r="AR387" s="403" t="str">
        <f ca="1">IF(SUM($G387:AQ387)&gt;=1,"",IF(AR385=0,"",IF(SUM($G385:AR385)&gt;=1,OFFSET(AR$228,-1,0),"")))</f>
        <v/>
      </c>
      <c r="AS387" s="403" t="str">
        <f ca="1">IF(SUM($G387:AR387)&gt;=1,"",IF(AS385=0,"",IF(SUM($G385:AS385)&gt;=1,OFFSET(AS$228,-1,0),"")))</f>
        <v/>
      </c>
      <c r="AT387" s="403" t="str">
        <f ca="1">IF(SUM($G387:AS387)&gt;=1,"",IF(AT385=0,"",IF(SUM($G385:AT385)&gt;=1,OFFSET(AT$228,-1,0),"")))</f>
        <v/>
      </c>
      <c r="AU387" s="403" t="str">
        <f ca="1">IF(SUM($G387:AT387)&gt;=1,"",IF(AU385=0,"",IF(SUM($G385:AU385)&gt;=1,OFFSET(AU$228,-1,0),"")))</f>
        <v/>
      </c>
      <c r="AV387" s="403" t="str">
        <f ca="1">IF(SUM($G387:AU387)&gt;=1,"",IF(AV385=0,"",IF(SUM($G385:AV385)&gt;=1,OFFSET(AV$228,-1,0),"")))</f>
        <v/>
      </c>
      <c r="AW387" s="403" t="str">
        <f ca="1">IF(SUM($G387:AV387)&gt;=1,"",IF(AW385=0,"",IF(SUM($G385:AW385)&gt;=1,OFFSET(AW$228,-1,0),"")))</f>
        <v/>
      </c>
      <c r="AX387" s="403" t="str">
        <f ca="1">IF(SUM($G387:AW387)&gt;=1,"",IF(AX385=0,"",IF(SUM($G385:AX385)&gt;=1,OFFSET(AX$228,-1,0),"")))</f>
        <v/>
      </c>
      <c r="AY387" s="403" t="str">
        <f ca="1">IF(SUM($G387:AX387)&gt;=1,"",IF(AY385=0,"",IF(SUM($G385:AY385)&gt;=1,OFFSET(AY$228,-1,0),"")))</f>
        <v/>
      </c>
      <c r="AZ387" s="403" t="str">
        <f ca="1">IF(SUM($G387:AY387)&gt;=1,"",IF(AZ385=0,"",IF(SUM($G385:AZ385)&gt;=1,OFFSET(AZ$228,-1,0),"")))</f>
        <v/>
      </c>
      <c r="BA387" s="403">
        <f ca="1">IF(SUM($G387:AZ387)&gt;=1,"",IF(BA385=0,"",IF(SUM($G385:BA385)&gt;=1,OFFSET(BA$228,-1,0),"")))</f>
        <v>46388</v>
      </c>
      <c r="BB387" s="403" t="str">
        <f ca="1">IF(SUM($G387:BA387)&gt;=1,"",IF(BB385=0,"",IF(SUM($G385:BB385)&gt;=1,OFFSET(BB$228,-1,0),"")))</f>
        <v/>
      </c>
      <c r="BC387" s="403" t="str">
        <f ca="1">IF(SUM($G387:BB387)&gt;=1,"",IF(BC385=0,"",IF(SUM($G385:BC385)&gt;=1,OFFSET(BC$228,-1,0),"")))</f>
        <v/>
      </c>
      <c r="BD387" s="403" t="str">
        <f ca="1">IF(SUM($G387:BC387)&gt;=1,"",IF(BD385=0,"",IF(SUM($G385:BD385)&gt;=1,OFFSET(BD$228,-1,0),"")))</f>
        <v/>
      </c>
      <c r="BE387" s="403" t="str">
        <f ca="1">IF(SUM($G387:BD387)&gt;=1,"",IF(BE385=0,"",IF(SUM($G385:BE385)&gt;=1,OFFSET(BE$228,-1,0),"")))</f>
        <v/>
      </c>
      <c r="BF387" s="403" t="str">
        <f ca="1">IF(SUM($G387:BE387)&gt;=1,"",IF(BF385=0,"",IF(SUM($G385:BF385)&gt;=1,OFFSET(BF$228,-1,0),"")))</f>
        <v/>
      </c>
      <c r="BG387" s="403" t="str">
        <f ca="1">IF(SUM($G387:BF387)&gt;=1,"",IF(BG385=0,"",IF(SUM($G385:BG385)&gt;=1,OFFSET(BG$228,-1,0),"")))</f>
        <v/>
      </c>
      <c r="BH387" s="403" t="str">
        <f ca="1">IF(SUM($G387:BG387)&gt;=1,"",IF(BH385=0,"",IF(SUM($G385:BH385)&gt;=1,OFFSET(BH$228,-1,0),"")))</f>
        <v/>
      </c>
      <c r="BI387" s="403" t="str">
        <f ca="1">IF(SUM($G387:BH387)&gt;=1,"",IF(BI385=0,"",IF(SUM($G385:BI385)&gt;=1,OFFSET(BI$228,-1,0),"")))</f>
        <v/>
      </c>
      <c r="BJ387" s="403" t="str">
        <f ca="1">IF(SUM($G387:BI387)&gt;=1,"",IF(BJ385=0,"",IF(SUM($G385:BJ385)&gt;=1,OFFSET(BJ$228,-1,0),"")))</f>
        <v/>
      </c>
      <c r="BK387" s="403" t="str">
        <f ca="1">IF(SUM($G387:BJ387)&gt;=1,"",IF(BK385=0,"",IF(SUM($G385:BK385)&gt;=1,OFFSET(BK$228,-1,0),"")))</f>
        <v/>
      </c>
      <c r="BL387" s="403" t="str">
        <f ca="1">IF(SUM($G387:BK387)&gt;=1,"",IF(BL385=0,"",IF(SUM($G385:BL385)&gt;=1,OFFSET(BL$228,-1,0),"")))</f>
        <v/>
      </c>
      <c r="BM387" s="403" t="str">
        <f ca="1">IF(SUM($G387:BL387)&gt;=1,"",IF(BM385=0,"",IF(SUM($G385:BM385)&gt;=1,OFFSET(BM$228,-1,0),"")))</f>
        <v/>
      </c>
      <c r="BN387" s="403" t="str">
        <f ca="1">IF(SUM($G387:BM387)&gt;=1,"",IF(BN385=0,"",IF(SUM($G385:BN385)&gt;=1,OFFSET(BN$228,-1,0),"")))</f>
        <v/>
      </c>
      <c r="BO387" s="403" t="str">
        <f ca="1">IF(SUM($G387:BN387)&gt;=1,"",IF(BO385=0,"",IF(SUM($G385:BO385)&gt;=1,OFFSET(BO$228,-1,0),"")))</f>
        <v/>
      </c>
      <c r="BP387" s="403" t="str">
        <f ca="1">IF(SUM($G387:BO387)&gt;=1,"",IF(BP385=0,"",IF(SUM($G385:BP385)&gt;=1,OFFSET(BP$228,-1,0),"")))</f>
        <v/>
      </c>
      <c r="BQ387" s="403" t="str">
        <f ca="1">IF(SUM($G387:BP387)&gt;=1,"",IF(BQ385=0,"",IF(SUM($G385:BQ385)&gt;=1,OFFSET(BQ$228,-1,0),"")))</f>
        <v/>
      </c>
      <c r="BR387" s="403" t="str">
        <f ca="1">IF(SUM($G387:BQ387)&gt;=1,"",IF(BR385=0,"",IF(SUM($G385:BR385)&gt;=1,OFFSET(BR$228,-1,0),"")))</f>
        <v/>
      </c>
      <c r="BS387" s="403" t="str">
        <f ca="1">IF(SUM($G387:BR387)&gt;=1,"",IF(BS385=0,"",IF(SUM($G385:BS385)&gt;=1,OFFSET(BS$228,-1,0),"")))</f>
        <v/>
      </c>
      <c r="BT387" s="403" t="str">
        <f ca="1">IF(SUM($G387:BS387)&gt;=1,"",IF(BT385=0,"",IF(SUM($G385:BT385)&gt;=1,OFFSET(BT$228,-1,0),"")))</f>
        <v/>
      </c>
      <c r="BU387" s="403" t="str">
        <f ca="1">IF(SUM($G387:BT387)&gt;=1,"",IF(BU385=0,"",IF(SUM($G385:BU385)&gt;=1,OFFSET(BU$228,-1,0),"")))</f>
        <v/>
      </c>
      <c r="BV387" s="403" t="str">
        <f ca="1">IF(SUM($G387:BU387)&gt;=1,"",IF(BV385=0,"",IF(SUM($G385:BV385)&gt;=1,OFFSET(BV$228,-1,0),"")))</f>
        <v/>
      </c>
      <c r="BW387" s="403" t="str">
        <f ca="1">IF(SUM($G387:BV387)&gt;=1,"",IF(BW385=0,"",IF(SUM($G385:BW385)&gt;=1,OFFSET(BW$228,-1,0),"")))</f>
        <v/>
      </c>
      <c r="BX387" s="403" t="str">
        <f ca="1">IF(SUM($G387:BW387)&gt;=1,"",IF(BX385=0,"",IF(SUM($G385:BX385)&gt;=1,OFFSET(BX$228,-1,0),"")))</f>
        <v/>
      </c>
      <c r="BY387" s="403" t="str">
        <f ca="1">IF(SUM($G387:BX387)&gt;=1,"",IF(BY385=0,"",IF(SUM($G385:BY385)&gt;=1,OFFSET(BY$228,-1,0),"")))</f>
        <v/>
      </c>
      <c r="BZ387" s="403" t="str">
        <f ca="1">IF(SUM($G387:BY387)&gt;=1,"",IF(BZ385=0,"",IF(SUM($G385:BZ385)&gt;=1,OFFSET(BZ$228,-1,0),"")))</f>
        <v/>
      </c>
      <c r="CA387" s="403" t="str">
        <f ca="1">IF(SUM($G387:BZ387)&gt;=1,"",IF(CA385=0,"",IF(SUM($G385:CA385)&gt;=1,OFFSET(CA$228,-1,0),"")))</f>
        <v/>
      </c>
      <c r="CB387" s="403" t="str">
        <f ca="1">IF(SUM($G387:CA387)&gt;=1,"",IF(CB385=0,"",IF(SUM($G385:CB385)&gt;=1,OFFSET(CB$228,-1,0),"")))</f>
        <v/>
      </c>
      <c r="CC387" s="403" t="str">
        <f ca="1">IF(SUM($G387:CB387)&gt;=1,"",IF(CC385=0,"",IF(SUM($G385:CC385)&gt;=1,OFFSET(CC$228,-1,0),"")))</f>
        <v/>
      </c>
      <c r="CD387" s="403" t="str">
        <f ca="1">IF(SUM($G387:CC387)&gt;=1,"",IF(CD385=0,"",IF(SUM($G385:CD385)&gt;=1,OFFSET(CD$228,-1,0),"")))</f>
        <v/>
      </c>
      <c r="CE387" s="403" t="str">
        <f ca="1">IF(SUM($G387:CD387)&gt;=1,"",IF(CE385=0,"",IF(SUM($G385:CE385)&gt;=1,OFFSET(CE$228,-1,0),"")))</f>
        <v/>
      </c>
      <c r="CF387" s="403" t="str">
        <f ca="1">IF(SUM($G387:CE387)&gt;=1,"",IF(CF385=0,"",IF(SUM($G385:CF385)&gt;=1,OFFSET(CF$228,-1,0),"")))</f>
        <v/>
      </c>
      <c r="CG387" s="403" t="str">
        <f ca="1">IF(SUM($G387:CF387)&gt;=1,"",IF(CG385=0,"",IF(SUM($G385:CG385)&gt;=1,OFFSET(CG$228,-1,0),"")))</f>
        <v/>
      </c>
      <c r="CH387" s="403" t="str">
        <f ca="1">IF(SUM($G387:CG387)&gt;=1,"",IF(CH385=0,"",IF(SUM($G385:CH385)&gt;=1,OFFSET(CH$228,-1,0),"")))</f>
        <v/>
      </c>
      <c r="CI387" s="403" t="str">
        <f ca="1">IF(SUM($G387:CH387)&gt;=1,"",IF(CI385=0,"",IF(SUM($G385:CI385)&gt;=1,OFFSET(CI$228,-1,0),"")))</f>
        <v/>
      </c>
      <c r="CJ387" s="403" t="str">
        <f ca="1">IF(SUM($G387:CI387)&gt;=1,"",IF(CJ385=0,"",IF(SUM($G385:CJ385)&gt;=1,OFFSET(CJ$228,-1,0),"")))</f>
        <v/>
      </c>
      <c r="CK387" s="403" t="str">
        <f ca="1">IF(SUM($G387:CJ387)&gt;=1,"",IF(CK385=0,"",IF(SUM($G385:CK385)&gt;=1,OFFSET(CK$228,-1,0),"")))</f>
        <v/>
      </c>
      <c r="CL387" s="403" t="str">
        <f ca="1">IF(SUM($G387:CK387)&gt;=1,"",IF(CL385=0,"",IF(SUM($G385:CL385)&gt;=1,OFFSET(CL$228,-1,0),"")))</f>
        <v/>
      </c>
      <c r="CM387" s="403" t="str">
        <f ca="1">IF(SUM($G387:CL387)&gt;=1,"",IF(CM385=0,"",IF(SUM($G385:CM385)&gt;=1,OFFSET(CM$228,-1,0),"")))</f>
        <v/>
      </c>
      <c r="CN387" s="403" t="str">
        <f ca="1">IF(SUM($G387:CM387)&gt;=1,"",IF(CN385=0,"",IF(SUM($G385:CN385)&gt;=1,OFFSET(CN$228,-1,0),"")))</f>
        <v/>
      </c>
      <c r="CO387" s="403" t="str">
        <f ca="1">IF(SUM($G387:CN387)&gt;=1,"",IF(CO385=0,"",IF(SUM($G385:CO385)&gt;=1,OFFSET(CO$228,-1,0),"")))</f>
        <v/>
      </c>
      <c r="CP387" s="403" t="str">
        <f ca="1">IF(SUM($G387:CO387)&gt;=1,"",IF(CP385=0,"",IF(SUM($G385:CP385)&gt;=1,OFFSET(CP$228,-1,0),"")))</f>
        <v/>
      </c>
      <c r="CQ387" s="403" t="str">
        <f ca="1">IF(SUM($G387:CP387)&gt;=1,"",IF(CQ385=0,"",IF(SUM($G385:CQ385)&gt;=1,OFFSET(CQ$228,-1,0),"")))</f>
        <v/>
      </c>
      <c r="CR387" s="403" t="str">
        <f ca="1">IF(SUM($G387:CQ387)&gt;=1,"",IF(CR385=0,"",IF(SUM($G385:CR385)&gt;=1,OFFSET(CR$228,-1,0),"")))</f>
        <v/>
      </c>
      <c r="CS387" s="403" t="str">
        <f ca="1">IF(SUM($G387:CR387)&gt;=1,"",IF(CS385=0,"",IF(SUM($G385:CS385)&gt;=1,OFFSET(CS$228,-1,0),"")))</f>
        <v/>
      </c>
      <c r="CT387" s="403" t="str">
        <f ca="1">IF(SUM($G387:CS387)&gt;=1,"",IF(CT385=0,"",IF(SUM($G385:CT385)&gt;=1,OFFSET(CT$228,-1,0),"")))</f>
        <v/>
      </c>
      <c r="CU387" s="403" t="str">
        <f ca="1">IF(SUM($G387:CT387)&gt;=1,"",IF(CU385=0,"",IF(SUM($G385:CU385)&gt;=1,OFFSET(CU$228,-1,0),"")))</f>
        <v/>
      </c>
      <c r="CV387" s="403" t="str">
        <f ca="1">IF(SUM($G387:CU387)&gt;=1,"",IF(CV385=0,"",IF(SUM($G385:CV385)&gt;=1,OFFSET(CV$228,-1,0),"")))</f>
        <v/>
      </c>
      <c r="CW387" s="403" t="str">
        <f ca="1">IF(SUM($G387:CV387)&gt;=1,"",IF(CW385=0,"",IF(SUM($G385:CW385)&gt;=1,OFFSET(CW$228,-1,0),"")))</f>
        <v/>
      </c>
      <c r="CX387" s="403" t="str">
        <f ca="1">IF(SUM($G387:CW387)&gt;=1,"",IF(CX385=0,"",IF(SUM($G385:CX385)&gt;=1,OFFSET(CX$228,-1,0),"")))</f>
        <v/>
      </c>
      <c r="CY387" s="403" t="str">
        <f ca="1">IF(SUM($G387:CX387)&gt;=1,"",IF(CY385=0,"",IF(SUM($G385:CY385)&gt;=1,OFFSET(CY$228,-1,0),"")))</f>
        <v/>
      </c>
      <c r="CZ387" s="403" t="str">
        <f ca="1">IF(SUM($G387:CY387)&gt;=1,"",IF(CZ385=0,"",IF(SUM($G385:CZ385)&gt;=1,OFFSET(CZ$228,-1,0),"")))</f>
        <v/>
      </c>
      <c r="DA387" s="403" t="str">
        <f ca="1">IF(SUM($G387:CZ387)&gt;=1,"",IF(DA385=0,"",IF(SUM($G385:DA385)&gt;=1,OFFSET(DA$228,-1,0),"")))</f>
        <v/>
      </c>
      <c r="DB387" s="403" t="str">
        <f ca="1">IF(SUM($G387:DA387)&gt;=1,"",IF(DB385=0,"",IF(SUM($G385:DB385)&gt;=1,OFFSET(DB$228,-1,0),"")))</f>
        <v/>
      </c>
      <c r="DC387" s="403" t="str">
        <f ca="1">IF(SUM($G387:DB387)&gt;=1,"",IF(DC385=0,"",IF(SUM($G385:DC385)&gt;=1,OFFSET(DC$228,-1,0),"")))</f>
        <v/>
      </c>
      <c r="DD387" s="403" t="str">
        <f ca="1">IF(SUM($G387:DC387)&gt;=1,"",IF(DD385=0,"",IF(SUM($G385:DD385)&gt;=1,OFFSET(DD$228,-1,0),"")))</f>
        <v/>
      </c>
      <c r="DE387" s="403" t="str">
        <f ca="1">IF(SUM($G387:DD387)&gt;=1,"",IF(DE385=0,"",IF(SUM($G385:DE385)&gt;=1,OFFSET(DE$228,-1,0),"")))</f>
        <v/>
      </c>
      <c r="DF387" s="403" t="str">
        <f ca="1">IF(SUM($G387:DE387)&gt;=1,"",IF(DF385=0,"",IF(SUM($G385:DF385)&gt;=1,OFFSET(DF$228,-1,0),"")))</f>
        <v/>
      </c>
      <c r="DG387" s="403" t="str">
        <f ca="1">IF(SUM($G387:DF387)&gt;=1,"",IF(DG385=0,"",IF(SUM($G385:DG385)&gt;=1,OFFSET(DG$228,-1,0),"")))</f>
        <v/>
      </c>
      <c r="DH387" s="403" t="str">
        <f ca="1">IF(SUM($G387:DG387)&gt;=1,"",IF(DH385=0,"",IF(SUM($G385:DH385)&gt;=1,OFFSET(DH$228,-1,0),"")))</f>
        <v/>
      </c>
      <c r="DI387" s="403" t="str">
        <f ca="1">IF(SUM($G387:DH387)&gt;=1,"",IF(DI385=0,"",IF(SUM($G385:DI385)&gt;=1,OFFSET(DI$228,-1,0),"")))</f>
        <v/>
      </c>
      <c r="DJ387" s="403" t="str">
        <f ca="1">IF(SUM($G387:DI387)&gt;=1,"",IF(DJ385=0,"",IF(SUM($G385:DJ385)&gt;=1,OFFSET(DJ$228,-1,0),"")))</f>
        <v/>
      </c>
      <c r="DK387" s="403" t="str">
        <f ca="1">IF(SUM($G387:DJ387)&gt;=1,"",IF(DK385=0,"",IF(SUM($G385:DK385)&gt;=1,OFFSET(DK$228,-1,0),"")))</f>
        <v/>
      </c>
      <c r="DL387" s="403" t="str">
        <f ca="1">IF(SUM($G387:DK387)&gt;=1,"",IF(DL385=0,"",IF(SUM($G385:DL385)&gt;=1,OFFSET(DL$228,-1,0),"")))</f>
        <v/>
      </c>
      <c r="DM387" s="403" t="str">
        <f ca="1">IF(SUM($G387:DL387)&gt;=1,"",IF(DM385=0,"",IF(SUM($G385:DM385)&gt;=1,OFFSET(DM$228,-1,0),"")))</f>
        <v/>
      </c>
      <c r="DN387" s="403" t="str">
        <f ca="1">IF(SUM($G387:DM387)&gt;=1,"",IF(DN385=0,"",IF(SUM($G385:DN385)&gt;=1,OFFSET(DN$228,-1,0),"")))</f>
        <v/>
      </c>
      <c r="DO387" s="403" t="str">
        <f ca="1">IF(SUM($G387:DN387)&gt;=1,"",IF(DO385=0,"",IF(SUM($G385:DO385)&gt;=1,OFFSET(DO$228,-1,0),"")))</f>
        <v/>
      </c>
      <c r="DP387" s="403" t="str">
        <f ca="1">IF(SUM($G387:DO387)&gt;=1,"",IF(DP385=0,"",IF(SUM($G385:DP385)&gt;=1,OFFSET(DP$228,-1,0),"")))</f>
        <v/>
      </c>
      <c r="DQ387" s="403" t="str">
        <f ca="1">IF(SUM($G387:DP387)&gt;=1,"",IF(DQ385=0,"",IF(SUM($G385:DQ385)&gt;=1,OFFSET(DQ$228,-1,0),"")))</f>
        <v/>
      </c>
      <c r="DR387" s="403" t="str">
        <f ca="1">IF(SUM($G387:DQ387)&gt;=1,"",IF(DR385=0,"",IF(SUM($G385:DR385)&gt;=1,OFFSET(DR$228,-1,0),"")))</f>
        <v/>
      </c>
      <c r="DS387" s="403" t="str">
        <f ca="1">IF(SUM($G387:DR387)&gt;=1,"",IF(DS385=0,"",IF(SUM($G385:DS385)&gt;=1,OFFSET(DS$228,-1,0),"")))</f>
        <v/>
      </c>
      <c r="DT387" s="403" t="str">
        <f ca="1">IF(SUM($G387:DS387)&gt;=1,"",IF(DT385=0,"",IF(SUM($G385:DT385)&gt;=1,OFFSET(DT$228,-1,0),"")))</f>
        <v/>
      </c>
      <c r="DU387" s="403" t="str">
        <f ca="1">IF(SUM($G387:DT387)&gt;=1,"",IF(DU385=0,"",IF(SUM($G385:DU385)&gt;=1,OFFSET(DU$228,-1,0),"")))</f>
        <v/>
      </c>
      <c r="DV387" s="403" t="str">
        <f ca="1">IF(SUM($G387:DU387)&gt;=1,"",IF(DV385=0,"",IF(SUM($G385:DV385)&gt;=1,OFFSET(DV$228,-1,0),"")))</f>
        <v/>
      </c>
      <c r="DW387" s="403" t="str">
        <f ca="1">IF(SUM($G387:DV387)&gt;=1,"",IF(DW385=0,"",IF(SUM($G385:DW385)&gt;=1,OFFSET(DW$228,-1,0),"")))</f>
        <v/>
      </c>
      <c r="DX387" s="403" t="str">
        <f ca="1">IF(SUM($G387:DW387)&gt;=1,"",IF(DX385=0,"",IF(SUM($G385:DX385)&gt;=1,OFFSET(DX$228,-1,0),"")))</f>
        <v/>
      </c>
      <c r="DY387" s="403" t="str">
        <f ca="1">IF(SUM($G387:DX387)&gt;=1,"",IF(DY385=0,"",IF(SUM($G385:DY385)&gt;=1,OFFSET(DY$228,-1,0),"")))</f>
        <v/>
      </c>
      <c r="DZ387" s="403" t="str">
        <f ca="1">IF(SUM($G387:DY387)&gt;=1,"",IF(DZ385=0,"",IF(SUM($G385:DZ385)&gt;=1,OFFSET(DZ$228,-1,0),"")))</f>
        <v/>
      </c>
      <c r="EA387" s="403" t="str">
        <f ca="1">IF(SUM($G387:DZ387)&gt;=1,"",IF(EA385=0,"",IF(SUM($G385:EA385)&gt;=1,OFFSET(EA$228,-1,0),"")))</f>
        <v/>
      </c>
      <c r="EB387" s="403" t="str">
        <f ca="1">IF(SUM($G387:EA387)&gt;=1,"",IF(EB385=0,"",IF(SUM($G385:EB385)&gt;=1,OFFSET(EB$228,-1,0),"")))</f>
        <v/>
      </c>
      <c r="EC387" s="403" t="str">
        <f ca="1">IF(SUM($G387:EB387)&gt;=1,"",IF(EC385=0,"",IF(SUM($G385:EC385)&gt;=1,OFFSET(EC$228,-1,0),"")))</f>
        <v/>
      </c>
      <c r="ED387" s="403" t="str">
        <f ca="1">IF(SUM($G387:EC387)&gt;=1,"",IF(ED385=0,"",IF(SUM($G385:ED385)&gt;=1,OFFSET(ED$228,-1,0),"")))</f>
        <v/>
      </c>
      <c r="EE387" s="403" t="str">
        <f ca="1">IF(SUM($G387:ED387)&gt;=1,"",IF(EE385=0,"",IF(SUM($G385:EE385)&gt;=1,OFFSET(EE$228,-1,0),"")))</f>
        <v/>
      </c>
      <c r="EF387" s="403" t="str">
        <f ca="1">IF(SUM($G387:EE387)&gt;=1,"",IF(EF385=0,"",IF(SUM($G385:EF385)&gt;=1,OFFSET(EF$228,-1,0),"")))</f>
        <v/>
      </c>
      <c r="EG387" s="403" t="str">
        <f ca="1">IF(SUM($G387:EF387)&gt;=1,"",IF(EG385=0,"",IF(SUM($G385:EG385)&gt;=1,OFFSET(EG$228,-1,0),"")))</f>
        <v/>
      </c>
      <c r="EH387" s="403" t="str">
        <f ca="1">IF(SUM($G387:EG387)&gt;=1,"",IF(EH385=0,"",IF(SUM($G385:EH385)&gt;=1,OFFSET(EH$228,-1,0),"")))</f>
        <v/>
      </c>
      <c r="EI387" s="403" t="str">
        <f ca="1">IF(SUM($G387:EH387)&gt;=1,"",IF(EI385=0,"",IF(SUM($G385:EI385)&gt;=1,OFFSET(EI$228,-1,0),"")))</f>
        <v/>
      </c>
    </row>
    <row r="388" spans="1:141" hidden="1" outlineLevel="2">
      <c r="A388" s="332"/>
      <c r="D388" s="305" t="s">
        <v>671</v>
      </c>
      <c r="E388" s="1002">
        <f ca="1">IF(E385=0,"",MIN(G388:EI388))</f>
        <v>46414</v>
      </c>
      <c r="F388" s="1003"/>
      <c r="G388" s="403" t="str">
        <f>IF(G385=0,"",IF(G385=G$3,G387,G$5+H$5-G389-1))</f>
        <v/>
      </c>
      <c r="H388" s="403" t="str">
        <f ca="1">IF(H385=0,"",IF(H385=H$3,H387,H$5+I$5-H389-1))</f>
        <v/>
      </c>
      <c r="I388" s="403" t="str">
        <f t="shared" ref="I388:BT388" ca="1" si="682">IF(I385=0,"",IF(I385=I$3,I387,I$5+J$5-I389-1))</f>
        <v/>
      </c>
      <c r="J388" s="403" t="str">
        <f t="shared" ca="1" si="682"/>
        <v/>
      </c>
      <c r="K388" s="403" t="str">
        <f t="shared" ca="1" si="682"/>
        <v/>
      </c>
      <c r="L388" s="403" t="str">
        <f t="shared" ca="1" si="682"/>
        <v/>
      </c>
      <c r="M388" s="403" t="str">
        <f t="shared" ca="1" si="682"/>
        <v/>
      </c>
      <c r="N388" s="403" t="str">
        <f t="shared" ca="1" si="682"/>
        <v/>
      </c>
      <c r="O388" s="403" t="str">
        <f t="shared" ca="1" si="682"/>
        <v/>
      </c>
      <c r="P388" s="403" t="str">
        <f t="shared" ca="1" si="682"/>
        <v/>
      </c>
      <c r="Q388" s="403" t="str">
        <f t="shared" ca="1" si="682"/>
        <v/>
      </c>
      <c r="R388" s="403" t="str">
        <f t="shared" ca="1" si="682"/>
        <v/>
      </c>
      <c r="S388" s="403" t="str">
        <f t="shared" ca="1" si="682"/>
        <v/>
      </c>
      <c r="T388" s="403" t="str">
        <f t="shared" ca="1" si="682"/>
        <v/>
      </c>
      <c r="U388" s="403" t="str">
        <f t="shared" ca="1" si="682"/>
        <v/>
      </c>
      <c r="V388" s="403" t="str">
        <f t="shared" ca="1" si="682"/>
        <v/>
      </c>
      <c r="W388" s="403" t="str">
        <f t="shared" ca="1" si="682"/>
        <v/>
      </c>
      <c r="X388" s="403" t="str">
        <f t="shared" ca="1" si="682"/>
        <v/>
      </c>
      <c r="Y388" s="403" t="str">
        <f t="shared" ca="1" si="682"/>
        <v/>
      </c>
      <c r="Z388" s="403" t="str">
        <f t="shared" ca="1" si="682"/>
        <v/>
      </c>
      <c r="AA388" s="403" t="str">
        <f t="shared" ca="1" si="682"/>
        <v/>
      </c>
      <c r="AB388" s="403" t="str">
        <f t="shared" ca="1" si="682"/>
        <v/>
      </c>
      <c r="AC388" s="403" t="str">
        <f t="shared" ca="1" si="682"/>
        <v/>
      </c>
      <c r="AD388" s="403" t="str">
        <f t="shared" ca="1" si="682"/>
        <v/>
      </c>
      <c r="AE388" s="403" t="str">
        <f t="shared" ca="1" si="682"/>
        <v/>
      </c>
      <c r="AF388" s="403" t="str">
        <f t="shared" ca="1" si="682"/>
        <v/>
      </c>
      <c r="AG388" s="403" t="str">
        <f t="shared" ca="1" si="682"/>
        <v/>
      </c>
      <c r="AH388" s="403" t="str">
        <f t="shared" ca="1" si="682"/>
        <v/>
      </c>
      <c r="AI388" s="403" t="str">
        <f t="shared" ca="1" si="682"/>
        <v/>
      </c>
      <c r="AJ388" s="403" t="str">
        <f t="shared" ca="1" si="682"/>
        <v/>
      </c>
      <c r="AK388" s="403" t="str">
        <f t="shared" ca="1" si="682"/>
        <v/>
      </c>
      <c r="AL388" s="403" t="str">
        <f t="shared" ca="1" si="682"/>
        <v/>
      </c>
      <c r="AM388" s="403" t="str">
        <f t="shared" ca="1" si="682"/>
        <v/>
      </c>
      <c r="AN388" s="403" t="str">
        <f t="shared" ca="1" si="682"/>
        <v/>
      </c>
      <c r="AO388" s="403" t="str">
        <f t="shared" ca="1" si="682"/>
        <v/>
      </c>
      <c r="AP388" s="403" t="str">
        <f t="shared" ca="1" si="682"/>
        <v/>
      </c>
      <c r="AQ388" s="403" t="str">
        <f t="shared" ca="1" si="682"/>
        <v/>
      </c>
      <c r="AR388" s="403" t="str">
        <f t="shared" ca="1" si="682"/>
        <v/>
      </c>
      <c r="AS388" s="403" t="str">
        <f t="shared" ca="1" si="682"/>
        <v/>
      </c>
      <c r="AT388" s="403" t="str">
        <f t="shared" ca="1" si="682"/>
        <v/>
      </c>
      <c r="AU388" s="403" t="str">
        <f t="shared" ca="1" si="682"/>
        <v/>
      </c>
      <c r="AV388" s="403" t="str">
        <f t="shared" ca="1" si="682"/>
        <v/>
      </c>
      <c r="AW388" s="403" t="str">
        <f t="shared" ca="1" si="682"/>
        <v/>
      </c>
      <c r="AX388" s="403" t="str">
        <f t="shared" ca="1" si="682"/>
        <v/>
      </c>
      <c r="AY388" s="403" t="str">
        <f t="shared" ca="1" si="682"/>
        <v/>
      </c>
      <c r="AZ388" s="403" t="str">
        <f t="shared" ca="1" si="682"/>
        <v/>
      </c>
      <c r="BA388" s="403">
        <f t="shared" ca="1" si="682"/>
        <v>46414</v>
      </c>
      <c r="BB388" s="403" t="str">
        <f t="shared" ca="1" si="682"/>
        <v/>
      </c>
      <c r="BC388" s="403" t="str">
        <f t="shared" ca="1" si="682"/>
        <v/>
      </c>
      <c r="BD388" s="403" t="str">
        <f t="shared" ca="1" si="682"/>
        <v/>
      </c>
      <c r="BE388" s="403" t="str">
        <f t="shared" ca="1" si="682"/>
        <v/>
      </c>
      <c r="BF388" s="403" t="str">
        <f t="shared" ca="1" si="682"/>
        <v/>
      </c>
      <c r="BG388" s="403" t="str">
        <f t="shared" ca="1" si="682"/>
        <v/>
      </c>
      <c r="BH388" s="403" t="str">
        <f t="shared" ca="1" si="682"/>
        <v/>
      </c>
      <c r="BI388" s="403" t="str">
        <f t="shared" ca="1" si="682"/>
        <v/>
      </c>
      <c r="BJ388" s="403" t="str">
        <f t="shared" ca="1" si="682"/>
        <v/>
      </c>
      <c r="BK388" s="403" t="str">
        <f t="shared" ca="1" si="682"/>
        <v/>
      </c>
      <c r="BL388" s="403" t="str">
        <f t="shared" ca="1" si="682"/>
        <v/>
      </c>
      <c r="BM388" s="403" t="str">
        <f t="shared" ca="1" si="682"/>
        <v/>
      </c>
      <c r="BN388" s="403" t="str">
        <f t="shared" ca="1" si="682"/>
        <v/>
      </c>
      <c r="BO388" s="403" t="str">
        <f t="shared" ca="1" si="682"/>
        <v/>
      </c>
      <c r="BP388" s="403" t="str">
        <f t="shared" ca="1" si="682"/>
        <v/>
      </c>
      <c r="BQ388" s="403" t="str">
        <f t="shared" ca="1" si="682"/>
        <v/>
      </c>
      <c r="BR388" s="403" t="str">
        <f t="shared" ca="1" si="682"/>
        <v/>
      </c>
      <c r="BS388" s="403" t="str">
        <f t="shared" ca="1" si="682"/>
        <v/>
      </c>
      <c r="BT388" s="403" t="str">
        <f t="shared" ca="1" si="682"/>
        <v/>
      </c>
      <c r="BU388" s="403" t="str">
        <f t="shared" ref="BU388:EF388" ca="1" si="683">IF(BU385=0,"",IF(BU385=BU$3,BU387,BU$5+BV$5-BU389-1))</f>
        <v/>
      </c>
      <c r="BV388" s="403" t="str">
        <f t="shared" ca="1" si="683"/>
        <v/>
      </c>
      <c r="BW388" s="403" t="str">
        <f t="shared" ca="1" si="683"/>
        <v/>
      </c>
      <c r="BX388" s="403" t="str">
        <f t="shared" ca="1" si="683"/>
        <v/>
      </c>
      <c r="BY388" s="403">
        <f t="shared" ca="1" si="683"/>
        <v>47125</v>
      </c>
      <c r="BZ388" s="403" t="str">
        <f t="shared" ca="1" si="683"/>
        <v/>
      </c>
      <c r="CA388" s="403" t="str">
        <f t="shared" ca="1" si="683"/>
        <v/>
      </c>
      <c r="CB388" s="403" t="str">
        <f t="shared" ca="1" si="683"/>
        <v/>
      </c>
      <c r="CC388" s="403" t="str">
        <f t="shared" ca="1" si="683"/>
        <v/>
      </c>
      <c r="CD388" s="403" t="str">
        <f t="shared" ca="1" si="683"/>
        <v/>
      </c>
      <c r="CE388" s="403" t="str">
        <f t="shared" ca="1" si="683"/>
        <v/>
      </c>
      <c r="CF388" s="403" t="str">
        <f t="shared" ca="1" si="683"/>
        <v/>
      </c>
      <c r="CG388" s="403" t="str">
        <f t="shared" ca="1" si="683"/>
        <v/>
      </c>
      <c r="CH388" s="403" t="str">
        <f t="shared" ca="1" si="683"/>
        <v/>
      </c>
      <c r="CI388" s="403" t="str">
        <f t="shared" ca="1" si="683"/>
        <v/>
      </c>
      <c r="CJ388" s="403" t="str">
        <f t="shared" ca="1" si="683"/>
        <v/>
      </c>
      <c r="CK388" s="403" t="str">
        <f t="shared" ca="1" si="683"/>
        <v/>
      </c>
      <c r="CL388" s="403" t="str">
        <f t="shared" ca="1" si="683"/>
        <v/>
      </c>
      <c r="CM388" s="403" t="str">
        <f t="shared" ca="1" si="683"/>
        <v/>
      </c>
      <c r="CN388" s="403" t="str">
        <f t="shared" ca="1" si="683"/>
        <v/>
      </c>
      <c r="CO388" s="403" t="str">
        <f t="shared" ca="1" si="683"/>
        <v/>
      </c>
      <c r="CP388" s="403" t="str">
        <f t="shared" ca="1" si="683"/>
        <v/>
      </c>
      <c r="CQ388" s="403" t="str">
        <f t="shared" ca="1" si="683"/>
        <v/>
      </c>
      <c r="CR388" s="403" t="str">
        <f t="shared" ca="1" si="683"/>
        <v/>
      </c>
      <c r="CS388" s="403" t="str">
        <f t="shared" ca="1" si="683"/>
        <v/>
      </c>
      <c r="CT388" s="403" t="str">
        <f t="shared" ca="1" si="683"/>
        <v/>
      </c>
      <c r="CU388" s="403" t="str">
        <f t="shared" ca="1" si="683"/>
        <v/>
      </c>
      <c r="CV388" s="403" t="str">
        <f t="shared" ca="1" si="683"/>
        <v/>
      </c>
      <c r="CW388" s="403" t="str">
        <f t="shared" ca="1" si="683"/>
        <v/>
      </c>
      <c r="CX388" s="403" t="str">
        <f t="shared" ca="1" si="683"/>
        <v/>
      </c>
      <c r="CY388" s="403" t="str">
        <f t="shared" ca="1" si="683"/>
        <v/>
      </c>
      <c r="CZ388" s="403" t="str">
        <f t="shared" ca="1" si="683"/>
        <v/>
      </c>
      <c r="DA388" s="403" t="str">
        <f t="shared" ca="1" si="683"/>
        <v/>
      </c>
      <c r="DB388" s="403" t="str">
        <f t="shared" ca="1" si="683"/>
        <v/>
      </c>
      <c r="DC388" s="403" t="str">
        <f t="shared" ca="1" si="683"/>
        <v/>
      </c>
      <c r="DD388" s="403" t="str">
        <f t="shared" ca="1" si="683"/>
        <v/>
      </c>
      <c r="DE388" s="403" t="str">
        <f t="shared" ca="1" si="683"/>
        <v/>
      </c>
      <c r="DF388" s="403" t="str">
        <f t="shared" ca="1" si="683"/>
        <v/>
      </c>
      <c r="DG388" s="403" t="str">
        <f t="shared" ca="1" si="683"/>
        <v/>
      </c>
      <c r="DH388" s="403" t="str">
        <f t="shared" ca="1" si="683"/>
        <v/>
      </c>
      <c r="DI388" s="403" t="str">
        <f t="shared" ca="1" si="683"/>
        <v/>
      </c>
      <c r="DJ388" s="403" t="str">
        <f t="shared" ca="1" si="683"/>
        <v/>
      </c>
      <c r="DK388" s="403" t="str">
        <f t="shared" ca="1" si="683"/>
        <v/>
      </c>
      <c r="DL388" s="403" t="str">
        <f t="shared" ca="1" si="683"/>
        <v/>
      </c>
      <c r="DM388" s="403" t="str">
        <f t="shared" ca="1" si="683"/>
        <v/>
      </c>
      <c r="DN388" s="403" t="str">
        <f t="shared" ca="1" si="683"/>
        <v/>
      </c>
      <c r="DO388" s="403" t="str">
        <f t="shared" ca="1" si="683"/>
        <v/>
      </c>
      <c r="DP388" s="403" t="str">
        <f t="shared" ca="1" si="683"/>
        <v/>
      </c>
      <c r="DQ388" s="403" t="str">
        <f t="shared" ca="1" si="683"/>
        <v/>
      </c>
      <c r="DR388" s="403" t="str">
        <f t="shared" ca="1" si="683"/>
        <v/>
      </c>
      <c r="DS388" s="403" t="str">
        <f t="shared" ca="1" si="683"/>
        <v/>
      </c>
      <c r="DT388" s="403" t="str">
        <f t="shared" ca="1" si="683"/>
        <v/>
      </c>
      <c r="DU388" s="403" t="str">
        <f t="shared" ca="1" si="683"/>
        <v/>
      </c>
      <c r="DV388" s="403" t="str">
        <f t="shared" ca="1" si="683"/>
        <v/>
      </c>
      <c r="DW388" s="403" t="str">
        <f t="shared" ca="1" si="683"/>
        <v/>
      </c>
      <c r="DX388" s="403" t="str">
        <f t="shared" ca="1" si="683"/>
        <v/>
      </c>
      <c r="DY388" s="403" t="str">
        <f t="shared" ca="1" si="683"/>
        <v/>
      </c>
      <c r="DZ388" s="403" t="str">
        <f t="shared" ca="1" si="683"/>
        <v/>
      </c>
      <c r="EA388" s="403" t="str">
        <f t="shared" ca="1" si="683"/>
        <v/>
      </c>
      <c r="EB388" s="403" t="str">
        <f t="shared" ca="1" si="683"/>
        <v/>
      </c>
      <c r="EC388" s="403" t="str">
        <f t="shared" ca="1" si="683"/>
        <v/>
      </c>
      <c r="ED388" s="403" t="str">
        <f t="shared" ca="1" si="683"/>
        <v/>
      </c>
      <c r="EE388" s="403" t="str">
        <f t="shared" ca="1" si="683"/>
        <v/>
      </c>
      <c r="EF388" s="403" t="str">
        <f t="shared" ca="1" si="683"/>
        <v/>
      </c>
      <c r="EG388" s="403" t="str">
        <f t="shared" ref="EG388:EI388" ca="1" si="684">IF(EG385=0,"",IF(EG385=EG$3,EG387,EG$5+EH$5-EG389-1))</f>
        <v/>
      </c>
      <c r="EH388" s="403" t="str">
        <f t="shared" ca="1" si="684"/>
        <v/>
      </c>
      <c r="EI388" s="403" t="str">
        <f t="shared" ca="1" si="684"/>
        <v/>
      </c>
    </row>
    <row r="389" spans="1:141" hidden="1" outlineLevel="2">
      <c r="A389" s="332"/>
      <c r="D389" s="305" t="s">
        <v>672</v>
      </c>
      <c r="E389" s="1002">
        <f ca="1">IF(E385=0,"",MAX(G389:EI389))</f>
        <v>47143</v>
      </c>
      <c r="F389" s="1003"/>
      <c r="G389" s="403">
        <f ca="1">IF(SUM(G385:$EI385)=0,"",IF(G$227="","",G$227+G385-1))</f>
        <v>44985</v>
      </c>
      <c r="H389" s="403">
        <f ca="1">IF(SUM(H385:$EI385)=0,"",IF(H$227="","",H$227+H385-1))</f>
        <v>45016</v>
      </c>
      <c r="I389" s="403">
        <f ca="1">IF(SUM(I385:$EI385)=0,"",IF(I$227="","",I$227+I385-1))</f>
        <v>45046</v>
      </c>
      <c r="J389" s="403">
        <f ca="1">IF(SUM(J385:$EI385)=0,"",IF(J$227="","",J$227+J385-1))</f>
        <v>45077</v>
      </c>
      <c r="K389" s="403">
        <f ca="1">IF(SUM(K385:$EI385)=0,"",IF(K$227="","",K$227+K385-1))</f>
        <v>45107</v>
      </c>
      <c r="L389" s="403">
        <f ca="1">IF(SUM(L385:$EI385)=0,"",IF(L$227="","",L$227+L385-1))</f>
        <v>45138</v>
      </c>
      <c r="M389" s="403">
        <f ca="1">IF(SUM(M385:$EI385)=0,"",IF(M$227="","",M$227+M385-1))</f>
        <v>45169</v>
      </c>
      <c r="N389" s="403">
        <f ca="1">IF(SUM(N385:$EI385)=0,"",IF(N$227="","",N$227+N385-1))</f>
        <v>45199</v>
      </c>
      <c r="O389" s="403">
        <f ca="1">IF(SUM(O385:$EI385)=0,"",IF(O$227="","",O$227+O385-1))</f>
        <v>45230</v>
      </c>
      <c r="P389" s="403">
        <f ca="1">IF(SUM(P385:$EI385)=0,"",IF(P$227="","",P$227+P385-1))</f>
        <v>45260</v>
      </c>
      <c r="Q389" s="403">
        <f ca="1">IF(SUM(Q385:$EI385)=0,"",IF(Q$227="","",Q$227+Q385-1))</f>
        <v>45291</v>
      </c>
      <c r="R389" s="403">
        <f ca="1">IF(SUM(R385:$EI385)=0,"",IF(R$227="","",R$227+R385-1))</f>
        <v>45322</v>
      </c>
      <c r="S389" s="403">
        <f ca="1">IF(SUM(S385:$EI385)=0,"",IF(S$227="","",S$227+S385-1))</f>
        <v>45351</v>
      </c>
      <c r="T389" s="403">
        <f ca="1">IF(SUM(T385:$EI385)=0,"",IF(T$227="","",T$227+T385-1))</f>
        <v>45382</v>
      </c>
      <c r="U389" s="403">
        <f ca="1">IF(SUM(U385:$EI385)=0,"",IF(U$227="","",U$227+U385-1))</f>
        <v>45412</v>
      </c>
      <c r="V389" s="403">
        <f ca="1">IF(SUM(V385:$EI385)=0,"",IF(V$227="","",V$227+V385-1))</f>
        <v>45443</v>
      </c>
      <c r="W389" s="403">
        <f ca="1">IF(SUM(W385:$EI385)=0,"",IF(W$227="","",W$227+W385-1))</f>
        <v>45473</v>
      </c>
      <c r="X389" s="403">
        <f ca="1">IF(SUM(X385:$EI385)=0,"",IF(X$227="","",X$227+X385-1))</f>
        <v>45504</v>
      </c>
      <c r="Y389" s="403">
        <f ca="1">IF(SUM(Y385:$EI385)=0,"",IF(Y$227="","",Y$227+Y385-1))</f>
        <v>45535</v>
      </c>
      <c r="Z389" s="403">
        <f ca="1">IF(SUM(Z385:$EI385)=0,"",IF(Z$227="","",Z$227+Z385-1))</f>
        <v>45565</v>
      </c>
      <c r="AA389" s="403">
        <f ca="1">IF(SUM(AA385:$EI385)=0,"",IF(AA$227="","",AA$227+AA385-1))</f>
        <v>45596</v>
      </c>
      <c r="AB389" s="403">
        <f ca="1">IF(SUM(AB385:$EI385)=0,"",IF(AB$227="","",AB$227+AB385-1))</f>
        <v>45626</v>
      </c>
      <c r="AC389" s="403">
        <f ca="1">IF(SUM(AC385:$EI385)=0,"",IF(AC$227="","",AC$227+AC385-1))</f>
        <v>45657</v>
      </c>
      <c r="AD389" s="403">
        <f ca="1">IF(SUM(AD385:$EI385)=0,"",IF(AD$227="","",AD$227+AD385-1))</f>
        <v>45688</v>
      </c>
      <c r="AE389" s="403">
        <f ca="1">IF(SUM(AE385:$EI385)=0,"",IF(AE$227="","",AE$227+AE385-1))</f>
        <v>45716</v>
      </c>
      <c r="AF389" s="403">
        <f ca="1">IF(SUM(AF385:$EI385)=0,"",IF(AF$227="","",AF$227+AF385-1))</f>
        <v>45747</v>
      </c>
      <c r="AG389" s="403">
        <f ca="1">IF(SUM(AG385:$EI385)=0,"",IF(AG$227="","",AG$227+AG385-1))</f>
        <v>45777</v>
      </c>
      <c r="AH389" s="403">
        <f ca="1">IF(SUM(AH385:$EI385)=0,"",IF(AH$227="","",AH$227+AH385-1))</f>
        <v>45808</v>
      </c>
      <c r="AI389" s="403">
        <f ca="1">IF(SUM(AI385:$EI385)=0,"",IF(AI$227="","",AI$227+AI385-1))</f>
        <v>45838</v>
      </c>
      <c r="AJ389" s="403">
        <f ca="1">IF(SUM(AJ385:$EI385)=0,"",IF(AJ$227="","",AJ$227+AJ385-1))</f>
        <v>45869</v>
      </c>
      <c r="AK389" s="403">
        <f ca="1">IF(SUM(AK385:$EI385)=0,"",IF(AK$227="","",AK$227+AK385-1))</f>
        <v>45900</v>
      </c>
      <c r="AL389" s="403">
        <f ca="1">IF(SUM(AL385:$EI385)=0,"",IF(AL$227="","",AL$227+AL385-1))</f>
        <v>45930</v>
      </c>
      <c r="AM389" s="403">
        <f ca="1">IF(SUM(AM385:$EI385)=0,"",IF(AM$227="","",AM$227+AM385-1))</f>
        <v>45961</v>
      </c>
      <c r="AN389" s="403">
        <f ca="1">IF(SUM(AN385:$EI385)=0,"",IF(AN$227="","",AN$227+AN385-1))</f>
        <v>45991</v>
      </c>
      <c r="AO389" s="403">
        <f ca="1">IF(SUM(AO385:$EI385)=0,"",IF(AO$227="","",AO$227+AO385-1))</f>
        <v>46022</v>
      </c>
      <c r="AP389" s="403">
        <f ca="1">IF(SUM(AP385:$EI385)=0,"",IF(AP$227="","",AP$227+AP385-1))</f>
        <v>46053</v>
      </c>
      <c r="AQ389" s="403">
        <f ca="1">IF(SUM(AQ385:$EI385)=0,"",IF(AQ$227="","",AQ$227+AQ385-1))</f>
        <v>46081</v>
      </c>
      <c r="AR389" s="403">
        <f ca="1">IF(SUM(AR385:$EI385)=0,"",IF(AR$227="","",AR$227+AR385-1))</f>
        <v>46112</v>
      </c>
      <c r="AS389" s="403">
        <f ca="1">IF(SUM(AS385:$EI385)=0,"",IF(AS$227="","",AS$227+AS385-1))</f>
        <v>46142</v>
      </c>
      <c r="AT389" s="403">
        <f ca="1">IF(SUM(AT385:$EI385)=0,"",IF(AT$227="","",AT$227+AT385-1))</f>
        <v>46173</v>
      </c>
      <c r="AU389" s="403">
        <f ca="1">IF(SUM(AU385:$EI385)=0,"",IF(AU$227="","",AU$227+AU385-1))</f>
        <v>46203</v>
      </c>
      <c r="AV389" s="403">
        <f ca="1">IF(SUM(AV385:$EI385)=0,"",IF(AV$227="","",AV$227+AV385-1))</f>
        <v>46234</v>
      </c>
      <c r="AW389" s="403">
        <f ca="1">IF(SUM(AW385:$EI385)=0,"",IF(AW$227="","",AW$227+AW385-1))</f>
        <v>46265</v>
      </c>
      <c r="AX389" s="403">
        <f ca="1">IF(SUM(AX385:$EI385)=0,"",IF(AX$227="","",AX$227+AX385-1))</f>
        <v>46295</v>
      </c>
      <c r="AY389" s="403">
        <f ca="1">IF(SUM(AY385:$EI385)=0,"",IF(AY$227="","",AY$227+AY385-1))</f>
        <v>46326</v>
      </c>
      <c r="AZ389" s="403">
        <f ca="1">IF(SUM(AZ385:$EI385)=0,"",IF(AZ$227="","",AZ$227+AZ385-1))</f>
        <v>46356</v>
      </c>
      <c r="BA389" s="403">
        <f ca="1">IF(SUM(BA385:$EI385)=0,"",IF(BA$227="","",BA$227+BA385-1))</f>
        <v>46392</v>
      </c>
      <c r="BB389" s="403">
        <f ca="1">IF(SUM(BB385:$EI385)=0,"",IF(BB$227="","",BB$227+BB385-1))</f>
        <v>46446</v>
      </c>
      <c r="BC389" s="403">
        <f ca="1">IF(SUM(BC385:$EI385)=0,"",IF(BC$227="","",BC$227+BC385-1))</f>
        <v>46477</v>
      </c>
      <c r="BD389" s="403">
        <f ca="1">IF(SUM(BD385:$EI385)=0,"",IF(BD$227="","",BD$227+BD385-1))</f>
        <v>46507</v>
      </c>
      <c r="BE389" s="403">
        <f ca="1">IF(SUM(BE385:$EI385)=0,"",IF(BE$227="","",BE$227+BE385-1))</f>
        <v>46538</v>
      </c>
      <c r="BF389" s="403">
        <f ca="1">IF(SUM(BF385:$EI385)=0,"",IF(BF$227="","",BF$227+BF385-1))</f>
        <v>46568</v>
      </c>
      <c r="BG389" s="403">
        <f ca="1">IF(SUM(BG385:$EI385)=0,"",IF(BG$227="","",BG$227+BG385-1))</f>
        <v>46599</v>
      </c>
      <c r="BH389" s="403">
        <f ca="1">IF(SUM(BH385:$EI385)=0,"",IF(BH$227="","",BH$227+BH385-1))</f>
        <v>46630</v>
      </c>
      <c r="BI389" s="403">
        <f ca="1">IF(SUM(BI385:$EI385)=0,"",IF(BI$227="","",BI$227+BI385-1))</f>
        <v>46660</v>
      </c>
      <c r="BJ389" s="403">
        <f ca="1">IF(SUM(BJ385:$EI385)=0,"",IF(BJ$227="","",BJ$227+BJ385-1))</f>
        <v>46691</v>
      </c>
      <c r="BK389" s="403">
        <f ca="1">IF(SUM(BK385:$EI385)=0,"",IF(BK$227="","",BK$227+BK385-1))</f>
        <v>46721</v>
      </c>
      <c r="BL389" s="403">
        <f ca="1">IF(SUM(BL385:$EI385)=0,"",IF(BL$227="","",BL$227+BL385-1))</f>
        <v>46752</v>
      </c>
      <c r="BM389" s="403">
        <f ca="1">IF(SUM(BM385:$EI385)=0,"",IF(BM$227="","",BM$227+BM385-1))</f>
        <v>46783</v>
      </c>
      <c r="BN389" s="403">
        <f ca="1">IF(SUM(BN385:$EI385)=0,"",IF(BN$227="","",BN$227+BN385-1))</f>
        <v>46812</v>
      </c>
      <c r="BO389" s="403">
        <f ca="1">IF(SUM(BO385:$EI385)=0,"",IF(BO$227="","",BO$227+BO385-1))</f>
        <v>46843</v>
      </c>
      <c r="BP389" s="403">
        <f ca="1">IF(SUM(BP385:$EI385)=0,"",IF(BP$227="","",BP$227+BP385-1))</f>
        <v>46873</v>
      </c>
      <c r="BQ389" s="403">
        <f ca="1">IF(SUM(BQ385:$EI385)=0,"",IF(BQ$227="","",BQ$227+BQ385-1))</f>
        <v>46904</v>
      </c>
      <c r="BR389" s="403">
        <f ca="1">IF(SUM(BR385:$EI385)=0,"",IF(BR$227="","",BR$227+BR385-1))</f>
        <v>46934</v>
      </c>
      <c r="BS389" s="403">
        <f ca="1">IF(SUM(BS385:$EI385)=0,"",IF(BS$227="","",BS$227+BS385-1))</f>
        <v>46965</v>
      </c>
      <c r="BT389" s="403">
        <f ca="1">IF(SUM(BT385:$EI385)=0,"",IF(BT$227="","",BT$227+BT385-1))</f>
        <v>46996</v>
      </c>
      <c r="BU389" s="403">
        <f ca="1">IF(SUM(BU385:$EI385)=0,"",IF(BU$227="","",BU$227+BU385-1))</f>
        <v>47026</v>
      </c>
      <c r="BV389" s="403">
        <f ca="1">IF(SUM(BV385:$EI385)=0,"",IF(BV$227="","",BV$227+BV385-1))</f>
        <v>47057</v>
      </c>
      <c r="BW389" s="403">
        <f ca="1">IF(SUM(BW385:$EI385)=0,"",IF(BW$227="","",BW$227+BW385-1))</f>
        <v>47087</v>
      </c>
      <c r="BX389" s="403">
        <f ca="1">IF(SUM(BX385:$EI385)=0,"",IF(BX$227="","",BX$227+BX385-1))</f>
        <v>47118</v>
      </c>
      <c r="BY389" s="403">
        <f ca="1">IF(SUM(BY385:$EI385)=0,"",IF(BY$227="","",BY$227+BY385-1))</f>
        <v>47143</v>
      </c>
      <c r="BZ389" s="403" t="str">
        <f ca="1">IF(SUM(BZ385:$EI385)=0,"",IF(BZ$227="","",BZ$227+BZ385-1))</f>
        <v/>
      </c>
      <c r="CA389" s="403" t="str">
        <f ca="1">IF(SUM(CA385:$EI385)=0,"",IF(CA$227="","",CA$227+CA385-1))</f>
        <v/>
      </c>
      <c r="CB389" s="403" t="str">
        <f ca="1">IF(SUM(CB385:$EI385)=0,"",IF(CB$227="","",CB$227+CB385-1))</f>
        <v/>
      </c>
      <c r="CC389" s="403" t="str">
        <f ca="1">IF(SUM(CC385:$EI385)=0,"",IF(CC$227="","",CC$227+CC385-1))</f>
        <v/>
      </c>
      <c r="CD389" s="403" t="str">
        <f ca="1">IF(SUM(CD385:$EI385)=0,"",IF(CD$227="","",CD$227+CD385-1))</f>
        <v/>
      </c>
      <c r="CE389" s="403" t="str">
        <f ca="1">IF(SUM(CE385:$EI385)=0,"",IF(CE$227="","",CE$227+CE385-1))</f>
        <v/>
      </c>
      <c r="CF389" s="403" t="str">
        <f ca="1">IF(SUM(CF385:$EI385)=0,"",IF(CF$227="","",CF$227+CF385-1))</f>
        <v/>
      </c>
      <c r="CG389" s="403" t="str">
        <f ca="1">IF(SUM(CG385:$EI385)=0,"",IF(CG$227="","",CG$227+CG385-1))</f>
        <v/>
      </c>
      <c r="CH389" s="403" t="str">
        <f ca="1">IF(SUM(CH385:$EI385)=0,"",IF(CH$227="","",CH$227+CH385-1))</f>
        <v/>
      </c>
      <c r="CI389" s="403" t="str">
        <f ca="1">IF(SUM(CI385:$EI385)=0,"",IF(CI$227="","",CI$227+CI385-1))</f>
        <v/>
      </c>
      <c r="CJ389" s="403" t="str">
        <f ca="1">IF(SUM(CJ385:$EI385)=0,"",IF(CJ$227="","",CJ$227+CJ385-1))</f>
        <v/>
      </c>
      <c r="CK389" s="403" t="str">
        <f ca="1">IF(SUM(CK385:$EI385)=0,"",IF(CK$227="","",CK$227+CK385-1))</f>
        <v/>
      </c>
      <c r="CL389" s="403" t="str">
        <f ca="1">IF(SUM(CL385:$EI385)=0,"",IF(CL$227="","",CL$227+CL385-1))</f>
        <v/>
      </c>
      <c r="CM389" s="403" t="str">
        <f ca="1">IF(SUM(CM385:$EI385)=0,"",IF(CM$227="","",CM$227+CM385-1))</f>
        <v/>
      </c>
      <c r="CN389" s="403" t="str">
        <f ca="1">IF(SUM(CN385:$EI385)=0,"",IF(CN$227="","",CN$227+CN385-1))</f>
        <v/>
      </c>
      <c r="CO389" s="403" t="str">
        <f ca="1">IF(SUM(CO385:$EI385)=0,"",IF(CO$227="","",CO$227+CO385-1))</f>
        <v/>
      </c>
      <c r="CP389" s="403" t="str">
        <f ca="1">IF(SUM(CP385:$EI385)=0,"",IF(CP$227="","",CP$227+CP385-1))</f>
        <v/>
      </c>
      <c r="CQ389" s="403" t="str">
        <f ca="1">IF(SUM(CQ385:$EI385)=0,"",IF(CQ$227="","",CQ$227+CQ385-1))</f>
        <v/>
      </c>
      <c r="CR389" s="403" t="str">
        <f ca="1">IF(SUM(CR385:$EI385)=0,"",IF(CR$227="","",CR$227+CR385-1))</f>
        <v/>
      </c>
      <c r="CS389" s="403" t="str">
        <f ca="1">IF(SUM(CS385:$EI385)=0,"",IF(CS$227="","",CS$227+CS385-1))</f>
        <v/>
      </c>
      <c r="CT389" s="403" t="str">
        <f ca="1">IF(SUM(CT385:$EI385)=0,"",IF(CT$227="","",CT$227+CT385-1))</f>
        <v/>
      </c>
      <c r="CU389" s="403" t="str">
        <f ca="1">IF(SUM(CU385:$EI385)=0,"",IF(CU$227="","",CU$227+CU385-1))</f>
        <v/>
      </c>
      <c r="CV389" s="403" t="str">
        <f ca="1">IF(SUM(CV385:$EI385)=0,"",IF(CV$227="","",CV$227+CV385-1))</f>
        <v/>
      </c>
      <c r="CW389" s="403" t="str">
        <f ca="1">IF(SUM(CW385:$EI385)=0,"",IF(CW$227="","",CW$227+CW385-1))</f>
        <v/>
      </c>
      <c r="CX389" s="403" t="str">
        <f ca="1">IF(SUM(CX385:$EI385)=0,"",IF(CX$227="","",CX$227+CX385-1))</f>
        <v/>
      </c>
      <c r="CY389" s="403" t="str">
        <f ca="1">IF(SUM(CY385:$EI385)=0,"",IF(CY$227="","",CY$227+CY385-1))</f>
        <v/>
      </c>
      <c r="CZ389" s="403" t="str">
        <f ca="1">IF(SUM(CZ385:$EI385)=0,"",IF(CZ$227="","",CZ$227+CZ385-1))</f>
        <v/>
      </c>
      <c r="DA389" s="403" t="str">
        <f ca="1">IF(SUM(DA385:$EI385)=0,"",IF(DA$227="","",DA$227+DA385-1))</f>
        <v/>
      </c>
      <c r="DB389" s="403" t="str">
        <f ca="1">IF(SUM(DB385:$EI385)=0,"",IF(DB$227="","",DB$227+DB385-1))</f>
        <v/>
      </c>
      <c r="DC389" s="403" t="str">
        <f ca="1">IF(SUM(DC385:$EI385)=0,"",IF(DC$227="","",DC$227+DC385-1))</f>
        <v/>
      </c>
      <c r="DD389" s="403" t="str">
        <f ca="1">IF(SUM(DD385:$EI385)=0,"",IF(DD$227="","",DD$227+DD385-1))</f>
        <v/>
      </c>
      <c r="DE389" s="403" t="str">
        <f ca="1">IF(SUM(DE385:$EI385)=0,"",IF(DE$227="","",DE$227+DE385-1))</f>
        <v/>
      </c>
      <c r="DF389" s="403" t="str">
        <f ca="1">IF(SUM(DF385:$EI385)=0,"",IF(DF$227="","",DF$227+DF385-1))</f>
        <v/>
      </c>
      <c r="DG389" s="403" t="str">
        <f ca="1">IF(SUM(DG385:$EI385)=0,"",IF(DG$227="","",DG$227+DG385-1))</f>
        <v/>
      </c>
      <c r="DH389" s="403" t="str">
        <f ca="1">IF(SUM(DH385:$EI385)=0,"",IF(DH$227="","",DH$227+DH385-1))</f>
        <v/>
      </c>
      <c r="DI389" s="403" t="str">
        <f ca="1">IF(SUM(DI385:$EI385)=0,"",IF(DI$227="","",DI$227+DI385-1))</f>
        <v/>
      </c>
      <c r="DJ389" s="403" t="str">
        <f ca="1">IF(SUM(DJ385:$EI385)=0,"",IF(DJ$227="","",DJ$227+DJ385-1))</f>
        <v/>
      </c>
      <c r="DK389" s="403" t="str">
        <f ca="1">IF(SUM(DK385:$EI385)=0,"",IF(DK$227="","",DK$227+DK385-1))</f>
        <v/>
      </c>
      <c r="DL389" s="403" t="str">
        <f ca="1">IF(SUM(DL385:$EI385)=0,"",IF(DL$227="","",DL$227+DL385-1))</f>
        <v/>
      </c>
      <c r="DM389" s="403" t="str">
        <f ca="1">IF(SUM(DM385:$EI385)=0,"",IF(DM$227="","",DM$227+DM385-1))</f>
        <v/>
      </c>
      <c r="DN389" s="403" t="str">
        <f ca="1">IF(SUM(DN385:$EI385)=0,"",IF(DN$227="","",DN$227+DN385-1))</f>
        <v/>
      </c>
      <c r="DO389" s="403" t="str">
        <f ca="1">IF(SUM(DO385:$EI385)=0,"",IF(DO$227="","",DO$227+DO385-1))</f>
        <v/>
      </c>
      <c r="DP389" s="403" t="str">
        <f ca="1">IF(SUM(DP385:$EI385)=0,"",IF(DP$227="","",DP$227+DP385-1))</f>
        <v/>
      </c>
      <c r="DQ389" s="403" t="str">
        <f ca="1">IF(SUM(DQ385:$EI385)=0,"",IF(DQ$227="","",DQ$227+DQ385-1))</f>
        <v/>
      </c>
      <c r="DR389" s="403" t="str">
        <f ca="1">IF(SUM(DR385:$EI385)=0,"",IF(DR$227="","",DR$227+DR385-1))</f>
        <v/>
      </c>
      <c r="DS389" s="403" t="str">
        <f ca="1">IF(SUM(DS385:$EI385)=0,"",IF(DS$227="","",DS$227+DS385-1))</f>
        <v/>
      </c>
      <c r="DT389" s="403" t="str">
        <f ca="1">IF(SUM(DT385:$EI385)=0,"",IF(DT$227="","",DT$227+DT385-1))</f>
        <v/>
      </c>
      <c r="DU389" s="403" t="str">
        <f ca="1">IF(SUM(DU385:$EI385)=0,"",IF(DU$227="","",DU$227+DU385-1))</f>
        <v/>
      </c>
      <c r="DV389" s="403" t="str">
        <f ca="1">IF(SUM(DV385:$EI385)=0,"",IF(DV$227="","",DV$227+DV385-1))</f>
        <v/>
      </c>
      <c r="DW389" s="403" t="str">
        <f ca="1">IF(SUM(DW385:$EI385)=0,"",IF(DW$227="","",DW$227+DW385-1))</f>
        <v/>
      </c>
      <c r="DX389" s="403" t="str">
        <f ca="1">IF(SUM(DX385:$EI385)=0,"",IF(DX$227="","",DX$227+DX385-1))</f>
        <v/>
      </c>
      <c r="DY389" s="403" t="str">
        <f ca="1">IF(SUM(DY385:$EI385)=0,"",IF(DY$227="","",DY$227+DY385-1))</f>
        <v/>
      </c>
      <c r="DZ389" s="403" t="str">
        <f ca="1">IF(SUM(DZ385:$EI385)=0,"",IF(DZ$227="","",DZ$227+DZ385-1))</f>
        <v/>
      </c>
      <c r="EA389" s="403" t="str">
        <f ca="1">IF(SUM(EA385:$EI385)=0,"",IF(EA$227="","",EA$227+EA385-1))</f>
        <v/>
      </c>
      <c r="EB389" s="403" t="str">
        <f ca="1">IF(SUM(EB385:$EI385)=0,"",IF(EB$227="","",EB$227+EB385-1))</f>
        <v/>
      </c>
      <c r="EC389" s="403" t="str">
        <f ca="1">IF(SUM(EC385:$EI385)=0,"",IF(EC$227="","",EC$227+EC385-1))</f>
        <v/>
      </c>
      <c r="ED389" s="403" t="str">
        <f ca="1">IF(SUM(ED385:$EI385)=0,"",IF(ED$227="","",ED$227+ED385-1))</f>
        <v/>
      </c>
      <c r="EE389" s="403" t="str">
        <f ca="1">IF(SUM(EE385:$EI385)=0,"",IF(EE$227="","",EE$227+EE385-1))</f>
        <v/>
      </c>
      <c r="EF389" s="403" t="str">
        <f ca="1">IF(SUM(EF385:$EI385)=0,"",IF(EF$227="","",EF$227+EF385-1))</f>
        <v/>
      </c>
      <c r="EG389" s="403" t="str">
        <f ca="1">IF(SUM(EG385:$EI385)=0,"",IF(EG$227="","",EG$227+EG385-1))</f>
        <v/>
      </c>
      <c r="EH389" s="403" t="str">
        <f ca="1">IF(SUM(EH385:$EI385)=0,"",IF(EH$227="","",EH$227+EH385-1))</f>
        <v/>
      </c>
      <c r="EI389" s="403" t="str">
        <f ca="1">IF(SUM(EI385:$EI385)=0,"",IF(EI$227="","",EI$227+EI385-1))</f>
        <v/>
      </c>
    </row>
    <row r="390" spans="1:141" outlineLevel="1" collapsed="1">
      <c r="A390" s="332"/>
      <c r="B390" s="313"/>
      <c r="C390" s="317" t="s">
        <v>281</v>
      </c>
      <c r="D390" s="317" t="s">
        <v>687</v>
      </c>
      <c r="E390" s="400">
        <f ca="1">IF(ГРП!B42=0,длительность!E105,ГРП!B42)</f>
        <v>0</v>
      </c>
      <c r="F390" s="318">
        <f ca="1">E390-SUM(G390:EJ390)</f>
        <v>0</v>
      </c>
      <c r="G390" s="401"/>
      <c r="H390" s="401">
        <f ca="1">IF(SUM($G390:G390)&gt;=$E390,0,IF($E390-SUM($G390:G390)&gt;H391,H391,$E390-SUM($G391:G391)))</f>
        <v>0</v>
      </c>
      <c r="I390" s="401">
        <f ca="1">IF(SUM($G390:H390)&gt;=$E390,0,IF($E390-SUM($G390:H390)&gt;I391,I391,$E390-SUM($G391:H391)))</f>
        <v>0</v>
      </c>
      <c r="J390" s="401">
        <f ca="1">IF(SUM($G390:I390)&gt;=$E390,0,IF($E390-SUM($G390:I390)&gt;J391,J391,$E390-SUM($G391:I391)))</f>
        <v>0</v>
      </c>
      <c r="K390" s="401">
        <f ca="1">IF(SUM($G390:J390)&gt;=$E390,0,IF($E390-SUM($G390:J390)&gt;K391,K391,$E390-SUM($G391:J391)))</f>
        <v>0</v>
      </c>
      <c r="L390" s="401">
        <f ca="1">IF(SUM($G390:K390)&gt;=$E390,0,IF($E390-SUM($G390:K390)&gt;L391,L391,$E390-SUM($G391:K391)))</f>
        <v>0</v>
      </c>
      <c r="M390" s="401">
        <f ca="1">IF(SUM($G390:L390)&gt;=$E390,0,IF($E390-SUM($G390:L390)&gt;M391,M391,$E390-SUM($G391:L391)))</f>
        <v>0</v>
      </c>
      <c r="N390" s="401">
        <f ca="1">IF(SUM($G390:M390)&gt;=$E390,0,IF($E390-SUM($G390:M390)&gt;N391,N391,$E390-SUM($G391:M391)))</f>
        <v>0</v>
      </c>
      <c r="O390" s="401">
        <f ca="1">IF(SUM($G390:N390)&gt;=$E390,0,IF($E390-SUM($G390:N390)&gt;O391,O391,$E390-SUM($G391:N391)))</f>
        <v>0</v>
      </c>
      <c r="P390" s="401">
        <f ca="1">IF(SUM($G390:O390)&gt;=$E390,0,IF($E390-SUM($G390:O390)&gt;P391,P391,$E390-SUM($G391:O391)))</f>
        <v>0</v>
      </c>
      <c r="Q390" s="401">
        <f ca="1">IF(SUM($G390:P390)&gt;=$E390,0,IF($E390-SUM($G390:P390)&gt;Q391,Q391,$E390-SUM($G391:P391)))</f>
        <v>0</v>
      </c>
      <c r="R390" s="401">
        <f ca="1">IF(SUM($G390:Q390)&gt;=$E390,0,IF($E390-SUM($G390:Q390)&gt;R391,R391,$E390-SUM($G391:Q391)))</f>
        <v>0</v>
      </c>
      <c r="S390" s="401">
        <f ca="1">IF(SUM($G390:R390)&gt;=$E390,0,IF($E390-SUM($G390:R390)&gt;S391,S391,$E390-SUM($G391:R391)))</f>
        <v>0</v>
      </c>
      <c r="T390" s="401">
        <f ca="1">IF(SUM($G390:S390)&gt;=$E390,0,IF($E390-SUM($G390:S390)&gt;T391,T391,$E390-SUM($G391:S391)))</f>
        <v>0</v>
      </c>
      <c r="U390" s="401">
        <f ca="1">IF(SUM($G390:T390)&gt;=$E390,0,IF($E390-SUM($G390:T390)&gt;U391,U391,$E390-SUM($G391:T391)))</f>
        <v>0</v>
      </c>
      <c r="V390" s="401">
        <f ca="1">IF(SUM($G390:U390)&gt;=$E390,0,IF($E390-SUM($G390:U390)&gt;V391,V391,$E390-SUM($G391:U391)))</f>
        <v>0</v>
      </c>
      <c r="W390" s="401">
        <f ca="1">IF(SUM($G390:V390)&gt;=$E390,0,IF($E390-SUM($G390:V390)&gt;W391,W391,$E390-SUM($G391:V391)))</f>
        <v>0</v>
      </c>
      <c r="X390" s="401">
        <f ca="1">IF(SUM($G390:W390)&gt;=$E390,0,IF($E390-SUM($G390:W390)&gt;X391,X391,$E390-SUM($G391:W391)))</f>
        <v>0</v>
      </c>
      <c r="Y390" s="401">
        <f ca="1">IF(SUM($G390:X390)&gt;=$E390,0,IF($E390-SUM($G390:X390)&gt;Y391,Y391,$E390-SUM($G391:X391)))</f>
        <v>0</v>
      </c>
      <c r="Z390" s="401">
        <f ca="1">IF(SUM($G390:Y390)&gt;=$E390,0,IF($E390-SUM($G390:Y390)&gt;Z391,Z391,$E390-SUM($G391:Y391)))</f>
        <v>0</v>
      </c>
      <c r="AA390" s="401">
        <f ca="1">IF(SUM($G390:Z390)&gt;=$E390,0,IF($E390-SUM($G390:Z390)&gt;AA391,AA391,$E390-SUM($G391:Z391)))</f>
        <v>0</v>
      </c>
      <c r="AB390" s="401">
        <f ca="1">IF(SUM($G390:AA390)&gt;=$E390,0,IF($E390-SUM($G390:AA390)&gt;AB391,AB391,$E390-SUM($G391:AA391)))</f>
        <v>0</v>
      </c>
      <c r="AC390" s="401">
        <f ca="1">IF(SUM($G390:AB390)&gt;=$E390,0,IF($E390-SUM($G390:AB390)&gt;AC391,AC391,$E390-SUM($G391:AB391)))</f>
        <v>0</v>
      </c>
      <c r="AD390" s="401">
        <f ca="1">IF(SUM($G390:AC390)&gt;=$E390,0,IF($E390-SUM($G390:AC390)&gt;AD391,AD391,$E390-SUM($G391:AC391)))</f>
        <v>0</v>
      </c>
      <c r="AE390" s="401">
        <f ca="1">IF(SUM($G390:AD390)&gt;=$E390,0,IF($E390-SUM($G390:AD390)&gt;AE391,AE391,$E390-SUM($G391:AD391)))</f>
        <v>0</v>
      </c>
      <c r="AF390" s="401">
        <f ca="1">IF(SUM($G390:AE390)&gt;=$E390,0,IF($E390-SUM($G390:AE390)&gt;AF391,AF391,$E390-SUM($G391:AE391)))</f>
        <v>0</v>
      </c>
      <c r="AG390" s="401">
        <f ca="1">IF(SUM($G390:AF390)&gt;=$E390,0,IF($E390-SUM($G390:AF390)&gt;AG391,AG391,$E390-SUM($G391:AF391)))</f>
        <v>0</v>
      </c>
      <c r="AH390" s="401">
        <f ca="1">IF(SUM($G390:AG390)&gt;=$E390,0,IF($E390-SUM($G390:AG390)&gt;AH391,AH391,$E390-SUM($G391:AG391)))</f>
        <v>0</v>
      </c>
      <c r="AI390" s="401">
        <f ca="1">IF(SUM($G390:AH390)&gt;=$E390,0,IF($E390-SUM($G390:AH390)&gt;AI391,AI391,$E390-SUM($G391:AH391)))</f>
        <v>0</v>
      </c>
      <c r="AJ390" s="401">
        <f ca="1">IF(SUM($G390:AI390)&gt;=$E390,0,IF($E390-SUM($G390:AI390)&gt;AJ391,AJ391,$E390-SUM($G391:AI391)))</f>
        <v>0</v>
      </c>
      <c r="AK390" s="401">
        <f ca="1">IF(SUM($G390:AJ390)&gt;=$E390,0,IF($E390-SUM($G390:AJ390)&gt;AK391,AK391,$E390-SUM($G391:AJ391)))</f>
        <v>0</v>
      </c>
      <c r="AL390" s="401">
        <f ca="1">IF(SUM($G390:AK390)&gt;=$E390,0,IF($E390-SUM($G390:AK390)&gt;AL391,AL391,$E390-SUM($G391:AK391)))</f>
        <v>0</v>
      </c>
      <c r="AM390" s="401">
        <f ca="1">IF(SUM($G390:AL390)&gt;=$E390,0,IF($E390-SUM($G390:AL390)&gt;AM391,AM391,$E390-SUM($G391:AL391)))</f>
        <v>0</v>
      </c>
      <c r="AN390" s="401">
        <f ca="1">IF(SUM($G390:AM390)&gt;=$E390,0,IF($E390-SUM($G390:AM390)&gt;AN391,AN391,$E390-SUM($G391:AM391)))</f>
        <v>0</v>
      </c>
      <c r="AO390" s="401">
        <f ca="1">IF(SUM($G390:AN390)&gt;=$E390,0,IF($E390-SUM($G390:AN390)&gt;AO391,AO391,$E390-SUM($G391:AN391)))</f>
        <v>0</v>
      </c>
      <c r="AP390" s="401">
        <f ca="1">IF(SUM($G390:AO390)&gt;=$E390,0,IF($E390-SUM($G390:AO390)&gt;AP391,AP391,$E390-SUM($G391:AO391)))</f>
        <v>0</v>
      </c>
      <c r="AQ390" s="401">
        <f ca="1">IF(SUM($G390:AP390)&gt;=$E390,0,IF($E390-SUM($G390:AP390)&gt;AQ391,AQ391,$E390-SUM($G391:AP391)))</f>
        <v>0</v>
      </c>
      <c r="AR390" s="401">
        <f ca="1">IF(SUM($G390:AQ390)&gt;=$E390,0,IF($E390-SUM($G390:AQ390)&gt;AR391,AR391,$E390-SUM($G391:AQ391)))</f>
        <v>0</v>
      </c>
      <c r="AS390" s="401">
        <f ca="1">IF(SUM($G390:AR390)&gt;=$E390,0,IF($E390-SUM($G390:AR390)&gt;AS391,AS391,$E390-SUM($G391:AR391)))</f>
        <v>0</v>
      </c>
      <c r="AT390" s="401">
        <f ca="1">IF(SUM($G390:AS390)&gt;=$E390,0,IF($E390-SUM($G390:AS390)&gt;AT391,AT391,$E390-SUM($G391:AS391)))</f>
        <v>0</v>
      </c>
      <c r="AU390" s="401">
        <f ca="1">IF(SUM($G390:AT390)&gt;=$E390,0,IF($E390-SUM($G390:AT390)&gt;AU391,AU391,$E390-SUM($G391:AT391)))</f>
        <v>0</v>
      </c>
      <c r="AV390" s="401">
        <f ca="1">IF(SUM($G390:AU390)&gt;=$E390,0,IF($E390-SUM($G390:AU390)&gt;AV391,AV391,$E390-SUM($G391:AU391)))</f>
        <v>0</v>
      </c>
      <c r="AW390" s="401">
        <f ca="1">IF(SUM($G390:AV390)&gt;=$E390,0,IF($E390-SUM($G390:AV390)&gt;AW391,AW391,$E390-SUM($G391:AV391)))</f>
        <v>0</v>
      </c>
      <c r="AX390" s="401">
        <f ca="1">IF(SUM($G390:AW390)&gt;=$E390,0,IF($E390-SUM($G390:AW390)&gt;AX391,AX391,$E390-SUM($G391:AW391)))</f>
        <v>0</v>
      </c>
      <c r="AY390" s="401">
        <f ca="1">IF(SUM($G390:AX390)&gt;=$E390,0,IF($E390-SUM($G390:AX390)&gt;AY391,AY391,$E390-SUM($G391:AX391)))</f>
        <v>0</v>
      </c>
      <c r="AZ390" s="401">
        <f ca="1">IF(SUM($G390:AY390)&gt;=$E390,0,IF($E390-SUM($G390:AY390)&gt;AZ391,AZ391,$E390-SUM($G391:AY391)))</f>
        <v>0</v>
      </c>
      <c r="BA390" s="401">
        <f ca="1">IF(SUM($G390:AZ390)&gt;=$E390,0,IF($E390-SUM($G390:AZ390)&gt;BA391,BA391,$E390-SUM($G391:AZ391)))</f>
        <v>0</v>
      </c>
      <c r="BB390" s="401">
        <f ca="1">IF(SUM($G390:BA390)&gt;=$E390,0,IF($E390-SUM($G390:BA390)&gt;BB391,BB391,$E390-SUM($G391:BA391)))</f>
        <v>0</v>
      </c>
      <c r="BC390" s="401">
        <f ca="1">IF(SUM($G390:BB390)&gt;=$E390,0,IF($E390-SUM($G390:BB390)&gt;BC391,BC391,$E390-SUM($G391:BB391)))</f>
        <v>0</v>
      </c>
      <c r="BD390" s="401">
        <f ca="1">IF(SUM($G390:BC390)&gt;=$E390,0,IF($E390-SUM($G390:BC390)&gt;BD391,BD391,$E390-SUM($G391:BC391)))</f>
        <v>0</v>
      </c>
      <c r="BE390" s="401">
        <f ca="1">IF(SUM($G390:BD390)&gt;=$E390,0,IF($E390-SUM($G390:BD390)&gt;BE391,BE391,$E390-SUM($G391:BD391)))</f>
        <v>0</v>
      </c>
      <c r="BF390" s="401">
        <f ca="1">IF(SUM($G390:BE390)&gt;=$E390,0,IF($E390-SUM($G390:BE390)&gt;BF391,BF391,$E390-SUM($G391:BE391)))</f>
        <v>0</v>
      </c>
      <c r="BG390" s="401">
        <f ca="1">IF(SUM($G390:BF390)&gt;=$E390,0,IF($E390-SUM($G390:BF390)&gt;BG391,BG391,$E390-SUM($G391:BF391)))</f>
        <v>0</v>
      </c>
      <c r="BH390" s="401">
        <f ca="1">IF(SUM($G390:BG390)&gt;=$E390,0,IF($E390-SUM($G390:BG390)&gt;BH391,BH391,$E390-SUM($G391:BG391)))</f>
        <v>0</v>
      </c>
      <c r="BI390" s="401">
        <f ca="1">IF(SUM($G390:BH390)&gt;=$E390,0,IF($E390-SUM($G390:BH390)&gt;BI391,BI391,$E390-SUM($G391:BH391)))</f>
        <v>0</v>
      </c>
      <c r="BJ390" s="401">
        <f ca="1">IF(SUM($G390:BI390)&gt;=$E390,0,IF($E390-SUM($G390:BI390)&gt;BJ391,BJ391,$E390-SUM($G391:BI391)))</f>
        <v>0</v>
      </c>
      <c r="BK390" s="401">
        <f ca="1">IF(SUM($G390:BJ390)&gt;=$E390,0,IF($E390-SUM($G390:BJ390)&gt;BK391,BK391,$E390-SUM($G391:BJ391)))</f>
        <v>0</v>
      </c>
      <c r="BL390" s="401">
        <f ca="1">IF(SUM($G390:BK390)&gt;=$E390,0,IF($E390-SUM($G390:BK390)&gt;BL391,BL391,$E390-SUM($G391:BK391)))</f>
        <v>0</v>
      </c>
      <c r="BM390" s="401">
        <f ca="1">IF(SUM($G390:BL390)&gt;=$E390,0,IF($E390-SUM($G390:BL390)&gt;BM391,BM391,$E390-SUM($G391:BL391)))</f>
        <v>0</v>
      </c>
      <c r="BN390" s="401">
        <f ca="1">IF(SUM($G390:BM390)&gt;=$E390,0,IF($E390-SUM($G390:BM390)&gt;BN391,BN391,$E390-SUM($G391:BM391)))</f>
        <v>0</v>
      </c>
      <c r="BO390" s="401">
        <f ca="1">IF(SUM($G390:BN390)&gt;=$E390,0,IF($E390-SUM($G390:BN390)&gt;BO391,BO391,$E390-SUM($G391:BN391)))</f>
        <v>0</v>
      </c>
      <c r="BP390" s="401">
        <f ca="1">IF(SUM($G390:BO390)&gt;=$E390,0,IF($E390-SUM($G390:BO390)&gt;BP391,BP391,$E390-SUM($G391:BO391)))</f>
        <v>0</v>
      </c>
      <c r="BQ390" s="401">
        <f ca="1">IF(SUM($G390:BP390)&gt;=$E390,0,IF($E390-SUM($G390:BP390)&gt;BQ391,BQ391,$E390-SUM($G391:BP391)))</f>
        <v>0</v>
      </c>
      <c r="BR390" s="401">
        <f ca="1">IF(SUM($G390:BQ390)&gt;=$E390,0,IF($E390-SUM($G390:BQ390)&gt;BR391,BR391,$E390-SUM($G391:BQ391)))</f>
        <v>0</v>
      </c>
      <c r="BS390" s="401">
        <f ca="1">IF(SUM($G390:BR390)&gt;=$E390,0,IF($E390-SUM($G390:BR390)&gt;BS391,BS391,$E390-SUM($G391:BR391)))</f>
        <v>0</v>
      </c>
      <c r="BT390" s="401">
        <f ca="1">IF(SUM($G390:BS390)&gt;=$E390,0,IF($E390-SUM($G390:BS390)&gt;BT391,BT391,$E390-SUM($G391:BS391)))</f>
        <v>0</v>
      </c>
      <c r="BU390" s="401">
        <f ca="1">IF(SUM($G390:BT390)&gt;=$E390,0,IF($E390-SUM($G390:BT390)&gt;BU391,BU391,$E390-SUM($G391:BT391)))</f>
        <v>0</v>
      </c>
      <c r="BV390" s="401">
        <f ca="1">IF(SUM($G390:BU390)&gt;=$E390,0,IF($E390-SUM($G390:BU390)&gt;BV391,BV391,$E390-SUM($G391:BU391)))</f>
        <v>0</v>
      </c>
      <c r="BW390" s="401">
        <f ca="1">IF(SUM($G390:BV390)&gt;=$E390,0,IF($E390-SUM($G390:BV390)&gt;BW391,BW391,$E390-SUM($G391:BV391)))</f>
        <v>0</v>
      </c>
      <c r="BX390" s="401">
        <f ca="1">IF(SUM($G390:BW390)&gt;=$E390,0,IF($E390-SUM($G390:BW390)&gt;BX391,BX391,$E390-SUM($G391:BW391)))</f>
        <v>0</v>
      </c>
      <c r="BY390" s="401">
        <f ca="1">IF(SUM($G390:BX390)&gt;=$E390,0,IF($E390-SUM($G390:BX390)&gt;BY391,BY391,$E390-SUM($G391:BX391)))</f>
        <v>0</v>
      </c>
      <c r="BZ390" s="401">
        <f ca="1">IF(SUM($G390:BY390)&gt;=$E390,0,IF($E390-SUM($G390:BY390)&gt;BZ391,BZ391,$E390-SUM($G391:BY391)))</f>
        <v>0</v>
      </c>
      <c r="CA390" s="401">
        <f ca="1">IF(SUM($G390:BZ390)&gt;=$E390,0,IF($E390-SUM($G390:BZ390)&gt;CA391,CA391,$E390-SUM($G391:BZ391)))</f>
        <v>0</v>
      </c>
      <c r="CB390" s="401">
        <f ca="1">IF(SUM($G390:CA390)&gt;=$E390,0,IF($E390-SUM($G390:CA390)&gt;CB391,CB391,$E390-SUM($G391:CA391)))</f>
        <v>0</v>
      </c>
      <c r="CC390" s="401">
        <f ca="1">IF(SUM($G390:CB390)&gt;=$E390,0,IF($E390-SUM($G390:CB390)&gt;CC391,CC391,$E390-SUM($G391:CB391)))</f>
        <v>0</v>
      </c>
      <c r="CD390" s="401">
        <f ca="1">IF(SUM($G390:CC390)&gt;=$E390,0,IF($E390-SUM($G390:CC390)&gt;CD391,CD391,$E390-SUM($G391:CC391)))</f>
        <v>0</v>
      </c>
      <c r="CE390" s="401">
        <f ca="1">IF(SUM($G390:CD390)&gt;=$E390,0,IF($E390-SUM($G390:CD390)&gt;CE391,CE391,$E390-SUM($G391:CD391)))</f>
        <v>0</v>
      </c>
      <c r="CF390" s="401">
        <f ca="1">IF(SUM($G390:CE390)&gt;=$E390,0,IF($E390-SUM($G390:CE390)&gt;CF391,CF391,$E390-SUM($G391:CE391)))</f>
        <v>0</v>
      </c>
      <c r="CG390" s="401">
        <f ca="1">IF(SUM($G390:CF390)&gt;=$E390,0,IF($E390-SUM($G390:CF390)&gt;CG391,CG391,$E390-SUM($G391:CF391)))</f>
        <v>0</v>
      </c>
      <c r="CH390" s="401">
        <f ca="1">IF(SUM($G390:CG390)&gt;=$E390,0,IF($E390-SUM($G390:CG390)&gt;CH391,CH391,$E390-SUM($G391:CG391)))</f>
        <v>0</v>
      </c>
      <c r="CI390" s="401">
        <f ca="1">IF(SUM($G390:CH390)&gt;=$E390,0,IF($E390-SUM($G390:CH390)&gt;CI391,CI391,$E390-SUM($G391:CH391)))</f>
        <v>0</v>
      </c>
      <c r="CJ390" s="401">
        <f ca="1">IF(SUM($G390:CI390)&gt;=$E390,0,IF($E390-SUM($G390:CI390)&gt;CJ391,CJ391,$E390-SUM($G391:CI391)))</f>
        <v>0</v>
      </c>
      <c r="CK390" s="401">
        <f ca="1">IF(SUM($G390:CJ390)&gt;=$E390,0,IF($E390-SUM($G390:CJ390)&gt;CK391,CK391,$E390-SUM($G391:CJ391)))</f>
        <v>0</v>
      </c>
      <c r="CL390" s="401">
        <f ca="1">IF(SUM($G390:CK390)&gt;=$E390,0,IF($E390-SUM($G390:CK390)&gt;CL391,CL391,$E390-SUM($G391:CK391)))</f>
        <v>0</v>
      </c>
      <c r="CM390" s="401">
        <f ca="1">IF(SUM($G390:CL390)&gt;=$E390,0,IF($E390-SUM($G390:CL390)&gt;CM391,CM391,$E390-SUM($G391:CL391)))</f>
        <v>0</v>
      </c>
      <c r="CN390" s="401">
        <f ca="1">IF(SUM($G390:CM390)&gt;=$E390,0,IF($E390-SUM($G390:CM390)&gt;CN391,CN391,$E390-SUM($G391:CM391)))</f>
        <v>0</v>
      </c>
      <c r="CO390" s="401">
        <f ca="1">IF(SUM($G390:CN390)&gt;=$E390,0,IF($E390-SUM($G390:CN390)&gt;CO391,CO391,$E390-SUM($G391:CN391)))</f>
        <v>0</v>
      </c>
      <c r="CP390" s="401">
        <f ca="1">IF(SUM($G390:CO390)&gt;=$E390,0,IF($E390-SUM($G390:CO390)&gt;CP391,CP391,$E390-SUM($G391:CO391)))</f>
        <v>0</v>
      </c>
      <c r="CQ390" s="401">
        <f ca="1">IF(SUM($G390:CP390)&gt;=$E390,0,IF($E390-SUM($G390:CP390)&gt;CQ391,CQ391,$E390-SUM($G391:CP391)))</f>
        <v>0</v>
      </c>
      <c r="CR390" s="401">
        <f ca="1">IF(SUM($G390:CQ390)&gt;=$E390,0,IF($E390-SUM($G390:CQ390)&gt;CR391,CR391,$E390-SUM($G391:CQ391)))</f>
        <v>0</v>
      </c>
      <c r="CS390" s="401">
        <f ca="1">IF(SUM($G390:CR390)&gt;=$E390,0,IF($E390-SUM($G390:CR390)&gt;CS391,CS391,$E390-SUM($G391:CR391)))</f>
        <v>0</v>
      </c>
      <c r="CT390" s="401">
        <f ca="1">IF(SUM($G390:CS390)&gt;=$E390,0,IF($E390-SUM($G390:CS390)&gt;CT391,CT391,$E390-SUM($G391:CS391)))</f>
        <v>0</v>
      </c>
      <c r="CU390" s="401">
        <f ca="1">IF(SUM($G390:CT390)&gt;=$E390,0,IF($E390-SUM($G390:CT390)&gt;CU391,CU391,$E390-SUM($G391:CT391)))</f>
        <v>0</v>
      </c>
      <c r="CV390" s="401">
        <f ca="1">IF(SUM($G390:CU390)&gt;=$E390,0,IF($E390-SUM($G390:CU390)&gt;CV391,CV391,$E390-SUM($G391:CU391)))</f>
        <v>0</v>
      </c>
      <c r="CW390" s="401">
        <f ca="1">IF(SUM($G390:CV390)&gt;=$E390,0,IF($E390-SUM($G390:CV390)&gt;CW391,CW391,$E390-SUM($G391:CV391)))</f>
        <v>0</v>
      </c>
      <c r="CX390" s="401">
        <f ca="1">IF(SUM($G390:CW390)&gt;=$E390,0,IF($E390-SUM($G390:CW390)&gt;CX391,CX391,$E390-SUM($G391:CW391)))</f>
        <v>0</v>
      </c>
      <c r="CY390" s="401">
        <f ca="1">IF(SUM($G390:CX390)&gt;=$E390,0,IF($E390-SUM($G390:CX390)&gt;CY391,CY391,$E390-SUM($G391:CX391)))</f>
        <v>0</v>
      </c>
      <c r="CZ390" s="401">
        <f ca="1">IF(SUM($G390:CY390)&gt;=$E390,0,IF($E390-SUM($G390:CY390)&gt;CZ391,CZ391,$E390-SUM($G391:CY391)))</f>
        <v>0</v>
      </c>
      <c r="DA390" s="401">
        <f ca="1">IF(SUM($G390:CZ390)&gt;=$E390,0,IF($E390-SUM($G390:CZ390)&gt;DA391,DA391,$E390-SUM($G391:CZ391)))</f>
        <v>0</v>
      </c>
      <c r="DB390" s="401">
        <f ca="1">IF(SUM($G390:DA390)&gt;=$E390,0,IF($E390-SUM($G390:DA390)&gt;DB391,DB391,$E390-SUM($G391:DA391)))</f>
        <v>0</v>
      </c>
      <c r="DC390" s="401">
        <f ca="1">IF(SUM($G390:DB390)&gt;=$E390,0,IF($E390-SUM($G390:DB390)&gt;DC391,DC391,$E390-SUM($G391:DB391)))</f>
        <v>0</v>
      </c>
      <c r="DD390" s="401">
        <f ca="1">IF(SUM($G390:DC390)&gt;=$E390,0,IF($E390-SUM($G390:DC390)&gt;DD391,DD391,$E390-SUM($G391:DC391)))</f>
        <v>0</v>
      </c>
      <c r="DE390" s="401">
        <f ca="1">IF(SUM($G390:DD390)&gt;=$E390,0,IF($E390-SUM($G390:DD390)&gt;DE391,DE391,$E390-SUM($G391:DD391)))</f>
        <v>0</v>
      </c>
      <c r="DF390" s="401">
        <f ca="1">IF(SUM($G390:DE390)&gt;=$E390,0,IF($E390-SUM($G390:DE390)&gt;DF391,DF391,$E390-SUM($G391:DE391)))</f>
        <v>0</v>
      </c>
      <c r="DG390" s="401">
        <f ca="1">IF(SUM($G390:DF390)&gt;=$E390,0,IF($E390-SUM($G390:DF390)&gt;DG391,DG391,$E390-SUM($G391:DF391)))</f>
        <v>0</v>
      </c>
      <c r="DH390" s="401">
        <f ca="1">IF(SUM($G390:DG390)&gt;=$E390,0,IF($E390-SUM($G390:DG390)&gt;DH391,DH391,$E390-SUM($G391:DG391)))</f>
        <v>0</v>
      </c>
      <c r="DI390" s="401">
        <f ca="1">IF(SUM($G390:DH390)&gt;=$E390,0,IF($E390-SUM($G390:DH390)&gt;DI391,DI391,$E390-SUM($G391:DH391)))</f>
        <v>0</v>
      </c>
      <c r="DJ390" s="401">
        <f ca="1">IF(SUM($G390:DI390)&gt;=$E390,0,IF($E390-SUM($G390:DI390)&gt;DJ391,DJ391,$E390-SUM($G391:DI391)))</f>
        <v>0</v>
      </c>
      <c r="DK390" s="401">
        <f ca="1">IF(SUM($G390:DJ390)&gt;=$E390,0,IF($E390-SUM($G390:DJ390)&gt;DK391,DK391,$E390-SUM($G391:DJ391)))</f>
        <v>0</v>
      </c>
      <c r="DL390" s="401">
        <f ca="1">IF(SUM($G390:DK390)&gt;=$E390,0,IF($E390-SUM($G390:DK390)&gt;DL391,DL391,$E390-SUM($G391:DK391)))</f>
        <v>0</v>
      </c>
      <c r="DM390" s="401">
        <f ca="1">IF(SUM($G390:DL390)&gt;=$E390,0,IF($E390-SUM($G390:DL390)&gt;DM391,DM391,$E390-SUM($G391:DL391)))</f>
        <v>0</v>
      </c>
      <c r="DN390" s="401">
        <f ca="1">IF(SUM($G390:DM390)&gt;=$E390,0,IF($E390-SUM($G390:DM390)&gt;DN391,DN391,$E390-SUM($G391:DM391)))</f>
        <v>0</v>
      </c>
      <c r="DO390" s="401">
        <f ca="1">IF(SUM($G390:DN390)&gt;=$E390,0,IF($E390-SUM($G390:DN390)&gt;DO391,DO391,$E390-SUM($G391:DN391)))</f>
        <v>0</v>
      </c>
      <c r="DP390" s="401">
        <f ca="1">IF(SUM($G390:DO390)&gt;=$E390,0,IF($E390-SUM($G390:DO390)&gt;DP391,DP391,$E390-SUM($G391:DO391)))</f>
        <v>0</v>
      </c>
      <c r="DQ390" s="401">
        <f ca="1">IF(SUM($G390:DP390)&gt;=$E390,0,IF($E390-SUM($G390:DP390)&gt;DQ391,DQ391,$E390-SUM($G391:DP391)))</f>
        <v>0</v>
      </c>
      <c r="DR390" s="401">
        <f ca="1">IF(SUM($G390:DQ390)&gt;=$E390,0,IF($E390-SUM($G390:DQ390)&gt;DR391,DR391,$E390-SUM($G391:DQ391)))</f>
        <v>0</v>
      </c>
      <c r="DS390" s="401">
        <f ca="1">IF(SUM($G390:DR390)&gt;=$E390,0,IF($E390-SUM($G390:DR390)&gt;DS391,DS391,$E390-SUM($G391:DR391)))</f>
        <v>0</v>
      </c>
      <c r="DT390" s="401">
        <f ca="1">IF(SUM($G390:DS390)&gt;=$E390,0,IF($E390-SUM($G390:DS390)&gt;DT391,DT391,$E390-SUM($G391:DS391)))</f>
        <v>0</v>
      </c>
      <c r="DU390" s="401">
        <f ca="1">IF(SUM($G390:DT390)&gt;=$E390,0,IF($E390-SUM($G390:DT390)&gt;DU391,DU391,$E390-SUM($G391:DT391)))</f>
        <v>0</v>
      </c>
      <c r="DV390" s="401">
        <f ca="1">IF(SUM($G390:DU390)&gt;=$E390,0,IF($E390-SUM($G390:DU390)&gt;DV391,DV391,$E390-SUM($G391:DU391)))</f>
        <v>0</v>
      </c>
      <c r="DW390" s="401">
        <f ca="1">IF(SUM($G390:DV390)&gt;=$E390,0,IF($E390-SUM($G390:DV390)&gt;DW391,DW391,$E390-SUM($G391:DV391)))</f>
        <v>0</v>
      </c>
      <c r="DX390" s="401">
        <f ca="1">IF(SUM($G390:DW390)&gt;=$E390,0,IF($E390-SUM($G390:DW390)&gt;DX391,DX391,$E390-SUM($G391:DW391)))</f>
        <v>0</v>
      </c>
      <c r="DY390" s="401">
        <f ca="1">IF(SUM($G390:DX390)&gt;=$E390,0,IF($E390-SUM($G390:DX390)&gt;DY391,DY391,$E390-SUM($G391:DX391)))</f>
        <v>0</v>
      </c>
      <c r="DZ390" s="401">
        <f ca="1">IF(SUM($G390:DY390)&gt;=$E390,0,IF($E390-SUM($G390:DY390)&gt;DZ391,DZ391,$E390-SUM($G391:DY391)))</f>
        <v>0</v>
      </c>
      <c r="EA390" s="401">
        <f ca="1">IF(SUM($G390:DZ390)&gt;=$E390,0,IF($E390-SUM($G390:DZ390)&gt;EA391,EA391,$E390-SUM($G391:DZ391)))</f>
        <v>0</v>
      </c>
      <c r="EB390" s="401">
        <f ca="1">IF(SUM($G390:EA390)&gt;=$E390,0,IF($E390-SUM($G390:EA390)&gt;EB391,EB391,$E390-SUM($G391:EA391)))</f>
        <v>0</v>
      </c>
      <c r="EC390" s="401">
        <f ca="1">IF(SUM($G390:EB390)&gt;=$E390,0,IF($E390-SUM($G390:EB390)&gt;EC391,EC391,$E390-SUM($G391:EB391)))</f>
        <v>0</v>
      </c>
      <c r="ED390" s="401">
        <f ca="1">IF(SUM($G390:EC390)&gt;=$E390,0,IF($E390-SUM($G390:EC390)&gt;ED391,ED391,$E390-SUM($G391:EC391)))</f>
        <v>0</v>
      </c>
      <c r="EE390" s="401">
        <f ca="1">IF(SUM($G390:ED390)&gt;=$E390,0,IF($E390-SUM($G390:ED390)&gt;EE391,EE391,$E390-SUM($G391:ED391)))</f>
        <v>0</v>
      </c>
      <c r="EF390" s="401">
        <f ca="1">IF(SUM($G390:EE390)&gt;=$E390,0,IF($E390-SUM($G390:EE390)&gt;EF391,EF391,$E390-SUM($G391:EE391)))</f>
        <v>0</v>
      </c>
      <c r="EG390" s="401">
        <f ca="1">IF(SUM($G390:EF390)&gt;=$E390,0,IF($E390-SUM($G390:EF390)&gt;EG391,EG391,$E390-SUM($G391:EF391)))</f>
        <v>0</v>
      </c>
      <c r="EH390" s="401">
        <f ca="1">IF(SUM($G390:EG390)&gt;=$E390,0,IF($E390-SUM($G390:EG390)&gt;EH391,EH391,$E390-SUM($G391:EG391)))</f>
        <v>0</v>
      </c>
      <c r="EI390" s="401">
        <f ca="1">IF(SUM($G390:EH390)&gt;=$E390,0,IF($E390-SUM($G390:EH390)&gt;EI391,EI391,$E390-SUM($G391:EH391)))</f>
        <v>0</v>
      </c>
      <c r="EK390" s="313"/>
    </row>
    <row r="391" spans="1:141" hidden="1" outlineLevel="2">
      <c r="A391" s="332"/>
      <c r="B391" s="313"/>
      <c r="C391" s="308"/>
      <c r="D391" s="308"/>
      <c r="E391" s="308"/>
      <c r="G391" s="405"/>
      <c r="H391" s="405">
        <f ca="1">IF((SUM($G270:H270)-$E269)&lt;0,0,IF((SUM($G270:H270)-$E269)&lt;H270,SUM($G270:H270)-$E269,H270))</f>
        <v>0</v>
      </c>
      <c r="I391" s="405">
        <f ca="1">IF((SUM($G270:I270)-$E269)&lt;0,0,IF((SUM($G270:I270)-$E269)&lt;I270,SUM($G270:I270)-$E269,I270))</f>
        <v>0</v>
      </c>
      <c r="J391" s="405">
        <f ca="1">IF((SUM($G270:J270)-$E269)&lt;0,0,IF((SUM($G270:J270)-$E269)&lt;J270,SUM($G270:J270)-$E269,J270))</f>
        <v>0</v>
      </c>
      <c r="K391" s="405">
        <f ca="1">IF((SUM($G270:K270)-$E269)&lt;0,0,IF((SUM($G270:K270)-$E269)&lt;K270,SUM($G270:K270)-$E269,K270))</f>
        <v>0</v>
      </c>
      <c r="L391" s="405">
        <f ca="1">IF((SUM($G270:L270)-$E269)&lt;0,0,IF((SUM($G270:L270)-$E269)&lt;L270,SUM($G270:L270)-$E269,L270))</f>
        <v>0</v>
      </c>
      <c r="M391" s="405">
        <f ca="1">IF((SUM($G270:M270)-$E269)&lt;0,0,IF((SUM($G270:M270)-$E269)&lt;M270,SUM($G270:M270)-$E269,M270))</f>
        <v>0</v>
      </c>
      <c r="N391" s="405">
        <f ca="1">IF((SUM($G270:N270)-$E269)&lt;0,0,IF((SUM($G270:N270)-$E269)&lt;N270,SUM($G270:N270)-$E269,N270))</f>
        <v>0</v>
      </c>
      <c r="O391" s="405">
        <f ca="1">IF((SUM($G270:O270)-$E269)&lt;0,0,IF((SUM($G270:O270)-$E269)&lt;O270,SUM($G270:O270)-$E269,O270))</f>
        <v>0</v>
      </c>
      <c r="P391" s="405">
        <f ca="1">IF((SUM($G270:P270)-$E269)&lt;0,0,IF((SUM($G270:P270)-$E269)&lt;P270,SUM($G270:P270)-$E269,P270))</f>
        <v>0</v>
      </c>
      <c r="Q391" s="405">
        <f ca="1">IF((SUM($G270:Q270)-$E269)&lt;0,0,IF((SUM($G270:Q270)-$E269)&lt;Q270,SUM($G270:Q270)-$E269,Q270))</f>
        <v>0</v>
      </c>
      <c r="R391" s="405">
        <f ca="1">IF((SUM($G270:R270)-$E269)&lt;0,0,IF((SUM($G270:R270)-$E269)&lt;R270,SUM($G270:R270)-$E269,R270))</f>
        <v>0</v>
      </c>
      <c r="S391" s="405">
        <f ca="1">IF((SUM($G270:S270)-$E269)&lt;0,0,IF((SUM($G270:S270)-$E269)&lt;S270,SUM($G270:S270)-$E269,S270))</f>
        <v>0</v>
      </c>
      <c r="T391" s="405">
        <f ca="1">IF((SUM($G270:T270)-$E269)&lt;0,0,IF((SUM($G270:T270)-$E269)&lt;T270,SUM($G270:T270)-$E269,T270))</f>
        <v>0</v>
      </c>
      <c r="U391" s="405">
        <f ca="1">IF((SUM($G270:U270)-$E269)&lt;0,0,IF((SUM($G270:U270)-$E269)&lt;U270,SUM($G270:U270)-$E269,U270))</f>
        <v>0</v>
      </c>
      <c r="V391" s="405">
        <f ca="1">IF((SUM($G270:V270)-$E269)&lt;0,0,IF((SUM($G270:V270)-$E269)&lt;V270,SUM($G270:V270)-$E269,V270))</f>
        <v>0</v>
      </c>
      <c r="W391" s="405">
        <f ca="1">IF((SUM($G270:W270)-$E269)&lt;0,0,IF((SUM($G270:W270)-$E269)&lt;W270,SUM($G270:W270)-$E269,W270))</f>
        <v>0</v>
      </c>
      <c r="X391" s="405">
        <f ca="1">IF((SUM($G270:X270)-$E269)&lt;0,0,IF((SUM($G270:X270)-$E269)&lt;X270,SUM($G270:X270)-$E269,X270))</f>
        <v>0</v>
      </c>
      <c r="Y391" s="405">
        <f ca="1">IF((SUM($G270:Y270)-$E269)&lt;0,0,IF((SUM($G270:Y270)-$E269)&lt;Y270,SUM($G270:Y270)-$E269,Y270))</f>
        <v>0</v>
      </c>
      <c r="Z391" s="405">
        <f ca="1">IF((SUM($G270:Z270)-$E269)&lt;0,0,IF((SUM($G270:Z270)-$E269)&lt;Z270,SUM($G270:Z270)-$E269,Z270))</f>
        <v>0</v>
      </c>
      <c r="AA391" s="405">
        <f ca="1">IF((SUM($G270:AA270)-$E269)&lt;0,0,IF((SUM($G270:AA270)-$E269)&lt;AA270,SUM($G270:AA270)-$E269,AA270))</f>
        <v>0</v>
      </c>
      <c r="AB391" s="405">
        <f ca="1">IF((SUM($G270:AB270)-$E269)&lt;0,0,IF((SUM($G270:AB270)-$E269)&lt;AB270,SUM($G270:AB270)-$E269,AB270))</f>
        <v>0</v>
      </c>
      <c r="AC391" s="405">
        <f ca="1">IF((SUM($G270:AC270)-$E269)&lt;0,0,IF((SUM($G270:AC270)-$E269)&lt;AC270,SUM($G270:AC270)-$E269,AC270))</f>
        <v>0</v>
      </c>
      <c r="AD391" s="405">
        <f ca="1">IF((SUM($G270:AD270)-$E269)&lt;0,0,IF((SUM($G270:AD270)-$E269)&lt;AD270,SUM($G270:AD270)-$E269,AD270))</f>
        <v>0</v>
      </c>
      <c r="AE391" s="405">
        <f ca="1">IF((SUM($G270:AE270)-$E269)&lt;0,0,IF((SUM($G270:AE270)-$E269)&lt;AE270,SUM($G270:AE270)-$E269,AE270))</f>
        <v>0</v>
      </c>
      <c r="AF391" s="405">
        <f ca="1">IF((SUM($G270:AF270)-$E269)&lt;0,0,IF((SUM($G270:AF270)-$E269)&lt;AF270,SUM($G270:AF270)-$E269,AF270))</f>
        <v>0</v>
      </c>
      <c r="AG391" s="405">
        <f ca="1">IF((SUM($G270:AG270)-$E269)&lt;0,0,IF((SUM($G270:AG270)-$E269)&lt;AG270,SUM($G270:AG270)-$E269,AG270))</f>
        <v>0</v>
      </c>
      <c r="AH391" s="405">
        <f ca="1">IF((SUM($G270:AH270)-$E269)&lt;0,0,IF((SUM($G270:AH270)-$E269)&lt;AH270,SUM($G270:AH270)-$E269,AH270))</f>
        <v>0</v>
      </c>
      <c r="AI391" s="405">
        <f ca="1">IF((SUM($G270:AI270)-$E269)&lt;0,0,IF((SUM($G270:AI270)-$E269)&lt;AI270,SUM($G270:AI270)-$E269,AI270))</f>
        <v>0</v>
      </c>
      <c r="AJ391" s="405">
        <f ca="1">IF((SUM($G270:AJ270)-$E269)&lt;0,0,IF((SUM($G270:AJ270)-$E269)&lt;AJ270,SUM($G270:AJ270)-$E269,AJ270))</f>
        <v>0</v>
      </c>
      <c r="AK391" s="405">
        <f ca="1">IF((SUM($G270:AK270)-$E269)&lt;0,0,IF((SUM($G270:AK270)-$E269)&lt;AK270,SUM($G270:AK270)-$E269,AK270))</f>
        <v>0</v>
      </c>
      <c r="AL391" s="405">
        <f ca="1">IF((SUM($G270:AL270)-$E269)&lt;0,0,IF((SUM($G270:AL270)-$E269)&lt;AL270,SUM($G270:AL270)-$E269,AL270))</f>
        <v>0</v>
      </c>
      <c r="AM391" s="405">
        <f ca="1">IF((SUM($G270:AM270)-$E269)&lt;0,0,IF((SUM($G270:AM270)-$E269)&lt;AM270,SUM($G270:AM270)-$E269,AM270))</f>
        <v>0</v>
      </c>
      <c r="AN391" s="405">
        <f ca="1">IF((SUM($G270:AN270)-$E269)&lt;0,0,IF((SUM($G270:AN270)-$E269)&lt;AN270,SUM($G270:AN270)-$E269,AN270))</f>
        <v>0</v>
      </c>
      <c r="AO391" s="405">
        <f ca="1">IF((SUM($G270:AO270)-$E269)&lt;0,0,IF((SUM($G270:AO270)-$E269)&lt;AO270,SUM($G270:AO270)-$E269,AO270))</f>
        <v>0</v>
      </c>
      <c r="AP391" s="405">
        <f ca="1">IF((SUM($G270:AP270)-$E269)&lt;0,0,IF((SUM($G270:AP270)-$E269)&lt;AP270,SUM($G270:AP270)-$E269,AP270))</f>
        <v>0</v>
      </c>
      <c r="AQ391" s="405">
        <f ca="1">IF((SUM($G270:AQ270)-$E269)&lt;0,0,IF((SUM($G270:AQ270)-$E269)&lt;AQ270,SUM($G270:AQ270)-$E269,AQ270))</f>
        <v>0</v>
      </c>
      <c r="AR391" s="405">
        <f ca="1">IF((SUM($G270:AR270)-$E269)&lt;0,0,IF((SUM($G270:AR270)-$E269)&lt;AR270,SUM($G270:AR270)-$E269,AR270))</f>
        <v>0</v>
      </c>
      <c r="AS391" s="405">
        <f ca="1">IF((SUM($G270:AS270)-$E269)&lt;0,0,IF((SUM($G270:AS270)-$E269)&lt;AS270,SUM($G270:AS270)-$E269,AS270))</f>
        <v>0</v>
      </c>
      <c r="AT391" s="405">
        <f ca="1">IF((SUM($G270:AT270)-$E269)&lt;0,0,IF((SUM($G270:AT270)-$E269)&lt;AT270,SUM($G270:AT270)-$E269,AT270))</f>
        <v>0</v>
      </c>
      <c r="AU391" s="405">
        <f ca="1">IF((SUM($G270:AU270)-$E269)&lt;0,0,IF((SUM($G270:AU270)-$E269)&lt;AU270,SUM($G270:AU270)-$E269,AU270))</f>
        <v>0</v>
      </c>
      <c r="AV391" s="405">
        <f ca="1">IF((SUM($G270:AV270)-$E269)&lt;0,0,IF((SUM($G270:AV270)-$E269)&lt;AV270,SUM($G270:AV270)-$E269,AV270))</f>
        <v>0</v>
      </c>
      <c r="AW391" s="405">
        <f ca="1">IF((SUM($G270:AW270)-$E269)&lt;0,0,IF((SUM($G270:AW270)-$E269)&lt;AW270,SUM($G270:AW270)-$E269,AW270))</f>
        <v>0</v>
      </c>
      <c r="AX391" s="405">
        <f ca="1">IF((SUM($G270:AX270)-$E269)&lt;0,0,IF((SUM($G270:AX270)-$E269)&lt;AX270,SUM($G270:AX270)-$E269,AX270))</f>
        <v>0</v>
      </c>
      <c r="AY391" s="405">
        <f ca="1">IF((SUM($G270:AY270)-$E269)&lt;0,0,IF((SUM($G270:AY270)-$E269)&lt;AY270,SUM($G270:AY270)-$E269,AY270))</f>
        <v>0</v>
      </c>
      <c r="AZ391" s="405">
        <f ca="1">IF((SUM($G270:AZ270)-$E269)&lt;0,0,IF((SUM($G270:AZ270)-$E269)&lt;AZ270,SUM($G270:AZ270)-$E269,AZ270))</f>
        <v>0</v>
      </c>
      <c r="BA391" s="405">
        <f ca="1">IF((SUM($G270:BA270)-$E269)&lt;0,0,IF((SUM($G270:BA270)-$E269)&lt;BA270,SUM($G270:BA270)-$E269,BA270))</f>
        <v>5</v>
      </c>
      <c r="BB391" s="405">
        <f ca="1">IF((SUM($G270:BB270)-$E269)&lt;0,0,IF((SUM($G270:BB270)-$E269)&lt;BB270,SUM($G270:BB270)-$E269,BB270))</f>
        <v>28</v>
      </c>
      <c r="BC391" s="405">
        <f ca="1">IF((SUM($G270:BC270)-$E269)&lt;0,0,IF((SUM($G270:BC270)-$E269)&lt;BC270,SUM($G270:BC270)-$E269,BC270))</f>
        <v>31</v>
      </c>
      <c r="BD391" s="405">
        <f ca="1">IF((SUM($G270:BD270)-$E269)&lt;0,0,IF((SUM($G270:BD270)-$E269)&lt;BD270,SUM($G270:BD270)-$E269,BD270))</f>
        <v>30</v>
      </c>
      <c r="BE391" s="405">
        <f ca="1">IF((SUM($G270:BE270)-$E269)&lt;0,0,IF((SUM($G270:BE270)-$E269)&lt;BE270,SUM($G270:BE270)-$E269,BE270))</f>
        <v>31</v>
      </c>
      <c r="BF391" s="405">
        <f ca="1">IF((SUM($G270:BF270)-$E269)&lt;0,0,IF((SUM($G270:BF270)-$E269)&lt;BF270,SUM($G270:BF270)-$E269,BF270))</f>
        <v>30</v>
      </c>
      <c r="BG391" s="405">
        <f ca="1">IF((SUM($G270:BG270)-$E269)&lt;0,0,IF((SUM($G270:BG270)-$E269)&lt;BG270,SUM($G270:BG270)-$E269,BG270))</f>
        <v>31</v>
      </c>
      <c r="BH391" s="405">
        <f ca="1">IF((SUM($G270:BH270)-$E269)&lt;0,0,IF((SUM($G270:BH270)-$E269)&lt;BH270,SUM($G270:BH270)-$E269,BH270))</f>
        <v>31</v>
      </c>
      <c r="BI391" s="405">
        <f ca="1">IF((SUM($G270:BI270)-$E269)&lt;0,0,IF((SUM($G270:BI270)-$E269)&lt;BI270,SUM($G270:BI270)-$E269,BI270))</f>
        <v>30</v>
      </c>
      <c r="BJ391" s="405">
        <f ca="1">IF((SUM($G270:BJ270)-$E269)&lt;0,0,IF((SUM($G270:BJ270)-$E269)&lt;BJ270,SUM($G270:BJ270)-$E269,BJ270))</f>
        <v>31</v>
      </c>
      <c r="BK391" s="405">
        <f ca="1">IF((SUM($G270:BK270)-$E269)&lt;0,0,IF((SUM($G270:BK270)-$E269)&lt;BK270,SUM($G270:BK270)-$E269,BK270))</f>
        <v>30</v>
      </c>
      <c r="BL391" s="405">
        <f ca="1">IF((SUM($G270:BL270)-$E269)&lt;0,0,IF((SUM($G270:BL270)-$E269)&lt;BL270,SUM($G270:BL270)-$E269,BL270))</f>
        <v>31</v>
      </c>
      <c r="BM391" s="405">
        <f ca="1">IF((SUM($G270:BM270)-$E269)&lt;0,0,IF((SUM($G270:BM270)-$E269)&lt;BM270,SUM($G270:BM270)-$E269,BM270))</f>
        <v>31</v>
      </c>
      <c r="BN391" s="405">
        <f ca="1">IF((SUM($G270:BN270)-$E269)&lt;0,0,IF((SUM($G270:BN270)-$E269)&lt;BN270,SUM($G270:BN270)-$E269,BN270))</f>
        <v>29</v>
      </c>
      <c r="BO391" s="405">
        <f ca="1">IF((SUM($G270:BO270)-$E269)&lt;0,0,IF((SUM($G270:BO270)-$E269)&lt;BO270,SUM($G270:BO270)-$E269,BO270))</f>
        <v>31</v>
      </c>
      <c r="BP391" s="405">
        <f ca="1">IF((SUM($G270:BP270)-$E269)&lt;0,0,IF((SUM($G270:BP270)-$E269)&lt;BP270,SUM($G270:BP270)-$E269,BP270))</f>
        <v>30</v>
      </c>
      <c r="BQ391" s="405">
        <f ca="1">IF((SUM($G270:BQ270)-$E269)&lt;0,0,IF((SUM($G270:BQ270)-$E269)&lt;BQ270,SUM($G270:BQ270)-$E269,BQ270))</f>
        <v>31</v>
      </c>
      <c r="BR391" s="405">
        <f ca="1">IF((SUM($G270:BR270)-$E269)&lt;0,0,IF((SUM($G270:BR270)-$E269)&lt;BR270,SUM($G270:BR270)-$E269,BR270))</f>
        <v>30</v>
      </c>
      <c r="BS391" s="405">
        <f ca="1">IF((SUM($G270:BS270)-$E269)&lt;0,0,IF((SUM($G270:BS270)-$E269)&lt;BS270,SUM($G270:BS270)-$E269,BS270))</f>
        <v>31</v>
      </c>
      <c r="BT391" s="405">
        <f ca="1">IF((SUM($G270:BT270)-$E269)&lt;0,0,IF((SUM($G270:BT270)-$E269)&lt;BT270,SUM($G270:BT270)-$E269,BT270))</f>
        <v>31</v>
      </c>
      <c r="BU391" s="405">
        <f ca="1">IF((SUM($G270:BU270)-$E269)&lt;0,0,IF((SUM($G270:BU270)-$E269)&lt;BU270,SUM($G270:BU270)-$E269,BU270))</f>
        <v>30</v>
      </c>
      <c r="BV391" s="405">
        <f ca="1">IF((SUM($G270:BV270)-$E269)&lt;0,0,IF((SUM($G270:BV270)-$E269)&lt;BV270,SUM($G270:BV270)-$E269,BV270))</f>
        <v>31</v>
      </c>
      <c r="BW391" s="405">
        <f ca="1">IF((SUM($G270:BW270)-$E269)&lt;0,0,IF((SUM($G270:BW270)-$E269)&lt;BW270,SUM($G270:BW270)-$E269,BW270))</f>
        <v>30</v>
      </c>
      <c r="BX391" s="405">
        <f ca="1">IF((SUM($G270:BX270)-$E269)&lt;0,0,IF((SUM($G270:BX270)-$E269)&lt;BX270,SUM($G270:BX270)-$E269,BX270))</f>
        <v>31</v>
      </c>
      <c r="BY391" s="405">
        <f ca="1">IF((SUM($G270:BY270)-$E269)&lt;0,0,IF((SUM($G270:BY270)-$E269)&lt;BY270,SUM($G270:BY270)-$E269,BY270))</f>
        <v>31</v>
      </c>
      <c r="BZ391" s="405">
        <f ca="1">IF((SUM($G270:BZ270)-$E269)&lt;0,0,IF((SUM($G270:BZ270)-$E269)&lt;BZ270,SUM($G270:BZ270)-$E269,BZ270))</f>
        <v>28</v>
      </c>
      <c r="CA391" s="405">
        <f ca="1">IF((SUM($G270:CA270)-$E269)&lt;0,0,IF((SUM($G270:CA270)-$E269)&lt;CA270,SUM($G270:CA270)-$E269,CA270))</f>
        <v>31</v>
      </c>
      <c r="CB391" s="405">
        <f ca="1">IF((SUM($G270:CB270)-$E269)&lt;0,0,IF((SUM($G270:CB270)-$E269)&lt;CB270,SUM($G270:CB270)-$E269,CB270))</f>
        <v>30</v>
      </c>
      <c r="CC391" s="405">
        <f ca="1">IF((SUM($G270:CC270)-$E269)&lt;0,0,IF((SUM($G270:CC270)-$E269)&lt;CC270,SUM($G270:CC270)-$E269,CC270))</f>
        <v>31</v>
      </c>
      <c r="CD391" s="405">
        <f ca="1">IF((SUM($G270:CD270)-$E269)&lt;0,0,IF((SUM($G270:CD270)-$E269)&lt;CD270,SUM($G270:CD270)-$E269,CD270))</f>
        <v>30</v>
      </c>
      <c r="CE391" s="405">
        <f ca="1">IF((SUM($G270:CE270)-$E269)&lt;0,0,IF((SUM($G270:CE270)-$E269)&lt;CE270,SUM($G270:CE270)-$E269,CE270))</f>
        <v>31</v>
      </c>
      <c r="CF391" s="405">
        <f ca="1">IF((SUM($G270:CF270)-$E269)&lt;0,0,IF((SUM($G270:CF270)-$E269)&lt;CF270,SUM($G270:CF270)-$E269,CF270))</f>
        <v>31</v>
      </c>
      <c r="CG391" s="405">
        <f ca="1">IF((SUM($G270:CG270)-$E269)&lt;0,0,IF((SUM($G270:CG270)-$E269)&lt;CG270,SUM($G270:CG270)-$E269,CG270))</f>
        <v>30</v>
      </c>
      <c r="CH391" s="405">
        <f ca="1">IF((SUM($G270:CH270)-$E269)&lt;0,0,IF((SUM($G270:CH270)-$E269)&lt;CH270,SUM($G270:CH270)-$E269,CH270))</f>
        <v>31</v>
      </c>
      <c r="CI391" s="405">
        <f ca="1">IF((SUM($G270:CI270)-$E269)&lt;0,0,IF((SUM($G270:CI270)-$E269)&lt;CI270,SUM($G270:CI270)-$E269,CI270))</f>
        <v>30</v>
      </c>
      <c r="CJ391" s="405">
        <f ca="1">IF((SUM($G270:CJ270)-$E269)&lt;0,0,IF((SUM($G270:CJ270)-$E269)&lt;CJ270,SUM($G270:CJ270)-$E269,CJ270))</f>
        <v>31</v>
      </c>
      <c r="CK391" s="405">
        <f ca="1">IF((SUM($G270:CK270)-$E269)&lt;0,0,IF((SUM($G270:CK270)-$E269)&lt;CK270,SUM($G270:CK270)-$E269,CK270))</f>
        <v>31</v>
      </c>
      <c r="CL391" s="405">
        <f ca="1">IF((SUM($G270:CL270)-$E269)&lt;0,0,IF((SUM($G270:CL270)-$E269)&lt;CL270,SUM($G270:CL270)-$E269,CL270))</f>
        <v>28</v>
      </c>
      <c r="CM391" s="405">
        <f ca="1">IF((SUM($G270:CM270)-$E269)&lt;0,0,IF((SUM($G270:CM270)-$E269)&lt;CM270,SUM($G270:CM270)-$E269,CM270))</f>
        <v>31</v>
      </c>
      <c r="CN391" s="405">
        <f ca="1">IF((SUM($G270:CN270)-$E269)&lt;0,0,IF((SUM($G270:CN270)-$E269)&lt;CN270,SUM($G270:CN270)-$E269,CN270))</f>
        <v>30</v>
      </c>
      <c r="CO391" s="405">
        <f ca="1">IF((SUM($G270:CO270)-$E269)&lt;0,0,IF((SUM($G270:CO270)-$E269)&lt;CO270,SUM($G270:CO270)-$E269,CO270))</f>
        <v>31</v>
      </c>
      <c r="CP391" s="405">
        <f ca="1">IF((SUM($G270:CP270)-$E269)&lt;0,0,IF((SUM($G270:CP270)-$E269)&lt;CP270,SUM($G270:CP270)-$E269,CP270))</f>
        <v>30</v>
      </c>
      <c r="CQ391" s="405">
        <f ca="1">IF((SUM($G270:CQ270)-$E269)&lt;0,0,IF((SUM($G270:CQ270)-$E269)&lt;CQ270,SUM($G270:CQ270)-$E269,CQ270))</f>
        <v>31</v>
      </c>
      <c r="CR391" s="405">
        <f ca="1">IF((SUM($G270:CR270)-$E269)&lt;0,0,IF((SUM($G270:CR270)-$E269)&lt;CR270,SUM($G270:CR270)-$E269,CR270))</f>
        <v>31</v>
      </c>
      <c r="CS391" s="405">
        <f ca="1">IF((SUM($G270:CS270)-$E269)&lt;0,0,IF((SUM($G270:CS270)-$E269)&lt;CS270,SUM($G270:CS270)-$E269,CS270))</f>
        <v>30</v>
      </c>
      <c r="CT391" s="405">
        <f ca="1">IF((SUM($G270:CT270)-$E269)&lt;0,0,IF((SUM($G270:CT270)-$E269)&lt;CT270,SUM($G270:CT270)-$E269,CT270))</f>
        <v>31</v>
      </c>
      <c r="CU391" s="405">
        <f ca="1">IF((SUM($G270:CU270)-$E269)&lt;0,0,IF((SUM($G270:CU270)-$E269)&lt;CU270,SUM($G270:CU270)-$E269,CU270))</f>
        <v>30</v>
      </c>
      <c r="CV391" s="405">
        <f ca="1">IF((SUM($G270:CV270)-$E269)&lt;0,0,IF((SUM($G270:CV270)-$E269)&lt;CV270,SUM($G270:CV270)-$E269,CV270))</f>
        <v>31</v>
      </c>
      <c r="CW391" s="405">
        <f ca="1">IF((SUM($G270:CW270)-$E269)&lt;0,0,IF((SUM($G270:CW270)-$E269)&lt;CW270,SUM($G270:CW270)-$E269,CW270))</f>
        <v>31</v>
      </c>
      <c r="CX391" s="405">
        <f ca="1">IF((SUM($G270:CX270)-$E269)&lt;0,0,IF((SUM($G270:CX270)-$E269)&lt;CX270,SUM($G270:CX270)-$E269,CX270))</f>
        <v>28</v>
      </c>
      <c r="CY391" s="405">
        <f ca="1">IF((SUM($G270:CY270)-$E269)&lt;0,0,IF((SUM($G270:CY270)-$E269)&lt;CY270,SUM($G270:CY270)-$E269,CY270))</f>
        <v>31</v>
      </c>
      <c r="CZ391" s="405">
        <f ca="1">IF((SUM($G270:CZ270)-$E269)&lt;0,0,IF((SUM($G270:CZ270)-$E269)&lt;CZ270,SUM($G270:CZ270)-$E269,CZ270))</f>
        <v>30</v>
      </c>
      <c r="DA391" s="405">
        <f ca="1">IF((SUM($G270:DA270)-$E269)&lt;0,0,IF((SUM($G270:DA270)-$E269)&lt;DA270,SUM($G270:DA270)-$E269,DA270))</f>
        <v>31</v>
      </c>
      <c r="DB391" s="405">
        <f ca="1">IF((SUM($G270:DB270)-$E269)&lt;0,0,IF((SUM($G270:DB270)-$E269)&lt;DB270,SUM($G270:DB270)-$E269,DB270))</f>
        <v>30</v>
      </c>
      <c r="DC391" s="405">
        <f ca="1">IF((SUM($G270:DC270)-$E269)&lt;0,0,IF((SUM($G270:DC270)-$E269)&lt;DC270,SUM($G270:DC270)-$E269,DC270))</f>
        <v>31</v>
      </c>
      <c r="DD391" s="405">
        <f ca="1">IF((SUM($G270:DD270)-$E269)&lt;0,0,IF((SUM($G270:DD270)-$E269)&lt;DD270,SUM($G270:DD270)-$E269,DD270))</f>
        <v>31</v>
      </c>
      <c r="DE391" s="405">
        <f ca="1">IF((SUM($G270:DE270)-$E269)&lt;0,0,IF((SUM($G270:DE270)-$E269)&lt;DE270,SUM($G270:DE270)-$E269,DE270))</f>
        <v>30</v>
      </c>
      <c r="DF391" s="405">
        <f ca="1">IF((SUM($G270:DF270)-$E269)&lt;0,0,IF((SUM($G270:DF270)-$E269)&lt;DF270,SUM($G270:DF270)-$E269,DF270))</f>
        <v>31</v>
      </c>
      <c r="DG391" s="405">
        <f ca="1">IF((SUM($G270:DG270)-$E269)&lt;0,0,IF((SUM($G270:DG270)-$E269)&lt;DG270,SUM($G270:DG270)-$E269,DG270))</f>
        <v>30</v>
      </c>
      <c r="DH391" s="405">
        <f ca="1">IF((SUM($G270:DH270)-$E269)&lt;0,0,IF((SUM($G270:DH270)-$E269)&lt;DH270,SUM($G270:DH270)-$E269,DH270))</f>
        <v>31</v>
      </c>
      <c r="DI391" s="405">
        <f ca="1">IF((SUM($G270:DI270)-$E269)&lt;0,0,IF((SUM($G270:DI270)-$E269)&lt;DI270,SUM($G270:DI270)-$E269,DI270))</f>
        <v>31</v>
      </c>
      <c r="DJ391" s="405">
        <f ca="1">IF((SUM($G270:DJ270)-$E269)&lt;0,0,IF((SUM($G270:DJ270)-$E269)&lt;DJ270,SUM($G270:DJ270)-$E269,DJ270))</f>
        <v>29</v>
      </c>
      <c r="DK391" s="405">
        <f ca="1">IF((SUM($G270:DK270)-$E269)&lt;0,0,IF((SUM($G270:DK270)-$E269)&lt;DK270,SUM($G270:DK270)-$E269,DK270))</f>
        <v>31</v>
      </c>
      <c r="DL391" s="405">
        <f ca="1">IF((SUM($G270:DL270)-$E269)&lt;0,0,IF((SUM($G270:DL270)-$E269)&lt;DL270,SUM($G270:DL270)-$E269,DL270))</f>
        <v>30</v>
      </c>
      <c r="DM391" s="405">
        <f ca="1">IF((SUM($G270:DM270)-$E269)&lt;0,0,IF((SUM($G270:DM270)-$E269)&lt;DM270,SUM($G270:DM270)-$E269,DM270))</f>
        <v>31</v>
      </c>
      <c r="DN391" s="405">
        <f ca="1">IF((SUM($G270:DN270)-$E269)&lt;0,0,IF((SUM($G270:DN270)-$E269)&lt;DN270,SUM($G270:DN270)-$E269,DN270))</f>
        <v>30</v>
      </c>
      <c r="DO391" s="405">
        <f ca="1">IF((SUM($G270:DO270)-$E269)&lt;0,0,IF((SUM($G270:DO270)-$E269)&lt;DO270,SUM($G270:DO270)-$E269,DO270))</f>
        <v>31</v>
      </c>
      <c r="DP391" s="405">
        <f ca="1">IF((SUM($G270:DP270)-$E269)&lt;0,0,IF((SUM($G270:DP270)-$E269)&lt;DP270,SUM($G270:DP270)-$E269,DP270))</f>
        <v>31</v>
      </c>
      <c r="DQ391" s="405">
        <f ca="1">IF((SUM($G270:DQ270)-$E269)&lt;0,0,IF((SUM($G270:DQ270)-$E269)&lt;DQ270,SUM($G270:DQ270)-$E269,DQ270))</f>
        <v>30</v>
      </c>
      <c r="DR391" s="405">
        <f ca="1">IF((SUM($G270:DR270)-$E269)&lt;0,0,IF((SUM($G270:DR270)-$E269)&lt;DR270,SUM($G270:DR270)-$E269,DR270))</f>
        <v>31</v>
      </c>
      <c r="DS391" s="405">
        <f ca="1">IF((SUM($G270:DS270)-$E269)&lt;0,0,IF((SUM($G270:DS270)-$E269)&lt;DS270,SUM($G270:DS270)-$E269,DS270))</f>
        <v>30</v>
      </c>
      <c r="DT391" s="405">
        <f ca="1">IF((SUM($G270:DT270)-$E269)&lt;0,0,IF((SUM($G270:DT270)-$E269)&lt;DT270,SUM($G270:DT270)-$E269,DT270))</f>
        <v>31</v>
      </c>
      <c r="DU391" s="405">
        <f ca="1">IF((SUM($G270:DU270)-$E269)&lt;0,0,IF((SUM($G270:DU270)-$E269)&lt;DU270,SUM($G270:DU270)-$E269,DU270))</f>
        <v>31</v>
      </c>
      <c r="DV391" s="405">
        <f ca="1">IF((SUM($G270:DV270)-$E269)&lt;0,0,IF((SUM($G270:DV270)-$E269)&lt;DV270,SUM($G270:DV270)-$E269,DV270))</f>
        <v>28</v>
      </c>
      <c r="DW391" s="405">
        <f ca="1">IF((SUM($G270:DW270)-$E269)&lt;0,0,IF((SUM($G270:DW270)-$E269)&lt;DW270,SUM($G270:DW270)-$E269,DW270))</f>
        <v>31</v>
      </c>
      <c r="DX391" s="405">
        <f ca="1">IF((SUM($G270:DX270)-$E269)&lt;0,0,IF((SUM($G270:DX270)-$E269)&lt;DX270,SUM($G270:DX270)-$E269,DX270))</f>
        <v>30</v>
      </c>
      <c r="DY391" s="405">
        <f ca="1">IF((SUM($G270:DY270)-$E269)&lt;0,0,IF((SUM($G270:DY270)-$E269)&lt;DY270,SUM($G270:DY270)-$E269,DY270))</f>
        <v>31</v>
      </c>
      <c r="DZ391" s="405">
        <f ca="1">IF((SUM($G270:DZ270)-$E269)&lt;0,0,IF((SUM($G270:DZ270)-$E269)&lt;DZ270,SUM($G270:DZ270)-$E269,DZ270))</f>
        <v>30</v>
      </c>
      <c r="EA391" s="405">
        <f ca="1">IF((SUM($G270:EA270)-$E269)&lt;0,0,IF((SUM($G270:EA270)-$E269)&lt;EA270,SUM($G270:EA270)-$E269,EA270))</f>
        <v>31</v>
      </c>
      <c r="EB391" s="405">
        <f ca="1">IF((SUM($G270:EB270)-$E269)&lt;0,0,IF((SUM($G270:EB270)-$E269)&lt;EB270,SUM($G270:EB270)-$E269,EB270))</f>
        <v>31</v>
      </c>
      <c r="EC391" s="405">
        <f ca="1">IF((SUM($G270:EC270)-$E269)&lt;0,0,IF((SUM($G270:EC270)-$E269)&lt;EC270,SUM($G270:EC270)-$E269,EC270))</f>
        <v>30</v>
      </c>
      <c r="ED391" s="405">
        <f ca="1">IF((SUM($G270:ED270)-$E269)&lt;0,0,IF((SUM($G270:ED270)-$E269)&lt;ED270,SUM($G270:ED270)-$E269,ED270))</f>
        <v>31</v>
      </c>
      <c r="EE391" s="405">
        <f ca="1">IF((SUM($G270:EE270)-$E269)&lt;0,0,IF((SUM($G270:EE270)-$E269)&lt;EE270,SUM($G270:EE270)-$E269,EE270))</f>
        <v>30</v>
      </c>
      <c r="EF391" s="405">
        <f ca="1">IF((SUM($G270:EF270)-$E269)&lt;0,0,IF((SUM($G270:EF270)-$E269)&lt;EF270,SUM($G270:EF270)-$E269,EF270))</f>
        <v>31</v>
      </c>
      <c r="EG391" s="405">
        <f ca="1">IF((SUM($G270:EG270)-$E269)&lt;0,0,IF((SUM($G270:EG270)-$E269)&lt;EG270,SUM($G270:EG270)-$E269,EG270))</f>
        <v>31</v>
      </c>
      <c r="EH391" s="405">
        <f ca="1">IF((SUM($G270:EH270)-$E269)&lt;0,0,IF((SUM($G270:EH270)-$E269)&lt;EH270,SUM($G270:EH270)-$E269,EH270))</f>
        <v>28</v>
      </c>
      <c r="EI391" s="405">
        <f ca="1">IF((SUM($G270:EI270)-$E269)&lt;0,0,IF((SUM($G270:EI270)-$E269)&lt;EI270,SUM($G270:EI270)-$E269,EI270))</f>
        <v>31</v>
      </c>
    </row>
    <row r="392" spans="1:141" hidden="1" outlineLevel="2">
      <c r="A392" s="332"/>
      <c r="D392" s="305" t="s">
        <v>670</v>
      </c>
      <c r="E392" s="403">
        <f ca="1">MIN(G392:EI392)</f>
        <v>0</v>
      </c>
      <c r="F392" s="404">
        <f ca="1">MAX(G392:EI392)</f>
        <v>0</v>
      </c>
      <c r="G392" s="403" t="str">
        <f ca="1">IF(G390=0,"",IF(SUM($G390:G390)&gt;=1,OFFSET(G$228,-1,0),""))</f>
        <v/>
      </c>
      <c r="H392" s="403" t="str">
        <f ca="1">IF(SUM($G392:G392)&gt;=1,"",IF(H390=0,"",IF(SUM($G390:H390)&gt;=1,OFFSET(H$228,-1,0),"")))</f>
        <v/>
      </c>
      <c r="I392" s="403" t="str">
        <f ca="1">IF(SUM($G392:H392)&gt;=1,"",IF(I390=0,"",IF(SUM($G390:I390)&gt;=1,OFFSET(I$228,-1,0),"")))</f>
        <v/>
      </c>
      <c r="J392" s="403" t="str">
        <f ca="1">IF(SUM($G392:I392)&gt;=1,"",IF(J390=0,"",IF(SUM($G390:J390)&gt;=1,OFFSET(J$228,-1,0),"")))</f>
        <v/>
      </c>
      <c r="K392" s="403" t="str">
        <f ca="1">IF(SUM($G392:J392)&gt;=1,"",IF(K390=0,"",IF(SUM($G390:K390)&gt;=1,OFFSET(K$228,-1,0),"")))</f>
        <v/>
      </c>
      <c r="L392" s="403" t="str">
        <f ca="1">IF(SUM($G392:K392)&gt;=1,"",IF(L390=0,"",IF(SUM($G390:L390)&gt;=1,OFFSET(L$228,-1,0),"")))</f>
        <v/>
      </c>
      <c r="M392" s="403" t="str">
        <f ca="1">IF(SUM($G392:L392)&gt;=1,"",IF(M390=0,"",IF(SUM($G390:M390)&gt;=1,OFFSET(M$228,-1,0),"")))</f>
        <v/>
      </c>
      <c r="N392" s="403" t="str">
        <f ca="1">IF(SUM($G392:M392)&gt;=1,"",IF(N390=0,"",IF(SUM($G390:N390)&gt;=1,OFFSET(N$228,-1,0),"")))</f>
        <v/>
      </c>
      <c r="O392" s="403" t="str">
        <f ca="1">IF(SUM($G392:N392)&gt;=1,"",IF(O390=0,"",IF(SUM($G390:O390)&gt;=1,OFFSET(O$228,-1,0),"")))</f>
        <v/>
      </c>
      <c r="P392" s="403" t="str">
        <f ca="1">IF(SUM($G392:O392)&gt;=1,"",IF(P390=0,"",IF(SUM($G390:P390)&gt;=1,OFFSET(P$228,-1,0),"")))</f>
        <v/>
      </c>
      <c r="Q392" s="403" t="str">
        <f ca="1">IF(SUM($G392:P392)&gt;=1,"",IF(Q390=0,"",IF(SUM($G390:Q390)&gt;=1,OFFSET(Q$228,-1,0),"")))</f>
        <v/>
      </c>
      <c r="R392" s="403" t="str">
        <f ca="1">IF(SUM($G392:Q392)&gt;=1,"",IF(R390=0,"",IF(SUM($G390:R390)&gt;=1,OFFSET(R$228,-1,0),"")))</f>
        <v/>
      </c>
      <c r="S392" s="403" t="str">
        <f ca="1">IF(SUM($G392:R392)&gt;=1,"",IF(S390=0,"",IF(SUM($G390:S390)&gt;=1,OFFSET(S$228,-1,0),"")))</f>
        <v/>
      </c>
      <c r="T392" s="403" t="str">
        <f ca="1">IF(SUM($G392:S392)&gt;=1,"",IF(T390=0,"",IF(SUM($G390:T390)&gt;=1,OFFSET(T$228,-1,0),"")))</f>
        <v/>
      </c>
      <c r="U392" s="403" t="str">
        <f ca="1">IF(SUM($G392:T392)&gt;=1,"",IF(U390=0,"",IF(SUM($G390:U390)&gt;=1,OFFSET(U$228,-1,0),"")))</f>
        <v/>
      </c>
      <c r="V392" s="403" t="str">
        <f ca="1">IF(SUM($G392:U392)&gt;=1,"",IF(V390=0,"",IF(SUM($G390:V390)&gt;=1,OFFSET(V$228,-1,0),"")))</f>
        <v/>
      </c>
      <c r="W392" s="403" t="str">
        <f ca="1">IF(SUM($G392:V392)&gt;=1,"",IF(W390=0,"",IF(SUM($G390:W390)&gt;=1,OFFSET(W$228,-1,0),"")))</f>
        <v/>
      </c>
      <c r="X392" s="403" t="str">
        <f ca="1">IF(SUM($G392:W392)&gt;=1,"",IF(X390=0,"",IF(SUM($G390:X390)&gt;=1,OFFSET(X$228,-1,0),"")))</f>
        <v/>
      </c>
      <c r="Y392" s="403" t="str">
        <f ca="1">IF(SUM($G392:X392)&gt;=1,"",IF(Y390=0,"",IF(SUM($G390:Y390)&gt;=1,OFFSET(Y$228,-1,0),"")))</f>
        <v/>
      </c>
      <c r="Z392" s="403" t="str">
        <f ca="1">IF(SUM($G392:Y392)&gt;=1,"",IF(Z390=0,"",IF(SUM($G390:Z390)&gt;=1,OFFSET(Z$228,-1,0),"")))</f>
        <v/>
      </c>
      <c r="AA392" s="403" t="str">
        <f ca="1">IF(SUM($G392:Z392)&gt;=1,"",IF(AA390=0,"",IF(SUM($G390:AA390)&gt;=1,OFFSET(AA$228,-1,0),"")))</f>
        <v/>
      </c>
      <c r="AB392" s="403" t="str">
        <f ca="1">IF(SUM($G392:AA392)&gt;=1,"",IF(AB390=0,"",IF(SUM($G390:AB390)&gt;=1,OFFSET(AB$228,-1,0),"")))</f>
        <v/>
      </c>
      <c r="AC392" s="403" t="str">
        <f ca="1">IF(SUM($G392:AB392)&gt;=1,"",IF(AC390=0,"",IF(SUM($G390:AC390)&gt;=1,OFFSET(AC$228,-1,0),"")))</f>
        <v/>
      </c>
      <c r="AD392" s="403" t="str">
        <f ca="1">IF(SUM($G392:AC392)&gt;=1,"",IF(AD390=0,"",IF(SUM($G390:AD390)&gt;=1,OFFSET(AD$228,-1,0),"")))</f>
        <v/>
      </c>
      <c r="AE392" s="403" t="str">
        <f ca="1">IF(SUM($G392:AD392)&gt;=1,"",IF(AE390=0,"",IF(SUM($G390:AE390)&gt;=1,OFFSET(AE$228,-1,0),"")))</f>
        <v/>
      </c>
      <c r="AF392" s="403" t="str">
        <f ca="1">IF(SUM($G392:AE392)&gt;=1,"",IF(AF390=0,"",IF(SUM($G390:AF390)&gt;=1,OFFSET(AF$228,-1,0),"")))</f>
        <v/>
      </c>
      <c r="AG392" s="403" t="str">
        <f ca="1">IF(SUM($G392:AF392)&gt;=1,"",IF(AG390=0,"",IF(SUM($G390:AG390)&gt;=1,OFFSET(AG$228,-1,0),"")))</f>
        <v/>
      </c>
      <c r="AH392" s="403" t="str">
        <f ca="1">IF(SUM($G392:AG392)&gt;=1,"",IF(AH390=0,"",IF(SUM($G390:AH390)&gt;=1,OFFSET(AH$228,-1,0),"")))</f>
        <v/>
      </c>
      <c r="AI392" s="403" t="str">
        <f ca="1">IF(SUM($G392:AH392)&gt;=1,"",IF(AI390=0,"",IF(SUM($G390:AI390)&gt;=1,OFFSET(AI$228,-1,0),"")))</f>
        <v/>
      </c>
      <c r="AJ392" s="403" t="str">
        <f ca="1">IF(SUM($G392:AI392)&gt;=1,"",IF(AJ390=0,"",IF(SUM($G390:AJ390)&gt;=1,OFFSET(AJ$228,-1,0),"")))</f>
        <v/>
      </c>
      <c r="AK392" s="403" t="str">
        <f ca="1">IF(SUM($G392:AJ392)&gt;=1,"",IF(AK390=0,"",IF(SUM($G390:AK390)&gt;=1,OFFSET(AK$228,-1,0),"")))</f>
        <v/>
      </c>
      <c r="AL392" s="403" t="str">
        <f ca="1">IF(SUM($G392:AK392)&gt;=1,"",IF(AL390=0,"",IF(SUM($G390:AL390)&gt;=1,OFFSET(AL$228,-1,0),"")))</f>
        <v/>
      </c>
      <c r="AM392" s="403" t="str">
        <f ca="1">IF(SUM($G392:AL392)&gt;=1,"",IF(AM390=0,"",IF(SUM($G390:AM390)&gt;=1,OFFSET(AM$228,-1,0),"")))</f>
        <v/>
      </c>
      <c r="AN392" s="403" t="str">
        <f ca="1">IF(SUM($G392:AM392)&gt;=1,"",IF(AN390=0,"",IF(SUM($G390:AN390)&gt;=1,OFFSET(AN$228,-1,0),"")))</f>
        <v/>
      </c>
      <c r="AO392" s="403" t="str">
        <f ca="1">IF(SUM($G392:AN392)&gt;=1,"",IF(AO390=0,"",IF(SUM($G390:AO390)&gt;=1,OFFSET(AO$228,-1,0),"")))</f>
        <v/>
      </c>
      <c r="AP392" s="403" t="str">
        <f ca="1">IF(SUM($G392:AO392)&gt;=1,"",IF(AP390=0,"",IF(SUM($G390:AP390)&gt;=1,OFFSET(AP$228,-1,0),"")))</f>
        <v/>
      </c>
      <c r="AQ392" s="403" t="str">
        <f ca="1">IF(SUM($G392:AP392)&gt;=1,"",IF(AQ390=0,"",IF(SUM($G390:AQ390)&gt;=1,OFFSET(AQ$228,-1,0),"")))</f>
        <v/>
      </c>
      <c r="AR392" s="403" t="str">
        <f ca="1">IF(SUM($G392:AQ392)&gt;=1,"",IF(AR390=0,"",IF(SUM($G390:AR390)&gt;=1,OFFSET(AR$228,-1,0),"")))</f>
        <v/>
      </c>
      <c r="AS392" s="403" t="str">
        <f ca="1">IF(SUM($G392:AR392)&gt;=1,"",IF(AS390=0,"",IF(SUM($G390:AS390)&gt;=1,OFFSET(AS$228,-1,0),"")))</f>
        <v/>
      </c>
      <c r="AT392" s="403" t="str">
        <f ca="1">IF(SUM($G392:AS392)&gt;=1,"",IF(AT390=0,"",IF(SUM($G390:AT390)&gt;=1,OFFSET(AT$228,-1,0),"")))</f>
        <v/>
      </c>
      <c r="AU392" s="403" t="str">
        <f ca="1">IF(SUM($G392:AT392)&gt;=1,"",IF(AU390=0,"",IF(SUM($G390:AU390)&gt;=1,OFFSET(AU$228,-1,0),"")))</f>
        <v/>
      </c>
      <c r="AV392" s="403" t="str">
        <f ca="1">IF(SUM($G392:AU392)&gt;=1,"",IF(AV390=0,"",IF(SUM($G390:AV390)&gt;=1,OFFSET(AV$228,-1,0),"")))</f>
        <v/>
      </c>
      <c r="AW392" s="403" t="str">
        <f ca="1">IF(SUM($G392:AV392)&gt;=1,"",IF(AW390=0,"",IF(SUM($G390:AW390)&gt;=1,OFFSET(AW$228,-1,0),"")))</f>
        <v/>
      </c>
      <c r="AX392" s="403" t="str">
        <f ca="1">IF(SUM($G392:AW392)&gt;=1,"",IF(AX390=0,"",IF(SUM($G390:AX390)&gt;=1,OFFSET(AX$228,-1,0),"")))</f>
        <v/>
      </c>
      <c r="AY392" s="403" t="str">
        <f ca="1">IF(SUM($G392:AX392)&gt;=1,"",IF(AY390=0,"",IF(SUM($G390:AY390)&gt;=1,OFFSET(AY$228,-1,0),"")))</f>
        <v/>
      </c>
      <c r="AZ392" s="403" t="str">
        <f ca="1">IF(SUM($G392:AY392)&gt;=1,"",IF(AZ390=0,"",IF(SUM($G390:AZ390)&gt;=1,OFFSET(AZ$228,-1,0),"")))</f>
        <v/>
      </c>
      <c r="BA392" s="403" t="str">
        <f ca="1">IF(SUM($G392:AZ392)&gt;=1,"",IF(BA390=0,"",IF(SUM($G390:BA390)&gt;=1,OFFSET(BA$228,-1,0),"")))</f>
        <v/>
      </c>
      <c r="BB392" s="403" t="str">
        <f ca="1">IF(SUM($G392:BA392)&gt;=1,"",IF(BB390=0,"",IF(SUM($G390:BB390)&gt;=1,OFFSET(BB$228,-1,0),"")))</f>
        <v/>
      </c>
      <c r="BC392" s="403" t="str">
        <f ca="1">IF(SUM($G392:BB392)&gt;=1,"",IF(BC390=0,"",IF(SUM($G390:BC390)&gt;=1,OFFSET(BC$228,-1,0),"")))</f>
        <v/>
      </c>
      <c r="BD392" s="403" t="str">
        <f ca="1">IF(SUM($G392:BC392)&gt;=1,"",IF(BD390=0,"",IF(SUM($G390:BD390)&gt;=1,OFFSET(BD$228,-1,0),"")))</f>
        <v/>
      </c>
      <c r="BE392" s="403" t="str">
        <f ca="1">IF(SUM($G392:BD392)&gt;=1,"",IF(BE390=0,"",IF(SUM($G390:BE390)&gt;=1,OFFSET(BE$228,-1,0),"")))</f>
        <v/>
      </c>
      <c r="BF392" s="403" t="str">
        <f ca="1">IF(SUM($G392:BE392)&gt;=1,"",IF(BF390=0,"",IF(SUM($G390:BF390)&gt;=1,OFFSET(BF$228,-1,0),"")))</f>
        <v/>
      </c>
      <c r="BG392" s="403" t="str">
        <f ca="1">IF(SUM($G392:BF392)&gt;=1,"",IF(BG390=0,"",IF(SUM($G390:BG390)&gt;=1,OFFSET(BG$228,-1,0),"")))</f>
        <v/>
      </c>
      <c r="BH392" s="403" t="str">
        <f ca="1">IF(SUM($G392:BG392)&gt;=1,"",IF(BH390=0,"",IF(SUM($G390:BH390)&gt;=1,OFFSET(BH$228,-1,0),"")))</f>
        <v/>
      </c>
      <c r="BI392" s="403" t="str">
        <f ca="1">IF(SUM($G392:BH392)&gt;=1,"",IF(BI390=0,"",IF(SUM($G390:BI390)&gt;=1,OFFSET(BI$228,-1,0),"")))</f>
        <v/>
      </c>
      <c r="BJ392" s="403" t="str">
        <f ca="1">IF(SUM($G392:BI392)&gt;=1,"",IF(BJ390=0,"",IF(SUM($G390:BJ390)&gt;=1,OFFSET(BJ$228,-1,0),"")))</f>
        <v/>
      </c>
      <c r="BK392" s="403" t="str">
        <f ca="1">IF(SUM($G392:BJ392)&gt;=1,"",IF(BK390=0,"",IF(SUM($G390:BK390)&gt;=1,OFFSET(BK$228,-1,0),"")))</f>
        <v/>
      </c>
      <c r="BL392" s="403" t="str">
        <f ca="1">IF(SUM($G392:BK392)&gt;=1,"",IF(BL390=0,"",IF(SUM($G390:BL390)&gt;=1,OFFSET(BL$228,-1,0),"")))</f>
        <v/>
      </c>
      <c r="BM392" s="403" t="str">
        <f ca="1">IF(SUM($G392:BL392)&gt;=1,"",IF(BM390=0,"",IF(SUM($G390:BM390)&gt;=1,OFFSET(BM$228,-1,0),"")))</f>
        <v/>
      </c>
      <c r="BN392" s="403" t="str">
        <f ca="1">IF(SUM($G392:BM392)&gt;=1,"",IF(BN390=0,"",IF(SUM($G390:BN390)&gt;=1,OFFSET(BN$228,-1,0),"")))</f>
        <v/>
      </c>
      <c r="BO392" s="403" t="str">
        <f ca="1">IF(SUM($G392:BN392)&gt;=1,"",IF(BO390=0,"",IF(SUM($G390:BO390)&gt;=1,OFFSET(BO$228,-1,0),"")))</f>
        <v/>
      </c>
      <c r="BP392" s="403" t="str">
        <f ca="1">IF(SUM($G392:BO392)&gt;=1,"",IF(BP390=0,"",IF(SUM($G390:BP390)&gt;=1,OFFSET(BP$228,-1,0),"")))</f>
        <v/>
      </c>
      <c r="BQ392" s="403" t="str">
        <f ca="1">IF(SUM($G392:BP392)&gt;=1,"",IF(BQ390=0,"",IF(SUM($G390:BQ390)&gt;=1,OFFSET(BQ$228,-1,0),"")))</f>
        <v/>
      </c>
      <c r="BR392" s="403" t="str">
        <f ca="1">IF(SUM($G392:BQ392)&gt;=1,"",IF(BR390=0,"",IF(SUM($G390:BR390)&gt;=1,OFFSET(BR$228,-1,0),"")))</f>
        <v/>
      </c>
      <c r="BS392" s="403" t="str">
        <f ca="1">IF(SUM($G392:BR392)&gt;=1,"",IF(BS390=0,"",IF(SUM($G390:BS390)&gt;=1,OFFSET(BS$228,-1,0),"")))</f>
        <v/>
      </c>
      <c r="BT392" s="403" t="str">
        <f ca="1">IF(SUM($G392:BS392)&gt;=1,"",IF(BT390=0,"",IF(SUM($G390:BT390)&gt;=1,OFFSET(BT$228,-1,0),"")))</f>
        <v/>
      </c>
      <c r="BU392" s="403" t="str">
        <f ca="1">IF(SUM($G392:BT392)&gt;=1,"",IF(BU390=0,"",IF(SUM($G390:BU390)&gt;=1,OFFSET(BU$228,-1,0),"")))</f>
        <v/>
      </c>
      <c r="BV392" s="403" t="str">
        <f ca="1">IF(SUM($G392:BU392)&gt;=1,"",IF(BV390=0,"",IF(SUM($G390:BV390)&gt;=1,OFFSET(BV$228,-1,0),"")))</f>
        <v/>
      </c>
      <c r="BW392" s="403" t="str">
        <f ca="1">IF(SUM($G392:BV392)&gt;=1,"",IF(BW390=0,"",IF(SUM($G390:BW390)&gt;=1,OFFSET(BW$228,-1,0),"")))</f>
        <v/>
      </c>
      <c r="BX392" s="403" t="str">
        <f ca="1">IF(SUM($G392:BW392)&gt;=1,"",IF(BX390=0,"",IF(SUM($G390:BX390)&gt;=1,OFFSET(BX$228,-1,0),"")))</f>
        <v/>
      </c>
      <c r="BY392" s="403" t="str">
        <f ca="1">IF(SUM($G392:BX392)&gt;=1,"",IF(BY390=0,"",IF(SUM($G390:BY390)&gt;=1,OFFSET(BY$228,-1,0),"")))</f>
        <v/>
      </c>
      <c r="BZ392" s="403" t="str">
        <f ca="1">IF(SUM($G392:BY392)&gt;=1,"",IF(BZ390=0,"",IF(SUM($G390:BZ390)&gt;=1,OFFSET(BZ$228,-1,0),"")))</f>
        <v/>
      </c>
      <c r="CA392" s="403" t="str">
        <f ca="1">IF(SUM($G392:BZ392)&gt;=1,"",IF(CA390=0,"",IF(SUM($G390:CA390)&gt;=1,OFFSET(CA$228,-1,0),"")))</f>
        <v/>
      </c>
      <c r="CB392" s="403" t="str">
        <f ca="1">IF(SUM($G392:CA392)&gt;=1,"",IF(CB390=0,"",IF(SUM($G390:CB390)&gt;=1,OFFSET(CB$228,-1,0),"")))</f>
        <v/>
      </c>
      <c r="CC392" s="403" t="str">
        <f ca="1">IF(SUM($G392:CB392)&gt;=1,"",IF(CC390=0,"",IF(SUM($G390:CC390)&gt;=1,OFFSET(CC$228,-1,0),"")))</f>
        <v/>
      </c>
      <c r="CD392" s="403" t="str">
        <f ca="1">IF(SUM($G392:CC392)&gt;=1,"",IF(CD390=0,"",IF(SUM($G390:CD390)&gt;=1,OFFSET(CD$228,-1,0),"")))</f>
        <v/>
      </c>
      <c r="CE392" s="403" t="str">
        <f ca="1">IF(SUM($G392:CD392)&gt;=1,"",IF(CE390=0,"",IF(SUM($G390:CE390)&gt;=1,OFFSET(CE$228,-1,0),"")))</f>
        <v/>
      </c>
      <c r="CF392" s="403" t="str">
        <f ca="1">IF(SUM($G392:CE392)&gt;=1,"",IF(CF390=0,"",IF(SUM($G390:CF390)&gt;=1,OFFSET(CF$228,-1,0),"")))</f>
        <v/>
      </c>
      <c r="CG392" s="403" t="str">
        <f ca="1">IF(SUM($G392:CF392)&gt;=1,"",IF(CG390=0,"",IF(SUM($G390:CG390)&gt;=1,OFFSET(CG$228,-1,0),"")))</f>
        <v/>
      </c>
      <c r="CH392" s="403" t="str">
        <f ca="1">IF(SUM($G392:CG392)&gt;=1,"",IF(CH390=0,"",IF(SUM($G390:CH390)&gt;=1,OFFSET(CH$228,-1,0),"")))</f>
        <v/>
      </c>
      <c r="CI392" s="403" t="str">
        <f ca="1">IF(SUM($G392:CH392)&gt;=1,"",IF(CI390=0,"",IF(SUM($G390:CI390)&gt;=1,OFFSET(CI$228,-1,0),"")))</f>
        <v/>
      </c>
      <c r="CJ392" s="403" t="str">
        <f ca="1">IF(SUM($G392:CI392)&gt;=1,"",IF(CJ390=0,"",IF(SUM($G390:CJ390)&gt;=1,OFFSET(CJ$228,-1,0),"")))</f>
        <v/>
      </c>
      <c r="CK392" s="403" t="str">
        <f ca="1">IF(SUM($G392:CJ392)&gt;=1,"",IF(CK390=0,"",IF(SUM($G390:CK390)&gt;=1,OFFSET(CK$228,-1,0),"")))</f>
        <v/>
      </c>
      <c r="CL392" s="403" t="str">
        <f ca="1">IF(SUM($G392:CK392)&gt;=1,"",IF(CL390=0,"",IF(SUM($G390:CL390)&gt;=1,OFFSET(CL$228,-1,0),"")))</f>
        <v/>
      </c>
      <c r="CM392" s="403" t="str">
        <f ca="1">IF(SUM($G392:CL392)&gt;=1,"",IF(CM390=0,"",IF(SUM($G390:CM390)&gt;=1,OFFSET(CM$228,-1,0),"")))</f>
        <v/>
      </c>
      <c r="CN392" s="403" t="str">
        <f ca="1">IF(SUM($G392:CM392)&gt;=1,"",IF(CN390=0,"",IF(SUM($G390:CN390)&gt;=1,OFFSET(CN$228,-1,0),"")))</f>
        <v/>
      </c>
      <c r="CO392" s="403" t="str">
        <f ca="1">IF(SUM($G392:CN392)&gt;=1,"",IF(CO390=0,"",IF(SUM($G390:CO390)&gt;=1,OFFSET(CO$228,-1,0),"")))</f>
        <v/>
      </c>
      <c r="CP392" s="403" t="str">
        <f ca="1">IF(SUM($G392:CO392)&gt;=1,"",IF(CP390=0,"",IF(SUM($G390:CP390)&gt;=1,OFFSET(CP$228,-1,0),"")))</f>
        <v/>
      </c>
      <c r="CQ392" s="403" t="str">
        <f ca="1">IF(SUM($G392:CP392)&gt;=1,"",IF(CQ390=0,"",IF(SUM($G390:CQ390)&gt;=1,OFFSET(CQ$228,-1,0),"")))</f>
        <v/>
      </c>
      <c r="CR392" s="403" t="str">
        <f ca="1">IF(SUM($G392:CQ392)&gt;=1,"",IF(CR390=0,"",IF(SUM($G390:CR390)&gt;=1,OFFSET(CR$228,-1,0),"")))</f>
        <v/>
      </c>
      <c r="CS392" s="403" t="str">
        <f ca="1">IF(SUM($G392:CR392)&gt;=1,"",IF(CS390=0,"",IF(SUM($G390:CS390)&gt;=1,OFFSET(CS$228,-1,0),"")))</f>
        <v/>
      </c>
      <c r="CT392" s="403" t="str">
        <f ca="1">IF(SUM($G392:CS392)&gt;=1,"",IF(CT390=0,"",IF(SUM($G390:CT390)&gt;=1,OFFSET(CT$228,-1,0),"")))</f>
        <v/>
      </c>
      <c r="CU392" s="403" t="str">
        <f ca="1">IF(SUM($G392:CT392)&gt;=1,"",IF(CU390=0,"",IF(SUM($G390:CU390)&gt;=1,OFFSET(CU$228,-1,0),"")))</f>
        <v/>
      </c>
      <c r="CV392" s="403" t="str">
        <f ca="1">IF(SUM($G392:CU392)&gt;=1,"",IF(CV390=0,"",IF(SUM($G390:CV390)&gt;=1,OFFSET(CV$228,-1,0),"")))</f>
        <v/>
      </c>
      <c r="CW392" s="403" t="str">
        <f ca="1">IF(SUM($G392:CV392)&gt;=1,"",IF(CW390=0,"",IF(SUM($G390:CW390)&gt;=1,OFFSET(CW$228,-1,0),"")))</f>
        <v/>
      </c>
      <c r="CX392" s="403" t="str">
        <f ca="1">IF(SUM($G392:CW392)&gt;=1,"",IF(CX390=0,"",IF(SUM($G390:CX390)&gt;=1,OFFSET(CX$228,-1,0),"")))</f>
        <v/>
      </c>
      <c r="CY392" s="403" t="str">
        <f ca="1">IF(SUM($G392:CX392)&gt;=1,"",IF(CY390=0,"",IF(SUM($G390:CY390)&gt;=1,OFFSET(CY$228,-1,0),"")))</f>
        <v/>
      </c>
      <c r="CZ392" s="403" t="str">
        <f ca="1">IF(SUM($G392:CY392)&gt;=1,"",IF(CZ390=0,"",IF(SUM($G390:CZ390)&gt;=1,OFFSET(CZ$228,-1,0),"")))</f>
        <v/>
      </c>
      <c r="DA392" s="403" t="str">
        <f ca="1">IF(SUM($G392:CZ392)&gt;=1,"",IF(DA390=0,"",IF(SUM($G390:DA390)&gt;=1,OFFSET(DA$228,-1,0),"")))</f>
        <v/>
      </c>
      <c r="DB392" s="403" t="str">
        <f ca="1">IF(SUM($G392:DA392)&gt;=1,"",IF(DB390=0,"",IF(SUM($G390:DB390)&gt;=1,OFFSET(DB$228,-1,0),"")))</f>
        <v/>
      </c>
      <c r="DC392" s="403" t="str">
        <f ca="1">IF(SUM($G392:DB392)&gt;=1,"",IF(DC390=0,"",IF(SUM($G390:DC390)&gt;=1,OFFSET(DC$228,-1,0),"")))</f>
        <v/>
      </c>
      <c r="DD392" s="403" t="str">
        <f ca="1">IF(SUM($G392:DC392)&gt;=1,"",IF(DD390=0,"",IF(SUM($G390:DD390)&gt;=1,OFFSET(DD$228,-1,0),"")))</f>
        <v/>
      </c>
      <c r="DE392" s="403" t="str">
        <f ca="1">IF(SUM($G392:DD392)&gt;=1,"",IF(DE390=0,"",IF(SUM($G390:DE390)&gt;=1,OFFSET(DE$228,-1,0),"")))</f>
        <v/>
      </c>
      <c r="DF392" s="403" t="str">
        <f ca="1">IF(SUM($G392:DE392)&gt;=1,"",IF(DF390=0,"",IF(SUM($G390:DF390)&gt;=1,OFFSET(DF$228,-1,0),"")))</f>
        <v/>
      </c>
      <c r="DG392" s="403" t="str">
        <f ca="1">IF(SUM($G392:DF392)&gt;=1,"",IF(DG390=0,"",IF(SUM($G390:DG390)&gt;=1,OFFSET(DG$228,-1,0),"")))</f>
        <v/>
      </c>
      <c r="DH392" s="403" t="str">
        <f ca="1">IF(SUM($G392:DG392)&gt;=1,"",IF(DH390=0,"",IF(SUM($G390:DH390)&gt;=1,OFFSET(DH$228,-1,0),"")))</f>
        <v/>
      </c>
      <c r="DI392" s="403" t="str">
        <f ca="1">IF(SUM($G392:DH392)&gt;=1,"",IF(DI390=0,"",IF(SUM($G390:DI390)&gt;=1,OFFSET(DI$228,-1,0),"")))</f>
        <v/>
      </c>
      <c r="DJ392" s="403" t="str">
        <f ca="1">IF(SUM($G392:DI392)&gt;=1,"",IF(DJ390=0,"",IF(SUM($G390:DJ390)&gt;=1,OFFSET(DJ$228,-1,0),"")))</f>
        <v/>
      </c>
      <c r="DK392" s="403" t="str">
        <f ca="1">IF(SUM($G392:DJ392)&gt;=1,"",IF(DK390=0,"",IF(SUM($G390:DK390)&gt;=1,OFFSET(DK$228,-1,0),"")))</f>
        <v/>
      </c>
      <c r="DL392" s="403" t="str">
        <f ca="1">IF(SUM($G392:DK392)&gt;=1,"",IF(DL390=0,"",IF(SUM($G390:DL390)&gt;=1,OFFSET(DL$228,-1,0),"")))</f>
        <v/>
      </c>
      <c r="DM392" s="403" t="str">
        <f ca="1">IF(SUM($G392:DL392)&gt;=1,"",IF(DM390=0,"",IF(SUM($G390:DM390)&gt;=1,OFFSET(DM$228,-1,0),"")))</f>
        <v/>
      </c>
      <c r="DN392" s="403" t="str">
        <f ca="1">IF(SUM($G392:DM392)&gt;=1,"",IF(DN390=0,"",IF(SUM($G390:DN390)&gt;=1,OFFSET(DN$228,-1,0),"")))</f>
        <v/>
      </c>
      <c r="DO392" s="403" t="str">
        <f ca="1">IF(SUM($G392:DN392)&gt;=1,"",IF(DO390=0,"",IF(SUM($G390:DO390)&gt;=1,OFFSET(DO$228,-1,0),"")))</f>
        <v/>
      </c>
      <c r="DP392" s="403" t="str">
        <f ca="1">IF(SUM($G392:DO392)&gt;=1,"",IF(DP390=0,"",IF(SUM($G390:DP390)&gt;=1,OFFSET(DP$228,-1,0),"")))</f>
        <v/>
      </c>
      <c r="DQ392" s="403" t="str">
        <f ca="1">IF(SUM($G392:DP392)&gt;=1,"",IF(DQ390=0,"",IF(SUM($G390:DQ390)&gt;=1,OFFSET(DQ$228,-1,0),"")))</f>
        <v/>
      </c>
      <c r="DR392" s="403" t="str">
        <f ca="1">IF(SUM($G392:DQ392)&gt;=1,"",IF(DR390=0,"",IF(SUM($G390:DR390)&gt;=1,OFFSET(DR$228,-1,0),"")))</f>
        <v/>
      </c>
      <c r="DS392" s="403" t="str">
        <f ca="1">IF(SUM($G392:DR392)&gt;=1,"",IF(DS390=0,"",IF(SUM($G390:DS390)&gt;=1,OFFSET(DS$228,-1,0),"")))</f>
        <v/>
      </c>
      <c r="DT392" s="403" t="str">
        <f ca="1">IF(SUM($G392:DS392)&gt;=1,"",IF(DT390=0,"",IF(SUM($G390:DT390)&gt;=1,OFFSET(DT$228,-1,0),"")))</f>
        <v/>
      </c>
      <c r="DU392" s="403" t="str">
        <f ca="1">IF(SUM($G392:DT392)&gt;=1,"",IF(DU390=0,"",IF(SUM($G390:DU390)&gt;=1,OFFSET(DU$228,-1,0),"")))</f>
        <v/>
      </c>
      <c r="DV392" s="403" t="str">
        <f ca="1">IF(SUM($G392:DU392)&gt;=1,"",IF(DV390=0,"",IF(SUM($G390:DV390)&gt;=1,OFFSET(DV$228,-1,0),"")))</f>
        <v/>
      </c>
      <c r="DW392" s="403" t="str">
        <f ca="1">IF(SUM($G392:DV392)&gt;=1,"",IF(DW390=0,"",IF(SUM($G390:DW390)&gt;=1,OFFSET(DW$228,-1,0),"")))</f>
        <v/>
      </c>
      <c r="DX392" s="403" t="str">
        <f ca="1">IF(SUM($G392:DW392)&gt;=1,"",IF(DX390=0,"",IF(SUM($G390:DX390)&gt;=1,OFFSET(DX$228,-1,0),"")))</f>
        <v/>
      </c>
      <c r="DY392" s="403" t="str">
        <f ca="1">IF(SUM($G392:DX392)&gt;=1,"",IF(DY390=0,"",IF(SUM($G390:DY390)&gt;=1,OFFSET(DY$228,-1,0),"")))</f>
        <v/>
      </c>
      <c r="DZ392" s="403" t="str">
        <f ca="1">IF(SUM($G392:DY392)&gt;=1,"",IF(DZ390=0,"",IF(SUM($G390:DZ390)&gt;=1,OFFSET(DZ$228,-1,0),"")))</f>
        <v/>
      </c>
      <c r="EA392" s="403" t="str">
        <f ca="1">IF(SUM($G392:DZ392)&gt;=1,"",IF(EA390=0,"",IF(SUM($G390:EA390)&gt;=1,OFFSET(EA$228,-1,0),"")))</f>
        <v/>
      </c>
      <c r="EB392" s="403" t="str">
        <f ca="1">IF(SUM($G392:EA392)&gt;=1,"",IF(EB390=0,"",IF(SUM($G390:EB390)&gt;=1,OFFSET(EB$228,-1,0),"")))</f>
        <v/>
      </c>
      <c r="EC392" s="403" t="str">
        <f ca="1">IF(SUM($G392:EB392)&gt;=1,"",IF(EC390=0,"",IF(SUM($G390:EC390)&gt;=1,OFFSET(EC$228,-1,0),"")))</f>
        <v/>
      </c>
      <c r="ED392" s="403" t="str">
        <f ca="1">IF(SUM($G392:EC392)&gt;=1,"",IF(ED390=0,"",IF(SUM($G390:ED390)&gt;=1,OFFSET(ED$228,-1,0),"")))</f>
        <v/>
      </c>
      <c r="EE392" s="403" t="str">
        <f ca="1">IF(SUM($G392:ED392)&gt;=1,"",IF(EE390=0,"",IF(SUM($G390:EE390)&gt;=1,OFFSET(EE$228,-1,0),"")))</f>
        <v/>
      </c>
      <c r="EF392" s="403" t="str">
        <f ca="1">IF(SUM($G392:EE392)&gt;=1,"",IF(EF390=0,"",IF(SUM($G390:EF390)&gt;=1,OFFSET(EF$228,-1,0),"")))</f>
        <v/>
      </c>
      <c r="EG392" s="403" t="str">
        <f ca="1">IF(SUM($G392:EF392)&gt;=1,"",IF(EG390=0,"",IF(SUM($G390:EG390)&gt;=1,OFFSET(EG$228,-1,0),"")))</f>
        <v/>
      </c>
      <c r="EH392" s="403" t="str">
        <f ca="1">IF(SUM($G392:EG392)&gt;=1,"",IF(EH390=0,"",IF(SUM($G390:EH390)&gt;=1,OFFSET(EH$228,-1,0),"")))</f>
        <v/>
      </c>
      <c r="EI392" s="403" t="str">
        <f ca="1">IF(SUM($G392:EH392)&gt;=1,"",IF(EI390=0,"",IF(SUM($G390:EI390)&gt;=1,OFFSET(EI$228,-1,0),"")))</f>
        <v/>
      </c>
    </row>
    <row r="393" spans="1:141" hidden="1" outlineLevel="2">
      <c r="A393" s="332"/>
      <c r="D393" s="305" t="s">
        <v>671</v>
      </c>
      <c r="E393" s="1002" t="str">
        <f ca="1">IF(E390=0,"",MIN(G393:EI393))</f>
        <v/>
      </c>
      <c r="F393" s="1003"/>
      <c r="G393" s="403" t="str">
        <f>IF(G390=0,"",IF(G390=G$3,G392,G$5+H$5-G394-1))</f>
        <v/>
      </c>
      <c r="H393" s="403" t="str">
        <f ca="1">IF(H390=0,"",IF(H390=H$3,H392,H$5+I$5-H394-1))</f>
        <v/>
      </c>
      <c r="I393" s="403" t="str">
        <f t="shared" ref="I393:BT393" ca="1" si="685">IF(I390=0,"",IF(I390=I$3,I392,I$5+J$5-I394-1))</f>
        <v/>
      </c>
      <c r="J393" s="403" t="str">
        <f t="shared" ca="1" si="685"/>
        <v/>
      </c>
      <c r="K393" s="403" t="str">
        <f t="shared" ca="1" si="685"/>
        <v/>
      </c>
      <c r="L393" s="403" t="str">
        <f t="shared" ca="1" si="685"/>
        <v/>
      </c>
      <c r="M393" s="403" t="str">
        <f t="shared" ca="1" si="685"/>
        <v/>
      </c>
      <c r="N393" s="403" t="str">
        <f t="shared" ca="1" si="685"/>
        <v/>
      </c>
      <c r="O393" s="403" t="str">
        <f t="shared" ca="1" si="685"/>
        <v/>
      </c>
      <c r="P393" s="403" t="str">
        <f t="shared" ca="1" si="685"/>
        <v/>
      </c>
      <c r="Q393" s="403" t="str">
        <f t="shared" ca="1" si="685"/>
        <v/>
      </c>
      <c r="R393" s="403" t="str">
        <f t="shared" ca="1" si="685"/>
        <v/>
      </c>
      <c r="S393" s="403" t="str">
        <f t="shared" ca="1" si="685"/>
        <v/>
      </c>
      <c r="T393" s="403" t="str">
        <f t="shared" ca="1" si="685"/>
        <v/>
      </c>
      <c r="U393" s="403" t="str">
        <f t="shared" ca="1" si="685"/>
        <v/>
      </c>
      <c r="V393" s="403" t="str">
        <f t="shared" ca="1" si="685"/>
        <v/>
      </c>
      <c r="W393" s="403" t="str">
        <f t="shared" ca="1" si="685"/>
        <v/>
      </c>
      <c r="X393" s="403" t="str">
        <f t="shared" ca="1" si="685"/>
        <v/>
      </c>
      <c r="Y393" s="403" t="str">
        <f t="shared" ca="1" si="685"/>
        <v/>
      </c>
      <c r="Z393" s="403" t="str">
        <f t="shared" ca="1" si="685"/>
        <v/>
      </c>
      <c r="AA393" s="403" t="str">
        <f t="shared" ca="1" si="685"/>
        <v/>
      </c>
      <c r="AB393" s="403" t="str">
        <f t="shared" ca="1" si="685"/>
        <v/>
      </c>
      <c r="AC393" s="403" t="str">
        <f t="shared" ca="1" si="685"/>
        <v/>
      </c>
      <c r="AD393" s="403" t="str">
        <f t="shared" ca="1" si="685"/>
        <v/>
      </c>
      <c r="AE393" s="403" t="str">
        <f t="shared" ca="1" si="685"/>
        <v/>
      </c>
      <c r="AF393" s="403" t="str">
        <f t="shared" ca="1" si="685"/>
        <v/>
      </c>
      <c r="AG393" s="403" t="str">
        <f t="shared" ca="1" si="685"/>
        <v/>
      </c>
      <c r="AH393" s="403" t="str">
        <f t="shared" ca="1" si="685"/>
        <v/>
      </c>
      <c r="AI393" s="403" t="str">
        <f t="shared" ca="1" si="685"/>
        <v/>
      </c>
      <c r="AJ393" s="403" t="str">
        <f t="shared" ca="1" si="685"/>
        <v/>
      </c>
      <c r="AK393" s="403" t="str">
        <f t="shared" ca="1" si="685"/>
        <v/>
      </c>
      <c r="AL393" s="403" t="str">
        <f t="shared" ca="1" si="685"/>
        <v/>
      </c>
      <c r="AM393" s="403" t="str">
        <f t="shared" ca="1" si="685"/>
        <v/>
      </c>
      <c r="AN393" s="403" t="str">
        <f t="shared" ca="1" si="685"/>
        <v/>
      </c>
      <c r="AO393" s="403" t="str">
        <f t="shared" ca="1" si="685"/>
        <v/>
      </c>
      <c r="AP393" s="403" t="str">
        <f t="shared" ca="1" si="685"/>
        <v/>
      </c>
      <c r="AQ393" s="403" t="str">
        <f t="shared" ca="1" si="685"/>
        <v/>
      </c>
      <c r="AR393" s="403" t="str">
        <f t="shared" ca="1" si="685"/>
        <v/>
      </c>
      <c r="AS393" s="403" t="str">
        <f t="shared" ca="1" si="685"/>
        <v/>
      </c>
      <c r="AT393" s="403" t="str">
        <f t="shared" ca="1" si="685"/>
        <v/>
      </c>
      <c r="AU393" s="403" t="str">
        <f t="shared" ca="1" si="685"/>
        <v/>
      </c>
      <c r="AV393" s="403" t="str">
        <f t="shared" ca="1" si="685"/>
        <v/>
      </c>
      <c r="AW393" s="403" t="str">
        <f t="shared" ca="1" si="685"/>
        <v/>
      </c>
      <c r="AX393" s="403" t="str">
        <f t="shared" ca="1" si="685"/>
        <v/>
      </c>
      <c r="AY393" s="403" t="str">
        <f t="shared" ca="1" si="685"/>
        <v/>
      </c>
      <c r="AZ393" s="403" t="str">
        <f t="shared" ca="1" si="685"/>
        <v/>
      </c>
      <c r="BA393" s="403" t="str">
        <f t="shared" ca="1" si="685"/>
        <v/>
      </c>
      <c r="BB393" s="403" t="str">
        <f t="shared" ca="1" si="685"/>
        <v/>
      </c>
      <c r="BC393" s="403" t="str">
        <f t="shared" ca="1" si="685"/>
        <v/>
      </c>
      <c r="BD393" s="403" t="str">
        <f t="shared" ca="1" si="685"/>
        <v/>
      </c>
      <c r="BE393" s="403" t="str">
        <f t="shared" ca="1" si="685"/>
        <v/>
      </c>
      <c r="BF393" s="403" t="str">
        <f t="shared" ca="1" si="685"/>
        <v/>
      </c>
      <c r="BG393" s="403" t="str">
        <f t="shared" ca="1" si="685"/>
        <v/>
      </c>
      <c r="BH393" s="403" t="str">
        <f t="shared" ca="1" si="685"/>
        <v/>
      </c>
      <c r="BI393" s="403" t="str">
        <f t="shared" ca="1" si="685"/>
        <v/>
      </c>
      <c r="BJ393" s="403" t="str">
        <f t="shared" ca="1" si="685"/>
        <v/>
      </c>
      <c r="BK393" s="403" t="str">
        <f t="shared" ca="1" si="685"/>
        <v/>
      </c>
      <c r="BL393" s="403" t="str">
        <f t="shared" ca="1" si="685"/>
        <v/>
      </c>
      <c r="BM393" s="403" t="str">
        <f t="shared" ca="1" si="685"/>
        <v/>
      </c>
      <c r="BN393" s="403" t="str">
        <f t="shared" ca="1" si="685"/>
        <v/>
      </c>
      <c r="BO393" s="403" t="str">
        <f t="shared" ca="1" si="685"/>
        <v/>
      </c>
      <c r="BP393" s="403" t="str">
        <f t="shared" ca="1" si="685"/>
        <v/>
      </c>
      <c r="BQ393" s="403" t="str">
        <f t="shared" ca="1" si="685"/>
        <v/>
      </c>
      <c r="BR393" s="403" t="str">
        <f t="shared" ca="1" si="685"/>
        <v/>
      </c>
      <c r="BS393" s="403" t="str">
        <f t="shared" ca="1" si="685"/>
        <v/>
      </c>
      <c r="BT393" s="403" t="str">
        <f t="shared" ca="1" si="685"/>
        <v/>
      </c>
      <c r="BU393" s="403" t="str">
        <f t="shared" ref="BU393:EF393" ca="1" si="686">IF(BU390=0,"",IF(BU390=BU$3,BU392,BU$5+BV$5-BU394-1))</f>
        <v/>
      </c>
      <c r="BV393" s="403" t="str">
        <f t="shared" ca="1" si="686"/>
        <v/>
      </c>
      <c r="BW393" s="403" t="str">
        <f t="shared" ca="1" si="686"/>
        <v/>
      </c>
      <c r="BX393" s="403" t="str">
        <f t="shared" ca="1" si="686"/>
        <v/>
      </c>
      <c r="BY393" s="403" t="str">
        <f t="shared" ca="1" si="686"/>
        <v/>
      </c>
      <c r="BZ393" s="403" t="str">
        <f t="shared" ca="1" si="686"/>
        <v/>
      </c>
      <c r="CA393" s="403" t="str">
        <f t="shared" ca="1" si="686"/>
        <v/>
      </c>
      <c r="CB393" s="403" t="str">
        <f t="shared" ca="1" si="686"/>
        <v/>
      </c>
      <c r="CC393" s="403" t="str">
        <f t="shared" ca="1" si="686"/>
        <v/>
      </c>
      <c r="CD393" s="403" t="str">
        <f t="shared" ca="1" si="686"/>
        <v/>
      </c>
      <c r="CE393" s="403" t="str">
        <f t="shared" ca="1" si="686"/>
        <v/>
      </c>
      <c r="CF393" s="403" t="str">
        <f t="shared" ca="1" si="686"/>
        <v/>
      </c>
      <c r="CG393" s="403" t="str">
        <f t="shared" ca="1" si="686"/>
        <v/>
      </c>
      <c r="CH393" s="403" t="str">
        <f t="shared" ca="1" si="686"/>
        <v/>
      </c>
      <c r="CI393" s="403" t="str">
        <f t="shared" ca="1" si="686"/>
        <v/>
      </c>
      <c r="CJ393" s="403" t="str">
        <f t="shared" ca="1" si="686"/>
        <v/>
      </c>
      <c r="CK393" s="403" t="str">
        <f t="shared" ca="1" si="686"/>
        <v/>
      </c>
      <c r="CL393" s="403" t="str">
        <f t="shared" ca="1" si="686"/>
        <v/>
      </c>
      <c r="CM393" s="403" t="str">
        <f t="shared" ca="1" si="686"/>
        <v/>
      </c>
      <c r="CN393" s="403" t="str">
        <f t="shared" ca="1" si="686"/>
        <v/>
      </c>
      <c r="CO393" s="403" t="str">
        <f t="shared" ca="1" si="686"/>
        <v/>
      </c>
      <c r="CP393" s="403" t="str">
        <f t="shared" ca="1" si="686"/>
        <v/>
      </c>
      <c r="CQ393" s="403" t="str">
        <f t="shared" ca="1" si="686"/>
        <v/>
      </c>
      <c r="CR393" s="403" t="str">
        <f t="shared" ca="1" si="686"/>
        <v/>
      </c>
      <c r="CS393" s="403" t="str">
        <f t="shared" ca="1" si="686"/>
        <v/>
      </c>
      <c r="CT393" s="403" t="str">
        <f t="shared" ca="1" si="686"/>
        <v/>
      </c>
      <c r="CU393" s="403" t="str">
        <f t="shared" ca="1" si="686"/>
        <v/>
      </c>
      <c r="CV393" s="403" t="str">
        <f t="shared" ca="1" si="686"/>
        <v/>
      </c>
      <c r="CW393" s="403" t="str">
        <f t="shared" ca="1" si="686"/>
        <v/>
      </c>
      <c r="CX393" s="403" t="str">
        <f t="shared" ca="1" si="686"/>
        <v/>
      </c>
      <c r="CY393" s="403" t="str">
        <f t="shared" ca="1" si="686"/>
        <v/>
      </c>
      <c r="CZ393" s="403" t="str">
        <f t="shared" ca="1" si="686"/>
        <v/>
      </c>
      <c r="DA393" s="403" t="str">
        <f t="shared" ca="1" si="686"/>
        <v/>
      </c>
      <c r="DB393" s="403" t="str">
        <f t="shared" ca="1" si="686"/>
        <v/>
      </c>
      <c r="DC393" s="403" t="str">
        <f t="shared" ca="1" si="686"/>
        <v/>
      </c>
      <c r="DD393" s="403" t="str">
        <f t="shared" ca="1" si="686"/>
        <v/>
      </c>
      <c r="DE393" s="403" t="str">
        <f t="shared" ca="1" si="686"/>
        <v/>
      </c>
      <c r="DF393" s="403" t="str">
        <f t="shared" ca="1" si="686"/>
        <v/>
      </c>
      <c r="DG393" s="403" t="str">
        <f t="shared" ca="1" si="686"/>
        <v/>
      </c>
      <c r="DH393" s="403" t="str">
        <f t="shared" ca="1" si="686"/>
        <v/>
      </c>
      <c r="DI393" s="403" t="str">
        <f t="shared" ca="1" si="686"/>
        <v/>
      </c>
      <c r="DJ393" s="403" t="str">
        <f t="shared" ca="1" si="686"/>
        <v/>
      </c>
      <c r="DK393" s="403" t="str">
        <f t="shared" ca="1" si="686"/>
        <v/>
      </c>
      <c r="DL393" s="403" t="str">
        <f t="shared" ca="1" si="686"/>
        <v/>
      </c>
      <c r="DM393" s="403" t="str">
        <f t="shared" ca="1" si="686"/>
        <v/>
      </c>
      <c r="DN393" s="403" t="str">
        <f t="shared" ca="1" si="686"/>
        <v/>
      </c>
      <c r="DO393" s="403" t="str">
        <f t="shared" ca="1" si="686"/>
        <v/>
      </c>
      <c r="DP393" s="403" t="str">
        <f t="shared" ca="1" si="686"/>
        <v/>
      </c>
      <c r="DQ393" s="403" t="str">
        <f t="shared" ca="1" si="686"/>
        <v/>
      </c>
      <c r="DR393" s="403" t="str">
        <f t="shared" ca="1" si="686"/>
        <v/>
      </c>
      <c r="DS393" s="403" t="str">
        <f t="shared" ca="1" si="686"/>
        <v/>
      </c>
      <c r="DT393" s="403" t="str">
        <f t="shared" ca="1" si="686"/>
        <v/>
      </c>
      <c r="DU393" s="403" t="str">
        <f t="shared" ca="1" si="686"/>
        <v/>
      </c>
      <c r="DV393" s="403" t="str">
        <f t="shared" ca="1" si="686"/>
        <v/>
      </c>
      <c r="DW393" s="403" t="str">
        <f t="shared" ca="1" si="686"/>
        <v/>
      </c>
      <c r="DX393" s="403" t="str">
        <f t="shared" ca="1" si="686"/>
        <v/>
      </c>
      <c r="DY393" s="403" t="str">
        <f t="shared" ca="1" si="686"/>
        <v/>
      </c>
      <c r="DZ393" s="403" t="str">
        <f t="shared" ca="1" si="686"/>
        <v/>
      </c>
      <c r="EA393" s="403" t="str">
        <f t="shared" ca="1" si="686"/>
        <v/>
      </c>
      <c r="EB393" s="403" t="str">
        <f t="shared" ca="1" si="686"/>
        <v/>
      </c>
      <c r="EC393" s="403" t="str">
        <f t="shared" ca="1" si="686"/>
        <v/>
      </c>
      <c r="ED393" s="403" t="str">
        <f t="shared" ca="1" si="686"/>
        <v/>
      </c>
      <c r="EE393" s="403" t="str">
        <f t="shared" ca="1" si="686"/>
        <v/>
      </c>
      <c r="EF393" s="403" t="str">
        <f t="shared" ca="1" si="686"/>
        <v/>
      </c>
      <c r="EG393" s="403" t="str">
        <f t="shared" ref="EG393:EI393" ca="1" si="687">IF(EG390=0,"",IF(EG390=EG$3,EG392,EG$5+EH$5-EG394-1))</f>
        <v/>
      </c>
      <c r="EH393" s="403" t="str">
        <f t="shared" ca="1" si="687"/>
        <v/>
      </c>
      <c r="EI393" s="403" t="str">
        <f t="shared" ca="1" si="687"/>
        <v/>
      </c>
    </row>
    <row r="394" spans="1:141" hidden="1" outlineLevel="2">
      <c r="A394" s="332"/>
      <c r="D394" s="305" t="s">
        <v>672</v>
      </c>
      <c r="E394" s="1002" t="str">
        <f ca="1">IF(E390=0,"",MAX(G394:EI394))</f>
        <v/>
      </c>
      <c r="F394" s="1003"/>
      <c r="G394" s="403" t="str">
        <f ca="1">IF(SUM(G390:$EI390)=0,"",IF(G$227="","",G$227+G390-1))</f>
        <v/>
      </c>
      <c r="H394" s="403" t="str">
        <f ca="1">IF(SUM(H390:$EI390)=0,"",IF(H$227="","",H$227+H390-1))</f>
        <v/>
      </c>
      <c r="I394" s="403" t="str">
        <f ca="1">IF(SUM(I390:$EI390)=0,"",IF(I$227="","",I$227+I390-1))</f>
        <v/>
      </c>
      <c r="J394" s="403" t="str">
        <f ca="1">IF(SUM(J390:$EI390)=0,"",IF(J$227="","",J$227+J390-1))</f>
        <v/>
      </c>
      <c r="K394" s="403" t="str">
        <f ca="1">IF(SUM(K390:$EI390)=0,"",IF(K$227="","",K$227+K390-1))</f>
        <v/>
      </c>
      <c r="L394" s="403" t="str">
        <f ca="1">IF(SUM(L390:$EI390)=0,"",IF(L$227="","",L$227+L390-1))</f>
        <v/>
      </c>
      <c r="M394" s="403" t="str">
        <f ca="1">IF(SUM(M390:$EI390)=0,"",IF(M$227="","",M$227+M390-1))</f>
        <v/>
      </c>
      <c r="N394" s="403" t="str">
        <f ca="1">IF(SUM(N390:$EI390)=0,"",IF(N$227="","",N$227+N390-1))</f>
        <v/>
      </c>
      <c r="O394" s="403" t="str">
        <f ca="1">IF(SUM(O390:$EI390)=0,"",IF(O$227="","",O$227+O390-1))</f>
        <v/>
      </c>
      <c r="P394" s="403" t="str">
        <f ca="1">IF(SUM(P390:$EI390)=0,"",IF(P$227="","",P$227+P390-1))</f>
        <v/>
      </c>
      <c r="Q394" s="403" t="str">
        <f ca="1">IF(SUM(Q390:$EI390)=0,"",IF(Q$227="","",Q$227+Q390-1))</f>
        <v/>
      </c>
      <c r="R394" s="403" t="str">
        <f ca="1">IF(SUM(R390:$EI390)=0,"",IF(R$227="","",R$227+R390-1))</f>
        <v/>
      </c>
      <c r="S394" s="403" t="str">
        <f ca="1">IF(SUM(S390:$EI390)=0,"",IF(S$227="","",S$227+S390-1))</f>
        <v/>
      </c>
      <c r="T394" s="403" t="str">
        <f ca="1">IF(SUM(T390:$EI390)=0,"",IF(T$227="","",T$227+T390-1))</f>
        <v/>
      </c>
      <c r="U394" s="403" t="str">
        <f ca="1">IF(SUM(U390:$EI390)=0,"",IF(U$227="","",U$227+U390-1))</f>
        <v/>
      </c>
      <c r="V394" s="403" t="str">
        <f ca="1">IF(SUM(V390:$EI390)=0,"",IF(V$227="","",V$227+V390-1))</f>
        <v/>
      </c>
      <c r="W394" s="403" t="str">
        <f ca="1">IF(SUM(W390:$EI390)=0,"",IF(W$227="","",W$227+W390-1))</f>
        <v/>
      </c>
      <c r="X394" s="403" t="str">
        <f ca="1">IF(SUM(X390:$EI390)=0,"",IF(X$227="","",X$227+X390-1))</f>
        <v/>
      </c>
      <c r="Y394" s="403" t="str">
        <f ca="1">IF(SUM(Y390:$EI390)=0,"",IF(Y$227="","",Y$227+Y390-1))</f>
        <v/>
      </c>
      <c r="Z394" s="403" t="str">
        <f ca="1">IF(SUM(Z390:$EI390)=0,"",IF(Z$227="","",Z$227+Z390-1))</f>
        <v/>
      </c>
      <c r="AA394" s="403" t="str">
        <f ca="1">IF(SUM(AA390:$EI390)=0,"",IF(AA$227="","",AA$227+AA390-1))</f>
        <v/>
      </c>
      <c r="AB394" s="403" t="str">
        <f ca="1">IF(SUM(AB390:$EI390)=0,"",IF(AB$227="","",AB$227+AB390-1))</f>
        <v/>
      </c>
      <c r="AC394" s="403" t="str">
        <f ca="1">IF(SUM(AC390:$EI390)=0,"",IF(AC$227="","",AC$227+AC390-1))</f>
        <v/>
      </c>
      <c r="AD394" s="403" t="str">
        <f ca="1">IF(SUM(AD390:$EI390)=0,"",IF(AD$227="","",AD$227+AD390-1))</f>
        <v/>
      </c>
      <c r="AE394" s="403" t="str">
        <f ca="1">IF(SUM(AE390:$EI390)=0,"",IF(AE$227="","",AE$227+AE390-1))</f>
        <v/>
      </c>
      <c r="AF394" s="403" t="str">
        <f ca="1">IF(SUM(AF390:$EI390)=0,"",IF(AF$227="","",AF$227+AF390-1))</f>
        <v/>
      </c>
      <c r="AG394" s="403" t="str">
        <f ca="1">IF(SUM(AG390:$EI390)=0,"",IF(AG$227="","",AG$227+AG390-1))</f>
        <v/>
      </c>
      <c r="AH394" s="403" t="str">
        <f ca="1">IF(SUM(AH390:$EI390)=0,"",IF(AH$227="","",AH$227+AH390-1))</f>
        <v/>
      </c>
      <c r="AI394" s="403" t="str">
        <f ca="1">IF(SUM(AI390:$EI390)=0,"",IF(AI$227="","",AI$227+AI390-1))</f>
        <v/>
      </c>
      <c r="AJ394" s="403" t="str">
        <f ca="1">IF(SUM(AJ390:$EI390)=0,"",IF(AJ$227="","",AJ$227+AJ390-1))</f>
        <v/>
      </c>
      <c r="AK394" s="403" t="str">
        <f ca="1">IF(SUM(AK390:$EI390)=0,"",IF(AK$227="","",AK$227+AK390-1))</f>
        <v/>
      </c>
      <c r="AL394" s="403" t="str">
        <f ca="1">IF(SUM(AL390:$EI390)=0,"",IF(AL$227="","",AL$227+AL390-1))</f>
        <v/>
      </c>
      <c r="AM394" s="403" t="str">
        <f ca="1">IF(SUM(AM390:$EI390)=0,"",IF(AM$227="","",AM$227+AM390-1))</f>
        <v/>
      </c>
      <c r="AN394" s="403" t="str">
        <f ca="1">IF(SUM(AN390:$EI390)=0,"",IF(AN$227="","",AN$227+AN390-1))</f>
        <v/>
      </c>
      <c r="AO394" s="403" t="str">
        <f ca="1">IF(SUM(AO390:$EI390)=0,"",IF(AO$227="","",AO$227+AO390-1))</f>
        <v/>
      </c>
      <c r="AP394" s="403" t="str">
        <f ca="1">IF(SUM(AP390:$EI390)=0,"",IF(AP$227="","",AP$227+AP390-1))</f>
        <v/>
      </c>
      <c r="AQ394" s="403" t="str">
        <f ca="1">IF(SUM(AQ390:$EI390)=0,"",IF(AQ$227="","",AQ$227+AQ390-1))</f>
        <v/>
      </c>
      <c r="AR394" s="403" t="str">
        <f ca="1">IF(SUM(AR390:$EI390)=0,"",IF(AR$227="","",AR$227+AR390-1))</f>
        <v/>
      </c>
      <c r="AS394" s="403" t="str">
        <f ca="1">IF(SUM(AS390:$EI390)=0,"",IF(AS$227="","",AS$227+AS390-1))</f>
        <v/>
      </c>
      <c r="AT394" s="403" t="str">
        <f ca="1">IF(SUM(AT390:$EI390)=0,"",IF(AT$227="","",AT$227+AT390-1))</f>
        <v/>
      </c>
      <c r="AU394" s="403" t="str">
        <f ca="1">IF(SUM(AU390:$EI390)=0,"",IF(AU$227="","",AU$227+AU390-1))</f>
        <v/>
      </c>
      <c r="AV394" s="403" t="str">
        <f ca="1">IF(SUM(AV390:$EI390)=0,"",IF(AV$227="","",AV$227+AV390-1))</f>
        <v/>
      </c>
      <c r="AW394" s="403" t="str">
        <f ca="1">IF(SUM(AW390:$EI390)=0,"",IF(AW$227="","",AW$227+AW390-1))</f>
        <v/>
      </c>
      <c r="AX394" s="403" t="str">
        <f ca="1">IF(SUM(AX390:$EI390)=0,"",IF(AX$227="","",AX$227+AX390-1))</f>
        <v/>
      </c>
      <c r="AY394" s="403" t="str">
        <f ca="1">IF(SUM(AY390:$EI390)=0,"",IF(AY$227="","",AY$227+AY390-1))</f>
        <v/>
      </c>
      <c r="AZ394" s="403" t="str">
        <f ca="1">IF(SUM(AZ390:$EI390)=0,"",IF(AZ$227="","",AZ$227+AZ390-1))</f>
        <v/>
      </c>
      <c r="BA394" s="403" t="str">
        <f ca="1">IF(SUM(BA390:$EI390)=0,"",IF(BA$227="","",BA$227+BA390-1))</f>
        <v/>
      </c>
      <c r="BB394" s="403" t="str">
        <f ca="1">IF(SUM(BB390:$EI390)=0,"",IF(BB$227="","",BB$227+BB390-1))</f>
        <v/>
      </c>
      <c r="BC394" s="403" t="str">
        <f ca="1">IF(SUM(BC390:$EI390)=0,"",IF(BC$227="","",BC$227+BC390-1))</f>
        <v/>
      </c>
      <c r="BD394" s="403" t="str">
        <f ca="1">IF(SUM(BD390:$EI390)=0,"",IF(BD$227="","",BD$227+BD390-1))</f>
        <v/>
      </c>
      <c r="BE394" s="403" t="str">
        <f ca="1">IF(SUM(BE390:$EI390)=0,"",IF(BE$227="","",BE$227+BE390-1))</f>
        <v/>
      </c>
      <c r="BF394" s="403" t="str">
        <f ca="1">IF(SUM(BF390:$EI390)=0,"",IF(BF$227="","",BF$227+BF390-1))</f>
        <v/>
      </c>
      <c r="BG394" s="403" t="str">
        <f ca="1">IF(SUM(BG390:$EI390)=0,"",IF(BG$227="","",BG$227+BG390-1))</f>
        <v/>
      </c>
      <c r="BH394" s="403" t="str">
        <f ca="1">IF(SUM(BH390:$EI390)=0,"",IF(BH$227="","",BH$227+BH390-1))</f>
        <v/>
      </c>
      <c r="BI394" s="403" t="str">
        <f ca="1">IF(SUM(BI390:$EI390)=0,"",IF(BI$227="","",BI$227+BI390-1))</f>
        <v/>
      </c>
      <c r="BJ394" s="403" t="str">
        <f ca="1">IF(SUM(BJ390:$EI390)=0,"",IF(BJ$227="","",BJ$227+BJ390-1))</f>
        <v/>
      </c>
      <c r="BK394" s="403" t="str">
        <f ca="1">IF(SUM(BK390:$EI390)=0,"",IF(BK$227="","",BK$227+BK390-1))</f>
        <v/>
      </c>
      <c r="BL394" s="403" t="str">
        <f ca="1">IF(SUM(BL390:$EI390)=0,"",IF(BL$227="","",BL$227+BL390-1))</f>
        <v/>
      </c>
      <c r="BM394" s="403" t="str">
        <f ca="1">IF(SUM(BM390:$EI390)=0,"",IF(BM$227="","",BM$227+BM390-1))</f>
        <v/>
      </c>
      <c r="BN394" s="403" t="str">
        <f ca="1">IF(SUM(BN390:$EI390)=0,"",IF(BN$227="","",BN$227+BN390-1))</f>
        <v/>
      </c>
      <c r="BO394" s="403" t="str">
        <f ca="1">IF(SUM(BO390:$EI390)=0,"",IF(BO$227="","",BO$227+BO390-1))</f>
        <v/>
      </c>
      <c r="BP394" s="403" t="str">
        <f ca="1">IF(SUM(BP390:$EI390)=0,"",IF(BP$227="","",BP$227+BP390-1))</f>
        <v/>
      </c>
      <c r="BQ394" s="403" t="str">
        <f ca="1">IF(SUM(BQ390:$EI390)=0,"",IF(BQ$227="","",BQ$227+BQ390-1))</f>
        <v/>
      </c>
      <c r="BR394" s="403" t="str">
        <f ca="1">IF(SUM(BR390:$EI390)=0,"",IF(BR$227="","",BR$227+BR390-1))</f>
        <v/>
      </c>
      <c r="BS394" s="403" t="str">
        <f ca="1">IF(SUM(BS390:$EI390)=0,"",IF(BS$227="","",BS$227+BS390-1))</f>
        <v/>
      </c>
      <c r="BT394" s="403" t="str">
        <f ca="1">IF(SUM(BT390:$EI390)=0,"",IF(BT$227="","",BT$227+BT390-1))</f>
        <v/>
      </c>
      <c r="BU394" s="403" t="str">
        <f ca="1">IF(SUM(BU390:$EI390)=0,"",IF(BU$227="","",BU$227+BU390-1))</f>
        <v/>
      </c>
      <c r="BV394" s="403" t="str">
        <f ca="1">IF(SUM(BV390:$EI390)=0,"",IF(BV$227="","",BV$227+BV390-1))</f>
        <v/>
      </c>
      <c r="BW394" s="403" t="str">
        <f ca="1">IF(SUM(BW390:$EI390)=0,"",IF(BW$227="","",BW$227+BW390-1))</f>
        <v/>
      </c>
      <c r="BX394" s="403" t="str">
        <f ca="1">IF(SUM(BX390:$EI390)=0,"",IF(BX$227="","",BX$227+BX390-1))</f>
        <v/>
      </c>
      <c r="BY394" s="403" t="str">
        <f ca="1">IF(SUM(BY390:$EI390)=0,"",IF(BY$227="","",BY$227+BY390-1))</f>
        <v/>
      </c>
      <c r="BZ394" s="403" t="str">
        <f ca="1">IF(SUM(BZ390:$EI390)=0,"",IF(BZ$227="","",BZ$227+BZ390-1))</f>
        <v/>
      </c>
      <c r="CA394" s="403" t="str">
        <f ca="1">IF(SUM(CA390:$EI390)=0,"",IF(CA$227="","",CA$227+CA390-1))</f>
        <v/>
      </c>
      <c r="CB394" s="403" t="str">
        <f ca="1">IF(SUM(CB390:$EI390)=0,"",IF(CB$227="","",CB$227+CB390-1))</f>
        <v/>
      </c>
      <c r="CC394" s="403" t="str">
        <f ca="1">IF(SUM(CC390:$EI390)=0,"",IF(CC$227="","",CC$227+CC390-1))</f>
        <v/>
      </c>
      <c r="CD394" s="403" t="str">
        <f ca="1">IF(SUM(CD390:$EI390)=0,"",IF(CD$227="","",CD$227+CD390-1))</f>
        <v/>
      </c>
      <c r="CE394" s="403" t="str">
        <f ca="1">IF(SUM(CE390:$EI390)=0,"",IF(CE$227="","",CE$227+CE390-1))</f>
        <v/>
      </c>
      <c r="CF394" s="403" t="str">
        <f ca="1">IF(SUM(CF390:$EI390)=0,"",IF(CF$227="","",CF$227+CF390-1))</f>
        <v/>
      </c>
      <c r="CG394" s="403" t="str">
        <f ca="1">IF(SUM(CG390:$EI390)=0,"",IF(CG$227="","",CG$227+CG390-1))</f>
        <v/>
      </c>
      <c r="CH394" s="403" t="str">
        <f ca="1">IF(SUM(CH390:$EI390)=0,"",IF(CH$227="","",CH$227+CH390-1))</f>
        <v/>
      </c>
      <c r="CI394" s="403" t="str">
        <f ca="1">IF(SUM(CI390:$EI390)=0,"",IF(CI$227="","",CI$227+CI390-1))</f>
        <v/>
      </c>
      <c r="CJ394" s="403" t="str">
        <f ca="1">IF(SUM(CJ390:$EI390)=0,"",IF(CJ$227="","",CJ$227+CJ390-1))</f>
        <v/>
      </c>
      <c r="CK394" s="403" t="str">
        <f ca="1">IF(SUM(CK390:$EI390)=0,"",IF(CK$227="","",CK$227+CK390-1))</f>
        <v/>
      </c>
      <c r="CL394" s="403" t="str">
        <f ca="1">IF(SUM(CL390:$EI390)=0,"",IF(CL$227="","",CL$227+CL390-1))</f>
        <v/>
      </c>
      <c r="CM394" s="403" t="str">
        <f ca="1">IF(SUM(CM390:$EI390)=0,"",IF(CM$227="","",CM$227+CM390-1))</f>
        <v/>
      </c>
      <c r="CN394" s="403" t="str">
        <f ca="1">IF(SUM(CN390:$EI390)=0,"",IF(CN$227="","",CN$227+CN390-1))</f>
        <v/>
      </c>
      <c r="CO394" s="403" t="str">
        <f ca="1">IF(SUM(CO390:$EI390)=0,"",IF(CO$227="","",CO$227+CO390-1))</f>
        <v/>
      </c>
      <c r="CP394" s="403" t="str">
        <f ca="1">IF(SUM(CP390:$EI390)=0,"",IF(CP$227="","",CP$227+CP390-1))</f>
        <v/>
      </c>
      <c r="CQ394" s="403" t="str">
        <f ca="1">IF(SUM(CQ390:$EI390)=0,"",IF(CQ$227="","",CQ$227+CQ390-1))</f>
        <v/>
      </c>
      <c r="CR394" s="403" t="str">
        <f ca="1">IF(SUM(CR390:$EI390)=0,"",IF(CR$227="","",CR$227+CR390-1))</f>
        <v/>
      </c>
      <c r="CS394" s="403" t="str">
        <f ca="1">IF(SUM(CS390:$EI390)=0,"",IF(CS$227="","",CS$227+CS390-1))</f>
        <v/>
      </c>
      <c r="CT394" s="403" t="str">
        <f ca="1">IF(SUM(CT390:$EI390)=0,"",IF(CT$227="","",CT$227+CT390-1))</f>
        <v/>
      </c>
      <c r="CU394" s="403" t="str">
        <f ca="1">IF(SUM(CU390:$EI390)=0,"",IF(CU$227="","",CU$227+CU390-1))</f>
        <v/>
      </c>
      <c r="CV394" s="403" t="str">
        <f ca="1">IF(SUM(CV390:$EI390)=0,"",IF(CV$227="","",CV$227+CV390-1))</f>
        <v/>
      </c>
      <c r="CW394" s="403" t="str">
        <f ca="1">IF(SUM(CW390:$EI390)=0,"",IF(CW$227="","",CW$227+CW390-1))</f>
        <v/>
      </c>
      <c r="CX394" s="403" t="str">
        <f ca="1">IF(SUM(CX390:$EI390)=0,"",IF(CX$227="","",CX$227+CX390-1))</f>
        <v/>
      </c>
      <c r="CY394" s="403" t="str">
        <f ca="1">IF(SUM(CY390:$EI390)=0,"",IF(CY$227="","",CY$227+CY390-1))</f>
        <v/>
      </c>
      <c r="CZ394" s="403" t="str">
        <f ca="1">IF(SUM(CZ390:$EI390)=0,"",IF(CZ$227="","",CZ$227+CZ390-1))</f>
        <v/>
      </c>
      <c r="DA394" s="403" t="str">
        <f ca="1">IF(SUM(DA390:$EI390)=0,"",IF(DA$227="","",DA$227+DA390-1))</f>
        <v/>
      </c>
      <c r="DB394" s="403" t="str">
        <f ca="1">IF(SUM(DB390:$EI390)=0,"",IF(DB$227="","",DB$227+DB390-1))</f>
        <v/>
      </c>
      <c r="DC394" s="403" t="str">
        <f ca="1">IF(SUM(DC390:$EI390)=0,"",IF(DC$227="","",DC$227+DC390-1))</f>
        <v/>
      </c>
      <c r="DD394" s="403" t="str">
        <f ca="1">IF(SUM(DD390:$EI390)=0,"",IF(DD$227="","",DD$227+DD390-1))</f>
        <v/>
      </c>
      <c r="DE394" s="403" t="str">
        <f ca="1">IF(SUM(DE390:$EI390)=0,"",IF(DE$227="","",DE$227+DE390-1))</f>
        <v/>
      </c>
      <c r="DF394" s="403" t="str">
        <f ca="1">IF(SUM(DF390:$EI390)=0,"",IF(DF$227="","",DF$227+DF390-1))</f>
        <v/>
      </c>
      <c r="DG394" s="403" t="str">
        <f ca="1">IF(SUM(DG390:$EI390)=0,"",IF(DG$227="","",DG$227+DG390-1))</f>
        <v/>
      </c>
      <c r="DH394" s="403" t="str">
        <f ca="1">IF(SUM(DH390:$EI390)=0,"",IF(DH$227="","",DH$227+DH390-1))</f>
        <v/>
      </c>
      <c r="DI394" s="403" t="str">
        <f ca="1">IF(SUM(DI390:$EI390)=0,"",IF(DI$227="","",DI$227+DI390-1))</f>
        <v/>
      </c>
      <c r="DJ394" s="403" t="str">
        <f ca="1">IF(SUM(DJ390:$EI390)=0,"",IF(DJ$227="","",DJ$227+DJ390-1))</f>
        <v/>
      </c>
      <c r="DK394" s="403" t="str">
        <f ca="1">IF(SUM(DK390:$EI390)=0,"",IF(DK$227="","",DK$227+DK390-1))</f>
        <v/>
      </c>
      <c r="DL394" s="403" t="str">
        <f ca="1">IF(SUM(DL390:$EI390)=0,"",IF(DL$227="","",DL$227+DL390-1))</f>
        <v/>
      </c>
      <c r="DM394" s="403" t="str">
        <f ca="1">IF(SUM(DM390:$EI390)=0,"",IF(DM$227="","",DM$227+DM390-1))</f>
        <v/>
      </c>
      <c r="DN394" s="403" t="str">
        <f ca="1">IF(SUM(DN390:$EI390)=0,"",IF(DN$227="","",DN$227+DN390-1))</f>
        <v/>
      </c>
      <c r="DO394" s="403" t="str">
        <f ca="1">IF(SUM(DO390:$EI390)=0,"",IF(DO$227="","",DO$227+DO390-1))</f>
        <v/>
      </c>
      <c r="DP394" s="403" t="str">
        <f ca="1">IF(SUM(DP390:$EI390)=0,"",IF(DP$227="","",DP$227+DP390-1))</f>
        <v/>
      </c>
      <c r="DQ394" s="403" t="str">
        <f ca="1">IF(SUM(DQ390:$EI390)=0,"",IF(DQ$227="","",DQ$227+DQ390-1))</f>
        <v/>
      </c>
      <c r="DR394" s="403" t="str">
        <f ca="1">IF(SUM(DR390:$EI390)=0,"",IF(DR$227="","",DR$227+DR390-1))</f>
        <v/>
      </c>
      <c r="DS394" s="403" t="str">
        <f ca="1">IF(SUM(DS390:$EI390)=0,"",IF(DS$227="","",DS$227+DS390-1))</f>
        <v/>
      </c>
      <c r="DT394" s="403" t="str">
        <f ca="1">IF(SUM(DT390:$EI390)=0,"",IF(DT$227="","",DT$227+DT390-1))</f>
        <v/>
      </c>
      <c r="DU394" s="403" t="str">
        <f ca="1">IF(SUM(DU390:$EI390)=0,"",IF(DU$227="","",DU$227+DU390-1))</f>
        <v/>
      </c>
      <c r="DV394" s="403" t="str">
        <f ca="1">IF(SUM(DV390:$EI390)=0,"",IF(DV$227="","",DV$227+DV390-1))</f>
        <v/>
      </c>
      <c r="DW394" s="403" t="str">
        <f ca="1">IF(SUM(DW390:$EI390)=0,"",IF(DW$227="","",DW$227+DW390-1))</f>
        <v/>
      </c>
      <c r="DX394" s="403" t="str">
        <f ca="1">IF(SUM(DX390:$EI390)=0,"",IF(DX$227="","",DX$227+DX390-1))</f>
        <v/>
      </c>
      <c r="DY394" s="403" t="str">
        <f ca="1">IF(SUM(DY390:$EI390)=0,"",IF(DY$227="","",DY$227+DY390-1))</f>
        <v/>
      </c>
      <c r="DZ394" s="403" t="str">
        <f ca="1">IF(SUM(DZ390:$EI390)=0,"",IF(DZ$227="","",DZ$227+DZ390-1))</f>
        <v/>
      </c>
      <c r="EA394" s="403" t="str">
        <f ca="1">IF(SUM(EA390:$EI390)=0,"",IF(EA$227="","",EA$227+EA390-1))</f>
        <v/>
      </c>
      <c r="EB394" s="403" t="str">
        <f ca="1">IF(SUM(EB390:$EI390)=0,"",IF(EB$227="","",EB$227+EB390-1))</f>
        <v/>
      </c>
      <c r="EC394" s="403" t="str">
        <f ca="1">IF(SUM(EC390:$EI390)=0,"",IF(EC$227="","",EC$227+EC390-1))</f>
        <v/>
      </c>
      <c r="ED394" s="403" t="str">
        <f ca="1">IF(SUM(ED390:$EI390)=0,"",IF(ED$227="","",ED$227+ED390-1))</f>
        <v/>
      </c>
      <c r="EE394" s="403" t="str">
        <f ca="1">IF(SUM(EE390:$EI390)=0,"",IF(EE$227="","",EE$227+EE390-1))</f>
        <v/>
      </c>
      <c r="EF394" s="403" t="str">
        <f ca="1">IF(SUM(EF390:$EI390)=0,"",IF(EF$227="","",EF$227+EF390-1))</f>
        <v/>
      </c>
      <c r="EG394" s="403" t="str">
        <f ca="1">IF(SUM(EG390:$EI390)=0,"",IF(EG$227="","",EG$227+EG390-1))</f>
        <v/>
      </c>
      <c r="EH394" s="403" t="str">
        <f ca="1">IF(SUM(EH390:$EI390)=0,"",IF(EH$227="","",EH$227+EH390-1))</f>
        <v/>
      </c>
      <c r="EI394" s="403" t="str">
        <f ca="1">IF(SUM(EI390:$EI390)=0,"",IF(EI$227="","",EI$227+EI390-1))</f>
        <v/>
      </c>
    </row>
    <row r="395" spans="1:141" outlineLevel="1" collapsed="1">
      <c r="A395" s="332"/>
      <c r="B395" s="313"/>
      <c r="C395" s="317" t="s">
        <v>281</v>
      </c>
      <c r="D395" s="317" t="s">
        <v>688</v>
      </c>
      <c r="E395" s="400">
        <f ca="1">IF(ГРП!B43=0,длительность!E97,ГРП!B43)</f>
        <v>0</v>
      </c>
      <c r="F395" s="318">
        <f ca="1">E395-SUM(G395:EJ395)</f>
        <v>0</v>
      </c>
      <c r="G395" s="401"/>
      <c r="H395" s="401">
        <f ca="1">IF(SUM($G395:G395)&gt;=$E395,0,IF($E395-SUM($G395:G395)&gt;H396,H396,$E395-SUM($G396:G396)))</f>
        <v>0</v>
      </c>
      <c r="I395" s="401">
        <f ca="1">IF(SUM($G395:H395)&gt;=$E395,0,IF($E395-SUM($G395:H395)&gt;I396,I396,$E395-SUM($G396:H396)))</f>
        <v>0</v>
      </c>
      <c r="J395" s="401">
        <f ca="1">IF(SUM($G395:I395)&gt;=$E395,0,IF($E395-SUM($G395:I395)&gt;J396,J396,$E395-SUM($G396:I396)))</f>
        <v>0</v>
      </c>
      <c r="K395" s="401">
        <f ca="1">IF(SUM($G395:J395)&gt;=$E395,0,IF($E395-SUM($G395:J395)&gt;K396,K396,$E395-SUM($G396:J396)))</f>
        <v>0</v>
      </c>
      <c r="L395" s="401">
        <f ca="1">IF(SUM($G395:K395)&gt;=$E395,0,IF($E395-SUM($G395:K395)&gt;L396,L396,$E395-SUM($G396:K396)))</f>
        <v>0</v>
      </c>
      <c r="M395" s="401">
        <f ca="1">IF(SUM($G395:L395)&gt;=$E395,0,IF($E395-SUM($G395:L395)&gt;M396,M396,$E395-SUM($G396:L396)))</f>
        <v>0</v>
      </c>
      <c r="N395" s="401">
        <f ca="1">IF(SUM($G395:M395)&gt;=$E395,0,IF($E395-SUM($G395:M395)&gt;N396,N396,$E395-SUM($G396:M396)))</f>
        <v>0</v>
      </c>
      <c r="O395" s="401">
        <f ca="1">IF(SUM($G395:N395)&gt;=$E395,0,IF($E395-SUM($G395:N395)&gt;O396,O396,$E395-SUM($G396:N396)))</f>
        <v>0</v>
      </c>
      <c r="P395" s="401">
        <f ca="1">IF(SUM($G395:O395)&gt;=$E395,0,IF($E395-SUM($G395:O395)&gt;P396,P396,$E395-SUM($G396:O396)))</f>
        <v>0</v>
      </c>
      <c r="Q395" s="401">
        <f ca="1">IF(SUM($G395:P395)&gt;=$E395,0,IF($E395-SUM($G395:P395)&gt;Q396,Q396,$E395-SUM($G396:P396)))</f>
        <v>0</v>
      </c>
      <c r="R395" s="401">
        <f ca="1">IF(SUM($G395:Q395)&gt;=$E395,0,IF($E395-SUM($G395:Q395)&gt;R396,R396,$E395-SUM($G396:Q396)))</f>
        <v>0</v>
      </c>
      <c r="S395" s="401">
        <f ca="1">IF(SUM($G395:R395)&gt;=$E395,0,IF($E395-SUM($G395:R395)&gt;S396,S396,$E395-SUM($G396:R396)))</f>
        <v>0</v>
      </c>
      <c r="T395" s="401">
        <f ca="1">IF(SUM($G395:S395)&gt;=$E395,0,IF($E395-SUM($G395:S395)&gt;T396,T396,$E395-SUM($G396:S396)))</f>
        <v>0</v>
      </c>
      <c r="U395" s="401">
        <f ca="1">IF(SUM($G395:T395)&gt;=$E395,0,IF($E395-SUM($G395:T395)&gt;U396,U396,$E395-SUM($G396:T396)))</f>
        <v>0</v>
      </c>
      <c r="V395" s="401">
        <f ca="1">IF(SUM($G395:U395)&gt;=$E395,0,IF($E395-SUM($G395:U395)&gt;V396,V396,$E395-SUM($G396:U396)))</f>
        <v>0</v>
      </c>
      <c r="W395" s="401">
        <f ca="1">IF(SUM($G395:V395)&gt;=$E395,0,IF($E395-SUM($G395:V395)&gt;W396,W396,$E395-SUM($G396:V396)))</f>
        <v>0</v>
      </c>
      <c r="X395" s="401">
        <f ca="1">IF(SUM($G395:W395)&gt;=$E395,0,IF($E395-SUM($G395:W395)&gt;X396,X396,$E395-SUM($G396:W396)))</f>
        <v>0</v>
      </c>
      <c r="Y395" s="401">
        <f ca="1">IF(SUM($G395:X395)&gt;=$E395,0,IF($E395-SUM($G395:X395)&gt;Y396,Y396,$E395-SUM($G396:X396)))</f>
        <v>0</v>
      </c>
      <c r="Z395" s="401">
        <f ca="1">IF(SUM($G395:Y395)&gt;=$E395,0,IF($E395-SUM($G395:Y395)&gt;Z396,Z396,$E395-SUM($G396:Y396)))</f>
        <v>0</v>
      </c>
      <c r="AA395" s="401">
        <f ca="1">IF(SUM($G395:Z395)&gt;=$E395,0,IF($E395-SUM($G395:Z395)&gt;AA396,AA396,$E395-SUM($G396:Z396)))</f>
        <v>0</v>
      </c>
      <c r="AB395" s="401">
        <f ca="1">IF(SUM($G395:AA395)&gt;=$E395,0,IF($E395-SUM($G395:AA395)&gt;AB396,AB396,$E395-SUM($G396:AA396)))</f>
        <v>0</v>
      </c>
      <c r="AC395" s="401">
        <f ca="1">IF(SUM($G395:AB395)&gt;=$E395,0,IF($E395-SUM($G395:AB395)&gt;AC396,AC396,$E395-SUM($G396:AB396)))</f>
        <v>0</v>
      </c>
      <c r="AD395" s="401">
        <f ca="1">IF(SUM($G395:AC395)&gt;=$E395,0,IF($E395-SUM($G395:AC395)&gt;AD396,AD396,$E395-SUM($G396:AC396)))</f>
        <v>0</v>
      </c>
      <c r="AE395" s="401">
        <f ca="1">IF(SUM($G395:AD395)&gt;=$E395,0,IF($E395-SUM($G395:AD395)&gt;AE396,AE396,$E395-SUM($G396:AD396)))</f>
        <v>0</v>
      </c>
      <c r="AF395" s="401">
        <f ca="1">IF(SUM($G395:AE395)&gt;=$E395,0,IF($E395-SUM($G395:AE395)&gt;AF396,AF396,$E395-SUM($G396:AE396)))</f>
        <v>0</v>
      </c>
      <c r="AG395" s="401">
        <f ca="1">IF(SUM($G395:AF395)&gt;=$E395,0,IF($E395-SUM($G395:AF395)&gt;AG396,AG396,$E395-SUM($G396:AF396)))</f>
        <v>0</v>
      </c>
      <c r="AH395" s="401">
        <f ca="1">IF(SUM($G395:AG395)&gt;=$E395,0,IF($E395-SUM($G395:AG395)&gt;AH396,AH396,$E395-SUM($G396:AG396)))</f>
        <v>0</v>
      </c>
      <c r="AI395" s="401">
        <f ca="1">IF(SUM($G395:AH395)&gt;=$E395,0,IF($E395-SUM($G395:AH395)&gt;AI396,AI396,$E395-SUM($G396:AH396)))</f>
        <v>0</v>
      </c>
      <c r="AJ395" s="401">
        <f ca="1">IF(SUM($G395:AI395)&gt;=$E395,0,IF($E395-SUM($G395:AI395)&gt;AJ396,AJ396,$E395-SUM($G396:AI396)))</f>
        <v>0</v>
      </c>
      <c r="AK395" s="401">
        <f ca="1">IF(SUM($G395:AJ395)&gt;=$E395,0,IF($E395-SUM($G395:AJ395)&gt;AK396,AK396,$E395-SUM($G396:AJ396)))</f>
        <v>0</v>
      </c>
      <c r="AL395" s="401">
        <f ca="1">IF(SUM($G395:AK395)&gt;=$E395,0,IF($E395-SUM($G395:AK395)&gt;AL396,AL396,$E395-SUM($G396:AK396)))</f>
        <v>0</v>
      </c>
      <c r="AM395" s="401">
        <f ca="1">IF(SUM($G395:AL395)&gt;=$E395,0,IF($E395-SUM($G395:AL395)&gt;AM396,AM396,$E395-SUM($G396:AL396)))</f>
        <v>0</v>
      </c>
      <c r="AN395" s="401">
        <f ca="1">IF(SUM($G395:AM395)&gt;=$E395,0,IF($E395-SUM($G395:AM395)&gt;AN396,AN396,$E395-SUM($G396:AM396)))</f>
        <v>0</v>
      </c>
      <c r="AO395" s="401">
        <f ca="1">IF(SUM($G395:AN395)&gt;=$E395,0,IF($E395-SUM($G395:AN395)&gt;AO396,AO396,$E395-SUM($G396:AN396)))</f>
        <v>0</v>
      </c>
      <c r="AP395" s="401">
        <f ca="1">IF(SUM($G395:AO395)&gt;=$E395,0,IF($E395-SUM($G395:AO395)&gt;AP396,AP396,$E395-SUM($G396:AO396)))</f>
        <v>0</v>
      </c>
      <c r="AQ395" s="401">
        <f ca="1">IF(SUM($G395:AP395)&gt;=$E395,0,IF($E395-SUM($G395:AP395)&gt;AQ396,AQ396,$E395-SUM($G396:AP396)))</f>
        <v>0</v>
      </c>
      <c r="AR395" s="401">
        <f ca="1">IF(SUM($G395:AQ395)&gt;=$E395,0,IF($E395-SUM($G395:AQ395)&gt;AR396,AR396,$E395-SUM($G396:AQ396)))</f>
        <v>0</v>
      </c>
      <c r="AS395" s="401">
        <f ca="1">IF(SUM($G395:AR395)&gt;=$E395,0,IF($E395-SUM($G395:AR395)&gt;AS396,AS396,$E395-SUM($G396:AR396)))</f>
        <v>0</v>
      </c>
      <c r="AT395" s="401">
        <f ca="1">IF(SUM($G395:AS395)&gt;=$E395,0,IF($E395-SUM($G395:AS395)&gt;AT396,AT396,$E395-SUM($G396:AS396)))</f>
        <v>0</v>
      </c>
      <c r="AU395" s="401">
        <f ca="1">IF(SUM($G395:AT395)&gt;=$E395,0,IF($E395-SUM($G395:AT395)&gt;AU396,AU396,$E395-SUM($G396:AT396)))</f>
        <v>0</v>
      </c>
      <c r="AV395" s="401">
        <f ca="1">IF(SUM($G395:AU395)&gt;=$E395,0,IF($E395-SUM($G395:AU395)&gt;AV396,AV396,$E395-SUM($G396:AU396)))</f>
        <v>0</v>
      </c>
      <c r="AW395" s="401">
        <f ca="1">IF(SUM($G395:AV395)&gt;=$E395,0,IF($E395-SUM($G395:AV395)&gt;AW396,AW396,$E395-SUM($G396:AV396)))</f>
        <v>0</v>
      </c>
      <c r="AX395" s="401">
        <f ca="1">IF(SUM($G395:AW395)&gt;=$E395,0,IF($E395-SUM($G395:AW395)&gt;AX396,AX396,$E395-SUM($G396:AW396)))</f>
        <v>0</v>
      </c>
      <c r="AY395" s="401">
        <f ca="1">IF(SUM($G395:AX395)&gt;=$E395,0,IF($E395-SUM($G395:AX395)&gt;AY396,AY396,$E395-SUM($G396:AX396)))</f>
        <v>0</v>
      </c>
      <c r="AZ395" s="401">
        <f ca="1">IF(SUM($G395:AY395)&gt;=$E395,0,IF($E395-SUM($G395:AY395)&gt;AZ396,AZ396,$E395-SUM($G396:AY396)))</f>
        <v>0</v>
      </c>
      <c r="BA395" s="401">
        <f ca="1">IF(SUM($G395:AZ395)&gt;=$E395,0,IF($E395-SUM($G395:AZ395)&gt;BA396,BA396,$E395-SUM($G396:AZ396)))</f>
        <v>0</v>
      </c>
      <c r="BB395" s="401">
        <f ca="1">IF(SUM($G395:BA395)&gt;=$E395,0,IF($E395-SUM($G395:BA395)&gt;BB396,BB396,$E395-SUM($G396:BA396)))</f>
        <v>0</v>
      </c>
      <c r="BC395" s="401">
        <f ca="1">IF(SUM($G395:BB395)&gt;=$E395,0,IF($E395-SUM($G395:BB395)&gt;BC396,BC396,$E395-SUM($G396:BB396)))</f>
        <v>0</v>
      </c>
      <c r="BD395" s="401">
        <f ca="1">IF(SUM($G395:BC395)&gt;=$E395,0,IF($E395-SUM($G395:BC395)&gt;BD396,BD396,$E395-SUM($G396:BC396)))</f>
        <v>0</v>
      </c>
      <c r="BE395" s="401">
        <f ca="1">IF(SUM($G395:BD395)&gt;=$E395,0,IF($E395-SUM($G395:BD395)&gt;BE396,BE396,$E395-SUM($G396:BD396)))</f>
        <v>0</v>
      </c>
      <c r="BF395" s="401">
        <f ca="1">IF(SUM($G395:BE395)&gt;=$E395,0,IF($E395-SUM($G395:BE395)&gt;BF396,BF396,$E395-SUM($G396:BE396)))</f>
        <v>0</v>
      </c>
      <c r="BG395" s="401">
        <f ca="1">IF(SUM($G395:BF395)&gt;=$E395,0,IF($E395-SUM($G395:BF395)&gt;BG396,BG396,$E395-SUM($G396:BF396)))</f>
        <v>0</v>
      </c>
      <c r="BH395" s="401">
        <f ca="1">IF(SUM($G395:BG395)&gt;=$E395,0,IF($E395-SUM($G395:BG395)&gt;BH396,BH396,$E395-SUM($G396:BG396)))</f>
        <v>0</v>
      </c>
      <c r="BI395" s="401">
        <f ca="1">IF(SUM($G395:BH395)&gt;=$E395,0,IF($E395-SUM($G395:BH395)&gt;BI396,BI396,$E395-SUM($G396:BH396)))</f>
        <v>0</v>
      </c>
      <c r="BJ395" s="401">
        <f ca="1">IF(SUM($G395:BI395)&gt;=$E395,0,IF($E395-SUM($G395:BI395)&gt;BJ396,BJ396,$E395-SUM($G396:BI396)))</f>
        <v>0</v>
      </c>
      <c r="BK395" s="401">
        <f ca="1">IF(SUM($G395:BJ395)&gt;=$E395,0,IF($E395-SUM($G395:BJ395)&gt;BK396,BK396,$E395-SUM($G396:BJ396)))</f>
        <v>0</v>
      </c>
      <c r="BL395" s="401">
        <f ca="1">IF(SUM($G395:BK395)&gt;=$E395,0,IF($E395-SUM($G395:BK395)&gt;BL396,BL396,$E395-SUM($G396:BK396)))</f>
        <v>0</v>
      </c>
      <c r="BM395" s="401">
        <f ca="1">IF(SUM($G395:BL395)&gt;=$E395,0,IF($E395-SUM($G395:BL395)&gt;BM396,BM396,$E395-SUM($G396:BL396)))</f>
        <v>0</v>
      </c>
      <c r="BN395" s="401">
        <f ca="1">IF(SUM($G395:BM395)&gt;=$E395,0,IF($E395-SUM($G395:BM395)&gt;BN396,BN396,$E395-SUM($G396:BM396)))</f>
        <v>0</v>
      </c>
      <c r="BO395" s="401">
        <f ca="1">IF(SUM($G395:BN395)&gt;=$E395,0,IF($E395-SUM($G395:BN395)&gt;BO396,BO396,$E395-SUM($G396:BN396)))</f>
        <v>0</v>
      </c>
      <c r="BP395" s="401">
        <f ca="1">IF(SUM($G395:BO395)&gt;=$E395,0,IF($E395-SUM($G395:BO395)&gt;BP396,BP396,$E395-SUM($G396:BO396)))</f>
        <v>0</v>
      </c>
      <c r="BQ395" s="401">
        <f ca="1">IF(SUM($G395:BP395)&gt;=$E395,0,IF($E395-SUM($G395:BP395)&gt;BQ396,BQ396,$E395-SUM($G396:BP396)))</f>
        <v>0</v>
      </c>
      <c r="BR395" s="401">
        <f ca="1">IF(SUM($G395:BQ395)&gt;=$E395,0,IF($E395-SUM($G395:BQ395)&gt;BR396,BR396,$E395-SUM($G396:BQ396)))</f>
        <v>0</v>
      </c>
      <c r="BS395" s="401">
        <f ca="1">IF(SUM($G395:BR395)&gt;=$E395,0,IF($E395-SUM($G395:BR395)&gt;BS396,BS396,$E395-SUM($G396:BR396)))</f>
        <v>0</v>
      </c>
      <c r="BT395" s="401">
        <f ca="1">IF(SUM($G395:BS395)&gt;=$E395,0,IF($E395-SUM($G395:BS395)&gt;BT396,BT396,$E395-SUM($G396:BS396)))</f>
        <v>0</v>
      </c>
      <c r="BU395" s="401">
        <f ca="1">IF(SUM($G395:BT395)&gt;=$E395,0,IF($E395-SUM($G395:BT395)&gt;BU396,BU396,$E395-SUM($G396:BT396)))</f>
        <v>0</v>
      </c>
      <c r="BV395" s="401">
        <f ca="1">IF(SUM($G395:BU395)&gt;=$E395,0,IF($E395-SUM($G395:BU395)&gt;BV396,BV396,$E395-SUM($G396:BU396)))</f>
        <v>0</v>
      </c>
      <c r="BW395" s="401">
        <f ca="1">IF(SUM($G395:BV395)&gt;=$E395,0,IF($E395-SUM($G395:BV395)&gt;BW396,BW396,$E395-SUM($G396:BV396)))</f>
        <v>0</v>
      </c>
      <c r="BX395" s="401">
        <f ca="1">IF(SUM($G395:BW395)&gt;=$E395,0,IF($E395-SUM($G395:BW395)&gt;BX396,BX396,$E395-SUM($G396:BW396)))</f>
        <v>0</v>
      </c>
      <c r="BY395" s="401">
        <f ca="1">IF(SUM($G395:BX395)&gt;=$E395,0,IF($E395-SUM($G395:BX395)&gt;BY396,BY396,$E395-SUM($G396:BX396)))</f>
        <v>0</v>
      </c>
      <c r="BZ395" s="401">
        <f ca="1">IF(SUM($G395:BY395)&gt;=$E395,0,IF($E395-SUM($G395:BY395)&gt;BZ396,BZ396,$E395-SUM($G396:BY396)))</f>
        <v>0</v>
      </c>
      <c r="CA395" s="401">
        <f ca="1">IF(SUM($G395:BZ395)&gt;=$E395,0,IF($E395-SUM($G395:BZ395)&gt;CA396,CA396,$E395-SUM($G396:BZ396)))</f>
        <v>0</v>
      </c>
      <c r="CB395" s="401">
        <f ca="1">IF(SUM($G395:CA395)&gt;=$E395,0,IF($E395-SUM($G395:CA395)&gt;CB396,CB396,$E395-SUM($G396:CA396)))</f>
        <v>0</v>
      </c>
      <c r="CC395" s="401">
        <f ca="1">IF(SUM($G395:CB395)&gt;=$E395,0,IF($E395-SUM($G395:CB395)&gt;CC396,CC396,$E395-SUM($G396:CB396)))</f>
        <v>0</v>
      </c>
      <c r="CD395" s="401">
        <f ca="1">IF(SUM($G395:CC395)&gt;=$E395,0,IF($E395-SUM($G395:CC395)&gt;CD396,CD396,$E395-SUM($G396:CC396)))</f>
        <v>0</v>
      </c>
      <c r="CE395" s="401">
        <f ca="1">IF(SUM($G395:CD395)&gt;=$E395,0,IF($E395-SUM($G395:CD395)&gt;CE396,CE396,$E395-SUM($G396:CD396)))</f>
        <v>0</v>
      </c>
      <c r="CF395" s="401">
        <f ca="1">IF(SUM($G395:CE395)&gt;=$E395,0,IF($E395-SUM($G395:CE395)&gt;CF396,CF396,$E395-SUM($G396:CE396)))</f>
        <v>0</v>
      </c>
      <c r="CG395" s="401">
        <f ca="1">IF(SUM($G395:CF395)&gt;=$E395,0,IF($E395-SUM($G395:CF395)&gt;CG396,CG396,$E395-SUM($G396:CF396)))</f>
        <v>0</v>
      </c>
      <c r="CH395" s="401">
        <f ca="1">IF(SUM($G395:CG395)&gt;=$E395,0,IF($E395-SUM($G395:CG395)&gt;CH396,CH396,$E395-SUM($G396:CG396)))</f>
        <v>0</v>
      </c>
      <c r="CI395" s="401">
        <f ca="1">IF(SUM($G395:CH395)&gt;=$E395,0,IF($E395-SUM($G395:CH395)&gt;CI396,CI396,$E395-SUM($G396:CH396)))</f>
        <v>0</v>
      </c>
      <c r="CJ395" s="401">
        <f ca="1">IF(SUM($G395:CI395)&gt;=$E395,0,IF($E395-SUM($G395:CI395)&gt;CJ396,CJ396,$E395-SUM($G396:CI396)))</f>
        <v>0</v>
      </c>
      <c r="CK395" s="401">
        <f ca="1">IF(SUM($G395:CJ395)&gt;=$E395,0,IF($E395-SUM($G395:CJ395)&gt;CK396,CK396,$E395-SUM($G396:CJ396)))</f>
        <v>0</v>
      </c>
      <c r="CL395" s="401">
        <f ca="1">IF(SUM($G395:CK395)&gt;=$E395,0,IF($E395-SUM($G395:CK395)&gt;CL396,CL396,$E395-SUM($G396:CK396)))</f>
        <v>0</v>
      </c>
      <c r="CM395" s="401">
        <f ca="1">IF(SUM($G395:CL395)&gt;=$E395,0,IF($E395-SUM($G395:CL395)&gt;CM396,CM396,$E395-SUM($G396:CL396)))</f>
        <v>0</v>
      </c>
      <c r="CN395" s="401">
        <f ca="1">IF(SUM($G395:CM395)&gt;=$E395,0,IF($E395-SUM($G395:CM395)&gt;CN396,CN396,$E395-SUM($G396:CM396)))</f>
        <v>0</v>
      </c>
      <c r="CO395" s="401">
        <f ca="1">IF(SUM($G395:CN395)&gt;=$E395,0,IF($E395-SUM($G395:CN395)&gt;CO396,CO396,$E395-SUM($G396:CN396)))</f>
        <v>0</v>
      </c>
      <c r="CP395" s="401">
        <f ca="1">IF(SUM($G395:CO395)&gt;=$E395,0,IF($E395-SUM($G395:CO395)&gt;CP396,CP396,$E395-SUM($G396:CO396)))</f>
        <v>0</v>
      </c>
      <c r="CQ395" s="401">
        <f ca="1">IF(SUM($G395:CP395)&gt;=$E395,0,IF($E395-SUM($G395:CP395)&gt;CQ396,CQ396,$E395-SUM($G396:CP396)))</f>
        <v>0</v>
      </c>
      <c r="CR395" s="401">
        <f ca="1">IF(SUM($G395:CQ395)&gt;=$E395,0,IF($E395-SUM($G395:CQ395)&gt;CR396,CR396,$E395-SUM($G396:CQ396)))</f>
        <v>0</v>
      </c>
      <c r="CS395" s="401">
        <f ca="1">IF(SUM($G395:CR395)&gt;=$E395,0,IF($E395-SUM($G395:CR395)&gt;CS396,CS396,$E395-SUM($G396:CR396)))</f>
        <v>0</v>
      </c>
      <c r="CT395" s="401">
        <f ca="1">IF(SUM($G395:CS395)&gt;=$E395,0,IF($E395-SUM($G395:CS395)&gt;CT396,CT396,$E395-SUM($G396:CS396)))</f>
        <v>0</v>
      </c>
      <c r="CU395" s="401">
        <f ca="1">IF(SUM($G395:CT395)&gt;=$E395,0,IF($E395-SUM($G395:CT395)&gt;CU396,CU396,$E395-SUM($G396:CT396)))</f>
        <v>0</v>
      </c>
      <c r="CV395" s="401">
        <f ca="1">IF(SUM($G395:CU395)&gt;=$E395,0,IF($E395-SUM($G395:CU395)&gt;CV396,CV396,$E395-SUM($G396:CU396)))</f>
        <v>0</v>
      </c>
      <c r="CW395" s="401">
        <f ca="1">IF(SUM($G395:CV395)&gt;=$E395,0,IF($E395-SUM($G395:CV395)&gt;CW396,CW396,$E395-SUM($G396:CV396)))</f>
        <v>0</v>
      </c>
      <c r="CX395" s="401">
        <f ca="1">IF(SUM($G395:CW395)&gt;=$E395,0,IF($E395-SUM($G395:CW395)&gt;CX396,CX396,$E395-SUM($G396:CW396)))</f>
        <v>0</v>
      </c>
      <c r="CY395" s="401">
        <f ca="1">IF(SUM($G395:CX395)&gt;=$E395,0,IF($E395-SUM($G395:CX395)&gt;CY396,CY396,$E395-SUM($G396:CX396)))</f>
        <v>0</v>
      </c>
      <c r="CZ395" s="401">
        <f ca="1">IF(SUM($G395:CY395)&gt;=$E395,0,IF($E395-SUM($G395:CY395)&gt;CZ396,CZ396,$E395-SUM($G396:CY396)))</f>
        <v>0</v>
      </c>
      <c r="DA395" s="401">
        <f ca="1">IF(SUM($G395:CZ395)&gt;=$E395,0,IF($E395-SUM($G395:CZ395)&gt;DA396,DA396,$E395-SUM($G396:CZ396)))</f>
        <v>0</v>
      </c>
      <c r="DB395" s="401">
        <f ca="1">IF(SUM($G395:DA395)&gt;=$E395,0,IF($E395-SUM($G395:DA395)&gt;DB396,DB396,$E395-SUM($G396:DA396)))</f>
        <v>0</v>
      </c>
      <c r="DC395" s="401">
        <f ca="1">IF(SUM($G395:DB395)&gt;=$E395,0,IF($E395-SUM($G395:DB395)&gt;DC396,DC396,$E395-SUM($G396:DB396)))</f>
        <v>0</v>
      </c>
      <c r="DD395" s="401">
        <f ca="1">IF(SUM($G395:DC395)&gt;=$E395,0,IF($E395-SUM($G395:DC395)&gt;DD396,DD396,$E395-SUM($G396:DC396)))</f>
        <v>0</v>
      </c>
      <c r="DE395" s="401">
        <f ca="1">IF(SUM($G395:DD395)&gt;=$E395,0,IF($E395-SUM($G395:DD395)&gt;DE396,DE396,$E395-SUM($G396:DD396)))</f>
        <v>0</v>
      </c>
      <c r="DF395" s="401">
        <f ca="1">IF(SUM($G395:DE395)&gt;=$E395,0,IF($E395-SUM($G395:DE395)&gt;DF396,DF396,$E395-SUM($G396:DE396)))</f>
        <v>0</v>
      </c>
      <c r="DG395" s="401">
        <f ca="1">IF(SUM($G395:DF395)&gt;=$E395,0,IF($E395-SUM($G395:DF395)&gt;DG396,DG396,$E395-SUM($G396:DF396)))</f>
        <v>0</v>
      </c>
      <c r="DH395" s="401">
        <f ca="1">IF(SUM($G395:DG395)&gt;=$E395,0,IF($E395-SUM($G395:DG395)&gt;DH396,DH396,$E395-SUM($G396:DG396)))</f>
        <v>0</v>
      </c>
      <c r="DI395" s="401">
        <f ca="1">IF(SUM($G395:DH395)&gt;=$E395,0,IF($E395-SUM($G395:DH395)&gt;DI396,DI396,$E395-SUM($G396:DH396)))</f>
        <v>0</v>
      </c>
      <c r="DJ395" s="401">
        <f ca="1">IF(SUM($G395:DI395)&gt;=$E395,0,IF($E395-SUM($G395:DI395)&gt;DJ396,DJ396,$E395-SUM($G396:DI396)))</f>
        <v>0</v>
      </c>
      <c r="DK395" s="401">
        <f ca="1">IF(SUM($G395:DJ395)&gt;=$E395,0,IF($E395-SUM($G395:DJ395)&gt;DK396,DK396,$E395-SUM($G396:DJ396)))</f>
        <v>0</v>
      </c>
      <c r="DL395" s="401">
        <f ca="1">IF(SUM($G395:DK395)&gt;=$E395,0,IF($E395-SUM($G395:DK395)&gt;DL396,DL396,$E395-SUM($G396:DK396)))</f>
        <v>0</v>
      </c>
      <c r="DM395" s="401">
        <f ca="1">IF(SUM($G395:DL395)&gt;=$E395,0,IF($E395-SUM($G395:DL395)&gt;DM396,DM396,$E395-SUM($G396:DL396)))</f>
        <v>0</v>
      </c>
      <c r="DN395" s="401">
        <f ca="1">IF(SUM($G395:DM395)&gt;=$E395,0,IF($E395-SUM($G395:DM395)&gt;DN396,DN396,$E395-SUM($G396:DM396)))</f>
        <v>0</v>
      </c>
      <c r="DO395" s="401">
        <f ca="1">IF(SUM($G395:DN395)&gt;=$E395,0,IF($E395-SUM($G395:DN395)&gt;DO396,DO396,$E395-SUM($G396:DN396)))</f>
        <v>0</v>
      </c>
      <c r="DP395" s="401">
        <f ca="1">IF(SUM($G395:DO395)&gt;=$E395,0,IF($E395-SUM($G395:DO395)&gt;DP396,DP396,$E395-SUM($G396:DO396)))</f>
        <v>0</v>
      </c>
      <c r="DQ395" s="401">
        <f ca="1">IF(SUM($G395:DP395)&gt;=$E395,0,IF($E395-SUM($G395:DP395)&gt;DQ396,DQ396,$E395-SUM($G396:DP396)))</f>
        <v>0</v>
      </c>
      <c r="DR395" s="401">
        <f ca="1">IF(SUM($G395:DQ395)&gt;=$E395,0,IF($E395-SUM($G395:DQ395)&gt;DR396,DR396,$E395-SUM($G396:DQ396)))</f>
        <v>0</v>
      </c>
      <c r="DS395" s="401">
        <f ca="1">IF(SUM($G395:DR395)&gt;=$E395,0,IF($E395-SUM($G395:DR395)&gt;DS396,DS396,$E395-SUM($G396:DR396)))</f>
        <v>0</v>
      </c>
      <c r="DT395" s="401">
        <f ca="1">IF(SUM($G395:DS395)&gt;=$E395,0,IF($E395-SUM($G395:DS395)&gt;DT396,DT396,$E395-SUM($G396:DS396)))</f>
        <v>0</v>
      </c>
      <c r="DU395" s="401">
        <f ca="1">IF(SUM($G395:DT395)&gt;=$E395,0,IF($E395-SUM($G395:DT395)&gt;DU396,DU396,$E395-SUM($G396:DT396)))</f>
        <v>0</v>
      </c>
      <c r="DV395" s="401">
        <f ca="1">IF(SUM($G395:DU395)&gt;=$E395,0,IF($E395-SUM($G395:DU395)&gt;DV396,DV396,$E395-SUM($G396:DU396)))</f>
        <v>0</v>
      </c>
      <c r="DW395" s="401">
        <f ca="1">IF(SUM($G395:DV395)&gt;=$E395,0,IF($E395-SUM($G395:DV395)&gt;DW396,DW396,$E395-SUM($G396:DV396)))</f>
        <v>0</v>
      </c>
      <c r="DX395" s="401">
        <f ca="1">IF(SUM($G395:DW395)&gt;=$E395,0,IF($E395-SUM($G395:DW395)&gt;DX396,DX396,$E395-SUM($G396:DW396)))</f>
        <v>0</v>
      </c>
      <c r="DY395" s="401">
        <f ca="1">IF(SUM($G395:DX395)&gt;=$E395,0,IF($E395-SUM($G395:DX395)&gt;DY396,DY396,$E395-SUM($G396:DX396)))</f>
        <v>0</v>
      </c>
      <c r="DZ395" s="401">
        <f ca="1">IF(SUM($G395:DY395)&gt;=$E395,0,IF($E395-SUM($G395:DY395)&gt;DZ396,DZ396,$E395-SUM($G396:DY396)))</f>
        <v>0</v>
      </c>
      <c r="EA395" s="401">
        <f ca="1">IF(SUM($G395:DZ395)&gt;=$E395,0,IF($E395-SUM($G395:DZ395)&gt;EA396,EA396,$E395-SUM($G396:DZ396)))</f>
        <v>0</v>
      </c>
      <c r="EB395" s="401">
        <f ca="1">IF(SUM($G395:EA395)&gt;=$E395,0,IF($E395-SUM($G395:EA395)&gt;EB396,EB396,$E395-SUM($G396:EA396)))</f>
        <v>0</v>
      </c>
      <c r="EC395" s="401">
        <f ca="1">IF(SUM($G395:EB395)&gt;=$E395,0,IF($E395-SUM($G395:EB395)&gt;EC396,EC396,$E395-SUM($G396:EB396)))</f>
        <v>0</v>
      </c>
      <c r="ED395" s="401">
        <f ca="1">IF(SUM($G395:EC395)&gt;=$E395,0,IF($E395-SUM($G395:EC395)&gt;ED396,ED396,$E395-SUM($G396:EC396)))</f>
        <v>0</v>
      </c>
      <c r="EE395" s="401">
        <f ca="1">IF(SUM($G395:ED395)&gt;=$E395,0,IF($E395-SUM($G395:ED395)&gt;EE396,EE396,$E395-SUM($G396:ED396)))</f>
        <v>0</v>
      </c>
      <c r="EF395" s="401">
        <f ca="1">IF(SUM($G395:EE395)&gt;=$E395,0,IF($E395-SUM($G395:EE395)&gt;EF396,EF396,$E395-SUM($G396:EE396)))</f>
        <v>0</v>
      </c>
      <c r="EG395" s="401">
        <f ca="1">IF(SUM($G395:EF395)&gt;=$E395,0,IF($E395-SUM($G395:EF395)&gt;EG396,EG396,$E395-SUM($G396:EF396)))</f>
        <v>0</v>
      </c>
      <c r="EH395" s="401">
        <f ca="1">IF(SUM($G395:EG395)&gt;=$E395,0,IF($E395-SUM($G395:EG395)&gt;EH396,EH396,$E395-SUM($G396:EG396)))</f>
        <v>0</v>
      </c>
      <c r="EI395" s="401">
        <f ca="1">IF(SUM($G395:EH395)&gt;=$E395,0,IF($E395-SUM($G395:EH395)&gt;EI396,EI396,$E395-SUM($G396:EH396)))</f>
        <v>0</v>
      </c>
      <c r="EK395" s="313"/>
    </row>
    <row r="396" spans="1:141" hidden="1" outlineLevel="2">
      <c r="A396" s="332"/>
      <c r="B396" s="313"/>
      <c r="C396" s="308"/>
      <c r="D396" s="308"/>
      <c r="E396" s="308"/>
      <c r="G396" s="405"/>
      <c r="H396" s="405">
        <f ca="1">IF((SUM($G270:H270)-$E269)&lt;0,0,IF((SUM($G270:H270)-$E269)&lt;H270,SUM($G270:H270)-$E269,H270))</f>
        <v>0</v>
      </c>
      <c r="I396" s="405">
        <f ca="1">IF((SUM($G270:I270)-$E269)&lt;0,0,IF((SUM($G270:I270)-$E269)&lt;I270,SUM($G270:I270)-$E269,I270))</f>
        <v>0</v>
      </c>
      <c r="J396" s="405">
        <f ca="1">IF((SUM($G270:J270)-$E269)&lt;0,0,IF((SUM($G270:J270)-$E269)&lt;J270,SUM($G270:J270)-$E269,J270))</f>
        <v>0</v>
      </c>
      <c r="K396" s="405">
        <f ca="1">IF((SUM($G270:K270)-$E269)&lt;0,0,IF((SUM($G270:K270)-$E269)&lt;K270,SUM($G270:K270)-$E269,K270))</f>
        <v>0</v>
      </c>
      <c r="L396" s="405">
        <f ca="1">IF((SUM($G270:L270)-$E269)&lt;0,0,IF((SUM($G270:L270)-$E269)&lt;L270,SUM($G270:L270)-$E269,L270))</f>
        <v>0</v>
      </c>
      <c r="M396" s="405">
        <f ca="1">IF((SUM($G270:M270)-$E269)&lt;0,0,IF((SUM($G270:M270)-$E269)&lt;M270,SUM($G270:M270)-$E269,M270))</f>
        <v>0</v>
      </c>
      <c r="N396" s="405">
        <f ca="1">IF((SUM($G270:N270)-$E269)&lt;0,0,IF((SUM($G270:N270)-$E269)&lt;N270,SUM($G270:N270)-$E269,N270))</f>
        <v>0</v>
      </c>
      <c r="O396" s="405">
        <f ca="1">IF((SUM($G270:O270)-$E269)&lt;0,0,IF((SUM($G270:O270)-$E269)&lt;O270,SUM($G270:O270)-$E269,O270))</f>
        <v>0</v>
      </c>
      <c r="P396" s="405">
        <f ca="1">IF((SUM($G270:P270)-$E269)&lt;0,0,IF((SUM($G270:P270)-$E269)&lt;P270,SUM($G270:P270)-$E269,P270))</f>
        <v>0</v>
      </c>
      <c r="Q396" s="405">
        <f ca="1">IF((SUM($G270:Q270)-$E269)&lt;0,0,IF((SUM($G270:Q270)-$E269)&lt;Q270,SUM($G270:Q270)-$E269,Q270))</f>
        <v>0</v>
      </c>
      <c r="R396" s="405">
        <f ca="1">IF((SUM($G270:R270)-$E269)&lt;0,0,IF((SUM($G270:R270)-$E269)&lt;R270,SUM($G270:R270)-$E269,R270))</f>
        <v>0</v>
      </c>
      <c r="S396" s="405">
        <f ca="1">IF((SUM($G270:S270)-$E269)&lt;0,0,IF((SUM($G270:S270)-$E269)&lt;S270,SUM($G270:S270)-$E269,S270))</f>
        <v>0</v>
      </c>
      <c r="T396" s="405">
        <f ca="1">IF((SUM($G270:T270)-$E269)&lt;0,0,IF((SUM($G270:T270)-$E269)&lt;T270,SUM($G270:T270)-$E269,T270))</f>
        <v>0</v>
      </c>
      <c r="U396" s="405">
        <f ca="1">IF((SUM($G270:U270)-$E269)&lt;0,0,IF((SUM($G270:U270)-$E269)&lt;U270,SUM($G270:U270)-$E269,U270))</f>
        <v>0</v>
      </c>
      <c r="V396" s="405">
        <f ca="1">IF((SUM($G270:V270)-$E269)&lt;0,0,IF((SUM($G270:V270)-$E269)&lt;V270,SUM($G270:V270)-$E269,V270))</f>
        <v>0</v>
      </c>
      <c r="W396" s="405">
        <f ca="1">IF((SUM($G270:W270)-$E269)&lt;0,0,IF((SUM($G270:W270)-$E269)&lt;W270,SUM($G270:W270)-$E269,W270))</f>
        <v>0</v>
      </c>
      <c r="X396" s="405">
        <f ca="1">IF((SUM($G270:X270)-$E269)&lt;0,0,IF((SUM($G270:X270)-$E269)&lt;X270,SUM($G270:X270)-$E269,X270))</f>
        <v>0</v>
      </c>
      <c r="Y396" s="405">
        <f ca="1">IF((SUM($G270:Y270)-$E269)&lt;0,0,IF((SUM($G270:Y270)-$E269)&lt;Y270,SUM($G270:Y270)-$E269,Y270))</f>
        <v>0</v>
      </c>
      <c r="Z396" s="405">
        <f ca="1">IF((SUM($G270:Z270)-$E269)&lt;0,0,IF((SUM($G270:Z270)-$E269)&lt;Z270,SUM($G270:Z270)-$E269,Z270))</f>
        <v>0</v>
      </c>
      <c r="AA396" s="405">
        <f ca="1">IF((SUM($G270:AA270)-$E269)&lt;0,0,IF((SUM($G270:AA270)-$E269)&lt;AA270,SUM($G270:AA270)-$E269,AA270))</f>
        <v>0</v>
      </c>
      <c r="AB396" s="405">
        <f ca="1">IF((SUM($G270:AB270)-$E269)&lt;0,0,IF((SUM($G270:AB270)-$E269)&lt;AB270,SUM($G270:AB270)-$E269,AB270))</f>
        <v>0</v>
      </c>
      <c r="AC396" s="405">
        <f ca="1">IF((SUM($G270:AC270)-$E269)&lt;0,0,IF((SUM($G270:AC270)-$E269)&lt;AC270,SUM($G270:AC270)-$E269,AC270))</f>
        <v>0</v>
      </c>
      <c r="AD396" s="405">
        <f ca="1">IF((SUM($G270:AD270)-$E269)&lt;0,0,IF((SUM($G270:AD270)-$E269)&lt;AD270,SUM($G270:AD270)-$E269,AD270))</f>
        <v>0</v>
      </c>
      <c r="AE396" s="405">
        <f ca="1">IF((SUM($G270:AE270)-$E269)&lt;0,0,IF((SUM($G270:AE270)-$E269)&lt;AE270,SUM($G270:AE270)-$E269,AE270))</f>
        <v>0</v>
      </c>
      <c r="AF396" s="405">
        <f ca="1">IF((SUM($G270:AF270)-$E269)&lt;0,0,IF((SUM($G270:AF270)-$E269)&lt;AF270,SUM($G270:AF270)-$E269,AF270))</f>
        <v>0</v>
      </c>
      <c r="AG396" s="405">
        <f ca="1">IF((SUM($G270:AG270)-$E269)&lt;0,0,IF((SUM($G270:AG270)-$E269)&lt;AG270,SUM($G270:AG270)-$E269,AG270))</f>
        <v>0</v>
      </c>
      <c r="AH396" s="405">
        <f ca="1">IF((SUM($G270:AH270)-$E269)&lt;0,0,IF((SUM($G270:AH270)-$E269)&lt;AH270,SUM($G270:AH270)-$E269,AH270))</f>
        <v>0</v>
      </c>
      <c r="AI396" s="405">
        <f ca="1">IF((SUM($G270:AI270)-$E269)&lt;0,0,IF((SUM($G270:AI270)-$E269)&lt;AI270,SUM($G270:AI270)-$E269,AI270))</f>
        <v>0</v>
      </c>
      <c r="AJ396" s="405">
        <f ca="1">IF((SUM($G270:AJ270)-$E269)&lt;0,0,IF((SUM($G270:AJ270)-$E269)&lt;AJ270,SUM($G270:AJ270)-$E269,AJ270))</f>
        <v>0</v>
      </c>
      <c r="AK396" s="405">
        <f ca="1">IF((SUM($G270:AK270)-$E269)&lt;0,0,IF((SUM($G270:AK270)-$E269)&lt;AK270,SUM($G270:AK270)-$E269,AK270))</f>
        <v>0</v>
      </c>
      <c r="AL396" s="405">
        <f ca="1">IF((SUM($G270:AL270)-$E269)&lt;0,0,IF((SUM($G270:AL270)-$E269)&lt;AL270,SUM($G270:AL270)-$E269,AL270))</f>
        <v>0</v>
      </c>
      <c r="AM396" s="405">
        <f ca="1">IF((SUM($G270:AM270)-$E269)&lt;0,0,IF((SUM($G270:AM270)-$E269)&lt;AM270,SUM($G270:AM270)-$E269,AM270))</f>
        <v>0</v>
      </c>
      <c r="AN396" s="405">
        <f ca="1">IF((SUM($G270:AN270)-$E269)&lt;0,0,IF((SUM($G270:AN270)-$E269)&lt;AN270,SUM($G270:AN270)-$E269,AN270))</f>
        <v>0</v>
      </c>
      <c r="AO396" s="405">
        <f ca="1">IF((SUM($G270:AO270)-$E269)&lt;0,0,IF((SUM($G270:AO270)-$E269)&lt;AO270,SUM($G270:AO270)-$E269,AO270))</f>
        <v>0</v>
      </c>
      <c r="AP396" s="405">
        <f ca="1">IF((SUM($G270:AP270)-$E269)&lt;0,0,IF((SUM($G270:AP270)-$E269)&lt;AP270,SUM($G270:AP270)-$E269,AP270))</f>
        <v>0</v>
      </c>
      <c r="AQ396" s="405">
        <f ca="1">IF((SUM($G270:AQ270)-$E269)&lt;0,0,IF((SUM($G270:AQ270)-$E269)&lt;AQ270,SUM($G270:AQ270)-$E269,AQ270))</f>
        <v>0</v>
      </c>
      <c r="AR396" s="405">
        <f ca="1">IF((SUM($G270:AR270)-$E269)&lt;0,0,IF((SUM($G270:AR270)-$E269)&lt;AR270,SUM($G270:AR270)-$E269,AR270))</f>
        <v>0</v>
      </c>
      <c r="AS396" s="405">
        <f ca="1">IF((SUM($G270:AS270)-$E269)&lt;0,0,IF((SUM($G270:AS270)-$E269)&lt;AS270,SUM($G270:AS270)-$E269,AS270))</f>
        <v>0</v>
      </c>
      <c r="AT396" s="405">
        <f ca="1">IF((SUM($G270:AT270)-$E269)&lt;0,0,IF((SUM($G270:AT270)-$E269)&lt;AT270,SUM($G270:AT270)-$E269,AT270))</f>
        <v>0</v>
      </c>
      <c r="AU396" s="405">
        <f ca="1">IF((SUM($G270:AU270)-$E269)&lt;0,0,IF((SUM($G270:AU270)-$E269)&lt;AU270,SUM($G270:AU270)-$E269,AU270))</f>
        <v>0</v>
      </c>
      <c r="AV396" s="405">
        <f ca="1">IF((SUM($G270:AV270)-$E269)&lt;0,0,IF((SUM($G270:AV270)-$E269)&lt;AV270,SUM($G270:AV270)-$E269,AV270))</f>
        <v>0</v>
      </c>
      <c r="AW396" s="405">
        <f ca="1">IF((SUM($G270:AW270)-$E269)&lt;0,0,IF((SUM($G270:AW270)-$E269)&lt;AW270,SUM($G270:AW270)-$E269,AW270))</f>
        <v>0</v>
      </c>
      <c r="AX396" s="405">
        <f ca="1">IF((SUM($G270:AX270)-$E269)&lt;0,0,IF((SUM($G270:AX270)-$E269)&lt;AX270,SUM($G270:AX270)-$E269,AX270))</f>
        <v>0</v>
      </c>
      <c r="AY396" s="405">
        <f ca="1">IF((SUM($G270:AY270)-$E269)&lt;0,0,IF((SUM($G270:AY270)-$E269)&lt;AY270,SUM($G270:AY270)-$E269,AY270))</f>
        <v>0</v>
      </c>
      <c r="AZ396" s="405">
        <f ca="1">IF((SUM($G270:AZ270)-$E269)&lt;0,0,IF((SUM($G270:AZ270)-$E269)&lt;AZ270,SUM($G270:AZ270)-$E269,AZ270))</f>
        <v>0</v>
      </c>
      <c r="BA396" s="405">
        <f ca="1">IF((SUM($G270:BA270)-$E269)&lt;0,0,IF((SUM($G270:BA270)-$E269)&lt;BA270,SUM($G270:BA270)-$E269,BA270))</f>
        <v>5</v>
      </c>
      <c r="BB396" s="405">
        <f ca="1">IF((SUM($G270:BB270)-$E269)&lt;0,0,IF((SUM($G270:BB270)-$E269)&lt;BB270,SUM($G270:BB270)-$E269,BB270))</f>
        <v>28</v>
      </c>
      <c r="BC396" s="405">
        <f ca="1">IF((SUM($G270:BC270)-$E269)&lt;0,0,IF((SUM($G270:BC270)-$E269)&lt;BC270,SUM($G270:BC270)-$E269,BC270))</f>
        <v>31</v>
      </c>
      <c r="BD396" s="405">
        <f ca="1">IF((SUM($G270:BD270)-$E269)&lt;0,0,IF((SUM($G270:BD270)-$E269)&lt;BD270,SUM($G270:BD270)-$E269,BD270))</f>
        <v>30</v>
      </c>
      <c r="BE396" s="405">
        <f ca="1">IF((SUM($G270:BE270)-$E269)&lt;0,0,IF((SUM($G270:BE270)-$E269)&lt;BE270,SUM($G270:BE270)-$E269,BE270))</f>
        <v>31</v>
      </c>
      <c r="BF396" s="405">
        <f ca="1">IF((SUM($G270:BF270)-$E269)&lt;0,0,IF((SUM($G270:BF270)-$E269)&lt;BF270,SUM($G270:BF270)-$E269,BF270))</f>
        <v>30</v>
      </c>
      <c r="BG396" s="405">
        <f ca="1">IF((SUM($G270:BG270)-$E269)&lt;0,0,IF((SUM($G270:BG270)-$E269)&lt;BG270,SUM($G270:BG270)-$E269,BG270))</f>
        <v>31</v>
      </c>
      <c r="BH396" s="405">
        <f ca="1">IF((SUM($G270:BH270)-$E269)&lt;0,0,IF((SUM($G270:BH270)-$E269)&lt;BH270,SUM($G270:BH270)-$E269,BH270))</f>
        <v>31</v>
      </c>
      <c r="BI396" s="405">
        <f ca="1">IF((SUM($G270:BI270)-$E269)&lt;0,0,IF((SUM($G270:BI270)-$E269)&lt;BI270,SUM($G270:BI270)-$E269,BI270))</f>
        <v>30</v>
      </c>
      <c r="BJ396" s="405">
        <f ca="1">IF((SUM($G270:BJ270)-$E269)&lt;0,0,IF((SUM($G270:BJ270)-$E269)&lt;BJ270,SUM($G270:BJ270)-$E269,BJ270))</f>
        <v>31</v>
      </c>
      <c r="BK396" s="405">
        <f ca="1">IF((SUM($G270:BK270)-$E269)&lt;0,0,IF((SUM($G270:BK270)-$E269)&lt;BK270,SUM($G270:BK270)-$E269,BK270))</f>
        <v>30</v>
      </c>
      <c r="BL396" s="405">
        <f ca="1">IF((SUM($G270:BL270)-$E269)&lt;0,0,IF((SUM($G270:BL270)-$E269)&lt;BL270,SUM($G270:BL270)-$E269,BL270))</f>
        <v>31</v>
      </c>
      <c r="BM396" s="405">
        <f ca="1">IF((SUM($G270:BM270)-$E269)&lt;0,0,IF((SUM($G270:BM270)-$E269)&lt;BM270,SUM($G270:BM270)-$E269,BM270))</f>
        <v>31</v>
      </c>
      <c r="BN396" s="405">
        <f ca="1">IF((SUM($G270:BN270)-$E269)&lt;0,0,IF((SUM($G270:BN270)-$E269)&lt;BN270,SUM($G270:BN270)-$E269,BN270))</f>
        <v>29</v>
      </c>
      <c r="BO396" s="405">
        <f ca="1">IF((SUM($G270:BO270)-$E269)&lt;0,0,IF((SUM($G270:BO270)-$E269)&lt;BO270,SUM($G270:BO270)-$E269,BO270))</f>
        <v>31</v>
      </c>
      <c r="BP396" s="405">
        <f ca="1">IF((SUM($G270:BP270)-$E269)&lt;0,0,IF((SUM($G270:BP270)-$E269)&lt;BP270,SUM($G270:BP270)-$E269,BP270))</f>
        <v>30</v>
      </c>
      <c r="BQ396" s="405">
        <f ca="1">IF((SUM($G270:BQ270)-$E269)&lt;0,0,IF((SUM($G270:BQ270)-$E269)&lt;BQ270,SUM($G270:BQ270)-$E269,BQ270))</f>
        <v>31</v>
      </c>
      <c r="BR396" s="405">
        <f ca="1">IF((SUM($G270:BR270)-$E269)&lt;0,0,IF((SUM($G270:BR270)-$E269)&lt;BR270,SUM($G270:BR270)-$E269,BR270))</f>
        <v>30</v>
      </c>
      <c r="BS396" s="405">
        <f ca="1">IF((SUM($G270:BS270)-$E269)&lt;0,0,IF((SUM($G270:BS270)-$E269)&lt;BS270,SUM($G270:BS270)-$E269,BS270))</f>
        <v>31</v>
      </c>
      <c r="BT396" s="405">
        <f ca="1">IF((SUM($G270:BT270)-$E269)&lt;0,0,IF((SUM($G270:BT270)-$E269)&lt;BT270,SUM($G270:BT270)-$E269,BT270))</f>
        <v>31</v>
      </c>
      <c r="BU396" s="405">
        <f ca="1">IF((SUM($G270:BU270)-$E269)&lt;0,0,IF((SUM($G270:BU270)-$E269)&lt;BU270,SUM($G270:BU270)-$E269,BU270))</f>
        <v>30</v>
      </c>
      <c r="BV396" s="405">
        <f ca="1">IF((SUM($G270:BV270)-$E269)&lt;0,0,IF((SUM($G270:BV270)-$E269)&lt;BV270,SUM($G270:BV270)-$E269,BV270))</f>
        <v>31</v>
      </c>
      <c r="BW396" s="405">
        <f ca="1">IF((SUM($G270:BW270)-$E269)&lt;0,0,IF((SUM($G270:BW270)-$E269)&lt;BW270,SUM($G270:BW270)-$E269,BW270))</f>
        <v>30</v>
      </c>
      <c r="BX396" s="405">
        <f ca="1">IF((SUM($G270:BX270)-$E269)&lt;0,0,IF((SUM($G270:BX270)-$E269)&lt;BX270,SUM($G270:BX270)-$E269,BX270))</f>
        <v>31</v>
      </c>
      <c r="BY396" s="405">
        <f ca="1">IF((SUM($G270:BY270)-$E269)&lt;0,0,IF((SUM($G270:BY270)-$E269)&lt;BY270,SUM($G270:BY270)-$E269,BY270))</f>
        <v>31</v>
      </c>
      <c r="BZ396" s="405">
        <f ca="1">IF((SUM($G270:BZ270)-$E269)&lt;0,0,IF((SUM($G270:BZ270)-$E269)&lt;BZ270,SUM($G270:BZ270)-$E269,BZ270))</f>
        <v>28</v>
      </c>
      <c r="CA396" s="405">
        <f ca="1">IF((SUM($G270:CA270)-$E269)&lt;0,0,IF((SUM($G270:CA270)-$E269)&lt;CA270,SUM($G270:CA270)-$E269,CA270))</f>
        <v>31</v>
      </c>
      <c r="CB396" s="405">
        <f ca="1">IF((SUM($G270:CB270)-$E269)&lt;0,0,IF((SUM($G270:CB270)-$E269)&lt;CB270,SUM($G270:CB270)-$E269,CB270))</f>
        <v>30</v>
      </c>
      <c r="CC396" s="405">
        <f ca="1">IF((SUM($G270:CC270)-$E269)&lt;0,0,IF((SUM($G270:CC270)-$E269)&lt;CC270,SUM($G270:CC270)-$E269,CC270))</f>
        <v>31</v>
      </c>
      <c r="CD396" s="405">
        <f ca="1">IF((SUM($G270:CD270)-$E269)&lt;0,0,IF((SUM($G270:CD270)-$E269)&lt;CD270,SUM($G270:CD270)-$E269,CD270))</f>
        <v>30</v>
      </c>
      <c r="CE396" s="405">
        <f ca="1">IF((SUM($G270:CE270)-$E269)&lt;0,0,IF((SUM($G270:CE270)-$E269)&lt;CE270,SUM($G270:CE270)-$E269,CE270))</f>
        <v>31</v>
      </c>
      <c r="CF396" s="405">
        <f ca="1">IF((SUM($G270:CF270)-$E269)&lt;0,0,IF((SUM($G270:CF270)-$E269)&lt;CF270,SUM($G270:CF270)-$E269,CF270))</f>
        <v>31</v>
      </c>
      <c r="CG396" s="405">
        <f ca="1">IF((SUM($G270:CG270)-$E269)&lt;0,0,IF((SUM($G270:CG270)-$E269)&lt;CG270,SUM($G270:CG270)-$E269,CG270))</f>
        <v>30</v>
      </c>
      <c r="CH396" s="405">
        <f ca="1">IF((SUM($G270:CH270)-$E269)&lt;0,0,IF((SUM($G270:CH270)-$E269)&lt;CH270,SUM($G270:CH270)-$E269,CH270))</f>
        <v>31</v>
      </c>
      <c r="CI396" s="405">
        <f ca="1">IF((SUM($G270:CI270)-$E269)&lt;0,0,IF((SUM($G270:CI270)-$E269)&lt;CI270,SUM($G270:CI270)-$E269,CI270))</f>
        <v>30</v>
      </c>
      <c r="CJ396" s="405">
        <f ca="1">IF((SUM($G270:CJ270)-$E269)&lt;0,0,IF((SUM($G270:CJ270)-$E269)&lt;CJ270,SUM($G270:CJ270)-$E269,CJ270))</f>
        <v>31</v>
      </c>
      <c r="CK396" s="405">
        <f ca="1">IF((SUM($G270:CK270)-$E269)&lt;0,0,IF((SUM($G270:CK270)-$E269)&lt;CK270,SUM($G270:CK270)-$E269,CK270))</f>
        <v>31</v>
      </c>
      <c r="CL396" s="405">
        <f ca="1">IF((SUM($G270:CL270)-$E269)&lt;0,0,IF((SUM($G270:CL270)-$E269)&lt;CL270,SUM($G270:CL270)-$E269,CL270))</f>
        <v>28</v>
      </c>
      <c r="CM396" s="405">
        <f ca="1">IF((SUM($G270:CM270)-$E269)&lt;0,0,IF((SUM($G270:CM270)-$E269)&lt;CM270,SUM($G270:CM270)-$E269,CM270))</f>
        <v>31</v>
      </c>
      <c r="CN396" s="405">
        <f ca="1">IF((SUM($G270:CN270)-$E269)&lt;0,0,IF((SUM($G270:CN270)-$E269)&lt;CN270,SUM($G270:CN270)-$E269,CN270))</f>
        <v>30</v>
      </c>
      <c r="CO396" s="405">
        <f ca="1">IF((SUM($G270:CO270)-$E269)&lt;0,0,IF((SUM($G270:CO270)-$E269)&lt;CO270,SUM($G270:CO270)-$E269,CO270))</f>
        <v>31</v>
      </c>
      <c r="CP396" s="405">
        <f ca="1">IF((SUM($G270:CP270)-$E269)&lt;0,0,IF((SUM($G270:CP270)-$E269)&lt;CP270,SUM($G270:CP270)-$E269,CP270))</f>
        <v>30</v>
      </c>
      <c r="CQ396" s="405">
        <f ca="1">IF((SUM($G270:CQ270)-$E269)&lt;0,0,IF((SUM($G270:CQ270)-$E269)&lt;CQ270,SUM($G270:CQ270)-$E269,CQ270))</f>
        <v>31</v>
      </c>
      <c r="CR396" s="405">
        <f ca="1">IF((SUM($G270:CR270)-$E269)&lt;0,0,IF((SUM($G270:CR270)-$E269)&lt;CR270,SUM($G270:CR270)-$E269,CR270))</f>
        <v>31</v>
      </c>
      <c r="CS396" s="405">
        <f ca="1">IF((SUM($G270:CS270)-$E269)&lt;0,0,IF((SUM($G270:CS270)-$E269)&lt;CS270,SUM($G270:CS270)-$E269,CS270))</f>
        <v>30</v>
      </c>
      <c r="CT396" s="405">
        <f ca="1">IF((SUM($G270:CT270)-$E269)&lt;0,0,IF((SUM($G270:CT270)-$E269)&lt;CT270,SUM($G270:CT270)-$E269,CT270))</f>
        <v>31</v>
      </c>
      <c r="CU396" s="405">
        <f ca="1">IF((SUM($G270:CU270)-$E269)&lt;0,0,IF((SUM($G270:CU270)-$E269)&lt;CU270,SUM($G270:CU270)-$E269,CU270))</f>
        <v>30</v>
      </c>
      <c r="CV396" s="405">
        <f ca="1">IF((SUM($G270:CV270)-$E269)&lt;0,0,IF((SUM($G270:CV270)-$E269)&lt;CV270,SUM($G270:CV270)-$E269,CV270))</f>
        <v>31</v>
      </c>
      <c r="CW396" s="405">
        <f ca="1">IF((SUM($G270:CW270)-$E269)&lt;0,0,IF((SUM($G270:CW270)-$E269)&lt;CW270,SUM($G270:CW270)-$E269,CW270))</f>
        <v>31</v>
      </c>
      <c r="CX396" s="405">
        <f ca="1">IF((SUM($G270:CX270)-$E269)&lt;0,0,IF((SUM($G270:CX270)-$E269)&lt;CX270,SUM($G270:CX270)-$E269,CX270))</f>
        <v>28</v>
      </c>
      <c r="CY396" s="405">
        <f ca="1">IF((SUM($G270:CY270)-$E269)&lt;0,0,IF((SUM($G270:CY270)-$E269)&lt;CY270,SUM($G270:CY270)-$E269,CY270))</f>
        <v>31</v>
      </c>
      <c r="CZ396" s="405">
        <f ca="1">IF((SUM($G270:CZ270)-$E269)&lt;0,0,IF((SUM($G270:CZ270)-$E269)&lt;CZ270,SUM($G270:CZ270)-$E269,CZ270))</f>
        <v>30</v>
      </c>
      <c r="DA396" s="405">
        <f ca="1">IF((SUM($G270:DA270)-$E269)&lt;0,0,IF((SUM($G270:DA270)-$E269)&lt;DA270,SUM($G270:DA270)-$E269,DA270))</f>
        <v>31</v>
      </c>
      <c r="DB396" s="405">
        <f ca="1">IF((SUM($G270:DB270)-$E269)&lt;0,0,IF((SUM($G270:DB270)-$E269)&lt;DB270,SUM($G270:DB270)-$E269,DB270))</f>
        <v>30</v>
      </c>
      <c r="DC396" s="405">
        <f ca="1">IF((SUM($G270:DC270)-$E269)&lt;0,0,IF((SUM($G270:DC270)-$E269)&lt;DC270,SUM($G270:DC270)-$E269,DC270))</f>
        <v>31</v>
      </c>
      <c r="DD396" s="405">
        <f ca="1">IF((SUM($G270:DD270)-$E269)&lt;0,0,IF((SUM($G270:DD270)-$E269)&lt;DD270,SUM($G270:DD270)-$E269,DD270))</f>
        <v>31</v>
      </c>
      <c r="DE396" s="405">
        <f ca="1">IF((SUM($G270:DE270)-$E269)&lt;0,0,IF((SUM($G270:DE270)-$E269)&lt;DE270,SUM($G270:DE270)-$E269,DE270))</f>
        <v>30</v>
      </c>
      <c r="DF396" s="405">
        <f ca="1">IF((SUM($G270:DF270)-$E269)&lt;0,0,IF((SUM($G270:DF270)-$E269)&lt;DF270,SUM($G270:DF270)-$E269,DF270))</f>
        <v>31</v>
      </c>
      <c r="DG396" s="405">
        <f ca="1">IF((SUM($G270:DG270)-$E269)&lt;0,0,IF((SUM($G270:DG270)-$E269)&lt;DG270,SUM($G270:DG270)-$E269,DG270))</f>
        <v>30</v>
      </c>
      <c r="DH396" s="405">
        <f ca="1">IF((SUM($G270:DH270)-$E269)&lt;0,0,IF((SUM($G270:DH270)-$E269)&lt;DH270,SUM($G270:DH270)-$E269,DH270))</f>
        <v>31</v>
      </c>
      <c r="DI396" s="405">
        <f ca="1">IF((SUM($G270:DI270)-$E269)&lt;0,0,IF((SUM($G270:DI270)-$E269)&lt;DI270,SUM($G270:DI270)-$E269,DI270))</f>
        <v>31</v>
      </c>
      <c r="DJ396" s="405">
        <f ca="1">IF((SUM($G270:DJ270)-$E269)&lt;0,0,IF((SUM($G270:DJ270)-$E269)&lt;DJ270,SUM($G270:DJ270)-$E269,DJ270))</f>
        <v>29</v>
      </c>
      <c r="DK396" s="405">
        <f ca="1">IF((SUM($G270:DK270)-$E269)&lt;0,0,IF((SUM($G270:DK270)-$E269)&lt;DK270,SUM($G270:DK270)-$E269,DK270))</f>
        <v>31</v>
      </c>
      <c r="DL396" s="405">
        <f ca="1">IF((SUM($G270:DL270)-$E269)&lt;0,0,IF((SUM($G270:DL270)-$E269)&lt;DL270,SUM($G270:DL270)-$E269,DL270))</f>
        <v>30</v>
      </c>
      <c r="DM396" s="405">
        <f ca="1">IF((SUM($G270:DM270)-$E269)&lt;0,0,IF((SUM($G270:DM270)-$E269)&lt;DM270,SUM($G270:DM270)-$E269,DM270))</f>
        <v>31</v>
      </c>
      <c r="DN396" s="405">
        <f ca="1">IF((SUM($G270:DN270)-$E269)&lt;0,0,IF((SUM($G270:DN270)-$E269)&lt;DN270,SUM($G270:DN270)-$E269,DN270))</f>
        <v>30</v>
      </c>
      <c r="DO396" s="405">
        <f ca="1">IF((SUM($G270:DO270)-$E269)&lt;0,0,IF((SUM($G270:DO270)-$E269)&lt;DO270,SUM($G270:DO270)-$E269,DO270))</f>
        <v>31</v>
      </c>
      <c r="DP396" s="405">
        <f ca="1">IF((SUM($G270:DP270)-$E269)&lt;0,0,IF((SUM($G270:DP270)-$E269)&lt;DP270,SUM($G270:DP270)-$E269,DP270))</f>
        <v>31</v>
      </c>
      <c r="DQ396" s="405">
        <f ca="1">IF((SUM($G270:DQ270)-$E269)&lt;0,0,IF((SUM($G270:DQ270)-$E269)&lt;DQ270,SUM($G270:DQ270)-$E269,DQ270))</f>
        <v>30</v>
      </c>
      <c r="DR396" s="405">
        <f ca="1">IF((SUM($G270:DR270)-$E269)&lt;0,0,IF((SUM($G270:DR270)-$E269)&lt;DR270,SUM($G270:DR270)-$E269,DR270))</f>
        <v>31</v>
      </c>
      <c r="DS396" s="405">
        <f ca="1">IF((SUM($G270:DS270)-$E269)&lt;0,0,IF((SUM($G270:DS270)-$E269)&lt;DS270,SUM($G270:DS270)-$E269,DS270))</f>
        <v>30</v>
      </c>
      <c r="DT396" s="405">
        <f ca="1">IF((SUM($G270:DT270)-$E269)&lt;0,0,IF((SUM($G270:DT270)-$E269)&lt;DT270,SUM($G270:DT270)-$E269,DT270))</f>
        <v>31</v>
      </c>
      <c r="DU396" s="405">
        <f ca="1">IF((SUM($G270:DU270)-$E269)&lt;0,0,IF((SUM($G270:DU270)-$E269)&lt;DU270,SUM($G270:DU270)-$E269,DU270))</f>
        <v>31</v>
      </c>
      <c r="DV396" s="405">
        <f ca="1">IF((SUM($G270:DV270)-$E269)&lt;0,0,IF((SUM($G270:DV270)-$E269)&lt;DV270,SUM($G270:DV270)-$E269,DV270))</f>
        <v>28</v>
      </c>
      <c r="DW396" s="405">
        <f ca="1">IF((SUM($G270:DW270)-$E269)&lt;0,0,IF((SUM($G270:DW270)-$E269)&lt;DW270,SUM($G270:DW270)-$E269,DW270))</f>
        <v>31</v>
      </c>
      <c r="DX396" s="405">
        <f ca="1">IF((SUM($G270:DX270)-$E269)&lt;0,0,IF((SUM($G270:DX270)-$E269)&lt;DX270,SUM($G270:DX270)-$E269,DX270))</f>
        <v>30</v>
      </c>
      <c r="DY396" s="405">
        <f ca="1">IF((SUM($G270:DY270)-$E269)&lt;0,0,IF((SUM($G270:DY270)-$E269)&lt;DY270,SUM($G270:DY270)-$E269,DY270))</f>
        <v>31</v>
      </c>
      <c r="DZ396" s="405">
        <f ca="1">IF((SUM($G270:DZ270)-$E269)&lt;0,0,IF((SUM($G270:DZ270)-$E269)&lt;DZ270,SUM($G270:DZ270)-$E269,DZ270))</f>
        <v>30</v>
      </c>
      <c r="EA396" s="405">
        <f ca="1">IF((SUM($G270:EA270)-$E269)&lt;0,0,IF((SUM($G270:EA270)-$E269)&lt;EA270,SUM($G270:EA270)-$E269,EA270))</f>
        <v>31</v>
      </c>
      <c r="EB396" s="405">
        <f ca="1">IF((SUM($G270:EB270)-$E269)&lt;0,0,IF((SUM($G270:EB270)-$E269)&lt;EB270,SUM($G270:EB270)-$E269,EB270))</f>
        <v>31</v>
      </c>
      <c r="EC396" s="405">
        <f ca="1">IF((SUM($G270:EC270)-$E269)&lt;0,0,IF((SUM($G270:EC270)-$E269)&lt;EC270,SUM($G270:EC270)-$E269,EC270))</f>
        <v>30</v>
      </c>
      <c r="ED396" s="405">
        <f ca="1">IF((SUM($G270:ED270)-$E269)&lt;0,0,IF((SUM($G270:ED270)-$E269)&lt;ED270,SUM($G270:ED270)-$E269,ED270))</f>
        <v>31</v>
      </c>
      <c r="EE396" s="405">
        <f ca="1">IF((SUM($G270:EE270)-$E269)&lt;0,0,IF((SUM($G270:EE270)-$E269)&lt;EE270,SUM($G270:EE270)-$E269,EE270))</f>
        <v>30</v>
      </c>
      <c r="EF396" s="405">
        <f ca="1">IF((SUM($G270:EF270)-$E269)&lt;0,0,IF((SUM($G270:EF270)-$E269)&lt;EF270,SUM($G270:EF270)-$E269,EF270))</f>
        <v>31</v>
      </c>
      <c r="EG396" s="405">
        <f ca="1">IF((SUM($G270:EG270)-$E269)&lt;0,0,IF((SUM($G270:EG270)-$E269)&lt;EG270,SUM($G270:EG270)-$E269,EG270))</f>
        <v>31</v>
      </c>
      <c r="EH396" s="405">
        <f ca="1">IF((SUM($G270:EH270)-$E269)&lt;0,0,IF((SUM($G270:EH270)-$E269)&lt;EH270,SUM($G270:EH270)-$E269,EH270))</f>
        <v>28</v>
      </c>
      <c r="EI396" s="405">
        <f ca="1">IF((SUM($G270:EI270)-$E269)&lt;0,0,IF((SUM($G270:EI270)-$E269)&lt;EI270,SUM($G270:EI270)-$E269,EI270))</f>
        <v>31</v>
      </c>
    </row>
    <row r="397" spans="1:141" hidden="1" outlineLevel="2">
      <c r="A397" s="332"/>
      <c r="D397" s="305" t="s">
        <v>670</v>
      </c>
      <c r="E397" s="403">
        <f ca="1">MIN(G397:EI397)</f>
        <v>0</v>
      </c>
      <c r="F397" s="404">
        <f ca="1">MAX(G397:EI397)</f>
        <v>0</v>
      </c>
      <c r="G397" s="403" t="str">
        <f ca="1">IF(G395=0,"",IF(SUM($G395:G395)&gt;=1,OFFSET(G$228,-1,0),""))</f>
        <v/>
      </c>
      <c r="H397" s="403" t="str">
        <f ca="1">IF(SUM($G397:G397)&gt;=1,"",IF(H395=0,"",IF(SUM($G395:H395)&gt;=1,OFFSET(H$228,-1,0),"")))</f>
        <v/>
      </c>
      <c r="I397" s="403" t="str">
        <f ca="1">IF(SUM($G397:H397)&gt;=1,"",IF(I395=0,"",IF(SUM($G395:I395)&gt;=1,OFFSET(I$228,-1,0),"")))</f>
        <v/>
      </c>
      <c r="J397" s="403" t="str">
        <f ca="1">IF(SUM($G397:I397)&gt;=1,"",IF(J395=0,"",IF(SUM($G395:J395)&gt;=1,OFFSET(J$228,-1,0),"")))</f>
        <v/>
      </c>
      <c r="K397" s="403" t="str">
        <f ca="1">IF(SUM($G397:J397)&gt;=1,"",IF(K395=0,"",IF(SUM($G395:K395)&gt;=1,OFFSET(K$228,-1,0),"")))</f>
        <v/>
      </c>
      <c r="L397" s="403" t="str">
        <f ca="1">IF(SUM($G397:K397)&gt;=1,"",IF(L395=0,"",IF(SUM($G395:L395)&gt;=1,OFFSET(L$228,-1,0),"")))</f>
        <v/>
      </c>
      <c r="M397" s="403" t="str">
        <f ca="1">IF(SUM($G397:L397)&gt;=1,"",IF(M395=0,"",IF(SUM($G395:M395)&gt;=1,OFFSET(M$228,-1,0),"")))</f>
        <v/>
      </c>
      <c r="N397" s="403" t="str">
        <f ca="1">IF(SUM($G397:M397)&gt;=1,"",IF(N395=0,"",IF(SUM($G395:N395)&gt;=1,OFFSET(N$228,-1,0),"")))</f>
        <v/>
      </c>
      <c r="O397" s="403" t="str">
        <f ca="1">IF(SUM($G397:N397)&gt;=1,"",IF(O395=0,"",IF(SUM($G395:O395)&gt;=1,OFFSET(O$228,-1,0),"")))</f>
        <v/>
      </c>
      <c r="P397" s="403" t="str">
        <f ca="1">IF(SUM($G397:O397)&gt;=1,"",IF(P395=0,"",IF(SUM($G395:P395)&gt;=1,OFFSET(P$228,-1,0),"")))</f>
        <v/>
      </c>
      <c r="Q397" s="403" t="str">
        <f ca="1">IF(SUM($G397:P397)&gt;=1,"",IF(Q395=0,"",IF(SUM($G395:Q395)&gt;=1,OFFSET(Q$228,-1,0),"")))</f>
        <v/>
      </c>
      <c r="R397" s="403" t="str">
        <f ca="1">IF(SUM($G397:Q397)&gt;=1,"",IF(R395=0,"",IF(SUM($G395:R395)&gt;=1,OFFSET(R$228,-1,0),"")))</f>
        <v/>
      </c>
      <c r="S397" s="403" t="str">
        <f ca="1">IF(SUM($G397:R397)&gt;=1,"",IF(S395=0,"",IF(SUM($G395:S395)&gt;=1,OFFSET(S$228,-1,0),"")))</f>
        <v/>
      </c>
      <c r="T397" s="403" t="str">
        <f ca="1">IF(SUM($G397:S397)&gt;=1,"",IF(T395=0,"",IF(SUM($G395:T395)&gt;=1,OFFSET(T$228,-1,0),"")))</f>
        <v/>
      </c>
      <c r="U397" s="403" t="str">
        <f ca="1">IF(SUM($G397:T397)&gt;=1,"",IF(U395=0,"",IF(SUM($G395:U395)&gt;=1,OFFSET(U$228,-1,0),"")))</f>
        <v/>
      </c>
      <c r="V397" s="403" t="str">
        <f ca="1">IF(SUM($G397:U397)&gt;=1,"",IF(V395=0,"",IF(SUM($G395:V395)&gt;=1,OFFSET(V$228,-1,0),"")))</f>
        <v/>
      </c>
      <c r="W397" s="403" t="str">
        <f ca="1">IF(SUM($G397:V397)&gt;=1,"",IF(W395=0,"",IF(SUM($G395:W395)&gt;=1,OFFSET(W$228,-1,0),"")))</f>
        <v/>
      </c>
      <c r="X397" s="403" t="str">
        <f ca="1">IF(SUM($G397:W397)&gt;=1,"",IF(X395=0,"",IF(SUM($G395:X395)&gt;=1,OFFSET(X$228,-1,0),"")))</f>
        <v/>
      </c>
      <c r="Y397" s="403" t="str">
        <f ca="1">IF(SUM($G397:X397)&gt;=1,"",IF(Y395=0,"",IF(SUM($G395:Y395)&gt;=1,OFFSET(Y$228,-1,0),"")))</f>
        <v/>
      </c>
      <c r="Z397" s="403" t="str">
        <f ca="1">IF(SUM($G397:Y397)&gt;=1,"",IF(Z395=0,"",IF(SUM($G395:Z395)&gt;=1,OFFSET(Z$228,-1,0),"")))</f>
        <v/>
      </c>
      <c r="AA397" s="403" t="str">
        <f ca="1">IF(SUM($G397:Z397)&gt;=1,"",IF(AA395=0,"",IF(SUM($G395:AA395)&gt;=1,OFFSET(AA$228,-1,0),"")))</f>
        <v/>
      </c>
      <c r="AB397" s="403" t="str">
        <f ca="1">IF(SUM($G397:AA397)&gt;=1,"",IF(AB395=0,"",IF(SUM($G395:AB395)&gt;=1,OFFSET(AB$228,-1,0),"")))</f>
        <v/>
      </c>
      <c r="AC397" s="403" t="str">
        <f ca="1">IF(SUM($G397:AB397)&gt;=1,"",IF(AC395=0,"",IF(SUM($G395:AC395)&gt;=1,OFFSET(AC$228,-1,0),"")))</f>
        <v/>
      </c>
      <c r="AD397" s="403" t="str">
        <f ca="1">IF(SUM($G397:AC397)&gt;=1,"",IF(AD395=0,"",IF(SUM($G395:AD395)&gt;=1,OFFSET(AD$228,-1,0),"")))</f>
        <v/>
      </c>
      <c r="AE397" s="403" t="str">
        <f ca="1">IF(SUM($G397:AD397)&gt;=1,"",IF(AE395=0,"",IF(SUM($G395:AE395)&gt;=1,OFFSET(AE$228,-1,0),"")))</f>
        <v/>
      </c>
      <c r="AF397" s="403" t="str">
        <f ca="1">IF(SUM($G397:AE397)&gt;=1,"",IF(AF395=0,"",IF(SUM($G395:AF395)&gt;=1,OFFSET(AF$228,-1,0),"")))</f>
        <v/>
      </c>
      <c r="AG397" s="403" t="str">
        <f ca="1">IF(SUM($G397:AF397)&gt;=1,"",IF(AG395=0,"",IF(SUM($G395:AG395)&gt;=1,OFFSET(AG$228,-1,0),"")))</f>
        <v/>
      </c>
      <c r="AH397" s="403" t="str">
        <f ca="1">IF(SUM($G397:AG397)&gt;=1,"",IF(AH395=0,"",IF(SUM($G395:AH395)&gt;=1,OFFSET(AH$228,-1,0),"")))</f>
        <v/>
      </c>
      <c r="AI397" s="403" t="str">
        <f ca="1">IF(SUM($G397:AH397)&gt;=1,"",IF(AI395=0,"",IF(SUM($G395:AI395)&gt;=1,OFFSET(AI$228,-1,0),"")))</f>
        <v/>
      </c>
      <c r="AJ397" s="403" t="str">
        <f ca="1">IF(SUM($G397:AI397)&gt;=1,"",IF(AJ395=0,"",IF(SUM($G395:AJ395)&gt;=1,OFFSET(AJ$228,-1,0),"")))</f>
        <v/>
      </c>
      <c r="AK397" s="403" t="str">
        <f ca="1">IF(SUM($G397:AJ397)&gt;=1,"",IF(AK395=0,"",IF(SUM($G395:AK395)&gt;=1,OFFSET(AK$228,-1,0),"")))</f>
        <v/>
      </c>
      <c r="AL397" s="403" t="str">
        <f ca="1">IF(SUM($G397:AK397)&gt;=1,"",IF(AL395=0,"",IF(SUM($G395:AL395)&gt;=1,OFFSET(AL$228,-1,0),"")))</f>
        <v/>
      </c>
      <c r="AM397" s="403" t="str">
        <f ca="1">IF(SUM($G397:AL397)&gt;=1,"",IF(AM395=0,"",IF(SUM($G395:AM395)&gt;=1,OFFSET(AM$228,-1,0),"")))</f>
        <v/>
      </c>
      <c r="AN397" s="403" t="str">
        <f ca="1">IF(SUM($G397:AM397)&gt;=1,"",IF(AN395=0,"",IF(SUM($G395:AN395)&gt;=1,OFFSET(AN$228,-1,0),"")))</f>
        <v/>
      </c>
      <c r="AO397" s="403" t="str">
        <f ca="1">IF(SUM($G397:AN397)&gt;=1,"",IF(AO395=0,"",IF(SUM($G395:AO395)&gt;=1,OFFSET(AO$228,-1,0),"")))</f>
        <v/>
      </c>
      <c r="AP397" s="403" t="str">
        <f ca="1">IF(SUM($G397:AO397)&gt;=1,"",IF(AP395=0,"",IF(SUM($G395:AP395)&gt;=1,OFFSET(AP$228,-1,0),"")))</f>
        <v/>
      </c>
      <c r="AQ397" s="403" t="str">
        <f ca="1">IF(SUM($G397:AP397)&gt;=1,"",IF(AQ395=0,"",IF(SUM($G395:AQ395)&gt;=1,OFFSET(AQ$228,-1,0),"")))</f>
        <v/>
      </c>
      <c r="AR397" s="403" t="str">
        <f ca="1">IF(SUM($G397:AQ397)&gt;=1,"",IF(AR395=0,"",IF(SUM($G395:AR395)&gt;=1,OFFSET(AR$228,-1,0),"")))</f>
        <v/>
      </c>
      <c r="AS397" s="403" t="str">
        <f ca="1">IF(SUM($G397:AR397)&gt;=1,"",IF(AS395=0,"",IF(SUM($G395:AS395)&gt;=1,OFFSET(AS$228,-1,0),"")))</f>
        <v/>
      </c>
      <c r="AT397" s="403" t="str">
        <f ca="1">IF(SUM($G397:AS397)&gt;=1,"",IF(AT395=0,"",IF(SUM($G395:AT395)&gt;=1,OFFSET(AT$228,-1,0),"")))</f>
        <v/>
      </c>
      <c r="AU397" s="403" t="str">
        <f ca="1">IF(SUM($G397:AT397)&gt;=1,"",IF(AU395=0,"",IF(SUM($G395:AU395)&gt;=1,OFFSET(AU$228,-1,0),"")))</f>
        <v/>
      </c>
      <c r="AV397" s="403" t="str">
        <f ca="1">IF(SUM($G397:AU397)&gt;=1,"",IF(AV395=0,"",IF(SUM($G395:AV395)&gt;=1,OFFSET(AV$228,-1,0),"")))</f>
        <v/>
      </c>
      <c r="AW397" s="403" t="str">
        <f ca="1">IF(SUM($G397:AV397)&gt;=1,"",IF(AW395=0,"",IF(SUM($G395:AW395)&gt;=1,OFFSET(AW$228,-1,0),"")))</f>
        <v/>
      </c>
      <c r="AX397" s="403" t="str">
        <f ca="1">IF(SUM($G397:AW397)&gt;=1,"",IF(AX395=0,"",IF(SUM($G395:AX395)&gt;=1,OFFSET(AX$228,-1,0),"")))</f>
        <v/>
      </c>
      <c r="AY397" s="403" t="str">
        <f ca="1">IF(SUM($G397:AX397)&gt;=1,"",IF(AY395=0,"",IF(SUM($G395:AY395)&gt;=1,OFFSET(AY$228,-1,0),"")))</f>
        <v/>
      </c>
      <c r="AZ397" s="403" t="str">
        <f ca="1">IF(SUM($G397:AY397)&gt;=1,"",IF(AZ395=0,"",IF(SUM($G395:AZ395)&gt;=1,OFFSET(AZ$228,-1,0),"")))</f>
        <v/>
      </c>
      <c r="BA397" s="403" t="str">
        <f ca="1">IF(SUM($G397:AZ397)&gt;=1,"",IF(BA395=0,"",IF(SUM($G395:BA395)&gt;=1,OFFSET(BA$228,-1,0),"")))</f>
        <v/>
      </c>
      <c r="BB397" s="403" t="str">
        <f ca="1">IF(SUM($G397:BA397)&gt;=1,"",IF(BB395=0,"",IF(SUM($G395:BB395)&gt;=1,OFFSET(BB$228,-1,0),"")))</f>
        <v/>
      </c>
      <c r="BC397" s="403" t="str">
        <f ca="1">IF(SUM($G397:BB397)&gt;=1,"",IF(BC395=0,"",IF(SUM($G395:BC395)&gt;=1,OFFSET(BC$228,-1,0),"")))</f>
        <v/>
      </c>
      <c r="BD397" s="403" t="str">
        <f ca="1">IF(SUM($G397:BC397)&gt;=1,"",IF(BD395=0,"",IF(SUM($G395:BD395)&gt;=1,OFFSET(BD$228,-1,0),"")))</f>
        <v/>
      </c>
      <c r="BE397" s="403" t="str">
        <f ca="1">IF(SUM($G397:BD397)&gt;=1,"",IF(BE395=0,"",IF(SUM($G395:BE395)&gt;=1,OFFSET(BE$228,-1,0),"")))</f>
        <v/>
      </c>
      <c r="BF397" s="403" t="str">
        <f ca="1">IF(SUM($G397:BE397)&gt;=1,"",IF(BF395=0,"",IF(SUM($G395:BF395)&gt;=1,OFFSET(BF$228,-1,0),"")))</f>
        <v/>
      </c>
      <c r="BG397" s="403" t="str">
        <f ca="1">IF(SUM($G397:BF397)&gt;=1,"",IF(BG395=0,"",IF(SUM($G395:BG395)&gt;=1,OFFSET(BG$228,-1,0),"")))</f>
        <v/>
      </c>
      <c r="BH397" s="403" t="str">
        <f ca="1">IF(SUM($G397:BG397)&gt;=1,"",IF(BH395=0,"",IF(SUM($G395:BH395)&gt;=1,OFFSET(BH$228,-1,0),"")))</f>
        <v/>
      </c>
      <c r="BI397" s="403" t="str">
        <f ca="1">IF(SUM($G397:BH397)&gt;=1,"",IF(BI395=0,"",IF(SUM($G395:BI395)&gt;=1,OFFSET(BI$228,-1,0),"")))</f>
        <v/>
      </c>
      <c r="BJ397" s="403" t="str">
        <f ca="1">IF(SUM($G397:BI397)&gt;=1,"",IF(BJ395=0,"",IF(SUM($G395:BJ395)&gt;=1,OFFSET(BJ$228,-1,0),"")))</f>
        <v/>
      </c>
      <c r="BK397" s="403" t="str">
        <f ca="1">IF(SUM($G397:BJ397)&gt;=1,"",IF(BK395=0,"",IF(SUM($G395:BK395)&gt;=1,OFFSET(BK$228,-1,0),"")))</f>
        <v/>
      </c>
      <c r="BL397" s="403" t="str">
        <f ca="1">IF(SUM($G397:BK397)&gt;=1,"",IF(BL395=0,"",IF(SUM($G395:BL395)&gt;=1,OFFSET(BL$228,-1,0),"")))</f>
        <v/>
      </c>
      <c r="BM397" s="403" t="str">
        <f ca="1">IF(SUM($G397:BL397)&gt;=1,"",IF(BM395=0,"",IF(SUM($G395:BM395)&gt;=1,OFFSET(BM$228,-1,0),"")))</f>
        <v/>
      </c>
      <c r="BN397" s="403" t="str">
        <f ca="1">IF(SUM($G397:BM397)&gt;=1,"",IF(BN395=0,"",IF(SUM($G395:BN395)&gt;=1,OFFSET(BN$228,-1,0),"")))</f>
        <v/>
      </c>
      <c r="BO397" s="403" t="str">
        <f ca="1">IF(SUM($G397:BN397)&gt;=1,"",IF(BO395=0,"",IF(SUM($G395:BO395)&gt;=1,OFFSET(BO$228,-1,0),"")))</f>
        <v/>
      </c>
      <c r="BP397" s="403" t="str">
        <f ca="1">IF(SUM($G397:BO397)&gt;=1,"",IF(BP395=0,"",IF(SUM($G395:BP395)&gt;=1,OFFSET(BP$228,-1,0),"")))</f>
        <v/>
      </c>
      <c r="BQ397" s="403" t="str">
        <f ca="1">IF(SUM($G397:BP397)&gt;=1,"",IF(BQ395=0,"",IF(SUM($G395:BQ395)&gt;=1,OFFSET(BQ$228,-1,0),"")))</f>
        <v/>
      </c>
      <c r="BR397" s="403" t="str">
        <f ca="1">IF(SUM($G397:BQ397)&gt;=1,"",IF(BR395=0,"",IF(SUM($G395:BR395)&gt;=1,OFFSET(BR$228,-1,0),"")))</f>
        <v/>
      </c>
      <c r="BS397" s="403" t="str">
        <f ca="1">IF(SUM($G397:BR397)&gt;=1,"",IF(BS395=0,"",IF(SUM($G395:BS395)&gt;=1,OFFSET(BS$228,-1,0),"")))</f>
        <v/>
      </c>
      <c r="BT397" s="403" t="str">
        <f ca="1">IF(SUM($G397:BS397)&gt;=1,"",IF(BT395=0,"",IF(SUM($G395:BT395)&gt;=1,OFFSET(BT$228,-1,0),"")))</f>
        <v/>
      </c>
      <c r="BU397" s="403" t="str">
        <f ca="1">IF(SUM($G397:BT397)&gt;=1,"",IF(BU395=0,"",IF(SUM($G395:BU395)&gt;=1,OFFSET(BU$228,-1,0),"")))</f>
        <v/>
      </c>
      <c r="BV397" s="403" t="str">
        <f ca="1">IF(SUM($G397:BU397)&gt;=1,"",IF(BV395=0,"",IF(SUM($G395:BV395)&gt;=1,OFFSET(BV$228,-1,0),"")))</f>
        <v/>
      </c>
      <c r="BW397" s="403" t="str">
        <f ca="1">IF(SUM($G397:BV397)&gt;=1,"",IF(BW395=0,"",IF(SUM($G395:BW395)&gt;=1,OFFSET(BW$228,-1,0),"")))</f>
        <v/>
      </c>
      <c r="BX397" s="403" t="str">
        <f ca="1">IF(SUM($G397:BW397)&gt;=1,"",IF(BX395=0,"",IF(SUM($G395:BX395)&gt;=1,OFFSET(BX$228,-1,0),"")))</f>
        <v/>
      </c>
      <c r="BY397" s="403" t="str">
        <f ca="1">IF(SUM($G397:BX397)&gt;=1,"",IF(BY395=0,"",IF(SUM($G395:BY395)&gt;=1,OFFSET(BY$228,-1,0),"")))</f>
        <v/>
      </c>
      <c r="BZ397" s="403" t="str">
        <f ca="1">IF(SUM($G397:BY397)&gt;=1,"",IF(BZ395=0,"",IF(SUM($G395:BZ395)&gt;=1,OFFSET(BZ$228,-1,0),"")))</f>
        <v/>
      </c>
      <c r="CA397" s="403" t="str">
        <f ca="1">IF(SUM($G397:BZ397)&gt;=1,"",IF(CA395=0,"",IF(SUM($G395:CA395)&gt;=1,OFFSET(CA$228,-1,0),"")))</f>
        <v/>
      </c>
      <c r="CB397" s="403" t="str">
        <f ca="1">IF(SUM($G397:CA397)&gt;=1,"",IF(CB395=0,"",IF(SUM($G395:CB395)&gt;=1,OFFSET(CB$228,-1,0),"")))</f>
        <v/>
      </c>
      <c r="CC397" s="403" t="str">
        <f ca="1">IF(SUM($G397:CB397)&gt;=1,"",IF(CC395=0,"",IF(SUM($G395:CC395)&gt;=1,OFFSET(CC$228,-1,0),"")))</f>
        <v/>
      </c>
      <c r="CD397" s="403" t="str">
        <f ca="1">IF(SUM($G397:CC397)&gt;=1,"",IF(CD395=0,"",IF(SUM($G395:CD395)&gt;=1,OFFSET(CD$228,-1,0),"")))</f>
        <v/>
      </c>
      <c r="CE397" s="403" t="str">
        <f ca="1">IF(SUM($G397:CD397)&gt;=1,"",IF(CE395=0,"",IF(SUM($G395:CE395)&gt;=1,OFFSET(CE$228,-1,0),"")))</f>
        <v/>
      </c>
      <c r="CF397" s="403" t="str">
        <f ca="1">IF(SUM($G397:CE397)&gt;=1,"",IF(CF395=0,"",IF(SUM($G395:CF395)&gt;=1,OFFSET(CF$228,-1,0),"")))</f>
        <v/>
      </c>
      <c r="CG397" s="403" t="str">
        <f ca="1">IF(SUM($G397:CF397)&gt;=1,"",IF(CG395=0,"",IF(SUM($G395:CG395)&gt;=1,OFFSET(CG$228,-1,0),"")))</f>
        <v/>
      </c>
      <c r="CH397" s="403" t="str">
        <f ca="1">IF(SUM($G397:CG397)&gt;=1,"",IF(CH395=0,"",IF(SUM($G395:CH395)&gt;=1,OFFSET(CH$228,-1,0),"")))</f>
        <v/>
      </c>
      <c r="CI397" s="403" t="str">
        <f ca="1">IF(SUM($G397:CH397)&gt;=1,"",IF(CI395=0,"",IF(SUM($G395:CI395)&gt;=1,OFFSET(CI$228,-1,0),"")))</f>
        <v/>
      </c>
      <c r="CJ397" s="403" t="str">
        <f ca="1">IF(SUM($G397:CI397)&gt;=1,"",IF(CJ395=0,"",IF(SUM($G395:CJ395)&gt;=1,OFFSET(CJ$228,-1,0),"")))</f>
        <v/>
      </c>
      <c r="CK397" s="403" t="str">
        <f ca="1">IF(SUM($G397:CJ397)&gt;=1,"",IF(CK395=0,"",IF(SUM($G395:CK395)&gt;=1,OFFSET(CK$228,-1,0),"")))</f>
        <v/>
      </c>
      <c r="CL397" s="403" t="str">
        <f ca="1">IF(SUM($G397:CK397)&gt;=1,"",IF(CL395=0,"",IF(SUM($G395:CL395)&gt;=1,OFFSET(CL$228,-1,0),"")))</f>
        <v/>
      </c>
      <c r="CM397" s="403" t="str">
        <f ca="1">IF(SUM($G397:CL397)&gt;=1,"",IF(CM395=0,"",IF(SUM($G395:CM395)&gt;=1,OFFSET(CM$228,-1,0),"")))</f>
        <v/>
      </c>
      <c r="CN397" s="403" t="str">
        <f ca="1">IF(SUM($G397:CM397)&gt;=1,"",IF(CN395=0,"",IF(SUM($G395:CN395)&gt;=1,OFFSET(CN$228,-1,0),"")))</f>
        <v/>
      </c>
      <c r="CO397" s="403" t="str">
        <f ca="1">IF(SUM($G397:CN397)&gt;=1,"",IF(CO395=0,"",IF(SUM($G395:CO395)&gt;=1,OFFSET(CO$228,-1,0),"")))</f>
        <v/>
      </c>
      <c r="CP397" s="403" t="str">
        <f ca="1">IF(SUM($G397:CO397)&gt;=1,"",IF(CP395=0,"",IF(SUM($G395:CP395)&gt;=1,OFFSET(CP$228,-1,0),"")))</f>
        <v/>
      </c>
      <c r="CQ397" s="403" t="str">
        <f ca="1">IF(SUM($G397:CP397)&gt;=1,"",IF(CQ395=0,"",IF(SUM($G395:CQ395)&gt;=1,OFFSET(CQ$228,-1,0),"")))</f>
        <v/>
      </c>
      <c r="CR397" s="403" t="str">
        <f ca="1">IF(SUM($G397:CQ397)&gt;=1,"",IF(CR395=0,"",IF(SUM($G395:CR395)&gt;=1,OFFSET(CR$228,-1,0),"")))</f>
        <v/>
      </c>
      <c r="CS397" s="403" t="str">
        <f ca="1">IF(SUM($G397:CR397)&gt;=1,"",IF(CS395=0,"",IF(SUM($G395:CS395)&gt;=1,OFFSET(CS$228,-1,0),"")))</f>
        <v/>
      </c>
      <c r="CT397" s="403" t="str">
        <f ca="1">IF(SUM($G397:CS397)&gt;=1,"",IF(CT395=0,"",IF(SUM($G395:CT395)&gt;=1,OFFSET(CT$228,-1,0),"")))</f>
        <v/>
      </c>
      <c r="CU397" s="403" t="str">
        <f ca="1">IF(SUM($G397:CT397)&gt;=1,"",IF(CU395=0,"",IF(SUM($G395:CU395)&gt;=1,OFFSET(CU$228,-1,0),"")))</f>
        <v/>
      </c>
      <c r="CV397" s="403" t="str">
        <f ca="1">IF(SUM($G397:CU397)&gt;=1,"",IF(CV395=0,"",IF(SUM($G395:CV395)&gt;=1,OFFSET(CV$228,-1,0),"")))</f>
        <v/>
      </c>
      <c r="CW397" s="403" t="str">
        <f ca="1">IF(SUM($G397:CV397)&gt;=1,"",IF(CW395=0,"",IF(SUM($G395:CW395)&gt;=1,OFFSET(CW$228,-1,0),"")))</f>
        <v/>
      </c>
      <c r="CX397" s="403" t="str">
        <f ca="1">IF(SUM($G397:CW397)&gt;=1,"",IF(CX395=0,"",IF(SUM($G395:CX395)&gt;=1,OFFSET(CX$228,-1,0),"")))</f>
        <v/>
      </c>
      <c r="CY397" s="403" t="str">
        <f ca="1">IF(SUM($G397:CX397)&gt;=1,"",IF(CY395=0,"",IF(SUM($G395:CY395)&gt;=1,OFFSET(CY$228,-1,0),"")))</f>
        <v/>
      </c>
      <c r="CZ397" s="403" t="str">
        <f ca="1">IF(SUM($G397:CY397)&gt;=1,"",IF(CZ395=0,"",IF(SUM($G395:CZ395)&gt;=1,OFFSET(CZ$228,-1,0),"")))</f>
        <v/>
      </c>
      <c r="DA397" s="403" t="str">
        <f ca="1">IF(SUM($G397:CZ397)&gt;=1,"",IF(DA395=0,"",IF(SUM($G395:DA395)&gt;=1,OFFSET(DA$228,-1,0),"")))</f>
        <v/>
      </c>
      <c r="DB397" s="403" t="str">
        <f ca="1">IF(SUM($G397:DA397)&gt;=1,"",IF(DB395=0,"",IF(SUM($G395:DB395)&gt;=1,OFFSET(DB$228,-1,0),"")))</f>
        <v/>
      </c>
      <c r="DC397" s="403" t="str">
        <f ca="1">IF(SUM($G397:DB397)&gt;=1,"",IF(DC395=0,"",IF(SUM($G395:DC395)&gt;=1,OFFSET(DC$228,-1,0),"")))</f>
        <v/>
      </c>
      <c r="DD397" s="403" t="str">
        <f ca="1">IF(SUM($G397:DC397)&gt;=1,"",IF(DD395=0,"",IF(SUM($G395:DD395)&gt;=1,OFFSET(DD$228,-1,0),"")))</f>
        <v/>
      </c>
      <c r="DE397" s="403" t="str">
        <f ca="1">IF(SUM($G397:DD397)&gt;=1,"",IF(DE395=0,"",IF(SUM($G395:DE395)&gt;=1,OFFSET(DE$228,-1,0),"")))</f>
        <v/>
      </c>
      <c r="DF397" s="403" t="str">
        <f ca="1">IF(SUM($G397:DE397)&gt;=1,"",IF(DF395=0,"",IF(SUM($G395:DF395)&gt;=1,OFFSET(DF$228,-1,0),"")))</f>
        <v/>
      </c>
      <c r="DG397" s="403" t="str">
        <f ca="1">IF(SUM($G397:DF397)&gt;=1,"",IF(DG395=0,"",IF(SUM($G395:DG395)&gt;=1,OFFSET(DG$228,-1,0),"")))</f>
        <v/>
      </c>
      <c r="DH397" s="403" t="str">
        <f ca="1">IF(SUM($G397:DG397)&gt;=1,"",IF(DH395=0,"",IF(SUM($G395:DH395)&gt;=1,OFFSET(DH$228,-1,0),"")))</f>
        <v/>
      </c>
      <c r="DI397" s="403" t="str">
        <f ca="1">IF(SUM($G397:DH397)&gt;=1,"",IF(DI395=0,"",IF(SUM($G395:DI395)&gt;=1,OFFSET(DI$228,-1,0),"")))</f>
        <v/>
      </c>
      <c r="DJ397" s="403" t="str">
        <f ca="1">IF(SUM($G397:DI397)&gt;=1,"",IF(DJ395=0,"",IF(SUM($G395:DJ395)&gt;=1,OFFSET(DJ$228,-1,0),"")))</f>
        <v/>
      </c>
      <c r="DK397" s="403" t="str">
        <f ca="1">IF(SUM($G397:DJ397)&gt;=1,"",IF(DK395=0,"",IF(SUM($G395:DK395)&gt;=1,OFFSET(DK$228,-1,0),"")))</f>
        <v/>
      </c>
      <c r="DL397" s="403" t="str">
        <f ca="1">IF(SUM($G397:DK397)&gt;=1,"",IF(DL395=0,"",IF(SUM($G395:DL395)&gt;=1,OFFSET(DL$228,-1,0),"")))</f>
        <v/>
      </c>
      <c r="DM397" s="403" t="str">
        <f ca="1">IF(SUM($G397:DL397)&gt;=1,"",IF(DM395=0,"",IF(SUM($G395:DM395)&gt;=1,OFFSET(DM$228,-1,0),"")))</f>
        <v/>
      </c>
      <c r="DN397" s="403" t="str">
        <f ca="1">IF(SUM($G397:DM397)&gt;=1,"",IF(DN395=0,"",IF(SUM($G395:DN395)&gt;=1,OFFSET(DN$228,-1,0),"")))</f>
        <v/>
      </c>
      <c r="DO397" s="403" t="str">
        <f ca="1">IF(SUM($G397:DN397)&gt;=1,"",IF(DO395=0,"",IF(SUM($G395:DO395)&gt;=1,OFFSET(DO$228,-1,0),"")))</f>
        <v/>
      </c>
      <c r="DP397" s="403" t="str">
        <f ca="1">IF(SUM($G397:DO397)&gt;=1,"",IF(DP395=0,"",IF(SUM($G395:DP395)&gt;=1,OFFSET(DP$228,-1,0),"")))</f>
        <v/>
      </c>
      <c r="DQ397" s="403" t="str">
        <f ca="1">IF(SUM($G397:DP397)&gt;=1,"",IF(DQ395=0,"",IF(SUM($G395:DQ395)&gt;=1,OFFSET(DQ$228,-1,0),"")))</f>
        <v/>
      </c>
      <c r="DR397" s="403" t="str">
        <f ca="1">IF(SUM($G397:DQ397)&gt;=1,"",IF(DR395=0,"",IF(SUM($G395:DR395)&gt;=1,OFFSET(DR$228,-1,0),"")))</f>
        <v/>
      </c>
      <c r="DS397" s="403" t="str">
        <f ca="1">IF(SUM($G397:DR397)&gt;=1,"",IF(DS395=0,"",IF(SUM($G395:DS395)&gt;=1,OFFSET(DS$228,-1,0),"")))</f>
        <v/>
      </c>
      <c r="DT397" s="403" t="str">
        <f ca="1">IF(SUM($G397:DS397)&gt;=1,"",IF(DT395=0,"",IF(SUM($G395:DT395)&gt;=1,OFFSET(DT$228,-1,0),"")))</f>
        <v/>
      </c>
      <c r="DU397" s="403" t="str">
        <f ca="1">IF(SUM($G397:DT397)&gt;=1,"",IF(DU395=0,"",IF(SUM($G395:DU395)&gt;=1,OFFSET(DU$228,-1,0),"")))</f>
        <v/>
      </c>
      <c r="DV397" s="403" t="str">
        <f ca="1">IF(SUM($G397:DU397)&gt;=1,"",IF(DV395=0,"",IF(SUM($G395:DV395)&gt;=1,OFFSET(DV$228,-1,0),"")))</f>
        <v/>
      </c>
      <c r="DW397" s="403" t="str">
        <f ca="1">IF(SUM($G397:DV397)&gt;=1,"",IF(DW395=0,"",IF(SUM($G395:DW395)&gt;=1,OFFSET(DW$228,-1,0),"")))</f>
        <v/>
      </c>
      <c r="DX397" s="403" t="str">
        <f ca="1">IF(SUM($G397:DW397)&gt;=1,"",IF(DX395=0,"",IF(SUM($G395:DX395)&gt;=1,OFFSET(DX$228,-1,0),"")))</f>
        <v/>
      </c>
      <c r="DY397" s="403" t="str">
        <f ca="1">IF(SUM($G397:DX397)&gt;=1,"",IF(DY395=0,"",IF(SUM($G395:DY395)&gt;=1,OFFSET(DY$228,-1,0),"")))</f>
        <v/>
      </c>
      <c r="DZ397" s="403" t="str">
        <f ca="1">IF(SUM($G397:DY397)&gt;=1,"",IF(DZ395=0,"",IF(SUM($G395:DZ395)&gt;=1,OFFSET(DZ$228,-1,0),"")))</f>
        <v/>
      </c>
      <c r="EA397" s="403" t="str">
        <f ca="1">IF(SUM($G397:DZ397)&gt;=1,"",IF(EA395=0,"",IF(SUM($G395:EA395)&gt;=1,OFFSET(EA$228,-1,0),"")))</f>
        <v/>
      </c>
      <c r="EB397" s="403" t="str">
        <f ca="1">IF(SUM($G397:EA397)&gt;=1,"",IF(EB395=0,"",IF(SUM($G395:EB395)&gt;=1,OFFSET(EB$228,-1,0),"")))</f>
        <v/>
      </c>
      <c r="EC397" s="403" t="str">
        <f ca="1">IF(SUM($G397:EB397)&gt;=1,"",IF(EC395=0,"",IF(SUM($G395:EC395)&gt;=1,OFFSET(EC$228,-1,0),"")))</f>
        <v/>
      </c>
      <c r="ED397" s="403" t="str">
        <f ca="1">IF(SUM($G397:EC397)&gt;=1,"",IF(ED395=0,"",IF(SUM($G395:ED395)&gt;=1,OFFSET(ED$228,-1,0),"")))</f>
        <v/>
      </c>
      <c r="EE397" s="403" t="str">
        <f ca="1">IF(SUM($G397:ED397)&gt;=1,"",IF(EE395=0,"",IF(SUM($G395:EE395)&gt;=1,OFFSET(EE$228,-1,0),"")))</f>
        <v/>
      </c>
      <c r="EF397" s="403" t="str">
        <f ca="1">IF(SUM($G397:EE397)&gt;=1,"",IF(EF395=0,"",IF(SUM($G395:EF395)&gt;=1,OFFSET(EF$228,-1,0),"")))</f>
        <v/>
      </c>
      <c r="EG397" s="403" t="str">
        <f ca="1">IF(SUM($G397:EF397)&gt;=1,"",IF(EG395=0,"",IF(SUM($G395:EG395)&gt;=1,OFFSET(EG$228,-1,0),"")))</f>
        <v/>
      </c>
      <c r="EH397" s="403" t="str">
        <f ca="1">IF(SUM($G397:EG397)&gt;=1,"",IF(EH395=0,"",IF(SUM($G395:EH395)&gt;=1,OFFSET(EH$228,-1,0),"")))</f>
        <v/>
      </c>
      <c r="EI397" s="403" t="str">
        <f ca="1">IF(SUM($G397:EH397)&gt;=1,"",IF(EI395=0,"",IF(SUM($G395:EI395)&gt;=1,OFFSET(EI$228,-1,0),"")))</f>
        <v/>
      </c>
    </row>
    <row r="398" spans="1:141" hidden="1" outlineLevel="2">
      <c r="A398" s="332"/>
      <c r="D398" s="305" t="s">
        <v>671</v>
      </c>
      <c r="E398" s="1002" t="str">
        <f ca="1">IF(E395=0,"",MIN(G398:EI398))</f>
        <v/>
      </c>
      <c r="F398" s="1003"/>
      <c r="G398" s="403" t="str">
        <f>IF(G395=0,"",IF(G395=G$3,G397,G$5+H$5-G399-1))</f>
        <v/>
      </c>
      <c r="H398" s="403" t="str">
        <f ca="1">IF(H395=0,"",IF(H395=H$3,H397,H$5+I$5-H399-1))</f>
        <v/>
      </c>
      <c r="I398" s="403" t="str">
        <f t="shared" ref="I398:BT398" ca="1" si="688">IF(I395=0,"",IF(I395=I$3,I397,I$5+J$5-I399-1))</f>
        <v/>
      </c>
      <c r="J398" s="403" t="str">
        <f t="shared" ca="1" si="688"/>
        <v/>
      </c>
      <c r="K398" s="403" t="str">
        <f t="shared" ca="1" si="688"/>
        <v/>
      </c>
      <c r="L398" s="403" t="str">
        <f t="shared" ca="1" si="688"/>
        <v/>
      </c>
      <c r="M398" s="403" t="str">
        <f t="shared" ca="1" si="688"/>
        <v/>
      </c>
      <c r="N398" s="403" t="str">
        <f t="shared" ca="1" si="688"/>
        <v/>
      </c>
      <c r="O398" s="403" t="str">
        <f t="shared" ca="1" si="688"/>
        <v/>
      </c>
      <c r="P398" s="403" t="str">
        <f t="shared" ca="1" si="688"/>
        <v/>
      </c>
      <c r="Q398" s="403" t="str">
        <f t="shared" ca="1" si="688"/>
        <v/>
      </c>
      <c r="R398" s="403" t="str">
        <f t="shared" ca="1" si="688"/>
        <v/>
      </c>
      <c r="S398" s="403" t="str">
        <f t="shared" ca="1" si="688"/>
        <v/>
      </c>
      <c r="T398" s="403" t="str">
        <f t="shared" ca="1" si="688"/>
        <v/>
      </c>
      <c r="U398" s="403" t="str">
        <f t="shared" ca="1" si="688"/>
        <v/>
      </c>
      <c r="V398" s="403" t="str">
        <f t="shared" ca="1" si="688"/>
        <v/>
      </c>
      <c r="W398" s="403" t="str">
        <f t="shared" ca="1" si="688"/>
        <v/>
      </c>
      <c r="X398" s="403" t="str">
        <f t="shared" ca="1" si="688"/>
        <v/>
      </c>
      <c r="Y398" s="403" t="str">
        <f t="shared" ca="1" si="688"/>
        <v/>
      </c>
      <c r="Z398" s="403" t="str">
        <f t="shared" ca="1" si="688"/>
        <v/>
      </c>
      <c r="AA398" s="403" t="str">
        <f t="shared" ca="1" si="688"/>
        <v/>
      </c>
      <c r="AB398" s="403" t="str">
        <f t="shared" ca="1" si="688"/>
        <v/>
      </c>
      <c r="AC398" s="403" t="str">
        <f t="shared" ca="1" si="688"/>
        <v/>
      </c>
      <c r="AD398" s="403" t="str">
        <f t="shared" ca="1" si="688"/>
        <v/>
      </c>
      <c r="AE398" s="403" t="str">
        <f t="shared" ca="1" si="688"/>
        <v/>
      </c>
      <c r="AF398" s="403" t="str">
        <f t="shared" ca="1" si="688"/>
        <v/>
      </c>
      <c r="AG398" s="403" t="str">
        <f t="shared" ca="1" si="688"/>
        <v/>
      </c>
      <c r="AH398" s="403" t="str">
        <f t="shared" ca="1" si="688"/>
        <v/>
      </c>
      <c r="AI398" s="403" t="str">
        <f t="shared" ca="1" si="688"/>
        <v/>
      </c>
      <c r="AJ398" s="403" t="str">
        <f t="shared" ca="1" si="688"/>
        <v/>
      </c>
      <c r="AK398" s="403" t="str">
        <f t="shared" ca="1" si="688"/>
        <v/>
      </c>
      <c r="AL398" s="403" t="str">
        <f t="shared" ca="1" si="688"/>
        <v/>
      </c>
      <c r="AM398" s="403" t="str">
        <f t="shared" ca="1" si="688"/>
        <v/>
      </c>
      <c r="AN398" s="403" t="str">
        <f t="shared" ca="1" si="688"/>
        <v/>
      </c>
      <c r="AO398" s="403" t="str">
        <f t="shared" ca="1" si="688"/>
        <v/>
      </c>
      <c r="AP398" s="403" t="str">
        <f t="shared" ca="1" si="688"/>
        <v/>
      </c>
      <c r="AQ398" s="403" t="str">
        <f t="shared" ca="1" si="688"/>
        <v/>
      </c>
      <c r="AR398" s="403" t="str">
        <f t="shared" ca="1" si="688"/>
        <v/>
      </c>
      <c r="AS398" s="403" t="str">
        <f t="shared" ca="1" si="688"/>
        <v/>
      </c>
      <c r="AT398" s="403" t="str">
        <f t="shared" ca="1" si="688"/>
        <v/>
      </c>
      <c r="AU398" s="403" t="str">
        <f t="shared" ca="1" si="688"/>
        <v/>
      </c>
      <c r="AV398" s="403" t="str">
        <f t="shared" ca="1" si="688"/>
        <v/>
      </c>
      <c r="AW398" s="403" t="str">
        <f t="shared" ca="1" si="688"/>
        <v/>
      </c>
      <c r="AX398" s="403" t="str">
        <f t="shared" ca="1" si="688"/>
        <v/>
      </c>
      <c r="AY398" s="403" t="str">
        <f t="shared" ca="1" si="688"/>
        <v/>
      </c>
      <c r="AZ398" s="403" t="str">
        <f t="shared" ca="1" si="688"/>
        <v/>
      </c>
      <c r="BA398" s="403" t="str">
        <f t="shared" ca="1" si="688"/>
        <v/>
      </c>
      <c r="BB398" s="403" t="str">
        <f t="shared" ca="1" si="688"/>
        <v/>
      </c>
      <c r="BC398" s="403" t="str">
        <f t="shared" ca="1" si="688"/>
        <v/>
      </c>
      <c r="BD398" s="403" t="str">
        <f t="shared" ca="1" si="688"/>
        <v/>
      </c>
      <c r="BE398" s="403" t="str">
        <f t="shared" ca="1" si="688"/>
        <v/>
      </c>
      <c r="BF398" s="403" t="str">
        <f t="shared" ca="1" si="688"/>
        <v/>
      </c>
      <c r="BG398" s="403" t="str">
        <f t="shared" ca="1" si="688"/>
        <v/>
      </c>
      <c r="BH398" s="403" t="str">
        <f t="shared" ca="1" si="688"/>
        <v/>
      </c>
      <c r="BI398" s="403" t="str">
        <f t="shared" ca="1" si="688"/>
        <v/>
      </c>
      <c r="BJ398" s="403" t="str">
        <f t="shared" ca="1" si="688"/>
        <v/>
      </c>
      <c r="BK398" s="403" t="str">
        <f t="shared" ca="1" si="688"/>
        <v/>
      </c>
      <c r="BL398" s="403" t="str">
        <f t="shared" ca="1" si="688"/>
        <v/>
      </c>
      <c r="BM398" s="403" t="str">
        <f t="shared" ca="1" si="688"/>
        <v/>
      </c>
      <c r="BN398" s="403" t="str">
        <f t="shared" ca="1" si="688"/>
        <v/>
      </c>
      <c r="BO398" s="403" t="str">
        <f t="shared" ca="1" si="688"/>
        <v/>
      </c>
      <c r="BP398" s="403" t="str">
        <f t="shared" ca="1" si="688"/>
        <v/>
      </c>
      <c r="BQ398" s="403" t="str">
        <f t="shared" ca="1" si="688"/>
        <v/>
      </c>
      <c r="BR398" s="403" t="str">
        <f t="shared" ca="1" si="688"/>
        <v/>
      </c>
      <c r="BS398" s="403" t="str">
        <f t="shared" ca="1" si="688"/>
        <v/>
      </c>
      <c r="BT398" s="403" t="str">
        <f t="shared" ca="1" si="688"/>
        <v/>
      </c>
      <c r="BU398" s="403" t="str">
        <f t="shared" ref="BU398:EF398" ca="1" si="689">IF(BU395=0,"",IF(BU395=BU$3,BU397,BU$5+BV$5-BU399-1))</f>
        <v/>
      </c>
      <c r="BV398" s="403" t="str">
        <f t="shared" ca="1" si="689"/>
        <v/>
      </c>
      <c r="BW398" s="403" t="str">
        <f t="shared" ca="1" si="689"/>
        <v/>
      </c>
      <c r="BX398" s="403" t="str">
        <f t="shared" ca="1" si="689"/>
        <v/>
      </c>
      <c r="BY398" s="403" t="str">
        <f t="shared" ca="1" si="689"/>
        <v/>
      </c>
      <c r="BZ398" s="403" t="str">
        <f t="shared" ca="1" si="689"/>
        <v/>
      </c>
      <c r="CA398" s="403" t="str">
        <f t="shared" ca="1" si="689"/>
        <v/>
      </c>
      <c r="CB398" s="403" t="str">
        <f t="shared" ca="1" si="689"/>
        <v/>
      </c>
      <c r="CC398" s="403" t="str">
        <f t="shared" ca="1" si="689"/>
        <v/>
      </c>
      <c r="CD398" s="403" t="str">
        <f t="shared" ca="1" si="689"/>
        <v/>
      </c>
      <c r="CE398" s="403" t="str">
        <f t="shared" ca="1" si="689"/>
        <v/>
      </c>
      <c r="CF398" s="403" t="str">
        <f t="shared" ca="1" si="689"/>
        <v/>
      </c>
      <c r="CG398" s="403" t="str">
        <f t="shared" ca="1" si="689"/>
        <v/>
      </c>
      <c r="CH398" s="403" t="str">
        <f t="shared" ca="1" si="689"/>
        <v/>
      </c>
      <c r="CI398" s="403" t="str">
        <f t="shared" ca="1" si="689"/>
        <v/>
      </c>
      <c r="CJ398" s="403" t="str">
        <f t="shared" ca="1" si="689"/>
        <v/>
      </c>
      <c r="CK398" s="403" t="str">
        <f t="shared" ca="1" si="689"/>
        <v/>
      </c>
      <c r="CL398" s="403" t="str">
        <f t="shared" ca="1" si="689"/>
        <v/>
      </c>
      <c r="CM398" s="403" t="str">
        <f t="shared" ca="1" si="689"/>
        <v/>
      </c>
      <c r="CN398" s="403" t="str">
        <f t="shared" ca="1" si="689"/>
        <v/>
      </c>
      <c r="CO398" s="403" t="str">
        <f t="shared" ca="1" si="689"/>
        <v/>
      </c>
      <c r="CP398" s="403" t="str">
        <f t="shared" ca="1" si="689"/>
        <v/>
      </c>
      <c r="CQ398" s="403" t="str">
        <f t="shared" ca="1" si="689"/>
        <v/>
      </c>
      <c r="CR398" s="403" t="str">
        <f t="shared" ca="1" si="689"/>
        <v/>
      </c>
      <c r="CS398" s="403" t="str">
        <f t="shared" ca="1" si="689"/>
        <v/>
      </c>
      <c r="CT398" s="403" t="str">
        <f t="shared" ca="1" si="689"/>
        <v/>
      </c>
      <c r="CU398" s="403" t="str">
        <f t="shared" ca="1" si="689"/>
        <v/>
      </c>
      <c r="CV398" s="403" t="str">
        <f t="shared" ca="1" si="689"/>
        <v/>
      </c>
      <c r="CW398" s="403" t="str">
        <f t="shared" ca="1" si="689"/>
        <v/>
      </c>
      <c r="CX398" s="403" t="str">
        <f t="shared" ca="1" si="689"/>
        <v/>
      </c>
      <c r="CY398" s="403" t="str">
        <f t="shared" ca="1" si="689"/>
        <v/>
      </c>
      <c r="CZ398" s="403" t="str">
        <f t="shared" ca="1" si="689"/>
        <v/>
      </c>
      <c r="DA398" s="403" t="str">
        <f t="shared" ca="1" si="689"/>
        <v/>
      </c>
      <c r="DB398" s="403" t="str">
        <f t="shared" ca="1" si="689"/>
        <v/>
      </c>
      <c r="DC398" s="403" t="str">
        <f t="shared" ca="1" si="689"/>
        <v/>
      </c>
      <c r="DD398" s="403" t="str">
        <f t="shared" ca="1" si="689"/>
        <v/>
      </c>
      <c r="DE398" s="403" t="str">
        <f t="shared" ca="1" si="689"/>
        <v/>
      </c>
      <c r="DF398" s="403" t="str">
        <f t="shared" ca="1" si="689"/>
        <v/>
      </c>
      <c r="DG398" s="403" t="str">
        <f t="shared" ca="1" si="689"/>
        <v/>
      </c>
      <c r="DH398" s="403" t="str">
        <f t="shared" ca="1" si="689"/>
        <v/>
      </c>
      <c r="DI398" s="403" t="str">
        <f t="shared" ca="1" si="689"/>
        <v/>
      </c>
      <c r="DJ398" s="403" t="str">
        <f t="shared" ca="1" si="689"/>
        <v/>
      </c>
      <c r="DK398" s="403" t="str">
        <f t="shared" ca="1" si="689"/>
        <v/>
      </c>
      <c r="DL398" s="403" t="str">
        <f t="shared" ca="1" si="689"/>
        <v/>
      </c>
      <c r="DM398" s="403" t="str">
        <f t="shared" ca="1" si="689"/>
        <v/>
      </c>
      <c r="DN398" s="403" t="str">
        <f t="shared" ca="1" si="689"/>
        <v/>
      </c>
      <c r="DO398" s="403" t="str">
        <f t="shared" ca="1" si="689"/>
        <v/>
      </c>
      <c r="DP398" s="403" t="str">
        <f t="shared" ca="1" si="689"/>
        <v/>
      </c>
      <c r="DQ398" s="403" t="str">
        <f t="shared" ca="1" si="689"/>
        <v/>
      </c>
      <c r="DR398" s="403" t="str">
        <f t="shared" ca="1" si="689"/>
        <v/>
      </c>
      <c r="DS398" s="403" t="str">
        <f t="shared" ca="1" si="689"/>
        <v/>
      </c>
      <c r="DT398" s="403" t="str">
        <f t="shared" ca="1" si="689"/>
        <v/>
      </c>
      <c r="DU398" s="403" t="str">
        <f t="shared" ca="1" si="689"/>
        <v/>
      </c>
      <c r="DV398" s="403" t="str">
        <f t="shared" ca="1" si="689"/>
        <v/>
      </c>
      <c r="DW398" s="403" t="str">
        <f t="shared" ca="1" si="689"/>
        <v/>
      </c>
      <c r="DX398" s="403" t="str">
        <f t="shared" ca="1" si="689"/>
        <v/>
      </c>
      <c r="DY398" s="403" t="str">
        <f t="shared" ca="1" si="689"/>
        <v/>
      </c>
      <c r="DZ398" s="403" t="str">
        <f t="shared" ca="1" si="689"/>
        <v/>
      </c>
      <c r="EA398" s="403" t="str">
        <f t="shared" ca="1" si="689"/>
        <v/>
      </c>
      <c r="EB398" s="403" t="str">
        <f t="shared" ca="1" si="689"/>
        <v/>
      </c>
      <c r="EC398" s="403" t="str">
        <f t="shared" ca="1" si="689"/>
        <v/>
      </c>
      <c r="ED398" s="403" t="str">
        <f t="shared" ca="1" si="689"/>
        <v/>
      </c>
      <c r="EE398" s="403" t="str">
        <f t="shared" ca="1" si="689"/>
        <v/>
      </c>
      <c r="EF398" s="403" t="str">
        <f t="shared" ca="1" si="689"/>
        <v/>
      </c>
      <c r="EG398" s="403" t="str">
        <f t="shared" ref="EG398:EI398" ca="1" si="690">IF(EG395=0,"",IF(EG395=EG$3,EG397,EG$5+EH$5-EG399-1))</f>
        <v/>
      </c>
      <c r="EH398" s="403" t="str">
        <f t="shared" ca="1" si="690"/>
        <v/>
      </c>
      <c r="EI398" s="403" t="str">
        <f t="shared" ca="1" si="690"/>
        <v/>
      </c>
    </row>
    <row r="399" spans="1:141" hidden="1" outlineLevel="2">
      <c r="A399" s="332"/>
      <c r="D399" s="305" t="s">
        <v>672</v>
      </c>
      <c r="E399" s="1002" t="str">
        <f ca="1">IF(E395=0,"",MAX(G399:EI399))</f>
        <v/>
      </c>
      <c r="F399" s="1003"/>
      <c r="G399" s="403" t="str">
        <f ca="1">IF(SUM(G395:$EI395)=0,"",IF(G$227="","",G$227+G395-1))</f>
        <v/>
      </c>
      <c r="H399" s="403" t="str">
        <f ca="1">IF(SUM(H395:$EI395)=0,"",IF(H$227="","",H$227+H395-1))</f>
        <v/>
      </c>
      <c r="I399" s="403" t="str">
        <f ca="1">IF(SUM(I395:$EI395)=0,"",IF(I$227="","",I$227+I395-1))</f>
        <v/>
      </c>
      <c r="J399" s="403" t="str">
        <f ca="1">IF(SUM(J395:$EI395)=0,"",IF(J$227="","",J$227+J395-1))</f>
        <v/>
      </c>
      <c r="K399" s="403" t="str">
        <f ca="1">IF(SUM(K395:$EI395)=0,"",IF(K$227="","",K$227+K395-1))</f>
        <v/>
      </c>
      <c r="L399" s="403" t="str">
        <f ca="1">IF(SUM(L395:$EI395)=0,"",IF(L$227="","",L$227+L395-1))</f>
        <v/>
      </c>
      <c r="M399" s="403" t="str">
        <f ca="1">IF(SUM(M395:$EI395)=0,"",IF(M$227="","",M$227+M395-1))</f>
        <v/>
      </c>
      <c r="N399" s="403" t="str">
        <f ca="1">IF(SUM(N395:$EI395)=0,"",IF(N$227="","",N$227+N395-1))</f>
        <v/>
      </c>
      <c r="O399" s="403" t="str">
        <f ca="1">IF(SUM(O395:$EI395)=0,"",IF(O$227="","",O$227+O395-1))</f>
        <v/>
      </c>
      <c r="P399" s="403" t="str">
        <f ca="1">IF(SUM(P395:$EI395)=0,"",IF(P$227="","",P$227+P395-1))</f>
        <v/>
      </c>
      <c r="Q399" s="403" t="str">
        <f ca="1">IF(SUM(Q395:$EI395)=0,"",IF(Q$227="","",Q$227+Q395-1))</f>
        <v/>
      </c>
      <c r="R399" s="403" t="str">
        <f ca="1">IF(SUM(R395:$EI395)=0,"",IF(R$227="","",R$227+R395-1))</f>
        <v/>
      </c>
      <c r="S399" s="403" t="str">
        <f ca="1">IF(SUM(S395:$EI395)=0,"",IF(S$227="","",S$227+S395-1))</f>
        <v/>
      </c>
      <c r="T399" s="403" t="str">
        <f ca="1">IF(SUM(T395:$EI395)=0,"",IF(T$227="","",T$227+T395-1))</f>
        <v/>
      </c>
      <c r="U399" s="403" t="str">
        <f ca="1">IF(SUM(U395:$EI395)=0,"",IF(U$227="","",U$227+U395-1))</f>
        <v/>
      </c>
      <c r="V399" s="403" t="str">
        <f ca="1">IF(SUM(V395:$EI395)=0,"",IF(V$227="","",V$227+V395-1))</f>
        <v/>
      </c>
      <c r="W399" s="403" t="str">
        <f ca="1">IF(SUM(W395:$EI395)=0,"",IF(W$227="","",W$227+W395-1))</f>
        <v/>
      </c>
      <c r="X399" s="403" t="str">
        <f ca="1">IF(SUM(X395:$EI395)=0,"",IF(X$227="","",X$227+X395-1))</f>
        <v/>
      </c>
      <c r="Y399" s="403" t="str">
        <f ca="1">IF(SUM(Y395:$EI395)=0,"",IF(Y$227="","",Y$227+Y395-1))</f>
        <v/>
      </c>
      <c r="Z399" s="403" t="str">
        <f ca="1">IF(SUM(Z395:$EI395)=0,"",IF(Z$227="","",Z$227+Z395-1))</f>
        <v/>
      </c>
      <c r="AA399" s="403" t="str">
        <f ca="1">IF(SUM(AA395:$EI395)=0,"",IF(AA$227="","",AA$227+AA395-1))</f>
        <v/>
      </c>
      <c r="AB399" s="403" t="str">
        <f ca="1">IF(SUM(AB395:$EI395)=0,"",IF(AB$227="","",AB$227+AB395-1))</f>
        <v/>
      </c>
      <c r="AC399" s="403" t="str">
        <f ca="1">IF(SUM(AC395:$EI395)=0,"",IF(AC$227="","",AC$227+AC395-1))</f>
        <v/>
      </c>
      <c r="AD399" s="403" t="str">
        <f ca="1">IF(SUM(AD395:$EI395)=0,"",IF(AD$227="","",AD$227+AD395-1))</f>
        <v/>
      </c>
      <c r="AE399" s="403" t="str">
        <f ca="1">IF(SUM(AE395:$EI395)=0,"",IF(AE$227="","",AE$227+AE395-1))</f>
        <v/>
      </c>
      <c r="AF399" s="403" t="str">
        <f ca="1">IF(SUM(AF395:$EI395)=0,"",IF(AF$227="","",AF$227+AF395-1))</f>
        <v/>
      </c>
      <c r="AG399" s="403" t="str">
        <f ca="1">IF(SUM(AG395:$EI395)=0,"",IF(AG$227="","",AG$227+AG395-1))</f>
        <v/>
      </c>
      <c r="AH399" s="403" t="str">
        <f ca="1">IF(SUM(AH395:$EI395)=0,"",IF(AH$227="","",AH$227+AH395-1))</f>
        <v/>
      </c>
      <c r="AI399" s="403" t="str">
        <f ca="1">IF(SUM(AI395:$EI395)=0,"",IF(AI$227="","",AI$227+AI395-1))</f>
        <v/>
      </c>
      <c r="AJ399" s="403" t="str">
        <f ca="1">IF(SUM(AJ395:$EI395)=0,"",IF(AJ$227="","",AJ$227+AJ395-1))</f>
        <v/>
      </c>
      <c r="AK399" s="403" t="str">
        <f ca="1">IF(SUM(AK395:$EI395)=0,"",IF(AK$227="","",AK$227+AK395-1))</f>
        <v/>
      </c>
      <c r="AL399" s="403" t="str">
        <f ca="1">IF(SUM(AL395:$EI395)=0,"",IF(AL$227="","",AL$227+AL395-1))</f>
        <v/>
      </c>
      <c r="AM399" s="403" t="str">
        <f ca="1">IF(SUM(AM395:$EI395)=0,"",IF(AM$227="","",AM$227+AM395-1))</f>
        <v/>
      </c>
      <c r="AN399" s="403" t="str">
        <f ca="1">IF(SUM(AN395:$EI395)=0,"",IF(AN$227="","",AN$227+AN395-1))</f>
        <v/>
      </c>
      <c r="AO399" s="403" t="str">
        <f ca="1">IF(SUM(AO395:$EI395)=0,"",IF(AO$227="","",AO$227+AO395-1))</f>
        <v/>
      </c>
      <c r="AP399" s="403" t="str">
        <f ca="1">IF(SUM(AP395:$EI395)=0,"",IF(AP$227="","",AP$227+AP395-1))</f>
        <v/>
      </c>
      <c r="AQ399" s="403" t="str">
        <f ca="1">IF(SUM(AQ395:$EI395)=0,"",IF(AQ$227="","",AQ$227+AQ395-1))</f>
        <v/>
      </c>
      <c r="AR399" s="403" t="str">
        <f ca="1">IF(SUM(AR395:$EI395)=0,"",IF(AR$227="","",AR$227+AR395-1))</f>
        <v/>
      </c>
      <c r="AS399" s="403" t="str">
        <f ca="1">IF(SUM(AS395:$EI395)=0,"",IF(AS$227="","",AS$227+AS395-1))</f>
        <v/>
      </c>
      <c r="AT399" s="403" t="str">
        <f ca="1">IF(SUM(AT395:$EI395)=0,"",IF(AT$227="","",AT$227+AT395-1))</f>
        <v/>
      </c>
      <c r="AU399" s="403" t="str">
        <f ca="1">IF(SUM(AU395:$EI395)=0,"",IF(AU$227="","",AU$227+AU395-1))</f>
        <v/>
      </c>
      <c r="AV399" s="403" t="str">
        <f ca="1">IF(SUM(AV395:$EI395)=0,"",IF(AV$227="","",AV$227+AV395-1))</f>
        <v/>
      </c>
      <c r="AW399" s="403" t="str">
        <f ca="1">IF(SUM(AW395:$EI395)=0,"",IF(AW$227="","",AW$227+AW395-1))</f>
        <v/>
      </c>
      <c r="AX399" s="403" t="str">
        <f ca="1">IF(SUM(AX395:$EI395)=0,"",IF(AX$227="","",AX$227+AX395-1))</f>
        <v/>
      </c>
      <c r="AY399" s="403" t="str">
        <f ca="1">IF(SUM(AY395:$EI395)=0,"",IF(AY$227="","",AY$227+AY395-1))</f>
        <v/>
      </c>
      <c r="AZ399" s="403" t="str">
        <f ca="1">IF(SUM(AZ395:$EI395)=0,"",IF(AZ$227="","",AZ$227+AZ395-1))</f>
        <v/>
      </c>
      <c r="BA399" s="403" t="str">
        <f ca="1">IF(SUM(BA395:$EI395)=0,"",IF(BA$227="","",BA$227+BA395-1))</f>
        <v/>
      </c>
      <c r="BB399" s="403" t="str">
        <f ca="1">IF(SUM(BB395:$EI395)=0,"",IF(BB$227="","",BB$227+BB395-1))</f>
        <v/>
      </c>
      <c r="BC399" s="403" t="str">
        <f ca="1">IF(SUM(BC395:$EI395)=0,"",IF(BC$227="","",BC$227+BC395-1))</f>
        <v/>
      </c>
      <c r="BD399" s="403" t="str">
        <f ca="1">IF(SUM(BD395:$EI395)=0,"",IF(BD$227="","",BD$227+BD395-1))</f>
        <v/>
      </c>
      <c r="BE399" s="403" t="str">
        <f ca="1">IF(SUM(BE395:$EI395)=0,"",IF(BE$227="","",BE$227+BE395-1))</f>
        <v/>
      </c>
      <c r="BF399" s="403" t="str">
        <f ca="1">IF(SUM(BF395:$EI395)=0,"",IF(BF$227="","",BF$227+BF395-1))</f>
        <v/>
      </c>
      <c r="BG399" s="403" t="str">
        <f ca="1">IF(SUM(BG395:$EI395)=0,"",IF(BG$227="","",BG$227+BG395-1))</f>
        <v/>
      </c>
      <c r="BH399" s="403" t="str">
        <f ca="1">IF(SUM(BH395:$EI395)=0,"",IF(BH$227="","",BH$227+BH395-1))</f>
        <v/>
      </c>
      <c r="BI399" s="403" t="str">
        <f ca="1">IF(SUM(BI395:$EI395)=0,"",IF(BI$227="","",BI$227+BI395-1))</f>
        <v/>
      </c>
      <c r="BJ399" s="403" t="str">
        <f ca="1">IF(SUM(BJ395:$EI395)=0,"",IF(BJ$227="","",BJ$227+BJ395-1))</f>
        <v/>
      </c>
      <c r="BK399" s="403" t="str">
        <f ca="1">IF(SUM(BK395:$EI395)=0,"",IF(BK$227="","",BK$227+BK395-1))</f>
        <v/>
      </c>
      <c r="BL399" s="403" t="str">
        <f ca="1">IF(SUM(BL395:$EI395)=0,"",IF(BL$227="","",BL$227+BL395-1))</f>
        <v/>
      </c>
      <c r="BM399" s="403" t="str">
        <f ca="1">IF(SUM(BM395:$EI395)=0,"",IF(BM$227="","",BM$227+BM395-1))</f>
        <v/>
      </c>
      <c r="BN399" s="403" t="str">
        <f ca="1">IF(SUM(BN395:$EI395)=0,"",IF(BN$227="","",BN$227+BN395-1))</f>
        <v/>
      </c>
      <c r="BO399" s="403" t="str">
        <f ca="1">IF(SUM(BO395:$EI395)=0,"",IF(BO$227="","",BO$227+BO395-1))</f>
        <v/>
      </c>
      <c r="BP399" s="403" t="str">
        <f ca="1">IF(SUM(BP395:$EI395)=0,"",IF(BP$227="","",BP$227+BP395-1))</f>
        <v/>
      </c>
      <c r="BQ399" s="403" t="str">
        <f ca="1">IF(SUM(BQ395:$EI395)=0,"",IF(BQ$227="","",BQ$227+BQ395-1))</f>
        <v/>
      </c>
      <c r="BR399" s="403" t="str">
        <f ca="1">IF(SUM(BR395:$EI395)=0,"",IF(BR$227="","",BR$227+BR395-1))</f>
        <v/>
      </c>
      <c r="BS399" s="403" t="str">
        <f ca="1">IF(SUM(BS395:$EI395)=0,"",IF(BS$227="","",BS$227+BS395-1))</f>
        <v/>
      </c>
      <c r="BT399" s="403" t="str">
        <f ca="1">IF(SUM(BT395:$EI395)=0,"",IF(BT$227="","",BT$227+BT395-1))</f>
        <v/>
      </c>
      <c r="BU399" s="403" t="str">
        <f ca="1">IF(SUM(BU395:$EI395)=0,"",IF(BU$227="","",BU$227+BU395-1))</f>
        <v/>
      </c>
      <c r="BV399" s="403" t="str">
        <f ca="1">IF(SUM(BV395:$EI395)=0,"",IF(BV$227="","",BV$227+BV395-1))</f>
        <v/>
      </c>
      <c r="BW399" s="403" t="str">
        <f ca="1">IF(SUM(BW395:$EI395)=0,"",IF(BW$227="","",BW$227+BW395-1))</f>
        <v/>
      </c>
      <c r="BX399" s="403" t="str">
        <f ca="1">IF(SUM(BX395:$EI395)=0,"",IF(BX$227="","",BX$227+BX395-1))</f>
        <v/>
      </c>
      <c r="BY399" s="403" t="str">
        <f ca="1">IF(SUM(BY395:$EI395)=0,"",IF(BY$227="","",BY$227+BY395-1))</f>
        <v/>
      </c>
      <c r="BZ399" s="403" t="str">
        <f ca="1">IF(SUM(BZ395:$EI395)=0,"",IF(BZ$227="","",BZ$227+BZ395-1))</f>
        <v/>
      </c>
      <c r="CA399" s="403" t="str">
        <f ca="1">IF(SUM(CA395:$EI395)=0,"",IF(CA$227="","",CA$227+CA395-1))</f>
        <v/>
      </c>
      <c r="CB399" s="403" t="str">
        <f ca="1">IF(SUM(CB395:$EI395)=0,"",IF(CB$227="","",CB$227+CB395-1))</f>
        <v/>
      </c>
      <c r="CC399" s="403" t="str">
        <f ca="1">IF(SUM(CC395:$EI395)=0,"",IF(CC$227="","",CC$227+CC395-1))</f>
        <v/>
      </c>
      <c r="CD399" s="403" t="str">
        <f ca="1">IF(SUM(CD395:$EI395)=0,"",IF(CD$227="","",CD$227+CD395-1))</f>
        <v/>
      </c>
      <c r="CE399" s="403" t="str">
        <f ca="1">IF(SUM(CE395:$EI395)=0,"",IF(CE$227="","",CE$227+CE395-1))</f>
        <v/>
      </c>
      <c r="CF399" s="403" t="str">
        <f ca="1">IF(SUM(CF395:$EI395)=0,"",IF(CF$227="","",CF$227+CF395-1))</f>
        <v/>
      </c>
      <c r="CG399" s="403" t="str">
        <f ca="1">IF(SUM(CG395:$EI395)=0,"",IF(CG$227="","",CG$227+CG395-1))</f>
        <v/>
      </c>
      <c r="CH399" s="403" t="str">
        <f ca="1">IF(SUM(CH395:$EI395)=0,"",IF(CH$227="","",CH$227+CH395-1))</f>
        <v/>
      </c>
      <c r="CI399" s="403" t="str">
        <f ca="1">IF(SUM(CI395:$EI395)=0,"",IF(CI$227="","",CI$227+CI395-1))</f>
        <v/>
      </c>
      <c r="CJ399" s="403" t="str">
        <f ca="1">IF(SUM(CJ395:$EI395)=0,"",IF(CJ$227="","",CJ$227+CJ395-1))</f>
        <v/>
      </c>
      <c r="CK399" s="403" t="str">
        <f ca="1">IF(SUM(CK395:$EI395)=0,"",IF(CK$227="","",CK$227+CK395-1))</f>
        <v/>
      </c>
      <c r="CL399" s="403" t="str">
        <f ca="1">IF(SUM(CL395:$EI395)=0,"",IF(CL$227="","",CL$227+CL395-1))</f>
        <v/>
      </c>
      <c r="CM399" s="403" t="str">
        <f ca="1">IF(SUM(CM395:$EI395)=0,"",IF(CM$227="","",CM$227+CM395-1))</f>
        <v/>
      </c>
      <c r="CN399" s="403" t="str">
        <f ca="1">IF(SUM(CN395:$EI395)=0,"",IF(CN$227="","",CN$227+CN395-1))</f>
        <v/>
      </c>
      <c r="CO399" s="403" t="str">
        <f ca="1">IF(SUM(CO395:$EI395)=0,"",IF(CO$227="","",CO$227+CO395-1))</f>
        <v/>
      </c>
      <c r="CP399" s="403" t="str">
        <f ca="1">IF(SUM(CP395:$EI395)=0,"",IF(CP$227="","",CP$227+CP395-1))</f>
        <v/>
      </c>
      <c r="CQ399" s="403" t="str">
        <f ca="1">IF(SUM(CQ395:$EI395)=0,"",IF(CQ$227="","",CQ$227+CQ395-1))</f>
        <v/>
      </c>
      <c r="CR399" s="403" t="str">
        <f ca="1">IF(SUM(CR395:$EI395)=0,"",IF(CR$227="","",CR$227+CR395-1))</f>
        <v/>
      </c>
      <c r="CS399" s="403" t="str">
        <f ca="1">IF(SUM(CS395:$EI395)=0,"",IF(CS$227="","",CS$227+CS395-1))</f>
        <v/>
      </c>
      <c r="CT399" s="403" t="str">
        <f ca="1">IF(SUM(CT395:$EI395)=0,"",IF(CT$227="","",CT$227+CT395-1))</f>
        <v/>
      </c>
      <c r="CU399" s="403" t="str">
        <f ca="1">IF(SUM(CU395:$EI395)=0,"",IF(CU$227="","",CU$227+CU395-1))</f>
        <v/>
      </c>
      <c r="CV399" s="403" t="str">
        <f ca="1">IF(SUM(CV395:$EI395)=0,"",IF(CV$227="","",CV$227+CV395-1))</f>
        <v/>
      </c>
      <c r="CW399" s="403" t="str">
        <f ca="1">IF(SUM(CW395:$EI395)=0,"",IF(CW$227="","",CW$227+CW395-1))</f>
        <v/>
      </c>
      <c r="CX399" s="403" t="str">
        <f ca="1">IF(SUM(CX395:$EI395)=0,"",IF(CX$227="","",CX$227+CX395-1))</f>
        <v/>
      </c>
      <c r="CY399" s="403" t="str">
        <f ca="1">IF(SUM(CY395:$EI395)=0,"",IF(CY$227="","",CY$227+CY395-1))</f>
        <v/>
      </c>
      <c r="CZ399" s="403" t="str">
        <f ca="1">IF(SUM(CZ395:$EI395)=0,"",IF(CZ$227="","",CZ$227+CZ395-1))</f>
        <v/>
      </c>
      <c r="DA399" s="403" t="str">
        <f ca="1">IF(SUM(DA395:$EI395)=0,"",IF(DA$227="","",DA$227+DA395-1))</f>
        <v/>
      </c>
      <c r="DB399" s="403" t="str">
        <f ca="1">IF(SUM(DB395:$EI395)=0,"",IF(DB$227="","",DB$227+DB395-1))</f>
        <v/>
      </c>
      <c r="DC399" s="403" t="str">
        <f ca="1">IF(SUM(DC395:$EI395)=0,"",IF(DC$227="","",DC$227+DC395-1))</f>
        <v/>
      </c>
      <c r="DD399" s="403" t="str">
        <f ca="1">IF(SUM(DD395:$EI395)=0,"",IF(DD$227="","",DD$227+DD395-1))</f>
        <v/>
      </c>
      <c r="DE399" s="403" t="str">
        <f ca="1">IF(SUM(DE395:$EI395)=0,"",IF(DE$227="","",DE$227+DE395-1))</f>
        <v/>
      </c>
      <c r="DF399" s="403" t="str">
        <f ca="1">IF(SUM(DF395:$EI395)=0,"",IF(DF$227="","",DF$227+DF395-1))</f>
        <v/>
      </c>
      <c r="DG399" s="403" t="str">
        <f ca="1">IF(SUM(DG395:$EI395)=0,"",IF(DG$227="","",DG$227+DG395-1))</f>
        <v/>
      </c>
      <c r="DH399" s="403" t="str">
        <f ca="1">IF(SUM(DH395:$EI395)=0,"",IF(DH$227="","",DH$227+DH395-1))</f>
        <v/>
      </c>
      <c r="DI399" s="403" t="str">
        <f ca="1">IF(SUM(DI395:$EI395)=0,"",IF(DI$227="","",DI$227+DI395-1))</f>
        <v/>
      </c>
      <c r="DJ399" s="403" t="str">
        <f ca="1">IF(SUM(DJ395:$EI395)=0,"",IF(DJ$227="","",DJ$227+DJ395-1))</f>
        <v/>
      </c>
      <c r="DK399" s="403" t="str">
        <f ca="1">IF(SUM(DK395:$EI395)=0,"",IF(DK$227="","",DK$227+DK395-1))</f>
        <v/>
      </c>
      <c r="DL399" s="403" t="str">
        <f ca="1">IF(SUM(DL395:$EI395)=0,"",IF(DL$227="","",DL$227+DL395-1))</f>
        <v/>
      </c>
      <c r="DM399" s="403" t="str">
        <f ca="1">IF(SUM(DM395:$EI395)=0,"",IF(DM$227="","",DM$227+DM395-1))</f>
        <v/>
      </c>
      <c r="DN399" s="403" t="str">
        <f ca="1">IF(SUM(DN395:$EI395)=0,"",IF(DN$227="","",DN$227+DN395-1))</f>
        <v/>
      </c>
      <c r="DO399" s="403" t="str">
        <f ca="1">IF(SUM(DO395:$EI395)=0,"",IF(DO$227="","",DO$227+DO395-1))</f>
        <v/>
      </c>
      <c r="DP399" s="403" t="str">
        <f ca="1">IF(SUM(DP395:$EI395)=0,"",IF(DP$227="","",DP$227+DP395-1))</f>
        <v/>
      </c>
      <c r="DQ399" s="403" t="str">
        <f ca="1">IF(SUM(DQ395:$EI395)=0,"",IF(DQ$227="","",DQ$227+DQ395-1))</f>
        <v/>
      </c>
      <c r="DR399" s="403" t="str">
        <f ca="1">IF(SUM(DR395:$EI395)=0,"",IF(DR$227="","",DR$227+DR395-1))</f>
        <v/>
      </c>
      <c r="DS399" s="403" t="str">
        <f ca="1">IF(SUM(DS395:$EI395)=0,"",IF(DS$227="","",DS$227+DS395-1))</f>
        <v/>
      </c>
      <c r="DT399" s="403" t="str">
        <f ca="1">IF(SUM(DT395:$EI395)=0,"",IF(DT$227="","",DT$227+DT395-1))</f>
        <v/>
      </c>
      <c r="DU399" s="403" t="str">
        <f ca="1">IF(SUM(DU395:$EI395)=0,"",IF(DU$227="","",DU$227+DU395-1))</f>
        <v/>
      </c>
      <c r="DV399" s="403" t="str">
        <f ca="1">IF(SUM(DV395:$EI395)=0,"",IF(DV$227="","",DV$227+DV395-1))</f>
        <v/>
      </c>
      <c r="DW399" s="403" t="str">
        <f ca="1">IF(SUM(DW395:$EI395)=0,"",IF(DW$227="","",DW$227+DW395-1))</f>
        <v/>
      </c>
      <c r="DX399" s="403" t="str">
        <f ca="1">IF(SUM(DX395:$EI395)=0,"",IF(DX$227="","",DX$227+DX395-1))</f>
        <v/>
      </c>
      <c r="DY399" s="403" t="str">
        <f ca="1">IF(SUM(DY395:$EI395)=0,"",IF(DY$227="","",DY$227+DY395-1))</f>
        <v/>
      </c>
      <c r="DZ399" s="403" t="str">
        <f ca="1">IF(SUM(DZ395:$EI395)=0,"",IF(DZ$227="","",DZ$227+DZ395-1))</f>
        <v/>
      </c>
      <c r="EA399" s="403" t="str">
        <f ca="1">IF(SUM(EA395:$EI395)=0,"",IF(EA$227="","",EA$227+EA395-1))</f>
        <v/>
      </c>
      <c r="EB399" s="403" t="str">
        <f ca="1">IF(SUM(EB395:$EI395)=0,"",IF(EB$227="","",EB$227+EB395-1))</f>
        <v/>
      </c>
      <c r="EC399" s="403" t="str">
        <f ca="1">IF(SUM(EC395:$EI395)=0,"",IF(EC$227="","",EC$227+EC395-1))</f>
        <v/>
      </c>
      <c r="ED399" s="403" t="str">
        <f ca="1">IF(SUM(ED395:$EI395)=0,"",IF(ED$227="","",ED$227+ED395-1))</f>
        <v/>
      </c>
      <c r="EE399" s="403" t="str">
        <f ca="1">IF(SUM(EE395:$EI395)=0,"",IF(EE$227="","",EE$227+EE395-1))</f>
        <v/>
      </c>
      <c r="EF399" s="403" t="str">
        <f ca="1">IF(SUM(EF395:$EI395)=0,"",IF(EF$227="","",EF$227+EF395-1))</f>
        <v/>
      </c>
      <c r="EG399" s="403" t="str">
        <f ca="1">IF(SUM(EG395:$EI395)=0,"",IF(EG$227="","",EG$227+EG395-1))</f>
        <v/>
      </c>
      <c r="EH399" s="403" t="str">
        <f ca="1">IF(SUM(EH395:$EI395)=0,"",IF(EH$227="","",EH$227+EH395-1))</f>
        <v/>
      </c>
      <c r="EI399" s="403" t="str">
        <f ca="1">IF(SUM(EI395:$EI395)=0,"",IF(EI$227="","",EI$227+EI395-1))</f>
        <v/>
      </c>
    </row>
    <row r="400" spans="1:141" outlineLevel="1" collapsed="1">
      <c r="A400" s="332"/>
      <c r="B400" s="313"/>
      <c r="C400" s="317" t="s">
        <v>281</v>
      </c>
      <c r="D400" s="317" t="s">
        <v>689</v>
      </c>
      <c r="E400" s="400">
        <f ca="1">IF(ГРП!B44=0,длительность!B125,ГРП!B44)</f>
        <v>0</v>
      </c>
      <c r="F400" s="318">
        <f ca="1">E400-SUM(G400:EJ400)</f>
        <v>0</v>
      </c>
      <c r="G400" s="401"/>
      <c r="H400" s="401">
        <f ca="1">IF(SUM($G400:G400)&gt;=$E400,0,IF($E400-SUM($G400:G400)&gt;H401,H401,$E400-SUM($G401:G401)))</f>
        <v>0</v>
      </c>
      <c r="I400" s="401">
        <f ca="1">IF(SUM($G400:H400)&gt;=$E400,0,IF($E400-SUM($G400:H400)&gt;I401,I401,$E400-SUM($G401:H401)))</f>
        <v>0</v>
      </c>
      <c r="J400" s="401">
        <f ca="1">IF(SUM($G400:I400)&gt;=$E400,0,IF($E400-SUM($G400:I400)&gt;J401,J401,$E400-SUM($G401:I401)))</f>
        <v>0</v>
      </c>
      <c r="K400" s="401">
        <f ca="1">IF(SUM($G400:J400)&gt;=$E400,0,IF($E400-SUM($G400:J400)&gt;K401,K401,$E400-SUM($G401:J401)))</f>
        <v>0</v>
      </c>
      <c r="L400" s="401">
        <f ca="1">IF(SUM($G400:K400)&gt;=$E400,0,IF($E400-SUM($G400:K400)&gt;L401,L401,$E400-SUM($G401:K401)))</f>
        <v>0</v>
      </c>
      <c r="M400" s="401">
        <f ca="1">IF(SUM($G400:L400)&gt;=$E400,0,IF($E400-SUM($G400:L400)&gt;M401,M401,$E400-SUM($G401:L401)))</f>
        <v>0</v>
      </c>
      <c r="N400" s="401">
        <f ca="1">IF(SUM($G400:M400)&gt;=$E400,0,IF($E400-SUM($G400:M400)&gt;N401,N401,$E400-SUM($G401:M401)))</f>
        <v>0</v>
      </c>
      <c r="O400" s="401">
        <f ca="1">IF(SUM($G400:N400)&gt;=$E400,0,IF($E400-SUM($G400:N400)&gt;O401,O401,$E400-SUM($G401:N401)))</f>
        <v>0</v>
      </c>
      <c r="P400" s="401">
        <f ca="1">IF(SUM($G400:O400)&gt;=$E400,0,IF($E400-SUM($G400:O400)&gt;P401,P401,$E400-SUM($G401:O401)))</f>
        <v>0</v>
      </c>
      <c r="Q400" s="401">
        <f ca="1">IF(SUM($G400:P400)&gt;=$E400,0,IF($E400-SUM($G400:P400)&gt;Q401,Q401,$E400-SUM($G401:P401)))</f>
        <v>0</v>
      </c>
      <c r="R400" s="401">
        <f ca="1">IF(SUM($G400:Q400)&gt;=$E400,0,IF($E400-SUM($G400:Q400)&gt;R401,R401,$E400-SUM($G401:Q401)))</f>
        <v>0</v>
      </c>
      <c r="S400" s="401">
        <f ca="1">IF(SUM($G400:R400)&gt;=$E400,0,IF($E400-SUM($G400:R400)&gt;S401,S401,$E400-SUM($G401:R401)))</f>
        <v>0</v>
      </c>
      <c r="T400" s="401">
        <f ca="1">IF(SUM($G400:S400)&gt;=$E400,0,IF($E400-SUM($G400:S400)&gt;T401,T401,$E400-SUM($G401:S401)))</f>
        <v>0</v>
      </c>
      <c r="U400" s="401">
        <f ca="1">IF(SUM($G400:T400)&gt;=$E400,0,IF($E400-SUM($G400:T400)&gt;U401,U401,$E400-SUM($G401:T401)))</f>
        <v>0</v>
      </c>
      <c r="V400" s="401">
        <f ca="1">IF(SUM($G400:U400)&gt;=$E400,0,IF($E400-SUM($G400:U400)&gt;V401,V401,$E400-SUM($G401:U401)))</f>
        <v>0</v>
      </c>
      <c r="W400" s="401">
        <f ca="1">IF(SUM($G400:V400)&gt;=$E400,0,IF($E400-SUM($G400:V400)&gt;W401,W401,$E400-SUM($G401:V401)))</f>
        <v>0</v>
      </c>
      <c r="X400" s="401">
        <f ca="1">IF(SUM($G400:W400)&gt;=$E400,0,IF($E400-SUM($G400:W400)&gt;X401,X401,$E400-SUM($G401:W401)))</f>
        <v>0</v>
      </c>
      <c r="Y400" s="401">
        <f ca="1">IF(SUM($G400:X400)&gt;=$E400,0,IF($E400-SUM($G400:X400)&gt;Y401,Y401,$E400-SUM($G401:X401)))</f>
        <v>0</v>
      </c>
      <c r="Z400" s="401">
        <f ca="1">IF(SUM($G400:Y400)&gt;=$E400,0,IF($E400-SUM($G400:Y400)&gt;Z401,Z401,$E400-SUM($G401:Y401)))</f>
        <v>0</v>
      </c>
      <c r="AA400" s="401">
        <f ca="1">IF(SUM($G400:Z400)&gt;=$E400,0,IF($E400-SUM($G400:Z400)&gt;AA401,AA401,$E400-SUM($G401:Z401)))</f>
        <v>0</v>
      </c>
      <c r="AB400" s="401">
        <f ca="1">IF(SUM($G400:AA400)&gt;=$E400,0,IF($E400-SUM($G400:AA400)&gt;AB401,AB401,$E400-SUM($G401:AA401)))</f>
        <v>0</v>
      </c>
      <c r="AC400" s="401">
        <f ca="1">IF(SUM($G400:AB400)&gt;=$E400,0,IF($E400-SUM($G400:AB400)&gt;AC401,AC401,$E400-SUM($G401:AB401)))</f>
        <v>0</v>
      </c>
      <c r="AD400" s="401">
        <f ca="1">IF(SUM($G400:AC400)&gt;=$E400,0,IF($E400-SUM($G400:AC400)&gt;AD401,AD401,$E400-SUM($G401:AC401)))</f>
        <v>0</v>
      </c>
      <c r="AE400" s="401">
        <f ca="1">IF(SUM($G400:AD400)&gt;=$E400,0,IF($E400-SUM($G400:AD400)&gt;AE401,AE401,$E400-SUM($G401:AD401)))</f>
        <v>0</v>
      </c>
      <c r="AF400" s="401">
        <f ca="1">IF(SUM($G400:AE400)&gt;=$E400,0,IF($E400-SUM($G400:AE400)&gt;AF401,AF401,$E400-SUM($G401:AE401)))</f>
        <v>0</v>
      </c>
      <c r="AG400" s="401">
        <f ca="1">IF(SUM($G400:AF400)&gt;=$E400,0,IF($E400-SUM($G400:AF400)&gt;AG401,AG401,$E400-SUM($G401:AF401)))</f>
        <v>0</v>
      </c>
      <c r="AH400" s="401">
        <f ca="1">IF(SUM($G400:AG400)&gt;=$E400,0,IF($E400-SUM($G400:AG400)&gt;AH401,AH401,$E400-SUM($G401:AG401)))</f>
        <v>0</v>
      </c>
      <c r="AI400" s="401">
        <f ca="1">IF(SUM($G400:AH400)&gt;=$E400,0,IF($E400-SUM($G400:AH400)&gt;AI401,AI401,$E400-SUM($G401:AH401)))</f>
        <v>0</v>
      </c>
      <c r="AJ400" s="401">
        <f ca="1">IF(SUM($G400:AI400)&gt;=$E400,0,IF($E400-SUM($G400:AI400)&gt;AJ401,AJ401,$E400-SUM($G401:AI401)))</f>
        <v>0</v>
      </c>
      <c r="AK400" s="401">
        <f ca="1">IF(SUM($G400:AJ400)&gt;=$E400,0,IF($E400-SUM($G400:AJ400)&gt;AK401,AK401,$E400-SUM($G401:AJ401)))</f>
        <v>0</v>
      </c>
      <c r="AL400" s="401">
        <f ca="1">IF(SUM($G400:AK400)&gt;=$E400,0,IF($E400-SUM($G400:AK400)&gt;AL401,AL401,$E400-SUM($G401:AK401)))</f>
        <v>0</v>
      </c>
      <c r="AM400" s="401">
        <f ca="1">IF(SUM($G400:AL400)&gt;=$E400,0,IF($E400-SUM($G400:AL400)&gt;AM401,AM401,$E400-SUM($G401:AL401)))</f>
        <v>0</v>
      </c>
      <c r="AN400" s="401">
        <f ca="1">IF(SUM($G400:AM400)&gt;=$E400,0,IF($E400-SUM($G400:AM400)&gt;AN401,AN401,$E400-SUM($G401:AM401)))</f>
        <v>0</v>
      </c>
      <c r="AO400" s="401">
        <f ca="1">IF(SUM($G400:AN400)&gt;=$E400,0,IF($E400-SUM($G400:AN400)&gt;AO401,AO401,$E400-SUM($G401:AN401)))</f>
        <v>0</v>
      </c>
      <c r="AP400" s="401">
        <f ca="1">IF(SUM($G400:AO400)&gt;=$E400,0,IF($E400-SUM($G400:AO400)&gt;AP401,AP401,$E400-SUM($G401:AO401)))</f>
        <v>0</v>
      </c>
      <c r="AQ400" s="401">
        <f ca="1">IF(SUM($G400:AP400)&gt;=$E400,0,IF($E400-SUM($G400:AP400)&gt;AQ401,AQ401,$E400-SUM($G401:AP401)))</f>
        <v>0</v>
      </c>
      <c r="AR400" s="401">
        <f ca="1">IF(SUM($G400:AQ400)&gt;=$E400,0,IF($E400-SUM($G400:AQ400)&gt;AR401,AR401,$E400-SUM($G401:AQ401)))</f>
        <v>0</v>
      </c>
      <c r="AS400" s="401">
        <f ca="1">IF(SUM($G400:AR400)&gt;=$E400,0,IF($E400-SUM($G400:AR400)&gt;AS401,AS401,$E400-SUM($G401:AR401)))</f>
        <v>0</v>
      </c>
      <c r="AT400" s="401">
        <f ca="1">IF(SUM($G400:AS400)&gt;=$E400,0,IF($E400-SUM($G400:AS400)&gt;AT401,AT401,$E400-SUM($G401:AS401)))</f>
        <v>0</v>
      </c>
      <c r="AU400" s="401">
        <f ca="1">IF(SUM($G400:AT400)&gt;=$E400,0,IF($E400-SUM($G400:AT400)&gt;AU401,AU401,$E400-SUM($G401:AT401)))</f>
        <v>0</v>
      </c>
      <c r="AV400" s="401">
        <f ca="1">IF(SUM($G400:AU400)&gt;=$E400,0,IF($E400-SUM($G400:AU400)&gt;AV401,AV401,$E400-SUM($G401:AU401)))</f>
        <v>0</v>
      </c>
      <c r="AW400" s="401">
        <f ca="1">IF(SUM($G400:AV400)&gt;=$E400,0,IF($E400-SUM($G400:AV400)&gt;AW401,AW401,$E400-SUM($G401:AV401)))</f>
        <v>0</v>
      </c>
      <c r="AX400" s="401">
        <f ca="1">IF(SUM($G400:AW400)&gt;=$E400,0,IF($E400-SUM($G400:AW400)&gt;AX401,AX401,$E400-SUM($G401:AW401)))</f>
        <v>0</v>
      </c>
      <c r="AY400" s="401">
        <f ca="1">IF(SUM($G400:AX400)&gt;=$E400,0,IF($E400-SUM($G400:AX400)&gt;AY401,AY401,$E400-SUM($G401:AX401)))</f>
        <v>0</v>
      </c>
      <c r="AZ400" s="401">
        <f ca="1">IF(SUM($G400:AY400)&gt;=$E400,0,IF($E400-SUM($G400:AY400)&gt;AZ401,AZ401,$E400-SUM($G401:AY401)))</f>
        <v>0</v>
      </c>
      <c r="BA400" s="401">
        <f ca="1">IF(SUM($G400:AZ400)&gt;=$E400,0,IF($E400-SUM($G400:AZ400)&gt;BA401,BA401,$E400-SUM($G401:AZ401)))</f>
        <v>0</v>
      </c>
      <c r="BB400" s="401">
        <f ca="1">IF(SUM($G400:BA400)&gt;=$E400,0,IF($E400-SUM($G400:BA400)&gt;BB401,BB401,$E400-SUM($G401:BA401)))</f>
        <v>0</v>
      </c>
      <c r="BC400" s="401">
        <f ca="1">IF(SUM($G400:BB400)&gt;=$E400,0,IF($E400-SUM($G400:BB400)&gt;BC401,BC401,$E400-SUM($G401:BB401)))</f>
        <v>0</v>
      </c>
      <c r="BD400" s="401">
        <f ca="1">IF(SUM($G400:BC400)&gt;=$E400,0,IF($E400-SUM($G400:BC400)&gt;BD401,BD401,$E400-SUM($G401:BC401)))</f>
        <v>0</v>
      </c>
      <c r="BE400" s="401">
        <f ca="1">IF(SUM($G400:BD400)&gt;=$E400,0,IF($E400-SUM($G400:BD400)&gt;BE401,BE401,$E400-SUM($G401:BD401)))</f>
        <v>0</v>
      </c>
      <c r="BF400" s="401">
        <f ca="1">IF(SUM($G400:BE400)&gt;=$E400,0,IF($E400-SUM($G400:BE400)&gt;BF401,BF401,$E400-SUM($G401:BE401)))</f>
        <v>0</v>
      </c>
      <c r="BG400" s="401">
        <f ca="1">IF(SUM($G400:BF400)&gt;=$E400,0,IF($E400-SUM($G400:BF400)&gt;BG401,BG401,$E400-SUM($G401:BF401)))</f>
        <v>0</v>
      </c>
      <c r="BH400" s="401">
        <f ca="1">IF(SUM($G400:BG400)&gt;=$E400,0,IF($E400-SUM($G400:BG400)&gt;BH401,BH401,$E400-SUM($G401:BG401)))</f>
        <v>0</v>
      </c>
      <c r="BI400" s="401">
        <f ca="1">IF(SUM($G400:BH400)&gt;=$E400,0,IF($E400-SUM($G400:BH400)&gt;BI401,BI401,$E400-SUM($G401:BH401)))</f>
        <v>0</v>
      </c>
      <c r="BJ400" s="401">
        <f ca="1">IF(SUM($G400:BI400)&gt;=$E400,0,IF($E400-SUM($G400:BI400)&gt;BJ401,BJ401,$E400-SUM($G401:BI401)))</f>
        <v>0</v>
      </c>
      <c r="BK400" s="401">
        <f ca="1">IF(SUM($G400:BJ400)&gt;=$E400,0,IF($E400-SUM($G400:BJ400)&gt;BK401,BK401,$E400-SUM($G401:BJ401)))</f>
        <v>0</v>
      </c>
      <c r="BL400" s="401">
        <f ca="1">IF(SUM($G400:BK400)&gt;=$E400,0,IF($E400-SUM($G400:BK400)&gt;BL401,BL401,$E400-SUM($G401:BK401)))</f>
        <v>0</v>
      </c>
      <c r="BM400" s="401">
        <f ca="1">IF(SUM($G400:BL400)&gt;=$E400,0,IF($E400-SUM($G400:BL400)&gt;BM401,BM401,$E400-SUM($G401:BL401)))</f>
        <v>0</v>
      </c>
      <c r="BN400" s="401">
        <f ca="1">IF(SUM($G400:BM400)&gt;=$E400,0,IF($E400-SUM($G400:BM400)&gt;BN401,BN401,$E400-SUM($G401:BM401)))</f>
        <v>0</v>
      </c>
      <c r="BO400" s="401">
        <f ca="1">IF(SUM($G400:BN400)&gt;=$E400,0,IF($E400-SUM($G400:BN400)&gt;BO401,BO401,$E400-SUM($G401:BN401)))</f>
        <v>0</v>
      </c>
      <c r="BP400" s="401">
        <f ca="1">IF(SUM($G400:BO400)&gt;=$E400,0,IF($E400-SUM($G400:BO400)&gt;BP401,BP401,$E400-SUM($G401:BO401)))</f>
        <v>0</v>
      </c>
      <c r="BQ400" s="401">
        <f ca="1">IF(SUM($G400:BP400)&gt;=$E400,0,IF($E400-SUM($G400:BP400)&gt;BQ401,BQ401,$E400-SUM($G401:BP401)))</f>
        <v>0</v>
      </c>
      <c r="BR400" s="401">
        <f ca="1">IF(SUM($G400:BQ400)&gt;=$E400,0,IF($E400-SUM($G400:BQ400)&gt;BR401,BR401,$E400-SUM($G401:BQ401)))</f>
        <v>0</v>
      </c>
      <c r="BS400" s="401">
        <f ca="1">IF(SUM($G400:BR400)&gt;=$E400,0,IF($E400-SUM($G400:BR400)&gt;BS401,BS401,$E400-SUM($G401:BR401)))</f>
        <v>0</v>
      </c>
      <c r="BT400" s="401">
        <f ca="1">IF(SUM($G400:BS400)&gt;=$E400,0,IF($E400-SUM($G400:BS400)&gt;BT401,BT401,$E400-SUM($G401:BS401)))</f>
        <v>0</v>
      </c>
      <c r="BU400" s="401">
        <f ca="1">IF(SUM($G400:BT400)&gt;=$E400,0,IF($E400-SUM($G400:BT400)&gt;BU401,BU401,$E400-SUM($G401:BT401)))</f>
        <v>0</v>
      </c>
      <c r="BV400" s="401">
        <f ca="1">IF(SUM($G400:BU400)&gt;=$E400,0,IF($E400-SUM($G400:BU400)&gt;BV401,BV401,$E400-SUM($G401:BU401)))</f>
        <v>0</v>
      </c>
      <c r="BW400" s="401">
        <f ca="1">IF(SUM($G400:BV400)&gt;=$E400,0,IF($E400-SUM($G400:BV400)&gt;BW401,BW401,$E400-SUM($G401:BV401)))</f>
        <v>0</v>
      </c>
      <c r="BX400" s="401">
        <f ca="1">IF(SUM($G400:BW400)&gt;=$E400,0,IF($E400-SUM($G400:BW400)&gt;BX401,BX401,$E400-SUM($G401:BW401)))</f>
        <v>0</v>
      </c>
      <c r="BY400" s="401">
        <f ca="1">IF(SUM($G400:BX400)&gt;=$E400,0,IF($E400-SUM($G400:BX400)&gt;BY401,BY401,$E400-SUM($G401:BX401)))</f>
        <v>0</v>
      </c>
      <c r="BZ400" s="401">
        <f ca="1">IF(SUM($G400:BY400)&gt;=$E400,0,IF($E400-SUM($G400:BY400)&gt;BZ401,BZ401,$E400-SUM($G401:BY401)))</f>
        <v>0</v>
      </c>
      <c r="CA400" s="401">
        <f ca="1">IF(SUM($G400:BZ400)&gt;=$E400,0,IF($E400-SUM($G400:BZ400)&gt;CA401,CA401,$E400-SUM($G401:BZ401)))</f>
        <v>0</v>
      </c>
      <c r="CB400" s="401">
        <f ca="1">IF(SUM($G400:CA400)&gt;=$E400,0,IF($E400-SUM($G400:CA400)&gt;CB401,CB401,$E400-SUM($G401:CA401)))</f>
        <v>0</v>
      </c>
      <c r="CC400" s="401">
        <f ca="1">IF(SUM($G400:CB400)&gt;=$E400,0,IF($E400-SUM($G400:CB400)&gt;CC401,CC401,$E400-SUM($G401:CB401)))</f>
        <v>0</v>
      </c>
      <c r="CD400" s="401">
        <f ca="1">IF(SUM($G400:CC400)&gt;=$E400,0,IF($E400-SUM($G400:CC400)&gt;CD401,CD401,$E400-SUM($G401:CC401)))</f>
        <v>0</v>
      </c>
      <c r="CE400" s="401">
        <f ca="1">IF(SUM($G400:CD400)&gt;=$E400,0,IF($E400-SUM($G400:CD400)&gt;CE401,CE401,$E400-SUM($G401:CD401)))</f>
        <v>0</v>
      </c>
      <c r="CF400" s="401">
        <f ca="1">IF(SUM($G400:CE400)&gt;=$E400,0,IF($E400-SUM($G400:CE400)&gt;CF401,CF401,$E400-SUM($G401:CE401)))</f>
        <v>0</v>
      </c>
      <c r="CG400" s="401">
        <f ca="1">IF(SUM($G400:CF400)&gt;=$E400,0,IF($E400-SUM($G400:CF400)&gt;CG401,CG401,$E400-SUM($G401:CF401)))</f>
        <v>0</v>
      </c>
      <c r="CH400" s="401">
        <f ca="1">IF(SUM($G400:CG400)&gt;=$E400,0,IF($E400-SUM($G400:CG400)&gt;CH401,CH401,$E400-SUM($G401:CG401)))</f>
        <v>0</v>
      </c>
      <c r="CI400" s="401">
        <f ca="1">IF(SUM($G400:CH400)&gt;=$E400,0,IF($E400-SUM($G400:CH400)&gt;CI401,CI401,$E400-SUM($G401:CH401)))</f>
        <v>0</v>
      </c>
      <c r="CJ400" s="401">
        <f ca="1">IF(SUM($G400:CI400)&gt;=$E400,0,IF($E400-SUM($G400:CI400)&gt;CJ401,CJ401,$E400-SUM($G401:CI401)))</f>
        <v>0</v>
      </c>
      <c r="CK400" s="401">
        <f ca="1">IF(SUM($G400:CJ400)&gt;=$E400,0,IF($E400-SUM($G400:CJ400)&gt;CK401,CK401,$E400-SUM($G401:CJ401)))</f>
        <v>0</v>
      </c>
      <c r="CL400" s="401">
        <f ca="1">IF(SUM($G400:CK400)&gt;=$E400,0,IF($E400-SUM($G400:CK400)&gt;CL401,CL401,$E400-SUM($G401:CK401)))</f>
        <v>0</v>
      </c>
      <c r="CM400" s="401">
        <f ca="1">IF(SUM($G400:CL400)&gt;=$E400,0,IF($E400-SUM($G400:CL400)&gt;CM401,CM401,$E400-SUM($G401:CL401)))</f>
        <v>0</v>
      </c>
      <c r="CN400" s="401">
        <f ca="1">IF(SUM($G400:CM400)&gt;=$E400,0,IF($E400-SUM($G400:CM400)&gt;CN401,CN401,$E400-SUM($G401:CM401)))</f>
        <v>0</v>
      </c>
      <c r="CO400" s="401">
        <f ca="1">IF(SUM($G400:CN400)&gt;=$E400,0,IF($E400-SUM($G400:CN400)&gt;CO401,CO401,$E400-SUM($G401:CN401)))</f>
        <v>0</v>
      </c>
      <c r="CP400" s="401">
        <f ca="1">IF(SUM($G400:CO400)&gt;=$E400,0,IF($E400-SUM($G400:CO400)&gt;CP401,CP401,$E400-SUM($G401:CO401)))</f>
        <v>0</v>
      </c>
      <c r="CQ400" s="401">
        <f ca="1">IF(SUM($G400:CP400)&gt;=$E400,0,IF($E400-SUM($G400:CP400)&gt;CQ401,CQ401,$E400-SUM($G401:CP401)))</f>
        <v>0</v>
      </c>
      <c r="CR400" s="401">
        <f ca="1">IF(SUM($G400:CQ400)&gt;=$E400,0,IF($E400-SUM($G400:CQ400)&gt;CR401,CR401,$E400-SUM($G401:CQ401)))</f>
        <v>0</v>
      </c>
      <c r="CS400" s="401">
        <f ca="1">IF(SUM($G400:CR400)&gt;=$E400,0,IF($E400-SUM($G400:CR400)&gt;CS401,CS401,$E400-SUM($G401:CR401)))</f>
        <v>0</v>
      </c>
      <c r="CT400" s="401">
        <f ca="1">IF(SUM($G400:CS400)&gt;=$E400,0,IF($E400-SUM($G400:CS400)&gt;CT401,CT401,$E400-SUM($G401:CS401)))</f>
        <v>0</v>
      </c>
      <c r="CU400" s="401">
        <f ca="1">IF(SUM($G400:CT400)&gt;=$E400,0,IF($E400-SUM($G400:CT400)&gt;CU401,CU401,$E400-SUM($G401:CT401)))</f>
        <v>0</v>
      </c>
      <c r="CV400" s="401">
        <f ca="1">IF(SUM($G400:CU400)&gt;=$E400,0,IF($E400-SUM($G400:CU400)&gt;CV401,CV401,$E400-SUM($G401:CU401)))</f>
        <v>0</v>
      </c>
      <c r="CW400" s="401">
        <f ca="1">IF(SUM($G400:CV400)&gt;=$E400,0,IF($E400-SUM($G400:CV400)&gt;CW401,CW401,$E400-SUM($G401:CV401)))</f>
        <v>0</v>
      </c>
      <c r="CX400" s="401">
        <f ca="1">IF(SUM($G400:CW400)&gt;=$E400,0,IF($E400-SUM($G400:CW400)&gt;CX401,CX401,$E400-SUM($G401:CW401)))</f>
        <v>0</v>
      </c>
      <c r="CY400" s="401">
        <f ca="1">IF(SUM($G400:CX400)&gt;=$E400,0,IF($E400-SUM($G400:CX400)&gt;CY401,CY401,$E400-SUM($G401:CX401)))</f>
        <v>0</v>
      </c>
      <c r="CZ400" s="401">
        <f ca="1">IF(SUM($G400:CY400)&gt;=$E400,0,IF($E400-SUM($G400:CY400)&gt;CZ401,CZ401,$E400-SUM($G401:CY401)))</f>
        <v>0</v>
      </c>
      <c r="DA400" s="401">
        <f ca="1">IF(SUM($G400:CZ400)&gt;=$E400,0,IF($E400-SUM($G400:CZ400)&gt;DA401,DA401,$E400-SUM($G401:CZ401)))</f>
        <v>0</v>
      </c>
      <c r="DB400" s="401">
        <f ca="1">IF(SUM($G400:DA400)&gt;=$E400,0,IF($E400-SUM($G400:DA400)&gt;DB401,DB401,$E400-SUM($G401:DA401)))</f>
        <v>0</v>
      </c>
      <c r="DC400" s="401">
        <f ca="1">IF(SUM($G400:DB400)&gt;=$E400,0,IF($E400-SUM($G400:DB400)&gt;DC401,DC401,$E400-SUM($G401:DB401)))</f>
        <v>0</v>
      </c>
      <c r="DD400" s="401">
        <f ca="1">IF(SUM($G400:DC400)&gt;=$E400,0,IF($E400-SUM($G400:DC400)&gt;DD401,DD401,$E400-SUM($G401:DC401)))</f>
        <v>0</v>
      </c>
      <c r="DE400" s="401">
        <f ca="1">IF(SUM($G400:DD400)&gt;=$E400,0,IF($E400-SUM($G400:DD400)&gt;DE401,DE401,$E400-SUM($G401:DD401)))</f>
        <v>0</v>
      </c>
      <c r="DF400" s="401">
        <f ca="1">IF(SUM($G400:DE400)&gt;=$E400,0,IF($E400-SUM($G400:DE400)&gt;DF401,DF401,$E400-SUM($G401:DE401)))</f>
        <v>0</v>
      </c>
      <c r="DG400" s="401">
        <f ca="1">IF(SUM($G400:DF400)&gt;=$E400,0,IF($E400-SUM($G400:DF400)&gt;DG401,DG401,$E400-SUM($G401:DF401)))</f>
        <v>0</v>
      </c>
      <c r="DH400" s="401">
        <f ca="1">IF(SUM($G400:DG400)&gt;=$E400,0,IF($E400-SUM($G400:DG400)&gt;DH401,DH401,$E400-SUM($G401:DG401)))</f>
        <v>0</v>
      </c>
      <c r="DI400" s="401">
        <f ca="1">IF(SUM($G400:DH400)&gt;=$E400,0,IF($E400-SUM($G400:DH400)&gt;DI401,DI401,$E400-SUM($G401:DH401)))</f>
        <v>0</v>
      </c>
      <c r="DJ400" s="401">
        <f ca="1">IF(SUM($G400:DI400)&gt;=$E400,0,IF($E400-SUM($G400:DI400)&gt;DJ401,DJ401,$E400-SUM($G401:DI401)))</f>
        <v>0</v>
      </c>
      <c r="DK400" s="401">
        <f ca="1">IF(SUM($G400:DJ400)&gt;=$E400,0,IF($E400-SUM($G400:DJ400)&gt;DK401,DK401,$E400-SUM($G401:DJ401)))</f>
        <v>0</v>
      </c>
      <c r="DL400" s="401">
        <f ca="1">IF(SUM($G400:DK400)&gt;=$E400,0,IF($E400-SUM($G400:DK400)&gt;DL401,DL401,$E400-SUM($G401:DK401)))</f>
        <v>0</v>
      </c>
      <c r="DM400" s="401">
        <f ca="1">IF(SUM($G400:DL400)&gt;=$E400,0,IF($E400-SUM($G400:DL400)&gt;DM401,DM401,$E400-SUM($G401:DL401)))</f>
        <v>0</v>
      </c>
      <c r="DN400" s="401">
        <f ca="1">IF(SUM($G400:DM400)&gt;=$E400,0,IF($E400-SUM($G400:DM400)&gt;DN401,DN401,$E400-SUM($G401:DM401)))</f>
        <v>0</v>
      </c>
      <c r="DO400" s="401">
        <f ca="1">IF(SUM($G400:DN400)&gt;=$E400,0,IF($E400-SUM($G400:DN400)&gt;DO401,DO401,$E400-SUM($G401:DN401)))</f>
        <v>0</v>
      </c>
      <c r="DP400" s="401">
        <f ca="1">IF(SUM($G400:DO400)&gt;=$E400,0,IF($E400-SUM($G400:DO400)&gt;DP401,DP401,$E400-SUM($G401:DO401)))</f>
        <v>0</v>
      </c>
      <c r="DQ400" s="401">
        <f ca="1">IF(SUM($G400:DP400)&gt;=$E400,0,IF($E400-SUM($G400:DP400)&gt;DQ401,DQ401,$E400-SUM($G401:DP401)))</f>
        <v>0</v>
      </c>
      <c r="DR400" s="401">
        <f ca="1">IF(SUM($G400:DQ400)&gt;=$E400,0,IF($E400-SUM($G400:DQ400)&gt;DR401,DR401,$E400-SUM($G401:DQ401)))</f>
        <v>0</v>
      </c>
      <c r="DS400" s="401">
        <f ca="1">IF(SUM($G400:DR400)&gt;=$E400,0,IF($E400-SUM($G400:DR400)&gt;DS401,DS401,$E400-SUM($G401:DR401)))</f>
        <v>0</v>
      </c>
      <c r="DT400" s="401">
        <f ca="1">IF(SUM($G400:DS400)&gt;=$E400,0,IF($E400-SUM($G400:DS400)&gt;DT401,DT401,$E400-SUM($G401:DS401)))</f>
        <v>0</v>
      </c>
      <c r="DU400" s="401">
        <f ca="1">IF(SUM($G400:DT400)&gt;=$E400,0,IF($E400-SUM($G400:DT400)&gt;DU401,DU401,$E400-SUM($G401:DT401)))</f>
        <v>0</v>
      </c>
      <c r="DV400" s="401">
        <f ca="1">IF(SUM($G400:DU400)&gt;=$E400,0,IF($E400-SUM($G400:DU400)&gt;DV401,DV401,$E400-SUM($G401:DU401)))</f>
        <v>0</v>
      </c>
      <c r="DW400" s="401">
        <f ca="1">IF(SUM($G400:DV400)&gt;=$E400,0,IF($E400-SUM($G400:DV400)&gt;DW401,DW401,$E400-SUM($G401:DV401)))</f>
        <v>0</v>
      </c>
      <c r="DX400" s="401">
        <f ca="1">IF(SUM($G400:DW400)&gt;=$E400,0,IF($E400-SUM($G400:DW400)&gt;DX401,DX401,$E400-SUM($G401:DW401)))</f>
        <v>0</v>
      </c>
      <c r="DY400" s="401">
        <f ca="1">IF(SUM($G400:DX400)&gt;=$E400,0,IF($E400-SUM($G400:DX400)&gt;DY401,DY401,$E400-SUM($G401:DX401)))</f>
        <v>0</v>
      </c>
      <c r="DZ400" s="401">
        <f ca="1">IF(SUM($G400:DY400)&gt;=$E400,0,IF($E400-SUM($G400:DY400)&gt;DZ401,DZ401,$E400-SUM($G401:DY401)))</f>
        <v>0</v>
      </c>
      <c r="EA400" s="401">
        <f ca="1">IF(SUM($G400:DZ400)&gt;=$E400,0,IF($E400-SUM($G400:DZ400)&gt;EA401,EA401,$E400-SUM($G401:DZ401)))</f>
        <v>0</v>
      </c>
      <c r="EB400" s="401">
        <f ca="1">IF(SUM($G400:EA400)&gt;=$E400,0,IF($E400-SUM($G400:EA400)&gt;EB401,EB401,$E400-SUM($G401:EA401)))</f>
        <v>0</v>
      </c>
      <c r="EC400" s="401">
        <f ca="1">IF(SUM($G400:EB400)&gt;=$E400,0,IF($E400-SUM($G400:EB400)&gt;EC401,EC401,$E400-SUM($G401:EB401)))</f>
        <v>0</v>
      </c>
      <c r="ED400" s="401">
        <f ca="1">IF(SUM($G400:EC400)&gt;=$E400,0,IF($E400-SUM($G400:EC400)&gt;ED401,ED401,$E400-SUM($G401:EC401)))</f>
        <v>0</v>
      </c>
      <c r="EE400" s="401">
        <f ca="1">IF(SUM($G400:ED400)&gt;=$E400,0,IF($E400-SUM($G400:ED400)&gt;EE401,EE401,$E400-SUM($G401:ED401)))</f>
        <v>0</v>
      </c>
      <c r="EF400" s="401">
        <f ca="1">IF(SUM($G400:EE400)&gt;=$E400,0,IF($E400-SUM($G400:EE400)&gt;EF401,EF401,$E400-SUM($G401:EE401)))</f>
        <v>0</v>
      </c>
      <c r="EG400" s="401">
        <f ca="1">IF(SUM($G400:EF400)&gt;=$E400,0,IF($E400-SUM($G400:EF400)&gt;EG401,EG401,$E400-SUM($G401:EF401)))</f>
        <v>0</v>
      </c>
      <c r="EH400" s="401">
        <f ca="1">IF(SUM($G400:EG400)&gt;=$E400,0,IF($E400-SUM($G400:EG400)&gt;EH401,EH401,$E400-SUM($G401:EG401)))</f>
        <v>0</v>
      </c>
      <c r="EI400" s="401">
        <f ca="1">IF(SUM($G400:EH400)&gt;=$E400,0,IF($E400-SUM($G400:EH400)&gt;EI401,EI401,$E400-SUM($G401:EH401)))</f>
        <v>0</v>
      </c>
      <c r="EK400" s="313"/>
    </row>
    <row r="401" spans="1:141" hidden="1" outlineLevel="2">
      <c r="A401" s="332"/>
      <c r="B401" s="313"/>
      <c r="C401" s="308"/>
      <c r="D401" s="308"/>
      <c r="E401" s="308"/>
      <c r="G401" s="405"/>
      <c r="H401" s="405">
        <f ca="1">IF((SUM($G270:H270)-$E269)&lt;0,0,IF((SUM($G270:H270)-$E269)&lt;H270,SUM($G270:H270)-$E269,H270))</f>
        <v>0</v>
      </c>
      <c r="I401" s="405">
        <f ca="1">IF((SUM($G270:I270)-$E269)&lt;0,0,IF((SUM($G270:I270)-$E269)&lt;I270,SUM($G270:I270)-$E269,I270))</f>
        <v>0</v>
      </c>
      <c r="J401" s="405">
        <f ca="1">IF((SUM($G270:J270)-$E269)&lt;0,0,IF((SUM($G270:J270)-$E269)&lt;J270,SUM($G270:J270)-$E269,J270))</f>
        <v>0</v>
      </c>
      <c r="K401" s="405">
        <f ca="1">IF((SUM($G270:K270)-$E269)&lt;0,0,IF((SUM($G270:K270)-$E269)&lt;K270,SUM($G270:K270)-$E269,K270))</f>
        <v>0</v>
      </c>
      <c r="L401" s="405">
        <f ca="1">IF((SUM($G270:L270)-$E269)&lt;0,0,IF((SUM($G270:L270)-$E269)&lt;L270,SUM($G270:L270)-$E269,L270))</f>
        <v>0</v>
      </c>
      <c r="M401" s="405">
        <f ca="1">IF((SUM($G270:M270)-$E269)&lt;0,0,IF((SUM($G270:M270)-$E269)&lt;M270,SUM($G270:M270)-$E269,M270))</f>
        <v>0</v>
      </c>
      <c r="N401" s="405">
        <f ca="1">IF((SUM($G270:N270)-$E269)&lt;0,0,IF((SUM($G270:N270)-$E269)&lt;N270,SUM($G270:N270)-$E269,N270))</f>
        <v>0</v>
      </c>
      <c r="O401" s="405">
        <f ca="1">IF((SUM($G270:O270)-$E269)&lt;0,0,IF((SUM($G270:O270)-$E269)&lt;O270,SUM($G270:O270)-$E269,O270))</f>
        <v>0</v>
      </c>
      <c r="P401" s="405">
        <f ca="1">IF((SUM($G270:P270)-$E269)&lt;0,0,IF((SUM($G270:P270)-$E269)&lt;P270,SUM($G270:P270)-$E269,P270))</f>
        <v>0</v>
      </c>
      <c r="Q401" s="405">
        <f ca="1">IF((SUM($G270:Q270)-$E269)&lt;0,0,IF((SUM($G270:Q270)-$E269)&lt;Q270,SUM($G270:Q270)-$E269,Q270))</f>
        <v>0</v>
      </c>
      <c r="R401" s="405">
        <f ca="1">IF((SUM($G270:R270)-$E269)&lt;0,0,IF((SUM($G270:R270)-$E269)&lt;R270,SUM($G270:R270)-$E269,R270))</f>
        <v>0</v>
      </c>
      <c r="S401" s="405">
        <f ca="1">IF((SUM($G270:S270)-$E269)&lt;0,0,IF((SUM($G270:S270)-$E269)&lt;S270,SUM($G270:S270)-$E269,S270))</f>
        <v>0</v>
      </c>
      <c r="T401" s="405">
        <f ca="1">IF((SUM($G270:T270)-$E269)&lt;0,0,IF((SUM($G270:T270)-$E269)&lt;T270,SUM($G270:T270)-$E269,T270))</f>
        <v>0</v>
      </c>
      <c r="U401" s="405">
        <f ca="1">IF((SUM($G270:U270)-$E269)&lt;0,0,IF((SUM($G270:U270)-$E269)&lt;U270,SUM($G270:U270)-$E269,U270))</f>
        <v>0</v>
      </c>
      <c r="V401" s="405">
        <f ca="1">IF((SUM($G270:V270)-$E269)&lt;0,0,IF((SUM($G270:V270)-$E269)&lt;V270,SUM($G270:V270)-$E269,V270))</f>
        <v>0</v>
      </c>
      <c r="W401" s="405">
        <f ca="1">IF((SUM($G270:W270)-$E269)&lt;0,0,IF((SUM($G270:W270)-$E269)&lt;W270,SUM($G270:W270)-$E269,W270))</f>
        <v>0</v>
      </c>
      <c r="X401" s="405">
        <f ca="1">IF((SUM($G270:X270)-$E269)&lt;0,0,IF((SUM($G270:X270)-$E269)&lt;X270,SUM($G270:X270)-$E269,X270))</f>
        <v>0</v>
      </c>
      <c r="Y401" s="405">
        <f ca="1">IF((SUM($G270:Y270)-$E269)&lt;0,0,IF((SUM($G270:Y270)-$E269)&lt;Y270,SUM($G270:Y270)-$E269,Y270))</f>
        <v>0</v>
      </c>
      <c r="Z401" s="405">
        <f ca="1">IF((SUM($G270:Z270)-$E269)&lt;0,0,IF((SUM($G270:Z270)-$E269)&lt;Z270,SUM($G270:Z270)-$E269,Z270))</f>
        <v>0</v>
      </c>
      <c r="AA401" s="405">
        <f ca="1">IF((SUM($G270:AA270)-$E269)&lt;0,0,IF((SUM($G270:AA270)-$E269)&lt;AA270,SUM($G270:AA270)-$E269,AA270))</f>
        <v>0</v>
      </c>
      <c r="AB401" s="405">
        <f ca="1">IF((SUM($G270:AB270)-$E269)&lt;0,0,IF((SUM($G270:AB270)-$E269)&lt;AB270,SUM($G270:AB270)-$E269,AB270))</f>
        <v>0</v>
      </c>
      <c r="AC401" s="405">
        <f ca="1">IF((SUM($G270:AC270)-$E269)&lt;0,0,IF((SUM($G270:AC270)-$E269)&lt;AC270,SUM($G270:AC270)-$E269,AC270))</f>
        <v>0</v>
      </c>
      <c r="AD401" s="405">
        <f ca="1">IF((SUM($G270:AD270)-$E269)&lt;0,0,IF((SUM($G270:AD270)-$E269)&lt;AD270,SUM($G270:AD270)-$E269,AD270))</f>
        <v>0</v>
      </c>
      <c r="AE401" s="405">
        <f ca="1">IF((SUM($G270:AE270)-$E269)&lt;0,0,IF((SUM($G270:AE270)-$E269)&lt;AE270,SUM($G270:AE270)-$E269,AE270))</f>
        <v>0</v>
      </c>
      <c r="AF401" s="405">
        <f ca="1">IF((SUM($G270:AF270)-$E269)&lt;0,0,IF((SUM($G270:AF270)-$E269)&lt;AF270,SUM($G270:AF270)-$E269,AF270))</f>
        <v>0</v>
      </c>
      <c r="AG401" s="405">
        <f ca="1">IF((SUM($G270:AG270)-$E269)&lt;0,0,IF((SUM($G270:AG270)-$E269)&lt;AG270,SUM($G270:AG270)-$E269,AG270))</f>
        <v>0</v>
      </c>
      <c r="AH401" s="405">
        <f ca="1">IF((SUM($G270:AH270)-$E269)&lt;0,0,IF((SUM($G270:AH270)-$E269)&lt;AH270,SUM($G270:AH270)-$E269,AH270))</f>
        <v>0</v>
      </c>
      <c r="AI401" s="405">
        <f ca="1">IF((SUM($G270:AI270)-$E269)&lt;0,0,IF((SUM($G270:AI270)-$E269)&lt;AI270,SUM($G270:AI270)-$E269,AI270))</f>
        <v>0</v>
      </c>
      <c r="AJ401" s="405">
        <f ca="1">IF((SUM($G270:AJ270)-$E269)&lt;0,0,IF((SUM($G270:AJ270)-$E269)&lt;AJ270,SUM($G270:AJ270)-$E269,AJ270))</f>
        <v>0</v>
      </c>
      <c r="AK401" s="405">
        <f ca="1">IF((SUM($G270:AK270)-$E269)&lt;0,0,IF((SUM($G270:AK270)-$E269)&lt;AK270,SUM($G270:AK270)-$E269,AK270))</f>
        <v>0</v>
      </c>
      <c r="AL401" s="405">
        <f ca="1">IF((SUM($G270:AL270)-$E269)&lt;0,0,IF((SUM($G270:AL270)-$E269)&lt;AL270,SUM($G270:AL270)-$E269,AL270))</f>
        <v>0</v>
      </c>
      <c r="AM401" s="405">
        <f ca="1">IF((SUM($G270:AM270)-$E269)&lt;0,0,IF((SUM($G270:AM270)-$E269)&lt;AM270,SUM($G270:AM270)-$E269,AM270))</f>
        <v>0</v>
      </c>
      <c r="AN401" s="405">
        <f ca="1">IF((SUM($G270:AN270)-$E269)&lt;0,0,IF((SUM($G270:AN270)-$E269)&lt;AN270,SUM($G270:AN270)-$E269,AN270))</f>
        <v>0</v>
      </c>
      <c r="AO401" s="405">
        <f ca="1">IF((SUM($G270:AO270)-$E269)&lt;0,0,IF((SUM($G270:AO270)-$E269)&lt;AO270,SUM($G270:AO270)-$E269,AO270))</f>
        <v>0</v>
      </c>
      <c r="AP401" s="405">
        <f ca="1">IF((SUM($G270:AP270)-$E269)&lt;0,0,IF((SUM($G270:AP270)-$E269)&lt;AP270,SUM($G270:AP270)-$E269,AP270))</f>
        <v>0</v>
      </c>
      <c r="AQ401" s="405">
        <f ca="1">IF((SUM($G270:AQ270)-$E269)&lt;0,0,IF((SUM($G270:AQ270)-$E269)&lt;AQ270,SUM($G270:AQ270)-$E269,AQ270))</f>
        <v>0</v>
      </c>
      <c r="AR401" s="405">
        <f ca="1">IF((SUM($G270:AR270)-$E269)&lt;0,0,IF((SUM($G270:AR270)-$E269)&lt;AR270,SUM($G270:AR270)-$E269,AR270))</f>
        <v>0</v>
      </c>
      <c r="AS401" s="405">
        <f ca="1">IF((SUM($G270:AS270)-$E269)&lt;0,0,IF((SUM($G270:AS270)-$E269)&lt;AS270,SUM($G270:AS270)-$E269,AS270))</f>
        <v>0</v>
      </c>
      <c r="AT401" s="405">
        <f ca="1">IF((SUM($G270:AT270)-$E269)&lt;0,0,IF((SUM($G270:AT270)-$E269)&lt;AT270,SUM($G270:AT270)-$E269,AT270))</f>
        <v>0</v>
      </c>
      <c r="AU401" s="405">
        <f ca="1">IF((SUM($G270:AU270)-$E269)&lt;0,0,IF((SUM($G270:AU270)-$E269)&lt;AU270,SUM($G270:AU270)-$E269,AU270))</f>
        <v>0</v>
      </c>
      <c r="AV401" s="405">
        <f ca="1">IF((SUM($G270:AV270)-$E269)&lt;0,0,IF((SUM($G270:AV270)-$E269)&lt;AV270,SUM($G270:AV270)-$E269,AV270))</f>
        <v>0</v>
      </c>
      <c r="AW401" s="405">
        <f ca="1">IF((SUM($G270:AW270)-$E269)&lt;0,0,IF((SUM($G270:AW270)-$E269)&lt;AW270,SUM($G270:AW270)-$E269,AW270))</f>
        <v>0</v>
      </c>
      <c r="AX401" s="405">
        <f ca="1">IF((SUM($G270:AX270)-$E269)&lt;0,0,IF((SUM($G270:AX270)-$E269)&lt;AX270,SUM($G270:AX270)-$E269,AX270))</f>
        <v>0</v>
      </c>
      <c r="AY401" s="405">
        <f ca="1">IF((SUM($G270:AY270)-$E269)&lt;0,0,IF((SUM($G270:AY270)-$E269)&lt;AY270,SUM($G270:AY270)-$E269,AY270))</f>
        <v>0</v>
      </c>
      <c r="AZ401" s="405">
        <f ca="1">IF((SUM($G270:AZ270)-$E269)&lt;0,0,IF((SUM($G270:AZ270)-$E269)&lt;AZ270,SUM($G270:AZ270)-$E269,AZ270))</f>
        <v>0</v>
      </c>
      <c r="BA401" s="405">
        <f ca="1">IF((SUM($G270:BA270)-$E269)&lt;0,0,IF((SUM($G270:BA270)-$E269)&lt;BA270,SUM($G270:BA270)-$E269,BA270))</f>
        <v>5</v>
      </c>
      <c r="BB401" s="405">
        <f ca="1">IF((SUM($G270:BB270)-$E269)&lt;0,0,IF((SUM($G270:BB270)-$E269)&lt;BB270,SUM($G270:BB270)-$E269,BB270))</f>
        <v>28</v>
      </c>
      <c r="BC401" s="405">
        <f ca="1">IF((SUM($G270:BC270)-$E269)&lt;0,0,IF((SUM($G270:BC270)-$E269)&lt;BC270,SUM($G270:BC270)-$E269,BC270))</f>
        <v>31</v>
      </c>
      <c r="BD401" s="405">
        <f ca="1">IF((SUM($G270:BD270)-$E269)&lt;0,0,IF((SUM($G270:BD270)-$E269)&lt;BD270,SUM($G270:BD270)-$E269,BD270))</f>
        <v>30</v>
      </c>
      <c r="BE401" s="405">
        <f ca="1">IF((SUM($G270:BE270)-$E269)&lt;0,0,IF((SUM($G270:BE270)-$E269)&lt;BE270,SUM($G270:BE270)-$E269,BE270))</f>
        <v>31</v>
      </c>
      <c r="BF401" s="405">
        <f ca="1">IF((SUM($G270:BF270)-$E269)&lt;0,0,IF((SUM($G270:BF270)-$E269)&lt;BF270,SUM($G270:BF270)-$E269,BF270))</f>
        <v>30</v>
      </c>
      <c r="BG401" s="405">
        <f ca="1">IF((SUM($G270:BG270)-$E269)&lt;0,0,IF((SUM($G270:BG270)-$E269)&lt;BG270,SUM($G270:BG270)-$E269,BG270))</f>
        <v>31</v>
      </c>
      <c r="BH401" s="405">
        <f ca="1">IF((SUM($G270:BH270)-$E269)&lt;0,0,IF((SUM($G270:BH270)-$E269)&lt;BH270,SUM($G270:BH270)-$E269,BH270))</f>
        <v>31</v>
      </c>
      <c r="BI401" s="405">
        <f ca="1">IF((SUM($G270:BI270)-$E269)&lt;0,0,IF((SUM($G270:BI270)-$E269)&lt;BI270,SUM($G270:BI270)-$E269,BI270))</f>
        <v>30</v>
      </c>
      <c r="BJ401" s="405">
        <f ca="1">IF((SUM($G270:BJ270)-$E269)&lt;0,0,IF((SUM($G270:BJ270)-$E269)&lt;BJ270,SUM($G270:BJ270)-$E269,BJ270))</f>
        <v>31</v>
      </c>
      <c r="BK401" s="405">
        <f ca="1">IF((SUM($G270:BK270)-$E269)&lt;0,0,IF((SUM($G270:BK270)-$E269)&lt;BK270,SUM($G270:BK270)-$E269,BK270))</f>
        <v>30</v>
      </c>
      <c r="BL401" s="405">
        <f ca="1">IF((SUM($G270:BL270)-$E269)&lt;0,0,IF((SUM($G270:BL270)-$E269)&lt;BL270,SUM($G270:BL270)-$E269,BL270))</f>
        <v>31</v>
      </c>
      <c r="BM401" s="405">
        <f ca="1">IF((SUM($G270:BM270)-$E269)&lt;0,0,IF((SUM($G270:BM270)-$E269)&lt;BM270,SUM($G270:BM270)-$E269,BM270))</f>
        <v>31</v>
      </c>
      <c r="BN401" s="405">
        <f ca="1">IF((SUM($G270:BN270)-$E269)&lt;0,0,IF((SUM($G270:BN270)-$E269)&lt;BN270,SUM($G270:BN270)-$E269,BN270))</f>
        <v>29</v>
      </c>
      <c r="BO401" s="405">
        <f ca="1">IF((SUM($G270:BO270)-$E269)&lt;0,0,IF((SUM($G270:BO270)-$E269)&lt;BO270,SUM($G270:BO270)-$E269,BO270))</f>
        <v>31</v>
      </c>
      <c r="BP401" s="405">
        <f ca="1">IF((SUM($G270:BP270)-$E269)&lt;0,0,IF((SUM($G270:BP270)-$E269)&lt;BP270,SUM($G270:BP270)-$E269,BP270))</f>
        <v>30</v>
      </c>
      <c r="BQ401" s="405">
        <f ca="1">IF((SUM($G270:BQ270)-$E269)&lt;0,0,IF((SUM($G270:BQ270)-$E269)&lt;BQ270,SUM($G270:BQ270)-$E269,BQ270))</f>
        <v>31</v>
      </c>
      <c r="BR401" s="405">
        <f ca="1">IF((SUM($G270:BR270)-$E269)&lt;0,0,IF((SUM($G270:BR270)-$E269)&lt;BR270,SUM($G270:BR270)-$E269,BR270))</f>
        <v>30</v>
      </c>
      <c r="BS401" s="405">
        <f ca="1">IF((SUM($G270:BS270)-$E269)&lt;0,0,IF((SUM($G270:BS270)-$E269)&lt;BS270,SUM($G270:BS270)-$E269,BS270))</f>
        <v>31</v>
      </c>
      <c r="BT401" s="405">
        <f ca="1">IF((SUM($G270:BT270)-$E269)&lt;0,0,IF((SUM($G270:BT270)-$E269)&lt;BT270,SUM($G270:BT270)-$E269,BT270))</f>
        <v>31</v>
      </c>
      <c r="BU401" s="405">
        <f ca="1">IF((SUM($G270:BU270)-$E269)&lt;0,0,IF((SUM($G270:BU270)-$E269)&lt;BU270,SUM($G270:BU270)-$E269,BU270))</f>
        <v>30</v>
      </c>
      <c r="BV401" s="405">
        <f ca="1">IF((SUM($G270:BV270)-$E269)&lt;0,0,IF((SUM($G270:BV270)-$E269)&lt;BV270,SUM($G270:BV270)-$E269,BV270))</f>
        <v>31</v>
      </c>
      <c r="BW401" s="405">
        <f ca="1">IF((SUM($G270:BW270)-$E269)&lt;0,0,IF((SUM($G270:BW270)-$E269)&lt;BW270,SUM($G270:BW270)-$E269,BW270))</f>
        <v>30</v>
      </c>
      <c r="BX401" s="405">
        <f ca="1">IF((SUM($G270:BX270)-$E269)&lt;0,0,IF((SUM($G270:BX270)-$E269)&lt;BX270,SUM($G270:BX270)-$E269,BX270))</f>
        <v>31</v>
      </c>
      <c r="BY401" s="405">
        <f ca="1">IF((SUM($G270:BY270)-$E269)&lt;0,0,IF((SUM($G270:BY270)-$E269)&lt;BY270,SUM($G270:BY270)-$E269,BY270))</f>
        <v>31</v>
      </c>
      <c r="BZ401" s="405">
        <f ca="1">IF((SUM($G270:BZ270)-$E269)&lt;0,0,IF((SUM($G270:BZ270)-$E269)&lt;BZ270,SUM($G270:BZ270)-$E269,BZ270))</f>
        <v>28</v>
      </c>
      <c r="CA401" s="405">
        <f ca="1">IF((SUM($G270:CA270)-$E269)&lt;0,0,IF((SUM($G270:CA270)-$E269)&lt;CA270,SUM($G270:CA270)-$E269,CA270))</f>
        <v>31</v>
      </c>
      <c r="CB401" s="405">
        <f ca="1">IF((SUM($G270:CB270)-$E269)&lt;0,0,IF((SUM($G270:CB270)-$E269)&lt;CB270,SUM($G270:CB270)-$E269,CB270))</f>
        <v>30</v>
      </c>
      <c r="CC401" s="405">
        <f ca="1">IF((SUM($G270:CC270)-$E269)&lt;0,0,IF((SUM($G270:CC270)-$E269)&lt;CC270,SUM($G270:CC270)-$E269,CC270))</f>
        <v>31</v>
      </c>
      <c r="CD401" s="405">
        <f ca="1">IF((SUM($G270:CD270)-$E269)&lt;0,0,IF((SUM($G270:CD270)-$E269)&lt;CD270,SUM($G270:CD270)-$E269,CD270))</f>
        <v>30</v>
      </c>
      <c r="CE401" s="405">
        <f ca="1">IF((SUM($G270:CE270)-$E269)&lt;0,0,IF((SUM($G270:CE270)-$E269)&lt;CE270,SUM($G270:CE270)-$E269,CE270))</f>
        <v>31</v>
      </c>
      <c r="CF401" s="405">
        <f ca="1">IF((SUM($G270:CF270)-$E269)&lt;0,0,IF((SUM($G270:CF270)-$E269)&lt;CF270,SUM($G270:CF270)-$E269,CF270))</f>
        <v>31</v>
      </c>
      <c r="CG401" s="405">
        <f ca="1">IF((SUM($G270:CG270)-$E269)&lt;0,0,IF((SUM($G270:CG270)-$E269)&lt;CG270,SUM($G270:CG270)-$E269,CG270))</f>
        <v>30</v>
      </c>
      <c r="CH401" s="405">
        <f ca="1">IF((SUM($G270:CH270)-$E269)&lt;0,0,IF((SUM($G270:CH270)-$E269)&lt;CH270,SUM($G270:CH270)-$E269,CH270))</f>
        <v>31</v>
      </c>
      <c r="CI401" s="405">
        <f ca="1">IF((SUM($G270:CI270)-$E269)&lt;0,0,IF((SUM($G270:CI270)-$E269)&lt;CI270,SUM($G270:CI270)-$E269,CI270))</f>
        <v>30</v>
      </c>
      <c r="CJ401" s="405">
        <f ca="1">IF((SUM($G270:CJ270)-$E269)&lt;0,0,IF((SUM($G270:CJ270)-$E269)&lt;CJ270,SUM($G270:CJ270)-$E269,CJ270))</f>
        <v>31</v>
      </c>
      <c r="CK401" s="405">
        <f ca="1">IF((SUM($G270:CK270)-$E269)&lt;0,0,IF((SUM($G270:CK270)-$E269)&lt;CK270,SUM($G270:CK270)-$E269,CK270))</f>
        <v>31</v>
      </c>
      <c r="CL401" s="405">
        <f ca="1">IF((SUM($G270:CL270)-$E269)&lt;0,0,IF((SUM($G270:CL270)-$E269)&lt;CL270,SUM($G270:CL270)-$E269,CL270))</f>
        <v>28</v>
      </c>
      <c r="CM401" s="405">
        <f ca="1">IF((SUM($G270:CM270)-$E269)&lt;0,0,IF((SUM($G270:CM270)-$E269)&lt;CM270,SUM($G270:CM270)-$E269,CM270))</f>
        <v>31</v>
      </c>
      <c r="CN401" s="405">
        <f ca="1">IF((SUM($G270:CN270)-$E269)&lt;0,0,IF((SUM($G270:CN270)-$E269)&lt;CN270,SUM($G270:CN270)-$E269,CN270))</f>
        <v>30</v>
      </c>
      <c r="CO401" s="405">
        <f ca="1">IF((SUM($G270:CO270)-$E269)&lt;0,0,IF((SUM($G270:CO270)-$E269)&lt;CO270,SUM($G270:CO270)-$E269,CO270))</f>
        <v>31</v>
      </c>
      <c r="CP401" s="405">
        <f ca="1">IF((SUM($G270:CP270)-$E269)&lt;0,0,IF((SUM($G270:CP270)-$E269)&lt;CP270,SUM($G270:CP270)-$E269,CP270))</f>
        <v>30</v>
      </c>
      <c r="CQ401" s="405">
        <f ca="1">IF((SUM($G270:CQ270)-$E269)&lt;0,0,IF((SUM($G270:CQ270)-$E269)&lt;CQ270,SUM($G270:CQ270)-$E269,CQ270))</f>
        <v>31</v>
      </c>
      <c r="CR401" s="405">
        <f ca="1">IF((SUM($G270:CR270)-$E269)&lt;0,0,IF((SUM($G270:CR270)-$E269)&lt;CR270,SUM($G270:CR270)-$E269,CR270))</f>
        <v>31</v>
      </c>
      <c r="CS401" s="405">
        <f ca="1">IF((SUM($G270:CS270)-$E269)&lt;0,0,IF((SUM($G270:CS270)-$E269)&lt;CS270,SUM($G270:CS270)-$E269,CS270))</f>
        <v>30</v>
      </c>
      <c r="CT401" s="405">
        <f ca="1">IF((SUM($G270:CT270)-$E269)&lt;0,0,IF((SUM($G270:CT270)-$E269)&lt;CT270,SUM($G270:CT270)-$E269,CT270))</f>
        <v>31</v>
      </c>
      <c r="CU401" s="405">
        <f ca="1">IF((SUM($G270:CU270)-$E269)&lt;0,0,IF((SUM($G270:CU270)-$E269)&lt;CU270,SUM($G270:CU270)-$E269,CU270))</f>
        <v>30</v>
      </c>
      <c r="CV401" s="405">
        <f ca="1">IF((SUM($G270:CV270)-$E269)&lt;0,0,IF((SUM($G270:CV270)-$E269)&lt;CV270,SUM($G270:CV270)-$E269,CV270))</f>
        <v>31</v>
      </c>
      <c r="CW401" s="405">
        <f ca="1">IF((SUM($G270:CW270)-$E269)&lt;0,0,IF((SUM($G270:CW270)-$E269)&lt;CW270,SUM($G270:CW270)-$E269,CW270))</f>
        <v>31</v>
      </c>
      <c r="CX401" s="405">
        <f ca="1">IF((SUM($G270:CX270)-$E269)&lt;0,0,IF((SUM($G270:CX270)-$E269)&lt;CX270,SUM($G270:CX270)-$E269,CX270))</f>
        <v>28</v>
      </c>
      <c r="CY401" s="405">
        <f ca="1">IF((SUM($G270:CY270)-$E269)&lt;0,0,IF((SUM($G270:CY270)-$E269)&lt;CY270,SUM($G270:CY270)-$E269,CY270))</f>
        <v>31</v>
      </c>
      <c r="CZ401" s="405">
        <f ca="1">IF((SUM($G270:CZ270)-$E269)&lt;0,0,IF((SUM($G270:CZ270)-$E269)&lt;CZ270,SUM($G270:CZ270)-$E269,CZ270))</f>
        <v>30</v>
      </c>
      <c r="DA401" s="405">
        <f ca="1">IF((SUM($G270:DA270)-$E269)&lt;0,0,IF((SUM($G270:DA270)-$E269)&lt;DA270,SUM($G270:DA270)-$E269,DA270))</f>
        <v>31</v>
      </c>
      <c r="DB401" s="405">
        <f ca="1">IF((SUM($G270:DB270)-$E269)&lt;0,0,IF((SUM($G270:DB270)-$E269)&lt;DB270,SUM($G270:DB270)-$E269,DB270))</f>
        <v>30</v>
      </c>
      <c r="DC401" s="405">
        <f ca="1">IF((SUM($G270:DC270)-$E269)&lt;0,0,IF((SUM($G270:DC270)-$E269)&lt;DC270,SUM($G270:DC270)-$E269,DC270))</f>
        <v>31</v>
      </c>
      <c r="DD401" s="405">
        <f ca="1">IF((SUM($G270:DD270)-$E269)&lt;0,0,IF((SUM($G270:DD270)-$E269)&lt;DD270,SUM($G270:DD270)-$E269,DD270))</f>
        <v>31</v>
      </c>
      <c r="DE401" s="405">
        <f ca="1">IF((SUM($G270:DE270)-$E269)&lt;0,0,IF((SUM($G270:DE270)-$E269)&lt;DE270,SUM($G270:DE270)-$E269,DE270))</f>
        <v>30</v>
      </c>
      <c r="DF401" s="405">
        <f ca="1">IF((SUM($G270:DF270)-$E269)&lt;0,0,IF((SUM($G270:DF270)-$E269)&lt;DF270,SUM($G270:DF270)-$E269,DF270))</f>
        <v>31</v>
      </c>
      <c r="DG401" s="405">
        <f ca="1">IF((SUM($G270:DG270)-$E269)&lt;0,0,IF((SUM($G270:DG270)-$E269)&lt;DG270,SUM($G270:DG270)-$E269,DG270))</f>
        <v>30</v>
      </c>
      <c r="DH401" s="405">
        <f ca="1">IF((SUM($G270:DH270)-$E269)&lt;0,0,IF((SUM($G270:DH270)-$E269)&lt;DH270,SUM($G270:DH270)-$E269,DH270))</f>
        <v>31</v>
      </c>
      <c r="DI401" s="405">
        <f ca="1">IF((SUM($G270:DI270)-$E269)&lt;0,0,IF((SUM($G270:DI270)-$E269)&lt;DI270,SUM($G270:DI270)-$E269,DI270))</f>
        <v>31</v>
      </c>
      <c r="DJ401" s="405">
        <f ca="1">IF((SUM($G270:DJ270)-$E269)&lt;0,0,IF((SUM($G270:DJ270)-$E269)&lt;DJ270,SUM($G270:DJ270)-$E269,DJ270))</f>
        <v>29</v>
      </c>
      <c r="DK401" s="405">
        <f ca="1">IF((SUM($G270:DK270)-$E269)&lt;0,0,IF((SUM($G270:DK270)-$E269)&lt;DK270,SUM($G270:DK270)-$E269,DK270))</f>
        <v>31</v>
      </c>
      <c r="DL401" s="405">
        <f ca="1">IF((SUM($G270:DL270)-$E269)&lt;0,0,IF((SUM($G270:DL270)-$E269)&lt;DL270,SUM($G270:DL270)-$E269,DL270))</f>
        <v>30</v>
      </c>
      <c r="DM401" s="405">
        <f ca="1">IF((SUM($G270:DM270)-$E269)&lt;0,0,IF((SUM($G270:DM270)-$E269)&lt;DM270,SUM($G270:DM270)-$E269,DM270))</f>
        <v>31</v>
      </c>
      <c r="DN401" s="405">
        <f ca="1">IF((SUM($G270:DN270)-$E269)&lt;0,0,IF((SUM($G270:DN270)-$E269)&lt;DN270,SUM($G270:DN270)-$E269,DN270))</f>
        <v>30</v>
      </c>
      <c r="DO401" s="405">
        <f ca="1">IF((SUM($G270:DO270)-$E269)&lt;0,0,IF((SUM($G270:DO270)-$E269)&lt;DO270,SUM($G270:DO270)-$E269,DO270))</f>
        <v>31</v>
      </c>
      <c r="DP401" s="405">
        <f ca="1">IF((SUM($G270:DP270)-$E269)&lt;0,0,IF((SUM($G270:DP270)-$E269)&lt;DP270,SUM($G270:DP270)-$E269,DP270))</f>
        <v>31</v>
      </c>
      <c r="DQ401" s="405">
        <f ca="1">IF((SUM($G270:DQ270)-$E269)&lt;0,0,IF((SUM($G270:DQ270)-$E269)&lt;DQ270,SUM($G270:DQ270)-$E269,DQ270))</f>
        <v>30</v>
      </c>
      <c r="DR401" s="405">
        <f ca="1">IF((SUM($G270:DR270)-$E269)&lt;0,0,IF((SUM($G270:DR270)-$E269)&lt;DR270,SUM($G270:DR270)-$E269,DR270))</f>
        <v>31</v>
      </c>
      <c r="DS401" s="405">
        <f ca="1">IF((SUM($G270:DS270)-$E269)&lt;0,0,IF((SUM($G270:DS270)-$E269)&lt;DS270,SUM($G270:DS270)-$E269,DS270))</f>
        <v>30</v>
      </c>
      <c r="DT401" s="405">
        <f ca="1">IF((SUM($G270:DT270)-$E269)&lt;0,0,IF((SUM($G270:DT270)-$E269)&lt;DT270,SUM($G270:DT270)-$E269,DT270))</f>
        <v>31</v>
      </c>
      <c r="DU401" s="405">
        <f ca="1">IF((SUM($G270:DU270)-$E269)&lt;0,0,IF((SUM($G270:DU270)-$E269)&lt;DU270,SUM($G270:DU270)-$E269,DU270))</f>
        <v>31</v>
      </c>
      <c r="DV401" s="405">
        <f ca="1">IF((SUM($G270:DV270)-$E269)&lt;0,0,IF((SUM($G270:DV270)-$E269)&lt;DV270,SUM($G270:DV270)-$E269,DV270))</f>
        <v>28</v>
      </c>
      <c r="DW401" s="405">
        <f ca="1">IF((SUM($G270:DW270)-$E269)&lt;0,0,IF((SUM($G270:DW270)-$E269)&lt;DW270,SUM($G270:DW270)-$E269,DW270))</f>
        <v>31</v>
      </c>
      <c r="DX401" s="405">
        <f ca="1">IF((SUM($G270:DX270)-$E269)&lt;0,0,IF((SUM($G270:DX270)-$E269)&lt;DX270,SUM($G270:DX270)-$E269,DX270))</f>
        <v>30</v>
      </c>
      <c r="DY401" s="405">
        <f ca="1">IF((SUM($G270:DY270)-$E269)&lt;0,0,IF((SUM($G270:DY270)-$E269)&lt;DY270,SUM($G270:DY270)-$E269,DY270))</f>
        <v>31</v>
      </c>
      <c r="DZ401" s="405">
        <f ca="1">IF((SUM($G270:DZ270)-$E269)&lt;0,0,IF((SUM($G270:DZ270)-$E269)&lt;DZ270,SUM($G270:DZ270)-$E269,DZ270))</f>
        <v>30</v>
      </c>
      <c r="EA401" s="405">
        <f ca="1">IF((SUM($G270:EA270)-$E269)&lt;0,0,IF((SUM($G270:EA270)-$E269)&lt;EA270,SUM($G270:EA270)-$E269,EA270))</f>
        <v>31</v>
      </c>
      <c r="EB401" s="405">
        <f ca="1">IF((SUM($G270:EB270)-$E269)&lt;0,0,IF((SUM($G270:EB270)-$E269)&lt;EB270,SUM($G270:EB270)-$E269,EB270))</f>
        <v>31</v>
      </c>
      <c r="EC401" s="405">
        <f ca="1">IF((SUM($G270:EC270)-$E269)&lt;0,0,IF((SUM($G270:EC270)-$E269)&lt;EC270,SUM($G270:EC270)-$E269,EC270))</f>
        <v>30</v>
      </c>
      <c r="ED401" s="405">
        <f ca="1">IF((SUM($G270:ED270)-$E269)&lt;0,0,IF((SUM($G270:ED270)-$E269)&lt;ED270,SUM($G270:ED270)-$E269,ED270))</f>
        <v>31</v>
      </c>
      <c r="EE401" s="405">
        <f ca="1">IF((SUM($G270:EE270)-$E269)&lt;0,0,IF((SUM($G270:EE270)-$E269)&lt;EE270,SUM($G270:EE270)-$E269,EE270))</f>
        <v>30</v>
      </c>
      <c r="EF401" s="405">
        <f ca="1">IF((SUM($G270:EF270)-$E269)&lt;0,0,IF((SUM($G270:EF270)-$E269)&lt;EF270,SUM($G270:EF270)-$E269,EF270))</f>
        <v>31</v>
      </c>
      <c r="EG401" s="405">
        <f ca="1">IF((SUM($G270:EG270)-$E269)&lt;0,0,IF((SUM($G270:EG270)-$E269)&lt;EG270,SUM($G270:EG270)-$E269,EG270))</f>
        <v>31</v>
      </c>
      <c r="EH401" s="405">
        <f ca="1">IF((SUM($G270:EH270)-$E269)&lt;0,0,IF((SUM($G270:EH270)-$E269)&lt;EH270,SUM($G270:EH270)-$E269,EH270))</f>
        <v>28</v>
      </c>
      <c r="EI401" s="405">
        <f ca="1">IF((SUM($G270:EI270)-$E269)&lt;0,0,IF((SUM($G270:EI270)-$E269)&lt;EI270,SUM($G270:EI270)-$E269,EI270))</f>
        <v>31</v>
      </c>
    </row>
    <row r="402" spans="1:141" hidden="1" outlineLevel="2">
      <c r="A402" s="332"/>
      <c r="D402" s="305" t="s">
        <v>670</v>
      </c>
      <c r="E402" s="403">
        <f ca="1">MIN(G402:EI402)</f>
        <v>0</v>
      </c>
      <c r="F402" s="404">
        <f ca="1">MAX(G402:EI402)</f>
        <v>0</v>
      </c>
      <c r="G402" s="403" t="str">
        <f ca="1">IF(G400=0,"",IF(SUM($G400:G400)&gt;=1,OFFSET(G$228,-1,0),""))</f>
        <v/>
      </c>
      <c r="H402" s="403" t="str">
        <f ca="1">IF(SUM($G402:G402)&gt;=1,"",IF(H400=0,"",IF(SUM($G400:H400)&gt;=1,OFFSET(H$228,-1,0),"")))</f>
        <v/>
      </c>
      <c r="I402" s="403" t="str">
        <f ca="1">IF(SUM($G402:H402)&gt;=1,"",IF(I400=0,"",IF(SUM($G400:I400)&gt;=1,OFFSET(I$228,-1,0),"")))</f>
        <v/>
      </c>
      <c r="J402" s="403" t="str">
        <f ca="1">IF(SUM($G402:I402)&gt;=1,"",IF(J400=0,"",IF(SUM($G400:J400)&gt;=1,OFFSET(J$228,-1,0),"")))</f>
        <v/>
      </c>
      <c r="K402" s="403" t="str">
        <f ca="1">IF(SUM($G402:J402)&gt;=1,"",IF(K400=0,"",IF(SUM($G400:K400)&gt;=1,OFFSET(K$228,-1,0),"")))</f>
        <v/>
      </c>
      <c r="L402" s="403" t="str">
        <f ca="1">IF(SUM($G402:K402)&gt;=1,"",IF(L400=0,"",IF(SUM($G400:L400)&gt;=1,OFFSET(L$228,-1,0),"")))</f>
        <v/>
      </c>
      <c r="M402" s="403" t="str">
        <f ca="1">IF(SUM($G402:L402)&gt;=1,"",IF(M400=0,"",IF(SUM($G400:M400)&gt;=1,OFFSET(M$228,-1,0),"")))</f>
        <v/>
      </c>
      <c r="N402" s="403" t="str">
        <f ca="1">IF(SUM($G402:M402)&gt;=1,"",IF(N400=0,"",IF(SUM($G400:N400)&gt;=1,OFFSET(N$228,-1,0),"")))</f>
        <v/>
      </c>
      <c r="O402" s="403" t="str">
        <f ca="1">IF(SUM($G402:N402)&gt;=1,"",IF(O400=0,"",IF(SUM($G400:O400)&gt;=1,OFFSET(O$228,-1,0),"")))</f>
        <v/>
      </c>
      <c r="P402" s="403" t="str">
        <f ca="1">IF(SUM($G402:O402)&gt;=1,"",IF(P400=0,"",IF(SUM($G400:P400)&gt;=1,OFFSET(P$228,-1,0),"")))</f>
        <v/>
      </c>
      <c r="Q402" s="403" t="str">
        <f ca="1">IF(SUM($G402:P402)&gt;=1,"",IF(Q400=0,"",IF(SUM($G400:Q400)&gt;=1,OFFSET(Q$228,-1,0),"")))</f>
        <v/>
      </c>
      <c r="R402" s="403" t="str">
        <f ca="1">IF(SUM($G402:Q402)&gt;=1,"",IF(R400=0,"",IF(SUM($G400:R400)&gt;=1,OFFSET(R$228,-1,0),"")))</f>
        <v/>
      </c>
      <c r="S402" s="403" t="str">
        <f ca="1">IF(SUM($G402:R402)&gt;=1,"",IF(S400=0,"",IF(SUM($G400:S400)&gt;=1,OFFSET(S$228,-1,0),"")))</f>
        <v/>
      </c>
      <c r="T402" s="403" t="str">
        <f ca="1">IF(SUM($G402:S402)&gt;=1,"",IF(T400=0,"",IF(SUM($G400:T400)&gt;=1,OFFSET(T$228,-1,0),"")))</f>
        <v/>
      </c>
      <c r="U402" s="403" t="str">
        <f ca="1">IF(SUM($G402:T402)&gt;=1,"",IF(U400=0,"",IF(SUM($G400:U400)&gt;=1,OFFSET(U$228,-1,0),"")))</f>
        <v/>
      </c>
      <c r="V402" s="403" t="str">
        <f ca="1">IF(SUM($G402:U402)&gt;=1,"",IF(V400=0,"",IF(SUM($G400:V400)&gt;=1,OFFSET(V$228,-1,0),"")))</f>
        <v/>
      </c>
      <c r="W402" s="403" t="str">
        <f ca="1">IF(SUM($G402:V402)&gt;=1,"",IF(W400=0,"",IF(SUM($G400:W400)&gt;=1,OFFSET(W$228,-1,0),"")))</f>
        <v/>
      </c>
      <c r="X402" s="403" t="str">
        <f ca="1">IF(SUM($G402:W402)&gt;=1,"",IF(X400=0,"",IF(SUM($G400:X400)&gt;=1,OFFSET(X$228,-1,0),"")))</f>
        <v/>
      </c>
      <c r="Y402" s="403" t="str">
        <f ca="1">IF(SUM($G402:X402)&gt;=1,"",IF(Y400=0,"",IF(SUM($G400:Y400)&gt;=1,OFFSET(Y$228,-1,0),"")))</f>
        <v/>
      </c>
      <c r="Z402" s="403" t="str">
        <f ca="1">IF(SUM($G402:Y402)&gt;=1,"",IF(Z400=0,"",IF(SUM($G400:Z400)&gt;=1,OFFSET(Z$228,-1,0),"")))</f>
        <v/>
      </c>
      <c r="AA402" s="403" t="str">
        <f ca="1">IF(SUM($G402:Z402)&gt;=1,"",IF(AA400=0,"",IF(SUM($G400:AA400)&gt;=1,OFFSET(AA$228,-1,0),"")))</f>
        <v/>
      </c>
      <c r="AB402" s="403" t="str">
        <f ca="1">IF(SUM($G402:AA402)&gt;=1,"",IF(AB400=0,"",IF(SUM($G400:AB400)&gt;=1,OFFSET(AB$228,-1,0),"")))</f>
        <v/>
      </c>
      <c r="AC402" s="403" t="str">
        <f ca="1">IF(SUM($G402:AB402)&gt;=1,"",IF(AC400=0,"",IF(SUM($G400:AC400)&gt;=1,OFFSET(AC$228,-1,0),"")))</f>
        <v/>
      </c>
      <c r="AD402" s="403" t="str">
        <f ca="1">IF(SUM($G402:AC402)&gt;=1,"",IF(AD400=0,"",IF(SUM($G400:AD400)&gt;=1,OFFSET(AD$228,-1,0),"")))</f>
        <v/>
      </c>
      <c r="AE402" s="403" t="str">
        <f ca="1">IF(SUM($G402:AD402)&gt;=1,"",IF(AE400=0,"",IF(SUM($G400:AE400)&gt;=1,OFFSET(AE$228,-1,0),"")))</f>
        <v/>
      </c>
      <c r="AF402" s="403" t="str">
        <f ca="1">IF(SUM($G402:AE402)&gt;=1,"",IF(AF400=0,"",IF(SUM($G400:AF400)&gt;=1,OFFSET(AF$228,-1,0),"")))</f>
        <v/>
      </c>
      <c r="AG402" s="403" t="str">
        <f ca="1">IF(SUM($G402:AF402)&gt;=1,"",IF(AG400=0,"",IF(SUM($G400:AG400)&gt;=1,OFFSET(AG$228,-1,0),"")))</f>
        <v/>
      </c>
      <c r="AH402" s="403" t="str">
        <f ca="1">IF(SUM($G402:AG402)&gt;=1,"",IF(AH400=0,"",IF(SUM($G400:AH400)&gt;=1,OFFSET(AH$228,-1,0),"")))</f>
        <v/>
      </c>
      <c r="AI402" s="403" t="str">
        <f ca="1">IF(SUM($G402:AH402)&gt;=1,"",IF(AI400=0,"",IF(SUM($G400:AI400)&gt;=1,OFFSET(AI$228,-1,0),"")))</f>
        <v/>
      </c>
      <c r="AJ402" s="403" t="str">
        <f ca="1">IF(SUM($G402:AI402)&gt;=1,"",IF(AJ400=0,"",IF(SUM($G400:AJ400)&gt;=1,OFFSET(AJ$228,-1,0),"")))</f>
        <v/>
      </c>
      <c r="AK402" s="403" t="str">
        <f ca="1">IF(SUM($G402:AJ402)&gt;=1,"",IF(AK400=0,"",IF(SUM($G400:AK400)&gt;=1,OFFSET(AK$228,-1,0),"")))</f>
        <v/>
      </c>
      <c r="AL402" s="403" t="str">
        <f ca="1">IF(SUM($G402:AK402)&gt;=1,"",IF(AL400=0,"",IF(SUM($G400:AL400)&gt;=1,OFFSET(AL$228,-1,0),"")))</f>
        <v/>
      </c>
      <c r="AM402" s="403" t="str">
        <f ca="1">IF(SUM($G402:AL402)&gt;=1,"",IF(AM400=0,"",IF(SUM($G400:AM400)&gt;=1,OFFSET(AM$228,-1,0),"")))</f>
        <v/>
      </c>
      <c r="AN402" s="403" t="str">
        <f ca="1">IF(SUM($G402:AM402)&gt;=1,"",IF(AN400=0,"",IF(SUM($G400:AN400)&gt;=1,OFFSET(AN$228,-1,0),"")))</f>
        <v/>
      </c>
      <c r="AO402" s="403" t="str">
        <f ca="1">IF(SUM($G402:AN402)&gt;=1,"",IF(AO400=0,"",IF(SUM($G400:AO400)&gt;=1,OFFSET(AO$228,-1,0),"")))</f>
        <v/>
      </c>
      <c r="AP402" s="403" t="str">
        <f ca="1">IF(SUM($G402:AO402)&gt;=1,"",IF(AP400=0,"",IF(SUM($G400:AP400)&gt;=1,OFFSET(AP$228,-1,0),"")))</f>
        <v/>
      </c>
      <c r="AQ402" s="403" t="str">
        <f ca="1">IF(SUM($G402:AP402)&gt;=1,"",IF(AQ400=0,"",IF(SUM($G400:AQ400)&gt;=1,OFFSET(AQ$228,-1,0),"")))</f>
        <v/>
      </c>
      <c r="AR402" s="403" t="str">
        <f ca="1">IF(SUM($G402:AQ402)&gt;=1,"",IF(AR400=0,"",IF(SUM($G400:AR400)&gt;=1,OFFSET(AR$228,-1,0),"")))</f>
        <v/>
      </c>
      <c r="AS402" s="403" t="str">
        <f ca="1">IF(SUM($G402:AR402)&gt;=1,"",IF(AS400=0,"",IF(SUM($G400:AS400)&gt;=1,OFFSET(AS$228,-1,0),"")))</f>
        <v/>
      </c>
      <c r="AT402" s="403" t="str">
        <f ca="1">IF(SUM($G402:AS402)&gt;=1,"",IF(AT400=0,"",IF(SUM($G400:AT400)&gt;=1,OFFSET(AT$228,-1,0),"")))</f>
        <v/>
      </c>
      <c r="AU402" s="403" t="str">
        <f ca="1">IF(SUM($G402:AT402)&gt;=1,"",IF(AU400=0,"",IF(SUM($G400:AU400)&gt;=1,OFFSET(AU$228,-1,0),"")))</f>
        <v/>
      </c>
      <c r="AV402" s="403" t="str">
        <f ca="1">IF(SUM($G402:AU402)&gt;=1,"",IF(AV400=0,"",IF(SUM($G400:AV400)&gt;=1,OFFSET(AV$228,-1,0),"")))</f>
        <v/>
      </c>
      <c r="AW402" s="403" t="str">
        <f ca="1">IF(SUM($G402:AV402)&gt;=1,"",IF(AW400=0,"",IF(SUM($G400:AW400)&gt;=1,OFFSET(AW$228,-1,0),"")))</f>
        <v/>
      </c>
      <c r="AX402" s="403" t="str">
        <f ca="1">IF(SUM($G402:AW402)&gt;=1,"",IF(AX400=0,"",IF(SUM($G400:AX400)&gt;=1,OFFSET(AX$228,-1,0),"")))</f>
        <v/>
      </c>
      <c r="AY402" s="403" t="str">
        <f ca="1">IF(SUM($G402:AX402)&gt;=1,"",IF(AY400=0,"",IF(SUM($G400:AY400)&gt;=1,OFFSET(AY$228,-1,0),"")))</f>
        <v/>
      </c>
      <c r="AZ402" s="403" t="str">
        <f ca="1">IF(SUM($G402:AY402)&gt;=1,"",IF(AZ400=0,"",IF(SUM($G400:AZ400)&gt;=1,OFFSET(AZ$228,-1,0),"")))</f>
        <v/>
      </c>
      <c r="BA402" s="403" t="str">
        <f ca="1">IF(SUM($G402:AZ402)&gt;=1,"",IF(BA400=0,"",IF(SUM($G400:BA400)&gt;=1,OFFSET(BA$228,-1,0),"")))</f>
        <v/>
      </c>
      <c r="BB402" s="403" t="str">
        <f ca="1">IF(SUM($G402:BA402)&gt;=1,"",IF(BB400=0,"",IF(SUM($G400:BB400)&gt;=1,OFFSET(BB$228,-1,0),"")))</f>
        <v/>
      </c>
      <c r="BC402" s="403" t="str">
        <f ca="1">IF(SUM($G402:BB402)&gt;=1,"",IF(BC400=0,"",IF(SUM($G400:BC400)&gt;=1,OFFSET(BC$228,-1,0),"")))</f>
        <v/>
      </c>
      <c r="BD402" s="403" t="str">
        <f ca="1">IF(SUM($G402:BC402)&gt;=1,"",IF(BD400=0,"",IF(SUM($G400:BD400)&gt;=1,OFFSET(BD$228,-1,0),"")))</f>
        <v/>
      </c>
      <c r="BE402" s="403" t="str">
        <f ca="1">IF(SUM($G402:BD402)&gt;=1,"",IF(BE400=0,"",IF(SUM($G400:BE400)&gt;=1,OFFSET(BE$228,-1,0),"")))</f>
        <v/>
      </c>
      <c r="BF402" s="403" t="str">
        <f ca="1">IF(SUM($G402:BE402)&gt;=1,"",IF(BF400=0,"",IF(SUM($G400:BF400)&gt;=1,OFFSET(BF$228,-1,0),"")))</f>
        <v/>
      </c>
      <c r="BG402" s="403" t="str">
        <f ca="1">IF(SUM($G402:BF402)&gt;=1,"",IF(BG400=0,"",IF(SUM($G400:BG400)&gt;=1,OFFSET(BG$228,-1,0),"")))</f>
        <v/>
      </c>
      <c r="BH402" s="403" t="str">
        <f ca="1">IF(SUM($G402:BG402)&gt;=1,"",IF(BH400=0,"",IF(SUM($G400:BH400)&gt;=1,OFFSET(BH$228,-1,0),"")))</f>
        <v/>
      </c>
      <c r="BI402" s="403" t="str">
        <f ca="1">IF(SUM($G402:BH402)&gt;=1,"",IF(BI400=0,"",IF(SUM($G400:BI400)&gt;=1,OFFSET(BI$228,-1,0),"")))</f>
        <v/>
      </c>
      <c r="BJ402" s="403" t="str">
        <f ca="1">IF(SUM($G402:BI402)&gt;=1,"",IF(BJ400=0,"",IF(SUM($G400:BJ400)&gt;=1,OFFSET(BJ$228,-1,0),"")))</f>
        <v/>
      </c>
      <c r="BK402" s="403" t="str">
        <f ca="1">IF(SUM($G402:BJ402)&gt;=1,"",IF(BK400=0,"",IF(SUM($G400:BK400)&gt;=1,OFFSET(BK$228,-1,0),"")))</f>
        <v/>
      </c>
      <c r="BL402" s="403" t="str">
        <f ca="1">IF(SUM($G402:BK402)&gt;=1,"",IF(BL400=0,"",IF(SUM($G400:BL400)&gt;=1,OFFSET(BL$228,-1,0),"")))</f>
        <v/>
      </c>
      <c r="BM402" s="403" t="str">
        <f ca="1">IF(SUM($G402:BL402)&gt;=1,"",IF(BM400=0,"",IF(SUM($G400:BM400)&gt;=1,OFFSET(BM$228,-1,0),"")))</f>
        <v/>
      </c>
      <c r="BN402" s="403" t="str">
        <f ca="1">IF(SUM($G402:BM402)&gt;=1,"",IF(BN400=0,"",IF(SUM($G400:BN400)&gt;=1,OFFSET(BN$228,-1,0),"")))</f>
        <v/>
      </c>
      <c r="BO402" s="403" t="str">
        <f ca="1">IF(SUM($G402:BN402)&gt;=1,"",IF(BO400=0,"",IF(SUM($G400:BO400)&gt;=1,OFFSET(BO$228,-1,0),"")))</f>
        <v/>
      </c>
      <c r="BP402" s="403" t="str">
        <f ca="1">IF(SUM($G402:BO402)&gt;=1,"",IF(BP400=0,"",IF(SUM($G400:BP400)&gt;=1,OFFSET(BP$228,-1,0),"")))</f>
        <v/>
      </c>
      <c r="BQ402" s="403" t="str">
        <f ca="1">IF(SUM($G402:BP402)&gt;=1,"",IF(BQ400=0,"",IF(SUM($G400:BQ400)&gt;=1,OFFSET(BQ$228,-1,0),"")))</f>
        <v/>
      </c>
      <c r="BR402" s="403" t="str">
        <f ca="1">IF(SUM($G402:BQ402)&gt;=1,"",IF(BR400=0,"",IF(SUM($G400:BR400)&gt;=1,OFFSET(BR$228,-1,0),"")))</f>
        <v/>
      </c>
      <c r="BS402" s="403" t="str">
        <f ca="1">IF(SUM($G402:BR402)&gt;=1,"",IF(BS400=0,"",IF(SUM($G400:BS400)&gt;=1,OFFSET(BS$228,-1,0),"")))</f>
        <v/>
      </c>
      <c r="BT402" s="403" t="str">
        <f ca="1">IF(SUM($G402:BS402)&gt;=1,"",IF(BT400=0,"",IF(SUM($G400:BT400)&gt;=1,OFFSET(BT$228,-1,0),"")))</f>
        <v/>
      </c>
      <c r="BU402" s="403" t="str">
        <f ca="1">IF(SUM($G402:BT402)&gt;=1,"",IF(BU400=0,"",IF(SUM($G400:BU400)&gt;=1,OFFSET(BU$228,-1,0),"")))</f>
        <v/>
      </c>
      <c r="BV402" s="403" t="str">
        <f ca="1">IF(SUM($G402:BU402)&gt;=1,"",IF(BV400=0,"",IF(SUM($G400:BV400)&gt;=1,OFFSET(BV$228,-1,0),"")))</f>
        <v/>
      </c>
      <c r="BW402" s="403" t="str">
        <f ca="1">IF(SUM($G402:BV402)&gt;=1,"",IF(BW400=0,"",IF(SUM($G400:BW400)&gt;=1,OFFSET(BW$228,-1,0),"")))</f>
        <v/>
      </c>
      <c r="BX402" s="403" t="str">
        <f ca="1">IF(SUM($G402:BW402)&gt;=1,"",IF(BX400=0,"",IF(SUM($G400:BX400)&gt;=1,OFFSET(BX$228,-1,0),"")))</f>
        <v/>
      </c>
      <c r="BY402" s="403" t="str">
        <f ca="1">IF(SUM($G402:BX402)&gt;=1,"",IF(BY400=0,"",IF(SUM($G400:BY400)&gt;=1,OFFSET(BY$228,-1,0),"")))</f>
        <v/>
      </c>
      <c r="BZ402" s="403" t="str">
        <f ca="1">IF(SUM($G402:BY402)&gt;=1,"",IF(BZ400=0,"",IF(SUM($G400:BZ400)&gt;=1,OFFSET(BZ$228,-1,0),"")))</f>
        <v/>
      </c>
      <c r="CA402" s="403" t="str">
        <f ca="1">IF(SUM($G402:BZ402)&gt;=1,"",IF(CA400=0,"",IF(SUM($G400:CA400)&gt;=1,OFFSET(CA$228,-1,0),"")))</f>
        <v/>
      </c>
      <c r="CB402" s="403" t="str">
        <f ca="1">IF(SUM($G402:CA402)&gt;=1,"",IF(CB400=0,"",IF(SUM($G400:CB400)&gt;=1,OFFSET(CB$228,-1,0),"")))</f>
        <v/>
      </c>
      <c r="CC402" s="403" t="str">
        <f ca="1">IF(SUM($G402:CB402)&gt;=1,"",IF(CC400=0,"",IF(SUM($G400:CC400)&gt;=1,OFFSET(CC$228,-1,0),"")))</f>
        <v/>
      </c>
      <c r="CD402" s="403" t="str">
        <f ca="1">IF(SUM($G402:CC402)&gt;=1,"",IF(CD400=0,"",IF(SUM($G400:CD400)&gt;=1,OFFSET(CD$228,-1,0),"")))</f>
        <v/>
      </c>
      <c r="CE402" s="403" t="str">
        <f ca="1">IF(SUM($G402:CD402)&gt;=1,"",IF(CE400=0,"",IF(SUM($G400:CE400)&gt;=1,OFFSET(CE$228,-1,0),"")))</f>
        <v/>
      </c>
      <c r="CF402" s="403" t="str">
        <f ca="1">IF(SUM($G402:CE402)&gt;=1,"",IF(CF400=0,"",IF(SUM($G400:CF400)&gt;=1,OFFSET(CF$228,-1,0),"")))</f>
        <v/>
      </c>
      <c r="CG402" s="403" t="str">
        <f ca="1">IF(SUM($G402:CF402)&gt;=1,"",IF(CG400=0,"",IF(SUM($G400:CG400)&gt;=1,OFFSET(CG$228,-1,0),"")))</f>
        <v/>
      </c>
      <c r="CH402" s="403" t="str">
        <f ca="1">IF(SUM($G402:CG402)&gt;=1,"",IF(CH400=0,"",IF(SUM($G400:CH400)&gt;=1,OFFSET(CH$228,-1,0),"")))</f>
        <v/>
      </c>
      <c r="CI402" s="403" t="str">
        <f ca="1">IF(SUM($G402:CH402)&gt;=1,"",IF(CI400=0,"",IF(SUM($G400:CI400)&gt;=1,OFFSET(CI$228,-1,0),"")))</f>
        <v/>
      </c>
      <c r="CJ402" s="403" t="str">
        <f ca="1">IF(SUM($G402:CI402)&gt;=1,"",IF(CJ400=0,"",IF(SUM($G400:CJ400)&gt;=1,OFFSET(CJ$228,-1,0),"")))</f>
        <v/>
      </c>
      <c r="CK402" s="403" t="str">
        <f ca="1">IF(SUM($G402:CJ402)&gt;=1,"",IF(CK400=0,"",IF(SUM($G400:CK400)&gt;=1,OFFSET(CK$228,-1,0),"")))</f>
        <v/>
      </c>
      <c r="CL402" s="403" t="str">
        <f ca="1">IF(SUM($G402:CK402)&gt;=1,"",IF(CL400=0,"",IF(SUM($G400:CL400)&gt;=1,OFFSET(CL$228,-1,0),"")))</f>
        <v/>
      </c>
      <c r="CM402" s="403" t="str">
        <f ca="1">IF(SUM($G402:CL402)&gt;=1,"",IF(CM400=0,"",IF(SUM($G400:CM400)&gt;=1,OFFSET(CM$228,-1,0),"")))</f>
        <v/>
      </c>
      <c r="CN402" s="403" t="str">
        <f ca="1">IF(SUM($G402:CM402)&gt;=1,"",IF(CN400=0,"",IF(SUM($G400:CN400)&gt;=1,OFFSET(CN$228,-1,0),"")))</f>
        <v/>
      </c>
      <c r="CO402" s="403" t="str">
        <f ca="1">IF(SUM($G402:CN402)&gt;=1,"",IF(CO400=0,"",IF(SUM($G400:CO400)&gt;=1,OFFSET(CO$228,-1,0),"")))</f>
        <v/>
      </c>
      <c r="CP402" s="403" t="str">
        <f ca="1">IF(SUM($G402:CO402)&gt;=1,"",IF(CP400=0,"",IF(SUM($G400:CP400)&gt;=1,OFFSET(CP$228,-1,0),"")))</f>
        <v/>
      </c>
      <c r="CQ402" s="403" t="str">
        <f ca="1">IF(SUM($G402:CP402)&gt;=1,"",IF(CQ400=0,"",IF(SUM($G400:CQ400)&gt;=1,OFFSET(CQ$228,-1,0),"")))</f>
        <v/>
      </c>
      <c r="CR402" s="403" t="str">
        <f ca="1">IF(SUM($G402:CQ402)&gt;=1,"",IF(CR400=0,"",IF(SUM($G400:CR400)&gt;=1,OFFSET(CR$228,-1,0),"")))</f>
        <v/>
      </c>
      <c r="CS402" s="403" t="str">
        <f ca="1">IF(SUM($G402:CR402)&gt;=1,"",IF(CS400=0,"",IF(SUM($G400:CS400)&gt;=1,OFFSET(CS$228,-1,0),"")))</f>
        <v/>
      </c>
      <c r="CT402" s="403" t="str">
        <f ca="1">IF(SUM($G402:CS402)&gt;=1,"",IF(CT400=0,"",IF(SUM($G400:CT400)&gt;=1,OFFSET(CT$228,-1,0),"")))</f>
        <v/>
      </c>
      <c r="CU402" s="403" t="str">
        <f ca="1">IF(SUM($G402:CT402)&gt;=1,"",IF(CU400=0,"",IF(SUM($G400:CU400)&gt;=1,OFFSET(CU$228,-1,0),"")))</f>
        <v/>
      </c>
      <c r="CV402" s="403" t="str">
        <f ca="1">IF(SUM($G402:CU402)&gt;=1,"",IF(CV400=0,"",IF(SUM($G400:CV400)&gt;=1,OFFSET(CV$228,-1,0),"")))</f>
        <v/>
      </c>
      <c r="CW402" s="403" t="str">
        <f ca="1">IF(SUM($G402:CV402)&gt;=1,"",IF(CW400=0,"",IF(SUM($G400:CW400)&gt;=1,OFFSET(CW$228,-1,0),"")))</f>
        <v/>
      </c>
      <c r="CX402" s="403" t="str">
        <f ca="1">IF(SUM($G402:CW402)&gt;=1,"",IF(CX400=0,"",IF(SUM($G400:CX400)&gt;=1,OFFSET(CX$228,-1,0),"")))</f>
        <v/>
      </c>
      <c r="CY402" s="403" t="str">
        <f ca="1">IF(SUM($G402:CX402)&gt;=1,"",IF(CY400=0,"",IF(SUM($G400:CY400)&gt;=1,OFFSET(CY$228,-1,0),"")))</f>
        <v/>
      </c>
      <c r="CZ402" s="403" t="str">
        <f ca="1">IF(SUM($G402:CY402)&gt;=1,"",IF(CZ400=0,"",IF(SUM($G400:CZ400)&gt;=1,OFFSET(CZ$228,-1,0),"")))</f>
        <v/>
      </c>
      <c r="DA402" s="403" t="str">
        <f ca="1">IF(SUM($G402:CZ402)&gt;=1,"",IF(DA400=0,"",IF(SUM($G400:DA400)&gt;=1,OFFSET(DA$228,-1,0),"")))</f>
        <v/>
      </c>
      <c r="DB402" s="403" t="str">
        <f ca="1">IF(SUM($G402:DA402)&gt;=1,"",IF(DB400=0,"",IF(SUM($G400:DB400)&gt;=1,OFFSET(DB$228,-1,0),"")))</f>
        <v/>
      </c>
      <c r="DC402" s="403" t="str">
        <f ca="1">IF(SUM($G402:DB402)&gt;=1,"",IF(DC400=0,"",IF(SUM($G400:DC400)&gt;=1,OFFSET(DC$228,-1,0),"")))</f>
        <v/>
      </c>
      <c r="DD402" s="403" t="str">
        <f ca="1">IF(SUM($G402:DC402)&gt;=1,"",IF(DD400=0,"",IF(SUM($G400:DD400)&gt;=1,OFFSET(DD$228,-1,0),"")))</f>
        <v/>
      </c>
      <c r="DE402" s="403" t="str">
        <f ca="1">IF(SUM($G402:DD402)&gt;=1,"",IF(DE400=0,"",IF(SUM($G400:DE400)&gt;=1,OFFSET(DE$228,-1,0),"")))</f>
        <v/>
      </c>
      <c r="DF402" s="403" t="str">
        <f ca="1">IF(SUM($G402:DE402)&gt;=1,"",IF(DF400=0,"",IF(SUM($G400:DF400)&gt;=1,OFFSET(DF$228,-1,0),"")))</f>
        <v/>
      </c>
      <c r="DG402" s="403" t="str">
        <f ca="1">IF(SUM($G402:DF402)&gt;=1,"",IF(DG400=0,"",IF(SUM($G400:DG400)&gt;=1,OFFSET(DG$228,-1,0),"")))</f>
        <v/>
      </c>
      <c r="DH402" s="403" t="str">
        <f ca="1">IF(SUM($G402:DG402)&gt;=1,"",IF(DH400=0,"",IF(SUM($G400:DH400)&gt;=1,OFFSET(DH$228,-1,0),"")))</f>
        <v/>
      </c>
      <c r="DI402" s="403" t="str">
        <f ca="1">IF(SUM($G402:DH402)&gt;=1,"",IF(DI400=0,"",IF(SUM($G400:DI400)&gt;=1,OFFSET(DI$228,-1,0),"")))</f>
        <v/>
      </c>
      <c r="DJ402" s="403" t="str">
        <f ca="1">IF(SUM($G402:DI402)&gt;=1,"",IF(DJ400=0,"",IF(SUM($G400:DJ400)&gt;=1,OFFSET(DJ$228,-1,0),"")))</f>
        <v/>
      </c>
      <c r="DK402" s="403" t="str">
        <f ca="1">IF(SUM($G402:DJ402)&gt;=1,"",IF(DK400=0,"",IF(SUM($G400:DK400)&gt;=1,OFFSET(DK$228,-1,0),"")))</f>
        <v/>
      </c>
      <c r="DL402" s="403" t="str">
        <f ca="1">IF(SUM($G402:DK402)&gt;=1,"",IF(DL400=0,"",IF(SUM($G400:DL400)&gt;=1,OFFSET(DL$228,-1,0),"")))</f>
        <v/>
      </c>
      <c r="DM402" s="403" t="str">
        <f ca="1">IF(SUM($G402:DL402)&gt;=1,"",IF(DM400=0,"",IF(SUM($G400:DM400)&gt;=1,OFFSET(DM$228,-1,0),"")))</f>
        <v/>
      </c>
      <c r="DN402" s="403" t="str">
        <f ca="1">IF(SUM($G402:DM402)&gt;=1,"",IF(DN400=0,"",IF(SUM($G400:DN400)&gt;=1,OFFSET(DN$228,-1,0),"")))</f>
        <v/>
      </c>
      <c r="DO402" s="403" t="str">
        <f ca="1">IF(SUM($G402:DN402)&gt;=1,"",IF(DO400=0,"",IF(SUM($G400:DO400)&gt;=1,OFFSET(DO$228,-1,0),"")))</f>
        <v/>
      </c>
      <c r="DP402" s="403" t="str">
        <f ca="1">IF(SUM($G402:DO402)&gt;=1,"",IF(DP400=0,"",IF(SUM($G400:DP400)&gt;=1,OFFSET(DP$228,-1,0),"")))</f>
        <v/>
      </c>
      <c r="DQ402" s="403" t="str">
        <f ca="1">IF(SUM($G402:DP402)&gt;=1,"",IF(DQ400=0,"",IF(SUM($G400:DQ400)&gt;=1,OFFSET(DQ$228,-1,0),"")))</f>
        <v/>
      </c>
      <c r="DR402" s="403" t="str">
        <f ca="1">IF(SUM($G402:DQ402)&gt;=1,"",IF(DR400=0,"",IF(SUM($G400:DR400)&gt;=1,OFFSET(DR$228,-1,0),"")))</f>
        <v/>
      </c>
      <c r="DS402" s="403" t="str">
        <f ca="1">IF(SUM($G402:DR402)&gt;=1,"",IF(DS400=0,"",IF(SUM($G400:DS400)&gt;=1,OFFSET(DS$228,-1,0),"")))</f>
        <v/>
      </c>
      <c r="DT402" s="403" t="str">
        <f ca="1">IF(SUM($G402:DS402)&gt;=1,"",IF(DT400=0,"",IF(SUM($G400:DT400)&gt;=1,OFFSET(DT$228,-1,0),"")))</f>
        <v/>
      </c>
      <c r="DU402" s="403" t="str">
        <f ca="1">IF(SUM($G402:DT402)&gt;=1,"",IF(DU400=0,"",IF(SUM($G400:DU400)&gt;=1,OFFSET(DU$228,-1,0),"")))</f>
        <v/>
      </c>
      <c r="DV402" s="403" t="str">
        <f ca="1">IF(SUM($G402:DU402)&gt;=1,"",IF(DV400=0,"",IF(SUM($G400:DV400)&gt;=1,OFFSET(DV$228,-1,0),"")))</f>
        <v/>
      </c>
      <c r="DW402" s="403" t="str">
        <f ca="1">IF(SUM($G402:DV402)&gt;=1,"",IF(DW400=0,"",IF(SUM($G400:DW400)&gt;=1,OFFSET(DW$228,-1,0),"")))</f>
        <v/>
      </c>
      <c r="DX402" s="403" t="str">
        <f ca="1">IF(SUM($G402:DW402)&gt;=1,"",IF(DX400=0,"",IF(SUM($G400:DX400)&gt;=1,OFFSET(DX$228,-1,0),"")))</f>
        <v/>
      </c>
      <c r="DY402" s="403" t="str">
        <f ca="1">IF(SUM($G402:DX402)&gt;=1,"",IF(DY400=0,"",IF(SUM($G400:DY400)&gt;=1,OFFSET(DY$228,-1,0),"")))</f>
        <v/>
      </c>
      <c r="DZ402" s="403" t="str">
        <f ca="1">IF(SUM($G402:DY402)&gt;=1,"",IF(DZ400=0,"",IF(SUM($G400:DZ400)&gt;=1,OFFSET(DZ$228,-1,0),"")))</f>
        <v/>
      </c>
      <c r="EA402" s="403" t="str">
        <f ca="1">IF(SUM($G402:DZ402)&gt;=1,"",IF(EA400=0,"",IF(SUM($G400:EA400)&gt;=1,OFFSET(EA$228,-1,0),"")))</f>
        <v/>
      </c>
      <c r="EB402" s="403" t="str">
        <f ca="1">IF(SUM($G402:EA402)&gt;=1,"",IF(EB400=0,"",IF(SUM($G400:EB400)&gt;=1,OFFSET(EB$228,-1,0),"")))</f>
        <v/>
      </c>
      <c r="EC402" s="403" t="str">
        <f ca="1">IF(SUM($G402:EB402)&gt;=1,"",IF(EC400=0,"",IF(SUM($G400:EC400)&gt;=1,OFFSET(EC$228,-1,0),"")))</f>
        <v/>
      </c>
      <c r="ED402" s="403" t="str">
        <f ca="1">IF(SUM($G402:EC402)&gt;=1,"",IF(ED400=0,"",IF(SUM($G400:ED400)&gt;=1,OFFSET(ED$228,-1,0),"")))</f>
        <v/>
      </c>
      <c r="EE402" s="403" t="str">
        <f ca="1">IF(SUM($G402:ED402)&gt;=1,"",IF(EE400=0,"",IF(SUM($G400:EE400)&gt;=1,OFFSET(EE$228,-1,0),"")))</f>
        <v/>
      </c>
      <c r="EF402" s="403" t="str">
        <f ca="1">IF(SUM($G402:EE402)&gt;=1,"",IF(EF400=0,"",IF(SUM($G400:EF400)&gt;=1,OFFSET(EF$228,-1,0),"")))</f>
        <v/>
      </c>
      <c r="EG402" s="403" t="str">
        <f ca="1">IF(SUM($G402:EF402)&gt;=1,"",IF(EG400=0,"",IF(SUM($G400:EG400)&gt;=1,OFFSET(EG$228,-1,0),"")))</f>
        <v/>
      </c>
      <c r="EH402" s="403" t="str">
        <f ca="1">IF(SUM($G402:EG402)&gt;=1,"",IF(EH400=0,"",IF(SUM($G400:EH400)&gt;=1,OFFSET(EH$228,-1,0),"")))</f>
        <v/>
      </c>
      <c r="EI402" s="403" t="str">
        <f ca="1">IF(SUM($G402:EH402)&gt;=1,"",IF(EI400=0,"",IF(SUM($G400:EI400)&gt;=1,OFFSET(EI$228,-1,0),"")))</f>
        <v/>
      </c>
    </row>
    <row r="403" spans="1:141" hidden="1" outlineLevel="2">
      <c r="A403" s="332"/>
      <c r="D403" s="305" t="s">
        <v>671</v>
      </c>
      <c r="E403" s="1002" t="str">
        <f ca="1">IF(E400=0,"",MIN(G403:EI403))</f>
        <v/>
      </c>
      <c r="F403" s="1003"/>
      <c r="G403" s="403" t="str">
        <f>IF(G400=0,"",IF(G400=G$3,G402,G$5+H$5-G404-1))</f>
        <v/>
      </c>
      <c r="H403" s="403" t="str">
        <f ca="1">IF(H400=0,"",IF(H400=H$3,H402,H$5+I$5-H404-1))</f>
        <v/>
      </c>
      <c r="I403" s="403" t="str">
        <f t="shared" ref="I403:BT403" ca="1" si="691">IF(I400=0,"",IF(I400=I$3,I402,I$5+J$5-I404-1))</f>
        <v/>
      </c>
      <c r="J403" s="403" t="str">
        <f t="shared" ca="1" si="691"/>
        <v/>
      </c>
      <c r="K403" s="403" t="str">
        <f t="shared" ca="1" si="691"/>
        <v/>
      </c>
      <c r="L403" s="403" t="str">
        <f t="shared" ca="1" si="691"/>
        <v/>
      </c>
      <c r="M403" s="403" t="str">
        <f t="shared" ca="1" si="691"/>
        <v/>
      </c>
      <c r="N403" s="403" t="str">
        <f t="shared" ca="1" si="691"/>
        <v/>
      </c>
      <c r="O403" s="403" t="str">
        <f t="shared" ca="1" si="691"/>
        <v/>
      </c>
      <c r="P403" s="403" t="str">
        <f t="shared" ca="1" si="691"/>
        <v/>
      </c>
      <c r="Q403" s="403" t="str">
        <f t="shared" ca="1" si="691"/>
        <v/>
      </c>
      <c r="R403" s="403" t="str">
        <f t="shared" ca="1" si="691"/>
        <v/>
      </c>
      <c r="S403" s="403" t="str">
        <f t="shared" ca="1" si="691"/>
        <v/>
      </c>
      <c r="T403" s="403" t="str">
        <f t="shared" ca="1" si="691"/>
        <v/>
      </c>
      <c r="U403" s="403" t="str">
        <f t="shared" ca="1" si="691"/>
        <v/>
      </c>
      <c r="V403" s="403" t="str">
        <f t="shared" ca="1" si="691"/>
        <v/>
      </c>
      <c r="W403" s="403" t="str">
        <f t="shared" ca="1" si="691"/>
        <v/>
      </c>
      <c r="X403" s="403" t="str">
        <f t="shared" ca="1" si="691"/>
        <v/>
      </c>
      <c r="Y403" s="403" t="str">
        <f t="shared" ca="1" si="691"/>
        <v/>
      </c>
      <c r="Z403" s="403" t="str">
        <f t="shared" ca="1" si="691"/>
        <v/>
      </c>
      <c r="AA403" s="403" t="str">
        <f t="shared" ca="1" si="691"/>
        <v/>
      </c>
      <c r="AB403" s="403" t="str">
        <f t="shared" ca="1" si="691"/>
        <v/>
      </c>
      <c r="AC403" s="403" t="str">
        <f t="shared" ca="1" si="691"/>
        <v/>
      </c>
      <c r="AD403" s="403" t="str">
        <f t="shared" ca="1" si="691"/>
        <v/>
      </c>
      <c r="AE403" s="403" t="str">
        <f t="shared" ca="1" si="691"/>
        <v/>
      </c>
      <c r="AF403" s="403" t="str">
        <f t="shared" ca="1" si="691"/>
        <v/>
      </c>
      <c r="AG403" s="403" t="str">
        <f t="shared" ca="1" si="691"/>
        <v/>
      </c>
      <c r="AH403" s="403" t="str">
        <f t="shared" ca="1" si="691"/>
        <v/>
      </c>
      <c r="AI403" s="403" t="str">
        <f t="shared" ca="1" si="691"/>
        <v/>
      </c>
      <c r="AJ403" s="403" t="str">
        <f t="shared" ca="1" si="691"/>
        <v/>
      </c>
      <c r="AK403" s="403" t="str">
        <f t="shared" ca="1" si="691"/>
        <v/>
      </c>
      <c r="AL403" s="403" t="str">
        <f t="shared" ca="1" si="691"/>
        <v/>
      </c>
      <c r="AM403" s="403" t="str">
        <f t="shared" ca="1" si="691"/>
        <v/>
      </c>
      <c r="AN403" s="403" t="str">
        <f t="shared" ca="1" si="691"/>
        <v/>
      </c>
      <c r="AO403" s="403" t="str">
        <f t="shared" ca="1" si="691"/>
        <v/>
      </c>
      <c r="AP403" s="403" t="str">
        <f t="shared" ca="1" si="691"/>
        <v/>
      </c>
      <c r="AQ403" s="403" t="str">
        <f t="shared" ca="1" si="691"/>
        <v/>
      </c>
      <c r="AR403" s="403" t="str">
        <f t="shared" ca="1" si="691"/>
        <v/>
      </c>
      <c r="AS403" s="403" t="str">
        <f t="shared" ca="1" si="691"/>
        <v/>
      </c>
      <c r="AT403" s="403" t="str">
        <f t="shared" ca="1" si="691"/>
        <v/>
      </c>
      <c r="AU403" s="403" t="str">
        <f t="shared" ca="1" si="691"/>
        <v/>
      </c>
      <c r="AV403" s="403" t="str">
        <f t="shared" ca="1" si="691"/>
        <v/>
      </c>
      <c r="AW403" s="403" t="str">
        <f t="shared" ca="1" si="691"/>
        <v/>
      </c>
      <c r="AX403" s="403" t="str">
        <f t="shared" ca="1" si="691"/>
        <v/>
      </c>
      <c r="AY403" s="403" t="str">
        <f t="shared" ca="1" si="691"/>
        <v/>
      </c>
      <c r="AZ403" s="403" t="str">
        <f t="shared" ca="1" si="691"/>
        <v/>
      </c>
      <c r="BA403" s="403" t="str">
        <f t="shared" ca="1" si="691"/>
        <v/>
      </c>
      <c r="BB403" s="403" t="str">
        <f t="shared" ca="1" si="691"/>
        <v/>
      </c>
      <c r="BC403" s="403" t="str">
        <f t="shared" ca="1" si="691"/>
        <v/>
      </c>
      <c r="BD403" s="403" t="str">
        <f t="shared" ca="1" si="691"/>
        <v/>
      </c>
      <c r="BE403" s="403" t="str">
        <f t="shared" ca="1" si="691"/>
        <v/>
      </c>
      <c r="BF403" s="403" t="str">
        <f t="shared" ca="1" si="691"/>
        <v/>
      </c>
      <c r="BG403" s="403" t="str">
        <f t="shared" ca="1" si="691"/>
        <v/>
      </c>
      <c r="BH403" s="403" t="str">
        <f t="shared" ca="1" si="691"/>
        <v/>
      </c>
      <c r="BI403" s="403" t="str">
        <f t="shared" ca="1" si="691"/>
        <v/>
      </c>
      <c r="BJ403" s="403" t="str">
        <f t="shared" ca="1" si="691"/>
        <v/>
      </c>
      <c r="BK403" s="403" t="str">
        <f t="shared" ca="1" si="691"/>
        <v/>
      </c>
      <c r="BL403" s="403" t="str">
        <f t="shared" ca="1" si="691"/>
        <v/>
      </c>
      <c r="BM403" s="403" t="str">
        <f t="shared" ca="1" si="691"/>
        <v/>
      </c>
      <c r="BN403" s="403" t="str">
        <f t="shared" ca="1" si="691"/>
        <v/>
      </c>
      <c r="BO403" s="403" t="str">
        <f t="shared" ca="1" si="691"/>
        <v/>
      </c>
      <c r="BP403" s="403" t="str">
        <f t="shared" ca="1" si="691"/>
        <v/>
      </c>
      <c r="BQ403" s="403" t="str">
        <f t="shared" ca="1" si="691"/>
        <v/>
      </c>
      <c r="BR403" s="403" t="str">
        <f t="shared" ca="1" si="691"/>
        <v/>
      </c>
      <c r="BS403" s="403" t="str">
        <f t="shared" ca="1" si="691"/>
        <v/>
      </c>
      <c r="BT403" s="403" t="str">
        <f t="shared" ca="1" si="691"/>
        <v/>
      </c>
      <c r="BU403" s="403" t="str">
        <f t="shared" ref="BU403:EF403" ca="1" si="692">IF(BU400=0,"",IF(BU400=BU$3,BU402,BU$5+BV$5-BU404-1))</f>
        <v/>
      </c>
      <c r="BV403" s="403" t="str">
        <f t="shared" ca="1" si="692"/>
        <v/>
      </c>
      <c r="BW403" s="403" t="str">
        <f t="shared" ca="1" si="692"/>
        <v/>
      </c>
      <c r="BX403" s="403" t="str">
        <f t="shared" ca="1" si="692"/>
        <v/>
      </c>
      <c r="BY403" s="403" t="str">
        <f t="shared" ca="1" si="692"/>
        <v/>
      </c>
      <c r="BZ403" s="403" t="str">
        <f t="shared" ca="1" si="692"/>
        <v/>
      </c>
      <c r="CA403" s="403" t="str">
        <f t="shared" ca="1" si="692"/>
        <v/>
      </c>
      <c r="CB403" s="403" t="str">
        <f t="shared" ca="1" si="692"/>
        <v/>
      </c>
      <c r="CC403" s="403" t="str">
        <f t="shared" ca="1" si="692"/>
        <v/>
      </c>
      <c r="CD403" s="403" t="str">
        <f t="shared" ca="1" si="692"/>
        <v/>
      </c>
      <c r="CE403" s="403" t="str">
        <f t="shared" ca="1" si="692"/>
        <v/>
      </c>
      <c r="CF403" s="403" t="str">
        <f t="shared" ca="1" si="692"/>
        <v/>
      </c>
      <c r="CG403" s="403" t="str">
        <f t="shared" ca="1" si="692"/>
        <v/>
      </c>
      <c r="CH403" s="403" t="str">
        <f t="shared" ca="1" si="692"/>
        <v/>
      </c>
      <c r="CI403" s="403" t="str">
        <f t="shared" ca="1" si="692"/>
        <v/>
      </c>
      <c r="CJ403" s="403" t="str">
        <f t="shared" ca="1" si="692"/>
        <v/>
      </c>
      <c r="CK403" s="403" t="str">
        <f t="shared" ca="1" si="692"/>
        <v/>
      </c>
      <c r="CL403" s="403" t="str">
        <f t="shared" ca="1" si="692"/>
        <v/>
      </c>
      <c r="CM403" s="403" t="str">
        <f t="shared" ca="1" si="692"/>
        <v/>
      </c>
      <c r="CN403" s="403" t="str">
        <f t="shared" ca="1" si="692"/>
        <v/>
      </c>
      <c r="CO403" s="403" t="str">
        <f t="shared" ca="1" si="692"/>
        <v/>
      </c>
      <c r="CP403" s="403" t="str">
        <f t="shared" ca="1" si="692"/>
        <v/>
      </c>
      <c r="CQ403" s="403" t="str">
        <f t="shared" ca="1" si="692"/>
        <v/>
      </c>
      <c r="CR403" s="403" t="str">
        <f t="shared" ca="1" si="692"/>
        <v/>
      </c>
      <c r="CS403" s="403" t="str">
        <f t="shared" ca="1" si="692"/>
        <v/>
      </c>
      <c r="CT403" s="403" t="str">
        <f t="shared" ca="1" si="692"/>
        <v/>
      </c>
      <c r="CU403" s="403" t="str">
        <f t="shared" ca="1" si="692"/>
        <v/>
      </c>
      <c r="CV403" s="403" t="str">
        <f t="shared" ca="1" si="692"/>
        <v/>
      </c>
      <c r="CW403" s="403" t="str">
        <f t="shared" ca="1" si="692"/>
        <v/>
      </c>
      <c r="CX403" s="403" t="str">
        <f t="shared" ca="1" si="692"/>
        <v/>
      </c>
      <c r="CY403" s="403" t="str">
        <f t="shared" ca="1" si="692"/>
        <v/>
      </c>
      <c r="CZ403" s="403" t="str">
        <f t="shared" ca="1" si="692"/>
        <v/>
      </c>
      <c r="DA403" s="403" t="str">
        <f t="shared" ca="1" si="692"/>
        <v/>
      </c>
      <c r="DB403" s="403" t="str">
        <f t="shared" ca="1" si="692"/>
        <v/>
      </c>
      <c r="DC403" s="403" t="str">
        <f t="shared" ca="1" si="692"/>
        <v/>
      </c>
      <c r="DD403" s="403" t="str">
        <f t="shared" ca="1" si="692"/>
        <v/>
      </c>
      <c r="DE403" s="403" t="str">
        <f t="shared" ca="1" si="692"/>
        <v/>
      </c>
      <c r="DF403" s="403" t="str">
        <f t="shared" ca="1" si="692"/>
        <v/>
      </c>
      <c r="DG403" s="403" t="str">
        <f t="shared" ca="1" si="692"/>
        <v/>
      </c>
      <c r="DH403" s="403" t="str">
        <f t="shared" ca="1" si="692"/>
        <v/>
      </c>
      <c r="DI403" s="403" t="str">
        <f t="shared" ca="1" si="692"/>
        <v/>
      </c>
      <c r="DJ403" s="403" t="str">
        <f t="shared" ca="1" si="692"/>
        <v/>
      </c>
      <c r="DK403" s="403" t="str">
        <f t="shared" ca="1" si="692"/>
        <v/>
      </c>
      <c r="DL403" s="403" t="str">
        <f t="shared" ca="1" si="692"/>
        <v/>
      </c>
      <c r="DM403" s="403" t="str">
        <f t="shared" ca="1" si="692"/>
        <v/>
      </c>
      <c r="DN403" s="403" t="str">
        <f t="shared" ca="1" si="692"/>
        <v/>
      </c>
      <c r="DO403" s="403" t="str">
        <f t="shared" ca="1" si="692"/>
        <v/>
      </c>
      <c r="DP403" s="403" t="str">
        <f t="shared" ca="1" si="692"/>
        <v/>
      </c>
      <c r="DQ403" s="403" t="str">
        <f t="shared" ca="1" si="692"/>
        <v/>
      </c>
      <c r="DR403" s="403" t="str">
        <f t="shared" ca="1" si="692"/>
        <v/>
      </c>
      <c r="DS403" s="403" t="str">
        <f t="shared" ca="1" si="692"/>
        <v/>
      </c>
      <c r="DT403" s="403" t="str">
        <f t="shared" ca="1" si="692"/>
        <v/>
      </c>
      <c r="DU403" s="403" t="str">
        <f t="shared" ca="1" si="692"/>
        <v/>
      </c>
      <c r="DV403" s="403" t="str">
        <f t="shared" ca="1" si="692"/>
        <v/>
      </c>
      <c r="DW403" s="403" t="str">
        <f t="shared" ca="1" si="692"/>
        <v/>
      </c>
      <c r="DX403" s="403" t="str">
        <f t="shared" ca="1" si="692"/>
        <v/>
      </c>
      <c r="DY403" s="403" t="str">
        <f t="shared" ca="1" si="692"/>
        <v/>
      </c>
      <c r="DZ403" s="403" t="str">
        <f t="shared" ca="1" si="692"/>
        <v/>
      </c>
      <c r="EA403" s="403" t="str">
        <f t="shared" ca="1" si="692"/>
        <v/>
      </c>
      <c r="EB403" s="403" t="str">
        <f t="shared" ca="1" si="692"/>
        <v/>
      </c>
      <c r="EC403" s="403" t="str">
        <f t="shared" ca="1" si="692"/>
        <v/>
      </c>
      <c r="ED403" s="403" t="str">
        <f t="shared" ca="1" si="692"/>
        <v/>
      </c>
      <c r="EE403" s="403" t="str">
        <f t="shared" ca="1" si="692"/>
        <v/>
      </c>
      <c r="EF403" s="403" t="str">
        <f t="shared" ca="1" si="692"/>
        <v/>
      </c>
      <c r="EG403" s="403" t="str">
        <f t="shared" ref="EG403:EI403" ca="1" si="693">IF(EG400=0,"",IF(EG400=EG$3,EG402,EG$5+EH$5-EG404-1))</f>
        <v/>
      </c>
      <c r="EH403" s="403" t="str">
        <f t="shared" ca="1" si="693"/>
        <v/>
      </c>
      <c r="EI403" s="403" t="str">
        <f t="shared" ca="1" si="693"/>
        <v/>
      </c>
    </row>
    <row r="404" spans="1:141" hidden="1" outlineLevel="2">
      <c r="A404" s="332"/>
      <c r="D404" s="305" t="s">
        <v>672</v>
      </c>
      <c r="E404" s="1002" t="str">
        <f ca="1">IF(E400=0,"",MAX(G404:EI404))</f>
        <v/>
      </c>
      <c r="F404" s="1003"/>
      <c r="G404" s="403" t="str">
        <f ca="1">IF(SUM(G400:$EI400)=0,"",IF(G$227="","",G$227+G400-1))</f>
        <v/>
      </c>
      <c r="H404" s="403" t="str">
        <f ca="1">IF(SUM(H400:$EI400)=0,"",IF(H$227="","",H$227+H400-1))</f>
        <v/>
      </c>
      <c r="I404" s="403" t="str">
        <f ca="1">IF(SUM(I400:$EI400)=0,"",IF(I$227="","",I$227+I400-1))</f>
        <v/>
      </c>
      <c r="J404" s="403" t="str">
        <f ca="1">IF(SUM(J400:$EI400)=0,"",IF(J$227="","",J$227+J400-1))</f>
        <v/>
      </c>
      <c r="K404" s="403" t="str">
        <f ca="1">IF(SUM(K400:$EI400)=0,"",IF(K$227="","",K$227+K400-1))</f>
        <v/>
      </c>
      <c r="L404" s="403" t="str">
        <f ca="1">IF(SUM(L400:$EI400)=0,"",IF(L$227="","",L$227+L400-1))</f>
        <v/>
      </c>
      <c r="M404" s="403" t="str">
        <f ca="1">IF(SUM(M400:$EI400)=0,"",IF(M$227="","",M$227+M400-1))</f>
        <v/>
      </c>
      <c r="N404" s="403" t="str">
        <f ca="1">IF(SUM(N400:$EI400)=0,"",IF(N$227="","",N$227+N400-1))</f>
        <v/>
      </c>
      <c r="O404" s="403" t="str">
        <f ca="1">IF(SUM(O400:$EI400)=0,"",IF(O$227="","",O$227+O400-1))</f>
        <v/>
      </c>
      <c r="P404" s="403" t="str">
        <f ca="1">IF(SUM(P400:$EI400)=0,"",IF(P$227="","",P$227+P400-1))</f>
        <v/>
      </c>
      <c r="Q404" s="403" t="str">
        <f ca="1">IF(SUM(Q400:$EI400)=0,"",IF(Q$227="","",Q$227+Q400-1))</f>
        <v/>
      </c>
      <c r="R404" s="403" t="str">
        <f ca="1">IF(SUM(R400:$EI400)=0,"",IF(R$227="","",R$227+R400-1))</f>
        <v/>
      </c>
      <c r="S404" s="403" t="str">
        <f ca="1">IF(SUM(S400:$EI400)=0,"",IF(S$227="","",S$227+S400-1))</f>
        <v/>
      </c>
      <c r="T404" s="403" t="str">
        <f ca="1">IF(SUM(T400:$EI400)=0,"",IF(T$227="","",T$227+T400-1))</f>
        <v/>
      </c>
      <c r="U404" s="403" t="str">
        <f ca="1">IF(SUM(U400:$EI400)=0,"",IF(U$227="","",U$227+U400-1))</f>
        <v/>
      </c>
      <c r="V404" s="403" t="str">
        <f ca="1">IF(SUM(V400:$EI400)=0,"",IF(V$227="","",V$227+V400-1))</f>
        <v/>
      </c>
      <c r="W404" s="403" t="str">
        <f ca="1">IF(SUM(W400:$EI400)=0,"",IF(W$227="","",W$227+W400-1))</f>
        <v/>
      </c>
      <c r="X404" s="403" t="str">
        <f ca="1">IF(SUM(X400:$EI400)=0,"",IF(X$227="","",X$227+X400-1))</f>
        <v/>
      </c>
      <c r="Y404" s="403" t="str">
        <f ca="1">IF(SUM(Y400:$EI400)=0,"",IF(Y$227="","",Y$227+Y400-1))</f>
        <v/>
      </c>
      <c r="Z404" s="403" t="str">
        <f ca="1">IF(SUM(Z400:$EI400)=0,"",IF(Z$227="","",Z$227+Z400-1))</f>
        <v/>
      </c>
      <c r="AA404" s="403" t="str">
        <f ca="1">IF(SUM(AA400:$EI400)=0,"",IF(AA$227="","",AA$227+AA400-1))</f>
        <v/>
      </c>
      <c r="AB404" s="403" t="str">
        <f ca="1">IF(SUM(AB400:$EI400)=0,"",IF(AB$227="","",AB$227+AB400-1))</f>
        <v/>
      </c>
      <c r="AC404" s="403" t="str">
        <f ca="1">IF(SUM(AC400:$EI400)=0,"",IF(AC$227="","",AC$227+AC400-1))</f>
        <v/>
      </c>
      <c r="AD404" s="403" t="str">
        <f ca="1">IF(SUM(AD400:$EI400)=0,"",IF(AD$227="","",AD$227+AD400-1))</f>
        <v/>
      </c>
      <c r="AE404" s="403" t="str">
        <f ca="1">IF(SUM(AE400:$EI400)=0,"",IF(AE$227="","",AE$227+AE400-1))</f>
        <v/>
      </c>
      <c r="AF404" s="403" t="str">
        <f ca="1">IF(SUM(AF400:$EI400)=0,"",IF(AF$227="","",AF$227+AF400-1))</f>
        <v/>
      </c>
      <c r="AG404" s="403" t="str">
        <f ca="1">IF(SUM(AG400:$EI400)=0,"",IF(AG$227="","",AG$227+AG400-1))</f>
        <v/>
      </c>
      <c r="AH404" s="403" t="str">
        <f ca="1">IF(SUM(AH400:$EI400)=0,"",IF(AH$227="","",AH$227+AH400-1))</f>
        <v/>
      </c>
      <c r="AI404" s="403" t="str">
        <f ca="1">IF(SUM(AI400:$EI400)=0,"",IF(AI$227="","",AI$227+AI400-1))</f>
        <v/>
      </c>
      <c r="AJ404" s="403" t="str">
        <f ca="1">IF(SUM(AJ400:$EI400)=0,"",IF(AJ$227="","",AJ$227+AJ400-1))</f>
        <v/>
      </c>
      <c r="AK404" s="403" t="str">
        <f ca="1">IF(SUM(AK400:$EI400)=0,"",IF(AK$227="","",AK$227+AK400-1))</f>
        <v/>
      </c>
      <c r="AL404" s="403" t="str">
        <f ca="1">IF(SUM(AL400:$EI400)=0,"",IF(AL$227="","",AL$227+AL400-1))</f>
        <v/>
      </c>
      <c r="AM404" s="403" t="str">
        <f ca="1">IF(SUM(AM400:$EI400)=0,"",IF(AM$227="","",AM$227+AM400-1))</f>
        <v/>
      </c>
      <c r="AN404" s="403" t="str">
        <f ca="1">IF(SUM(AN400:$EI400)=0,"",IF(AN$227="","",AN$227+AN400-1))</f>
        <v/>
      </c>
      <c r="AO404" s="403" t="str">
        <f ca="1">IF(SUM(AO400:$EI400)=0,"",IF(AO$227="","",AO$227+AO400-1))</f>
        <v/>
      </c>
      <c r="AP404" s="403" t="str">
        <f ca="1">IF(SUM(AP400:$EI400)=0,"",IF(AP$227="","",AP$227+AP400-1))</f>
        <v/>
      </c>
      <c r="AQ404" s="403" t="str">
        <f ca="1">IF(SUM(AQ400:$EI400)=0,"",IF(AQ$227="","",AQ$227+AQ400-1))</f>
        <v/>
      </c>
      <c r="AR404" s="403" t="str">
        <f ca="1">IF(SUM(AR400:$EI400)=0,"",IF(AR$227="","",AR$227+AR400-1))</f>
        <v/>
      </c>
      <c r="AS404" s="403" t="str">
        <f ca="1">IF(SUM(AS400:$EI400)=0,"",IF(AS$227="","",AS$227+AS400-1))</f>
        <v/>
      </c>
      <c r="AT404" s="403" t="str">
        <f ca="1">IF(SUM(AT400:$EI400)=0,"",IF(AT$227="","",AT$227+AT400-1))</f>
        <v/>
      </c>
      <c r="AU404" s="403" t="str">
        <f ca="1">IF(SUM(AU400:$EI400)=0,"",IF(AU$227="","",AU$227+AU400-1))</f>
        <v/>
      </c>
      <c r="AV404" s="403" t="str">
        <f ca="1">IF(SUM(AV400:$EI400)=0,"",IF(AV$227="","",AV$227+AV400-1))</f>
        <v/>
      </c>
      <c r="AW404" s="403" t="str">
        <f ca="1">IF(SUM(AW400:$EI400)=0,"",IF(AW$227="","",AW$227+AW400-1))</f>
        <v/>
      </c>
      <c r="AX404" s="403" t="str">
        <f ca="1">IF(SUM(AX400:$EI400)=0,"",IF(AX$227="","",AX$227+AX400-1))</f>
        <v/>
      </c>
      <c r="AY404" s="403" t="str">
        <f ca="1">IF(SUM(AY400:$EI400)=0,"",IF(AY$227="","",AY$227+AY400-1))</f>
        <v/>
      </c>
      <c r="AZ404" s="403" t="str">
        <f ca="1">IF(SUM(AZ400:$EI400)=0,"",IF(AZ$227="","",AZ$227+AZ400-1))</f>
        <v/>
      </c>
      <c r="BA404" s="403" t="str">
        <f ca="1">IF(SUM(BA400:$EI400)=0,"",IF(BA$227="","",BA$227+BA400-1))</f>
        <v/>
      </c>
      <c r="BB404" s="403" t="str">
        <f ca="1">IF(SUM(BB400:$EI400)=0,"",IF(BB$227="","",BB$227+BB400-1))</f>
        <v/>
      </c>
      <c r="BC404" s="403" t="str">
        <f ca="1">IF(SUM(BC400:$EI400)=0,"",IF(BC$227="","",BC$227+BC400-1))</f>
        <v/>
      </c>
      <c r="BD404" s="403" t="str">
        <f ca="1">IF(SUM(BD400:$EI400)=0,"",IF(BD$227="","",BD$227+BD400-1))</f>
        <v/>
      </c>
      <c r="BE404" s="403" t="str">
        <f ca="1">IF(SUM(BE400:$EI400)=0,"",IF(BE$227="","",BE$227+BE400-1))</f>
        <v/>
      </c>
      <c r="BF404" s="403" t="str">
        <f ca="1">IF(SUM(BF400:$EI400)=0,"",IF(BF$227="","",BF$227+BF400-1))</f>
        <v/>
      </c>
      <c r="BG404" s="403" t="str">
        <f ca="1">IF(SUM(BG400:$EI400)=0,"",IF(BG$227="","",BG$227+BG400-1))</f>
        <v/>
      </c>
      <c r="BH404" s="403" t="str">
        <f ca="1">IF(SUM(BH400:$EI400)=0,"",IF(BH$227="","",BH$227+BH400-1))</f>
        <v/>
      </c>
      <c r="BI404" s="403" t="str">
        <f ca="1">IF(SUM(BI400:$EI400)=0,"",IF(BI$227="","",BI$227+BI400-1))</f>
        <v/>
      </c>
      <c r="BJ404" s="403" t="str">
        <f ca="1">IF(SUM(BJ400:$EI400)=0,"",IF(BJ$227="","",BJ$227+BJ400-1))</f>
        <v/>
      </c>
      <c r="BK404" s="403" t="str">
        <f ca="1">IF(SUM(BK400:$EI400)=0,"",IF(BK$227="","",BK$227+BK400-1))</f>
        <v/>
      </c>
      <c r="BL404" s="403" t="str">
        <f ca="1">IF(SUM(BL400:$EI400)=0,"",IF(BL$227="","",BL$227+BL400-1))</f>
        <v/>
      </c>
      <c r="BM404" s="403" t="str">
        <f ca="1">IF(SUM(BM400:$EI400)=0,"",IF(BM$227="","",BM$227+BM400-1))</f>
        <v/>
      </c>
      <c r="BN404" s="403" t="str">
        <f ca="1">IF(SUM(BN400:$EI400)=0,"",IF(BN$227="","",BN$227+BN400-1))</f>
        <v/>
      </c>
      <c r="BO404" s="403" t="str">
        <f ca="1">IF(SUM(BO400:$EI400)=0,"",IF(BO$227="","",BO$227+BO400-1))</f>
        <v/>
      </c>
      <c r="BP404" s="403" t="str">
        <f ca="1">IF(SUM(BP400:$EI400)=0,"",IF(BP$227="","",BP$227+BP400-1))</f>
        <v/>
      </c>
      <c r="BQ404" s="403" t="str">
        <f ca="1">IF(SUM(BQ400:$EI400)=0,"",IF(BQ$227="","",BQ$227+BQ400-1))</f>
        <v/>
      </c>
      <c r="BR404" s="403" t="str">
        <f ca="1">IF(SUM(BR400:$EI400)=0,"",IF(BR$227="","",BR$227+BR400-1))</f>
        <v/>
      </c>
      <c r="BS404" s="403" t="str">
        <f ca="1">IF(SUM(BS400:$EI400)=0,"",IF(BS$227="","",BS$227+BS400-1))</f>
        <v/>
      </c>
      <c r="BT404" s="403" t="str">
        <f ca="1">IF(SUM(BT400:$EI400)=0,"",IF(BT$227="","",BT$227+BT400-1))</f>
        <v/>
      </c>
      <c r="BU404" s="403" t="str">
        <f ca="1">IF(SUM(BU400:$EI400)=0,"",IF(BU$227="","",BU$227+BU400-1))</f>
        <v/>
      </c>
      <c r="BV404" s="403" t="str">
        <f ca="1">IF(SUM(BV400:$EI400)=0,"",IF(BV$227="","",BV$227+BV400-1))</f>
        <v/>
      </c>
      <c r="BW404" s="403" t="str">
        <f ca="1">IF(SUM(BW400:$EI400)=0,"",IF(BW$227="","",BW$227+BW400-1))</f>
        <v/>
      </c>
      <c r="BX404" s="403" t="str">
        <f ca="1">IF(SUM(BX400:$EI400)=0,"",IF(BX$227="","",BX$227+BX400-1))</f>
        <v/>
      </c>
      <c r="BY404" s="403" t="str">
        <f ca="1">IF(SUM(BY400:$EI400)=0,"",IF(BY$227="","",BY$227+BY400-1))</f>
        <v/>
      </c>
      <c r="BZ404" s="403" t="str">
        <f ca="1">IF(SUM(BZ400:$EI400)=0,"",IF(BZ$227="","",BZ$227+BZ400-1))</f>
        <v/>
      </c>
      <c r="CA404" s="403" t="str">
        <f ca="1">IF(SUM(CA400:$EI400)=0,"",IF(CA$227="","",CA$227+CA400-1))</f>
        <v/>
      </c>
      <c r="CB404" s="403" t="str">
        <f ca="1">IF(SUM(CB400:$EI400)=0,"",IF(CB$227="","",CB$227+CB400-1))</f>
        <v/>
      </c>
      <c r="CC404" s="403" t="str">
        <f ca="1">IF(SUM(CC400:$EI400)=0,"",IF(CC$227="","",CC$227+CC400-1))</f>
        <v/>
      </c>
      <c r="CD404" s="403" t="str">
        <f ca="1">IF(SUM(CD400:$EI400)=0,"",IF(CD$227="","",CD$227+CD400-1))</f>
        <v/>
      </c>
      <c r="CE404" s="403" t="str">
        <f ca="1">IF(SUM(CE400:$EI400)=0,"",IF(CE$227="","",CE$227+CE400-1))</f>
        <v/>
      </c>
      <c r="CF404" s="403" t="str">
        <f ca="1">IF(SUM(CF400:$EI400)=0,"",IF(CF$227="","",CF$227+CF400-1))</f>
        <v/>
      </c>
      <c r="CG404" s="403" t="str">
        <f ca="1">IF(SUM(CG400:$EI400)=0,"",IF(CG$227="","",CG$227+CG400-1))</f>
        <v/>
      </c>
      <c r="CH404" s="403" t="str">
        <f ca="1">IF(SUM(CH400:$EI400)=0,"",IF(CH$227="","",CH$227+CH400-1))</f>
        <v/>
      </c>
      <c r="CI404" s="403" t="str">
        <f ca="1">IF(SUM(CI400:$EI400)=0,"",IF(CI$227="","",CI$227+CI400-1))</f>
        <v/>
      </c>
      <c r="CJ404" s="403" t="str">
        <f ca="1">IF(SUM(CJ400:$EI400)=0,"",IF(CJ$227="","",CJ$227+CJ400-1))</f>
        <v/>
      </c>
      <c r="CK404" s="403" t="str">
        <f ca="1">IF(SUM(CK400:$EI400)=0,"",IF(CK$227="","",CK$227+CK400-1))</f>
        <v/>
      </c>
      <c r="CL404" s="403" t="str">
        <f ca="1">IF(SUM(CL400:$EI400)=0,"",IF(CL$227="","",CL$227+CL400-1))</f>
        <v/>
      </c>
      <c r="CM404" s="403" t="str">
        <f ca="1">IF(SUM(CM400:$EI400)=0,"",IF(CM$227="","",CM$227+CM400-1))</f>
        <v/>
      </c>
      <c r="CN404" s="403" t="str">
        <f ca="1">IF(SUM(CN400:$EI400)=0,"",IF(CN$227="","",CN$227+CN400-1))</f>
        <v/>
      </c>
      <c r="CO404" s="403" t="str">
        <f ca="1">IF(SUM(CO400:$EI400)=0,"",IF(CO$227="","",CO$227+CO400-1))</f>
        <v/>
      </c>
      <c r="CP404" s="403" t="str">
        <f ca="1">IF(SUM(CP400:$EI400)=0,"",IF(CP$227="","",CP$227+CP400-1))</f>
        <v/>
      </c>
      <c r="CQ404" s="403" t="str">
        <f ca="1">IF(SUM(CQ400:$EI400)=0,"",IF(CQ$227="","",CQ$227+CQ400-1))</f>
        <v/>
      </c>
      <c r="CR404" s="403" t="str">
        <f ca="1">IF(SUM(CR400:$EI400)=0,"",IF(CR$227="","",CR$227+CR400-1))</f>
        <v/>
      </c>
      <c r="CS404" s="403" t="str">
        <f ca="1">IF(SUM(CS400:$EI400)=0,"",IF(CS$227="","",CS$227+CS400-1))</f>
        <v/>
      </c>
      <c r="CT404" s="403" t="str">
        <f ca="1">IF(SUM(CT400:$EI400)=0,"",IF(CT$227="","",CT$227+CT400-1))</f>
        <v/>
      </c>
      <c r="CU404" s="403" t="str">
        <f ca="1">IF(SUM(CU400:$EI400)=0,"",IF(CU$227="","",CU$227+CU400-1))</f>
        <v/>
      </c>
      <c r="CV404" s="403" t="str">
        <f ca="1">IF(SUM(CV400:$EI400)=0,"",IF(CV$227="","",CV$227+CV400-1))</f>
        <v/>
      </c>
      <c r="CW404" s="403" t="str">
        <f ca="1">IF(SUM(CW400:$EI400)=0,"",IF(CW$227="","",CW$227+CW400-1))</f>
        <v/>
      </c>
      <c r="CX404" s="403" t="str">
        <f ca="1">IF(SUM(CX400:$EI400)=0,"",IF(CX$227="","",CX$227+CX400-1))</f>
        <v/>
      </c>
      <c r="CY404" s="403" t="str">
        <f ca="1">IF(SUM(CY400:$EI400)=0,"",IF(CY$227="","",CY$227+CY400-1))</f>
        <v/>
      </c>
      <c r="CZ404" s="403" t="str">
        <f ca="1">IF(SUM(CZ400:$EI400)=0,"",IF(CZ$227="","",CZ$227+CZ400-1))</f>
        <v/>
      </c>
      <c r="DA404" s="403" t="str">
        <f ca="1">IF(SUM(DA400:$EI400)=0,"",IF(DA$227="","",DA$227+DA400-1))</f>
        <v/>
      </c>
      <c r="DB404" s="403" t="str">
        <f ca="1">IF(SUM(DB400:$EI400)=0,"",IF(DB$227="","",DB$227+DB400-1))</f>
        <v/>
      </c>
      <c r="DC404" s="403" t="str">
        <f ca="1">IF(SUM(DC400:$EI400)=0,"",IF(DC$227="","",DC$227+DC400-1))</f>
        <v/>
      </c>
      <c r="DD404" s="403" t="str">
        <f ca="1">IF(SUM(DD400:$EI400)=0,"",IF(DD$227="","",DD$227+DD400-1))</f>
        <v/>
      </c>
      <c r="DE404" s="403" t="str">
        <f ca="1">IF(SUM(DE400:$EI400)=0,"",IF(DE$227="","",DE$227+DE400-1))</f>
        <v/>
      </c>
      <c r="DF404" s="403" t="str">
        <f ca="1">IF(SUM(DF400:$EI400)=0,"",IF(DF$227="","",DF$227+DF400-1))</f>
        <v/>
      </c>
      <c r="DG404" s="403" t="str">
        <f ca="1">IF(SUM(DG400:$EI400)=0,"",IF(DG$227="","",DG$227+DG400-1))</f>
        <v/>
      </c>
      <c r="DH404" s="403" t="str">
        <f ca="1">IF(SUM(DH400:$EI400)=0,"",IF(DH$227="","",DH$227+DH400-1))</f>
        <v/>
      </c>
      <c r="DI404" s="403" t="str">
        <f ca="1">IF(SUM(DI400:$EI400)=0,"",IF(DI$227="","",DI$227+DI400-1))</f>
        <v/>
      </c>
      <c r="DJ404" s="403" t="str">
        <f ca="1">IF(SUM(DJ400:$EI400)=0,"",IF(DJ$227="","",DJ$227+DJ400-1))</f>
        <v/>
      </c>
      <c r="DK404" s="403" t="str">
        <f ca="1">IF(SUM(DK400:$EI400)=0,"",IF(DK$227="","",DK$227+DK400-1))</f>
        <v/>
      </c>
      <c r="DL404" s="403" t="str">
        <f ca="1">IF(SUM(DL400:$EI400)=0,"",IF(DL$227="","",DL$227+DL400-1))</f>
        <v/>
      </c>
      <c r="DM404" s="403" t="str">
        <f ca="1">IF(SUM(DM400:$EI400)=0,"",IF(DM$227="","",DM$227+DM400-1))</f>
        <v/>
      </c>
      <c r="DN404" s="403" t="str">
        <f ca="1">IF(SUM(DN400:$EI400)=0,"",IF(DN$227="","",DN$227+DN400-1))</f>
        <v/>
      </c>
      <c r="DO404" s="403" t="str">
        <f ca="1">IF(SUM(DO400:$EI400)=0,"",IF(DO$227="","",DO$227+DO400-1))</f>
        <v/>
      </c>
      <c r="DP404" s="403" t="str">
        <f ca="1">IF(SUM(DP400:$EI400)=0,"",IF(DP$227="","",DP$227+DP400-1))</f>
        <v/>
      </c>
      <c r="DQ404" s="403" t="str">
        <f ca="1">IF(SUM(DQ400:$EI400)=0,"",IF(DQ$227="","",DQ$227+DQ400-1))</f>
        <v/>
      </c>
      <c r="DR404" s="403" t="str">
        <f ca="1">IF(SUM(DR400:$EI400)=0,"",IF(DR$227="","",DR$227+DR400-1))</f>
        <v/>
      </c>
      <c r="DS404" s="403" t="str">
        <f ca="1">IF(SUM(DS400:$EI400)=0,"",IF(DS$227="","",DS$227+DS400-1))</f>
        <v/>
      </c>
      <c r="DT404" s="403" t="str">
        <f ca="1">IF(SUM(DT400:$EI400)=0,"",IF(DT$227="","",DT$227+DT400-1))</f>
        <v/>
      </c>
      <c r="DU404" s="403" t="str">
        <f ca="1">IF(SUM(DU400:$EI400)=0,"",IF(DU$227="","",DU$227+DU400-1))</f>
        <v/>
      </c>
      <c r="DV404" s="403" t="str">
        <f ca="1">IF(SUM(DV400:$EI400)=0,"",IF(DV$227="","",DV$227+DV400-1))</f>
        <v/>
      </c>
      <c r="DW404" s="403" t="str">
        <f ca="1">IF(SUM(DW400:$EI400)=0,"",IF(DW$227="","",DW$227+DW400-1))</f>
        <v/>
      </c>
      <c r="DX404" s="403" t="str">
        <f ca="1">IF(SUM(DX400:$EI400)=0,"",IF(DX$227="","",DX$227+DX400-1))</f>
        <v/>
      </c>
      <c r="DY404" s="403" t="str">
        <f ca="1">IF(SUM(DY400:$EI400)=0,"",IF(DY$227="","",DY$227+DY400-1))</f>
        <v/>
      </c>
      <c r="DZ404" s="403" t="str">
        <f ca="1">IF(SUM(DZ400:$EI400)=0,"",IF(DZ$227="","",DZ$227+DZ400-1))</f>
        <v/>
      </c>
      <c r="EA404" s="403" t="str">
        <f ca="1">IF(SUM(EA400:$EI400)=0,"",IF(EA$227="","",EA$227+EA400-1))</f>
        <v/>
      </c>
      <c r="EB404" s="403" t="str">
        <f ca="1">IF(SUM(EB400:$EI400)=0,"",IF(EB$227="","",EB$227+EB400-1))</f>
        <v/>
      </c>
      <c r="EC404" s="403" t="str">
        <f ca="1">IF(SUM(EC400:$EI400)=0,"",IF(EC$227="","",EC$227+EC400-1))</f>
        <v/>
      </c>
      <c r="ED404" s="403" t="str">
        <f ca="1">IF(SUM(ED400:$EI400)=0,"",IF(ED$227="","",ED$227+ED400-1))</f>
        <v/>
      </c>
      <c r="EE404" s="403" t="str">
        <f ca="1">IF(SUM(EE400:$EI400)=0,"",IF(EE$227="","",EE$227+EE400-1))</f>
        <v/>
      </c>
      <c r="EF404" s="403" t="str">
        <f ca="1">IF(SUM(EF400:$EI400)=0,"",IF(EF$227="","",EF$227+EF400-1))</f>
        <v/>
      </c>
      <c r="EG404" s="403" t="str">
        <f ca="1">IF(SUM(EG400:$EI400)=0,"",IF(EG$227="","",EG$227+EG400-1))</f>
        <v/>
      </c>
      <c r="EH404" s="403" t="str">
        <f ca="1">IF(SUM(EH400:$EI400)=0,"",IF(EH$227="","",EH$227+EH400-1))</f>
        <v/>
      </c>
      <c r="EI404" s="403" t="str">
        <f ca="1">IF(SUM(EI400:$EI400)=0,"",IF(EI$227="","",EI$227+EI400-1))</f>
        <v/>
      </c>
    </row>
    <row r="405" spans="1:141" outlineLevel="1" collapsed="1">
      <c r="A405" s="332"/>
      <c r="B405" s="313"/>
      <c r="C405" s="317" t="s">
        <v>281</v>
      </c>
      <c r="D405" s="317" t="s">
        <v>690</v>
      </c>
      <c r="E405" s="400">
        <f ca="1">IF(ГРП!B45=0,длительность!E134,ГРП!B45)</f>
        <v>0</v>
      </c>
      <c r="F405" s="318">
        <f ca="1">E405-SUM(G405:EJ405)</f>
        <v>0</v>
      </c>
      <c r="G405" s="401"/>
      <c r="H405" s="401">
        <f ca="1">IF(SUM($G405:G405)&gt;=$E405,0,IF($E405-SUM($G405:G405)&gt;H406,H406,$E405-SUM($G406:G406)))</f>
        <v>0</v>
      </c>
      <c r="I405" s="401">
        <f ca="1">IF(SUM($G405:H405)&gt;=$E405,0,IF($E405-SUM($G405:H405)&gt;I406,I406,$E405-SUM($G406:H406)))</f>
        <v>0</v>
      </c>
      <c r="J405" s="401">
        <f ca="1">IF(SUM($G405:I405)&gt;=$E405,0,IF($E405-SUM($G405:I405)&gt;J406,J406,$E405-SUM($G406:I406)))</f>
        <v>0</v>
      </c>
      <c r="K405" s="401">
        <f ca="1">IF(SUM($G405:J405)&gt;=$E405,0,IF($E405-SUM($G405:J405)&gt;K406,K406,$E405-SUM($G406:J406)))</f>
        <v>0</v>
      </c>
      <c r="L405" s="401">
        <f ca="1">IF(SUM($G405:K405)&gt;=$E405,0,IF($E405-SUM($G405:K405)&gt;L406,L406,$E405-SUM($G406:K406)))</f>
        <v>0</v>
      </c>
      <c r="M405" s="401">
        <f ca="1">IF(SUM($G405:L405)&gt;=$E405,0,IF($E405-SUM($G405:L405)&gt;M406,M406,$E405-SUM($G406:L406)))</f>
        <v>0</v>
      </c>
      <c r="N405" s="401">
        <f ca="1">IF(SUM($G405:M405)&gt;=$E405,0,IF($E405-SUM($G405:M405)&gt;N406,N406,$E405-SUM($G406:M406)))</f>
        <v>0</v>
      </c>
      <c r="O405" s="401">
        <f ca="1">IF(SUM($G405:N405)&gt;=$E405,0,IF($E405-SUM($G405:N405)&gt;O406,O406,$E405-SUM($G406:N406)))</f>
        <v>0</v>
      </c>
      <c r="P405" s="401">
        <f ca="1">IF(SUM($G405:O405)&gt;=$E405,0,IF($E405-SUM($G405:O405)&gt;P406,P406,$E405-SUM($G406:O406)))</f>
        <v>0</v>
      </c>
      <c r="Q405" s="401">
        <f ca="1">IF(SUM($G405:P405)&gt;=$E405,0,IF($E405-SUM($G405:P405)&gt;Q406,Q406,$E405-SUM($G406:P406)))</f>
        <v>0</v>
      </c>
      <c r="R405" s="401">
        <f ca="1">IF(SUM($G405:Q405)&gt;=$E405,0,IF($E405-SUM($G405:Q405)&gt;R406,R406,$E405-SUM($G406:Q406)))</f>
        <v>0</v>
      </c>
      <c r="S405" s="401">
        <f ca="1">IF(SUM($G405:R405)&gt;=$E405,0,IF($E405-SUM($G405:R405)&gt;S406,S406,$E405-SUM($G406:R406)))</f>
        <v>0</v>
      </c>
      <c r="T405" s="401">
        <f ca="1">IF(SUM($G405:S405)&gt;=$E405,0,IF($E405-SUM($G405:S405)&gt;T406,T406,$E405-SUM($G406:S406)))</f>
        <v>0</v>
      </c>
      <c r="U405" s="401">
        <f ca="1">IF(SUM($G405:T405)&gt;=$E405,0,IF($E405-SUM($G405:T405)&gt;U406,U406,$E405-SUM($G406:T406)))</f>
        <v>0</v>
      </c>
      <c r="V405" s="401">
        <f ca="1">IF(SUM($G405:U405)&gt;=$E405,0,IF($E405-SUM($G405:U405)&gt;V406,V406,$E405-SUM($G406:U406)))</f>
        <v>0</v>
      </c>
      <c r="W405" s="401">
        <f ca="1">IF(SUM($G405:V405)&gt;=$E405,0,IF($E405-SUM($G405:V405)&gt;W406,W406,$E405-SUM($G406:V406)))</f>
        <v>0</v>
      </c>
      <c r="X405" s="401">
        <f ca="1">IF(SUM($G405:W405)&gt;=$E405,0,IF($E405-SUM($G405:W405)&gt;X406,X406,$E405-SUM($G406:W406)))</f>
        <v>0</v>
      </c>
      <c r="Y405" s="401">
        <f ca="1">IF(SUM($G405:X405)&gt;=$E405,0,IF($E405-SUM($G405:X405)&gt;Y406,Y406,$E405-SUM($G406:X406)))</f>
        <v>0</v>
      </c>
      <c r="Z405" s="401">
        <f ca="1">IF(SUM($G405:Y405)&gt;=$E405,0,IF($E405-SUM($G405:Y405)&gt;Z406,Z406,$E405-SUM($G406:Y406)))</f>
        <v>0</v>
      </c>
      <c r="AA405" s="401">
        <f ca="1">IF(SUM($G405:Z405)&gt;=$E405,0,IF($E405-SUM($G405:Z405)&gt;AA406,AA406,$E405-SUM($G406:Z406)))</f>
        <v>0</v>
      </c>
      <c r="AB405" s="401">
        <f ca="1">IF(SUM($G405:AA405)&gt;=$E405,0,IF($E405-SUM($G405:AA405)&gt;AB406,AB406,$E405-SUM($G406:AA406)))</f>
        <v>0</v>
      </c>
      <c r="AC405" s="401">
        <f ca="1">IF(SUM($G405:AB405)&gt;=$E405,0,IF($E405-SUM($G405:AB405)&gt;AC406,AC406,$E405-SUM($G406:AB406)))</f>
        <v>0</v>
      </c>
      <c r="AD405" s="401">
        <f ca="1">IF(SUM($G405:AC405)&gt;=$E405,0,IF($E405-SUM($G405:AC405)&gt;AD406,AD406,$E405-SUM($G406:AC406)))</f>
        <v>0</v>
      </c>
      <c r="AE405" s="401">
        <f ca="1">IF(SUM($G405:AD405)&gt;=$E405,0,IF($E405-SUM($G405:AD405)&gt;AE406,AE406,$E405-SUM($G406:AD406)))</f>
        <v>0</v>
      </c>
      <c r="AF405" s="401">
        <f ca="1">IF(SUM($G405:AE405)&gt;=$E405,0,IF($E405-SUM($G405:AE405)&gt;AF406,AF406,$E405-SUM($G406:AE406)))</f>
        <v>0</v>
      </c>
      <c r="AG405" s="401">
        <f ca="1">IF(SUM($G405:AF405)&gt;=$E405,0,IF($E405-SUM($G405:AF405)&gt;AG406,AG406,$E405-SUM($G406:AF406)))</f>
        <v>0</v>
      </c>
      <c r="AH405" s="401">
        <f ca="1">IF(SUM($G405:AG405)&gt;=$E405,0,IF($E405-SUM($G405:AG405)&gt;AH406,AH406,$E405-SUM($G406:AG406)))</f>
        <v>0</v>
      </c>
      <c r="AI405" s="401">
        <f ca="1">IF(SUM($G405:AH405)&gt;=$E405,0,IF($E405-SUM($G405:AH405)&gt;AI406,AI406,$E405-SUM($G406:AH406)))</f>
        <v>0</v>
      </c>
      <c r="AJ405" s="401">
        <f ca="1">IF(SUM($G405:AI405)&gt;=$E405,0,IF($E405-SUM($G405:AI405)&gt;AJ406,AJ406,$E405-SUM($G406:AI406)))</f>
        <v>0</v>
      </c>
      <c r="AK405" s="401">
        <f ca="1">IF(SUM($G405:AJ405)&gt;=$E405,0,IF($E405-SUM($G405:AJ405)&gt;AK406,AK406,$E405-SUM($G406:AJ406)))</f>
        <v>0</v>
      </c>
      <c r="AL405" s="401">
        <f ca="1">IF(SUM($G405:AK405)&gt;=$E405,0,IF($E405-SUM($G405:AK405)&gt;AL406,AL406,$E405-SUM($G406:AK406)))</f>
        <v>0</v>
      </c>
      <c r="AM405" s="401">
        <f ca="1">IF(SUM($G405:AL405)&gt;=$E405,0,IF($E405-SUM($G405:AL405)&gt;AM406,AM406,$E405-SUM($G406:AL406)))</f>
        <v>0</v>
      </c>
      <c r="AN405" s="401">
        <f ca="1">IF(SUM($G405:AM405)&gt;=$E405,0,IF($E405-SUM($G405:AM405)&gt;AN406,AN406,$E405-SUM($G406:AM406)))</f>
        <v>0</v>
      </c>
      <c r="AO405" s="401">
        <f ca="1">IF(SUM($G405:AN405)&gt;=$E405,0,IF($E405-SUM($G405:AN405)&gt;AO406,AO406,$E405-SUM($G406:AN406)))</f>
        <v>0</v>
      </c>
      <c r="AP405" s="401">
        <f ca="1">IF(SUM($G405:AO405)&gt;=$E405,0,IF($E405-SUM($G405:AO405)&gt;AP406,AP406,$E405-SUM($G406:AO406)))</f>
        <v>0</v>
      </c>
      <c r="AQ405" s="401">
        <f ca="1">IF(SUM($G405:AP405)&gt;=$E405,0,IF($E405-SUM($G405:AP405)&gt;AQ406,AQ406,$E405-SUM($G406:AP406)))</f>
        <v>0</v>
      </c>
      <c r="AR405" s="401">
        <f ca="1">IF(SUM($G405:AQ405)&gt;=$E405,0,IF($E405-SUM($G405:AQ405)&gt;AR406,AR406,$E405-SUM($G406:AQ406)))</f>
        <v>0</v>
      </c>
      <c r="AS405" s="401">
        <f ca="1">IF(SUM($G405:AR405)&gt;=$E405,0,IF($E405-SUM($G405:AR405)&gt;AS406,AS406,$E405-SUM($G406:AR406)))</f>
        <v>0</v>
      </c>
      <c r="AT405" s="401">
        <f ca="1">IF(SUM($G405:AS405)&gt;=$E405,0,IF($E405-SUM($G405:AS405)&gt;AT406,AT406,$E405-SUM($G406:AS406)))</f>
        <v>0</v>
      </c>
      <c r="AU405" s="401">
        <f ca="1">IF(SUM($G405:AT405)&gt;=$E405,0,IF($E405-SUM($G405:AT405)&gt;AU406,AU406,$E405-SUM($G406:AT406)))</f>
        <v>0</v>
      </c>
      <c r="AV405" s="401">
        <f ca="1">IF(SUM($G405:AU405)&gt;=$E405,0,IF($E405-SUM($G405:AU405)&gt;AV406,AV406,$E405-SUM($G406:AU406)))</f>
        <v>0</v>
      </c>
      <c r="AW405" s="401">
        <f ca="1">IF(SUM($G405:AV405)&gt;=$E405,0,IF($E405-SUM($G405:AV405)&gt;AW406,AW406,$E405-SUM($G406:AV406)))</f>
        <v>0</v>
      </c>
      <c r="AX405" s="401">
        <f ca="1">IF(SUM($G405:AW405)&gt;=$E405,0,IF($E405-SUM($G405:AW405)&gt;AX406,AX406,$E405-SUM($G406:AW406)))</f>
        <v>0</v>
      </c>
      <c r="AY405" s="401">
        <f ca="1">IF(SUM($G405:AX405)&gt;=$E405,0,IF($E405-SUM($G405:AX405)&gt;AY406,AY406,$E405-SUM($G406:AX406)))</f>
        <v>0</v>
      </c>
      <c r="AZ405" s="401">
        <f ca="1">IF(SUM($G405:AY405)&gt;=$E405,0,IF($E405-SUM($G405:AY405)&gt;AZ406,AZ406,$E405-SUM($G406:AY406)))</f>
        <v>0</v>
      </c>
      <c r="BA405" s="401">
        <f ca="1">IF(SUM($G405:AZ405)&gt;=$E405,0,IF($E405-SUM($G405:AZ405)&gt;BA406,BA406,$E405-SUM($G406:AZ406)))</f>
        <v>0</v>
      </c>
      <c r="BB405" s="401">
        <f ca="1">IF(SUM($G405:BA405)&gt;=$E405,0,IF($E405-SUM($G405:BA405)&gt;BB406,BB406,$E405-SUM($G406:BA406)))</f>
        <v>0</v>
      </c>
      <c r="BC405" s="401">
        <f ca="1">IF(SUM($G405:BB405)&gt;=$E405,0,IF($E405-SUM($G405:BB405)&gt;BC406,BC406,$E405-SUM($G406:BB406)))</f>
        <v>0</v>
      </c>
      <c r="BD405" s="401">
        <f ca="1">IF(SUM($G405:BC405)&gt;=$E405,0,IF($E405-SUM($G405:BC405)&gt;BD406,BD406,$E405-SUM($G406:BC406)))</f>
        <v>0</v>
      </c>
      <c r="BE405" s="401">
        <f ca="1">IF(SUM($G405:BD405)&gt;=$E405,0,IF($E405-SUM($G405:BD405)&gt;BE406,BE406,$E405-SUM($G406:BD406)))</f>
        <v>0</v>
      </c>
      <c r="BF405" s="401">
        <f ca="1">IF(SUM($G405:BE405)&gt;=$E405,0,IF($E405-SUM($G405:BE405)&gt;BF406,BF406,$E405-SUM($G406:BE406)))</f>
        <v>0</v>
      </c>
      <c r="BG405" s="401">
        <f ca="1">IF(SUM($G405:BF405)&gt;=$E405,0,IF($E405-SUM($G405:BF405)&gt;BG406,BG406,$E405-SUM($G406:BF406)))</f>
        <v>0</v>
      </c>
      <c r="BH405" s="401">
        <f ca="1">IF(SUM($G405:BG405)&gt;=$E405,0,IF($E405-SUM($G405:BG405)&gt;BH406,BH406,$E405-SUM($G406:BG406)))</f>
        <v>0</v>
      </c>
      <c r="BI405" s="401">
        <f ca="1">IF(SUM($G405:BH405)&gt;=$E405,0,IF($E405-SUM($G405:BH405)&gt;BI406,BI406,$E405-SUM($G406:BH406)))</f>
        <v>0</v>
      </c>
      <c r="BJ405" s="401">
        <f ca="1">IF(SUM($G405:BI405)&gt;=$E405,0,IF($E405-SUM($G405:BI405)&gt;BJ406,BJ406,$E405-SUM($G406:BI406)))</f>
        <v>0</v>
      </c>
      <c r="BK405" s="401">
        <f ca="1">IF(SUM($G405:BJ405)&gt;=$E405,0,IF($E405-SUM($G405:BJ405)&gt;BK406,BK406,$E405-SUM($G406:BJ406)))</f>
        <v>0</v>
      </c>
      <c r="BL405" s="401">
        <f ca="1">IF(SUM($G405:BK405)&gt;=$E405,0,IF($E405-SUM($G405:BK405)&gt;BL406,BL406,$E405-SUM($G406:BK406)))</f>
        <v>0</v>
      </c>
      <c r="BM405" s="401">
        <f ca="1">IF(SUM($G405:BL405)&gt;=$E405,0,IF($E405-SUM($G405:BL405)&gt;BM406,BM406,$E405-SUM($G406:BL406)))</f>
        <v>0</v>
      </c>
      <c r="BN405" s="401">
        <f ca="1">IF(SUM($G405:BM405)&gt;=$E405,0,IF($E405-SUM($G405:BM405)&gt;BN406,BN406,$E405-SUM($G406:BM406)))</f>
        <v>0</v>
      </c>
      <c r="BO405" s="401">
        <f ca="1">IF(SUM($G405:BN405)&gt;=$E405,0,IF($E405-SUM($G405:BN405)&gt;BO406,BO406,$E405-SUM($G406:BN406)))</f>
        <v>0</v>
      </c>
      <c r="BP405" s="401">
        <f ca="1">IF(SUM($G405:BO405)&gt;=$E405,0,IF($E405-SUM($G405:BO405)&gt;BP406,BP406,$E405-SUM($G406:BO406)))</f>
        <v>0</v>
      </c>
      <c r="BQ405" s="401">
        <f ca="1">IF(SUM($G405:BP405)&gt;=$E405,0,IF($E405-SUM($G405:BP405)&gt;BQ406,BQ406,$E405-SUM($G406:BP406)))</f>
        <v>0</v>
      </c>
      <c r="BR405" s="401">
        <f ca="1">IF(SUM($G405:BQ405)&gt;=$E405,0,IF($E405-SUM($G405:BQ405)&gt;BR406,BR406,$E405-SUM($G406:BQ406)))</f>
        <v>0</v>
      </c>
      <c r="BS405" s="401">
        <f ca="1">IF(SUM($G405:BR405)&gt;=$E405,0,IF($E405-SUM($G405:BR405)&gt;BS406,BS406,$E405-SUM($G406:BR406)))</f>
        <v>0</v>
      </c>
      <c r="BT405" s="401">
        <f ca="1">IF(SUM($G405:BS405)&gt;=$E405,0,IF($E405-SUM($G405:BS405)&gt;BT406,BT406,$E405-SUM($G406:BS406)))</f>
        <v>0</v>
      </c>
      <c r="BU405" s="401">
        <f ca="1">IF(SUM($G405:BT405)&gt;=$E405,0,IF($E405-SUM($G405:BT405)&gt;BU406,BU406,$E405-SUM($G406:BT406)))</f>
        <v>0</v>
      </c>
      <c r="BV405" s="401">
        <f ca="1">IF(SUM($G405:BU405)&gt;=$E405,0,IF($E405-SUM($G405:BU405)&gt;BV406,BV406,$E405-SUM($G406:BU406)))</f>
        <v>0</v>
      </c>
      <c r="BW405" s="401">
        <f ca="1">IF(SUM($G405:BV405)&gt;=$E405,0,IF($E405-SUM($G405:BV405)&gt;BW406,BW406,$E405-SUM($G406:BV406)))</f>
        <v>0</v>
      </c>
      <c r="BX405" s="401">
        <f ca="1">IF(SUM($G405:BW405)&gt;=$E405,0,IF($E405-SUM($G405:BW405)&gt;BX406,BX406,$E405-SUM($G406:BW406)))</f>
        <v>0</v>
      </c>
      <c r="BY405" s="401">
        <f ca="1">IF(SUM($G405:BX405)&gt;=$E405,0,IF($E405-SUM($G405:BX405)&gt;BY406,BY406,$E405-SUM($G406:BX406)))</f>
        <v>0</v>
      </c>
      <c r="BZ405" s="401">
        <f ca="1">IF(SUM($G405:BY405)&gt;=$E405,0,IF($E405-SUM($G405:BY405)&gt;BZ406,BZ406,$E405-SUM($G406:BY406)))</f>
        <v>0</v>
      </c>
      <c r="CA405" s="401">
        <f ca="1">IF(SUM($G405:BZ405)&gt;=$E405,0,IF($E405-SUM($G405:BZ405)&gt;CA406,CA406,$E405-SUM($G406:BZ406)))</f>
        <v>0</v>
      </c>
      <c r="CB405" s="401">
        <f ca="1">IF(SUM($G405:CA405)&gt;=$E405,0,IF($E405-SUM($G405:CA405)&gt;CB406,CB406,$E405-SUM($G406:CA406)))</f>
        <v>0</v>
      </c>
      <c r="CC405" s="401">
        <f ca="1">IF(SUM($G405:CB405)&gt;=$E405,0,IF($E405-SUM($G405:CB405)&gt;CC406,CC406,$E405-SUM($G406:CB406)))</f>
        <v>0</v>
      </c>
      <c r="CD405" s="401">
        <f ca="1">IF(SUM($G405:CC405)&gt;=$E405,0,IF($E405-SUM($G405:CC405)&gt;CD406,CD406,$E405-SUM($G406:CC406)))</f>
        <v>0</v>
      </c>
      <c r="CE405" s="401">
        <f ca="1">IF(SUM($G405:CD405)&gt;=$E405,0,IF($E405-SUM($G405:CD405)&gt;CE406,CE406,$E405-SUM($G406:CD406)))</f>
        <v>0</v>
      </c>
      <c r="CF405" s="401">
        <f ca="1">IF(SUM($G405:CE405)&gt;=$E405,0,IF($E405-SUM($G405:CE405)&gt;CF406,CF406,$E405-SUM($G406:CE406)))</f>
        <v>0</v>
      </c>
      <c r="CG405" s="401">
        <f ca="1">IF(SUM($G405:CF405)&gt;=$E405,0,IF($E405-SUM($G405:CF405)&gt;CG406,CG406,$E405-SUM($G406:CF406)))</f>
        <v>0</v>
      </c>
      <c r="CH405" s="401">
        <f ca="1">IF(SUM($G405:CG405)&gt;=$E405,0,IF($E405-SUM($G405:CG405)&gt;CH406,CH406,$E405-SUM($G406:CG406)))</f>
        <v>0</v>
      </c>
      <c r="CI405" s="401">
        <f ca="1">IF(SUM($G405:CH405)&gt;=$E405,0,IF($E405-SUM($G405:CH405)&gt;CI406,CI406,$E405-SUM($G406:CH406)))</f>
        <v>0</v>
      </c>
      <c r="CJ405" s="401">
        <f ca="1">IF(SUM($G405:CI405)&gt;=$E405,0,IF($E405-SUM($G405:CI405)&gt;CJ406,CJ406,$E405-SUM($G406:CI406)))</f>
        <v>0</v>
      </c>
      <c r="CK405" s="401">
        <f ca="1">IF(SUM($G405:CJ405)&gt;=$E405,0,IF($E405-SUM($G405:CJ405)&gt;CK406,CK406,$E405-SUM($G406:CJ406)))</f>
        <v>0</v>
      </c>
      <c r="CL405" s="401">
        <f ca="1">IF(SUM($G405:CK405)&gt;=$E405,0,IF($E405-SUM($G405:CK405)&gt;CL406,CL406,$E405-SUM($G406:CK406)))</f>
        <v>0</v>
      </c>
      <c r="CM405" s="401">
        <f ca="1">IF(SUM($G405:CL405)&gt;=$E405,0,IF($E405-SUM($G405:CL405)&gt;CM406,CM406,$E405-SUM($G406:CL406)))</f>
        <v>0</v>
      </c>
      <c r="CN405" s="401">
        <f ca="1">IF(SUM($G405:CM405)&gt;=$E405,0,IF($E405-SUM($G405:CM405)&gt;CN406,CN406,$E405-SUM($G406:CM406)))</f>
        <v>0</v>
      </c>
      <c r="CO405" s="401">
        <f ca="1">IF(SUM($G405:CN405)&gt;=$E405,0,IF($E405-SUM($G405:CN405)&gt;CO406,CO406,$E405-SUM($G406:CN406)))</f>
        <v>0</v>
      </c>
      <c r="CP405" s="401">
        <f ca="1">IF(SUM($G405:CO405)&gt;=$E405,0,IF($E405-SUM($G405:CO405)&gt;CP406,CP406,$E405-SUM($G406:CO406)))</f>
        <v>0</v>
      </c>
      <c r="CQ405" s="401">
        <f ca="1">IF(SUM($G405:CP405)&gt;=$E405,0,IF($E405-SUM($G405:CP405)&gt;CQ406,CQ406,$E405-SUM($G406:CP406)))</f>
        <v>0</v>
      </c>
      <c r="CR405" s="401">
        <f ca="1">IF(SUM($G405:CQ405)&gt;=$E405,0,IF($E405-SUM($G405:CQ405)&gt;CR406,CR406,$E405-SUM($G406:CQ406)))</f>
        <v>0</v>
      </c>
      <c r="CS405" s="401">
        <f ca="1">IF(SUM($G405:CR405)&gt;=$E405,0,IF($E405-SUM($G405:CR405)&gt;CS406,CS406,$E405-SUM($G406:CR406)))</f>
        <v>0</v>
      </c>
      <c r="CT405" s="401">
        <f ca="1">IF(SUM($G405:CS405)&gt;=$E405,0,IF($E405-SUM($G405:CS405)&gt;CT406,CT406,$E405-SUM($G406:CS406)))</f>
        <v>0</v>
      </c>
      <c r="CU405" s="401">
        <f ca="1">IF(SUM($G405:CT405)&gt;=$E405,0,IF($E405-SUM($G405:CT405)&gt;CU406,CU406,$E405-SUM($G406:CT406)))</f>
        <v>0</v>
      </c>
      <c r="CV405" s="401">
        <f ca="1">IF(SUM($G405:CU405)&gt;=$E405,0,IF($E405-SUM($G405:CU405)&gt;CV406,CV406,$E405-SUM($G406:CU406)))</f>
        <v>0</v>
      </c>
      <c r="CW405" s="401">
        <f ca="1">IF(SUM($G405:CV405)&gt;=$E405,0,IF($E405-SUM($G405:CV405)&gt;CW406,CW406,$E405-SUM($G406:CV406)))</f>
        <v>0</v>
      </c>
      <c r="CX405" s="401">
        <f ca="1">IF(SUM($G405:CW405)&gt;=$E405,0,IF($E405-SUM($G405:CW405)&gt;CX406,CX406,$E405-SUM($G406:CW406)))</f>
        <v>0</v>
      </c>
      <c r="CY405" s="401">
        <f ca="1">IF(SUM($G405:CX405)&gt;=$E405,0,IF($E405-SUM($G405:CX405)&gt;CY406,CY406,$E405-SUM($G406:CX406)))</f>
        <v>0</v>
      </c>
      <c r="CZ405" s="401">
        <f ca="1">IF(SUM($G405:CY405)&gt;=$E405,0,IF($E405-SUM($G405:CY405)&gt;CZ406,CZ406,$E405-SUM($G406:CY406)))</f>
        <v>0</v>
      </c>
      <c r="DA405" s="401">
        <f ca="1">IF(SUM($G405:CZ405)&gt;=$E405,0,IF($E405-SUM($G405:CZ405)&gt;DA406,DA406,$E405-SUM($G406:CZ406)))</f>
        <v>0</v>
      </c>
      <c r="DB405" s="401">
        <f ca="1">IF(SUM($G405:DA405)&gt;=$E405,0,IF($E405-SUM($G405:DA405)&gt;DB406,DB406,$E405-SUM($G406:DA406)))</f>
        <v>0</v>
      </c>
      <c r="DC405" s="401">
        <f ca="1">IF(SUM($G405:DB405)&gt;=$E405,0,IF($E405-SUM($G405:DB405)&gt;DC406,DC406,$E405-SUM($G406:DB406)))</f>
        <v>0</v>
      </c>
      <c r="DD405" s="401">
        <f ca="1">IF(SUM($G405:DC405)&gt;=$E405,0,IF($E405-SUM($G405:DC405)&gt;DD406,DD406,$E405-SUM($G406:DC406)))</f>
        <v>0</v>
      </c>
      <c r="DE405" s="401">
        <f ca="1">IF(SUM($G405:DD405)&gt;=$E405,0,IF($E405-SUM($G405:DD405)&gt;DE406,DE406,$E405-SUM($G406:DD406)))</f>
        <v>0</v>
      </c>
      <c r="DF405" s="401">
        <f ca="1">IF(SUM($G405:DE405)&gt;=$E405,0,IF($E405-SUM($G405:DE405)&gt;DF406,DF406,$E405-SUM($G406:DE406)))</f>
        <v>0</v>
      </c>
      <c r="DG405" s="401">
        <f ca="1">IF(SUM($G405:DF405)&gt;=$E405,0,IF($E405-SUM($G405:DF405)&gt;DG406,DG406,$E405-SUM($G406:DF406)))</f>
        <v>0</v>
      </c>
      <c r="DH405" s="401">
        <f ca="1">IF(SUM($G405:DG405)&gt;=$E405,0,IF($E405-SUM($G405:DG405)&gt;DH406,DH406,$E405-SUM($G406:DG406)))</f>
        <v>0</v>
      </c>
      <c r="DI405" s="401">
        <f ca="1">IF(SUM($G405:DH405)&gt;=$E405,0,IF($E405-SUM($G405:DH405)&gt;DI406,DI406,$E405-SUM($G406:DH406)))</f>
        <v>0</v>
      </c>
      <c r="DJ405" s="401">
        <f ca="1">IF(SUM($G405:DI405)&gt;=$E405,0,IF($E405-SUM($G405:DI405)&gt;DJ406,DJ406,$E405-SUM($G406:DI406)))</f>
        <v>0</v>
      </c>
      <c r="DK405" s="401">
        <f ca="1">IF(SUM($G405:DJ405)&gt;=$E405,0,IF($E405-SUM($G405:DJ405)&gt;DK406,DK406,$E405-SUM($G406:DJ406)))</f>
        <v>0</v>
      </c>
      <c r="DL405" s="401">
        <f ca="1">IF(SUM($G405:DK405)&gt;=$E405,0,IF($E405-SUM($G405:DK405)&gt;DL406,DL406,$E405-SUM($G406:DK406)))</f>
        <v>0</v>
      </c>
      <c r="DM405" s="401">
        <f ca="1">IF(SUM($G405:DL405)&gt;=$E405,0,IF($E405-SUM($G405:DL405)&gt;DM406,DM406,$E405-SUM($G406:DL406)))</f>
        <v>0</v>
      </c>
      <c r="DN405" s="401">
        <f ca="1">IF(SUM($G405:DM405)&gt;=$E405,0,IF($E405-SUM($G405:DM405)&gt;DN406,DN406,$E405-SUM($G406:DM406)))</f>
        <v>0</v>
      </c>
      <c r="DO405" s="401">
        <f ca="1">IF(SUM($G405:DN405)&gt;=$E405,0,IF($E405-SUM($G405:DN405)&gt;DO406,DO406,$E405-SUM($G406:DN406)))</f>
        <v>0</v>
      </c>
      <c r="DP405" s="401">
        <f ca="1">IF(SUM($G405:DO405)&gt;=$E405,0,IF($E405-SUM($G405:DO405)&gt;DP406,DP406,$E405-SUM($G406:DO406)))</f>
        <v>0</v>
      </c>
      <c r="DQ405" s="401">
        <f ca="1">IF(SUM($G405:DP405)&gt;=$E405,0,IF($E405-SUM($G405:DP405)&gt;DQ406,DQ406,$E405-SUM($G406:DP406)))</f>
        <v>0</v>
      </c>
      <c r="DR405" s="401">
        <f ca="1">IF(SUM($G405:DQ405)&gt;=$E405,0,IF($E405-SUM($G405:DQ405)&gt;DR406,DR406,$E405-SUM($G406:DQ406)))</f>
        <v>0</v>
      </c>
      <c r="DS405" s="401">
        <f ca="1">IF(SUM($G405:DR405)&gt;=$E405,0,IF($E405-SUM($G405:DR405)&gt;DS406,DS406,$E405-SUM($G406:DR406)))</f>
        <v>0</v>
      </c>
      <c r="DT405" s="401">
        <f ca="1">IF(SUM($G405:DS405)&gt;=$E405,0,IF($E405-SUM($G405:DS405)&gt;DT406,DT406,$E405-SUM($G406:DS406)))</f>
        <v>0</v>
      </c>
      <c r="DU405" s="401">
        <f ca="1">IF(SUM($G405:DT405)&gt;=$E405,0,IF($E405-SUM($G405:DT405)&gt;DU406,DU406,$E405-SUM($G406:DT406)))</f>
        <v>0</v>
      </c>
      <c r="DV405" s="401">
        <f ca="1">IF(SUM($G405:DU405)&gt;=$E405,0,IF($E405-SUM($G405:DU405)&gt;DV406,DV406,$E405-SUM($G406:DU406)))</f>
        <v>0</v>
      </c>
      <c r="DW405" s="401">
        <f ca="1">IF(SUM($G405:DV405)&gt;=$E405,0,IF($E405-SUM($G405:DV405)&gt;DW406,DW406,$E405-SUM($G406:DV406)))</f>
        <v>0</v>
      </c>
      <c r="DX405" s="401">
        <f ca="1">IF(SUM($G405:DW405)&gt;=$E405,0,IF($E405-SUM($G405:DW405)&gt;DX406,DX406,$E405-SUM($G406:DW406)))</f>
        <v>0</v>
      </c>
      <c r="DY405" s="401">
        <f ca="1">IF(SUM($G405:DX405)&gt;=$E405,0,IF($E405-SUM($G405:DX405)&gt;DY406,DY406,$E405-SUM($G406:DX406)))</f>
        <v>0</v>
      </c>
      <c r="DZ405" s="401">
        <f ca="1">IF(SUM($G405:DY405)&gt;=$E405,0,IF($E405-SUM($G405:DY405)&gt;DZ406,DZ406,$E405-SUM($G406:DY406)))</f>
        <v>0</v>
      </c>
      <c r="EA405" s="401">
        <f ca="1">IF(SUM($G405:DZ405)&gt;=$E405,0,IF($E405-SUM($G405:DZ405)&gt;EA406,EA406,$E405-SUM($G406:DZ406)))</f>
        <v>0</v>
      </c>
      <c r="EB405" s="401">
        <f ca="1">IF(SUM($G405:EA405)&gt;=$E405,0,IF($E405-SUM($G405:EA405)&gt;EB406,EB406,$E405-SUM($G406:EA406)))</f>
        <v>0</v>
      </c>
      <c r="EC405" s="401">
        <f ca="1">IF(SUM($G405:EB405)&gt;=$E405,0,IF($E405-SUM($G405:EB405)&gt;EC406,EC406,$E405-SUM($G406:EB406)))</f>
        <v>0</v>
      </c>
      <c r="ED405" s="401">
        <f ca="1">IF(SUM($G405:EC405)&gt;=$E405,0,IF($E405-SUM($G405:EC405)&gt;ED406,ED406,$E405-SUM($G406:EC406)))</f>
        <v>0</v>
      </c>
      <c r="EE405" s="401">
        <f ca="1">IF(SUM($G405:ED405)&gt;=$E405,0,IF($E405-SUM($G405:ED405)&gt;EE406,EE406,$E405-SUM($G406:ED406)))</f>
        <v>0</v>
      </c>
      <c r="EF405" s="401">
        <f ca="1">IF(SUM($G405:EE405)&gt;=$E405,0,IF($E405-SUM($G405:EE405)&gt;EF406,EF406,$E405-SUM($G406:EE406)))</f>
        <v>0</v>
      </c>
      <c r="EG405" s="401">
        <f ca="1">IF(SUM($G405:EF405)&gt;=$E405,0,IF($E405-SUM($G405:EF405)&gt;EG406,EG406,$E405-SUM($G406:EF406)))</f>
        <v>0</v>
      </c>
      <c r="EH405" s="401">
        <f ca="1">IF(SUM($G405:EG405)&gt;=$E405,0,IF($E405-SUM($G405:EG405)&gt;EH406,EH406,$E405-SUM($G406:EG406)))</f>
        <v>0</v>
      </c>
      <c r="EI405" s="401">
        <f ca="1">IF(SUM($G405:EH405)&gt;=$E405,0,IF($E405-SUM($G405:EH405)&gt;EI406,EI406,$E405-SUM($G406:EH406)))</f>
        <v>0</v>
      </c>
      <c r="EK405" s="313"/>
    </row>
    <row r="406" spans="1:141" hidden="1" outlineLevel="2">
      <c r="A406" s="332"/>
      <c r="B406" s="313"/>
      <c r="C406" s="308"/>
      <c r="D406" s="308"/>
      <c r="E406" s="308"/>
      <c r="G406" s="405"/>
      <c r="H406" s="405">
        <f ca="1">IF((SUM($G300:H300)-$E299)&lt;0,0,IF((SUM($G300:H300)-$E299)&lt;H300,SUM($G300:H300)-$E299,H300))</f>
        <v>0</v>
      </c>
      <c r="I406" s="405">
        <f ca="1">IF((SUM($G300:I300)-$E299)&lt;0,0,IF((SUM($G300:I300)-$E299)&lt;I300,SUM($G300:I300)-$E299,I300))</f>
        <v>0</v>
      </c>
      <c r="J406" s="405">
        <f ca="1">IF((SUM($G300:J300)-$E299)&lt;0,0,IF((SUM($G300:J300)-$E299)&lt;J300,SUM($G300:J300)-$E299,J300))</f>
        <v>0</v>
      </c>
      <c r="K406" s="405">
        <f ca="1">IF((SUM($G300:K300)-$E299)&lt;0,0,IF((SUM($G300:K300)-$E299)&lt;K300,SUM($G300:K300)-$E299,K300))</f>
        <v>0</v>
      </c>
      <c r="L406" s="405">
        <f ca="1">IF((SUM($G300:L300)-$E299)&lt;0,0,IF((SUM($G300:L300)-$E299)&lt;L300,SUM($G300:L300)-$E299,L300))</f>
        <v>0</v>
      </c>
      <c r="M406" s="405">
        <f ca="1">IF((SUM($G300:M300)-$E299)&lt;0,0,IF((SUM($G300:M300)-$E299)&lt;M300,SUM($G300:M300)-$E299,M300))</f>
        <v>0</v>
      </c>
      <c r="N406" s="405">
        <f ca="1">IF((SUM($G300:N300)-$E299)&lt;0,0,IF((SUM($G300:N300)-$E299)&lt;N300,SUM($G300:N300)-$E299,N300))</f>
        <v>0</v>
      </c>
      <c r="O406" s="405">
        <f ca="1">IF((SUM($G300:O300)-$E299)&lt;0,0,IF((SUM($G300:O300)-$E299)&lt;O300,SUM($G300:O300)-$E299,O300))</f>
        <v>0</v>
      </c>
      <c r="P406" s="405">
        <f ca="1">IF((SUM($G300:P300)-$E299)&lt;0,0,IF((SUM($G300:P300)-$E299)&lt;P300,SUM($G300:P300)-$E299,P300))</f>
        <v>0</v>
      </c>
      <c r="Q406" s="405">
        <f ca="1">IF((SUM($G300:Q300)-$E299)&lt;0,0,IF((SUM($G300:Q300)-$E299)&lt;Q300,SUM($G300:Q300)-$E299,Q300))</f>
        <v>0</v>
      </c>
      <c r="R406" s="405">
        <f ca="1">IF((SUM($G300:R300)-$E299)&lt;0,0,IF((SUM($G300:R300)-$E299)&lt;R300,SUM($G300:R300)-$E299,R300))</f>
        <v>0</v>
      </c>
      <c r="S406" s="405">
        <f ca="1">IF((SUM($G300:S300)-$E299)&lt;0,0,IF((SUM($G300:S300)-$E299)&lt;S300,SUM($G300:S300)-$E299,S300))</f>
        <v>0</v>
      </c>
      <c r="T406" s="405">
        <f ca="1">IF((SUM($G300:T300)-$E299)&lt;0,0,IF((SUM($G300:T300)-$E299)&lt;T300,SUM($G300:T300)-$E299,T300))</f>
        <v>0</v>
      </c>
      <c r="U406" s="405">
        <f ca="1">IF((SUM($G300:U300)-$E299)&lt;0,0,IF((SUM($G300:U300)-$E299)&lt;U300,SUM($G300:U300)-$E299,U300))</f>
        <v>0</v>
      </c>
      <c r="V406" s="405">
        <f ca="1">IF((SUM($G300:V300)-$E299)&lt;0,0,IF((SUM($G300:V300)-$E299)&lt;V300,SUM($G300:V300)-$E299,V300))</f>
        <v>0</v>
      </c>
      <c r="W406" s="405">
        <f ca="1">IF((SUM($G300:W300)-$E299)&lt;0,0,IF((SUM($G300:W300)-$E299)&lt;W300,SUM($G300:W300)-$E299,W300))</f>
        <v>0</v>
      </c>
      <c r="X406" s="405">
        <f ca="1">IF((SUM($G300:X300)-$E299)&lt;0,0,IF((SUM($G300:X300)-$E299)&lt;X300,SUM($G300:X300)-$E299,X300))</f>
        <v>0</v>
      </c>
      <c r="Y406" s="405">
        <f ca="1">IF((SUM($G300:Y300)-$E299)&lt;0,0,IF((SUM($G300:Y300)-$E299)&lt;Y300,SUM($G300:Y300)-$E299,Y300))</f>
        <v>0</v>
      </c>
      <c r="Z406" s="405">
        <f ca="1">IF((SUM($G300:Z300)-$E299)&lt;0,0,IF((SUM($G300:Z300)-$E299)&lt;Z300,SUM($G300:Z300)-$E299,Z300))</f>
        <v>0</v>
      </c>
      <c r="AA406" s="405">
        <f ca="1">IF((SUM($G300:AA300)-$E299)&lt;0,0,IF((SUM($G300:AA300)-$E299)&lt;AA300,SUM($G300:AA300)-$E299,AA300))</f>
        <v>0</v>
      </c>
      <c r="AB406" s="405">
        <f ca="1">IF((SUM($G300:AB300)-$E299)&lt;0,0,IF((SUM($G300:AB300)-$E299)&lt;AB300,SUM($G300:AB300)-$E299,AB300))</f>
        <v>0</v>
      </c>
      <c r="AC406" s="405">
        <f ca="1">IF((SUM($G300:AC300)-$E299)&lt;0,0,IF((SUM($G300:AC300)-$E299)&lt;AC300,SUM($G300:AC300)-$E299,AC300))</f>
        <v>0</v>
      </c>
      <c r="AD406" s="405">
        <f ca="1">IF((SUM($G300:AD300)-$E299)&lt;0,0,IF((SUM($G300:AD300)-$E299)&lt;AD300,SUM($G300:AD300)-$E299,AD300))</f>
        <v>0</v>
      </c>
      <c r="AE406" s="405">
        <f ca="1">IF((SUM($G300:AE300)-$E299)&lt;0,0,IF((SUM($G300:AE300)-$E299)&lt;AE300,SUM($G300:AE300)-$E299,AE300))</f>
        <v>0</v>
      </c>
      <c r="AF406" s="405">
        <f ca="1">IF((SUM($G300:AF300)-$E299)&lt;0,0,IF((SUM($G300:AF300)-$E299)&lt;AF300,SUM($G300:AF300)-$E299,AF300))</f>
        <v>0</v>
      </c>
      <c r="AG406" s="405">
        <f ca="1">IF((SUM($G300:AG300)-$E299)&lt;0,0,IF((SUM($G300:AG300)-$E299)&lt;AG300,SUM($G300:AG300)-$E299,AG300))</f>
        <v>0</v>
      </c>
      <c r="AH406" s="405">
        <f ca="1">IF((SUM($G300:AH300)-$E299)&lt;0,0,IF((SUM($G300:AH300)-$E299)&lt;AH300,SUM($G300:AH300)-$E299,AH300))</f>
        <v>0</v>
      </c>
      <c r="AI406" s="405">
        <f ca="1">IF((SUM($G300:AI300)-$E299)&lt;0,0,IF((SUM($G300:AI300)-$E299)&lt;AI300,SUM($G300:AI300)-$E299,AI300))</f>
        <v>0</v>
      </c>
      <c r="AJ406" s="405">
        <f ca="1">IF((SUM($G300:AJ300)-$E299)&lt;0,0,IF((SUM($G300:AJ300)-$E299)&lt;AJ300,SUM($G300:AJ300)-$E299,AJ300))</f>
        <v>0</v>
      </c>
      <c r="AK406" s="405">
        <f ca="1">IF((SUM($G300:AK300)-$E299)&lt;0,0,IF((SUM($G300:AK300)-$E299)&lt;AK300,SUM($G300:AK300)-$E299,AK300))</f>
        <v>0</v>
      </c>
      <c r="AL406" s="405">
        <f ca="1">IF((SUM($G300:AL300)-$E299)&lt;0,0,IF((SUM($G300:AL300)-$E299)&lt;AL300,SUM($G300:AL300)-$E299,AL300))</f>
        <v>0</v>
      </c>
      <c r="AM406" s="405">
        <f ca="1">IF((SUM($G300:AM300)-$E299)&lt;0,0,IF((SUM($G300:AM300)-$E299)&lt;AM300,SUM($G300:AM300)-$E299,AM300))</f>
        <v>0</v>
      </c>
      <c r="AN406" s="405">
        <f ca="1">IF((SUM($G300:AN300)-$E299)&lt;0,0,IF((SUM($G300:AN300)-$E299)&lt;AN300,SUM($G300:AN300)-$E299,AN300))</f>
        <v>0</v>
      </c>
      <c r="AO406" s="405">
        <f ca="1">IF((SUM($G300:AO300)-$E299)&lt;0,0,IF((SUM($G300:AO300)-$E299)&lt;AO300,SUM($G300:AO300)-$E299,AO300))</f>
        <v>0</v>
      </c>
      <c r="AP406" s="405">
        <f ca="1">IF((SUM($G300:AP300)-$E299)&lt;0,0,IF((SUM($G300:AP300)-$E299)&lt;AP300,SUM($G300:AP300)-$E299,AP300))</f>
        <v>0</v>
      </c>
      <c r="AQ406" s="405">
        <f ca="1">IF((SUM($G300:AQ300)-$E299)&lt;0,0,IF((SUM($G300:AQ300)-$E299)&lt;AQ300,SUM($G300:AQ300)-$E299,AQ300))</f>
        <v>0</v>
      </c>
      <c r="AR406" s="405">
        <f ca="1">IF((SUM($G300:AR300)-$E299)&lt;0,0,IF((SUM($G300:AR300)-$E299)&lt;AR300,SUM($G300:AR300)-$E299,AR300))</f>
        <v>0</v>
      </c>
      <c r="AS406" s="405">
        <f ca="1">IF((SUM($G300:AS300)-$E299)&lt;0,0,IF((SUM($G300:AS300)-$E299)&lt;AS300,SUM($G300:AS300)-$E299,AS300))</f>
        <v>0</v>
      </c>
      <c r="AT406" s="405">
        <f ca="1">IF((SUM($G300:AT300)-$E299)&lt;0,0,IF((SUM($G300:AT300)-$E299)&lt;AT300,SUM($G300:AT300)-$E299,AT300))</f>
        <v>0</v>
      </c>
      <c r="AU406" s="405">
        <f ca="1">IF((SUM($G300:AU300)-$E299)&lt;0,0,IF((SUM($G300:AU300)-$E299)&lt;AU300,SUM($G300:AU300)-$E299,AU300))</f>
        <v>0</v>
      </c>
      <c r="AV406" s="405">
        <f ca="1">IF((SUM($G300:AV300)-$E299)&lt;0,0,IF((SUM($G300:AV300)-$E299)&lt;AV300,SUM($G300:AV300)-$E299,AV300))</f>
        <v>0</v>
      </c>
      <c r="AW406" s="405">
        <f ca="1">IF((SUM($G300:AW300)-$E299)&lt;0,0,IF((SUM($G300:AW300)-$E299)&lt;AW300,SUM($G300:AW300)-$E299,AW300))</f>
        <v>0</v>
      </c>
      <c r="AX406" s="405">
        <f ca="1">IF((SUM($G300:AX300)-$E299)&lt;0,0,IF((SUM($G300:AX300)-$E299)&lt;AX300,SUM($G300:AX300)-$E299,AX300))</f>
        <v>0</v>
      </c>
      <c r="AY406" s="405">
        <f ca="1">IF((SUM($G300:AY300)-$E299)&lt;0,0,IF((SUM($G300:AY300)-$E299)&lt;AY300,SUM($G300:AY300)-$E299,AY300))</f>
        <v>0</v>
      </c>
      <c r="AZ406" s="405">
        <f ca="1">IF((SUM($G300:AZ300)-$E299)&lt;0,0,IF((SUM($G300:AZ300)-$E299)&lt;AZ300,SUM($G300:AZ300)-$E299,AZ300))</f>
        <v>0</v>
      </c>
      <c r="BA406" s="405">
        <f ca="1">IF((SUM($G300:BA300)-$E299)&lt;0,0,IF((SUM($G300:BA300)-$E299)&lt;BA300,SUM($G300:BA300)-$E299,BA300))</f>
        <v>0</v>
      </c>
      <c r="BB406" s="405">
        <f ca="1">IF((SUM($G300:BB300)-$E299)&lt;0,0,IF((SUM($G300:BB300)-$E299)&lt;BB300,SUM($G300:BB300)-$E299,BB300))</f>
        <v>0</v>
      </c>
      <c r="BC406" s="405">
        <f ca="1">IF((SUM($G300:BC300)-$E299)&lt;0,0,IF((SUM($G300:BC300)-$E299)&lt;BC300,SUM($G300:BC300)-$E299,BC300))</f>
        <v>0</v>
      </c>
      <c r="BD406" s="405">
        <f ca="1">IF((SUM($G300:BD300)-$E299)&lt;0,0,IF((SUM($G300:BD300)-$E299)&lt;BD300,SUM($G300:BD300)-$E299,BD300))</f>
        <v>0</v>
      </c>
      <c r="BE406" s="405">
        <f ca="1">IF((SUM($G300:BE300)-$E299)&lt;0,0,IF((SUM($G300:BE300)-$E299)&lt;BE300,SUM($G300:BE300)-$E299,BE300))</f>
        <v>0</v>
      </c>
      <c r="BF406" s="405">
        <f ca="1">IF((SUM($G300:BF300)-$E299)&lt;0,0,IF((SUM($G300:BF300)-$E299)&lt;BF300,SUM($G300:BF300)-$E299,BF300))</f>
        <v>0</v>
      </c>
      <c r="BG406" s="405">
        <f ca="1">IF((SUM($G300:BG300)-$E299)&lt;0,0,IF((SUM($G300:BG300)-$E299)&lt;BG300,SUM($G300:BG300)-$E299,BG300))</f>
        <v>0</v>
      </c>
      <c r="BH406" s="405">
        <f ca="1">IF((SUM($G300:BH300)-$E299)&lt;0,0,IF((SUM($G300:BH300)-$E299)&lt;BH300,SUM($G300:BH300)-$E299,BH300))</f>
        <v>0</v>
      </c>
      <c r="BI406" s="405">
        <f ca="1">IF((SUM($G300:BI300)-$E299)&lt;0,0,IF((SUM($G300:BI300)-$E299)&lt;BI300,SUM($G300:BI300)-$E299,BI300))</f>
        <v>0</v>
      </c>
      <c r="BJ406" s="405">
        <f ca="1">IF((SUM($G300:BJ300)-$E299)&lt;0,0,IF((SUM($G300:BJ300)-$E299)&lt;BJ300,SUM($G300:BJ300)-$E299,BJ300))</f>
        <v>0</v>
      </c>
      <c r="BK406" s="405">
        <f ca="1">IF((SUM($G300:BK300)-$E299)&lt;0,0,IF((SUM($G300:BK300)-$E299)&lt;BK300,SUM($G300:BK300)-$E299,BK300))</f>
        <v>4.2999999999999545</v>
      </c>
      <c r="BL406" s="405">
        <f ca="1">IF((SUM($G300:BL300)-$E299)&lt;0,0,IF((SUM($G300:BL300)-$E299)&lt;BL300,SUM($G300:BL300)-$E299,BL300))</f>
        <v>31</v>
      </c>
      <c r="BM406" s="405">
        <f ca="1">IF((SUM($G300:BM300)-$E299)&lt;0,0,IF((SUM($G300:BM300)-$E299)&lt;BM300,SUM($G300:BM300)-$E299,BM300))</f>
        <v>31</v>
      </c>
      <c r="BN406" s="405">
        <f ca="1">IF((SUM($G300:BN300)-$E299)&lt;0,0,IF((SUM($G300:BN300)-$E299)&lt;BN300,SUM($G300:BN300)-$E299,BN300))</f>
        <v>29</v>
      </c>
      <c r="BO406" s="405">
        <f ca="1">IF((SUM($G300:BO300)-$E299)&lt;0,0,IF((SUM($G300:BO300)-$E299)&lt;BO300,SUM($G300:BO300)-$E299,BO300))</f>
        <v>31</v>
      </c>
      <c r="BP406" s="405">
        <f ca="1">IF((SUM($G300:BP300)-$E299)&lt;0,0,IF((SUM($G300:BP300)-$E299)&lt;BP300,SUM($G300:BP300)-$E299,BP300))</f>
        <v>30</v>
      </c>
      <c r="BQ406" s="405">
        <f ca="1">IF((SUM($G300:BQ300)-$E299)&lt;0,0,IF((SUM($G300:BQ300)-$E299)&lt;BQ300,SUM($G300:BQ300)-$E299,BQ300))</f>
        <v>31</v>
      </c>
      <c r="BR406" s="405">
        <f ca="1">IF((SUM($G300:BR300)-$E299)&lt;0,0,IF((SUM($G300:BR300)-$E299)&lt;BR300,SUM($G300:BR300)-$E299,BR300))</f>
        <v>30</v>
      </c>
      <c r="BS406" s="405">
        <f ca="1">IF((SUM($G300:BS300)-$E299)&lt;0,0,IF((SUM($G300:BS300)-$E299)&lt;BS300,SUM($G300:BS300)-$E299,BS300))</f>
        <v>31</v>
      </c>
      <c r="BT406" s="405">
        <f ca="1">IF((SUM($G300:BT300)-$E299)&lt;0,0,IF((SUM($G300:BT300)-$E299)&lt;BT300,SUM($G300:BT300)-$E299,BT300))</f>
        <v>31</v>
      </c>
      <c r="BU406" s="405">
        <f ca="1">IF((SUM($G300:BU300)-$E299)&lt;0,0,IF((SUM($G300:BU300)-$E299)&lt;BU300,SUM($G300:BU300)-$E299,BU300))</f>
        <v>30</v>
      </c>
      <c r="BV406" s="405">
        <f ca="1">IF((SUM($G300:BV300)-$E299)&lt;0,0,IF((SUM($G300:BV300)-$E299)&lt;BV300,SUM($G300:BV300)-$E299,BV300))</f>
        <v>31</v>
      </c>
      <c r="BW406" s="405">
        <f ca="1">IF((SUM($G300:BW300)-$E299)&lt;0,0,IF((SUM($G300:BW300)-$E299)&lt;BW300,SUM($G300:BW300)-$E299,BW300))</f>
        <v>30</v>
      </c>
      <c r="BX406" s="405">
        <f ca="1">IF((SUM($G300:BX300)-$E299)&lt;0,0,IF((SUM($G300:BX300)-$E299)&lt;BX300,SUM($G300:BX300)-$E299,BX300))</f>
        <v>31</v>
      </c>
      <c r="BY406" s="405">
        <f ca="1">IF((SUM($G300:BY300)-$E299)&lt;0,0,IF((SUM($G300:BY300)-$E299)&lt;BY300,SUM($G300:BY300)-$E299,BY300))</f>
        <v>31</v>
      </c>
      <c r="BZ406" s="405">
        <f ca="1">IF((SUM($G300:BZ300)-$E299)&lt;0,0,IF((SUM($G300:BZ300)-$E299)&lt;BZ300,SUM($G300:BZ300)-$E299,BZ300))</f>
        <v>28</v>
      </c>
      <c r="CA406" s="405">
        <f ca="1">IF((SUM($G300:CA300)-$E299)&lt;0,0,IF((SUM($G300:CA300)-$E299)&lt;CA300,SUM($G300:CA300)-$E299,CA300))</f>
        <v>31</v>
      </c>
      <c r="CB406" s="405">
        <f ca="1">IF((SUM($G300:CB300)-$E299)&lt;0,0,IF((SUM($G300:CB300)-$E299)&lt;CB300,SUM($G300:CB300)-$E299,CB300))</f>
        <v>30</v>
      </c>
      <c r="CC406" s="405">
        <f ca="1">IF((SUM($G300:CC300)-$E299)&lt;0,0,IF((SUM($G300:CC300)-$E299)&lt;CC300,SUM($G300:CC300)-$E299,CC300))</f>
        <v>31</v>
      </c>
      <c r="CD406" s="405">
        <f ca="1">IF((SUM($G300:CD300)-$E299)&lt;0,0,IF((SUM($G300:CD300)-$E299)&lt;CD300,SUM($G300:CD300)-$E299,CD300))</f>
        <v>30</v>
      </c>
      <c r="CE406" s="405">
        <f ca="1">IF((SUM($G300:CE300)-$E299)&lt;0,0,IF((SUM($G300:CE300)-$E299)&lt;CE300,SUM($G300:CE300)-$E299,CE300))</f>
        <v>31</v>
      </c>
      <c r="CF406" s="405">
        <f ca="1">IF((SUM($G300:CF300)-$E299)&lt;0,0,IF((SUM($G300:CF300)-$E299)&lt;CF300,SUM($G300:CF300)-$E299,CF300))</f>
        <v>31</v>
      </c>
      <c r="CG406" s="405">
        <f ca="1">IF((SUM($G300:CG300)-$E299)&lt;0,0,IF((SUM($G300:CG300)-$E299)&lt;CG300,SUM($G300:CG300)-$E299,CG300))</f>
        <v>30</v>
      </c>
      <c r="CH406" s="405">
        <f ca="1">IF((SUM($G300:CH300)-$E299)&lt;0,0,IF((SUM($G300:CH300)-$E299)&lt;CH300,SUM($G300:CH300)-$E299,CH300))</f>
        <v>31</v>
      </c>
      <c r="CI406" s="405">
        <f ca="1">IF((SUM($G300:CI300)-$E299)&lt;0,0,IF((SUM($G300:CI300)-$E299)&lt;CI300,SUM($G300:CI300)-$E299,CI300))</f>
        <v>30</v>
      </c>
      <c r="CJ406" s="405">
        <f ca="1">IF((SUM($G300:CJ300)-$E299)&lt;0,0,IF((SUM($G300:CJ300)-$E299)&lt;CJ300,SUM($G300:CJ300)-$E299,CJ300))</f>
        <v>31</v>
      </c>
      <c r="CK406" s="405">
        <f ca="1">IF((SUM($G300:CK300)-$E299)&lt;0,0,IF((SUM($G300:CK300)-$E299)&lt;CK300,SUM($G300:CK300)-$E299,CK300))</f>
        <v>31</v>
      </c>
      <c r="CL406" s="405">
        <f ca="1">IF((SUM($G300:CL300)-$E299)&lt;0,0,IF((SUM($G300:CL300)-$E299)&lt;CL300,SUM($G300:CL300)-$E299,CL300))</f>
        <v>28</v>
      </c>
      <c r="CM406" s="405">
        <f ca="1">IF((SUM($G300:CM300)-$E299)&lt;0,0,IF((SUM($G300:CM300)-$E299)&lt;CM300,SUM($G300:CM300)-$E299,CM300))</f>
        <v>31</v>
      </c>
      <c r="CN406" s="405">
        <f ca="1">IF((SUM($G300:CN300)-$E299)&lt;0,0,IF((SUM($G300:CN300)-$E299)&lt;CN300,SUM($G300:CN300)-$E299,CN300))</f>
        <v>30</v>
      </c>
      <c r="CO406" s="405">
        <f ca="1">IF((SUM($G300:CO300)-$E299)&lt;0,0,IF((SUM($G300:CO300)-$E299)&lt;CO300,SUM($G300:CO300)-$E299,CO300))</f>
        <v>31</v>
      </c>
      <c r="CP406" s="405">
        <f ca="1">IF((SUM($G300:CP300)-$E299)&lt;0,0,IF((SUM($G300:CP300)-$E299)&lt;CP300,SUM($G300:CP300)-$E299,CP300))</f>
        <v>30</v>
      </c>
      <c r="CQ406" s="405">
        <f ca="1">IF((SUM($G300:CQ300)-$E299)&lt;0,0,IF((SUM($G300:CQ300)-$E299)&lt;CQ300,SUM($G300:CQ300)-$E299,CQ300))</f>
        <v>31</v>
      </c>
      <c r="CR406" s="405">
        <f ca="1">IF((SUM($G300:CR300)-$E299)&lt;0,0,IF((SUM($G300:CR300)-$E299)&lt;CR300,SUM($G300:CR300)-$E299,CR300))</f>
        <v>31</v>
      </c>
      <c r="CS406" s="405">
        <f ca="1">IF((SUM($G300:CS300)-$E299)&lt;0,0,IF((SUM($G300:CS300)-$E299)&lt;CS300,SUM($G300:CS300)-$E299,CS300))</f>
        <v>30</v>
      </c>
      <c r="CT406" s="405">
        <f ca="1">IF((SUM($G300:CT300)-$E299)&lt;0,0,IF((SUM($G300:CT300)-$E299)&lt;CT300,SUM($G300:CT300)-$E299,CT300))</f>
        <v>31</v>
      </c>
      <c r="CU406" s="405">
        <f ca="1">IF((SUM($G300:CU300)-$E299)&lt;0,0,IF((SUM($G300:CU300)-$E299)&lt;CU300,SUM($G300:CU300)-$E299,CU300))</f>
        <v>30</v>
      </c>
      <c r="CV406" s="405">
        <f ca="1">IF((SUM($G300:CV300)-$E299)&lt;0,0,IF((SUM($G300:CV300)-$E299)&lt;CV300,SUM($G300:CV300)-$E299,CV300))</f>
        <v>31</v>
      </c>
      <c r="CW406" s="405">
        <f ca="1">IF((SUM($G300:CW300)-$E299)&lt;0,0,IF((SUM($G300:CW300)-$E299)&lt;CW300,SUM($G300:CW300)-$E299,CW300))</f>
        <v>31</v>
      </c>
      <c r="CX406" s="405">
        <f ca="1">IF((SUM($G300:CX300)-$E299)&lt;0,0,IF((SUM($G300:CX300)-$E299)&lt;CX300,SUM($G300:CX300)-$E299,CX300))</f>
        <v>28</v>
      </c>
      <c r="CY406" s="405">
        <f ca="1">IF((SUM($G300:CY300)-$E299)&lt;0,0,IF((SUM($G300:CY300)-$E299)&lt;CY300,SUM($G300:CY300)-$E299,CY300))</f>
        <v>31</v>
      </c>
      <c r="CZ406" s="405">
        <f ca="1">IF((SUM($G300:CZ300)-$E299)&lt;0,0,IF((SUM($G300:CZ300)-$E299)&lt;CZ300,SUM($G300:CZ300)-$E299,CZ300))</f>
        <v>30</v>
      </c>
      <c r="DA406" s="405">
        <f ca="1">IF((SUM($G300:DA300)-$E299)&lt;0,0,IF((SUM($G300:DA300)-$E299)&lt;DA300,SUM($G300:DA300)-$E299,DA300))</f>
        <v>31</v>
      </c>
      <c r="DB406" s="405">
        <f ca="1">IF((SUM($G300:DB300)-$E299)&lt;0,0,IF((SUM($G300:DB300)-$E299)&lt;DB300,SUM($G300:DB300)-$E299,DB300))</f>
        <v>30</v>
      </c>
      <c r="DC406" s="405">
        <f ca="1">IF((SUM($G300:DC300)-$E299)&lt;0,0,IF((SUM($G300:DC300)-$E299)&lt;DC300,SUM($G300:DC300)-$E299,DC300))</f>
        <v>31</v>
      </c>
      <c r="DD406" s="405">
        <f ca="1">IF((SUM($G300:DD300)-$E299)&lt;0,0,IF((SUM($G300:DD300)-$E299)&lt;DD300,SUM($G300:DD300)-$E299,DD300))</f>
        <v>31</v>
      </c>
      <c r="DE406" s="405">
        <f ca="1">IF((SUM($G300:DE300)-$E299)&lt;0,0,IF((SUM($G300:DE300)-$E299)&lt;DE300,SUM($G300:DE300)-$E299,DE300))</f>
        <v>30</v>
      </c>
      <c r="DF406" s="405">
        <f ca="1">IF((SUM($G300:DF300)-$E299)&lt;0,0,IF((SUM($G300:DF300)-$E299)&lt;DF300,SUM($G300:DF300)-$E299,DF300))</f>
        <v>31</v>
      </c>
      <c r="DG406" s="405">
        <f ca="1">IF((SUM($G300:DG300)-$E299)&lt;0,0,IF((SUM($G300:DG300)-$E299)&lt;DG300,SUM($G300:DG300)-$E299,DG300))</f>
        <v>30</v>
      </c>
      <c r="DH406" s="405">
        <f ca="1">IF((SUM($G300:DH300)-$E299)&lt;0,0,IF((SUM($G300:DH300)-$E299)&lt;DH300,SUM($G300:DH300)-$E299,DH300))</f>
        <v>31</v>
      </c>
      <c r="DI406" s="405">
        <f ca="1">IF((SUM($G300:DI300)-$E299)&lt;0,0,IF((SUM($G300:DI300)-$E299)&lt;DI300,SUM($G300:DI300)-$E299,DI300))</f>
        <v>31</v>
      </c>
      <c r="DJ406" s="405">
        <f ca="1">IF((SUM($G300:DJ300)-$E299)&lt;0,0,IF((SUM($G300:DJ300)-$E299)&lt;DJ300,SUM($G300:DJ300)-$E299,DJ300))</f>
        <v>29</v>
      </c>
      <c r="DK406" s="405">
        <f ca="1">IF((SUM($G300:DK300)-$E299)&lt;0,0,IF((SUM($G300:DK300)-$E299)&lt;DK300,SUM($G300:DK300)-$E299,DK300))</f>
        <v>31</v>
      </c>
      <c r="DL406" s="405">
        <f ca="1">IF((SUM($G300:DL300)-$E299)&lt;0,0,IF((SUM($G300:DL300)-$E299)&lt;DL300,SUM($G300:DL300)-$E299,DL300))</f>
        <v>30</v>
      </c>
      <c r="DM406" s="405">
        <f ca="1">IF((SUM($G300:DM300)-$E299)&lt;0,0,IF((SUM($G300:DM300)-$E299)&lt;DM300,SUM($G300:DM300)-$E299,DM300))</f>
        <v>31</v>
      </c>
      <c r="DN406" s="405">
        <f ca="1">IF((SUM($G300:DN300)-$E299)&lt;0,0,IF((SUM($G300:DN300)-$E299)&lt;DN300,SUM($G300:DN300)-$E299,DN300))</f>
        <v>30</v>
      </c>
      <c r="DO406" s="405">
        <f ca="1">IF((SUM($G300:DO300)-$E299)&lt;0,0,IF((SUM($G300:DO300)-$E299)&lt;DO300,SUM($G300:DO300)-$E299,DO300))</f>
        <v>31</v>
      </c>
      <c r="DP406" s="405">
        <f ca="1">IF((SUM($G300:DP300)-$E299)&lt;0,0,IF((SUM($G300:DP300)-$E299)&lt;DP300,SUM($G300:DP300)-$E299,DP300))</f>
        <v>31</v>
      </c>
      <c r="DQ406" s="405">
        <f ca="1">IF((SUM($G300:DQ300)-$E299)&lt;0,0,IF((SUM($G300:DQ300)-$E299)&lt;DQ300,SUM($G300:DQ300)-$E299,DQ300))</f>
        <v>30</v>
      </c>
      <c r="DR406" s="405">
        <f ca="1">IF((SUM($G300:DR300)-$E299)&lt;0,0,IF((SUM($G300:DR300)-$E299)&lt;DR300,SUM($G300:DR300)-$E299,DR300))</f>
        <v>31</v>
      </c>
      <c r="DS406" s="405">
        <f ca="1">IF((SUM($G300:DS300)-$E299)&lt;0,0,IF((SUM($G300:DS300)-$E299)&lt;DS300,SUM($G300:DS300)-$E299,DS300))</f>
        <v>30</v>
      </c>
      <c r="DT406" s="405">
        <f ca="1">IF((SUM($G300:DT300)-$E299)&lt;0,0,IF((SUM($G300:DT300)-$E299)&lt;DT300,SUM($G300:DT300)-$E299,DT300))</f>
        <v>31</v>
      </c>
      <c r="DU406" s="405">
        <f ca="1">IF((SUM($G300:DU300)-$E299)&lt;0,0,IF((SUM($G300:DU300)-$E299)&lt;DU300,SUM($G300:DU300)-$E299,DU300))</f>
        <v>31</v>
      </c>
      <c r="DV406" s="405">
        <f ca="1">IF((SUM($G300:DV300)-$E299)&lt;0,0,IF((SUM($G300:DV300)-$E299)&lt;DV300,SUM($G300:DV300)-$E299,DV300))</f>
        <v>28</v>
      </c>
      <c r="DW406" s="405">
        <f ca="1">IF((SUM($G300:DW300)-$E299)&lt;0,0,IF((SUM($G300:DW300)-$E299)&lt;DW300,SUM($G300:DW300)-$E299,DW300))</f>
        <v>31</v>
      </c>
      <c r="DX406" s="405">
        <f ca="1">IF((SUM($G300:DX300)-$E299)&lt;0,0,IF((SUM($G300:DX300)-$E299)&lt;DX300,SUM($G300:DX300)-$E299,DX300))</f>
        <v>30</v>
      </c>
      <c r="DY406" s="405">
        <f ca="1">IF((SUM($G300:DY300)-$E299)&lt;0,0,IF((SUM($G300:DY300)-$E299)&lt;DY300,SUM($G300:DY300)-$E299,DY300))</f>
        <v>31</v>
      </c>
      <c r="DZ406" s="405">
        <f ca="1">IF((SUM($G300:DZ300)-$E299)&lt;0,0,IF((SUM($G300:DZ300)-$E299)&lt;DZ300,SUM($G300:DZ300)-$E299,DZ300))</f>
        <v>30</v>
      </c>
      <c r="EA406" s="405">
        <f ca="1">IF((SUM($G300:EA300)-$E299)&lt;0,0,IF((SUM($G300:EA300)-$E299)&lt;EA300,SUM($G300:EA300)-$E299,EA300))</f>
        <v>31</v>
      </c>
      <c r="EB406" s="405">
        <f ca="1">IF((SUM($G300:EB300)-$E299)&lt;0,0,IF((SUM($G300:EB300)-$E299)&lt;EB300,SUM($G300:EB300)-$E299,EB300))</f>
        <v>31</v>
      </c>
      <c r="EC406" s="405">
        <f ca="1">IF((SUM($G300:EC300)-$E299)&lt;0,0,IF((SUM($G300:EC300)-$E299)&lt;EC300,SUM($G300:EC300)-$E299,EC300))</f>
        <v>30</v>
      </c>
      <c r="ED406" s="405">
        <f ca="1">IF((SUM($G300:ED300)-$E299)&lt;0,0,IF((SUM($G300:ED300)-$E299)&lt;ED300,SUM($G300:ED300)-$E299,ED300))</f>
        <v>31</v>
      </c>
      <c r="EE406" s="405">
        <f ca="1">IF((SUM($G300:EE300)-$E299)&lt;0,0,IF((SUM($G300:EE300)-$E299)&lt;EE300,SUM($G300:EE300)-$E299,EE300))</f>
        <v>30</v>
      </c>
      <c r="EF406" s="405">
        <f ca="1">IF((SUM($G300:EF300)-$E299)&lt;0,0,IF((SUM($G300:EF300)-$E299)&lt;EF300,SUM($G300:EF300)-$E299,EF300))</f>
        <v>31</v>
      </c>
      <c r="EG406" s="405">
        <f ca="1">IF((SUM($G300:EG300)-$E299)&lt;0,0,IF((SUM($G300:EG300)-$E299)&lt;EG300,SUM($G300:EG300)-$E299,EG300))</f>
        <v>31</v>
      </c>
      <c r="EH406" s="405">
        <f ca="1">IF((SUM($G300:EH300)-$E299)&lt;0,0,IF((SUM($G300:EH300)-$E299)&lt;EH300,SUM($G300:EH300)-$E299,EH300))</f>
        <v>28</v>
      </c>
      <c r="EI406" s="405">
        <f ca="1">IF((SUM($G300:EI300)-$E299)&lt;0,0,IF((SUM($G300:EI300)-$E299)&lt;EI300,SUM($G300:EI300)-$E299,EI300))</f>
        <v>31</v>
      </c>
    </row>
    <row r="407" spans="1:141" hidden="1" outlineLevel="2">
      <c r="A407" s="332"/>
      <c r="D407" s="305" t="s">
        <v>670</v>
      </c>
      <c r="E407" s="403">
        <f ca="1">MIN(G407:EI407)</f>
        <v>0</v>
      </c>
      <c r="F407" s="404">
        <f ca="1">MAX(G407:EI407)</f>
        <v>0</v>
      </c>
      <c r="G407" s="403" t="str">
        <f ca="1">IF(G405=0,"",IF(SUM($G405:G405)&gt;=1,OFFSET(G$228,-1,0),""))</f>
        <v/>
      </c>
      <c r="H407" s="403" t="str">
        <f ca="1">IF(SUM($G407:G407)&gt;=1,"",IF(H405=0,"",IF(SUM($G405:H405)&gt;=1,OFFSET(H$228,-1,0),"")))</f>
        <v/>
      </c>
      <c r="I407" s="403" t="str">
        <f ca="1">IF(SUM($G407:H407)&gt;=1,"",IF(I405=0,"",IF(SUM($G405:I405)&gt;=1,OFFSET(I$228,-1,0),"")))</f>
        <v/>
      </c>
      <c r="J407" s="403" t="str">
        <f ca="1">IF(SUM($G407:I407)&gt;=1,"",IF(J405=0,"",IF(SUM($G405:J405)&gt;=1,OFFSET(J$228,-1,0),"")))</f>
        <v/>
      </c>
      <c r="K407" s="403" t="str">
        <f ca="1">IF(SUM($G407:J407)&gt;=1,"",IF(K405=0,"",IF(SUM($G405:K405)&gt;=1,OFFSET(K$228,-1,0),"")))</f>
        <v/>
      </c>
      <c r="L407" s="403" t="str">
        <f ca="1">IF(SUM($G407:K407)&gt;=1,"",IF(L405=0,"",IF(SUM($G405:L405)&gt;=1,OFFSET(L$228,-1,0),"")))</f>
        <v/>
      </c>
      <c r="M407" s="403" t="str">
        <f ca="1">IF(SUM($G407:L407)&gt;=1,"",IF(M405=0,"",IF(SUM($G405:M405)&gt;=1,OFFSET(M$228,-1,0),"")))</f>
        <v/>
      </c>
      <c r="N407" s="403" t="str">
        <f ca="1">IF(SUM($G407:M407)&gt;=1,"",IF(N405=0,"",IF(SUM($G405:N405)&gt;=1,OFFSET(N$228,-1,0),"")))</f>
        <v/>
      </c>
      <c r="O407" s="403" t="str">
        <f ca="1">IF(SUM($G407:N407)&gt;=1,"",IF(O405=0,"",IF(SUM($G405:O405)&gt;=1,OFFSET(O$228,-1,0),"")))</f>
        <v/>
      </c>
      <c r="P407" s="403" t="str">
        <f ca="1">IF(SUM($G407:O407)&gt;=1,"",IF(P405=0,"",IF(SUM($G405:P405)&gt;=1,OFFSET(P$228,-1,0),"")))</f>
        <v/>
      </c>
      <c r="Q407" s="403" t="str">
        <f ca="1">IF(SUM($G407:P407)&gt;=1,"",IF(Q405=0,"",IF(SUM($G405:Q405)&gt;=1,OFFSET(Q$228,-1,0),"")))</f>
        <v/>
      </c>
      <c r="R407" s="403" t="str">
        <f ca="1">IF(SUM($G407:Q407)&gt;=1,"",IF(R405=0,"",IF(SUM($G405:R405)&gt;=1,OFFSET(R$228,-1,0),"")))</f>
        <v/>
      </c>
      <c r="S407" s="403" t="str">
        <f ca="1">IF(SUM($G407:R407)&gt;=1,"",IF(S405=0,"",IF(SUM($G405:S405)&gt;=1,OFFSET(S$228,-1,0),"")))</f>
        <v/>
      </c>
      <c r="T407" s="403" t="str">
        <f ca="1">IF(SUM($G407:S407)&gt;=1,"",IF(T405=0,"",IF(SUM($G405:T405)&gt;=1,OFFSET(T$228,-1,0),"")))</f>
        <v/>
      </c>
      <c r="U407" s="403" t="str">
        <f ca="1">IF(SUM($G407:T407)&gt;=1,"",IF(U405=0,"",IF(SUM($G405:U405)&gt;=1,OFFSET(U$228,-1,0),"")))</f>
        <v/>
      </c>
      <c r="V407" s="403" t="str">
        <f ca="1">IF(SUM($G407:U407)&gt;=1,"",IF(V405=0,"",IF(SUM($G405:V405)&gt;=1,OFFSET(V$228,-1,0),"")))</f>
        <v/>
      </c>
      <c r="W407" s="403" t="str">
        <f ca="1">IF(SUM($G407:V407)&gt;=1,"",IF(W405=0,"",IF(SUM($G405:W405)&gt;=1,OFFSET(W$228,-1,0),"")))</f>
        <v/>
      </c>
      <c r="X407" s="403" t="str">
        <f ca="1">IF(SUM($G407:W407)&gt;=1,"",IF(X405=0,"",IF(SUM($G405:X405)&gt;=1,OFFSET(X$228,-1,0),"")))</f>
        <v/>
      </c>
      <c r="Y407" s="403" t="str">
        <f ca="1">IF(SUM($G407:X407)&gt;=1,"",IF(Y405=0,"",IF(SUM($G405:Y405)&gt;=1,OFFSET(Y$228,-1,0),"")))</f>
        <v/>
      </c>
      <c r="Z407" s="403" t="str">
        <f ca="1">IF(SUM($G407:Y407)&gt;=1,"",IF(Z405=0,"",IF(SUM($G405:Z405)&gt;=1,OFFSET(Z$228,-1,0),"")))</f>
        <v/>
      </c>
      <c r="AA407" s="403" t="str">
        <f ca="1">IF(SUM($G407:Z407)&gt;=1,"",IF(AA405=0,"",IF(SUM($G405:AA405)&gt;=1,OFFSET(AA$228,-1,0),"")))</f>
        <v/>
      </c>
      <c r="AB407" s="403" t="str">
        <f ca="1">IF(SUM($G407:AA407)&gt;=1,"",IF(AB405=0,"",IF(SUM($G405:AB405)&gt;=1,OFFSET(AB$228,-1,0),"")))</f>
        <v/>
      </c>
      <c r="AC407" s="403" t="str">
        <f ca="1">IF(SUM($G407:AB407)&gt;=1,"",IF(AC405=0,"",IF(SUM($G405:AC405)&gt;=1,OFFSET(AC$228,-1,0),"")))</f>
        <v/>
      </c>
      <c r="AD407" s="403" t="str">
        <f ca="1">IF(SUM($G407:AC407)&gt;=1,"",IF(AD405=0,"",IF(SUM($G405:AD405)&gt;=1,OFFSET(AD$228,-1,0),"")))</f>
        <v/>
      </c>
      <c r="AE407" s="403" t="str">
        <f ca="1">IF(SUM($G407:AD407)&gt;=1,"",IF(AE405=0,"",IF(SUM($G405:AE405)&gt;=1,OFFSET(AE$228,-1,0),"")))</f>
        <v/>
      </c>
      <c r="AF407" s="403" t="str">
        <f ca="1">IF(SUM($G407:AE407)&gt;=1,"",IF(AF405=0,"",IF(SUM($G405:AF405)&gt;=1,OFFSET(AF$228,-1,0),"")))</f>
        <v/>
      </c>
      <c r="AG407" s="403" t="str">
        <f ca="1">IF(SUM($G407:AF407)&gt;=1,"",IF(AG405=0,"",IF(SUM($G405:AG405)&gt;=1,OFFSET(AG$228,-1,0),"")))</f>
        <v/>
      </c>
      <c r="AH407" s="403" t="str">
        <f ca="1">IF(SUM($G407:AG407)&gt;=1,"",IF(AH405=0,"",IF(SUM($G405:AH405)&gt;=1,OFFSET(AH$228,-1,0),"")))</f>
        <v/>
      </c>
      <c r="AI407" s="403" t="str">
        <f ca="1">IF(SUM($G407:AH407)&gt;=1,"",IF(AI405=0,"",IF(SUM($G405:AI405)&gt;=1,OFFSET(AI$228,-1,0),"")))</f>
        <v/>
      </c>
      <c r="AJ407" s="403" t="str">
        <f ca="1">IF(SUM($G407:AI407)&gt;=1,"",IF(AJ405=0,"",IF(SUM($G405:AJ405)&gt;=1,OFFSET(AJ$228,-1,0),"")))</f>
        <v/>
      </c>
      <c r="AK407" s="403" t="str">
        <f ca="1">IF(SUM($G407:AJ407)&gt;=1,"",IF(AK405=0,"",IF(SUM($G405:AK405)&gt;=1,OFFSET(AK$228,-1,0),"")))</f>
        <v/>
      </c>
      <c r="AL407" s="403" t="str">
        <f ca="1">IF(SUM($G407:AK407)&gt;=1,"",IF(AL405=0,"",IF(SUM($G405:AL405)&gt;=1,OFFSET(AL$228,-1,0),"")))</f>
        <v/>
      </c>
      <c r="AM407" s="403" t="str">
        <f ca="1">IF(SUM($G407:AL407)&gt;=1,"",IF(AM405=0,"",IF(SUM($G405:AM405)&gt;=1,OFFSET(AM$228,-1,0),"")))</f>
        <v/>
      </c>
      <c r="AN407" s="403" t="str">
        <f ca="1">IF(SUM($G407:AM407)&gt;=1,"",IF(AN405=0,"",IF(SUM($G405:AN405)&gt;=1,OFFSET(AN$228,-1,0),"")))</f>
        <v/>
      </c>
      <c r="AO407" s="403" t="str">
        <f ca="1">IF(SUM($G407:AN407)&gt;=1,"",IF(AO405=0,"",IF(SUM($G405:AO405)&gt;=1,OFFSET(AO$228,-1,0),"")))</f>
        <v/>
      </c>
      <c r="AP407" s="403" t="str">
        <f ca="1">IF(SUM($G407:AO407)&gt;=1,"",IF(AP405=0,"",IF(SUM($G405:AP405)&gt;=1,OFFSET(AP$228,-1,0),"")))</f>
        <v/>
      </c>
      <c r="AQ407" s="403" t="str">
        <f ca="1">IF(SUM($G407:AP407)&gt;=1,"",IF(AQ405=0,"",IF(SUM($G405:AQ405)&gt;=1,OFFSET(AQ$228,-1,0),"")))</f>
        <v/>
      </c>
      <c r="AR407" s="403" t="str">
        <f ca="1">IF(SUM($G407:AQ407)&gt;=1,"",IF(AR405=0,"",IF(SUM($G405:AR405)&gt;=1,OFFSET(AR$228,-1,0),"")))</f>
        <v/>
      </c>
      <c r="AS407" s="403" t="str">
        <f ca="1">IF(SUM($G407:AR407)&gt;=1,"",IF(AS405=0,"",IF(SUM($G405:AS405)&gt;=1,OFFSET(AS$228,-1,0),"")))</f>
        <v/>
      </c>
      <c r="AT407" s="403" t="str">
        <f ca="1">IF(SUM($G407:AS407)&gt;=1,"",IF(AT405=0,"",IF(SUM($G405:AT405)&gt;=1,OFFSET(AT$228,-1,0),"")))</f>
        <v/>
      </c>
      <c r="AU407" s="403" t="str">
        <f ca="1">IF(SUM($G407:AT407)&gt;=1,"",IF(AU405=0,"",IF(SUM($G405:AU405)&gt;=1,OFFSET(AU$228,-1,0),"")))</f>
        <v/>
      </c>
      <c r="AV407" s="403" t="str">
        <f ca="1">IF(SUM($G407:AU407)&gt;=1,"",IF(AV405=0,"",IF(SUM($G405:AV405)&gt;=1,OFFSET(AV$228,-1,0),"")))</f>
        <v/>
      </c>
      <c r="AW407" s="403" t="str">
        <f ca="1">IF(SUM($G407:AV407)&gt;=1,"",IF(AW405=0,"",IF(SUM($G405:AW405)&gt;=1,OFFSET(AW$228,-1,0),"")))</f>
        <v/>
      </c>
      <c r="AX407" s="403" t="str">
        <f ca="1">IF(SUM($G407:AW407)&gt;=1,"",IF(AX405=0,"",IF(SUM($G405:AX405)&gt;=1,OFFSET(AX$228,-1,0),"")))</f>
        <v/>
      </c>
      <c r="AY407" s="403" t="str">
        <f ca="1">IF(SUM($G407:AX407)&gt;=1,"",IF(AY405=0,"",IF(SUM($G405:AY405)&gt;=1,OFFSET(AY$228,-1,0),"")))</f>
        <v/>
      </c>
      <c r="AZ407" s="403" t="str">
        <f ca="1">IF(SUM($G407:AY407)&gt;=1,"",IF(AZ405=0,"",IF(SUM($G405:AZ405)&gt;=1,OFFSET(AZ$228,-1,0),"")))</f>
        <v/>
      </c>
      <c r="BA407" s="403" t="str">
        <f ca="1">IF(SUM($G407:AZ407)&gt;=1,"",IF(BA405=0,"",IF(SUM($G405:BA405)&gt;=1,OFFSET(BA$228,-1,0),"")))</f>
        <v/>
      </c>
      <c r="BB407" s="403" t="str">
        <f ca="1">IF(SUM($G407:BA407)&gt;=1,"",IF(BB405=0,"",IF(SUM($G405:BB405)&gt;=1,OFFSET(BB$228,-1,0),"")))</f>
        <v/>
      </c>
      <c r="BC407" s="403" t="str">
        <f ca="1">IF(SUM($G407:BB407)&gt;=1,"",IF(BC405=0,"",IF(SUM($G405:BC405)&gt;=1,OFFSET(BC$228,-1,0),"")))</f>
        <v/>
      </c>
      <c r="BD407" s="403" t="str">
        <f ca="1">IF(SUM($G407:BC407)&gt;=1,"",IF(BD405=0,"",IF(SUM($G405:BD405)&gt;=1,OFFSET(BD$228,-1,0),"")))</f>
        <v/>
      </c>
      <c r="BE407" s="403" t="str">
        <f ca="1">IF(SUM($G407:BD407)&gt;=1,"",IF(BE405=0,"",IF(SUM($G405:BE405)&gt;=1,OFFSET(BE$228,-1,0),"")))</f>
        <v/>
      </c>
      <c r="BF407" s="403" t="str">
        <f ca="1">IF(SUM($G407:BE407)&gt;=1,"",IF(BF405=0,"",IF(SUM($G405:BF405)&gt;=1,OFFSET(BF$228,-1,0),"")))</f>
        <v/>
      </c>
      <c r="BG407" s="403" t="str">
        <f ca="1">IF(SUM($G407:BF407)&gt;=1,"",IF(BG405=0,"",IF(SUM($G405:BG405)&gt;=1,OFFSET(BG$228,-1,0),"")))</f>
        <v/>
      </c>
      <c r="BH407" s="403" t="str">
        <f ca="1">IF(SUM($G407:BG407)&gt;=1,"",IF(BH405=0,"",IF(SUM($G405:BH405)&gt;=1,OFFSET(BH$228,-1,0),"")))</f>
        <v/>
      </c>
      <c r="BI407" s="403" t="str">
        <f ca="1">IF(SUM($G407:BH407)&gt;=1,"",IF(BI405=0,"",IF(SUM($G405:BI405)&gt;=1,OFFSET(BI$228,-1,0),"")))</f>
        <v/>
      </c>
      <c r="BJ407" s="403" t="str">
        <f ca="1">IF(SUM($G407:BI407)&gt;=1,"",IF(BJ405=0,"",IF(SUM($G405:BJ405)&gt;=1,OFFSET(BJ$228,-1,0),"")))</f>
        <v/>
      </c>
      <c r="BK407" s="403" t="str">
        <f ca="1">IF(SUM($G407:BJ407)&gt;=1,"",IF(BK405=0,"",IF(SUM($G405:BK405)&gt;=1,OFFSET(BK$228,-1,0),"")))</f>
        <v/>
      </c>
      <c r="BL407" s="403" t="str">
        <f ca="1">IF(SUM($G407:BK407)&gt;=1,"",IF(BL405=0,"",IF(SUM($G405:BL405)&gt;=1,OFFSET(BL$228,-1,0),"")))</f>
        <v/>
      </c>
      <c r="BM407" s="403" t="str">
        <f ca="1">IF(SUM($G407:BL407)&gt;=1,"",IF(BM405=0,"",IF(SUM($G405:BM405)&gt;=1,OFFSET(BM$228,-1,0),"")))</f>
        <v/>
      </c>
      <c r="BN407" s="403" t="str">
        <f ca="1">IF(SUM($G407:BM407)&gt;=1,"",IF(BN405=0,"",IF(SUM($G405:BN405)&gt;=1,OFFSET(BN$228,-1,0),"")))</f>
        <v/>
      </c>
      <c r="BO407" s="403" t="str">
        <f ca="1">IF(SUM($G407:BN407)&gt;=1,"",IF(BO405=0,"",IF(SUM($G405:BO405)&gt;=1,OFFSET(BO$228,-1,0),"")))</f>
        <v/>
      </c>
      <c r="BP407" s="403" t="str">
        <f ca="1">IF(SUM($G407:BO407)&gt;=1,"",IF(BP405=0,"",IF(SUM($G405:BP405)&gt;=1,OFFSET(BP$228,-1,0),"")))</f>
        <v/>
      </c>
      <c r="BQ407" s="403" t="str">
        <f ca="1">IF(SUM($G407:BP407)&gt;=1,"",IF(BQ405=0,"",IF(SUM($G405:BQ405)&gt;=1,OFFSET(BQ$228,-1,0),"")))</f>
        <v/>
      </c>
      <c r="BR407" s="403" t="str">
        <f ca="1">IF(SUM($G407:BQ407)&gt;=1,"",IF(BR405=0,"",IF(SUM($G405:BR405)&gt;=1,OFFSET(BR$228,-1,0),"")))</f>
        <v/>
      </c>
      <c r="BS407" s="403" t="str">
        <f ca="1">IF(SUM($G407:BR407)&gt;=1,"",IF(BS405=0,"",IF(SUM($G405:BS405)&gt;=1,OFFSET(BS$228,-1,0),"")))</f>
        <v/>
      </c>
      <c r="BT407" s="403" t="str">
        <f ca="1">IF(SUM($G407:BS407)&gt;=1,"",IF(BT405=0,"",IF(SUM($G405:BT405)&gt;=1,OFFSET(BT$228,-1,0),"")))</f>
        <v/>
      </c>
      <c r="BU407" s="403" t="str">
        <f ca="1">IF(SUM($G407:BT407)&gt;=1,"",IF(BU405=0,"",IF(SUM($G405:BU405)&gt;=1,OFFSET(BU$228,-1,0),"")))</f>
        <v/>
      </c>
      <c r="BV407" s="403" t="str">
        <f ca="1">IF(SUM($G407:BU407)&gt;=1,"",IF(BV405=0,"",IF(SUM($G405:BV405)&gt;=1,OFFSET(BV$228,-1,0),"")))</f>
        <v/>
      </c>
      <c r="BW407" s="403" t="str">
        <f ca="1">IF(SUM($G407:BV407)&gt;=1,"",IF(BW405=0,"",IF(SUM($G405:BW405)&gt;=1,OFFSET(BW$228,-1,0),"")))</f>
        <v/>
      </c>
      <c r="BX407" s="403" t="str">
        <f ca="1">IF(SUM($G407:BW407)&gt;=1,"",IF(BX405=0,"",IF(SUM($G405:BX405)&gt;=1,OFFSET(BX$228,-1,0),"")))</f>
        <v/>
      </c>
      <c r="BY407" s="403" t="str">
        <f ca="1">IF(SUM($G407:BX407)&gt;=1,"",IF(BY405=0,"",IF(SUM($G405:BY405)&gt;=1,OFFSET(BY$228,-1,0),"")))</f>
        <v/>
      </c>
      <c r="BZ407" s="403" t="str">
        <f ca="1">IF(SUM($G407:BY407)&gt;=1,"",IF(BZ405=0,"",IF(SUM($G405:BZ405)&gt;=1,OFFSET(BZ$228,-1,0),"")))</f>
        <v/>
      </c>
      <c r="CA407" s="403" t="str">
        <f ca="1">IF(SUM($G407:BZ407)&gt;=1,"",IF(CA405=0,"",IF(SUM($G405:CA405)&gt;=1,OFFSET(CA$228,-1,0),"")))</f>
        <v/>
      </c>
      <c r="CB407" s="403" t="str">
        <f ca="1">IF(SUM($G407:CA407)&gt;=1,"",IF(CB405=0,"",IF(SUM($G405:CB405)&gt;=1,OFFSET(CB$228,-1,0),"")))</f>
        <v/>
      </c>
      <c r="CC407" s="403" t="str">
        <f ca="1">IF(SUM($G407:CB407)&gt;=1,"",IF(CC405=0,"",IF(SUM($G405:CC405)&gt;=1,OFFSET(CC$228,-1,0),"")))</f>
        <v/>
      </c>
      <c r="CD407" s="403" t="str">
        <f ca="1">IF(SUM($G407:CC407)&gt;=1,"",IF(CD405=0,"",IF(SUM($G405:CD405)&gt;=1,OFFSET(CD$228,-1,0),"")))</f>
        <v/>
      </c>
      <c r="CE407" s="403" t="str">
        <f ca="1">IF(SUM($G407:CD407)&gt;=1,"",IF(CE405=0,"",IF(SUM($G405:CE405)&gt;=1,OFFSET(CE$228,-1,0),"")))</f>
        <v/>
      </c>
      <c r="CF407" s="403" t="str">
        <f ca="1">IF(SUM($G407:CE407)&gt;=1,"",IF(CF405=0,"",IF(SUM($G405:CF405)&gt;=1,OFFSET(CF$228,-1,0),"")))</f>
        <v/>
      </c>
      <c r="CG407" s="403" t="str">
        <f ca="1">IF(SUM($G407:CF407)&gt;=1,"",IF(CG405=0,"",IF(SUM($G405:CG405)&gt;=1,OFFSET(CG$228,-1,0),"")))</f>
        <v/>
      </c>
      <c r="CH407" s="403" t="str">
        <f ca="1">IF(SUM($G407:CG407)&gt;=1,"",IF(CH405=0,"",IF(SUM($G405:CH405)&gt;=1,OFFSET(CH$228,-1,0),"")))</f>
        <v/>
      </c>
      <c r="CI407" s="403" t="str">
        <f ca="1">IF(SUM($G407:CH407)&gt;=1,"",IF(CI405=0,"",IF(SUM($G405:CI405)&gt;=1,OFFSET(CI$228,-1,0),"")))</f>
        <v/>
      </c>
      <c r="CJ407" s="403" t="str">
        <f ca="1">IF(SUM($G407:CI407)&gt;=1,"",IF(CJ405=0,"",IF(SUM($G405:CJ405)&gt;=1,OFFSET(CJ$228,-1,0),"")))</f>
        <v/>
      </c>
      <c r="CK407" s="403" t="str">
        <f ca="1">IF(SUM($G407:CJ407)&gt;=1,"",IF(CK405=0,"",IF(SUM($G405:CK405)&gt;=1,OFFSET(CK$228,-1,0),"")))</f>
        <v/>
      </c>
      <c r="CL407" s="403" t="str">
        <f ca="1">IF(SUM($G407:CK407)&gt;=1,"",IF(CL405=0,"",IF(SUM($G405:CL405)&gt;=1,OFFSET(CL$228,-1,0),"")))</f>
        <v/>
      </c>
      <c r="CM407" s="403" t="str">
        <f ca="1">IF(SUM($G407:CL407)&gt;=1,"",IF(CM405=0,"",IF(SUM($G405:CM405)&gt;=1,OFFSET(CM$228,-1,0),"")))</f>
        <v/>
      </c>
      <c r="CN407" s="403" t="str">
        <f ca="1">IF(SUM($G407:CM407)&gt;=1,"",IF(CN405=0,"",IF(SUM($G405:CN405)&gt;=1,OFFSET(CN$228,-1,0),"")))</f>
        <v/>
      </c>
      <c r="CO407" s="403" t="str">
        <f ca="1">IF(SUM($G407:CN407)&gt;=1,"",IF(CO405=0,"",IF(SUM($G405:CO405)&gt;=1,OFFSET(CO$228,-1,0),"")))</f>
        <v/>
      </c>
      <c r="CP407" s="403" t="str">
        <f ca="1">IF(SUM($G407:CO407)&gt;=1,"",IF(CP405=0,"",IF(SUM($G405:CP405)&gt;=1,OFFSET(CP$228,-1,0),"")))</f>
        <v/>
      </c>
      <c r="CQ407" s="403" t="str">
        <f ca="1">IF(SUM($G407:CP407)&gt;=1,"",IF(CQ405=0,"",IF(SUM($G405:CQ405)&gt;=1,OFFSET(CQ$228,-1,0),"")))</f>
        <v/>
      </c>
      <c r="CR407" s="403" t="str">
        <f ca="1">IF(SUM($G407:CQ407)&gt;=1,"",IF(CR405=0,"",IF(SUM($G405:CR405)&gt;=1,OFFSET(CR$228,-1,0),"")))</f>
        <v/>
      </c>
      <c r="CS407" s="403" t="str">
        <f ca="1">IF(SUM($G407:CR407)&gt;=1,"",IF(CS405=0,"",IF(SUM($G405:CS405)&gt;=1,OFFSET(CS$228,-1,0),"")))</f>
        <v/>
      </c>
      <c r="CT407" s="403" t="str">
        <f ca="1">IF(SUM($G407:CS407)&gt;=1,"",IF(CT405=0,"",IF(SUM($G405:CT405)&gt;=1,OFFSET(CT$228,-1,0),"")))</f>
        <v/>
      </c>
      <c r="CU407" s="403" t="str">
        <f ca="1">IF(SUM($G407:CT407)&gt;=1,"",IF(CU405=0,"",IF(SUM($G405:CU405)&gt;=1,OFFSET(CU$228,-1,0),"")))</f>
        <v/>
      </c>
      <c r="CV407" s="403" t="str">
        <f ca="1">IF(SUM($G407:CU407)&gt;=1,"",IF(CV405=0,"",IF(SUM($G405:CV405)&gt;=1,OFFSET(CV$228,-1,0),"")))</f>
        <v/>
      </c>
      <c r="CW407" s="403" t="str">
        <f ca="1">IF(SUM($G407:CV407)&gt;=1,"",IF(CW405=0,"",IF(SUM($G405:CW405)&gt;=1,OFFSET(CW$228,-1,0),"")))</f>
        <v/>
      </c>
      <c r="CX407" s="403" t="str">
        <f ca="1">IF(SUM($G407:CW407)&gt;=1,"",IF(CX405=0,"",IF(SUM($G405:CX405)&gt;=1,OFFSET(CX$228,-1,0),"")))</f>
        <v/>
      </c>
      <c r="CY407" s="403" t="str">
        <f ca="1">IF(SUM($G407:CX407)&gt;=1,"",IF(CY405=0,"",IF(SUM($G405:CY405)&gt;=1,OFFSET(CY$228,-1,0),"")))</f>
        <v/>
      </c>
      <c r="CZ407" s="403" t="str">
        <f ca="1">IF(SUM($G407:CY407)&gt;=1,"",IF(CZ405=0,"",IF(SUM($G405:CZ405)&gt;=1,OFFSET(CZ$228,-1,0),"")))</f>
        <v/>
      </c>
      <c r="DA407" s="403" t="str">
        <f ca="1">IF(SUM($G407:CZ407)&gt;=1,"",IF(DA405=0,"",IF(SUM($G405:DA405)&gt;=1,OFFSET(DA$228,-1,0),"")))</f>
        <v/>
      </c>
      <c r="DB407" s="403" t="str">
        <f ca="1">IF(SUM($G407:DA407)&gt;=1,"",IF(DB405=0,"",IF(SUM($G405:DB405)&gt;=1,OFFSET(DB$228,-1,0),"")))</f>
        <v/>
      </c>
      <c r="DC407" s="403" t="str">
        <f ca="1">IF(SUM($G407:DB407)&gt;=1,"",IF(DC405=0,"",IF(SUM($G405:DC405)&gt;=1,OFFSET(DC$228,-1,0),"")))</f>
        <v/>
      </c>
      <c r="DD407" s="403" t="str">
        <f ca="1">IF(SUM($G407:DC407)&gt;=1,"",IF(DD405=0,"",IF(SUM($G405:DD405)&gt;=1,OFFSET(DD$228,-1,0),"")))</f>
        <v/>
      </c>
      <c r="DE407" s="403" t="str">
        <f ca="1">IF(SUM($G407:DD407)&gt;=1,"",IF(DE405=0,"",IF(SUM($G405:DE405)&gt;=1,OFFSET(DE$228,-1,0),"")))</f>
        <v/>
      </c>
      <c r="DF407" s="403" t="str">
        <f ca="1">IF(SUM($G407:DE407)&gt;=1,"",IF(DF405=0,"",IF(SUM($G405:DF405)&gt;=1,OFFSET(DF$228,-1,0),"")))</f>
        <v/>
      </c>
      <c r="DG407" s="403" t="str">
        <f ca="1">IF(SUM($G407:DF407)&gt;=1,"",IF(DG405=0,"",IF(SUM($G405:DG405)&gt;=1,OFFSET(DG$228,-1,0),"")))</f>
        <v/>
      </c>
      <c r="DH407" s="403" t="str">
        <f ca="1">IF(SUM($G407:DG407)&gt;=1,"",IF(DH405=0,"",IF(SUM($G405:DH405)&gt;=1,OFFSET(DH$228,-1,0),"")))</f>
        <v/>
      </c>
      <c r="DI407" s="403" t="str">
        <f ca="1">IF(SUM($G407:DH407)&gt;=1,"",IF(DI405=0,"",IF(SUM($G405:DI405)&gt;=1,OFFSET(DI$228,-1,0),"")))</f>
        <v/>
      </c>
      <c r="DJ407" s="403" t="str">
        <f ca="1">IF(SUM($G407:DI407)&gt;=1,"",IF(DJ405=0,"",IF(SUM($G405:DJ405)&gt;=1,OFFSET(DJ$228,-1,0),"")))</f>
        <v/>
      </c>
      <c r="DK407" s="403" t="str">
        <f ca="1">IF(SUM($G407:DJ407)&gt;=1,"",IF(DK405=0,"",IF(SUM($G405:DK405)&gt;=1,OFFSET(DK$228,-1,0),"")))</f>
        <v/>
      </c>
      <c r="DL407" s="403" t="str">
        <f ca="1">IF(SUM($G407:DK407)&gt;=1,"",IF(DL405=0,"",IF(SUM($G405:DL405)&gt;=1,OFFSET(DL$228,-1,0),"")))</f>
        <v/>
      </c>
      <c r="DM407" s="403" t="str">
        <f ca="1">IF(SUM($G407:DL407)&gt;=1,"",IF(DM405=0,"",IF(SUM($G405:DM405)&gt;=1,OFFSET(DM$228,-1,0),"")))</f>
        <v/>
      </c>
      <c r="DN407" s="403" t="str">
        <f ca="1">IF(SUM($G407:DM407)&gt;=1,"",IF(DN405=0,"",IF(SUM($G405:DN405)&gt;=1,OFFSET(DN$228,-1,0),"")))</f>
        <v/>
      </c>
      <c r="DO407" s="403" t="str">
        <f ca="1">IF(SUM($G407:DN407)&gt;=1,"",IF(DO405=0,"",IF(SUM($G405:DO405)&gt;=1,OFFSET(DO$228,-1,0),"")))</f>
        <v/>
      </c>
      <c r="DP407" s="403" t="str">
        <f ca="1">IF(SUM($G407:DO407)&gt;=1,"",IF(DP405=0,"",IF(SUM($G405:DP405)&gt;=1,OFFSET(DP$228,-1,0),"")))</f>
        <v/>
      </c>
      <c r="DQ407" s="403" t="str">
        <f ca="1">IF(SUM($G407:DP407)&gt;=1,"",IF(DQ405=0,"",IF(SUM($G405:DQ405)&gt;=1,OFFSET(DQ$228,-1,0),"")))</f>
        <v/>
      </c>
      <c r="DR407" s="403" t="str">
        <f ca="1">IF(SUM($G407:DQ407)&gt;=1,"",IF(DR405=0,"",IF(SUM($G405:DR405)&gt;=1,OFFSET(DR$228,-1,0),"")))</f>
        <v/>
      </c>
      <c r="DS407" s="403" t="str">
        <f ca="1">IF(SUM($G407:DR407)&gt;=1,"",IF(DS405=0,"",IF(SUM($G405:DS405)&gt;=1,OFFSET(DS$228,-1,0),"")))</f>
        <v/>
      </c>
      <c r="DT407" s="403" t="str">
        <f ca="1">IF(SUM($G407:DS407)&gt;=1,"",IF(DT405=0,"",IF(SUM($G405:DT405)&gt;=1,OFFSET(DT$228,-1,0),"")))</f>
        <v/>
      </c>
      <c r="DU407" s="403" t="str">
        <f ca="1">IF(SUM($G407:DT407)&gt;=1,"",IF(DU405=0,"",IF(SUM($G405:DU405)&gt;=1,OFFSET(DU$228,-1,0),"")))</f>
        <v/>
      </c>
      <c r="DV407" s="403" t="str">
        <f ca="1">IF(SUM($G407:DU407)&gt;=1,"",IF(DV405=0,"",IF(SUM($G405:DV405)&gt;=1,OFFSET(DV$228,-1,0),"")))</f>
        <v/>
      </c>
      <c r="DW407" s="403" t="str">
        <f ca="1">IF(SUM($G407:DV407)&gt;=1,"",IF(DW405=0,"",IF(SUM($G405:DW405)&gt;=1,OFFSET(DW$228,-1,0),"")))</f>
        <v/>
      </c>
      <c r="DX407" s="403" t="str">
        <f ca="1">IF(SUM($G407:DW407)&gt;=1,"",IF(DX405=0,"",IF(SUM($G405:DX405)&gt;=1,OFFSET(DX$228,-1,0),"")))</f>
        <v/>
      </c>
      <c r="DY407" s="403" t="str">
        <f ca="1">IF(SUM($G407:DX407)&gt;=1,"",IF(DY405=0,"",IF(SUM($G405:DY405)&gt;=1,OFFSET(DY$228,-1,0),"")))</f>
        <v/>
      </c>
      <c r="DZ407" s="403" t="str">
        <f ca="1">IF(SUM($G407:DY407)&gt;=1,"",IF(DZ405=0,"",IF(SUM($G405:DZ405)&gt;=1,OFFSET(DZ$228,-1,0),"")))</f>
        <v/>
      </c>
      <c r="EA407" s="403" t="str">
        <f ca="1">IF(SUM($G407:DZ407)&gt;=1,"",IF(EA405=0,"",IF(SUM($G405:EA405)&gt;=1,OFFSET(EA$228,-1,0),"")))</f>
        <v/>
      </c>
      <c r="EB407" s="403" t="str">
        <f ca="1">IF(SUM($G407:EA407)&gt;=1,"",IF(EB405=0,"",IF(SUM($G405:EB405)&gt;=1,OFFSET(EB$228,-1,0),"")))</f>
        <v/>
      </c>
      <c r="EC407" s="403" t="str">
        <f ca="1">IF(SUM($G407:EB407)&gt;=1,"",IF(EC405=0,"",IF(SUM($G405:EC405)&gt;=1,OFFSET(EC$228,-1,0),"")))</f>
        <v/>
      </c>
      <c r="ED407" s="403" t="str">
        <f ca="1">IF(SUM($G407:EC407)&gt;=1,"",IF(ED405=0,"",IF(SUM($G405:ED405)&gt;=1,OFFSET(ED$228,-1,0),"")))</f>
        <v/>
      </c>
      <c r="EE407" s="403" t="str">
        <f ca="1">IF(SUM($G407:ED407)&gt;=1,"",IF(EE405=0,"",IF(SUM($G405:EE405)&gt;=1,OFFSET(EE$228,-1,0),"")))</f>
        <v/>
      </c>
      <c r="EF407" s="403" t="str">
        <f ca="1">IF(SUM($G407:EE407)&gt;=1,"",IF(EF405=0,"",IF(SUM($G405:EF405)&gt;=1,OFFSET(EF$228,-1,0),"")))</f>
        <v/>
      </c>
      <c r="EG407" s="403" t="str">
        <f ca="1">IF(SUM($G407:EF407)&gt;=1,"",IF(EG405=0,"",IF(SUM($G405:EG405)&gt;=1,OFFSET(EG$228,-1,0),"")))</f>
        <v/>
      </c>
      <c r="EH407" s="403" t="str">
        <f ca="1">IF(SUM($G407:EG407)&gt;=1,"",IF(EH405=0,"",IF(SUM($G405:EH405)&gt;=1,OFFSET(EH$228,-1,0),"")))</f>
        <v/>
      </c>
      <c r="EI407" s="403" t="str">
        <f ca="1">IF(SUM($G407:EH407)&gt;=1,"",IF(EI405=0,"",IF(SUM($G405:EI405)&gt;=1,OFFSET(EI$228,-1,0),"")))</f>
        <v/>
      </c>
    </row>
    <row r="408" spans="1:141" hidden="1" outlineLevel="2">
      <c r="A408" s="332"/>
      <c r="D408" s="305" t="s">
        <v>671</v>
      </c>
      <c r="E408" s="1002" t="str">
        <f ca="1">IF(E405=0,"",MIN(G408:EI408))</f>
        <v/>
      </c>
      <c r="F408" s="1003"/>
      <c r="G408" s="403" t="str">
        <f>IF(G405=0,"",IF(G405=G$3,G407,G$5+H$5-G409-1))</f>
        <v/>
      </c>
      <c r="H408" s="403" t="str">
        <f ca="1">IF(H405=0,"",IF(H405=H$3,H407,H$5+I$5-H409-1))</f>
        <v/>
      </c>
      <c r="I408" s="403" t="str">
        <f t="shared" ref="I408:BT408" ca="1" si="694">IF(I405=0,"",IF(I405=I$3,I407,I$5+J$5-I409-1))</f>
        <v/>
      </c>
      <c r="J408" s="403" t="str">
        <f t="shared" ca="1" si="694"/>
        <v/>
      </c>
      <c r="K408" s="403" t="str">
        <f t="shared" ca="1" si="694"/>
        <v/>
      </c>
      <c r="L408" s="403" t="str">
        <f t="shared" ca="1" si="694"/>
        <v/>
      </c>
      <c r="M408" s="403" t="str">
        <f t="shared" ca="1" si="694"/>
        <v/>
      </c>
      <c r="N408" s="403" t="str">
        <f t="shared" ca="1" si="694"/>
        <v/>
      </c>
      <c r="O408" s="403" t="str">
        <f t="shared" ca="1" si="694"/>
        <v/>
      </c>
      <c r="P408" s="403" t="str">
        <f t="shared" ca="1" si="694"/>
        <v/>
      </c>
      <c r="Q408" s="403" t="str">
        <f t="shared" ca="1" si="694"/>
        <v/>
      </c>
      <c r="R408" s="403" t="str">
        <f t="shared" ca="1" si="694"/>
        <v/>
      </c>
      <c r="S408" s="403" t="str">
        <f t="shared" ca="1" si="694"/>
        <v/>
      </c>
      <c r="T408" s="403" t="str">
        <f t="shared" ca="1" si="694"/>
        <v/>
      </c>
      <c r="U408" s="403" t="str">
        <f t="shared" ca="1" si="694"/>
        <v/>
      </c>
      <c r="V408" s="403" t="str">
        <f t="shared" ca="1" si="694"/>
        <v/>
      </c>
      <c r="W408" s="403" t="str">
        <f t="shared" ca="1" si="694"/>
        <v/>
      </c>
      <c r="X408" s="403" t="str">
        <f t="shared" ca="1" si="694"/>
        <v/>
      </c>
      <c r="Y408" s="403" t="str">
        <f t="shared" ca="1" si="694"/>
        <v/>
      </c>
      <c r="Z408" s="403" t="str">
        <f t="shared" ca="1" si="694"/>
        <v/>
      </c>
      <c r="AA408" s="403" t="str">
        <f t="shared" ca="1" si="694"/>
        <v/>
      </c>
      <c r="AB408" s="403" t="str">
        <f t="shared" ca="1" si="694"/>
        <v/>
      </c>
      <c r="AC408" s="403" t="str">
        <f t="shared" ca="1" si="694"/>
        <v/>
      </c>
      <c r="AD408" s="403" t="str">
        <f t="shared" ca="1" si="694"/>
        <v/>
      </c>
      <c r="AE408" s="403" t="str">
        <f t="shared" ca="1" si="694"/>
        <v/>
      </c>
      <c r="AF408" s="403" t="str">
        <f t="shared" ca="1" si="694"/>
        <v/>
      </c>
      <c r="AG408" s="403" t="str">
        <f t="shared" ca="1" si="694"/>
        <v/>
      </c>
      <c r="AH408" s="403" t="str">
        <f t="shared" ca="1" si="694"/>
        <v/>
      </c>
      <c r="AI408" s="403" t="str">
        <f t="shared" ca="1" si="694"/>
        <v/>
      </c>
      <c r="AJ408" s="403" t="str">
        <f t="shared" ca="1" si="694"/>
        <v/>
      </c>
      <c r="AK408" s="403" t="str">
        <f t="shared" ca="1" si="694"/>
        <v/>
      </c>
      <c r="AL408" s="403" t="str">
        <f t="shared" ca="1" si="694"/>
        <v/>
      </c>
      <c r="AM408" s="403" t="str">
        <f t="shared" ca="1" si="694"/>
        <v/>
      </c>
      <c r="AN408" s="403" t="str">
        <f t="shared" ca="1" si="694"/>
        <v/>
      </c>
      <c r="AO408" s="403" t="str">
        <f t="shared" ca="1" si="694"/>
        <v/>
      </c>
      <c r="AP408" s="403" t="str">
        <f t="shared" ca="1" si="694"/>
        <v/>
      </c>
      <c r="AQ408" s="403" t="str">
        <f t="shared" ca="1" si="694"/>
        <v/>
      </c>
      <c r="AR408" s="403" t="str">
        <f t="shared" ca="1" si="694"/>
        <v/>
      </c>
      <c r="AS408" s="403" t="str">
        <f t="shared" ca="1" si="694"/>
        <v/>
      </c>
      <c r="AT408" s="403" t="str">
        <f t="shared" ca="1" si="694"/>
        <v/>
      </c>
      <c r="AU408" s="403" t="str">
        <f t="shared" ca="1" si="694"/>
        <v/>
      </c>
      <c r="AV408" s="403" t="str">
        <f t="shared" ca="1" si="694"/>
        <v/>
      </c>
      <c r="AW408" s="403" t="str">
        <f t="shared" ca="1" si="694"/>
        <v/>
      </c>
      <c r="AX408" s="403" t="str">
        <f t="shared" ca="1" si="694"/>
        <v/>
      </c>
      <c r="AY408" s="403" t="str">
        <f t="shared" ca="1" si="694"/>
        <v/>
      </c>
      <c r="AZ408" s="403" t="str">
        <f t="shared" ca="1" si="694"/>
        <v/>
      </c>
      <c r="BA408" s="403" t="str">
        <f t="shared" ca="1" si="694"/>
        <v/>
      </c>
      <c r="BB408" s="403" t="str">
        <f t="shared" ca="1" si="694"/>
        <v/>
      </c>
      <c r="BC408" s="403" t="str">
        <f t="shared" ca="1" si="694"/>
        <v/>
      </c>
      <c r="BD408" s="403" t="str">
        <f t="shared" ca="1" si="694"/>
        <v/>
      </c>
      <c r="BE408" s="403" t="str">
        <f t="shared" ca="1" si="694"/>
        <v/>
      </c>
      <c r="BF408" s="403" t="str">
        <f t="shared" ca="1" si="694"/>
        <v/>
      </c>
      <c r="BG408" s="403" t="str">
        <f t="shared" ca="1" si="694"/>
        <v/>
      </c>
      <c r="BH408" s="403" t="str">
        <f t="shared" ca="1" si="694"/>
        <v/>
      </c>
      <c r="BI408" s="403" t="str">
        <f t="shared" ca="1" si="694"/>
        <v/>
      </c>
      <c r="BJ408" s="403" t="str">
        <f t="shared" ca="1" si="694"/>
        <v/>
      </c>
      <c r="BK408" s="403" t="str">
        <f t="shared" ca="1" si="694"/>
        <v/>
      </c>
      <c r="BL408" s="403" t="str">
        <f t="shared" ca="1" si="694"/>
        <v/>
      </c>
      <c r="BM408" s="403" t="str">
        <f t="shared" ca="1" si="694"/>
        <v/>
      </c>
      <c r="BN408" s="403" t="str">
        <f t="shared" ca="1" si="694"/>
        <v/>
      </c>
      <c r="BO408" s="403" t="str">
        <f t="shared" ca="1" si="694"/>
        <v/>
      </c>
      <c r="BP408" s="403" t="str">
        <f t="shared" ca="1" si="694"/>
        <v/>
      </c>
      <c r="BQ408" s="403" t="str">
        <f t="shared" ca="1" si="694"/>
        <v/>
      </c>
      <c r="BR408" s="403" t="str">
        <f t="shared" ca="1" si="694"/>
        <v/>
      </c>
      <c r="BS408" s="403" t="str">
        <f t="shared" ca="1" si="694"/>
        <v/>
      </c>
      <c r="BT408" s="403" t="str">
        <f t="shared" ca="1" si="694"/>
        <v/>
      </c>
      <c r="BU408" s="403" t="str">
        <f t="shared" ref="BU408:EF408" ca="1" si="695">IF(BU405=0,"",IF(BU405=BU$3,BU407,BU$5+BV$5-BU409-1))</f>
        <v/>
      </c>
      <c r="BV408" s="403" t="str">
        <f t="shared" ca="1" si="695"/>
        <v/>
      </c>
      <c r="BW408" s="403" t="str">
        <f t="shared" ca="1" si="695"/>
        <v/>
      </c>
      <c r="BX408" s="403" t="str">
        <f t="shared" ca="1" si="695"/>
        <v/>
      </c>
      <c r="BY408" s="403" t="str">
        <f t="shared" ca="1" si="695"/>
        <v/>
      </c>
      <c r="BZ408" s="403" t="str">
        <f t="shared" ca="1" si="695"/>
        <v/>
      </c>
      <c r="CA408" s="403" t="str">
        <f t="shared" ca="1" si="695"/>
        <v/>
      </c>
      <c r="CB408" s="403" t="str">
        <f t="shared" ca="1" si="695"/>
        <v/>
      </c>
      <c r="CC408" s="403" t="str">
        <f t="shared" ca="1" si="695"/>
        <v/>
      </c>
      <c r="CD408" s="403" t="str">
        <f t="shared" ca="1" si="695"/>
        <v/>
      </c>
      <c r="CE408" s="403" t="str">
        <f t="shared" ca="1" si="695"/>
        <v/>
      </c>
      <c r="CF408" s="403" t="str">
        <f t="shared" ca="1" si="695"/>
        <v/>
      </c>
      <c r="CG408" s="403" t="str">
        <f t="shared" ca="1" si="695"/>
        <v/>
      </c>
      <c r="CH408" s="403" t="str">
        <f t="shared" ca="1" si="695"/>
        <v/>
      </c>
      <c r="CI408" s="403" t="str">
        <f t="shared" ca="1" si="695"/>
        <v/>
      </c>
      <c r="CJ408" s="403" t="str">
        <f t="shared" ca="1" si="695"/>
        <v/>
      </c>
      <c r="CK408" s="403" t="str">
        <f t="shared" ca="1" si="695"/>
        <v/>
      </c>
      <c r="CL408" s="403" t="str">
        <f t="shared" ca="1" si="695"/>
        <v/>
      </c>
      <c r="CM408" s="403" t="str">
        <f t="shared" ca="1" si="695"/>
        <v/>
      </c>
      <c r="CN408" s="403" t="str">
        <f t="shared" ca="1" si="695"/>
        <v/>
      </c>
      <c r="CO408" s="403" t="str">
        <f t="shared" ca="1" si="695"/>
        <v/>
      </c>
      <c r="CP408" s="403" t="str">
        <f t="shared" ca="1" si="695"/>
        <v/>
      </c>
      <c r="CQ408" s="403" t="str">
        <f t="shared" ca="1" si="695"/>
        <v/>
      </c>
      <c r="CR408" s="403" t="str">
        <f t="shared" ca="1" si="695"/>
        <v/>
      </c>
      <c r="CS408" s="403" t="str">
        <f t="shared" ca="1" si="695"/>
        <v/>
      </c>
      <c r="CT408" s="403" t="str">
        <f t="shared" ca="1" si="695"/>
        <v/>
      </c>
      <c r="CU408" s="403" t="str">
        <f t="shared" ca="1" si="695"/>
        <v/>
      </c>
      <c r="CV408" s="403" t="str">
        <f t="shared" ca="1" si="695"/>
        <v/>
      </c>
      <c r="CW408" s="403" t="str">
        <f t="shared" ca="1" si="695"/>
        <v/>
      </c>
      <c r="CX408" s="403" t="str">
        <f t="shared" ca="1" si="695"/>
        <v/>
      </c>
      <c r="CY408" s="403" t="str">
        <f t="shared" ca="1" si="695"/>
        <v/>
      </c>
      <c r="CZ408" s="403" t="str">
        <f t="shared" ca="1" si="695"/>
        <v/>
      </c>
      <c r="DA408" s="403" t="str">
        <f t="shared" ca="1" si="695"/>
        <v/>
      </c>
      <c r="DB408" s="403" t="str">
        <f t="shared" ca="1" si="695"/>
        <v/>
      </c>
      <c r="DC408" s="403" t="str">
        <f t="shared" ca="1" si="695"/>
        <v/>
      </c>
      <c r="DD408" s="403" t="str">
        <f t="shared" ca="1" si="695"/>
        <v/>
      </c>
      <c r="DE408" s="403" t="str">
        <f t="shared" ca="1" si="695"/>
        <v/>
      </c>
      <c r="DF408" s="403" t="str">
        <f t="shared" ca="1" si="695"/>
        <v/>
      </c>
      <c r="DG408" s="403" t="str">
        <f t="shared" ca="1" si="695"/>
        <v/>
      </c>
      <c r="DH408" s="403" t="str">
        <f t="shared" ca="1" si="695"/>
        <v/>
      </c>
      <c r="DI408" s="403" t="str">
        <f t="shared" ca="1" si="695"/>
        <v/>
      </c>
      <c r="DJ408" s="403" t="str">
        <f t="shared" ca="1" si="695"/>
        <v/>
      </c>
      <c r="DK408" s="403" t="str">
        <f t="shared" ca="1" si="695"/>
        <v/>
      </c>
      <c r="DL408" s="403" t="str">
        <f t="shared" ca="1" si="695"/>
        <v/>
      </c>
      <c r="DM408" s="403" t="str">
        <f t="shared" ca="1" si="695"/>
        <v/>
      </c>
      <c r="DN408" s="403" t="str">
        <f t="shared" ca="1" si="695"/>
        <v/>
      </c>
      <c r="DO408" s="403" t="str">
        <f t="shared" ca="1" si="695"/>
        <v/>
      </c>
      <c r="DP408" s="403" t="str">
        <f t="shared" ca="1" si="695"/>
        <v/>
      </c>
      <c r="DQ408" s="403" t="str">
        <f t="shared" ca="1" si="695"/>
        <v/>
      </c>
      <c r="DR408" s="403" t="str">
        <f t="shared" ca="1" si="695"/>
        <v/>
      </c>
      <c r="DS408" s="403" t="str">
        <f t="shared" ca="1" si="695"/>
        <v/>
      </c>
      <c r="DT408" s="403" t="str">
        <f t="shared" ca="1" si="695"/>
        <v/>
      </c>
      <c r="DU408" s="403" t="str">
        <f t="shared" ca="1" si="695"/>
        <v/>
      </c>
      <c r="DV408" s="403" t="str">
        <f t="shared" ca="1" si="695"/>
        <v/>
      </c>
      <c r="DW408" s="403" t="str">
        <f t="shared" ca="1" si="695"/>
        <v/>
      </c>
      <c r="DX408" s="403" t="str">
        <f t="shared" ca="1" si="695"/>
        <v/>
      </c>
      <c r="DY408" s="403" t="str">
        <f t="shared" ca="1" si="695"/>
        <v/>
      </c>
      <c r="DZ408" s="403" t="str">
        <f t="shared" ca="1" si="695"/>
        <v/>
      </c>
      <c r="EA408" s="403" t="str">
        <f t="shared" ca="1" si="695"/>
        <v/>
      </c>
      <c r="EB408" s="403" t="str">
        <f t="shared" ca="1" si="695"/>
        <v/>
      </c>
      <c r="EC408" s="403" t="str">
        <f t="shared" ca="1" si="695"/>
        <v/>
      </c>
      <c r="ED408" s="403" t="str">
        <f t="shared" ca="1" si="695"/>
        <v/>
      </c>
      <c r="EE408" s="403" t="str">
        <f t="shared" ca="1" si="695"/>
        <v/>
      </c>
      <c r="EF408" s="403" t="str">
        <f t="shared" ca="1" si="695"/>
        <v/>
      </c>
      <c r="EG408" s="403" t="str">
        <f t="shared" ref="EG408:EI408" ca="1" si="696">IF(EG405=0,"",IF(EG405=EG$3,EG407,EG$5+EH$5-EG409-1))</f>
        <v/>
      </c>
      <c r="EH408" s="403" t="str">
        <f t="shared" ca="1" si="696"/>
        <v/>
      </c>
      <c r="EI408" s="403" t="str">
        <f t="shared" ca="1" si="696"/>
        <v/>
      </c>
    </row>
    <row r="409" spans="1:141" hidden="1" outlineLevel="2">
      <c r="A409" s="332"/>
      <c r="D409" s="305" t="s">
        <v>672</v>
      </c>
      <c r="E409" s="1002" t="str">
        <f ca="1">IF(E405=0,"",MAX(G409:EI409))</f>
        <v/>
      </c>
      <c r="F409" s="1003"/>
      <c r="G409" s="403" t="str">
        <f ca="1">IF(SUM(G405:$EI405)=0,"",IF(G$227="","",G$227+G405-1))</f>
        <v/>
      </c>
      <c r="H409" s="403" t="str">
        <f ca="1">IF(SUM(H405:$EI405)=0,"",IF(H$227="","",H$227+H405-1))</f>
        <v/>
      </c>
      <c r="I409" s="403" t="str">
        <f ca="1">IF(SUM(I405:$EI405)=0,"",IF(I$227="","",I$227+I405-1))</f>
        <v/>
      </c>
      <c r="J409" s="403" t="str">
        <f ca="1">IF(SUM(J405:$EI405)=0,"",IF(J$227="","",J$227+J405-1))</f>
        <v/>
      </c>
      <c r="K409" s="403" t="str">
        <f ca="1">IF(SUM(K405:$EI405)=0,"",IF(K$227="","",K$227+K405-1))</f>
        <v/>
      </c>
      <c r="L409" s="403" t="str">
        <f ca="1">IF(SUM(L405:$EI405)=0,"",IF(L$227="","",L$227+L405-1))</f>
        <v/>
      </c>
      <c r="M409" s="403" t="str">
        <f ca="1">IF(SUM(M405:$EI405)=0,"",IF(M$227="","",M$227+M405-1))</f>
        <v/>
      </c>
      <c r="N409" s="403" t="str">
        <f ca="1">IF(SUM(N405:$EI405)=0,"",IF(N$227="","",N$227+N405-1))</f>
        <v/>
      </c>
      <c r="O409" s="403" t="str">
        <f ca="1">IF(SUM(O405:$EI405)=0,"",IF(O$227="","",O$227+O405-1))</f>
        <v/>
      </c>
      <c r="P409" s="403" t="str">
        <f ca="1">IF(SUM(P405:$EI405)=0,"",IF(P$227="","",P$227+P405-1))</f>
        <v/>
      </c>
      <c r="Q409" s="403" t="str">
        <f ca="1">IF(SUM(Q405:$EI405)=0,"",IF(Q$227="","",Q$227+Q405-1))</f>
        <v/>
      </c>
      <c r="R409" s="403" t="str">
        <f ca="1">IF(SUM(R405:$EI405)=0,"",IF(R$227="","",R$227+R405-1))</f>
        <v/>
      </c>
      <c r="S409" s="403" t="str">
        <f ca="1">IF(SUM(S405:$EI405)=0,"",IF(S$227="","",S$227+S405-1))</f>
        <v/>
      </c>
      <c r="T409" s="403" t="str">
        <f ca="1">IF(SUM(T405:$EI405)=0,"",IF(T$227="","",T$227+T405-1))</f>
        <v/>
      </c>
      <c r="U409" s="403" t="str">
        <f ca="1">IF(SUM(U405:$EI405)=0,"",IF(U$227="","",U$227+U405-1))</f>
        <v/>
      </c>
      <c r="V409" s="403" t="str">
        <f ca="1">IF(SUM(V405:$EI405)=0,"",IF(V$227="","",V$227+V405-1))</f>
        <v/>
      </c>
      <c r="W409" s="403" t="str">
        <f ca="1">IF(SUM(W405:$EI405)=0,"",IF(W$227="","",W$227+W405-1))</f>
        <v/>
      </c>
      <c r="X409" s="403" t="str">
        <f ca="1">IF(SUM(X405:$EI405)=0,"",IF(X$227="","",X$227+X405-1))</f>
        <v/>
      </c>
      <c r="Y409" s="403" t="str">
        <f ca="1">IF(SUM(Y405:$EI405)=0,"",IF(Y$227="","",Y$227+Y405-1))</f>
        <v/>
      </c>
      <c r="Z409" s="403" t="str">
        <f ca="1">IF(SUM(Z405:$EI405)=0,"",IF(Z$227="","",Z$227+Z405-1))</f>
        <v/>
      </c>
      <c r="AA409" s="403" t="str">
        <f ca="1">IF(SUM(AA405:$EI405)=0,"",IF(AA$227="","",AA$227+AA405-1))</f>
        <v/>
      </c>
      <c r="AB409" s="403" t="str">
        <f ca="1">IF(SUM(AB405:$EI405)=0,"",IF(AB$227="","",AB$227+AB405-1))</f>
        <v/>
      </c>
      <c r="AC409" s="403" t="str">
        <f ca="1">IF(SUM(AC405:$EI405)=0,"",IF(AC$227="","",AC$227+AC405-1))</f>
        <v/>
      </c>
      <c r="AD409" s="403" t="str">
        <f ca="1">IF(SUM(AD405:$EI405)=0,"",IF(AD$227="","",AD$227+AD405-1))</f>
        <v/>
      </c>
      <c r="AE409" s="403" t="str">
        <f ca="1">IF(SUM(AE405:$EI405)=0,"",IF(AE$227="","",AE$227+AE405-1))</f>
        <v/>
      </c>
      <c r="AF409" s="403" t="str">
        <f ca="1">IF(SUM(AF405:$EI405)=0,"",IF(AF$227="","",AF$227+AF405-1))</f>
        <v/>
      </c>
      <c r="AG409" s="403" t="str">
        <f ca="1">IF(SUM(AG405:$EI405)=0,"",IF(AG$227="","",AG$227+AG405-1))</f>
        <v/>
      </c>
      <c r="AH409" s="403" t="str">
        <f ca="1">IF(SUM(AH405:$EI405)=0,"",IF(AH$227="","",AH$227+AH405-1))</f>
        <v/>
      </c>
      <c r="AI409" s="403" t="str">
        <f ca="1">IF(SUM(AI405:$EI405)=0,"",IF(AI$227="","",AI$227+AI405-1))</f>
        <v/>
      </c>
      <c r="AJ409" s="403" t="str">
        <f ca="1">IF(SUM(AJ405:$EI405)=0,"",IF(AJ$227="","",AJ$227+AJ405-1))</f>
        <v/>
      </c>
      <c r="AK409" s="403" t="str">
        <f ca="1">IF(SUM(AK405:$EI405)=0,"",IF(AK$227="","",AK$227+AK405-1))</f>
        <v/>
      </c>
      <c r="AL409" s="403" t="str">
        <f ca="1">IF(SUM(AL405:$EI405)=0,"",IF(AL$227="","",AL$227+AL405-1))</f>
        <v/>
      </c>
      <c r="AM409" s="403" t="str">
        <f ca="1">IF(SUM(AM405:$EI405)=0,"",IF(AM$227="","",AM$227+AM405-1))</f>
        <v/>
      </c>
      <c r="AN409" s="403" t="str">
        <f ca="1">IF(SUM(AN405:$EI405)=0,"",IF(AN$227="","",AN$227+AN405-1))</f>
        <v/>
      </c>
      <c r="AO409" s="403" t="str">
        <f ca="1">IF(SUM(AO405:$EI405)=0,"",IF(AO$227="","",AO$227+AO405-1))</f>
        <v/>
      </c>
      <c r="AP409" s="403" t="str">
        <f ca="1">IF(SUM(AP405:$EI405)=0,"",IF(AP$227="","",AP$227+AP405-1))</f>
        <v/>
      </c>
      <c r="AQ409" s="403" t="str">
        <f ca="1">IF(SUM(AQ405:$EI405)=0,"",IF(AQ$227="","",AQ$227+AQ405-1))</f>
        <v/>
      </c>
      <c r="AR409" s="403" t="str">
        <f ca="1">IF(SUM(AR405:$EI405)=0,"",IF(AR$227="","",AR$227+AR405-1))</f>
        <v/>
      </c>
      <c r="AS409" s="403" t="str">
        <f ca="1">IF(SUM(AS405:$EI405)=0,"",IF(AS$227="","",AS$227+AS405-1))</f>
        <v/>
      </c>
      <c r="AT409" s="403" t="str">
        <f ca="1">IF(SUM(AT405:$EI405)=0,"",IF(AT$227="","",AT$227+AT405-1))</f>
        <v/>
      </c>
      <c r="AU409" s="403" t="str">
        <f ca="1">IF(SUM(AU405:$EI405)=0,"",IF(AU$227="","",AU$227+AU405-1))</f>
        <v/>
      </c>
      <c r="AV409" s="403" t="str">
        <f ca="1">IF(SUM(AV405:$EI405)=0,"",IF(AV$227="","",AV$227+AV405-1))</f>
        <v/>
      </c>
      <c r="AW409" s="403" t="str">
        <f ca="1">IF(SUM(AW405:$EI405)=0,"",IF(AW$227="","",AW$227+AW405-1))</f>
        <v/>
      </c>
      <c r="AX409" s="403" t="str">
        <f ca="1">IF(SUM(AX405:$EI405)=0,"",IF(AX$227="","",AX$227+AX405-1))</f>
        <v/>
      </c>
      <c r="AY409" s="403" t="str">
        <f ca="1">IF(SUM(AY405:$EI405)=0,"",IF(AY$227="","",AY$227+AY405-1))</f>
        <v/>
      </c>
      <c r="AZ409" s="403" t="str">
        <f ca="1">IF(SUM(AZ405:$EI405)=0,"",IF(AZ$227="","",AZ$227+AZ405-1))</f>
        <v/>
      </c>
      <c r="BA409" s="403" t="str">
        <f ca="1">IF(SUM(BA405:$EI405)=0,"",IF(BA$227="","",BA$227+BA405-1))</f>
        <v/>
      </c>
      <c r="BB409" s="403" t="str">
        <f ca="1">IF(SUM(BB405:$EI405)=0,"",IF(BB$227="","",BB$227+BB405-1))</f>
        <v/>
      </c>
      <c r="BC409" s="403" t="str">
        <f ca="1">IF(SUM(BC405:$EI405)=0,"",IF(BC$227="","",BC$227+BC405-1))</f>
        <v/>
      </c>
      <c r="BD409" s="403" t="str">
        <f ca="1">IF(SUM(BD405:$EI405)=0,"",IF(BD$227="","",BD$227+BD405-1))</f>
        <v/>
      </c>
      <c r="BE409" s="403" t="str">
        <f ca="1">IF(SUM(BE405:$EI405)=0,"",IF(BE$227="","",BE$227+BE405-1))</f>
        <v/>
      </c>
      <c r="BF409" s="403" t="str">
        <f ca="1">IF(SUM(BF405:$EI405)=0,"",IF(BF$227="","",BF$227+BF405-1))</f>
        <v/>
      </c>
      <c r="BG409" s="403" t="str">
        <f ca="1">IF(SUM(BG405:$EI405)=0,"",IF(BG$227="","",BG$227+BG405-1))</f>
        <v/>
      </c>
      <c r="BH409" s="403" t="str">
        <f ca="1">IF(SUM(BH405:$EI405)=0,"",IF(BH$227="","",BH$227+BH405-1))</f>
        <v/>
      </c>
      <c r="BI409" s="403" t="str">
        <f ca="1">IF(SUM(BI405:$EI405)=0,"",IF(BI$227="","",BI$227+BI405-1))</f>
        <v/>
      </c>
      <c r="BJ409" s="403" t="str">
        <f ca="1">IF(SUM(BJ405:$EI405)=0,"",IF(BJ$227="","",BJ$227+BJ405-1))</f>
        <v/>
      </c>
      <c r="BK409" s="403" t="str">
        <f ca="1">IF(SUM(BK405:$EI405)=0,"",IF(BK$227="","",BK$227+BK405-1))</f>
        <v/>
      </c>
      <c r="BL409" s="403" t="str">
        <f ca="1">IF(SUM(BL405:$EI405)=0,"",IF(BL$227="","",BL$227+BL405-1))</f>
        <v/>
      </c>
      <c r="BM409" s="403" t="str">
        <f ca="1">IF(SUM(BM405:$EI405)=0,"",IF(BM$227="","",BM$227+BM405-1))</f>
        <v/>
      </c>
      <c r="BN409" s="403" t="str">
        <f ca="1">IF(SUM(BN405:$EI405)=0,"",IF(BN$227="","",BN$227+BN405-1))</f>
        <v/>
      </c>
      <c r="BO409" s="403" t="str">
        <f ca="1">IF(SUM(BO405:$EI405)=0,"",IF(BO$227="","",BO$227+BO405-1))</f>
        <v/>
      </c>
      <c r="BP409" s="403" t="str">
        <f ca="1">IF(SUM(BP405:$EI405)=0,"",IF(BP$227="","",BP$227+BP405-1))</f>
        <v/>
      </c>
      <c r="BQ409" s="403" t="str">
        <f ca="1">IF(SUM(BQ405:$EI405)=0,"",IF(BQ$227="","",BQ$227+BQ405-1))</f>
        <v/>
      </c>
      <c r="BR409" s="403" t="str">
        <f ca="1">IF(SUM(BR405:$EI405)=0,"",IF(BR$227="","",BR$227+BR405-1))</f>
        <v/>
      </c>
      <c r="BS409" s="403" t="str">
        <f ca="1">IF(SUM(BS405:$EI405)=0,"",IF(BS$227="","",BS$227+BS405-1))</f>
        <v/>
      </c>
      <c r="BT409" s="403" t="str">
        <f ca="1">IF(SUM(BT405:$EI405)=0,"",IF(BT$227="","",BT$227+BT405-1))</f>
        <v/>
      </c>
      <c r="BU409" s="403" t="str">
        <f ca="1">IF(SUM(BU405:$EI405)=0,"",IF(BU$227="","",BU$227+BU405-1))</f>
        <v/>
      </c>
      <c r="BV409" s="403" t="str">
        <f ca="1">IF(SUM(BV405:$EI405)=0,"",IF(BV$227="","",BV$227+BV405-1))</f>
        <v/>
      </c>
      <c r="BW409" s="403" t="str">
        <f ca="1">IF(SUM(BW405:$EI405)=0,"",IF(BW$227="","",BW$227+BW405-1))</f>
        <v/>
      </c>
      <c r="BX409" s="403" t="str">
        <f ca="1">IF(SUM(BX405:$EI405)=0,"",IF(BX$227="","",BX$227+BX405-1))</f>
        <v/>
      </c>
      <c r="BY409" s="403" t="str">
        <f ca="1">IF(SUM(BY405:$EI405)=0,"",IF(BY$227="","",BY$227+BY405-1))</f>
        <v/>
      </c>
      <c r="BZ409" s="403" t="str">
        <f ca="1">IF(SUM(BZ405:$EI405)=0,"",IF(BZ$227="","",BZ$227+BZ405-1))</f>
        <v/>
      </c>
      <c r="CA409" s="403" t="str">
        <f ca="1">IF(SUM(CA405:$EI405)=0,"",IF(CA$227="","",CA$227+CA405-1))</f>
        <v/>
      </c>
      <c r="CB409" s="403" t="str">
        <f ca="1">IF(SUM(CB405:$EI405)=0,"",IF(CB$227="","",CB$227+CB405-1))</f>
        <v/>
      </c>
      <c r="CC409" s="403" t="str">
        <f ca="1">IF(SUM(CC405:$EI405)=0,"",IF(CC$227="","",CC$227+CC405-1))</f>
        <v/>
      </c>
      <c r="CD409" s="403" t="str">
        <f ca="1">IF(SUM(CD405:$EI405)=0,"",IF(CD$227="","",CD$227+CD405-1))</f>
        <v/>
      </c>
      <c r="CE409" s="403" t="str">
        <f ca="1">IF(SUM(CE405:$EI405)=0,"",IF(CE$227="","",CE$227+CE405-1))</f>
        <v/>
      </c>
      <c r="CF409" s="403" t="str">
        <f ca="1">IF(SUM(CF405:$EI405)=0,"",IF(CF$227="","",CF$227+CF405-1))</f>
        <v/>
      </c>
      <c r="CG409" s="403" t="str">
        <f ca="1">IF(SUM(CG405:$EI405)=0,"",IF(CG$227="","",CG$227+CG405-1))</f>
        <v/>
      </c>
      <c r="CH409" s="403" t="str">
        <f ca="1">IF(SUM(CH405:$EI405)=0,"",IF(CH$227="","",CH$227+CH405-1))</f>
        <v/>
      </c>
      <c r="CI409" s="403" t="str">
        <f ca="1">IF(SUM(CI405:$EI405)=0,"",IF(CI$227="","",CI$227+CI405-1))</f>
        <v/>
      </c>
      <c r="CJ409" s="403" t="str">
        <f ca="1">IF(SUM(CJ405:$EI405)=0,"",IF(CJ$227="","",CJ$227+CJ405-1))</f>
        <v/>
      </c>
      <c r="CK409" s="403" t="str">
        <f ca="1">IF(SUM(CK405:$EI405)=0,"",IF(CK$227="","",CK$227+CK405-1))</f>
        <v/>
      </c>
      <c r="CL409" s="403" t="str">
        <f ca="1">IF(SUM(CL405:$EI405)=0,"",IF(CL$227="","",CL$227+CL405-1))</f>
        <v/>
      </c>
      <c r="CM409" s="403" t="str">
        <f ca="1">IF(SUM(CM405:$EI405)=0,"",IF(CM$227="","",CM$227+CM405-1))</f>
        <v/>
      </c>
      <c r="CN409" s="403" t="str">
        <f ca="1">IF(SUM(CN405:$EI405)=0,"",IF(CN$227="","",CN$227+CN405-1))</f>
        <v/>
      </c>
      <c r="CO409" s="403" t="str">
        <f ca="1">IF(SUM(CO405:$EI405)=0,"",IF(CO$227="","",CO$227+CO405-1))</f>
        <v/>
      </c>
      <c r="CP409" s="403" t="str">
        <f ca="1">IF(SUM(CP405:$EI405)=0,"",IF(CP$227="","",CP$227+CP405-1))</f>
        <v/>
      </c>
      <c r="CQ409" s="403" t="str">
        <f ca="1">IF(SUM(CQ405:$EI405)=0,"",IF(CQ$227="","",CQ$227+CQ405-1))</f>
        <v/>
      </c>
      <c r="CR409" s="403" t="str">
        <f ca="1">IF(SUM(CR405:$EI405)=0,"",IF(CR$227="","",CR$227+CR405-1))</f>
        <v/>
      </c>
      <c r="CS409" s="403" t="str">
        <f ca="1">IF(SUM(CS405:$EI405)=0,"",IF(CS$227="","",CS$227+CS405-1))</f>
        <v/>
      </c>
      <c r="CT409" s="403" t="str">
        <f ca="1">IF(SUM(CT405:$EI405)=0,"",IF(CT$227="","",CT$227+CT405-1))</f>
        <v/>
      </c>
      <c r="CU409" s="403" t="str">
        <f ca="1">IF(SUM(CU405:$EI405)=0,"",IF(CU$227="","",CU$227+CU405-1))</f>
        <v/>
      </c>
      <c r="CV409" s="403" t="str">
        <f ca="1">IF(SUM(CV405:$EI405)=0,"",IF(CV$227="","",CV$227+CV405-1))</f>
        <v/>
      </c>
      <c r="CW409" s="403" t="str">
        <f ca="1">IF(SUM(CW405:$EI405)=0,"",IF(CW$227="","",CW$227+CW405-1))</f>
        <v/>
      </c>
      <c r="CX409" s="403" t="str">
        <f ca="1">IF(SUM(CX405:$EI405)=0,"",IF(CX$227="","",CX$227+CX405-1))</f>
        <v/>
      </c>
      <c r="CY409" s="403" t="str">
        <f ca="1">IF(SUM(CY405:$EI405)=0,"",IF(CY$227="","",CY$227+CY405-1))</f>
        <v/>
      </c>
      <c r="CZ409" s="403" t="str">
        <f ca="1">IF(SUM(CZ405:$EI405)=0,"",IF(CZ$227="","",CZ$227+CZ405-1))</f>
        <v/>
      </c>
      <c r="DA409" s="403" t="str">
        <f ca="1">IF(SUM(DA405:$EI405)=0,"",IF(DA$227="","",DA$227+DA405-1))</f>
        <v/>
      </c>
      <c r="DB409" s="403" t="str">
        <f ca="1">IF(SUM(DB405:$EI405)=0,"",IF(DB$227="","",DB$227+DB405-1))</f>
        <v/>
      </c>
      <c r="DC409" s="403" t="str">
        <f ca="1">IF(SUM(DC405:$EI405)=0,"",IF(DC$227="","",DC$227+DC405-1))</f>
        <v/>
      </c>
      <c r="DD409" s="403" t="str">
        <f ca="1">IF(SUM(DD405:$EI405)=0,"",IF(DD$227="","",DD$227+DD405-1))</f>
        <v/>
      </c>
      <c r="DE409" s="403" t="str">
        <f ca="1">IF(SUM(DE405:$EI405)=0,"",IF(DE$227="","",DE$227+DE405-1))</f>
        <v/>
      </c>
      <c r="DF409" s="403" t="str">
        <f ca="1">IF(SUM(DF405:$EI405)=0,"",IF(DF$227="","",DF$227+DF405-1))</f>
        <v/>
      </c>
      <c r="DG409" s="403" t="str">
        <f ca="1">IF(SUM(DG405:$EI405)=0,"",IF(DG$227="","",DG$227+DG405-1))</f>
        <v/>
      </c>
      <c r="DH409" s="403" t="str">
        <f ca="1">IF(SUM(DH405:$EI405)=0,"",IF(DH$227="","",DH$227+DH405-1))</f>
        <v/>
      </c>
      <c r="DI409" s="403" t="str">
        <f ca="1">IF(SUM(DI405:$EI405)=0,"",IF(DI$227="","",DI$227+DI405-1))</f>
        <v/>
      </c>
      <c r="DJ409" s="403" t="str">
        <f ca="1">IF(SUM(DJ405:$EI405)=0,"",IF(DJ$227="","",DJ$227+DJ405-1))</f>
        <v/>
      </c>
      <c r="DK409" s="403" t="str">
        <f ca="1">IF(SUM(DK405:$EI405)=0,"",IF(DK$227="","",DK$227+DK405-1))</f>
        <v/>
      </c>
      <c r="DL409" s="403" t="str">
        <f ca="1">IF(SUM(DL405:$EI405)=0,"",IF(DL$227="","",DL$227+DL405-1))</f>
        <v/>
      </c>
      <c r="DM409" s="403" t="str">
        <f ca="1">IF(SUM(DM405:$EI405)=0,"",IF(DM$227="","",DM$227+DM405-1))</f>
        <v/>
      </c>
      <c r="DN409" s="403" t="str">
        <f ca="1">IF(SUM(DN405:$EI405)=0,"",IF(DN$227="","",DN$227+DN405-1))</f>
        <v/>
      </c>
      <c r="DO409" s="403" t="str">
        <f ca="1">IF(SUM(DO405:$EI405)=0,"",IF(DO$227="","",DO$227+DO405-1))</f>
        <v/>
      </c>
      <c r="DP409" s="403" t="str">
        <f ca="1">IF(SUM(DP405:$EI405)=0,"",IF(DP$227="","",DP$227+DP405-1))</f>
        <v/>
      </c>
      <c r="DQ409" s="403" t="str">
        <f ca="1">IF(SUM(DQ405:$EI405)=0,"",IF(DQ$227="","",DQ$227+DQ405-1))</f>
        <v/>
      </c>
      <c r="DR409" s="403" t="str">
        <f ca="1">IF(SUM(DR405:$EI405)=0,"",IF(DR$227="","",DR$227+DR405-1))</f>
        <v/>
      </c>
      <c r="DS409" s="403" t="str">
        <f ca="1">IF(SUM(DS405:$EI405)=0,"",IF(DS$227="","",DS$227+DS405-1))</f>
        <v/>
      </c>
      <c r="DT409" s="403" t="str">
        <f ca="1">IF(SUM(DT405:$EI405)=0,"",IF(DT$227="","",DT$227+DT405-1))</f>
        <v/>
      </c>
      <c r="DU409" s="403" t="str">
        <f ca="1">IF(SUM(DU405:$EI405)=0,"",IF(DU$227="","",DU$227+DU405-1))</f>
        <v/>
      </c>
      <c r="DV409" s="403" t="str">
        <f ca="1">IF(SUM(DV405:$EI405)=0,"",IF(DV$227="","",DV$227+DV405-1))</f>
        <v/>
      </c>
      <c r="DW409" s="403" t="str">
        <f ca="1">IF(SUM(DW405:$EI405)=0,"",IF(DW$227="","",DW$227+DW405-1))</f>
        <v/>
      </c>
      <c r="DX409" s="403" t="str">
        <f ca="1">IF(SUM(DX405:$EI405)=0,"",IF(DX$227="","",DX$227+DX405-1))</f>
        <v/>
      </c>
      <c r="DY409" s="403" t="str">
        <f ca="1">IF(SUM(DY405:$EI405)=0,"",IF(DY$227="","",DY$227+DY405-1))</f>
        <v/>
      </c>
      <c r="DZ409" s="403" t="str">
        <f ca="1">IF(SUM(DZ405:$EI405)=0,"",IF(DZ$227="","",DZ$227+DZ405-1))</f>
        <v/>
      </c>
      <c r="EA409" s="403" t="str">
        <f ca="1">IF(SUM(EA405:$EI405)=0,"",IF(EA$227="","",EA$227+EA405-1))</f>
        <v/>
      </c>
      <c r="EB409" s="403" t="str">
        <f ca="1">IF(SUM(EB405:$EI405)=0,"",IF(EB$227="","",EB$227+EB405-1))</f>
        <v/>
      </c>
      <c r="EC409" s="403" t="str">
        <f ca="1">IF(SUM(EC405:$EI405)=0,"",IF(EC$227="","",EC$227+EC405-1))</f>
        <v/>
      </c>
      <c r="ED409" s="403" t="str">
        <f ca="1">IF(SUM(ED405:$EI405)=0,"",IF(ED$227="","",ED$227+ED405-1))</f>
        <v/>
      </c>
      <c r="EE409" s="403" t="str">
        <f ca="1">IF(SUM(EE405:$EI405)=0,"",IF(EE$227="","",EE$227+EE405-1))</f>
        <v/>
      </c>
      <c r="EF409" s="403" t="str">
        <f ca="1">IF(SUM(EF405:$EI405)=0,"",IF(EF$227="","",EF$227+EF405-1))</f>
        <v/>
      </c>
      <c r="EG409" s="403" t="str">
        <f ca="1">IF(SUM(EG405:$EI405)=0,"",IF(EG$227="","",EG$227+EG405-1))</f>
        <v/>
      </c>
      <c r="EH409" s="403" t="str">
        <f ca="1">IF(SUM(EH405:$EI405)=0,"",IF(EH$227="","",EH$227+EH405-1))</f>
        <v/>
      </c>
      <c r="EI409" s="403" t="str">
        <f ca="1">IF(SUM(EI405:$EI405)=0,"",IF(EI$227="","",EI$227+EI405-1))</f>
        <v/>
      </c>
    </row>
    <row r="410" spans="1:141" outlineLevel="1" collapsed="1">
      <c r="A410" s="332"/>
      <c r="B410" s="313"/>
      <c r="C410" s="315" t="s">
        <v>550</v>
      </c>
      <c r="D410" s="315" t="s">
        <v>551</v>
      </c>
      <c r="E410" s="315"/>
      <c r="EK410" s="313"/>
    </row>
    <row r="411" spans="1:141" ht="30" outlineLevel="1">
      <c r="A411" s="332"/>
      <c r="B411" s="313"/>
      <c r="C411" s="305" t="s">
        <v>554</v>
      </c>
      <c r="D411" s="319" t="s">
        <v>196</v>
      </c>
      <c r="E411" s="400">
        <f ca="1">IF(ГРП!B8=0,длительность!J158,ГРП!B8)</f>
        <v>120</v>
      </c>
      <c r="F411" s="318">
        <f ca="1">E411-SUM(G411:EJ411)</f>
        <v>0</v>
      </c>
      <c r="G411" s="401"/>
      <c r="H411" s="401">
        <f ca="1">IF(SUM($G411:G411)&gt;=$E411,0,IF($E411-SUM($G411:G411)&gt;H412,H412,$E411-SUM($G412:G412)))</f>
        <v>0</v>
      </c>
      <c r="I411" s="401">
        <f ca="1">IF(SUM($G411:H411)&gt;=$E411,0,IF($E411-SUM($G411:H411)&gt;I412,I412,$E411-SUM($G412:H412)))</f>
        <v>0</v>
      </c>
      <c r="J411" s="401">
        <f ca="1">IF(SUM($G411:I411)&gt;=$E411,0,IF($E411-SUM($G411:I411)&gt;J412,J412,$E411-SUM($G412:I412)))</f>
        <v>0</v>
      </c>
      <c r="K411" s="401">
        <f ca="1">IF(SUM($G411:J411)&gt;=$E411,0,IF($E411-SUM($G411:J411)&gt;K412,K412,$E411-SUM($G412:J412)))</f>
        <v>0</v>
      </c>
      <c r="L411" s="401">
        <f ca="1">IF(SUM($G411:K411)&gt;=$E411,0,IF($E411-SUM($G411:K411)&gt;L412,L412,$E411-SUM($G412:K412)))</f>
        <v>0</v>
      </c>
      <c r="M411" s="401">
        <f ca="1">IF(SUM($G411:L411)&gt;=$E411,0,IF($E411-SUM($G411:L411)&gt;M412,M412,$E411-SUM($G412:L412)))</f>
        <v>0</v>
      </c>
      <c r="N411" s="401">
        <f ca="1">IF(SUM($G411:M411)&gt;=$E411,0,IF($E411-SUM($G411:M411)&gt;N412,N412,$E411-SUM($G412:M412)))</f>
        <v>0</v>
      </c>
      <c r="O411" s="401">
        <f ca="1">IF(SUM($G411:N411)&gt;=$E411,0,IF($E411-SUM($G411:N411)&gt;O412,O412,$E411-SUM($G412:N412)))</f>
        <v>0</v>
      </c>
      <c r="P411" s="401">
        <f ca="1">IF(SUM($G411:O411)&gt;=$E411,0,IF($E411-SUM($G411:O411)&gt;P412,P412,$E411-SUM($G412:O412)))</f>
        <v>0</v>
      </c>
      <c r="Q411" s="401">
        <f ca="1">IF(SUM($G411:P411)&gt;=$E411,0,IF($E411-SUM($G411:P411)&gt;Q412,Q412,$E411-SUM($G412:P412)))</f>
        <v>0</v>
      </c>
      <c r="R411" s="401">
        <f ca="1">IF(SUM($G411:Q411)&gt;=$E411,0,IF($E411-SUM($G411:Q411)&gt;R412,R412,$E411-SUM($G412:Q412)))</f>
        <v>0</v>
      </c>
      <c r="S411" s="401">
        <f ca="1">IF(SUM($G411:R411)&gt;=$E411,0,IF($E411-SUM($G411:R411)&gt;S412,S412,$E411-SUM($G412:R412)))</f>
        <v>0</v>
      </c>
      <c r="T411" s="401">
        <f ca="1">IF(SUM($G411:S411)&gt;=$E411,0,IF($E411-SUM($G411:S411)&gt;T412,T412,$E411-SUM($G412:S412)))</f>
        <v>0</v>
      </c>
      <c r="U411" s="401">
        <f ca="1">IF(SUM($G411:T411)&gt;=$E411,0,IF($E411-SUM($G411:T411)&gt;U412,U412,$E411-SUM($G412:T412)))</f>
        <v>0</v>
      </c>
      <c r="V411" s="401">
        <f ca="1">IF(SUM($G411:U411)&gt;=$E411,0,IF($E411-SUM($G411:U411)&gt;V412,V412,$E411-SUM($G412:U412)))</f>
        <v>0</v>
      </c>
      <c r="W411" s="401">
        <f ca="1">IF(SUM($G411:V411)&gt;=$E411,0,IF($E411-SUM($G411:V411)&gt;W412,W412,$E411-SUM($G412:V412)))</f>
        <v>0</v>
      </c>
      <c r="X411" s="401">
        <f ca="1">IF(SUM($G411:W411)&gt;=$E411,0,IF($E411-SUM($G411:W411)&gt;X412,X412,$E411-SUM($G412:W412)))</f>
        <v>0</v>
      </c>
      <c r="Y411" s="401">
        <f ca="1">IF(SUM($G411:X411)&gt;=$E411,0,IF($E411-SUM($G411:X411)&gt;Y412,Y412,$E411-SUM($G412:X412)))</f>
        <v>0</v>
      </c>
      <c r="Z411" s="401">
        <f ca="1">IF(SUM($G411:Y411)&gt;=$E411,0,IF($E411-SUM($G411:Y411)&gt;Z412,Z412,$E411-SUM($G412:Y412)))</f>
        <v>0</v>
      </c>
      <c r="AA411" s="401">
        <f ca="1">IF(SUM($G411:Z411)&gt;=$E411,0,IF($E411-SUM($G411:Z411)&gt;AA412,AA412,$E411-SUM($G412:Z412)))</f>
        <v>0</v>
      </c>
      <c r="AB411" s="401">
        <f ca="1">IF(SUM($G411:AA411)&gt;=$E411,0,IF($E411-SUM($G411:AA411)&gt;AB412,AB412,$E411-SUM($G412:AA412)))</f>
        <v>28.199999999999989</v>
      </c>
      <c r="AC411" s="401">
        <f ca="1">IF(SUM($G411:AB411)&gt;=$E411,0,IF($E411-SUM($G411:AB411)&gt;AC412,AC412,$E411-SUM($G412:AB412)))</f>
        <v>31</v>
      </c>
      <c r="AD411" s="401">
        <f ca="1">IF(SUM($G411:AC411)&gt;=$E411,0,IF($E411-SUM($G411:AC411)&gt;AD412,AD412,$E411-SUM($G412:AC412)))</f>
        <v>28</v>
      </c>
      <c r="AE411" s="401">
        <f ca="1">IF(SUM($G411:AD411)&gt;=$E411,0,IF($E411-SUM($G411:AD411)&gt;AE412,AE412,$E411-SUM($G412:AD412)))</f>
        <v>31</v>
      </c>
      <c r="AF411" s="401">
        <f ca="1">IF(SUM($G411:AE411)&gt;=$E411,0,IF($E411-SUM($G411:AE411)&gt;AF412,AF412,$E411-SUM($G412:AE412)))</f>
        <v>1.8000000000000114</v>
      </c>
      <c r="AG411" s="401">
        <f ca="1">IF(SUM($G411:AF411)&gt;=$E411,0,IF($E411-SUM($G411:AF411)&gt;AG412,AG412,$E411-SUM($G412:AF412)))</f>
        <v>0</v>
      </c>
      <c r="AH411" s="401">
        <f ca="1">IF(SUM($G411:AG411)&gt;=$E411,0,IF($E411-SUM($G411:AG411)&gt;AH412,AH412,$E411-SUM($G412:AG412)))</f>
        <v>0</v>
      </c>
      <c r="AI411" s="401">
        <f ca="1">IF(SUM($G411:AH411)&gt;=$E411,0,IF($E411-SUM($G411:AH411)&gt;AI412,AI412,$E411-SUM($G412:AH412)))</f>
        <v>0</v>
      </c>
      <c r="AJ411" s="401">
        <f ca="1">IF(SUM($G411:AI411)&gt;=$E411,0,IF($E411-SUM($G411:AI411)&gt;AJ412,AJ412,$E411-SUM($G412:AI412)))</f>
        <v>0</v>
      </c>
      <c r="AK411" s="401">
        <f ca="1">IF(SUM($G411:AJ411)&gt;=$E411,0,IF($E411-SUM($G411:AJ411)&gt;AK412,AK412,$E411-SUM($G412:AJ412)))</f>
        <v>0</v>
      </c>
      <c r="AL411" s="401">
        <f ca="1">IF(SUM($G411:AK411)&gt;=$E411,0,IF($E411-SUM($G411:AK411)&gt;AL412,AL412,$E411-SUM($G412:AK412)))</f>
        <v>0</v>
      </c>
      <c r="AM411" s="401">
        <f ca="1">IF(SUM($G411:AL411)&gt;=$E411,0,IF($E411-SUM($G411:AL411)&gt;AM412,AM412,$E411-SUM($G412:AL412)))</f>
        <v>0</v>
      </c>
      <c r="AN411" s="401">
        <f ca="1">IF(SUM($G411:AM411)&gt;=$E411,0,IF($E411-SUM($G411:AM411)&gt;AN412,AN412,$E411-SUM($G412:AM412)))</f>
        <v>0</v>
      </c>
      <c r="AO411" s="401">
        <f ca="1">IF(SUM($G411:AN411)&gt;=$E411,0,IF($E411-SUM($G411:AN411)&gt;AO412,AO412,$E411-SUM($G412:AN412)))</f>
        <v>0</v>
      </c>
      <c r="AP411" s="401">
        <f ca="1">IF(SUM($G411:AO411)&gt;=$E411,0,IF($E411-SUM($G411:AO411)&gt;AP412,AP412,$E411-SUM($G412:AO412)))</f>
        <v>0</v>
      </c>
      <c r="AQ411" s="401">
        <f ca="1">IF(SUM($G411:AP411)&gt;=$E411,0,IF($E411-SUM($G411:AP411)&gt;AQ412,AQ412,$E411-SUM($G412:AP412)))</f>
        <v>0</v>
      </c>
      <c r="AR411" s="401">
        <f ca="1">IF(SUM($G411:AQ411)&gt;=$E411,0,IF($E411-SUM($G411:AQ411)&gt;AR412,AR412,$E411-SUM($G412:AQ412)))</f>
        <v>0</v>
      </c>
      <c r="AS411" s="401">
        <f ca="1">IF(SUM($G411:AR411)&gt;=$E411,0,IF($E411-SUM($G411:AR411)&gt;AS412,AS412,$E411-SUM($G412:AR412)))</f>
        <v>0</v>
      </c>
      <c r="AT411" s="401">
        <f ca="1">IF(SUM($G411:AS411)&gt;=$E411,0,IF($E411-SUM($G411:AS411)&gt;AT412,AT412,$E411-SUM($G412:AS412)))</f>
        <v>0</v>
      </c>
      <c r="AU411" s="401">
        <f ca="1">IF(SUM($G411:AT411)&gt;=$E411,0,IF($E411-SUM($G411:AT411)&gt;AU412,AU412,$E411-SUM($G412:AT412)))</f>
        <v>0</v>
      </c>
      <c r="AV411" s="401">
        <f ca="1">IF(SUM($G411:AU411)&gt;=$E411,0,IF($E411-SUM($G411:AU411)&gt;AV412,AV412,$E411-SUM($G412:AU412)))</f>
        <v>0</v>
      </c>
      <c r="AW411" s="401">
        <f ca="1">IF(SUM($G411:AV411)&gt;=$E411,0,IF($E411-SUM($G411:AV411)&gt;AW412,AW412,$E411-SUM($G412:AV412)))</f>
        <v>0</v>
      </c>
      <c r="AX411" s="401">
        <f ca="1">IF(SUM($G411:AW411)&gt;=$E411,0,IF($E411-SUM($G411:AW411)&gt;AX412,AX412,$E411-SUM($G412:AW412)))</f>
        <v>0</v>
      </c>
      <c r="AY411" s="401">
        <f ca="1">IF(SUM($G411:AX411)&gt;=$E411,0,IF($E411-SUM($G411:AX411)&gt;AY412,AY412,$E411-SUM($G412:AX412)))</f>
        <v>0</v>
      </c>
      <c r="AZ411" s="401">
        <f ca="1">IF(SUM($G411:AY411)&gt;=$E411,0,IF($E411-SUM($G411:AY411)&gt;AZ412,AZ412,$E411-SUM($G412:AY412)))</f>
        <v>0</v>
      </c>
      <c r="BA411" s="401">
        <f ca="1">IF(SUM($G411:AZ411)&gt;=$E411,0,IF($E411-SUM($G411:AZ411)&gt;BA412,BA412,$E411-SUM($G412:AZ412)))</f>
        <v>0</v>
      </c>
      <c r="BB411" s="401">
        <f ca="1">IF(SUM($G411:BA411)&gt;=$E411,0,IF($E411-SUM($G411:BA411)&gt;BB412,BB412,$E411-SUM($G412:BA412)))</f>
        <v>0</v>
      </c>
      <c r="BC411" s="401">
        <f ca="1">IF(SUM($G411:BB411)&gt;=$E411,0,IF($E411-SUM($G411:BB411)&gt;BC412,BC412,$E411-SUM($G412:BB412)))</f>
        <v>0</v>
      </c>
      <c r="BD411" s="401">
        <f ca="1">IF(SUM($G411:BC411)&gt;=$E411,0,IF($E411-SUM($G411:BC411)&gt;BD412,BD412,$E411-SUM($G412:BC412)))</f>
        <v>0</v>
      </c>
      <c r="BE411" s="401">
        <f ca="1">IF(SUM($G411:BD411)&gt;=$E411,0,IF($E411-SUM($G411:BD411)&gt;BE412,BE412,$E411-SUM($G412:BD412)))</f>
        <v>0</v>
      </c>
      <c r="BF411" s="401">
        <f ca="1">IF(SUM($G411:BE411)&gt;=$E411,0,IF($E411-SUM($G411:BE411)&gt;BF412,BF412,$E411-SUM($G412:BE412)))</f>
        <v>0</v>
      </c>
      <c r="BG411" s="401">
        <f ca="1">IF(SUM($G411:BF411)&gt;=$E411,0,IF($E411-SUM($G411:BF411)&gt;BG412,BG412,$E411-SUM($G412:BF412)))</f>
        <v>0</v>
      </c>
      <c r="BH411" s="401">
        <f ca="1">IF(SUM($G411:BG411)&gt;=$E411,0,IF($E411-SUM($G411:BG411)&gt;BH412,BH412,$E411-SUM($G412:BG412)))</f>
        <v>0</v>
      </c>
      <c r="BI411" s="401">
        <f ca="1">IF(SUM($G411:BH411)&gt;=$E411,0,IF($E411-SUM($G411:BH411)&gt;BI412,BI412,$E411-SUM($G412:BH412)))</f>
        <v>0</v>
      </c>
      <c r="BJ411" s="401">
        <f ca="1">IF(SUM($G411:BI411)&gt;=$E411,0,IF($E411-SUM($G411:BI411)&gt;BJ412,BJ412,$E411-SUM($G412:BI412)))</f>
        <v>0</v>
      </c>
      <c r="BK411" s="401">
        <f ca="1">IF(SUM($G411:BJ411)&gt;=$E411,0,IF($E411-SUM($G411:BJ411)&gt;BK412,BK412,$E411-SUM($G412:BJ412)))</f>
        <v>0</v>
      </c>
      <c r="BL411" s="401">
        <f ca="1">IF(SUM($G411:BK411)&gt;=$E411,0,IF($E411-SUM($G411:BK411)&gt;BL412,BL412,$E411-SUM($G412:BK412)))</f>
        <v>0</v>
      </c>
      <c r="BM411" s="401">
        <f ca="1">IF(SUM($G411:BL411)&gt;=$E411,0,IF($E411-SUM($G411:BL411)&gt;BM412,BM412,$E411-SUM($G412:BL412)))</f>
        <v>0</v>
      </c>
      <c r="BN411" s="401">
        <f ca="1">IF(SUM($G411:BM411)&gt;=$E411,0,IF($E411-SUM($G411:BM411)&gt;BN412,BN412,$E411-SUM($G412:BM412)))</f>
        <v>0</v>
      </c>
      <c r="BO411" s="401">
        <f ca="1">IF(SUM($G411:BN411)&gt;=$E411,0,IF($E411-SUM($G411:BN411)&gt;BO412,BO412,$E411-SUM($G412:BN412)))</f>
        <v>0</v>
      </c>
      <c r="BP411" s="401">
        <f ca="1">IF(SUM($G411:BO411)&gt;=$E411,0,IF($E411-SUM($G411:BO411)&gt;BP412,BP412,$E411-SUM($G412:BO412)))</f>
        <v>0</v>
      </c>
      <c r="BQ411" s="401">
        <f ca="1">IF(SUM($G411:BP411)&gt;=$E411,0,IF($E411-SUM($G411:BP411)&gt;BQ412,BQ412,$E411-SUM($G412:BP412)))</f>
        <v>0</v>
      </c>
      <c r="BR411" s="401">
        <f ca="1">IF(SUM($G411:BQ411)&gt;=$E411,0,IF($E411-SUM($G411:BQ411)&gt;BR412,BR412,$E411-SUM($G412:BQ412)))</f>
        <v>0</v>
      </c>
      <c r="BS411" s="401">
        <f ca="1">IF(SUM($G411:BR411)&gt;=$E411,0,IF($E411-SUM($G411:BR411)&gt;BS412,BS412,$E411-SUM($G412:BR412)))</f>
        <v>0</v>
      </c>
      <c r="BT411" s="401">
        <f ca="1">IF(SUM($G411:BS411)&gt;=$E411,0,IF($E411-SUM($G411:BS411)&gt;BT412,BT412,$E411-SUM($G412:BS412)))</f>
        <v>0</v>
      </c>
      <c r="BU411" s="401">
        <f ca="1">IF(SUM($G411:BT411)&gt;=$E411,0,IF($E411-SUM($G411:BT411)&gt;BU412,BU412,$E411-SUM($G412:BT412)))</f>
        <v>0</v>
      </c>
      <c r="BV411" s="401">
        <f ca="1">IF(SUM($G411:BU411)&gt;=$E411,0,IF($E411-SUM($G411:BU411)&gt;BV412,BV412,$E411-SUM($G412:BU412)))</f>
        <v>0</v>
      </c>
      <c r="BW411" s="401">
        <f ca="1">IF(SUM($G411:BV411)&gt;=$E411,0,IF($E411-SUM($G411:BV411)&gt;BW412,BW412,$E411-SUM($G412:BV412)))</f>
        <v>0</v>
      </c>
      <c r="BX411" s="401">
        <f ca="1">IF(SUM($G411:BW411)&gt;=$E411,0,IF($E411-SUM($G411:BW411)&gt;BX412,BX412,$E411-SUM($G412:BW412)))</f>
        <v>0</v>
      </c>
      <c r="BY411" s="401">
        <f ca="1">IF(SUM($G411:BX411)&gt;=$E411,0,IF($E411-SUM($G411:BX411)&gt;BY412,BY412,$E411-SUM($G412:BX412)))</f>
        <v>0</v>
      </c>
      <c r="BZ411" s="401">
        <f ca="1">IF(SUM($G411:BY411)&gt;=$E411,0,IF($E411-SUM($G411:BY411)&gt;BZ412,BZ412,$E411-SUM($G412:BY412)))</f>
        <v>0</v>
      </c>
      <c r="CA411" s="401">
        <f ca="1">IF(SUM($G411:BZ411)&gt;=$E411,0,IF($E411-SUM($G411:BZ411)&gt;CA412,CA412,$E411-SUM($G412:BZ412)))</f>
        <v>0</v>
      </c>
      <c r="CB411" s="401">
        <f ca="1">IF(SUM($G411:CA411)&gt;=$E411,0,IF($E411-SUM($G411:CA411)&gt;CB412,CB412,$E411-SUM($G412:CA412)))</f>
        <v>0</v>
      </c>
      <c r="CC411" s="401">
        <f ca="1">IF(SUM($G411:CB411)&gt;=$E411,0,IF($E411-SUM($G411:CB411)&gt;CC412,CC412,$E411-SUM($G412:CB412)))</f>
        <v>0</v>
      </c>
      <c r="CD411" s="401">
        <f ca="1">IF(SUM($G411:CC411)&gt;=$E411,0,IF($E411-SUM($G411:CC411)&gt;CD412,CD412,$E411-SUM($G412:CC412)))</f>
        <v>0</v>
      </c>
      <c r="CE411" s="401">
        <f ca="1">IF(SUM($G411:CD411)&gt;=$E411,0,IF($E411-SUM($G411:CD411)&gt;CE412,CE412,$E411-SUM($G412:CD412)))</f>
        <v>0</v>
      </c>
      <c r="CF411" s="401">
        <f ca="1">IF(SUM($G411:CE411)&gt;=$E411,0,IF($E411-SUM($G411:CE411)&gt;CF412,CF412,$E411-SUM($G412:CE412)))</f>
        <v>0</v>
      </c>
      <c r="CG411" s="401">
        <f ca="1">IF(SUM($G411:CF411)&gt;=$E411,0,IF($E411-SUM($G411:CF411)&gt;CG412,CG412,$E411-SUM($G412:CF412)))</f>
        <v>0</v>
      </c>
      <c r="CH411" s="401">
        <f ca="1">IF(SUM($G411:CG411)&gt;=$E411,0,IF($E411-SUM($G411:CG411)&gt;CH412,CH412,$E411-SUM($G412:CG412)))</f>
        <v>0</v>
      </c>
      <c r="CI411" s="401">
        <f ca="1">IF(SUM($G411:CH411)&gt;=$E411,0,IF($E411-SUM($G411:CH411)&gt;CI412,CI412,$E411-SUM($G412:CH412)))</f>
        <v>0</v>
      </c>
      <c r="CJ411" s="401">
        <f ca="1">IF(SUM($G411:CI411)&gt;=$E411,0,IF($E411-SUM($G411:CI411)&gt;CJ412,CJ412,$E411-SUM($G412:CI412)))</f>
        <v>0</v>
      </c>
      <c r="CK411" s="401">
        <f ca="1">IF(SUM($G411:CJ411)&gt;=$E411,0,IF($E411-SUM($G411:CJ411)&gt;CK412,CK412,$E411-SUM($G412:CJ412)))</f>
        <v>0</v>
      </c>
      <c r="CL411" s="401">
        <f ca="1">IF(SUM($G411:CK411)&gt;=$E411,0,IF($E411-SUM($G411:CK411)&gt;CL412,CL412,$E411-SUM($G412:CK412)))</f>
        <v>0</v>
      </c>
      <c r="CM411" s="401">
        <f ca="1">IF(SUM($G411:CL411)&gt;=$E411,0,IF($E411-SUM($G411:CL411)&gt;CM412,CM412,$E411-SUM($G412:CL412)))</f>
        <v>0</v>
      </c>
      <c r="CN411" s="401">
        <f ca="1">IF(SUM($G411:CM411)&gt;=$E411,0,IF($E411-SUM($G411:CM411)&gt;CN412,CN412,$E411-SUM($G412:CM412)))</f>
        <v>0</v>
      </c>
      <c r="CO411" s="401">
        <f ca="1">IF(SUM($G411:CN411)&gt;=$E411,0,IF($E411-SUM($G411:CN411)&gt;CO412,CO412,$E411-SUM($G412:CN412)))</f>
        <v>0</v>
      </c>
      <c r="CP411" s="401">
        <f ca="1">IF(SUM($G411:CO411)&gt;=$E411,0,IF($E411-SUM($G411:CO411)&gt;CP412,CP412,$E411-SUM($G412:CO412)))</f>
        <v>0</v>
      </c>
      <c r="CQ411" s="401">
        <f ca="1">IF(SUM($G411:CP411)&gt;=$E411,0,IF($E411-SUM($G411:CP411)&gt;CQ412,CQ412,$E411-SUM($G412:CP412)))</f>
        <v>0</v>
      </c>
      <c r="CR411" s="401">
        <f ca="1">IF(SUM($G411:CQ411)&gt;=$E411,0,IF($E411-SUM($G411:CQ411)&gt;CR412,CR412,$E411-SUM($G412:CQ412)))</f>
        <v>0</v>
      </c>
      <c r="CS411" s="401">
        <f ca="1">IF(SUM($G411:CR411)&gt;=$E411,0,IF($E411-SUM($G411:CR411)&gt;CS412,CS412,$E411-SUM($G412:CR412)))</f>
        <v>0</v>
      </c>
      <c r="CT411" s="401">
        <f ca="1">IF(SUM($G411:CS411)&gt;=$E411,0,IF($E411-SUM($G411:CS411)&gt;CT412,CT412,$E411-SUM($G412:CS412)))</f>
        <v>0</v>
      </c>
      <c r="CU411" s="401">
        <f ca="1">IF(SUM($G411:CT411)&gt;=$E411,0,IF($E411-SUM($G411:CT411)&gt;CU412,CU412,$E411-SUM($G412:CT412)))</f>
        <v>0</v>
      </c>
      <c r="CV411" s="401">
        <f ca="1">IF(SUM($G411:CU411)&gt;=$E411,0,IF($E411-SUM($G411:CU411)&gt;CV412,CV412,$E411-SUM($G412:CU412)))</f>
        <v>0</v>
      </c>
      <c r="CW411" s="401">
        <f ca="1">IF(SUM($G411:CV411)&gt;=$E411,0,IF($E411-SUM($G411:CV411)&gt;CW412,CW412,$E411-SUM($G412:CV412)))</f>
        <v>0</v>
      </c>
      <c r="CX411" s="401">
        <f ca="1">IF(SUM($G411:CW411)&gt;=$E411,0,IF($E411-SUM($G411:CW411)&gt;CX412,CX412,$E411-SUM($G412:CW412)))</f>
        <v>0</v>
      </c>
      <c r="CY411" s="401">
        <f ca="1">IF(SUM($G411:CX411)&gt;=$E411,0,IF($E411-SUM($G411:CX411)&gt;CY412,CY412,$E411-SUM($G412:CX412)))</f>
        <v>0</v>
      </c>
      <c r="CZ411" s="401">
        <f ca="1">IF(SUM($G411:CY411)&gt;=$E411,0,IF($E411-SUM($G411:CY411)&gt;CZ412,CZ412,$E411-SUM($G412:CY412)))</f>
        <v>0</v>
      </c>
      <c r="DA411" s="401">
        <f ca="1">IF(SUM($G411:CZ411)&gt;=$E411,0,IF($E411-SUM($G411:CZ411)&gt;DA412,DA412,$E411-SUM($G412:CZ412)))</f>
        <v>0</v>
      </c>
      <c r="DB411" s="401">
        <f ca="1">IF(SUM($G411:DA411)&gt;=$E411,0,IF($E411-SUM($G411:DA411)&gt;DB412,DB412,$E411-SUM($G412:DA412)))</f>
        <v>0</v>
      </c>
      <c r="DC411" s="401">
        <f ca="1">IF(SUM($G411:DB411)&gt;=$E411,0,IF($E411-SUM($G411:DB411)&gt;DC412,DC412,$E411-SUM($G412:DB412)))</f>
        <v>0</v>
      </c>
      <c r="DD411" s="401">
        <f ca="1">IF(SUM($G411:DC411)&gt;=$E411,0,IF($E411-SUM($G411:DC411)&gt;DD412,DD412,$E411-SUM($G412:DC412)))</f>
        <v>0</v>
      </c>
      <c r="DE411" s="401">
        <f ca="1">IF(SUM($G411:DD411)&gt;=$E411,0,IF($E411-SUM($G411:DD411)&gt;DE412,DE412,$E411-SUM($G412:DD412)))</f>
        <v>0</v>
      </c>
      <c r="DF411" s="401">
        <f ca="1">IF(SUM($G411:DE411)&gt;=$E411,0,IF($E411-SUM($G411:DE411)&gt;DF412,DF412,$E411-SUM($G412:DE412)))</f>
        <v>0</v>
      </c>
      <c r="DG411" s="401">
        <f ca="1">IF(SUM($G411:DF411)&gt;=$E411,0,IF($E411-SUM($G411:DF411)&gt;DG412,DG412,$E411-SUM($G412:DF412)))</f>
        <v>0</v>
      </c>
      <c r="DH411" s="401">
        <f ca="1">IF(SUM($G411:DG411)&gt;=$E411,0,IF($E411-SUM($G411:DG411)&gt;DH412,DH412,$E411-SUM($G412:DG412)))</f>
        <v>0</v>
      </c>
      <c r="DI411" s="401">
        <f ca="1">IF(SUM($G411:DH411)&gt;=$E411,0,IF($E411-SUM($G411:DH411)&gt;DI412,DI412,$E411-SUM($G412:DH412)))</f>
        <v>0</v>
      </c>
      <c r="DJ411" s="401">
        <f ca="1">IF(SUM($G411:DI411)&gt;=$E411,0,IF($E411-SUM($G411:DI411)&gt;DJ412,DJ412,$E411-SUM($G412:DI412)))</f>
        <v>0</v>
      </c>
      <c r="DK411" s="401">
        <f ca="1">IF(SUM($G411:DJ411)&gt;=$E411,0,IF($E411-SUM($G411:DJ411)&gt;DK412,DK412,$E411-SUM($G412:DJ412)))</f>
        <v>0</v>
      </c>
      <c r="DL411" s="401">
        <f ca="1">IF(SUM($G411:DK411)&gt;=$E411,0,IF($E411-SUM($G411:DK411)&gt;DL412,DL412,$E411-SUM($G412:DK412)))</f>
        <v>0</v>
      </c>
      <c r="DM411" s="401">
        <f ca="1">IF(SUM($G411:DL411)&gt;=$E411,0,IF($E411-SUM($G411:DL411)&gt;DM412,DM412,$E411-SUM($G412:DL412)))</f>
        <v>0</v>
      </c>
      <c r="DN411" s="401">
        <f ca="1">IF(SUM($G411:DM411)&gt;=$E411,0,IF($E411-SUM($G411:DM411)&gt;DN412,DN412,$E411-SUM($G412:DM412)))</f>
        <v>0</v>
      </c>
      <c r="DO411" s="401">
        <f ca="1">IF(SUM($G411:DN411)&gt;=$E411,0,IF($E411-SUM($G411:DN411)&gt;DO412,DO412,$E411-SUM($G412:DN412)))</f>
        <v>0</v>
      </c>
      <c r="DP411" s="401">
        <f ca="1">IF(SUM($G411:DO411)&gt;=$E411,0,IF($E411-SUM($G411:DO411)&gt;DP412,DP412,$E411-SUM($G412:DO412)))</f>
        <v>0</v>
      </c>
      <c r="DQ411" s="401">
        <f ca="1">IF(SUM($G411:DP411)&gt;=$E411,0,IF($E411-SUM($G411:DP411)&gt;DQ412,DQ412,$E411-SUM($G412:DP412)))</f>
        <v>0</v>
      </c>
      <c r="DR411" s="401">
        <f ca="1">IF(SUM($G411:DQ411)&gt;=$E411,0,IF($E411-SUM($G411:DQ411)&gt;DR412,DR412,$E411-SUM($G412:DQ412)))</f>
        <v>0</v>
      </c>
      <c r="DS411" s="401">
        <f ca="1">IF(SUM($G411:DR411)&gt;=$E411,0,IF($E411-SUM($G411:DR411)&gt;DS412,DS412,$E411-SUM($G412:DR412)))</f>
        <v>0</v>
      </c>
      <c r="DT411" s="401">
        <f ca="1">IF(SUM($G411:DS411)&gt;=$E411,0,IF($E411-SUM($G411:DS411)&gt;DT412,DT412,$E411-SUM($G412:DS412)))</f>
        <v>0</v>
      </c>
      <c r="DU411" s="401">
        <f ca="1">IF(SUM($G411:DT411)&gt;=$E411,0,IF($E411-SUM($G411:DT411)&gt;DU412,DU412,$E411-SUM($G412:DT412)))</f>
        <v>0</v>
      </c>
      <c r="DV411" s="401">
        <f ca="1">IF(SUM($G411:DU411)&gt;=$E411,0,IF($E411-SUM($G411:DU411)&gt;DV412,DV412,$E411-SUM($G412:DU412)))</f>
        <v>0</v>
      </c>
      <c r="DW411" s="401">
        <f ca="1">IF(SUM($G411:DV411)&gt;=$E411,0,IF($E411-SUM($G411:DV411)&gt;DW412,DW412,$E411-SUM($G412:DV412)))</f>
        <v>0</v>
      </c>
      <c r="DX411" s="401">
        <f ca="1">IF(SUM($G411:DW411)&gt;=$E411,0,IF($E411-SUM($G411:DW411)&gt;DX412,DX412,$E411-SUM($G412:DW412)))</f>
        <v>0</v>
      </c>
      <c r="DY411" s="401">
        <f ca="1">IF(SUM($G411:DX411)&gt;=$E411,0,IF($E411-SUM($G411:DX411)&gt;DY412,DY412,$E411-SUM($G412:DX412)))</f>
        <v>0</v>
      </c>
      <c r="DZ411" s="401">
        <f ca="1">IF(SUM($G411:DY411)&gt;=$E411,0,IF($E411-SUM($G411:DY411)&gt;DZ412,DZ412,$E411-SUM($G412:DY412)))</f>
        <v>0</v>
      </c>
      <c r="EA411" s="401">
        <f ca="1">IF(SUM($G411:DZ411)&gt;=$E411,0,IF($E411-SUM($G411:DZ411)&gt;EA412,EA412,$E411-SUM($G412:DZ412)))</f>
        <v>0</v>
      </c>
      <c r="EB411" s="401">
        <f ca="1">IF(SUM($G411:EA411)&gt;=$E411,0,IF($E411-SUM($G411:EA411)&gt;EB412,EB412,$E411-SUM($G412:EA412)))</f>
        <v>0</v>
      </c>
      <c r="EC411" s="401">
        <f ca="1">IF(SUM($G411:EB411)&gt;=$E411,0,IF($E411-SUM($G411:EB411)&gt;EC412,EC412,$E411-SUM($G412:EB412)))</f>
        <v>0</v>
      </c>
      <c r="ED411" s="401">
        <f ca="1">IF(SUM($G411:EC411)&gt;=$E411,0,IF($E411-SUM($G411:EC411)&gt;ED412,ED412,$E411-SUM($G412:EC412)))</f>
        <v>0</v>
      </c>
      <c r="EE411" s="401">
        <f ca="1">IF(SUM($G411:ED411)&gt;=$E411,0,IF($E411-SUM($G411:ED411)&gt;EE412,EE412,$E411-SUM($G412:ED412)))</f>
        <v>0</v>
      </c>
      <c r="EF411" s="401">
        <f ca="1">IF(SUM($G411:EE411)&gt;=$E411,0,IF($E411-SUM($G411:EE411)&gt;EF412,EF412,$E411-SUM($G412:EE412)))</f>
        <v>0</v>
      </c>
      <c r="EG411" s="401">
        <f ca="1">IF(SUM($G411:EF411)&gt;=$E411,0,IF($E411-SUM($G411:EF411)&gt;EG412,EG412,$E411-SUM($G412:EF412)))</f>
        <v>0</v>
      </c>
      <c r="EH411" s="401">
        <f ca="1">IF(SUM($G411:EG411)&gt;=$E411,0,IF($E411-SUM($G411:EG411)&gt;EH412,EH412,$E411-SUM($G412:EG412)))</f>
        <v>0</v>
      </c>
      <c r="EI411" s="401">
        <f ca="1">IF(SUM($G411:EH411)&gt;=$E411,0,IF($E411-SUM($G411:EH411)&gt;EI412,EI412,$E411-SUM($G412:EH412)))</f>
        <v>0</v>
      </c>
      <c r="EK411" s="313"/>
    </row>
    <row r="412" spans="1:141" hidden="1" outlineLevel="2">
      <c r="A412" s="332"/>
      <c r="B412" s="313"/>
      <c r="C412" s="308"/>
      <c r="D412" s="308"/>
      <c r="E412" s="308"/>
      <c r="G412" s="405"/>
      <c r="H412" s="405">
        <f ca="1">IF((SUM($G244:H244)-$E243)&lt;0,0,IF((SUM($G244:H244)-$E243)&lt;H244,SUM($G244:H244)-$E243,H244))</f>
        <v>0</v>
      </c>
      <c r="I412" s="405">
        <f ca="1">IF((SUM($G244:I244)-$E243)&lt;0,0,IF((SUM($G244:I244)-$E243)&lt;I244,SUM($G244:I244)-$E243,I244))</f>
        <v>0</v>
      </c>
      <c r="J412" s="405">
        <f ca="1">IF((SUM($G244:J244)-$E243)&lt;0,0,IF((SUM($G244:J244)-$E243)&lt;J244,SUM($G244:J244)-$E243,J244))</f>
        <v>0</v>
      </c>
      <c r="K412" s="405">
        <f ca="1">IF((SUM($G244:K244)-$E243)&lt;0,0,IF((SUM($G244:K244)-$E243)&lt;K244,SUM($G244:K244)-$E243,K244))</f>
        <v>0</v>
      </c>
      <c r="L412" s="405">
        <f ca="1">IF((SUM($G244:L244)-$E243)&lt;0,0,IF((SUM($G244:L244)-$E243)&lt;L244,SUM($G244:L244)-$E243,L244))</f>
        <v>0</v>
      </c>
      <c r="M412" s="405">
        <f ca="1">IF((SUM($G244:M244)-$E243)&lt;0,0,IF((SUM($G244:M244)-$E243)&lt;M244,SUM($G244:M244)-$E243,M244))</f>
        <v>0</v>
      </c>
      <c r="N412" s="405">
        <f ca="1">IF((SUM($G244:N244)-$E243)&lt;0,0,IF((SUM($G244:N244)-$E243)&lt;N244,SUM($G244:N244)-$E243,N244))</f>
        <v>0</v>
      </c>
      <c r="O412" s="405">
        <f ca="1">IF((SUM($G244:O244)-$E243)&lt;0,0,IF((SUM($G244:O244)-$E243)&lt;O244,SUM($G244:O244)-$E243,O244))</f>
        <v>0</v>
      </c>
      <c r="P412" s="405">
        <f ca="1">IF((SUM($G244:P244)-$E243)&lt;0,0,IF((SUM($G244:P244)-$E243)&lt;P244,SUM($G244:P244)-$E243,P244))</f>
        <v>0</v>
      </c>
      <c r="Q412" s="405">
        <f ca="1">IF((SUM($G244:Q244)-$E243)&lt;0,0,IF((SUM($G244:Q244)-$E243)&lt;Q244,SUM($G244:Q244)-$E243,Q244))</f>
        <v>0</v>
      </c>
      <c r="R412" s="405">
        <f ca="1">IF((SUM($G244:R244)-$E243)&lt;0,0,IF((SUM($G244:R244)-$E243)&lt;R244,SUM($G244:R244)-$E243,R244))</f>
        <v>0</v>
      </c>
      <c r="S412" s="405">
        <f ca="1">IF((SUM($G244:S244)-$E243)&lt;0,0,IF((SUM($G244:S244)-$E243)&lt;S244,SUM($G244:S244)-$E243,S244))</f>
        <v>0</v>
      </c>
      <c r="T412" s="405">
        <f ca="1">IF((SUM($G244:T244)-$E243)&lt;0,0,IF((SUM($G244:T244)-$E243)&lt;T244,SUM($G244:T244)-$E243,T244))</f>
        <v>0</v>
      </c>
      <c r="U412" s="405">
        <f ca="1">IF((SUM($G244:U244)-$E243)&lt;0,0,IF((SUM($G244:U244)-$E243)&lt;U244,SUM($G244:U244)-$E243,U244))</f>
        <v>0</v>
      </c>
      <c r="V412" s="405">
        <f ca="1">IF((SUM($G244:V244)-$E243)&lt;0,0,IF((SUM($G244:V244)-$E243)&lt;V244,SUM($G244:V244)-$E243,V244))</f>
        <v>0</v>
      </c>
      <c r="W412" s="405">
        <f ca="1">IF((SUM($G244:W244)-$E243)&lt;0,0,IF((SUM($G244:W244)-$E243)&lt;W244,SUM($G244:W244)-$E243,W244))</f>
        <v>0</v>
      </c>
      <c r="X412" s="405">
        <f ca="1">IF((SUM($G244:X244)-$E243)&lt;0,0,IF((SUM($G244:X244)-$E243)&lt;X244,SUM($G244:X244)-$E243,X244))</f>
        <v>0</v>
      </c>
      <c r="Y412" s="405">
        <f ca="1">IF((SUM($G244:Y244)-$E243)&lt;0,0,IF((SUM($G244:Y244)-$E243)&lt;Y244,SUM($G244:Y244)-$E243,Y244))</f>
        <v>0</v>
      </c>
      <c r="Z412" s="405">
        <f ca="1">IF((SUM($G244:Z244)-$E243)&lt;0,0,IF((SUM($G244:Z244)-$E243)&lt;Z244,SUM($G244:Z244)-$E243,Z244))</f>
        <v>0</v>
      </c>
      <c r="AA412" s="405">
        <f ca="1">IF((SUM($G244:AA244)-$E243)&lt;0,0,IF((SUM($G244:AA244)-$E243)&lt;AA244,SUM($G244:AA244)-$E243,AA244))</f>
        <v>0</v>
      </c>
      <c r="AB412" s="405">
        <f ca="1">IF((SUM($G244:AB244)-$E243)&lt;0,0,IF((SUM($G244:AB244)-$E243)&lt;AB244,SUM($G244:AB244)-$E243,AB244))</f>
        <v>28.199999999999989</v>
      </c>
      <c r="AC412" s="405">
        <f ca="1">IF((SUM($G244:AC244)-$E243)&lt;0,0,IF((SUM($G244:AC244)-$E243)&lt;AC244,SUM($G244:AC244)-$E243,AC244))</f>
        <v>31</v>
      </c>
      <c r="AD412" s="405">
        <f ca="1">IF((SUM($G244:AD244)-$E243)&lt;0,0,IF((SUM($G244:AD244)-$E243)&lt;AD244,SUM($G244:AD244)-$E243,AD244))</f>
        <v>28</v>
      </c>
      <c r="AE412" s="405">
        <f ca="1">IF((SUM($G244:AE244)-$E243)&lt;0,0,IF((SUM($G244:AE244)-$E243)&lt;AE244,SUM($G244:AE244)-$E243,AE244))</f>
        <v>31</v>
      </c>
      <c r="AF412" s="405">
        <f ca="1">IF((SUM($G244:AF244)-$E243)&lt;0,0,IF((SUM($G244:AF244)-$E243)&lt;AF244,SUM($G244:AF244)-$E243,AF244))</f>
        <v>30</v>
      </c>
      <c r="AG412" s="405">
        <f ca="1">IF((SUM($G244:AG244)-$E243)&lt;0,0,IF((SUM($G244:AG244)-$E243)&lt;AG244,SUM($G244:AG244)-$E243,AG244))</f>
        <v>31</v>
      </c>
      <c r="AH412" s="405">
        <f ca="1">IF((SUM($G244:AH244)-$E243)&lt;0,0,IF((SUM($G244:AH244)-$E243)&lt;AH244,SUM($G244:AH244)-$E243,AH244))</f>
        <v>30</v>
      </c>
      <c r="AI412" s="405">
        <f ca="1">IF((SUM($G244:AI244)-$E243)&lt;0,0,IF((SUM($G244:AI244)-$E243)&lt;AI244,SUM($G244:AI244)-$E243,AI244))</f>
        <v>31</v>
      </c>
      <c r="AJ412" s="405">
        <f ca="1">IF((SUM($G244:AJ244)-$E243)&lt;0,0,IF((SUM($G244:AJ244)-$E243)&lt;AJ244,SUM($G244:AJ244)-$E243,AJ244))</f>
        <v>31</v>
      </c>
      <c r="AK412" s="405">
        <f ca="1">IF((SUM($G244:AK244)-$E243)&lt;0,0,IF((SUM($G244:AK244)-$E243)&lt;AK244,SUM($G244:AK244)-$E243,AK244))</f>
        <v>30</v>
      </c>
      <c r="AL412" s="405">
        <f ca="1">IF((SUM($G244:AL244)-$E243)&lt;0,0,IF((SUM($G244:AL244)-$E243)&lt;AL244,SUM($G244:AL244)-$E243,AL244))</f>
        <v>31</v>
      </c>
      <c r="AM412" s="405">
        <f ca="1">IF((SUM($G244:AM244)-$E243)&lt;0,0,IF((SUM($G244:AM244)-$E243)&lt;AM244,SUM($G244:AM244)-$E243,AM244))</f>
        <v>30</v>
      </c>
      <c r="AN412" s="405">
        <f ca="1">IF((SUM($G244:AN244)-$E243)&lt;0,0,IF((SUM($G244:AN244)-$E243)&lt;AN244,SUM($G244:AN244)-$E243,AN244))</f>
        <v>31</v>
      </c>
      <c r="AO412" s="405">
        <f ca="1">IF((SUM($G244:AO244)-$E243)&lt;0,0,IF((SUM($G244:AO244)-$E243)&lt;AO244,SUM($G244:AO244)-$E243,AO244))</f>
        <v>31</v>
      </c>
      <c r="AP412" s="405">
        <f ca="1">IF((SUM($G244:AP244)-$E243)&lt;0,0,IF((SUM($G244:AP244)-$E243)&lt;AP244,SUM($G244:AP244)-$E243,AP244))</f>
        <v>28</v>
      </c>
      <c r="AQ412" s="405">
        <f ca="1">IF((SUM($G244:AQ244)-$E243)&lt;0,0,IF((SUM($G244:AQ244)-$E243)&lt;AQ244,SUM($G244:AQ244)-$E243,AQ244))</f>
        <v>31</v>
      </c>
      <c r="AR412" s="405">
        <f ca="1">IF((SUM($G244:AR244)-$E243)&lt;0,0,IF((SUM($G244:AR244)-$E243)&lt;AR244,SUM($G244:AR244)-$E243,AR244))</f>
        <v>30</v>
      </c>
      <c r="AS412" s="405">
        <f ca="1">IF((SUM($G244:AS244)-$E243)&lt;0,0,IF((SUM($G244:AS244)-$E243)&lt;AS244,SUM($G244:AS244)-$E243,AS244))</f>
        <v>31</v>
      </c>
      <c r="AT412" s="405">
        <f ca="1">IF((SUM($G244:AT244)-$E243)&lt;0,0,IF((SUM($G244:AT244)-$E243)&lt;AT244,SUM($G244:AT244)-$E243,AT244))</f>
        <v>30</v>
      </c>
      <c r="AU412" s="405">
        <f ca="1">IF((SUM($G244:AU244)-$E243)&lt;0,0,IF((SUM($G244:AU244)-$E243)&lt;AU244,SUM($G244:AU244)-$E243,AU244))</f>
        <v>31</v>
      </c>
      <c r="AV412" s="405">
        <f ca="1">IF((SUM($G244:AV244)-$E243)&lt;0,0,IF((SUM($G244:AV244)-$E243)&lt;AV244,SUM($G244:AV244)-$E243,AV244))</f>
        <v>31</v>
      </c>
      <c r="AW412" s="405">
        <f ca="1">IF((SUM($G244:AW244)-$E243)&lt;0,0,IF((SUM($G244:AW244)-$E243)&lt;AW244,SUM($G244:AW244)-$E243,AW244))</f>
        <v>30</v>
      </c>
      <c r="AX412" s="405">
        <f ca="1">IF((SUM($G244:AX244)-$E243)&lt;0,0,IF((SUM($G244:AX244)-$E243)&lt;AX244,SUM($G244:AX244)-$E243,AX244))</f>
        <v>31</v>
      </c>
      <c r="AY412" s="405">
        <f ca="1">IF((SUM($G244:AY244)-$E243)&lt;0,0,IF((SUM($G244:AY244)-$E243)&lt;AY244,SUM($G244:AY244)-$E243,AY244))</f>
        <v>30</v>
      </c>
      <c r="AZ412" s="405">
        <f ca="1">IF((SUM($G244:AZ244)-$E243)&lt;0,0,IF((SUM($G244:AZ244)-$E243)&lt;AZ244,SUM($G244:AZ244)-$E243,AZ244))</f>
        <v>31</v>
      </c>
      <c r="BA412" s="405">
        <f ca="1">IF((SUM($G244:BA244)-$E243)&lt;0,0,IF((SUM($G244:BA244)-$E243)&lt;BA244,SUM($G244:BA244)-$E243,BA244))</f>
        <v>31</v>
      </c>
      <c r="BB412" s="405">
        <f ca="1">IF((SUM($G244:BB244)-$E243)&lt;0,0,IF((SUM($G244:BB244)-$E243)&lt;BB244,SUM($G244:BB244)-$E243,BB244))</f>
        <v>28</v>
      </c>
      <c r="BC412" s="405">
        <f ca="1">IF((SUM($G244:BC244)-$E243)&lt;0,0,IF((SUM($G244:BC244)-$E243)&lt;BC244,SUM($G244:BC244)-$E243,BC244))</f>
        <v>31</v>
      </c>
      <c r="BD412" s="405">
        <f ca="1">IF((SUM($G244:BD244)-$E243)&lt;0,0,IF((SUM($G244:BD244)-$E243)&lt;BD244,SUM($G244:BD244)-$E243,BD244))</f>
        <v>30</v>
      </c>
      <c r="BE412" s="405">
        <f ca="1">IF((SUM($G244:BE244)-$E243)&lt;0,0,IF((SUM($G244:BE244)-$E243)&lt;BE244,SUM($G244:BE244)-$E243,BE244))</f>
        <v>31</v>
      </c>
      <c r="BF412" s="405">
        <f ca="1">IF((SUM($G244:BF244)-$E243)&lt;0,0,IF((SUM($G244:BF244)-$E243)&lt;BF244,SUM($G244:BF244)-$E243,BF244))</f>
        <v>30</v>
      </c>
      <c r="BG412" s="405">
        <f ca="1">IF((SUM($G244:BG244)-$E243)&lt;0,0,IF((SUM($G244:BG244)-$E243)&lt;BG244,SUM($G244:BG244)-$E243,BG244))</f>
        <v>31</v>
      </c>
      <c r="BH412" s="405">
        <f ca="1">IF((SUM($G244:BH244)-$E243)&lt;0,0,IF((SUM($G244:BH244)-$E243)&lt;BH244,SUM($G244:BH244)-$E243,BH244))</f>
        <v>31</v>
      </c>
      <c r="BI412" s="405">
        <f ca="1">IF((SUM($G244:BI244)-$E243)&lt;0,0,IF((SUM($G244:BI244)-$E243)&lt;BI244,SUM($G244:BI244)-$E243,BI244))</f>
        <v>30</v>
      </c>
      <c r="BJ412" s="405">
        <f ca="1">IF((SUM($G244:BJ244)-$E243)&lt;0,0,IF((SUM($G244:BJ244)-$E243)&lt;BJ244,SUM($G244:BJ244)-$E243,BJ244))</f>
        <v>31</v>
      </c>
      <c r="BK412" s="405">
        <f ca="1">IF((SUM($G244:BK244)-$E243)&lt;0,0,IF((SUM($G244:BK244)-$E243)&lt;BK244,SUM($G244:BK244)-$E243,BK244))</f>
        <v>30</v>
      </c>
      <c r="BL412" s="405">
        <f ca="1">IF((SUM($G244:BL244)-$E243)&lt;0,0,IF((SUM($G244:BL244)-$E243)&lt;BL244,SUM($G244:BL244)-$E243,BL244))</f>
        <v>31</v>
      </c>
      <c r="BM412" s="405">
        <f ca="1">IF((SUM($G244:BM244)-$E243)&lt;0,0,IF((SUM($G244:BM244)-$E243)&lt;BM244,SUM($G244:BM244)-$E243,BM244))</f>
        <v>31</v>
      </c>
      <c r="BN412" s="405">
        <f ca="1">IF((SUM($G244:BN244)-$E243)&lt;0,0,IF((SUM($G244:BN244)-$E243)&lt;BN244,SUM($G244:BN244)-$E243,BN244))</f>
        <v>29</v>
      </c>
      <c r="BO412" s="405">
        <f ca="1">IF((SUM($G244:BO244)-$E243)&lt;0,0,IF((SUM($G244:BO244)-$E243)&lt;BO244,SUM($G244:BO244)-$E243,BO244))</f>
        <v>31</v>
      </c>
      <c r="BP412" s="405">
        <f ca="1">IF((SUM($G244:BP244)-$E243)&lt;0,0,IF((SUM($G244:BP244)-$E243)&lt;BP244,SUM($G244:BP244)-$E243,BP244))</f>
        <v>30</v>
      </c>
      <c r="BQ412" s="405">
        <f ca="1">IF((SUM($G244:BQ244)-$E243)&lt;0,0,IF((SUM($G244:BQ244)-$E243)&lt;BQ244,SUM($G244:BQ244)-$E243,BQ244))</f>
        <v>31</v>
      </c>
      <c r="BR412" s="405">
        <f ca="1">IF((SUM($G244:BR244)-$E243)&lt;0,0,IF((SUM($G244:BR244)-$E243)&lt;BR244,SUM($G244:BR244)-$E243,BR244))</f>
        <v>30</v>
      </c>
      <c r="BS412" s="405">
        <f ca="1">IF((SUM($G244:BS244)-$E243)&lt;0,0,IF((SUM($G244:BS244)-$E243)&lt;BS244,SUM($G244:BS244)-$E243,BS244))</f>
        <v>31</v>
      </c>
      <c r="BT412" s="405">
        <f ca="1">IF((SUM($G244:BT244)-$E243)&lt;0,0,IF((SUM($G244:BT244)-$E243)&lt;BT244,SUM($G244:BT244)-$E243,BT244))</f>
        <v>31</v>
      </c>
      <c r="BU412" s="405">
        <f ca="1">IF((SUM($G244:BU244)-$E243)&lt;0,0,IF((SUM($G244:BU244)-$E243)&lt;BU244,SUM($G244:BU244)-$E243,BU244))</f>
        <v>30</v>
      </c>
      <c r="BV412" s="405">
        <f ca="1">IF((SUM($G244:BV244)-$E243)&lt;0,0,IF((SUM($G244:BV244)-$E243)&lt;BV244,SUM($G244:BV244)-$E243,BV244))</f>
        <v>31</v>
      </c>
      <c r="BW412" s="405">
        <f ca="1">IF((SUM($G244:BW244)-$E243)&lt;0,0,IF((SUM($G244:BW244)-$E243)&lt;BW244,SUM($G244:BW244)-$E243,BW244))</f>
        <v>30</v>
      </c>
      <c r="BX412" s="405">
        <f ca="1">IF((SUM($G244:BX244)-$E243)&lt;0,0,IF((SUM($G244:BX244)-$E243)&lt;BX244,SUM($G244:BX244)-$E243,BX244))</f>
        <v>31</v>
      </c>
      <c r="BY412" s="405">
        <f ca="1">IF((SUM($G244:BY244)-$E243)&lt;0,0,IF((SUM($G244:BY244)-$E243)&lt;BY244,SUM($G244:BY244)-$E243,BY244))</f>
        <v>31</v>
      </c>
      <c r="BZ412" s="405">
        <f ca="1">IF((SUM($G244:BZ244)-$E243)&lt;0,0,IF((SUM($G244:BZ244)-$E243)&lt;BZ244,SUM($G244:BZ244)-$E243,BZ244))</f>
        <v>28</v>
      </c>
      <c r="CA412" s="405">
        <f ca="1">IF((SUM($G244:CA244)-$E243)&lt;0,0,IF((SUM($G244:CA244)-$E243)&lt;CA244,SUM($G244:CA244)-$E243,CA244))</f>
        <v>31</v>
      </c>
      <c r="CB412" s="405">
        <f ca="1">IF((SUM($G244:CB244)-$E243)&lt;0,0,IF((SUM($G244:CB244)-$E243)&lt;CB244,SUM($G244:CB244)-$E243,CB244))</f>
        <v>30</v>
      </c>
      <c r="CC412" s="405">
        <f ca="1">IF((SUM($G244:CC244)-$E243)&lt;0,0,IF((SUM($G244:CC244)-$E243)&lt;CC244,SUM($G244:CC244)-$E243,CC244))</f>
        <v>31</v>
      </c>
      <c r="CD412" s="405">
        <f ca="1">IF((SUM($G244:CD244)-$E243)&lt;0,0,IF((SUM($G244:CD244)-$E243)&lt;CD244,SUM($G244:CD244)-$E243,CD244))</f>
        <v>30</v>
      </c>
      <c r="CE412" s="405">
        <f ca="1">IF((SUM($G244:CE244)-$E243)&lt;0,0,IF((SUM($G244:CE244)-$E243)&lt;CE244,SUM($G244:CE244)-$E243,CE244))</f>
        <v>31</v>
      </c>
      <c r="CF412" s="405">
        <f ca="1">IF((SUM($G244:CF244)-$E243)&lt;0,0,IF((SUM($G244:CF244)-$E243)&lt;CF244,SUM($G244:CF244)-$E243,CF244))</f>
        <v>31</v>
      </c>
      <c r="CG412" s="405">
        <f ca="1">IF((SUM($G244:CG244)-$E243)&lt;0,0,IF((SUM($G244:CG244)-$E243)&lt;CG244,SUM($G244:CG244)-$E243,CG244))</f>
        <v>30</v>
      </c>
      <c r="CH412" s="405">
        <f ca="1">IF((SUM($G244:CH244)-$E243)&lt;0,0,IF((SUM($G244:CH244)-$E243)&lt;CH244,SUM($G244:CH244)-$E243,CH244))</f>
        <v>31</v>
      </c>
      <c r="CI412" s="405">
        <f ca="1">IF((SUM($G244:CI244)-$E243)&lt;0,0,IF((SUM($G244:CI244)-$E243)&lt;CI244,SUM($G244:CI244)-$E243,CI244))</f>
        <v>30</v>
      </c>
      <c r="CJ412" s="405">
        <f ca="1">IF((SUM($G244:CJ244)-$E243)&lt;0,0,IF((SUM($G244:CJ244)-$E243)&lt;CJ244,SUM($G244:CJ244)-$E243,CJ244))</f>
        <v>31</v>
      </c>
      <c r="CK412" s="405">
        <f ca="1">IF((SUM($G244:CK244)-$E243)&lt;0,0,IF((SUM($G244:CK244)-$E243)&lt;CK244,SUM($G244:CK244)-$E243,CK244))</f>
        <v>31</v>
      </c>
      <c r="CL412" s="405">
        <f ca="1">IF((SUM($G244:CL244)-$E243)&lt;0,0,IF((SUM($G244:CL244)-$E243)&lt;CL244,SUM($G244:CL244)-$E243,CL244))</f>
        <v>28</v>
      </c>
      <c r="CM412" s="405">
        <f ca="1">IF((SUM($G244:CM244)-$E243)&lt;0,0,IF((SUM($G244:CM244)-$E243)&lt;CM244,SUM($G244:CM244)-$E243,CM244))</f>
        <v>31</v>
      </c>
      <c r="CN412" s="405">
        <f ca="1">IF((SUM($G244:CN244)-$E243)&lt;0,0,IF((SUM($G244:CN244)-$E243)&lt;CN244,SUM($G244:CN244)-$E243,CN244))</f>
        <v>30</v>
      </c>
      <c r="CO412" s="405">
        <f ca="1">IF((SUM($G244:CO244)-$E243)&lt;0,0,IF((SUM($G244:CO244)-$E243)&lt;CO244,SUM($G244:CO244)-$E243,CO244))</f>
        <v>31</v>
      </c>
      <c r="CP412" s="405">
        <f ca="1">IF((SUM($G244:CP244)-$E243)&lt;0,0,IF((SUM($G244:CP244)-$E243)&lt;CP244,SUM($G244:CP244)-$E243,CP244))</f>
        <v>30</v>
      </c>
      <c r="CQ412" s="405">
        <f ca="1">IF((SUM($G244:CQ244)-$E243)&lt;0,0,IF((SUM($G244:CQ244)-$E243)&lt;CQ244,SUM($G244:CQ244)-$E243,CQ244))</f>
        <v>31</v>
      </c>
      <c r="CR412" s="405">
        <f ca="1">IF((SUM($G244:CR244)-$E243)&lt;0,0,IF((SUM($G244:CR244)-$E243)&lt;CR244,SUM($G244:CR244)-$E243,CR244))</f>
        <v>31</v>
      </c>
      <c r="CS412" s="405">
        <f ca="1">IF((SUM($G244:CS244)-$E243)&lt;0,0,IF((SUM($G244:CS244)-$E243)&lt;CS244,SUM($G244:CS244)-$E243,CS244))</f>
        <v>30</v>
      </c>
      <c r="CT412" s="405">
        <f ca="1">IF((SUM($G244:CT244)-$E243)&lt;0,0,IF((SUM($G244:CT244)-$E243)&lt;CT244,SUM($G244:CT244)-$E243,CT244))</f>
        <v>31</v>
      </c>
      <c r="CU412" s="405">
        <f ca="1">IF((SUM($G244:CU244)-$E243)&lt;0,0,IF((SUM($G244:CU244)-$E243)&lt;CU244,SUM($G244:CU244)-$E243,CU244))</f>
        <v>30</v>
      </c>
      <c r="CV412" s="405">
        <f ca="1">IF((SUM($G244:CV244)-$E243)&lt;0,0,IF((SUM($G244:CV244)-$E243)&lt;CV244,SUM($G244:CV244)-$E243,CV244))</f>
        <v>31</v>
      </c>
      <c r="CW412" s="405">
        <f ca="1">IF((SUM($G244:CW244)-$E243)&lt;0,0,IF((SUM($G244:CW244)-$E243)&lt;CW244,SUM($G244:CW244)-$E243,CW244))</f>
        <v>31</v>
      </c>
      <c r="CX412" s="405">
        <f ca="1">IF((SUM($G244:CX244)-$E243)&lt;0,0,IF((SUM($G244:CX244)-$E243)&lt;CX244,SUM($G244:CX244)-$E243,CX244))</f>
        <v>28</v>
      </c>
      <c r="CY412" s="405">
        <f ca="1">IF((SUM($G244:CY244)-$E243)&lt;0,0,IF((SUM($G244:CY244)-$E243)&lt;CY244,SUM($G244:CY244)-$E243,CY244))</f>
        <v>31</v>
      </c>
      <c r="CZ412" s="405">
        <f ca="1">IF((SUM($G244:CZ244)-$E243)&lt;0,0,IF((SUM($G244:CZ244)-$E243)&lt;CZ244,SUM($G244:CZ244)-$E243,CZ244))</f>
        <v>30</v>
      </c>
      <c r="DA412" s="405">
        <f ca="1">IF((SUM($G244:DA244)-$E243)&lt;0,0,IF((SUM($G244:DA244)-$E243)&lt;DA244,SUM($G244:DA244)-$E243,DA244))</f>
        <v>31</v>
      </c>
      <c r="DB412" s="405">
        <f ca="1">IF((SUM($G244:DB244)-$E243)&lt;0,0,IF((SUM($G244:DB244)-$E243)&lt;DB244,SUM($G244:DB244)-$E243,DB244))</f>
        <v>30</v>
      </c>
      <c r="DC412" s="405">
        <f ca="1">IF((SUM($G244:DC244)-$E243)&lt;0,0,IF((SUM($G244:DC244)-$E243)&lt;DC244,SUM($G244:DC244)-$E243,DC244))</f>
        <v>31</v>
      </c>
      <c r="DD412" s="405">
        <f ca="1">IF((SUM($G244:DD244)-$E243)&lt;0,0,IF((SUM($G244:DD244)-$E243)&lt;DD244,SUM($G244:DD244)-$E243,DD244))</f>
        <v>31</v>
      </c>
      <c r="DE412" s="405">
        <f ca="1">IF((SUM($G244:DE244)-$E243)&lt;0,0,IF((SUM($G244:DE244)-$E243)&lt;DE244,SUM($G244:DE244)-$E243,DE244))</f>
        <v>30</v>
      </c>
      <c r="DF412" s="405">
        <f ca="1">IF((SUM($G244:DF244)-$E243)&lt;0,0,IF((SUM($G244:DF244)-$E243)&lt;DF244,SUM($G244:DF244)-$E243,DF244))</f>
        <v>31</v>
      </c>
      <c r="DG412" s="405">
        <f ca="1">IF((SUM($G244:DG244)-$E243)&lt;0,0,IF((SUM($G244:DG244)-$E243)&lt;DG244,SUM($G244:DG244)-$E243,DG244))</f>
        <v>30</v>
      </c>
      <c r="DH412" s="405">
        <f ca="1">IF((SUM($G244:DH244)-$E243)&lt;0,0,IF((SUM($G244:DH244)-$E243)&lt;DH244,SUM($G244:DH244)-$E243,DH244))</f>
        <v>31</v>
      </c>
      <c r="DI412" s="405">
        <f ca="1">IF((SUM($G244:DI244)-$E243)&lt;0,0,IF((SUM($G244:DI244)-$E243)&lt;DI244,SUM($G244:DI244)-$E243,DI244))</f>
        <v>31</v>
      </c>
      <c r="DJ412" s="405">
        <f ca="1">IF((SUM($G244:DJ244)-$E243)&lt;0,0,IF((SUM($G244:DJ244)-$E243)&lt;DJ244,SUM($G244:DJ244)-$E243,DJ244))</f>
        <v>29</v>
      </c>
      <c r="DK412" s="405">
        <f ca="1">IF((SUM($G244:DK244)-$E243)&lt;0,0,IF((SUM($G244:DK244)-$E243)&lt;DK244,SUM($G244:DK244)-$E243,DK244))</f>
        <v>31</v>
      </c>
      <c r="DL412" s="405">
        <f ca="1">IF((SUM($G244:DL244)-$E243)&lt;0,0,IF((SUM($G244:DL244)-$E243)&lt;DL244,SUM($G244:DL244)-$E243,DL244))</f>
        <v>30</v>
      </c>
      <c r="DM412" s="405">
        <f ca="1">IF((SUM($G244:DM244)-$E243)&lt;0,0,IF((SUM($G244:DM244)-$E243)&lt;DM244,SUM($G244:DM244)-$E243,DM244))</f>
        <v>31</v>
      </c>
      <c r="DN412" s="405">
        <f ca="1">IF((SUM($G244:DN244)-$E243)&lt;0,0,IF((SUM($G244:DN244)-$E243)&lt;DN244,SUM($G244:DN244)-$E243,DN244))</f>
        <v>30</v>
      </c>
      <c r="DO412" s="405">
        <f ca="1">IF((SUM($G244:DO244)-$E243)&lt;0,0,IF((SUM($G244:DO244)-$E243)&lt;DO244,SUM($G244:DO244)-$E243,DO244))</f>
        <v>31</v>
      </c>
      <c r="DP412" s="405">
        <f ca="1">IF((SUM($G244:DP244)-$E243)&lt;0,0,IF((SUM($G244:DP244)-$E243)&lt;DP244,SUM($G244:DP244)-$E243,DP244))</f>
        <v>31</v>
      </c>
      <c r="DQ412" s="405">
        <f ca="1">IF((SUM($G244:DQ244)-$E243)&lt;0,0,IF((SUM($G244:DQ244)-$E243)&lt;DQ244,SUM($G244:DQ244)-$E243,DQ244))</f>
        <v>30</v>
      </c>
      <c r="DR412" s="405">
        <f ca="1">IF((SUM($G244:DR244)-$E243)&lt;0,0,IF((SUM($G244:DR244)-$E243)&lt;DR244,SUM($G244:DR244)-$E243,DR244))</f>
        <v>31</v>
      </c>
      <c r="DS412" s="405">
        <f ca="1">IF((SUM($G244:DS244)-$E243)&lt;0,0,IF((SUM($G244:DS244)-$E243)&lt;DS244,SUM($G244:DS244)-$E243,DS244))</f>
        <v>30</v>
      </c>
      <c r="DT412" s="405">
        <f ca="1">IF((SUM($G244:DT244)-$E243)&lt;0,0,IF((SUM($G244:DT244)-$E243)&lt;DT244,SUM($G244:DT244)-$E243,DT244))</f>
        <v>31</v>
      </c>
      <c r="DU412" s="405">
        <f ca="1">IF((SUM($G244:DU244)-$E243)&lt;0,0,IF((SUM($G244:DU244)-$E243)&lt;DU244,SUM($G244:DU244)-$E243,DU244))</f>
        <v>31</v>
      </c>
      <c r="DV412" s="405">
        <f ca="1">IF((SUM($G244:DV244)-$E243)&lt;0,0,IF((SUM($G244:DV244)-$E243)&lt;DV244,SUM($G244:DV244)-$E243,DV244))</f>
        <v>28</v>
      </c>
      <c r="DW412" s="405">
        <f ca="1">IF((SUM($G244:DW244)-$E243)&lt;0,0,IF((SUM($G244:DW244)-$E243)&lt;DW244,SUM($G244:DW244)-$E243,DW244))</f>
        <v>31</v>
      </c>
      <c r="DX412" s="405">
        <f ca="1">IF((SUM($G244:DX244)-$E243)&lt;0,0,IF((SUM($G244:DX244)-$E243)&lt;DX244,SUM($G244:DX244)-$E243,DX244))</f>
        <v>30</v>
      </c>
      <c r="DY412" s="405">
        <f ca="1">IF((SUM($G244:DY244)-$E243)&lt;0,0,IF((SUM($G244:DY244)-$E243)&lt;DY244,SUM($G244:DY244)-$E243,DY244))</f>
        <v>31</v>
      </c>
      <c r="DZ412" s="405">
        <f ca="1">IF((SUM($G244:DZ244)-$E243)&lt;0,0,IF((SUM($G244:DZ244)-$E243)&lt;DZ244,SUM($G244:DZ244)-$E243,DZ244))</f>
        <v>30</v>
      </c>
      <c r="EA412" s="405">
        <f ca="1">IF((SUM($G244:EA244)-$E243)&lt;0,0,IF((SUM($G244:EA244)-$E243)&lt;EA244,SUM($G244:EA244)-$E243,EA244))</f>
        <v>31</v>
      </c>
      <c r="EB412" s="405">
        <f ca="1">IF((SUM($G244:EB244)-$E243)&lt;0,0,IF((SUM($G244:EB244)-$E243)&lt;EB244,SUM($G244:EB244)-$E243,EB244))</f>
        <v>31</v>
      </c>
      <c r="EC412" s="405">
        <f ca="1">IF((SUM($G244:EC244)-$E243)&lt;0,0,IF((SUM($G244:EC244)-$E243)&lt;EC244,SUM($G244:EC244)-$E243,EC244))</f>
        <v>30</v>
      </c>
      <c r="ED412" s="405">
        <f ca="1">IF((SUM($G244:ED244)-$E243)&lt;0,0,IF((SUM($G244:ED244)-$E243)&lt;ED244,SUM($G244:ED244)-$E243,ED244))</f>
        <v>31</v>
      </c>
      <c r="EE412" s="405">
        <f ca="1">IF((SUM($G244:EE244)-$E243)&lt;0,0,IF((SUM($G244:EE244)-$E243)&lt;EE244,SUM($G244:EE244)-$E243,EE244))</f>
        <v>30</v>
      </c>
      <c r="EF412" s="405">
        <f ca="1">IF((SUM($G244:EF244)-$E243)&lt;0,0,IF((SUM($G244:EF244)-$E243)&lt;EF244,SUM($G244:EF244)-$E243,EF244))</f>
        <v>31</v>
      </c>
      <c r="EG412" s="405">
        <f ca="1">IF((SUM($G244:EG244)-$E243)&lt;0,0,IF((SUM($G244:EG244)-$E243)&lt;EG244,SUM($G244:EG244)-$E243,EG244))</f>
        <v>31</v>
      </c>
      <c r="EH412" s="405">
        <f ca="1">IF((SUM($G244:EH244)-$E243)&lt;0,0,IF((SUM($G244:EH244)-$E243)&lt;EH244,SUM($G244:EH244)-$E243,EH244))</f>
        <v>28</v>
      </c>
      <c r="EI412" s="405">
        <f ca="1">IF((SUM($G244:EI244)-$E243)&lt;0,0,IF((SUM($G244:EI244)-$E243)&lt;EI244,SUM($G244:EI244)-$E243,EI244))</f>
        <v>31</v>
      </c>
    </row>
    <row r="413" spans="1:141" hidden="1" outlineLevel="2">
      <c r="A413" s="332"/>
      <c r="D413" s="305" t="s">
        <v>670</v>
      </c>
      <c r="E413" s="403">
        <f ca="1">MIN(G413:EI413)</f>
        <v>45627</v>
      </c>
      <c r="F413" s="404">
        <f ca="1">MAX(G413:EI413)</f>
        <v>45627</v>
      </c>
      <c r="G413" s="403" t="str">
        <f ca="1">IF(G411=0,"",IF(SUM($G411:G411)&gt;=1,OFFSET(G$228,-1,0),""))</f>
        <v/>
      </c>
      <c r="H413" s="403" t="str">
        <f ca="1">IF(SUM($G413:G413)&gt;=1,"",IF(H411=0,"",IF(SUM($G411:H411)&gt;=1,OFFSET(H$228,-1,0),"")))</f>
        <v/>
      </c>
      <c r="I413" s="403" t="str">
        <f ca="1">IF(SUM($G413:H413)&gt;=1,"",IF(I411=0,"",IF(SUM($G411:I411)&gt;=1,OFFSET(I$228,-1,0),"")))</f>
        <v/>
      </c>
      <c r="J413" s="403" t="str">
        <f ca="1">IF(SUM($G413:I413)&gt;=1,"",IF(J411=0,"",IF(SUM($G411:J411)&gt;=1,OFFSET(J$228,-1,0),"")))</f>
        <v/>
      </c>
      <c r="K413" s="403" t="str">
        <f ca="1">IF(SUM($G413:J413)&gt;=1,"",IF(K411=0,"",IF(SUM($G411:K411)&gt;=1,OFFSET(K$228,-1,0),"")))</f>
        <v/>
      </c>
      <c r="L413" s="403" t="str">
        <f ca="1">IF(SUM($G413:K413)&gt;=1,"",IF(L411=0,"",IF(SUM($G411:L411)&gt;=1,OFFSET(L$228,-1,0),"")))</f>
        <v/>
      </c>
      <c r="M413" s="403" t="str">
        <f ca="1">IF(SUM($G413:L413)&gt;=1,"",IF(M411=0,"",IF(SUM($G411:M411)&gt;=1,OFFSET(M$228,-1,0),"")))</f>
        <v/>
      </c>
      <c r="N413" s="403" t="str">
        <f ca="1">IF(SUM($G413:M413)&gt;=1,"",IF(N411=0,"",IF(SUM($G411:N411)&gt;=1,OFFSET(N$228,-1,0),"")))</f>
        <v/>
      </c>
      <c r="O413" s="403" t="str">
        <f ca="1">IF(SUM($G413:N413)&gt;=1,"",IF(O411=0,"",IF(SUM($G411:O411)&gt;=1,OFFSET(O$228,-1,0),"")))</f>
        <v/>
      </c>
      <c r="P413" s="403" t="str">
        <f ca="1">IF(SUM($G413:O413)&gt;=1,"",IF(P411=0,"",IF(SUM($G411:P411)&gt;=1,OFFSET(P$228,-1,0),"")))</f>
        <v/>
      </c>
      <c r="Q413" s="403" t="str">
        <f ca="1">IF(SUM($G413:P413)&gt;=1,"",IF(Q411=0,"",IF(SUM($G411:Q411)&gt;=1,OFFSET(Q$228,-1,0),"")))</f>
        <v/>
      </c>
      <c r="R413" s="403" t="str">
        <f ca="1">IF(SUM($G413:Q413)&gt;=1,"",IF(R411=0,"",IF(SUM($G411:R411)&gt;=1,OFFSET(R$228,-1,0),"")))</f>
        <v/>
      </c>
      <c r="S413" s="403" t="str">
        <f ca="1">IF(SUM($G413:R413)&gt;=1,"",IF(S411=0,"",IF(SUM($G411:S411)&gt;=1,OFFSET(S$228,-1,0),"")))</f>
        <v/>
      </c>
      <c r="T413" s="403" t="str">
        <f ca="1">IF(SUM($G413:S413)&gt;=1,"",IF(T411=0,"",IF(SUM($G411:T411)&gt;=1,OFFSET(T$228,-1,0),"")))</f>
        <v/>
      </c>
      <c r="U413" s="403" t="str">
        <f ca="1">IF(SUM($G413:T413)&gt;=1,"",IF(U411=0,"",IF(SUM($G411:U411)&gt;=1,OFFSET(U$228,-1,0),"")))</f>
        <v/>
      </c>
      <c r="V413" s="403" t="str">
        <f ca="1">IF(SUM($G413:U413)&gt;=1,"",IF(V411=0,"",IF(SUM($G411:V411)&gt;=1,OFFSET(V$228,-1,0),"")))</f>
        <v/>
      </c>
      <c r="W413" s="403" t="str">
        <f ca="1">IF(SUM($G413:V413)&gt;=1,"",IF(W411=0,"",IF(SUM($G411:W411)&gt;=1,OFFSET(W$228,-1,0),"")))</f>
        <v/>
      </c>
      <c r="X413" s="403" t="str">
        <f ca="1">IF(SUM($G413:W413)&gt;=1,"",IF(X411=0,"",IF(SUM($G411:X411)&gt;=1,OFFSET(X$228,-1,0),"")))</f>
        <v/>
      </c>
      <c r="Y413" s="403" t="str">
        <f ca="1">IF(SUM($G413:X413)&gt;=1,"",IF(Y411=0,"",IF(SUM($G411:Y411)&gt;=1,OFFSET(Y$228,-1,0),"")))</f>
        <v/>
      </c>
      <c r="Z413" s="403" t="str">
        <f ca="1">IF(SUM($G413:Y413)&gt;=1,"",IF(Z411=0,"",IF(SUM($G411:Z411)&gt;=1,OFFSET(Z$228,-1,0),"")))</f>
        <v/>
      </c>
      <c r="AA413" s="403" t="str">
        <f ca="1">IF(SUM($G413:Z413)&gt;=1,"",IF(AA411=0,"",IF(SUM($G411:AA411)&gt;=1,OFFSET(AA$228,-1,0),"")))</f>
        <v/>
      </c>
      <c r="AB413" s="403">
        <f ca="1">IF(SUM($G413:AA413)&gt;=1,"",IF(AB411=0,"",IF(SUM($G411:AB411)&gt;=1,OFFSET(AB$228,-1,0),"")))</f>
        <v>45627</v>
      </c>
      <c r="AC413" s="403" t="str">
        <f ca="1">IF(SUM($G413:AB413)&gt;=1,"",IF(AC411=0,"",IF(SUM($G411:AC411)&gt;=1,OFFSET(AC$228,-1,0),"")))</f>
        <v/>
      </c>
      <c r="AD413" s="403" t="str">
        <f ca="1">IF(SUM($G413:AC413)&gt;=1,"",IF(AD411=0,"",IF(SUM($G411:AD411)&gt;=1,OFFSET(AD$228,-1,0),"")))</f>
        <v/>
      </c>
      <c r="AE413" s="403" t="str">
        <f ca="1">IF(SUM($G413:AD413)&gt;=1,"",IF(AE411=0,"",IF(SUM($G411:AE411)&gt;=1,OFFSET(AE$228,-1,0),"")))</f>
        <v/>
      </c>
      <c r="AF413" s="403" t="str">
        <f ca="1">IF(SUM($G413:AE413)&gt;=1,"",IF(AF411=0,"",IF(SUM($G411:AF411)&gt;=1,OFFSET(AF$228,-1,0),"")))</f>
        <v/>
      </c>
      <c r="AG413" s="403" t="str">
        <f ca="1">IF(SUM($G413:AF413)&gt;=1,"",IF(AG411=0,"",IF(SUM($G411:AG411)&gt;=1,OFFSET(AG$228,-1,0),"")))</f>
        <v/>
      </c>
      <c r="AH413" s="403" t="str">
        <f ca="1">IF(SUM($G413:AG413)&gt;=1,"",IF(AH411=0,"",IF(SUM($G411:AH411)&gt;=1,OFFSET(AH$228,-1,0),"")))</f>
        <v/>
      </c>
      <c r="AI413" s="403" t="str">
        <f ca="1">IF(SUM($G413:AH413)&gt;=1,"",IF(AI411=0,"",IF(SUM($G411:AI411)&gt;=1,OFFSET(AI$228,-1,0),"")))</f>
        <v/>
      </c>
      <c r="AJ413" s="403" t="str">
        <f ca="1">IF(SUM($G413:AI413)&gt;=1,"",IF(AJ411=0,"",IF(SUM($G411:AJ411)&gt;=1,OFFSET(AJ$228,-1,0),"")))</f>
        <v/>
      </c>
      <c r="AK413" s="403" t="str">
        <f ca="1">IF(SUM($G413:AJ413)&gt;=1,"",IF(AK411=0,"",IF(SUM($G411:AK411)&gt;=1,OFFSET(AK$228,-1,0),"")))</f>
        <v/>
      </c>
      <c r="AL413" s="403" t="str">
        <f ca="1">IF(SUM($G413:AK413)&gt;=1,"",IF(AL411=0,"",IF(SUM($G411:AL411)&gt;=1,OFFSET(AL$228,-1,0),"")))</f>
        <v/>
      </c>
      <c r="AM413" s="403" t="str">
        <f ca="1">IF(SUM($G413:AL413)&gt;=1,"",IF(AM411=0,"",IF(SUM($G411:AM411)&gt;=1,OFFSET(AM$228,-1,0),"")))</f>
        <v/>
      </c>
      <c r="AN413" s="403" t="str">
        <f ca="1">IF(SUM($G413:AM413)&gt;=1,"",IF(AN411=0,"",IF(SUM($G411:AN411)&gt;=1,OFFSET(AN$228,-1,0),"")))</f>
        <v/>
      </c>
      <c r="AO413" s="403" t="str">
        <f ca="1">IF(SUM($G413:AN413)&gt;=1,"",IF(AO411=0,"",IF(SUM($G411:AO411)&gt;=1,OFFSET(AO$228,-1,0),"")))</f>
        <v/>
      </c>
      <c r="AP413" s="403" t="str">
        <f ca="1">IF(SUM($G413:AO413)&gt;=1,"",IF(AP411=0,"",IF(SUM($G411:AP411)&gt;=1,OFFSET(AP$228,-1,0),"")))</f>
        <v/>
      </c>
      <c r="AQ413" s="403" t="str">
        <f ca="1">IF(SUM($G413:AP413)&gt;=1,"",IF(AQ411=0,"",IF(SUM($G411:AQ411)&gt;=1,OFFSET(AQ$228,-1,0),"")))</f>
        <v/>
      </c>
      <c r="AR413" s="403" t="str">
        <f ca="1">IF(SUM($G413:AQ413)&gt;=1,"",IF(AR411=0,"",IF(SUM($G411:AR411)&gt;=1,OFFSET(AR$228,-1,0),"")))</f>
        <v/>
      </c>
      <c r="AS413" s="403" t="str">
        <f ca="1">IF(SUM($G413:AR413)&gt;=1,"",IF(AS411=0,"",IF(SUM($G411:AS411)&gt;=1,OFFSET(AS$228,-1,0),"")))</f>
        <v/>
      </c>
      <c r="AT413" s="403" t="str">
        <f ca="1">IF(SUM($G413:AS413)&gt;=1,"",IF(AT411=0,"",IF(SUM($G411:AT411)&gt;=1,OFFSET(AT$228,-1,0),"")))</f>
        <v/>
      </c>
      <c r="AU413" s="403" t="str">
        <f ca="1">IF(SUM($G413:AT413)&gt;=1,"",IF(AU411=0,"",IF(SUM($G411:AU411)&gt;=1,OFFSET(AU$228,-1,0),"")))</f>
        <v/>
      </c>
      <c r="AV413" s="403" t="str">
        <f ca="1">IF(SUM($G413:AU413)&gt;=1,"",IF(AV411=0,"",IF(SUM($G411:AV411)&gt;=1,OFFSET(AV$228,-1,0),"")))</f>
        <v/>
      </c>
      <c r="AW413" s="403" t="str">
        <f ca="1">IF(SUM($G413:AV413)&gt;=1,"",IF(AW411=0,"",IF(SUM($G411:AW411)&gt;=1,OFFSET(AW$228,-1,0),"")))</f>
        <v/>
      </c>
      <c r="AX413" s="403" t="str">
        <f ca="1">IF(SUM($G413:AW413)&gt;=1,"",IF(AX411=0,"",IF(SUM($G411:AX411)&gt;=1,OFFSET(AX$228,-1,0),"")))</f>
        <v/>
      </c>
      <c r="AY413" s="403" t="str">
        <f ca="1">IF(SUM($G413:AX413)&gt;=1,"",IF(AY411=0,"",IF(SUM($G411:AY411)&gt;=1,OFFSET(AY$228,-1,0),"")))</f>
        <v/>
      </c>
      <c r="AZ413" s="403" t="str">
        <f ca="1">IF(SUM($G413:AY413)&gt;=1,"",IF(AZ411=0,"",IF(SUM($G411:AZ411)&gt;=1,OFFSET(AZ$228,-1,0),"")))</f>
        <v/>
      </c>
      <c r="BA413" s="403" t="str">
        <f ca="1">IF(SUM($G413:AZ413)&gt;=1,"",IF(BA411=0,"",IF(SUM($G411:BA411)&gt;=1,OFFSET(BA$228,-1,0),"")))</f>
        <v/>
      </c>
      <c r="BB413" s="403" t="str">
        <f ca="1">IF(SUM($G413:BA413)&gt;=1,"",IF(BB411=0,"",IF(SUM($G411:BB411)&gt;=1,OFFSET(BB$228,-1,0),"")))</f>
        <v/>
      </c>
      <c r="BC413" s="403" t="str">
        <f ca="1">IF(SUM($G413:BB413)&gt;=1,"",IF(BC411=0,"",IF(SUM($G411:BC411)&gt;=1,OFFSET(BC$228,-1,0),"")))</f>
        <v/>
      </c>
      <c r="BD413" s="403" t="str">
        <f ca="1">IF(SUM($G413:BC413)&gt;=1,"",IF(BD411=0,"",IF(SUM($G411:BD411)&gt;=1,OFFSET(BD$228,-1,0),"")))</f>
        <v/>
      </c>
      <c r="BE413" s="403" t="str">
        <f ca="1">IF(SUM($G413:BD413)&gt;=1,"",IF(BE411=0,"",IF(SUM($G411:BE411)&gt;=1,OFFSET(BE$228,-1,0),"")))</f>
        <v/>
      </c>
      <c r="BF413" s="403" t="str">
        <f ca="1">IF(SUM($G413:BE413)&gt;=1,"",IF(BF411=0,"",IF(SUM($G411:BF411)&gt;=1,OFFSET(BF$228,-1,0),"")))</f>
        <v/>
      </c>
      <c r="BG413" s="403" t="str">
        <f ca="1">IF(SUM($G413:BF413)&gt;=1,"",IF(BG411=0,"",IF(SUM($G411:BG411)&gt;=1,OFFSET(BG$228,-1,0),"")))</f>
        <v/>
      </c>
      <c r="BH413" s="403" t="str">
        <f ca="1">IF(SUM($G413:BG413)&gt;=1,"",IF(BH411=0,"",IF(SUM($G411:BH411)&gt;=1,OFFSET(BH$228,-1,0),"")))</f>
        <v/>
      </c>
      <c r="BI413" s="403" t="str">
        <f ca="1">IF(SUM($G413:BH413)&gt;=1,"",IF(BI411=0,"",IF(SUM($G411:BI411)&gt;=1,OFFSET(BI$228,-1,0),"")))</f>
        <v/>
      </c>
      <c r="BJ413" s="403" t="str">
        <f ca="1">IF(SUM($G413:BI413)&gt;=1,"",IF(BJ411=0,"",IF(SUM($G411:BJ411)&gt;=1,OFFSET(BJ$228,-1,0),"")))</f>
        <v/>
      </c>
      <c r="BK413" s="403" t="str">
        <f ca="1">IF(SUM($G413:BJ413)&gt;=1,"",IF(BK411=0,"",IF(SUM($G411:BK411)&gt;=1,OFFSET(BK$228,-1,0),"")))</f>
        <v/>
      </c>
      <c r="BL413" s="403" t="str">
        <f ca="1">IF(SUM($G413:BK413)&gt;=1,"",IF(BL411=0,"",IF(SUM($G411:BL411)&gt;=1,OFFSET(BL$228,-1,0),"")))</f>
        <v/>
      </c>
      <c r="BM413" s="403" t="str">
        <f ca="1">IF(SUM($G413:BL413)&gt;=1,"",IF(BM411=0,"",IF(SUM($G411:BM411)&gt;=1,OFFSET(BM$228,-1,0),"")))</f>
        <v/>
      </c>
      <c r="BN413" s="403" t="str">
        <f ca="1">IF(SUM($G413:BM413)&gt;=1,"",IF(BN411=0,"",IF(SUM($G411:BN411)&gt;=1,OFFSET(BN$228,-1,0),"")))</f>
        <v/>
      </c>
      <c r="BO413" s="403" t="str">
        <f ca="1">IF(SUM($G413:BN413)&gt;=1,"",IF(BO411=0,"",IF(SUM($G411:BO411)&gt;=1,OFFSET(BO$228,-1,0),"")))</f>
        <v/>
      </c>
      <c r="BP413" s="403" t="str">
        <f ca="1">IF(SUM($G413:BO413)&gt;=1,"",IF(BP411=0,"",IF(SUM($G411:BP411)&gt;=1,OFFSET(BP$228,-1,0),"")))</f>
        <v/>
      </c>
      <c r="BQ413" s="403" t="str">
        <f ca="1">IF(SUM($G413:BP413)&gt;=1,"",IF(BQ411=0,"",IF(SUM($G411:BQ411)&gt;=1,OFFSET(BQ$228,-1,0),"")))</f>
        <v/>
      </c>
      <c r="BR413" s="403" t="str">
        <f ca="1">IF(SUM($G413:BQ413)&gt;=1,"",IF(BR411=0,"",IF(SUM($G411:BR411)&gt;=1,OFFSET(BR$228,-1,0),"")))</f>
        <v/>
      </c>
      <c r="BS413" s="403" t="str">
        <f ca="1">IF(SUM($G413:BR413)&gt;=1,"",IF(BS411=0,"",IF(SUM($G411:BS411)&gt;=1,OFFSET(BS$228,-1,0),"")))</f>
        <v/>
      </c>
      <c r="BT413" s="403" t="str">
        <f ca="1">IF(SUM($G413:BS413)&gt;=1,"",IF(BT411=0,"",IF(SUM($G411:BT411)&gt;=1,OFFSET(BT$228,-1,0),"")))</f>
        <v/>
      </c>
      <c r="BU413" s="403" t="str">
        <f ca="1">IF(SUM($G413:BT413)&gt;=1,"",IF(BU411=0,"",IF(SUM($G411:BU411)&gt;=1,OFFSET(BU$228,-1,0),"")))</f>
        <v/>
      </c>
      <c r="BV413" s="403" t="str">
        <f ca="1">IF(SUM($G413:BU413)&gt;=1,"",IF(BV411=0,"",IF(SUM($G411:BV411)&gt;=1,OFFSET(BV$228,-1,0),"")))</f>
        <v/>
      </c>
      <c r="BW413" s="403" t="str">
        <f ca="1">IF(SUM($G413:BV413)&gt;=1,"",IF(BW411=0,"",IF(SUM($G411:BW411)&gt;=1,OFFSET(BW$228,-1,0),"")))</f>
        <v/>
      </c>
      <c r="BX413" s="403" t="str">
        <f ca="1">IF(SUM($G413:BW413)&gt;=1,"",IF(BX411=0,"",IF(SUM($G411:BX411)&gt;=1,OFFSET(BX$228,-1,0),"")))</f>
        <v/>
      </c>
      <c r="BY413" s="403" t="str">
        <f ca="1">IF(SUM($G413:BX413)&gt;=1,"",IF(BY411=0,"",IF(SUM($G411:BY411)&gt;=1,OFFSET(BY$228,-1,0),"")))</f>
        <v/>
      </c>
      <c r="BZ413" s="403" t="str">
        <f ca="1">IF(SUM($G413:BY413)&gt;=1,"",IF(BZ411=0,"",IF(SUM($G411:BZ411)&gt;=1,OFFSET(BZ$228,-1,0),"")))</f>
        <v/>
      </c>
      <c r="CA413" s="403" t="str">
        <f ca="1">IF(SUM($G413:BZ413)&gt;=1,"",IF(CA411=0,"",IF(SUM($G411:CA411)&gt;=1,OFFSET(CA$228,-1,0),"")))</f>
        <v/>
      </c>
      <c r="CB413" s="403" t="str">
        <f ca="1">IF(SUM($G413:CA413)&gt;=1,"",IF(CB411=0,"",IF(SUM($G411:CB411)&gt;=1,OFFSET(CB$228,-1,0),"")))</f>
        <v/>
      </c>
      <c r="CC413" s="403" t="str">
        <f ca="1">IF(SUM($G413:CB413)&gt;=1,"",IF(CC411=0,"",IF(SUM($G411:CC411)&gt;=1,OFFSET(CC$228,-1,0),"")))</f>
        <v/>
      </c>
      <c r="CD413" s="403" t="str">
        <f ca="1">IF(SUM($G413:CC413)&gt;=1,"",IF(CD411=0,"",IF(SUM($G411:CD411)&gt;=1,OFFSET(CD$228,-1,0),"")))</f>
        <v/>
      </c>
      <c r="CE413" s="403" t="str">
        <f ca="1">IF(SUM($G413:CD413)&gt;=1,"",IF(CE411=0,"",IF(SUM($G411:CE411)&gt;=1,OFFSET(CE$228,-1,0),"")))</f>
        <v/>
      </c>
      <c r="CF413" s="403" t="str">
        <f ca="1">IF(SUM($G413:CE413)&gt;=1,"",IF(CF411=0,"",IF(SUM($G411:CF411)&gt;=1,OFFSET(CF$228,-1,0),"")))</f>
        <v/>
      </c>
      <c r="CG413" s="403" t="str">
        <f ca="1">IF(SUM($G413:CF413)&gt;=1,"",IF(CG411=0,"",IF(SUM($G411:CG411)&gt;=1,OFFSET(CG$228,-1,0),"")))</f>
        <v/>
      </c>
      <c r="CH413" s="403" t="str">
        <f ca="1">IF(SUM($G413:CG413)&gt;=1,"",IF(CH411=0,"",IF(SUM($G411:CH411)&gt;=1,OFFSET(CH$228,-1,0),"")))</f>
        <v/>
      </c>
      <c r="CI413" s="403" t="str">
        <f ca="1">IF(SUM($G413:CH413)&gt;=1,"",IF(CI411=0,"",IF(SUM($G411:CI411)&gt;=1,OFFSET(CI$228,-1,0),"")))</f>
        <v/>
      </c>
      <c r="CJ413" s="403" t="str">
        <f ca="1">IF(SUM($G413:CI413)&gt;=1,"",IF(CJ411=0,"",IF(SUM($G411:CJ411)&gt;=1,OFFSET(CJ$228,-1,0),"")))</f>
        <v/>
      </c>
      <c r="CK413" s="403" t="str">
        <f ca="1">IF(SUM($G413:CJ413)&gt;=1,"",IF(CK411=0,"",IF(SUM($G411:CK411)&gt;=1,OFFSET(CK$228,-1,0),"")))</f>
        <v/>
      </c>
      <c r="CL413" s="403" t="str">
        <f ca="1">IF(SUM($G413:CK413)&gt;=1,"",IF(CL411=0,"",IF(SUM($G411:CL411)&gt;=1,OFFSET(CL$228,-1,0),"")))</f>
        <v/>
      </c>
      <c r="CM413" s="403" t="str">
        <f ca="1">IF(SUM($G413:CL413)&gt;=1,"",IF(CM411=0,"",IF(SUM($G411:CM411)&gt;=1,OFFSET(CM$228,-1,0),"")))</f>
        <v/>
      </c>
      <c r="CN413" s="403" t="str">
        <f ca="1">IF(SUM($G413:CM413)&gt;=1,"",IF(CN411=0,"",IF(SUM($G411:CN411)&gt;=1,OFFSET(CN$228,-1,0),"")))</f>
        <v/>
      </c>
      <c r="CO413" s="403" t="str">
        <f ca="1">IF(SUM($G413:CN413)&gt;=1,"",IF(CO411=0,"",IF(SUM($G411:CO411)&gt;=1,OFFSET(CO$228,-1,0),"")))</f>
        <v/>
      </c>
      <c r="CP413" s="403" t="str">
        <f ca="1">IF(SUM($G413:CO413)&gt;=1,"",IF(CP411=0,"",IF(SUM($G411:CP411)&gt;=1,OFFSET(CP$228,-1,0),"")))</f>
        <v/>
      </c>
      <c r="CQ413" s="403" t="str">
        <f ca="1">IF(SUM($G413:CP413)&gt;=1,"",IF(CQ411=0,"",IF(SUM($G411:CQ411)&gt;=1,OFFSET(CQ$228,-1,0),"")))</f>
        <v/>
      </c>
      <c r="CR413" s="403" t="str">
        <f ca="1">IF(SUM($G413:CQ413)&gt;=1,"",IF(CR411=0,"",IF(SUM($G411:CR411)&gt;=1,OFFSET(CR$228,-1,0),"")))</f>
        <v/>
      </c>
      <c r="CS413" s="403" t="str">
        <f ca="1">IF(SUM($G413:CR413)&gt;=1,"",IF(CS411=0,"",IF(SUM($G411:CS411)&gt;=1,OFFSET(CS$228,-1,0),"")))</f>
        <v/>
      </c>
      <c r="CT413" s="403" t="str">
        <f ca="1">IF(SUM($G413:CS413)&gt;=1,"",IF(CT411=0,"",IF(SUM($G411:CT411)&gt;=1,OFFSET(CT$228,-1,0),"")))</f>
        <v/>
      </c>
      <c r="CU413" s="403" t="str">
        <f ca="1">IF(SUM($G413:CT413)&gt;=1,"",IF(CU411=0,"",IF(SUM($G411:CU411)&gt;=1,OFFSET(CU$228,-1,0),"")))</f>
        <v/>
      </c>
      <c r="CV413" s="403" t="str">
        <f ca="1">IF(SUM($G413:CU413)&gt;=1,"",IF(CV411=0,"",IF(SUM($G411:CV411)&gt;=1,OFFSET(CV$228,-1,0),"")))</f>
        <v/>
      </c>
      <c r="CW413" s="403" t="str">
        <f ca="1">IF(SUM($G413:CV413)&gt;=1,"",IF(CW411=0,"",IF(SUM($G411:CW411)&gt;=1,OFFSET(CW$228,-1,0),"")))</f>
        <v/>
      </c>
      <c r="CX413" s="403" t="str">
        <f ca="1">IF(SUM($G413:CW413)&gt;=1,"",IF(CX411=0,"",IF(SUM($G411:CX411)&gt;=1,OFFSET(CX$228,-1,0),"")))</f>
        <v/>
      </c>
      <c r="CY413" s="403" t="str">
        <f ca="1">IF(SUM($G413:CX413)&gt;=1,"",IF(CY411=0,"",IF(SUM($G411:CY411)&gt;=1,OFFSET(CY$228,-1,0),"")))</f>
        <v/>
      </c>
      <c r="CZ413" s="403" t="str">
        <f ca="1">IF(SUM($G413:CY413)&gt;=1,"",IF(CZ411=0,"",IF(SUM($G411:CZ411)&gt;=1,OFFSET(CZ$228,-1,0),"")))</f>
        <v/>
      </c>
      <c r="DA413" s="403" t="str">
        <f ca="1">IF(SUM($G413:CZ413)&gt;=1,"",IF(DA411=0,"",IF(SUM($G411:DA411)&gt;=1,OFFSET(DA$228,-1,0),"")))</f>
        <v/>
      </c>
      <c r="DB413" s="403" t="str">
        <f ca="1">IF(SUM($G413:DA413)&gt;=1,"",IF(DB411=0,"",IF(SUM($G411:DB411)&gt;=1,OFFSET(DB$228,-1,0),"")))</f>
        <v/>
      </c>
      <c r="DC413" s="403" t="str">
        <f ca="1">IF(SUM($G413:DB413)&gt;=1,"",IF(DC411=0,"",IF(SUM($G411:DC411)&gt;=1,OFFSET(DC$228,-1,0),"")))</f>
        <v/>
      </c>
      <c r="DD413" s="403" t="str">
        <f ca="1">IF(SUM($G413:DC413)&gt;=1,"",IF(DD411=0,"",IF(SUM($G411:DD411)&gt;=1,OFFSET(DD$228,-1,0),"")))</f>
        <v/>
      </c>
      <c r="DE413" s="403" t="str">
        <f ca="1">IF(SUM($G413:DD413)&gt;=1,"",IF(DE411=0,"",IF(SUM($G411:DE411)&gt;=1,OFFSET(DE$228,-1,0),"")))</f>
        <v/>
      </c>
      <c r="DF413" s="403" t="str">
        <f ca="1">IF(SUM($G413:DE413)&gt;=1,"",IF(DF411=0,"",IF(SUM($G411:DF411)&gt;=1,OFFSET(DF$228,-1,0),"")))</f>
        <v/>
      </c>
      <c r="DG413" s="403" t="str">
        <f ca="1">IF(SUM($G413:DF413)&gt;=1,"",IF(DG411=0,"",IF(SUM($G411:DG411)&gt;=1,OFFSET(DG$228,-1,0),"")))</f>
        <v/>
      </c>
      <c r="DH413" s="403" t="str">
        <f ca="1">IF(SUM($G413:DG413)&gt;=1,"",IF(DH411=0,"",IF(SUM($G411:DH411)&gt;=1,OFFSET(DH$228,-1,0),"")))</f>
        <v/>
      </c>
      <c r="DI413" s="403" t="str">
        <f ca="1">IF(SUM($G413:DH413)&gt;=1,"",IF(DI411=0,"",IF(SUM($G411:DI411)&gt;=1,OFFSET(DI$228,-1,0),"")))</f>
        <v/>
      </c>
      <c r="DJ413" s="403" t="str">
        <f ca="1">IF(SUM($G413:DI413)&gt;=1,"",IF(DJ411=0,"",IF(SUM($G411:DJ411)&gt;=1,OFFSET(DJ$228,-1,0),"")))</f>
        <v/>
      </c>
      <c r="DK413" s="403" t="str">
        <f ca="1">IF(SUM($G413:DJ413)&gt;=1,"",IF(DK411=0,"",IF(SUM($G411:DK411)&gt;=1,OFFSET(DK$228,-1,0),"")))</f>
        <v/>
      </c>
      <c r="DL413" s="403" t="str">
        <f ca="1">IF(SUM($G413:DK413)&gt;=1,"",IF(DL411=0,"",IF(SUM($G411:DL411)&gt;=1,OFFSET(DL$228,-1,0),"")))</f>
        <v/>
      </c>
      <c r="DM413" s="403" t="str">
        <f ca="1">IF(SUM($G413:DL413)&gt;=1,"",IF(DM411=0,"",IF(SUM($G411:DM411)&gt;=1,OFFSET(DM$228,-1,0),"")))</f>
        <v/>
      </c>
      <c r="DN413" s="403" t="str">
        <f ca="1">IF(SUM($G413:DM413)&gt;=1,"",IF(DN411=0,"",IF(SUM($G411:DN411)&gt;=1,OFFSET(DN$228,-1,0),"")))</f>
        <v/>
      </c>
      <c r="DO413" s="403" t="str">
        <f ca="1">IF(SUM($G413:DN413)&gt;=1,"",IF(DO411=0,"",IF(SUM($G411:DO411)&gt;=1,OFFSET(DO$228,-1,0),"")))</f>
        <v/>
      </c>
      <c r="DP413" s="403" t="str">
        <f ca="1">IF(SUM($G413:DO413)&gt;=1,"",IF(DP411=0,"",IF(SUM($G411:DP411)&gt;=1,OFFSET(DP$228,-1,0),"")))</f>
        <v/>
      </c>
      <c r="DQ413" s="403" t="str">
        <f ca="1">IF(SUM($G413:DP413)&gt;=1,"",IF(DQ411=0,"",IF(SUM($G411:DQ411)&gt;=1,OFFSET(DQ$228,-1,0),"")))</f>
        <v/>
      </c>
      <c r="DR413" s="403" t="str">
        <f ca="1">IF(SUM($G413:DQ413)&gt;=1,"",IF(DR411=0,"",IF(SUM($G411:DR411)&gt;=1,OFFSET(DR$228,-1,0),"")))</f>
        <v/>
      </c>
      <c r="DS413" s="403" t="str">
        <f ca="1">IF(SUM($G413:DR413)&gt;=1,"",IF(DS411=0,"",IF(SUM($G411:DS411)&gt;=1,OFFSET(DS$228,-1,0),"")))</f>
        <v/>
      </c>
      <c r="DT413" s="403" t="str">
        <f ca="1">IF(SUM($G413:DS413)&gt;=1,"",IF(DT411=0,"",IF(SUM($G411:DT411)&gt;=1,OFFSET(DT$228,-1,0),"")))</f>
        <v/>
      </c>
      <c r="DU413" s="403" t="str">
        <f ca="1">IF(SUM($G413:DT413)&gt;=1,"",IF(DU411=0,"",IF(SUM($G411:DU411)&gt;=1,OFFSET(DU$228,-1,0),"")))</f>
        <v/>
      </c>
      <c r="DV413" s="403" t="str">
        <f ca="1">IF(SUM($G413:DU413)&gt;=1,"",IF(DV411=0,"",IF(SUM($G411:DV411)&gt;=1,OFFSET(DV$228,-1,0),"")))</f>
        <v/>
      </c>
      <c r="DW413" s="403" t="str">
        <f ca="1">IF(SUM($G413:DV413)&gt;=1,"",IF(DW411=0,"",IF(SUM($G411:DW411)&gt;=1,OFFSET(DW$228,-1,0),"")))</f>
        <v/>
      </c>
      <c r="DX413" s="403" t="str">
        <f ca="1">IF(SUM($G413:DW413)&gt;=1,"",IF(DX411=0,"",IF(SUM($G411:DX411)&gt;=1,OFFSET(DX$228,-1,0),"")))</f>
        <v/>
      </c>
      <c r="DY413" s="403" t="str">
        <f ca="1">IF(SUM($G413:DX413)&gt;=1,"",IF(DY411=0,"",IF(SUM($G411:DY411)&gt;=1,OFFSET(DY$228,-1,0),"")))</f>
        <v/>
      </c>
      <c r="DZ413" s="403" t="str">
        <f ca="1">IF(SUM($G413:DY413)&gt;=1,"",IF(DZ411=0,"",IF(SUM($G411:DZ411)&gt;=1,OFFSET(DZ$228,-1,0),"")))</f>
        <v/>
      </c>
      <c r="EA413" s="403" t="str">
        <f ca="1">IF(SUM($G413:DZ413)&gt;=1,"",IF(EA411=0,"",IF(SUM($G411:EA411)&gt;=1,OFFSET(EA$228,-1,0),"")))</f>
        <v/>
      </c>
      <c r="EB413" s="403" t="str">
        <f ca="1">IF(SUM($G413:EA413)&gt;=1,"",IF(EB411=0,"",IF(SUM($G411:EB411)&gt;=1,OFFSET(EB$228,-1,0),"")))</f>
        <v/>
      </c>
      <c r="EC413" s="403" t="str">
        <f ca="1">IF(SUM($G413:EB413)&gt;=1,"",IF(EC411=0,"",IF(SUM($G411:EC411)&gt;=1,OFFSET(EC$228,-1,0),"")))</f>
        <v/>
      </c>
      <c r="ED413" s="403" t="str">
        <f ca="1">IF(SUM($G413:EC413)&gt;=1,"",IF(ED411=0,"",IF(SUM($G411:ED411)&gt;=1,OFFSET(ED$228,-1,0),"")))</f>
        <v/>
      </c>
      <c r="EE413" s="403" t="str">
        <f ca="1">IF(SUM($G413:ED413)&gt;=1,"",IF(EE411=0,"",IF(SUM($G411:EE411)&gt;=1,OFFSET(EE$228,-1,0),"")))</f>
        <v/>
      </c>
      <c r="EF413" s="403" t="str">
        <f ca="1">IF(SUM($G413:EE413)&gt;=1,"",IF(EF411=0,"",IF(SUM($G411:EF411)&gt;=1,OFFSET(EF$228,-1,0),"")))</f>
        <v/>
      </c>
      <c r="EG413" s="403" t="str">
        <f ca="1">IF(SUM($G413:EF413)&gt;=1,"",IF(EG411=0,"",IF(SUM($G411:EG411)&gt;=1,OFFSET(EG$228,-1,0),"")))</f>
        <v/>
      </c>
      <c r="EH413" s="403" t="str">
        <f ca="1">IF(SUM($G413:EG413)&gt;=1,"",IF(EH411=0,"",IF(SUM($G411:EH411)&gt;=1,OFFSET(EH$228,-1,0),"")))</f>
        <v/>
      </c>
      <c r="EI413" s="403" t="str">
        <f ca="1">IF(SUM($G413:EH413)&gt;=1,"",IF(EI411=0,"",IF(SUM($G411:EI411)&gt;=1,OFFSET(EI$228,-1,0),"")))</f>
        <v/>
      </c>
    </row>
    <row r="414" spans="1:141" hidden="1" outlineLevel="2">
      <c r="A414" s="332"/>
      <c r="D414" s="305" t="s">
        <v>671</v>
      </c>
      <c r="E414" s="1002">
        <f ca="1">IF(E411=0,"",MIN(G414:EI414))</f>
        <v>45629.8</v>
      </c>
      <c r="F414" s="1003"/>
      <c r="G414" s="403" t="str">
        <f>IF(G411=0,"",IF(G411=G$3,G413,G$5+H$5-G415-1))</f>
        <v/>
      </c>
      <c r="H414" s="403" t="str">
        <f ca="1">IF(H411=0,"",IF(H411=H$3,H413,H$5+I$5-H415-1))</f>
        <v/>
      </c>
      <c r="I414" s="403" t="str">
        <f t="shared" ref="I414:BT414" ca="1" si="697">IF(I411=0,"",IF(I411=I$3,I413,I$5+J$5-I415-1))</f>
        <v/>
      </c>
      <c r="J414" s="403" t="str">
        <f t="shared" ca="1" si="697"/>
        <v/>
      </c>
      <c r="K414" s="403" t="str">
        <f t="shared" ca="1" si="697"/>
        <v/>
      </c>
      <c r="L414" s="403" t="str">
        <f t="shared" ca="1" si="697"/>
        <v/>
      </c>
      <c r="M414" s="403" t="str">
        <f t="shared" ca="1" si="697"/>
        <v/>
      </c>
      <c r="N414" s="403" t="str">
        <f t="shared" ca="1" si="697"/>
        <v/>
      </c>
      <c r="O414" s="403" t="str">
        <f t="shared" ca="1" si="697"/>
        <v/>
      </c>
      <c r="P414" s="403" t="str">
        <f t="shared" ca="1" si="697"/>
        <v/>
      </c>
      <c r="Q414" s="403" t="str">
        <f t="shared" ca="1" si="697"/>
        <v/>
      </c>
      <c r="R414" s="403" t="str">
        <f t="shared" ca="1" si="697"/>
        <v/>
      </c>
      <c r="S414" s="403" t="str">
        <f t="shared" ca="1" si="697"/>
        <v/>
      </c>
      <c r="T414" s="403" t="str">
        <f t="shared" ca="1" si="697"/>
        <v/>
      </c>
      <c r="U414" s="403" t="str">
        <f t="shared" ca="1" si="697"/>
        <v/>
      </c>
      <c r="V414" s="403" t="str">
        <f t="shared" ca="1" si="697"/>
        <v/>
      </c>
      <c r="W414" s="403" t="str">
        <f t="shared" ca="1" si="697"/>
        <v/>
      </c>
      <c r="X414" s="403" t="str">
        <f t="shared" ca="1" si="697"/>
        <v/>
      </c>
      <c r="Y414" s="403" t="str">
        <f t="shared" ca="1" si="697"/>
        <v/>
      </c>
      <c r="Z414" s="403" t="str">
        <f t="shared" ca="1" si="697"/>
        <v/>
      </c>
      <c r="AA414" s="403" t="str">
        <f t="shared" ca="1" si="697"/>
        <v/>
      </c>
      <c r="AB414" s="403">
        <f t="shared" ca="1" si="697"/>
        <v>45629.8</v>
      </c>
      <c r="AC414" s="403" t="str">
        <f t="shared" ca="1" si="697"/>
        <v/>
      </c>
      <c r="AD414" s="403" t="str">
        <f t="shared" ca="1" si="697"/>
        <v/>
      </c>
      <c r="AE414" s="403" t="str">
        <f t="shared" ca="1" si="697"/>
        <v/>
      </c>
      <c r="AF414" s="403">
        <f t="shared" ca="1" si="697"/>
        <v>45776.2</v>
      </c>
      <c r="AG414" s="403" t="str">
        <f t="shared" ca="1" si="697"/>
        <v/>
      </c>
      <c r="AH414" s="403" t="str">
        <f t="shared" ca="1" si="697"/>
        <v/>
      </c>
      <c r="AI414" s="403" t="str">
        <f t="shared" ca="1" si="697"/>
        <v/>
      </c>
      <c r="AJ414" s="403" t="str">
        <f t="shared" ca="1" si="697"/>
        <v/>
      </c>
      <c r="AK414" s="403" t="str">
        <f t="shared" ca="1" si="697"/>
        <v/>
      </c>
      <c r="AL414" s="403" t="str">
        <f t="shared" ca="1" si="697"/>
        <v/>
      </c>
      <c r="AM414" s="403" t="str">
        <f t="shared" ca="1" si="697"/>
        <v/>
      </c>
      <c r="AN414" s="403" t="str">
        <f t="shared" ca="1" si="697"/>
        <v/>
      </c>
      <c r="AO414" s="403" t="str">
        <f t="shared" ca="1" si="697"/>
        <v/>
      </c>
      <c r="AP414" s="403" t="str">
        <f t="shared" ca="1" si="697"/>
        <v/>
      </c>
      <c r="AQ414" s="403" t="str">
        <f t="shared" ca="1" si="697"/>
        <v/>
      </c>
      <c r="AR414" s="403" t="str">
        <f t="shared" ca="1" si="697"/>
        <v/>
      </c>
      <c r="AS414" s="403" t="str">
        <f t="shared" ca="1" si="697"/>
        <v/>
      </c>
      <c r="AT414" s="403" t="str">
        <f t="shared" ca="1" si="697"/>
        <v/>
      </c>
      <c r="AU414" s="403" t="str">
        <f t="shared" ca="1" si="697"/>
        <v/>
      </c>
      <c r="AV414" s="403" t="str">
        <f t="shared" ca="1" si="697"/>
        <v/>
      </c>
      <c r="AW414" s="403" t="str">
        <f t="shared" ca="1" si="697"/>
        <v/>
      </c>
      <c r="AX414" s="403" t="str">
        <f t="shared" ca="1" si="697"/>
        <v/>
      </c>
      <c r="AY414" s="403" t="str">
        <f t="shared" ca="1" si="697"/>
        <v/>
      </c>
      <c r="AZ414" s="403" t="str">
        <f t="shared" ca="1" si="697"/>
        <v/>
      </c>
      <c r="BA414" s="403" t="str">
        <f t="shared" ca="1" si="697"/>
        <v/>
      </c>
      <c r="BB414" s="403" t="str">
        <f t="shared" ca="1" si="697"/>
        <v/>
      </c>
      <c r="BC414" s="403" t="str">
        <f t="shared" ca="1" si="697"/>
        <v/>
      </c>
      <c r="BD414" s="403" t="str">
        <f t="shared" ca="1" si="697"/>
        <v/>
      </c>
      <c r="BE414" s="403" t="str">
        <f t="shared" ca="1" si="697"/>
        <v/>
      </c>
      <c r="BF414" s="403" t="str">
        <f t="shared" ca="1" si="697"/>
        <v/>
      </c>
      <c r="BG414" s="403" t="str">
        <f t="shared" ca="1" si="697"/>
        <v/>
      </c>
      <c r="BH414" s="403" t="str">
        <f t="shared" ca="1" si="697"/>
        <v/>
      </c>
      <c r="BI414" s="403" t="str">
        <f t="shared" ca="1" si="697"/>
        <v/>
      </c>
      <c r="BJ414" s="403" t="str">
        <f t="shared" ca="1" si="697"/>
        <v/>
      </c>
      <c r="BK414" s="403" t="str">
        <f t="shared" ca="1" si="697"/>
        <v/>
      </c>
      <c r="BL414" s="403" t="str">
        <f t="shared" ca="1" si="697"/>
        <v/>
      </c>
      <c r="BM414" s="403" t="str">
        <f t="shared" ca="1" si="697"/>
        <v/>
      </c>
      <c r="BN414" s="403" t="str">
        <f t="shared" ca="1" si="697"/>
        <v/>
      </c>
      <c r="BO414" s="403" t="str">
        <f t="shared" ca="1" si="697"/>
        <v/>
      </c>
      <c r="BP414" s="403" t="str">
        <f t="shared" ca="1" si="697"/>
        <v/>
      </c>
      <c r="BQ414" s="403" t="str">
        <f t="shared" ca="1" si="697"/>
        <v/>
      </c>
      <c r="BR414" s="403" t="str">
        <f t="shared" ca="1" si="697"/>
        <v/>
      </c>
      <c r="BS414" s="403" t="str">
        <f t="shared" ca="1" si="697"/>
        <v/>
      </c>
      <c r="BT414" s="403" t="str">
        <f t="shared" ca="1" si="697"/>
        <v/>
      </c>
      <c r="BU414" s="403" t="str">
        <f t="shared" ref="BU414:EF414" ca="1" si="698">IF(BU411=0,"",IF(BU411=BU$3,BU413,BU$5+BV$5-BU415-1))</f>
        <v/>
      </c>
      <c r="BV414" s="403" t="str">
        <f t="shared" ca="1" si="698"/>
        <v/>
      </c>
      <c r="BW414" s="403" t="str">
        <f t="shared" ca="1" si="698"/>
        <v/>
      </c>
      <c r="BX414" s="403" t="str">
        <f t="shared" ca="1" si="698"/>
        <v/>
      </c>
      <c r="BY414" s="403" t="str">
        <f t="shared" ca="1" si="698"/>
        <v/>
      </c>
      <c r="BZ414" s="403" t="str">
        <f t="shared" ca="1" si="698"/>
        <v/>
      </c>
      <c r="CA414" s="403" t="str">
        <f t="shared" ca="1" si="698"/>
        <v/>
      </c>
      <c r="CB414" s="403" t="str">
        <f t="shared" ca="1" si="698"/>
        <v/>
      </c>
      <c r="CC414" s="403" t="str">
        <f t="shared" ca="1" si="698"/>
        <v/>
      </c>
      <c r="CD414" s="403" t="str">
        <f t="shared" ca="1" si="698"/>
        <v/>
      </c>
      <c r="CE414" s="403" t="str">
        <f t="shared" ca="1" si="698"/>
        <v/>
      </c>
      <c r="CF414" s="403" t="str">
        <f t="shared" ca="1" si="698"/>
        <v/>
      </c>
      <c r="CG414" s="403" t="str">
        <f t="shared" ca="1" si="698"/>
        <v/>
      </c>
      <c r="CH414" s="403" t="str">
        <f t="shared" ca="1" si="698"/>
        <v/>
      </c>
      <c r="CI414" s="403" t="str">
        <f t="shared" ca="1" si="698"/>
        <v/>
      </c>
      <c r="CJ414" s="403" t="str">
        <f t="shared" ca="1" si="698"/>
        <v/>
      </c>
      <c r="CK414" s="403" t="str">
        <f t="shared" ca="1" si="698"/>
        <v/>
      </c>
      <c r="CL414" s="403" t="str">
        <f t="shared" ca="1" si="698"/>
        <v/>
      </c>
      <c r="CM414" s="403" t="str">
        <f t="shared" ca="1" si="698"/>
        <v/>
      </c>
      <c r="CN414" s="403" t="str">
        <f t="shared" ca="1" si="698"/>
        <v/>
      </c>
      <c r="CO414" s="403" t="str">
        <f t="shared" ca="1" si="698"/>
        <v/>
      </c>
      <c r="CP414" s="403" t="str">
        <f t="shared" ca="1" si="698"/>
        <v/>
      </c>
      <c r="CQ414" s="403" t="str">
        <f t="shared" ca="1" si="698"/>
        <v/>
      </c>
      <c r="CR414" s="403" t="str">
        <f t="shared" ca="1" si="698"/>
        <v/>
      </c>
      <c r="CS414" s="403" t="str">
        <f t="shared" ca="1" si="698"/>
        <v/>
      </c>
      <c r="CT414" s="403" t="str">
        <f t="shared" ca="1" si="698"/>
        <v/>
      </c>
      <c r="CU414" s="403" t="str">
        <f t="shared" ca="1" si="698"/>
        <v/>
      </c>
      <c r="CV414" s="403" t="str">
        <f t="shared" ca="1" si="698"/>
        <v/>
      </c>
      <c r="CW414" s="403" t="str">
        <f t="shared" ca="1" si="698"/>
        <v/>
      </c>
      <c r="CX414" s="403" t="str">
        <f t="shared" ca="1" si="698"/>
        <v/>
      </c>
      <c r="CY414" s="403" t="str">
        <f t="shared" ca="1" si="698"/>
        <v/>
      </c>
      <c r="CZ414" s="403" t="str">
        <f t="shared" ca="1" si="698"/>
        <v/>
      </c>
      <c r="DA414" s="403" t="str">
        <f t="shared" ca="1" si="698"/>
        <v/>
      </c>
      <c r="DB414" s="403" t="str">
        <f t="shared" ca="1" si="698"/>
        <v/>
      </c>
      <c r="DC414" s="403" t="str">
        <f t="shared" ca="1" si="698"/>
        <v/>
      </c>
      <c r="DD414" s="403" t="str">
        <f t="shared" ca="1" si="698"/>
        <v/>
      </c>
      <c r="DE414" s="403" t="str">
        <f t="shared" ca="1" si="698"/>
        <v/>
      </c>
      <c r="DF414" s="403" t="str">
        <f t="shared" ca="1" si="698"/>
        <v/>
      </c>
      <c r="DG414" s="403" t="str">
        <f t="shared" ca="1" si="698"/>
        <v/>
      </c>
      <c r="DH414" s="403" t="str">
        <f t="shared" ca="1" si="698"/>
        <v/>
      </c>
      <c r="DI414" s="403" t="str">
        <f t="shared" ca="1" si="698"/>
        <v/>
      </c>
      <c r="DJ414" s="403" t="str">
        <f t="shared" ca="1" si="698"/>
        <v/>
      </c>
      <c r="DK414" s="403" t="str">
        <f t="shared" ca="1" si="698"/>
        <v/>
      </c>
      <c r="DL414" s="403" t="str">
        <f t="shared" ca="1" si="698"/>
        <v/>
      </c>
      <c r="DM414" s="403" t="str">
        <f t="shared" ca="1" si="698"/>
        <v/>
      </c>
      <c r="DN414" s="403" t="str">
        <f t="shared" ca="1" si="698"/>
        <v/>
      </c>
      <c r="DO414" s="403" t="str">
        <f t="shared" ca="1" si="698"/>
        <v/>
      </c>
      <c r="DP414" s="403" t="str">
        <f t="shared" ca="1" si="698"/>
        <v/>
      </c>
      <c r="DQ414" s="403" t="str">
        <f t="shared" ca="1" si="698"/>
        <v/>
      </c>
      <c r="DR414" s="403" t="str">
        <f t="shared" ca="1" si="698"/>
        <v/>
      </c>
      <c r="DS414" s="403" t="str">
        <f t="shared" ca="1" si="698"/>
        <v/>
      </c>
      <c r="DT414" s="403" t="str">
        <f t="shared" ca="1" si="698"/>
        <v/>
      </c>
      <c r="DU414" s="403" t="str">
        <f t="shared" ca="1" si="698"/>
        <v/>
      </c>
      <c r="DV414" s="403" t="str">
        <f t="shared" ca="1" si="698"/>
        <v/>
      </c>
      <c r="DW414" s="403" t="str">
        <f t="shared" ca="1" si="698"/>
        <v/>
      </c>
      <c r="DX414" s="403" t="str">
        <f t="shared" ca="1" si="698"/>
        <v/>
      </c>
      <c r="DY414" s="403" t="str">
        <f t="shared" ca="1" si="698"/>
        <v/>
      </c>
      <c r="DZ414" s="403" t="str">
        <f t="shared" ca="1" si="698"/>
        <v/>
      </c>
      <c r="EA414" s="403" t="str">
        <f t="shared" ca="1" si="698"/>
        <v/>
      </c>
      <c r="EB414" s="403" t="str">
        <f t="shared" ca="1" si="698"/>
        <v/>
      </c>
      <c r="EC414" s="403" t="str">
        <f t="shared" ca="1" si="698"/>
        <v/>
      </c>
      <c r="ED414" s="403" t="str">
        <f t="shared" ca="1" si="698"/>
        <v/>
      </c>
      <c r="EE414" s="403" t="str">
        <f t="shared" ca="1" si="698"/>
        <v/>
      </c>
      <c r="EF414" s="403" t="str">
        <f t="shared" ca="1" si="698"/>
        <v/>
      </c>
      <c r="EG414" s="403" t="str">
        <f t="shared" ref="EG414:EI414" ca="1" si="699">IF(EG411=0,"",IF(EG411=EG$3,EG413,EG$5+EH$5-EG415-1))</f>
        <v/>
      </c>
      <c r="EH414" s="403" t="str">
        <f t="shared" ca="1" si="699"/>
        <v/>
      </c>
      <c r="EI414" s="403" t="str">
        <f t="shared" ca="1" si="699"/>
        <v/>
      </c>
    </row>
    <row r="415" spans="1:141" hidden="1" outlineLevel="2">
      <c r="A415" s="332"/>
      <c r="D415" s="305" t="s">
        <v>672</v>
      </c>
      <c r="E415" s="1002">
        <f ca="1">IF(E411=0,"",MAX(G415:EI415))</f>
        <v>45748.800000000003</v>
      </c>
      <c r="F415" s="1003"/>
      <c r="G415" s="403">
        <f ca="1">IF(SUM(G411:$EI411)=0,"",IF(G$227="","",G$227+G411-1))</f>
        <v>44985</v>
      </c>
      <c r="H415" s="403">
        <f ca="1">IF(SUM(H411:$EI411)=0,"",IF(H$227="","",H$227+H411-1))</f>
        <v>45016</v>
      </c>
      <c r="I415" s="403">
        <f ca="1">IF(SUM(I411:$EI411)=0,"",IF(I$227="","",I$227+I411-1))</f>
        <v>45046</v>
      </c>
      <c r="J415" s="403">
        <f ca="1">IF(SUM(J411:$EI411)=0,"",IF(J$227="","",J$227+J411-1))</f>
        <v>45077</v>
      </c>
      <c r="K415" s="403">
        <f ca="1">IF(SUM(K411:$EI411)=0,"",IF(K$227="","",K$227+K411-1))</f>
        <v>45107</v>
      </c>
      <c r="L415" s="403">
        <f ca="1">IF(SUM(L411:$EI411)=0,"",IF(L$227="","",L$227+L411-1))</f>
        <v>45138</v>
      </c>
      <c r="M415" s="403">
        <f ca="1">IF(SUM(M411:$EI411)=0,"",IF(M$227="","",M$227+M411-1))</f>
        <v>45169</v>
      </c>
      <c r="N415" s="403">
        <f ca="1">IF(SUM(N411:$EI411)=0,"",IF(N$227="","",N$227+N411-1))</f>
        <v>45199</v>
      </c>
      <c r="O415" s="403">
        <f ca="1">IF(SUM(O411:$EI411)=0,"",IF(O$227="","",O$227+O411-1))</f>
        <v>45230</v>
      </c>
      <c r="P415" s="403">
        <f ca="1">IF(SUM(P411:$EI411)=0,"",IF(P$227="","",P$227+P411-1))</f>
        <v>45260</v>
      </c>
      <c r="Q415" s="403">
        <f ca="1">IF(SUM(Q411:$EI411)=0,"",IF(Q$227="","",Q$227+Q411-1))</f>
        <v>45291</v>
      </c>
      <c r="R415" s="403">
        <f ca="1">IF(SUM(R411:$EI411)=0,"",IF(R$227="","",R$227+R411-1))</f>
        <v>45322</v>
      </c>
      <c r="S415" s="403">
        <f ca="1">IF(SUM(S411:$EI411)=0,"",IF(S$227="","",S$227+S411-1))</f>
        <v>45351</v>
      </c>
      <c r="T415" s="403">
        <f ca="1">IF(SUM(T411:$EI411)=0,"",IF(T$227="","",T$227+T411-1))</f>
        <v>45382</v>
      </c>
      <c r="U415" s="403">
        <f ca="1">IF(SUM(U411:$EI411)=0,"",IF(U$227="","",U$227+U411-1))</f>
        <v>45412</v>
      </c>
      <c r="V415" s="403">
        <f ca="1">IF(SUM(V411:$EI411)=0,"",IF(V$227="","",V$227+V411-1))</f>
        <v>45443</v>
      </c>
      <c r="W415" s="403">
        <f ca="1">IF(SUM(W411:$EI411)=0,"",IF(W$227="","",W$227+W411-1))</f>
        <v>45473</v>
      </c>
      <c r="X415" s="403">
        <f ca="1">IF(SUM(X411:$EI411)=0,"",IF(X$227="","",X$227+X411-1))</f>
        <v>45504</v>
      </c>
      <c r="Y415" s="403">
        <f ca="1">IF(SUM(Y411:$EI411)=0,"",IF(Y$227="","",Y$227+Y411-1))</f>
        <v>45535</v>
      </c>
      <c r="Z415" s="403">
        <f ca="1">IF(SUM(Z411:$EI411)=0,"",IF(Z$227="","",Z$227+Z411-1))</f>
        <v>45565</v>
      </c>
      <c r="AA415" s="403">
        <f ca="1">IF(SUM(AA411:$EI411)=0,"",IF(AA$227="","",AA$227+AA411-1))</f>
        <v>45596</v>
      </c>
      <c r="AB415" s="403">
        <f ca="1">IF(SUM(AB411:$EI411)=0,"",IF(AB$227="","",AB$227+AB411-1))</f>
        <v>45654.2</v>
      </c>
      <c r="AC415" s="403">
        <f ca="1">IF(SUM(AC411:$EI411)=0,"",IF(AC$227="","",AC$227+AC411-1))</f>
        <v>45688</v>
      </c>
      <c r="AD415" s="403">
        <f ca="1">IF(SUM(AD411:$EI411)=0,"",IF(AD$227="","",AD$227+AD411-1))</f>
        <v>45716</v>
      </c>
      <c r="AE415" s="403">
        <f ca="1">IF(SUM(AE411:$EI411)=0,"",IF(AE$227="","",AE$227+AE411-1))</f>
        <v>45747</v>
      </c>
      <c r="AF415" s="403">
        <f ca="1">IF(SUM(AF411:$EI411)=0,"",IF(AF$227="","",AF$227+AF411-1))</f>
        <v>45748.800000000003</v>
      </c>
      <c r="AG415" s="403" t="str">
        <f ca="1">IF(SUM(AG411:$EI411)=0,"",IF(AG$227="","",AG$227+AG411-1))</f>
        <v/>
      </c>
      <c r="AH415" s="403" t="str">
        <f ca="1">IF(SUM(AH411:$EI411)=0,"",IF(AH$227="","",AH$227+AH411-1))</f>
        <v/>
      </c>
      <c r="AI415" s="403" t="str">
        <f ca="1">IF(SUM(AI411:$EI411)=0,"",IF(AI$227="","",AI$227+AI411-1))</f>
        <v/>
      </c>
      <c r="AJ415" s="403" t="str">
        <f ca="1">IF(SUM(AJ411:$EI411)=0,"",IF(AJ$227="","",AJ$227+AJ411-1))</f>
        <v/>
      </c>
      <c r="AK415" s="403" t="str">
        <f ca="1">IF(SUM(AK411:$EI411)=0,"",IF(AK$227="","",AK$227+AK411-1))</f>
        <v/>
      </c>
      <c r="AL415" s="403" t="str">
        <f ca="1">IF(SUM(AL411:$EI411)=0,"",IF(AL$227="","",AL$227+AL411-1))</f>
        <v/>
      </c>
      <c r="AM415" s="403" t="str">
        <f ca="1">IF(SUM(AM411:$EI411)=0,"",IF(AM$227="","",AM$227+AM411-1))</f>
        <v/>
      </c>
      <c r="AN415" s="403" t="str">
        <f ca="1">IF(SUM(AN411:$EI411)=0,"",IF(AN$227="","",AN$227+AN411-1))</f>
        <v/>
      </c>
      <c r="AO415" s="403" t="str">
        <f ca="1">IF(SUM(AO411:$EI411)=0,"",IF(AO$227="","",AO$227+AO411-1))</f>
        <v/>
      </c>
      <c r="AP415" s="403" t="str">
        <f ca="1">IF(SUM(AP411:$EI411)=0,"",IF(AP$227="","",AP$227+AP411-1))</f>
        <v/>
      </c>
      <c r="AQ415" s="403" t="str">
        <f ca="1">IF(SUM(AQ411:$EI411)=0,"",IF(AQ$227="","",AQ$227+AQ411-1))</f>
        <v/>
      </c>
      <c r="AR415" s="403" t="str">
        <f ca="1">IF(SUM(AR411:$EI411)=0,"",IF(AR$227="","",AR$227+AR411-1))</f>
        <v/>
      </c>
      <c r="AS415" s="403" t="str">
        <f ca="1">IF(SUM(AS411:$EI411)=0,"",IF(AS$227="","",AS$227+AS411-1))</f>
        <v/>
      </c>
      <c r="AT415" s="403" t="str">
        <f ca="1">IF(SUM(AT411:$EI411)=0,"",IF(AT$227="","",AT$227+AT411-1))</f>
        <v/>
      </c>
      <c r="AU415" s="403" t="str">
        <f ca="1">IF(SUM(AU411:$EI411)=0,"",IF(AU$227="","",AU$227+AU411-1))</f>
        <v/>
      </c>
      <c r="AV415" s="403" t="str">
        <f ca="1">IF(SUM(AV411:$EI411)=0,"",IF(AV$227="","",AV$227+AV411-1))</f>
        <v/>
      </c>
      <c r="AW415" s="403" t="str">
        <f ca="1">IF(SUM(AW411:$EI411)=0,"",IF(AW$227="","",AW$227+AW411-1))</f>
        <v/>
      </c>
      <c r="AX415" s="403" t="str">
        <f ca="1">IF(SUM(AX411:$EI411)=0,"",IF(AX$227="","",AX$227+AX411-1))</f>
        <v/>
      </c>
      <c r="AY415" s="403" t="str">
        <f ca="1">IF(SUM(AY411:$EI411)=0,"",IF(AY$227="","",AY$227+AY411-1))</f>
        <v/>
      </c>
      <c r="AZ415" s="403" t="str">
        <f ca="1">IF(SUM(AZ411:$EI411)=0,"",IF(AZ$227="","",AZ$227+AZ411-1))</f>
        <v/>
      </c>
      <c r="BA415" s="403" t="str">
        <f ca="1">IF(SUM(BA411:$EI411)=0,"",IF(BA$227="","",BA$227+BA411-1))</f>
        <v/>
      </c>
      <c r="BB415" s="403" t="str">
        <f ca="1">IF(SUM(BB411:$EI411)=0,"",IF(BB$227="","",BB$227+BB411-1))</f>
        <v/>
      </c>
      <c r="BC415" s="403" t="str">
        <f ca="1">IF(SUM(BC411:$EI411)=0,"",IF(BC$227="","",BC$227+BC411-1))</f>
        <v/>
      </c>
      <c r="BD415" s="403" t="str">
        <f ca="1">IF(SUM(BD411:$EI411)=0,"",IF(BD$227="","",BD$227+BD411-1))</f>
        <v/>
      </c>
      <c r="BE415" s="403" t="str">
        <f ca="1">IF(SUM(BE411:$EI411)=0,"",IF(BE$227="","",BE$227+BE411-1))</f>
        <v/>
      </c>
      <c r="BF415" s="403" t="str">
        <f ca="1">IF(SUM(BF411:$EI411)=0,"",IF(BF$227="","",BF$227+BF411-1))</f>
        <v/>
      </c>
      <c r="BG415" s="403" t="str">
        <f ca="1">IF(SUM(BG411:$EI411)=0,"",IF(BG$227="","",BG$227+BG411-1))</f>
        <v/>
      </c>
      <c r="BH415" s="403" t="str">
        <f ca="1">IF(SUM(BH411:$EI411)=0,"",IF(BH$227="","",BH$227+BH411-1))</f>
        <v/>
      </c>
      <c r="BI415" s="403" t="str">
        <f ca="1">IF(SUM(BI411:$EI411)=0,"",IF(BI$227="","",BI$227+BI411-1))</f>
        <v/>
      </c>
      <c r="BJ415" s="403" t="str">
        <f ca="1">IF(SUM(BJ411:$EI411)=0,"",IF(BJ$227="","",BJ$227+BJ411-1))</f>
        <v/>
      </c>
      <c r="BK415" s="403" t="str">
        <f ca="1">IF(SUM(BK411:$EI411)=0,"",IF(BK$227="","",BK$227+BK411-1))</f>
        <v/>
      </c>
      <c r="BL415" s="403" t="str">
        <f ca="1">IF(SUM(BL411:$EI411)=0,"",IF(BL$227="","",BL$227+BL411-1))</f>
        <v/>
      </c>
      <c r="BM415" s="403" t="str">
        <f ca="1">IF(SUM(BM411:$EI411)=0,"",IF(BM$227="","",BM$227+BM411-1))</f>
        <v/>
      </c>
      <c r="BN415" s="403" t="str">
        <f ca="1">IF(SUM(BN411:$EI411)=0,"",IF(BN$227="","",BN$227+BN411-1))</f>
        <v/>
      </c>
      <c r="BO415" s="403" t="str">
        <f ca="1">IF(SUM(BO411:$EI411)=0,"",IF(BO$227="","",BO$227+BO411-1))</f>
        <v/>
      </c>
      <c r="BP415" s="403" t="str">
        <f ca="1">IF(SUM(BP411:$EI411)=0,"",IF(BP$227="","",BP$227+BP411-1))</f>
        <v/>
      </c>
      <c r="BQ415" s="403" t="str">
        <f ca="1">IF(SUM(BQ411:$EI411)=0,"",IF(BQ$227="","",BQ$227+BQ411-1))</f>
        <v/>
      </c>
      <c r="BR415" s="403" t="str">
        <f ca="1">IF(SUM(BR411:$EI411)=0,"",IF(BR$227="","",BR$227+BR411-1))</f>
        <v/>
      </c>
      <c r="BS415" s="403" t="str">
        <f ca="1">IF(SUM(BS411:$EI411)=0,"",IF(BS$227="","",BS$227+BS411-1))</f>
        <v/>
      </c>
      <c r="BT415" s="403" t="str">
        <f ca="1">IF(SUM(BT411:$EI411)=0,"",IF(BT$227="","",BT$227+BT411-1))</f>
        <v/>
      </c>
      <c r="BU415" s="403" t="str">
        <f ca="1">IF(SUM(BU411:$EI411)=0,"",IF(BU$227="","",BU$227+BU411-1))</f>
        <v/>
      </c>
      <c r="BV415" s="403" t="str">
        <f ca="1">IF(SUM(BV411:$EI411)=0,"",IF(BV$227="","",BV$227+BV411-1))</f>
        <v/>
      </c>
      <c r="BW415" s="403" t="str">
        <f ca="1">IF(SUM(BW411:$EI411)=0,"",IF(BW$227="","",BW$227+BW411-1))</f>
        <v/>
      </c>
      <c r="BX415" s="403" t="str">
        <f ca="1">IF(SUM(BX411:$EI411)=0,"",IF(BX$227="","",BX$227+BX411-1))</f>
        <v/>
      </c>
      <c r="BY415" s="403" t="str">
        <f ca="1">IF(SUM(BY411:$EI411)=0,"",IF(BY$227="","",BY$227+BY411-1))</f>
        <v/>
      </c>
      <c r="BZ415" s="403" t="str">
        <f ca="1">IF(SUM(BZ411:$EI411)=0,"",IF(BZ$227="","",BZ$227+BZ411-1))</f>
        <v/>
      </c>
      <c r="CA415" s="403" t="str">
        <f ca="1">IF(SUM(CA411:$EI411)=0,"",IF(CA$227="","",CA$227+CA411-1))</f>
        <v/>
      </c>
      <c r="CB415" s="403" t="str">
        <f ca="1">IF(SUM(CB411:$EI411)=0,"",IF(CB$227="","",CB$227+CB411-1))</f>
        <v/>
      </c>
      <c r="CC415" s="403" t="str">
        <f ca="1">IF(SUM(CC411:$EI411)=0,"",IF(CC$227="","",CC$227+CC411-1))</f>
        <v/>
      </c>
      <c r="CD415" s="403" t="str">
        <f ca="1">IF(SUM(CD411:$EI411)=0,"",IF(CD$227="","",CD$227+CD411-1))</f>
        <v/>
      </c>
      <c r="CE415" s="403" t="str">
        <f ca="1">IF(SUM(CE411:$EI411)=0,"",IF(CE$227="","",CE$227+CE411-1))</f>
        <v/>
      </c>
      <c r="CF415" s="403" t="str">
        <f ca="1">IF(SUM(CF411:$EI411)=0,"",IF(CF$227="","",CF$227+CF411-1))</f>
        <v/>
      </c>
      <c r="CG415" s="403" t="str">
        <f ca="1">IF(SUM(CG411:$EI411)=0,"",IF(CG$227="","",CG$227+CG411-1))</f>
        <v/>
      </c>
      <c r="CH415" s="403" t="str">
        <f ca="1">IF(SUM(CH411:$EI411)=0,"",IF(CH$227="","",CH$227+CH411-1))</f>
        <v/>
      </c>
      <c r="CI415" s="403" t="str">
        <f ca="1">IF(SUM(CI411:$EI411)=0,"",IF(CI$227="","",CI$227+CI411-1))</f>
        <v/>
      </c>
      <c r="CJ415" s="403" t="str">
        <f ca="1">IF(SUM(CJ411:$EI411)=0,"",IF(CJ$227="","",CJ$227+CJ411-1))</f>
        <v/>
      </c>
      <c r="CK415" s="403" t="str">
        <f ca="1">IF(SUM(CK411:$EI411)=0,"",IF(CK$227="","",CK$227+CK411-1))</f>
        <v/>
      </c>
      <c r="CL415" s="403" t="str">
        <f ca="1">IF(SUM(CL411:$EI411)=0,"",IF(CL$227="","",CL$227+CL411-1))</f>
        <v/>
      </c>
      <c r="CM415" s="403" t="str">
        <f ca="1">IF(SUM(CM411:$EI411)=0,"",IF(CM$227="","",CM$227+CM411-1))</f>
        <v/>
      </c>
      <c r="CN415" s="403" t="str">
        <f ca="1">IF(SUM(CN411:$EI411)=0,"",IF(CN$227="","",CN$227+CN411-1))</f>
        <v/>
      </c>
      <c r="CO415" s="403" t="str">
        <f ca="1">IF(SUM(CO411:$EI411)=0,"",IF(CO$227="","",CO$227+CO411-1))</f>
        <v/>
      </c>
      <c r="CP415" s="403" t="str">
        <f ca="1">IF(SUM(CP411:$EI411)=0,"",IF(CP$227="","",CP$227+CP411-1))</f>
        <v/>
      </c>
      <c r="CQ415" s="403" t="str">
        <f ca="1">IF(SUM(CQ411:$EI411)=0,"",IF(CQ$227="","",CQ$227+CQ411-1))</f>
        <v/>
      </c>
      <c r="CR415" s="403" t="str">
        <f ca="1">IF(SUM(CR411:$EI411)=0,"",IF(CR$227="","",CR$227+CR411-1))</f>
        <v/>
      </c>
      <c r="CS415" s="403" t="str">
        <f ca="1">IF(SUM(CS411:$EI411)=0,"",IF(CS$227="","",CS$227+CS411-1))</f>
        <v/>
      </c>
      <c r="CT415" s="403" t="str">
        <f ca="1">IF(SUM(CT411:$EI411)=0,"",IF(CT$227="","",CT$227+CT411-1))</f>
        <v/>
      </c>
      <c r="CU415" s="403" t="str">
        <f ca="1">IF(SUM(CU411:$EI411)=0,"",IF(CU$227="","",CU$227+CU411-1))</f>
        <v/>
      </c>
      <c r="CV415" s="403" t="str">
        <f ca="1">IF(SUM(CV411:$EI411)=0,"",IF(CV$227="","",CV$227+CV411-1))</f>
        <v/>
      </c>
      <c r="CW415" s="403" t="str">
        <f ca="1">IF(SUM(CW411:$EI411)=0,"",IF(CW$227="","",CW$227+CW411-1))</f>
        <v/>
      </c>
      <c r="CX415" s="403" t="str">
        <f ca="1">IF(SUM(CX411:$EI411)=0,"",IF(CX$227="","",CX$227+CX411-1))</f>
        <v/>
      </c>
      <c r="CY415" s="403" t="str">
        <f ca="1">IF(SUM(CY411:$EI411)=0,"",IF(CY$227="","",CY$227+CY411-1))</f>
        <v/>
      </c>
      <c r="CZ415" s="403" t="str">
        <f ca="1">IF(SUM(CZ411:$EI411)=0,"",IF(CZ$227="","",CZ$227+CZ411-1))</f>
        <v/>
      </c>
      <c r="DA415" s="403" t="str">
        <f ca="1">IF(SUM(DA411:$EI411)=0,"",IF(DA$227="","",DA$227+DA411-1))</f>
        <v/>
      </c>
      <c r="DB415" s="403" t="str">
        <f ca="1">IF(SUM(DB411:$EI411)=0,"",IF(DB$227="","",DB$227+DB411-1))</f>
        <v/>
      </c>
      <c r="DC415" s="403" t="str">
        <f ca="1">IF(SUM(DC411:$EI411)=0,"",IF(DC$227="","",DC$227+DC411-1))</f>
        <v/>
      </c>
      <c r="DD415" s="403" t="str">
        <f ca="1">IF(SUM(DD411:$EI411)=0,"",IF(DD$227="","",DD$227+DD411-1))</f>
        <v/>
      </c>
      <c r="DE415" s="403" t="str">
        <f ca="1">IF(SUM(DE411:$EI411)=0,"",IF(DE$227="","",DE$227+DE411-1))</f>
        <v/>
      </c>
      <c r="DF415" s="403" t="str">
        <f ca="1">IF(SUM(DF411:$EI411)=0,"",IF(DF$227="","",DF$227+DF411-1))</f>
        <v/>
      </c>
      <c r="DG415" s="403" t="str">
        <f ca="1">IF(SUM(DG411:$EI411)=0,"",IF(DG$227="","",DG$227+DG411-1))</f>
        <v/>
      </c>
      <c r="DH415" s="403" t="str">
        <f ca="1">IF(SUM(DH411:$EI411)=0,"",IF(DH$227="","",DH$227+DH411-1))</f>
        <v/>
      </c>
      <c r="DI415" s="403" t="str">
        <f ca="1">IF(SUM(DI411:$EI411)=0,"",IF(DI$227="","",DI$227+DI411-1))</f>
        <v/>
      </c>
      <c r="DJ415" s="403" t="str">
        <f ca="1">IF(SUM(DJ411:$EI411)=0,"",IF(DJ$227="","",DJ$227+DJ411-1))</f>
        <v/>
      </c>
      <c r="DK415" s="403" t="str">
        <f ca="1">IF(SUM(DK411:$EI411)=0,"",IF(DK$227="","",DK$227+DK411-1))</f>
        <v/>
      </c>
      <c r="DL415" s="403" t="str">
        <f ca="1">IF(SUM(DL411:$EI411)=0,"",IF(DL$227="","",DL$227+DL411-1))</f>
        <v/>
      </c>
      <c r="DM415" s="403" t="str">
        <f ca="1">IF(SUM(DM411:$EI411)=0,"",IF(DM$227="","",DM$227+DM411-1))</f>
        <v/>
      </c>
      <c r="DN415" s="403" t="str">
        <f ca="1">IF(SUM(DN411:$EI411)=0,"",IF(DN$227="","",DN$227+DN411-1))</f>
        <v/>
      </c>
      <c r="DO415" s="403" t="str">
        <f ca="1">IF(SUM(DO411:$EI411)=0,"",IF(DO$227="","",DO$227+DO411-1))</f>
        <v/>
      </c>
      <c r="DP415" s="403" t="str">
        <f ca="1">IF(SUM(DP411:$EI411)=0,"",IF(DP$227="","",DP$227+DP411-1))</f>
        <v/>
      </c>
      <c r="DQ415" s="403" t="str">
        <f ca="1">IF(SUM(DQ411:$EI411)=0,"",IF(DQ$227="","",DQ$227+DQ411-1))</f>
        <v/>
      </c>
      <c r="DR415" s="403" t="str">
        <f ca="1">IF(SUM(DR411:$EI411)=0,"",IF(DR$227="","",DR$227+DR411-1))</f>
        <v/>
      </c>
      <c r="DS415" s="403" t="str">
        <f ca="1">IF(SUM(DS411:$EI411)=0,"",IF(DS$227="","",DS$227+DS411-1))</f>
        <v/>
      </c>
      <c r="DT415" s="403" t="str">
        <f ca="1">IF(SUM(DT411:$EI411)=0,"",IF(DT$227="","",DT$227+DT411-1))</f>
        <v/>
      </c>
      <c r="DU415" s="403" t="str">
        <f ca="1">IF(SUM(DU411:$EI411)=0,"",IF(DU$227="","",DU$227+DU411-1))</f>
        <v/>
      </c>
      <c r="DV415" s="403" t="str">
        <f ca="1">IF(SUM(DV411:$EI411)=0,"",IF(DV$227="","",DV$227+DV411-1))</f>
        <v/>
      </c>
      <c r="DW415" s="403" t="str">
        <f ca="1">IF(SUM(DW411:$EI411)=0,"",IF(DW$227="","",DW$227+DW411-1))</f>
        <v/>
      </c>
      <c r="DX415" s="403" t="str">
        <f ca="1">IF(SUM(DX411:$EI411)=0,"",IF(DX$227="","",DX$227+DX411-1))</f>
        <v/>
      </c>
      <c r="DY415" s="403" t="str">
        <f ca="1">IF(SUM(DY411:$EI411)=0,"",IF(DY$227="","",DY$227+DY411-1))</f>
        <v/>
      </c>
      <c r="DZ415" s="403" t="str">
        <f ca="1">IF(SUM(DZ411:$EI411)=0,"",IF(DZ$227="","",DZ$227+DZ411-1))</f>
        <v/>
      </c>
      <c r="EA415" s="403" t="str">
        <f ca="1">IF(SUM(EA411:$EI411)=0,"",IF(EA$227="","",EA$227+EA411-1))</f>
        <v/>
      </c>
      <c r="EB415" s="403" t="str">
        <f ca="1">IF(SUM(EB411:$EI411)=0,"",IF(EB$227="","",EB$227+EB411-1))</f>
        <v/>
      </c>
      <c r="EC415" s="403" t="str">
        <f ca="1">IF(SUM(EC411:$EI411)=0,"",IF(EC$227="","",EC$227+EC411-1))</f>
        <v/>
      </c>
      <c r="ED415" s="403" t="str">
        <f ca="1">IF(SUM(ED411:$EI411)=0,"",IF(ED$227="","",ED$227+ED411-1))</f>
        <v/>
      </c>
      <c r="EE415" s="403" t="str">
        <f ca="1">IF(SUM(EE411:$EI411)=0,"",IF(EE$227="","",EE$227+EE411-1))</f>
        <v/>
      </c>
      <c r="EF415" s="403" t="str">
        <f ca="1">IF(SUM(EF411:$EI411)=0,"",IF(EF$227="","",EF$227+EF411-1))</f>
        <v/>
      </c>
      <c r="EG415" s="403" t="str">
        <f ca="1">IF(SUM(EG411:$EI411)=0,"",IF(EG$227="","",EG$227+EG411-1))</f>
        <v/>
      </c>
      <c r="EH415" s="403" t="str">
        <f ca="1">IF(SUM(EH411:$EI411)=0,"",IF(EH$227="","",EH$227+EH411-1))</f>
        <v/>
      </c>
      <c r="EI415" s="403" t="str">
        <f ca="1">IF(SUM(EI411:$EI411)=0,"",IF(EI$227="","",EI$227+EI411-1))</f>
        <v/>
      </c>
    </row>
    <row r="416" spans="1:141" outlineLevel="1" collapsed="1">
      <c r="A416" s="332"/>
      <c r="B416" s="313"/>
      <c r="C416" s="305" t="s">
        <v>555</v>
      </c>
      <c r="D416" s="319" t="s">
        <v>197</v>
      </c>
      <c r="E416" s="400">
        <f ca="1">IF(ГРП!B9=0,длительность!K158,ГРП!B9)</f>
        <v>80</v>
      </c>
      <c r="F416" s="318">
        <f ca="1">E416-SUM(G416:EJ416)</f>
        <v>0</v>
      </c>
      <c r="G416" s="401"/>
      <c r="H416" s="401">
        <f ca="1">IF(SUM($G416:G416)&gt;=$E416,0,IF($E416-SUM($G416:G416)&gt;H417,H417,$E416-SUM($G417:G417)))</f>
        <v>0</v>
      </c>
      <c r="I416" s="401">
        <f ca="1">IF(SUM($G416:H416)&gt;=$E416,0,IF($E416-SUM($G416:H416)&gt;I417,I417,$E416-SUM($G417:H417)))</f>
        <v>0</v>
      </c>
      <c r="J416" s="401">
        <f ca="1">IF(SUM($G416:I416)&gt;=$E416,0,IF($E416-SUM($G416:I416)&gt;J417,J417,$E416-SUM($G417:I417)))</f>
        <v>0</v>
      </c>
      <c r="K416" s="401">
        <f ca="1">IF(SUM($G416:J416)&gt;=$E416,0,IF($E416-SUM($G416:J416)&gt;K417,K417,$E416-SUM($G417:J417)))</f>
        <v>0</v>
      </c>
      <c r="L416" s="401">
        <f ca="1">IF(SUM($G416:K416)&gt;=$E416,0,IF($E416-SUM($G416:K416)&gt;L417,L417,$E416-SUM($G417:K417)))</f>
        <v>0</v>
      </c>
      <c r="M416" s="401">
        <f ca="1">IF(SUM($G416:L416)&gt;=$E416,0,IF($E416-SUM($G416:L416)&gt;M417,M417,$E416-SUM($G417:L417)))</f>
        <v>0</v>
      </c>
      <c r="N416" s="401">
        <f ca="1">IF(SUM($G416:M416)&gt;=$E416,0,IF($E416-SUM($G416:M416)&gt;N417,N417,$E416-SUM($G417:M417)))</f>
        <v>0</v>
      </c>
      <c r="O416" s="401">
        <f ca="1">IF(SUM($G416:N416)&gt;=$E416,0,IF($E416-SUM($G416:N416)&gt;O417,O417,$E416-SUM($G417:N417)))</f>
        <v>0</v>
      </c>
      <c r="P416" s="401">
        <f ca="1">IF(SUM($G416:O416)&gt;=$E416,0,IF($E416-SUM($G416:O416)&gt;P417,P417,$E416-SUM($G417:O417)))</f>
        <v>0</v>
      </c>
      <c r="Q416" s="401">
        <f ca="1">IF(SUM($G416:P416)&gt;=$E416,0,IF($E416-SUM($G416:P416)&gt;Q417,Q417,$E416-SUM($G417:P417)))</f>
        <v>0</v>
      </c>
      <c r="R416" s="401">
        <f ca="1">IF(SUM($G416:Q416)&gt;=$E416,0,IF($E416-SUM($G416:Q416)&gt;R417,R417,$E416-SUM($G417:Q417)))</f>
        <v>0</v>
      </c>
      <c r="S416" s="401">
        <f ca="1">IF(SUM($G416:R416)&gt;=$E416,0,IF($E416-SUM($G416:R416)&gt;S417,S417,$E416-SUM($G417:R417)))</f>
        <v>0</v>
      </c>
      <c r="T416" s="401">
        <f ca="1">IF(SUM($G416:S416)&gt;=$E416,0,IF($E416-SUM($G416:S416)&gt;T417,T417,$E416-SUM($G417:S417)))</f>
        <v>0</v>
      </c>
      <c r="U416" s="401">
        <f ca="1">IF(SUM($G416:T416)&gt;=$E416,0,IF($E416-SUM($G416:T416)&gt;U417,U417,$E416-SUM($G417:T417)))</f>
        <v>0</v>
      </c>
      <c r="V416" s="401">
        <f ca="1">IF(SUM($G416:U416)&gt;=$E416,0,IF($E416-SUM($G416:U416)&gt;V417,V417,$E416-SUM($G417:U417)))</f>
        <v>0</v>
      </c>
      <c r="W416" s="401">
        <f ca="1">IF(SUM($G416:V416)&gt;=$E416,0,IF($E416-SUM($G416:V416)&gt;W417,W417,$E416-SUM($G417:V417)))</f>
        <v>0</v>
      </c>
      <c r="X416" s="401">
        <f ca="1">IF(SUM($G416:W416)&gt;=$E416,0,IF($E416-SUM($G416:W416)&gt;X417,X417,$E416-SUM($G417:W417)))</f>
        <v>0</v>
      </c>
      <c r="Y416" s="401">
        <f ca="1">IF(SUM($G416:X416)&gt;=$E416,0,IF($E416-SUM($G416:X416)&gt;Y417,Y417,$E416-SUM($G417:X417)))</f>
        <v>0</v>
      </c>
      <c r="Z416" s="401">
        <f ca="1">IF(SUM($G416:Y416)&gt;=$E416,0,IF($E416-SUM($G416:Y416)&gt;Z417,Z417,$E416-SUM($G417:Y417)))</f>
        <v>0</v>
      </c>
      <c r="AA416" s="401">
        <f ca="1">IF(SUM($G416:Z416)&gt;=$E416,0,IF($E416-SUM($G416:Z416)&gt;AA417,AA417,$E416-SUM($G417:Z417)))</f>
        <v>0</v>
      </c>
      <c r="AB416" s="401">
        <f ca="1">IF(SUM($G416:AA416)&gt;=$E416,0,IF($E416-SUM($G416:AA416)&gt;AB417,AB417,$E416-SUM($G417:AA417)))</f>
        <v>28.199999999999989</v>
      </c>
      <c r="AC416" s="401">
        <f ca="1">IF(SUM($G416:AB416)&gt;=$E416,0,IF($E416-SUM($G416:AB416)&gt;AC417,AC417,$E416-SUM($G417:AB417)))</f>
        <v>31</v>
      </c>
      <c r="AD416" s="401">
        <f ca="1">IF(SUM($G416:AC416)&gt;=$E416,0,IF($E416-SUM($G416:AC416)&gt;AD417,AD417,$E416-SUM($G417:AC417)))</f>
        <v>20.800000000000011</v>
      </c>
      <c r="AE416" s="401">
        <f ca="1">IF(SUM($G416:AD416)&gt;=$E416,0,IF($E416-SUM($G416:AD416)&gt;AE417,AE417,$E416-SUM($G417:AD417)))</f>
        <v>0</v>
      </c>
      <c r="AF416" s="401">
        <f ca="1">IF(SUM($G416:AE416)&gt;=$E416,0,IF($E416-SUM($G416:AE416)&gt;AF417,AF417,$E416-SUM($G417:AE417)))</f>
        <v>0</v>
      </c>
      <c r="AG416" s="401">
        <f ca="1">IF(SUM($G416:AF416)&gt;=$E416,0,IF($E416-SUM($G416:AF416)&gt;AG417,AG417,$E416-SUM($G417:AF417)))</f>
        <v>0</v>
      </c>
      <c r="AH416" s="401">
        <f ca="1">IF(SUM($G416:AG416)&gt;=$E416,0,IF($E416-SUM($G416:AG416)&gt;AH417,AH417,$E416-SUM($G417:AG417)))</f>
        <v>0</v>
      </c>
      <c r="AI416" s="401">
        <f ca="1">IF(SUM($G416:AH416)&gt;=$E416,0,IF($E416-SUM($G416:AH416)&gt;AI417,AI417,$E416-SUM($G417:AH417)))</f>
        <v>0</v>
      </c>
      <c r="AJ416" s="401">
        <f ca="1">IF(SUM($G416:AI416)&gt;=$E416,0,IF($E416-SUM($G416:AI416)&gt;AJ417,AJ417,$E416-SUM($G417:AI417)))</f>
        <v>0</v>
      </c>
      <c r="AK416" s="401">
        <f ca="1">IF(SUM($G416:AJ416)&gt;=$E416,0,IF($E416-SUM($G416:AJ416)&gt;AK417,AK417,$E416-SUM($G417:AJ417)))</f>
        <v>0</v>
      </c>
      <c r="AL416" s="401">
        <f ca="1">IF(SUM($G416:AK416)&gt;=$E416,0,IF($E416-SUM($G416:AK416)&gt;AL417,AL417,$E416-SUM($G417:AK417)))</f>
        <v>0</v>
      </c>
      <c r="AM416" s="401">
        <f ca="1">IF(SUM($G416:AL416)&gt;=$E416,0,IF($E416-SUM($G416:AL416)&gt;AM417,AM417,$E416-SUM($G417:AL417)))</f>
        <v>0</v>
      </c>
      <c r="AN416" s="401">
        <f ca="1">IF(SUM($G416:AM416)&gt;=$E416,0,IF($E416-SUM($G416:AM416)&gt;AN417,AN417,$E416-SUM($G417:AM417)))</f>
        <v>0</v>
      </c>
      <c r="AO416" s="401">
        <f ca="1">IF(SUM($G416:AN416)&gt;=$E416,0,IF($E416-SUM($G416:AN416)&gt;AO417,AO417,$E416-SUM($G417:AN417)))</f>
        <v>0</v>
      </c>
      <c r="AP416" s="401">
        <f ca="1">IF(SUM($G416:AO416)&gt;=$E416,0,IF($E416-SUM($G416:AO416)&gt;AP417,AP417,$E416-SUM($G417:AO417)))</f>
        <v>0</v>
      </c>
      <c r="AQ416" s="401">
        <f ca="1">IF(SUM($G416:AP416)&gt;=$E416,0,IF($E416-SUM($G416:AP416)&gt;AQ417,AQ417,$E416-SUM($G417:AP417)))</f>
        <v>0</v>
      </c>
      <c r="AR416" s="401">
        <f ca="1">IF(SUM($G416:AQ416)&gt;=$E416,0,IF($E416-SUM($G416:AQ416)&gt;AR417,AR417,$E416-SUM($G417:AQ417)))</f>
        <v>0</v>
      </c>
      <c r="AS416" s="401">
        <f ca="1">IF(SUM($G416:AR416)&gt;=$E416,0,IF($E416-SUM($G416:AR416)&gt;AS417,AS417,$E416-SUM($G417:AR417)))</f>
        <v>0</v>
      </c>
      <c r="AT416" s="401">
        <f ca="1">IF(SUM($G416:AS416)&gt;=$E416,0,IF($E416-SUM($G416:AS416)&gt;AT417,AT417,$E416-SUM($G417:AS417)))</f>
        <v>0</v>
      </c>
      <c r="AU416" s="401">
        <f ca="1">IF(SUM($G416:AT416)&gt;=$E416,0,IF($E416-SUM($G416:AT416)&gt;AU417,AU417,$E416-SUM($G417:AT417)))</f>
        <v>0</v>
      </c>
      <c r="AV416" s="401">
        <f ca="1">IF(SUM($G416:AU416)&gt;=$E416,0,IF($E416-SUM($G416:AU416)&gt;AV417,AV417,$E416-SUM($G417:AU417)))</f>
        <v>0</v>
      </c>
      <c r="AW416" s="401">
        <f ca="1">IF(SUM($G416:AV416)&gt;=$E416,0,IF($E416-SUM($G416:AV416)&gt;AW417,AW417,$E416-SUM($G417:AV417)))</f>
        <v>0</v>
      </c>
      <c r="AX416" s="401">
        <f ca="1">IF(SUM($G416:AW416)&gt;=$E416,0,IF($E416-SUM($G416:AW416)&gt;AX417,AX417,$E416-SUM($G417:AW417)))</f>
        <v>0</v>
      </c>
      <c r="AY416" s="401">
        <f ca="1">IF(SUM($G416:AX416)&gt;=$E416,0,IF($E416-SUM($G416:AX416)&gt;AY417,AY417,$E416-SUM($G417:AX417)))</f>
        <v>0</v>
      </c>
      <c r="AZ416" s="401">
        <f ca="1">IF(SUM($G416:AY416)&gt;=$E416,0,IF($E416-SUM($G416:AY416)&gt;AZ417,AZ417,$E416-SUM($G417:AY417)))</f>
        <v>0</v>
      </c>
      <c r="BA416" s="401">
        <f ca="1">IF(SUM($G416:AZ416)&gt;=$E416,0,IF($E416-SUM($G416:AZ416)&gt;BA417,BA417,$E416-SUM($G417:AZ417)))</f>
        <v>0</v>
      </c>
      <c r="BB416" s="401">
        <f ca="1">IF(SUM($G416:BA416)&gt;=$E416,0,IF($E416-SUM($G416:BA416)&gt;BB417,BB417,$E416-SUM($G417:BA417)))</f>
        <v>0</v>
      </c>
      <c r="BC416" s="401">
        <f ca="1">IF(SUM($G416:BB416)&gt;=$E416,0,IF($E416-SUM($G416:BB416)&gt;BC417,BC417,$E416-SUM($G417:BB417)))</f>
        <v>0</v>
      </c>
      <c r="BD416" s="401">
        <f ca="1">IF(SUM($G416:BC416)&gt;=$E416,0,IF($E416-SUM($G416:BC416)&gt;BD417,BD417,$E416-SUM($G417:BC417)))</f>
        <v>0</v>
      </c>
      <c r="BE416" s="401">
        <f ca="1">IF(SUM($G416:BD416)&gt;=$E416,0,IF($E416-SUM($G416:BD416)&gt;BE417,BE417,$E416-SUM($G417:BD417)))</f>
        <v>0</v>
      </c>
      <c r="BF416" s="401">
        <f ca="1">IF(SUM($G416:BE416)&gt;=$E416,0,IF($E416-SUM($G416:BE416)&gt;BF417,BF417,$E416-SUM($G417:BE417)))</f>
        <v>0</v>
      </c>
      <c r="BG416" s="401">
        <f ca="1">IF(SUM($G416:BF416)&gt;=$E416,0,IF($E416-SUM($G416:BF416)&gt;BG417,BG417,$E416-SUM($G417:BF417)))</f>
        <v>0</v>
      </c>
      <c r="BH416" s="401">
        <f ca="1">IF(SUM($G416:BG416)&gt;=$E416,0,IF($E416-SUM($G416:BG416)&gt;BH417,BH417,$E416-SUM($G417:BG417)))</f>
        <v>0</v>
      </c>
      <c r="BI416" s="401">
        <f ca="1">IF(SUM($G416:BH416)&gt;=$E416,0,IF($E416-SUM($G416:BH416)&gt;BI417,BI417,$E416-SUM($G417:BH417)))</f>
        <v>0</v>
      </c>
      <c r="BJ416" s="401">
        <f ca="1">IF(SUM($G416:BI416)&gt;=$E416,0,IF($E416-SUM($G416:BI416)&gt;BJ417,BJ417,$E416-SUM($G417:BI417)))</f>
        <v>0</v>
      </c>
      <c r="BK416" s="401">
        <f ca="1">IF(SUM($G416:BJ416)&gt;=$E416,0,IF($E416-SUM($G416:BJ416)&gt;BK417,BK417,$E416-SUM($G417:BJ417)))</f>
        <v>0</v>
      </c>
      <c r="BL416" s="401">
        <f ca="1">IF(SUM($G416:BK416)&gt;=$E416,0,IF($E416-SUM($G416:BK416)&gt;BL417,BL417,$E416-SUM($G417:BK417)))</f>
        <v>0</v>
      </c>
      <c r="BM416" s="401">
        <f ca="1">IF(SUM($G416:BL416)&gt;=$E416,0,IF($E416-SUM($G416:BL416)&gt;BM417,BM417,$E416-SUM($G417:BL417)))</f>
        <v>0</v>
      </c>
      <c r="BN416" s="401">
        <f ca="1">IF(SUM($G416:BM416)&gt;=$E416,0,IF($E416-SUM($G416:BM416)&gt;BN417,BN417,$E416-SUM($G417:BM417)))</f>
        <v>0</v>
      </c>
      <c r="BO416" s="401">
        <f ca="1">IF(SUM($G416:BN416)&gt;=$E416,0,IF($E416-SUM($G416:BN416)&gt;BO417,BO417,$E416-SUM($G417:BN417)))</f>
        <v>0</v>
      </c>
      <c r="BP416" s="401">
        <f ca="1">IF(SUM($G416:BO416)&gt;=$E416,0,IF($E416-SUM($G416:BO416)&gt;BP417,BP417,$E416-SUM($G417:BO417)))</f>
        <v>0</v>
      </c>
      <c r="BQ416" s="401">
        <f ca="1">IF(SUM($G416:BP416)&gt;=$E416,0,IF($E416-SUM($G416:BP416)&gt;BQ417,BQ417,$E416-SUM($G417:BP417)))</f>
        <v>0</v>
      </c>
      <c r="BR416" s="401">
        <f ca="1">IF(SUM($G416:BQ416)&gt;=$E416,0,IF($E416-SUM($G416:BQ416)&gt;BR417,BR417,$E416-SUM($G417:BQ417)))</f>
        <v>0</v>
      </c>
      <c r="BS416" s="401">
        <f ca="1">IF(SUM($G416:BR416)&gt;=$E416,0,IF($E416-SUM($G416:BR416)&gt;BS417,BS417,$E416-SUM($G417:BR417)))</f>
        <v>0</v>
      </c>
      <c r="BT416" s="401">
        <f ca="1">IF(SUM($G416:BS416)&gt;=$E416,0,IF($E416-SUM($G416:BS416)&gt;BT417,BT417,$E416-SUM($G417:BS417)))</f>
        <v>0</v>
      </c>
      <c r="BU416" s="401">
        <f ca="1">IF(SUM($G416:BT416)&gt;=$E416,0,IF($E416-SUM($G416:BT416)&gt;BU417,BU417,$E416-SUM($G417:BT417)))</f>
        <v>0</v>
      </c>
      <c r="BV416" s="401">
        <f ca="1">IF(SUM($G416:BU416)&gt;=$E416,0,IF($E416-SUM($G416:BU416)&gt;BV417,BV417,$E416-SUM($G417:BU417)))</f>
        <v>0</v>
      </c>
      <c r="BW416" s="401">
        <f ca="1">IF(SUM($G416:BV416)&gt;=$E416,0,IF($E416-SUM($G416:BV416)&gt;BW417,BW417,$E416-SUM($G417:BV417)))</f>
        <v>0</v>
      </c>
      <c r="BX416" s="401">
        <f ca="1">IF(SUM($G416:BW416)&gt;=$E416,0,IF($E416-SUM($G416:BW416)&gt;BX417,BX417,$E416-SUM($G417:BW417)))</f>
        <v>0</v>
      </c>
      <c r="BY416" s="401">
        <f ca="1">IF(SUM($G416:BX416)&gt;=$E416,0,IF($E416-SUM($G416:BX416)&gt;BY417,BY417,$E416-SUM($G417:BX417)))</f>
        <v>0</v>
      </c>
      <c r="BZ416" s="401">
        <f ca="1">IF(SUM($G416:BY416)&gt;=$E416,0,IF($E416-SUM($G416:BY416)&gt;BZ417,BZ417,$E416-SUM($G417:BY417)))</f>
        <v>0</v>
      </c>
      <c r="CA416" s="401">
        <f ca="1">IF(SUM($G416:BZ416)&gt;=$E416,0,IF($E416-SUM($G416:BZ416)&gt;CA417,CA417,$E416-SUM($G417:BZ417)))</f>
        <v>0</v>
      </c>
      <c r="CB416" s="401">
        <f ca="1">IF(SUM($G416:CA416)&gt;=$E416,0,IF($E416-SUM($G416:CA416)&gt;CB417,CB417,$E416-SUM($G417:CA417)))</f>
        <v>0</v>
      </c>
      <c r="CC416" s="401">
        <f ca="1">IF(SUM($G416:CB416)&gt;=$E416,0,IF($E416-SUM($G416:CB416)&gt;CC417,CC417,$E416-SUM($G417:CB417)))</f>
        <v>0</v>
      </c>
      <c r="CD416" s="401">
        <f ca="1">IF(SUM($G416:CC416)&gt;=$E416,0,IF($E416-SUM($G416:CC416)&gt;CD417,CD417,$E416-SUM($G417:CC417)))</f>
        <v>0</v>
      </c>
      <c r="CE416" s="401">
        <f ca="1">IF(SUM($G416:CD416)&gt;=$E416,0,IF($E416-SUM($G416:CD416)&gt;CE417,CE417,$E416-SUM($G417:CD417)))</f>
        <v>0</v>
      </c>
      <c r="CF416" s="401">
        <f ca="1">IF(SUM($G416:CE416)&gt;=$E416,0,IF($E416-SUM($G416:CE416)&gt;CF417,CF417,$E416-SUM($G417:CE417)))</f>
        <v>0</v>
      </c>
      <c r="CG416" s="401">
        <f ca="1">IF(SUM($G416:CF416)&gt;=$E416,0,IF($E416-SUM($G416:CF416)&gt;CG417,CG417,$E416-SUM($G417:CF417)))</f>
        <v>0</v>
      </c>
      <c r="CH416" s="401">
        <f ca="1">IF(SUM($G416:CG416)&gt;=$E416,0,IF($E416-SUM($G416:CG416)&gt;CH417,CH417,$E416-SUM($G417:CG417)))</f>
        <v>0</v>
      </c>
      <c r="CI416" s="401">
        <f ca="1">IF(SUM($G416:CH416)&gt;=$E416,0,IF($E416-SUM($G416:CH416)&gt;CI417,CI417,$E416-SUM($G417:CH417)))</f>
        <v>0</v>
      </c>
      <c r="CJ416" s="401">
        <f ca="1">IF(SUM($G416:CI416)&gt;=$E416,0,IF($E416-SUM($G416:CI416)&gt;CJ417,CJ417,$E416-SUM($G417:CI417)))</f>
        <v>0</v>
      </c>
      <c r="CK416" s="401">
        <f ca="1">IF(SUM($G416:CJ416)&gt;=$E416,0,IF($E416-SUM($G416:CJ416)&gt;CK417,CK417,$E416-SUM($G417:CJ417)))</f>
        <v>0</v>
      </c>
      <c r="CL416" s="401">
        <f ca="1">IF(SUM($G416:CK416)&gt;=$E416,0,IF($E416-SUM($G416:CK416)&gt;CL417,CL417,$E416-SUM($G417:CK417)))</f>
        <v>0</v>
      </c>
      <c r="CM416" s="401">
        <f ca="1">IF(SUM($G416:CL416)&gt;=$E416,0,IF($E416-SUM($G416:CL416)&gt;CM417,CM417,$E416-SUM($G417:CL417)))</f>
        <v>0</v>
      </c>
      <c r="CN416" s="401">
        <f ca="1">IF(SUM($G416:CM416)&gt;=$E416,0,IF($E416-SUM($G416:CM416)&gt;CN417,CN417,$E416-SUM($G417:CM417)))</f>
        <v>0</v>
      </c>
      <c r="CO416" s="401">
        <f ca="1">IF(SUM($G416:CN416)&gt;=$E416,0,IF($E416-SUM($G416:CN416)&gt;CO417,CO417,$E416-SUM($G417:CN417)))</f>
        <v>0</v>
      </c>
      <c r="CP416" s="401">
        <f ca="1">IF(SUM($G416:CO416)&gt;=$E416,0,IF($E416-SUM($G416:CO416)&gt;CP417,CP417,$E416-SUM($G417:CO417)))</f>
        <v>0</v>
      </c>
      <c r="CQ416" s="401">
        <f ca="1">IF(SUM($G416:CP416)&gt;=$E416,0,IF($E416-SUM($G416:CP416)&gt;CQ417,CQ417,$E416-SUM($G417:CP417)))</f>
        <v>0</v>
      </c>
      <c r="CR416" s="401">
        <f ca="1">IF(SUM($G416:CQ416)&gt;=$E416,0,IF($E416-SUM($G416:CQ416)&gt;CR417,CR417,$E416-SUM($G417:CQ417)))</f>
        <v>0</v>
      </c>
      <c r="CS416" s="401">
        <f ca="1">IF(SUM($G416:CR416)&gt;=$E416,0,IF($E416-SUM($G416:CR416)&gt;CS417,CS417,$E416-SUM($G417:CR417)))</f>
        <v>0</v>
      </c>
      <c r="CT416" s="401">
        <f ca="1">IF(SUM($G416:CS416)&gt;=$E416,0,IF($E416-SUM($G416:CS416)&gt;CT417,CT417,$E416-SUM($G417:CS417)))</f>
        <v>0</v>
      </c>
      <c r="CU416" s="401">
        <f ca="1">IF(SUM($G416:CT416)&gt;=$E416,0,IF($E416-SUM($G416:CT416)&gt;CU417,CU417,$E416-SUM($G417:CT417)))</f>
        <v>0</v>
      </c>
      <c r="CV416" s="401">
        <f ca="1">IF(SUM($G416:CU416)&gt;=$E416,0,IF($E416-SUM($G416:CU416)&gt;CV417,CV417,$E416-SUM($G417:CU417)))</f>
        <v>0</v>
      </c>
      <c r="CW416" s="401">
        <f ca="1">IF(SUM($G416:CV416)&gt;=$E416,0,IF($E416-SUM($G416:CV416)&gt;CW417,CW417,$E416-SUM($G417:CV417)))</f>
        <v>0</v>
      </c>
      <c r="CX416" s="401">
        <f ca="1">IF(SUM($G416:CW416)&gt;=$E416,0,IF($E416-SUM($G416:CW416)&gt;CX417,CX417,$E416-SUM($G417:CW417)))</f>
        <v>0</v>
      </c>
      <c r="CY416" s="401">
        <f ca="1">IF(SUM($G416:CX416)&gt;=$E416,0,IF($E416-SUM($G416:CX416)&gt;CY417,CY417,$E416-SUM($G417:CX417)))</f>
        <v>0</v>
      </c>
      <c r="CZ416" s="401">
        <f ca="1">IF(SUM($G416:CY416)&gt;=$E416,0,IF($E416-SUM($G416:CY416)&gt;CZ417,CZ417,$E416-SUM($G417:CY417)))</f>
        <v>0</v>
      </c>
      <c r="DA416" s="401">
        <f ca="1">IF(SUM($G416:CZ416)&gt;=$E416,0,IF($E416-SUM($G416:CZ416)&gt;DA417,DA417,$E416-SUM($G417:CZ417)))</f>
        <v>0</v>
      </c>
      <c r="DB416" s="401">
        <f ca="1">IF(SUM($G416:DA416)&gt;=$E416,0,IF($E416-SUM($G416:DA416)&gt;DB417,DB417,$E416-SUM($G417:DA417)))</f>
        <v>0</v>
      </c>
      <c r="DC416" s="401">
        <f ca="1">IF(SUM($G416:DB416)&gt;=$E416,0,IF($E416-SUM($G416:DB416)&gt;DC417,DC417,$E416-SUM($G417:DB417)))</f>
        <v>0</v>
      </c>
      <c r="DD416" s="401">
        <f ca="1">IF(SUM($G416:DC416)&gt;=$E416,0,IF($E416-SUM($G416:DC416)&gt;DD417,DD417,$E416-SUM($G417:DC417)))</f>
        <v>0</v>
      </c>
      <c r="DE416" s="401">
        <f ca="1">IF(SUM($G416:DD416)&gt;=$E416,0,IF($E416-SUM($G416:DD416)&gt;DE417,DE417,$E416-SUM($G417:DD417)))</f>
        <v>0</v>
      </c>
      <c r="DF416" s="401">
        <f ca="1">IF(SUM($G416:DE416)&gt;=$E416,0,IF($E416-SUM($G416:DE416)&gt;DF417,DF417,$E416-SUM($G417:DE417)))</f>
        <v>0</v>
      </c>
      <c r="DG416" s="401">
        <f ca="1">IF(SUM($G416:DF416)&gt;=$E416,0,IF($E416-SUM($G416:DF416)&gt;DG417,DG417,$E416-SUM($G417:DF417)))</f>
        <v>0</v>
      </c>
      <c r="DH416" s="401">
        <f ca="1">IF(SUM($G416:DG416)&gt;=$E416,0,IF($E416-SUM($G416:DG416)&gt;DH417,DH417,$E416-SUM($G417:DG417)))</f>
        <v>0</v>
      </c>
      <c r="DI416" s="401">
        <f ca="1">IF(SUM($G416:DH416)&gt;=$E416,0,IF($E416-SUM($G416:DH416)&gt;DI417,DI417,$E416-SUM($G417:DH417)))</f>
        <v>0</v>
      </c>
      <c r="DJ416" s="401">
        <f ca="1">IF(SUM($G416:DI416)&gt;=$E416,0,IF($E416-SUM($G416:DI416)&gt;DJ417,DJ417,$E416-SUM($G417:DI417)))</f>
        <v>0</v>
      </c>
      <c r="DK416" s="401">
        <f ca="1">IF(SUM($G416:DJ416)&gt;=$E416,0,IF($E416-SUM($G416:DJ416)&gt;DK417,DK417,$E416-SUM($G417:DJ417)))</f>
        <v>0</v>
      </c>
      <c r="DL416" s="401">
        <f ca="1">IF(SUM($G416:DK416)&gt;=$E416,0,IF($E416-SUM($G416:DK416)&gt;DL417,DL417,$E416-SUM($G417:DK417)))</f>
        <v>0</v>
      </c>
      <c r="DM416" s="401">
        <f ca="1">IF(SUM($G416:DL416)&gt;=$E416,0,IF($E416-SUM($G416:DL416)&gt;DM417,DM417,$E416-SUM($G417:DL417)))</f>
        <v>0</v>
      </c>
      <c r="DN416" s="401">
        <f ca="1">IF(SUM($G416:DM416)&gt;=$E416,0,IF($E416-SUM($G416:DM416)&gt;DN417,DN417,$E416-SUM($G417:DM417)))</f>
        <v>0</v>
      </c>
      <c r="DO416" s="401">
        <f ca="1">IF(SUM($G416:DN416)&gt;=$E416,0,IF($E416-SUM($G416:DN416)&gt;DO417,DO417,$E416-SUM($G417:DN417)))</f>
        <v>0</v>
      </c>
      <c r="DP416" s="401">
        <f ca="1">IF(SUM($G416:DO416)&gt;=$E416,0,IF($E416-SUM($G416:DO416)&gt;DP417,DP417,$E416-SUM($G417:DO417)))</f>
        <v>0</v>
      </c>
      <c r="DQ416" s="401">
        <f ca="1">IF(SUM($G416:DP416)&gt;=$E416,0,IF($E416-SUM($G416:DP416)&gt;DQ417,DQ417,$E416-SUM($G417:DP417)))</f>
        <v>0</v>
      </c>
      <c r="DR416" s="401">
        <f ca="1">IF(SUM($G416:DQ416)&gt;=$E416,0,IF($E416-SUM($G416:DQ416)&gt;DR417,DR417,$E416-SUM($G417:DQ417)))</f>
        <v>0</v>
      </c>
      <c r="DS416" s="401">
        <f ca="1">IF(SUM($G416:DR416)&gt;=$E416,0,IF($E416-SUM($G416:DR416)&gt;DS417,DS417,$E416-SUM($G417:DR417)))</f>
        <v>0</v>
      </c>
      <c r="DT416" s="401">
        <f ca="1">IF(SUM($G416:DS416)&gt;=$E416,0,IF($E416-SUM($G416:DS416)&gt;DT417,DT417,$E416-SUM($G417:DS417)))</f>
        <v>0</v>
      </c>
      <c r="DU416" s="401">
        <f ca="1">IF(SUM($G416:DT416)&gt;=$E416,0,IF($E416-SUM($G416:DT416)&gt;DU417,DU417,$E416-SUM($G417:DT417)))</f>
        <v>0</v>
      </c>
      <c r="DV416" s="401">
        <f ca="1">IF(SUM($G416:DU416)&gt;=$E416,0,IF($E416-SUM($G416:DU416)&gt;DV417,DV417,$E416-SUM($G417:DU417)))</f>
        <v>0</v>
      </c>
      <c r="DW416" s="401">
        <f ca="1">IF(SUM($G416:DV416)&gt;=$E416,0,IF($E416-SUM($G416:DV416)&gt;DW417,DW417,$E416-SUM($G417:DV417)))</f>
        <v>0</v>
      </c>
      <c r="DX416" s="401">
        <f ca="1">IF(SUM($G416:DW416)&gt;=$E416,0,IF($E416-SUM($G416:DW416)&gt;DX417,DX417,$E416-SUM($G417:DW417)))</f>
        <v>0</v>
      </c>
      <c r="DY416" s="401">
        <f ca="1">IF(SUM($G416:DX416)&gt;=$E416,0,IF($E416-SUM($G416:DX416)&gt;DY417,DY417,$E416-SUM($G417:DX417)))</f>
        <v>0</v>
      </c>
      <c r="DZ416" s="401">
        <f ca="1">IF(SUM($G416:DY416)&gt;=$E416,0,IF($E416-SUM($G416:DY416)&gt;DZ417,DZ417,$E416-SUM($G417:DY417)))</f>
        <v>0</v>
      </c>
      <c r="EA416" s="401">
        <f ca="1">IF(SUM($G416:DZ416)&gt;=$E416,0,IF($E416-SUM($G416:DZ416)&gt;EA417,EA417,$E416-SUM($G417:DZ417)))</f>
        <v>0</v>
      </c>
      <c r="EB416" s="401">
        <f ca="1">IF(SUM($G416:EA416)&gt;=$E416,0,IF($E416-SUM($G416:EA416)&gt;EB417,EB417,$E416-SUM($G417:EA417)))</f>
        <v>0</v>
      </c>
      <c r="EC416" s="401">
        <f ca="1">IF(SUM($G416:EB416)&gt;=$E416,0,IF($E416-SUM($G416:EB416)&gt;EC417,EC417,$E416-SUM($G417:EB417)))</f>
        <v>0</v>
      </c>
      <c r="ED416" s="401">
        <f ca="1">IF(SUM($G416:EC416)&gt;=$E416,0,IF($E416-SUM($G416:EC416)&gt;ED417,ED417,$E416-SUM($G417:EC417)))</f>
        <v>0</v>
      </c>
      <c r="EE416" s="401">
        <f ca="1">IF(SUM($G416:ED416)&gt;=$E416,0,IF($E416-SUM($G416:ED416)&gt;EE417,EE417,$E416-SUM($G417:ED417)))</f>
        <v>0</v>
      </c>
      <c r="EF416" s="401">
        <f ca="1">IF(SUM($G416:EE416)&gt;=$E416,0,IF($E416-SUM($G416:EE416)&gt;EF417,EF417,$E416-SUM($G417:EE417)))</f>
        <v>0</v>
      </c>
      <c r="EG416" s="401">
        <f ca="1">IF(SUM($G416:EF416)&gt;=$E416,0,IF($E416-SUM($G416:EF416)&gt;EG417,EG417,$E416-SUM($G417:EF417)))</f>
        <v>0</v>
      </c>
      <c r="EH416" s="401">
        <f ca="1">IF(SUM($G416:EG416)&gt;=$E416,0,IF($E416-SUM($G416:EG416)&gt;EH417,EH417,$E416-SUM($G417:EG417)))</f>
        <v>0</v>
      </c>
      <c r="EI416" s="401">
        <f ca="1">IF(SUM($G416:EH416)&gt;=$E416,0,IF($E416-SUM($G416:EH416)&gt;EI417,EI417,$E416-SUM($G417:EH417)))</f>
        <v>0</v>
      </c>
      <c r="EK416" s="313"/>
    </row>
    <row r="417" spans="1:139" hidden="1" outlineLevel="2">
      <c r="A417" s="332"/>
      <c r="B417" s="313"/>
      <c r="C417" s="308"/>
      <c r="D417" s="308"/>
      <c r="E417" s="308"/>
      <c r="G417" s="405"/>
      <c r="H417" s="405">
        <f ca="1">IF((SUM($G244:H244)-$E243)&lt;0,0,IF((SUM($G244:H244)-$E243)&lt;H244,SUM($G244:H244)-$E243,H244))</f>
        <v>0</v>
      </c>
      <c r="I417" s="405">
        <f ca="1">IF((SUM($G244:I244)-$E243)&lt;0,0,IF((SUM($G244:I244)-$E243)&lt;I244,SUM($G244:I244)-$E243,I244))</f>
        <v>0</v>
      </c>
      <c r="J417" s="405">
        <f ca="1">IF((SUM($G244:J244)-$E243)&lt;0,0,IF((SUM($G244:J244)-$E243)&lt;J244,SUM($G244:J244)-$E243,J244))</f>
        <v>0</v>
      </c>
      <c r="K417" s="405">
        <f ca="1">IF((SUM($G244:K244)-$E243)&lt;0,0,IF((SUM($G244:K244)-$E243)&lt;K244,SUM($G244:K244)-$E243,K244))</f>
        <v>0</v>
      </c>
      <c r="L417" s="405">
        <f ca="1">IF((SUM($G244:L244)-$E243)&lt;0,0,IF((SUM($G244:L244)-$E243)&lt;L244,SUM($G244:L244)-$E243,L244))</f>
        <v>0</v>
      </c>
      <c r="M417" s="405">
        <f ca="1">IF((SUM($G244:M244)-$E243)&lt;0,0,IF((SUM($G244:M244)-$E243)&lt;M244,SUM($G244:M244)-$E243,M244))</f>
        <v>0</v>
      </c>
      <c r="N417" s="405">
        <f ca="1">IF((SUM($G244:N244)-$E243)&lt;0,0,IF((SUM($G244:N244)-$E243)&lt;N244,SUM($G244:N244)-$E243,N244))</f>
        <v>0</v>
      </c>
      <c r="O417" s="405">
        <f ca="1">IF((SUM($G244:O244)-$E243)&lt;0,0,IF((SUM($G244:O244)-$E243)&lt;O244,SUM($G244:O244)-$E243,O244))</f>
        <v>0</v>
      </c>
      <c r="P417" s="405">
        <f ca="1">IF((SUM($G244:P244)-$E243)&lt;0,0,IF((SUM($G244:P244)-$E243)&lt;P244,SUM($G244:P244)-$E243,P244))</f>
        <v>0</v>
      </c>
      <c r="Q417" s="405">
        <f ca="1">IF((SUM($G244:Q244)-$E243)&lt;0,0,IF((SUM($G244:Q244)-$E243)&lt;Q244,SUM($G244:Q244)-$E243,Q244))</f>
        <v>0</v>
      </c>
      <c r="R417" s="405">
        <f ca="1">IF((SUM($G244:R244)-$E243)&lt;0,0,IF((SUM($G244:R244)-$E243)&lt;R244,SUM($G244:R244)-$E243,R244))</f>
        <v>0</v>
      </c>
      <c r="S417" s="405">
        <f ca="1">IF((SUM($G244:S244)-$E243)&lt;0,0,IF((SUM($G244:S244)-$E243)&lt;S244,SUM($G244:S244)-$E243,S244))</f>
        <v>0</v>
      </c>
      <c r="T417" s="405">
        <f ca="1">IF((SUM($G244:T244)-$E243)&lt;0,0,IF((SUM($G244:T244)-$E243)&lt;T244,SUM($G244:T244)-$E243,T244))</f>
        <v>0</v>
      </c>
      <c r="U417" s="405">
        <f ca="1">IF((SUM($G244:U244)-$E243)&lt;0,0,IF((SUM($G244:U244)-$E243)&lt;U244,SUM($G244:U244)-$E243,U244))</f>
        <v>0</v>
      </c>
      <c r="V417" s="405">
        <f ca="1">IF((SUM($G244:V244)-$E243)&lt;0,0,IF((SUM($G244:V244)-$E243)&lt;V244,SUM($G244:V244)-$E243,V244))</f>
        <v>0</v>
      </c>
      <c r="W417" s="405">
        <f ca="1">IF((SUM($G244:W244)-$E243)&lt;0,0,IF((SUM($G244:W244)-$E243)&lt;W244,SUM($G244:W244)-$E243,W244))</f>
        <v>0</v>
      </c>
      <c r="X417" s="405">
        <f ca="1">IF((SUM($G244:X244)-$E243)&lt;0,0,IF((SUM($G244:X244)-$E243)&lt;X244,SUM($G244:X244)-$E243,X244))</f>
        <v>0</v>
      </c>
      <c r="Y417" s="405">
        <f ca="1">IF((SUM($G244:Y244)-$E243)&lt;0,0,IF((SUM($G244:Y244)-$E243)&lt;Y244,SUM($G244:Y244)-$E243,Y244))</f>
        <v>0</v>
      </c>
      <c r="Z417" s="405">
        <f ca="1">IF((SUM($G244:Z244)-$E243)&lt;0,0,IF((SUM($G244:Z244)-$E243)&lt;Z244,SUM($G244:Z244)-$E243,Z244))</f>
        <v>0</v>
      </c>
      <c r="AA417" s="405">
        <f ca="1">IF((SUM($G244:AA244)-$E243)&lt;0,0,IF((SUM($G244:AA244)-$E243)&lt;AA244,SUM($G244:AA244)-$E243,AA244))</f>
        <v>0</v>
      </c>
      <c r="AB417" s="405">
        <f ca="1">IF((SUM($G244:AB244)-$E243)&lt;0,0,IF((SUM($G244:AB244)-$E243)&lt;AB244,SUM($G244:AB244)-$E243,AB244))</f>
        <v>28.199999999999989</v>
      </c>
      <c r="AC417" s="405">
        <f ca="1">IF((SUM($G244:AC244)-$E243)&lt;0,0,IF((SUM($G244:AC244)-$E243)&lt;AC244,SUM($G244:AC244)-$E243,AC244))</f>
        <v>31</v>
      </c>
      <c r="AD417" s="405">
        <f ca="1">IF((SUM($G244:AD244)-$E243)&lt;0,0,IF((SUM($G244:AD244)-$E243)&lt;AD244,SUM($G244:AD244)-$E243,AD244))</f>
        <v>28</v>
      </c>
      <c r="AE417" s="405">
        <f ca="1">IF((SUM($G244:AE244)-$E243)&lt;0,0,IF((SUM($G244:AE244)-$E243)&lt;AE244,SUM($G244:AE244)-$E243,AE244))</f>
        <v>31</v>
      </c>
      <c r="AF417" s="405">
        <f ca="1">IF((SUM($G244:AF244)-$E243)&lt;0,0,IF((SUM($G244:AF244)-$E243)&lt;AF244,SUM($G244:AF244)-$E243,AF244))</f>
        <v>30</v>
      </c>
      <c r="AG417" s="405">
        <f ca="1">IF((SUM($G244:AG244)-$E243)&lt;0,0,IF((SUM($G244:AG244)-$E243)&lt;AG244,SUM($G244:AG244)-$E243,AG244))</f>
        <v>31</v>
      </c>
      <c r="AH417" s="405">
        <f ca="1">IF((SUM($G244:AH244)-$E243)&lt;0,0,IF((SUM($G244:AH244)-$E243)&lt;AH244,SUM($G244:AH244)-$E243,AH244))</f>
        <v>30</v>
      </c>
      <c r="AI417" s="405">
        <f ca="1">IF((SUM($G244:AI244)-$E243)&lt;0,0,IF((SUM($G244:AI244)-$E243)&lt;AI244,SUM($G244:AI244)-$E243,AI244))</f>
        <v>31</v>
      </c>
      <c r="AJ417" s="405">
        <f ca="1">IF((SUM($G244:AJ244)-$E243)&lt;0,0,IF((SUM($G244:AJ244)-$E243)&lt;AJ244,SUM($G244:AJ244)-$E243,AJ244))</f>
        <v>31</v>
      </c>
      <c r="AK417" s="405">
        <f ca="1">IF((SUM($G244:AK244)-$E243)&lt;0,0,IF((SUM($G244:AK244)-$E243)&lt;AK244,SUM($G244:AK244)-$E243,AK244))</f>
        <v>30</v>
      </c>
      <c r="AL417" s="405">
        <f ca="1">IF((SUM($G244:AL244)-$E243)&lt;0,0,IF((SUM($G244:AL244)-$E243)&lt;AL244,SUM($G244:AL244)-$E243,AL244))</f>
        <v>31</v>
      </c>
      <c r="AM417" s="405">
        <f ca="1">IF((SUM($G244:AM244)-$E243)&lt;0,0,IF((SUM($G244:AM244)-$E243)&lt;AM244,SUM($G244:AM244)-$E243,AM244))</f>
        <v>30</v>
      </c>
      <c r="AN417" s="405">
        <f ca="1">IF((SUM($G244:AN244)-$E243)&lt;0,0,IF((SUM($G244:AN244)-$E243)&lt;AN244,SUM($G244:AN244)-$E243,AN244))</f>
        <v>31</v>
      </c>
      <c r="AO417" s="405">
        <f ca="1">IF((SUM($G244:AO244)-$E243)&lt;0,0,IF((SUM($G244:AO244)-$E243)&lt;AO244,SUM($G244:AO244)-$E243,AO244))</f>
        <v>31</v>
      </c>
      <c r="AP417" s="405">
        <f ca="1">IF((SUM($G244:AP244)-$E243)&lt;0,0,IF((SUM($G244:AP244)-$E243)&lt;AP244,SUM($G244:AP244)-$E243,AP244))</f>
        <v>28</v>
      </c>
      <c r="AQ417" s="405">
        <f ca="1">IF((SUM($G244:AQ244)-$E243)&lt;0,0,IF((SUM($G244:AQ244)-$E243)&lt;AQ244,SUM($G244:AQ244)-$E243,AQ244))</f>
        <v>31</v>
      </c>
      <c r="AR417" s="405">
        <f ca="1">IF((SUM($G244:AR244)-$E243)&lt;0,0,IF((SUM($G244:AR244)-$E243)&lt;AR244,SUM($G244:AR244)-$E243,AR244))</f>
        <v>30</v>
      </c>
      <c r="AS417" s="405">
        <f ca="1">IF((SUM($G244:AS244)-$E243)&lt;0,0,IF((SUM($G244:AS244)-$E243)&lt;AS244,SUM($G244:AS244)-$E243,AS244))</f>
        <v>31</v>
      </c>
      <c r="AT417" s="405">
        <f ca="1">IF((SUM($G244:AT244)-$E243)&lt;0,0,IF((SUM($G244:AT244)-$E243)&lt;AT244,SUM($G244:AT244)-$E243,AT244))</f>
        <v>30</v>
      </c>
      <c r="AU417" s="405">
        <f ca="1">IF((SUM($G244:AU244)-$E243)&lt;0,0,IF((SUM($G244:AU244)-$E243)&lt;AU244,SUM($G244:AU244)-$E243,AU244))</f>
        <v>31</v>
      </c>
      <c r="AV417" s="405">
        <f ca="1">IF((SUM($G244:AV244)-$E243)&lt;0,0,IF((SUM($G244:AV244)-$E243)&lt;AV244,SUM($G244:AV244)-$E243,AV244))</f>
        <v>31</v>
      </c>
      <c r="AW417" s="405">
        <f ca="1">IF((SUM($G244:AW244)-$E243)&lt;0,0,IF((SUM($G244:AW244)-$E243)&lt;AW244,SUM($G244:AW244)-$E243,AW244))</f>
        <v>30</v>
      </c>
      <c r="AX417" s="405">
        <f ca="1">IF((SUM($G244:AX244)-$E243)&lt;0,0,IF((SUM($G244:AX244)-$E243)&lt;AX244,SUM($G244:AX244)-$E243,AX244))</f>
        <v>31</v>
      </c>
      <c r="AY417" s="405">
        <f ca="1">IF((SUM($G244:AY244)-$E243)&lt;0,0,IF((SUM($G244:AY244)-$E243)&lt;AY244,SUM($G244:AY244)-$E243,AY244))</f>
        <v>30</v>
      </c>
      <c r="AZ417" s="405">
        <f ca="1">IF((SUM($G244:AZ244)-$E243)&lt;0,0,IF((SUM($G244:AZ244)-$E243)&lt;AZ244,SUM($G244:AZ244)-$E243,AZ244))</f>
        <v>31</v>
      </c>
      <c r="BA417" s="405">
        <f ca="1">IF((SUM($G244:BA244)-$E243)&lt;0,0,IF((SUM($G244:BA244)-$E243)&lt;BA244,SUM($G244:BA244)-$E243,BA244))</f>
        <v>31</v>
      </c>
      <c r="BB417" s="405">
        <f ca="1">IF((SUM($G244:BB244)-$E243)&lt;0,0,IF((SUM($G244:BB244)-$E243)&lt;BB244,SUM($G244:BB244)-$E243,BB244))</f>
        <v>28</v>
      </c>
      <c r="BC417" s="405">
        <f ca="1">IF((SUM($G244:BC244)-$E243)&lt;0,0,IF((SUM($G244:BC244)-$E243)&lt;BC244,SUM($G244:BC244)-$E243,BC244))</f>
        <v>31</v>
      </c>
      <c r="BD417" s="405">
        <f ca="1">IF((SUM($G244:BD244)-$E243)&lt;0,0,IF((SUM($G244:BD244)-$E243)&lt;BD244,SUM($G244:BD244)-$E243,BD244))</f>
        <v>30</v>
      </c>
      <c r="BE417" s="405">
        <f ca="1">IF((SUM($G244:BE244)-$E243)&lt;0,0,IF((SUM($G244:BE244)-$E243)&lt;BE244,SUM($G244:BE244)-$E243,BE244))</f>
        <v>31</v>
      </c>
      <c r="BF417" s="405">
        <f ca="1">IF((SUM($G244:BF244)-$E243)&lt;0,0,IF((SUM($G244:BF244)-$E243)&lt;BF244,SUM($G244:BF244)-$E243,BF244))</f>
        <v>30</v>
      </c>
      <c r="BG417" s="405">
        <f ca="1">IF((SUM($G244:BG244)-$E243)&lt;0,0,IF((SUM($G244:BG244)-$E243)&lt;BG244,SUM($G244:BG244)-$E243,BG244))</f>
        <v>31</v>
      </c>
      <c r="BH417" s="405">
        <f ca="1">IF((SUM($G244:BH244)-$E243)&lt;0,0,IF((SUM($G244:BH244)-$E243)&lt;BH244,SUM($G244:BH244)-$E243,BH244))</f>
        <v>31</v>
      </c>
      <c r="BI417" s="405">
        <f ca="1">IF((SUM($G244:BI244)-$E243)&lt;0,0,IF((SUM($G244:BI244)-$E243)&lt;BI244,SUM($G244:BI244)-$E243,BI244))</f>
        <v>30</v>
      </c>
      <c r="BJ417" s="405">
        <f ca="1">IF((SUM($G244:BJ244)-$E243)&lt;0,0,IF((SUM($G244:BJ244)-$E243)&lt;BJ244,SUM($G244:BJ244)-$E243,BJ244))</f>
        <v>31</v>
      </c>
      <c r="BK417" s="405">
        <f ca="1">IF((SUM($G244:BK244)-$E243)&lt;0,0,IF((SUM($G244:BK244)-$E243)&lt;BK244,SUM($G244:BK244)-$E243,BK244))</f>
        <v>30</v>
      </c>
      <c r="BL417" s="405">
        <f ca="1">IF((SUM($G244:BL244)-$E243)&lt;0,0,IF((SUM($G244:BL244)-$E243)&lt;BL244,SUM($G244:BL244)-$E243,BL244))</f>
        <v>31</v>
      </c>
      <c r="BM417" s="405">
        <f ca="1">IF((SUM($G244:BM244)-$E243)&lt;0,0,IF((SUM($G244:BM244)-$E243)&lt;BM244,SUM($G244:BM244)-$E243,BM244))</f>
        <v>31</v>
      </c>
      <c r="BN417" s="405">
        <f ca="1">IF((SUM($G244:BN244)-$E243)&lt;0,0,IF((SUM($G244:BN244)-$E243)&lt;BN244,SUM($G244:BN244)-$E243,BN244))</f>
        <v>29</v>
      </c>
      <c r="BO417" s="405">
        <f ca="1">IF((SUM($G244:BO244)-$E243)&lt;0,0,IF((SUM($G244:BO244)-$E243)&lt;BO244,SUM($G244:BO244)-$E243,BO244))</f>
        <v>31</v>
      </c>
      <c r="BP417" s="405">
        <f ca="1">IF((SUM($G244:BP244)-$E243)&lt;0,0,IF((SUM($G244:BP244)-$E243)&lt;BP244,SUM($G244:BP244)-$E243,BP244))</f>
        <v>30</v>
      </c>
      <c r="BQ417" s="405">
        <f ca="1">IF((SUM($G244:BQ244)-$E243)&lt;0,0,IF((SUM($G244:BQ244)-$E243)&lt;BQ244,SUM($G244:BQ244)-$E243,BQ244))</f>
        <v>31</v>
      </c>
      <c r="BR417" s="405">
        <f ca="1">IF((SUM($G244:BR244)-$E243)&lt;0,0,IF((SUM($G244:BR244)-$E243)&lt;BR244,SUM($G244:BR244)-$E243,BR244))</f>
        <v>30</v>
      </c>
      <c r="BS417" s="405">
        <f ca="1">IF((SUM($G244:BS244)-$E243)&lt;0,0,IF((SUM($G244:BS244)-$E243)&lt;BS244,SUM($G244:BS244)-$E243,BS244))</f>
        <v>31</v>
      </c>
      <c r="BT417" s="405">
        <f ca="1">IF((SUM($G244:BT244)-$E243)&lt;0,0,IF((SUM($G244:BT244)-$E243)&lt;BT244,SUM($G244:BT244)-$E243,BT244))</f>
        <v>31</v>
      </c>
      <c r="BU417" s="405">
        <f ca="1">IF((SUM($G244:BU244)-$E243)&lt;0,0,IF((SUM($G244:BU244)-$E243)&lt;BU244,SUM($G244:BU244)-$E243,BU244))</f>
        <v>30</v>
      </c>
      <c r="BV417" s="405">
        <f ca="1">IF((SUM($G244:BV244)-$E243)&lt;0,0,IF((SUM($G244:BV244)-$E243)&lt;BV244,SUM($G244:BV244)-$E243,BV244))</f>
        <v>31</v>
      </c>
      <c r="BW417" s="405">
        <f ca="1">IF((SUM($G244:BW244)-$E243)&lt;0,0,IF((SUM($G244:BW244)-$E243)&lt;BW244,SUM($G244:BW244)-$E243,BW244))</f>
        <v>30</v>
      </c>
      <c r="BX417" s="405">
        <f ca="1">IF((SUM($G244:BX244)-$E243)&lt;0,0,IF((SUM($G244:BX244)-$E243)&lt;BX244,SUM($G244:BX244)-$E243,BX244))</f>
        <v>31</v>
      </c>
      <c r="BY417" s="405">
        <f ca="1">IF((SUM($G244:BY244)-$E243)&lt;0,0,IF((SUM($G244:BY244)-$E243)&lt;BY244,SUM($G244:BY244)-$E243,BY244))</f>
        <v>31</v>
      </c>
      <c r="BZ417" s="405">
        <f ca="1">IF((SUM($G244:BZ244)-$E243)&lt;0,0,IF((SUM($G244:BZ244)-$E243)&lt;BZ244,SUM($G244:BZ244)-$E243,BZ244))</f>
        <v>28</v>
      </c>
      <c r="CA417" s="405">
        <f ca="1">IF((SUM($G244:CA244)-$E243)&lt;0,0,IF((SUM($G244:CA244)-$E243)&lt;CA244,SUM($G244:CA244)-$E243,CA244))</f>
        <v>31</v>
      </c>
      <c r="CB417" s="405">
        <f ca="1">IF((SUM($G244:CB244)-$E243)&lt;0,0,IF((SUM($G244:CB244)-$E243)&lt;CB244,SUM($G244:CB244)-$E243,CB244))</f>
        <v>30</v>
      </c>
      <c r="CC417" s="405">
        <f ca="1">IF((SUM($G244:CC244)-$E243)&lt;0,0,IF((SUM($G244:CC244)-$E243)&lt;CC244,SUM($G244:CC244)-$E243,CC244))</f>
        <v>31</v>
      </c>
      <c r="CD417" s="405">
        <f ca="1">IF((SUM($G244:CD244)-$E243)&lt;0,0,IF((SUM($G244:CD244)-$E243)&lt;CD244,SUM($G244:CD244)-$E243,CD244))</f>
        <v>30</v>
      </c>
      <c r="CE417" s="405">
        <f ca="1">IF((SUM($G244:CE244)-$E243)&lt;0,0,IF((SUM($G244:CE244)-$E243)&lt;CE244,SUM($G244:CE244)-$E243,CE244))</f>
        <v>31</v>
      </c>
      <c r="CF417" s="405">
        <f ca="1">IF((SUM($G244:CF244)-$E243)&lt;0,0,IF((SUM($G244:CF244)-$E243)&lt;CF244,SUM($G244:CF244)-$E243,CF244))</f>
        <v>31</v>
      </c>
      <c r="CG417" s="405">
        <f ca="1">IF((SUM($G244:CG244)-$E243)&lt;0,0,IF((SUM($G244:CG244)-$E243)&lt;CG244,SUM($G244:CG244)-$E243,CG244))</f>
        <v>30</v>
      </c>
      <c r="CH417" s="405">
        <f ca="1">IF((SUM($G244:CH244)-$E243)&lt;0,0,IF((SUM($G244:CH244)-$E243)&lt;CH244,SUM($G244:CH244)-$E243,CH244))</f>
        <v>31</v>
      </c>
      <c r="CI417" s="405">
        <f ca="1">IF((SUM($G244:CI244)-$E243)&lt;0,0,IF((SUM($G244:CI244)-$E243)&lt;CI244,SUM($G244:CI244)-$E243,CI244))</f>
        <v>30</v>
      </c>
      <c r="CJ417" s="405">
        <f ca="1">IF((SUM($G244:CJ244)-$E243)&lt;0,0,IF((SUM($G244:CJ244)-$E243)&lt;CJ244,SUM($G244:CJ244)-$E243,CJ244))</f>
        <v>31</v>
      </c>
      <c r="CK417" s="405">
        <f ca="1">IF((SUM($G244:CK244)-$E243)&lt;0,0,IF((SUM($G244:CK244)-$E243)&lt;CK244,SUM($G244:CK244)-$E243,CK244))</f>
        <v>31</v>
      </c>
      <c r="CL417" s="405">
        <f ca="1">IF((SUM($G244:CL244)-$E243)&lt;0,0,IF((SUM($G244:CL244)-$E243)&lt;CL244,SUM($G244:CL244)-$E243,CL244))</f>
        <v>28</v>
      </c>
      <c r="CM417" s="405">
        <f ca="1">IF((SUM($G244:CM244)-$E243)&lt;0,0,IF((SUM($G244:CM244)-$E243)&lt;CM244,SUM($G244:CM244)-$E243,CM244))</f>
        <v>31</v>
      </c>
      <c r="CN417" s="405">
        <f ca="1">IF((SUM($G244:CN244)-$E243)&lt;0,0,IF((SUM($G244:CN244)-$E243)&lt;CN244,SUM($G244:CN244)-$E243,CN244))</f>
        <v>30</v>
      </c>
      <c r="CO417" s="405">
        <f ca="1">IF((SUM($G244:CO244)-$E243)&lt;0,0,IF((SUM($G244:CO244)-$E243)&lt;CO244,SUM($G244:CO244)-$E243,CO244))</f>
        <v>31</v>
      </c>
      <c r="CP417" s="405">
        <f ca="1">IF((SUM($G244:CP244)-$E243)&lt;0,0,IF((SUM($G244:CP244)-$E243)&lt;CP244,SUM($G244:CP244)-$E243,CP244))</f>
        <v>30</v>
      </c>
      <c r="CQ417" s="405">
        <f ca="1">IF((SUM($G244:CQ244)-$E243)&lt;0,0,IF((SUM($G244:CQ244)-$E243)&lt;CQ244,SUM($G244:CQ244)-$E243,CQ244))</f>
        <v>31</v>
      </c>
      <c r="CR417" s="405">
        <f ca="1">IF((SUM($G244:CR244)-$E243)&lt;0,0,IF((SUM($G244:CR244)-$E243)&lt;CR244,SUM($G244:CR244)-$E243,CR244))</f>
        <v>31</v>
      </c>
      <c r="CS417" s="405">
        <f ca="1">IF((SUM($G244:CS244)-$E243)&lt;0,0,IF((SUM($G244:CS244)-$E243)&lt;CS244,SUM($G244:CS244)-$E243,CS244))</f>
        <v>30</v>
      </c>
      <c r="CT417" s="405">
        <f ca="1">IF((SUM($G244:CT244)-$E243)&lt;0,0,IF((SUM($G244:CT244)-$E243)&lt;CT244,SUM($G244:CT244)-$E243,CT244))</f>
        <v>31</v>
      </c>
      <c r="CU417" s="405">
        <f ca="1">IF((SUM($G244:CU244)-$E243)&lt;0,0,IF((SUM($G244:CU244)-$E243)&lt;CU244,SUM($G244:CU244)-$E243,CU244))</f>
        <v>30</v>
      </c>
      <c r="CV417" s="405">
        <f ca="1">IF((SUM($G244:CV244)-$E243)&lt;0,0,IF((SUM($G244:CV244)-$E243)&lt;CV244,SUM($G244:CV244)-$E243,CV244))</f>
        <v>31</v>
      </c>
      <c r="CW417" s="405">
        <f ca="1">IF((SUM($G244:CW244)-$E243)&lt;0,0,IF((SUM($G244:CW244)-$E243)&lt;CW244,SUM($G244:CW244)-$E243,CW244))</f>
        <v>31</v>
      </c>
      <c r="CX417" s="405">
        <f ca="1">IF((SUM($G244:CX244)-$E243)&lt;0,0,IF((SUM($G244:CX244)-$E243)&lt;CX244,SUM($G244:CX244)-$E243,CX244))</f>
        <v>28</v>
      </c>
      <c r="CY417" s="405">
        <f ca="1">IF((SUM($G244:CY244)-$E243)&lt;0,0,IF((SUM($G244:CY244)-$E243)&lt;CY244,SUM($G244:CY244)-$E243,CY244))</f>
        <v>31</v>
      </c>
      <c r="CZ417" s="405">
        <f ca="1">IF((SUM($G244:CZ244)-$E243)&lt;0,0,IF((SUM($G244:CZ244)-$E243)&lt;CZ244,SUM($G244:CZ244)-$E243,CZ244))</f>
        <v>30</v>
      </c>
      <c r="DA417" s="405">
        <f ca="1">IF((SUM($G244:DA244)-$E243)&lt;0,0,IF((SUM($G244:DA244)-$E243)&lt;DA244,SUM($G244:DA244)-$E243,DA244))</f>
        <v>31</v>
      </c>
      <c r="DB417" s="405">
        <f ca="1">IF((SUM($G244:DB244)-$E243)&lt;0,0,IF((SUM($G244:DB244)-$E243)&lt;DB244,SUM($G244:DB244)-$E243,DB244))</f>
        <v>30</v>
      </c>
      <c r="DC417" s="405">
        <f ca="1">IF((SUM($G244:DC244)-$E243)&lt;0,0,IF((SUM($G244:DC244)-$E243)&lt;DC244,SUM($G244:DC244)-$E243,DC244))</f>
        <v>31</v>
      </c>
      <c r="DD417" s="405">
        <f ca="1">IF((SUM($G244:DD244)-$E243)&lt;0,0,IF((SUM($G244:DD244)-$E243)&lt;DD244,SUM($G244:DD244)-$E243,DD244))</f>
        <v>31</v>
      </c>
      <c r="DE417" s="405">
        <f ca="1">IF((SUM($G244:DE244)-$E243)&lt;0,0,IF((SUM($G244:DE244)-$E243)&lt;DE244,SUM($G244:DE244)-$E243,DE244))</f>
        <v>30</v>
      </c>
      <c r="DF417" s="405">
        <f ca="1">IF((SUM($G244:DF244)-$E243)&lt;0,0,IF((SUM($G244:DF244)-$E243)&lt;DF244,SUM($G244:DF244)-$E243,DF244))</f>
        <v>31</v>
      </c>
      <c r="DG417" s="405">
        <f ca="1">IF((SUM($G244:DG244)-$E243)&lt;0,0,IF((SUM($G244:DG244)-$E243)&lt;DG244,SUM($G244:DG244)-$E243,DG244))</f>
        <v>30</v>
      </c>
      <c r="DH417" s="405">
        <f ca="1">IF((SUM($G244:DH244)-$E243)&lt;0,0,IF((SUM($G244:DH244)-$E243)&lt;DH244,SUM($G244:DH244)-$E243,DH244))</f>
        <v>31</v>
      </c>
      <c r="DI417" s="405">
        <f ca="1">IF((SUM($G244:DI244)-$E243)&lt;0,0,IF((SUM($G244:DI244)-$E243)&lt;DI244,SUM($G244:DI244)-$E243,DI244))</f>
        <v>31</v>
      </c>
      <c r="DJ417" s="405">
        <f ca="1">IF((SUM($G244:DJ244)-$E243)&lt;0,0,IF((SUM($G244:DJ244)-$E243)&lt;DJ244,SUM($G244:DJ244)-$E243,DJ244))</f>
        <v>29</v>
      </c>
      <c r="DK417" s="405">
        <f ca="1">IF((SUM($G244:DK244)-$E243)&lt;0,0,IF((SUM($G244:DK244)-$E243)&lt;DK244,SUM($G244:DK244)-$E243,DK244))</f>
        <v>31</v>
      </c>
      <c r="DL417" s="405">
        <f ca="1">IF((SUM($G244:DL244)-$E243)&lt;0,0,IF((SUM($G244:DL244)-$E243)&lt;DL244,SUM($G244:DL244)-$E243,DL244))</f>
        <v>30</v>
      </c>
      <c r="DM417" s="405">
        <f ca="1">IF((SUM($G244:DM244)-$E243)&lt;0,0,IF((SUM($G244:DM244)-$E243)&lt;DM244,SUM($G244:DM244)-$E243,DM244))</f>
        <v>31</v>
      </c>
      <c r="DN417" s="405">
        <f ca="1">IF((SUM($G244:DN244)-$E243)&lt;0,0,IF((SUM($G244:DN244)-$E243)&lt;DN244,SUM($G244:DN244)-$E243,DN244))</f>
        <v>30</v>
      </c>
      <c r="DO417" s="405">
        <f ca="1">IF((SUM($G244:DO244)-$E243)&lt;0,0,IF((SUM($G244:DO244)-$E243)&lt;DO244,SUM($G244:DO244)-$E243,DO244))</f>
        <v>31</v>
      </c>
      <c r="DP417" s="405">
        <f ca="1">IF((SUM($G244:DP244)-$E243)&lt;0,0,IF((SUM($G244:DP244)-$E243)&lt;DP244,SUM($G244:DP244)-$E243,DP244))</f>
        <v>31</v>
      </c>
      <c r="DQ417" s="405">
        <f ca="1">IF((SUM($G244:DQ244)-$E243)&lt;0,0,IF((SUM($G244:DQ244)-$E243)&lt;DQ244,SUM($G244:DQ244)-$E243,DQ244))</f>
        <v>30</v>
      </c>
      <c r="DR417" s="405">
        <f ca="1">IF((SUM($G244:DR244)-$E243)&lt;0,0,IF((SUM($G244:DR244)-$E243)&lt;DR244,SUM($G244:DR244)-$E243,DR244))</f>
        <v>31</v>
      </c>
      <c r="DS417" s="405">
        <f ca="1">IF((SUM($G244:DS244)-$E243)&lt;0,0,IF((SUM($G244:DS244)-$E243)&lt;DS244,SUM($G244:DS244)-$E243,DS244))</f>
        <v>30</v>
      </c>
      <c r="DT417" s="405">
        <f ca="1">IF((SUM($G244:DT244)-$E243)&lt;0,0,IF((SUM($G244:DT244)-$E243)&lt;DT244,SUM($G244:DT244)-$E243,DT244))</f>
        <v>31</v>
      </c>
      <c r="DU417" s="405">
        <f ca="1">IF((SUM($G244:DU244)-$E243)&lt;0,0,IF((SUM($G244:DU244)-$E243)&lt;DU244,SUM($G244:DU244)-$E243,DU244))</f>
        <v>31</v>
      </c>
      <c r="DV417" s="405">
        <f ca="1">IF((SUM($G244:DV244)-$E243)&lt;0,0,IF((SUM($G244:DV244)-$E243)&lt;DV244,SUM($G244:DV244)-$E243,DV244))</f>
        <v>28</v>
      </c>
      <c r="DW417" s="405">
        <f ca="1">IF((SUM($G244:DW244)-$E243)&lt;0,0,IF((SUM($G244:DW244)-$E243)&lt;DW244,SUM($G244:DW244)-$E243,DW244))</f>
        <v>31</v>
      </c>
      <c r="DX417" s="405">
        <f ca="1">IF((SUM($G244:DX244)-$E243)&lt;0,0,IF((SUM($G244:DX244)-$E243)&lt;DX244,SUM($G244:DX244)-$E243,DX244))</f>
        <v>30</v>
      </c>
      <c r="DY417" s="405">
        <f ca="1">IF((SUM($G244:DY244)-$E243)&lt;0,0,IF((SUM($G244:DY244)-$E243)&lt;DY244,SUM($G244:DY244)-$E243,DY244))</f>
        <v>31</v>
      </c>
      <c r="DZ417" s="405">
        <f ca="1">IF((SUM($G244:DZ244)-$E243)&lt;0,0,IF((SUM($G244:DZ244)-$E243)&lt;DZ244,SUM($G244:DZ244)-$E243,DZ244))</f>
        <v>30</v>
      </c>
      <c r="EA417" s="405">
        <f ca="1">IF((SUM($G244:EA244)-$E243)&lt;0,0,IF((SUM($G244:EA244)-$E243)&lt;EA244,SUM($G244:EA244)-$E243,EA244))</f>
        <v>31</v>
      </c>
      <c r="EB417" s="405">
        <f ca="1">IF((SUM($G244:EB244)-$E243)&lt;0,0,IF((SUM($G244:EB244)-$E243)&lt;EB244,SUM($G244:EB244)-$E243,EB244))</f>
        <v>31</v>
      </c>
      <c r="EC417" s="405">
        <f ca="1">IF((SUM($G244:EC244)-$E243)&lt;0,0,IF((SUM($G244:EC244)-$E243)&lt;EC244,SUM($G244:EC244)-$E243,EC244))</f>
        <v>30</v>
      </c>
      <c r="ED417" s="405">
        <f ca="1">IF((SUM($G244:ED244)-$E243)&lt;0,0,IF((SUM($G244:ED244)-$E243)&lt;ED244,SUM($G244:ED244)-$E243,ED244))</f>
        <v>31</v>
      </c>
      <c r="EE417" s="405">
        <f ca="1">IF((SUM($G244:EE244)-$E243)&lt;0,0,IF((SUM($G244:EE244)-$E243)&lt;EE244,SUM($G244:EE244)-$E243,EE244))</f>
        <v>30</v>
      </c>
      <c r="EF417" s="405">
        <f ca="1">IF((SUM($G244:EF244)-$E243)&lt;0,0,IF((SUM($G244:EF244)-$E243)&lt;EF244,SUM($G244:EF244)-$E243,EF244))</f>
        <v>31</v>
      </c>
      <c r="EG417" s="405">
        <f ca="1">IF((SUM($G244:EG244)-$E243)&lt;0,0,IF((SUM($G244:EG244)-$E243)&lt;EG244,SUM($G244:EG244)-$E243,EG244))</f>
        <v>31</v>
      </c>
      <c r="EH417" s="405">
        <f ca="1">IF((SUM($G244:EH244)-$E243)&lt;0,0,IF((SUM($G244:EH244)-$E243)&lt;EH244,SUM($G244:EH244)-$E243,EH244))</f>
        <v>28</v>
      </c>
      <c r="EI417" s="405">
        <f ca="1">IF((SUM($G244:EI244)-$E243)&lt;0,0,IF((SUM($G244:EI244)-$E243)&lt;EI244,SUM($G244:EI244)-$E243,EI244))</f>
        <v>31</v>
      </c>
    </row>
    <row r="418" spans="1:139" hidden="1" outlineLevel="2">
      <c r="A418" s="332"/>
      <c r="D418" s="305" t="s">
        <v>670</v>
      </c>
      <c r="E418" s="403">
        <f ca="1">MIN(G418:EI418)</f>
        <v>45627</v>
      </c>
      <c r="F418" s="404">
        <f ca="1">MAX(G418:EI418)</f>
        <v>45627</v>
      </c>
      <c r="G418" s="403" t="str">
        <f ca="1">IF(G416=0,"",IF(SUM($G416:G416)&gt;=1,OFFSET(G$228,-1,0),""))</f>
        <v/>
      </c>
      <c r="H418" s="403" t="str">
        <f ca="1">IF(SUM($G418:G418)&gt;=1,"",IF(H416=0,"",IF(SUM($G416:H416)&gt;=1,OFFSET(H$228,-1,0),"")))</f>
        <v/>
      </c>
      <c r="I418" s="403" t="str">
        <f ca="1">IF(SUM($G418:H418)&gt;=1,"",IF(I416=0,"",IF(SUM($G416:I416)&gt;=1,OFFSET(I$228,-1,0),"")))</f>
        <v/>
      </c>
      <c r="J418" s="403" t="str">
        <f ca="1">IF(SUM($G418:I418)&gt;=1,"",IF(J416=0,"",IF(SUM($G416:J416)&gt;=1,OFFSET(J$228,-1,0),"")))</f>
        <v/>
      </c>
      <c r="K418" s="403" t="str">
        <f ca="1">IF(SUM($G418:J418)&gt;=1,"",IF(K416=0,"",IF(SUM($G416:K416)&gt;=1,OFFSET(K$228,-1,0),"")))</f>
        <v/>
      </c>
      <c r="L418" s="403" t="str">
        <f ca="1">IF(SUM($G418:K418)&gt;=1,"",IF(L416=0,"",IF(SUM($G416:L416)&gt;=1,OFFSET(L$228,-1,0),"")))</f>
        <v/>
      </c>
      <c r="M418" s="403" t="str">
        <f ca="1">IF(SUM($G418:L418)&gt;=1,"",IF(M416=0,"",IF(SUM($G416:M416)&gt;=1,OFFSET(M$228,-1,0),"")))</f>
        <v/>
      </c>
      <c r="N418" s="403" t="str">
        <f ca="1">IF(SUM($G418:M418)&gt;=1,"",IF(N416=0,"",IF(SUM($G416:N416)&gt;=1,OFFSET(N$228,-1,0),"")))</f>
        <v/>
      </c>
      <c r="O418" s="403" t="str">
        <f ca="1">IF(SUM($G418:N418)&gt;=1,"",IF(O416=0,"",IF(SUM($G416:O416)&gt;=1,OFFSET(O$228,-1,0),"")))</f>
        <v/>
      </c>
      <c r="P418" s="403" t="str">
        <f ca="1">IF(SUM($G418:O418)&gt;=1,"",IF(P416=0,"",IF(SUM($G416:P416)&gt;=1,OFFSET(P$228,-1,0),"")))</f>
        <v/>
      </c>
      <c r="Q418" s="403" t="str">
        <f ca="1">IF(SUM($G418:P418)&gt;=1,"",IF(Q416=0,"",IF(SUM($G416:Q416)&gt;=1,OFFSET(Q$228,-1,0),"")))</f>
        <v/>
      </c>
      <c r="R418" s="403" t="str">
        <f ca="1">IF(SUM($G418:Q418)&gt;=1,"",IF(R416=0,"",IF(SUM($G416:R416)&gt;=1,OFFSET(R$228,-1,0),"")))</f>
        <v/>
      </c>
      <c r="S418" s="403" t="str">
        <f ca="1">IF(SUM($G418:R418)&gt;=1,"",IF(S416=0,"",IF(SUM($G416:S416)&gt;=1,OFFSET(S$228,-1,0),"")))</f>
        <v/>
      </c>
      <c r="T418" s="403" t="str">
        <f ca="1">IF(SUM($G418:S418)&gt;=1,"",IF(T416=0,"",IF(SUM($G416:T416)&gt;=1,OFFSET(T$228,-1,0),"")))</f>
        <v/>
      </c>
      <c r="U418" s="403" t="str">
        <f ca="1">IF(SUM($G418:T418)&gt;=1,"",IF(U416=0,"",IF(SUM($G416:U416)&gt;=1,OFFSET(U$228,-1,0),"")))</f>
        <v/>
      </c>
      <c r="V418" s="403" t="str">
        <f ca="1">IF(SUM($G418:U418)&gt;=1,"",IF(V416=0,"",IF(SUM($G416:V416)&gt;=1,OFFSET(V$228,-1,0),"")))</f>
        <v/>
      </c>
      <c r="W418" s="403" t="str">
        <f ca="1">IF(SUM($G418:V418)&gt;=1,"",IF(W416=0,"",IF(SUM($G416:W416)&gt;=1,OFFSET(W$228,-1,0),"")))</f>
        <v/>
      </c>
      <c r="X418" s="403" t="str">
        <f ca="1">IF(SUM($G418:W418)&gt;=1,"",IF(X416=0,"",IF(SUM($G416:X416)&gt;=1,OFFSET(X$228,-1,0),"")))</f>
        <v/>
      </c>
      <c r="Y418" s="403" t="str">
        <f ca="1">IF(SUM($G418:X418)&gt;=1,"",IF(Y416=0,"",IF(SUM($G416:Y416)&gt;=1,OFFSET(Y$228,-1,0),"")))</f>
        <v/>
      </c>
      <c r="Z418" s="403" t="str">
        <f ca="1">IF(SUM($G418:Y418)&gt;=1,"",IF(Z416=0,"",IF(SUM($G416:Z416)&gt;=1,OFFSET(Z$228,-1,0),"")))</f>
        <v/>
      </c>
      <c r="AA418" s="403" t="str">
        <f ca="1">IF(SUM($G418:Z418)&gt;=1,"",IF(AA416=0,"",IF(SUM($G416:AA416)&gt;=1,OFFSET(AA$228,-1,0),"")))</f>
        <v/>
      </c>
      <c r="AB418" s="403">
        <f ca="1">IF(SUM($G418:AA418)&gt;=1,"",IF(AB416=0,"",IF(SUM($G416:AB416)&gt;=1,OFFSET(AB$228,-1,0),"")))</f>
        <v>45627</v>
      </c>
      <c r="AC418" s="403" t="str">
        <f ca="1">IF(SUM($G418:AB418)&gt;=1,"",IF(AC416=0,"",IF(SUM($G416:AC416)&gt;=1,OFFSET(AC$228,-1,0),"")))</f>
        <v/>
      </c>
      <c r="AD418" s="403" t="str">
        <f ca="1">IF(SUM($G418:AC418)&gt;=1,"",IF(AD416=0,"",IF(SUM($G416:AD416)&gt;=1,OFFSET(AD$228,-1,0),"")))</f>
        <v/>
      </c>
      <c r="AE418" s="403" t="str">
        <f ca="1">IF(SUM($G418:AD418)&gt;=1,"",IF(AE416=0,"",IF(SUM($G416:AE416)&gt;=1,OFFSET(AE$228,-1,0),"")))</f>
        <v/>
      </c>
      <c r="AF418" s="403" t="str">
        <f ca="1">IF(SUM($G418:AE418)&gt;=1,"",IF(AF416=0,"",IF(SUM($G416:AF416)&gt;=1,OFFSET(AF$228,-1,0),"")))</f>
        <v/>
      </c>
      <c r="AG418" s="403" t="str">
        <f ca="1">IF(SUM($G418:AF418)&gt;=1,"",IF(AG416=0,"",IF(SUM($G416:AG416)&gt;=1,OFFSET(AG$228,-1,0),"")))</f>
        <v/>
      </c>
      <c r="AH418" s="403" t="str">
        <f ca="1">IF(SUM($G418:AG418)&gt;=1,"",IF(AH416=0,"",IF(SUM($G416:AH416)&gt;=1,OFFSET(AH$228,-1,0),"")))</f>
        <v/>
      </c>
      <c r="AI418" s="403" t="str">
        <f ca="1">IF(SUM($G418:AH418)&gt;=1,"",IF(AI416=0,"",IF(SUM($G416:AI416)&gt;=1,OFFSET(AI$228,-1,0),"")))</f>
        <v/>
      </c>
      <c r="AJ418" s="403" t="str">
        <f ca="1">IF(SUM($G418:AI418)&gt;=1,"",IF(AJ416=0,"",IF(SUM($G416:AJ416)&gt;=1,OFFSET(AJ$228,-1,0),"")))</f>
        <v/>
      </c>
      <c r="AK418" s="403" t="str">
        <f ca="1">IF(SUM($G418:AJ418)&gt;=1,"",IF(AK416=0,"",IF(SUM($G416:AK416)&gt;=1,OFFSET(AK$228,-1,0),"")))</f>
        <v/>
      </c>
      <c r="AL418" s="403" t="str">
        <f ca="1">IF(SUM($G418:AK418)&gt;=1,"",IF(AL416=0,"",IF(SUM($G416:AL416)&gt;=1,OFFSET(AL$228,-1,0),"")))</f>
        <v/>
      </c>
      <c r="AM418" s="403" t="str">
        <f ca="1">IF(SUM($G418:AL418)&gt;=1,"",IF(AM416=0,"",IF(SUM($G416:AM416)&gt;=1,OFFSET(AM$228,-1,0),"")))</f>
        <v/>
      </c>
      <c r="AN418" s="403" t="str">
        <f ca="1">IF(SUM($G418:AM418)&gt;=1,"",IF(AN416=0,"",IF(SUM($G416:AN416)&gt;=1,OFFSET(AN$228,-1,0),"")))</f>
        <v/>
      </c>
      <c r="AO418" s="403" t="str">
        <f ca="1">IF(SUM($G418:AN418)&gt;=1,"",IF(AO416=0,"",IF(SUM($G416:AO416)&gt;=1,OFFSET(AO$228,-1,0),"")))</f>
        <v/>
      </c>
      <c r="AP418" s="403" t="str">
        <f ca="1">IF(SUM($G418:AO418)&gt;=1,"",IF(AP416=0,"",IF(SUM($G416:AP416)&gt;=1,OFFSET(AP$228,-1,0),"")))</f>
        <v/>
      </c>
      <c r="AQ418" s="403" t="str">
        <f ca="1">IF(SUM($G418:AP418)&gt;=1,"",IF(AQ416=0,"",IF(SUM($G416:AQ416)&gt;=1,OFFSET(AQ$228,-1,0),"")))</f>
        <v/>
      </c>
      <c r="AR418" s="403" t="str">
        <f ca="1">IF(SUM($G418:AQ418)&gt;=1,"",IF(AR416=0,"",IF(SUM($G416:AR416)&gt;=1,OFFSET(AR$228,-1,0),"")))</f>
        <v/>
      </c>
      <c r="AS418" s="403" t="str">
        <f ca="1">IF(SUM($G418:AR418)&gt;=1,"",IF(AS416=0,"",IF(SUM($G416:AS416)&gt;=1,OFFSET(AS$228,-1,0),"")))</f>
        <v/>
      </c>
      <c r="AT418" s="403" t="str">
        <f ca="1">IF(SUM($G418:AS418)&gt;=1,"",IF(AT416=0,"",IF(SUM($G416:AT416)&gt;=1,OFFSET(AT$228,-1,0),"")))</f>
        <v/>
      </c>
      <c r="AU418" s="403" t="str">
        <f ca="1">IF(SUM($G418:AT418)&gt;=1,"",IF(AU416=0,"",IF(SUM($G416:AU416)&gt;=1,OFFSET(AU$228,-1,0),"")))</f>
        <v/>
      </c>
      <c r="AV418" s="403" t="str">
        <f ca="1">IF(SUM($G418:AU418)&gt;=1,"",IF(AV416=0,"",IF(SUM($G416:AV416)&gt;=1,OFFSET(AV$228,-1,0),"")))</f>
        <v/>
      </c>
      <c r="AW418" s="403" t="str">
        <f ca="1">IF(SUM($G418:AV418)&gt;=1,"",IF(AW416=0,"",IF(SUM($G416:AW416)&gt;=1,OFFSET(AW$228,-1,0),"")))</f>
        <v/>
      </c>
      <c r="AX418" s="403" t="str">
        <f ca="1">IF(SUM($G418:AW418)&gt;=1,"",IF(AX416=0,"",IF(SUM($G416:AX416)&gt;=1,OFFSET(AX$228,-1,0),"")))</f>
        <v/>
      </c>
      <c r="AY418" s="403" t="str">
        <f ca="1">IF(SUM($G418:AX418)&gt;=1,"",IF(AY416=0,"",IF(SUM($G416:AY416)&gt;=1,OFFSET(AY$228,-1,0),"")))</f>
        <v/>
      </c>
      <c r="AZ418" s="403" t="str">
        <f ca="1">IF(SUM($G418:AY418)&gt;=1,"",IF(AZ416=0,"",IF(SUM($G416:AZ416)&gt;=1,OFFSET(AZ$228,-1,0),"")))</f>
        <v/>
      </c>
      <c r="BA418" s="403" t="str">
        <f ca="1">IF(SUM($G418:AZ418)&gt;=1,"",IF(BA416=0,"",IF(SUM($G416:BA416)&gt;=1,OFFSET(BA$228,-1,0),"")))</f>
        <v/>
      </c>
      <c r="BB418" s="403" t="str">
        <f ca="1">IF(SUM($G418:BA418)&gt;=1,"",IF(BB416=0,"",IF(SUM($G416:BB416)&gt;=1,OFFSET(BB$228,-1,0),"")))</f>
        <v/>
      </c>
      <c r="BC418" s="403" t="str">
        <f ca="1">IF(SUM($G418:BB418)&gt;=1,"",IF(BC416=0,"",IF(SUM($G416:BC416)&gt;=1,OFFSET(BC$228,-1,0),"")))</f>
        <v/>
      </c>
      <c r="BD418" s="403" t="str">
        <f ca="1">IF(SUM($G418:BC418)&gt;=1,"",IF(BD416=0,"",IF(SUM($G416:BD416)&gt;=1,OFFSET(BD$228,-1,0),"")))</f>
        <v/>
      </c>
      <c r="BE418" s="403" t="str">
        <f ca="1">IF(SUM($G418:BD418)&gt;=1,"",IF(BE416=0,"",IF(SUM($G416:BE416)&gt;=1,OFFSET(BE$228,-1,0),"")))</f>
        <v/>
      </c>
      <c r="BF418" s="403" t="str">
        <f ca="1">IF(SUM($G418:BE418)&gt;=1,"",IF(BF416=0,"",IF(SUM($G416:BF416)&gt;=1,OFFSET(BF$228,-1,0),"")))</f>
        <v/>
      </c>
      <c r="BG418" s="403" t="str">
        <f ca="1">IF(SUM($G418:BF418)&gt;=1,"",IF(BG416=0,"",IF(SUM($G416:BG416)&gt;=1,OFFSET(BG$228,-1,0),"")))</f>
        <v/>
      </c>
      <c r="BH418" s="403" t="str">
        <f ca="1">IF(SUM($G418:BG418)&gt;=1,"",IF(BH416=0,"",IF(SUM($G416:BH416)&gt;=1,OFFSET(BH$228,-1,0),"")))</f>
        <v/>
      </c>
      <c r="BI418" s="403" t="str">
        <f ca="1">IF(SUM($G418:BH418)&gt;=1,"",IF(BI416=0,"",IF(SUM($G416:BI416)&gt;=1,OFFSET(BI$228,-1,0),"")))</f>
        <v/>
      </c>
      <c r="BJ418" s="403" t="str">
        <f ca="1">IF(SUM($G418:BI418)&gt;=1,"",IF(BJ416=0,"",IF(SUM($G416:BJ416)&gt;=1,OFFSET(BJ$228,-1,0),"")))</f>
        <v/>
      </c>
      <c r="BK418" s="403" t="str">
        <f ca="1">IF(SUM($G418:BJ418)&gt;=1,"",IF(BK416=0,"",IF(SUM($G416:BK416)&gt;=1,OFFSET(BK$228,-1,0),"")))</f>
        <v/>
      </c>
      <c r="BL418" s="403" t="str">
        <f ca="1">IF(SUM($G418:BK418)&gt;=1,"",IF(BL416=0,"",IF(SUM($G416:BL416)&gt;=1,OFFSET(BL$228,-1,0),"")))</f>
        <v/>
      </c>
      <c r="BM418" s="403" t="str">
        <f ca="1">IF(SUM($G418:BL418)&gt;=1,"",IF(BM416=0,"",IF(SUM($G416:BM416)&gt;=1,OFFSET(BM$228,-1,0),"")))</f>
        <v/>
      </c>
      <c r="BN418" s="403" t="str">
        <f ca="1">IF(SUM($G418:BM418)&gt;=1,"",IF(BN416=0,"",IF(SUM($G416:BN416)&gt;=1,OFFSET(BN$228,-1,0),"")))</f>
        <v/>
      </c>
      <c r="BO418" s="403" t="str">
        <f ca="1">IF(SUM($G418:BN418)&gt;=1,"",IF(BO416=0,"",IF(SUM($G416:BO416)&gt;=1,OFFSET(BO$228,-1,0),"")))</f>
        <v/>
      </c>
      <c r="BP418" s="403" t="str">
        <f ca="1">IF(SUM($G418:BO418)&gt;=1,"",IF(BP416=0,"",IF(SUM($G416:BP416)&gt;=1,OFFSET(BP$228,-1,0),"")))</f>
        <v/>
      </c>
      <c r="BQ418" s="403" t="str">
        <f ca="1">IF(SUM($G418:BP418)&gt;=1,"",IF(BQ416=0,"",IF(SUM($G416:BQ416)&gt;=1,OFFSET(BQ$228,-1,0),"")))</f>
        <v/>
      </c>
      <c r="BR418" s="403" t="str">
        <f ca="1">IF(SUM($G418:BQ418)&gt;=1,"",IF(BR416=0,"",IF(SUM($G416:BR416)&gt;=1,OFFSET(BR$228,-1,0),"")))</f>
        <v/>
      </c>
      <c r="BS418" s="403" t="str">
        <f ca="1">IF(SUM($G418:BR418)&gt;=1,"",IF(BS416=0,"",IF(SUM($G416:BS416)&gt;=1,OFFSET(BS$228,-1,0),"")))</f>
        <v/>
      </c>
      <c r="BT418" s="403" t="str">
        <f ca="1">IF(SUM($G418:BS418)&gt;=1,"",IF(BT416=0,"",IF(SUM($G416:BT416)&gt;=1,OFFSET(BT$228,-1,0),"")))</f>
        <v/>
      </c>
      <c r="BU418" s="403" t="str">
        <f ca="1">IF(SUM($G418:BT418)&gt;=1,"",IF(BU416=0,"",IF(SUM($G416:BU416)&gt;=1,OFFSET(BU$228,-1,0),"")))</f>
        <v/>
      </c>
      <c r="BV418" s="403" t="str">
        <f ca="1">IF(SUM($G418:BU418)&gt;=1,"",IF(BV416=0,"",IF(SUM($G416:BV416)&gt;=1,OFFSET(BV$228,-1,0),"")))</f>
        <v/>
      </c>
      <c r="BW418" s="403" t="str">
        <f ca="1">IF(SUM($G418:BV418)&gt;=1,"",IF(BW416=0,"",IF(SUM($G416:BW416)&gt;=1,OFFSET(BW$228,-1,0),"")))</f>
        <v/>
      </c>
      <c r="BX418" s="403" t="str">
        <f ca="1">IF(SUM($G418:BW418)&gt;=1,"",IF(BX416=0,"",IF(SUM($G416:BX416)&gt;=1,OFFSET(BX$228,-1,0),"")))</f>
        <v/>
      </c>
      <c r="BY418" s="403" t="str">
        <f ca="1">IF(SUM($G418:BX418)&gt;=1,"",IF(BY416=0,"",IF(SUM($G416:BY416)&gt;=1,OFFSET(BY$228,-1,0),"")))</f>
        <v/>
      </c>
      <c r="BZ418" s="403" t="str">
        <f ca="1">IF(SUM($G418:BY418)&gt;=1,"",IF(BZ416=0,"",IF(SUM($G416:BZ416)&gt;=1,OFFSET(BZ$228,-1,0),"")))</f>
        <v/>
      </c>
      <c r="CA418" s="403" t="str">
        <f ca="1">IF(SUM($G418:BZ418)&gt;=1,"",IF(CA416=0,"",IF(SUM($G416:CA416)&gt;=1,OFFSET(CA$228,-1,0),"")))</f>
        <v/>
      </c>
      <c r="CB418" s="403" t="str">
        <f ca="1">IF(SUM($G418:CA418)&gt;=1,"",IF(CB416=0,"",IF(SUM($G416:CB416)&gt;=1,OFFSET(CB$228,-1,0),"")))</f>
        <v/>
      </c>
      <c r="CC418" s="403" t="str">
        <f ca="1">IF(SUM($G418:CB418)&gt;=1,"",IF(CC416=0,"",IF(SUM($G416:CC416)&gt;=1,OFFSET(CC$228,-1,0),"")))</f>
        <v/>
      </c>
      <c r="CD418" s="403" t="str">
        <f ca="1">IF(SUM($G418:CC418)&gt;=1,"",IF(CD416=0,"",IF(SUM($G416:CD416)&gt;=1,OFFSET(CD$228,-1,0),"")))</f>
        <v/>
      </c>
      <c r="CE418" s="403" t="str">
        <f ca="1">IF(SUM($G418:CD418)&gt;=1,"",IF(CE416=0,"",IF(SUM($G416:CE416)&gt;=1,OFFSET(CE$228,-1,0),"")))</f>
        <v/>
      </c>
      <c r="CF418" s="403" t="str">
        <f ca="1">IF(SUM($G418:CE418)&gt;=1,"",IF(CF416=0,"",IF(SUM($G416:CF416)&gt;=1,OFFSET(CF$228,-1,0),"")))</f>
        <v/>
      </c>
      <c r="CG418" s="403" t="str">
        <f ca="1">IF(SUM($G418:CF418)&gt;=1,"",IF(CG416=0,"",IF(SUM($G416:CG416)&gt;=1,OFFSET(CG$228,-1,0),"")))</f>
        <v/>
      </c>
      <c r="CH418" s="403" t="str">
        <f ca="1">IF(SUM($G418:CG418)&gt;=1,"",IF(CH416=0,"",IF(SUM($G416:CH416)&gt;=1,OFFSET(CH$228,-1,0),"")))</f>
        <v/>
      </c>
      <c r="CI418" s="403" t="str">
        <f ca="1">IF(SUM($G418:CH418)&gt;=1,"",IF(CI416=0,"",IF(SUM($G416:CI416)&gt;=1,OFFSET(CI$228,-1,0),"")))</f>
        <v/>
      </c>
      <c r="CJ418" s="403" t="str">
        <f ca="1">IF(SUM($G418:CI418)&gt;=1,"",IF(CJ416=0,"",IF(SUM($G416:CJ416)&gt;=1,OFFSET(CJ$228,-1,0),"")))</f>
        <v/>
      </c>
      <c r="CK418" s="403" t="str">
        <f ca="1">IF(SUM($G418:CJ418)&gt;=1,"",IF(CK416=0,"",IF(SUM($G416:CK416)&gt;=1,OFFSET(CK$228,-1,0),"")))</f>
        <v/>
      </c>
      <c r="CL418" s="403" t="str">
        <f ca="1">IF(SUM($G418:CK418)&gt;=1,"",IF(CL416=0,"",IF(SUM($G416:CL416)&gt;=1,OFFSET(CL$228,-1,0),"")))</f>
        <v/>
      </c>
      <c r="CM418" s="403" t="str">
        <f ca="1">IF(SUM($G418:CL418)&gt;=1,"",IF(CM416=0,"",IF(SUM($G416:CM416)&gt;=1,OFFSET(CM$228,-1,0),"")))</f>
        <v/>
      </c>
      <c r="CN418" s="403" t="str">
        <f ca="1">IF(SUM($G418:CM418)&gt;=1,"",IF(CN416=0,"",IF(SUM($G416:CN416)&gt;=1,OFFSET(CN$228,-1,0),"")))</f>
        <v/>
      </c>
      <c r="CO418" s="403" t="str">
        <f ca="1">IF(SUM($G418:CN418)&gt;=1,"",IF(CO416=0,"",IF(SUM($G416:CO416)&gt;=1,OFFSET(CO$228,-1,0),"")))</f>
        <v/>
      </c>
      <c r="CP418" s="403" t="str">
        <f ca="1">IF(SUM($G418:CO418)&gt;=1,"",IF(CP416=0,"",IF(SUM($G416:CP416)&gt;=1,OFFSET(CP$228,-1,0),"")))</f>
        <v/>
      </c>
      <c r="CQ418" s="403" t="str">
        <f ca="1">IF(SUM($G418:CP418)&gt;=1,"",IF(CQ416=0,"",IF(SUM($G416:CQ416)&gt;=1,OFFSET(CQ$228,-1,0),"")))</f>
        <v/>
      </c>
      <c r="CR418" s="403" t="str">
        <f ca="1">IF(SUM($G418:CQ418)&gt;=1,"",IF(CR416=0,"",IF(SUM($G416:CR416)&gt;=1,OFFSET(CR$228,-1,0),"")))</f>
        <v/>
      </c>
      <c r="CS418" s="403" t="str">
        <f ca="1">IF(SUM($G418:CR418)&gt;=1,"",IF(CS416=0,"",IF(SUM($G416:CS416)&gt;=1,OFFSET(CS$228,-1,0),"")))</f>
        <v/>
      </c>
      <c r="CT418" s="403" t="str">
        <f ca="1">IF(SUM($G418:CS418)&gt;=1,"",IF(CT416=0,"",IF(SUM($G416:CT416)&gt;=1,OFFSET(CT$228,-1,0),"")))</f>
        <v/>
      </c>
      <c r="CU418" s="403" t="str">
        <f ca="1">IF(SUM($G418:CT418)&gt;=1,"",IF(CU416=0,"",IF(SUM($G416:CU416)&gt;=1,OFFSET(CU$228,-1,0),"")))</f>
        <v/>
      </c>
      <c r="CV418" s="403" t="str">
        <f ca="1">IF(SUM($G418:CU418)&gt;=1,"",IF(CV416=0,"",IF(SUM($G416:CV416)&gt;=1,OFFSET(CV$228,-1,0),"")))</f>
        <v/>
      </c>
      <c r="CW418" s="403" t="str">
        <f ca="1">IF(SUM($G418:CV418)&gt;=1,"",IF(CW416=0,"",IF(SUM($G416:CW416)&gt;=1,OFFSET(CW$228,-1,0),"")))</f>
        <v/>
      </c>
      <c r="CX418" s="403" t="str">
        <f ca="1">IF(SUM($G418:CW418)&gt;=1,"",IF(CX416=0,"",IF(SUM($G416:CX416)&gt;=1,OFFSET(CX$228,-1,0),"")))</f>
        <v/>
      </c>
      <c r="CY418" s="403" t="str">
        <f ca="1">IF(SUM($G418:CX418)&gt;=1,"",IF(CY416=0,"",IF(SUM($G416:CY416)&gt;=1,OFFSET(CY$228,-1,0),"")))</f>
        <v/>
      </c>
      <c r="CZ418" s="403" t="str">
        <f ca="1">IF(SUM($G418:CY418)&gt;=1,"",IF(CZ416=0,"",IF(SUM($G416:CZ416)&gt;=1,OFFSET(CZ$228,-1,0),"")))</f>
        <v/>
      </c>
      <c r="DA418" s="403" t="str">
        <f ca="1">IF(SUM($G418:CZ418)&gt;=1,"",IF(DA416=0,"",IF(SUM($G416:DA416)&gt;=1,OFFSET(DA$228,-1,0),"")))</f>
        <v/>
      </c>
      <c r="DB418" s="403" t="str">
        <f ca="1">IF(SUM($G418:DA418)&gt;=1,"",IF(DB416=0,"",IF(SUM($G416:DB416)&gt;=1,OFFSET(DB$228,-1,0),"")))</f>
        <v/>
      </c>
      <c r="DC418" s="403" t="str">
        <f ca="1">IF(SUM($G418:DB418)&gt;=1,"",IF(DC416=0,"",IF(SUM($G416:DC416)&gt;=1,OFFSET(DC$228,-1,0),"")))</f>
        <v/>
      </c>
      <c r="DD418" s="403" t="str">
        <f ca="1">IF(SUM($G418:DC418)&gt;=1,"",IF(DD416=0,"",IF(SUM($G416:DD416)&gt;=1,OFFSET(DD$228,-1,0),"")))</f>
        <v/>
      </c>
      <c r="DE418" s="403" t="str">
        <f ca="1">IF(SUM($G418:DD418)&gt;=1,"",IF(DE416=0,"",IF(SUM($G416:DE416)&gt;=1,OFFSET(DE$228,-1,0),"")))</f>
        <v/>
      </c>
      <c r="DF418" s="403" t="str">
        <f ca="1">IF(SUM($G418:DE418)&gt;=1,"",IF(DF416=0,"",IF(SUM($G416:DF416)&gt;=1,OFFSET(DF$228,-1,0),"")))</f>
        <v/>
      </c>
      <c r="DG418" s="403" t="str">
        <f ca="1">IF(SUM($G418:DF418)&gt;=1,"",IF(DG416=0,"",IF(SUM($G416:DG416)&gt;=1,OFFSET(DG$228,-1,0),"")))</f>
        <v/>
      </c>
      <c r="DH418" s="403" t="str">
        <f ca="1">IF(SUM($G418:DG418)&gt;=1,"",IF(DH416=0,"",IF(SUM($G416:DH416)&gt;=1,OFFSET(DH$228,-1,0),"")))</f>
        <v/>
      </c>
      <c r="DI418" s="403" t="str">
        <f ca="1">IF(SUM($G418:DH418)&gt;=1,"",IF(DI416=0,"",IF(SUM($G416:DI416)&gt;=1,OFFSET(DI$228,-1,0),"")))</f>
        <v/>
      </c>
      <c r="DJ418" s="403" t="str">
        <f ca="1">IF(SUM($G418:DI418)&gt;=1,"",IF(DJ416=0,"",IF(SUM($G416:DJ416)&gt;=1,OFFSET(DJ$228,-1,0),"")))</f>
        <v/>
      </c>
      <c r="DK418" s="403" t="str">
        <f ca="1">IF(SUM($G418:DJ418)&gt;=1,"",IF(DK416=0,"",IF(SUM($G416:DK416)&gt;=1,OFFSET(DK$228,-1,0),"")))</f>
        <v/>
      </c>
      <c r="DL418" s="403" t="str">
        <f ca="1">IF(SUM($G418:DK418)&gt;=1,"",IF(DL416=0,"",IF(SUM($G416:DL416)&gt;=1,OFFSET(DL$228,-1,0),"")))</f>
        <v/>
      </c>
      <c r="DM418" s="403" t="str">
        <f ca="1">IF(SUM($G418:DL418)&gt;=1,"",IF(DM416=0,"",IF(SUM($G416:DM416)&gt;=1,OFFSET(DM$228,-1,0),"")))</f>
        <v/>
      </c>
      <c r="DN418" s="403" t="str">
        <f ca="1">IF(SUM($G418:DM418)&gt;=1,"",IF(DN416=0,"",IF(SUM($G416:DN416)&gt;=1,OFFSET(DN$228,-1,0),"")))</f>
        <v/>
      </c>
      <c r="DO418" s="403" t="str">
        <f ca="1">IF(SUM($G418:DN418)&gt;=1,"",IF(DO416=0,"",IF(SUM($G416:DO416)&gt;=1,OFFSET(DO$228,-1,0),"")))</f>
        <v/>
      </c>
      <c r="DP418" s="403" t="str">
        <f ca="1">IF(SUM($G418:DO418)&gt;=1,"",IF(DP416=0,"",IF(SUM($G416:DP416)&gt;=1,OFFSET(DP$228,-1,0),"")))</f>
        <v/>
      </c>
      <c r="DQ418" s="403" t="str">
        <f ca="1">IF(SUM($G418:DP418)&gt;=1,"",IF(DQ416=0,"",IF(SUM($G416:DQ416)&gt;=1,OFFSET(DQ$228,-1,0),"")))</f>
        <v/>
      </c>
      <c r="DR418" s="403" t="str">
        <f ca="1">IF(SUM($G418:DQ418)&gt;=1,"",IF(DR416=0,"",IF(SUM($G416:DR416)&gt;=1,OFFSET(DR$228,-1,0),"")))</f>
        <v/>
      </c>
      <c r="DS418" s="403" t="str">
        <f ca="1">IF(SUM($G418:DR418)&gt;=1,"",IF(DS416=0,"",IF(SUM($G416:DS416)&gt;=1,OFFSET(DS$228,-1,0),"")))</f>
        <v/>
      </c>
      <c r="DT418" s="403" t="str">
        <f ca="1">IF(SUM($G418:DS418)&gt;=1,"",IF(DT416=0,"",IF(SUM($G416:DT416)&gt;=1,OFFSET(DT$228,-1,0),"")))</f>
        <v/>
      </c>
      <c r="DU418" s="403" t="str">
        <f ca="1">IF(SUM($G418:DT418)&gt;=1,"",IF(DU416=0,"",IF(SUM($G416:DU416)&gt;=1,OFFSET(DU$228,-1,0),"")))</f>
        <v/>
      </c>
      <c r="DV418" s="403" t="str">
        <f ca="1">IF(SUM($G418:DU418)&gt;=1,"",IF(DV416=0,"",IF(SUM($G416:DV416)&gt;=1,OFFSET(DV$228,-1,0),"")))</f>
        <v/>
      </c>
      <c r="DW418" s="403" t="str">
        <f ca="1">IF(SUM($G418:DV418)&gt;=1,"",IF(DW416=0,"",IF(SUM($G416:DW416)&gt;=1,OFFSET(DW$228,-1,0),"")))</f>
        <v/>
      </c>
      <c r="DX418" s="403" t="str">
        <f ca="1">IF(SUM($G418:DW418)&gt;=1,"",IF(DX416=0,"",IF(SUM($G416:DX416)&gt;=1,OFFSET(DX$228,-1,0),"")))</f>
        <v/>
      </c>
      <c r="DY418" s="403" t="str">
        <f ca="1">IF(SUM($G418:DX418)&gt;=1,"",IF(DY416=0,"",IF(SUM($G416:DY416)&gt;=1,OFFSET(DY$228,-1,0),"")))</f>
        <v/>
      </c>
      <c r="DZ418" s="403" t="str">
        <f ca="1">IF(SUM($G418:DY418)&gt;=1,"",IF(DZ416=0,"",IF(SUM($G416:DZ416)&gt;=1,OFFSET(DZ$228,-1,0),"")))</f>
        <v/>
      </c>
      <c r="EA418" s="403" t="str">
        <f ca="1">IF(SUM($G418:DZ418)&gt;=1,"",IF(EA416=0,"",IF(SUM($G416:EA416)&gt;=1,OFFSET(EA$228,-1,0),"")))</f>
        <v/>
      </c>
      <c r="EB418" s="403" t="str">
        <f ca="1">IF(SUM($G418:EA418)&gt;=1,"",IF(EB416=0,"",IF(SUM($G416:EB416)&gt;=1,OFFSET(EB$228,-1,0),"")))</f>
        <v/>
      </c>
      <c r="EC418" s="403" t="str">
        <f ca="1">IF(SUM($G418:EB418)&gt;=1,"",IF(EC416=0,"",IF(SUM($G416:EC416)&gt;=1,OFFSET(EC$228,-1,0),"")))</f>
        <v/>
      </c>
      <c r="ED418" s="403" t="str">
        <f ca="1">IF(SUM($G418:EC418)&gt;=1,"",IF(ED416=0,"",IF(SUM($G416:ED416)&gt;=1,OFFSET(ED$228,-1,0),"")))</f>
        <v/>
      </c>
      <c r="EE418" s="403" t="str">
        <f ca="1">IF(SUM($G418:ED418)&gt;=1,"",IF(EE416=0,"",IF(SUM($G416:EE416)&gt;=1,OFFSET(EE$228,-1,0),"")))</f>
        <v/>
      </c>
      <c r="EF418" s="403" t="str">
        <f ca="1">IF(SUM($G418:EE418)&gt;=1,"",IF(EF416=0,"",IF(SUM($G416:EF416)&gt;=1,OFFSET(EF$228,-1,0),"")))</f>
        <v/>
      </c>
      <c r="EG418" s="403" t="str">
        <f ca="1">IF(SUM($G418:EF418)&gt;=1,"",IF(EG416=0,"",IF(SUM($G416:EG416)&gt;=1,OFFSET(EG$228,-1,0),"")))</f>
        <v/>
      </c>
      <c r="EH418" s="403" t="str">
        <f ca="1">IF(SUM($G418:EG418)&gt;=1,"",IF(EH416=0,"",IF(SUM($G416:EH416)&gt;=1,OFFSET(EH$228,-1,0),"")))</f>
        <v/>
      </c>
      <c r="EI418" s="403" t="str">
        <f ca="1">IF(SUM($G418:EH418)&gt;=1,"",IF(EI416=0,"",IF(SUM($G416:EI416)&gt;=1,OFFSET(EI$228,-1,0),"")))</f>
        <v/>
      </c>
    </row>
    <row r="419" spans="1:139" hidden="1" outlineLevel="2">
      <c r="A419" s="332"/>
      <c r="D419" s="305" t="s">
        <v>671</v>
      </c>
      <c r="E419" s="1002">
        <f ca="1">IF(E416=0,"",MIN(G419:EI419))</f>
        <v>45629.8</v>
      </c>
      <c r="F419" s="1003"/>
      <c r="G419" s="403" t="str">
        <f>IF(G416=0,"",IF(G416=G$3,G418,G$5+H$5-G420-1))</f>
        <v/>
      </c>
      <c r="H419" s="403" t="str">
        <f ca="1">IF(H416=0,"",IF(H416=H$3,H418,H$5+I$5-H420-1))</f>
        <v/>
      </c>
      <c r="I419" s="403" t="str">
        <f t="shared" ref="I419:BT419" ca="1" si="700">IF(I416=0,"",IF(I416=I$3,I418,I$5+J$5-I420-1))</f>
        <v/>
      </c>
      <c r="J419" s="403" t="str">
        <f t="shared" ca="1" si="700"/>
        <v/>
      </c>
      <c r="K419" s="403" t="str">
        <f t="shared" ca="1" si="700"/>
        <v/>
      </c>
      <c r="L419" s="403" t="str">
        <f t="shared" ca="1" si="700"/>
        <v/>
      </c>
      <c r="M419" s="403" t="str">
        <f t="shared" ca="1" si="700"/>
        <v/>
      </c>
      <c r="N419" s="403" t="str">
        <f t="shared" ca="1" si="700"/>
        <v/>
      </c>
      <c r="O419" s="403" t="str">
        <f t="shared" ca="1" si="700"/>
        <v/>
      </c>
      <c r="P419" s="403" t="str">
        <f t="shared" ca="1" si="700"/>
        <v/>
      </c>
      <c r="Q419" s="403" t="str">
        <f t="shared" ca="1" si="700"/>
        <v/>
      </c>
      <c r="R419" s="403" t="str">
        <f t="shared" ca="1" si="700"/>
        <v/>
      </c>
      <c r="S419" s="403" t="str">
        <f t="shared" ca="1" si="700"/>
        <v/>
      </c>
      <c r="T419" s="403" t="str">
        <f t="shared" ca="1" si="700"/>
        <v/>
      </c>
      <c r="U419" s="403" t="str">
        <f t="shared" ca="1" si="700"/>
        <v/>
      </c>
      <c r="V419" s="403" t="str">
        <f t="shared" ca="1" si="700"/>
        <v/>
      </c>
      <c r="W419" s="403" t="str">
        <f t="shared" ca="1" si="700"/>
        <v/>
      </c>
      <c r="X419" s="403" t="str">
        <f t="shared" ca="1" si="700"/>
        <v/>
      </c>
      <c r="Y419" s="403" t="str">
        <f t="shared" ca="1" si="700"/>
        <v/>
      </c>
      <c r="Z419" s="403" t="str">
        <f t="shared" ca="1" si="700"/>
        <v/>
      </c>
      <c r="AA419" s="403" t="str">
        <f t="shared" ca="1" si="700"/>
        <v/>
      </c>
      <c r="AB419" s="403">
        <f t="shared" ca="1" si="700"/>
        <v>45629.8</v>
      </c>
      <c r="AC419" s="403" t="str">
        <f t="shared" ca="1" si="700"/>
        <v/>
      </c>
      <c r="AD419" s="403">
        <f t="shared" ca="1" si="700"/>
        <v>45696.2</v>
      </c>
      <c r="AE419" s="403" t="str">
        <f t="shared" ca="1" si="700"/>
        <v/>
      </c>
      <c r="AF419" s="403" t="str">
        <f t="shared" ca="1" si="700"/>
        <v/>
      </c>
      <c r="AG419" s="403" t="str">
        <f t="shared" ca="1" si="700"/>
        <v/>
      </c>
      <c r="AH419" s="403" t="str">
        <f t="shared" ca="1" si="700"/>
        <v/>
      </c>
      <c r="AI419" s="403" t="str">
        <f t="shared" ca="1" si="700"/>
        <v/>
      </c>
      <c r="AJ419" s="403" t="str">
        <f t="shared" ca="1" si="700"/>
        <v/>
      </c>
      <c r="AK419" s="403" t="str">
        <f t="shared" ca="1" si="700"/>
        <v/>
      </c>
      <c r="AL419" s="403" t="str">
        <f t="shared" ca="1" si="700"/>
        <v/>
      </c>
      <c r="AM419" s="403" t="str">
        <f t="shared" ca="1" si="700"/>
        <v/>
      </c>
      <c r="AN419" s="403" t="str">
        <f t="shared" ca="1" si="700"/>
        <v/>
      </c>
      <c r="AO419" s="403" t="str">
        <f t="shared" ca="1" si="700"/>
        <v/>
      </c>
      <c r="AP419" s="403" t="str">
        <f t="shared" ca="1" si="700"/>
        <v/>
      </c>
      <c r="AQ419" s="403" t="str">
        <f t="shared" ca="1" si="700"/>
        <v/>
      </c>
      <c r="AR419" s="403" t="str">
        <f t="shared" ca="1" si="700"/>
        <v/>
      </c>
      <c r="AS419" s="403" t="str">
        <f t="shared" ca="1" si="700"/>
        <v/>
      </c>
      <c r="AT419" s="403" t="str">
        <f t="shared" ca="1" si="700"/>
        <v/>
      </c>
      <c r="AU419" s="403" t="str">
        <f t="shared" ca="1" si="700"/>
        <v/>
      </c>
      <c r="AV419" s="403" t="str">
        <f t="shared" ca="1" si="700"/>
        <v/>
      </c>
      <c r="AW419" s="403" t="str">
        <f t="shared" ca="1" si="700"/>
        <v/>
      </c>
      <c r="AX419" s="403" t="str">
        <f t="shared" ca="1" si="700"/>
        <v/>
      </c>
      <c r="AY419" s="403" t="str">
        <f t="shared" ca="1" si="700"/>
        <v/>
      </c>
      <c r="AZ419" s="403" t="str">
        <f t="shared" ca="1" si="700"/>
        <v/>
      </c>
      <c r="BA419" s="403" t="str">
        <f t="shared" ca="1" si="700"/>
        <v/>
      </c>
      <c r="BB419" s="403" t="str">
        <f t="shared" ca="1" si="700"/>
        <v/>
      </c>
      <c r="BC419" s="403" t="str">
        <f t="shared" ca="1" si="700"/>
        <v/>
      </c>
      <c r="BD419" s="403" t="str">
        <f t="shared" ca="1" si="700"/>
        <v/>
      </c>
      <c r="BE419" s="403" t="str">
        <f t="shared" ca="1" si="700"/>
        <v/>
      </c>
      <c r="BF419" s="403" t="str">
        <f t="shared" ca="1" si="700"/>
        <v/>
      </c>
      <c r="BG419" s="403" t="str">
        <f t="shared" ca="1" si="700"/>
        <v/>
      </c>
      <c r="BH419" s="403" t="str">
        <f t="shared" ca="1" si="700"/>
        <v/>
      </c>
      <c r="BI419" s="403" t="str">
        <f t="shared" ca="1" si="700"/>
        <v/>
      </c>
      <c r="BJ419" s="403" t="str">
        <f t="shared" ca="1" si="700"/>
        <v/>
      </c>
      <c r="BK419" s="403" t="str">
        <f t="shared" ca="1" si="700"/>
        <v/>
      </c>
      <c r="BL419" s="403" t="str">
        <f t="shared" ca="1" si="700"/>
        <v/>
      </c>
      <c r="BM419" s="403" t="str">
        <f t="shared" ca="1" si="700"/>
        <v/>
      </c>
      <c r="BN419" s="403" t="str">
        <f t="shared" ca="1" si="700"/>
        <v/>
      </c>
      <c r="BO419" s="403" t="str">
        <f t="shared" ca="1" si="700"/>
        <v/>
      </c>
      <c r="BP419" s="403" t="str">
        <f t="shared" ca="1" si="700"/>
        <v/>
      </c>
      <c r="BQ419" s="403" t="str">
        <f t="shared" ca="1" si="700"/>
        <v/>
      </c>
      <c r="BR419" s="403" t="str">
        <f t="shared" ca="1" si="700"/>
        <v/>
      </c>
      <c r="BS419" s="403" t="str">
        <f t="shared" ca="1" si="700"/>
        <v/>
      </c>
      <c r="BT419" s="403" t="str">
        <f t="shared" ca="1" si="700"/>
        <v/>
      </c>
      <c r="BU419" s="403" t="str">
        <f t="shared" ref="BU419:EF419" ca="1" si="701">IF(BU416=0,"",IF(BU416=BU$3,BU418,BU$5+BV$5-BU420-1))</f>
        <v/>
      </c>
      <c r="BV419" s="403" t="str">
        <f t="shared" ca="1" si="701"/>
        <v/>
      </c>
      <c r="BW419" s="403" t="str">
        <f t="shared" ca="1" si="701"/>
        <v/>
      </c>
      <c r="BX419" s="403" t="str">
        <f t="shared" ca="1" si="701"/>
        <v/>
      </c>
      <c r="BY419" s="403" t="str">
        <f t="shared" ca="1" si="701"/>
        <v/>
      </c>
      <c r="BZ419" s="403" t="str">
        <f t="shared" ca="1" si="701"/>
        <v/>
      </c>
      <c r="CA419" s="403" t="str">
        <f t="shared" ca="1" si="701"/>
        <v/>
      </c>
      <c r="CB419" s="403" t="str">
        <f t="shared" ca="1" si="701"/>
        <v/>
      </c>
      <c r="CC419" s="403" t="str">
        <f t="shared" ca="1" si="701"/>
        <v/>
      </c>
      <c r="CD419" s="403" t="str">
        <f t="shared" ca="1" si="701"/>
        <v/>
      </c>
      <c r="CE419" s="403" t="str">
        <f t="shared" ca="1" si="701"/>
        <v/>
      </c>
      <c r="CF419" s="403" t="str">
        <f t="shared" ca="1" si="701"/>
        <v/>
      </c>
      <c r="CG419" s="403" t="str">
        <f t="shared" ca="1" si="701"/>
        <v/>
      </c>
      <c r="CH419" s="403" t="str">
        <f t="shared" ca="1" si="701"/>
        <v/>
      </c>
      <c r="CI419" s="403" t="str">
        <f t="shared" ca="1" si="701"/>
        <v/>
      </c>
      <c r="CJ419" s="403" t="str">
        <f t="shared" ca="1" si="701"/>
        <v/>
      </c>
      <c r="CK419" s="403" t="str">
        <f t="shared" ca="1" si="701"/>
        <v/>
      </c>
      <c r="CL419" s="403" t="str">
        <f t="shared" ca="1" si="701"/>
        <v/>
      </c>
      <c r="CM419" s="403" t="str">
        <f t="shared" ca="1" si="701"/>
        <v/>
      </c>
      <c r="CN419" s="403" t="str">
        <f t="shared" ca="1" si="701"/>
        <v/>
      </c>
      <c r="CO419" s="403" t="str">
        <f t="shared" ca="1" si="701"/>
        <v/>
      </c>
      <c r="CP419" s="403" t="str">
        <f t="shared" ca="1" si="701"/>
        <v/>
      </c>
      <c r="CQ419" s="403" t="str">
        <f t="shared" ca="1" si="701"/>
        <v/>
      </c>
      <c r="CR419" s="403" t="str">
        <f t="shared" ca="1" si="701"/>
        <v/>
      </c>
      <c r="CS419" s="403" t="str">
        <f t="shared" ca="1" si="701"/>
        <v/>
      </c>
      <c r="CT419" s="403" t="str">
        <f t="shared" ca="1" si="701"/>
        <v/>
      </c>
      <c r="CU419" s="403" t="str">
        <f t="shared" ca="1" si="701"/>
        <v/>
      </c>
      <c r="CV419" s="403" t="str">
        <f t="shared" ca="1" si="701"/>
        <v/>
      </c>
      <c r="CW419" s="403" t="str">
        <f t="shared" ca="1" si="701"/>
        <v/>
      </c>
      <c r="CX419" s="403" t="str">
        <f t="shared" ca="1" si="701"/>
        <v/>
      </c>
      <c r="CY419" s="403" t="str">
        <f t="shared" ca="1" si="701"/>
        <v/>
      </c>
      <c r="CZ419" s="403" t="str">
        <f t="shared" ca="1" si="701"/>
        <v/>
      </c>
      <c r="DA419" s="403" t="str">
        <f t="shared" ca="1" si="701"/>
        <v/>
      </c>
      <c r="DB419" s="403" t="str">
        <f t="shared" ca="1" si="701"/>
        <v/>
      </c>
      <c r="DC419" s="403" t="str">
        <f t="shared" ca="1" si="701"/>
        <v/>
      </c>
      <c r="DD419" s="403" t="str">
        <f t="shared" ca="1" si="701"/>
        <v/>
      </c>
      <c r="DE419" s="403" t="str">
        <f t="shared" ca="1" si="701"/>
        <v/>
      </c>
      <c r="DF419" s="403" t="str">
        <f t="shared" ca="1" si="701"/>
        <v/>
      </c>
      <c r="DG419" s="403" t="str">
        <f t="shared" ca="1" si="701"/>
        <v/>
      </c>
      <c r="DH419" s="403" t="str">
        <f t="shared" ca="1" si="701"/>
        <v/>
      </c>
      <c r="DI419" s="403" t="str">
        <f t="shared" ca="1" si="701"/>
        <v/>
      </c>
      <c r="DJ419" s="403" t="str">
        <f t="shared" ca="1" si="701"/>
        <v/>
      </c>
      <c r="DK419" s="403" t="str">
        <f t="shared" ca="1" si="701"/>
        <v/>
      </c>
      <c r="DL419" s="403" t="str">
        <f t="shared" ca="1" si="701"/>
        <v/>
      </c>
      <c r="DM419" s="403" t="str">
        <f t="shared" ca="1" si="701"/>
        <v/>
      </c>
      <c r="DN419" s="403" t="str">
        <f t="shared" ca="1" si="701"/>
        <v/>
      </c>
      <c r="DO419" s="403" t="str">
        <f t="shared" ca="1" si="701"/>
        <v/>
      </c>
      <c r="DP419" s="403" t="str">
        <f t="shared" ca="1" si="701"/>
        <v/>
      </c>
      <c r="DQ419" s="403" t="str">
        <f t="shared" ca="1" si="701"/>
        <v/>
      </c>
      <c r="DR419" s="403" t="str">
        <f t="shared" ca="1" si="701"/>
        <v/>
      </c>
      <c r="DS419" s="403" t="str">
        <f t="shared" ca="1" si="701"/>
        <v/>
      </c>
      <c r="DT419" s="403" t="str">
        <f t="shared" ca="1" si="701"/>
        <v/>
      </c>
      <c r="DU419" s="403" t="str">
        <f t="shared" ca="1" si="701"/>
        <v/>
      </c>
      <c r="DV419" s="403" t="str">
        <f t="shared" ca="1" si="701"/>
        <v/>
      </c>
      <c r="DW419" s="403" t="str">
        <f t="shared" ca="1" si="701"/>
        <v/>
      </c>
      <c r="DX419" s="403" t="str">
        <f t="shared" ca="1" si="701"/>
        <v/>
      </c>
      <c r="DY419" s="403" t="str">
        <f t="shared" ca="1" si="701"/>
        <v/>
      </c>
      <c r="DZ419" s="403" t="str">
        <f t="shared" ca="1" si="701"/>
        <v/>
      </c>
      <c r="EA419" s="403" t="str">
        <f t="shared" ca="1" si="701"/>
        <v/>
      </c>
      <c r="EB419" s="403" t="str">
        <f t="shared" ca="1" si="701"/>
        <v/>
      </c>
      <c r="EC419" s="403" t="str">
        <f t="shared" ca="1" si="701"/>
        <v/>
      </c>
      <c r="ED419" s="403" t="str">
        <f t="shared" ca="1" si="701"/>
        <v/>
      </c>
      <c r="EE419" s="403" t="str">
        <f t="shared" ca="1" si="701"/>
        <v/>
      </c>
      <c r="EF419" s="403" t="str">
        <f t="shared" ca="1" si="701"/>
        <v/>
      </c>
      <c r="EG419" s="403" t="str">
        <f t="shared" ref="EG419:EI419" ca="1" si="702">IF(EG416=0,"",IF(EG416=EG$3,EG418,EG$5+EH$5-EG420-1))</f>
        <v/>
      </c>
      <c r="EH419" s="403" t="str">
        <f t="shared" ca="1" si="702"/>
        <v/>
      </c>
      <c r="EI419" s="403" t="str">
        <f t="shared" ca="1" si="702"/>
        <v/>
      </c>
    </row>
    <row r="420" spans="1:139" hidden="1" outlineLevel="2">
      <c r="A420" s="332"/>
      <c r="D420" s="305" t="s">
        <v>672</v>
      </c>
      <c r="E420" s="1002">
        <f ca="1">IF(E416=0,"",MAX(G420:EI420))</f>
        <v>45708.800000000003</v>
      </c>
      <c r="F420" s="1003"/>
      <c r="G420" s="403">
        <f ca="1">IF(SUM(G416:$EI416)=0,"",IF(G$227="","",G$227+G416-1))</f>
        <v>44985</v>
      </c>
      <c r="H420" s="403">
        <f ca="1">IF(SUM(H416:$EI416)=0,"",IF(H$227="","",H$227+H416-1))</f>
        <v>45016</v>
      </c>
      <c r="I420" s="403">
        <f ca="1">IF(SUM(I416:$EI416)=0,"",IF(I$227="","",I$227+I416-1))</f>
        <v>45046</v>
      </c>
      <c r="J420" s="403">
        <f ca="1">IF(SUM(J416:$EI416)=0,"",IF(J$227="","",J$227+J416-1))</f>
        <v>45077</v>
      </c>
      <c r="K420" s="403">
        <f ca="1">IF(SUM(K416:$EI416)=0,"",IF(K$227="","",K$227+K416-1))</f>
        <v>45107</v>
      </c>
      <c r="L420" s="403">
        <f ca="1">IF(SUM(L416:$EI416)=0,"",IF(L$227="","",L$227+L416-1))</f>
        <v>45138</v>
      </c>
      <c r="M420" s="403">
        <f ca="1">IF(SUM(M416:$EI416)=0,"",IF(M$227="","",M$227+M416-1))</f>
        <v>45169</v>
      </c>
      <c r="N420" s="403">
        <f ca="1">IF(SUM(N416:$EI416)=0,"",IF(N$227="","",N$227+N416-1))</f>
        <v>45199</v>
      </c>
      <c r="O420" s="403">
        <f ca="1">IF(SUM(O416:$EI416)=0,"",IF(O$227="","",O$227+O416-1))</f>
        <v>45230</v>
      </c>
      <c r="P420" s="403">
        <f ca="1">IF(SUM(P416:$EI416)=0,"",IF(P$227="","",P$227+P416-1))</f>
        <v>45260</v>
      </c>
      <c r="Q420" s="403">
        <f ca="1">IF(SUM(Q416:$EI416)=0,"",IF(Q$227="","",Q$227+Q416-1))</f>
        <v>45291</v>
      </c>
      <c r="R420" s="403">
        <f ca="1">IF(SUM(R416:$EI416)=0,"",IF(R$227="","",R$227+R416-1))</f>
        <v>45322</v>
      </c>
      <c r="S420" s="403">
        <f ca="1">IF(SUM(S416:$EI416)=0,"",IF(S$227="","",S$227+S416-1))</f>
        <v>45351</v>
      </c>
      <c r="T420" s="403">
        <f ca="1">IF(SUM(T416:$EI416)=0,"",IF(T$227="","",T$227+T416-1))</f>
        <v>45382</v>
      </c>
      <c r="U420" s="403">
        <f ca="1">IF(SUM(U416:$EI416)=0,"",IF(U$227="","",U$227+U416-1))</f>
        <v>45412</v>
      </c>
      <c r="V420" s="403">
        <f ca="1">IF(SUM(V416:$EI416)=0,"",IF(V$227="","",V$227+V416-1))</f>
        <v>45443</v>
      </c>
      <c r="W420" s="403">
        <f ca="1">IF(SUM(W416:$EI416)=0,"",IF(W$227="","",W$227+W416-1))</f>
        <v>45473</v>
      </c>
      <c r="X420" s="403">
        <f ca="1">IF(SUM(X416:$EI416)=0,"",IF(X$227="","",X$227+X416-1))</f>
        <v>45504</v>
      </c>
      <c r="Y420" s="403">
        <f ca="1">IF(SUM(Y416:$EI416)=0,"",IF(Y$227="","",Y$227+Y416-1))</f>
        <v>45535</v>
      </c>
      <c r="Z420" s="403">
        <f ca="1">IF(SUM(Z416:$EI416)=0,"",IF(Z$227="","",Z$227+Z416-1))</f>
        <v>45565</v>
      </c>
      <c r="AA420" s="403">
        <f ca="1">IF(SUM(AA416:$EI416)=0,"",IF(AA$227="","",AA$227+AA416-1))</f>
        <v>45596</v>
      </c>
      <c r="AB420" s="403">
        <f ca="1">IF(SUM(AB416:$EI416)=0,"",IF(AB$227="","",AB$227+AB416-1))</f>
        <v>45654.2</v>
      </c>
      <c r="AC420" s="403">
        <f ca="1">IF(SUM(AC416:$EI416)=0,"",IF(AC$227="","",AC$227+AC416-1))</f>
        <v>45688</v>
      </c>
      <c r="AD420" s="403">
        <f ca="1">IF(SUM(AD416:$EI416)=0,"",IF(AD$227="","",AD$227+AD416-1))</f>
        <v>45708.800000000003</v>
      </c>
      <c r="AE420" s="403" t="str">
        <f ca="1">IF(SUM(AE416:$EI416)=0,"",IF(AE$227="","",AE$227+AE416-1))</f>
        <v/>
      </c>
      <c r="AF420" s="403" t="str">
        <f ca="1">IF(SUM(AF416:$EI416)=0,"",IF(AF$227="","",AF$227+AF416-1))</f>
        <v/>
      </c>
      <c r="AG420" s="403" t="str">
        <f ca="1">IF(SUM(AG416:$EI416)=0,"",IF(AG$227="","",AG$227+AG416-1))</f>
        <v/>
      </c>
      <c r="AH420" s="403" t="str">
        <f ca="1">IF(SUM(AH416:$EI416)=0,"",IF(AH$227="","",AH$227+AH416-1))</f>
        <v/>
      </c>
      <c r="AI420" s="403" t="str">
        <f ca="1">IF(SUM(AI416:$EI416)=0,"",IF(AI$227="","",AI$227+AI416-1))</f>
        <v/>
      </c>
      <c r="AJ420" s="403" t="str">
        <f ca="1">IF(SUM(AJ416:$EI416)=0,"",IF(AJ$227="","",AJ$227+AJ416-1))</f>
        <v/>
      </c>
      <c r="AK420" s="403" t="str">
        <f ca="1">IF(SUM(AK416:$EI416)=0,"",IF(AK$227="","",AK$227+AK416-1))</f>
        <v/>
      </c>
      <c r="AL420" s="403" t="str">
        <f ca="1">IF(SUM(AL416:$EI416)=0,"",IF(AL$227="","",AL$227+AL416-1))</f>
        <v/>
      </c>
      <c r="AM420" s="403" t="str">
        <f ca="1">IF(SUM(AM416:$EI416)=0,"",IF(AM$227="","",AM$227+AM416-1))</f>
        <v/>
      </c>
      <c r="AN420" s="403" t="str">
        <f ca="1">IF(SUM(AN416:$EI416)=0,"",IF(AN$227="","",AN$227+AN416-1))</f>
        <v/>
      </c>
      <c r="AO420" s="403" t="str">
        <f ca="1">IF(SUM(AO416:$EI416)=0,"",IF(AO$227="","",AO$227+AO416-1))</f>
        <v/>
      </c>
      <c r="AP420" s="403" t="str">
        <f ca="1">IF(SUM(AP416:$EI416)=0,"",IF(AP$227="","",AP$227+AP416-1))</f>
        <v/>
      </c>
      <c r="AQ420" s="403" t="str">
        <f ca="1">IF(SUM(AQ416:$EI416)=0,"",IF(AQ$227="","",AQ$227+AQ416-1))</f>
        <v/>
      </c>
      <c r="AR420" s="403" t="str">
        <f ca="1">IF(SUM(AR416:$EI416)=0,"",IF(AR$227="","",AR$227+AR416-1))</f>
        <v/>
      </c>
      <c r="AS420" s="403" t="str">
        <f ca="1">IF(SUM(AS416:$EI416)=0,"",IF(AS$227="","",AS$227+AS416-1))</f>
        <v/>
      </c>
      <c r="AT420" s="403" t="str">
        <f ca="1">IF(SUM(AT416:$EI416)=0,"",IF(AT$227="","",AT$227+AT416-1))</f>
        <v/>
      </c>
      <c r="AU420" s="403" t="str">
        <f ca="1">IF(SUM(AU416:$EI416)=0,"",IF(AU$227="","",AU$227+AU416-1))</f>
        <v/>
      </c>
      <c r="AV420" s="403" t="str">
        <f ca="1">IF(SUM(AV416:$EI416)=0,"",IF(AV$227="","",AV$227+AV416-1))</f>
        <v/>
      </c>
      <c r="AW420" s="403" t="str">
        <f ca="1">IF(SUM(AW416:$EI416)=0,"",IF(AW$227="","",AW$227+AW416-1))</f>
        <v/>
      </c>
      <c r="AX420" s="403" t="str">
        <f ca="1">IF(SUM(AX416:$EI416)=0,"",IF(AX$227="","",AX$227+AX416-1))</f>
        <v/>
      </c>
      <c r="AY420" s="403" t="str">
        <f ca="1">IF(SUM(AY416:$EI416)=0,"",IF(AY$227="","",AY$227+AY416-1))</f>
        <v/>
      </c>
      <c r="AZ420" s="403" t="str">
        <f ca="1">IF(SUM(AZ416:$EI416)=0,"",IF(AZ$227="","",AZ$227+AZ416-1))</f>
        <v/>
      </c>
      <c r="BA420" s="403" t="str">
        <f ca="1">IF(SUM(BA416:$EI416)=0,"",IF(BA$227="","",BA$227+BA416-1))</f>
        <v/>
      </c>
      <c r="BB420" s="403" t="str">
        <f ca="1">IF(SUM(BB416:$EI416)=0,"",IF(BB$227="","",BB$227+BB416-1))</f>
        <v/>
      </c>
      <c r="BC420" s="403" t="str">
        <f ca="1">IF(SUM(BC416:$EI416)=0,"",IF(BC$227="","",BC$227+BC416-1))</f>
        <v/>
      </c>
      <c r="BD420" s="403" t="str">
        <f ca="1">IF(SUM(BD416:$EI416)=0,"",IF(BD$227="","",BD$227+BD416-1))</f>
        <v/>
      </c>
      <c r="BE420" s="403" t="str">
        <f ca="1">IF(SUM(BE416:$EI416)=0,"",IF(BE$227="","",BE$227+BE416-1))</f>
        <v/>
      </c>
      <c r="BF420" s="403" t="str">
        <f ca="1">IF(SUM(BF416:$EI416)=0,"",IF(BF$227="","",BF$227+BF416-1))</f>
        <v/>
      </c>
      <c r="BG420" s="403" t="str">
        <f ca="1">IF(SUM(BG416:$EI416)=0,"",IF(BG$227="","",BG$227+BG416-1))</f>
        <v/>
      </c>
      <c r="BH420" s="403" t="str">
        <f ca="1">IF(SUM(BH416:$EI416)=0,"",IF(BH$227="","",BH$227+BH416-1))</f>
        <v/>
      </c>
      <c r="BI420" s="403" t="str">
        <f ca="1">IF(SUM(BI416:$EI416)=0,"",IF(BI$227="","",BI$227+BI416-1))</f>
        <v/>
      </c>
      <c r="BJ420" s="403" t="str">
        <f ca="1">IF(SUM(BJ416:$EI416)=0,"",IF(BJ$227="","",BJ$227+BJ416-1))</f>
        <v/>
      </c>
      <c r="BK420" s="403" t="str">
        <f ca="1">IF(SUM(BK416:$EI416)=0,"",IF(BK$227="","",BK$227+BK416-1))</f>
        <v/>
      </c>
      <c r="BL420" s="403" t="str">
        <f ca="1">IF(SUM(BL416:$EI416)=0,"",IF(BL$227="","",BL$227+BL416-1))</f>
        <v/>
      </c>
      <c r="BM420" s="403" t="str">
        <f ca="1">IF(SUM(BM416:$EI416)=0,"",IF(BM$227="","",BM$227+BM416-1))</f>
        <v/>
      </c>
      <c r="BN420" s="403" t="str">
        <f ca="1">IF(SUM(BN416:$EI416)=0,"",IF(BN$227="","",BN$227+BN416-1))</f>
        <v/>
      </c>
      <c r="BO420" s="403" t="str">
        <f ca="1">IF(SUM(BO416:$EI416)=0,"",IF(BO$227="","",BO$227+BO416-1))</f>
        <v/>
      </c>
      <c r="BP420" s="403" t="str">
        <f ca="1">IF(SUM(BP416:$EI416)=0,"",IF(BP$227="","",BP$227+BP416-1))</f>
        <v/>
      </c>
      <c r="BQ420" s="403" t="str">
        <f ca="1">IF(SUM(BQ416:$EI416)=0,"",IF(BQ$227="","",BQ$227+BQ416-1))</f>
        <v/>
      </c>
      <c r="BR420" s="403" t="str">
        <f ca="1">IF(SUM(BR416:$EI416)=0,"",IF(BR$227="","",BR$227+BR416-1))</f>
        <v/>
      </c>
      <c r="BS420" s="403" t="str">
        <f ca="1">IF(SUM(BS416:$EI416)=0,"",IF(BS$227="","",BS$227+BS416-1))</f>
        <v/>
      </c>
      <c r="BT420" s="403" t="str">
        <f ca="1">IF(SUM(BT416:$EI416)=0,"",IF(BT$227="","",BT$227+BT416-1))</f>
        <v/>
      </c>
      <c r="BU420" s="403" t="str">
        <f ca="1">IF(SUM(BU416:$EI416)=0,"",IF(BU$227="","",BU$227+BU416-1))</f>
        <v/>
      </c>
      <c r="BV420" s="403" t="str">
        <f ca="1">IF(SUM(BV416:$EI416)=0,"",IF(BV$227="","",BV$227+BV416-1))</f>
        <v/>
      </c>
      <c r="BW420" s="403" t="str">
        <f ca="1">IF(SUM(BW416:$EI416)=0,"",IF(BW$227="","",BW$227+BW416-1))</f>
        <v/>
      </c>
      <c r="BX420" s="403" t="str">
        <f ca="1">IF(SUM(BX416:$EI416)=0,"",IF(BX$227="","",BX$227+BX416-1))</f>
        <v/>
      </c>
      <c r="BY420" s="403" t="str">
        <f ca="1">IF(SUM(BY416:$EI416)=0,"",IF(BY$227="","",BY$227+BY416-1))</f>
        <v/>
      </c>
      <c r="BZ420" s="403" t="str">
        <f ca="1">IF(SUM(BZ416:$EI416)=0,"",IF(BZ$227="","",BZ$227+BZ416-1))</f>
        <v/>
      </c>
      <c r="CA420" s="403" t="str">
        <f ca="1">IF(SUM(CA416:$EI416)=0,"",IF(CA$227="","",CA$227+CA416-1))</f>
        <v/>
      </c>
      <c r="CB420" s="403" t="str">
        <f ca="1">IF(SUM(CB416:$EI416)=0,"",IF(CB$227="","",CB$227+CB416-1))</f>
        <v/>
      </c>
      <c r="CC420" s="403" t="str">
        <f ca="1">IF(SUM(CC416:$EI416)=0,"",IF(CC$227="","",CC$227+CC416-1))</f>
        <v/>
      </c>
      <c r="CD420" s="403" t="str">
        <f ca="1">IF(SUM(CD416:$EI416)=0,"",IF(CD$227="","",CD$227+CD416-1))</f>
        <v/>
      </c>
      <c r="CE420" s="403" t="str">
        <f ca="1">IF(SUM(CE416:$EI416)=0,"",IF(CE$227="","",CE$227+CE416-1))</f>
        <v/>
      </c>
      <c r="CF420" s="403" t="str">
        <f ca="1">IF(SUM(CF416:$EI416)=0,"",IF(CF$227="","",CF$227+CF416-1))</f>
        <v/>
      </c>
      <c r="CG420" s="403" t="str">
        <f ca="1">IF(SUM(CG416:$EI416)=0,"",IF(CG$227="","",CG$227+CG416-1))</f>
        <v/>
      </c>
      <c r="CH420" s="403" t="str">
        <f ca="1">IF(SUM(CH416:$EI416)=0,"",IF(CH$227="","",CH$227+CH416-1))</f>
        <v/>
      </c>
      <c r="CI420" s="403" t="str">
        <f ca="1">IF(SUM(CI416:$EI416)=0,"",IF(CI$227="","",CI$227+CI416-1))</f>
        <v/>
      </c>
      <c r="CJ420" s="403" t="str">
        <f ca="1">IF(SUM(CJ416:$EI416)=0,"",IF(CJ$227="","",CJ$227+CJ416-1))</f>
        <v/>
      </c>
      <c r="CK420" s="403" t="str">
        <f ca="1">IF(SUM(CK416:$EI416)=0,"",IF(CK$227="","",CK$227+CK416-1))</f>
        <v/>
      </c>
      <c r="CL420" s="403" t="str">
        <f ca="1">IF(SUM(CL416:$EI416)=0,"",IF(CL$227="","",CL$227+CL416-1))</f>
        <v/>
      </c>
      <c r="CM420" s="403" t="str">
        <f ca="1">IF(SUM(CM416:$EI416)=0,"",IF(CM$227="","",CM$227+CM416-1))</f>
        <v/>
      </c>
      <c r="CN420" s="403" t="str">
        <f ca="1">IF(SUM(CN416:$EI416)=0,"",IF(CN$227="","",CN$227+CN416-1))</f>
        <v/>
      </c>
      <c r="CO420" s="403" t="str">
        <f ca="1">IF(SUM(CO416:$EI416)=0,"",IF(CO$227="","",CO$227+CO416-1))</f>
        <v/>
      </c>
      <c r="CP420" s="403" t="str">
        <f ca="1">IF(SUM(CP416:$EI416)=0,"",IF(CP$227="","",CP$227+CP416-1))</f>
        <v/>
      </c>
      <c r="CQ420" s="403" t="str">
        <f ca="1">IF(SUM(CQ416:$EI416)=0,"",IF(CQ$227="","",CQ$227+CQ416-1))</f>
        <v/>
      </c>
      <c r="CR420" s="403" t="str">
        <f ca="1">IF(SUM(CR416:$EI416)=0,"",IF(CR$227="","",CR$227+CR416-1))</f>
        <v/>
      </c>
      <c r="CS420" s="403" t="str">
        <f ca="1">IF(SUM(CS416:$EI416)=0,"",IF(CS$227="","",CS$227+CS416-1))</f>
        <v/>
      </c>
      <c r="CT420" s="403" t="str">
        <f ca="1">IF(SUM(CT416:$EI416)=0,"",IF(CT$227="","",CT$227+CT416-1))</f>
        <v/>
      </c>
      <c r="CU420" s="403" t="str">
        <f ca="1">IF(SUM(CU416:$EI416)=0,"",IF(CU$227="","",CU$227+CU416-1))</f>
        <v/>
      </c>
      <c r="CV420" s="403" t="str">
        <f ca="1">IF(SUM(CV416:$EI416)=0,"",IF(CV$227="","",CV$227+CV416-1))</f>
        <v/>
      </c>
      <c r="CW420" s="403" t="str">
        <f ca="1">IF(SUM(CW416:$EI416)=0,"",IF(CW$227="","",CW$227+CW416-1))</f>
        <v/>
      </c>
      <c r="CX420" s="403" t="str">
        <f ca="1">IF(SUM(CX416:$EI416)=0,"",IF(CX$227="","",CX$227+CX416-1))</f>
        <v/>
      </c>
      <c r="CY420" s="403" t="str">
        <f ca="1">IF(SUM(CY416:$EI416)=0,"",IF(CY$227="","",CY$227+CY416-1))</f>
        <v/>
      </c>
      <c r="CZ420" s="403" t="str">
        <f ca="1">IF(SUM(CZ416:$EI416)=0,"",IF(CZ$227="","",CZ$227+CZ416-1))</f>
        <v/>
      </c>
      <c r="DA420" s="403" t="str">
        <f ca="1">IF(SUM(DA416:$EI416)=0,"",IF(DA$227="","",DA$227+DA416-1))</f>
        <v/>
      </c>
      <c r="DB420" s="403" t="str">
        <f ca="1">IF(SUM(DB416:$EI416)=0,"",IF(DB$227="","",DB$227+DB416-1))</f>
        <v/>
      </c>
      <c r="DC420" s="403" t="str">
        <f ca="1">IF(SUM(DC416:$EI416)=0,"",IF(DC$227="","",DC$227+DC416-1))</f>
        <v/>
      </c>
      <c r="DD420" s="403" t="str">
        <f ca="1">IF(SUM(DD416:$EI416)=0,"",IF(DD$227="","",DD$227+DD416-1))</f>
        <v/>
      </c>
      <c r="DE420" s="403" t="str">
        <f ca="1">IF(SUM(DE416:$EI416)=0,"",IF(DE$227="","",DE$227+DE416-1))</f>
        <v/>
      </c>
      <c r="DF420" s="403" t="str">
        <f ca="1">IF(SUM(DF416:$EI416)=0,"",IF(DF$227="","",DF$227+DF416-1))</f>
        <v/>
      </c>
      <c r="DG420" s="403" t="str">
        <f ca="1">IF(SUM(DG416:$EI416)=0,"",IF(DG$227="","",DG$227+DG416-1))</f>
        <v/>
      </c>
      <c r="DH420" s="403" t="str">
        <f ca="1">IF(SUM(DH416:$EI416)=0,"",IF(DH$227="","",DH$227+DH416-1))</f>
        <v/>
      </c>
      <c r="DI420" s="403" t="str">
        <f ca="1">IF(SUM(DI416:$EI416)=0,"",IF(DI$227="","",DI$227+DI416-1))</f>
        <v/>
      </c>
      <c r="DJ420" s="403" t="str">
        <f ca="1">IF(SUM(DJ416:$EI416)=0,"",IF(DJ$227="","",DJ$227+DJ416-1))</f>
        <v/>
      </c>
      <c r="DK420" s="403" t="str">
        <f ca="1">IF(SUM(DK416:$EI416)=0,"",IF(DK$227="","",DK$227+DK416-1))</f>
        <v/>
      </c>
      <c r="DL420" s="403" t="str">
        <f ca="1">IF(SUM(DL416:$EI416)=0,"",IF(DL$227="","",DL$227+DL416-1))</f>
        <v/>
      </c>
      <c r="DM420" s="403" t="str">
        <f ca="1">IF(SUM(DM416:$EI416)=0,"",IF(DM$227="","",DM$227+DM416-1))</f>
        <v/>
      </c>
      <c r="DN420" s="403" t="str">
        <f ca="1">IF(SUM(DN416:$EI416)=0,"",IF(DN$227="","",DN$227+DN416-1))</f>
        <v/>
      </c>
      <c r="DO420" s="403" t="str">
        <f ca="1">IF(SUM(DO416:$EI416)=0,"",IF(DO$227="","",DO$227+DO416-1))</f>
        <v/>
      </c>
      <c r="DP420" s="403" t="str">
        <f ca="1">IF(SUM(DP416:$EI416)=0,"",IF(DP$227="","",DP$227+DP416-1))</f>
        <v/>
      </c>
      <c r="DQ420" s="403" t="str">
        <f ca="1">IF(SUM(DQ416:$EI416)=0,"",IF(DQ$227="","",DQ$227+DQ416-1))</f>
        <v/>
      </c>
      <c r="DR420" s="403" t="str">
        <f ca="1">IF(SUM(DR416:$EI416)=0,"",IF(DR$227="","",DR$227+DR416-1))</f>
        <v/>
      </c>
      <c r="DS420" s="403" t="str">
        <f ca="1">IF(SUM(DS416:$EI416)=0,"",IF(DS$227="","",DS$227+DS416-1))</f>
        <v/>
      </c>
      <c r="DT420" s="403" t="str">
        <f ca="1">IF(SUM(DT416:$EI416)=0,"",IF(DT$227="","",DT$227+DT416-1))</f>
        <v/>
      </c>
      <c r="DU420" s="403" t="str">
        <f ca="1">IF(SUM(DU416:$EI416)=0,"",IF(DU$227="","",DU$227+DU416-1))</f>
        <v/>
      </c>
      <c r="DV420" s="403" t="str">
        <f ca="1">IF(SUM(DV416:$EI416)=0,"",IF(DV$227="","",DV$227+DV416-1))</f>
        <v/>
      </c>
      <c r="DW420" s="403" t="str">
        <f ca="1">IF(SUM(DW416:$EI416)=0,"",IF(DW$227="","",DW$227+DW416-1))</f>
        <v/>
      </c>
      <c r="DX420" s="403" t="str">
        <f ca="1">IF(SUM(DX416:$EI416)=0,"",IF(DX$227="","",DX$227+DX416-1))</f>
        <v/>
      </c>
      <c r="DY420" s="403" t="str">
        <f ca="1">IF(SUM(DY416:$EI416)=0,"",IF(DY$227="","",DY$227+DY416-1))</f>
        <v/>
      </c>
      <c r="DZ420" s="403" t="str">
        <f ca="1">IF(SUM(DZ416:$EI416)=0,"",IF(DZ$227="","",DZ$227+DZ416-1))</f>
        <v/>
      </c>
      <c r="EA420" s="403" t="str">
        <f ca="1">IF(SUM(EA416:$EI416)=0,"",IF(EA$227="","",EA$227+EA416-1))</f>
        <v/>
      </c>
      <c r="EB420" s="403" t="str">
        <f ca="1">IF(SUM(EB416:$EI416)=0,"",IF(EB$227="","",EB$227+EB416-1))</f>
        <v/>
      </c>
      <c r="EC420" s="403" t="str">
        <f ca="1">IF(SUM(EC416:$EI416)=0,"",IF(EC$227="","",EC$227+EC416-1))</f>
        <v/>
      </c>
      <c r="ED420" s="403" t="str">
        <f ca="1">IF(SUM(ED416:$EI416)=0,"",IF(ED$227="","",ED$227+ED416-1))</f>
        <v/>
      </c>
      <c r="EE420" s="403" t="str">
        <f ca="1">IF(SUM(EE416:$EI416)=0,"",IF(EE$227="","",EE$227+EE416-1))</f>
        <v/>
      </c>
      <c r="EF420" s="403" t="str">
        <f ca="1">IF(SUM(EF416:$EI416)=0,"",IF(EF$227="","",EF$227+EF416-1))</f>
        <v/>
      </c>
      <c r="EG420" s="403" t="str">
        <f ca="1">IF(SUM(EG416:$EI416)=0,"",IF(EG$227="","",EG$227+EG416-1))</f>
        <v/>
      </c>
      <c r="EH420" s="403" t="str">
        <f ca="1">IF(SUM(EH416:$EI416)=0,"",IF(EH$227="","",EH$227+EH416-1))</f>
        <v/>
      </c>
      <c r="EI420" s="403" t="str">
        <f ca="1">IF(SUM(EI416:$EI416)=0,"",IF(EI$227="","",EI$227+EI416-1))</f>
        <v/>
      </c>
    </row>
    <row r="421" spans="1:139" outlineLevel="1" collapsed="1">
      <c r="A421" s="332"/>
      <c r="B421" s="313"/>
      <c r="E421" s="309"/>
    </row>
    <row r="422" spans="1:139">
      <c r="A422" s="332"/>
      <c r="B422" s="313"/>
    </row>
    <row r="423" spans="1:139">
      <c r="A423" s="332"/>
    </row>
    <row r="424" spans="1:139">
      <c r="A424" s="332"/>
    </row>
  </sheetData>
  <mergeCells count="77">
    <mergeCell ref="E409:F409"/>
    <mergeCell ref="E414:F414"/>
    <mergeCell ref="E415:F415"/>
    <mergeCell ref="E419:F419"/>
    <mergeCell ref="E420:F420"/>
    <mergeCell ref="E408:F408"/>
    <mergeCell ref="E374:F374"/>
    <mergeCell ref="E383:F383"/>
    <mergeCell ref="E384:F384"/>
    <mergeCell ref="E388:F388"/>
    <mergeCell ref="E389:F389"/>
    <mergeCell ref="E393:F393"/>
    <mergeCell ref="E394:F394"/>
    <mergeCell ref="E398:F398"/>
    <mergeCell ref="E399:F399"/>
    <mergeCell ref="E403:F403"/>
    <mergeCell ref="E404:F404"/>
    <mergeCell ref="E378:F378"/>
    <mergeCell ref="E379:F379"/>
    <mergeCell ref="E373:F373"/>
    <mergeCell ref="E343:F343"/>
    <mergeCell ref="E348:F348"/>
    <mergeCell ref="E349:F349"/>
    <mergeCell ref="E353:F353"/>
    <mergeCell ref="E354:F354"/>
    <mergeCell ref="E358:F358"/>
    <mergeCell ref="E359:F359"/>
    <mergeCell ref="E363:F363"/>
    <mergeCell ref="E364:F364"/>
    <mergeCell ref="E368:F368"/>
    <mergeCell ref="E369:F369"/>
    <mergeCell ref="E342:F342"/>
    <mergeCell ref="E313:F313"/>
    <mergeCell ref="E317:F317"/>
    <mergeCell ref="E318:F318"/>
    <mergeCell ref="E322:F322"/>
    <mergeCell ref="E323:F323"/>
    <mergeCell ref="E327:F327"/>
    <mergeCell ref="E328:F328"/>
    <mergeCell ref="E332:F332"/>
    <mergeCell ref="E333:F333"/>
    <mergeCell ref="E337:F337"/>
    <mergeCell ref="E338:F338"/>
    <mergeCell ref="E312:F312"/>
    <mergeCell ref="E283:F283"/>
    <mergeCell ref="E287:F287"/>
    <mergeCell ref="E288:F288"/>
    <mergeCell ref="E292:F292"/>
    <mergeCell ref="E293:F293"/>
    <mergeCell ref="E297:F297"/>
    <mergeCell ref="E298:F298"/>
    <mergeCell ref="E302:F302"/>
    <mergeCell ref="E303:F303"/>
    <mergeCell ref="E307:F307"/>
    <mergeCell ref="E308:F308"/>
    <mergeCell ref="E282:F282"/>
    <mergeCell ref="E252:F252"/>
    <mergeCell ref="E257:F257"/>
    <mergeCell ref="E258:F258"/>
    <mergeCell ref="E262:F262"/>
    <mergeCell ref="E263:F263"/>
    <mergeCell ref="E267:F267"/>
    <mergeCell ref="E268:F268"/>
    <mergeCell ref="E272:F272"/>
    <mergeCell ref="E273:F273"/>
    <mergeCell ref="E277:F277"/>
    <mergeCell ref="E278:F278"/>
    <mergeCell ref="E251:F251"/>
    <mergeCell ref="B7:C7"/>
    <mergeCell ref="E231:F231"/>
    <mergeCell ref="E232:F232"/>
    <mergeCell ref="E236:F236"/>
    <mergeCell ref="E237:F237"/>
    <mergeCell ref="E241:F241"/>
    <mergeCell ref="E242:F242"/>
    <mergeCell ref="E246:F246"/>
    <mergeCell ref="E247:F247"/>
  </mergeCells>
  <conditionalFormatting sqref="G5:EJ5">
    <cfRule type="cellIs" dxfId="3" priority="1" operator="equal">
      <formula>$D$7</formula>
    </cfRule>
  </conditionalFormatting>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dimension ref="A1:EH36"/>
  <sheetViews>
    <sheetView zoomScale="80" zoomScaleNormal="80" workbookViewId="0">
      <pane xSplit="3" topLeftCell="D1" activePane="topRight" state="frozen"/>
      <selection activeCell="D11" sqref="D11"/>
      <selection pane="topRight" activeCell="C11" sqref="C11"/>
    </sheetView>
  </sheetViews>
  <sheetFormatPr defaultRowHeight="15" outlineLevelRow="1" outlineLevelCol="1"/>
  <cols>
    <col min="1" max="1" width="22" style="305" customWidth="1"/>
    <col min="2" max="2" width="43.5703125" style="305" customWidth="1"/>
    <col min="3" max="3" width="19" style="308" customWidth="1"/>
    <col min="4" max="4" width="17" style="308" customWidth="1"/>
    <col min="5" max="5" width="14.28515625" style="308" bestFit="1" customWidth="1"/>
    <col min="6" max="12" width="14.5703125" style="308" customWidth="1"/>
    <col min="13" max="14" width="15.28515625" style="308" customWidth="1"/>
    <col min="15" max="15" width="15.28515625" style="308" customWidth="1" collapsed="1"/>
    <col min="16" max="22" width="15.28515625" style="308" customWidth="1"/>
    <col min="23" max="28" width="15.28515625" style="308" hidden="1" customWidth="1" outlineLevel="1"/>
    <col min="29" max="29" width="15.5703125" style="308" hidden="1" customWidth="1" outlineLevel="1"/>
    <col min="30" max="30" width="15.28515625" style="308" hidden="1" customWidth="1" outlineLevel="1" collapsed="1"/>
    <col min="31" max="31" width="15.5703125" style="308" hidden="1" customWidth="1" outlineLevel="1"/>
    <col min="32" max="33" width="15.28515625" style="308" hidden="1" customWidth="1" outlineLevel="1"/>
    <col min="34" max="34" width="15.5703125" style="308" hidden="1" customWidth="1" outlineLevel="1"/>
    <col min="35" max="39" width="15.28515625" style="308" hidden="1" customWidth="1" outlineLevel="1"/>
    <col min="40" max="40" width="15.28515625" style="308" hidden="1" customWidth="1" outlineLevel="1" collapsed="1"/>
    <col min="41" max="45" width="15.28515625" style="308" hidden="1" customWidth="1" outlineLevel="1"/>
    <col min="46" max="47" width="15.5703125" style="308" hidden="1" customWidth="1" outlineLevel="1"/>
    <col min="48" max="48" width="15.5703125" style="308" hidden="1" customWidth="1" outlineLevel="1" collapsed="1"/>
    <col min="49" max="51" width="15.28515625" style="308" hidden="1" customWidth="1" outlineLevel="1"/>
    <col min="52" max="61" width="15.28515625" style="308" hidden="1" customWidth="1" outlineLevel="1" collapsed="1"/>
    <col min="62" max="62" width="15.28515625" style="308" customWidth="1" collapsed="1"/>
    <col min="63" max="66" width="15.28515625" style="308" hidden="1" customWidth="1" outlineLevel="1" collapsed="1"/>
    <col min="67" max="67" width="15.28515625" style="308" hidden="1" customWidth="1" outlineLevel="1"/>
    <col min="68" max="104" width="15.28515625" style="308" hidden="1" customWidth="1" outlineLevel="1" collapsed="1"/>
    <col min="105" max="105" width="15.28515625" style="308" hidden="1" customWidth="1" outlineLevel="1"/>
    <col min="106" max="106" width="15.28515625" style="308" hidden="1" customWidth="1" outlineLevel="1" collapsed="1"/>
    <col min="107" max="107" width="15.28515625" style="308" hidden="1" customWidth="1" outlineLevel="1"/>
    <col min="108" max="108" width="17" style="308" hidden="1" customWidth="1" outlineLevel="1" collapsed="1"/>
    <col min="109" max="119" width="15.28515625" style="308" hidden="1" customWidth="1" outlineLevel="1" collapsed="1"/>
    <col min="120" max="120" width="15.28515625" style="308" hidden="1" customWidth="1" outlineLevel="1"/>
    <col min="121" max="123" width="15.28515625" style="308" hidden="1" customWidth="1" outlineLevel="1" collapsed="1"/>
    <col min="124" max="124" width="15.28515625" style="308" hidden="1" customWidth="1" outlineLevel="1"/>
    <col min="125" max="129" width="15.28515625" style="308" hidden="1" customWidth="1" outlineLevel="1" collapsed="1"/>
    <col min="130" max="130" width="14.28515625" style="308" hidden="1" customWidth="1" outlineLevel="1"/>
    <col min="131" max="131" width="14.42578125" style="308" hidden="1" customWidth="1" outlineLevel="1"/>
    <col min="132" max="133" width="13.140625" style="308" hidden="1" customWidth="1" outlineLevel="1"/>
    <col min="134" max="134" width="14.85546875" style="308" hidden="1" customWidth="1" outlineLevel="1"/>
    <col min="135" max="135" width="13.7109375" style="308" hidden="1" customWidth="1" outlineLevel="1"/>
    <col min="136" max="136" width="13.85546875" style="308" bestFit="1" customWidth="1" collapsed="1"/>
    <col min="137" max="137" width="13.85546875" style="308" customWidth="1"/>
    <col min="138" max="16384" width="9.140625" style="308"/>
  </cols>
  <sheetData>
    <row r="1" spans="1:138">
      <c r="B1" s="306" t="s">
        <v>540</v>
      </c>
      <c r="C1" s="307">
        <f ca="1">IF(расчет!D7=0,"",расчет!D7)</f>
        <v>47119</v>
      </c>
      <c r="D1" s="332"/>
    </row>
    <row r="2" spans="1:138">
      <c r="B2" s="306" t="s">
        <v>541</v>
      </c>
      <c r="C2" s="307">
        <f ca="1">ГРП!D11</f>
        <v>45453</v>
      </c>
      <c r="D2" s="623"/>
    </row>
    <row r="3" spans="1:138">
      <c r="B3" s="306" t="s">
        <v>542</v>
      </c>
      <c r="C3" s="307">
        <f ca="1">ГРП!D46</f>
        <v>47188</v>
      </c>
      <c r="D3" s="623"/>
    </row>
    <row r="4" spans="1:138">
      <c r="B4" s="306"/>
      <c r="C4" s="591"/>
      <c r="D4" s="591"/>
      <c r="E4" s="591"/>
    </row>
    <row r="5" spans="1:138" ht="30">
      <c r="B5" s="306" t="s">
        <v>543</v>
      </c>
      <c r="C5" s="310">
        <f ca="1">IF(C2="","",(C3-D8)/365)</f>
        <v>6.0328767123287674</v>
      </c>
      <c r="D5" s="623"/>
    </row>
    <row r="6" spans="1:138">
      <c r="B6" s="306" t="s">
        <v>544</v>
      </c>
      <c r="C6" s="310">
        <f ca="1">IF(C2="","",(C3-C2)/365)</f>
        <v>4.7534246575342465</v>
      </c>
      <c r="D6" s="623"/>
    </row>
    <row r="7" spans="1:138">
      <c r="B7" s="306"/>
      <c r="C7" s="554">
        <f ca="1">ROUND('Распределение по статьям'!AC5-C10,0)</f>
        <v>15725186</v>
      </c>
      <c r="D7" s="623"/>
      <c r="E7" s="306"/>
    </row>
    <row r="8" spans="1:138" ht="18.75">
      <c r="A8" s="311" t="s">
        <v>545</v>
      </c>
      <c r="B8" s="312" t="s">
        <v>546</v>
      </c>
      <c r="C8" s="311" t="s">
        <v>1617</v>
      </c>
      <c r="D8" s="307">
        <f>DATE(YEAR(Калькулятор_жилье!F2),MONTH(Калькулятор_жилье!F2),1)</f>
        <v>44986</v>
      </c>
      <c r="E8" s="307">
        <f>DATE(YEAR(D8),MONTH(D8)+1,1)</f>
        <v>45017</v>
      </c>
      <c r="F8" s="307">
        <f t="shared" ref="F8:BQ8" si="0">DATE(YEAR(E8),MONTH(E8)+1,1)</f>
        <v>45047</v>
      </c>
      <c r="G8" s="307">
        <f t="shared" si="0"/>
        <v>45078</v>
      </c>
      <c r="H8" s="307">
        <f t="shared" si="0"/>
        <v>45108</v>
      </c>
      <c r="I8" s="307">
        <f t="shared" si="0"/>
        <v>45139</v>
      </c>
      <c r="J8" s="307">
        <f t="shared" si="0"/>
        <v>45170</v>
      </c>
      <c r="K8" s="307">
        <f t="shared" si="0"/>
        <v>45200</v>
      </c>
      <c r="L8" s="307">
        <f t="shared" si="0"/>
        <v>45231</v>
      </c>
      <c r="M8" s="307">
        <f t="shared" si="0"/>
        <v>45261</v>
      </c>
      <c r="N8" s="307">
        <f t="shared" si="0"/>
        <v>45292</v>
      </c>
      <c r="O8" s="307">
        <f t="shared" si="0"/>
        <v>45323</v>
      </c>
      <c r="P8" s="307">
        <f t="shared" si="0"/>
        <v>45352</v>
      </c>
      <c r="Q8" s="307">
        <f t="shared" si="0"/>
        <v>45383</v>
      </c>
      <c r="R8" s="307">
        <f t="shared" si="0"/>
        <v>45413</v>
      </c>
      <c r="S8" s="307">
        <f t="shared" si="0"/>
        <v>45444</v>
      </c>
      <c r="T8" s="307">
        <f t="shared" si="0"/>
        <v>45474</v>
      </c>
      <c r="U8" s="307">
        <f t="shared" si="0"/>
        <v>45505</v>
      </c>
      <c r="V8" s="307">
        <f t="shared" si="0"/>
        <v>45536</v>
      </c>
      <c r="W8" s="307">
        <f t="shared" si="0"/>
        <v>45566</v>
      </c>
      <c r="X8" s="307">
        <f t="shared" si="0"/>
        <v>45597</v>
      </c>
      <c r="Y8" s="307">
        <f t="shared" si="0"/>
        <v>45627</v>
      </c>
      <c r="Z8" s="307">
        <f t="shared" si="0"/>
        <v>45658</v>
      </c>
      <c r="AA8" s="307">
        <f t="shared" si="0"/>
        <v>45689</v>
      </c>
      <c r="AB8" s="307">
        <f t="shared" si="0"/>
        <v>45717</v>
      </c>
      <c r="AC8" s="307">
        <f t="shared" si="0"/>
        <v>45748</v>
      </c>
      <c r="AD8" s="307">
        <f t="shared" si="0"/>
        <v>45778</v>
      </c>
      <c r="AE8" s="307">
        <f t="shared" si="0"/>
        <v>45809</v>
      </c>
      <c r="AF8" s="307">
        <f t="shared" si="0"/>
        <v>45839</v>
      </c>
      <c r="AG8" s="307">
        <f t="shared" si="0"/>
        <v>45870</v>
      </c>
      <c r="AH8" s="307">
        <f t="shared" si="0"/>
        <v>45901</v>
      </c>
      <c r="AI8" s="307">
        <f t="shared" si="0"/>
        <v>45931</v>
      </c>
      <c r="AJ8" s="307">
        <f t="shared" si="0"/>
        <v>45962</v>
      </c>
      <c r="AK8" s="307">
        <f t="shared" si="0"/>
        <v>45992</v>
      </c>
      <c r="AL8" s="307">
        <f t="shared" si="0"/>
        <v>46023</v>
      </c>
      <c r="AM8" s="307">
        <f t="shared" si="0"/>
        <v>46054</v>
      </c>
      <c r="AN8" s="307">
        <f t="shared" si="0"/>
        <v>46082</v>
      </c>
      <c r="AO8" s="307">
        <f t="shared" si="0"/>
        <v>46113</v>
      </c>
      <c r="AP8" s="307">
        <f t="shared" si="0"/>
        <v>46143</v>
      </c>
      <c r="AQ8" s="307">
        <f t="shared" si="0"/>
        <v>46174</v>
      </c>
      <c r="AR8" s="307">
        <f t="shared" si="0"/>
        <v>46204</v>
      </c>
      <c r="AS8" s="307">
        <f t="shared" si="0"/>
        <v>46235</v>
      </c>
      <c r="AT8" s="307">
        <f t="shared" si="0"/>
        <v>46266</v>
      </c>
      <c r="AU8" s="307">
        <f t="shared" si="0"/>
        <v>46296</v>
      </c>
      <c r="AV8" s="307">
        <f t="shared" si="0"/>
        <v>46327</v>
      </c>
      <c r="AW8" s="307">
        <f t="shared" si="0"/>
        <v>46357</v>
      </c>
      <c r="AX8" s="307">
        <f t="shared" si="0"/>
        <v>46388</v>
      </c>
      <c r="AY8" s="307">
        <f t="shared" si="0"/>
        <v>46419</v>
      </c>
      <c r="AZ8" s="307">
        <f t="shared" si="0"/>
        <v>46447</v>
      </c>
      <c r="BA8" s="307">
        <f t="shared" si="0"/>
        <v>46478</v>
      </c>
      <c r="BB8" s="307">
        <f t="shared" si="0"/>
        <v>46508</v>
      </c>
      <c r="BC8" s="307">
        <f t="shared" si="0"/>
        <v>46539</v>
      </c>
      <c r="BD8" s="307">
        <f t="shared" si="0"/>
        <v>46569</v>
      </c>
      <c r="BE8" s="307">
        <f t="shared" si="0"/>
        <v>46600</v>
      </c>
      <c r="BF8" s="307">
        <f t="shared" si="0"/>
        <v>46631</v>
      </c>
      <c r="BG8" s="307">
        <f t="shared" si="0"/>
        <v>46661</v>
      </c>
      <c r="BH8" s="307">
        <f t="shared" si="0"/>
        <v>46692</v>
      </c>
      <c r="BI8" s="307">
        <f t="shared" si="0"/>
        <v>46722</v>
      </c>
      <c r="BJ8" s="307">
        <f t="shared" si="0"/>
        <v>46753</v>
      </c>
      <c r="BK8" s="307">
        <f t="shared" si="0"/>
        <v>46784</v>
      </c>
      <c r="BL8" s="307">
        <f t="shared" si="0"/>
        <v>46813</v>
      </c>
      <c r="BM8" s="307">
        <f t="shared" si="0"/>
        <v>46844</v>
      </c>
      <c r="BN8" s="307">
        <f t="shared" si="0"/>
        <v>46874</v>
      </c>
      <c r="BO8" s="307">
        <f t="shared" si="0"/>
        <v>46905</v>
      </c>
      <c r="BP8" s="307">
        <f t="shared" si="0"/>
        <v>46935</v>
      </c>
      <c r="BQ8" s="307">
        <f t="shared" si="0"/>
        <v>46966</v>
      </c>
      <c r="BR8" s="307">
        <f t="shared" ref="BR8:EC8" si="1">DATE(YEAR(BQ8),MONTH(BQ8)+1,1)</f>
        <v>46997</v>
      </c>
      <c r="BS8" s="307">
        <f t="shared" si="1"/>
        <v>47027</v>
      </c>
      <c r="BT8" s="307">
        <f t="shared" si="1"/>
        <v>47058</v>
      </c>
      <c r="BU8" s="307">
        <f t="shared" si="1"/>
        <v>47088</v>
      </c>
      <c r="BV8" s="307">
        <f t="shared" si="1"/>
        <v>47119</v>
      </c>
      <c r="BW8" s="307">
        <f t="shared" si="1"/>
        <v>47150</v>
      </c>
      <c r="BX8" s="307">
        <f t="shared" si="1"/>
        <v>47178</v>
      </c>
      <c r="BY8" s="307">
        <f t="shared" si="1"/>
        <v>47209</v>
      </c>
      <c r="BZ8" s="307">
        <f t="shared" si="1"/>
        <v>47239</v>
      </c>
      <c r="CA8" s="307">
        <f t="shared" si="1"/>
        <v>47270</v>
      </c>
      <c r="CB8" s="307">
        <f t="shared" si="1"/>
        <v>47300</v>
      </c>
      <c r="CC8" s="307">
        <f t="shared" si="1"/>
        <v>47331</v>
      </c>
      <c r="CD8" s="307">
        <f t="shared" si="1"/>
        <v>47362</v>
      </c>
      <c r="CE8" s="307">
        <f t="shared" si="1"/>
        <v>47392</v>
      </c>
      <c r="CF8" s="307">
        <f t="shared" si="1"/>
        <v>47423</v>
      </c>
      <c r="CG8" s="307">
        <f t="shared" si="1"/>
        <v>47453</v>
      </c>
      <c r="CH8" s="307">
        <f t="shared" si="1"/>
        <v>47484</v>
      </c>
      <c r="CI8" s="307">
        <f t="shared" si="1"/>
        <v>47515</v>
      </c>
      <c r="CJ8" s="307">
        <f t="shared" si="1"/>
        <v>47543</v>
      </c>
      <c r="CK8" s="307">
        <f t="shared" si="1"/>
        <v>47574</v>
      </c>
      <c r="CL8" s="307">
        <f t="shared" si="1"/>
        <v>47604</v>
      </c>
      <c r="CM8" s="307">
        <f t="shared" si="1"/>
        <v>47635</v>
      </c>
      <c r="CN8" s="307">
        <f t="shared" si="1"/>
        <v>47665</v>
      </c>
      <c r="CO8" s="307">
        <f t="shared" si="1"/>
        <v>47696</v>
      </c>
      <c r="CP8" s="307">
        <f t="shared" si="1"/>
        <v>47727</v>
      </c>
      <c r="CQ8" s="307">
        <f t="shared" si="1"/>
        <v>47757</v>
      </c>
      <c r="CR8" s="307">
        <f t="shared" si="1"/>
        <v>47788</v>
      </c>
      <c r="CS8" s="307">
        <f t="shared" si="1"/>
        <v>47818</v>
      </c>
      <c r="CT8" s="307">
        <f t="shared" si="1"/>
        <v>47849</v>
      </c>
      <c r="CU8" s="307">
        <f t="shared" si="1"/>
        <v>47880</v>
      </c>
      <c r="CV8" s="307">
        <f t="shared" si="1"/>
        <v>47908</v>
      </c>
      <c r="CW8" s="307">
        <f t="shared" si="1"/>
        <v>47939</v>
      </c>
      <c r="CX8" s="307">
        <f t="shared" si="1"/>
        <v>47969</v>
      </c>
      <c r="CY8" s="307">
        <f t="shared" si="1"/>
        <v>48000</v>
      </c>
      <c r="CZ8" s="307">
        <f t="shared" si="1"/>
        <v>48030</v>
      </c>
      <c r="DA8" s="307">
        <f t="shared" si="1"/>
        <v>48061</v>
      </c>
      <c r="DB8" s="307">
        <f t="shared" si="1"/>
        <v>48092</v>
      </c>
      <c r="DC8" s="307">
        <f t="shared" si="1"/>
        <v>48122</v>
      </c>
      <c r="DD8" s="307">
        <f t="shared" si="1"/>
        <v>48153</v>
      </c>
      <c r="DE8" s="307">
        <f t="shared" si="1"/>
        <v>48183</v>
      </c>
      <c r="DF8" s="307">
        <f t="shared" si="1"/>
        <v>48214</v>
      </c>
      <c r="DG8" s="307">
        <f t="shared" si="1"/>
        <v>48245</v>
      </c>
      <c r="DH8" s="307">
        <f t="shared" si="1"/>
        <v>48274</v>
      </c>
      <c r="DI8" s="307">
        <f t="shared" si="1"/>
        <v>48305</v>
      </c>
      <c r="DJ8" s="307">
        <f t="shared" si="1"/>
        <v>48335</v>
      </c>
      <c r="DK8" s="307">
        <f t="shared" si="1"/>
        <v>48366</v>
      </c>
      <c r="DL8" s="307">
        <f t="shared" si="1"/>
        <v>48396</v>
      </c>
      <c r="DM8" s="307">
        <f t="shared" si="1"/>
        <v>48427</v>
      </c>
      <c r="DN8" s="307">
        <f t="shared" si="1"/>
        <v>48458</v>
      </c>
      <c r="DO8" s="307">
        <f t="shared" si="1"/>
        <v>48488</v>
      </c>
      <c r="DP8" s="307">
        <f t="shared" si="1"/>
        <v>48519</v>
      </c>
      <c r="DQ8" s="307">
        <f t="shared" si="1"/>
        <v>48549</v>
      </c>
      <c r="DR8" s="307">
        <f t="shared" si="1"/>
        <v>48580</v>
      </c>
      <c r="DS8" s="307">
        <f t="shared" si="1"/>
        <v>48611</v>
      </c>
      <c r="DT8" s="307">
        <f t="shared" si="1"/>
        <v>48639</v>
      </c>
      <c r="DU8" s="307">
        <f t="shared" si="1"/>
        <v>48670</v>
      </c>
      <c r="DV8" s="307">
        <f t="shared" si="1"/>
        <v>48700</v>
      </c>
      <c r="DW8" s="307">
        <f t="shared" si="1"/>
        <v>48731</v>
      </c>
      <c r="DX8" s="307">
        <f t="shared" si="1"/>
        <v>48761</v>
      </c>
      <c r="DY8" s="307">
        <f t="shared" si="1"/>
        <v>48792</v>
      </c>
      <c r="DZ8" s="307">
        <f t="shared" si="1"/>
        <v>48823</v>
      </c>
      <c r="EA8" s="307">
        <f t="shared" si="1"/>
        <v>48853</v>
      </c>
      <c r="EB8" s="307">
        <f t="shared" si="1"/>
        <v>48884</v>
      </c>
      <c r="EC8" s="307">
        <f t="shared" si="1"/>
        <v>48914</v>
      </c>
      <c r="ED8" s="307">
        <f t="shared" ref="ED8:EG8" si="2">DATE(YEAR(EC8),MONTH(EC8)+1,1)</f>
        <v>48945</v>
      </c>
      <c r="EE8" s="307">
        <f t="shared" si="2"/>
        <v>48976</v>
      </c>
      <c r="EF8" s="307">
        <f t="shared" si="2"/>
        <v>49004</v>
      </c>
      <c r="EG8" s="307">
        <f t="shared" si="2"/>
        <v>49035</v>
      </c>
      <c r="EH8" s="313"/>
    </row>
    <row r="9" spans="1:138">
      <c r="C9" s="314">
        <f ca="1">MAX(D9:EG9)</f>
        <v>82</v>
      </c>
      <c r="D9" s="314">
        <v>1</v>
      </c>
      <c r="E9" s="624">
        <f ca="1">IF(SUM(E10:$EG$10)=0,0,D9+1)</f>
        <v>2</v>
      </c>
      <c r="F9" s="624">
        <f ca="1">IF(SUM(F10:$EG$10)=0,0,E9+1)</f>
        <v>3</v>
      </c>
      <c r="G9" s="624">
        <f ca="1">IF(SUM(G10:$EG$10)=0,0,F9+1)</f>
        <v>4</v>
      </c>
      <c r="H9" s="624">
        <f ca="1">IF(SUM(H10:$EG$10)=0,0,G9+1)</f>
        <v>5</v>
      </c>
      <c r="I9" s="624">
        <f ca="1">IF(SUM(I10:$EG$10)=0,0,H9+1)</f>
        <v>6</v>
      </c>
      <c r="J9" s="624">
        <f ca="1">IF(SUM(J10:$EG$10)=0,0,I9+1)</f>
        <v>7</v>
      </c>
      <c r="K9" s="624">
        <f ca="1">IF(SUM(K10:$EG$10)=0,0,J9+1)</f>
        <v>8</v>
      </c>
      <c r="L9" s="624">
        <f ca="1">IF(SUM(L10:$EG$10)=0,0,K9+1)</f>
        <v>9</v>
      </c>
      <c r="M9" s="624">
        <f ca="1">IF(SUM(M10:$EG$10)=0,0,L9+1)</f>
        <v>10</v>
      </c>
      <c r="N9" s="624">
        <f ca="1">IF(SUM(N10:$EG$10)=0,0,M9+1)</f>
        <v>11</v>
      </c>
      <c r="O9" s="624">
        <f ca="1">IF(SUM(O10:$EG$10)=0,0,N9+1)</f>
        <v>12</v>
      </c>
      <c r="P9" s="624">
        <f ca="1">IF(SUM(P10:$EG$10)=0,0,O9+1)</f>
        <v>13</v>
      </c>
      <c r="Q9" s="624">
        <f ca="1">IF(SUM(Q10:$EG$10)=0,0,P9+1)</f>
        <v>14</v>
      </c>
      <c r="R9" s="624">
        <f ca="1">IF(SUM(R10:$EG$10)=0,0,Q9+1)</f>
        <v>15</v>
      </c>
      <c r="S9" s="624">
        <f ca="1">IF(SUM(S10:$EG$10)=0,0,R9+1)</f>
        <v>16</v>
      </c>
      <c r="T9" s="624">
        <f ca="1">IF(SUM(T10:$EG$10)=0,0,S9+1)</f>
        <v>17</v>
      </c>
      <c r="U9" s="624">
        <f ca="1">IF(SUM(U10:$EG$10)=0,0,T9+1)</f>
        <v>18</v>
      </c>
      <c r="V9" s="624">
        <f ca="1">IF(SUM(V10:$EG$10)=0,0,U9+1)</f>
        <v>19</v>
      </c>
      <c r="W9" s="624">
        <f ca="1">IF(SUM(W10:$EG$10)=0,0,V9+1)</f>
        <v>20</v>
      </c>
      <c r="X9" s="624">
        <f ca="1">IF(SUM(X10:$EG$10)=0,0,W9+1)</f>
        <v>21</v>
      </c>
      <c r="Y9" s="624">
        <f ca="1">IF(SUM(Y10:$EG$10)=0,0,X9+1)</f>
        <v>22</v>
      </c>
      <c r="Z9" s="624">
        <f ca="1">IF(SUM(Z10:$EG$10)=0,0,Y9+1)</f>
        <v>23</v>
      </c>
      <c r="AA9" s="624">
        <f ca="1">IF(SUM(AA10:$EG$10)=0,0,Z9+1)</f>
        <v>24</v>
      </c>
      <c r="AB9" s="624">
        <f ca="1">IF(SUM(AB10:$EG$10)=0,0,AA9+1)</f>
        <v>25</v>
      </c>
      <c r="AC9" s="624">
        <f ca="1">IF(SUM(AC10:$EG$10)=0,0,AB9+1)</f>
        <v>26</v>
      </c>
      <c r="AD9" s="624">
        <f ca="1">IF(SUM(AD10:$EG$10)=0,0,AC9+1)</f>
        <v>27</v>
      </c>
      <c r="AE9" s="624">
        <f ca="1">IF(SUM(AE10:$EG$10)=0,0,AD9+1)</f>
        <v>28</v>
      </c>
      <c r="AF9" s="624">
        <f ca="1">IF(SUM(AF10:$EG$10)=0,0,AE9+1)</f>
        <v>29</v>
      </c>
      <c r="AG9" s="624">
        <f ca="1">IF(SUM(AG10:$EG$10)=0,0,AF9+1)</f>
        <v>30</v>
      </c>
      <c r="AH9" s="624">
        <f ca="1">IF(SUM(AH10:$EG$10)=0,0,AG9+1)</f>
        <v>31</v>
      </c>
      <c r="AI9" s="624">
        <f ca="1">IF(SUM(AI10:$EG$10)=0,0,AH9+1)</f>
        <v>32</v>
      </c>
      <c r="AJ9" s="624">
        <f ca="1">IF(SUM(AJ10:$EG$10)=0,0,AI9+1)</f>
        <v>33</v>
      </c>
      <c r="AK9" s="624">
        <f ca="1">IF(SUM(AK10:$EG$10)=0,0,AJ9+1)</f>
        <v>34</v>
      </c>
      <c r="AL9" s="624">
        <f ca="1">IF(SUM(AL10:$EG$10)=0,0,AK9+1)</f>
        <v>35</v>
      </c>
      <c r="AM9" s="624">
        <f ca="1">IF(SUM(AM10:$EG$10)=0,0,AL9+1)</f>
        <v>36</v>
      </c>
      <c r="AN9" s="624">
        <f ca="1">IF(SUM(AN10:$EG$10)=0,0,AM9+1)</f>
        <v>37</v>
      </c>
      <c r="AO9" s="624">
        <f ca="1">IF(SUM(AO10:$EG$10)=0,0,AN9+1)</f>
        <v>38</v>
      </c>
      <c r="AP9" s="624">
        <f ca="1">IF(SUM(AP10:$EG$10)=0,0,AO9+1)</f>
        <v>39</v>
      </c>
      <c r="AQ9" s="624">
        <f ca="1">IF(SUM(AQ10:$EG$10)=0,0,AP9+1)</f>
        <v>40</v>
      </c>
      <c r="AR9" s="624">
        <f ca="1">IF(SUM(AR10:$EG$10)=0,0,AQ9+1)</f>
        <v>41</v>
      </c>
      <c r="AS9" s="624">
        <f ca="1">IF(SUM(AS10:$EG$10)=0,0,AR9+1)</f>
        <v>42</v>
      </c>
      <c r="AT9" s="624">
        <f ca="1">IF(SUM(AT10:$EG$10)=0,0,AS9+1)</f>
        <v>43</v>
      </c>
      <c r="AU9" s="624">
        <f ca="1">IF(SUM(AU10:$EG$10)=0,0,AT9+1)</f>
        <v>44</v>
      </c>
      <c r="AV9" s="624">
        <f ca="1">IF(SUM(AV10:$EG$10)=0,0,AU9+1)</f>
        <v>45</v>
      </c>
      <c r="AW9" s="624">
        <f ca="1">IF(SUM(AW10:$EG$10)=0,0,AV9+1)</f>
        <v>46</v>
      </c>
      <c r="AX9" s="624">
        <f ca="1">IF(SUM(AX10:$EG$10)=0,0,AW9+1)</f>
        <v>47</v>
      </c>
      <c r="AY9" s="624">
        <f ca="1">IF(SUM(AY10:$EG$10)=0,0,AX9+1)</f>
        <v>48</v>
      </c>
      <c r="AZ9" s="624">
        <f ca="1">IF(SUM(AZ10:$EG$10)=0,0,AY9+1)</f>
        <v>49</v>
      </c>
      <c r="BA9" s="624">
        <f ca="1">IF(SUM(BA10:$EG$10)=0,0,AZ9+1)</f>
        <v>50</v>
      </c>
      <c r="BB9" s="624">
        <f ca="1">IF(SUM(BB10:$EG$10)=0,0,BA9+1)</f>
        <v>51</v>
      </c>
      <c r="BC9" s="624">
        <f ca="1">IF(SUM(BC10:$EG$10)=0,0,BB9+1)</f>
        <v>52</v>
      </c>
      <c r="BD9" s="624">
        <f ca="1">IF(SUM(BD10:$EG$10)=0,0,BC9+1)</f>
        <v>53</v>
      </c>
      <c r="BE9" s="624">
        <f ca="1">IF(SUM(BE10:$EG$10)=0,0,BD9+1)</f>
        <v>54</v>
      </c>
      <c r="BF9" s="624">
        <f ca="1">IF(SUM(BF10:$EG$10)=0,0,BE9+1)</f>
        <v>55</v>
      </c>
      <c r="BG9" s="624">
        <f ca="1">IF(SUM(BG10:$EG$10)=0,0,BF9+1)</f>
        <v>56</v>
      </c>
      <c r="BH9" s="624">
        <f ca="1">IF(SUM(BH10:$EG$10)=0,0,BG9+1)</f>
        <v>57</v>
      </c>
      <c r="BI9" s="624">
        <f ca="1">IF(SUM(BI10:$EG$10)=0,0,BH9+1)</f>
        <v>58</v>
      </c>
      <c r="BJ9" s="624">
        <f ca="1">IF(SUM(BJ10:$EG$10)=0,0,BI9+1)</f>
        <v>59</v>
      </c>
      <c r="BK9" s="624">
        <f ca="1">IF(SUM(BK10:$EG$10)=0,0,BJ9+1)</f>
        <v>60</v>
      </c>
      <c r="BL9" s="624">
        <f ca="1">IF(SUM(BL10:$EG$10)=0,0,BK9+1)</f>
        <v>61</v>
      </c>
      <c r="BM9" s="624">
        <f ca="1">IF(SUM(BM10:$EG$10)=0,0,BL9+1)</f>
        <v>62</v>
      </c>
      <c r="BN9" s="624">
        <f ca="1">IF(SUM(BN10:$EG$10)=0,0,BM9+1)</f>
        <v>63</v>
      </c>
      <c r="BO9" s="624">
        <f ca="1">IF(SUM(BO10:$EG$10)=0,0,BN9+1)</f>
        <v>64</v>
      </c>
      <c r="BP9" s="624">
        <f ca="1">IF(SUM(BP10:$EG$10)=0,0,BO9+1)</f>
        <v>65</v>
      </c>
      <c r="BQ9" s="624">
        <f ca="1">IF(SUM(BQ10:$EG$10)=0,0,BP9+1)</f>
        <v>66</v>
      </c>
      <c r="BR9" s="624">
        <f ca="1">IF(SUM(BR10:$EG$10)=0,0,BQ9+1)</f>
        <v>67</v>
      </c>
      <c r="BS9" s="624">
        <f ca="1">IF(SUM(BS10:$EG$10)=0,0,BR9+1)</f>
        <v>68</v>
      </c>
      <c r="BT9" s="624">
        <f ca="1">IF(SUM(BT10:$EG$10)=0,0,BS9+1)</f>
        <v>69</v>
      </c>
      <c r="BU9" s="624">
        <f ca="1">IF(SUM(BU10:$EG$10)=0,0,BT9+1)</f>
        <v>70</v>
      </c>
      <c r="BV9" s="624">
        <f ca="1">IF(SUM(BV10:$EG$10)=0,0,BU9+1)</f>
        <v>71</v>
      </c>
      <c r="BW9" s="624">
        <f ca="1">IF(SUM(BW10:$EG$10)=0,0,BV9+1)</f>
        <v>72</v>
      </c>
      <c r="BX9" s="624">
        <f ca="1">IF(SUM(BX10:$EG$10)=0,0,BW9+1)</f>
        <v>73</v>
      </c>
      <c r="BY9" s="624">
        <f ca="1">IF(SUM(BY10:$EG$10)=0,0,BX9+1)</f>
        <v>74</v>
      </c>
      <c r="BZ9" s="624">
        <f ca="1">IF(SUM(BZ10:$EG$10)=0,0,BY9+1)</f>
        <v>75</v>
      </c>
      <c r="CA9" s="624">
        <f ca="1">IF(SUM(CA10:$EG$10)=0,0,BZ9+1)</f>
        <v>76</v>
      </c>
      <c r="CB9" s="624">
        <f ca="1">IF(SUM(CB10:$EG$10)=0,0,CA9+1)</f>
        <v>77</v>
      </c>
      <c r="CC9" s="624">
        <f ca="1">IF(SUM(CC10:$EG$10)=0,0,CB9+1)</f>
        <v>78</v>
      </c>
      <c r="CD9" s="624">
        <f ca="1">IF(SUM(CD10:$EG$10)=0,0,CC9+1)</f>
        <v>79</v>
      </c>
      <c r="CE9" s="624">
        <f ca="1">IF(SUM(CE10:$EG$10)=0,0,CD9+1)</f>
        <v>80</v>
      </c>
      <c r="CF9" s="624">
        <f ca="1">IF(SUM(CF10:$EG$10)=0,0,CE9+1)</f>
        <v>81</v>
      </c>
      <c r="CG9" s="624">
        <f ca="1">IF(SUM(CG10:$EG$10)=0,0,CF9+1)</f>
        <v>82</v>
      </c>
      <c r="CH9" s="624">
        <f ca="1">IF(SUM(CH10:$EG$10)=0,0,CG9+1)</f>
        <v>0</v>
      </c>
      <c r="CI9" s="624">
        <f ca="1">IF(SUM(CI10:$EG$10)=0,0,CH9+1)</f>
        <v>0</v>
      </c>
      <c r="CJ9" s="624">
        <f ca="1">IF(SUM(CJ10:$EG$10)=0,0,CI9+1)</f>
        <v>0</v>
      </c>
      <c r="CK9" s="624">
        <f ca="1">IF(SUM(CK10:$EG$10)=0,0,CJ9+1)</f>
        <v>0</v>
      </c>
      <c r="CL9" s="624">
        <f ca="1">IF(SUM(CL10:$EG$10)=0,0,CK9+1)</f>
        <v>0</v>
      </c>
      <c r="CM9" s="624">
        <f ca="1">IF(SUM(CM10:$EG$10)=0,0,CL9+1)</f>
        <v>0</v>
      </c>
      <c r="CN9" s="624">
        <f ca="1">IF(SUM(CN10:$EG$10)=0,0,CM9+1)</f>
        <v>0</v>
      </c>
      <c r="CO9" s="624">
        <f ca="1">IF(SUM(CO10:$EG$10)=0,0,CN9+1)</f>
        <v>0</v>
      </c>
      <c r="CP9" s="624">
        <f ca="1">IF(SUM(CP10:$EG$10)=0,0,CO9+1)</f>
        <v>0</v>
      </c>
      <c r="CQ9" s="624">
        <f ca="1">IF(SUM(CQ10:$EG$10)=0,0,CP9+1)</f>
        <v>0</v>
      </c>
      <c r="CR9" s="624">
        <f ca="1">IF(SUM(CR10:$EG$10)=0,0,CQ9+1)</f>
        <v>0</v>
      </c>
      <c r="CS9" s="624">
        <f ca="1">IF(SUM(CS10:$EG$10)=0,0,CR9+1)</f>
        <v>0</v>
      </c>
      <c r="CT9" s="624">
        <f ca="1">IF(SUM(CT10:$EG$10)=0,0,CS9+1)</f>
        <v>0</v>
      </c>
      <c r="CU9" s="624">
        <f ca="1">IF(SUM(CU10:$EG$10)=0,0,CT9+1)</f>
        <v>0</v>
      </c>
      <c r="CV9" s="624">
        <f ca="1">IF(SUM(CV10:$EG$10)=0,0,CU9+1)</f>
        <v>0</v>
      </c>
      <c r="CW9" s="624">
        <f ca="1">IF(SUM(CW10:$EG$10)=0,0,CV9+1)</f>
        <v>0</v>
      </c>
      <c r="CX9" s="624">
        <f ca="1">IF(SUM(CX10:$EG$10)=0,0,CW9+1)</f>
        <v>0</v>
      </c>
      <c r="CY9" s="624">
        <f ca="1">IF(SUM(CY10:$EG$10)=0,0,CX9+1)</f>
        <v>0</v>
      </c>
      <c r="CZ9" s="624">
        <f ca="1">IF(SUM(CZ10:$EG$10)=0,0,CY9+1)</f>
        <v>0</v>
      </c>
      <c r="DA9" s="624">
        <f ca="1">IF(SUM(DA10:$EG$10)=0,0,CZ9+1)</f>
        <v>0</v>
      </c>
      <c r="DB9" s="624">
        <f ca="1">IF(SUM(DB10:$EG$10)=0,0,DA9+1)</f>
        <v>0</v>
      </c>
      <c r="DC9" s="624">
        <f ca="1">IF(SUM(DC10:$EG$10)=0,0,DB9+1)</f>
        <v>0</v>
      </c>
      <c r="DD9" s="624">
        <f ca="1">IF(SUM(DD10:$EG$10)=0,0,DC9+1)</f>
        <v>0</v>
      </c>
      <c r="DE9" s="624">
        <f ca="1">IF(SUM(DE10:$EG$10)=0,0,DD9+1)</f>
        <v>0</v>
      </c>
      <c r="DF9" s="624">
        <f ca="1">IF(SUM(DF10:$EG$10)=0,0,DE9+1)</f>
        <v>0</v>
      </c>
      <c r="DG9" s="624">
        <f ca="1">IF(SUM(DG10:$EG$10)=0,0,DF9+1)</f>
        <v>0</v>
      </c>
      <c r="DH9" s="624">
        <f ca="1">IF(SUM(DH10:$EG$10)=0,0,DG9+1)</f>
        <v>0</v>
      </c>
      <c r="DI9" s="624">
        <f ca="1">IF(SUM(DI10:$EG$10)=0,0,DH9+1)</f>
        <v>0</v>
      </c>
      <c r="DJ9" s="624">
        <f ca="1">IF(SUM(DJ10:$EG$10)=0,0,DI9+1)</f>
        <v>0</v>
      </c>
      <c r="DK9" s="624">
        <f ca="1">IF(SUM(DK10:$EG$10)=0,0,DJ9+1)</f>
        <v>0</v>
      </c>
      <c r="DL9" s="624">
        <f ca="1">IF(SUM(DL10:$EG$10)=0,0,DK9+1)</f>
        <v>0</v>
      </c>
      <c r="DM9" s="624">
        <f ca="1">IF(SUM(DM10:$EG$10)=0,0,DL9+1)</f>
        <v>0</v>
      </c>
      <c r="DN9" s="624">
        <f ca="1">IF(SUM(DN10:$EG$10)=0,0,DM9+1)</f>
        <v>0</v>
      </c>
      <c r="DO9" s="624">
        <f ca="1">IF(SUM(DO10:$EG$10)=0,0,DN9+1)</f>
        <v>0</v>
      </c>
      <c r="DP9" s="624">
        <f ca="1">IF(SUM(DP10:$EG$10)=0,0,DO9+1)</f>
        <v>0</v>
      </c>
      <c r="DQ9" s="624">
        <f ca="1">IF(SUM(DQ10:$EG$10)=0,0,DP9+1)</f>
        <v>0</v>
      </c>
      <c r="DR9" s="624">
        <f ca="1">IF(SUM(DR10:$EG$10)=0,0,DQ9+1)</f>
        <v>0</v>
      </c>
      <c r="DS9" s="624">
        <f ca="1">IF(SUM(DS10:$EG$10)=0,0,DR9+1)</f>
        <v>0</v>
      </c>
      <c r="DT9" s="624">
        <f ca="1">IF(SUM(DT10:$EG$10)=0,0,DS9+1)</f>
        <v>0</v>
      </c>
      <c r="DU9" s="624">
        <f ca="1">IF(SUM(DU10:$EG$10)=0,0,DT9+1)</f>
        <v>0</v>
      </c>
      <c r="DV9" s="624">
        <f ca="1">IF(SUM(DV10:$EG$10)=0,0,DU9+1)</f>
        <v>0</v>
      </c>
      <c r="DW9" s="624">
        <f ca="1">IF(SUM(DW10:$EG$10)=0,0,DV9+1)</f>
        <v>0</v>
      </c>
      <c r="DX9" s="624">
        <f ca="1">IF(SUM(DX10:$EG$10)=0,0,DW9+1)</f>
        <v>0</v>
      </c>
      <c r="DY9" s="624">
        <f ca="1">IF(SUM(DY10:$EG$10)=0,0,DX9+1)</f>
        <v>0</v>
      </c>
      <c r="DZ9" s="624">
        <f ca="1">IF(SUM(DZ10:$EG$10)=0,0,DY9+1)</f>
        <v>0</v>
      </c>
      <c r="EA9" s="624">
        <f ca="1">IF(SUM(EA10:$EG$10)=0,0,DZ9+1)</f>
        <v>0</v>
      </c>
      <c r="EB9" s="624">
        <f ca="1">IF(SUM(EB10:$EG$10)=0,0,EA9+1)</f>
        <v>0</v>
      </c>
      <c r="EC9" s="624">
        <f ca="1">IF(SUM(EC10:$EG$10)=0,0,EB9+1)</f>
        <v>0</v>
      </c>
      <c r="ED9" s="624">
        <f ca="1">IF(SUM(ED10:$EG$10)=0,0,EC9+1)</f>
        <v>0</v>
      </c>
      <c r="EE9" s="624">
        <f ca="1">IF(SUM(EE10:$EG$10)=0,0,ED9+1)</f>
        <v>0</v>
      </c>
      <c r="EF9" s="624">
        <f ca="1">IF(SUM(EF10:$EG$10)=0,0,EE9+1)</f>
        <v>0</v>
      </c>
      <c r="EG9" s="624">
        <f>IF(SUM(EG10:$EG$10)=0,0,EF9+1)</f>
        <v>0</v>
      </c>
      <c r="EH9" s="313"/>
    </row>
    <row r="10" spans="1:138" s="619" customFormat="1">
      <c r="A10" s="620" t="s">
        <v>193</v>
      </c>
      <c r="B10" s="620" t="s">
        <v>1616</v>
      </c>
      <c r="C10" s="616">
        <f ca="1">SUM(D10:EG10)</f>
        <v>13341159533.159382</v>
      </c>
      <c r="D10" s="616">
        <f t="shared" ref="D10:AI10" ca="1" si="3">D11+D12+D31</f>
        <v>3427461.542787259</v>
      </c>
      <c r="E10" s="616">
        <f t="shared" ca="1" si="3"/>
        <v>18831520.506229009</v>
      </c>
      <c r="F10" s="616">
        <f t="shared" ca="1" si="3"/>
        <v>8397791.0273651872</v>
      </c>
      <c r="G10" s="616">
        <f t="shared" ca="1" si="3"/>
        <v>13331713.668806506</v>
      </c>
      <c r="H10" s="616">
        <f t="shared" ca="1" si="3"/>
        <v>12901658.389167588</v>
      </c>
      <c r="I10" s="616">
        <f t="shared" ca="1" si="3"/>
        <v>13331713.668806506</v>
      </c>
      <c r="J10" s="616">
        <f t="shared" ca="1" si="3"/>
        <v>12394773.830564288</v>
      </c>
      <c r="K10" s="616">
        <f t="shared" ca="1" si="3"/>
        <v>50332430.574522011</v>
      </c>
      <c r="L10" s="616">
        <f t="shared" ca="1" si="3"/>
        <v>6070429.9224293204</v>
      </c>
      <c r="M10" s="616">
        <f t="shared" ca="1" si="3"/>
        <v>10333823.682523057</v>
      </c>
      <c r="N10" s="616">
        <f t="shared" ca="1" si="3"/>
        <v>35539804.484748803</v>
      </c>
      <c r="O10" s="616">
        <f t="shared" ca="1" si="3"/>
        <v>58077387.023007222</v>
      </c>
      <c r="P10" s="616">
        <f t="shared" ca="1" si="3"/>
        <v>23706430.351022121</v>
      </c>
      <c r="Q10" s="616">
        <f t="shared" ca="1" si="3"/>
        <v>96484428.224189743</v>
      </c>
      <c r="R10" s="616">
        <f t="shared" ca="1" si="3"/>
        <v>50345770.282567404</v>
      </c>
      <c r="S10" s="616">
        <f t="shared" ca="1" si="3"/>
        <v>41916888.400312379</v>
      </c>
      <c r="T10" s="616">
        <f t="shared" ca="1" si="3"/>
        <v>54874959.895567358</v>
      </c>
      <c r="U10" s="616">
        <f t="shared" ca="1" si="3"/>
        <v>118683454.77590658</v>
      </c>
      <c r="V10" s="616">
        <f t="shared" ca="1" si="3"/>
        <v>56704125.225419596</v>
      </c>
      <c r="W10" s="616">
        <f t="shared" ca="1" si="3"/>
        <v>46592189.606604688</v>
      </c>
      <c r="X10" s="616">
        <f t="shared" ca="1" si="3"/>
        <v>214569507.21870303</v>
      </c>
      <c r="Y10" s="616">
        <f t="shared" ca="1" si="3"/>
        <v>147494797.08091807</v>
      </c>
      <c r="Z10" s="616">
        <f t="shared" ca="1" si="3"/>
        <v>187330617.16112372</v>
      </c>
      <c r="AA10" s="616">
        <f t="shared" ca="1" si="3"/>
        <v>178491960.38389206</v>
      </c>
      <c r="AB10" s="616">
        <f t="shared" ca="1" si="3"/>
        <v>101561979.03189665</v>
      </c>
      <c r="AC10" s="616">
        <f t="shared" ca="1" si="3"/>
        <v>101272562.10807246</v>
      </c>
      <c r="AD10" s="616">
        <f t="shared" ca="1" si="3"/>
        <v>97407353.275625914</v>
      </c>
      <c r="AE10" s="616">
        <f t="shared" ca="1" si="3"/>
        <v>100654265.05148011</v>
      </c>
      <c r="AF10" s="616">
        <f t="shared" ca="1" si="3"/>
        <v>97407353.275625914</v>
      </c>
      <c r="AG10" s="616">
        <f t="shared" ca="1" si="3"/>
        <v>100654265.05148011</v>
      </c>
      <c r="AH10" s="616">
        <f t="shared" ca="1" si="3"/>
        <v>100654265.05148011</v>
      </c>
      <c r="AI10" s="616">
        <f t="shared" ca="1" si="3"/>
        <v>97407353.275625914</v>
      </c>
      <c r="AJ10" s="616">
        <f t="shared" ref="AJ10:BO10" ca="1" si="4">AJ11+AJ12+AJ31</f>
        <v>100654265.05148011</v>
      </c>
      <c r="AK10" s="616">
        <f t="shared" ca="1" si="4"/>
        <v>345047714.9234935</v>
      </c>
      <c r="AL10" s="616">
        <f t="shared" ca="1" si="4"/>
        <v>100654265.05148011</v>
      </c>
      <c r="AM10" s="616">
        <f t="shared" ca="1" si="4"/>
        <v>105174612.32252103</v>
      </c>
      <c r="AN10" s="616">
        <f t="shared" ca="1" si="4"/>
        <v>125531926.24375144</v>
      </c>
      <c r="AO10" s="616">
        <f t="shared" ca="1" si="4"/>
        <v>907438459.20727229</v>
      </c>
      <c r="AP10" s="616">
        <f t="shared" ca="1" si="4"/>
        <v>105953285.24676844</v>
      </c>
      <c r="AQ10" s="616">
        <f t="shared" ca="1" si="4"/>
        <v>306520280.65768093</v>
      </c>
      <c r="AR10" s="616">
        <f t="shared" ca="1" si="4"/>
        <v>393218033.83699268</v>
      </c>
      <c r="AS10" s="616">
        <f t="shared" ca="1" si="4"/>
        <v>1029941283.1020718</v>
      </c>
      <c r="AT10" s="616">
        <f t="shared" ca="1" si="4"/>
        <v>356677030.56405121</v>
      </c>
      <c r="AU10" s="616">
        <f t="shared" ca="1" si="4"/>
        <v>427234871.33364111</v>
      </c>
      <c r="AV10" s="616">
        <f t="shared" ca="1" si="4"/>
        <v>655964995.72797275</v>
      </c>
      <c r="AW10" s="616">
        <f t="shared" ca="1" si="4"/>
        <v>854296650.94487906</v>
      </c>
      <c r="AX10" s="616">
        <f t="shared" ca="1" si="4"/>
        <v>543205592.09564579</v>
      </c>
      <c r="AY10" s="616">
        <f t="shared" ca="1" si="4"/>
        <v>519497670.82917756</v>
      </c>
      <c r="AZ10" s="616">
        <f t="shared" ca="1" si="4"/>
        <v>514572866.41314918</v>
      </c>
      <c r="BA10" s="616">
        <f t="shared" ca="1" si="4"/>
        <v>531560829.9827016</v>
      </c>
      <c r="BB10" s="616">
        <f t="shared" ca="1" si="4"/>
        <v>478830954.35628319</v>
      </c>
      <c r="BC10" s="616">
        <f t="shared" ca="1" si="4"/>
        <v>465191445.8734383</v>
      </c>
      <c r="BD10" s="616">
        <f t="shared" ca="1" si="4"/>
        <v>451414332.99545389</v>
      </c>
      <c r="BE10" s="616">
        <f t="shared" ca="1" si="4"/>
        <v>334416420.42908543</v>
      </c>
      <c r="BF10" s="616">
        <f t="shared" ca="1" si="4"/>
        <v>199481997.68575668</v>
      </c>
      <c r="BG10" s="616">
        <f t="shared" ca="1" si="4"/>
        <v>499038559.76836926</v>
      </c>
      <c r="BH10" s="616">
        <f t="shared" ca="1" si="4"/>
        <v>113083430.97049694</v>
      </c>
      <c r="BI10" s="616">
        <f t="shared" ca="1" si="4"/>
        <v>95624173.180055052</v>
      </c>
      <c r="BJ10" s="616">
        <f t="shared" ca="1" si="4"/>
        <v>70625404.87673609</v>
      </c>
      <c r="BK10" s="616">
        <f t="shared" ca="1" si="4"/>
        <v>41469667.61806345</v>
      </c>
      <c r="BL10" s="616">
        <f t="shared" ca="1" si="4"/>
        <v>12641039.659099653</v>
      </c>
      <c r="BM10" s="616">
        <f t="shared" ca="1" si="4"/>
        <v>13512835.497658249</v>
      </c>
      <c r="BN10" s="616">
        <f t="shared" ca="1" si="4"/>
        <v>13076937.578378953</v>
      </c>
      <c r="BO10" s="616">
        <f t="shared" ca="1" si="4"/>
        <v>13512835.497658249</v>
      </c>
      <c r="BP10" s="616">
        <f t="shared" ref="BP10:CU10" ca="1" si="5">BP11+BP12+BP31</f>
        <v>13076937.578378953</v>
      </c>
      <c r="BQ10" s="616">
        <f t="shared" ca="1" si="5"/>
        <v>13512835.497658249</v>
      </c>
      <c r="BR10" s="616">
        <f t="shared" ca="1" si="5"/>
        <v>13512835.497658249</v>
      </c>
      <c r="BS10" s="616">
        <f t="shared" ca="1" si="5"/>
        <v>13076937.578378953</v>
      </c>
      <c r="BT10" s="616">
        <f t="shared" ca="1" si="5"/>
        <v>13512835.497658249</v>
      </c>
      <c r="BU10" s="616">
        <f t="shared" ca="1" si="5"/>
        <v>13327137.086918857</v>
      </c>
      <c r="BV10" s="616">
        <f t="shared" ca="1" si="5"/>
        <v>27857234.993055157</v>
      </c>
      <c r="BW10" s="616">
        <f t="shared" ca="1" si="5"/>
        <v>52170841.589960396</v>
      </c>
      <c r="BX10" s="616">
        <f t="shared" ca="1" si="5"/>
        <v>0</v>
      </c>
      <c r="BY10" s="616">
        <f t="shared" ca="1" si="5"/>
        <v>5896722.7449342776</v>
      </c>
      <c r="BZ10" s="616">
        <f t="shared" ca="1" si="5"/>
        <v>739450.59023287054</v>
      </c>
      <c r="CA10" s="616">
        <f t="shared" ca="1" si="5"/>
        <v>11239925.566992048</v>
      </c>
      <c r="CB10" s="616">
        <f t="shared" ca="1" si="5"/>
        <v>13327202.326639529</v>
      </c>
      <c r="CC10" s="616">
        <f t="shared" ca="1" si="5"/>
        <v>25432366.211682152</v>
      </c>
      <c r="CD10" s="616">
        <f t="shared" ca="1" si="5"/>
        <v>85113998.450423405</v>
      </c>
      <c r="CE10" s="616">
        <f t="shared" ca="1" si="5"/>
        <v>0</v>
      </c>
      <c r="CF10" s="616">
        <f t="shared" ca="1" si="5"/>
        <v>0</v>
      </c>
      <c r="CG10" s="616">
        <f t="shared" ca="1" si="5"/>
        <v>57112569.379077844</v>
      </c>
      <c r="CH10" s="616">
        <f t="shared" ca="1" si="5"/>
        <v>0</v>
      </c>
      <c r="CI10" s="616">
        <f t="shared" ca="1" si="5"/>
        <v>0</v>
      </c>
      <c r="CJ10" s="616">
        <f t="shared" ca="1" si="5"/>
        <v>0</v>
      </c>
      <c r="CK10" s="616">
        <f t="shared" ca="1" si="5"/>
        <v>0</v>
      </c>
      <c r="CL10" s="616">
        <f t="shared" ca="1" si="5"/>
        <v>0</v>
      </c>
      <c r="CM10" s="616">
        <f t="shared" ca="1" si="5"/>
        <v>0</v>
      </c>
      <c r="CN10" s="616">
        <f t="shared" ca="1" si="5"/>
        <v>0</v>
      </c>
      <c r="CO10" s="616">
        <f t="shared" ca="1" si="5"/>
        <v>0</v>
      </c>
      <c r="CP10" s="616">
        <f t="shared" ca="1" si="5"/>
        <v>0</v>
      </c>
      <c r="CQ10" s="616">
        <f t="shared" ca="1" si="5"/>
        <v>0</v>
      </c>
      <c r="CR10" s="616">
        <f t="shared" ca="1" si="5"/>
        <v>0</v>
      </c>
      <c r="CS10" s="616">
        <f t="shared" ca="1" si="5"/>
        <v>0</v>
      </c>
      <c r="CT10" s="616">
        <f t="shared" ca="1" si="5"/>
        <v>0</v>
      </c>
      <c r="CU10" s="616">
        <f t="shared" ca="1" si="5"/>
        <v>0</v>
      </c>
      <c r="CV10" s="616">
        <f t="shared" ref="CV10:EA10" ca="1" si="6">CV11+CV12+CV31</f>
        <v>0</v>
      </c>
      <c r="CW10" s="616">
        <f t="shared" ca="1" si="6"/>
        <v>0</v>
      </c>
      <c r="CX10" s="616">
        <f t="shared" ca="1" si="6"/>
        <v>0</v>
      </c>
      <c r="CY10" s="616">
        <f t="shared" ca="1" si="6"/>
        <v>0</v>
      </c>
      <c r="CZ10" s="616">
        <f t="shared" ca="1" si="6"/>
        <v>0</v>
      </c>
      <c r="DA10" s="616">
        <f t="shared" ca="1" si="6"/>
        <v>0</v>
      </c>
      <c r="DB10" s="616">
        <f t="shared" ca="1" si="6"/>
        <v>0</v>
      </c>
      <c r="DC10" s="616">
        <f t="shared" ca="1" si="6"/>
        <v>0</v>
      </c>
      <c r="DD10" s="616">
        <f t="shared" ca="1" si="6"/>
        <v>0</v>
      </c>
      <c r="DE10" s="616">
        <f t="shared" ca="1" si="6"/>
        <v>0</v>
      </c>
      <c r="DF10" s="616">
        <f t="shared" ca="1" si="6"/>
        <v>0</v>
      </c>
      <c r="DG10" s="616">
        <f t="shared" ca="1" si="6"/>
        <v>0</v>
      </c>
      <c r="DH10" s="616">
        <f t="shared" ca="1" si="6"/>
        <v>0</v>
      </c>
      <c r="DI10" s="616">
        <f t="shared" ca="1" si="6"/>
        <v>0</v>
      </c>
      <c r="DJ10" s="616">
        <f t="shared" ca="1" si="6"/>
        <v>0</v>
      </c>
      <c r="DK10" s="616">
        <f t="shared" ca="1" si="6"/>
        <v>0</v>
      </c>
      <c r="DL10" s="616">
        <f t="shared" ca="1" si="6"/>
        <v>0</v>
      </c>
      <c r="DM10" s="616">
        <f t="shared" ca="1" si="6"/>
        <v>0</v>
      </c>
      <c r="DN10" s="616">
        <f t="shared" ca="1" si="6"/>
        <v>0</v>
      </c>
      <c r="DO10" s="616">
        <f t="shared" ca="1" si="6"/>
        <v>0</v>
      </c>
      <c r="DP10" s="616">
        <f t="shared" ca="1" si="6"/>
        <v>0</v>
      </c>
      <c r="DQ10" s="616">
        <f t="shared" ca="1" si="6"/>
        <v>0</v>
      </c>
      <c r="DR10" s="616">
        <f t="shared" ca="1" si="6"/>
        <v>0</v>
      </c>
      <c r="DS10" s="616">
        <f t="shared" ca="1" si="6"/>
        <v>0</v>
      </c>
      <c r="DT10" s="616">
        <f t="shared" ca="1" si="6"/>
        <v>0</v>
      </c>
      <c r="DU10" s="616">
        <f t="shared" ca="1" si="6"/>
        <v>0</v>
      </c>
      <c r="DV10" s="616">
        <f t="shared" ca="1" si="6"/>
        <v>0</v>
      </c>
      <c r="DW10" s="616">
        <f t="shared" ca="1" si="6"/>
        <v>0</v>
      </c>
      <c r="DX10" s="616">
        <f t="shared" ca="1" si="6"/>
        <v>0</v>
      </c>
      <c r="DY10" s="616">
        <f t="shared" ca="1" si="6"/>
        <v>0</v>
      </c>
      <c r="DZ10" s="616">
        <f t="shared" ca="1" si="6"/>
        <v>0</v>
      </c>
      <c r="EA10" s="616">
        <f t="shared" ca="1" si="6"/>
        <v>0</v>
      </c>
      <c r="EB10" s="616">
        <f t="shared" ref="EB10:EG10" ca="1" si="7">EB11+EB12+EB31</f>
        <v>0</v>
      </c>
      <c r="EC10" s="616">
        <f t="shared" ca="1" si="7"/>
        <v>0</v>
      </c>
      <c r="ED10" s="616">
        <f t="shared" ca="1" si="7"/>
        <v>0</v>
      </c>
      <c r="EE10" s="616">
        <f t="shared" ca="1" si="7"/>
        <v>0</v>
      </c>
      <c r="EF10" s="616">
        <f t="shared" ca="1" si="7"/>
        <v>0</v>
      </c>
      <c r="EG10" s="616">
        <f t="shared" si="7"/>
        <v>0</v>
      </c>
      <c r="EH10" s="621"/>
    </row>
    <row r="11" spans="1:138" s="619" customFormat="1">
      <c r="A11" s="622" t="s">
        <v>1615</v>
      </c>
      <c r="B11" s="622" t="s">
        <v>1614</v>
      </c>
      <c r="C11" s="617">
        <f t="shared" ref="C11:C34" ca="1" si="8">SUM(D11:EG11)</f>
        <v>723515538.00631034</v>
      </c>
      <c r="D11" s="617">
        <f ca="1">SUM(расчет!G10:G14)+расчет!G15+расчет!G16+расчет!G17</f>
        <v>3427461.542787259</v>
      </c>
      <c r="E11" s="617">
        <f ca="1">SUM(расчет!H10:H14)+расчет!H15+расчет!H16+расчет!H17</f>
        <v>7261283.7463771859</v>
      </c>
      <c r="F11" s="617">
        <f ca="1">SUM(расчет!I10:I14)+расчет!I15+расчет!I16+расчет!I17</f>
        <v>7027048.7868166314</v>
      </c>
      <c r="G11" s="617">
        <f ca="1">SUM(расчет!J10:J14)+расчет!J15+расчет!J16+расчет!J17</f>
        <v>7261283.7463771859</v>
      </c>
      <c r="H11" s="617">
        <f ca="1">SUM(расчет!K10:K14)+расчет!K15+расчет!K16+расчет!K17</f>
        <v>7027048.7868166314</v>
      </c>
      <c r="I11" s="617">
        <f ca="1">SUM(расчет!L10:L14)+расчет!L15+расчет!L16+расчет!L17</f>
        <v>7261283.7463771859</v>
      </c>
      <c r="J11" s="617">
        <f ca="1">SUM(расчет!M10:M14)+расчет!M15+расчет!M16+расчет!M17</f>
        <v>6324343.908134968</v>
      </c>
      <c r="K11" s="617">
        <f ca="1">SUM(расчет!N10:N14)+расчет!N15+расчет!N16+расчет!N17</f>
        <v>44457820.972171053</v>
      </c>
      <c r="L11" s="617">
        <f ca="1">SUM(расчет!O10:O14)+расчет!O15+расчет!O16+расчет!O17</f>
        <v>0</v>
      </c>
      <c r="M11" s="617">
        <f ca="1">SUM(расчет!P10:P14)+расчет!P15+расчет!P16+расчет!P17</f>
        <v>6613237.6010341179</v>
      </c>
      <c r="N11" s="617">
        <f ca="1">SUM(расчет!Q10:Q14)+расчет!Q15+расчет!Q16+расчет!Q17</f>
        <v>18637305.966550693</v>
      </c>
      <c r="O11" s="617">
        <f ca="1">SUM(расчет!R10:R14)+расчет!R15+расчет!R16+расчет!R17</f>
        <v>58077387.023007222</v>
      </c>
      <c r="P11" s="617">
        <f ca="1">SUM(расчет!S10:S14)+расчет!S15+расчет!S16+расчет!S17</f>
        <v>17434899.129999038</v>
      </c>
      <c r="Q11" s="617">
        <f ca="1">SUM(расчет!T10:T14)+расчет!T15+расчет!T16+расчет!T17</f>
        <v>63385652.717023298</v>
      </c>
      <c r="R11" s="617">
        <f ca="1">SUM(расчет!U10:U14)+расчет!U15+расчет!U16+расчет!U17</f>
        <v>46355906.299386576</v>
      </c>
      <c r="S11" s="617">
        <f ca="1">SUM(расчет!V10:V14)+расчет!V15+расчет!V16+расчет!V17</f>
        <v>22219560.050383218</v>
      </c>
      <c r="T11" s="617">
        <f ca="1">SUM(расчет!W10:W14)+расчет!W15+расчет!W16+расчет!W17</f>
        <v>15684702.452540252</v>
      </c>
      <c r="U11" s="617">
        <f ca="1">SUM(расчет!X10:X14)+расчет!X15+расчет!X16+расчет!X17</f>
        <v>16207525.867624927</v>
      </c>
      <c r="V11" s="617">
        <f ca="1">SUM(расчет!Y10:Y14)+расчет!Y15+расчет!Y16+расчет!Y17</f>
        <v>16207525.867624927</v>
      </c>
      <c r="W11" s="617">
        <f ca="1">SUM(расчет!Z10:Z14)+расчет!Z15+расчет!Z16+расчет!Z17</f>
        <v>15684702.452540252</v>
      </c>
      <c r="X11" s="617">
        <f ca="1">SUM(расчет!AA10:AA14)+расчет!AA15+расчет!AA16+расчет!AA17</f>
        <v>16207525.867624927</v>
      </c>
      <c r="Y11" s="617">
        <f ca="1">SUM(расчет!AB10:AB14)+расчет!AB15+расчет!AB16+расчет!AB17</f>
        <v>117861582.27900176</v>
      </c>
      <c r="Z11" s="617">
        <f ca="1">SUM(расчет!AC10:AC14)+расчет!AC15+расчет!AC16+расчет!AC17</f>
        <v>113786007.49912745</v>
      </c>
      <c r="AA11" s="617">
        <f ca="1">SUM(расчет!AD10:AD14)+расчет!AD15+расчет!AD16+расчет!AD17</f>
        <v>77837695.332411945</v>
      </c>
      <c r="AB11" s="617">
        <f ca="1">SUM(расчет!AE10:AE14)+расчет!AE15+расчет!AE16+расчет!AE17</f>
        <v>10648449.307979124</v>
      </c>
      <c r="AC11" s="617">
        <f ca="1">SUM(расчет!AF10:AF14)+расчет!AF15+расчет!AF16+расчет!AF17</f>
        <v>618297.05659234012</v>
      </c>
      <c r="AD11" s="617">
        <f ca="1">SUM(расчет!AG10:AG14)+расчет!AG15+расчет!AG16+расчет!AG17</f>
        <v>0</v>
      </c>
      <c r="AE11" s="617">
        <f ca="1">SUM(расчет!AH10:AH14)+расчет!AH15+расчет!AH16+расчет!AH17</f>
        <v>0</v>
      </c>
      <c r="AF11" s="617">
        <f ca="1">SUM(расчет!AI10:AI14)+расчет!AI15+расчет!AI16+расчет!AI17</f>
        <v>0</v>
      </c>
      <c r="AG11" s="617">
        <f ca="1">SUM(расчет!AJ10:AJ14)+расчет!AJ15+расчет!AJ16+расчет!AJ17</f>
        <v>0</v>
      </c>
      <c r="AH11" s="617">
        <f ca="1">SUM(расчет!AK10:AK14)+расчет!AK15+расчет!AK16+расчет!AK17</f>
        <v>0</v>
      </c>
      <c r="AI11" s="617">
        <f ca="1">SUM(расчет!AL10:AL14)+расчет!AL15+расчет!AL16+расчет!AL17</f>
        <v>0</v>
      </c>
      <c r="AJ11" s="617">
        <f ca="1">SUM(расчет!AM10:AM14)+расчет!AM15+расчет!AM16+расчет!AM17</f>
        <v>0</v>
      </c>
      <c r="AK11" s="617">
        <f ca="1">SUM(расчет!AN10:AN14)+расчет!AN15+расчет!AN16+расчет!AN17</f>
        <v>0</v>
      </c>
      <c r="AL11" s="617">
        <f ca="1">SUM(расчет!AO10:AO14)+расчет!AO15+расчет!AO16+расчет!AO17</f>
        <v>0</v>
      </c>
      <c r="AM11" s="617">
        <f ca="1">SUM(расчет!AP10:AP14)+расчет!AP15+расчет!AP16+расчет!AP17</f>
        <v>0</v>
      </c>
      <c r="AN11" s="617">
        <f ca="1">SUM(расчет!AQ10:AQ14)+расчет!AQ15+расчет!AQ16+расчет!AQ17</f>
        <v>0</v>
      </c>
      <c r="AO11" s="617">
        <f ca="1">SUM(расчет!AR10:AR14)+расчет!AR15+расчет!AR16+расчет!AR17</f>
        <v>0</v>
      </c>
      <c r="AP11" s="617">
        <f ca="1">SUM(расчет!AS10:AS14)+расчет!AS15+расчет!AS16+расчет!AS17</f>
        <v>0</v>
      </c>
      <c r="AQ11" s="617">
        <f ca="1">SUM(расчет!AT10:AT14)+расчет!AT15+расчет!AT16+расчет!AT17</f>
        <v>0</v>
      </c>
      <c r="AR11" s="617">
        <f ca="1">SUM(расчет!AU10:AU14)+расчет!AU15+расчет!AU16+расчет!AU17</f>
        <v>0</v>
      </c>
      <c r="AS11" s="617">
        <f ca="1">SUM(расчет!AV10:AV14)+расчет!AV15+расчет!AV16+расчет!AV17</f>
        <v>0</v>
      </c>
      <c r="AT11" s="617">
        <f ca="1">SUM(расчет!AW10:AW14)+расчет!AW15+расчет!AW16+расчет!AW17</f>
        <v>0</v>
      </c>
      <c r="AU11" s="617">
        <f ca="1">SUM(расчет!AX10:AX14)+расчет!AX15+расчет!AX16+расчет!AX17</f>
        <v>0</v>
      </c>
      <c r="AV11" s="617">
        <f ca="1">SUM(расчет!AY10:AY14)+расчет!AY15+расчет!AY16+расчет!AY17</f>
        <v>0</v>
      </c>
      <c r="AW11" s="617">
        <f ca="1">SUM(расчет!AZ10:AZ14)+расчет!AZ15+расчет!AZ16+расчет!AZ17</f>
        <v>0</v>
      </c>
      <c r="AX11" s="617">
        <f ca="1">SUM(расчет!BA10:BA14)+расчет!BA15+расчет!BA16+расчет!BA17</f>
        <v>0</v>
      </c>
      <c r="AY11" s="617">
        <f ca="1">SUM(расчет!BB10:BB14)+расчет!BB15+расчет!BB16+расчет!BB17</f>
        <v>0</v>
      </c>
      <c r="AZ11" s="617">
        <f ca="1">SUM(расчет!BC10:BC14)+расчет!BC15+расчет!BC16+расчет!BC17</f>
        <v>0</v>
      </c>
      <c r="BA11" s="617">
        <f ca="1">SUM(расчет!BD10:BD14)+расчет!BD15+расчет!BD16+расчет!BD17</f>
        <v>0</v>
      </c>
      <c r="BB11" s="617">
        <f ca="1">SUM(расчет!BE10:BE14)+расчет!BE15+расчет!BE16+расчет!BE17</f>
        <v>0</v>
      </c>
      <c r="BC11" s="617">
        <f ca="1">SUM(расчет!BF10:BF14)+расчет!BF15+расчет!BF16+расчет!BF17</f>
        <v>0</v>
      </c>
      <c r="BD11" s="617">
        <f ca="1">SUM(расчет!BG10:BG14)+расчет!BG15+расчет!BG16+расчет!BG17</f>
        <v>0</v>
      </c>
      <c r="BE11" s="617">
        <f ca="1">SUM(расчет!BH10:BH14)+расчет!BH15+расчет!BH16+расчет!BH17</f>
        <v>0</v>
      </c>
      <c r="BF11" s="617">
        <f ca="1">SUM(расчет!BI10:BI14)+расчет!BI15+расчет!BI16+расчет!BI17</f>
        <v>0</v>
      </c>
      <c r="BG11" s="617">
        <f ca="1">SUM(расчет!BJ10:BJ14)+расчет!BJ15+расчет!BJ16+расчет!BJ17</f>
        <v>0</v>
      </c>
      <c r="BH11" s="617">
        <f ca="1">SUM(расчет!BK10:BK14)+расчет!BK15+расчет!BK16+расчет!BK17</f>
        <v>0</v>
      </c>
      <c r="BI11" s="617">
        <f ca="1">SUM(расчет!BL10:BL14)+расчет!BL15+расчет!BL16+расчет!BL17</f>
        <v>0</v>
      </c>
      <c r="BJ11" s="617">
        <f ca="1">SUM(расчет!BM10:BM14)+расчет!BM15+расчет!BM16+расчет!BM17</f>
        <v>0</v>
      </c>
      <c r="BK11" s="617">
        <f ca="1">SUM(расчет!BN10:BN14)+расчет!BN15+расчет!BN16+расчет!BN17</f>
        <v>0</v>
      </c>
      <c r="BL11" s="617">
        <f ca="1">SUM(расчет!BO10:BO14)+расчет!BO15+расчет!BO16+расчет!BO17</f>
        <v>0</v>
      </c>
      <c r="BM11" s="617">
        <f ca="1">SUM(расчет!BP10:BP14)+расчет!BP15+расчет!BP16+расчет!BP17</f>
        <v>0</v>
      </c>
      <c r="BN11" s="617">
        <f ca="1">SUM(расчет!BQ10:BQ14)+расчет!BQ15+расчет!BQ16+расчет!BQ17</f>
        <v>0</v>
      </c>
      <c r="BO11" s="617">
        <f ca="1">SUM(расчет!BR10:BR14)+расчет!BR15+расчет!BR16+расчет!BR17</f>
        <v>0</v>
      </c>
      <c r="BP11" s="617">
        <f ca="1">SUM(расчет!BS10:BS14)+расчет!BS15+расчет!BS16+расчет!BS17</f>
        <v>0</v>
      </c>
      <c r="BQ11" s="617">
        <f ca="1">SUM(расчет!BT10:BT14)+расчет!BT15+расчет!BT16+расчет!BT17</f>
        <v>0</v>
      </c>
      <c r="BR11" s="617">
        <f ca="1">SUM(расчет!BU10:BU14)+расчет!BU15+расчет!BU16+расчет!BU17</f>
        <v>0</v>
      </c>
      <c r="BS11" s="617">
        <f ca="1">SUM(расчет!BV10:BV14)+расчет!BV15+расчет!BV16+расчет!BV17</f>
        <v>0</v>
      </c>
      <c r="BT11" s="617">
        <f ca="1">SUM(расчет!BW10:BW14)+расчет!BW15+расчет!BW16+расчет!BW17</f>
        <v>0</v>
      </c>
      <c r="BU11" s="617">
        <f ca="1">SUM(расчет!BX10:BX14)+расчет!BX15+расчет!BX16+расчет!BX17</f>
        <v>0</v>
      </c>
      <c r="BV11" s="617">
        <f ca="1">SUM(расчет!BY10:BY14)+расчет!BY15+расчет!BY16+расчет!BY17</f>
        <v>0</v>
      </c>
      <c r="BW11" s="617">
        <f ca="1">SUM(расчет!BZ10:BZ14)+расчет!BZ15+расчет!BZ16+расчет!BZ17</f>
        <v>0</v>
      </c>
      <c r="BX11" s="617">
        <f ca="1">SUM(расчет!CA10:CA14)+расчет!CA15+расчет!CA16+расчет!CA17</f>
        <v>0</v>
      </c>
      <c r="BY11" s="617">
        <f ca="1">SUM(расчет!CB10:CB14)+расчет!CB15+расчет!CB16+расчет!CB17</f>
        <v>0</v>
      </c>
      <c r="BZ11" s="617">
        <f ca="1">SUM(расчет!CC10:CC14)+расчет!CC15+расчет!CC16+расчет!CC17</f>
        <v>0</v>
      </c>
      <c r="CA11" s="617">
        <f ca="1">SUM(расчет!CD10:CD14)+расчет!CD15+расчет!CD16+расчет!CD17</f>
        <v>0</v>
      </c>
      <c r="CB11" s="617">
        <f ca="1">SUM(расчет!CE10:CE14)+расчет!CE15+расчет!CE16+расчет!CE17</f>
        <v>0</v>
      </c>
      <c r="CC11" s="617">
        <f ca="1">SUM(расчет!CF10:CF14)+расчет!CF15+расчет!CF16+расчет!CF17</f>
        <v>0</v>
      </c>
      <c r="CD11" s="617">
        <f ca="1">SUM(расчет!CG10:CG14)+расчет!CG15+расчет!CG16+расчет!CG17</f>
        <v>0</v>
      </c>
      <c r="CE11" s="617">
        <f ca="1">SUM(расчет!CH10:CH14)+расчет!CH15+расчет!CH16+расчет!CH17</f>
        <v>0</v>
      </c>
      <c r="CF11" s="617">
        <f ca="1">SUM(расчет!CI10:CI14)+расчет!CI15+расчет!CI16+расчет!CI17</f>
        <v>0</v>
      </c>
      <c r="CG11" s="617">
        <f ca="1">SUM(расчет!CJ10:CJ14)+расчет!CJ15+расчет!CJ16+расчет!CJ17</f>
        <v>0</v>
      </c>
      <c r="CH11" s="617">
        <f ca="1">SUM(расчет!CK10:CK14)+расчет!CK15+расчет!CK16+расчет!CK17</f>
        <v>0</v>
      </c>
      <c r="CI11" s="617">
        <f ca="1">SUM(расчет!CL10:CL14)+расчет!CL15+расчет!CL16+расчет!CL17</f>
        <v>0</v>
      </c>
      <c r="CJ11" s="617">
        <f ca="1">SUM(расчет!CM10:CM14)+расчет!CM15+расчет!CM16+расчет!CM17</f>
        <v>0</v>
      </c>
      <c r="CK11" s="617">
        <f ca="1">SUM(расчет!CN10:CN14)+расчет!CN15+расчет!CN16+расчет!CN17</f>
        <v>0</v>
      </c>
      <c r="CL11" s="617">
        <f ca="1">SUM(расчет!CO10:CO14)+расчет!CO15+расчет!CO16+расчет!CO17</f>
        <v>0</v>
      </c>
      <c r="CM11" s="617">
        <f ca="1">SUM(расчет!CP10:CP14)+расчет!CP15+расчет!CP16+расчет!CP17</f>
        <v>0</v>
      </c>
      <c r="CN11" s="617">
        <f ca="1">SUM(расчет!CQ10:CQ14)+расчет!CQ15+расчет!CQ16+расчет!CQ17</f>
        <v>0</v>
      </c>
      <c r="CO11" s="617">
        <f ca="1">SUM(расчет!CR10:CR14)+расчет!CR15+расчет!CR16+расчет!CR17</f>
        <v>0</v>
      </c>
      <c r="CP11" s="617">
        <f ca="1">SUM(расчет!CS10:CS14)+расчет!CS15+расчет!CS16+расчет!CS17</f>
        <v>0</v>
      </c>
      <c r="CQ11" s="617">
        <f ca="1">SUM(расчет!CT10:CT14)+расчет!CT15+расчет!CT16+расчет!CT17</f>
        <v>0</v>
      </c>
      <c r="CR11" s="617">
        <f ca="1">SUM(расчет!CU10:CU14)+расчет!CU15+расчет!CU16+расчет!CU17</f>
        <v>0</v>
      </c>
      <c r="CS11" s="617">
        <f ca="1">SUM(расчет!CV10:CV14)+расчет!CV15+расчет!CV16+расчет!CV17</f>
        <v>0</v>
      </c>
      <c r="CT11" s="617">
        <f ca="1">SUM(расчет!CW10:CW14)+расчет!CW15+расчет!CW16+расчет!CW17</f>
        <v>0</v>
      </c>
      <c r="CU11" s="617">
        <f ca="1">SUM(расчет!CX10:CX14)+расчет!CX15+расчет!CX16+расчет!CX17</f>
        <v>0</v>
      </c>
      <c r="CV11" s="617">
        <f ca="1">SUM(расчет!CY10:CY14)+расчет!CY15+расчет!CY16+расчет!CY17</f>
        <v>0</v>
      </c>
      <c r="CW11" s="617">
        <f ca="1">SUM(расчет!CZ10:CZ14)+расчет!CZ15+расчет!CZ16+расчет!CZ17</f>
        <v>0</v>
      </c>
      <c r="CX11" s="617">
        <f ca="1">SUM(расчет!DA10:DA14)+расчет!DA15+расчет!DA16+расчет!DA17</f>
        <v>0</v>
      </c>
      <c r="CY11" s="617">
        <f ca="1">SUM(расчет!DB10:DB14)+расчет!DB15+расчет!DB16+расчет!DB17</f>
        <v>0</v>
      </c>
      <c r="CZ11" s="617">
        <f ca="1">SUM(расчет!DC10:DC14)+расчет!DC15+расчет!DC16+расчет!DC17</f>
        <v>0</v>
      </c>
      <c r="DA11" s="617">
        <f ca="1">SUM(расчет!DD10:DD14)+расчет!DD15+расчет!DD16+расчет!DD17</f>
        <v>0</v>
      </c>
      <c r="DB11" s="617">
        <f ca="1">SUM(расчет!DE10:DE14)+расчет!DE15+расчет!DE16+расчет!DE17</f>
        <v>0</v>
      </c>
      <c r="DC11" s="617">
        <f ca="1">SUM(расчет!DF10:DF14)+расчет!DF15+расчет!DF16+расчет!DF17</f>
        <v>0</v>
      </c>
      <c r="DD11" s="617">
        <f ca="1">SUM(расчет!DG10:DG14)+расчет!DG15+расчет!DG16+расчет!DG17</f>
        <v>0</v>
      </c>
      <c r="DE11" s="617">
        <f ca="1">SUM(расчет!DH10:DH14)+расчет!DH15+расчет!DH16+расчет!DH17</f>
        <v>0</v>
      </c>
      <c r="DF11" s="617">
        <f ca="1">SUM(расчет!DI10:DI14)+расчет!DI15+расчет!DI16+расчет!DI17</f>
        <v>0</v>
      </c>
      <c r="DG11" s="617">
        <f ca="1">SUM(расчет!DJ10:DJ14)+расчет!DJ15+расчет!DJ16+расчет!DJ17</f>
        <v>0</v>
      </c>
      <c r="DH11" s="617">
        <f ca="1">SUM(расчет!DK10:DK14)+расчет!DK15+расчет!DK16+расчет!DK17</f>
        <v>0</v>
      </c>
      <c r="DI11" s="617">
        <f ca="1">SUM(расчет!DL10:DL14)+расчет!DL15+расчет!DL16+расчет!DL17</f>
        <v>0</v>
      </c>
      <c r="DJ11" s="617">
        <f ca="1">SUM(расчет!DM10:DM14)+расчет!DM15+расчет!DM16+расчет!DM17</f>
        <v>0</v>
      </c>
      <c r="DK11" s="617">
        <f ca="1">SUM(расчет!DN10:DN14)+расчет!DN15+расчет!DN16+расчет!DN17</f>
        <v>0</v>
      </c>
      <c r="DL11" s="617">
        <f ca="1">SUM(расчет!DO10:DO14)+расчет!DO15+расчет!DO16+расчет!DO17</f>
        <v>0</v>
      </c>
      <c r="DM11" s="617">
        <f ca="1">SUM(расчет!DP10:DP14)+расчет!DP15+расчет!DP16+расчет!DP17</f>
        <v>0</v>
      </c>
      <c r="DN11" s="617">
        <f ca="1">SUM(расчет!DQ10:DQ14)+расчет!DQ15+расчет!DQ16+расчет!DQ17</f>
        <v>0</v>
      </c>
      <c r="DO11" s="617">
        <f ca="1">SUM(расчет!DR10:DR14)+расчет!DR15+расчет!DR16+расчет!DR17</f>
        <v>0</v>
      </c>
      <c r="DP11" s="617">
        <f ca="1">SUM(расчет!DS10:DS14)+расчет!DS15+расчет!DS16+расчет!DS17</f>
        <v>0</v>
      </c>
      <c r="DQ11" s="617">
        <f ca="1">SUM(расчет!DT10:DT14)+расчет!DT15+расчет!DT16+расчет!DT17</f>
        <v>0</v>
      </c>
      <c r="DR11" s="617">
        <f ca="1">SUM(расчет!DU10:DU14)+расчет!DU15+расчет!DU16+расчет!DU17</f>
        <v>0</v>
      </c>
      <c r="DS11" s="617">
        <f ca="1">SUM(расчет!DV10:DV14)+расчет!DV15+расчет!DV16+расчет!DV17</f>
        <v>0</v>
      </c>
      <c r="DT11" s="617">
        <f ca="1">SUM(расчет!DW10:DW14)+расчет!DW15+расчет!DW16+расчет!DW17</f>
        <v>0</v>
      </c>
      <c r="DU11" s="617">
        <f ca="1">SUM(расчет!DX10:DX14)+расчет!DX15+расчет!DX16+расчет!DX17</f>
        <v>0</v>
      </c>
      <c r="DV11" s="617">
        <f ca="1">SUM(расчет!DY10:DY14)+расчет!DY15+расчет!DY16+расчет!DY17</f>
        <v>0</v>
      </c>
      <c r="DW11" s="617">
        <f ca="1">SUM(расчет!DZ10:DZ14)+расчет!DZ15+расчет!DZ16+расчет!DZ17</f>
        <v>0</v>
      </c>
      <c r="DX11" s="617">
        <f ca="1">SUM(расчет!EA10:EA14)+расчет!EA15+расчет!EA16+расчет!EA17</f>
        <v>0</v>
      </c>
      <c r="DY11" s="617">
        <f ca="1">SUM(расчет!EB10:EB14)+расчет!EB15+расчет!EB16+расчет!EB17</f>
        <v>0</v>
      </c>
      <c r="DZ11" s="617">
        <f ca="1">SUM(расчет!EC10:EC14)+расчет!EC15+расчет!EC16+расчет!EC17</f>
        <v>0</v>
      </c>
      <c r="EA11" s="617">
        <f ca="1">SUM(расчет!ED10:ED14)+расчет!ED15+расчет!ED16+расчет!ED17</f>
        <v>0</v>
      </c>
      <c r="EB11" s="617">
        <f ca="1">SUM(расчет!EE10:EE14)+расчет!EE15+расчет!EE16+расчет!EE17</f>
        <v>0</v>
      </c>
      <c r="EC11" s="617">
        <f ca="1">SUM(расчет!EF10:EF14)+расчет!EF15+расчет!EF16+расчет!EF17</f>
        <v>0</v>
      </c>
      <c r="ED11" s="617">
        <f ca="1">SUM(расчет!EG10:EG14)+расчет!EG15+расчет!EG16+расчет!EG17</f>
        <v>0</v>
      </c>
      <c r="EE11" s="617">
        <f ca="1">SUM(расчет!EH10:EH14)+расчет!EH15+расчет!EH16+расчет!EH17</f>
        <v>0</v>
      </c>
      <c r="EF11" s="617">
        <f ca="1">SUM(расчет!EI10:EI14)+расчет!EI15+расчет!EI16+расчет!EI17</f>
        <v>0</v>
      </c>
      <c r="EG11" s="617">
        <f>SUM(расчет!EJ10:EJ14)+расчет!EJ15+расчет!EJ16+расчет!EJ17</f>
        <v>0</v>
      </c>
      <c r="EH11" s="621"/>
    </row>
    <row r="12" spans="1:138" s="619" customFormat="1">
      <c r="A12" s="622" t="s">
        <v>1608</v>
      </c>
      <c r="B12" s="622" t="s">
        <v>979</v>
      </c>
      <c r="C12" s="617">
        <f t="shared" ca="1" si="8"/>
        <v>12498218976.058685</v>
      </c>
      <c r="D12" s="617">
        <f t="shared" ref="D12:AI12" si="9">SUM(D13:D30)</f>
        <v>0</v>
      </c>
      <c r="E12" s="617">
        <f t="shared" ca="1" si="9"/>
        <v>0</v>
      </c>
      <c r="F12" s="617">
        <f t="shared" ca="1" si="9"/>
        <v>0</v>
      </c>
      <c r="G12" s="617">
        <f t="shared" ca="1" si="9"/>
        <v>0</v>
      </c>
      <c r="H12" s="617">
        <f t="shared" ca="1" si="9"/>
        <v>0</v>
      </c>
      <c r="I12" s="617">
        <f t="shared" ca="1" si="9"/>
        <v>0</v>
      </c>
      <c r="J12" s="617">
        <f t="shared" ca="1" si="9"/>
        <v>0</v>
      </c>
      <c r="K12" s="617">
        <f t="shared" ca="1" si="9"/>
        <v>0</v>
      </c>
      <c r="L12" s="617">
        <f t="shared" ca="1" si="9"/>
        <v>0</v>
      </c>
      <c r="M12" s="617">
        <f t="shared" ca="1" si="9"/>
        <v>0</v>
      </c>
      <c r="N12" s="617">
        <f t="shared" ca="1" si="9"/>
        <v>10438272.688342622</v>
      </c>
      <c r="O12" s="617">
        <f t="shared" ca="1" si="9"/>
        <v>0</v>
      </c>
      <c r="P12" s="617">
        <f t="shared" ca="1" si="9"/>
        <v>3873034.0954037895</v>
      </c>
      <c r="Q12" s="617">
        <f t="shared" ca="1" si="9"/>
        <v>22244262.967867441</v>
      </c>
      <c r="R12" s="617">
        <f t="shared" ca="1" si="9"/>
        <v>3237051.0167455729</v>
      </c>
      <c r="S12" s="617">
        <f t="shared" ca="1" si="9"/>
        <v>19158642.864107866</v>
      </c>
      <c r="T12" s="617">
        <f t="shared" ca="1" si="9"/>
        <v>39190257.443027101</v>
      </c>
      <c r="U12" s="617">
        <f t="shared" ca="1" si="9"/>
        <v>102475928.90828165</v>
      </c>
      <c r="V12" s="617">
        <f t="shared" ca="1" si="9"/>
        <v>40496599.357794672</v>
      </c>
      <c r="W12" s="617">
        <f t="shared" ca="1" si="9"/>
        <v>30907487.154064436</v>
      </c>
      <c r="X12" s="617">
        <f t="shared" ca="1" si="9"/>
        <v>198361981.35107809</v>
      </c>
      <c r="Y12" s="617">
        <f t="shared" ca="1" si="9"/>
        <v>29633214.801916331</v>
      </c>
      <c r="Z12" s="617">
        <f t="shared" ca="1" si="9"/>
        <v>73544609.661996275</v>
      </c>
      <c r="AA12" s="617">
        <f t="shared" ca="1" si="9"/>
        <v>100654265.05148011</v>
      </c>
      <c r="AB12" s="617">
        <f t="shared" ca="1" si="9"/>
        <v>90913529.723917529</v>
      </c>
      <c r="AC12" s="617">
        <f t="shared" ca="1" si="9"/>
        <v>100654265.05148011</v>
      </c>
      <c r="AD12" s="617">
        <f t="shared" ca="1" si="9"/>
        <v>97407353.275625914</v>
      </c>
      <c r="AE12" s="617">
        <f t="shared" ca="1" si="9"/>
        <v>100654265.05148011</v>
      </c>
      <c r="AF12" s="617">
        <f t="shared" ca="1" si="9"/>
        <v>97407353.275625914</v>
      </c>
      <c r="AG12" s="617">
        <f t="shared" ca="1" si="9"/>
        <v>100654265.05148011</v>
      </c>
      <c r="AH12" s="617">
        <f t="shared" ca="1" si="9"/>
        <v>100654265.05148011</v>
      </c>
      <c r="AI12" s="617">
        <f t="shared" ca="1" si="9"/>
        <v>97407353.275625914</v>
      </c>
      <c r="AJ12" s="617">
        <f t="shared" ref="AJ12:BO12" ca="1" si="10">SUM(AJ13:AJ30)</f>
        <v>100654265.05148011</v>
      </c>
      <c r="AK12" s="617">
        <f t="shared" ca="1" si="10"/>
        <v>345047714.9234935</v>
      </c>
      <c r="AL12" s="617">
        <f t="shared" ca="1" si="10"/>
        <v>100654265.05148011</v>
      </c>
      <c r="AM12" s="617">
        <f t="shared" ca="1" si="10"/>
        <v>105174612.32252103</v>
      </c>
      <c r="AN12" s="617">
        <f t="shared" ca="1" si="10"/>
        <v>125531926.24375144</v>
      </c>
      <c r="AO12" s="617">
        <f t="shared" ca="1" si="10"/>
        <v>907438459.20727229</v>
      </c>
      <c r="AP12" s="617">
        <f t="shared" ca="1" si="10"/>
        <v>105414599.76094715</v>
      </c>
      <c r="AQ12" s="617">
        <f t="shared" ca="1" si="10"/>
        <v>306520280.65768093</v>
      </c>
      <c r="AR12" s="617">
        <f t="shared" ca="1" si="10"/>
        <v>393218033.83699268</v>
      </c>
      <c r="AS12" s="617">
        <f t="shared" ca="1" si="10"/>
        <v>1029941283.1020718</v>
      </c>
      <c r="AT12" s="617">
        <f t="shared" ca="1" si="10"/>
        <v>356677030.56405121</v>
      </c>
      <c r="AU12" s="617">
        <f t="shared" ca="1" si="10"/>
        <v>427234871.33364111</v>
      </c>
      <c r="AV12" s="617">
        <f t="shared" ca="1" si="10"/>
        <v>655964995.72797275</v>
      </c>
      <c r="AW12" s="617">
        <f t="shared" ca="1" si="10"/>
        <v>854296650.94487906</v>
      </c>
      <c r="AX12" s="617">
        <f t="shared" ca="1" si="10"/>
        <v>543205592.09564579</v>
      </c>
      <c r="AY12" s="617">
        <f t="shared" ca="1" si="10"/>
        <v>519497670.82917756</v>
      </c>
      <c r="AZ12" s="617">
        <f t="shared" ca="1" si="10"/>
        <v>514572866.41314918</v>
      </c>
      <c r="BA12" s="617">
        <f t="shared" ca="1" si="10"/>
        <v>518005301.27713382</v>
      </c>
      <c r="BB12" s="617">
        <f t="shared" ca="1" si="10"/>
        <v>478830954.35628319</v>
      </c>
      <c r="BC12" s="617">
        <f t="shared" ca="1" si="10"/>
        <v>450272833.44803286</v>
      </c>
      <c r="BD12" s="617">
        <f t="shared" ca="1" si="10"/>
        <v>435599549.50562483</v>
      </c>
      <c r="BE12" s="617">
        <f t="shared" ca="1" si="10"/>
        <v>333520249.36466181</v>
      </c>
      <c r="BF12" s="617">
        <f t="shared" ca="1" si="10"/>
        <v>199481997.68575668</v>
      </c>
      <c r="BG12" s="617">
        <f t="shared" ca="1" si="10"/>
        <v>499038559.76836926</v>
      </c>
      <c r="BH12" s="617">
        <f t="shared" ca="1" si="10"/>
        <v>113083430.97049694</v>
      </c>
      <c r="BI12" s="617">
        <f t="shared" ca="1" si="10"/>
        <v>95624173.180055052</v>
      </c>
      <c r="BJ12" s="617">
        <f t="shared" ca="1" si="10"/>
        <v>70625404.87673609</v>
      </c>
      <c r="BK12" s="617">
        <f t="shared" ca="1" si="10"/>
        <v>41469667.61806345</v>
      </c>
      <c r="BL12" s="617">
        <f t="shared" ca="1" si="10"/>
        <v>12641039.659099653</v>
      </c>
      <c r="BM12" s="617">
        <f t="shared" ca="1" si="10"/>
        <v>13512835.497658249</v>
      </c>
      <c r="BN12" s="617">
        <f t="shared" ca="1" si="10"/>
        <v>13076937.578378953</v>
      </c>
      <c r="BO12" s="617">
        <f t="shared" ca="1" si="10"/>
        <v>13512835.497658249</v>
      </c>
      <c r="BP12" s="617">
        <f t="shared" ref="BP12:CU12" ca="1" si="11">SUM(BP13:BP30)</f>
        <v>13076937.578378953</v>
      </c>
      <c r="BQ12" s="617">
        <f t="shared" ca="1" si="11"/>
        <v>13512835.497658249</v>
      </c>
      <c r="BR12" s="617">
        <f t="shared" ca="1" si="11"/>
        <v>13512835.497658249</v>
      </c>
      <c r="BS12" s="617">
        <f t="shared" ca="1" si="11"/>
        <v>13076937.578378953</v>
      </c>
      <c r="BT12" s="617">
        <f t="shared" ca="1" si="11"/>
        <v>13512835.497658249</v>
      </c>
      <c r="BU12" s="617">
        <f t="shared" ca="1" si="11"/>
        <v>13327137.086918857</v>
      </c>
      <c r="BV12" s="617">
        <f t="shared" ca="1" si="11"/>
        <v>27857234.993055157</v>
      </c>
      <c r="BW12" s="617">
        <f t="shared" ca="1" si="11"/>
        <v>52170841.589960396</v>
      </c>
      <c r="BX12" s="617">
        <f t="shared" ca="1" si="11"/>
        <v>0</v>
      </c>
      <c r="BY12" s="617">
        <f t="shared" ca="1" si="11"/>
        <v>5896722.7449342776</v>
      </c>
      <c r="BZ12" s="617">
        <f t="shared" ca="1" si="11"/>
        <v>739450.59023287054</v>
      </c>
      <c r="CA12" s="617">
        <f t="shared" ca="1" si="11"/>
        <v>11239925.566992048</v>
      </c>
      <c r="CB12" s="617">
        <f t="shared" ca="1" si="11"/>
        <v>13327202.326639529</v>
      </c>
      <c r="CC12" s="617">
        <f t="shared" ca="1" si="11"/>
        <v>25432366.211682152</v>
      </c>
      <c r="CD12" s="617">
        <f t="shared" ca="1" si="11"/>
        <v>85113998.450423405</v>
      </c>
      <c r="CE12" s="617">
        <f t="shared" ca="1" si="11"/>
        <v>0</v>
      </c>
      <c r="CF12" s="617">
        <f t="shared" ca="1" si="11"/>
        <v>0</v>
      </c>
      <c r="CG12" s="617">
        <f t="shared" ca="1" si="11"/>
        <v>57112569.379077844</v>
      </c>
      <c r="CH12" s="617">
        <f t="shared" ca="1" si="11"/>
        <v>0</v>
      </c>
      <c r="CI12" s="617">
        <f t="shared" ca="1" si="11"/>
        <v>0</v>
      </c>
      <c r="CJ12" s="617">
        <f t="shared" ca="1" si="11"/>
        <v>0</v>
      </c>
      <c r="CK12" s="617">
        <f t="shared" ca="1" si="11"/>
        <v>0</v>
      </c>
      <c r="CL12" s="617">
        <f t="shared" ca="1" si="11"/>
        <v>0</v>
      </c>
      <c r="CM12" s="617">
        <f t="shared" ca="1" si="11"/>
        <v>0</v>
      </c>
      <c r="CN12" s="617">
        <f t="shared" ca="1" si="11"/>
        <v>0</v>
      </c>
      <c r="CO12" s="617">
        <f t="shared" ca="1" si="11"/>
        <v>0</v>
      </c>
      <c r="CP12" s="617">
        <f t="shared" ca="1" si="11"/>
        <v>0</v>
      </c>
      <c r="CQ12" s="617">
        <f t="shared" ca="1" si="11"/>
        <v>0</v>
      </c>
      <c r="CR12" s="617">
        <f t="shared" ca="1" si="11"/>
        <v>0</v>
      </c>
      <c r="CS12" s="617">
        <f t="shared" ca="1" si="11"/>
        <v>0</v>
      </c>
      <c r="CT12" s="617">
        <f t="shared" ca="1" si="11"/>
        <v>0</v>
      </c>
      <c r="CU12" s="617">
        <f t="shared" ca="1" si="11"/>
        <v>0</v>
      </c>
      <c r="CV12" s="617">
        <f t="shared" ref="CV12:EA12" ca="1" si="12">SUM(CV13:CV30)</f>
        <v>0</v>
      </c>
      <c r="CW12" s="617">
        <f t="shared" ca="1" si="12"/>
        <v>0</v>
      </c>
      <c r="CX12" s="617">
        <f t="shared" ca="1" si="12"/>
        <v>0</v>
      </c>
      <c r="CY12" s="617">
        <f t="shared" ca="1" si="12"/>
        <v>0</v>
      </c>
      <c r="CZ12" s="617">
        <f t="shared" ca="1" si="12"/>
        <v>0</v>
      </c>
      <c r="DA12" s="617">
        <f t="shared" ca="1" si="12"/>
        <v>0</v>
      </c>
      <c r="DB12" s="617">
        <f t="shared" ca="1" si="12"/>
        <v>0</v>
      </c>
      <c r="DC12" s="617">
        <f t="shared" ca="1" si="12"/>
        <v>0</v>
      </c>
      <c r="DD12" s="617">
        <f t="shared" ca="1" si="12"/>
        <v>0</v>
      </c>
      <c r="DE12" s="617">
        <f t="shared" ca="1" si="12"/>
        <v>0</v>
      </c>
      <c r="DF12" s="617">
        <f t="shared" ca="1" si="12"/>
        <v>0</v>
      </c>
      <c r="DG12" s="617">
        <f t="shared" ca="1" si="12"/>
        <v>0</v>
      </c>
      <c r="DH12" s="617">
        <f t="shared" ca="1" si="12"/>
        <v>0</v>
      </c>
      <c r="DI12" s="617">
        <f t="shared" ca="1" si="12"/>
        <v>0</v>
      </c>
      <c r="DJ12" s="617">
        <f t="shared" ca="1" si="12"/>
        <v>0</v>
      </c>
      <c r="DK12" s="617">
        <f t="shared" ca="1" si="12"/>
        <v>0</v>
      </c>
      <c r="DL12" s="617">
        <f t="shared" ca="1" si="12"/>
        <v>0</v>
      </c>
      <c r="DM12" s="617">
        <f t="shared" ca="1" si="12"/>
        <v>0</v>
      </c>
      <c r="DN12" s="617">
        <f t="shared" ca="1" si="12"/>
        <v>0</v>
      </c>
      <c r="DO12" s="617">
        <f t="shared" ca="1" si="12"/>
        <v>0</v>
      </c>
      <c r="DP12" s="617">
        <f t="shared" ca="1" si="12"/>
        <v>0</v>
      </c>
      <c r="DQ12" s="617">
        <f t="shared" ca="1" si="12"/>
        <v>0</v>
      </c>
      <c r="DR12" s="617">
        <f t="shared" ca="1" si="12"/>
        <v>0</v>
      </c>
      <c r="DS12" s="617">
        <f t="shared" ca="1" si="12"/>
        <v>0</v>
      </c>
      <c r="DT12" s="617">
        <f t="shared" ca="1" si="12"/>
        <v>0</v>
      </c>
      <c r="DU12" s="617">
        <f t="shared" ca="1" si="12"/>
        <v>0</v>
      </c>
      <c r="DV12" s="617">
        <f t="shared" ca="1" si="12"/>
        <v>0</v>
      </c>
      <c r="DW12" s="617">
        <f t="shared" ca="1" si="12"/>
        <v>0</v>
      </c>
      <c r="DX12" s="617">
        <f t="shared" ca="1" si="12"/>
        <v>0</v>
      </c>
      <c r="DY12" s="617">
        <f t="shared" ca="1" si="12"/>
        <v>0</v>
      </c>
      <c r="DZ12" s="617">
        <f t="shared" ca="1" si="12"/>
        <v>0</v>
      </c>
      <c r="EA12" s="617">
        <f t="shared" ca="1" si="12"/>
        <v>0</v>
      </c>
      <c r="EB12" s="617">
        <f t="shared" ref="EB12:EG12" ca="1" si="13">SUM(EB13:EB30)</f>
        <v>0</v>
      </c>
      <c r="EC12" s="617">
        <f t="shared" ca="1" si="13"/>
        <v>0</v>
      </c>
      <c r="ED12" s="617">
        <f t="shared" ca="1" si="13"/>
        <v>0</v>
      </c>
      <c r="EE12" s="617">
        <f t="shared" ca="1" si="13"/>
        <v>0</v>
      </c>
      <c r="EF12" s="617">
        <f t="shared" ca="1" si="13"/>
        <v>0</v>
      </c>
      <c r="EG12" s="617">
        <f t="shared" si="13"/>
        <v>0</v>
      </c>
      <c r="EH12" s="621"/>
    </row>
    <row r="13" spans="1:138" s="321" customFormat="1" ht="15.75" outlineLevel="1">
      <c r="A13" s="305" t="s">
        <v>1607</v>
      </c>
      <c r="B13" s="319" t="s">
        <v>980</v>
      </c>
      <c r="C13" s="618">
        <f t="shared" ca="1" si="8"/>
        <v>6738090.5886077927</v>
      </c>
      <c r="D13" s="607">
        <f>расчет!G19</f>
        <v>0</v>
      </c>
      <c r="E13" s="607">
        <f>расчет!H19</f>
        <v>0</v>
      </c>
      <c r="F13" s="607">
        <f ca="1">расчет!I19</f>
        <v>0</v>
      </c>
      <c r="G13" s="607">
        <f ca="1">расчет!J19</f>
        <v>0</v>
      </c>
      <c r="H13" s="607">
        <f ca="1">расчет!K19</f>
        <v>0</v>
      </c>
      <c r="I13" s="607">
        <f ca="1">расчет!L19</f>
        <v>0</v>
      </c>
      <c r="J13" s="607">
        <f ca="1">расчет!M19</f>
        <v>0</v>
      </c>
      <c r="K13" s="607">
        <f ca="1">расчет!N19</f>
        <v>0</v>
      </c>
      <c r="L13" s="607">
        <f ca="1">расчет!O19</f>
        <v>0</v>
      </c>
      <c r="M13" s="607">
        <f ca="1">расчет!P19</f>
        <v>0</v>
      </c>
      <c r="N13" s="607">
        <f ca="1">расчет!Q19</f>
        <v>0</v>
      </c>
      <c r="O13" s="607">
        <f ca="1">расчет!R19</f>
        <v>0</v>
      </c>
      <c r="P13" s="607">
        <f ca="1">расчет!S19</f>
        <v>0</v>
      </c>
      <c r="Q13" s="607">
        <f ca="1">расчет!T19</f>
        <v>4716663.4120254572</v>
      </c>
      <c r="R13" s="607">
        <f ca="1">расчет!U19</f>
        <v>2021427.1765823357</v>
      </c>
      <c r="S13" s="607">
        <f ca="1">расчет!V19</f>
        <v>0</v>
      </c>
      <c r="T13" s="607">
        <f ca="1">расчет!W19</f>
        <v>0</v>
      </c>
      <c r="U13" s="607">
        <f ca="1">расчет!X19</f>
        <v>0</v>
      </c>
      <c r="V13" s="607">
        <f ca="1">расчет!Y19</f>
        <v>0</v>
      </c>
      <c r="W13" s="607">
        <f ca="1">расчет!Z19</f>
        <v>0</v>
      </c>
      <c r="X13" s="607">
        <f ca="1">расчет!AA19</f>
        <v>0</v>
      </c>
      <c r="Y13" s="607">
        <f ca="1">расчет!AB19</f>
        <v>0</v>
      </c>
      <c r="Z13" s="607">
        <f ca="1">расчет!AC19</f>
        <v>0</v>
      </c>
      <c r="AA13" s="607">
        <f ca="1">расчет!AD19</f>
        <v>0</v>
      </c>
      <c r="AB13" s="607">
        <f ca="1">расчет!AE19</f>
        <v>0</v>
      </c>
      <c r="AC13" s="607">
        <f ca="1">расчет!AF19</f>
        <v>0</v>
      </c>
      <c r="AD13" s="607">
        <f ca="1">расчет!AG19</f>
        <v>0</v>
      </c>
      <c r="AE13" s="607">
        <f ca="1">расчет!AH19</f>
        <v>0</v>
      </c>
      <c r="AF13" s="607">
        <f ca="1">расчет!AI19</f>
        <v>0</v>
      </c>
      <c r="AG13" s="607">
        <f ca="1">расчет!AJ19</f>
        <v>0</v>
      </c>
      <c r="AH13" s="607">
        <f ca="1">расчет!AK19</f>
        <v>0</v>
      </c>
      <c r="AI13" s="607">
        <f ca="1">расчет!AL19</f>
        <v>0</v>
      </c>
      <c r="AJ13" s="607">
        <f ca="1">расчет!AM19</f>
        <v>0</v>
      </c>
      <c r="AK13" s="607">
        <f ca="1">расчет!AN19</f>
        <v>0</v>
      </c>
      <c r="AL13" s="607">
        <f ca="1">расчет!AO19</f>
        <v>0</v>
      </c>
      <c r="AM13" s="607">
        <f ca="1">расчет!AP19</f>
        <v>0</v>
      </c>
      <c r="AN13" s="607">
        <f ca="1">расчет!AQ19</f>
        <v>0</v>
      </c>
      <c r="AO13" s="607">
        <f ca="1">расчет!AR19</f>
        <v>0</v>
      </c>
      <c r="AP13" s="607">
        <f ca="1">расчет!AS19</f>
        <v>0</v>
      </c>
      <c r="AQ13" s="607">
        <f ca="1">расчет!AT19</f>
        <v>0</v>
      </c>
      <c r="AR13" s="607">
        <f ca="1">расчет!AU19</f>
        <v>0</v>
      </c>
      <c r="AS13" s="607">
        <f ca="1">расчет!AV19</f>
        <v>0</v>
      </c>
      <c r="AT13" s="607">
        <f ca="1">расчет!AW19</f>
        <v>0</v>
      </c>
      <c r="AU13" s="607">
        <f ca="1">расчет!AX19</f>
        <v>0</v>
      </c>
      <c r="AV13" s="607">
        <f ca="1">расчет!AY19</f>
        <v>0</v>
      </c>
      <c r="AW13" s="607">
        <f ca="1">расчет!AZ19</f>
        <v>0</v>
      </c>
      <c r="AX13" s="607">
        <f ca="1">расчет!BA19</f>
        <v>0</v>
      </c>
      <c r="AY13" s="607">
        <f ca="1">расчет!BB19</f>
        <v>0</v>
      </c>
      <c r="AZ13" s="607">
        <f ca="1">расчет!BC19</f>
        <v>0</v>
      </c>
      <c r="BA13" s="607">
        <f ca="1">расчет!BD19</f>
        <v>0</v>
      </c>
      <c r="BB13" s="607">
        <f ca="1">расчет!BE19</f>
        <v>0</v>
      </c>
      <c r="BC13" s="607">
        <f ca="1">расчет!BF19</f>
        <v>0</v>
      </c>
      <c r="BD13" s="607">
        <f ca="1">расчет!BG19</f>
        <v>0</v>
      </c>
      <c r="BE13" s="607">
        <f ca="1">расчет!BH19</f>
        <v>0</v>
      </c>
      <c r="BF13" s="607">
        <f ca="1">расчет!BI19</f>
        <v>0</v>
      </c>
      <c r="BG13" s="607">
        <f ca="1">расчет!BJ19</f>
        <v>0</v>
      </c>
      <c r="BH13" s="607">
        <f ca="1">расчет!BK19</f>
        <v>0</v>
      </c>
      <c r="BI13" s="607">
        <f ca="1">расчет!BL19</f>
        <v>0</v>
      </c>
      <c r="BJ13" s="607">
        <f ca="1">расчет!BM19</f>
        <v>0</v>
      </c>
      <c r="BK13" s="607">
        <f ca="1">расчет!BN19</f>
        <v>0</v>
      </c>
      <c r="BL13" s="607">
        <f ca="1">расчет!BO19</f>
        <v>0</v>
      </c>
      <c r="BM13" s="607">
        <f ca="1">расчет!BP19</f>
        <v>0</v>
      </c>
      <c r="BN13" s="607">
        <f ca="1">расчет!BQ19</f>
        <v>0</v>
      </c>
      <c r="BO13" s="607">
        <f ca="1">расчет!BR19</f>
        <v>0</v>
      </c>
      <c r="BP13" s="607">
        <f ca="1">расчет!BS19</f>
        <v>0</v>
      </c>
      <c r="BQ13" s="607">
        <f ca="1">расчет!BT19</f>
        <v>0</v>
      </c>
      <c r="BR13" s="607">
        <f ca="1">расчет!BU19</f>
        <v>0</v>
      </c>
      <c r="BS13" s="607">
        <f ca="1">расчет!BV19</f>
        <v>0</v>
      </c>
      <c r="BT13" s="607">
        <f ca="1">расчет!BW19</f>
        <v>0</v>
      </c>
      <c r="BU13" s="607">
        <f ca="1">расчет!BX19</f>
        <v>0</v>
      </c>
      <c r="BV13" s="607">
        <f ca="1">расчет!BY19</f>
        <v>0</v>
      </c>
      <c r="BW13" s="607">
        <f ca="1">расчет!BZ19</f>
        <v>0</v>
      </c>
      <c r="BX13" s="607">
        <f ca="1">расчет!CA19</f>
        <v>0</v>
      </c>
      <c r="BY13" s="607">
        <f ca="1">расчет!CB19</f>
        <v>0</v>
      </c>
      <c r="BZ13" s="607">
        <f ca="1">расчет!CC19</f>
        <v>0</v>
      </c>
      <c r="CA13" s="607">
        <f ca="1">расчет!CD19</f>
        <v>0</v>
      </c>
      <c r="CB13" s="607">
        <f ca="1">расчет!CE19</f>
        <v>0</v>
      </c>
      <c r="CC13" s="607">
        <f ca="1">расчет!CF19</f>
        <v>0</v>
      </c>
      <c r="CD13" s="607">
        <f ca="1">расчет!CG19</f>
        <v>0</v>
      </c>
      <c r="CE13" s="607">
        <f ca="1">расчет!CH19</f>
        <v>0</v>
      </c>
      <c r="CF13" s="607">
        <f ca="1">расчет!CI19</f>
        <v>0</v>
      </c>
      <c r="CG13" s="607">
        <f ca="1">расчет!CJ19</f>
        <v>0</v>
      </c>
      <c r="CH13" s="607">
        <f ca="1">расчет!CK19</f>
        <v>0</v>
      </c>
      <c r="CI13" s="607">
        <f ca="1">расчет!CL19</f>
        <v>0</v>
      </c>
      <c r="CJ13" s="607">
        <f ca="1">расчет!CM19</f>
        <v>0</v>
      </c>
      <c r="CK13" s="607">
        <f ca="1">расчет!CN19</f>
        <v>0</v>
      </c>
      <c r="CL13" s="607">
        <f ca="1">расчет!CO19</f>
        <v>0</v>
      </c>
      <c r="CM13" s="607">
        <f ca="1">расчет!CP19</f>
        <v>0</v>
      </c>
      <c r="CN13" s="607">
        <f ca="1">расчет!CQ19</f>
        <v>0</v>
      </c>
      <c r="CO13" s="607">
        <f ca="1">расчет!CR19</f>
        <v>0</v>
      </c>
      <c r="CP13" s="607">
        <f ca="1">расчет!CS19</f>
        <v>0</v>
      </c>
      <c r="CQ13" s="607">
        <f ca="1">расчет!CT19</f>
        <v>0</v>
      </c>
      <c r="CR13" s="607">
        <f ca="1">расчет!CU19</f>
        <v>0</v>
      </c>
      <c r="CS13" s="607">
        <f ca="1">расчет!CV19</f>
        <v>0</v>
      </c>
      <c r="CT13" s="607">
        <f ca="1">расчет!CW19</f>
        <v>0</v>
      </c>
      <c r="CU13" s="607">
        <f ca="1">расчет!CX19</f>
        <v>0</v>
      </c>
      <c r="CV13" s="607">
        <f ca="1">расчет!CY19</f>
        <v>0</v>
      </c>
      <c r="CW13" s="607">
        <f ca="1">расчет!CZ19</f>
        <v>0</v>
      </c>
      <c r="CX13" s="607">
        <f ca="1">расчет!DA19</f>
        <v>0</v>
      </c>
      <c r="CY13" s="607">
        <f ca="1">расчет!DB19</f>
        <v>0</v>
      </c>
      <c r="CZ13" s="607">
        <f ca="1">расчет!DC19</f>
        <v>0</v>
      </c>
      <c r="DA13" s="607">
        <f ca="1">расчет!DD19</f>
        <v>0</v>
      </c>
      <c r="DB13" s="607">
        <f ca="1">расчет!DE19</f>
        <v>0</v>
      </c>
      <c r="DC13" s="607">
        <f ca="1">расчет!DF19</f>
        <v>0</v>
      </c>
      <c r="DD13" s="607">
        <f ca="1">расчет!DG19</f>
        <v>0</v>
      </c>
      <c r="DE13" s="607">
        <f ca="1">расчет!DH19</f>
        <v>0</v>
      </c>
      <c r="DF13" s="607">
        <f ca="1">расчет!DI19</f>
        <v>0</v>
      </c>
      <c r="DG13" s="607">
        <f ca="1">расчет!DJ19</f>
        <v>0</v>
      </c>
      <c r="DH13" s="607">
        <f ca="1">расчет!DK19</f>
        <v>0</v>
      </c>
      <c r="DI13" s="607">
        <f ca="1">расчет!DL19</f>
        <v>0</v>
      </c>
      <c r="DJ13" s="607">
        <f ca="1">расчет!DM19</f>
        <v>0</v>
      </c>
      <c r="DK13" s="607">
        <f ca="1">расчет!DN19</f>
        <v>0</v>
      </c>
      <c r="DL13" s="607">
        <f ca="1">расчет!DO19</f>
        <v>0</v>
      </c>
      <c r="DM13" s="607">
        <f ca="1">расчет!DP19</f>
        <v>0</v>
      </c>
      <c r="DN13" s="607">
        <f ca="1">расчет!DQ19</f>
        <v>0</v>
      </c>
      <c r="DO13" s="607">
        <f ca="1">расчет!DR19</f>
        <v>0</v>
      </c>
      <c r="DP13" s="607">
        <f ca="1">расчет!DS19</f>
        <v>0</v>
      </c>
      <c r="DQ13" s="607">
        <f ca="1">расчет!DT19</f>
        <v>0</v>
      </c>
      <c r="DR13" s="607">
        <f ca="1">расчет!DU19</f>
        <v>0</v>
      </c>
      <c r="DS13" s="607">
        <f ca="1">расчет!DV19</f>
        <v>0</v>
      </c>
      <c r="DT13" s="607">
        <f ca="1">расчет!DW19</f>
        <v>0</v>
      </c>
      <c r="DU13" s="607">
        <f ca="1">расчет!DX19</f>
        <v>0</v>
      </c>
      <c r="DV13" s="607">
        <f ca="1">расчет!DY19</f>
        <v>0</v>
      </c>
      <c r="DW13" s="607">
        <f ca="1">расчет!DZ19</f>
        <v>0</v>
      </c>
      <c r="DX13" s="607">
        <f ca="1">расчет!EA19</f>
        <v>0</v>
      </c>
      <c r="DY13" s="607">
        <f ca="1">расчет!EB19</f>
        <v>0</v>
      </c>
      <c r="DZ13" s="607">
        <f ca="1">расчет!EC19</f>
        <v>0</v>
      </c>
      <c r="EA13" s="607">
        <f ca="1">расчет!ED19</f>
        <v>0</v>
      </c>
      <c r="EB13" s="607">
        <f ca="1">расчет!EE19</f>
        <v>0</v>
      </c>
      <c r="EC13" s="607">
        <f ca="1">расчет!EF19</f>
        <v>0</v>
      </c>
      <c r="ED13" s="607">
        <f ca="1">расчет!EG19</f>
        <v>0</v>
      </c>
      <c r="EE13" s="607">
        <f ca="1">расчет!EH19</f>
        <v>0</v>
      </c>
      <c r="EF13" s="607">
        <f ca="1">расчет!EI19</f>
        <v>0</v>
      </c>
      <c r="EG13" s="607">
        <f>расчет!EJ19</f>
        <v>0</v>
      </c>
      <c r="EH13" s="332"/>
    </row>
    <row r="14" spans="1:138" s="321" customFormat="1" outlineLevel="1">
      <c r="A14" s="305" t="s">
        <v>1604</v>
      </c>
      <c r="B14" s="319" t="s">
        <v>984</v>
      </c>
      <c r="C14" s="618">
        <f t="shared" ca="1" si="8"/>
        <v>143697610.62443271</v>
      </c>
      <c r="D14" s="607">
        <f>расчет!G20</f>
        <v>0</v>
      </c>
      <c r="E14" s="607">
        <f>расчет!H20</f>
        <v>0</v>
      </c>
      <c r="F14" s="607">
        <f ca="1">расчет!I20</f>
        <v>0</v>
      </c>
      <c r="G14" s="607">
        <f ca="1">расчет!J20</f>
        <v>0</v>
      </c>
      <c r="H14" s="607">
        <f ca="1">расчет!K20</f>
        <v>0</v>
      </c>
      <c r="I14" s="607">
        <f ca="1">расчет!L20</f>
        <v>0</v>
      </c>
      <c r="J14" s="607">
        <f ca="1">расчет!M20</f>
        <v>0</v>
      </c>
      <c r="K14" s="607">
        <f ca="1">расчет!N20</f>
        <v>0</v>
      </c>
      <c r="L14" s="607">
        <f ca="1">расчет!O20</f>
        <v>0</v>
      </c>
      <c r="M14" s="607">
        <f ca="1">расчет!P20</f>
        <v>0</v>
      </c>
      <c r="N14" s="607">
        <f ca="1">расчет!Q20</f>
        <v>0</v>
      </c>
      <c r="O14" s="607">
        <f ca="1">расчет!R20</f>
        <v>0</v>
      </c>
      <c r="P14" s="607">
        <f ca="1">расчет!S20</f>
        <v>0</v>
      </c>
      <c r="Q14" s="607">
        <f ca="1">расчет!T20</f>
        <v>0</v>
      </c>
      <c r="R14" s="607">
        <f ca="1">расчет!U20</f>
        <v>0</v>
      </c>
      <c r="S14" s="607">
        <f ca="1">расчет!V20</f>
        <v>18288786.80674598</v>
      </c>
      <c r="T14" s="607">
        <f ca="1">расчет!W20</f>
        <v>39190257.443027101</v>
      </c>
      <c r="U14" s="607">
        <f ca="1">расчет!X20</f>
        <v>40496599.357794672</v>
      </c>
      <c r="V14" s="607">
        <f ca="1">расчет!Y20</f>
        <v>40496599.357794672</v>
      </c>
      <c r="W14" s="607">
        <f ca="1">расчет!Z20</f>
        <v>5225367.6590702804</v>
      </c>
      <c r="X14" s="607">
        <f ca="1">расчет!AA20</f>
        <v>0</v>
      </c>
      <c r="Y14" s="607">
        <f ca="1">расчет!AB20</f>
        <v>0</v>
      </c>
      <c r="Z14" s="607">
        <f ca="1">расчет!AC20</f>
        <v>0</v>
      </c>
      <c r="AA14" s="607">
        <f ca="1">расчет!AD20</f>
        <v>0</v>
      </c>
      <c r="AB14" s="607">
        <f ca="1">расчет!AE20</f>
        <v>0</v>
      </c>
      <c r="AC14" s="607">
        <f ca="1">расчет!AF20</f>
        <v>0</v>
      </c>
      <c r="AD14" s="607">
        <f ca="1">расчет!AG20</f>
        <v>0</v>
      </c>
      <c r="AE14" s="607">
        <f ca="1">расчет!AH20</f>
        <v>0</v>
      </c>
      <c r="AF14" s="607">
        <f ca="1">расчет!AI20</f>
        <v>0</v>
      </c>
      <c r="AG14" s="607">
        <f ca="1">расчет!AJ20</f>
        <v>0</v>
      </c>
      <c r="AH14" s="607">
        <f ca="1">расчет!AK20</f>
        <v>0</v>
      </c>
      <c r="AI14" s="607">
        <f ca="1">расчет!AL20</f>
        <v>0</v>
      </c>
      <c r="AJ14" s="607">
        <f ca="1">расчет!AM20</f>
        <v>0</v>
      </c>
      <c r="AK14" s="607">
        <f ca="1">расчет!AN20</f>
        <v>0</v>
      </c>
      <c r="AL14" s="607">
        <f ca="1">расчет!AO20</f>
        <v>0</v>
      </c>
      <c r="AM14" s="607">
        <f ca="1">расчет!AP20</f>
        <v>0</v>
      </c>
      <c r="AN14" s="607">
        <f ca="1">расчет!AQ20</f>
        <v>0</v>
      </c>
      <c r="AO14" s="607">
        <f ca="1">расчет!AR20</f>
        <v>0</v>
      </c>
      <c r="AP14" s="607">
        <f ca="1">расчет!AS20</f>
        <v>0</v>
      </c>
      <c r="AQ14" s="607">
        <f ca="1">расчет!AT20</f>
        <v>0</v>
      </c>
      <c r="AR14" s="607">
        <f ca="1">расчет!AU20</f>
        <v>0</v>
      </c>
      <c r="AS14" s="607">
        <f ca="1">расчет!AV20</f>
        <v>0</v>
      </c>
      <c r="AT14" s="607">
        <f ca="1">расчет!AW20</f>
        <v>0</v>
      </c>
      <c r="AU14" s="607">
        <f ca="1">расчет!AX20</f>
        <v>0</v>
      </c>
      <c r="AV14" s="607">
        <f ca="1">расчет!AY20</f>
        <v>0</v>
      </c>
      <c r="AW14" s="607">
        <f ca="1">расчет!AZ20</f>
        <v>0</v>
      </c>
      <c r="AX14" s="607">
        <f ca="1">расчет!BA20</f>
        <v>0</v>
      </c>
      <c r="AY14" s="607">
        <f ca="1">расчет!BB20</f>
        <v>0</v>
      </c>
      <c r="AZ14" s="607">
        <f ca="1">расчет!BC20</f>
        <v>0</v>
      </c>
      <c r="BA14" s="607">
        <f ca="1">расчет!BD20</f>
        <v>0</v>
      </c>
      <c r="BB14" s="607">
        <f ca="1">расчет!BE20</f>
        <v>0</v>
      </c>
      <c r="BC14" s="607">
        <f ca="1">расчет!BF20</f>
        <v>0</v>
      </c>
      <c r="BD14" s="607">
        <f ca="1">расчет!BG20</f>
        <v>0</v>
      </c>
      <c r="BE14" s="607">
        <f ca="1">расчет!BH20</f>
        <v>0</v>
      </c>
      <c r="BF14" s="607">
        <f ca="1">расчет!BI20</f>
        <v>0</v>
      </c>
      <c r="BG14" s="607">
        <f ca="1">расчет!BJ20</f>
        <v>0</v>
      </c>
      <c r="BH14" s="607">
        <f ca="1">расчет!BK20</f>
        <v>0</v>
      </c>
      <c r="BI14" s="607">
        <f ca="1">расчет!BL20</f>
        <v>0</v>
      </c>
      <c r="BJ14" s="607">
        <f ca="1">расчет!BM20</f>
        <v>0</v>
      </c>
      <c r="BK14" s="607">
        <f ca="1">расчет!BN20</f>
        <v>0</v>
      </c>
      <c r="BL14" s="607">
        <f ca="1">расчет!BO20</f>
        <v>0</v>
      </c>
      <c r="BM14" s="607">
        <f ca="1">расчет!BP20</f>
        <v>0</v>
      </c>
      <c r="BN14" s="607">
        <f ca="1">расчет!BQ20</f>
        <v>0</v>
      </c>
      <c r="BO14" s="607">
        <f ca="1">расчет!BR20</f>
        <v>0</v>
      </c>
      <c r="BP14" s="607">
        <f ca="1">расчет!BS20</f>
        <v>0</v>
      </c>
      <c r="BQ14" s="607">
        <f ca="1">расчет!BT20</f>
        <v>0</v>
      </c>
      <c r="BR14" s="607">
        <f ca="1">расчет!BU20</f>
        <v>0</v>
      </c>
      <c r="BS14" s="607">
        <f ca="1">расчет!BV20</f>
        <v>0</v>
      </c>
      <c r="BT14" s="607">
        <f ca="1">расчет!BW20</f>
        <v>0</v>
      </c>
      <c r="BU14" s="607">
        <f ca="1">расчет!BX20</f>
        <v>0</v>
      </c>
      <c r="BV14" s="607">
        <f ca="1">расчет!BY20</f>
        <v>0</v>
      </c>
      <c r="BW14" s="607">
        <f ca="1">расчет!BZ20</f>
        <v>0</v>
      </c>
      <c r="BX14" s="607">
        <f ca="1">расчет!CA20</f>
        <v>0</v>
      </c>
      <c r="BY14" s="607">
        <f ca="1">расчет!CB20</f>
        <v>0</v>
      </c>
      <c r="BZ14" s="607">
        <f ca="1">расчет!CC20</f>
        <v>0</v>
      </c>
      <c r="CA14" s="607">
        <f ca="1">расчет!CD20</f>
        <v>0</v>
      </c>
      <c r="CB14" s="607">
        <f ca="1">расчет!CE20</f>
        <v>0</v>
      </c>
      <c r="CC14" s="607">
        <f ca="1">расчет!CF20</f>
        <v>0</v>
      </c>
      <c r="CD14" s="607">
        <f ca="1">расчет!CG20</f>
        <v>0</v>
      </c>
      <c r="CE14" s="607">
        <f ca="1">расчет!CH20</f>
        <v>0</v>
      </c>
      <c r="CF14" s="607">
        <f ca="1">расчет!CI20</f>
        <v>0</v>
      </c>
      <c r="CG14" s="607">
        <f ca="1">расчет!CJ20</f>
        <v>0</v>
      </c>
      <c r="CH14" s="607">
        <f ca="1">расчет!CK20</f>
        <v>0</v>
      </c>
      <c r="CI14" s="607">
        <f ca="1">расчет!CL20</f>
        <v>0</v>
      </c>
      <c r="CJ14" s="607">
        <f ca="1">расчет!CM20</f>
        <v>0</v>
      </c>
      <c r="CK14" s="607">
        <f ca="1">расчет!CN20</f>
        <v>0</v>
      </c>
      <c r="CL14" s="607">
        <f ca="1">расчет!CO20</f>
        <v>0</v>
      </c>
      <c r="CM14" s="607">
        <f ca="1">расчет!CP20</f>
        <v>0</v>
      </c>
      <c r="CN14" s="607">
        <f ca="1">расчет!CQ20</f>
        <v>0</v>
      </c>
      <c r="CO14" s="607">
        <f ca="1">расчет!CR20</f>
        <v>0</v>
      </c>
      <c r="CP14" s="607">
        <f ca="1">расчет!CS20</f>
        <v>0</v>
      </c>
      <c r="CQ14" s="607">
        <f ca="1">расчет!CT20</f>
        <v>0</v>
      </c>
      <c r="CR14" s="607">
        <f ca="1">расчет!CU20</f>
        <v>0</v>
      </c>
      <c r="CS14" s="607">
        <f ca="1">расчет!CV20</f>
        <v>0</v>
      </c>
      <c r="CT14" s="607">
        <f ca="1">расчет!CW20</f>
        <v>0</v>
      </c>
      <c r="CU14" s="607">
        <f ca="1">расчет!CX20</f>
        <v>0</v>
      </c>
      <c r="CV14" s="607">
        <f ca="1">расчет!CY20</f>
        <v>0</v>
      </c>
      <c r="CW14" s="607">
        <f ca="1">расчет!CZ20</f>
        <v>0</v>
      </c>
      <c r="CX14" s="607">
        <f ca="1">расчет!DA20</f>
        <v>0</v>
      </c>
      <c r="CY14" s="607">
        <f ca="1">расчет!DB20</f>
        <v>0</v>
      </c>
      <c r="CZ14" s="607">
        <f ca="1">расчет!DC20</f>
        <v>0</v>
      </c>
      <c r="DA14" s="607">
        <f ca="1">расчет!DD20</f>
        <v>0</v>
      </c>
      <c r="DB14" s="607">
        <f ca="1">расчет!DE20</f>
        <v>0</v>
      </c>
      <c r="DC14" s="607">
        <f ca="1">расчет!DF20</f>
        <v>0</v>
      </c>
      <c r="DD14" s="607">
        <f ca="1">расчет!DG20</f>
        <v>0</v>
      </c>
      <c r="DE14" s="607">
        <f ca="1">расчет!DH20</f>
        <v>0</v>
      </c>
      <c r="DF14" s="607">
        <f ca="1">расчет!DI20</f>
        <v>0</v>
      </c>
      <c r="DG14" s="607">
        <f ca="1">расчет!DJ20</f>
        <v>0</v>
      </c>
      <c r="DH14" s="607">
        <f ca="1">расчет!DK20</f>
        <v>0</v>
      </c>
      <c r="DI14" s="607">
        <f ca="1">расчет!DL20</f>
        <v>0</v>
      </c>
      <c r="DJ14" s="607">
        <f ca="1">расчет!DM20</f>
        <v>0</v>
      </c>
      <c r="DK14" s="607">
        <f ca="1">расчет!DN20</f>
        <v>0</v>
      </c>
      <c r="DL14" s="607">
        <f ca="1">расчет!DO20</f>
        <v>0</v>
      </c>
      <c r="DM14" s="607">
        <f ca="1">расчет!DP20</f>
        <v>0</v>
      </c>
      <c r="DN14" s="607">
        <f ca="1">расчет!DQ20</f>
        <v>0</v>
      </c>
      <c r="DO14" s="607">
        <f ca="1">расчет!DR20</f>
        <v>0</v>
      </c>
      <c r="DP14" s="607">
        <f ca="1">расчет!DS20</f>
        <v>0</v>
      </c>
      <c r="DQ14" s="607">
        <f ca="1">расчет!DT20</f>
        <v>0</v>
      </c>
      <c r="DR14" s="607">
        <f ca="1">расчет!DU20</f>
        <v>0</v>
      </c>
      <c r="DS14" s="607">
        <f ca="1">расчет!DV20</f>
        <v>0</v>
      </c>
      <c r="DT14" s="607">
        <f ca="1">расчет!DW20</f>
        <v>0</v>
      </c>
      <c r="DU14" s="607">
        <f ca="1">расчет!DX20</f>
        <v>0</v>
      </c>
      <c r="DV14" s="607">
        <f ca="1">расчет!DY20</f>
        <v>0</v>
      </c>
      <c r="DW14" s="607">
        <f ca="1">расчет!DZ20</f>
        <v>0</v>
      </c>
      <c r="DX14" s="607">
        <f ca="1">расчет!EA20</f>
        <v>0</v>
      </c>
      <c r="DY14" s="607">
        <f ca="1">расчет!EB20</f>
        <v>0</v>
      </c>
      <c r="DZ14" s="607">
        <f ca="1">расчет!EC20</f>
        <v>0</v>
      </c>
      <c r="EA14" s="607">
        <f ca="1">расчет!ED20</f>
        <v>0</v>
      </c>
      <c r="EB14" s="607">
        <f ca="1">расчет!EE20</f>
        <v>0</v>
      </c>
      <c r="EC14" s="607">
        <f ca="1">расчет!EF20</f>
        <v>0</v>
      </c>
      <c r="ED14" s="607">
        <f ca="1">расчет!EG20</f>
        <v>0</v>
      </c>
      <c r="EE14" s="607">
        <f ca="1">расчет!EH20</f>
        <v>0</v>
      </c>
      <c r="EF14" s="607">
        <f ca="1">расчет!EI20</f>
        <v>0</v>
      </c>
      <c r="EG14" s="607">
        <f>расчет!EJ20</f>
        <v>0</v>
      </c>
      <c r="EH14" s="332"/>
    </row>
    <row r="15" spans="1:138" s="321" customFormat="1" outlineLevel="1">
      <c r="A15" s="305" t="s">
        <v>1561</v>
      </c>
      <c r="B15" s="319" t="s">
        <v>1025</v>
      </c>
      <c r="C15" s="618">
        <f t="shared" ca="1" si="8"/>
        <v>1692969775.4572377</v>
      </c>
      <c r="D15" s="607">
        <f>расчет!G22+расчет!G21+расчет!G25</f>
        <v>0</v>
      </c>
      <c r="E15" s="607">
        <f ca="1">расчет!H22+расчет!H21+расчет!H25</f>
        <v>0</v>
      </c>
      <c r="F15" s="607">
        <f ca="1">расчет!I22+расчет!I21+расчет!I25</f>
        <v>0</v>
      </c>
      <c r="G15" s="607">
        <f ca="1">расчет!J22+расчет!J21+расчет!J25</f>
        <v>0</v>
      </c>
      <c r="H15" s="607">
        <f ca="1">расчет!K22+расчет!K21+расчет!K25</f>
        <v>0</v>
      </c>
      <c r="I15" s="607">
        <f ca="1">расчет!L22+расчет!L21+расчет!L25</f>
        <v>0</v>
      </c>
      <c r="J15" s="607">
        <f ca="1">расчет!M22+расчет!M21+расчет!M25</f>
        <v>0</v>
      </c>
      <c r="K15" s="607">
        <f ca="1">расчет!N22+расчет!N21+расчет!N25</f>
        <v>0</v>
      </c>
      <c r="L15" s="607">
        <f ca="1">расчет!O22+расчет!O21+расчет!O25</f>
        <v>0</v>
      </c>
      <c r="M15" s="607">
        <f ca="1">расчет!P22+расчет!P21+расчет!P25</f>
        <v>0</v>
      </c>
      <c r="N15" s="607">
        <f ca="1">расчет!Q22+расчет!Q21+расчет!Q25</f>
        <v>0</v>
      </c>
      <c r="O15" s="607">
        <f ca="1">расчет!R22+расчет!R21+расчет!R25</f>
        <v>0</v>
      </c>
      <c r="P15" s="607">
        <f ca="1">расчет!S22+расчет!S21+расчет!S25</f>
        <v>0</v>
      </c>
      <c r="Q15" s="607">
        <f ca="1">расчет!T22+расчет!T21+расчет!T25</f>
        <v>0</v>
      </c>
      <c r="R15" s="607">
        <f ca="1">расчет!U22+расчет!U21+расчет!U25</f>
        <v>0</v>
      </c>
      <c r="S15" s="607">
        <f ca="1">расчет!V22+расчет!V21+расчет!V25</f>
        <v>0</v>
      </c>
      <c r="T15" s="607">
        <f ca="1">расчет!W22+расчет!W21+расчет!W25</f>
        <v>0</v>
      </c>
      <c r="U15" s="607">
        <f ca="1">расчет!X22+расчет!X21+расчет!X25</f>
        <v>61979329.550486974</v>
      </c>
      <c r="V15" s="607">
        <f ca="1">расчет!Y22+расчет!Y21+расчет!Y25</f>
        <v>0</v>
      </c>
      <c r="W15" s="607">
        <f ca="1">расчет!Z22+расчет!Z21+расчет!Z25</f>
        <v>25682119.494994156</v>
      </c>
      <c r="X15" s="607">
        <f ca="1">расчет!AA22+расчет!AA21+расчет!AA25</f>
        <v>198361981.35107809</v>
      </c>
      <c r="Y15" s="607">
        <f ca="1">расчет!AB22+расчет!AB21+расчет!AB25</f>
        <v>29633214.801916331</v>
      </c>
      <c r="Z15" s="607">
        <f ca="1">расчет!AC22+расчет!AC21+расчет!AC25</f>
        <v>73544609.661996275</v>
      </c>
      <c r="AA15" s="607">
        <f ca="1">расчет!AD22+расчет!AD21+расчет!AD25</f>
        <v>100654265.05148011</v>
      </c>
      <c r="AB15" s="607">
        <f ca="1">расчет!AE22+расчет!AE21+расчет!AE25</f>
        <v>90913529.723917529</v>
      </c>
      <c r="AC15" s="607">
        <f ca="1">расчет!AF22+расчет!AF21+расчет!AF25</f>
        <v>100654265.05148011</v>
      </c>
      <c r="AD15" s="607">
        <f ca="1">расчет!AG22+расчет!AG21+расчет!AG25</f>
        <v>97407353.275625914</v>
      </c>
      <c r="AE15" s="607">
        <f ca="1">расчет!AH22+расчет!AH21+расчет!AH25</f>
        <v>100654265.05148011</v>
      </c>
      <c r="AF15" s="607">
        <f ca="1">расчет!AI22+расчет!AI21+расчет!AI25</f>
        <v>97407353.275625914</v>
      </c>
      <c r="AG15" s="607">
        <f ca="1">расчет!AJ22+расчет!AJ21+расчет!AJ25</f>
        <v>100654265.05148011</v>
      </c>
      <c r="AH15" s="607">
        <f ca="1">расчет!AK22+расчет!AK21+расчет!AK25</f>
        <v>100654265.05148011</v>
      </c>
      <c r="AI15" s="607">
        <f ca="1">расчет!AL22+расчет!AL21+расчет!AL25</f>
        <v>97407353.275625914</v>
      </c>
      <c r="AJ15" s="607">
        <f ca="1">расчет!AM22+расчет!AM21+расчет!AM25</f>
        <v>100654265.05148011</v>
      </c>
      <c r="AK15" s="607">
        <f ca="1">расчет!AN22+расчет!AN21+расчет!AN25</f>
        <v>97407353.275625914</v>
      </c>
      <c r="AL15" s="607">
        <f ca="1">расчет!AO22+расчет!AO21+расчет!AO25</f>
        <v>100654265.05148011</v>
      </c>
      <c r="AM15" s="607">
        <f ca="1">расчет!AP22+расчет!AP21+расчет!AP25</f>
        <v>38962941.310250364</v>
      </c>
      <c r="AN15" s="607">
        <f ca="1">расчет!AQ22+расчет!AQ21+расчет!AQ25</f>
        <v>27956832.120405205</v>
      </c>
      <c r="AO15" s="607">
        <f ca="1">расчет!AR22+расчет!AR21+расчет!AR25</f>
        <v>0</v>
      </c>
      <c r="AP15" s="607">
        <f ca="1">расчет!AS22+расчет!AS21+расчет!AS25</f>
        <v>0</v>
      </c>
      <c r="AQ15" s="607">
        <f ca="1">расчет!AT22+расчет!AT21+расчет!AT25</f>
        <v>0</v>
      </c>
      <c r="AR15" s="607">
        <f ca="1">расчет!AU22+расчет!AU21+расчет!AU25</f>
        <v>0</v>
      </c>
      <c r="AS15" s="607">
        <f ca="1">расчет!AV22+расчет!AV21+расчет!AV25</f>
        <v>7130735.0576770892</v>
      </c>
      <c r="AT15" s="607">
        <f ca="1">расчет!AW22+расчет!AW21+расчет!AW25</f>
        <v>0</v>
      </c>
      <c r="AU15" s="607">
        <f ca="1">расчет!AX22+расчет!AX21+расчет!AX25</f>
        <v>433456.25605231663</v>
      </c>
      <c r="AV15" s="607">
        <f ca="1">расчет!AY22+расчет!AY21+расчет!AY25</f>
        <v>2660820.5817072839</v>
      </c>
      <c r="AW15" s="607">
        <f ca="1">расчет!AZ22+расчет!AZ21+расчет!AZ25</f>
        <v>2574987.6597167263</v>
      </c>
      <c r="AX15" s="607">
        <f ca="1">расчет!BA22+расчет!BA21+расчет!BA25</f>
        <v>2660820.5817072839</v>
      </c>
      <c r="AY15" s="607">
        <f ca="1">расчет!BB22+расчет!BB21+расчет!BB25</f>
        <v>2660820.5817072839</v>
      </c>
      <c r="AZ15" s="607">
        <f ca="1">расчет!BC22+расчет!BC21+расчет!BC25</f>
        <v>2403321.8157356116</v>
      </c>
      <c r="BA15" s="607">
        <f ca="1">расчет!BD22+расчет!BD21+расчет!BD25</f>
        <v>2055698.4816738523</v>
      </c>
      <c r="BB15" s="607">
        <f ca="1">расчет!BE22+расчет!BE21+расчет!BE25</f>
        <v>594227.92147309089</v>
      </c>
      <c r="BC15" s="607">
        <f ca="1">расчет!BF22+расчет!BF21+расчет!BF25</f>
        <v>0</v>
      </c>
      <c r="BD15" s="607">
        <f ca="1">расчет!BG22+расчет!BG21+расчет!BG25</f>
        <v>0</v>
      </c>
      <c r="BE15" s="607">
        <f ca="1">расчет!BH22+расчет!BH21+расчет!BH25</f>
        <v>0</v>
      </c>
      <c r="BF15" s="607">
        <f ca="1">расчет!BI22+расчет!BI21+расчет!BI25</f>
        <v>0</v>
      </c>
      <c r="BG15" s="607">
        <f ca="1">расчет!BJ22+расчет!BJ21+расчет!BJ25</f>
        <v>0</v>
      </c>
      <c r="BH15" s="607">
        <f ca="1">расчет!BK22+расчет!BK21+расчет!BK25</f>
        <v>0</v>
      </c>
      <c r="BI15" s="607">
        <f ca="1">расчет!BL22+расчет!BL21+расчет!BL25</f>
        <v>0</v>
      </c>
      <c r="BJ15" s="607">
        <f ca="1">расчет!BM22+расчет!BM21+расчет!BM25</f>
        <v>0</v>
      </c>
      <c r="BK15" s="607">
        <f ca="1">расчет!BN22+расчет!BN21+расчет!BN25</f>
        <v>27956832.120405205</v>
      </c>
      <c r="BL15" s="607">
        <f ca="1">расчет!BO22+расчет!BO21+расчет!BO25</f>
        <v>0</v>
      </c>
      <c r="BM15" s="607">
        <f ca="1">расчет!BP22+расчет!BP21+расчет!BP25</f>
        <v>0</v>
      </c>
      <c r="BN15" s="607">
        <f ca="1">расчет!BQ22+расчет!BQ21+расчет!BQ25</f>
        <v>0</v>
      </c>
      <c r="BO15" s="607">
        <f ca="1">расчет!BR22+расчет!BR21+расчет!BR25</f>
        <v>0</v>
      </c>
      <c r="BP15" s="607">
        <f ca="1">расчет!BS22+расчет!BS21+расчет!BS25</f>
        <v>0</v>
      </c>
      <c r="BQ15" s="607">
        <f ca="1">расчет!BT22+расчет!BT21+расчет!BT25</f>
        <v>0</v>
      </c>
      <c r="BR15" s="607">
        <f ca="1">расчет!BU22+расчет!BU21+расчет!BU25</f>
        <v>0</v>
      </c>
      <c r="BS15" s="607">
        <f ca="1">расчет!BV22+расчет!BV21+расчет!BV25</f>
        <v>0</v>
      </c>
      <c r="BT15" s="607">
        <f ca="1">расчет!BW22+расчет!BW21+расчет!BW25</f>
        <v>0</v>
      </c>
      <c r="BU15" s="607">
        <f ca="1">расчет!BX22+расчет!BX21+расчет!BX25</f>
        <v>0</v>
      </c>
      <c r="BV15" s="607">
        <f ca="1">расчет!BY22+расчет!BY21+расчет!BY25</f>
        <v>0</v>
      </c>
      <c r="BW15" s="607">
        <f ca="1">расчет!BZ22+расчет!BZ21+расчет!BZ25</f>
        <v>0</v>
      </c>
      <c r="BX15" s="607">
        <f ca="1">расчет!CA22+расчет!CA21+расчет!CA25</f>
        <v>0</v>
      </c>
      <c r="BY15" s="607">
        <f ca="1">расчет!CB22+расчет!CB21+расчет!CB25</f>
        <v>594227.92147309089</v>
      </c>
      <c r="BZ15" s="607">
        <f ca="1">расчет!CC22+расчет!CC21+расчет!CC25</f>
        <v>0</v>
      </c>
      <c r="CA15" s="607">
        <f ca="1">расчет!CD22+расчет!CD21+расчет!CD25</f>
        <v>0</v>
      </c>
      <c r="CB15" s="607">
        <f ca="1">расчет!CE22+расчет!CE21+расчет!CE25</f>
        <v>0</v>
      </c>
      <c r="CC15" s="607">
        <f ca="1">расчет!CF22+расчет!CF21+расчет!CF25</f>
        <v>0</v>
      </c>
      <c r="CD15" s="607">
        <f ca="1">расчет!CG22+расчет!CG21+расчет!CG25</f>
        <v>0</v>
      </c>
      <c r="CE15" s="607">
        <f ca="1">расчет!CH22+расчет!CH21+расчет!CH25</f>
        <v>0</v>
      </c>
      <c r="CF15" s="607">
        <f ca="1">расчет!CI22+расчет!CI21+расчет!CI25</f>
        <v>0</v>
      </c>
      <c r="CG15" s="607">
        <f ca="1">расчет!CJ22+расчет!CJ21+расчет!CJ25</f>
        <v>0</v>
      </c>
      <c r="CH15" s="607">
        <f ca="1">расчет!CK22+расчет!CK21+расчет!CK25</f>
        <v>0</v>
      </c>
      <c r="CI15" s="607">
        <f ca="1">расчет!CL22+расчет!CL21+расчет!CL25</f>
        <v>0</v>
      </c>
      <c r="CJ15" s="607">
        <f ca="1">расчет!CM22+расчет!CM21+расчет!CM25</f>
        <v>0</v>
      </c>
      <c r="CK15" s="607">
        <f ca="1">расчет!CN22+расчет!CN21+расчет!CN25</f>
        <v>0</v>
      </c>
      <c r="CL15" s="607">
        <f ca="1">расчет!CO22+расчет!CO21+расчет!CO25</f>
        <v>0</v>
      </c>
      <c r="CM15" s="607">
        <f ca="1">расчет!CP22+расчет!CP21+расчет!CP25</f>
        <v>0</v>
      </c>
      <c r="CN15" s="607">
        <f ca="1">расчет!CQ22+расчет!CQ21+расчет!CQ25</f>
        <v>0</v>
      </c>
      <c r="CO15" s="607">
        <f ca="1">расчет!CR22+расчет!CR21+расчет!CR25</f>
        <v>0</v>
      </c>
      <c r="CP15" s="607">
        <f ca="1">расчет!CS22+расчет!CS21+расчет!CS25</f>
        <v>0</v>
      </c>
      <c r="CQ15" s="607">
        <f ca="1">расчет!CT22+расчет!CT21+расчет!CT25</f>
        <v>0</v>
      </c>
      <c r="CR15" s="607">
        <f ca="1">расчет!CU22+расчет!CU21+расчет!CU25</f>
        <v>0</v>
      </c>
      <c r="CS15" s="607">
        <f ca="1">расчет!CV22+расчет!CV21+расчет!CV25</f>
        <v>0</v>
      </c>
      <c r="CT15" s="607">
        <f ca="1">расчет!CW22+расчет!CW21+расчет!CW25</f>
        <v>0</v>
      </c>
      <c r="CU15" s="607">
        <f ca="1">расчет!CX22+расчет!CX21+расчет!CX25</f>
        <v>0</v>
      </c>
      <c r="CV15" s="607">
        <f ca="1">расчет!CY22+расчет!CY21+расчет!CY25</f>
        <v>0</v>
      </c>
      <c r="CW15" s="607">
        <f ca="1">расчет!CZ22+расчет!CZ21+расчет!CZ25</f>
        <v>0</v>
      </c>
      <c r="CX15" s="607">
        <f ca="1">расчет!DA22+расчет!DA21+расчет!DA25</f>
        <v>0</v>
      </c>
      <c r="CY15" s="607">
        <f ca="1">расчет!DB22+расчет!DB21+расчет!DB25</f>
        <v>0</v>
      </c>
      <c r="CZ15" s="607">
        <f ca="1">расчет!DC22+расчет!DC21+расчет!DC25</f>
        <v>0</v>
      </c>
      <c r="DA15" s="607">
        <f ca="1">расчет!DD22+расчет!DD21+расчет!DD25</f>
        <v>0</v>
      </c>
      <c r="DB15" s="607">
        <f ca="1">расчет!DE22+расчет!DE21+расчет!DE25</f>
        <v>0</v>
      </c>
      <c r="DC15" s="607">
        <f ca="1">расчет!DF22+расчет!DF21+расчет!DF25</f>
        <v>0</v>
      </c>
      <c r="DD15" s="607">
        <f ca="1">расчет!DG22+расчет!DG21+расчет!DG25</f>
        <v>0</v>
      </c>
      <c r="DE15" s="607">
        <f ca="1">расчет!DH22+расчет!DH21+расчет!DH25</f>
        <v>0</v>
      </c>
      <c r="DF15" s="607">
        <f ca="1">расчет!DI22+расчет!DI21+расчет!DI25</f>
        <v>0</v>
      </c>
      <c r="DG15" s="607">
        <f ca="1">расчет!DJ22+расчет!DJ21+расчет!DJ25</f>
        <v>0</v>
      </c>
      <c r="DH15" s="607">
        <f ca="1">расчет!DK22+расчет!DK21+расчет!DK25</f>
        <v>0</v>
      </c>
      <c r="DI15" s="607">
        <f ca="1">расчет!DL22+расчет!DL21+расчет!DL25</f>
        <v>0</v>
      </c>
      <c r="DJ15" s="607">
        <f ca="1">расчет!DM22+расчет!DM21+расчет!DM25</f>
        <v>0</v>
      </c>
      <c r="DK15" s="607">
        <f ca="1">расчет!DN22+расчет!DN21+расчет!DN25</f>
        <v>0</v>
      </c>
      <c r="DL15" s="607">
        <f ca="1">расчет!DO22+расчет!DO21+расчет!DO25</f>
        <v>0</v>
      </c>
      <c r="DM15" s="607">
        <f ca="1">расчет!DP22+расчет!DP21+расчет!DP25</f>
        <v>0</v>
      </c>
      <c r="DN15" s="607">
        <f ca="1">расчет!DQ22+расчет!DQ21+расчет!DQ25</f>
        <v>0</v>
      </c>
      <c r="DO15" s="607">
        <f ca="1">расчет!DR22+расчет!DR21+расчет!DR25</f>
        <v>0</v>
      </c>
      <c r="DP15" s="607">
        <f ca="1">расчет!DS22+расчет!DS21+расчет!DS25</f>
        <v>0</v>
      </c>
      <c r="DQ15" s="607">
        <f ca="1">расчет!DT22+расчет!DT21+расчет!DT25</f>
        <v>0</v>
      </c>
      <c r="DR15" s="607">
        <f ca="1">расчет!DU22+расчет!DU21+расчет!DU25</f>
        <v>0</v>
      </c>
      <c r="DS15" s="607">
        <f ca="1">расчет!DV22+расчет!DV21+расчет!DV25</f>
        <v>0</v>
      </c>
      <c r="DT15" s="607">
        <f ca="1">расчет!DW22+расчет!DW21+расчет!DW25</f>
        <v>0</v>
      </c>
      <c r="DU15" s="607">
        <f ca="1">расчет!DX22+расчет!DX21+расчет!DX25</f>
        <v>0</v>
      </c>
      <c r="DV15" s="607">
        <f ca="1">расчет!DY22+расчет!DY21+расчет!DY25</f>
        <v>0</v>
      </c>
      <c r="DW15" s="607">
        <f ca="1">расчет!DZ22+расчет!DZ21+расчет!DZ25</f>
        <v>0</v>
      </c>
      <c r="DX15" s="607">
        <f ca="1">расчет!EA22+расчет!EA21+расчет!EA25</f>
        <v>0</v>
      </c>
      <c r="DY15" s="607">
        <f ca="1">расчет!EB22+расчет!EB21+расчет!EB25</f>
        <v>0</v>
      </c>
      <c r="DZ15" s="607">
        <f ca="1">расчет!EC22+расчет!EC21+расчет!EC25</f>
        <v>0</v>
      </c>
      <c r="EA15" s="607">
        <f ca="1">расчет!ED22+расчет!ED21+расчет!ED25</f>
        <v>0</v>
      </c>
      <c r="EB15" s="607">
        <f ca="1">расчет!EE22+расчет!EE21+расчет!EE25</f>
        <v>0</v>
      </c>
      <c r="EC15" s="607">
        <f ca="1">расчет!EF22+расчет!EF21+расчет!EF25</f>
        <v>0</v>
      </c>
      <c r="ED15" s="607">
        <f ca="1">расчет!EG22+расчет!EG21+расчет!EG25</f>
        <v>0</v>
      </c>
      <c r="EE15" s="607">
        <f ca="1">расчет!EH22+расчет!EH21+расчет!EH25</f>
        <v>0</v>
      </c>
      <c r="EF15" s="607">
        <f ca="1">расчет!EI22+расчет!EI21+расчет!EI25</f>
        <v>0</v>
      </c>
      <c r="EG15" s="607">
        <f>расчет!EJ22+расчет!EJ21+расчет!EJ25</f>
        <v>0</v>
      </c>
      <c r="EH15" s="332"/>
    </row>
    <row r="16" spans="1:138" s="321" customFormat="1" outlineLevel="1">
      <c r="A16" s="305" t="s">
        <v>1527</v>
      </c>
      <c r="B16" s="319" t="s">
        <v>1057</v>
      </c>
      <c r="C16" s="618">
        <f t="shared" ca="1" si="8"/>
        <v>1862120374.545701</v>
      </c>
      <c r="D16" s="607">
        <f>расчет!G23+расчет!G26</f>
        <v>0</v>
      </c>
      <c r="E16" s="607">
        <f ca="1">расчет!H23+расчет!H26</f>
        <v>0</v>
      </c>
      <c r="F16" s="607">
        <f ca="1">расчет!I23+расчет!I26</f>
        <v>0</v>
      </c>
      <c r="G16" s="607">
        <f ca="1">расчет!J23+расчет!J26</f>
        <v>0</v>
      </c>
      <c r="H16" s="607">
        <f ca="1">расчет!K23+расчет!K26</f>
        <v>0</v>
      </c>
      <c r="I16" s="607">
        <f ca="1">расчет!L23+расчет!L26</f>
        <v>0</v>
      </c>
      <c r="J16" s="607">
        <f ca="1">расчет!M23+расчет!M26</f>
        <v>0</v>
      </c>
      <c r="K16" s="607">
        <f ca="1">расчет!N23+расчет!N26</f>
        <v>0</v>
      </c>
      <c r="L16" s="607">
        <f ca="1">расчет!O23+расчет!O26</f>
        <v>0</v>
      </c>
      <c r="M16" s="607">
        <f ca="1">расчет!P23+расчет!P26</f>
        <v>0</v>
      </c>
      <c r="N16" s="607">
        <f ca="1">расчет!Q23+расчет!Q26</f>
        <v>0</v>
      </c>
      <c r="O16" s="607">
        <f ca="1">расчет!R23+расчет!R26</f>
        <v>0</v>
      </c>
      <c r="P16" s="607">
        <f ca="1">расчет!S23+расчет!S26</f>
        <v>0</v>
      </c>
      <c r="Q16" s="607">
        <f ca="1">расчет!T23+расчет!T26</f>
        <v>0</v>
      </c>
      <c r="R16" s="607">
        <f ca="1">расчет!U23+расчет!U26</f>
        <v>0</v>
      </c>
      <c r="S16" s="607">
        <f ca="1">расчет!V23+расчет!V26</f>
        <v>0</v>
      </c>
      <c r="T16" s="607">
        <f ca="1">расчет!W23+расчет!W26</f>
        <v>0</v>
      </c>
      <c r="U16" s="607">
        <f ca="1">расчет!X23+расчет!X26</f>
        <v>0</v>
      </c>
      <c r="V16" s="607">
        <f ca="1">расчет!Y23+расчет!Y26</f>
        <v>0</v>
      </c>
      <c r="W16" s="607">
        <f ca="1">расчет!Z23+расчет!Z26</f>
        <v>0</v>
      </c>
      <c r="X16" s="607">
        <f ca="1">расчет!AA23+расчет!AA26</f>
        <v>0</v>
      </c>
      <c r="Y16" s="607">
        <f ca="1">расчет!AB23+расчет!AB26</f>
        <v>0</v>
      </c>
      <c r="Z16" s="607">
        <f ca="1">расчет!AC23+расчет!AC26</f>
        <v>0</v>
      </c>
      <c r="AA16" s="607">
        <f ca="1">расчет!AD23+расчет!AD26</f>
        <v>0</v>
      </c>
      <c r="AB16" s="607">
        <f ca="1">расчет!AE23+расчет!AE26</f>
        <v>0</v>
      </c>
      <c r="AC16" s="607">
        <f ca="1">расчет!AF23+расчет!AF26</f>
        <v>0</v>
      </c>
      <c r="AD16" s="607">
        <f ca="1">расчет!AG23+расчет!AG26</f>
        <v>0</v>
      </c>
      <c r="AE16" s="607">
        <f ca="1">расчет!AH23+расчет!AH26</f>
        <v>0</v>
      </c>
      <c r="AF16" s="607">
        <f ca="1">расчет!AI23+расчет!AI26</f>
        <v>0</v>
      </c>
      <c r="AG16" s="607">
        <f ca="1">расчет!AJ23+расчет!AJ26</f>
        <v>0</v>
      </c>
      <c r="AH16" s="607">
        <f ca="1">расчет!AK23+расчет!AK26</f>
        <v>0</v>
      </c>
      <c r="AI16" s="607">
        <f ca="1">расчет!AL23+расчет!AL26</f>
        <v>0</v>
      </c>
      <c r="AJ16" s="607">
        <f ca="1">расчет!AM23+расчет!AM26</f>
        <v>0</v>
      </c>
      <c r="AK16" s="607">
        <f ca="1">расчет!AN23+расчет!AN26</f>
        <v>247503087.24108791</v>
      </c>
      <c r="AL16" s="607">
        <f ca="1">расчет!AO23+расчет!AO26</f>
        <v>0</v>
      </c>
      <c r="AM16" s="607">
        <f ca="1">расчет!AP23+расчет!AP26</f>
        <v>66174967.916702494</v>
      </c>
      <c r="AN16" s="607">
        <f ca="1">расчет!AQ23+расчет!AQ26</f>
        <v>97521005.350929976</v>
      </c>
      <c r="AO16" s="607">
        <f ca="1">расчет!AR23+расчет!AR26</f>
        <v>107969684.49567248</v>
      </c>
      <c r="AP16" s="607">
        <f ca="1">расчет!AS23+расчет!AS26</f>
        <v>104486791.44742499</v>
      </c>
      <c r="AQ16" s="607">
        <f ca="1">расчет!AT23+расчет!AT26</f>
        <v>107969684.49567248</v>
      </c>
      <c r="AR16" s="607">
        <f ca="1">расчет!AU23+расчет!AU26</f>
        <v>104486791.44742499</v>
      </c>
      <c r="AS16" s="607">
        <f ca="1">расчет!AV23+расчет!AV26</f>
        <v>171599622.37720671</v>
      </c>
      <c r="AT16" s="607">
        <f ca="1">расчет!AW23+расчет!AW26</f>
        <v>107969684.49567248</v>
      </c>
      <c r="AU16" s="607">
        <f ca="1">расчет!AX23+расчет!AX26</f>
        <v>108354666.83809419</v>
      </c>
      <c r="AV16" s="607">
        <f ca="1">расчет!AY23+расчет!AY26</f>
        <v>131713077.98294868</v>
      </c>
      <c r="AW16" s="607">
        <f ca="1">расчет!AZ23+расчет!AZ26</f>
        <v>127464269.0157568</v>
      </c>
      <c r="AX16" s="607">
        <f ca="1">расчет!BA23+расчет!BA26</f>
        <v>131713077.98294868</v>
      </c>
      <c r="AY16" s="607">
        <f ca="1">расчет!BB23+расчет!BB26</f>
        <v>114298612.74171118</v>
      </c>
      <c r="AZ16" s="607">
        <f ca="1">расчет!BC23+расчет!BC26</f>
        <v>62696160.27062434</v>
      </c>
      <c r="BA16" s="607">
        <f ca="1">расчет!BD23+расчет!BD26</f>
        <v>18343686.258718215</v>
      </c>
      <c r="BB16" s="607">
        <f ca="1">расчет!BE23+расчет!BE26</f>
        <v>5302494.8234611871</v>
      </c>
      <c r="BC16" s="607">
        <f ca="1">расчет!BF23+расчет!BF26</f>
        <v>0</v>
      </c>
      <c r="BD16" s="607">
        <f ca="1">расчет!BG23+расчет!BG26</f>
        <v>0</v>
      </c>
      <c r="BE16" s="607">
        <f ca="1">расчет!BH23+расчет!BH26</f>
        <v>0</v>
      </c>
      <c r="BF16" s="607">
        <f ca="1">расчет!BI23+расчет!BI26</f>
        <v>0</v>
      </c>
      <c r="BG16" s="607">
        <f ca="1">расчет!BJ23+расчет!BJ26</f>
        <v>0</v>
      </c>
      <c r="BH16" s="607">
        <f ca="1">расчет!BK23+расчет!BK26</f>
        <v>0</v>
      </c>
      <c r="BI16" s="607">
        <f ca="1">расчет!BL23+расчет!BL26</f>
        <v>0</v>
      </c>
      <c r="BJ16" s="607">
        <f ca="1">расчет!BM23+расчет!BM26</f>
        <v>0</v>
      </c>
      <c r="BK16" s="607">
        <f ca="1">расчет!BN23+расчет!BN26</f>
        <v>0</v>
      </c>
      <c r="BL16" s="607">
        <f ca="1">расчет!BO23+расчет!BO26</f>
        <v>0</v>
      </c>
      <c r="BM16" s="607">
        <f ca="1">расчет!BP23+расчет!BP26</f>
        <v>0</v>
      </c>
      <c r="BN16" s="607">
        <f ca="1">расчет!BQ23+расчет!BQ26</f>
        <v>0</v>
      </c>
      <c r="BO16" s="607">
        <f ca="1">расчет!BR23+расчет!BR26</f>
        <v>0</v>
      </c>
      <c r="BP16" s="607">
        <f ca="1">расчет!BS23+расчет!BS26</f>
        <v>0</v>
      </c>
      <c r="BQ16" s="607">
        <f ca="1">расчет!BT23+расчет!BT26</f>
        <v>0</v>
      </c>
      <c r="BR16" s="607">
        <f ca="1">расчет!BU23+расчет!BU26</f>
        <v>0</v>
      </c>
      <c r="BS16" s="607">
        <f ca="1">расчет!BV23+расчет!BV26</f>
        <v>0</v>
      </c>
      <c r="BT16" s="607">
        <f ca="1">расчет!BW23+расчет!BW26</f>
        <v>0</v>
      </c>
      <c r="BU16" s="607">
        <f ca="1">расчет!BX23+расчет!BX26</f>
        <v>0</v>
      </c>
      <c r="BV16" s="607">
        <f ca="1">расчет!BY23+расчет!BY26</f>
        <v>0</v>
      </c>
      <c r="BW16" s="607">
        <f ca="1">расчет!BZ23+расчет!BZ26</f>
        <v>41250514.540181324</v>
      </c>
      <c r="BX16" s="607">
        <f ca="1">расчет!CA23+расчет!CA26</f>
        <v>0</v>
      </c>
      <c r="BY16" s="607">
        <f ca="1">расчет!CB23+расчет!CB26</f>
        <v>5302494.8234611871</v>
      </c>
      <c r="BZ16" s="607">
        <f ca="1">расчет!CC23+расчет!CC26</f>
        <v>0</v>
      </c>
      <c r="CA16" s="607">
        <f ca="1">расчет!CD23+расчет!CD26</f>
        <v>0</v>
      </c>
      <c r="CB16" s="607">
        <f ca="1">расчет!CE23+расчет!CE26</f>
        <v>0</v>
      </c>
      <c r="CC16" s="607">
        <f ca="1">расчет!CF23+расчет!CF26</f>
        <v>0</v>
      </c>
      <c r="CD16" s="607">
        <f ca="1">расчет!CG23+расчет!CG26</f>
        <v>0</v>
      </c>
      <c r="CE16" s="607">
        <f ca="1">расчет!CH23+расчет!CH26</f>
        <v>0</v>
      </c>
      <c r="CF16" s="607">
        <f ca="1">расчет!CI23+расчет!CI26</f>
        <v>0</v>
      </c>
      <c r="CG16" s="607">
        <f ca="1">расчет!CJ23+расчет!CJ26</f>
        <v>0</v>
      </c>
      <c r="CH16" s="607">
        <f ca="1">расчет!CK23+расчет!CK26</f>
        <v>0</v>
      </c>
      <c r="CI16" s="607">
        <f ca="1">расчет!CL23+расчет!CL26</f>
        <v>0</v>
      </c>
      <c r="CJ16" s="607">
        <f ca="1">расчет!CM23+расчет!CM26</f>
        <v>0</v>
      </c>
      <c r="CK16" s="607">
        <f ca="1">расчет!CN23+расчет!CN26</f>
        <v>0</v>
      </c>
      <c r="CL16" s="607">
        <f ca="1">расчет!CO23+расчет!CO26</f>
        <v>0</v>
      </c>
      <c r="CM16" s="607">
        <f ca="1">расчет!CP23+расчет!CP26</f>
        <v>0</v>
      </c>
      <c r="CN16" s="607">
        <f ca="1">расчет!CQ23+расчет!CQ26</f>
        <v>0</v>
      </c>
      <c r="CO16" s="607">
        <f ca="1">расчет!CR23+расчет!CR26</f>
        <v>0</v>
      </c>
      <c r="CP16" s="607">
        <f ca="1">расчет!CS23+расчет!CS26</f>
        <v>0</v>
      </c>
      <c r="CQ16" s="607">
        <f ca="1">расчет!CT23+расчет!CT26</f>
        <v>0</v>
      </c>
      <c r="CR16" s="607">
        <f ca="1">расчет!CU23+расчет!CU26</f>
        <v>0</v>
      </c>
      <c r="CS16" s="607">
        <f ca="1">расчет!CV23+расчет!CV26</f>
        <v>0</v>
      </c>
      <c r="CT16" s="607">
        <f ca="1">расчет!CW23+расчет!CW26</f>
        <v>0</v>
      </c>
      <c r="CU16" s="607">
        <f ca="1">расчет!CX23+расчет!CX26</f>
        <v>0</v>
      </c>
      <c r="CV16" s="607">
        <f ca="1">расчет!CY23+расчет!CY26</f>
        <v>0</v>
      </c>
      <c r="CW16" s="607">
        <f ca="1">расчет!CZ23+расчет!CZ26</f>
        <v>0</v>
      </c>
      <c r="CX16" s="607">
        <f ca="1">расчет!DA23+расчет!DA26</f>
        <v>0</v>
      </c>
      <c r="CY16" s="607">
        <f ca="1">расчет!DB23+расчет!DB26</f>
        <v>0</v>
      </c>
      <c r="CZ16" s="607">
        <f ca="1">расчет!DC23+расчет!DC26</f>
        <v>0</v>
      </c>
      <c r="DA16" s="607">
        <f ca="1">расчет!DD23+расчет!DD26</f>
        <v>0</v>
      </c>
      <c r="DB16" s="607">
        <f ca="1">расчет!DE23+расчет!DE26</f>
        <v>0</v>
      </c>
      <c r="DC16" s="607">
        <f ca="1">расчет!DF23+расчет!DF26</f>
        <v>0</v>
      </c>
      <c r="DD16" s="607">
        <f ca="1">расчет!DG23+расчет!DG26</f>
        <v>0</v>
      </c>
      <c r="DE16" s="607">
        <f ca="1">расчет!DH23+расчет!DH26</f>
        <v>0</v>
      </c>
      <c r="DF16" s="607">
        <f ca="1">расчет!DI23+расчет!DI26</f>
        <v>0</v>
      </c>
      <c r="DG16" s="607">
        <f ca="1">расчет!DJ23+расчет!DJ26</f>
        <v>0</v>
      </c>
      <c r="DH16" s="607">
        <f ca="1">расчет!DK23+расчет!DK26</f>
        <v>0</v>
      </c>
      <c r="DI16" s="607">
        <f ca="1">расчет!DL23+расчет!DL26</f>
        <v>0</v>
      </c>
      <c r="DJ16" s="607">
        <f ca="1">расчет!DM23+расчет!DM26</f>
        <v>0</v>
      </c>
      <c r="DK16" s="607">
        <f ca="1">расчет!DN23+расчет!DN26</f>
        <v>0</v>
      </c>
      <c r="DL16" s="607">
        <f ca="1">расчет!DO23+расчет!DO26</f>
        <v>0</v>
      </c>
      <c r="DM16" s="607">
        <f ca="1">расчет!DP23+расчет!DP26</f>
        <v>0</v>
      </c>
      <c r="DN16" s="607">
        <f ca="1">расчет!DQ23+расчет!DQ26</f>
        <v>0</v>
      </c>
      <c r="DO16" s="607">
        <f ca="1">расчет!DR23+расчет!DR26</f>
        <v>0</v>
      </c>
      <c r="DP16" s="607">
        <f ca="1">расчет!DS23+расчет!DS26</f>
        <v>0</v>
      </c>
      <c r="DQ16" s="607">
        <f ca="1">расчет!DT23+расчет!DT26</f>
        <v>0</v>
      </c>
      <c r="DR16" s="607">
        <f ca="1">расчет!DU23+расчет!DU26</f>
        <v>0</v>
      </c>
      <c r="DS16" s="607">
        <f ca="1">расчет!DV23+расчет!DV26</f>
        <v>0</v>
      </c>
      <c r="DT16" s="607">
        <f ca="1">расчет!DW23+расчет!DW26</f>
        <v>0</v>
      </c>
      <c r="DU16" s="607">
        <f ca="1">расчет!DX23+расчет!DX26</f>
        <v>0</v>
      </c>
      <c r="DV16" s="607">
        <f ca="1">расчет!DY23+расчет!DY26</f>
        <v>0</v>
      </c>
      <c r="DW16" s="607">
        <f ca="1">расчет!DZ23+расчет!DZ26</f>
        <v>0</v>
      </c>
      <c r="DX16" s="607">
        <f ca="1">расчет!EA23+расчет!EA26</f>
        <v>0</v>
      </c>
      <c r="DY16" s="607">
        <f ca="1">расчет!EB23+расчет!EB26</f>
        <v>0</v>
      </c>
      <c r="DZ16" s="607">
        <f ca="1">расчет!EC23+расчет!EC26</f>
        <v>0</v>
      </c>
      <c r="EA16" s="607">
        <f ca="1">расчет!ED23+расчет!ED26</f>
        <v>0</v>
      </c>
      <c r="EB16" s="607">
        <f ca="1">расчет!EE23+расчет!EE26</f>
        <v>0</v>
      </c>
      <c r="EC16" s="607">
        <f ca="1">расчет!EF23+расчет!EF26</f>
        <v>0</v>
      </c>
      <c r="ED16" s="607">
        <f ca="1">расчет!EG23+расчет!EG26</f>
        <v>0</v>
      </c>
      <c r="EE16" s="607">
        <f ca="1">расчет!EH23+расчет!EH26</f>
        <v>0</v>
      </c>
      <c r="EF16" s="607">
        <f ca="1">расчет!EI23+расчет!EI26</f>
        <v>0</v>
      </c>
      <c r="EG16" s="607">
        <f>расчет!EJ23+расчет!EJ26</f>
        <v>0</v>
      </c>
      <c r="EH16" s="332"/>
    </row>
    <row r="17" spans="1:138" s="321" customFormat="1" outlineLevel="1">
      <c r="A17" s="305" t="s">
        <v>1502</v>
      </c>
      <c r="B17" s="319" t="s">
        <v>1065</v>
      </c>
      <c r="C17" s="618">
        <f t="shared" ca="1" si="8"/>
        <v>915162.71186440671</v>
      </c>
      <c r="D17" s="607">
        <f>расчет!G24</f>
        <v>0</v>
      </c>
      <c r="E17" s="607">
        <f ca="1">расчет!H24</f>
        <v>0</v>
      </c>
      <c r="F17" s="607">
        <f ca="1">расчет!I24</f>
        <v>0</v>
      </c>
      <c r="G17" s="607">
        <f ca="1">расчет!J24</f>
        <v>0</v>
      </c>
      <c r="H17" s="607">
        <f ca="1">расчет!K24</f>
        <v>0</v>
      </c>
      <c r="I17" s="607">
        <f ca="1">расчет!L24</f>
        <v>0</v>
      </c>
      <c r="J17" s="607">
        <f ca="1">расчет!M24</f>
        <v>0</v>
      </c>
      <c r="K17" s="607">
        <f ca="1">расчет!N24</f>
        <v>0</v>
      </c>
      <c r="L17" s="607">
        <f ca="1">расчет!O24</f>
        <v>0</v>
      </c>
      <c r="M17" s="607">
        <f ca="1">расчет!P24</f>
        <v>0</v>
      </c>
      <c r="N17" s="607">
        <f ca="1">расчет!Q24</f>
        <v>0</v>
      </c>
      <c r="O17" s="607">
        <f ca="1">расчет!R24</f>
        <v>0</v>
      </c>
      <c r="P17" s="607">
        <f ca="1">расчет!S24</f>
        <v>0</v>
      </c>
      <c r="Q17" s="607">
        <f ca="1">расчет!T24</f>
        <v>0</v>
      </c>
      <c r="R17" s="607">
        <f ca="1">расчет!U24</f>
        <v>0</v>
      </c>
      <c r="S17" s="607">
        <f ca="1">расчет!V24</f>
        <v>0</v>
      </c>
      <c r="T17" s="607">
        <f ca="1">расчет!W24</f>
        <v>0</v>
      </c>
      <c r="U17" s="607">
        <f ca="1">расчет!X24</f>
        <v>0</v>
      </c>
      <c r="V17" s="607">
        <f ca="1">расчет!Y24</f>
        <v>0</v>
      </c>
      <c r="W17" s="607">
        <f ca="1">расчет!Z24</f>
        <v>0</v>
      </c>
      <c r="X17" s="607">
        <f ca="1">расчет!AA24</f>
        <v>0</v>
      </c>
      <c r="Y17" s="607">
        <f ca="1">расчет!AB24</f>
        <v>0</v>
      </c>
      <c r="Z17" s="607">
        <f ca="1">расчет!AC24</f>
        <v>0</v>
      </c>
      <c r="AA17" s="607">
        <f ca="1">расчет!AD24</f>
        <v>0</v>
      </c>
      <c r="AB17" s="607">
        <f ca="1">расчет!AE24</f>
        <v>0</v>
      </c>
      <c r="AC17" s="607">
        <f ca="1">расчет!AF24</f>
        <v>0</v>
      </c>
      <c r="AD17" s="607">
        <f ca="1">расчет!AG24</f>
        <v>0</v>
      </c>
      <c r="AE17" s="607">
        <f ca="1">расчет!AH24</f>
        <v>0</v>
      </c>
      <c r="AF17" s="607">
        <f ca="1">расчет!AI24</f>
        <v>0</v>
      </c>
      <c r="AG17" s="607">
        <f ca="1">расчет!AJ24</f>
        <v>0</v>
      </c>
      <c r="AH17" s="607">
        <f ca="1">расчет!AK24</f>
        <v>0</v>
      </c>
      <c r="AI17" s="607">
        <f ca="1">расчет!AL24</f>
        <v>0</v>
      </c>
      <c r="AJ17" s="607">
        <f ca="1">расчет!AM24</f>
        <v>0</v>
      </c>
      <c r="AK17" s="607">
        <f ca="1">расчет!AN24</f>
        <v>137274.40677966099</v>
      </c>
      <c r="AL17" s="607">
        <f ca="1">расчет!AO24</f>
        <v>0</v>
      </c>
      <c r="AM17" s="607">
        <f ca="1">расчет!AP24</f>
        <v>36703.09556817673</v>
      </c>
      <c r="AN17" s="607">
        <f ca="1">расчет!AQ24</f>
        <v>54088.772416260443</v>
      </c>
      <c r="AO17" s="607">
        <f ca="1">расчет!AR24</f>
        <v>59883.998032288349</v>
      </c>
      <c r="AP17" s="607">
        <f ca="1">расчет!AS24</f>
        <v>57952.256160279052</v>
      </c>
      <c r="AQ17" s="607">
        <f ca="1">расчет!AT24</f>
        <v>59883.998032288349</v>
      </c>
      <c r="AR17" s="607">
        <f ca="1">расчет!AU24</f>
        <v>57952.256160279052</v>
      </c>
      <c r="AS17" s="607">
        <f ca="1">расчет!AV24</f>
        <v>59883.998032288349</v>
      </c>
      <c r="AT17" s="607">
        <f ca="1">расчет!AW24</f>
        <v>59883.998032288349</v>
      </c>
      <c r="AU17" s="607">
        <f ca="1">расчет!AX24</f>
        <v>57952.256160279052</v>
      </c>
      <c r="AV17" s="607">
        <f ca="1">расчет!AY24</f>
        <v>59883.998032288349</v>
      </c>
      <c r="AW17" s="607">
        <f ca="1">расчет!AZ24</f>
        <v>57952.256160279052</v>
      </c>
      <c r="AX17" s="607">
        <f ca="1">расчет!BA24</f>
        <v>59883.998032288349</v>
      </c>
      <c r="AY17" s="607">
        <f ca="1">расчет!BB24</f>
        <v>50225.288672241841</v>
      </c>
      <c r="AZ17" s="607">
        <f ca="1">расчет!BC24</f>
        <v>22879.067796610165</v>
      </c>
      <c r="BA17" s="607">
        <f ca="1">расчет!BD24</f>
        <v>0</v>
      </c>
      <c r="BB17" s="607">
        <f ca="1">расчет!BE24</f>
        <v>0</v>
      </c>
      <c r="BC17" s="607">
        <f ca="1">расчет!BF24</f>
        <v>0</v>
      </c>
      <c r="BD17" s="607">
        <f ca="1">расчет!BG24</f>
        <v>0</v>
      </c>
      <c r="BE17" s="607">
        <f ca="1">расчет!BH24</f>
        <v>0</v>
      </c>
      <c r="BF17" s="607">
        <f ca="1">расчет!BI24</f>
        <v>0</v>
      </c>
      <c r="BG17" s="607">
        <f ca="1">расчет!BJ24</f>
        <v>0</v>
      </c>
      <c r="BH17" s="607">
        <f ca="1">расчет!BK24</f>
        <v>0</v>
      </c>
      <c r="BI17" s="607">
        <f ca="1">расчет!BL24</f>
        <v>0</v>
      </c>
      <c r="BJ17" s="607">
        <f ca="1">расчет!BM24</f>
        <v>0</v>
      </c>
      <c r="BK17" s="607">
        <f ca="1">расчет!BN24</f>
        <v>0</v>
      </c>
      <c r="BL17" s="607">
        <f ca="1">расчет!BO24</f>
        <v>0</v>
      </c>
      <c r="BM17" s="607">
        <f ca="1">расчет!BP24</f>
        <v>0</v>
      </c>
      <c r="BN17" s="607">
        <f ca="1">расчет!BQ24</f>
        <v>0</v>
      </c>
      <c r="BO17" s="607">
        <f ca="1">расчет!BR24</f>
        <v>0</v>
      </c>
      <c r="BP17" s="607">
        <f ca="1">расчет!BS24</f>
        <v>0</v>
      </c>
      <c r="BQ17" s="607">
        <f ca="1">расчет!BT24</f>
        <v>0</v>
      </c>
      <c r="BR17" s="607">
        <f ca="1">расчет!BU24</f>
        <v>0</v>
      </c>
      <c r="BS17" s="607">
        <f ca="1">расчет!BV24</f>
        <v>0</v>
      </c>
      <c r="BT17" s="607">
        <f ca="1">расчет!BW24</f>
        <v>0</v>
      </c>
      <c r="BU17" s="607">
        <f ca="1">расчет!BX24</f>
        <v>0</v>
      </c>
      <c r="BV17" s="607">
        <f ca="1">расчет!BY24</f>
        <v>0</v>
      </c>
      <c r="BW17" s="607">
        <f ca="1">расчет!BZ24</f>
        <v>22879.067796610165</v>
      </c>
      <c r="BX17" s="607">
        <f ca="1">расчет!CA24</f>
        <v>0</v>
      </c>
      <c r="BY17" s="607">
        <f ca="1">расчет!CB24</f>
        <v>0</v>
      </c>
      <c r="BZ17" s="607">
        <f ca="1">расчет!CC24</f>
        <v>0</v>
      </c>
      <c r="CA17" s="607">
        <f ca="1">расчет!CD24</f>
        <v>0</v>
      </c>
      <c r="CB17" s="607">
        <f ca="1">расчет!CE24</f>
        <v>0</v>
      </c>
      <c r="CC17" s="607">
        <f ca="1">расчет!CF24</f>
        <v>0</v>
      </c>
      <c r="CD17" s="607">
        <f ca="1">расчет!CG24</f>
        <v>0</v>
      </c>
      <c r="CE17" s="607">
        <f ca="1">расчет!CH24</f>
        <v>0</v>
      </c>
      <c r="CF17" s="607">
        <f ca="1">расчет!CI24</f>
        <v>0</v>
      </c>
      <c r="CG17" s="607">
        <f ca="1">расчет!CJ24</f>
        <v>0</v>
      </c>
      <c r="CH17" s="607">
        <f ca="1">расчет!CK24</f>
        <v>0</v>
      </c>
      <c r="CI17" s="607">
        <f ca="1">расчет!CL24</f>
        <v>0</v>
      </c>
      <c r="CJ17" s="607">
        <f ca="1">расчет!CM24</f>
        <v>0</v>
      </c>
      <c r="CK17" s="607">
        <f ca="1">расчет!CN24</f>
        <v>0</v>
      </c>
      <c r="CL17" s="607">
        <f ca="1">расчет!CO24</f>
        <v>0</v>
      </c>
      <c r="CM17" s="607">
        <f ca="1">расчет!CP24</f>
        <v>0</v>
      </c>
      <c r="CN17" s="607">
        <f ca="1">расчет!CQ24</f>
        <v>0</v>
      </c>
      <c r="CO17" s="607">
        <f ca="1">расчет!CR24</f>
        <v>0</v>
      </c>
      <c r="CP17" s="607">
        <f ca="1">расчет!CS24</f>
        <v>0</v>
      </c>
      <c r="CQ17" s="607">
        <f ca="1">расчет!CT24</f>
        <v>0</v>
      </c>
      <c r="CR17" s="607">
        <f ca="1">расчет!CU24</f>
        <v>0</v>
      </c>
      <c r="CS17" s="607">
        <f ca="1">расчет!CV24</f>
        <v>0</v>
      </c>
      <c r="CT17" s="607">
        <f ca="1">расчет!CW24</f>
        <v>0</v>
      </c>
      <c r="CU17" s="607">
        <f ca="1">расчет!CX24</f>
        <v>0</v>
      </c>
      <c r="CV17" s="607">
        <f ca="1">расчет!CY24</f>
        <v>0</v>
      </c>
      <c r="CW17" s="607">
        <f ca="1">расчет!CZ24</f>
        <v>0</v>
      </c>
      <c r="CX17" s="607">
        <f ca="1">расчет!DA24</f>
        <v>0</v>
      </c>
      <c r="CY17" s="607">
        <f ca="1">расчет!DB24</f>
        <v>0</v>
      </c>
      <c r="CZ17" s="607">
        <f ca="1">расчет!DC24</f>
        <v>0</v>
      </c>
      <c r="DA17" s="607">
        <f ca="1">расчет!DD24</f>
        <v>0</v>
      </c>
      <c r="DB17" s="607">
        <f ca="1">расчет!DE24</f>
        <v>0</v>
      </c>
      <c r="DC17" s="607">
        <f ca="1">расчет!DF24</f>
        <v>0</v>
      </c>
      <c r="DD17" s="607">
        <f ca="1">расчет!DG24</f>
        <v>0</v>
      </c>
      <c r="DE17" s="607">
        <f ca="1">расчет!DH24</f>
        <v>0</v>
      </c>
      <c r="DF17" s="607">
        <f ca="1">расчет!DI24</f>
        <v>0</v>
      </c>
      <c r="DG17" s="607">
        <f ca="1">расчет!DJ24</f>
        <v>0</v>
      </c>
      <c r="DH17" s="607">
        <f ca="1">расчет!DK24</f>
        <v>0</v>
      </c>
      <c r="DI17" s="607">
        <f ca="1">расчет!DL24</f>
        <v>0</v>
      </c>
      <c r="DJ17" s="607">
        <f ca="1">расчет!DM24</f>
        <v>0</v>
      </c>
      <c r="DK17" s="607">
        <f ca="1">расчет!DN24</f>
        <v>0</v>
      </c>
      <c r="DL17" s="607">
        <f ca="1">расчет!DO24</f>
        <v>0</v>
      </c>
      <c r="DM17" s="607">
        <f ca="1">расчет!DP24</f>
        <v>0</v>
      </c>
      <c r="DN17" s="607">
        <f ca="1">расчет!DQ24</f>
        <v>0</v>
      </c>
      <c r="DO17" s="607">
        <f ca="1">расчет!DR24</f>
        <v>0</v>
      </c>
      <c r="DP17" s="607">
        <f ca="1">расчет!DS24</f>
        <v>0</v>
      </c>
      <c r="DQ17" s="607">
        <f ca="1">расчет!DT24</f>
        <v>0</v>
      </c>
      <c r="DR17" s="607">
        <f ca="1">расчет!DU24</f>
        <v>0</v>
      </c>
      <c r="DS17" s="607">
        <f ca="1">расчет!DV24</f>
        <v>0</v>
      </c>
      <c r="DT17" s="607">
        <f ca="1">расчет!DW24</f>
        <v>0</v>
      </c>
      <c r="DU17" s="607">
        <f ca="1">расчет!DX24</f>
        <v>0</v>
      </c>
      <c r="DV17" s="607">
        <f ca="1">расчет!DY24</f>
        <v>0</v>
      </c>
      <c r="DW17" s="607">
        <f ca="1">расчет!DZ24</f>
        <v>0</v>
      </c>
      <c r="DX17" s="607">
        <f ca="1">расчет!EA24</f>
        <v>0</v>
      </c>
      <c r="DY17" s="607">
        <f ca="1">расчет!EB24</f>
        <v>0</v>
      </c>
      <c r="DZ17" s="607">
        <f ca="1">расчет!EC24</f>
        <v>0</v>
      </c>
      <c r="EA17" s="607">
        <f ca="1">расчет!ED24</f>
        <v>0</v>
      </c>
      <c r="EB17" s="607">
        <f ca="1">расчет!EE24</f>
        <v>0</v>
      </c>
      <c r="EC17" s="607">
        <f ca="1">расчет!EF24</f>
        <v>0</v>
      </c>
      <c r="ED17" s="607">
        <f ca="1">расчет!EG24</f>
        <v>0</v>
      </c>
      <c r="EE17" s="607">
        <f ca="1">расчет!EH24</f>
        <v>0</v>
      </c>
      <c r="EF17" s="607">
        <f ca="1">расчет!EI24</f>
        <v>0</v>
      </c>
      <c r="EG17" s="607">
        <f>расчет!EJ24</f>
        <v>0</v>
      </c>
      <c r="EH17" s="332"/>
    </row>
    <row r="18" spans="1:138" s="321" customFormat="1" ht="15.75" outlineLevel="1">
      <c r="A18" s="305" t="s">
        <v>1493</v>
      </c>
      <c r="B18" s="319" t="s">
        <v>1072</v>
      </c>
      <c r="C18" s="618">
        <f t="shared" ca="1" si="8"/>
        <v>123709583.76372819</v>
      </c>
      <c r="D18" s="607">
        <f>расчет!G27+расчет!G28+расчет!G29+расчет!G30+расчет!G31+расчет!G32</f>
        <v>0</v>
      </c>
      <c r="E18" s="607">
        <f ca="1">расчет!H27+расчет!H28+расчет!H29+расчет!H30+расчет!H31+расчет!H32</f>
        <v>0</v>
      </c>
      <c r="F18" s="607">
        <f ca="1">расчет!I27+расчет!I28+расчет!I29+расчет!I30+расчет!I31+расчет!I32</f>
        <v>0</v>
      </c>
      <c r="G18" s="607">
        <f ca="1">расчет!J27+расчет!J28+расчет!J29+расчет!J30+расчет!J31+расчет!J32</f>
        <v>0</v>
      </c>
      <c r="H18" s="607">
        <f ca="1">расчет!K27+расчет!K28+расчет!K29+расчет!K30+расчет!K31+расчет!K32</f>
        <v>0</v>
      </c>
      <c r="I18" s="607">
        <f ca="1">расчет!L27+расчет!L28+расчет!L29+расчет!L30+расчет!L31+расчет!L32</f>
        <v>0</v>
      </c>
      <c r="J18" s="607">
        <f ca="1">расчет!M27+расчет!M28+расчет!M29+расчет!M30+расчет!M31+расчет!M32</f>
        <v>0</v>
      </c>
      <c r="K18" s="607">
        <f ca="1">расчет!N27+расчет!N28+расчет!N29+расчет!N30+расчет!N31+расчет!N32</f>
        <v>0</v>
      </c>
      <c r="L18" s="607">
        <f ca="1">расчет!O27+расчет!O28+расчет!O29+расчет!O30+расчет!O31+расчет!O32</f>
        <v>0</v>
      </c>
      <c r="M18" s="607">
        <f ca="1">расчет!P27+расчет!P28+расчет!P29+расчет!P30+расчет!P31+расчет!P32</f>
        <v>0</v>
      </c>
      <c r="N18" s="607">
        <f ca="1">расчет!Q27+расчет!Q28+расчет!Q29+расчет!Q30+расчет!Q31+расчет!Q32</f>
        <v>0</v>
      </c>
      <c r="O18" s="607">
        <f ca="1">расчет!R27+расчет!R28+расчет!R29+расчет!R30+расчет!R31+расчет!R32</f>
        <v>0</v>
      </c>
      <c r="P18" s="607">
        <f ca="1">расчет!S27+расчет!S28+расчет!S29+расчет!S30+расчет!S31+расчет!S32</f>
        <v>0</v>
      </c>
      <c r="Q18" s="607">
        <f ca="1">расчет!T27+расчет!T28+расчет!T29+расчет!T30+расчет!T31+расчет!T32</f>
        <v>0</v>
      </c>
      <c r="R18" s="607">
        <f ca="1">расчет!U27+расчет!U28+расчет!U29+расчет!U30+расчет!U31+расчет!U32</f>
        <v>0</v>
      </c>
      <c r="S18" s="607">
        <f ca="1">расчет!V27+расчет!V28+расчет!V29+расчет!V30+расчет!V31+расчет!V32</f>
        <v>0</v>
      </c>
      <c r="T18" s="607">
        <f ca="1">расчет!W27+расчет!W28+расчет!W29+расчет!W30+расчет!W31+расчет!W32</f>
        <v>0</v>
      </c>
      <c r="U18" s="607">
        <f ca="1">расчет!X27+расчет!X28+расчет!X29+расчет!X30+расчет!X31+расчет!X32</f>
        <v>0</v>
      </c>
      <c r="V18" s="607">
        <f ca="1">расчет!Y27+расчет!Y28+расчет!Y29+расчет!Y30+расчет!Y31+расчет!Y32</f>
        <v>0</v>
      </c>
      <c r="W18" s="607">
        <f ca="1">расчет!Z27+расчет!Z28+расчет!Z29+расчет!Z30+расчет!Z31+расчет!Z32</f>
        <v>0</v>
      </c>
      <c r="X18" s="607">
        <f ca="1">расчет!AA27+расчет!AA28+расчет!AA29+расчет!AA30+расчет!AA31+расчет!AA32</f>
        <v>0</v>
      </c>
      <c r="Y18" s="607">
        <f ca="1">расчет!AB27+расчет!AB28+расчет!AB29+расчет!AB30+расчет!AB31+расчет!AB32</f>
        <v>0</v>
      </c>
      <c r="Z18" s="607">
        <f ca="1">расчет!AC27+расчет!AC28+расчет!AC29+расчет!AC30+расчет!AC31+расчет!AC32</f>
        <v>0</v>
      </c>
      <c r="AA18" s="607">
        <f ca="1">расчет!AD27+расчет!AD28+расчет!AD29+расчет!AD30+расчет!AD31+расчет!AD32</f>
        <v>0</v>
      </c>
      <c r="AB18" s="607">
        <f ca="1">расчет!AE27+расчет!AE28+расчет!AE29+расчет!AE30+расчет!AE31+расчет!AE32</f>
        <v>0</v>
      </c>
      <c r="AC18" s="607">
        <f ca="1">расчет!AF27+расчет!AF28+расчет!AF29+расчет!AF30+расчет!AF31+расчет!AF32</f>
        <v>0</v>
      </c>
      <c r="AD18" s="607">
        <f ca="1">расчет!AG27+расчет!AG28+расчет!AG29+расчет!AG30+расчет!AG31+расчет!AG32</f>
        <v>0</v>
      </c>
      <c r="AE18" s="607">
        <f ca="1">расчет!AH27+расчет!AH28+расчет!AH29+расчет!AH30+расчет!AH31+расчет!AH32</f>
        <v>0</v>
      </c>
      <c r="AF18" s="607">
        <f ca="1">расчет!AI27+расчет!AI28+расчет!AI29+расчет!AI30+расчет!AI31+расчет!AI32</f>
        <v>0</v>
      </c>
      <c r="AG18" s="607">
        <f ca="1">расчет!AJ27+расчет!AJ28+расчет!AJ29+расчет!AJ30+расчет!AJ31+расчет!AJ32</f>
        <v>0</v>
      </c>
      <c r="AH18" s="607">
        <f ca="1">расчет!AK27+расчет!AK28+расчет!AK29+расчет!AK30+расчет!AK31+расчет!AK32</f>
        <v>0</v>
      </c>
      <c r="AI18" s="607">
        <f ca="1">расчет!AL27+расчет!AL28+расчет!AL29+расчет!AL30+расчет!AL31+расчет!AL32</f>
        <v>0</v>
      </c>
      <c r="AJ18" s="607">
        <f ca="1">расчет!AM27+расчет!AM28+расчет!AM29+расчет!AM30+расчет!AM31+расчет!AM32</f>
        <v>0</v>
      </c>
      <c r="AK18" s="607">
        <f ca="1">расчет!AN27+расчет!AN28+расчет!AN29+расчет!AN30+расчет!AN31+расчет!AN32</f>
        <v>0</v>
      </c>
      <c r="AL18" s="607">
        <f ca="1">расчет!AO27+расчет!AO28+расчет!AO29+расчет!AO30+расчет!AO31+расчет!AO32</f>
        <v>0</v>
      </c>
      <c r="AM18" s="607">
        <f ca="1">расчет!AP27+расчет!AP28+расчет!AP29+расчет!AP30+расчет!AP31+расчет!AP32</f>
        <v>0</v>
      </c>
      <c r="AN18" s="607">
        <f ca="1">расчет!AQ27+расчет!AQ28+расчет!AQ29+расчет!AQ30+расчет!AQ31+расчет!AQ32</f>
        <v>0</v>
      </c>
      <c r="AO18" s="607">
        <f ca="1">расчет!AR27+расчет!AR28+расчет!AR29+расчет!AR30+расчет!AR31+расчет!AR32</f>
        <v>0</v>
      </c>
      <c r="AP18" s="607">
        <f ca="1">расчет!AS27+расчет!AS28+расчет!AS29+расчет!AS30+расчет!AS31+расчет!AS32</f>
        <v>0</v>
      </c>
      <c r="AQ18" s="607">
        <f ca="1">расчет!AT27+расчет!AT28+расчет!AT29+расчет!AT30+расчет!AT31+расчет!AT32</f>
        <v>0</v>
      </c>
      <c r="AR18" s="607">
        <f ca="1">расчет!AU27+расчет!AU28+расчет!AU29+расчет!AU30+расчет!AU31+расчет!AU32</f>
        <v>0</v>
      </c>
      <c r="AS18" s="607">
        <f ca="1">расчет!AV27+расчет!AV28+расчет!AV29+расчет!AV30+расчет!AV31+расчет!AV32</f>
        <v>0</v>
      </c>
      <c r="AT18" s="607">
        <f ca="1">расчет!AW27+расчет!AW28+расчет!AW29+расчет!AW30+расчет!AW31+расчет!AW32</f>
        <v>0</v>
      </c>
      <c r="AU18" s="607">
        <f ca="1">расчет!AX27+расчет!AX28+расчет!AX29+расчет!AX30+расчет!AX31+расчет!AX32</f>
        <v>0</v>
      </c>
      <c r="AV18" s="607">
        <f ca="1">расчет!AY27+расчет!AY28+расчет!AY29+расчет!AY30+расчет!AY31+расчет!AY32</f>
        <v>0</v>
      </c>
      <c r="AW18" s="607">
        <f ca="1">расчет!AZ27+расчет!AZ28+расчет!AZ29+расчет!AZ30+расчет!AZ31+расчет!AZ32</f>
        <v>12370958.376372816</v>
      </c>
      <c r="AX18" s="607">
        <f ca="1">расчет!BA27+расчет!BA28+расчет!BA29+расчет!BA30+расчет!BA31+расчет!BA32</f>
        <v>0</v>
      </c>
      <c r="AY18" s="607">
        <f ca="1">расчет!BB27+расчет!BB28+расчет!BB29+расчет!BB30+расчет!BB31+расчет!BB32</f>
        <v>5274583.6254646694</v>
      </c>
      <c r="AZ18" s="607">
        <f ca="1">расчет!BC27+расчет!BC28+расчет!BC29+расчет!BC30+расчет!BC31+расчет!BC32</f>
        <v>29537668.30260215</v>
      </c>
      <c r="BA18" s="607">
        <f ca="1">расчет!BD27+расчет!BD28+расчет!BD29+расчет!BD30+расчет!BD31+расчет!BD32</f>
        <v>32702418.477880947</v>
      </c>
      <c r="BB18" s="607">
        <f ca="1">расчет!BE27+расчет!BE28+расчет!BE29+расчет!BE30+расчет!BE31+расчет!BE32</f>
        <v>23027620.586644839</v>
      </c>
      <c r="BC18" s="607">
        <f ca="1">расчет!BF27+расчет!BF28+расчет!BF29+расчет!BF30+расчет!BF31+расчет!BF32</f>
        <v>15350305.796809204</v>
      </c>
      <c r="BD18" s="607">
        <f ca="1">расчет!BG27+расчет!BG28+расчет!BG29+расчет!BG30+расчет!BG31+расчет!BG32</f>
        <v>2353289.0038603335</v>
      </c>
      <c r="BE18" s="607">
        <f ca="1">расчет!BH27+расчет!BH28+расчет!BH29+расчет!BH30+расчет!BH31+расчет!BH32</f>
        <v>0</v>
      </c>
      <c r="BF18" s="607">
        <f ca="1">расчет!BI27+расчет!BI28+расчет!BI29+расчет!BI30+расчет!BI31+расчет!BI32</f>
        <v>0</v>
      </c>
      <c r="BG18" s="607">
        <f ca="1">расчет!BJ27+расчет!BJ28+расчет!BJ29+расчет!BJ30+расчет!BJ31+расчет!BJ32</f>
        <v>0</v>
      </c>
      <c r="BH18" s="607">
        <f ca="1">расчет!BK27+расчет!BK28+расчет!BK29+расчет!BK30+расчет!BK31+расчет!BK32</f>
        <v>0</v>
      </c>
      <c r="BI18" s="607">
        <f ca="1">расчет!BL27+расчет!BL28+расчет!BL29+расчет!BL30+расчет!BL31+расчет!BL32</f>
        <v>0</v>
      </c>
      <c r="BJ18" s="607">
        <f ca="1">расчет!BM27+расчет!BM28+расчет!BM29+расчет!BM30+расчет!BM31+расчет!BM32</f>
        <v>0</v>
      </c>
      <c r="BK18" s="607">
        <f ca="1">расчет!BN27+расчет!BN28+расчет!BN29+расчет!BN30+расчет!BN31+расчет!BN32</f>
        <v>0</v>
      </c>
      <c r="BL18" s="607">
        <f ca="1">расчет!BO27+расчет!BO28+расчет!BO29+расчет!BO30+расчет!BO31+расчет!BO32</f>
        <v>0</v>
      </c>
      <c r="BM18" s="607">
        <f ca="1">расчет!BP27+расчет!BP28+расчет!BP29+расчет!BP30+расчет!BP31+расчет!BP32</f>
        <v>0</v>
      </c>
      <c r="BN18" s="607">
        <f ca="1">расчет!BQ27+расчет!BQ28+расчет!BQ29+расчет!BQ30+расчет!BQ31+расчет!BQ32</f>
        <v>0</v>
      </c>
      <c r="BO18" s="607">
        <f ca="1">расчет!BR27+расчет!BR28+расчет!BR29+расчет!BR30+расчет!BR31+расчет!BR32</f>
        <v>0</v>
      </c>
      <c r="BP18" s="607">
        <f ca="1">расчет!BS27+расчет!BS28+расчет!BS29+расчет!BS30+расчет!BS31+расчет!BS32</f>
        <v>0</v>
      </c>
      <c r="BQ18" s="607">
        <f ca="1">расчет!BT27+расчет!BT28+расчет!BT29+расчет!BT30+расчет!BT31+расчет!BT32</f>
        <v>0</v>
      </c>
      <c r="BR18" s="607">
        <f ca="1">расчет!BU27+расчет!BU28+расчет!BU29+расчет!BU30+расчет!BU31+расчет!BU32</f>
        <v>0</v>
      </c>
      <c r="BS18" s="607">
        <f ca="1">расчет!BV27+расчет!BV28+расчет!BV29+расчет!BV30+расчет!BV31+расчет!BV32</f>
        <v>0</v>
      </c>
      <c r="BT18" s="607">
        <f ca="1">расчет!BW27+расчет!BW28+расчет!BW29+расчет!BW30+расчет!BW31+расчет!BW32</f>
        <v>0</v>
      </c>
      <c r="BU18" s="607">
        <f ca="1">расчет!BX27+расчет!BX28+расчет!BX29+расчет!BX30+расчет!BX31+расчет!BX32</f>
        <v>0</v>
      </c>
      <c r="BV18" s="607">
        <f ca="1">расчет!BY27+расчет!BY28+расчет!BY29+расчет!BY30+расчет!BY31+расчет!BY32</f>
        <v>0</v>
      </c>
      <c r="BW18" s="607">
        <f ca="1">расчет!BZ27+расчет!BZ28+расчет!BZ29+расчет!BZ30+расчет!BZ31+расчет!BZ32</f>
        <v>0</v>
      </c>
      <c r="BX18" s="607">
        <f ca="1">расчет!CA27+расчет!CA28+расчет!CA29+расчет!CA30+расчет!CA31+расчет!CA32</f>
        <v>0</v>
      </c>
      <c r="BY18" s="607">
        <f ca="1">расчет!CB27+расчет!CB28+расчет!CB29+расчет!CB30+расчет!CB31+расчет!CB32</f>
        <v>0</v>
      </c>
      <c r="BZ18" s="607">
        <f ca="1">расчет!CC27+расчет!CC28+расчет!CC29+расчет!CC30+расчет!CC31+расчет!CC32</f>
        <v>739450.59023287054</v>
      </c>
      <c r="CA18" s="607">
        <f ca="1">расчет!CD27+расчет!CD28+расчет!CD29+расчет!CD30+расчет!CD31+расчет!CD32</f>
        <v>2353289.0038603335</v>
      </c>
      <c r="CB18" s="607">
        <f ca="1">расчет!CE27+расчет!CE28+расчет!CE29+расчет!CE30+расчет!CE31+расчет!CE32</f>
        <v>0</v>
      </c>
      <c r="CC18" s="607">
        <f ca="1">расчет!CF27+расчет!CF28+расчет!CF29+расчет!CF30+расчет!CF31+расчет!CF32</f>
        <v>0</v>
      </c>
      <c r="CD18" s="607">
        <f ca="1">расчет!CG27+расчет!CG28+расчет!CG29+расчет!CG30+расчет!CG31+расчет!CG32</f>
        <v>0</v>
      </c>
      <c r="CE18" s="607">
        <f ca="1">расчет!CH27+расчет!CH28+расчет!CH29+расчет!CH30+расчет!CH31+расчет!CH32</f>
        <v>0</v>
      </c>
      <c r="CF18" s="607">
        <f ca="1">расчет!CI27+расчет!CI28+расчет!CI29+расчет!CI30+расчет!CI31+расчет!CI32</f>
        <v>0</v>
      </c>
      <c r="CG18" s="607">
        <f ca="1">расчет!CJ27+расчет!CJ28+расчет!CJ29+расчет!CJ30+расчет!CJ31+расчет!CJ32</f>
        <v>0</v>
      </c>
      <c r="CH18" s="607">
        <f ca="1">расчет!CK27+расчет!CK28+расчет!CK29+расчет!CK30+расчет!CK31+расчет!CK32</f>
        <v>0</v>
      </c>
      <c r="CI18" s="607">
        <f ca="1">расчет!CL27+расчет!CL28+расчет!CL29+расчет!CL30+расчет!CL31+расчет!CL32</f>
        <v>0</v>
      </c>
      <c r="CJ18" s="607">
        <f ca="1">расчет!CM27+расчет!CM28+расчет!CM29+расчет!CM30+расчет!CM31+расчет!CM32</f>
        <v>0</v>
      </c>
      <c r="CK18" s="607">
        <f ca="1">расчет!CN27+расчет!CN28+расчет!CN29+расчет!CN30+расчет!CN31+расчет!CN32</f>
        <v>0</v>
      </c>
      <c r="CL18" s="607">
        <f ca="1">расчет!CO27+расчет!CO28+расчет!CO29+расчет!CO30+расчет!CO31+расчет!CO32</f>
        <v>0</v>
      </c>
      <c r="CM18" s="607">
        <f ca="1">расчет!CP27+расчет!CP28+расчет!CP29+расчет!CP30+расчет!CP31+расчет!CP32</f>
        <v>0</v>
      </c>
      <c r="CN18" s="607">
        <f ca="1">расчет!CQ27+расчет!CQ28+расчет!CQ29+расчет!CQ30+расчет!CQ31+расчет!CQ32</f>
        <v>0</v>
      </c>
      <c r="CO18" s="607">
        <f ca="1">расчет!CR27+расчет!CR28+расчет!CR29+расчет!CR30+расчет!CR31+расчет!CR32</f>
        <v>0</v>
      </c>
      <c r="CP18" s="607">
        <f ca="1">расчет!CS27+расчет!CS28+расчет!CS29+расчет!CS30+расчет!CS31+расчет!CS32</f>
        <v>0</v>
      </c>
      <c r="CQ18" s="607">
        <f ca="1">расчет!CT27+расчет!CT28+расчет!CT29+расчет!CT30+расчет!CT31+расчет!CT32</f>
        <v>0</v>
      </c>
      <c r="CR18" s="607">
        <f ca="1">расчет!CU27+расчет!CU28+расчет!CU29+расчет!CU30+расчет!CU31+расчет!CU32</f>
        <v>0</v>
      </c>
      <c r="CS18" s="607">
        <f ca="1">расчет!CV27+расчет!CV28+расчет!CV29+расчет!CV30+расчет!CV31+расчет!CV32</f>
        <v>0</v>
      </c>
      <c r="CT18" s="607">
        <f ca="1">расчет!CW27+расчет!CW28+расчет!CW29+расчет!CW30+расчет!CW31+расчет!CW32</f>
        <v>0</v>
      </c>
      <c r="CU18" s="607">
        <f ca="1">расчет!CX27+расчет!CX28+расчет!CX29+расчет!CX30+расчет!CX31+расчет!CX32</f>
        <v>0</v>
      </c>
      <c r="CV18" s="607">
        <f ca="1">расчет!CY27+расчет!CY28+расчет!CY29+расчет!CY30+расчет!CY31+расчет!CY32</f>
        <v>0</v>
      </c>
      <c r="CW18" s="607">
        <f ca="1">расчет!CZ27+расчет!CZ28+расчет!CZ29+расчет!CZ30+расчет!CZ31+расчет!CZ32</f>
        <v>0</v>
      </c>
      <c r="CX18" s="607">
        <f ca="1">расчет!DA27+расчет!DA28+расчет!DA29+расчет!DA30+расчет!DA31+расчет!DA32</f>
        <v>0</v>
      </c>
      <c r="CY18" s="607">
        <f ca="1">расчет!DB27+расчет!DB28+расчет!DB29+расчет!DB30+расчет!DB31+расчет!DB32</f>
        <v>0</v>
      </c>
      <c r="CZ18" s="607">
        <f ca="1">расчет!DC27+расчет!DC28+расчет!DC29+расчет!DC30+расчет!DC31+расчет!DC32</f>
        <v>0</v>
      </c>
      <c r="DA18" s="607">
        <f ca="1">расчет!DD27+расчет!DD28+расчет!DD29+расчет!DD30+расчет!DD31+расчет!DD32</f>
        <v>0</v>
      </c>
      <c r="DB18" s="607">
        <f ca="1">расчет!DE27+расчет!DE28+расчет!DE29+расчет!DE30+расчет!DE31+расчет!DE32</f>
        <v>0</v>
      </c>
      <c r="DC18" s="607">
        <f ca="1">расчет!DF27+расчет!DF28+расчет!DF29+расчет!DF30+расчет!DF31+расчет!DF32</f>
        <v>0</v>
      </c>
      <c r="DD18" s="607">
        <f ca="1">расчет!DG27+расчет!DG28+расчет!DG29+расчет!DG30+расчет!DG31+расчет!DG32</f>
        <v>0</v>
      </c>
      <c r="DE18" s="607">
        <f ca="1">расчет!DH27+расчет!DH28+расчет!DH29+расчет!DH30+расчет!DH31+расчет!DH32</f>
        <v>0</v>
      </c>
      <c r="DF18" s="607">
        <f ca="1">расчет!DI27+расчет!DI28+расчет!DI29+расчет!DI30+расчет!DI31+расчет!DI32</f>
        <v>0</v>
      </c>
      <c r="DG18" s="607">
        <f ca="1">расчет!DJ27+расчет!DJ28+расчет!DJ29+расчет!DJ30+расчет!DJ31+расчет!DJ32</f>
        <v>0</v>
      </c>
      <c r="DH18" s="607">
        <f ca="1">расчет!DK27+расчет!DK28+расчет!DK29+расчет!DK30+расчет!DK31+расчет!DK32</f>
        <v>0</v>
      </c>
      <c r="DI18" s="607">
        <f ca="1">расчет!DL27+расчет!DL28+расчет!DL29+расчет!DL30+расчет!DL31+расчет!DL32</f>
        <v>0</v>
      </c>
      <c r="DJ18" s="607">
        <f ca="1">расчет!DM27+расчет!DM28+расчет!DM29+расчет!DM30+расчет!DM31+расчет!DM32</f>
        <v>0</v>
      </c>
      <c r="DK18" s="607">
        <f ca="1">расчет!DN27+расчет!DN28+расчет!DN29+расчет!DN30+расчет!DN31+расчет!DN32</f>
        <v>0</v>
      </c>
      <c r="DL18" s="607">
        <f ca="1">расчет!DO27+расчет!DO28+расчет!DO29+расчет!DO30+расчет!DO31+расчет!DO32</f>
        <v>0</v>
      </c>
      <c r="DM18" s="607">
        <f ca="1">расчет!DP27+расчет!DP28+расчет!DP29+расчет!DP30+расчет!DP31+расчет!DP32</f>
        <v>0</v>
      </c>
      <c r="DN18" s="607">
        <f ca="1">расчет!DQ27+расчет!DQ28+расчет!DQ29+расчет!DQ30+расчет!DQ31+расчет!DQ32</f>
        <v>0</v>
      </c>
      <c r="DO18" s="607">
        <f ca="1">расчет!DR27+расчет!DR28+расчет!DR29+расчет!DR30+расчет!DR31+расчет!DR32</f>
        <v>0</v>
      </c>
      <c r="DP18" s="607">
        <f ca="1">расчет!DS27+расчет!DS28+расчет!DS29+расчет!DS30+расчет!DS31+расчет!DS32</f>
        <v>0</v>
      </c>
      <c r="DQ18" s="607">
        <f ca="1">расчет!DT27+расчет!DT28+расчет!DT29+расчет!DT30+расчет!DT31+расчет!DT32</f>
        <v>0</v>
      </c>
      <c r="DR18" s="607">
        <f ca="1">расчет!DU27+расчет!DU28+расчет!DU29+расчет!DU30+расчет!DU31+расчет!DU32</f>
        <v>0</v>
      </c>
      <c r="DS18" s="607">
        <f ca="1">расчет!DV27+расчет!DV28+расчет!DV29+расчет!DV30+расчет!DV31+расчет!DV32</f>
        <v>0</v>
      </c>
      <c r="DT18" s="607">
        <f ca="1">расчет!DW27+расчет!DW28+расчет!DW29+расчет!DW30+расчет!DW31+расчет!DW32</f>
        <v>0</v>
      </c>
      <c r="DU18" s="607">
        <f ca="1">расчет!DX27+расчет!DX28+расчет!DX29+расчет!DX30+расчет!DX31+расчет!DX32</f>
        <v>0</v>
      </c>
      <c r="DV18" s="607">
        <f ca="1">расчет!DY27+расчет!DY28+расчет!DY29+расчет!DY30+расчет!DY31+расчет!DY32</f>
        <v>0</v>
      </c>
      <c r="DW18" s="607">
        <f ca="1">расчет!DZ27+расчет!DZ28+расчет!DZ29+расчет!DZ30+расчет!DZ31+расчет!DZ32</f>
        <v>0</v>
      </c>
      <c r="DX18" s="607">
        <f ca="1">расчет!EA27+расчет!EA28+расчет!EA29+расчет!EA30+расчет!EA31+расчет!EA32</f>
        <v>0</v>
      </c>
      <c r="DY18" s="607">
        <f ca="1">расчет!EB27+расчет!EB28+расчет!EB29+расчет!EB30+расчет!EB31+расчет!EB32</f>
        <v>0</v>
      </c>
      <c r="DZ18" s="607">
        <f ca="1">расчет!EC27+расчет!EC28+расчет!EC29+расчет!EC30+расчет!EC31+расчет!EC32</f>
        <v>0</v>
      </c>
      <c r="EA18" s="607">
        <f ca="1">расчет!ED27+расчет!ED28+расчет!ED29+расчет!ED30+расчет!ED31+расчет!ED32</f>
        <v>0</v>
      </c>
      <c r="EB18" s="607">
        <f ca="1">расчет!EE27+расчет!EE28+расчет!EE29+расчет!EE30+расчет!EE31+расчет!EE32</f>
        <v>0</v>
      </c>
      <c r="EC18" s="607">
        <f ca="1">расчет!EF27+расчет!EF28+расчет!EF29+расчет!EF30+расчет!EF31+расчет!EF32</f>
        <v>0</v>
      </c>
      <c r="ED18" s="607">
        <f ca="1">расчет!EG27+расчет!EG28+расчет!EG29+расчет!EG30+расчет!EG31+расчет!EG32</f>
        <v>0</v>
      </c>
      <c r="EE18" s="607">
        <f ca="1">расчет!EH27+расчет!EH28+расчет!EH29+расчет!EH30+расчет!EH31+расчет!EH32</f>
        <v>0</v>
      </c>
      <c r="EF18" s="607">
        <f ca="1">расчет!EI27+расчет!EI28+расчет!EI29+расчет!EI30+расчет!EI31+расчет!EI32</f>
        <v>0</v>
      </c>
      <c r="EG18" s="607">
        <f>расчет!EJ27+расчет!EJ28+расчет!EJ29+расчет!EJ30+расчет!EJ31+расчет!EJ32</f>
        <v>0</v>
      </c>
      <c r="EH18" s="332"/>
    </row>
    <row r="19" spans="1:138" s="321" customFormat="1" outlineLevel="1">
      <c r="A19" s="305" t="s">
        <v>1484</v>
      </c>
      <c r="B19" s="319" t="s">
        <v>345</v>
      </c>
      <c r="C19" s="618">
        <f t="shared" ca="1" si="8"/>
        <v>1446585269.4408512</v>
      </c>
      <c r="D19" s="607">
        <f>расчет!G33</f>
        <v>0</v>
      </c>
      <c r="E19" s="607">
        <f ca="1">расчет!H33</f>
        <v>0</v>
      </c>
      <c r="F19" s="607">
        <f ca="1">расчет!I33</f>
        <v>0</v>
      </c>
      <c r="G19" s="607">
        <f ca="1">расчет!J33</f>
        <v>0</v>
      </c>
      <c r="H19" s="607">
        <f ca="1">расчет!K33</f>
        <v>0</v>
      </c>
      <c r="I19" s="607">
        <f ca="1">расчет!L33</f>
        <v>0</v>
      </c>
      <c r="J19" s="607">
        <f ca="1">расчет!M33</f>
        <v>0</v>
      </c>
      <c r="K19" s="607">
        <f ca="1">расчет!N33</f>
        <v>0</v>
      </c>
      <c r="L19" s="607">
        <f ca="1">расчет!O33</f>
        <v>0</v>
      </c>
      <c r="M19" s="607">
        <f ca="1">расчет!P33</f>
        <v>0</v>
      </c>
      <c r="N19" s="607">
        <f ca="1">расчет!Q33</f>
        <v>0</v>
      </c>
      <c r="O19" s="607">
        <f ca="1">расчет!R33</f>
        <v>0</v>
      </c>
      <c r="P19" s="607">
        <f ca="1">расчет!S33</f>
        <v>0</v>
      </c>
      <c r="Q19" s="607">
        <f ca="1">расчет!T33</f>
        <v>0</v>
      </c>
      <c r="R19" s="607">
        <f ca="1">расчет!U33</f>
        <v>0</v>
      </c>
      <c r="S19" s="607">
        <f ca="1">расчет!V33</f>
        <v>0</v>
      </c>
      <c r="T19" s="607">
        <f ca="1">расчет!W33</f>
        <v>0</v>
      </c>
      <c r="U19" s="607">
        <f ca="1">расчет!X33</f>
        <v>0</v>
      </c>
      <c r="V19" s="607">
        <f ca="1">расчет!Y33</f>
        <v>0</v>
      </c>
      <c r="W19" s="607">
        <f ca="1">расчет!Z33</f>
        <v>0</v>
      </c>
      <c r="X19" s="607">
        <f ca="1">расчет!AA33</f>
        <v>0</v>
      </c>
      <c r="Y19" s="607">
        <f ca="1">расчет!AB33</f>
        <v>0</v>
      </c>
      <c r="Z19" s="607">
        <f ca="1">расчет!AC33</f>
        <v>0</v>
      </c>
      <c r="AA19" s="607">
        <f ca="1">расчет!AD33</f>
        <v>0</v>
      </c>
      <c r="AB19" s="607">
        <f ca="1">расчет!AE33</f>
        <v>0</v>
      </c>
      <c r="AC19" s="607">
        <f ca="1">расчет!AF33</f>
        <v>0</v>
      </c>
      <c r="AD19" s="607">
        <f ca="1">расчет!AG33</f>
        <v>0</v>
      </c>
      <c r="AE19" s="607">
        <f ca="1">расчет!AH33</f>
        <v>0</v>
      </c>
      <c r="AF19" s="607">
        <f ca="1">расчет!AI33</f>
        <v>0</v>
      </c>
      <c r="AG19" s="607">
        <f ca="1">расчет!AJ33</f>
        <v>0</v>
      </c>
      <c r="AH19" s="607">
        <f ca="1">расчет!AK33</f>
        <v>0</v>
      </c>
      <c r="AI19" s="607">
        <f ca="1">расчет!AL33</f>
        <v>0</v>
      </c>
      <c r="AJ19" s="607">
        <f ca="1">расчет!AM33</f>
        <v>0</v>
      </c>
      <c r="AK19" s="607">
        <f ca="1">расчет!AN33</f>
        <v>0</v>
      </c>
      <c r="AL19" s="607">
        <f ca="1">расчет!AO33</f>
        <v>0</v>
      </c>
      <c r="AM19" s="607">
        <f ca="1">расчет!AP33</f>
        <v>0</v>
      </c>
      <c r="AN19" s="607">
        <f ca="1">расчет!AQ33</f>
        <v>0</v>
      </c>
      <c r="AO19" s="607">
        <f ca="1">расчет!AR33</f>
        <v>216987790.41612774</v>
      </c>
      <c r="AP19" s="607">
        <f ca="1">расчет!AS33</f>
        <v>0</v>
      </c>
      <c r="AQ19" s="607">
        <f ca="1">расчет!AT33</f>
        <v>51456741.394521676</v>
      </c>
      <c r="AR19" s="607">
        <f ca="1">расчет!AU33</f>
        <v>61015898.886784598</v>
      </c>
      <c r="AS19" s="607">
        <f ca="1">расчет!AV33</f>
        <v>63049762.18301075</v>
      </c>
      <c r="AT19" s="607">
        <f ca="1">расчет!AW33</f>
        <v>63049762.18301075</v>
      </c>
      <c r="AU19" s="607">
        <f ca="1">расчет!AX33</f>
        <v>61015898.886784598</v>
      </c>
      <c r="AV19" s="607">
        <f ca="1">расчет!AY33</f>
        <v>63049762.18301075</v>
      </c>
      <c r="AW19" s="607">
        <f ca="1">расчет!AZ33</f>
        <v>61015898.886784598</v>
      </c>
      <c r="AX19" s="607">
        <f ca="1">расчет!BA33</f>
        <v>63049762.18301075</v>
      </c>
      <c r="AY19" s="607">
        <f ca="1">расчет!BB33</f>
        <v>63049762.18301075</v>
      </c>
      <c r="AZ19" s="607">
        <f ca="1">расчет!BC33</f>
        <v>56948172.294332296</v>
      </c>
      <c r="BA19" s="607">
        <f ca="1">расчет!BD33</f>
        <v>63049762.18301075</v>
      </c>
      <c r="BB19" s="607">
        <f ca="1">расчет!BE33</f>
        <v>61015898.886784598</v>
      </c>
      <c r="BC19" s="607">
        <f ca="1">расчет!BF33</f>
        <v>63049762.18301075</v>
      </c>
      <c r="BD19" s="607">
        <f ca="1">расчет!BG33</f>
        <v>61015898.886784598</v>
      </c>
      <c r="BE19" s="607">
        <f ca="1">расчет!BH33</f>
        <v>63049762.18301075</v>
      </c>
      <c r="BF19" s="607">
        <f ca="1">расчет!BI33</f>
        <v>63049762.18301075</v>
      </c>
      <c r="BG19" s="607">
        <f ca="1">расчет!BJ33</f>
        <v>61015898.886784598</v>
      </c>
      <c r="BH19" s="607">
        <f ca="1">расчет!BK33</f>
        <v>63049762.18301075</v>
      </c>
      <c r="BI19" s="607">
        <f ca="1">расчет!BL33</f>
        <v>52270286.713012233</v>
      </c>
      <c r="BJ19" s="607">
        <f ca="1">расчет!BM33</f>
        <v>36164631.736021295</v>
      </c>
      <c r="BK19" s="607">
        <f ca="1">расчет!BN33</f>
        <v>0</v>
      </c>
      <c r="BL19" s="607">
        <f ca="1">расчет!BO33</f>
        <v>0</v>
      </c>
      <c r="BM19" s="607">
        <f ca="1">расчет!BP33</f>
        <v>0</v>
      </c>
      <c r="BN19" s="607">
        <f ca="1">расчет!BQ33</f>
        <v>0</v>
      </c>
      <c r="BO19" s="607">
        <f ca="1">расчет!BR33</f>
        <v>0</v>
      </c>
      <c r="BP19" s="607">
        <f ca="1">расчет!BS33</f>
        <v>0</v>
      </c>
      <c r="BQ19" s="607">
        <f ca="1">расчет!BT33</f>
        <v>0</v>
      </c>
      <c r="BR19" s="607">
        <f ca="1">расчет!BU33</f>
        <v>0</v>
      </c>
      <c r="BS19" s="607">
        <f ca="1">расчет!BV33</f>
        <v>0</v>
      </c>
      <c r="BT19" s="607">
        <f ca="1">расчет!BW33</f>
        <v>0</v>
      </c>
      <c r="BU19" s="607">
        <f ca="1">расчет!BX33</f>
        <v>0</v>
      </c>
      <c r="BV19" s="607">
        <f ca="1">расчет!BY33</f>
        <v>0</v>
      </c>
      <c r="BW19" s="607">
        <f ca="1">расчет!BZ33</f>
        <v>0</v>
      </c>
      <c r="BX19" s="607">
        <f ca="1">расчет!CA33</f>
        <v>0</v>
      </c>
      <c r="BY19" s="607">
        <f ca="1">расчет!CB33</f>
        <v>0</v>
      </c>
      <c r="BZ19" s="607">
        <f ca="1">расчет!CC33</f>
        <v>0</v>
      </c>
      <c r="CA19" s="607">
        <f ca="1">расчет!CD33</f>
        <v>0</v>
      </c>
      <c r="CB19" s="607">
        <f ca="1">расчет!CE33</f>
        <v>0</v>
      </c>
      <c r="CC19" s="607">
        <f ca="1">расчет!CF33</f>
        <v>0</v>
      </c>
      <c r="CD19" s="607">
        <f ca="1">расчет!CG33</f>
        <v>0</v>
      </c>
      <c r="CE19" s="607">
        <f ca="1">расчет!CH33</f>
        <v>0</v>
      </c>
      <c r="CF19" s="607">
        <f ca="1">расчет!CI33</f>
        <v>0</v>
      </c>
      <c r="CG19" s="607">
        <f ca="1">расчет!CJ33</f>
        <v>36164631.736021295</v>
      </c>
      <c r="CH19" s="607">
        <f ca="1">расчет!CK33</f>
        <v>0</v>
      </c>
      <c r="CI19" s="607">
        <f ca="1">расчет!CL33</f>
        <v>0</v>
      </c>
      <c r="CJ19" s="607">
        <f ca="1">расчет!CM33</f>
        <v>0</v>
      </c>
      <c r="CK19" s="607">
        <f ca="1">расчет!CN33</f>
        <v>0</v>
      </c>
      <c r="CL19" s="607">
        <f ca="1">расчет!CO33</f>
        <v>0</v>
      </c>
      <c r="CM19" s="607">
        <f ca="1">расчет!CP33</f>
        <v>0</v>
      </c>
      <c r="CN19" s="607">
        <f ca="1">расчет!CQ33</f>
        <v>0</v>
      </c>
      <c r="CO19" s="607">
        <f ca="1">расчет!CR33</f>
        <v>0</v>
      </c>
      <c r="CP19" s="607">
        <f ca="1">расчет!CS33</f>
        <v>0</v>
      </c>
      <c r="CQ19" s="607">
        <f ca="1">расчет!CT33</f>
        <v>0</v>
      </c>
      <c r="CR19" s="607">
        <f ca="1">расчет!CU33</f>
        <v>0</v>
      </c>
      <c r="CS19" s="607">
        <f ca="1">расчет!CV33</f>
        <v>0</v>
      </c>
      <c r="CT19" s="607">
        <f ca="1">расчет!CW33</f>
        <v>0</v>
      </c>
      <c r="CU19" s="607">
        <f ca="1">расчет!CX33</f>
        <v>0</v>
      </c>
      <c r="CV19" s="607">
        <f ca="1">расчет!CY33</f>
        <v>0</v>
      </c>
      <c r="CW19" s="607">
        <f ca="1">расчет!CZ33</f>
        <v>0</v>
      </c>
      <c r="CX19" s="607">
        <f ca="1">расчет!DA33</f>
        <v>0</v>
      </c>
      <c r="CY19" s="607">
        <f ca="1">расчет!DB33</f>
        <v>0</v>
      </c>
      <c r="CZ19" s="607">
        <f ca="1">расчет!DC33</f>
        <v>0</v>
      </c>
      <c r="DA19" s="607">
        <f ca="1">расчет!DD33</f>
        <v>0</v>
      </c>
      <c r="DB19" s="607">
        <f ca="1">расчет!DE33</f>
        <v>0</v>
      </c>
      <c r="DC19" s="607">
        <f ca="1">расчет!DF33</f>
        <v>0</v>
      </c>
      <c r="DD19" s="607">
        <f ca="1">расчет!DG33</f>
        <v>0</v>
      </c>
      <c r="DE19" s="607">
        <f ca="1">расчет!DH33</f>
        <v>0</v>
      </c>
      <c r="DF19" s="607">
        <f ca="1">расчет!DI33</f>
        <v>0</v>
      </c>
      <c r="DG19" s="607">
        <f ca="1">расчет!DJ33</f>
        <v>0</v>
      </c>
      <c r="DH19" s="607">
        <f ca="1">расчет!DK33</f>
        <v>0</v>
      </c>
      <c r="DI19" s="607">
        <f ca="1">расчет!DL33</f>
        <v>0</v>
      </c>
      <c r="DJ19" s="607">
        <f ca="1">расчет!DM33</f>
        <v>0</v>
      </c>
      <c r="DK19" s="607">
        <f ca="1">расчет!DN33</f>
        <v>0</v>
      </c>
      <c r="DL19" s="607">
        <f ca="1">расчет!DO33</f>
        <v>0</v>
      </c>
      <c r="DM19" s="607">
        <f ca="1">расчет!DP33</f>
        <v>0</v>
      </c>
      <c r="DN19" s="607">
        <f ca="1">расчет!DQ33</f>
        <v>0</v>
      </c>
      <c r="DO19" s="607">
        <f ca="1">расчет!DR33</f>
        <v>0</v>
      </c>
      <c r="DP19" s="607">
        <f ca="1">расчет!DS33</f>
        <v>0</v>
      </c>
      <c r="DQ19" s="607">
        <f ca="1">расчет!DT33</f>
        <v>0</v>
      </c>
      <c r="DR19" s="607">
        <f ca="1">расчет!DU33</f>
        <v>0</v>
      </c>
      <c r="DS19" s="607">
        <f ca="1">расчет!DV33</f>
        <v>0</v>
      </c>
      <c r="DT19" s="607">
        <f ca="1">расчет!DW33</f>
        <v>0</v>
      </c>
      <c r="DU19" s="607">
        <f ca="1">расчет!DX33</f>
        <v>0</v>
      </c>
      <c r="DV19" s="607">
        <f ca="1">расчет!DY33</f>
        <v>0</v>
      </c>
      <c r="DW19" s="607">
        <f ca="1">расчет!DZ33</f>
        <v>0</v>
      </c>
      <c r="DX19" s="607">
        <f ca="1">расчет!EA33</f>
        <v>0</v>
      </c>
      <c r="DY19" s="607">
        <f ca="1">расчет!EB33</f>
        <v>0</v>
      </c>
      <c r="DZ19" s="607">
        <f ca="1">расчет!EC33</f>
        <v>0</v>
      </c>
      <c r="EA19" s="607">
        <f ca="1">расчет!ED33</f>
        <v>0</v>
      </c>
      <c r="EB19" s="607">
        <f ca="1">расчет!EE33</f>
        <v>0</v>
      </c>
      <c r="EC19" s="607">
        <f ca="1">расчет!EF33</f>
        <v>0</v>
      </c>
      <c r="ED19" s="607">
        <f ca="1">расчет!EG33</f>
        <v>0</v>
      </c>
      <c r="EE19" s="607">
        <f ca="1">расчет!EH33</f>
        <v>0</v>
      </c>
      <c r="EF19" s="607">
        <f ca="1">расчет!EI33</f>
        <v>0</v>
      </c>
      <c r="EG19" s="607">
        <f>расчет!EJ33</f>
        <v>0</v>
      </c>
      <c r="EH19" s="332"/>
    </row>
    <row r="20" spans="1:138" s="321" customFormat="1" outlineLevel="1">
      <c r="A20" s="305" t="s">
        <v>1462</v>
      </c>
      <c r="B20" s="319" t="s">
        <v>1102</v>
      </c>
      <c r="C20" s="618">
        <f t="shared" ca="1" si="8"/>
        <v>655800371.38713861</v>
      </c>
      <c r="D20" s="607">
        <f>расчет!G34</f>
        <v>0</v>
      </c>
      <c r="E20" s="607">
        <f ca="1">расчет!H34</f>
        <v>0</v>
      </c>
      <c r="F20" s="607">
        <f ca="1">расчет!I34</f>
        <v>0</v>
      </c>
      <c r="G20" s="607">
        <f ca="1">расчет!J34</f>
        <v>0</v>
      </c>
      <c r="H20" s="607">
        <f ca="1">расчет!K34</f>
        <v>0</v>
      </c>
      <c r="I20" s="607">
        <f ca="1">расчет!L34</f>
        <v>0</v>
      </c>
      <c r="J20" s="607">
        <f ca="1">расчет!M34</f>
        <v>0</v>
      </c>
      <c r="K20" s="607">
        <f ca="1">расчет!N34</f>
        <v>0</v>
      </c>
      <c r="L20" s="607">
        <f ca="1">расчет!O34</f>
        <v>0</v>
      </c>
      <c r="M20" s="607">
        <f ca="1">расчет!P34</f>
        <v>0</v>
      </c>
      <c r="N20" s="607">
        <f ca="1">расчет!Q34</f>
        <v>0</v>
      </c>
      <c r="O20" s="607">
        <f ca="1">расчет!R34</f>
        <v>0</v>
      </c>
      <c r="P20" s="607">
        <f ca="1">расчет!S34</f>
        <v>0</v>
      </c>
      <c r="Q20" s="607">
        <f ca="1">расчет!T34</f>
        <v>0</v>
      </c>
      <c r="R20" s="607">
        <f ca="1">расчет!U34</f>
        <v>0</v>
      </c>
      <c r="S20" s="607">
        <f ca="1">расчет!V34</f>
        <v>0</v>
      </c>
      <c r="T20" s="607">
        <f ca="1">расчет!W34</f>
        <v>0</v>
      </c>
      <c r="U20" s="607">
        <f ca="1">расчет!X34</f>
        <v>0</v>
      </c>
      <c r="V20" s="607">
        <f ca="1">расчет!Y34</f>
        <v>0</v>
      </c>
      <c r="W20" s="607">
        <f ca="1">расчет!Z34</f>
        <v>0</v>
      </c>
      <c r="X20" s="607">
        <f ca="1">расчет!AA34</f>
        <v>0</v>
      </c>
      <c r="Y20" s="607">
        <f ca="1">расчет!AB34</f>
        <v>0</v>
      </c>
      <c r="Z20" s="607">
        <f ca="1">расчет!AC34</f>
        <v>0</v>
      </c>
      <c r="AA20" s="607">
        <f ca="1">расчет!AD34</f>
        <v>0</v>
      </c>
      <c r="AB20" s="607">
        <f ca="1">расчет!AE34</f>
        <v>0</v>
      </c>
      <c r="AC20" s="607">
        <f ca="1">расчет!AF34</f>
        <v>0</v>
      </c>
      <c r="AD20" s="607">
        <f ca="1">расчет!AG34</f>
        <v>0</v>
      </c>
      <c r="AE20" s="607">
        <f ca="1">расчет!AH34</f>
        <v>0</v>
      </c>
      <c r="AF20" s="607">
        <f ca="1">расчет!AI34</f>
        <v>0</v>
      </c>
      <c r="AG20" s="607">
        <f ca="1">расчет!AJ34</f>
        <v>0</v>
      </c>
      <c r="AH20" s="607">
        <f ca="1">расчет!AK34</f>
        <v>0</v>
      </c>
      <c r="AI20" s="607">
        <f ca="1">расчет!AL34</f>
        <v>0</v>
      </c>
      <c r="AJ20" s="607">
        <f ca="1">расчет!AM34</f>
        <v>0</v>
      </c>
      <c r="AK20" s="607">
        <f ca="1">расчет!AN34</f>
        <v>0</v>
      </c>
      <c r="AL20" s="607">
        <f ca="1">расчет!AO34</f>
        <v>0</v>
      </c>
      <c r="AM20" s="607">
        <f ca="1">расчет!AP34</f>
        <v>0</v>
      </c>
      <c r="AN20" s="607">
        <f ca="1">расчет!AQ34</f>
        <v>0</v>
      </c>
      <c r="AO20" s="607">
        <f ca="1">расчет!AR34</f>
        <v>98370055.7080708</v>
      </c>
      <c r="AP20" s="607">
        <f ca="1">расчет!AS34</f>
        <v>0</v>
      </c>
      <c r="AQ20" s="607">
        <f ca="1">расчет!AT34</f>
        <v>23327591.418059204</v>
      </c>
      <c r="AR20" s="607">
        <f ca="1">расчет!AU34</f>
        <v>27661175.594536602</v>
      </c>
      <c r="AS20" s="607">
        <f ca="1">расчет!AV34</f>
        <v>28583214.781021155</v>
      </c>
      <c r="AT20" s="607">
        <f ca="1">расчет!AW34</f>
        <v>28583214.781021155</v>
      </c>
      <c r="AU20" s="607">
        <f ca="1">расчет!AX34</f>
        <v>27661175.594536602</v>
      </c>
      <c r="AV20" s="607">
        <f ca="1">расчет!AY34</f>
        <v>28583214.781021155</v>
      </c>
      <c r="AW20" s="607">
        <f ca="1">расчет!AZ34</f>
        <v>27661175.594536602</v>
      </c>
      <c r="AX20" s="607">
        <f ca="1">расчет!BA34</f>
        <v>28583214.781021155</v>
      </c>
      <c r="AY20" s="607">
        <f ca="1">расчет!BB34</f>
        <v>28583214.781021155</v>
      </c>
      <c r="AZ20" s="607">
        <f ca="1">расчет!BC34</f>
        <v>25817097.2215675</v>
      </c>
      <c r="BA20" s="607">
        <f ca="1">расчет!BD34</f>
        <v>28583214.781021155</v>
      </c>
      <c r="BB20" s="607">
        <f ca="1">расчет!BE34</f>
        <v>27661175.594536602</v>
      </c>
      <c r="BC20" s="607">
        <f ca="1">расчет!BF34</f>
        <v>28583214.781021155</v>
      </c>
      <c r="BD20" s="607">
        <f ca="1">расчет!BG34</f>
        <v>27661175.594536602</v>
      </c>
      <c r="BE20" s="607">
        <f ca="1">расчет!BH34</f>
        <v>28583214.781021155</v>
      </c>
      <c r="BF20" s="607">
        <f ca="1">расчет!BI34</f>
        <v>28583214.781021155</v>
      </c>
      <c r="BG20" s="607">
        <f ca="1">расчет!BJ34</f>
        <v>27661175.594536602</v>
      </c>
      <c r="BH20" s="607">
        <f ca="1">расчет!BK34</f>
        <v>28583214.781021155</v>
      </c>
      <c r="BI20" s="607">
        <f ca="1">расчет!BL34</f>
        <v>23696407.092653066</v>
      </c>
      <c r="BJ20" s="607">
        <f ca="1">расчет!BM34</f>
        <v>16395009.284678468</v>
      </c>
      <c r="BK20" s="607">
        <f ca="1">расчет!BN34</f>
        <v>0</v>
      </c>
      <c r="BL20" s="607">
        <f ca="1">расчет!BO34</f>
        <v>0</v>
      </c>
      <c r="BM20" s="607">
        <f ca="1">расчет!BP34</f>
        <v>0</v>
      </c>
      <c r="BN20" s="607">
        <f ca="1">расчет!BQ34</f>
        <v>0</v>
      </c>
      <c r="BO20" s="607">
        <f ca="1">расчет!BR34</f>
        <v>0</v>
      </c>
      <c r="BP20" s="607">
        <f ca="1">расчет!BS34</f>
        <v>0</v>
      </c>
      <c r="BQ20" s="607">
        <f ca="1">расчет!BT34</f>
        <v>0</v>
      </c>
      <c r="BR20" s="607">
        <f ca="1">расчет!BU34</f>
        <v>0</v>
      </c>
      <c r="BS20" s="607">
        <f ca="1">расчет!BV34</f>
        <v>0</v>
      </c>
      <c r="BT20" s="607">
        <f ca="1">расчет!BW34</f>
        <v>0</v>
      </c>
      <c r="BU20" s="607">
        <f ca="1">расчет!BX34</f>
        <v>0</v>
      </c>
      <c r="BV20" s="607">
        <f ca="1">расчет!BY34</f>
        <v>0</v>
      </c>
      <c r="BW20" s="607">
        <f ca="1">расчет!BZ34</f>
        <v>0</v>
      </c>
      <c r="BX20" s="607">
        <f ca="1">расчет!CA34</f>
        <v>0</v>
      </c>
      <c r="BY20" s="607">
        <f ca="1">расчет!CB34</f>
        <v>0</v>
      </c>
      <c r="BZ20" s="607">
        <f ca="1">расчет!CC34</f>
        <v>0</v>
      </c>
      <c r="CA20" s="607">
        <f ca="1">расчет!CD34</f>
        <v>0</v>
      </c>
      <c r="CB20" s="607">
        <f ca="1">расчет!CE34</f>
        <v>0</v>
      </c>
      <c r="CC20" s="607">
        <f ca="1">расчет!CF34</f>
        <v>0</v>
      </c>
      <c r="CD20" s="607">
        <f ca="1">расчет!CG34</f>
        <v>0</v>
      </c>
      <c r="CE20" s="607">
        <f ca="1">расчет!CH34</f>
        <v>0</v>
      </c>
      <c r="CF20" s="607">
        <f ca="1">расчет!CI34</f>
        <v>0</v>
      </c>
      <c r="CG20" s="607">
        <f ca="1">расчет!CJ34</f>
        <v>16395009.284678468</v>
      </c>
      <c r="CH20" s="607">
        <f ca="1">расчет!CK34</f>
        <v>0</v>
      </c>
      <c r="CI20" s="607">
        <f ca="1">расчет!CL34</f>
        <v>0</v>
      </c>
      <c r="CJ20" s="607">
        <f ca="1">расчет!CM34</f>
        <v>0</v>
      </c>
      <c r="CK20" s="607">
        <f ca="1">расчет!CN34</f>
        <v>0</v>
      </c>
      <c r="CL20" s="607">
        <f ca="1">расчет!CO34</f>
        <v>0</v>
      </c>
      <c r="CM20" s="607">
        <f ca="1">расчет!CP34</f>
        <v>0</v>
      </c>
      <c r="CN20" s="607">
        <f ca="1">расчет!CQ34</f>
        <v>0</v>
      </c>
      <c r="CO20" s="607">
        <f ca="1">расчет!CR34</f>
        <v>0</v>
      </c>
      <c r="CP20" s="607">
        <f ca="1">расчет!CS34</f>
        <v>0</v>
      </c>
      <c r="CQ20" s="607">
        <f ca="1">расчет!CT34</f>
        <v>0</v>
      </c>
      <c r="CR20" s="607">
        <f ca="1">расчет!CU34</f>
        <v>0</v>
      </c>
      <c r="CS20" s="607">
        <f ca="1">расчет!CV34</f>
        <v>0</v>
      </c>
      <c r="CT20" s="607">
        <f ca="1">расчет!CW34</f>
        <v>0</v>
      </c>
      <c r="CU20" s="607">
        <f ca="1">расчет!CX34</f>
        <v>0</v>
      </c>
      <c r="CV20" s="607">
        <f ca="1">расчет!CY34</f>
        <v>0</v>
      </c>
      <c r="CW20" s="607">
        <f ca="1">расчет!CZ34</f>
        <v>0</v>
      </c>
      <c r="CX20" s="607">
        <f ca="1">расчет!DA34</f>
        <v>0</v>
      </c>
      <c r="CY20" s="607">
        <f ca="1">расчет!DB34</f>
        <v>0</v>
      </c>
      <c r="CZ20" s="607">
        <f ca="1">расчет!DC34</f>
        <v>0</v>
      </c>
      <c r="DA20" s="607">
        <f ca="1">расчет!DD34</f>
        <v>0</v>
      </c>
      <c r="DB20" s="607">
        <f ca="1">расчет!DE34</f>
        <v>0</v>
      </c>
      <c r="DC20" s="607">
        <f ca="1">расчет!DF34</f>
        <v>0</v>
      </c>
      <c r="DD20" s="607">
        <f ca="1">расчет!DG34</f>
        <v>0</v>
      </c>
      <c r="DE20" s="607">
        <f ca="1">расчет!DH34</f>
        <v>0</v>
      </c>
      <c r="DF20" s="607">
        <f ca="1">расчет!DI34</f>
        <v>0</v>
      </c>
      <c r="DG20" s="607">
        <f ca="1">расчет!DJ34</f>
        <v>0</v>
      </c>
      <c r="DH20" s="607">
        <f ca="1">расчет!DK34</f>
        <v>0</v>
      </c>
      <c r="DI20" s="607">
        <f ca="1">расчет!DL34</f>
        <v>0</v>
      </c>
      <c r="DJ20" s="607">
        <f ca="1">расчет!DM34</f>
        <v>0</v>
      </c>
      <c r="DK20" s="607">
        <f ca="1">расчет!DN34</f>
        <v>0</v>
      </c>
      <c r="DL20" s="607">
        <f ca="1">расчет!DO34</f>
        <v>0</v>
      </c>
      <c r="DM20" s="607">
        <f ca="1">расчет!DP34</f>
        <v>0</v>
      </c>
      <c r="DN20" s="607">
        <f ca="1">расчет!DQ34</f>
        <v>0</v>
      </c>
      <c r="DO20" s="607">
        <f ca="1">расчет!DR34</f>
        <v>0</v>
      </c>
      <c r="DP20" s="607">
        <f ca="1">расчет!DS34</f>
        <v>0</v>
      </c>
      <c r="DQ20" s="607">
        <f ca="1">расчет!DT34</f>
        <v>0</v>
      </c>
      <c r="DR20" s="607">
        <f ca="1">расчет!DU34</f>
        <v>0</v>
      </c>
      <c r="DS20" s="607">
        <f ca="1">расчет!DV34</f>
        <v>0</v>
      </c>
      <c r="DT20" s="607">
        <f ca="1">расчет!DW34</f>
        <v>0</v>
      </c>
      <c r="DU20" s="607">
        <f ca="1">расчет!DX34</f>
        <v>0</v>
      </c>
      <c r="DV20" s="607">
        <f ca="1">расчет!DY34</f>
        <v>0</v>
      </c>
      <c r="DW20" s="607">
        <f ca="1">расчет!DZ34</f>
        <v>0</v>
      </c>
      <c r="DX20" s="607">
        <f ca="1">расчет!EA34</f>
        <v>0</v>
      </c>
      <c r="DY20" s="607">
        <f ca="1">расчет!EB34</f>
        <v>0</v>
      </c>
      <c r="DZ20" s="607">
        <f ca="1">расчет!EC34</f>
        <v>0</v>
      </c>
      <c r="EA20" s="607">
        <f ca="1">расчет!ED34</f>
        <v>0</v>
      </c>
      <c r="EB20" s="607">
        <f ca="1">расчет!EE34</f>
        <v>0</v>
      </c>
      <c r="EC20" s="607">
        <f ca="1">расчет!EF34</f>
        <v>0</v>
      </c>
      <c r="ED20" s="607">
        <f ca="1">расчет!EG34</f>
        <v>0</v>
      </c>
      <c r="EE20" s="607">
        <f ca="1">расчет!EH34</f>
        <v>0</v>
      </c>
      <c r="EF20" s="607">
        <f ca="1">расчет!EI34</f>
        <v>0</v>
      </c>
      <c r="EG20" s="607">
        <f>расчет!EJ34</f>
        <v>0</v>
      </c>
      <c r="EH20" s="332"/>
    </row>
    <row r="21" spans="1:138" s="321" customFormat="1" outlineLevel="1">
      <c r="A21" s="305" t="s">
        <v>1434</v>
      </c>
      <c r="B21" s="319" t="s">
        <v>80</v>
      </c>
      <c r="C21" s="618">
        <f t="shared" ca="1" si="8"/>
        <v>3044889829.5940027</v>
      </c>
      <c r="D21" s="607">
        <f>расчет!G35</f>
        <v>0</v>
      </c>
      <c r="E21" s="607">
        <f ca="1">расчет!H35</f>
        <v>0</v>
      </c>
      <c r="F21" s="607">
        <f ca="1">расчет!I35</f>
        <v>0</v>
      </c>
      <c r="G21" s="607">
        <f ca="1">расчет!J35</f>
        <v>0</v>
      </c>
      <c r="H21" s="607">
        <f ca="1">расчет!K35</f>
        <v>0</v>
      </c>
      <c r="I21" s="607">
        <f ca="1">расчет!L35</f>
        <v>0</v>
      </c>
      <c r="J21" s="607">
        <f ca="1">расчет!M35</f>
        <v>0</v>
      </c>
      <c r="K21" s="607">
        <f ca="1">расчет!N35</f>
        <v>0</v>
      </c>
      <c r="L21" s="607">
        <f ca="1">расчет!O35</f>
        <v>0</v>
      </c>
      <c r="M21" s="607">
        <f ca="1">расчет!P35</f>
        <v>0</v>
      </c>
      <c r="N21" s="607">
        <f ca="1">расчет!Q35</f>
        <v>0</v>
      </c>
      <c r="O21" s="607">
        <f ca="1">расчет!R35</f>
        <v>0</v>
      </c>
      <c r="P21" s="607">
        <f ca="1">расчет!S35</f>
        <v>0</v>
      </c>
      <c r="Q21" s="607">
        <f ca="1">расчет!T35</f>
        <v>0</v>
      </c>
      <c r="R21" s="607">
        <f ca="1">расчет!U35</f>
        <v>0</v>
      </c>
      <c r="S21" s="607">
        <f ca="1">расчет!V35</f>
        <v>0</v>
      </c>
      <c r="T21" s="607">
        <f ca="1">расчет!W35</f>
        <v>0</v>
      </c>
      <c r="U21" s="607">
        <f ca="1">расчет!X35</f>
        <v>0</v>
      </c>
      <c r="V21" s="607">
        <f ca="1">расчет!Y35</f>
        <v>0</v>
      </c>
      <c r="W21" s="607">
        <f ca="1">расчет!Z35</f>
        <v>0</v>
      </c>
      <c r="X21" s="607">
        <f ca="1">расчет!AA35</f>
        <v>0</v>
      </c>
      <c r="Y21" s="607">
        <f ca="1">расчет!AB35</f>
        <v>0</v>
      </c>
      <c r="Z21" s="607">
        <f ca="1">расчет!AC35</f>
        <v>0</v>
      </c>
      <c r="AA21" s="607">
        <f ca="1">расчет!AD35</f>
        <v>0</v>
      </c>
      <c r="AB21" s="607">
        <f ca="1">расчет!AE35</f>
        <v>0</v>
      </c>
      <c r="AC21" s="607">
        <f ca="1">расчет!AF35</f>
        <v>0</v>
      </c>
      <c r="AD21" s="607">
        <f ca="1">расчет!AG35</f>
        <v>0</v>
      </c>
      <c r="AE21" s="607">
        <f ca="1">расчет!AH35</f>
        <v>0</v>
      </c>
      <c r="AF21" s="607">
        <f ca="1">расчет!AI35</f>
        <v>0</v>
      </c>
      <c r="AG21" s="607">
        <f ca="1">расчет!AJ35</f>
        <v>0</v>
      </c>
      <c r="AH21" s="607">
        <f ca="1">расчет!AK35</f>
        <v>0</v>
      </c>
      <c r="AI21" s="607">
        <f ca="1">расчет!AL35</f>
        <v>0</v>
      </c>
      <c r="AJ21" s="607">
        <f ca="1">расчет!AM35</f>
        <v>0</v>
      </c>
      <c r="AK21" s="607">
        <f ca="1">расчет!AN35</f>
        <v>0</v>
      </c>
      <c r="AL21" s="607">
        <f ca="1">расчет!AO35</f>
        <v>0</v>
      </c>
      <c r="AM21" s="607">
        <f ca="1">расчет!AP35</f>
        <v>0</v>
      </c>
      <c r="AN21" s="607">
        <f ca="1">расчет!AQ35</f>
        <v>0</v>
      </c>
      <c r="AO21" s="607">
        <f ca="1">расчет!AR35</f>
        <v>456733474.43910056</v>
      </c>
      <c r="AP21" s="607">
        <f ca="1">расчет!AS35</f>
        <v>0</v>
      </c>
      <c r="AQ21" s="607">
        <f ca="1">расчет!AT35</f>
        <v>117228258.43936911</v>
      </c>
      <c r="AR21" s="607">
        <f ca="1">расчет!AU35</f>
        <v>139005840.04668278</v>
      </c>
      <c r="AS21" s="607">
        <f ca="1">расчет!AV35</f>
        <v>143639368.04823887</v>
      </c>
      <c r="AT21" s="607">
        <f ca="1">расчет!AW35</f>
        <v>143639368.04823887</v>
      </c>
      <c r="AU21" s="607">
        <f ca="1">расчет!AX35</f>
        <v>139005840.04668278</v>
      </c>
      <c r="AV21" s="607">
        <f ca="1">расчет!AY35</f>
        <v>143639368.04823887</v>
      </c>
      <c r="AW21" s="607">
        <f ca="1">расчет!AZ35</f>
        <v>139005840.04668278</v>
      </c>
      <c r="AX21" s="607">
        <f ca="1">расчет!BA35</f>
        <v>143639368.04823887</v>
      </c>
      <c r="AY21" s="607">
        <f ca="1">расчет!BB35</f>
        <v>143639368.04823887</v>
      </c>
      <c r="AZ21" s="607">
        <f ca="1">расчет!BC35</f>
        <v>129738784.04357059</v>
      </c>
      <c r="BA21" s="607">
        <f ca="1">расчет!BD35</f>
        <v>143639368.04823887</v>
      </c>
      <c r="BB21" s="607">
        <f ca="1">расчет!BE35</f>
        <v>139005840.04668278</v>
      </c>
      <c r="BC21" s="607">
        <f ca="1">расчет!BF35</f>
        <v>143639368.04823887</v>
      </c>
      <c r="BD21" s="607">
        <f ca="1">расчет!BG35</f>
        <v>139005840.04668278</v>
      </c>
      <c r="BE21" s="607">
        <f ca="1">расчет!BH35</f>
        <v>143639368.04823887</v>
      </c>
      <c r="BF21" s="607">
        <f ca="1">расчет!BI35</f>
        <v>40311693.613537952</v>
      </c>
      <c r="BG21" s="607">
        <f ca="1">расчет!BJ35</f>
        <v>380611228.69925046</v>
      </c>
      <c r="BH21" s="607">
        <f ca="1">расчет!BK35</f>
        <v>0</v>
      </c>
      <c r="BI21" s="607">
        <f ca="1">расчет!BL35</f>
        <v>0</v>
      </c>
      <c r="BJ21" s="607">
        <f ca="1">расчет!BM35</f>
        <v>0</v>
      </c>
      <c r="BK21" s="607">
        <f ca="1">расчет!BN35</f>
        <v>0</v>
      </c>
      <c r="BL21" s="607">
        <f ca="1">расчет!BO35</f>
        <v>0</v>
      </c>
      <c r="BM21" s="607">
        <f ca="1">расчет!BP35</f>
        <v>0</v>
      </c>
      <c r="BN21" s="607">
        <f ca="1">расчет!BQ35</f>
        <v>0</v>
      </c>
      <c r="BO21" s="607">
        <f ca="1">расчет!BR35</f>
        <v>0</v>
      </c>
      <c r="BP21" s="607">
        <f ca="1">расчет!BS35</f>
        <v>0</v>
      </c>
      <c r="BQ21" s="607">
        <f ca="1">расчет!BT35</f>
        <v>0</v>
      </c>
      <c r="BR21" s="607">
        <f ca="1">расчет!BU35</f>
        <v>0</v>
      </c>
      <c r="BS21" s="607">
        <f ca="1">расчет!BV35</f>
        <v>0</v>
      </c>
      <c r="BT21" s="607">
        <f ca="1">расчет!BW35</f>
        <v>0</v>
      </c>
      <c r="BU21" s="607">
        <f ca="1">расчет!BX35</f>
        <v>0</v>
      </c>
      <c r="BV21" s="607">
        <f ca="1">расчет!BY35</f>
        <v>0</v>
      </c>
      <c r="BW21" s="607">
        <f ca="1">расчет!BZ35</f>
        <v>0</v>
      </c>
      <c r="BX21" s="607">
        <f ca="1">расчет!CA35</f>
        <v>0</v>
      </c>
      <c r="BY21" s="607">
        <f ca="1">расчет!CB35</f>
        <v>0</v>
      </c>
      <c r="BZ21" s="607">
        <f ca="1">расчет!CC35</f>
        <v>0</v>
      </c>
      <c r="CA21" s="607">
        <f ca="1">расчет!CD35</f>
        <v>0</v>
      </c>
      <c r="CB21" s="607">
        <f ca="1">расчет!CE35</f>
        <v>0</v>
      </c>
      <c r="CC21" s="607">
        <f ca="1">расчет!CF35</f>
        <v>0</v>
      </c>
      <c r="CD21" s="607">
        <f ca="1">расчет!CG35</f>
        <v>76122245.739850089</v>
      </c>
      <c r="CE21" s="607">
        <f ca="1">расчет!CH35</f>
        <v>0</v>
      </c>
      <c r="CF21" s="607">
        <f ca="1">расчет!CI35</f>
        <v>0</v>
      </c>
      <c r="CG21" s="607">
        <f ca="1">расчет!CJ35</f>
        <v>0</v>
      </c>
      <c r="CH21" s="607">
        <f ca="1">расчет!CK35</f>
        <v>0</v>
      </c>
      <c r="CI21" s="607">
        <f ca="1">расчет!CL35</f>
        <v>0</v>
      </c>
      <c r="CJ21" s="607">
        <f ca="1">расчет!CM35</f>
        <v>0</v>
      </c>
      <c r="CK21" s="607">
        <f ca="1">расчет!CN35</f>
        <v>0</v>
      </c>
      <c r="CL21" s="607">
        <f ca="1">расчет!CO35</f>
        <v>0</v>
      </c>
      <c r="CM21" s="607">
        <f ca="1">расчет!CP35</f>
        <v>0</v>
      </c>
      <c r="CN21" s="607">
        <f ca="1">расчет!CQ35</f>
        <v>0</v>
      </c>
      <c r="CO21" s="607">
        <f ca="1">расчет!CR35</f>
        <v>0</v>
      </c>
      <c r="CP21" s="607">
        <f ca="1">расчет!CS35</f>
        <v>0</v>
      </c>
      <c r="CQ21" s="607">
        <f ca="1">расчет!CT35</f>
        <v>0</v>
      </c>
      <c r="CR21" s="607">
        <f ca="1">расчет!CU35</f>
        <v>0</v>
      </c>
      <c r="CS21" s="607">
        <f ca="1">расчет!CV35</f>
        <v>0</v>
      </c>
      <c r="CT21" s="607">
        <f ca="1">расчет!CW35</f>
        <v>0</v>
      </c>
      <c r="CU21" s="607">
        <f ca="1">расчет!CX35</f>
        <v>0</v>
      </c>
      <c r="CV21" s="607">
        <f ca="1">расчет!CY35</f>
        <v>0</v>
      </c>
      <c r="CW21" s="607">
        <f ca="1">расчет!CZ35</f>
        <v>0</v>
      </c>
      <c r="CX21" s="607">
        <f ca="1">расчет!DA35</f>
        <v>0</v>
      </c>
      <c r="CY21" s="607">
        <f ca="1">расчет!DB35</f>
        <v>0</v>
      </c>
      <c r="CZ21" s="607">
        <f ca="1">расчет!DC35</f>
        <v>0</v>
      </c>
      <c r="DA21" s="607">
        <f ca="1">расчет!DD35</f>
        <v>0</v>
      </c>
      <c r="DB21" s="607">
        <f ca="1">расчет!DE35</f>
        <v>0</v>
      </c>
      <c r="DC21" s="607">
        <f ca="1">расчет!DF35</f>
        <v>0</v>
      </c>
      <c r="DD21" s="607">
        <f ca="1">расчет!DG35</f>
        <v>0</v>
      </c>
      <c r="DE21" s="607">
        <f ca="1">расчет!DH35</f>
        <v>0</v>
      </c>
      <c r="DF21" s="607">
        <f ca="1">расчет!DI35</f>
        <v>0</v>
      </c>
      <c r="DG21" s="607">
        <f ca="1">расчет!DJ35</f>
        <v>0</v>
      </c>
      <c r="DH21" s="607">
        <f ca="1">расчет!DK35</f>
        <v>0</v>
      </c>
      <c r="DI21" s="607">
        <f ca="1">расчет!DL35</f>
        <v>0</v>
      </c>
      <c r="DJ21" s="607">
        <f ca="1">расчет!DM35</f>
        <v>0</v>
      </c>
      <c r="DK21" s="607">
        <f ca="1">расчет!DN35</f>
        <v>0</v>
      </c>
      <c r="DL21" s="607">
        <f ca="1">расчет!DO35</f>
        <v>0</v>
      </c>
      <c r="DM21" s="607">
        <f ca="1">расчет!DP35</f>
        <v>0</v>
      </c>
      <c r="DN21" s="607">
        <f ca="1">расчет!DQ35</f>
        <v>0</v>
      </c>
      <c r="DO21" s="607">
        <f ca="1">расчет!DR35</f>
        <v>0</v>
      </c>
      <c r="DP21" s="607">
        <f ca="1">расчет!DS35</f>
        <v>0</v>
      </c>
      <c r="DQ21" s="607">
        <f ca="1">расчет!DT35</f>
        <v>0</v>
      </c>
      <c r="DR21" s="607">
        <f ca="1">расчет!DU35</f>
        <v>0</v>
      </c>
      <c r="DS21" s="607">
        <f ca="1">расчет!DV35</f>
        <v>0</v>
      </c>
      <c r="DT21" s="607">
        <f ca="1">расчет!DW35</f>
        <v>0</v>
      </c>
      <c r="DU21" s="607">
        <f ca="1">расчет!DX35</f>
        <v>0</v>
      </c>
      <c r="DV21" s="607">
        <f ca="1">расчет!DY35</f>
        <v>0</v>
      </c>
      <c r="DW21" s="607">
        <f ca="1">расчет!DZ35</f>
        <v>0</v>
      </c>
      <c r="DX21" s="607">
        <f ca="1">расчет!EA35</f>
        <v>0</v>
      </c>
      <c r="DY21" s="607">
        <f ca="1">расчет!EB35</f>
        <v>0</v>
      </c>
      <c r="DZ21" s="607">
        <f ca="1">расчет!EC35</f>
        <v>0</v>
      </c>
      <c r="EA21" s="607">
        <f ca="1">расчет!ED35</f>
        <v>0</v>
      </c>
      <c r="EB21" s="607">
        <f ca="1">расчет!EE35</f>
        <v>0</v>
      </c>
      <c r="EC21" s="607">
        <f ca="1">расчет!EF35</f>
        <v>0</v>
      </c>
      <c r="ED21" s="607">
        <f ca="1">расчет!EG35</f>
        <v>0</v>
      </c>
      <c r="EE21" s="607">
        <f ca="1">расчет!EH35</f>
        <v>0</v>
      </c>
      <c r="EF21" s="607">
        <f ca="1">расчет!EI35</f>
        <v>0</v>
      </c>
      <c r="EG21" s="607">
        <f>расчет!EJ35</f>
        <v>0</v>
      </c>
      <c r="EH21" s="332"/>
    </row>
    <row r="22" spans="1:138" s="321" customFormat="1" outlineLevel="1">
      <c r="A22" s="305" t="s">
        <v>1403</v>
      </c>
      <c r="B22" s="319" t="s">
        <v>87</v>
      </c>
      <c r="C22" s="618">
        <f t="shared" ca="1" si="8"/>
        <v>273216564.38605475</v>
      </c>
      <c r="D22" s="607">
        <f>расчет!G36</f>
        <v>0</v>
      </c>
      <c r="E22" s="607">
        <f ca="1">расчет!H36</f>
        <v>0</v>
      </c>
      <c r="F22" s="607">
        <f ca="1">расчет!I36</f>
        <v>0</v>
      </c>
      <c r="G22" s="607">
        <f ca="1">расчет!J36</f>
        <v>0</v>
      </c>
      <c r="H22" s="607">
        <f ca="1">расчет!K36</f>
        <v>0</v>
      </c>
      <c r="I22" s="607">
        <f ca="1">расчет!L36</f>
        <v>0</v>
      </c>
      <c r="J22" s="607">
        <f ca="1">расчет!M36</f>
        <v>0</v>
      </c>
      <c r="K22" s="607">
        <f ca="1">расчет!N36</f>
        <v>0</v>
      </c>
      <c r="L22" s="607">
        <f ca="1">расчет!O36</f>
        <v>0</v>
      </c>
      <c r="M22" s="607">
        <f ca="1">расчет!P36</f>
        <v>0</v>
      </c>
      <c r="N22" s="607">
        <f ca="1">расчет!Q36</f>
        <v>0</v>
      </c>
      <c r="O22" s="607">
        <f ca="1">расчет!R36</f>
        <v>0</v>
      </c>
      <c r="P22" s="607">
        <f ca="1">расчет!S36</f>
        <v>0</v>
      </c>
      <c r="Q22" s="607">
        <f ca="1">расчет!T36</f>
        <v>0</v>
      </c>
      <c r="R22" s="607">
        <f ca="1">расчет!U36</f>
        <v>0</v>
      </c>
      <c r="S22" s="607">
        <f ca="1">расчет!V36</f>
        <v>0</v>
      </c>
      <c r="T22" s="607">
        <f ca="1">расчет!W36</f>
        <v>0</v>
      </c>
      <c r="U22" s="607">
        <f ca="1">расчет!X36</f>
        <v>0</v>
      </c>
      <c r="V22" s="607">
        <f ca="1">расчет!Y36</f>
        <v>0</v>
      </c>
      <c r="W22" s="607">
        <f ca="1">расчет!Z36</f>
        <v>0</v>
      </c>
      <c r="X22" s="607">
        <f ca="1">расчет!AA36</f>
        <v>0</v>
      </c>
      <c r="Y22" s="607">
        <f ca="1">расчет!AB36</f>
        <v>0</v>
      </c>
      <c r="Z22" s="607">
        <f ca="1">расчет!AC36</f>
        <v>0</v>
      </c>
      <c r="AA22" s="607">
        <f ca="1">расчет!AD36</f>
        <v>0</v>
      </c>
      <c r="AB22" s="607">
        <f ca="1">расчет!AE36</f>
        <v>0</v>
      </c>
      <c r="AC22" s="607">
        <f ca="1">расчет!AF36</f>
        <v>0</v>
      </c>
      <c r="AD22" s="607">
        <f ca="1">расчет!AG36</f>
        <v>0</v>
      </c>
      <c r="AE22" s="607">
        <f ca="1">расчет!AH36</f>
        <v>0</v>
      </c>
      <c r="AF22" s="607">
        <f ca="1">расчет!AI36</f>
        <v>0</v>
      </c>
      <c r="AG22" s="607">
        <f ca="1">расчет!AJ36</f>
        <v>0</v>
      </c>
      <c r="AH22" s="607">
        <f ca="1">расчет!AK36</f>
        <v>0</v>
      </c>
      <c r="AI22" s="607">
        <f ca="1">расчет!AL36</f>
        <v>0</v>
      </c>
      <c r="AJ22" s="607">
        <f ca="1">расчет!AM36</f>
        <v>0</v>
      </c>
      <c r="AK22" s="607">
        <f ca="1">расчет!AN36</f>
        <v>0</v>
      </c>
      <c r="AL22" s="607">
        <f ca="1">расчет!AO36</f>
        <v>0</v>
      </c>
      <c r="AM22" s="607">
        <f ca="1">расчет!AP36</f>
        <v>0</v>
      </c>
      <c r="AN22" s="607">
        <f ca="1">расчет!AQ36</f>
        <v>0</v>
      </c>
      <c r="AO22" s="607">
        <f ca="1">расчет!AR36</f>
        <v>0</v>
      </c>
      <c r="AP22" s="607">
        <f ca="1">расчет!AS36</f>
        <v>0</v>
      </c>
      <c r="AQ22" s="607">
        <f ca="1">расчет!AT36</f>
        <v>0</v>
      </c>
      <c r="AR22" s="607">
        <f ca="1">расчет!AU36</f>
        <v>0</v>
      </c>
      <c r="AS22" s="607">
        <f ca="1">расчет!AV36</f>
        <v>109286625.7544219</v>
      </c>
      <c r="AT22" s="607">
        <f ca="1">расчет!AW36</f>
        <v>0</v>
      </c>
      <c r="AU22" s="607">
        <f ca="1">расчет!AX36</f>
        <v>0</v>
      </c>
      <c r="AV22" s="607">
        <f ca="1">расчет!AY36</f>
        <v>0</v>
      </c>
      <c r="AW22" s="607">
        <f ca="1">расчет!AZ36</f>
        <v>0</v>
      </c>
      <c r="AX22" s="607">
        <f ca="1">расчет!BA36</f>
        <v>0</v>
      </c>
      <c r="AY22" s="607">
        <f ca="1">расчет!BB36</f>
        <v>6026835.9791041482</v>
      </c>
      <c r="AZ22" s="607">
        <f ca="1">расчет!BC36</f>
        <v>33750281.482983239</v>
      </c>
      <c r="BA22" s="607">
        <f ca="1">расчет!BD36</f>
        <v>37366383.070445716</v>
      </c>
      <c r="BB22" s="607">
        <f ca="1">расчет!BE36</f>
        <v>36161015.874624893</v>
      </c>
      <c r="BC22" s="607">
        <f ca="1">расчет!BF36</f>
        <v>9642937.5665666386</v>
      </c>
      <c r="BD22" s="607">
        <f ca="1">расчет!BG36</f>
        <v>34152070.548256844</v>
      </c>
      <c r="BE22" s="607">
        <f ca="1">расчет!BH36</f>
        <v>0</v>
      </c>
      <c r="BF22" s="607">
        <f ca="1">расчет!BI36</f>
        <v>0</v>
      </c>
      <c r="BG22" s="607">
        <f ca="1">расчет!BJ36</f>
        <v>0</v>
      </c>
      <c r="BH22" s="607">
        <f ca="1">расчет!BK36</f>
        <v>0</v>
      </c>
      <c r="BI22" s="607">
        <f ca="1">расчет!BL36</f>
        <v>0</v>
      </c>
      <c r="BJ22" s="607">
        <f ca="1">расчет!BM36</f>
        <v>0</v>
      </c>
      <c r="BK22" s="607">
        <f ca="1">расчет!BN36</f>
        <v>0</v>
      </c>
      <c r="BL22" s="607">
        <f ca="1">расчет!BO36</f>
        <v>0</v>
      </c>
      <c r="BM22" s="607">
        <f ca="1">расчет!BP36</f>
        <v>0</v>
      </c>
      <c r="BN22" s="607">
        <f ca="1">расчет!BQ36</f>
        <v>0</v>
      </c>
      <c r="BO22" s="607">
        <f ca="1">расчет!BR36</f>
        <v>0</v>
      </c>
      <c r="BP22" s="607">
        <f ca="1">расчет!BS36</f>
        <v>0</v>
      </c>
      <c r="BQ22" s="607">
        <f ca="1">расчет!BT36</f>
        <v>0</v>
      </c>
      <c r="BR22" s="607">
        <f ca="1">расчет!BU36</f>
        <v>0</v>
      </c>
      <c r="BS22" s="607">
        <f ca="1">расчет!BV36</f>
        <v>0</v>
      </c>
      <c r="BT22" s="607">
        <f ca="1">расчет!BW36</f>
        <v>0</v>
      </c>
      <c r="BU22" s="607">
        <f ca="1">расчет!BX36</f>
        <v>0</v>
      </c>
      <c r="BV22" s="607">
        <f ca="1">расчет!BY36</f>
        <v>0</v>
      </c>
      <c r="BW22" s="607">
        <f ca="1">расчет!BZ36</f>
        <v>0</v>
      </c>
      <c r="BX22" s="607">
        <f ca="1">расчет!CA36</f>
        <v>0</v>
      </c>
      <c r="BY22" s="607">
        <f ca="1">расчет!CB36</f>
        <v>0</v>
      </c>
      <c r="BZ22" s="607">
        <f ca="1">расчет!CC36</f>
        <v>0</v>
      </c>
      <c r="CA22" s="607">
        <f ca="1">расчет!CD36</f>
        <v>6830414.109651369</v>
      </c>
      <c r="CB22" s="607">
        <f ca="1">расчет!CE36</f>
        <v>0</v>
      </c>
      <c r="CC22" s="607">
        <f ca="1">расчет!CF36</f>
        <v>0</v>
      </c>
      <c r="CD22" s="607">
        <f ca="1">расчет!CG36</f>
        <v>0</v>
      </c>
      <c r="CE22" s="607">
        <f ca="1">расчет!CH36</f>
        <v>0</v>
      </c>
      <c r="CF22" s="607">
        <f ca="1">расчет!CI36</f>
        <v>0</v>
      </c>
      <c r="CG22" s="607">
        <f ca="1">расчет!CJ36</f>
        <v>0</v>
      </c>
      <c r="CH22" s="607">
        <f ca="1">расчет!CK36</f>
        <v>0</v>
      </c>
      <c r="CI22" s="607">
        <f ca="1">расчет!CL36</f>
        <v>0</v>
      </c>
      <c r="CJ22" s="607">
        <f ca="1">расчет!CM36</f>
        <v>0</v>
      </c>
      <c r="CK22" s="607">
        <f ca="1">расчет!CN36</f>
        <v>0</v>
      </c>
      <c r="CL22" s="607">
        <f ca="1">расчет!CO36</f>
        <v>0</v>
      </c>
      <c r="CM22" s="607">
        <f ca="1">расчет!CP36</f>
        <v>0</v>
      </c>
      <c r="CN22" s="607">
        <f ca="1">расчет!CQ36</f>
        <v>0</v>
      </c>
      <c r="CO22" s="607">
        <f ca="1">расчет!CR36</f>
        <v>0</v>
      </c>
      <c r="CP22" s="607">
        <f ca="1">расчет!CS36</f>
        <v>0</v>
      </c>
      <c r="CQ22" s="607">
        <f ca="1">расчет!CT36</f>
        <v>0</v>
      </c>
      <c r="CR22" s="607">
        <f ca="1">расчет!CU36</f>
        <v>0</v>
      </c>
      <c r="CS22" s="607">
        <f ca="1">расчет!CV36</f>
        <v>0</v>
      </c>
      <c r="CT22" s="607">
        <f ca="1">расчет!CW36</f>
        <v>0</v>
      </c>
      <c r="CU22" s="607">
        <f ca="1">расчет!CX36</f>
        <v>0</v>
      </c>
      <c r="CV22" s="607">
        <f ca="1">расчет!CY36</f>
        <v>0</v>
      </c>
      <c r="CW22" s="607">
        <f ca="1">расчет!CZ36</f>
        <v>0</v>
      </c>
      <c r="CX22" s="607">
        <f ca="1">расчет!DA36</f>
        <v>0</v>
      </c>
      <c r="CY22" s="607">
        <f ca="1">расчет!DB36</f>
        <v>0</v>
      </c>
      <c r="CZ22" s="607">
        <f ca="1">расчет!DC36</f>
        <v>0</v>
      </c>
      <c r="DA22" s="607">
        <f ca="1">расчет!DD36</f>
        <v>0</v>
      </c>
      <c r="DB22" s="607">
        <f ca="1">расчет!DE36</f>
        <v>0</v>
      </c>
      <c r="DC22" s="607">
        <f ca="1">расчет!DF36</f>
        <v>0</v>
      </c>
      <c r="DD22" s="607">
        <f ca="1">расчет!DG36</f>
        <v>0</v>
      </c>
      <c r="DE22" s="607">
        <f ca="1">расчет!DH36</f>
        <v>0</v>
      </c>
      <c r="DF22" s="607">
        <f ca="1">расчет!DI36</f>
        <v>0</v>
      </c>
      <c r="DG22" s="607">
        <f ca="1">расчет!DJ36</f>
        <v>0</v>
      </c>
      <c r="DH22" s="607">
        <f ca="1">расчет!DK36</f>
        <v>0</v>
      </c>
      <c r="DI22" s="607">
        <f ca="1">расчет!DL36</f>
        <v>0</v>
      </c>
      <c r="DJ22" s="607">
        <f ca="1">расчет!DM36</f>
        <v>0</v>
      </c>
      <c r="DK22" s="607">
        <f ca="1">расчет!DN36</f>
        <v>0</v>
      </c>
      <c r="DL22" s="607">
        <f ca="1">расчет!DO36</f>
        <v>0</v>
      </c>
      <c r="DM22" s="607">
        <f ca="1">расчет!DP36</f>
        <v>0</v>
      </c>
      <c r="DN22" s="607">
        <f ca="1">расчет!DQ36</f>
        <v>0</v>
      </c>
      <c r="DO22" s="607">
        <f ca="1">расчет!DR36</f>
        <v>0</v>
      </c>
      <c r="DP22" s="607">
        <f ca="1">расчет!DS36</f>
        <v>0</v>
      </c>
      <c r="DQ22" s="607">
        <f ca="1">расчет!DT36</f>
        <v>0</v>
      </c>
      <c r="DR22" s="607">
        <f ca="1">расчет!DU36</f>
        <v>0</v>
      </c>
      <c r="DS22" s="607">
        <f ca="1">расчет!DV36</f>
        <v>0</v>
      </c>
      <c r="DT22" s="607">
        <f ca="1">расчет!DW36</f>
        <v>0</v>
      </c>
      <c r="DU22" s="607">
        <f ca="1">расчет!DX36</f>
        <v>0</v>
      </c>
      <c r="DV22" s="607">
        <f ca="1">расчет!DY36</f>
        <v>0</v>
      </c>
      <c r="DW22" s="607">
        <f ca="1">расчет!DZ36</f>
        <v>0</v>
      </c>
      <c r="DX22" s="607">
        <f ca="1">расчет!EA36</f>
        <v>0</v>
      </c>
      <c r="DY22" s="607">
        <f ca="1">расчет!EB36</f>
        <v>0</v>
      </c>
      <c r="DZ22" s="607">
        <f ca="1">расчет!EC36</f>
        <v>0</v>
      </c>
      <c r="EA22" s="607">
        <f ca="1">расчет!ED36</f>
        <v>0</v>
      </c>
      <c r="EB22" s="607">
        <f ca="1">расчет!EE36</f>
        <v>0</v>
      </c>
      <c r="EC22" s="607">
        <f ca="1">расчет!EF36</f>
        <v>0</v>
      </c>
      <c r="ED22" s="607">
        <f ca="1">расчет!EG36</f>
        <v>0</v>
      </c>
      <c r="EE22" s="607">
        <f ca="1">расчет!EH36</f>
        <v>0</v>
      </c>
      <c r="EF22" s="607">
        <f ca="1">расчет!EI36</f>
        <v>0</v>
      </c>
      <c r="EG22" s="607">
        <f>расчет!EJ36</f>
        <v>0</v>
      </c>
      <c r="EH22" s="332"/>
    </row>
    <row r="23" spans="1:138" s="321" customFormat="1" outlineLevel="1">
      <c r="A23" s="305" t="s">
        <v>1399</v>
      </c>
      <c r="B23" s="319" t="s">
        <v>1146</v>
      </c>
      <c r="C23" s="618">
        <f t="shared" ca="1" si="8"/>
        <v>411214051.08785212</v>
      </c>
      <c r="D23" s="607">
        <f>расчет!G37+расчет!G38+расчет!G39+расчет!G40+расчет!G41</f>
        <v>0</v>
      </c>
      <c r="E23" s="607">
        <f ca="1">расчет!H37+расчет!H38+расчет!H39+расчет!H40+расчет!H41</f>
        <v>0</v>
      </c>
      <c r="F23" s="607">
        <f ca="1">расчет!I37+расчет!I38+расчет!I39+расчет!I40+расчет!I41</f>
        <v>0</v>
      </c>
      <c r="G23" s="607">
        <f ca="1">расчет!J37+расчет!J38+расчет!J39+расчет!J40+расчет!J41</f>
        <v>0</v>
      </c>
      <c r="H23" s="607">
        <f ca="1">расчет!K37+расчет!K38+расчет!K39+расчет!K40+расчет!K41</f>
        <v>0</v>
      </c>
      <c r="I23" s="607">
        <f ca="1">расчет!L37+расчет!L38+расчет!L39+расчет!L40+расчет!L41</f>
        <v>0</v>
      </c>
      <c r="J23" s="607">
        <f ca="1">расчет!M37+расчет!M38+расчет!M39+расчет!M40+расчет!M41</f>
        <v>0</v>
      </c>
      <c r="K23" s="607">
        <f ca="1">расчет!N37+расчет!N38+расчет!N39+расчет!N40+расчет!N41</f>
        <v>0</v>
      </c>
      <c r="L23" s="607">
        <f ca="1">расчет!O37+расчет!O38+расчет!O39+расчет!O40+расчет!O41</f>
        <v>0</v>
      </c>
      <c r="M23" s="607">
        <f ca="1">расчет!P37+расчет!P38+расчет!P39+расчет!P40+расчет!P41</f>
        <v>0</v>
      </c>
      <c r="N23" s="607">
        <f ca="1">расчет!Q37+расчет!Q38+расчет!Q39+расчет!Q40+расчет!Q41</f>
        <v>0</v>
      </c>
      <c r="O23" s="607">
        <f ca="1">расчет!R37+расчет!R38+расчет!R39+расчет!R40+расчет!R41</f>
        <v>0</v>
      </c>
      <c r="P23" s="607">
        <f ca="1">расчет!S37+расчет!S38+расчет!S39+расчет!S40+расчет!S41</f>
        <v>0</v>
      </c>
      <c r="Q23" s="607">
        <f ca="1">расчет!T37+расчет!T38+расчет!T39+расчет!T40+расчет!T41</f>
        <v>0</v>
      </c>
      <c r="R23" s="607">
        <f ca="1">расчет!U37+расчет!U38+расчет!U39+расчет!U40+расчет!U41</f>
        <v>0</v>
      </c>
      <c r="S23" s="607">
        <f ca="1">расчет!V37+расчет!V38+расчет!V39+расчет!V40+расчет!V41</f>
        <v>0</v>
      </c>
      <c r="T23" s="607">
        <f ca="1">расчет!W37+расчет!W38+расчет!W39+расчет!W40+расчет!W41</f>
        <v>0</v>
      </c>
      <c r="U23" s="607">
        <f ca="1">расчет!X37+расчет!X38+расчет!X39+расчет!X40+расчет!X41</f>
        <v>0</v>
      </c>
      <c r="V23" s="607">
        <f ca="1">расчет!Y37+расчет!Y38+расчет!Y39+расчет!Y40+расчет!Y41</f>
        <v>0</v>
      </c>
      <c r="W23" s="607">
        <f ca="1">расчет!Z37+расчет!Z38+расчет!Z39+расчет!Z40+расчет!Z41</f>
        <v>0</v>
      </c>
      <c r="X23" s="607">
        <f ca="1">расчет!AA37+расчет!AA38+расчет!AA39+расчет!AA40+расчет!AA41</f>
        <v>0</v>
      </c>
      <c r="Y23" s="607">
        <f ca="1">расчет!AB37+расчет!AB38+расчет!AB39+расчет!AB40+расчет!AB41</f>
        <v>0</v>
      </c>
      <c r="Z23" s="607">
        <f ca="1">расчет!AC37+расчет!AC38+расчет!AC39+расчет!AC40+расчет!AC41</f>
        <v>0</v>
      </c>
      <c r="AA23" s="607">
        <f ca="1">расчет!AD37+расчет!AD38+расчет!AD39+расчет!AD40+расчет!AD41</f>
        <v>0</v>
      </c>
      <c r="AB23" s="607">
        <f ca="1">расчет!AE37+расчет!AE38+расчет!AE39+расчет!AE40+расчет!AE41</f>
        <v>0</v>
      </c>
      <c r="AC23" s="607">
        <f ca="1">расчет!AF37+расчет!AF38+расчет!AF39+расчет!AF40+расчет!AF41</f>
        <v>0</v>
      </c>
      <c r="AD23" s="607">
        <f ca="1">расчет!AG37+расчет!AG38+расчет!AG39+расчет!AG40+расчет!AG41</f>
        <v>0</v>
      </c>
      <c r="AE23" s="607">
        <f ca="1">расчет!AH37+расчет!AH38+расчет!AH39+расчет!AH40+расчет!AH41</f>
        <v>0</v>
      </c>
      <c r="AF23" s="607">
        <f ca="1">расчет!AI37+расчет!AI38+расчет!AI39+расчет!AI40+расчет!AI41</f>
        <v>0</v>
      </c>
      <c r="AG23" s="607">
        <f ca="1">расчет!AJ37+расчет!AJ38+расчет!AJ39+расчет!AJ40+расчет!AJ41</f>
        <v>0</v>
      </c>
      <c r="AH23" s="607">
        <f ca="1">расчет!AK37+расчет!AK38+расчет!AK39+расчет!AK40+расчет!AK41</f>
        <v>0</v>
      </c>
      <c r="AI23" s="607">
        <f ca="1">расчет!AL37+расчет!AL38+расчет!AL39+расчет!AL40+расчет!AL41</f>
        <v>0</v>
      </c>
      <c r="AJ23" s="607">
        <f ca="1">расчет!AM37+расчет!AM38+расчет!AM39+расчет!AM40+расчет!AM41</f>
        <v>0</v>
      </c>
      <c r="AK23" s="607">
        <f ca="1">расчет!AN37+расчет!AN38+расчет!AN39+расчет!AN40+расчет!AN41</f>
        <v>0</v>
      </c>
      <c r="AL23" s="607">
        <f ca="1">расчет!AO37+расчет!AO38+расчет!AO39+расчет!AO40+расчет!AO41</f>
        <v>0</v>
      </c>
      <c r="AM23" s="607">
        <f ca="1">расчет!AP37+расчет!AP38+расчет!AP39+расчет!AP40+расчет!AP41</f>
        <v>0</v>
      </c>
      <c r="AN23" s="607">
        <f ca="1">расчет!AQ37+расчет!AQ38+расчет!AQ39+расчет!AQ40+расчет!AQ41</f>
        <v>0</v>
      </c>
      <c r="AO23" s="607">
        <f ca="1">расчет!AR37+расчет!AR38+расчет!AR39+расчет!AR40+расчет!AR41</f>
        <v>0</v>
      </c>
      <c r="AP23" s="607">
        <f ca="1">расчет!AS37+расчет!AS38+расчет!AS39+расчет!AS40+расчет!AS41</f>
        <v>0</v>
      </c>
      <c r="AQ23" s="607">
        <f ca="1">расчет!AT37+расчет!AT38+расчет!AT39+расчет!AT40+расчет!AT41</f>
        <v>0</v>
      </c>
      <c r="AR23" s="607">
        <f ca="1">расчет!AU37+расчет!AU38+расчет!AU39+расчет!AU40+расчет!AU41</f>
        <v>0</v>
      </c>
      <c r="AS23" s="607">
        <f ca="1">расчет!AV37+расчет!AV38+расчет!AV39+расчет!AV40+расчет!AV41</f>
        <v>123364215.32635567</v>
      </c>
      <c r="AT23" s="607">
        <f ca="1">расчет!AW37+расчет!AW38+расчет!AW39+расчет!AW40+расчет!AW41</f>
        <v>0</v>
      </c>
      <c r="AU23" s="607">
        <f ca="1">расчет!AX37+расчет!AX38+расчет!AX39+расчет!AX40+расчет!AX41</f>
        <v>4135417.4523223853</v>
      </c>
      <c r="AV23" s="607">
        <f ca="1">расчет!AY37+расчет!AY38+расчет!AY39+расчет!AY40+расчет!AY41</f>
        <v>25385730.895444289</v>
      </c>
      <c r="AW23" s="607">
        <f ca="1">расчет!AZ37+расчет!AZ38+расчет!AZ39+расчет!AZ40+расчет!AZ41</f>
        <v>24566836.350429956</v>
      </c>
      <c r="AX23" s="607">
        <f ca="1">расчет!BA37+расчет!BA38+расчет!BA39+расчет!BA40+расчет!BA41</f>
        <v>25385730.895444289</v>
      </c>
      <c r="AY23" s="607">
        <f ca="1">расчет!BB37+расчет!BB38+расчет!BB39+расчет!BB40+расчет!BB41</f>
        <v>25385730.895444289</v>
      </c>
      <c r="AZ23" s="607">
        <f ca="1">расчет!BC37+расчет!BC38+расчет!BC39+расчет!BC40+расчет!BC41</f>
        <v>22929047.26040129</v>
      </c>
      <c r="BA23" s="607">
        <f ca="1">расчет!BD37+расчет!BD38+расчет!BD39+расчет!BD40+расчет!BD41</f>
        <v>25385730.895444289</v>
      </c>
      <c r="BB23" s="607">
        <f ca="1">расчет!BE37+расчет!BE38+расчет!BE39+расчет!BE40+расчет!BE41</f>
        <v>24566836.350429956</v>
      </c>
      <c r="BC23" s="607">
        <f ca="1">расчет!BF37+расчет!BF38+расчет!BF39+расчет!BF40+расчет!BF41</f>
        <v>24726884.420980506</v>
      </c>
      <c r="BD23" s="607">
        <f ca="1">расчет!BG37+расчет!BG38+расчет!BG39+расчет!BG40+расчет!BG41</f>
        <v>23200227.895935617</v>
      </c>
      <c r="BE23" s="607">
        <f ca="1">расчет!BH37+расчет!BH38+расчет!BH39+расчет!BH40+расчет!BH41</f>
        <v>21566550.444214821</v>
      </c>
      <c r="BF23" s="607">
        <f ca="1">расчет!BI37+расчет!BI38+расчет!BI39+расчет!BI40+расчет!BI41</f>
        <v>21343008.017235234</v>
      </c>
      <c r="BG23" s="607">
        <f ca="1">расчет!BJ37+расчет!BJ38+расчет!BJ39+расчет!BJ40+расчет!BJ41</f>
        <v>8991752.7105733212</v>
      </c>
      <c r="BH23" s="607">
        <f ca="1">расчет!BK37+расчет!BK38+расчет!BK39+расчет!BK40+расчет!BK41</f>
        <v>0</v>
      </c>
      <c r="BI23" s="607">
        <f ca="1">расчет!BL37+расчет!BL38+расчет!BL39+расчет!BL40+расчет!BL41</f>
        <v>0</v>
      </c>
      <c r="BJ23" s="607">
        <f ca="1">расчет!BM37+расчет!BM38+расчет!BM39+расчет!BM40+расчет!BM41</f>
        <v>0</v>
      </c>
      <c r="BK23" s="607">
        <f ca="1">расчет!BN37+расчет!BN38+расчет!BN39+расчет!BN40+расчет!BN41</f>
        <v>0</v>
      </c>
      <c r="BL23" s="607">
        <f ca="1">расчет!BO37+расчет!BO38+расчет!BO39+расчет!BO40+расчет!BO41</f>
        <v>0</v>
      </c>
      <c r="BM23" s="607">
        <f ca="1">расчет!BP37+расчет!BP38+расчет!BP39+расчет!BP40+расчет!BP41</f>
        <v>0</v>
      </c>
      <c r="BN23" s="607">
        <f ca="1">расчет!BQ37+расчет!BQ38+расчет!BQ39+расчет!BQ40+расчет!BQ41</f>
        <v>0</v>
      </c>
      <c r="BO23" s="607">
        <f ca="1">расчет!BR37+расчет!BR38+расчет!BR39+расчет!BR40+расчет!BR41</f>
        <v>0</v>
      </c>
      <c r="BP23" s="607">
        <f ca="1">расчет!BS37+расчет!BS38+расчет!BS39+расчет!BS40+расчет!BS41</f>
        <v>0</v>
      </c>
      <c r="BQ23" s="607">
        <f ca="1">расчет!BT37+расчет!BT38+расчет!BT39+расчет!BT40+расчет!BT41</f>
        <v>0</v>
      </c>
      <c r="BR23" s="607">
        <f ca="1">расчет!BU37+расчет!BU38+расчет!BU39+расчет!BU40+расчет!BU41</f>
        <v>0</v>
      </c>
      <c r="BS23" s="607">
        <f ca="1">расчет!BV37+расчет!BV38+расчет!BV39+расчет!BV40+расчет!BV41</f>
        <v>0</v>
      </c>
      <c r="BT23" s="607">
        <f ca="1">расчет!BW37+расчет!BW38+расчет!BW39+расчет!BW40+расчет!BW41</f>
        <v>0</v>
      </c>
      <c r="BU23" s="607">
        <f ca="1">расчет!BX37+расчет!BX38+расчет!BX39+расчет!BX40+расчет!BX41</f>
        <v>0</v>
      </c>
      <c r="BV23" s="607">
        <f ca="1">расчет!BY37+расчет!BY38+расчет!BY39+расчет!BY40+расчет!BY41</f>
        <v>0</v>
      </c>
      <c r="BW23" s="607">
        <f ca="1">расчет!BZ37+расчет!BZ38+расчет!BZ39+расчет!BZ40+расчет!BZ41</f>
        <v>0</v>
      </c>
      <c r="BX23" s="607">
        <f ca="1">расчет!CA37+расчет!CA38+расчет!CA39+расчет!CA40+расчет!CA41</f>
        <v>0</v>
      </c>
      <c r="BY23" s="607">
        <f ca="1">расчет!CB37+расчет!CB38+расчет!CB39+расчет!CB40+расчет!CB41</f>
        <v>0</v>
      </c>
      <c r="BZ23" s="607">
        <f ca="1">расчет!CC37+расчет!CC38+расчет!CC39+расчет!CC40+расчет!CC41</f>
        <v>0</v>
      </c>
      <c r="CA23" s="607">
        <f ca="1">расчет!CD37+расчет!CD38+расчет!CD39+расчет!CD40+расчет!CD41</f>
        <v>600097.43942740327</v>
      </c>
      <c r="CB23" s="607">
        <f ca="1">расчет!CE37+расчет!CE38+расчет!CE39+расчет!CE40+расчет!CE41</f>
        <v>0</v>
      </c>
      <c r="CC23" s="607">
        <f ca="1">расчет!CF37+расчет!CF38+расчет!CF39+расчет!CF40+расчет!CF41</f>
        <v>688501.1271955811</v>
      </c>
      <c r="CD23" s="607">
        <f ca="1">расчет!CG37+расчет!CG38+расчет!CG39+расчет!CG40+расчет!CG41</f>
        <v>8991752.7105733212</v>
      </c>
      <c r="CE23" s="607">
        <f ca="1">расчет!CH37+расчет!CH38+расчет!CH39+расчет!CH40+расчет!CH41</f>
        <v>0</v>
      </c>
      <c r="CF23" s="607">
        <f ca="1">расчет!CI37+расчет!CI38+расчет!CI39+расчет!CI40+расчет!CI41</f>
        <v>0</v>
      </c>
      <c r="CG23" s="607">
        <f ca="1">расчет!CJ37+расчет!CJ38+расчет!CJ39+расчет!CJ40+расчет!CJ41</f>
        <v>0</v>
      </c>
      <c r="CH23" s="607">
        <f ca="1">расчет!CK37+расчет!CK38+расчет!CK39+расчет!CK40+расчет!CK41</f>
        <v>0</v>
      </c>
      <c r="CI23" s="607">
        <f ca="1">расчет!CL37+расчет!CL38+расчет!CL39+расчет!CL40+расчет!CL41</f>
        <v>0</v>
      </c>
      <c r="CJ23" s="607">
        <f ca="1">расчет!CM37+расчет!CM38+расчет!CM39+расчет!CM40+расчет!CM41</f>
        <v>0</v>
      </c>
      <c r="CK23" s="607">
        <f ca="1">расчет!CN37+расчет!CN38+расчет!CN39+расчет!CN40+расчет!CN41</f>
        <v>0</v>
      </c>
      <c r="CL23" s="607">
        <f ca="1">расчет!CO37+расчет!CO38+расчет!CO39+расчет!CO40+расчет!CO41</f>
        <v>0</v>
      </c>
      <c r="CM23" s="607">
        <f ca="1">расчет!CP37+расчет!CP38+расчет!CP39+расчет!CP40+расчет!CP41</f>
        <v>0</v>
      </c>
      <c r="CN23" s="607">
        <f ca="1">расчет!CQ37+расчет!CQ38+расчет!CQ39+расчет!CQ40+расчет!CQ41</f>
        <v>0</v>
      </c>
      <c r="CO23" s="607">
        <f ca="1">расчет!CR37+расчет!CR38+расчет!CR39+расчет!CR40+расчет!CR41</f>
        <v>0</v>
      </c>
      <c r="CP23" s="607">
        <f ca="1">расчет!CS37+расчет!CS38+расчет!CS39+расчет!CS40+расчет!CS41</f>
        <v>0</v>
      </c>
      <c r="CQ23" s="607">
        <f ca="1">расчет!CT37+расчет!CT38+расчет!CT39+расчет!CT40+расчет!CT41</f>
        <v>0</v>
      </c>
      <c r="CR23" s="607">
        <f ca="1">расчет!CU37+расчет!CU38+расчет!CU39+расчет!CU40+расчет!CU41</f>
        <v>0</v>
      </c>
      <c r="CS23" s="607">
        <f ca="1">расчет!CV37+расчет!CV38+расчет!CV39+расчет!CV40+расчет!CV41</f>
        <v>0</v>
      </c>
      <c r="CT23" s="607">
        <f ca="1">расчет!CW37+расчет!CW38+расчет!CW39+расчет!CW40+расчет!CW41</f>
        <v>0</v>
      </c>
      <c r="CU23" s="607">
        <f ca="1">расчет!CX37+расчет!CX38+расчет!CX39+расчет!CX40+расчет!CX41</f>
        <v>0</v>
      </c>
      <c r="CV23" s="607">
        <f ca="1">расчет!CY37+расчет!CY38+расчет!CY39+расчет!CY40+расчет!CY41</f>
        <v>0</v>
      </c>
      <c r="CW23" s="607">
        <f ca="1">расчет!CZ37+расчет!CZ38+расчет!CZ39+расчет!CZ40+расчет!CZ41</f>
        <v>0</v>
      </c>
      <c r="CX23" s="607">
        <f ca="1">расчет!DA37+расчет!DA38+расчет!DA39+расчет!DA40+расчет!DA41</f>
        <v>0</v>
      </c>
      <c r="CY23" s="607">
        <f ca="1">расчет!DB37+расчет!DB38+расчет!DB39+расчет!DB40+расчет!DB41</f>
        <v>0</v>
      </c>
      <c r="CZ23" s="607">
        <f ca="1">расчет!DC37+расчет!DC38+расчет!DC39+расчет!DC40+расчет!DC41</f>
        <v>0</v>
      </c>
      <c r="DA23" s="607">
        <f ca="1">расчет!DD37+расчет!DD38+расчет!DD39+расчет!DD40+расчет!DD41</f>
        <v>0</v>
      </c>
      <c r="DB23" s="607">
        <f ca="1">расчет!DE37+расчет!DE38+расчет!DE39+расчет!DE40+расчет!DE41</f>
        <v>0</v>
      </c>
      <c r="DC23" s="607">
        <f ca="1">расчет!DF37+расчет!DF38+расчет!DF39+расчет!DF40+расчет!DF41</f>
        <v>0</v>
      </c>
      <c r="DD23" s="607">
        <f ca="1">расчет!DG37+расчет!DG38+расчет!DG39+расчет!DG40+расчет!DG41</f>
        <v>0</v>
      </c>
      <c r="DE23" s="607">
        <f ca="1">расчет!DH37+расчет!DH38+расчет!DH39+расчет!DH40+расчет!DH41</f>
        <v>0</v>
      </c>
      <c r="DF23" s="607">
        <f ca="1">расчет!DI37+расчет!DI38+расчет!DI39+расчет!DI40+расчет!DI41</f>
        <v>0</v>
      </c>
      <c r="DG23" s="607">
        <f ca="1">расчет!DJ37+расчет!DJ38+расчет!DJ39+расчет!DJ40+расчет!DJ41</f>
        <v>0</v>
      </c>
      <c r="DH23" s="607">
        <f ca="1">расчет!DK37+расчет!DK38+расчет!DK39+расчет!DK40+расчет!DK41</f>
        <v>0</v>
      </c>
      <c r="DI23" s="607">
        <f ca="1">расчет!DL37+расчет!DL38+расчет!DL39+расчет!DL40+расчет!DL41</f>
        <v>0</v>
      </c>
      <c r="DJ23" s="607">
        <f ca="1">расчет!DM37+расчет!DM38+расчет!DM39+расчет!DM40+расчет!DM41</f>
        <v>0</v>
      </c>
      <c r="DK23" s="607">
        <f ca="1">расчет!DN37+расчет!DN38+расчет!DN39+расчет!DN40+расчет!DN41</f>
        <v>0</v>
      </c>
      <c r="DL23" s="607">
        <f ca="1">расчет!DO37+расчет!DO38+расчет!DO39+расчет!DO40+расчет!DO41</f>
        <v>0</v>
      </c>
      <c r="DM23" s="607">
        <f ca="1">расчет!DP37+расчет!DP38+расчет!DP39+расчет!DP40+расчет!DP41</f>
        <v>0</v>
      </c>
      <c r="DN23" s="607">
        <f ca="1">расчет!DQ37+расчет!DQ38+расчет!DQ39+расчет!DQ40+расчет!DQ41</f>
        <v>0</v>
      </c>
      <c r="DO23" s="607">
        <f ca="1">расчет!DR37+расчет!DR38+расчет!DR39+расчет!DR40+расчет!DR41</f>
        <v>0</v>
      </c>
      <c r="DP23" s="607">
        <f ca="1">расчет!DS37+расчет!DS38+расчет!DS39+расчет!DS40+расчет!DS41</f>
        <v>0</v>
      </c>
      <c r="DQ23" s="607">
        <f ca="1">расчет!DT37+расчет!DT38+расчет!DT39+расчет!DT40+расчет!DT41</f>
        <v>0</v>
      </c>
      <c r="DR23" s="607">
        <f ca="1">расчет!DU37+расчет!DU38+расчет!DU39+расчет!DU40+расчет!DU41</f>
        <v>0</v>
      </c>
      <c r="DS23" s="607">
        <f ca="1">расчет!DV37+расчет!DV38+расчет!DV39+расчет!DV40+расчет!DV41</f>
        <v>0</v>
      </c>
      <c r="DT23" s="607">
        <f ca="1">расчет!DW37+расчет!DW38+расчет!DW39+расчет!DW40+расчет!DW41</f>
        <v>0</v>
      </c>
      <c r="DU23" s="607">
        <f ca="1">расчет!DX37+расчет!DX38+расчет!DX39+расчет!DX40+расчет!DX41</f>
        <v>0</v>
      </c>
      <c r="DV23" s="607">
        <f ca="1">расчет!DY37+расчет!DY38+расчет!DY39+расчет!DY40+расчет!DY41</f>
        <v>0</v>
      </c>
      <c r="DW23" s="607">
        <f ca="1">расчет!DZ37+расчет!DZ38+расчет!DZ39+расчет!DZ40+расчет!DZ41</f>
        <v>0</v>
      </c>
      <c r="DX23" s="607">
        <f ca="1">расчет!EA37+расчет!EA38+расчет!EA39+расчет!EA40+расчет!EA41</f>
        <v>0</v>
      </c>
      <c r="DY23" s="607">
        <f ca="1">расчет!EB37+расчет!EB38+расчет!EB39+расчет!EB40+расчет!EB41</f>
        <v>0</v>
      </c>
      <c r="DZ23" s="607">
        <f ca="1">расчет!EC37+расчет!EC38+расчет!EC39+расчет!EC40+расчет!EC41</f>
        <v>0</v>
      </c>
      <c r="EA23" s="607">
        <f ca="1">расчет!ED37+расчет!ED38+расчет!ED39+расчет!ED40+расчет!ED41</f>
        <v>0</v>
      </c>
      <c r="EB23" s="607">
        <f ca="1">расчет!EE37+расчет!EE38+расчет!EE39+расчет!EE40+расчет!EE41</f>
        <v>0</v>
      </c>
      <c r="EC23" s="607">
        <f ca="1">расчет!EF37+расчет!EF38+расчет!EF39+расчет!EF40+расчет!EF41</f>
        <v>0</v>
      </c>
      <c r="ED23" s="607">
        <f ca="1">расчет!EG37+расчет!EG38+расчет!EG39+расчет!EG40+расчет!EG41</f>
        <v>0</v>
      </c>
      <c r="EE23" s="607">
        <f ca="1">расчет!EH37+расчет!EH38+расчет!EH39+расчет!EH40+расчет!EH41</f>
        <v>0</v>
      </c>
      <c r="EF23" s="607">
        <f ca="1">расчет!EI37+расчет!EI38+расчет!EI39+расчет!EI40+расчет!EI41</f>
        <v>0</v>
      </c>
      <c r="EG23" s="607">
        <f>расчет!EJ37+расчет!EJ38+расчет!EJ39+расчет!EJ40+расчет!EJ41</f>
        <v>0</v>
      </c>
      <c r="EH23" s="332"/>
    </row>
    <row r="24" spans="1:138" s="321" customFormat="1" outlineLevel="1">
      <c r="A24" s="305" t="s">
        <v>1377</v>
      </c>
      <c r="B24" s="319" t="s">
        <v>1162</v>
      </c>
      <c r="C24" s="618">
        <f t="shared" ca="1" si="8"/>
        <v>1250967456.8910012</v>
      </c>
      <c r="D24" s="607">
        <f>расчет!G42+расчет!G43+расчет!G44+расчет!G45+расчет!G46+расчет!G47</f>
        <v>0</v>
      </c>
      <c r="E24" s="607">
        <f ca="1">расчет!H42+расчет!H43+расчет!H44+расчет!H45+расчет!H46+расчет!H47</f>
        <v>0</v>
      </c>
      <c r="F24" s="607">
        <f ca="1">расчет!I42+расчет!I43+расчет!I44+расчет!I45+расчет!I46+расчет!I47</f>
        <v>0</v>
      </c>
      <c r="G24" s="607">
        <f ca="1">расчет!J42+расчет!J43+расчет!J44+расчет!J45+расчет!J46+расчет!J47</f>
        <v>0</v>
      </c>
      <c r="H24" s="607">
        <f ca="1">расчет!K42+расчет!K43+расчет!K44+расчет!K45+расчет!K46+расчет!K47</f>
        <v>0</v>
      </c>
      <c r="I24" s="607">
        <f ca="1">расчет!L42+расчет!L43+расчет!L44+расчет!L45+расчет!L46+расчет!L47</f>
        <v>0</v>
      </c>
      <c r="J24" s="607">
        <f ca="1">расчет!M42+расчет!M43+расчет!M44+расчет!M45+расчет!M46+расчет!M47</f>
        <v>0</v>
      </c>
      <c r="K24" s="607">
        <f ca="1">расчет!N42+расчет!N43+расчет!N44+расчет!N45+расчет!N46+расчет!N47</f>
        <v>0</v>
      </c>
      <c r="L24" s="607">
        <f ca="1">расчет!O42+расчет!O43+расчет!O44+расчет!O45+расчет!O46+расчет!O47</f>
        <v>0</v>
      </c>
      <c r="M24" s="607">
        <f ca="1">расчет!P42+расчет!P43+расчет!P44+расчет!P45+расчет!P46+расчет!P47</f>
        <v>0</v>
      </c>
      <c r="N24" s="607">
        <f ca="1">расчет!Q42+расчет!Q43+расчет!Q44+расчет!Q45+расчет!Q46+расчет!Q47</f>
        <v>0</v>
      </c>
      <c r="O24" s="607">
        <f ca="1">расчет!R42+расчет!R43+расчет!R44+расчет!R45+расчет!R46+расчет!R47</f>
        <v>0</v>
      </c>
      <c r="P24" s="607">
        <f ca="1">расчет!S42+расчет!S43+расчет!S44+расчет!S45+расчет!S46+расчет!S47</f>
        <v>0</v>
      </c>
      <c r="Q24" s="607">
        <f ca="1">расчет!T42+расчет!T43+расчет!T44+расчет!T45+расчет!T46+расчет!T47</f>
        <v>0</v>
      </c>
      <c r="R24" s="607">
        <f ca="1">расчет!U42+расчет!U43+расчет!U44+расчет!U45+расчет!U46+расчет!U47</f>
        <v>0</v>
      </c>
      <c r="S24" s="607">
        <f ca="1">расчет!V42+расчет!V43+расчет!V44+расчет!V45+расчет!V46+расчет!V47</f>
        <v>0</v>
      </c>
      <c r="T24" s="607">
        <f ca="1">расчет!W42+расчет!W43+расчет!W44+расчет!W45+расчет!W46+расчет!W47</f>
        <v>0</v>
      </c>
      <c r="U24" s="607">
        <f ca="1">расчет!X42+расчет!X43+расчет!X44+расчет!X45+расчет!X46+расчет!X47</f>
        <v>0</v>
      </c>
      <c r="V24" s="607">
        <f ca="1">расчет!Y42+расчет!Y43+расчет!Y44+расчет!Y45+расчет!Y46+расчет!Y47</f>
        <v>0</v>
      </c>
      <c r="W24" s="607">
        <f ca="1">расчет!Z42+расчет!Z43+расчет!Z44+расчет!Z45+расчет!Z46+расчет!Z47</f>
        <v>0</v>
      </c>
      <c r="X24" s="607">
        <f ca="1">расчет!AA42+расчет!AA43+расчет!AA44+расчет!AA45+расчет!AA46+расчет!AA47</f>
        <v>0</v>
      </c>
      <c r="Y24" s="607">
        <f ca="1">расчет!AB42+расчет!AB43+расчет!AB44+расчет!AB45+расчет!AB46+расчет!AB47</f>
        <v>0</v>
      </c>
      <c r="Z24" s="607">
        <f ca="1">расчет!AC42+расчет!AC43+расчет!AC44+расчет!AC45+расчет!AC46+расчет!AC47</f>
        <v>0</v>
      </c>
      <c r="AA24" s="607">
        <f ca="1">расчет!AD42+расчет!AD43+расчет!AD44+расчет!AD45+расчет!AD46+расчет!AD47</f>
        <v>0</v>
      </c>
      <c r="AB24" s="607">
        <f ca="1">расчет!AE42+расчет!AE43+расчет!AE44+расчет!AE45+расчет!AE46+расчет!AE47</f>
        <v>0</v>
      </c>
      <c r="AC24" s="607">
        <f ca="1">расчет!AF42+расчет!AF43+расчет!AF44+расчет!AF45+расчет!AF46+расчет!AF47</f>
        <v>0</v>
      </c>
      <c r="AD24" s="607">
        <f ca="1">расчет!AG42+расчет!AG43+расчет!AG44+расчет!AG45+расчет!AG46+расчет!AG47</f>
        <v>0</v>
      </c>
      <c r="AE24" s="607">
        <f ca="1">расчет!AH42+расчет!AH43+расчет!AH44+расчет!AH45+расчет!AH46+расчет!AH47</f>
        <v>0</v>
      </c>
      <c r="AF24" s="607">
        <f ca="1">расчет!AI42+расчет!AI43+расчет!AI44+расчет!AI45+расчет!AI46+расчет!AI47</f>
        <v>0</v>
      </c>
      <c r="AG24" s="607">
        <f ca="1">расчет!AJ42+расчет!AJ43+расчет!AJ44+расчет!AJ45+расчет!AJ46+расчет!AJ47</f>
        <v>0</v>
      </c>
      <c r="AH24" s="607">
        <f ca="1">расчет!AK42+расчет!AK43+расчет!AK44+расчет!AK45+расчет!AK46+расчет!AK47</f>
        <v>0</v>
      </c>
      <c r="AI24" s="607">
        <f ca="1">расчет!AL42+расчет!AL43+расчет!AL44+расчет!AL45+расчет!AL46+расчет!AL47</f>
        <v>0</v>
      </c>
      <c r="AJ24" s="607">
        <f ca="1">расчет!AM42+расчет!AM43+расчет!AM44+расчет!AM45+расчет!AM46+расчет!AM47</f>
        <v>0</v>
      </c>
      <c r="AK24" s="607">
        <f ca="1">расчет!AN42+расчет!AN43+расчет!AN44+расчет!AN45+расчет!AN46+расчет!AN47</f>
        <v>0</v>
      </c>
      <c r="AL24" s="607">
        <f ca="1">расчет!AO42+расчет!AO43+расчет!AO44+расчет!AO45+расчет!AO46+расчет!AO47</f>
        <v>0</v>
      </c>
      <c r="AM24" s="607">
        <f ca="1">расчет!AP42+расчет!AP43+расчет!AP44+расчет!AP45+расчет!AP46+расчет!AP47</f>
        <v>0</v>
      </c>
      <c r="AN24" s="607">
        <f ca="1">расчет!AQ42+расчет!AQ43+расчет!AQ44+расчет!AQ45+расчет!AQ46+расчет!AQ47</f>
        <v>0</v>
      </c>
      <c r="AO24" s="607">
        <f ca="1">расчет!AR42+расчет!AR43+расчет!AR44+расчет!AR45+расчет!AR46+расчет!AR47</f>
        <v>0</v>
      </c>
      <c r="AP24" s="607">
        <f ca="1">расчет!AS42+расчет!AS43+расчет!AS44+расчет!AS45+расчет!AS46+расчет!AS47</f>
        <v>0</v>
      </c>
      <c r="AQ24" s="607">
        <f ca="1">расчет!AT42+расчет!AT43+расчет!AT44+расчет!AT45+расчет!AT46+расчет!AT47</f>
        <v>0</v>
      </c>
      <c r="AR24" s="607">
        <f ca="1">расчет!AU42+расчет!AU43+расчет!AU44+расчет!AU45+расчет!AU46+расчет!AU47</f>
        <v>0</v>
      </c>
      <c r="AS24" s="607">
        <f ca="1">расчет!AV42+расчет!AV43+расчет!AV44+расчет!AV45+расчет!AV46+расчет!AV47</f>
        <v>375290237.06730044</v>
      </c>
      <c r="AT24" s="607">
        <f ca="1">расчет!AW42+расчет!AW43+расчет!AW44+расчет!AW45+расчет!AW46+расчет!AW47</f>
        <v>0</v>
      </c>
      <c r="AU24" s="607">
        <f ca="1">расчет!AX42+расчет!AX43+расчет!AX44+расчет!AX45+расчет!AX46+расчет!AX47</f>
        <v>33576409.793588355</v>
      </c>
      <c r="AV24" s="607">
        <f ca="1">расчет!AY42+расчет!AY43+расчет!AY44+расчет!AY45+расчет!AY46+расчет!AY47</f>
        <v>206112614.57450232</v>
      </c>
      <c r="AW24" s="607">
        <f ca="1">расчет!AZ42+расчет!AZ43+расчет!AZ44+расчет!AZ45+расчет!AZ46+расчет!AZ47</f>
        <v>198807880.84441453</v>
      </c>
      <c r="AX24" s="607">
        <f ca="1">расчет!BA42+расчет!BA43+расчет!BA44+расчет!BA45+расчет!BA46+расчет!BA47</f>
        <v>93353210.942175508</v>
      </c>
      <c r="AY24" s="607">
        <f ca="1">расчет!BB42+расчет!BB43+расчет!BB44+расчет!BB45+расчет!BB46+расчет!BB47</f>
        <v>62941520.761314437</v>
      </c>
      <c r="AZ24" s="607">
        <f ca="1">расчет!BC42+расчет!BC43+расчет!BC44+расчет!BC45+расчет!BC46+расчет!BC47</f>
        <v>43894174.046635188</v>
      </c>
      <c r="BA24" s="607">
        <f ca="1">расчет!BD42+расчет!BD43+расчет!BD44+расчет!BD45+расчет!BD46+расчет!BD47</f>
        <v>48597121.265917532</v>
      </c>
      <c r="BB24" s="607">
        <f ca="1">расчет!BE42+расчет!BE43+расчет!BE44+расчет!BE45+расчет!BE46+расчет!BE47</f>
        <v>47029472.192823417</v>
      </c>
      <c r="BC24" s="607">
        <f ca="1">расчет!BF42+расчет!BF43+расчет!BF44+расчет!BF45+расчет!BF46+расчет!BF47</f>
        <v>46998442.836623274</v>
      </c>
      <c r="BD24" s="607">
        <f ca="1">расчет!BG42+расчет!BG43+расчет!BG44+расчет!BG45+расчет!BG46+расчет!BG47</f>
        <v>43713422.7910726</v>
      </c>
      <c r="BE24" s="607">
        <f ca="1">расчет!BH42+расчет!BH43+расчет!BH44+расчет!BH45+расчет!BH46+расчет!BH47</f>
        <v>4155300.9480735837</v>
      </c>
      <c r="BF24" s="607">
        <f ca="1">расчет!BI42+расчет!BI43+расчет!BI44+расчет!BI45+расчет!BI46+расчет!BI47</f>
        <v>15223462.404285289</v>
      </c>
      <c r="BG24" s="607">
        <f ca="1">расчет!BJ42+расчет!BJ43+расчет!BJ44+расчет!BJ45+расчет!BJ46+расчет!BJ47</f>
        <v>0</v>
      </c>
      <c r="BH24" s="607">
        <f ca="1">расчет!BK42+расчет!BK43+расчет!BK44+расчет!BK45+расчет!BK46+расчет!BK47</f>
        <v>0</v>
      </c>
      <c r="BI24" s="607">
        <f ca="1">расчет!BL42+расчет!BL43+расчет!BL44+расчет!BL45+расчет!BL46+расчет!BL47</f>
        <v>0</v>
      </c>
      <c r="BJ24" s="607">
        <f ca="1">расчет!BM42+расчет!BM43+расчет!BM44+расчет!BM45+расчет!BM46+расчет!BM47</f>
        <v>0</v>
      </c>
      <c r="BK24" s="607">
        <f ca="1">расчет!BN42+расчет!BN43+расчет!BN44+расчет!BN45+расчет!BN46+расчет!BN47</f>
        <v>0</v>
      </c>
      <c r="BL24" s="607">
        <f ca="1">расчет!BO42+расчет!BO43+расчет!BO44+расчет!BO45+расчет!BO46+расчет!BO47</f>
        <v>0</v>
      </c>
      <c r="BM24" s="607">
        <f ca="1">расчет!BP42+расчет!BP43+расчет!BP44+расчет!BP45+расчет!BP46+расчет!BP47</f>
        <v>0</v>
      </c>
      <c r="BN24" s="607">
        <f ca="1">расчет!BQ42+расчет!BQ43+расчет!BQ44+расчет!BQ45+расчет!BQ46+расчет!BQ47</f>
        <v>0</v>
      </c>
      <c r="BO24" s="607">
        <f ca="1">расчет!BR42+расчет!BR43+расчет!BR44+расчет!BR45+расчет!BR46+расчет!BR47</f>
        <v>0</v>
      </c>
      <c r="BP24" s="607">
        <f ca="1">расчет!BS42+расчет!BS43+расчет!BS44+расчет!BS45+расчет!BS46+расчет!BS47</f>
        <v>0</v>
      </c>
      <c r="BQ24" s="607">
        <f ca="1">расчет!BT42+расчет!BT43+расчет!BT44+расчет!BT45+расчет!BT46+расчет!BT47</f>
        <v>0</v>
      </c>
      <c r="BR24" s="607">
        <f ca="1">расчет!BU42+расчет!BU43+расчет!BU44+расчет!BU45+расчет!BU46+расчет!BU47</f>
        <v>0</v>
      </c>
      <c r="BS24" s="607">
        <f ca="1">расчет!BV42+расчет!BV43+расчет!BV44+расчет!BV45+расчет!BV46+расчет!BV47</f>
        <v>0</v>
      </c>
      <c r="BT24" s="607">
        <f ca="1">расчет!BW42+расчет!BW43+расчет!BW44+расчет!BW45+расчет!BW46+расчет!BW47</f>
        <v>0</v>
      </c>
      <c r="BU24" s="607">
        <f ca="1">расчет!BX42+расчет!BX43+расчет!BX44+расчет!BX45+расчет!BX46+расчет!BX47</f>
        <v>250199.50853990333</v>
      </c>
      <c r="BV24" s="607">
        <f ca="1">расчет!BY42+расчет!BY43+расчет!BY44+расчет!BY45+расчет!BY46+расчет!BY47</f>
        <v>14344399.495396907</v>
      </c>
      <c r="BW24" s="607">
        <f ca="1">расчет!BZ42+расчет!BZ43+расчет!BZ44+расчет!BZ45+расчет!BZ46+расчет!BZ47</f>
        <v>0</v>
      </c>
      <c r="BX24" s="607">
        <f ca="1">расчет!CA42+расчет!CA43+расчет!CA44+расчет!CA45+расчет!CA46+расчет!CA47</f>
        <v>0</v>
      </c>
      <c r="BY24" s="607">
        <f ca="1">расчет!CB42+расчет!CB43+расчет!CB44+расчет!CB45+расчет!CB46+расчет!CB47</f>
        <v>0</v>
      </c>
      <c r="BZ24" s="607">
        <f ca="1">расчет!CC42+расчет!CC43+расчет!CC44+расчет!CC45+расчет!CC46+расчет!CC47</f>
        <v>0</v>
      </c>
      <c r="CA24" s="607">
        <f ca="1">расчет!CD42+расчет!CD43+расчет!CD44+расчет!CD45+расчет!CD46+расчет!CD47</f>
        <v>1456125.0140529417</v>
      </c>
      <c r="CB24" s="607">
        <f ca="1">расчет!CE42+расчет!CE43+расчет!CE44+расчет!CE45+расчет!CE46+расчет!CE47</f>
        <v>0</v>
      </c>
      <c r="CC24" s="607">
        <f ca="1">расчет!CF42+расчет!CF43+расчет!CF44+расчет!CF45+расчет!CF46+расчет!CF47</f>
        <v>15223462.404285289</v>
      </c>
      <c r="CD24" s="607">
        <f ca="1">расчет!CG42+расчет!CG43+расчет!CG44+расчет!CG45+расчет!CG46+расчет!CG47</f>
        <v>0</v>
      </c>
      <c r="CE24" s="607">
        <f ca="1">расчет!CH42+расчет!CH43+расчет!CH44+расчет!CH45+расчет!CH46+расчет!CH47</f>
        <v>0</v>
      </c>
      <c r="CF24" s="607">
        <f ca="1">расчет!CI42+расчет!CI43+расчет!CI44+расчет!CI45+расчет!CI46+расчет!CI47</f>
        <v>0</v>
      </c>
      <c r="CG24" s="607">
        <f ca="1">расчет!CJ42+расчет!CJ43+расчет!CJ44+расчет!CJ45+расчет!CJ46+расчет!CJ47</f>
        <v>0</v>
      </c>
      <c r="CH24" s="607">
        <f ca="1">расчет!CK42+расчет!CK43+расчет!CK44+расчет!CK45+расчет!CK46+расчет!CK47</f>
        <v>0</v>
      </c>
      <c r="CI24" s="607">
        <f ca="1">расчет!CL42+расчет!CL43+расчет!CL44+расчет!CL45+расчет!CL46+расчет!CL47</f>
        <v>0</v>
      </c>
      <c r="CJ24" s="607">
        <f ca="1">расчет!CM42+расчет!CM43+расчет!CM44+расчет!CM45+расчет!CM46+расчет!CM47</f>
        <v>0</v>
      </c>
      <c r="CK24" s="607">
        <f ca="1">расчет!CN42+расчет!CN43+расчет!CN44+расчет!CN45+расчет!CN46+расчет!CN47</f>
        <v>0</v>
      </c>
      <c r="CL24" s="607">
        <f ca="1">расчет!CO42+расчет!CO43+расчет!CO44+расчет!CO45+расчет!CO46+расчет!CO47</f>
        <v>0</v>
      </c>
      <c r="CM24" s="607">
        <f ca="1">расчет!CP42+расчет!CP43+расчет!CP44+расчет!CP45+расчет!CP46+расчет!CP47</f>
        <v>0</v>
      </c>
      <c r="CN24" s="607">
        <f ca="1">расчет!CQ42+расчет!CQ43+расчет!CQ44+расчет!CQ45+расчет!CQ46+расчет!CQ47</f>
        <v>0</v>
      </c>
      <c r="CO24" s="607">
        <f ca="1">расчет!CR42+расчет!CR43+расчет!CR44+расчет!CR45+расчет!CR46+расчет!CR47</f>
        <v>0</v>
      </c>
      <c r="CP24" s="607">
        <f ca="1">расчет!CS42+расчет!CS43+расчет!CS44+расчет!CS45+расчет!CS46+расчет!CS47</f>
        <v>0</v>
      </c>
      <c r="CQ24" s="607">
        <f ca="1">расчет!CT42+расчет!CT43+расчет!CT44+расчет!CT45+расчет!CT46+расчет!CT47</f>
        <v>0</v>
      </c>
      <c r="CR24" s="607">
        <f ca="1">расчет!CU42+расчет!CU43+расчет!CU44+расчет!CU45+расчет!CU46+расчет!CU47</f>
        <v>0</v>
      </c>
      <c r="CS24" s="607">
        <f ca="1">расчет!CV42+расчет!CV43+расчет!CV44+расчет!CV45+расчет!CV46+расчет!CV47</f>
        <v>0</v>
      </c>
      <c r="CT24" s="607">
        <f ca="1">расчет!CW42+расчет!CW43+расчет!CW44+расчет!CW45+расчет!CW46+расчет!CW47</f>
        <v>0</v>
      </c>
      <c r="CU24" s="607">
        <f ca="1">расчет!CX42+расчет!CX43+расчет!CX44+расчет!CX45+расчет!CX46+расчет!CX47</f>
        <v>0</v>
      </c>
      <c r="CV24" s="607">
        <f ca="1">расчет!CY42+расчет!CY43+расчет!CY44+расчет!CY45+расчет!CY46+расчет!CY47</f>
        <v>0</v>
      </c>
      <c r="CW24" s="607">
        <f ca="1">расчет!CZ42+расчет!CZ43+расчет!CZ44+расчет!CZ45+расчет!CZ46+расчет!CZ47</f>
        <v>0</v>
      </c>
      <c r="CX24" s="607">
        <f ca="1">расчет!DA42+расчет!DA43+расчет!DA44+расчет!DA45+расчет!DA46+расчет!DA47</f>
        <v>0</v>
      </c>
      <c r="CY24" s="607">
        <f ca="1">расчет!DB42+расчет!DB43+расчет!DB44+расчет!DB45+расчет!DB46+расчет!DB47</f>
        <v>0</v>
      </c>
      <c r="CZ24" s="607">
        <f ca="1">расчет!DC42+расчет!DC43+расчет!DC44+расчет!DC45+расчет!DC46+расчет!DC47</f>
        <v>0</v>
      </c>
      <c r="DA24" s="607">
        <f ca="1">расчет!DD42+расчет!DD43+расчет!DD44+расчет!DD45+расчет!DD46+расчет!DD47</f>
        <v>0</v>
      </c>
      <c r="DB24" s="607">
        <f ca="1">расчет!DE42+расчет!DE43+расчет!DE44+расчет!DE45+расчет!DE46+расчет!DE47</f>
        <v>0</v>
      </c>
      <c r="DC24" s="607">
        <f ca="1">расчет!DF42+расчет!DF43+расчет!DF44+расчет!DF45+расчет!DF46+расчет!DF47</f>
        <v>0</v>
      </c>
      <c r="DD24" s="607">
        <f ca="1">расчет!DG42+расчет!DG43+расчет!DG44+расчет!DG45+расчет!DG46+расчет!DG47</f>
        <v>0</v>
      </c>
      <c r="DE24" s="607">
        <f ca="1">расчет!DH42+расчет!DH43+расчет!DH44+расчет!DH45+расчет!DH46+расчет!DH47</f>
        <v>0</v>
      </c>
      <c r="DF24" s="607">
        <f ca="1">расчет!DI42+расчет!DI43+расчет!DI44+расчет!DI45+расчет!DI46+расчет!DI47</f>
        <v>0</v>
      </c>
      <c r="DG24" s="607">
        <f ca="1">расчет!DJ42+расчет!DJ43+расчет!DJ44+расчет!DJ45+расчет!DJ46+расчет!DJ47</f>
        <v>0</v>
      </c>
      <c r="DH24" s="607">
        <f ca="1">расчет!DK42+расчет!DK43+расчет!DK44+расчет!DK45+расчет!DK46+расчет!DK47</f>
        <v>0</v>
      </c>
      <c r="DI24" s="607">
        <f ca="1">расчет!DL42+расчет!DL43+расчет!DL44+расчет!DL45+расчет!DL46+расчет!DL47</f>
        <v>0</v>
      </c>
      <c r="DJ24" s="607">
        <f ca="1">расчет!DM42+расчет!DM43+расчет!DM44+расчет!DM45+расчет!DM46+расчет!DM47</f>
        <v>0</v>
      </c>
      <c r="DK24" s="607">
        <f ca="1">расчет!DN42+расчет!DN43+расчет!DN44+расчет!DN45+расчет!DN46+расчет!DN47</f>
        <v>0</v>
      </c>
      <c r="DL24" s="607">
        <f ca="1">расчет!DO42+расчет!DO43+расчет!DO44+расчет!DO45+расчет!DO46+расчет!DO47</f>
        <v>0</v>
      </c>
      <c r="DM24" s="607">
        <f ca="1">расчет!DP42+расчет!DP43+расчет!DP44+расчет!DP45+расчет!DP46+расчет!DP47</f>
        <v>0</v>
      </c>
      <c r="DN24" s="607">
        <f ca="1">расчет!DQ42+расчет!DQ43+расчет!DQ44+расчет!DQ45+расчет!DQ46+расчет!DQ47</f>
        <v>0</v>
      </c>
      <c r="DO24" s="607">
        <f ca="1">расчет!DR42+расчет!DR43+расчет!DR44+расчет!DR45+расчет!DR46+расчет!DR47</f>
        <v>0</v>
      </c>
      <c r="DP24" s="607">
        <f ca="1">расчет!DS42+расчет!DS43+расчет!DS44+расчет!DS45+расчет!DS46+расчет!DS47</f>
        <v>0</v>
      </c>
      <c r="DQ24" s="607">
        <f ca="1">расчет!DT42+расчет!DT43+расчет!DT44+расчет!DT45+расчет!DT46+расчет!DT47</f>
        <v>0</v>
      </c>
      <c r="DR24" s="607">
        <f ca="1">расчет!DU42+расчет!DU43+расчет!DU44+расчет!DU45+расчет!DU46+расчет!DU47</f>
        <v>0</v>
      </c>
      <c r="DS24" s="607">
        <f ca="1">расчет!DV42+расчет!DV43+расчет!DV44+расчет!DV45+расчет!DV46+расчет!DV47</f>
        <v>0</v>
      </c>
      <c r="DT24" s="607">
        <f ca="1">расчет!DW42+расчет!DW43+расчет!DW44+расчет!DW45+расчет!DW46+расчет!DW47</f>
        <v>0</v>
      </c>
      <c r="DU24" s="607">
        <f ca="1">расчет!DX42+расчет!DX43+расчет!DX44+расчет!DX45+расчет!DX46+расчет!DX47</f>
        <v>0</v>
      </c>
      <c r="DV24" s="607">
        <f ca="1">расчет!DY42+расчет!DY43+расчет!DY44+расчет!DY45+расчет!DY46+расчет!DY47</f>
        <v>0</v>
      </c>
      <c r="DW24" s="607">
        <f ca="1">расчет!DZ42+расчет!DZ43+расчет!DZ44+расчет!DZ45+расчет!DZ46+расчет!DZ47</f>
        <v>0</v>
      </c>
      <c r="DX24" s="607">
        <f ca="1">расчет!EA42+расчет!EA43+расчет!EA44+расчет!EA45+расчет!EA46+расчет!EA47</f>
        <v>0</v>
      </c>
      <c r="DY24" s="607">
        <f ca="1">расчет!EB42+расчет!EB43+расчет!EB44+расчет!EB45+расчет!EB46+расчет!EB47</f>
        <v>0</v>
      </c>
      <c r="DZ24" s="607">
        <f ca="1">расчет!EC42+расчет!EC43+расчет!EC44+расчет!EC45+расчет!EC46+расчет!EC47</f>
        <v>0</v>
      </c>
      <c r="EA24" s="607">
        <f ca="1">расчет!ED42+расчет!ED43+расчет!ED44+расчет!ED45+расчет!ED46+расчет!ED47</f>
        <v>0</v>
      </c>
      <c r="EB24" s="607">
        <f ca="1">расчет!EE42+расчет!EE43+расчет!EE44+расчет!EE45+расчет!EE46+расчет!EE47</f>
        <v>0</v>
      </c>
      <c r="EC24" s="607">
        <f ca="1">расчет!EF42+расчет!EF43+расчет!EF44+расчет!EF45+расчет!EF46+расчет!EF47</f>
        <v>0</v>
      </c>
      <c r="ED24" s="607">
        <f ca="1">расчет!EG42+расчет!EG43+расчет!EG44+расчет!EG45+расчет!EG46+расчет!EG47</f>
        <v>0</v>
      </c>
      <c r="EE24" s="607">
        <f ca="1">расчет!EH42+расчет!EH43+расчет!EH44+расчет!EH45+расчет!EH46+расчет!EH47</f>
        <v>0</v>
      </c>
      <c r="EF24" s="607">
        <f ca="1">расчет!EI42+расчет!EI43+расчет!EI44+расчет!EI45+расчет!EI46+расчет!EI47</f>
        <v>0</v>
      </c>
      <c r="EG24" s="607">
        <f>расчет!EJ42+расчет!EJ43+расчет!EJ44+расчет!EJ45+расчет!EJ46+расчет!EJ47</f>
        <v>0</v>
      </c>
      <c r="EH24" s="332"/>
    </row>
    <row r="25" spans="1:138" s="321" customFormat="1" outlineLevel="1">
      <c r="A25" s="305" t="s">
        <v>1344</v>
      </c>
      <c r="B25" s="319" t="s">
        <v>1172</v>
      </c>
      <c r="C25" s="618">
        <f t="shared" ca="1" si="8"/>
        <v>182117134.33512318</v>
      </c>
      <c r="D25" s="607">
        <f>расчет!G48</f>
        <v>0</v>
      </c>
      <c r="E25" s="607">
        <f ca="1">расчет!H48</f>
        <v>0</v>
      </c>
      <c r="F25" s="607">
        <f ca="1">расчет!I48</f>
        <v>0</v>
      </c>
      <c r="G25" s="607">
        <f ca="1">расчет!J48</f>
        <v>0</v>
      </c>
      <c r="H25" s="607">
        <f ca="1">расчет!K48</f>
        <v>0</v>
      </c>
      <c r="I25" s="607">
        <f ca="1">расчет!L48</f>
        <v>0</v>
      </c>
      <c r="J25" s="607">
        <f ca="1">расчет!M48</f>
        <v>0</v>
      </c>
      <c r="K25" s="607">
        <f ca="1">расчет!N48</f>
        <v>0</v>
      </c>
      <c r="L25" s="607">
        <f ca="1">расчет!O48</f>
        <v>0</v>
      </c>
      <c r="M25" s="607">
        <f ca="1">расчет!P48</f>
        <v>0</v>
      </c>
      <c r="N25" s="607">
        <f ca="1">расчет!Q48</f>
        <v>0</v>
      </c>
      <c r="O25" s="607">
        <f ca="1">расчет!R48</f>
        <v>0</v>
      </c>
      <c r="P25" s="607">
        <f ca="1">расчет!S48</f>
        <v>0</v>
      </c>
      <c r="Q25" s="607">
        <f ca="1">расчет!T48</f>
        <v>0</v>
      </c>
      <c r="R25" s="607">
        <f ca="1">расчет!U48</f>
        <v>0</v>
      </c>
      <c r="S25" s="607">
        <f ca="1">расчет!V48</f>
        <v>0</v>
      </c>
      <c r="T25" s="607">
        <f ca="1">расчет!W48</f>
        <v>0</v>
      </c>
      <c r="U25" s="607">
        <f ca="1">расчет!X48</f>
        <v>0</v>
      </c>
      <c r="V25" s="607">
        <f ca="1">расчет!Y48</f>
        <v>0</v>
      </c>
      <c r="W25" s="607">
        <f ca="1">расчет!Z48</f>
        <v>0</v>
      </c>
      <c r="X25" s="607">
        <f ca="1">расчет!AA48</f>
        <v>0</v>
      </c>
      <c r="Y25" s="607">
        <f ca="1">расчет!AB48</f>
        <v>0</v>
      </c>
      <c r="Z25" s="607">
        <f ca="1">расчет!AC48</f>
        <v>0</v>
      </c>
      <c r="AA25" s="607">
        <f ca="1">расчет!AD48</f>
        <v>0</v>
      </c>
      <c r="AB25" s="607">
        <f ca="1">расчет!AE48</f>
        <v>0</v>
      </c>
      <c r="AC25" s="607">
        <f ca="1">расчет!AF48</f>
        <v>0</v>
      </c>
      <c r="AD25" s="607">
        <f ca="1">расчет!AG48</f>
        <v>0</v>
      </c>
      <c r="AE25" s="607">
        <f ca="1">расчет!AH48</f>
        <v>0</v>
      </c>
      <c r="AF25" s="607">
        <f ca="1">расчет!AI48</f>
        <v>0</v>
      </c>
      <c r="AG25" s="607">
        <f ca="1">расчет!AJ48</f>
        <v>0</v>
      </c>
      <c r="AH25" s="607">
        <f ca="1">расчет!AK48</f>
        <v>0</v>
      </c>
      <c r="AI25" s="607">
        <f ca="1">расчет!AL48</f>
        <v>0</v>
      </c>
      <c r="AJ25" s="607">
        <f ca="1">расчет!AM48</f>
        <v>0</v>
      </c>
      <c r="AK25" s="607">
        <f ca="1">расчет!AN48</f>
        <v>0</v>
      </c>
      <c r="AL25" s="607">
        <f ca="1">расчет!AO48</f>
        <v>0</v>
      </c>
      <c r="AM25" s="607">
        <f ca="1">расчет!AP48</f>
        <v>0</v>
      </c>
      <c r="AN25" s="607">
        <f ca="1">расчет!AQ48</f>
        <v>0</v>
      </c>
      <c r="AO25" s="607">
        <f ca="1">расчет!AR48</f>
        <v>27317570.150268476</v>
      </c>
      <c r="AP25" s="607">
        <f ca="1">расчет!AS48</f>
        <v>0</v>
      </c>
      <c r="AQ25" s="607">
        <f ca="1">расчет!AT48</f>
        <v>6478120.9120261734</v>
      </c>
      <c r="AR25" s="607">
        <f ca="1">расчет!AU48</f>
        <v>7681566.2988452651</v>
      </c>
      <c r="AS25" s="607">
        <f ca="1">расчет!AV48</f>
        <v>7937618.5088067744</v>
      </c>
      <c r="AT25" s="607">
        <f ca="1">расчет!AW48</f>
        <v>7937618.5088067744</v>
      </c>
      <c r="AU25" s="607">
        <f ca="1">расчет!AX48</f>
        <v>7681566.2988452651</v>
      </c>
      <c r="AV25" s="607">
        <f ca="1">расчет!AY48</f>
        <v>7937618.5088067744</v>
      </c>
      <c r="AW25" s="607">
        <f ca="1">расчет!AZ48</f>
        <v>7681566.2988452651</v>
      </c>
      <c r="AX25" s="607">
        <f ca="1">расчет!BA48</f>
        <v>7937618.5088067744</v>
      </c>
      <c r="AY25" s="607">
        <f ca="1">расчет!BB48</f>
        <v>7937618.5088067744</v>
      </c>
      <c r="AZ25" s="607">
        <f ca="1">расчет!BC48</f>
        <v>7169461.8789222483</v>
      </c>
      <c r="BA25" s="607">
        <f ca="1">расчет!BD48</f>
        <v>7937618.5088067744</v>
      </c>
      <c r="BB25" s="607">
        <f ca="1">расчет!BE48</f>
        <v>7681566.2988452651</v>
      </c>
      <c r="BC25" s="607">
        <f ca="1">расчет!BF48</f>
        <v>7937618.5088067744</v>
      </c>
      <c r="BD25" s="607">
        <f ca="1">расчет!BG48</f>
        <v>7681566.2988452651</v>
      </c>
      <c r="BE25" s="607">
        <f ca="1">расчет!BH48</f>
        <v>7937618.5088067744</v>
      </c>
      <c r="BF25" s="607">
        <f ca="1">расчет!BI48</f>
        <v>7937618.5088067744</v>
      </c>
      <c r="BG25" s="607">
        <f ca="1">расчет!BJ48</f>
        <v>7681566.2988452651</v>
      </c>
      <c r="BH25" s="607">
        <f ca="1">расчет!BK48</f>
        <v>7937618.5088067744</v>
      </c>
      <c r="BI25" s="607">
        <f ca="1">расчет!BL48</f>
        <v>6580541.7960107885</v>
      </c>
      <c r="BJ25" s="607">
        <f ca="1">расчет!BM48</f>
        <v>4552928.3583780797</v>
      </c>
      <c r="BK25" s="607">
        <f ca="1">расчет!BN48</f>
        <v>0</v>
      </c>
      <c r="BL25" s="607">
        <f ca="1">расчет!BO48</f>
        <v>0</v>
      </c>
      <c r="BM25" s="607">
        <f ca="1">расчет!BP48</f>
        <v>0</v>
      </c>
      <c r="BN25" s="607">
        <f ca="1">расчет!BQ48</f>
        <v>0</v>
      </c>
      <c r="BO25" s="607">
        <f ca="1">расчет!BR48</f>
        <v>0</v>
      </c>
      <c r="BP25" s="607">
        <f ca="1">расчет!BS48</f>
        <v>0</v>
      </c>
      <c r="BQ25" s="607">
        <f ca="1">расчет!BT48</f>
        <v>0</v>
      </c>
      <c r="BR25" s="607">
        <f ca="1">расчет!BU48</f>
        <v>0</v>
      </c>
      <c r="BS25" s="607">
        <f ca="1">расчет!BV48</f>
        <v>0</v>
      </c>
      <c r="BT25" s="607">
        <f ca="1">расчет!BW48</f>
        <v>0</v>
      </c>
      <c r="BU25" s="607">
        <f ca="1">расчет!BX48</f>
        <v>0</v>
      </c>
      <c r="BV25" s="607">
        <f ca="1">расчет!BY48</f>
        <v>0</v>
      </c>
      <c r="BW25" s="607">
        <f ca="1">расчет!BZ48</f>
        <v>0</v>
      </c>
      <c r="BX25" s="607">
        <f ca="1">расчет!CA48</f>
        <v>0</v>
      </c>
      <c r="BY25" s="607">
        <f ca="1">расчет!CB48</f>
        <v>0</v>
      </c>
      <c r="BZ25" s="607">
        <f ca="1">расчет!CC48</f>
        <v>0</v>
      </c>
      <c r="CA25" s="607">
        <f ca="1">расчет!CD48</f>
        <v>0</v>
      </c>
      <c r="CB25" s="607">
        <f ca="1">расчет!CE48</f>
        <v>0</v>
      </c>
      <c r="CC25" s="607">
        <f ca="1">расчет!CF48</f>
        <v>0</v>
      </c>
      <c r="CD25" s="607">
        <f ca="1">расчет!CG48</f>
        <v>0</v>
      </c>
      <c r="CE25" s="607">
        <f ca="1">расчет!CH48</f>
        <v>0</v>
      </c>
      <c r="CF25" s="607">
        <f ca="1">расчет!CI48</f>
        <v>0</v>
      </c>
      <c r="CG25" s="607">
        <f ca="1">расчет!CJ48</f>
        <v>4552928.3583780797</v>
      </c>
      <c r="CH25" s="607">
        <f ca="1">расчет!CK48</f>
        <v>0</v>
      </c>
      <c r="CI25" s="607">
        <f ca="1">расчет!CL48</f>
        <v>0</v>
      </c>
      <c r="CJ25" s="607">
        <f ca="1">расчет!CM48</f>
        <v>0</v>
      </c>
      <c r="CK25" s="607">
        <f ca="1">расчет!CN48</f>
        <v>0</v>
      </c>
      <c r="CL25" s="607">
        <f ca="1">расчет!CO48</f>
        <v>0</v>
      </c>
      <c r="CM25" s="607">
        <f ca="1">расчет!CP48</f>
        <v>0</v>
      </c>
      <c r="CN25" s="607">
        <f ca="1">расчет!CQ48</f>
        <v>0</v>
      </c>
      <c r="CO25" s="607">
        <f ca="1">расчет!CR48</f>
        <v>0</v>
      </c>
      <c r="CP25" s="607">
        <f ca="1">расчет!CS48</f>
        <v>0</v>
      </c>
      <c r="CQ25" s="607">
        <f ca="1">расчет!CT48</f>
        <v>0</v>
      </c>
      <c r="CR25" s="607">
        <f ca="1">расчет!CU48</f>
        <v>0</v>
      </c>
      <c r="CS25" s="607">
        <f ca="1">расчет!CV48</f>
        <v>0</v>
      </c>
      <c r="CT25" s="607">
        <f ca="1">расчет!CW48</f>
        <v>0</v>
      </c>
      <c r="CU25" s="607">
        <f ca="1">расчет!CX48</f>
        <v>0</v>
      </c>
      <c r="CV25" s="607">
        <f ca="1">расчет!CY48</f>
        <v>0</v>
      </c>
      <c r="CW25" s="607">
        <f ca="1">расчет!CZ48</f>
        <v>0</v>
      </c>
      <c r="CX25" s="607">
        <f ca="1">расчет!DA48</f>
        <v>0</v>
      </c>
      <c r="CY25" s="607">
        <f ca="1">расчет!DB48</f>
        <v>0</v>
      </c>
      <c r="CZ25" s="607">
        <f ca="1">расчет!DC48</f>
        <v>0</v>
      </c>
      <c r="DA25" s="607">
        <f ca="1">расчет!DD48</f>
        <v>0</v>
      </c>
      <c r="DB25" s="607">
        <f ca="1">расчет!DE48</f>
        <v>0</v>
      </c>
      <c r="DC25" s="607">
        <f ca="1">расчет!DF48</f>
        <v>0</v>
      </c>
      <c r="DD25" s="607">
        <f ca="1">расчет!DG48</f>
        <v>0</v>
      </c>
      <c r="DE25" s="607">
        <f ca="1">расчет!DH48</f>
        <v>0</v>
      </c>
      <c r="DF25" s="607">
        <f ca="1">расчет!DI48</f>
        <v>0</v>
      </c>
      <c r="DG25" s="607">
        <f ca="1">расчет!DJ48</f>
        <v>0</v>
      </c>
      <c r="DH25" s="607">
        <f ca="1">расчет!DK48</f>
        <v>0</v>
      </c>
      <c r="DI25" s="607">
        <f ca="1">расчет!DL48</f>
        <v>0</v>
      </c>
      <c r="DJ25" s="607">
        <f ca="1">расчет!DM48</f>
        <v>0</v>
      </c>
      <c r="DK25" s="607">
        <f ca="1">расчет!DN48</f>
        <v>0</v>
      </c>
      <c r="DL25" s="607">
        <f ca="1">расчет!DO48</f>
        <v>0</v>
      </c>
      <c r="DM25" s="607">
        <f ca="1">расчет!DP48</f>
        <v>0</v>
      </c>
      <c r="DN25" s="607">
        <f ca="1">расчет!DQ48</f>
        <v>0</v>
      </c>
      <c r="DO25" s="607">
        <f ca="1">расчет!DR48</f>
        <v>0</v>
      </c>
      <c r="DP25" s="607">
        <f ca="1">расчет!DS48</f>
        <v>0</v>
      </c>
      <c r="DQ25" s="607">
        <f ca="1">расчет!DT48</f>
        <v>0</v>
      </c>
      <c r="DR25" s="607">
        <f ca="1">расчет!DU48</f>
        <v>0</v>
      </c>
      <c r="DS25" s="607">
        <f ca="1">расчет!DV48</f>
        <v>0</v>
      </c>
      <c r="DT25" s="607">
        <f ca="1">расчет!DW48</f>
        <v>0</v>
      </c>
      <c r="DU25" s="607">
        <f ca="1">расчет!DX48</f>
        <v>0</v>
      </c>
      <c r="DV25" s="607">
        <f ca="1">расчет!DY48</f>
        <v>0</v>
      </c>
      <c r="DW25" s="607">
        <f ca="1">расчет!DZ48</f>
        <v>0</v>
      </c>
      <c r="DX25" s="607">
        <f ca="1">расчет!EA48</f>
        <v>0</v>
      </c>
      <c r="DY25" s="607">
        <f ca="1">расчет!EB48</f>
        <v>0</v>
      </c>
      <c r="DZ25" s="607">
        <f ca="1">расчет!EC48</f>
        <v>0</v>
      </c>
      <c r="EA25" s="607">
        <f ca="1">расчет!ED48</f>
        <v>0</v>
      </c>
      <c r="EB25" s="607">
        <f ca="1">расчет!EE48</f>
        <v>0</v>
      </c>
      <c r="EC25" s="607">
        <f ca="1">расчет!EF48</f>
        <v>0</v>
      </c>
      <c r="ED25" s="607">
        <f ca="1">расчет!EG48</f>
        <v>0</v>
      </c>
      <c r="EE25" s="607">
        <f ca="1">расчет!EH48</f>
        <v>0</v>
      </c>
      <c r="EF25" s="607">
        <f ca="1">расчет!EI48</f>
        <v>0</v>
      </c>
      <c r="EG25" s="607">
        <f>расчет!EJ48</f>
        <v>0</v>
      </c>
      <c r="EH25" s="332"/>
    </row>
    <row r="26" spans="1:138" s="321" customFormat="1" outlineLevel="1">
      <c r="A26" s="305" t="s">
        <v>1323</v>
      </c>
      <c r="B26" s="319" t="s">
        <v>1180</v>
      </c>
      <c r="C26" s="618">
        <f t="shared" ca="1" si="8"/>
        <v>533088093.06558108</v>
      </c>
      <c r="D26" s="607">
        <f>расчет!G49</f>
        <v>0</v>
      </c>
      <c r="E26" s="607">
        <f ca="1">расчет!H49</f>
        <v>0</v>
      </c>
      <c r="F26" s="607">
        <f ca="1">расчет!I49</f>
        <v>0</v>
      </c>
      <c r="G26" s="607">
        <f ca="1">расчет!J49</f>
        <v>0</v>
      </c>
      <c r="H26" s="607">
        <f ca="1">расчет!K49</f>
        <v>0</v>
      </c>
      <c r="I26" s="607">
        <f ca="1">расчет!L49</f>
        <v>0</v>
      </c>
      <c r="J26" s="607">
        <f ca="1">расчет!M49</f>
        <v>0</v>
      </c>
      <c r="K26" s="607">
        <f ca="1">расчет!N49</f>
        <v>0</v>
      </c>
      <c r="L26" s="607">
        <f ca="1">расчет!O49</f>
        <v>0</v>
      </c>
      <c r="M26" s="607">
        <f ca="1">расчет!P49</f>
        <v>0</v>
      </c>
      <c r="N26" s="607">
        <f ca="1">расчет!Q49</f>
        <v>0</v>
      </c>
      <c r="O26" s="607">
        <f ca="1">расчет!R49</f>
        <v>0</v>
      </c>
      <c r="P26" s="607">
        <f ca="1">расчет!S49</f>
        <v>0</v>
      </c>
      <c r="Q26" s="607">
        <f ca="1">расчет!T49</f>
        <v>0</v>
      </c>
      <c r="R26" s="607">
        <f ca="1">расчет!U49</f>
        <v>0</v>
      </c>
      <c r="S26" s="607">
        <f ca="1">расчет!V49</f>
        <v>0</v>
      </c>
      <c r="T26" s="607">
        <f ca="1">расчет!W49</f>
        <v>0</v>
      </c>
      <c r="U26" s="607">
        <f ca="1">расчет!X49</f>
        <v>0</v>
      </c>
      <c r="V26" s="607">
        <f ca="1">расчет!Y49</f>
        <v>0</v>
      </c>
      <c r="W26" s="607">
        <f ca="1">расчет!Z49</f>
        <v>0</v>
      </c>
      <c r="X26" s="607">
        <f ca="1">расчет!AA49</f>
        <v>0</v>
      </c>
      <c r="Y26" s="607">
        <f ca="1">расчет!AB49</f>
        <v>0</v>
      </c>
      <c r="Z26" s="607">
        <f ca="1">расчет!AC49</f>
        <v>0</v>
      </c>
      <c r="AA26" s="607">
        <f ca="1">расчет!AD49</f>
        <v>0</v>
      </c>
      <c r="AB26" s="607">
        <f ca="1">расчет!AE49</f>
        <v>0</v>
      </c>
      <c r="AC26" s="607">
        <f ca="1">расчет!AF49</f>
        <v>0</v>
      </c>
      <c r="AD26" s="607">
        <f ca="1">расчет!AG49</f>
        <v>0</v>
      </c>
      <c r="AE26" s="607">
        <f ca="1">расчет!AH49</f>
        <v>0</v>
      </c>
      <c r="AF26" s="607">
        <f ca="1">расчет!AI49</f>
        <v>0</v>
      </c>
      <c r="AG26" s="607">
        <f ca="1">расчет!AJ49</f>
        <v>0</v>
      </c>
      <c r="AH26" s="607">
        <f ca="1">расчет!AK49</f>
        <v>0</v>
      </c>
      <c r="AI26" s="607">
        <f ca="1">расчет!AL49</f>
        <v>0</v>
      </c>
      <c r="AJ26" s="607">
        <f ca="1">расчет!AM49</f>
        <v>0</v>
      </c>
      <c r="AK26" s="607">
        <f ca="1">расчет!AN49</f>
        <v>0</v>
      </c>
      <c r="AL26" s="607">
        <f ca="1">расчет!AO49</f>
        <v>0</v>
      </c>
      <c r="AM26" s="607">
        <f ca="1">расчет!AP49</f>
        <v>0</v>
      </c>
      <c r="AN26" s="607">
        <f ca="1">расчет!AQ49</f>
        <v>0</v>
      </c>
      <c r="AO26" s="607">
        <f ca="1">расчет!AR49</f>
        <v>0</v>
      </c>
      <c r="AP26" s="607">
        <f ca="1">расчет!AS49</f>
        <v>0</v>
      </c>
      <c r="AQ26" s="607">
        <f ca="1">расчет!AT49</f>
        <v>0</v>
      </c>
      <c r="AR26" s="607">
        <f ca="1">расчет!AU49</f>
        <v>53308809.306558117</v>
      </c>
      <c r="AS26" s="607">
        <f ca="1">расчет!AV49</f>
        <v>0</v>
      </c>
      <c r="AT26" s="607">
        <f ca="1">расчет!AW49</f>
        <v>5437498.549268919</v>
      </c>
      <c r="AU26" s="607">
        <f ca="1">расчет!AX49</f>
        <v>45312487.910574391</v>
      </c>
      <c r="AV26" s="607">
        <f ca="1">расчет!AY49</f>
        <v>46822904.174260207</v>
      </c>
      <c r="AW26" s="607">
        <f ca="1">расчет!AZ49</f>
        <v>45312487.910574391</v>
      </c>
      <c r="AX26" s="607">
        <f ca="1">расчет!BA49</f>
        <v>46822904.174260207</v>
      </c>
      <c r="AY26" s="607">
        <f ca="1">расчет!BB49</f>
        <v>46822904.174260207</v>
      </c>
      <c r="AZ26" s="607">
        <f ca="1">расчет!BC49</f>
        <v>42291655.383202769</v>
      </c>
      <c r="BA26" s="607">
        <f ca="1">расчет!BD49</f>
        <v>46822904.174260207</v>
      </c>
      <c r="BB26" s="607">
        <f ca="1">расчет!BE49</f>
        <v>45312487.910574391</v>
      </c>
      <c r="BC26" s="607">
        <f ca="1">расчет!BF49</f>
        <v>46822904.174260207</v>
      </c>
      <c r="BD26" s="607">
        <f ca="1">расчет!BG49</f>
        <v>35343740.570247993</v>
      </c>
      <c r="BE26" s="607">
        <f ca="1">расчет!BH49</f>
        <v>13327202.326639529</v>
      </c>
      <c r="BF26" s="607">
        <f ca="1">расчет!BI49</f>
        <v>0</v>
      </c>
      <c r="BG26" s="607">
        <f ca="1">расчет!BJ49</f>
        <v>0</v>
      </c>
      <c r="BH26" s="607">
        <f ca="1">расчет!BK49</f>
        <v>0</v>
      </c>
      <c r="BI26" s="607">
        <f ca="1">расчет!BL49</f>
        <v>0</v>
      </c>
      <c r="BJ26" s="607">
        <f ca="1">расчет!BM49</f>
        <v>0</v>
      </c>
      <c r="BK26" s="607">
        <f ca="1">расчет!BN49</f>
        <v>0</v>
      </c>
      <c r="BL26" s="607">
        <f ca="1">расчет!BO49</f>
        <v>0</v>
      </c>
      <c r="BM26" s="607">
        <f ca="1">расчет!BP49</f>
        <v>0</v>
      </c>
      <c r="BN26" s="607">
        <f ca="1">расчет!BQ49</f>
        <v>0</v>
      </c>
      <c r="BO26" s="607">
        <f ca="1">расчет!BR49</f>
        <v>0</v>
      </c>
      <c r="BP26" s="607">
        <f ca="1">расчет!BS49</f>
        <v>0</v>
      </c>
      <c r="BQ26" s="607">
        <f ca="1">расчет!BT49</f>
        <v>0</v>
      </c>
      <c r="BR26" s="607">
        <f ca="1">расчет!BU49</f>
        <v>0</v>
      </c>
      <c r="BS26" s="607">
        <f ca="1">расчет!BV49</f>
        <v>0</v>
      </c>
      <c r="BT26" s="607">
        <f ca="1">расчет!BW49</f>
        <v>0</v>
      </c>
      <c r="BU26" s="607">
        <f ca="1">расчет!BX49</f>
        <v>0</v>
      </c>
      <c r="BV26" s="607">
        <f ca="1">расчет!BY49</f>
        <v>0</v>
      </c>
      <c r="BW26" s="607">
        <f ca="1">расчет!BZ49</f>
        <v>0</v>
      </c>
      <c r="BX26" s="607">
        <f ca="1">расчет!CA49</f>
        <v>0</v>
      </c>
      <c r="BY26" s="607">
        <f ca="1">расчет!CB49</f>
        <v>0</v>
      </c>
      <c r="BZ26" s="607">
        <f ca="1">расчет!CC49</f>
        <v>0</v>
      </c>
      <c r="CA26" s="607">
        <f ca="1">расчет!CD49</f>
        <v>0</v>
      </c>
      <c r="CB26" s="607">
        <f ca="1">расчет!CE49</f>
        <v>13327202.326639529</v>
      </c>
      <c r="CC26" s="607">
        <f ca="1">расчет!CF49</f>
        <v>0</v>
      </c>
      <c r="CD26" s="607">
        <f ca="1">расчет!CG49</f>
        <v>0</v>
      </c>
      <c r="CE26" s="607">
        <f ca="1">расчет!CH49</f>
        <v>0</v>
      </c>
      <c r="CF26" s="607">
        <f ca="1">расчет!CI49</f>
        <v>0</v>
      </c>
      <c r="CG26" s="607">
        <f ca="1">расчет!CJ49</f>
        <v>0</v>
      </c>
      <c r="CH26" s="607">
        <f ca="1">расчет!CK49</f>
        <v>0</v>
      </c>
      <c r="CI26" s="607">
        <f ca="1">расчет!CL49</f>
        <v>0</v>
      </c>
      <c r="CJ26" s="607">
        <f ca="1">расчет!CM49</f>
        <v>0</v>
      </c>
      <c r="CK26" s="607">
        <f ca="1">расчет!CN49</f>
        <v>0</v>
      </c>
      <c r="CL26" s="607">
        <f ca="1">расчет!CO49</f>
        <v>0</v>
      </c>
      <c r="CM26" s="607">
        <f ca="1">расчет!CP49</f>
        <v>0</v>
      </c>
      <c r="CN26" s="607">
        <f ca="1">расчет!CQ49</f>
        <v>0</v>
      </c>
      <c r="CO26" s="607">
        <f ca="1">расчет!CR49</f>
        <v>0</v>
      </c>
      <c r="CP26" s="607">
        <f ca="1">расчет!CS49</f>
        <v>0</v>
      </c>
      <c r="CQ26" s="607">
        <f ca="1">расчет!CT49</f>
        <v>0</v>
      </c>
      <c r="CR26" s="607">
        <f ca="1">расчет!CU49</f>
        <v>0</v>
      </c>
      <c r="CS26" s="607">
        <f ca="1">расчет!CV49</f>
        <v>0</v>
      </c>
      <c r="CT26" s="607">
        <f ca="1">расчет!CW49</f>
        <v>0</v>
      </c>
      <c r="CU26" s="607">
        <f ca="1">расчет!CX49</f>
        <v>0</v>
      </c>
      <c r="CV26" s="607">
        <f ca="1">расчет!CY49</f>
        <v>0</v>
      </c>
      <c r="CW26" s="607">
        <f ca="1">расчет!CZ49</f>
        <v>0</v>
      </c>
      <c r="CX26" s="607">
        <f ca="1">расчет!DA49</f>
        <v>0</v>
      </c>
      <c r="CY26" s="607">
        <f ca="1">расчет!DB49</f>
        <v>0</v>
      </c>
      <c r="CZ26" s="607">
        <f ca="1">расчет!DC49</f>
        <v>0</v>
      </c>
      <c r="DA26" s="607">
        <f ca="1">расчет!DD49</f>
        <v>0</v>
      </c>
      <c r="DB26" s="607">
        <f ca="1">расчет!DE49</f>
        <v>0</v>
      </c>
      <c r="DC26" s="607">
        <f ca="1">расчет!DF49</f>
        <v>0</v>
      </c>
      <c r="DD26" s="607">
        <f ca="1">расчет!DG49</f>
        <v>0</v>
      </c>
      <c r="DE26" s="607">
        <f ca="1">расчет!DH49</f>
        <v>0</v>
      </c>
      <c r="DF26" s="607">
        <f ca="1">расчет!DI49</f>
        <v>0</v>
      </c>
      <c r="DG26" s="607">
        <f ca="1">расчет!DJ49</f>
        <v>0</v>
      </c>
      <c r="DH26" s="607">
        <f ca="1">расчет!DK49</f>
        <v>0</v>
      </c>
      <c r="DI26" s="607">
        <f ca="1">расчет!DL49</f>
        <v>0</v>
      </c>
      <c r="DJ26" s="607">
        <f ca="1">расчет!DM49</f>
        <v>0</v>
      </c>
      <c r="DK26" s="607">
        <f ca="1">расчет!DN49</f>
        <v>0</v>
      </c>
      <c r="DL26" s="607">
        <f ca="1">расчет!DO49</f>
        <v>0</v>
      </c>
      <c r="DM26" s="607">
        <f ca="1">расчет!DP49</f>
        <v>0</v>
      </c>
      <c r="DN26" s="607">
        <f ca="1">расчет!DQ49</f>
        <v>0</v>
      </c>
      <c r="DO26" s="607">
        <f ca="1">расчет!DR49</f>
        <v>0</v>
      </c>
      <c r="DP26" s="607">
        <f ca="1">расчет!DS49</f>
        <v>0</v>
      </c>
      <c r="DQ26" s="607">
        <f ca="1">расчет!DT49</f>
        <v>0</v>
      </c>
      <c r="DR26" s="607">
        <f ca="1">расчет!DU49</f>
        <v>0</v>
      </c>
      <c r="DS26" s="607">
        <f ca="1">расчет!DV49</f>
        <v>0</v>
      </c>
      <c r="DT26" s="607">
        <f ca="1">расчет!DW49</f>
        <v>0</v>
      </c>
      <c r="DU26" s="607">
        <f ca="1">расчет!DX49</f>
        <v>0</v>
      </c>
      <c r="DV26" s="607">
        <f ca="1">расчет!DY49</f>
        <v>0</v>
      </c>
      <c r="DW26" s="607">
        <f ca="1">расчет!DZ49</f>
        <v>0</v>
      </c>
      <c r="DX26" s="607">
        <f ca="1">расчет!EA49</f>
        <v>0</v>
      </c>
      <c r="DY26" s="607">
        <f ca="1">расчет!EB49</f>
        <v>0</v>
      </c>
      <c r="DZ26" s="607">
        <f ca="1">расчет!EC49</f>
        <v>0</v>
      </c>
      <c r="EA26" s="607">
        <f ca="1">расчет!ED49</f>
        <v>0</v>
      </c>
      <c r="EB26" s="607">
        <f ca="1">расчет!EE49</f>
        <v>0</v>
      </c>
      <c r="EC26" s="607">
        <f ca="1">расчет!EF49</f>
        <v>0</v>
      </c>
      <c r="ED26" s="607">
        <f ca="1">расчет!EG49</f>
        <v>0</v>
      </c>
      <c r="EE26" s="607">
        <f ca="1">расчет!EH49</f>
        <v>0</v>
      </c>
      <c r="EF26" s="607">
        <f ca="1">расчет!EI49</f>
        <v>0</v>
      </c>
      <c r="EG26" s="607">
        <f>расчет!EJ49</f>
        <v>0</v>
      </c>
      <c r="EH26" s="332"/>
    </row>
    <row r="27" spans="1:138" s="321" customFormat="1" outlineLevel="1">
      <c r="A27" s="305" t="s">
        <v>1294</v>
      </c>
      <c r="B27" s="319" t="s">
        <v>19</v>
      </c>
      <c r="C27" s="618">
        <f t="shared" ca="1" si="8"/>
        <v>380816107.2080512</v>
      </c>
      <c r="D27" s="607">
        <f>расчет!G50+расчет!G51+расчет!G52</f>
        <v>0</v>
      </c>
      <c r="E27" s="607">
        <f ca="1">расчет!H50+расчет!H51+расчет!H52</f>
        <v>0</v>
      </c>
      <c r="F27" s="607">
        <f ca="1">расчет!I50+расчет!I51+расчет!I52</f>
        <v>0</v>
      </c>
      <c r="G27" s="607">
        <f ca="1">расчет!J50+расчет!J51+расчет!J52</f>
        <v>0</v>
      </c>
      <c r="H27" s="607">
        <f ca="1">расчет!K50+расчет!K51+расчет!K52</f>
        <v>0</v>
      </c>
      <c r="I27" s="607">
        <f ca="1">расчет!L50+расчет!L51+расчет!L52</f>
        <v>0</v>
      </c>
      <c r="J27" s="607">
        <f ca="1">расчет!M50+расчет!M51+расчет!M52</f>
        <v>0</v>
      </c>
      <c r="K27" s="607">
        <f ca="1">расчет!N50+расчет!N51+расчет!N52</f>
        <v>0</v>
      </c>
      <c r="L27" s="607">
        <f ca="1">расчет!O50+расчет!O51+расчет!O52</f>
        <v>0</v>
      </c>
      <c r="M27" s="607">
        <f ca="1">расчет!P50+расчет!P51+расчет!P52</f>
        <v>0</v>
      </c>
      <c r="N27" s="607">
        <f ca="1">расчет!Q50+расчет!Q51+расчет!Q52</f>
        <v>0</v>
      </c>
      <c r="O27" s="607">
        <f ca="1">расчет!R50+расчет!R51+расчет!R52</f>
        <v>0</v>
      </c>
      <c r="P27" s="607">
        <f ca="1">расчет!S50+расчет!S51+расчет!S52</f>
        <v>0</v>
      </c>
      <c r="Q27" s="607">
        <f ca="1">расчет!T50+расчет!T51+расчет!T52</f>
        <v>0</v>
      </c>
      <c r="R27" s="607">
        <f ca="1">расчет!U50+расчет!U51+расчет!U52</f>
        <v>0</v>
      </c>
      <c r="S27" s="607">
        <f ca="1">расчет!V50+расчет!V51+расчет!V52</f>
        <v>0</v>
      </c>
      <c r="T27" s="607">
        <f ca="1">расчет!W50+расчет!W51+расчет!W52</f>
        <v>0</v>
      </c>
      <c r="U27" s="607">
        <f ca="1">расчет!X50+расчет!X51+расчет!X52</f>
        <v>0</v>
      </c>
      <c r="V27" s="607">
        <f ca="1">расчет!Y50+расчет!Y51+расчет!Y52</f>
        <v>0</v>
      </c>
      <c r="W27" s="607">
        <f ca="1">расчет!Z50+расчет!Z51+расчет!Z52</f>
        <v>0</v>
      </c>
      <c r="X27" s="607">
        <f ca="1">расчет!AA50+расчет!AA51+расчет!AA52</f>
        <v>0</v>
      </c>
      <c r="Y27" s="607">
        <f ca="1">расчет!AB50+расчет!AB51+расчет!AB52</f>
        <v>0</v>
      </c>
      <c r="Z27" s="607">
        <f ca="1">расчет!AC50+расчет!AC51+расчет!AC52</f>
        <v>0</v>
      </c>
      <c r="AA27" s="607">
        <f ca="1">расчет!AD50+расчет!AD51+расчет!AD52</f>
        <v>0</v>
      </c>
      <c r="AB27" s="607">
        <f ca="1">расчет!AE50+расчет!AE51+расчет!AE52</f>
        <v>0</v>
      </c>
      <c r="AC27" s="607">
        <f ca="1">расчет!AF50+расчет!AF51+расчет!AF52</f>
        <v>0</v>
      </c>
      <c r="AD27" s="607">
        <f ca="1">расчет!AG50+расчет!AG51+расчет!AG52</f>
        <v>0</v>
      </c>
      <c r="AE27" s="607">
        <f ca="1">расчет!AH50+расчет!AH51+расчет!AH52</f>
        <v>0</v>
      </c>
      <c r="AF27" s="607">
        <f ca="1">расчет!AI50+расчет!AI51+расчет!AI52</f>
        <v>0</v>
      </c>
      <c r="AG27" s="607">
        <f ca="1">расчет!AJ50+расчет!AJ51+расчет!AJ52</f>
        <v>0</v>
      </c>
      <c r="AH27" s="607">
        <f ca="1">расчет!AK50+расчет!AK51+расчет!AK52</f>
        <v>0</v>
      </c>
      <c r="AI27" s="607">
        <f ca="1">расчет!AL50+расчет!AL51+расчет!AL52</f>
        <v>0</v>
      </c>
      <c r="AJ27" s="607">
        <f ca="1">расчет!AM50+расчет!AM51+расчет!AM52</f>
        <v>0</v>
      </c>
      <c r="AK27" s="607">
        <f ca="1">расчет!AN50+расчет!AN51+расчет!AN52</f>
        <v>0</v>
      </c>
      <c r="AL27" s="607">
        <f ca="1">расчет!AO50+расчет!AO51+расчет!AO52</f>
        <v>0</v>
      </c>
      <c r="AM27" s="607">
        <f ca="1">расчет!AP50+расчет!AP51+расчет!AP52</f>
        <v>0</v>
      </c>
      <c r="AN27" s="607">
        <f ca="1">расчет!AQ50+расчет!AQ51+расчет!AQ52</f>
        <v>0</v>
      </c>
      <c r="AO27" s="607">
        <f ca="1">расчет!AR50+расчет!AR51+расчет!AR52</f>
        <v>0</v>
      </c>
      <c r="AP27" s="607">
        <f ca="1">расчет!AS50+расчет!AS51+расчет!AS52</f>
        <v>0</v>
      </c>
      <c r="AQ27" s="607">
        <f ca="1">расчет!AT50+расчет!AT51+расчет!AT52</f>
        <v>0</v>
      </c>
      <c r="AR27" s="607">
        <f ca="1">расчет!AU50+расчет!AU51+расчет!AU52</f>
        <v>0</v>
      </c>
      <c r="AS27" s="607">
        <f ca="1">расчет!AV50+расчет!AV51+расчет!AV52</f>
        <v>0</v>
      </c>
      <c r="AT27" s="607">
        <f ca="1">расчет!AW50+расчет!AW51+расчет!AW52</f>
        <v>0</v>
      </c>
      <c r="AU27" s="607">
        <f ca="1">расчет!AX50+расчет!AX51+расчет!AX52</f>
        <v>0</v>
      </c>
      <c r="AV27" s="607">
        <f ca="1">расчет!AY50+расчет!AY51+расчет!AY52</f>
        <v>0</v>
      </c>
      <c r="AW27" s="607">
        <f ca="1">расчет!AZ50+расчет!AZ51+расчет!AZ52</f>
        <v>71403020.101509586</v>
      </c>
      <c r="AX27" s="607">
        <f ca="1">расчет!BA50+расчет!BA51+расчет!BA52</f>
        <v>0</v>
      </c>
      <c r="AY27" s="607">
        <f ca="1">расчет!BB50+расчет!BB51+расчет!BB52</f>
        <v>10646983.664025089</v>
      </c>
      <c r="AZ27" s="607">
        <f ca="1">расчет!BC50+расчет!BC51+расчет!BC52</f>
        <v>45169021.604954958</v>
      </c>
      <c r="BA27" s="607">
        <f ca="1">расчет!BD50+расчет!BD51+расчет!BD52</f>
        <v>50008559.634057276</v>
      </c>
      <c r="BB27" s="607">
        <f ca="1">расчет!BE50+расчет!BE51+расчет!BE52</f>
        <v>48395380.291023172</v>
      </c>
      <c r="BC27" s="607">
        <f ca="1">расчет!BF50+расчет!BF51+расчет!BF52</f>
        <v>50008559.634057276</v>
      </c>
      <c r="BD27" s="607">
        <f ca="1">расчет!BG50+расчет!BG51+расчет!BG52</f>
        <v>48395380.291023172</v>
      </c>
      <c r="BE27" s="607">
        <f ca="1">расчет!BH50+расчет!BH51+расчет!BH52</f>
        <v>37748396.626998082</v>
      </c>
      <c r="BF27" s="607">
        <f ca="1">расчет!BI50+расчет!BI51+расчет!BI52</f>
        <v>9520402.6802012809</v>
      </c>
      <c r="BG27" s="607">
        <f ca="1">расчет!BJ50+расчет!BJ51+расчет!BJ52</f>
        <v>0</v>
      </c>
      <c r="BH27" s="607">
        <f ca="1">расчет!BK50+расчет!BK51+расчет!BK52</f>
        <v>0</v>
      </c>
      <c r="BI27" s="607">
        <f ca="1">расчет!BL50+расчет!BL51+расчет!BL52</f>
        <v>0</v>
      </c>
      <c r="BJ27" s="607">
        <f ca="1">расчет!BM50+расчет!BM51+расчет!BM52</f>
        <v>0</v>
      </c>
      <c r="BK27" s="607">
        <f ca="1">расчет!BN50+расчет!BN51+расчет!BN52</f>
        <v>0</v>
      </c>
      <c r="BL27" s="607">
        <f ca="1">расчет!BO50+расчет!BO51+расчет!BO52</f>
        <v>0</v>
      </c>
      <c r="BM27" s="607">
        <f ca="1">расчет!BP50+расчет!BP51+расчет!BP52</f>
        <v>0</v>
      </c>
      <c r="BN27" s="607">
        <f ca="1">расчет!BQ50+расчет!BQ51+расчет!BQ52</f>
        <v>0</v>
      </c>
      <c r="BO27" s="607">
        <f ca="1">расчет!BR50+расчет!BR51+расчет!BR52</f>
        <v>0</v>
      </c>
      <c r="BP27" s="607">
        <f ca="1">расчет!BS50+расчет!BS51+расчет!BS52</f>
        <v>0</v>
      </c>
      <c r="BQ27" s="607">
        <f ca="1">расчет!BT50+расчет!BT51+расчет!BT52</f>
        <v>0</v>
      </c>
      <c r="BR27" s="607">
        <f ca="1">расчет!BU50+расчет!BU51+расчет!BU52</f>
        <v>0</v>
      </c>
      <c r="BS27" s="607">
        <f ca="1">расчет!BV50+расчет!BV51+расчет!BV52</f>
        <v>0</v>
      </c>
      <c r="BT27" s="607">
        <f ca="1">расчет!BW50+расчет!BW51+расчет!BW52</f>
        <v>0</v>
      </c>
      <c r="BU27" s="607">
        <f ca="1">расчет!BX50+расчет!BX51+расчет!BX52</f>
        <v>0</v>
      </c>
      <c r="BV27" s="607">
        <f ca="1">расчет!BY50+расчет!BY51+расчет!BY52</f>
        <v>0</v>
      </c>
      <c r="BW27" s="607">
        <f ca="1">расчет!BZ50+расчет!BZ51+расчет!BZ52</f>
        <v>0</v>
      </c>
      <c r="BX27" s="607">
        <f ca="1">расчет!CA50+расчет!CA51+расчет!CA52</f>
        <v>0</v>
      </c>
      <c r="BY27" s="607">
        <f ca="1">расчет!CB50+расчет!CB51+расчет!CB52</f>
        <v>0</v>
      </c>
      <c r="BZ27" s="607">
        <f ca="1">расчет!CC50+расчет!CC51+расчет!CC52</f>
        <v>0</v>
      </c>
      <c r="CA27" s="607">
        <f ca="1">расчет!CD50+расчет!CD51+расчет!CD52</f>
        <v>0</v>
      </c>
      <c r="CB27" s="607">
        <f ca="1">расчет!CE50+расчет!CE51+расчет!CE52</f>
        <v>0</v>
      </c>
      <c r="CC27" s="607">
        <f ca="1">расчет!CF50+расчет!CF51+расчет!CF52</f>
        <v>9520402.6802012809</v>
      </c>
      <c r="CD27" s="607">
        <f ca="1">расчет!CG50+расчет!CG51+расчет!CG52</f>
        <v>0</v>
      </c>
      <c r="CE27" s="607">
        <f ca="1">расчет!CH50+расчет!CH51+расчет!CH52</f>
        <v>0</v>
      </c>
      <c r="CF27" s="607">
        <f ca="1">расчет!CI50+расчет!CI51+расчет!CI52</f>
        <v>0</v>
      </c>
      <c r="CG27" s="607">
        <f ca="1">расчет!CJ50+расчет!CJ51+расчет!CJ52</f>
        <v>0</v>
      </c>
      <c r="CH27" s="607">
        <f ca="1">расчет!CK50+расчет!CK51+расчет!CK52</f>
        <v>0</v>
      </c>
      <c r="CI27" s="607">
        <f ca="1">расчет!CL50+расчет!CL51+расчет!CL52</f>
        <v>0</v>
      </c>
      <c r="CJ27" s="607">
        <f ca="1">расчет!CM50+расчет!CM51+расчет!CM52</f>
        <v>0</v>
      </c>
      <c r="CK27" s="607">
        <f ca="1">расчет!CN50+расчет!CN51+расчет!CN52</f>
        <v>0</v>
      </c>
      <c r="CL27" s="607">
        <f ca="1">расчет!CO50+расчет!CO51+расчет!CO52</f>
        <v>0</v>
      </c>
      <c r="CM27" s="607">
        <f ca="1">расчет!CP50+расчет!CP51+расчет!CP52</f>
        <v>0</v>
      </c>
      <c r="CN27" s="607">
        <f ca="1">расчет!CQ50+расчет!CQ51+расчет!CQ52</f>
        <v>0</v>
      </c>
      <c r="CO27" s="607">
        <f ca="1">расчет!CR50+расчет!CR51+расчет!CR52</f>
        <v>0</v>
      </c>
      <c r="CP27" s="607">
        <f ca="1">расчет!CS50+расчет!CS51+расчет!CS52</f>
        <v>0</v>
      </c>
      <c r="CQ27" s="607">
        <f ca="1">расчет!CT50+расчет!CT51+расчет!CT52</f>
        <v>0</v>
      </c>
      <c r="CR27" s="607">
        <f ca="1">расчет!CU50+расчет!CU51+расчет!CU52</f>
        <v>0</v>
      </c>
      <c r="CS27" s="607">
        <f ca="1">расчет!CV50+расчет!CV51+расчет!CV52</f>
        <v>0</v>
      </c>
      <c r="CT27" s="607">
        <f ca="1">расчет!CW50+расчет!CW51+расчет!CW52</f>
        <v>0</v>
      </c>
      <c r="CU27" s="607">
        <f ca="1">расчет!CX50+расчет!CX51+расчет!CX52</f>
        <v>0</v>
      </c>
      <c r="CV27" s="607">
        <f ca="1">расчет!CY50+расчет!CY51+расчет!CY52</f>
        <v>0</v>
      </c>
      <c r="CW27" s="607">
        <f ca="1">расчет!CZ50+расчет!CZ51+расчет!CZ52</f>
        <v>0</v>
      </c>
      <c r="CX27" s="607">
        <f ca="1">расчет!DA50+расчет!DA51+расчет!DA52</f>
        <v>0</v>
      </c>
      <c r="CY27" s="607">
        <f ca="1">расчет!DB50+расчет!DB51+расчет!DB52</f>
        <v>0</v>
      </c>
      <c r="CZ27" s="607">
        <f ca="1">расчет!DC50+расчет!DC51+расчет!DC52</f>
        <v>0</v>
      </c>
      <c r="DA27" s="607">
        <f ca="1">расчет!DD50+расчет!DD51+расчет!DD52</f>
        <v>0</v>
      </c>
      <c r="DB27" s="607">
        <f ca="1">расчет!DE50+расчет!DE51+расчет!DE52</f>
        <v>0</v>
      </c>
      <c r="DC27" s="607">
        <f ca="1">расчет!DF50+расчет!DF51+расчет!DF52</f>
        <v>0</v>
      </c>
      <c r="DD27" s="607">
        <f ca="1">расчет!DG50+расчет!DG51+расчет!DG52</f>
        <v>0</v>
      </c>
      <c r="DE27" s="607">
        <f ca="1">расчет!DH50+расчет!DH51+расчет!DH52</f>
        <v>0</v>
      </c>
      <c r="DF27" s="607">
        <f ca="1">расчет!DI50+расчет!DI51+расчет!DI52</f>
        <v>0</v>
      </c>
      <c r="DG27" s="607">
        <f ca="1">расчет!DJ50+расчет!DJ51+расчет!DJ52</f>
        <v>0</v>
      </c>
      <c r="DH27" s="607">
        <f ca="1">расчет!DK50+расчет!DK51+расчет!DK52</f>
        <v>0</v>
      </c>
      <c r="DI27" s="607">
        <f ca="1">расчет!DL50+расчет!DL51+расчет!DL52</f>
        <v>0</v>
      </c>
      <c r="DJ27" s="607">
        <f ca="1">расчет!DM50+расчет!DM51+расчет!DM52</f>
        <v>0</v>
      </c>
      <c r="DK27" s="607">
        <f ca="1">расчет!DN50+расчет!DN51+расчет!DN52</f>
        <v>0</v>
      </c>
      <c r="DL27" s="607">
        <f ca="1">расчет!DO50+расчет!DO51+расчет!DO52</f>
        <v>0</v>
      </c>
      <c r="DM27" s="607">
        <f ca="1">расчет!DP50+расчет!DP51+расчет!DP52</f>
        <v>0</v>
      </c>
      <c r="DN27" s="607">
        <f ca="1">расчет!DQ50+расчет!DQ51+расчет!DQ52</f>
        <v>0</v>
      </c>
      <c r="DO27" s="607">
        <f ca="1">расчет!DR50+расчет!DR51+расчет!DR52</f>
        <v>0</v>
      </c>
      <c r="DP27" s="607">
        <f ca="1">расчет!DS50+расчет!DS51+расчет!DS52</f>
        <v>0</v>
      </c>
      <c r="DQ27" s="607">
        <f ca="1">расчет!DT50+расчет!DT51+расчет!DT52</f>
        <v>0</v>
      </c>
      <c r="DR27" s="607">
        <f ca="1">расчет!DU50+расчет!DU51+расчет!DU52</f>
        <v>0</v>
      </c>
      <c r="DS27" s="607">
        <f ca="1">расчет!DV50+расчет!DV51+расчет!DV52</f>
        <v>0</v>
      </c>
      <c r="DT27" s="607">
        <f ca="1">расчет!DW50+расчет!DW51+расчет!DW52</f>
        <v>0</v>
      </c>
      <c r="DU27" s="607">
        <f ca="1">расчет!DX50+расчет!DX51+расчет!DX52</f>
        <v>0</v>
      </c>
      <c r="DV27" s="607">
        <f ca="1">расчет!DY50+расчет!DY51+расчет!DY52</f>
        <v>0</v>
      </c>
      <c r="DW27" s="607">
        <f ca="1">расчет!DZ50+расчет!DZ51+расчет!DZ52</f>
        <v>0</v>
      </c>
      <c r="DX27" s="607">
        <f ca="1">расчет!EA50+расчет!EA51+расчет!EA52</f>
        <v>0</v>
      </c>
      <c r="DY27" s="607">
        <f ca="1">расчет!EB50+расчет!EB51+расчет!EB52</f>
        <v>0</v>
      </c>
      <c r="DZ27" s="607">
        <f ca="1">расчет!EC50+расчет!EC51+расчет!EC52</f>
        <v>0</v>
      </c>
      <c r="EA27" s="607">
        <f ca="1">расчет!ED50+расчет!ED51+расчет!ED52</f>
        <v>0</v>
      </c>
      <c r="EB27" s="607">
        <f ca="1">расчет!EE50+расчет!EE51+расчет!EE52</f>
        <v>0</v>
      </c>
      <c r="EC27" s="607">
        <f ca="1">расчет!EF50+расчет!EF51+расчет!EF52</f>
        <v>0</v>
      </c>
      <c r="ED27" s="607">
        <f ca="1">расчет!EG50+расчет!EG51+расчет!EG52</f>
        <v>0</v>
      </c>
      <c r="EE27" s="607">
        <f ca="1">расчет!EH50+расчет!EH51+расчет!EH52</f>
        <v>0</v>
      </c>
      <c r="EF27" s="607">
        <f ca="1">расчет!EI50+расчет!EI51+расчет!EI52</f>
        <v>0</v>
      </c>
      <c r="EG27" s="607">
        <f>расчет!EJ50+расчет!EJ51+расчет!EJ52</f>
        <v>0</v>
      </c>
      <c r="EH27" s="332"/>
    </row>
    <row r="28" spans="1:138" s="321" customFormat="1" outlineLevel="1">
      <c r="A28" s="305" t="s">
        <v>1276</v>
      </c>
      <c r="B28" s="319" t="s">
        <v>1216</v>
      </c>
      <c r="C28" s="618">
        <f t="shared" ca="1" si="8"/>
        <v>34794242.294475399</v>
      </c>
      <c r="D28" s="607">
        <f>расчет!G53+расчет!G54</f>
        <v>0</v>
      </c>
      <c r="E28" s="607">
        <f ca="1">расчет!H53+расчет!H54</f>
        <v>0</v>
      </c>
      <c r="F28" s="607">
        <f ca="1">расчет!I53+расчет!I54</f>
        <v>0</v>
      </c>
      <c r="G28" s="607">
        <f ca="1">расчет!J53+расчет!J54</f>
        <v>0</v>
      </c>
      <c r="H28" s="607">
        <f ca="1">расчет!K53+расчет!K54</f>
        <v>0</v>
      </c>
      <c r="I28" s="607">
        <f ca="1">расчет!L53+расчет!L54</f>
        <v>0</v>
      </c>
      <c r="J28" s="607">
        <f ca="1">расчет!M53+расчет!M54</f>
        <v>0</v>
      </c>
      <c r="K28" s="607">
        <f ca="1">расчет!N53+расчет!N54</f>
        <v>0</v>
      </c>
      <c r="L28" s="607">
        <f ca="1">расчет!O53+расчет!O54</f>
        <v>0</v>
      </c>
      <c r="M28" s="607">
        <f ca="1">расчет!P53+расчет!P54</f>
        <v>0</v>
      </c>
      <c r="N28" s="607">
        <f ca="1">расчет!Q53+расчет!Q54</f>
        <v>10438272.688342622</v>
      </c>
      <c r="O28" s="607">
        <f ca="1">расчет!R53+расчет!R54</f>
        <v>0</v>
      </c>
      <c r="P28" s="607">
        <f ca="1">расчет!S53+расчет!S54</f>
        <v>3873034.0954037895</v>
      </c>
      <c r="Q28" s="607">
        <f ca="1">расчет!T53+расчет!T54</f>
        <v>17527599.555841982</v>
      </c>
      <c r="R28" s="607">
        <f ca="1">расчет!U53+расчет!U54</f>
        <v>1215623.8401632374</v>
      </c>
      <c r="S28" s="607">
        <f ca="1">расчет!V53+расчет!V54</f>
        <v>869856.05736188521</v>
      </c>
      <c r="T28" s="607">
        <f ca="1">расчет!W53+расчет!W54</f>
        <v>0</v>
      </c>
      <c r="U28" s="607">
        <f ca="1">расчет!X53+расчет!X54</f>
        <v>0</v>
      </c>
      <c r="V28" s="607">
        <f ca="1">расчет!Y53+расчет!Y54</f>
        <v>0</v>
      </c>
      <c r="W28" s="607">
        <f ca="1">расчет!Z53+расчет!Z54</f>
        <v>0</v>
      </c>
      <c r="X28" s="607">
        <f ca="1">расчет!AA53+расчет!AA54</f>
        <v>0</v>
      </c>
      <c r="Y28" s="607">
        <f ca="1">расчет!AB53+расчет!AB54</f>
        <v>0</v>
      </c>
      <c r="Z28" s="607">
        <f ca="1">расчет!AC53+расчет!AC54</f>
        <v>0</v>
      </c>
      <c r="AA28" s="607">
        <f ca="1">расчет!AD53+расчет!AD54</f>
        <v>0</v>
      </c>
      <c r="AB28" s="607">
        <f ca="1">расчет!AE53+расчет!AE54</f>
        <v>0</v>
      </c>
      <c r="AC28" s="607">
        <f ca="1">расчет!AF53+расчет!AF54</f>
        <v>0</v>
      </c>
      <c r="AD28" s="607">
        <f ca="1">расчет!AG53+расчет!AG54</f>
        <v>0</v>
      </c>
      <c r="AE28" s="607">
        <f ca="1">расчет!AH53+расчет!AH54</f>
        <v>0</v>
      </c>
      <c r="AF28" s="607">
        <f ca="1">расчет!AI53+расчет!AI54</f>
        <v>0</v>
      </c>
      <c r="AG28" s="607">
        <f ca="1">расчет!AJ53+расчет!AJ54</f>
        <v>0</v>
      </c>
      <c r="AH28" s="607">
        <f ca="1">расчет!AK53+расчет!AK54</f>
        <v>0</v>
      </c>
      <c r="AI28" s="607">
        <f ca="1">расчет!AL53+расчет!AL54</f>
        <v>0</v>
      </c>
      <c r="AJ28" s="607">
        <f ca="1">расчет!AM53+расчет!AM54</f>
        <v>0</v>
      </c>
      <c r="AK28" s="607">
        <f ca="1">расчет!AN53+расчет!AN54</f>
        <v>0</v>
      </c>
      <c r="AL28" s="607">
        <f ca="1">расчет!AO53+расчет!AO54</f>
        <v>0</v>
      </c>
      <c r="AM28" s="607">
        <f ca="1">расчет!AP53+расчет!AP54</f>
        <v>0</v>
      </c>
      <c r="AN28" s="607">
        <f ca="1">расчет!AQ53+расчет!AQ54</f>
        <v>0</v>
      </c>
      <c r="AO28" s="607">
        <f ca="1">расчет!AR53+расчет!AR54</f>
        <v>0</v>
      </c>
      <c r="AP28" s="607">
        <f ca="1">расчет!AS53+расчет!AS54</f>
        <v>869856.05736188521</v>
      </c>
      <c r="AQ28" s="607">
        <f ca="1">расчет!AT53+расчет!AT54</f>
        <v>0</v>
      </c>
      <c r="AR28" s="607">
        <f ca="1">расчет!AU53+расчет!AU54</f>
        <v>0</v>
      </c>
      <c r="AS28" s="607">
        <f ca="1">расчет!AV53+расчет!AV54</f>
        <v>0</v>
      </c>
      <c r="AT28" s="607">
        <f ca="1">расчет!AW53+расчет!AW54</f>
        <v>0</v>
      </c>
      <c r="AU28" s="607">
        <f ca="1">расчет!AX53+расчет!AX54</f>
        <v>0</v>
      </c>
      <c r="AV28" s="607">
        <f ca="1">расчет!AY53+расчет!AY54</f>
        <v>0</v>
      </c>
      <c r="AW28" s="607">
        <f ca="1">расчет!AZ53+расчет!AZ54</f>
        <v>0</v>
      </c>
      <c r="AX28" s="607">
        <f ca="1">расчет!BA53+расчет!BA54</f>
        <v>0</v>
      </c>
      <c r="AY28" s="607">
        <f ca="1">расчет!BB53+расчет!BB54</f>
        <v>0</v>
      </c>
      <c r="AZ28" s="607">
        <f ca="1">расчет!BC53+расчет!BC54</f>
        <v>0</v>
      </c>
      <c r="BA28" s="607">
        <f ca="1">расчет!BD53+расчет!BD54</f>
        <v>0</v>
      </c>
      <c r="BB28" s="607">
        <f ca="1">расчет!BE53+расчет!BE54</f>
        <v>0</v>
      </c>
      <c r="BC28" s="607">
        <f ca="1">расчет!BF53+расчет!BF54</f>
        <v>0</v>
      </c>
      <c r="BD28" s="607">
        <f ca="1">расчет!BG53+расчет!BG54</f>
        <v>0</v>
      </c>
      <c r="BE28" s="607">
        <f ca="1">расчет!BH53+расчет!BH54</f>
        <v>0</v>
      </c>
      <c r="BF28" s="607">
        <f ca="1">расчет!BI53+расчет!BI54</f>
        <v>0</v>
      </c>
      <c r="BG28" s="607">
        <f ca="1">расчет!BJ53+расчет!BJ54</f>
        <v>0</v>
      </c>
      <c r="BH28" s="607">
        <f ca="1">расчет!BK53+расчет!BK54</f>
        <v>0</v>
      </c>
      <c r="BI28" s="607">
        <f ca="1">расчет!BL53+расчет!BL54</f>
        <v>0</v>
      </c>
      <c r="BJ28" s="607">
        <f ca="1">расчет!BM53+расчет!BM54</f>
        <v>0</v>
      </c>
      <c r="BK28" s="607">
        <f ca="1">расчет!BN53+расчет!BN54</f>
        <v>0</v>
      </c>
      <c r="BL28" s="607">
        <f ca="1">расчет!BO53+расчет!BO54</f>
        <v>0</v>
      </c>
      <c r="BM28" s="607">
        <f ca="1">расчет!BP53+расчет!BP54</f>
        <v>0</v>
      </c>
      <c r="BN28" s="607">
        <f ca="1">расчет!BQ53+расчет!BQ54</f>
        <v>0</v>
      </c>
      <c r="BO28" s="607">
        <f ca="1">расчет!BR53+расчет!BR54</f>
        <v>0</v>
      </c>
      <c r="BP28" s="607">
        <f ca="1">расчет!BS53+расчет!BS54</f>
        <v>0</v>
      </c>
      <c r="BQ28" s="607">
        <f ca="1">расчет!BT53+расчет!BT54</f>
        <v>0</v>
      </c>
      <c r="BR28" s="607">
        <f ca="1">расчет!BU53+расчет!BU54</f>
        <v>0</v>
      </c>
      <c r="BS28" s="607">
        <f ca="1">расчет!BV53+расчет!BV54</f>
        <v>0</v>
      </c>
      <c r="BT28" s="607">
        <f ca="1">расчет!BW53+расчет!BW54</f>
        <v>0</v>
      </c>
      <c r="BU28" s="607">
        <f ca="1">расчет!BX53+расчет!BX54</f>
        <v>0</v>
      </c>
      <c r="BV28" s="607">
        <f ca="1">расчет!BY53+расчет!BY54</f>
        <v>0</v>
      </c>
      <c r="BW28" s="607">
        <f ca="1">расчет!BZ53+расчет!BZ54</f>
        <v>0</v>
      </c>
      <c r="BX28" s="607">
        <f ca="1">расчет!CA53+расчет!CA54</f>
        <v>0</v>
      </c>
      <c r="BY28" s="607">
        <f ca="1">расчет!CB53+расчет!CB54</f>
        <v>0</v>
      </c>
      <c r="BZ28" s="607">
        <f ca="1">расчет!CC53+расчет!CC54</f>
        <v>0</v>
      </c>
      <c r="CA28" s="607">
        <f ca="1">расчет!CD53+расчет!CD54</f>
        <v>0</v>
      </c>
      <c r="CB28" s="607">
        <f ca="1">расчет!CE53+расчет!CE54</f>
        <v>0</v>
      </c>
      <c r="CC28" s="607">
        <f ca="1">расчет!CF53+расчет!CF54</f>
        <v>0</v>
      </c>
      <c r="CD28" s="607">
        <f ca="1">расчет!CG53+расчет!CG54</f>
        <v>0</v>
      </c>
      <c r="CE28" s="607">
        <f ca="1">расчет!CH53+расчет!CH54</f>
        <v>0</v>
      </c>
      <c r="CF28" s="607">
        <f ca="1">расчет!CI53+расчет!CI54</f>
        <v>0</v>
      </c>
      <c r="CG28" s="607">
        <f ca="1">расчет!CJ53+расчет!CJ54</f>
        <v>0</v>
      </c>
      <c r="CH28" s="607">
        <f ca="1">расчет!CK53+расчет!CK54</f>
        <v>0</v>
      </c>
      <c r="CI28" s="607">
        <f ca="1">расчет!CL53+расчет!CL54</f>
        <v>0</v>
      </c>
      <c r="CJ28" s="607">
        <f ca="1">расчет!CM53+расчет!CM54</f>
        <v>0</v>
      </c>
      <c r="CK28" s="607">
        <f ca="1">расчет!CN53+расчет!CN54</f>
        <v>0</v>
      </c>
      <c r="CL28" s="607">
        <f ca="1">расчет!CO53+расчет!CO54</f>
        <v>0</v>
      </c>
      <c r="CM28" s="607">
        <f ca="1">расчет!CP53+расчет!CP54</f>
        <v>0</v>
      </c>
      <c r="CN28" s="607">
        <f ca="1">расчет!CQ53+расчет!CQ54</f>
        <v>0</v>
      </c>
      <c r="CO28" s="607">
        <f ca="1">расчет!CR53+расчет!CR54</f>
        <v>0</v>
      </c>
      <c r="CP28" s="607">
        <f ca="1">расчет!CS53+расчет!CS54</f>
        <v>0</v>
      </c>
      <c r="CQ28" s="607">
        <f ca="1">расчет!CT53+расчет!CT54</f>
        <v>0</v>
      </c>
      <c r="CR28" s="607">
        <f ca="1">расчет!CU53+расчет!CU54</f>
        <v>0</v>
      </c>
      <c r="CS28" s="607">
        <f ca="1">расчет!CV53+расчет!CV54</f>
        <v>0</v>
      </c>
      <c r="CT28" s="607">
        <f ca="1">расчет!CW53+расчет!CW54</f>
        <v>0</v>
      </c>
      <c r="CU28" s="607">
        <f ca="1">расчет!CX53+расчет!CX54</f>
        <v>0</v>
      </c>
      <c r="CV28" s="607">
        <f ca="1">расчет!CY53+расчет!CY54</f>
        <v>0</v>
      </c>
      <c r="CW28" s="607">
        <f ca="1">расчет!CZ53+расчет!CZ54</f>
        <v>0</v>
      </c>
      <c r="CX28" s="607">
        <f ca="1">расчет!DA53+расчет!DA54</f>
        <v>0</v>
      </c>
      <c r="CY28" s="607">
        <f ca="1">расчет!DB53+расчет!DB54</f>
        <v>0</v>
      </c>
      <c r="CZ28" s="607">
        <f ca="1">расчет!DC53+расчет!DC54</f>
        <v>0</v>
      </c>
      <c r="DA28" s="607">
        <f ca="1">расчет!DD53+расчет!DD54</f>
        <v>0</v>
      </c>
      <c r="DB28" s="607">
        <f ca="1">расчет!DE53+расчет!DE54</f>
        <v>0</v>
      </c>
      <c r="DC28" s="607">
        <f ca="1">расчет!DF53+расчет!DF54</f>
        <v>0</v>
      </c>
      <c r="DD28" s="607">
        <f ca="1">расчет!DG53+расчет!DG54</f>
        <v>0</v>
      </c>
      <c r="DE28" s="607">
        <f ca="1">расчет!DH53+расчет!DH54</f>
        <v>0</v>
      </c>
      <c r="DF28" s="607">
        <f ca="1">расчет!DI53+расчет!DI54</f>
        <v>0</v>
      </c>
      <c r="DG28" s="607">
        <f ca="1">расчет!DJ53+расчет!DJ54</f>
        <v>0</v>
      </c>
      <c r="DH28" s="607">
        <f ca="1">расчет!DK53+расчет!DK54</f>
        <v>0</v>
      </c>
      <c r="DI28" s="607">
        <f ca="1">расчет!DL53+расчет!DL54</f>
        <v>0</v>
      </c>
      <c r="DJ28" s="607">
        <f ca="1">расчет!DM53+расчет!DM54</f>
        <v>0</v>
      </c>
      <c r="DK28" s="607">
        <f ca="1">расчет!DN53+расчет!DN54</f>
        <v>0</v>
      </c>
      <c r="DL28" s="607">
        <f ca="1">расчет!DO53+расчет!DO54</f>
        <v>0</v>
      </c>
      <c r="DM28" s="607">
        <f ca="1">расчет!DP53+расчет!DP54</f>
        <v>0</v>
      </c>
      <c r="DN28" s="607">
        <f ca="1">расчет!DQ53+расчет!DQ54</f>
        <v>0</v>
      </c>
      <c r="DO28" s="607">
        <f ca="1">расчет!DR53+расчет!DR54</f>
        <v>0</v>
      </c>
      <c r="DP28" s="607">
        <f ca="1">расчет!DS53+расчет!DS54</f>
        <v>0</v>
      </c>
      <c r="DQ28" s="607">
        <f ca="1">расчет!DT53+расчет!DT54</f>
        <v>0</v>
      </c>
      <c r="DR28" s="607">
        <f ca="1">расчет!DU53+расчет!DU54</f>
        <v>0</v>
      </c>
      <c r="DS28" s="607">
        <f ca="1">расчет!DV53+расчет!DV54</f>
        <v>0</v>
      </c>
      <c r="DT28" s="607">
        <f ca="1">расчет!DW53+расчет!DW54</f>
        <v>0</v>
      </c>
      <c r="DU28" s="607">
        <f ca="1">расчет!DX53+расчет!DX54</f>
        <v>0</v>
      </c>
      <c r="DV28" s="607">
        <f ca="1">расчет!DY53+расчет!DY54</f>
        <v>0</v>
      </c>
      <c r="DW28" s="607">
        <f ca="1">расчет!DZ53+расчет!DZ54</f>
        <v>0</v>
      </c>
      <c r="DX28" s="607">
        <f ca="1">расчет!EA53+расчет!EA54</f>
        <v>0</v>
      </c>
      <c r="DY28" s="607">
        <f ca="1">расчет!EB53+расчет!EB54</f>
        <v>0</v>
      </c>
      <c r="DZ28" s="607">
        <f ca="1">расчет!EC53+расчет!EC54</f>
        <v>0</v>
      </c>
      <c r="EA28" s="607">
        <f ca="1">расчет!ED53+расчет!ED54</f>
        <v>0</v>
      </c>
      <c r="EB28" s="607">
        <f ca="1">расчет!EE53+расчет!EE54</f>
        <v>0</v>
      </c>
      <c r="EC28" s="607">
        <f ca="1">расчет!EF53+расчет!EF54</f>
        <v>0</v>
      </c>
      <c r="ED28" s="607">
        <f ca="1">расчет!EG53+расчет!EG54</f>
        <v>0</v>
      </c>
      <c r="EE28" s="607">
        <f ca="1">расчет!EH53+расчет!EH54</f>
        <v>0</v>
      </c>
      <c r="EF28" s="607">
        <f ca="1">расчет!EI53+расчет!EI54</f>
        <v>0</v>
      </c>
      <c r="EG28" s="607">
        <f>расчет!EJ53+расчет!EJ54</f>
        <v>0</v>
      </c>
      <c r="EH28" s="332"/>
    </row>
    <row r="29" spans="1:138" s="321" customFormat="1" outlineLevel="1">
      <c r="A29" s="305" t="s">
        <v>1270</v>
      </c>
      <c r="B29" s="319" t="s">
        <v>269</v>
      </c>
      <c r="C29" s="618">
        <f t="shared" ca="1" si="8"/>
        <v>454579258.6769827</v>
      </c>
      <c r="D29" s="607">
        <f>расчет!G60+расчет!G59+расчет!G58+расчет!G57+расчет!G56+расчет!G55</f>
        <v>0</v>
      </c>
      <c r="E29" s="607">
        <f ca="1">расчет!H60+расчет!H59+расчет!H58+расчет!H57+расчет!H56+расчет!H55</f>
        <v>0</v>
      </c>
      <c r="F29" s="607">
        <f ca="1">расчет!I60+расчет!I59+расчет!I58+расчет!I57+расчет!I56+расчет!I55</f>
        <v>0</v>
      </c>
      <c r="G29" s="607">
        <f ca="1">расчет!J60+расчет!J59+расчет!J58+расчет!J57+расчет!J56+расчет!J55</f>
        <v>0</v>
      </c>
      <c r="H29" s="607">
        <f ca="1">расчет!K60+расчет!K59+расчет!K58+расчет!K57+расчет!K56+расчет!K55</f>
        <v>0</v>
      </c>
      <c r="I29" s="607">
        <f ca="1">расчет!L60+расчет!L59+расчет!L58+расчет!L57+расчет!L56+расчет!L55</f>
        <v>0</v>
      </c>
      <c r="J29" s="607">
        <f ca="1">расчет!M60+расчет!M59+расчет!M58+расчет!M57+расчет!M56+расчет!M55</f>
        <v>0</v>
      </c>
      <c r="K29" s="607">
        <f ca="1">расчет!N60+расчет!N59+расчет!N58+расчет!N57+расчет!N56+расчет!N55</f>
        <v>0</v>
      </c>
      <c r="L29" s="607">
        <f ca="1">расчет!O60+расчет!O59+расчет!O58+расчет!O57+расчет!O56+расчет!O55</f>
        <v>0</v>
      </c>
      <c r="M29" s="607">
        <f ca="1">расчет!P60+расчет!P59+расчет!P58+расчет!P57+расчет!P56+расчет!P55</f>
        <v>0</v>
      </c>
      <c r="N29" s="607">
        <f ca="1">расчет!Q60+расчет!Q59+расчет!Q58+расчет!Q57+расчет!Q56+расчет!Q55</f>
        <v>0</v>
      </c>
      <c r="O29" s="607">
        <f ca="1">расчет!R60+расчет!R59+расчет!R58+расчет!R57+расчет!R56+расчет!R55</f>
        <v>0</v>
      </c>
      <c r="P29" s="607">
        <f ca="1">расчет!S60+расчет!S59+расчет!S58+расчет!S57+расчет!S56+расчет!S55</f>
        <v>0</v>
      </c>
      <c r="Q29" s="607">
        <f ca="1">расчет!T60+расчет!T59+расчет!T58+расчет!T57+расчет!T56+расчет!T55</f>
        <v>0</v>
      </c>
      <c r="R29" s="607">
        <f ca="1">расчет!U60+расчет!U59+расчет!U58+расчет!U57+расчет!U56+расчет!U55</f>
        <v>0</v>
      </c>
      <c r="S29" s="607">
        <f ca="1">расчет!V60+расчет!V59+расчет!V58+расчет!V57+расчет!V56+расчет!V55</f>
        <v>0</v>
      </c>
      <c r="T29" s="607">
        <f ca="1">расчет!W60+расчет!W59+расчет!W58+расчет!W57+расчет!W56+расчет!W55</f>
        <v>0</v>
      </c>
      <c r="U29" s="607">
        <f ca="1">расчет!X60+расчет!X59+расчет!X58+расчет!X57+расчет!X56+расчет!X55</f>
        <v>0</v>
      </c>
      <c r="V29" s="607">
        <f ca="1">расчет!Y60+расчет!Y59+расчет!Y58+расчет!Y57+расчет!Y56+расчет!Y55</f>
        <v>0</v>
      </c>
      <c r="W29" s="607">
        <f ca="1">расчет!Z60+расчет!Z59+расчет!Z58+расчет!Z57+расчет!Z56+расчет!Z55</f>
        <v>0</v>
      </c>
      <c r="X29" s="607">
        <f ca="1">расчет!AA60+расчет!AA59+расчет!AA58+расчет!AA57+расчет!AA56+расчет!AA55</f>
        <v>0</v>
      </c>
      <c r="Y29" s="607">
        <f ca="1">расчет!AB60+расчет!AB59+расчет!AB58+расчет!AB57+расчет!AB56+расчет!AB55</f>
        <v>0</v>
      </c>
      <c r="Z29" s="607">
        <f ca="1">расчет!AC60+расчет!AC59+расчет!AC58+расчет!AC57+расчет!AC56+расчет!AC55</f>
        <v>0</v>
      </c>
      <c r="AA29" s="607">
        <f ca="1">расчет!AD60+расчет!AD59+расчет!AD58+расчет!AD57+расчет!AD56+расчет!AD55</f>
        <v>0</v>
      </c>
      <c r="AB29" s="607">
        <f ca="1">расчет!AE60+расчет!AE59+расчет!AE58+расчет!AE57+расчет!AE56+расчет!AE55</f>
        <v>0</v>
      </c>
      <c r="AC29" s="607">
        <f ca="1">расчет!AF60+расчет!AF59+расчет!AF58+расчет!AF57+расчет!AF56+расчет!AF55</f>
        <v>0</v>
      </c>
      <c r="AD29" s="607">
        <f ca="1">расчет!AG60+расчет!AG59+расчет!AG58+расчет!AG57+расчет!AG56+расчет!AG55</f>
        <v>0</v>
      </c>
      <c r="AE29" s="607">
        <f ca="1">расчет!AH60+расчет!AH59+расчет!AH58+расчет!AH57+расчет!AH56+расчет!AH55</f>
        <v>0</v>
      </c>
      <c r="AF29" s="607">
        <f ca="1">расчет!AI60+расчет!AI59+расчет!AI58+расчет!AI57+расчет!AI56+расчет!AI55</f>
        <v>0</v>
      </c>
      <c r="AG29" s="607">
        <f ca="1">расчет!AJ60+расчет!AJ59+расчет!AJ58+расчет!AJ57+расчет!AJ56+расчет!AJ55</f>
        <v>0</v>
      </c>
      <c r="AH29" s="607">
        <f ca="1">расчет!AK60+расчет!AK59+расчет!AK58+расчет!AK57+расчет!AK56+расчет!AK55</f>
        <v>0</v>
      </c>
      <c r="AI29" s="607">
        <f ca="1">расчет!AL60+расчет!AL59+расчет!AL58+расчет!AL57+расчет!AL56+расчет!AL55</f>
        <v>0</v>
      </c>
      <c r="AJ29" s="607">
        <f ca="1">расчет!AM60+расчет!AM59+расчет!AM58+расчет!AM57+расчет!AM56+расчет!AM55</f>
        <v>0</v>
      </c>
      <c r="AK29" s="607">
        <f ca="1">расчет!AN60+расчет!AN59+расчет!AN58+расчет!AN57+расчет!AN56+расчет!AN55</f>
        <v>0</v>
      </c>
      <c r="AL29" s="607">
        <f ca="1">расчет!AO60+расчет!AO59+расчет!AO58+расчет!AO57+расчет!AO56+расчет!AO55</f>
        <v>0</v>
      </c>
      <c r="AM29" s="607">
        <f ca="1">расчет!AP60+расчет!AP59+расчет!AP58+расчет!AP57+расчет!AP56+расчет!AP55</f>
        <v>0</v>
      </c>
      <c r="AN29" s="607">
        <f ca="1">расчет!AQ60+расчет!AQ59+расчет!AQ58+расчет!AQ57+расчет!AQ56+расчет!AQ55</f>
        <v>0</v>
      </c>
      <c r="AO29" s="607">
        <f ca="1">расчет!AR60+расчет!AR59+расчет!AR58+расчет!AR57+расчет!AR56+расчет!AR55</f>
        <v>0</v>
      </c>
      <c r="AP29" s="607">
        <f ca="1">расчет!AS60+расчет!AS59+расчет!AS58+расчет!AS57+расчет!AS56+расчет!AS55</f>
        <v>0</v>
      </c>
      <c r="AQ29" s="607">
        <f ca="1">расчет!AT60+расчет!AT59+расчет!AT58+расчет!AT57+расчет!AT56+расчет!AT55</f>
        <v>0</v>
      </c>
      <c r="AR29" s="607">
        <f ca="1">расчет!AU60+расчет!AU59+расчет!AU58+расчет!AU57+расчет!AU56+расчет!AU55</f>
        <v>0</v>
      </c>
      <c r="AS29" s="607">
        <f ca="1">расчет!AV60+расчет!AV59+расчет!AV58+расчет!AV57+расчет!AV56+расчет!AV55</f>
        <v>0</v>
      </c>
      <c r="AT29" s="607">
        <f ca="1">расчет!AW60+расчет!AW59+расчет!AW58+расчет!AW57+расчет!AW56+расчет!AW55</f>
        <v>0</v>
      </c>
      <c r="AU29" s="607">
        <f ca="1">расчет!AX60+расчет!AX59+расчет!AX58+расчет!AX57+расчет!AX56+расчет!AX55</f>
        <v>0</v>
      </c>
      <c r="AV29" s="607">
        <f ca="1">расчет!AY60+расчет!AY59+расчет!AY58+расчет!AY57+расчет!AY56+расчет!AY55</f>
        <v>0</v>
      </c>
      <c r="AW29" s="607">
        <f ca="1">расчет!AZ60+расчет!AZ59+расчет!AZ58+расчет!AZ57+расчет!AZ56+расчет!AZ55</f>
        <v>136373777.60309476</v>
      </c>
      <c r="AX29" s="607">
        <f ca="1">расчет!BA60+расчет!BA59+расчет!BA58+расчет!BA57+расчет!BA56+расчет!BA55</f>
        <v>0</v>
      </c>
      <c r="AY29" s="607">
        <f ca="1">расчет!BB60+расчет!BB59+расчет!BB58+расчет!BB57+расчет!BB56+расчет!BB55</f>
        <v>2179489.5963964919</v>
      </c>
      <c r="AZ29" s="607">
        <f ca="1">расчет!BC60+расчет!BC59+расчет!BC58+расчет!BC57+расчет!BC56+расчет!BC55</f>
        <v>12205141.739820354</v>
      </c>
      <c r="BA29" s="607">
        <f ca="1">расчет!BD60+расчет!BD59+расчет!BD58+расчет!BD57+расчет!BD56+расчет!BD55</f>
        <v>13512835.497658249</v>
      </c>
      <c r="BB29" s="607">
        <f ca="1">расчет!BE60+расчет!BE59+расчет!BE58+расчет!BE57+расчет!BE56+расчет!BE55</f>
        <v>13076937.578378953</v>
      </c>
      <c r="BC29" s="607">
        <f ca="1">расчет!BF60+расчет!BF59+расчет!BF58+расчет!BF57+расчет!BF56+расчет!BF55</f>
        <v>13512835.497658249</v>
      </c>
      <c r="BD29" s="607">
        <f ca="1">расчет!BG60+расчет!BG59+расчет!BG58+расчет!BG57+расчет!BG56+расчет!BG55</f>
        <v>13076937.578378953</v>
      </c>
      <c r="BE29" s="607">
        <f ca="1">расчет!BH60+расчет!BH59+расчет!BH58+расчет!BH57+расчет!BH56+расчет!BH55</f>
        <v>13512835.497658249</v>
      </c>
      <c r="BF29" s="607">
        <f ca="1">расчет!BI60+расчет!BI59+расчет!BI58+расчет!BI57+расчет!BI56+расчет!BI55</f>
        <v>13512835.497658249</v>
      </c>
      <c r="BG29" s="607">
        <f ca="1">расчет!BJ60+расчет!BJ59+расчет!BJ58+расчет!BJ57+расчет!BJ56+расчет!BJ55</f>
        <v>13076937.578378953</v>
      </c>
      <c r="BH29" s="607">
        <f ca="1">расчет!BK60+расчет!BK59+расчет!BK58+расчет!BK57+расчет!BK56+расчет!BK55</f>
        <v>13512835.497658249</v>
      </c>
      <c r="BI29" s="607">
        <f ca="1">расчет!BL60+расчет!BL59+расчет!BL58+расчет!BL57+расчет!BL56+расчет!BL55</f>
        <v>13076937.578378953</v>
      </c>
      <c r="BJ29" s="607">
        <f ca="1">расчет!BM60+расчет!BM59+расчет!BM58+расчет!BM57+расчет!BM56+расчет!BM55</f>
        <v>13512835.497658249</v>
      </c>
      <c r="BK29" s="607">
        <f ca="1">расчет!BN60+расчет!BN59+расчет!BN58+расчет!BN57+расчет!BN56+расчет!BN55</f>
        <v>13512835.497658249</v>
      </c>
      <c r="BL29" s="607">
        <f ca="1">расчет!BO60+расчет!BO59+расчет!BO58+расчет!BO57+расчет!BO56+расчет!BO55</f>
        <v>12641039.659099653</v>
      </c>
      <c r="BM29" s="607">
        <f ca="1">расчет!BP60+расчет!BP59+расчет!BP58+расчет!BP57+расчет!BP56+расчет!BP55</f>
        <v>13512835.497658249</v>
      </c>
      <c r="BN29" s="607">
        <f ca="1">расчет!BQ60+расчет!BQ59+расчет!BQ58+расчет!BQ57+расчет!BQ56+расчет!BQ55</f>
        <v>13076937.578378953</v>
      </c>
      <c r="BO29" s="607">
        <f ca="1">расчет!BR60+расчет!BR59+расчет!BR58+расчет!BR57+расчет!BR56+расчет!BR55</f>
        <v>13512835.497658249</v>
      </c>
      <c r="BP29" s="607">
        <f ca="1">расчет!BS60+расчет!BS59+расчет!BS58+расчет!BS57+расчет!BS56+расчет!BS55</f>
        <v>13076937.578378953</v>
      </c>
      <c r="BQ29" s="607">
        <f ca="1">расчет!BT60+расчет!BT59+расчет!BT58+расчет!BT57+расчет!BT56+расчет!BT55</f>
        <v>13512835.497658249</v>
      </c>
      <c r="BR29" s="607">
        <f ca="1">расчет!BU60+расчет!BU59+расчет!BU58+расчет!BU57+расчет!BU56+расчет!BU55</f>
        <v>13512835.497658249</v>
      </c>
      <c r="BS29" s="607">
        <f ca="1">расчет!BV60+расчет!BV59+расчет!BV58+расчет!BV57+расчет!BV56+расчет!BV55</f>
        <v>13076937.578378953</v>
      </c>
      <c r="BT29" s="607">
        <f ca="1">расчет!BW60+расчет!BW59+расчет!BW58+расчет!BW57+расчет!BW56+расчет!BW55</f>
        <v>13512835.497658249</v>
      </c>
      <c r="BU29" s="607">
        <f ca="1">расчет!BX60+расчет!BX59+расчет!BX58+расчет!BX57+расчет!BX56+расчет!BX55</f>
        <v>13076937.578378953</v>
      </c>
      <c r="BV29" s="607">
        <f ca="1">расчет!BY60+расчет!BY59+расчет!BY58+расчет!BY57+расчет!BY56+расчет!BY55</f>
        <v>13512835.497658249</v>
      </c>
      <c r="BW29" s="607">
        <f ca="1">расчет!BZ60+расчет!BZ59+расчет!BZ58+расчет!BZ57+расчет!BZ56+расчет!BZ55</f>
        <v>10897447.981982458</v>
      </c>
      <c r="BX29" s="607">
        <f ca="1">расчет!CA60+расчет!CA59+расчет!CA58+расчет!CA57+расчет!CA56+расчет!CA55</f>
        <v>0</v>
      </c>
      <c r="BY29" s="607">
        <f ca="1">расчет!CB60+расчет!CB59+расчет!CB58+расчет!CB57+расчет!CB56+расчет!CB55</f>
        <v>0</v>
      </c>
      <c r="BZ29" s="607">
        <f ca="1">расчет!CC60+расчет!CC59+расчет!CC58+расчет!CC57+расчет!CC56+расчет!CC55</f>
        <v>0</v>
      </c>
      <c r="CA29" s="607">
        <f ca="1">расчет!CD60+расчет!CD59+расчет!CD58+расчет!CD57+расчет!CD56+расчет!CD55</f>
        <v>0</v>
      </c>
      <c r="CB29" s="607">
        <f ca="1">расчет!CE60+расчет!CE59+расчет!CE58+расчет!CE57+расчет!CE56+расчет!CE55</f>
        <v>0</v>
      </c>
      <c r="CC29" s="607">
        <f ca="1">расчет!CF60+расчет!CF59+расчет!CF58+расчет!CF57+расчет!CF56+расчет!CF55</f>
        <v>0</v>
      </c>
      <c r="CD29" s="607">
        <f ca="1">расчет!CG60+расчет!CG59+расчет!CG58+расчет!CG57+расчет!CG56+расчет!CG55</f>
        <v>0</v>
      </c>
      <c r="CE29" s="607">
        <f ca="1">расчет!CH60+расчет!CH59+расчет!CH58+расчет!CH57+расчет!CH56+расчет!CH55</f>
        <v>0</v>
      </c>
      <c r="CF29" s="607">
        <f ca="1">расчет!CI60+расчет!CI59+расчет!CI58+расчет!CI57+расчет!CI56+расчет!CI55</f>
        <v>0</v>
      </c>
      <c r="CG29" s="607">
        <f ca="1">расчет!CJ60+расчет!CJ59+расчет!CJ58+расчет!CJ57+расчет!CJ56+расчет!CJ55</f>
        <v>0</v>
      </c>
      <c r="CH29" s="607">
        <f ca="1">расчет!CK60+расчет!CK59+расчет!CK58+расчет!CK57+расчет!CK56+расчет!CK55</f>
        <v>0</v>
      </c>
      <c r="CI29" s="607">
        <f ca="1">расчет!CL60+расчет!CL59+расчет!CL58+расчет!CL57+расчет!CL56+расчет!CL55</f>
        <v>0</v>
      </c>
      <c r="CJ29" s="607">
        <f ca="1">расчет!CM60+расчет!CM59+расчет!CM58+расчет!CM57+расчет!CM56+расчет!CM55</f>
        <v>0</v>
      </c>
      <c r="CK29" s="607">
        <f ca="1">расчет!CN60+расчет!CN59+расчет!CN58+расчет!CN57+расчет!CN56+расчет!CN55</f>
        <v>0</v>
      </c>
      <c r="CL29" s="607">
        <f ca="1">расчет!CO60+расчет!CO59+расчет!CO58+расчет!CO57+расчет!CO56+расчет!CO55</f>
        <v>0</v>
      </c>
      <c r="CM29" s="607">
        <f ca="1">расчет!CP60+расчет!CP59+расчет!CP58+расчет!CP57+расчет!CP56+расчет!CP55</f>
        <v>0</v>
      </c>
      <c r="CN29" s="607">
        <f ca="1">расчет!CQ60+расчет!CQ59+расчет!CQ58+расчет!CQ57+расчет!CQ56+расчет!CQ55</f>
        <v>0</v>
      </c>
      <c r="CO29" s="607">
        <f ca="1">расчет!CR60+расчет!CR59+расчет!CR58+расчет!CR57+расчет!CR56+расчет!CR55</f>
        <v>0</v>
      </c>
      <c r="CP29" s="607">
        <f ca="1">расчет!CS60+расчет!CS59+расчет!CS58+расчет!CS57+расчет!CS56+расчет!CS55</f>
        <v>0</v>
      </c>
      <c r="CQ29" s="607">
        <f ca="1">расчет!CT60+расчет!CT59+расчет!CT58+расчет!CT57+расчет!CT56+расчет!CT55</f>
        <v>0</v>
      </c>
      <c r="CR29" s="607">
        <f ca="1">расчет!CU60+расчет!CU59+расчет!CU58+расчет!CU57+расчет!CU56+расчет!CU55</f>
        <v>0</v>
      </c>
      <c r="CS29" s="607">
        <f ca="1">расчет!CV60+расчет!CV59+расчет!CV58+расчет!CV57+расчет!CV56+расчет!CV55</f>
        <v>0</v>
      </c>
      <c r="CT29" s="607">
        <f ca="1">расчет!CW60+расчет!CW59+расчет!CW58+расчет!CW57+расчет!CW56+расчет!CW55</f>
        <v>0</v>
      </c>
      <c r="CU29" s="607">
        <f ca="1">расчет!CX60+расчет!CX59+расчет!CX58+расчет!CX57+расчет!CX56+расчет!CX55</f>
        <v>0</v>
      </c>
      <c r="CV29" s="607">
        <f ca="1">расчет!CY60+расчет!CY59+расчет!CY58+расчет!CY57+расчет!CY56+расчет!CY55</f>
        <v>0</v>
      </c>
      <c r="CW29" s="607">
        <f ca="1">расчет!CZ60+расчет!CZ59+расчет!CZ58+расчет!CZ57+расчет!CZ56+расчет!CZ55</f>
        <v>0</v>
      </c>
      <c r="CX29" s="607">
        <f ca="1">расчет!DA60+расчет!DA59+расчет!DA58+расчет!DA57+расчет!DA56+расчет!DA55</f>
        <v>0</v>
      </c>
      <c r="CY29" s="607">
        <f ca="1">расчет!DB60+расчет!DB59+расчет!DB58+расчет!DB57+расчет!DB56+расчет!DB55</f>
        <v>0</v>
      </c>
      <c r="CZ29" s="607">
        <f ca="1">расчет!DC60+расчет!DC59+расчет!DC58+расчет!DC57+расчет!DC56+расчет!DC55</f>
        <v>0</v>
      </c>
      <c r="DA29" s="607">
        <f ca="1">расчет!DD60+расчет!DD59+расчет!DD58+расчет!DD57+расчет!DD56+расчет!DD55</f>
        <v>0</v>
      </c>
      <c r="DB29" s="607">
        <f ca="1">расчет!DE60+расчет!DE59+расчет!DE58+расчет!DE57+расчет!DE56+расчет!DE55</f>
        <v>0</v>
      </c>
      <c r="DC29" s="607">
        <f ca="1">расчет!DF60+расчет!DF59+расчет!DF58+расчет!DF57+расчет!DF56+расчет!DF55</f>
        <v>0</v>
      </c>
      <c r="DD29" s="607">
        <f ca="1">расчет!DG60+расчет!DG59+расчет!DG58+расчет!DG57+расчет!DG56+расчет!DG55</f>
        <v>0</v>
      </c>
      <c r="DE29" s="607">
        <f ca="1">расчет!DH60+расчет!DH59+расчет!DH58+расчет!DH57+расчет!DH56+расчет!DH55</f>
        <v>0</v>
      </c>
      <c r="DF29" s="607">
        <f ca="1">расчет!DI60+расчет!DI59+расчет!DI58+расчет!DI57+расчет!DI56+расчет!DI55</f>
        <v>0</v>
      </c>
      <c r="DG29" s="607">
        <f ca="1">расчет!DJ60+расчет!DJ59+расчет!DJ58+расчет!DJ57+расчет!DJ56+расчет!DJ55</f>
        <v>0</v>
      </c>
      <c r="DH29" s="607">
        <f ca="1">расчет!DK60+расчет!DK59+расчет!DK58+расчет!DK57+расчет!DK56+расчет!DK55</f>
        <v>0</v>
      </c>
      <c r="DI29" s="607">
        <f ca="1">расчет!DL60+расчет!DL59+расчет!DL58+расчет!DL57+расчет!DL56+расчет!DL55</f>
        <v>0</v>
      </c>
      <c r="DJ29" s="607">
        <f ca="1">расчет!DM60+расчет!DM59+расчет!DM58+расчет!DM57+расчет!DM56+расчет!DM55</f>
        <v>0</v>
      </c>
      <c r="DK29" s="607">
        <f ca="1">расчет!DN60+расчет!DN59+расчет!DN58+расчет!DN57+расчет!DN56+расчет!DN55</f>
        <v>0</v>
      </c>
      <c r="DL29" s="607">
        <f ca="1">расчет!DO60+расчет!DO59+расчет!DO58+расчет!DO57+расчет!DO56+расчет!DO55</f>
        <v>0</v>
      </c>
      <c r="DM29" s="607">
        <f ca="1">расчет!DP60+расчет!DP59+расчет!DP58+расчет!DP57+расчет!DP56+расчет!DP55</f>
        <v>0</v>
      </c>
      <c r="DN29" s="607">
        <f ca="1">расчет!DQ60+расчет!DQ59+расчет!DQ58+расчет!DQ57+расчет!DQ56+расчет!DQ55</f>
        <v>0</v>
      </c>
      <c r="DO29" s="607">
        <f ca="1">расчет!DR60+расчет!DR59+расчет!DR58+расчет!DR57+расчет!DR56+расчет!DR55</f>
        <v>0</v>
      </c>
      <c r="DP29" s="607">
        <f ca="1">расчет!DS60+расчет!DS59+расчет!DS58+расчет!DS57+расчет!DS56+расчет!DS55</f>
        <v>0</v>
      </c>
      <c r="DQ29" s="607">
        <f ca="1">расчет!DT60+расчет!DT59+расчет!DT58+расчет!DT57+расчет!DT56+расчет!DT55</f>
        <v>0</v>
      </c>
      <c r="DR29" s="607">
        <f ca="1">расчет!DU60+расчет!DU59+расчет!DU58+расчет!DU57+расчет!DU56+расчет!DU55</f>
        <v>0</v>
      </c>
      <c r="DS29" s="607">
        <f ca="1">расчет!DV60+расчет!DV59+расчет!DV58+расчет!DV57+расчет!DV56+расчет!DV55</f>
        <v>0</v>
      </c>
      <c r="DT29" s="607">
        <f ca="1">расчет!DW60+расчет!DW59+расчет!DW58+расчет!DW57+расчет!DW56+расчет!DW55</f>
        <v>0</v>
      </c>
      <c r="DU29" s="607">
        <f ca="1">расчет!DX60+расчет!DX59+расчет!DX58+расчет!DX57+расчет!DX56+расчет!DX55</f>
        <v>0</v>
      </c>
      <c r="DV29" s="607">
        <f ca="1">расчет!DY60+расчет!DY59+расчет!DY58+расчет!DY57+расчет!DY56+расчет!DY55</f>
        <v>0</v>
      </c>
      <c r="DW29" s="607">
        <f ca="1">расчет!DZ60+расчет!DZ59+расчет!DZ58+расчет!DZ57+расчет!DZ56+расчет!DZ55</f>
        <v>0</v>
      </c>
      <c r="DX29" s="607">
        <f ca="1">расчет!EA60+расчет!EA59+расчет!EA58+расчет!EA57+расчет!EA56+расчет!EA55</f>
        <v>0</v>
      </c>
      <c r="DY29" s="607">
        <f ca="1">расчет!EB60+расчет!EB59+расчет!EB58+расчет!EB57+расчет!EB56+расчет!EB55</f>
        <v>0</v>
      </c>
      <c r="DZ29" s="607">
        <f ca="1">расчет!EC60+расчет!EC59+расчет!EC58+расчет!EC57+расчет!EC56+расчет!EC55</f>
        <v>0</v>
      </c>
      <c r="EA29" s="607">
        <f ca="1">расчет!ED60+расчет!ED59+расчет!ED58+расчет!ED57+расчет!ED56+расчет!ED55</f>
        <v>0</v>
      </c>
      <c r="EB29" s="607">
        <f ca="1">расчет!EE60+расчет!EE59+расчет!EE58+расчет!EE57+расчет!EE56+расчет!EE55</f>
        <v>0</v>
      </c>
      <c r="EC29" s="607">
        <f ca="1">расчет!EF60+расчет!EF59+расчет!EF58+расчет!EF57+расчет!EF56+расчет!EF55</f>
        <v>0</v>
      </c>
      <c r="ED29" s="607">
        <f ca="1">расчет!EG60+расчет!EG59+расчет!EG58+расчет!EG57+расчет!EG56+расчет!EG55</f>
        <v>0</v>
      </c>
      <c r="EE29" s="607">
        <f ca="1">расчет!EH60+расчет!EH59+расчет!EH58+расчет!EH57+расчет!EH56+расчет!EH55</f>
        <v>0</v>
      </c>
      <c r="EF29" s="607">
        <f ca="1">расчет!EI60+расчет!EI59+расчет!EI58+расчет!EI57+расчет!EI56+расчет!EI55</f>
        <v>0</v>
      </c>
      <c r="EG29" s="607">
        <f>расчет!EJ60+расчет!EJ59+расчет!EJ58+расчет!EJ57+расчет!EJ56+расчет!EJ55</f>
        <v>0</v>
      </c>
      <c r="EH29" s="332"/>
    </row>
    <row r="30" spans="1:138" s="321" customFormat="1" outlineLevel="1">
      <c r="A30" s="305" t="s">
        <v>1264</v>
      </c>
      <c r="B30" s="319" t="s">
        <v>1263</v>
      </c>
      <c r="C30" s="618">
        <f t="shared" ca="1" si="8"/>
        <v>0</v>
      </c>
      <c r="D30" s="607">
        <f>расчет!G61</f>
        <v>0</v>
      </c>
      <c r="E30" s="607">
        <f ca="1">расчет!H61</f>
        <v>0</v>
      </c>
      <c r="F30" s="607">
        <f ca="1">расчет!I61</f>
        <v>0</v>
      </c>
      <c r="G30" s="607">
        <f ca="1">расчет!J61</f>
        <v>0</v>
      </c>
      <c r="H30" s="607">
        <f ca="1">расчет!K61</f>
        <v>0</v>
      </c>
      <c r="I30" s="607">
        <f ca="1">расчет!L61</f>
        <v>0</v>
      </c>
      <c r="J30" s="607">
        <f ca="1">расчет!M61</f>
        <v>0</v>
      </c>
      <c r="K30" s="607">
        <f ca="1">расчет!N61</f>
        <v>0</v>
      </c>
      <c r="L30" s="607">
        <f ca="1">расчет!O61</f>
        <v>0</v>
      </c>
      <c r="M30" s="607">
        <f ca="1">расчет!P61</f>
        <v>0</v>
      </c>
      <c r="N30" s="607">
        <f ca="1">расчет!Q61</f>
        <v>0</v>
      </c>
      <c r="O30" s="607">
        <f ca="1">расчет!R61</f>
        <v>0</v>
      </c>
      <c r="P30" s="607">
        <f ca="1">расчет!S61</f>
        <v>0</v>
      </c>
      <c r="Q30" s="607">
        <f ca="1">расчет!T61</f>
        <v>0</v>
      </c>
      <c r="R30" s="607">
        <f ca="1">расчет!U61</f>
        <v>0</v>
      </c>
      <c r="S30" s="607">
        <f ca="1">расчет!V61</f>
        <v>0</v>
      </c>
      <c r="T30" s="607">
        <f ca="1">расчет!W61</f>
        <v>0</v>
      </c>
      <c r="U30" s="607">
        <f ca="1">расчет!X61</f>
        <v>0</v>
      </c>
      <c r="V30" s="607">
        <f ca="1">расчет!Y61</f>
        <v>0</v>
      </c>
      <c r="W30" s="607">
        <f ca="1">расчет!Z61</f>
        <v>0</v>
      </c>
      <c r="X30" s="607">
        <f ca="1">расчет!AA61</f>
        <v>0</v>
      </c>
      <c r="Y30" s="607">
        <f ca="1">расчет!AB61</f>
        <v>0</v>
      </c>
      <c r="Z30" s="607">
        <f ca="1">расчет!AC61</f>
        <v>0</v>
      </c>
      <c r="AA30" s="607">
        <f ca="1">расчет!AD61</f>
        <v>0</v>
      </c>
      <c r="AB30" s="607">
        <f ca="1">расчет!AE61</f>
        <v>0</v>
      </c>
      <c r="AC30" s="607">
        <f ca="1">расчет!AF61</f>
        <v>0</v>
      </c>
      <c r="AD30" s="607">
        <f ca="1">расчет!AG61</f>
        <v>0</v>
      </c>
      <c r="AE30" s="607">
        <f ca="1">расчет!AH61</f>
        <v>0</v>
      </c>
      <c r="AF30" s="607">
        <f ca="1">расчет!AI61</f>
        <v>0</v>
      </c>
      <c r="AG30" s="607">
        <f ca="1">расчет!AJ61</f>
        <v>0</v>
      </c>
      <c r="AH30" s="607">
        <f ca="1">расчет!AK61</f>
        <v>0</v>
      </c>
      <c r="AI30" s="607">
        <f ca="1">расчет!AL61</f>
        <v>0</v>
      </c>
      <c r="AJ30" s="607">
        <f ca="1">расчет!AM61</f>
        <v>0</v>
      </c>
      <c r="AK30" s="607">
        <f ca="1">расчет!AN61</f>
        <v>0</v>
      </c>
      <c r="AL30" s="607">
        <f ca="1">расчет!AO61</f>
        <v>0</v>
      </c>
      <c r="AM30" s="607">
        <f ca="1">расчет!AP61</f>
        <v>0</v>
      </c>
      <c r="AN30" s="607">
        <f ca="1">расчет!AQ61</f>
        <v>0</v>
      </c>
      <c r="AO30" s="607">
        <f ca="1">расчет!AR61</f>
        <v>0</v>
      </c>
      <c r="AP30" s="607">
        <f ca="1">расчет!AS61</f>
        <v>0</v>
      </c>
      <c r="AQ30" s="607">
        <f ca="1">расчет!AT61</f>
        <v>0</v>
      </c>
      <c r="AR30" s="607">
        <f ca="1">расчет!AU61</f>
        <v>0</v>
      </c>
      <c r="AS30" s="607">
        <f ca="1">расчет!AV61</f>
        <v>0</v>
      </c>
      <c r="AT30" s="607">
        <f ca="1">расчет!AW61</f>
        <v>0</v>
      </c>
      <c r="AU30" s="607">
        <f ca="1">расчет!AX61</f>
        <v>0</v>
      </c>
      <c r="AV30" s="607">
        <f ca="1">расчет!AY61</f>
        <v>0</v>
      </c>
      <c r="AW30" s="607">
        <f ca="1">расчет!AZ61</f>
        <v>0</v>
      </c>
      <c r="AX30" s="607">
        <f ca="1">расчет!BA61</f>
        <v>0</v>
      </c>
      <c r="AY30" s="607">
        <f ca="1">расчет!BB61</f>
        <v>0</v>
      </c>
      <c r="AZ30" s="607">
        <f ca="1">расчет!BC61</f>
        <v>0</v>
      </c>
      <c r="BA30" s="607">
        <f ca="1">расчет!BD61</f>
        <v>0</v>
      </c>
      <c r="BB30" s="607">
        <f ca="1">расчет!BE61</f>
        <v>0</v>
      </c>
      <c r="BC30" s="607">
        <f ca="1">расчет!BF61</f>
        <v>0</v>
      </c>
      <c r="BD30" s="607">
        <f ca="1">расчет!BG61</f>
        <v>0</v>
      </c>
      <c r="BE30" s="607">
        <f ca="1">расчет!BH61</f>
        <v>0</v>
      </c>
      <c r="BF30" s="607">
        <f ca="1">расчет!BI61</f>
        <v>0</v>
      </c>
      <c r="BG30" s="607">
        <f ca="1">расчет!BJ61</f>
        <v>0</v>
      </c>
      <c r="BH30" s="607">
        <f ca="1">расчет!BK61</f>
        <v>0</v>
      </c>
      <c r="BI30" s="607">
        <f ca="1">расчет!BL61</f>
        <v>0</v>
      </c>
      <c r="BJ30" s="607">
        <f ca="1">расчет!BM61</f>
        <v>0</v>
      </c>
      <c r="BK30" s="607">
        <f ca="1">расчет!BN61</f>
        <v>0</v>
      </c>
      <c r="BL30" s="607">
        <f ca="1">расчет!BO61</f>
        <v>0</v>
      </c>
      <c r="BM30" s="607">
        <f ca="1">расчет!BP61</f>
        <v>0</v>
      </c>
      <c r="BN30" s="607">
        <f ca="1">расчет!BQ61</f>
        <v>0</v>
      </c>
      <c r="BO30" s="607">
        <f ca="1">расчет!BR61</f>
        <v>0</v>
      </c>
      <c r="BP30" s="607">
        <f ca="1">расчет!BS61</f>
        <v>0</v>
      </c>
      <c r="BQ30" s="607">
        <f ca="1">расчет!BT61</f>
        <v>0</v>
      </c>
      <c r="BR30" s="607">
        <f ca="1">расчет!BU61</f>
        <v>0</v>
      </c>
      <c r="BS30" s="607">
        <f ca="1">расчет!BV61</f>
        <v>0</v>
      </c>
      <c r="BT30" s="607">
        <f ca="1">расчет!BW61</f>
        <v>0</v>
      </c>
      <c r="BU30" s="607">
        <f ca="1">расчет!BX61</f>
        <v>0</v>
      </c>
      <c r="BV30" s="607">
        <f ca="1">расчет!BY61</f>
        <v>0</v>
      </c>
      <c r="BW30" s="607">
        <f ca="1">расчет!BZ61</f>
        <v>0</v>
      </c>
      <c r="BX30" s="607">
        <f ca="1">расчет!CA61</f>
        <v>0</v>
      </c>
      <c r="BY30" s="607">
        <f ca="1">расчет!CB61</f>
        <v>0</v>
      </c>
      <c r="BZ30" s="607">
        <f ca="1">расчет!CC61</f>
        <v>0</v>
      </c>
      <c r="CA30" s="607">
        <f ca="1">расчет!CD61</f>
        <v>0</v>
      </c>
      <c r="CB30" s="607">
        <f ca="1">расчет!CE61</f>
        <v>0</v>
      </c>
      <c r="CC30" s="607">
        <f ca="1">расчет!CF61</f>
        <v>0</v>
      </c>
      <c r="CD30" s="607">
        <f ca="1">расчет!CG61</f>
        <v>0</v>
      </c>
      <c r="CE30" s="607">
        <f ca="1">расчет!CH61</f>
        <v>0</v>
      </c>
      <c r="CF30" s="607">
        <f ca="1">расчет!CI61</f>
        <v>0</v>
      </c>
      <c r="CG30" s="607">
        <f ca="1">расчет!CJ61</f>
        <v>0</v>
      </c>
      <c r="CH30" s="607">
        <f ca="1">расчет!CK61</f>
        <v>0</v>
      </c>
      <c r="CI30" s="607">
        <f ca="1">расчет!CL61</f>
        <v>0</v>
      </c>
      <c r="CJ30" s="607">
        <f ca="1">расчет!CM61</f>
        <v>0</v>
      </c>
      <c r="CK30" s="607">
        <f ca="1">расчет!CN61</f>
        <v>0</v>
      </c>
      <c r="CL30" s="607">
        <f ca="1">расчет!CO61</f>
        <v>0</v>
      </c>
      <c r="CM30" s="607">
        <f ca="1">расчет!CP61</f>
        <v>0</v>
      </c>
      <c r="CN30" s="607">
        <f ca="1">расчет!CQ61</f>
        <v>0</v>
      </c>
      <c r="CO30" s="607">
        <f ca="1">расчет!CR61</f>
        <v>0</v>
      </c>
      <c r="CP30" s="607">
        <f ca="1">расчет!CS61</f>
        <v>0</v>
      </c>
      <c r="CQ30" s="607">
        <f ca="1">расчет!CT61</f>
        <v>0</v>
      </c>
      <c r="CR30" s="607">
        <f ca="1">расчет!CU61</f>
        <v>0</v>
      </c>
      <c r="CS30" s="607">
        <f ca="1">расчет!CV61</f>
        <v>0</v>
      </c>
      <c r="CT30" s="607">
        <f ca="1">расчет!CW61</f>
        <v>0</v>
      </c>
      <c r="CU30" s="607">
        <f ca="1">расчет!CX61</f>
        <v>0</v>
      </c>
      <c r="CV30" s="607">
        <f ca="1">расчет!CY61</f>
        <v>0</v>
      </c>
      <c r="CW30" s="607">
        <f ca="1">расчет!CZ61</f>
        <v>0</v>
      </c>
      <c r="CX30" s="607">
        <f ca="1">расчет!DA61</f>
        <v>0</v>
      </c>
      <c r="CY30" s="607">
        <f ca="1">расчет!DB61</f>
        <v>0</v>
      </c>
      <c r="CZ30" s="607">
        <f ca="1">расчет!DC61</f>
        <v>0</v>
      </c>
      <c r="DA30" s="607">
        <f ca="1">расчет!DD61</f>
        <v>0</v>
      </c>
      <c r="DB30" s="607">
        <f ca="1">расчет!DE61</f>
        <v>0</v>
      </c>
      <c r="DC30" s="607">
        <f ca="1">расчет!DF61</f>
        <v>0</v>
      </c>
      <c r="DD30" s="607">
        <f ca="1">расчет!DG61</f>
        <v>0</v>
      </c>
      <c r="DE30" s="607">
        <f ca="1">расчет!DH61</f>
        <v>0</v>
      </c>
      <c r="DF30" s="607">
        <f ca="1">расчет!DI61</f>
        <v>0</v>
      </c>
      <c r="DG30" s="607">
        <f ca="1">расчет!DJ61</f>
        <v>0</v>
      </c>
      <c r="DH30" s="607">
        <f ca="1">расчет!DK61</f>
        <v>0</v>
      </c>
      <c r="DI30" s="607">
        <f ca="1">расчет!DL61</f>
        <v>0</v>
      </c>
      <c r="DJ30" s="607">
        <f ca="1">расчет!DM61</f>
        <v>0</v>
      </c>
      <c r="DK30" s="607">
        <f ca="1">расчет!DN61</f>
        <v>0</v>
      </c>
      <c r="DL30" s="607">
        <f ca="1">расчет!DO61</f>
        <v>0</v>
      </c>
      <c r="DM30" s="607">
        <f ca="1">расчет!DP61</f>
        <v>0</v>
      </c>
      <c r="DN30" s="607">
        <f ca="1">расчет!DQ61</f>
        <v>0</v>
      </c>
      <c r="DO30" s="607">
        <f ca="1">расчет!DR61</f>
        <v>0</v>
      </c>
      <c r="DP30" s="607">
        <f ca="1">расчет!DS61</f>
        <v>0</v>
      </c>
      <c r="DQ30" s="607">
        <f ca="1">расчет!DT61</f>
        <v>0</v>
      </c>
      <c r="DR30" s="607">
        <f ca="1">расчет!DU61</f>
        <v>0</v>
      </c>
      <c r="DS30" s="607">
        <f ca="1">расчет!DV61</f>
        <v>0</v>
      </c>
      <c r="DT30" s="607">
        <f ca="1">расчет!DW61</f>
        <v>0</v>
      </c>
      <c r="DU30" s="607">
        <f ca="1">расчет!DX61</f>
        <v>0</v>
      </c>
      <c r="DV30" s="607">
        <f ca="1">расчет!DY61</f>
        <v>0</v>
      </c>
      <c r="DW30" s="607">
        <f ca="1">расчет!DZ61</f>
        <v>0</v>
      </c>
      <c r="DX30" s="607">
        <f ca="1">расчет!EA61</f>
        <v>0</v>
      </c>
      <c r="DY30" s="607">
        <f ca="1">расчет!EB61</f>
        <v>0</v>
      </c>
      <c r="DZ30" s="607">
        <f ca="1">расчет!EC61</f>
        <v>0</v>
      </c>
      <c r="EA30" s="607">
        <f ca="1">расчет!ED61</f>
        <v>0</v>
      </c>
      <c r="EB30" s="607">
        <f ca="1">расчет!EE61</f>
        <v>0</v>
      </c>
      <c r="EC30" s="607">
        <f ca="1">расчет!EF61</f>
        <v>0</v>
      </c>
      <c r="ED30" s="607">
        <f ca="1">расчет!EG61</f>
        <v>0</v>
      </c>
      <c r="EE30" s="607">
        <f ca="1">расчет!EH61</f>
        <v>0</v>
      </c>
      <c r="EF30" s="607">
        <f ca="1">расчет!EI61</f>
        <v>0</v>
      </c>
      <c r="EG30" s="607">
        <f>расчет!EJ61</f>
        <v>0</v>
      </c>
      <c r="EH30" s="332"/>
    </row>
    <row r="31" spans="1:138" s="619" customFormat="1">
      <c r="A31" s="622" t="s">
        <v>1262</v>
      </c>
      <c r="B31" s="622" t="s">
        <v>1261</v>
      </c>
      <c r="C31" s="617">
        <f t="shared" ca="1" si="8"/>
        <v>119425019.094386</v>
      </c>
      <c r="D31" s="617">
        <f>SUM(D32:D34)</f>
        <v>0</v>
      </c>
      <c r="E31" s="617">
        <f t="shared" ref="E31:BP31" ca="1" si="14">SUM(E32:E34)</f>
        <v>11570236.759851823</v>
      </c>
      <c r="F31" s="617">
        <f t="shared" ca="1" si="14"/>
        <v>1370742.2405485562</v>
      </c>
      <c r="G31" s="617">
        <f t="shared" ca="1" si="14"/>
        <v>6070429.9224293204</v>
      </c>
      <c r="H31" s="617">
        <f t="shared" ca="1" si="14"/>
        <v>5874609.6023509558</v>
      </c>
      <c r="I31" s="617">
        <f t="shared" ca="1" si="14"/>
        <v>6070429.9224293204</v>
      </c>
      <c r="J31" s="617">
        <f t="shared" ca="1" si="14"/>
        <v>6070429.9224293204</v>
      </c>
      <c r="K31" s="617">
        <f t="shared" ca="1" si="14"/>
        <v>5874609.6023509558</v>
      </c>
      <c r="L31" s="617">
        <f t="shared" ca="1" si="14"/>
        <v>6070429.9224293204</v>
      </c>
      <c r="M31" s="617">
        <f t="shared" ca="1" si="14"/>
        <v>3720586.0814889381</v>
      </c>
      <c r="N31" s="617">
        <f t="shared" ca="1" si="14"/>
        <v>6464225.829855484</v>
      </c>
      <c r="O31" s="617">
        <f t="shared" ca="1" si="14"/>
        <v>0</v>
      </c>
      <c r="P31" s="617">
        <f t="shared" ca="1" si="14"/>
        <v>2398497.1256192927</v>
      </c>
      <c r="Q31" s="617">
        <f t="shared" ca="1" si="14"/>
        <v>10854512.539298998</v>
      </c>
      <c r="R31" s="617">
        <f t="shared" ca="1" si="14"/>
        <v>752812.96643525513</v>
      </c>
      <c r="S31" s="617">
        <f t="shared" ca="1" si="14"/>
        <v>538685.48582129029</v>
      </c>
      <c r="T31" s="617">
        <f t="shared" ca="1" si="14"/>
        <v>0</v>
      </c>
      <c r="U31" s="617">
        <f t="shared" ca="1" si="14"/>
        <v>0</v>
      </c>
      <c r="V31" s="617">
        <f t="shared" ca="1" si="14"/>
        <v>0</v>
      </c>
      <c r="W31" s="617">
        <f t="shared" ca="1" si="14"/>
        <v>0</v>
      </c>
      <c r="X31" s="617">
        <f t="shared" ca="1" si="14"/>
        <v>0</v>
      </c>
      <c r="Y31" s="617">
        <f t="shared" ca="1" si="14"/>
        <v>0</v>
      </c>
      <c r="Z31" s="617">
        <f t="shared" ca="1" si="14"/>
        <v>0</v>
      </c>
      <c r="AA31" s="617">
        <f t="shared" ca="1" si="14"/>
        <v>0</v>
      </c>
      <c r="AB31" s="617">
        <f t="shared" ca="1" si="14"/>
        <v>0</v>
      </c>
      <c r="AC31" s="617">
        <f t="shared" ca="1" si="14"/>
        <v>0</v>
      </c>
      <c r="AD31" s="617">
        <f t="shared" ca="1" si="14"/>
        <v>0</v>
      </c>
      <c r="AE31" s="617">
        <f t="shared" ca="1" si="14"/>
        <v>0</v>
      </c>
      <c r="AF31" s="617">
        <f t="shared" ca="1" si="14"/>
        <v>0</v>
      </c>
      <c r="AG31" s="617">
        <f t="shared" ca="1" si="14"/>
        <v>0</v>
      </c>
      <c r="AH31" s="617">
        <f t="shared" ca="1" si="14"/>
        <v>0</v>
      </c>
      <c r="AI31" s="617">
        <f t="shared" ca="1" si="14"/>
        <v>0</v>
      </c>
      <c r="AJ31" s="617">
        <f t="shared" ca="1" si="14"/>
        <v>0</v>
      </c>
      <c r="AK31" s="617">
        <f t="shared" ca="1" si="14"/>
        <v>0</v>
      </c>
      <c r="AL31" s="617">
        <f t="shared" ca="1" si="14"/>
        <v>0</v>
      </c>
      <c r="AM31" s="617">
        <f t="shared" ca="1" si="14"/>
        <v>0</v>
      </c>
      <c r="AN31" s="617">
        <f t="shared" ca="1" si="14"/>
        <v>0</v>
      </c>
      <c r="AO31" s="617">
        <f t="shared" ca="1" si="14"/>
        <v>0</v>
      </c>
      <c r="AP31" s="617">
        <f t="shared" ca="1" si="14"/>
        <v>538685.48582129029</v>
      </c>
      <c r="AQ31" s="617">
        <f t="shared" ca="1" si="14"/>
        <v>0</v>
      </c>
      <c r="AR31" s="617">
        <f t="shared" ca="1" si="14"/>
        <v>0</v>
      </c>
      <c r="AS31" s="617">
        <f t="shared" ca="1" si="14"/>
        <v>0</v>
      </c>
      <c r="AT31" s="617">
        <f t="shared" ca="1" si="14"/>
        <v>0</v>
      </c>
      <c r="AU31" s="617">
        <f t="shared" ca="1" si="14"/>
        <v>0</v>
      </c>
      <c r="AV31" s="617">
        <f t="shared" ca="1" si="14"/>
        <v>0</v>
      </c>
      <c r="AW31" s="617">
        <f t="shared" ca="1" si="14"/>
        <v>0</v>
      </c>
      <c r="AX31" s="617">
        <f t="shared" ca="1" si="14"/>
        <v>0</v>
      </c>
      <c r="AY31" s="617">
        <f t="shared" ca="1" si="14"/>
        <v>0</v>
      </c>
      <c r="AZ31" s="617">
        <f t="shared" ca="1" si="14"/>
        <v>0</v>
      </c>
      <c r="BA31" s="617">
        <f t="shared" ca="1" si="14"/>
        <v>13555528.705567764</v>
      </c>
      <c r="BB31" s="617">
        <f t="shared" ca="1" si="14"/>
        <v>0</v>
      </c>
      <c r="BC31" s="617">
        <f t="shared" ca="1" si="14"/>
        <v>14918612.425405417</v>
      </c>
      <c r="BD31" s="617">
        <f t="shared" ca="1" si="14"/>
        <v>15814783.489829058</v>
      </c>
      <c r="BE31" s="617">
        <f t="shared" ca="1" si="14"/>
        <v>896171.06442364061</v>
      </c>
      <c r="BF31" s="617">
        <f t="shared" ca="1" si="14"/>
        <v>0</v>
      </c>
      <c r="BG31" s="617">
        <f t="shared" ca="1" si="14"/>
        <v>0</v>
      </c>
      <c r="BH31" s="617">
        <f t="shared" ca="1" si="14"/>
        <v>0</v>
      </c>
      <c r="BI31" s="617">
        <f t="shared" ca="1" si="14"/>
        <v>0</v>
      </c>
      <c r="BJ31" s="617">
        <f t="shared" ca="1" si="14"/>
        <v>0</v>
      </c>
      <c r="BK31" s="617">
        <f t="shared" ca="1" si="14"/>
        <v>0</v>
      </c>
      <c r="BL31" s="617">
        <f t="shared" ca="1" si="14"/>
        <v>0</v>
      </c>
      <c r="BM31" s="617">
        <f t="shared" ca="1" si="14"/>
        <v>0</v>
      </c>
      <c r="BN31" s="617">
        <f t="shared" ca="1" si="14"/>
        <v>0</v>
      </c>
      <c r="BO31" s="617">
        <f t="shared" ca="1" si="14"/>
        <v>0</v>
      </c>
      <c r="BP31" s="617">
        <f t="shared" ca="1" si="14"/>
        <v>0</v>
      </c>
      <c r="BQ31" s="617">
        <f t="shared" ref="BQ31:EB31" ca="1" si="15">SUM(BQ32:BQ34)</f>
        <v>0</v>
      </c>
      <c r="BR31" s="617">
        <f t="shared" ca="1" si="15"/>
        <v>0</v>
      </c>
      <c r="BS31" s="617">
        <f t="shared" ca="1" si="15"/>
        <v>0</v>
      </c>
      <c r="BT31" s="617">
        <f t="shared" ca="1" si="15"/>
        <v>0</v>
      </c>
      <c r="BU31" s="617">
        <f t="shared" ca="1" si="15"/>
        <v>0</v>
      </c>
      <c r="BV31" s="617">
        <f t="shared" ca="1" si="15"/>
        <v>0</v>
      </c>
      <c r="BW31" s="617">
        <f t="shared" ca="1" si="15"/>
        <v>0</v>
      </c>
      <c r="BX31" s="617">
        <f t="shared" ca="1" si="15"/>
        <v>0</v>
      </c>
      <c r="BY31" s="617">
        <f t="shared" ca="1" si="15"/>
        <v>0</v>
      </c>
      <c r="BZ31" s="617">
        <f t="shared" ca="1" si="15"/>
        <v>0</v>
      </c>
      <c r="CA31" s="617">
        <f t="shared" ca="1" si="15"/>
        <v>0</v>
      </c>
      <c r="CB31" s="617">
        <f t="shared" ca="1" si="15"/>
        <v>0</v>
      </c>
      <c r="CC31" s="617">
        <f t="shared" ca="1" si="15"/>
        <v>0</v>
      </c>
      <c r="CD31" s="617">
        <f t="shared" ca="1" si="15"/>
        <v>0</v>
      </c>
      <c r="CE31" s="617">
        <f t="shared" ca="1" si="15"/>
        <v>0</v>
      </c>
      <c r="CF31" s="617">
        <f t="shared" ca="1" si="15"/>
        <v>0</v>
      </c>
      <c r="CG31" s="617">
        <f t="shared" ca="1" si="15"/>
        <v>0</v>
      </c>
      <c r="CH31" s="617">
        <f t="shared" ca="1" si="15"/>
        <v>0</v>
      </c>
      <c r="CI31" s="617">
        <f t="shared" ca="1" si="15"/>
        <v>0</v>
      </c>
      <c r="CJ31" s="617">
        <f t="shared" ca="1" si="15"/>
        <v>0</v>
      </c>
      <c r="CK31" s="617">
        <f t="shared" ca="1" si="15"/>
        <v>0</v>
      </c>
      <c r="CL31" s="617">
        <f t="shared" ca="1" si="15"/>
        <v>0</v>
      </c>
      <c r="CM31" s="617">
        <f t="shared" ca="1" si="15"/>
        <v>0</v>
      </c>
      <c r="CN31" s="617">
        <f t="shared" ca="1" si="15"/>
        <v>0</v>
      </c>
      <c r="CO31" s="617">
        <f t="shared" ca="1" si="15"/>
        <v>0</v>
      </c>
      <c r="CP31" s="617">
        <f t="shared" ca="1" si="15"/>
        <v>0</v>
      </c>
      <c r="CQ31" s="617">
        <f t="shared" ca="1" si="15"/>
        <v>0</v>
      </c>
      <c r="CR31" s="617">
        <f t="shared" ca="1" si="15"/>
        <v>0</v>
      </c>
      <c r="CS31" s="617">
        <f t="shared" ca="1" si="15"/>
        <v>0</v>
      </c>
      <c r="CT31" s="617">
        <f t="shared" ca="1" si="15"/>
        <v>0</v>
      </c>
      <c r="CU31" s="617">
        <f t="shared" ca="1" si="15"/>
        <v>0</v>
      </c>
      <c r="CV31" s="617">
        <f t="shared" ca="1" si="15"/>
        <v>0</v>
      </c>
      <c r="CW31" s="617">
        <f t="shared" ca="1" si="15"/>
        <v>0</v>
      </c>
      <c r="CX31" s="617">
        <f t="shared" ca="1" si="15"/>
        <v>0</v>
      </c>
      <c r="CY31" s="617">
        <f t="shared" ca="1" si="15"/>
        <v>0</v>
      </c>
      <c r="CZ31" s="617">
        <f t="shared" ca="1" si="15"/>
        <v>0</v>
      </c>
      <c r="DA31" s="617">
        <f t="shared" ca="1" si="15"/>
        <v>0</v>
      </c>
      <c r="DB31" s="617">
        <f t="shared" ca="1" si="15"/>
        <v>0</v>
      </c>
      <c r="DC31" s="617">
        <f t="shared" ca="1" si="15"/>
        <v>0</v>
      </c>
      <c r="DD31" s="617">
        <f t="shared" ca="1" si="15"/>
        <v>0</v>
      </c>
      <c r="DE31" s="617">
        <f t="shared" ca="1" si="15"/>
        <v>0</v>
      </c>
      <c r="DF31" s="617">
        <f t="shared" ca="1" si="15"/>
        <v>0</v>
      </c>
      <c r="DG31" s="617">
        <f t="shared" ca="1" si="15"/>
        <v>0</v>
      </c>
      <c r="DH31" s="617">
        <f t="shared" ca="1" si="15"/>
        <v>0</v>
      </c>
      <c r="DI31" s="617">
        <f t="shared" ca="1" si="15"/>
        <v>0</v>
      </c>
      <c r="DJ31" s="617">
        <f t="shared" ca="1" si="15"/>
        <v>0</v>
      </c>
      <c r="DK31" s="617">
        <f t="shared" ca="1" si="15"/>
        <v>0</v>
      </c>
      <c r="DL31" s="617">
        <f t="shared" ca="1" si="15"/>
        <v>0</v>
      </c>
      <c r="DM31" s="617">
        <f t="shared" ca="1" si="15"/>
        <v>0</v>
      </c>
      <c r="DN31" s="617">
        <f t="shared" ca="1" si="15"/>
        <v>0</v>
      </c>
      <c r="DO31" s="617">
        <f t="shared" ca="1" si="15"/>
        <v>0</v>
      </c>
      <c r="DP31" s="617">
        <f t="shared" ca="1" si="15"/>
        <v>0</v>
      </c>
      <c r="DQ31" s="617">
        <f t="shared" ca="1" si="15"/>
        <v>0</v>
      </c>
      <c r="DR31" s="617">
        <f t="shared" ca="1" si="15"/>
        <v>0</v>
      </c>
      <c r="DS31" s="617">
        <f t="shared" ca="1" si="15"/>
        <v>0</v>
      </c>
      <c r="DT31" s="617">
        <f t="shared" ca="1" si="15"/>
        <v>0</v>
      </c>
      <c r="DU31" s="617">
        <f t="shared" ca="1" si="15"/>
        <v>0</v>
      </c>
      <c r="DV31" s="617">
        <f t="shared" ca="1" si="15"/>
        <v>0</v>
      </c>
      <c r="DW31" s="617">
        <f t="shared" ca="1" si="15"/>
        <v>0</v>
      </c>
      <c r="DX31" s="617">
        <f t="shared" ca="1" si="15"/>
        <v>0</v>
      </c>
      <c r="DY31" s="617">
        <f t="shared" ca="1" si="15"/>
        <v>0</v>
      </c>
      <c r="DZ31" s="617">
        <f t="shared" ca="1" si="15"/>
        <v>0</v>
      </c>
      <c r="EA31" s="617">
        <f t="shared" ca="1" si="15"/>
        <v>0</v>
      </c>
      <c r="EB31" s="617">
        <f t="shared" ca="1" si="15"/>
        <v>0</v>
      </c>
      <c r="EC31" s="617">
        <f t="shared" ref="EC31:EG31" ca="1" si="16">SUM(EC32:EC34)</f>
        <v>0</v>
      </c>
      <c r="ED31" s="617">
        <f t="shared" ca="1" si="16"/>
        <v>0</v>
      </c>
      <c r="EE31" s="617">
        <f t="shared" ca="1" si="16"/>
        <v>0</v>
      </c>
      <c r="EF31" s="617">
        <f t="shared" ca="1" si="16"/>
        <v>0</v>
      </c>
      <c r="EG31" s="617">
        <f t="shared" si="16"/>
        <v>0</v>
      </c>
      <c r="EH31" s="621"/>
    </row>
    <row r="32" spans="1:138" s="321" customFormat="1" outlineLevel="1">
      <c r="A32" s="305" t="s">
        <v>1260</v>
      </c>
      <c r="B32" s="319" t="s">
        <v>1837</v>
      </c>
      <c r="C32" s="618">
        <f t="shared" ca="1" si="8"/>
        <v>52692503.97630851</v>
      </c>
      <c r="D32" s="607">
        <f>расчет!G63</f>
        <v>0</v>
      </c>
      <c r="E32" s="607">
        <f ca="1">расчет!H63</f>
        <v>11570236.759851823</v>
      </c>
      <c r="F32" s="607">
        <f ca="1">расчет!I63</f>
        <v>1370742.2405485562</v>
      </c>
      <c r="G32" s="607">
        <f ca="1">расчет!J63</f>
        <v>6070429.9224293204</v>
      </c>
      <c r="H32" s="607">
        <f ca="1">расчет!K63</f>
        <v>5874609.6023509558</v>
      </c>
      <c r="I32" s="607">
        <f ca="1">расчет!L63</f>
        <v>6070429.9224293204</v>
      </c>
      <c r="J32" s="607">
        <f ca="1">расчет!M63</f>
        <v>6070429.9224293204</v>
      </c>
      <c r="K32" s="607">
        <f ca="1">расчет!N63</f>
        <v>5874609.6023509558</v>
      </c>
      <c r="L32" s="607">
        <f ca="1">расчет!O63</f>
        <v>6070429.9224293204</v>
      </c>
      <c r="M32" s="607">
        <f ca="1">расчет!P63</f>
        <v>3720586.0814889381</v>
      </c>
      <c r="N32" s="607">
        <f ca="1">расчет!Q63</f>
        <v>0</v>
      </c>
      <c r="O32" s="607">
        <f ca="1">расчет!R63</f>
        <v>0</v>
      </c>
      <c r="P32" s="607">
        <f ca="1">расчет!S63</f>
        <v>0</v>
      </c>
      <c r="Q32" s="607">
        <f ca="1">расчет!T63</f>
        <v>0</v>
      </c>
      <c r="R32" s="607">
        <f ca="1">расчет!U63</f>
        <v>0</v>
      </c>
      <c r="S32" s="607">
        <f ca="1">расчет!V63</f>
        <v>0</v>
      </c>
      <c r="T32" s="607">
        <f ca="1">расчет!W63</f>
        <v>0</v>
      </c>
      <c r="U32" s="607">
        <f ca="1">расчет!X63</f>
        <v>0</v>
      </c>
      <c r="V32" s="607">
        <f ca="1">расчет!Y63</f>
        <v>0</v>
      </c>
      <c r="W32" s="607">
        <f ca="1">расчет!Z63</f>
        <v>0</v>
      </c>
      <c r="X32" s="607">
        <f ca="1">расчет!AA63</f>
        <v>0</v>
      </c>
      <c r="Y32" s="607">
        <f ca="1">расчет!AB63</f>
        <v>0</v>
      </c>
      <c r="Z32" s="607">
        <f ca="1">расчет!AC63</f>
        <v>0</v>
      </c>
      <c r="AA32" s="607">
        <f ca="1">расчет!AD63</f>
        <v>0</v>
      </c>
      <c r="AB32" s="607">
        <f ca="1">расчет!AE63</f>
        <v>0</v>
      </c>
      <c r="AC32" s="607">
        <f ca="1">расчет!AF63</f>
        <v>0</v>
      </c>
      <c r="AD32" s="607">
        <f ca="1">расчет!AG63</f>
        <v>0</v>
      </c>
      <c r="AE32" s="607">
        <f ca="1">расчет!AH63</f>
        <v>0</v>
      </c>
      <c r="AF32" s="607">
        <f ca="1">расчет!AI63</f>
        <v>0</v>
      </c>
      <c r="AG32" s="607">
        <f ca="1">расчет!AJ63</f>
        <v>0</v>
      </c>
      <c r="AH32" s="607">
        <f ca="1">расчет!AK63</f>
        <v>0</v>
      </c>
      <c r="AI32" s="607">
        <f ca="1">расчет!AL63</f>
        <v>0</v>
      </c>
      <c r="AJ32" s="607">
        <f ca="1">расчет!AM63</f>
        <v>0</v>
      </c>
      <c r="AK32" s="607">
        <f ca="1">расчет!AN63</f>
        <v>0</v>
      </c>
      <c r="AL32" s="607">
        <f ca="1">расчет!AO63</f>
        <v>0</v>
      </c>
      <c r="AM32" s="607">
        <f ca="1">расчет!AP63</f>
        <v>0</v>
      </c>
      <c r="AN32" s="607">
        <f ca="1">расчет!AQ63</f>
        <v>0</v>
      </c>
      <c r="AO32" s="607">
        <f ca="1">расчет!AR63</f>
        <v>0</v>
      </c>
      <c r="AP32" s="607">
        <f ca="1">расчет!AS63</f>
        <v>0</v>
      </c>
      <c r="AQ32" s="607">
        <f ca="1">расчет!AT63</f>
        <v>0</v>
      </c>
      <c r="AR32" s="607">
        <f ca="1">расчет!AU63</f>
        <v>0</v>
      </c>
      <c r="AS32" s="607">
        <f ca="1">расчет!AV63</f>
        <v>0</v>
      </c>
      <c r="AT32" s="607">
        <f ca="1">расчет!AW63</f>
        <v>0</v>
      </c>
      <c r="AU32" s="607">
        <f ca="1">расчет!AX63</f>
        <v>0</v>
      </c>
      <c r="AV32" s="607">
        <f ca="1">расчет!AY63</f>
        <v>0</v>
      </c>
      <c r="AW32" s="607">
        <f ca="1">расчет!AZ63</f>
        <v>0</v>
      </c>
      <c r="AX32" s="607">
        <f ca="1">расчет!BA63</f>
        <v>0</v>
      </c>
      <c r="AY32" s="607">
        <f ca="1">расчет!BB63</f>
        <v>0</v>
      </c>
      <c r="AZ32" s="607">
        <f ca="1">расчет!BC63</f>
        <v>0</v>
      </c>
      <c r="BA32" s="607">
        <f ca="1">расчет!BD63</f>
        <v>0</v>
      </c>
      <c r="BB32" s="607">
        <f ca="1">расчет!BE63</f>
        <v>0</v>
      </c>
      <c r="BC32" s="607">
        <f ca="1">расчет!BF63</f>
        <v>0</v>
      </c>
      <c r="BD32" s="607">
        <f ca="1">расчет!BG63</f>
        <v>0</v>
      </c>
      <c r="BE32" s="607">
        <f ca="1">расчет!BH63</f>
        <v>0</v>
      </c>
      <c r="BF32" s="607">
        <f ca="1">расчет!BI63</f>
        <v>0</v>
      </c>
      <c r="BG32" s="607">
        <f ca="1">расчет!BJ63</f>
        <v>0</v>
      </c>
      <c r="BH32" s="607">
        <f ca="1">расчет!BK63</f>
        <v>0</v>
      </c>
      <c r="BI32" s="607">
        <f ca="1">расчет!BL63</f>
        <v>0</v>
      </c>
      <c r="BJ32" s="607">
        <f ca="1">расчет!BM63</f>
        <v>0</v>
      </c>
      <c r="BK32" s="607">
        <f ca="1">расчет!BN63</f>
        <v>0</v>
      </c>
      <c r="BL32" s="607">
        <f ca="1">расчет!BO63</f>
        <v>0</v>
      </c>
      <c r="BM32" s="607">
        <f ca="1">расчет!BP63</f>
        <v>0</v>
      </c>
      <c r="BN32" s="607">
        <f ca="1">расчет!BQ63</f>
        <v>0</v>
      </c>
      <c r="BO32" s="607">
        <f ca="1">расчет!BR63</f>
        <v>0</v>
      </c>
      <c r="BP32" s="607">
        <f ca="1">расчет!BS63</f>
        <v>0</v>
      </c>
      <c r="BQ32" s="607">
        <f ca="1">расчет!BT63</f>
        <v>0</v>
      </c>
      <c r="BR32" s="607">
        <f ca="1">расчет!BU63</f>
        <v>0</v>
      </c>
      <c r="BS32" s="607">
        <f ca="1">расчет!BV63</f>
        <v>0</v>
      </c>
      <c r="BT32" s="607">
        <f ca="1">расчет!BW63</f>
        <v>0</v>
      </c>
      <c r="BU32" s="607">
        <f ca="1">расчет!BX63</f>
        <v>0</v>
      </c>
      <c r="BV32" s="607">
        <f ca="1">расчет!BY63</f>
        <v>0</v>
      </c>
      <c r="BW32" s="607">
        <f ca="1">расчет!BZ63</f>
        <v>0</v>
      </c>
      <c r="BX32" s="607">
        <f ca="1">расчет!CA63</f>
        <v>0</v>
      </c>
      <c r="BY32" s="607">
        <f ca="1">расчет!CB63</f>
        <v>0</v>
      </c>
      <c r="BZ32" s="607">
        <f ca="1">расчет!CC63</f>
        <v>0</v>
      </c>
      <c r="CA32" s="607">
        <f ca="1">расчет!CD63</f>
        <v>0</v>
      </c>
      <c r="CB32" s="607">
        <f ca="1">расчет!CE63</f>
        <v>0</v>
      </c>
      <c r="CC32" s="607">
        <f ca="1">расчет!CF63</f>
        <v>0</v>
      </c>
      <c r="CD32" s="607">
        <f ca="1">расчет!CG63</f>
        <v>0</v>
      </c>
      <c r="CE32" s="607">
        <f ca="1">расчет!CH63</f>
        <v>0</v>
      </c>
      <c r="CF32" s="607">
        <f ca="1">расчет!CI63</f>
        <v>0</v>
      </c>
      <c r="CG32" s="607">
        <f ca="1">расчет!CJ63</f>
        <v>0</v>
      </c>
      <c r="CH32" s="607">
        <f ca="1">расчет!CK63</f>
        <v>0</v>
      </c>
      <c r="CI32" s="607">
        <f ca="1">расчет!CL63</f>
        <v>0</v>
      </c>
      <c r="CJ32" s="607">
        <f ca="1">расчет!CM63</f>
        <v>0</v>
      </c>
      <c r="CK32" s="607">
        <f ca="1">расчет!CN63</f>
        <v>0</v>
      </c>
      <c r="CL32" s="607">
        <f ca="1">расчет!CO63</f>
        <v>0</v>
      </c>
      <c r="CM32" s="607">
        <f ca="1">расчет!CP63</f>
        <v>0</v>
      </c>
      <c r="CN32" s="607">
        <f ca="1">расчет!CQ63</f>
        <v>0</v>
      </c>
      <c r="CO32" s="607">
        <f ca="1">расчет!CR63</f>
        <v>0</v>
      </c>
      <c r="CP32" s="607">
        <f ca="1">расчет!CS63</f>
        <v>0</v>
      </c>
      <c r="CQ32" s="607">
        <f ca="1">расчет!CT63</f>
        <v>0</v>
      </c>
      <c r="CR32" s="607">
        <f ca="1">расчет!CU63</f>
        <v>0</v>
      </c>
      <c r="CS32" s="607">
        <f ca="1">расчет!CV63</f>
        <v>0</v>
      </c>
      <c r="CT32" s="607">
        <f ca="1">расчет!CW63</f>
        <v>0</v>
      </c>
      <c r="CU32" s="607">
        <f ca="1">расчет!CX63</f>
        <v>0</v>
      </c>
      <c r="CV32" s="607">
        <f ca="1">расчет!CY63</f>
        <v>0</v>
      </c>
      <c r="CW32" s="607">
        <f ca="1">расчет!CZ63</f>
        <v>0</v>
      </c>
      <c r="CX32" s="607">
        <f ca="1">расчет!DA63</f>
        <v>0</v>
      </c>
      <c r="CY32" s="607">
        <f ca="1">расчет!DB63</f>
        <v>0</v>
      </c>
      <c r="CZ32" s="607">
        <f ca="1">расчет!DC63</f>
        <v>0</v>
      </c>
      <c r="DA32" s="607">
        <f ca="1">расчет!DD63</f>
        <v>0</v>
      </c>
      <c r="DB32" s="607">
        <f ca="1">расчет!DE63</f>
        <v>0</v>
      </c>
      <c r="DC32" s="607">
        <f ca="1">расчет!DF63</f>
        <v>0</v>
      </c>
      <c r="DD32" s="607">
        <f ca="1">расчет!DG63</f>
        <v>0</v>
      </c>
      <c r="DE32" s="607">
        <f ca="1">расчет!DH63</f>
        <v>0</v>
      </c>
      <c r="DF32" s="607">
        <f ca="1">расчет!DI63</f>
        <v>0</v>
      </c>
      <c r="DG32" s="607">
        <f ca="1">расчет!DJ63</f>
        <v>0</v>
      </c>
      <c r="DH32" s="607">
        <f ca="1">расчет!DK63</f>
        <v>0</v>
      </c>
      <c r="DI32" s="607">
        <f ca="1">расчет!DL63</f>
        <v>0</v>
      </c>
      <c r="DJ32" s="607">
        <f ca="1">расчет!DM63</f>
        <v>0</v>
      </c>
      <c r="DK32" s="607">
        <f ca="1">расчет!DN63</f>
        <v>0</v>
      </c>
      <c r="DL32" s="607">
        <f ca="1">расчет!DO63</f>
        <v>0</v>
      </c>
      <c r="DM32" s="607">
        <f ca="1">расчет!DP63</f>
        <v>0</v>
      </c>
      <c r="DN32" s="607">
        <f ca="1">расчет!DQ63</f>
        <v>0</v>
      </c>
      <c r="DO32" s="607">
        <f ca="1">расчет!DR63</f>
        <v>0</v>
      </c>
      <c r="DP32" s="607">
        <f ca="1">расчет!DS63</f>
        <v>0</v>
      </c>
      <c r="DQ32" s="607">
        <f ca="1">расчет!DT63</f>
        <v>0</v>
      </c>
      <c r="DR32" s="607">
        <f ca="1">расчет!DU63</f>
        <v>0</v>
      </c>
      <c r="DS32" s="607">
        <f ca="1">расчет!DV63</f>
        <v>0</v>
      </c>
      <c r="DT32" s="607">
        <f ca="1">расчет!DW63</f>
        <v>0</v>
      </c>
      <c r="DU32" s="607">
        <f ca="1">расчет!DX63</f>
        <v>0</v>
      </c>
      <c r="DV32" s="607">
        <f ca="1">расчет!DY63</f>
        <v>0</v>
      </c>
      <c r="DW32" s="607">
        <f ca="1">расчет!DZ63</f>
        <v>0</v>
      </c>
      <c r="DX32" s="607">
        <f ca="1">расчет!EA63</f>
        <v>0</v>
      </c>
      <c r="DY32" s="607">
        <f ca="1">расчет!EB63</f>
        <v>0</v>
      </c>
      <c r="DZ32" s="607">
        <f ca="1">расчет!EC63</f>
        <v>0</v>
      </c>
      <c r="EA32" s="607">
        <f ca="1">расчет!ED63</f>
        <v>0</v>
      </c>
      <c r="EB32" s="607">
        <f ca="1">расчет!EE63</f>
        <v>0</v>
      </c>
      <c r="EC32" s="607">
        <f ca="1">расчет!EF63</f>
        <v>0</v>
      </c>
      <c r="ED32" s="607">
        <f ca="1">расчет!EG63</f>
        <v>0</v>
      </c>
      <c r="EE32" s="607">
        <f ca="1">расчет!EH63</f>
        <v>0</v>
      </c>
      <c r="EF32" s="607">
        <f ca="1">расчет!EI63</f>
        <v>0</v>
      </c>
      <c r="EG32" s="607">
        <f>расчет!EJ63</f>
        <v>0</v>
      </c>
      <c r="EH32" s="332"/>
    </row>
    <row r="33" spans="1:138" s="321" customFormat="1" outlineLevel="1">
      <c r="A33" s="305" t="s">
        <v>1259</v>
      </c>
      <c r="B33" s="319" t="s">
        <v>98</v>
      </c>
      <c r="C33" s="618">
        <f t="shared" ca="1" si="8"/>
        <v>45185095.685225882</v>
      </c>
      <c r="D33" s="607">
        <f>расчет!G64</f>
        <v>0</v>
      </c>
      <c r="E33" s="607">
        <f ca="1">расчет!H64</f>
        <v>0</v>
      </c>
      <c r="F33" s="607">
        <f ca="1">расчет!I64</f>
        <v>0</v>
      </c>
      <c r="G33" s="607">
        <f ca="1">расчет!J64</f>
        <v>0</v>
      </c>
      <c r="H33" s="607">
        <f ca="1">расчет!K64</f>
        <v>0</v>
      </c>
      <c r="I33" s="607">
        <f ca="1">расчет!L64</f>
        <v>0</v>
      </c>
      <c r="J33" s="607">
        <f ca="1">расчет!M64</f>
        <v>0</v>
      </c>
      <c r="K33" s="607">
        <f ca="1">расчет!N64</f>
        <v>0</v>
      </c>
      <c r="L33" s="607">
        <f ca="1">расчет!O64</f>
        <v>0</v>
      </c>
      <c r="M33" s="607">
        <f ca="1">расчет!P64</f>
        <v>0</v>
      </c>
      <c r="N33" s="607">
        <f ca="1">расчет!Q64</f>
        <v>0</v>
      </c>
      <c r="O33" s="607">
        <f ca="1">расчет!R64</f>
        <v>0</v>
      </c>
      <c r="P33" s="607">
        <f ca="1">расчет!S64</f>
        <v>0</v>
      </c>
      <c r="Q33" s="607">
        <f ca="1">расчет!T64</f>
        <v>0</v>
      </c>
      <c r="R33" s="607">
        <f ca="1">расчет!U64</f>
        <v>0</v>
      </c>
      <c r="S33" s="607">
        <f ca="1">расчет!V64</f>
        <v>0</v>
      </c>
      <c r="T33" s="607">
        <f ca="1">расчет!W64</f>
        <v>0</v>
      </c>
      <c r="U33" s="607">
        <f ca="1">расчет!X64</f>
        <v>0</v>
      </c>
      <c r="V33" s="607">
        <f ca="1">расчет!Y64</f>
        <v>0</v>
      </c>
      <c r="W33" s="607">
        <f ca="1">расчет!Z64</f>
        <v>0</v>
      </c>
      <c r="X33" s="607">
        <f ca="1">расчет!AA64</f>
        <v>0</v>
      </c>
      <c r="Y33" s="607">
        <f ca="1">расчет!AB64</f>
        <v>0</v>
      </c>
      <c r="Z33" s="607">
        <f ca="1">расчет!AC64</f>
        <v>0</v>
      </c>
      <c r="AA33" s="607">
        <f ca="1">расчет!AD64</f>
        <v>0</v>
      </c>
      <c r="AB33" s="607">
        <f ca="1">расчет!AE64</f>
        <v>0</v>
      </c>
      <c r="AC33" s="607">
        <f ca="1">расчет!AF64</f>
        <v>0</v>
      </c>
      <c r="AD33" s="607">
        <f ca="1">расчет!AG64</f>
        <v>0</v>
      </c>
      <c r="AE33" s="607">
        <f ca="1">расчет!AH64</f>
        <v>0</v>
      </c>
      <c r="AF33" s="607">
        <f ca="1">расчет!AI64</f>
        <v>0</v>
      </c>
      <c r="AG33" s="607">
        <f ca="1">расчет!AJ64</f>
        <v>0</v>
      </c>
      <c r="AH33" s="607">
        <f ca="1">расчет!AK64</f>
        <v>0</v>
      </c>
      <c r="AI33" s="607">
        <f ca="1">расчет!AL64</f>
        <v>0</v>
      </c>
      <c r="AJ33" s="607">
        <f ca="1">расчет!AM64</f>
        <v>0</v>
      </c>
      <c r="AK33" s="607">
        <f ca="1">расчет!AN64</f>
        <v>0</v>
      </c>
      <c r="AL33" s="607">
        <f ca="1">расчет!AO64</f>
        <v>0</v>
      </c>
      <c r="AM33" s="607">
        <f ca="1">расчет!AP64</f>
        <v>0</v>
      </c>
      <c r="AN33" s="607">
        <f ca="1">расчет!AQ64</f>
        <v>0</v>
      </c>
      <c r="AO33" s="607">
        <f ca="1">расчет!AR64</f>
        <v>0</v>
      </c>
      <c r="AP33" s="607">
        <f ca="1">расчет!AS64</f>
        <v>0</v>
      </c>
      <c r="AQ33" s="607">
        <f ca="1">расчет!AT64</f>
        <v>0</v>
      </c>
      <c r="AR33" s="607">
        <f ca="1">расчет!AU64</f>
        <v>0</v>
      </c>
      <c r="AS33" s="607">
        <f ca="1">расчет!AV64</f>
        <v>0</v>
      </c>
      <c r="AT33" s="607">
        <f ca="1">расчет!AW64</f>
        <v>0</v>
      </c>
      <c r="AU33" s="607">
        <f ca="1">расчет!AX64</f>
        <v>0</v>
      </c>
      <c r="AV33" s="607">
        <f ca="1">расчет!AY64</f>
        <v>0</v>
      </c>
      <c r="AW33" s="607">
        <f ca="1">расчет!AZ64</f>
        <v>0</v>
      </c>
      <c r="AX33" s="607">
        <f ca="1">расчет!BA64</f>
        <v>0</v>
      </c>
      <c r="AY33" s="607">
        <f ca="1">расчет!BB64</f>
        <v>0</v>
      </c>
      <c r="AZ33" s="607">
        <f ca="1">расчет!BC64</f>
        <v>0</v>
      </c>
      <c r="BA33" s="607">
        <f ca="1">расчет!BD64</f>
        <v>13555528.705567764</v>
      </c>
      <c r="BB33" s="607">
        <f ca="1">расчет!BE64</f>
        <v>0</v>
      </c>
      <c r="BC33" s="607">
        <f ca="1">расчет!BF64</f>
        <v>14918612.425405417</v>
      </c>
      <c r="BD33" s="607">
        <f ca="1">расчет!BG64</f>
        <v>15814783.489829058</v>
      </c>
      <c r="BE33" s="607">
        <f ca="1">расчет!BH64</f>
        <v>896171.06442364061</v>
      </c>
      <c r="BF33" s="607">
        <f ca="1">расчет!BI64</f>
        <v>0</v>
      </c>
      <c r="BG33" s="607">
        <f ca="1">расчет!BJ64</f>
        <v>0</v>
      </c>
      <c r="BH33" s="607">
        <f ca="1">расчет!BK64</f>
        <v>0</v>
      </c>
      <c r="BI33" s="607">
        <f ca="1">расчет!BL64</f>
        <v>0</v>
      </c>
      <c r="BJ33" s="607">
        <f ca="1">расчет!BM64</f>
        <v>0</v>
      </c>
      <c r="BK33" s="607">
        <f ca="1">расчет!BN64</f>
        <v>0</v>
      </c>
      <c r="BL33" s="607">
        <f ca="1">расчет!BO64</f>
        <v>0</v>
      </c>
      <c r="BM33" s="607">
        <f ca="1">расчет!BP64</f>
        <v>0</v>
      </c>
      <c r="BN33" s="607">
        <f ca="1">расчет!BQ64</f>
        <v>0</v>
      </c>
      <c r="BO33" s="607">
        <f ca="1">расчет!BR64</f>
        <v>0</v>
      </c>
      <c r="BP33" s="607">
        <f ca="1">расчет!BS64</f>
        <v>0</v>
      </c>
      <c r="BQ33" s="607">
        <f ca="1">расчет!BT64</f>
        <v>0</v>
      </c>
      <c r="BR33" s="607">
        <f ca="1">расчет!BU64</f>
        <v>0</v>
      </c>
      <c r="BS33" s="607">
        <f ca="1">расчет!BV64</f>
        <v>0</v>
      </c>
      <c r="BT33" s="607">
        <f ca="1">расчет!BW64</f>
        <v>0</v>
      </c>
      <c r="BU33" s="607">
        <f ca="1">расчет!BX64</f>
        <v>0</v>
      </c>
      <c r="BV33" s="607">
        <f ca="1">расчет!BY64</f>
        <v>0</v>
      </c>
      <c r="BW33" s="607">
        <f ca="1">расчет!BZ64</f>
        <v>0</v>
      </c>
      <c r="BX33" s="607">
        <f ca="1">расчет!CA64</f>
        <v>0</v>
      </c>
      <c r="BY33" s="607">
        <f ca="1">расчет!CB64</f>
        <v>0</v>
      </c>
      <c r="BZ33" s="607">
        <f ca="1">расчет!CC64</f>
        <v>0</v>
      </c>
      <c r="CA33" s="607">
        <f ca="1">расчет!CD64</f>
        <v>0</v>
      </c>
      <c r="CB33" s="607">
        <f ca="1">расчет!CE64</f>
        <v>0</v>
      </c>
      <c r="CC33" s="607">
        <f ca="1">расчет!CF64</f>
        <v>0</v>
      </c>
      <c r="CD33" s="607">
        <f ca="1">расчет!CG64</f>
        <v>0</v>
      </c>
      <c r="CE33" s="607">
        <f ca="1">расчет!CH64</f>
        <v>0</v>
      </c>
      <c r="CF33" s="607">
        <f ca="1">расчет!CI64</f>
        <v>0</v>
      </c>
      <c r="CG33" s="607">
        <f ca="1">расчет!CJ64</f>
        <v>0</v>
      </c>
      <c r="CH33" s="607">
        <f ca="1">расчет!CK64</f>
        <v>0</v>
      </c>
      <c r="CI33" s="607">
        <f ca="1">расчет!CL64</f>
        <v>0</v>
      </c>
      <c r="CJ33" s="607">
        <f ca="1">расчет!CM64</f>
        <v>0</v>
      </c>
      <c r="CK33" s="607">
        <f ca="1">расчет!CN64</f>
        <v>0</v>
      </c>
      <c r="CL33" s="607">
        <f ca="1">расчет!CO64</f>
        <v>0</v>
      </c>
      <c r="CM33" s="607">
        <f ca="1">расчет!CP64</f>
        <v>0</v>
      </c>
      <c r="CN33" s="607">
        <f ca="1">расчет!CQ64</f>
        <v>0</v>
      </c>
      <c r="CO33" s="607">
        <f ca="1">расчет!CR64</f>
        <v>0</v>
      </c>
      <c r="CP33" s="607">
        <f ca="1">расчет!CS64</f>
        <v>0</v>
      </c>
      <c r="CQ33" s="607">
        <f ca="1">расчет!CT64</f>
        <v>0</v>
      </c>
      <c r="CR33" s="607">
        <f ca="1">расчет!CU64</f>
        <v>0</v>
      </c>
      <c r="CS33" s="607">
        <f ca="1">расчет!CV64</f>
        <v>0</v>
      </c>
      <c r="CT33" s="607">
        <f ca="1">расчет!CW64</f>
        <v>0</v>
      </c>
      <c r="CU33" s="607">
        <f ca="1">расчет!CX64</f>
        <v>0</v>
      </c>
      <c r="CV33" s="607">
        <f ca="1">расчет!CY64</f>
        <v>0</v>
      </c>
      <c r="CW33" s="607">
        <f ca="1">расчет!CZ64</f>
        <v>0</v>
      </c>
      <c r="CX33" s="607">
        <f ca="1">расчет!DA64</f>
        <v>0</v>
      </c>
      <c r="CY33" s="607">
        <f ca="1">расчет!DB64</f>
        <v>0</v>
      </c>
      <c r="CZ33" s="607">
        <f ca="1">расчет!DC64</f>
        <v>0</v>
      </c>
      <c r="DA33" s="607">
        <f ca="1">расчет!DD64</f>
        <v>0</v>
      </c>
      <c r="DB33" s="607">
        <f ca="1">расчет!DE64</f>
        <v>0</v>
      </c>
      <c r="DC33" s="607">
        <f ca="1">расчет!DF64</f>
        <v>0</v>
      </c>
      <c r="DD33" s="607">
        <f ca="1">расчет!DG64</f>
        <v>0</v>
      </c>
      <c r="DE33" s="607">
        <f ca="1">расчет!DH64</f>
        <v>0</v>
      </c>
      <c r="DF33" s="607">
        <f ca="1">расчет!DI64</f>
        <v>0</v>
      </c>
      <c r="DG33" s="607">
        <f ca="1">расчет!DJ64</f>
        <v>0</v>
      </c>
      <c r="DH33" s="607">
        <f ca="1">расчет!DK64</f>
        <v>0</v>
      </c>
      <c r="DI33" s="607">
        <f ca="1">расчет!DL64</f>
        <v>0</v>
      </c>
      <c r="DJ33" s="607">
        <f ca="1">расчет!DM64</f>
        <v>0</v>
      </c>
      <c r="DK33" s="607">
        <f ca="1">расчет!DN64</f>
        <v>0</v>
      </c>
      <c r="DL33" s="607">
        <f ca="1">расчет!DO64</f>
        <v>0</v>
      </c>
      <c r="DM33" s="607">
        <f ca="1">расчет!DP64</f>
        <v>0</v>
      </c>
      <c r="DN33" s="607">
        <f ca="1">расчет!DQ64</f>
        <v>0</v>
      </c>
      <c r="DO33" s="607">
        <f ca="1">расчет!DR64</f>
        <v>0</v>
      </c>
      <c r="DP33" s="607">
        <f ca="1">расчет!DS64</f>
        <v>0</v>
      </c>
      <c r="DQ33" s="607">
        <f ca="1">расчет!DT64</f>
        <v>0</v>
      </c>
      <c r="DR33" s="607">
        <f ca="1">расчет!DU64</f>
        <v>0</v>
      </c>
      <c r="DS33" s="607">
        <f ca="1">расчет!DV64</f>
        <v>0</v>
      </c>
      <c r="DT33" s="607">
        <f ca="1">расчет!DW64</f>
        <v>0</v>
      </c>
      <c r="DU33" s="607">
        <f ca="1">расчет!DX64</f>
        <v>0</v>
      </c>
      <c r="DV33" s="607">
        <f ca="1">расчет!DY64</f>
        <v>0</v>
      </c>
      <c r="DW33" s="607">
        <f ca="1">расчет!DZ64</f>
        <v>0</v>
      </c>
      <c r="DX33" s="607">
        <f ca="1">расчет!EA64</f>
        <v>0</v>
      </c>
      <c r="DY33" s="607">
        <f ca="1">расчет!EB64</f>
        <v>0</v>
      </c>
      <c r="DZ33" s="607">
        <f ca="1">расчет!EC64</f>
        <v>0</v>
      </c>
      <c r="EA33" s="607">
        <f ca="1">расчет!ED64</f>
        <v>0</v>
      </c>
      <c r="EB33" s="607">
        <f ca="1">расчет!EE64</f>
        <v>0</v>
      </c>
      <c r="EC33" s="607">
        <f ca="1">расчет!EF64</f>
        <v>0</v>
      </c>
      <c r="ED33" s="607">
        <f ca="1">расчет!EG64</f>
        <v>0</v>
      </c>
      <c r="EE33" s="607">
        <f ca="1">расчет!EH64</f>
        <v>0</v>
      </c>
      <c r="EF33" s="607">
        <f ca="1">расчет!EI64</f>
        <v>0</v>
      </c>
      <c r="EG33" s="607">
        <f>расчет!EJ64</f>
        <v>0</v>
      </c>
      <c r="EH33" s="332"/>
    </row>
    <row r="34" spans="1:138" s="321" customFormat="1" outlineLevel="1">
      <c r="A34" s="305" t="s">
        <v>1250</v>
      </c>
      <c r="B34" s="319" t="s">
        <v>119</v>
      </c>
      <c r="C34" s="618">
        <f t="shared" ca="1" si="8"/>
        <v>21547419.432851613</v>
      </c>
      <c r="D34" s="607">
        <f>расчет!G65</f>
        <v>0</v>
      </c>
      <c r="E34" s="607">
        <f ca="1">расчет!H65</f>
        <v>0</v>
      </c>
      <c r="F34" s="607">
        <f ca="1">расчет!I65</f>
        <v>0</v>
      </c>
      <c r="G34" s="607">
        <f ca="1">расчет!J65</f>
        <v>0</v>
      </c>
      <c r="H34" s="607">
        <f ca="1">расчет!K65</f>
        <v>0</v>
      </c>
      <c r="I34" s="607">
        <f ca="1">расчет!L65</f>
        <v>0</v>
      </c>
      <c r="J34" s="607">
        <f ca="1">расчет!M65</f>
        <v>0</v>
      </c>
      <c r="K34" s="607">
        <f ca="1">расчет!N65</f>
        <v>0</v>
      </c>
      <c r="L34" s="607">
        <f ca="1">расчет!O65</f>
        <v>0</v>
      </c>
      <c r="M34" s="607">
        <f ca="1">расчет!P65</f>
        <v>0</v>
      </c>
      <c r="N34" s="607">
        <f ca="1">расчет!Q65</f>
        <v>6464225.829855484</v>
      </c>
      <c r="O34" s="607">
        <f ca="1">расчет!R65</f>
        <v>0</v>
      </c>
      <c r="P34" s="607">
        <f ca="1">расчет!S65</f>
        <v>2398497.1256192927</v>
      </c>
      <c r="Q34" s="607">
        <f ca="1">расчет!T65</f>
        <v>10854512.539298998</v>
      </c>
      <c r="R34" s="607">
        <f ca="1">расчет!U65</f>
        <v>752812.96643525513</v>
      </c>
      <c r="S34" s="607">
        <f ca="1">расчет!V65</f>
        <v>538685.48582129029</v>
      </c>
      <c r="T34" s="607">
        <f ca="1">расчет!W65</f>
        <v>0</v>
      </c>
      <c r="U34" s="607">
        <f ca="1">расчет!X65</f>
        <v>0</v>
      </c>
      <c r="V34" s="607">
        <f ca="1">расчет!Y65</f>
        <v>0</v>
      </c>
      <c r="W34" s="607">
        <f ca="1">расчет!Z65</f>
        <v>0</v>
      </c>
      <c r="X34" s="607">
        <f ca="1">расчет!AA65</f>
        <v>0</v>
      </c>
      <c r="Y34" s="607">
        <f ca="1">расчет!AB65</f>
        <v>0</v>
      </c>
      <c r="Z34" s="607">
        <f ca="1">расчет!AC65</f>
        <v>0</v>
      </c>
      <c r="AA34" s="607">
        <f ca="1">расчет!AD65</f>
        <v>0</v>
      </c>
      <c r="AB34" s="607">
        <f ca="1">расчет!AE65</f>
        <v>0</v>
      </c>
      <c r="AC34" s="607">
        <f ca="1">расчет!AF65</f>
        <v>0</v>
      </c>
      <c r="AD34" s="607">
        <f ca="1">расчет!AG65</f>
        <v>0</v>
      </c>
      <c r="AE34" s="607">
        <f ca="1">расчет!AH65</f>
        <v>0</v>
      </c>
      <c r="AF34" s="607">
        <f ca="1">расчет!AI65</f>
        <v>0</v>
      </c>
      <c r="AG34" s="607">
        <f ca="1">расчет!AJ65</f>
        <v>0</v>
      </c>
      <c r="AH34" s="607">
        <f ca="1">расчет!AK65</f>
        <v>0</v>
      </c>
      <c r="AI34" s="607">
        <f ca="1">расчет!AL65</f>
        <v>0</v>
      </c>
      <c r="AJ34" s="607">
        <f ca="1">расчет!AM65</f>
        <v>0</v>
      </c>
      <c r="AK34" s="607">
        <f ca="1">расчет!AN65</f>
        <v>0</v>
      </c>
      <c r="AL34" s="607">
        <f ca="1">расчет!AO65</f>
        <v>0</v>
      </c>
      <c r="AM34" s="607">
        <f ca="1">расчет!AP65</f>
        <v>0</v>
      </c>
      <c r="AN34" s="607">
        <f ca="1">расчет!AQ65</f>
        <v>0</v>
      </c>
      <c r="AO34" s="607">
        <f ca="1">расчет!AR65</f>
        <v>0</v>
      </c>
      <c r="AP34" s="607">
        <f ca="1">расчет!AS65</f>
        <v>538685.48582129029</v>
      </c>
      <c r="AQ34" s="607">
        <f ca="1">расчет!AT65</f>
        <v>0</v>
      </c>
      <c r="AR34" s="607">
        <f ca="1">расчет!AU65</f>
        <v>0</v>
      </c>
      <c r="AS34" s="607">
        <f ca="1">расчет!AV65</f>
        <v>0</v>
      </c>
      <c r="AT34" s="607">
        <f ca="1">расчет!AW65</f>
        <v>0</v>
      </c>
      <c r="AU34" s="607">
        <f ca="1">расчет!AX65</f>
        <v>0</v>
      </c>
      <c r="AV34" s="607">
        <f ca="1">расчет!AY65</f>
        <v>0</v>
      </c>
      <c r="AW34" s="607">
        <f ca="1">расчет!AZ65</f>
        <v>0</v>
      </c>
      <c r="AX34" s="607">
        <f ca="1">расчет!BA65</f>
        <v>0</v>
      </c>
      <c r="AY34" s="607">
        <f ca="1">расчет!BB65</f>
        <v>0</v>
      </c>
      <c r="AZ34" s="607">
        <f ca="1">расчет!BC65</f>
        <v>0</v>
      </c>
      <c r="BA34" s="607">
        <f ca="1">расчет!BD65</f>
        <v>0</v>
      </c>
      <c r="BB34" s="607">
        <f ca="1">расчет!BE65</f>
        <v>0</v>
      </c>
      <c r="BC34" s="607">
        <f ca="1">расчет!BF65</f>
        <v>0</v>
      </c>
      <c r="BD34" s="607">
        <f ca="1">расчет!BG65</f>
        <v>0</v>
      </c>
      <c r="BE34" s="607">
        <f ca="1">расчет!BH65</f>
        <v>0</v>
      </c>
      <c r="BF34" s="607">
        <f ca="1">расчет!BI65</f>
        <v>0</v>
      </c>
      <c r="BG34" s="607">
        <f ca="1">расчет!BJ65</f>
        <v>0</v>
      </c>
      <c r="BH34" s="607">
        <f ca="1">расчет!BK65</f>
        <v>0</v>
      </c>
      <c r="BI34" s="607">
        <f ca="1">расчет!BL65</f>
        <v>0</v>
      </c>
      <c r="BJ34" s="607">
        <f ca="1">расчет!BM65</f>
        <v>0</v>
      </c>
      <c r="BK34" s="607">
        <f ca="1">расчет!BN65</f>
        <v>0</v>
      </c>
      <c r="BL34" s="607">
        <f ca="1">расчет!BO65</f>
        <v>0</v>
      </c>
      <c r="BM34" s="607">
        <f ca="1">расчет!BP65</f>
        <v>0</v>
      </c>
      <c r="BN34" s="607">
        <f ca="1">расчет!BQ65</f>
        <v>0</v>
      </c>
      <c r="BO34" s="607">
        <f ca="1">расчет!BR65</f>
        <v>0</v>
      </c>
      <c r="BP34" s="607">
        <f ca="1">расчет!BS65</f>
        <v>0</v>
      </c>
      <c r="BQ34" s="607">
        <f ca="1">расчет!BT65</f>
        <v>0</v>
      </c>
      <c r="BR34" s="607">
        <f ca="1">расчет!BU65</f>
        <v>0</v>
      </c>
      <c r="BS34" s="607">
        <f ca="1">расчет!BV65</f>
        <v>0</v>
      </c>
      <c r="BT34" s="607">
        <f ca="1">расчет!BW65</f>
        <v>0</v>
      </c>
      <c r="BU34" s="607">
        <f ca="1">расчет!BX65</f>
        <v>0</v>
      </c>
      <c r="BV34" s="607">
        <f ca="1">расчет!BY65</f>
        <v>0</v>
      </c>
      <c r="BW34" s="607">
        <f ca="1">расчет!BZ65</f>
        <v>0</v>
      </c>
      <c r="BX34" s="607">
        <f ca="1">расчет!CA65</f>
        <v>0</v>
      </c>
      <c r="BY34" s="607">
        <f ca="1">расчет!CB65</f>
        <v>0</v>
      </c>
      <c r="BZ34" s="607">
        <f ca="1">расчет!CC65</f>
        <v>0</v>
      </c>
      <c r="CA34" s="607">
        <f ca="1">расчет!CD65</f>
        <v>0</v>
      </c>
      <c r="CB34" s="607">
        <f ca="1">расчет!CE65</f>
        <v>0</v>
      </c>
      <c r="CC34" s="607">
        <f ca="1">расчет!CF65</f>
        <v>0</v>
      </c>
      <c r="CD34" s="607">
        <f ca="1">расчет!CG65</f>
        <v>0</v>
      </c>
      <c r="CE34" s="607">
        <f ca="1">расчет!CH65</f>
        <v>0</v>
      </c>
      <c r="CF34" s="607">
        <f ca="1">расчет!CI65</f>
        <v>0</v>
      </c>
      <c r="CG34" s="607">
        <f ca="1">расчет!CJ65</f>
        <v>0</v>
      </c>
      <c r="CH34" s="607">
        <f ca="1">расчет!CK65</f>
        <v>0</v>
      </c>
      <c r="CI34" s="607">
        <f ca="1">расчет!CL65</f>
        <v>0</v>
      </c>
      <c r="CJ34" s="607">
        <f ca="1">расчет!CM65</f>
        <v>0</v>
      </c>
      <c r="CK34" s="607">
        <f ca="1">расчет!CN65</f>
        <v>0</v>
      </c>
      <c r="CL34" s="607">
        <f ca="1">расчет!CO65</f>
        <v>0</v>
      </c>
      <c r="CM34" s="607">
        <f ca="1">расчет!CP65</f>
        <v>0</v>
      </c>
      <c r="CN34" s="607">
        <f ca="1">расчет!CQ65</f>
        <v>0</v>
      </c>
      <c r="CO34" s="607">
        <f ca="1">расчет!CR65</f>
        <v>0</v>
      </c>
      <c r="CP34" s="607">
        <f ca="1">расчет!CS65</f>
        <v>0</v>
      </c>
      <c r="CQ34" s="607">
        <f ca="1">расчет!CT65</f>
        <v>0</v>
      </c>
      <c r="CR34" s="607">
        <f ca="1">расчет!CU65</f>
        <v>0</v>
      </c>
      <c r="CS34" s="607">
        <f ca="1">расчет!CV65</f>
        <v>0</v>
      </c>
      <c r="CT34" s="607">
        <f ca="1">расчет!CW65</f>
        <v>0</v>
      </c>
      <c r="CU34" s="607">
        <f ca="1">расчет!CX65</f>
        <v>0</v>
      </c>
      <c r="CV34" s="607">
        <f ca="1">расчет!CY65</f>
        <v>0</v>
      </c>
      <c r="CW34" s="607">
        <f ca="1">расчет!CZ65</f>
        <v>0</v>
      </c>
      <c r="CX34" s="607">
        <f ca="1">расчет!DA65</f>
        <v>0</v>
      </c>
      <c r="CY34" s="607">
        <f ca="1">расчет!DB65</f>
        <v>0</v>
      </c>
      <c r="CZ34" s="607">
        <f ca="1">расчет!DC65</f>
        <v>0</v>
      </c>
      <c r="DA34" s="607">
        <f ca="1">расчет!DD65</f>
        <v>0</v>
      </c>
      <c r="DB34" s="607">
        <f ca="1">расчет!DE65</f>
        <v>0</v>
      </c>
      <c r="DC34" s="607">
        <f ca="1">расчет!DF65</f>
        <v>0</v>
      </c>
      <c r="DD34" s="607">
        <f ca="1">расчет!DG65</f>
        <v>0</v>
      </c>
      <c r="DE34" s="607">
        <f ca="1">расчет!DH65</f>
        <v>0</v>
      </c>
      <c r="DF34" s="607">
        <f ca="1">расчет!DI65</f>
        <v>0</v>
      </c>
      <c r="DG34" s="607">
        <f ca="1">расчет!DJ65</f>
        <v>0</v>
      </c>
      <c r="DH34" s="607">
        <f ca="1">расчет!DK65</f>
        <v>0</v>
      </c>
      <c r="DI34" s="607">
        <f ca="1">расчет!DL65</f>
        <v>0</v>
      </c>
      <c r="DJ34" s="607">
        <f ca="1">расчет!DM65</f>
        <v>0</v>
      </c>
      <c r="DK34" s="607">
        <f ca="1">расчет!DN65</f>
        <v>0</v>
      </c>
      <c r="DL34" s="607">
        <f ca="1">расчет!DO65</f>
        <v>0</v>
      </c>
      <c r="DM34" s="607">
        <f ca="1">расчет!DP65</f>
        <v>0</v>
      </c>
      <c r="DN34" s="607">
        <f ca="1">расчет!DQ65</f>
        <v>0</v>
      </c>
      <c r="DO34" s="607">
        <f ca="1">расчет!DR65</f>
        <v>0</v>
      </c>
      <c r="DP34" s="607">
        <f ca="1">расчет!DS65</f>
        <v>0</v>
      </c>
      <c r="DQ34" s="607">
        <f ca="1">расчет!DT65</f>
        <v>0</v>
      </c>
      <c r="DR34" s="607">
        <f ca="1">расчет!DU65</f>
        <v>0</v>
      </c>
      <c r="DS34" s="607">
        <f ca="1">расчет!DV65</f>
        <v>0</v>
      </c>
      <c r="DT34" s="607">
        <f ca="1">расчет!DW65</f>
        <v>0</v>
      </c>
      <c r="DU34" s="607">
        <f ca="1">расчет!DX65</f>
        <v>0</v>
      </c>
      <c r="DV34" s="607">
        <f ca="1">расчет!DY65</f>
        <v>0</v>
      </c>
      <c r="DW34" s="607">
        <f ca="1">расчет!DZ65</f>
        <v>0</v>
      </c>
      <c r="DX34" s="607">
        <f ca="1">расчет!EA65</f>
        <v>0</v>
      </c>
      <c r="DY34" s="607">
        <f ca="1">расчет!EB65</f>
        <v>0</v>
      </c>
      <c r="DZ34" s="607">
        <f ca="1">расчет!EC65</f>
        <v>0</v>
      </c>
      <c r="EA34" s="607">
        <f ca="1">расчет!ED65</f>
        <v>0</v>
      </c>
      <c r="EB34" s="607">
        <f ca="1">расчет!EE65</f>
        <v>0</v>
      </c>
      <c r="EC34" s="607">
        <f ca="1">расчет!EF65</f>
        <v>0</v>
      </c>
      <c r="ED34" s="607">
        <f ca="1">расчет!EG65</f>
        <v>0</v>
      </c>
      <c r="EE34" s="607">
        <f ca="1">расчет!EH65</f>
        <v>0</v>
      </c>
      <c r="EF34" s="607">
        <f ca="1">расчет!EI65</f>
        <v>0</v>
      </c>
      <c r="EG34" s="607">
        <f>расчет!EJ65</f>
        <v>0</v>
      </c>
      <c r="EH34" s="332"/>
    </row>
    <row r="35" spans="1:138">
      <c r="C35" s="619"/>
    </row>
    <row r="36" spans="1:138">
      <c r="C36" s="61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8">
    <tabColor rgb="FFFFFF00"/>
    <pageSetUpPr fitToPage="1"/>
  </sheetPr>
  <dimension ref="A1:EH46"/>
  <sheetViews>
    <sheetView showGridLines="0" zoomScale="80" zoomScaleNormal="80" zoomScaleSheetLayoutView="100" workbookViewId="0">
      <pane xSplit="4" ySplit="2" topLeftCell="E4" activePane="bottomRight" state="frozen"/>
      <selection activeCell="D11" sqref="D11"/>
      <selection pane="topRight" activeCell="D11" sqref="D11"/>
      <selection pane="bottomLeft" activeCell="D11" sqref="D11"/>
      <selection pane="bottomRight" activeCell="D24" sqref="D24"/>
    </sheetView>
  </sheetViews>
  <sheetFormatPr defaultRowHeight="15" outlineLevelRow="1"/>
  <cols>
    <col min="1" max="1" width="50.7109375" style="321" customWidth="1"/>
    <col min="2" max="2" width="18.28515625" style="321" customWidth="1"/>
    <col min="3" max="3" width="13.7109375" style="321" customWidth="1"/>
    <col min="4" max="4" width="13.42578125" style="321" customWidth="1"/>
    <col min="5" max="27" width="3" style="321" customWidth="1"/>
    <col min="28" max="138" width="3" style="321" bestFit="1" customWidth="1"/>
    <col min="139" max="16384" width="9.140625" style="321"/>
  </cols>
  <sheetData>
    <row r="1" spans="1:138" ht="39.75" customHeight="1" thickBot="1">
      <c r="E1" s="322">
        <f>БДДС!D8</f>
        <v>44986</v>
      </c>
      <c r="F1" s="322">
        <f>БДДС!E8</f>
        <v>45017</v>
      </c>
      <c r="G1" s="322">
        <f>БДДС!F8</f>
        <v>45047</v>
      </c>
      <c r="H1" s="322">
        <f>БДДС!G8</f>
        <v>45078</v>
      </c>
      <c r="I1" s="322">
        <f>БДДС!H8</f>
        <v>45108</v>
      </c>
      <c r="J1" s="322">
        <f>БДДС!I8</f>
        <v>45139</v>
      </c>
      <c r="K1" s="322">
        <f>БДДС!J8</f>
        <v>45170</v>
      </c>
      <c r="L1" s="322">
        <f>БДДС!K8</f>
        <v>45200</v>
      </c>
      <c r="M1" s="322">
        <f>БДДС!L8</f>
        <v>45231</v>
      </c>
      <c r="N1" s="322">
        <f>БДДС!M8</f>
        <v>45261</v>
      </c>
      <c r="O1" s="322">
        <f>БДДС!N8</f>
        <v>45292</v>
      </c>
      <c r="P1" s="322">
        <f>БДДС!O8</f>
        <v>45323</v>
      </c>
      <c r="Q1" s="322">
        <f>БДДС!P8</f>
        <v>45352</v>
      </c>
      <c r="R1" s="322">
        <f>БДДС!Q8</f>
        <v>45383</v>
      </c>
      <c r="S1" s="322">
        <f>БДДС!R8</f>
        <v>45413</v>
      </c>
      <c r="T1" s="322">
        <f>БДДС!S8</f>
        <v>45444</v>
      </c>
      <c r="U1" s="322">
        <f>БДДС!T8</f>
        <v>45474</v>
      </c>
      <c r="V1" s="322">
        <f>БДДС!U8</f>
        <v>45505</v>
      </c>
      <c r="W1" s="322">
        <f>БДДС!V8</f>
        <v>45536</v>
      </c>
      <c r="X1" s="322">
        <f>БДДС!W8</f>
        <v>45566</v>
      </c>
      <c r="Y1" s="322">
        <f>БДДС!X8</f>
        <v>45597</v>
      </c>
      <c r="Z1" s="322">
        <f>БДДС!Y8</f>
        <v>45627</v>
      </c>
      <c r="AA1" s="322">
        <f>БДДС!Z8</f>
        <v>45658</v>
      </c>
      <c r="AB1" s="322">
        <f>БДДС!AA8</f>
        <v>45689</v>
      </c>
      <c r="AC1" s="322">
        <f>БДДС!AB8</f>
        <v>45717</v>
      </c>
      <c r="AD1" s="322">
        <f>БДДС!AC8</f>
        <v>45748</v>
      </c>
      <c r="AE1" s="322">
        <f>БДДС!AD8</f>
        <v>45778</v>
      </c>
      <c r="AF1" s="322">
        <f>БДДС!AE8</f>
        <v>45809</v>
      </c>
      <c r="AG1" s="322">
        <f>БДДС!AF8</f>
        <v>45839</v>
      </c>
      <c r="AH1" s="322">
        <f>БДДС!AG8</f>
        <v>45870</v>
      </c>
      <c r="AI1" s="322">
        <f>БДДС!AH8</f>
        <v>45901</v>
      </c>
      <c r="AJ1" s="322">
        <f>БДДС!AI8</f>
        <v>45931</v>
      </c>
      <c r="AK1" s="322">
        <f>БДДС!AJ8</f>
        <v>45962</v>
      </c>
      <c r="AL1" s="322">
        <f>БДДС!AK8</f>
        <v>45992</v>
      </c>
      <c r="AM1" s="322">
        <f>БДДС!AL8</f>
        <v>46023</v>
      </c>
      <c r="AN1" s="322">
        <f>БДДС!AM8</f>
        <v>46054</v>
      </c>
      <c r="AO1" s="322">
        <f>БДДС!AN8</f>
        <v>46082</v>
      </c>
      <c r="AP1" s="322">
        <f>БДДС!AO8</f>
        <v>46113</v>
      </c>
      <c r="AQ1" s="322">
        <f>БДДС!AP8</f>
        <v>46143</v>
      </c>
      <c r="AR1" s="322">
        <f>БДДС!AQ8</f>
        <v>46174</v>
      </c>
      <c r="AS1" s="322">
        <f>БДДС!AR8</f>
        <v>46204</v>
      </c>
      <c r="AT1" s="322">
        <f>БДДС!AS8</f>
        <v>46235</v>
      </c>
      <c r="AU1" s="322">
        <f>БДДС!AT8</f>
        <v>46266</v>
      </c>
      <c r="AV1" s="322">
        <f>БДДС!AU8</f>
        <v>46296</v>
      </c>
      <c r="AW1" s="322">
        <f>БДДС!AV8</f>
        <v>46327</v>
      </c>
      <c r="AX1" s="322">
        <f>БДДС!AW8</f>
        <v>46357</v>
      </c>
      <c r="AY1" s="322">
        <f>БДДС!AX8</f>
        <v>46388</v>
      </c>
      <c r="AZ1" s="322">
        <f>БДДС!AY8</f>
        <v>46419</v>
      </c>
      <c r="BA1" s="322">
        <f>БДДС!AZ8</f>
        <v>46447</v>
      </c>
      <c r="BB1" s="322">
        <f>БДДС!BA8</f>
        <v>46478</v>
      </c>
      <c r="BC1" s="322">
        <f>БДДС!BB8</f>
        <v>46508</v>
      </c>
      <c r="BD1" s="322">
        <f>БДДС!BC8</f>
        <v>46539</v>
      </c>
      <c r="BE1" s="322">
        <f>БДДС!BD8</f>
        <v>46569</v>
      </c>
      <c r="BF1" s="322">
        <f>БДДС!BE8</f>
        <v>46600</v>
      </c>
      <c r="BG1" s="322">
        <f>БДДС!BF8</f>
        <v>46631</v>
      </c>
      <c r="BH1" s="322">
        <f>БДДС!BG8</f>
        <v>46661</v>
      </c>
      <c r="BI1" s="322">
        <f>БДДС!BH8</f>
        <v>46692</v>
      </c>
      <c r="BJ1" s="322">
        <f>БДДС!BI8</f>
        <v>46722</v>
      </c>
      <c r="BK1" s="322">
        <f>БДДС!BJ8</f>
        <v>46753</v>
      </c>
      <c r="BL1" s="322">
        <f>БДДС!BK8</f>
        <v>46784</v>
      </c>
      <c r="BM1" s="322">
        <f>БДДС!BL8</f>
        <v>46813</v>
      </c>
      <c r="BN1" s="322">
        <f>БДДС!BM8</f>
        <v>46844</v>
      </c>
      <c r="BO1" s="322">
        <f>БДДС!BN8</f>
        <v>46874</v>
      </c>
      <c r="BP1" s="322">
        <f>БДДС!BO8</f>
        <v>46905</v>
      </c>
      <c r="BQ1" s="322">
        <f>БДДС!BP8</f>
        <v>46935</v>
      </c>
      <c r="BR1" s="322">
        <f>БДДС!BQ8</f>
        <v>46966</v>
      </c>
      <c r="BS1" s="322">
        <f>БДДС!BR8</f>
        <v>46997</v>
      </c>
      <c r="BT1" s="322">
        <f>БДДС!BS8</f>
        <v>47027</v>
      </c>
      <c r="BU1" s="322">
        <f>БДДС!BT8</f>
        <v>47058</v>
      </c>
      <c r="BV1" s="322">
        <f>БДДС!BU8</f>
        <v>47088</v>
      </c>
      <c r="BW1" s="322">
        <f>БДДС!BV8</f>
        <v>47119</v>
      </c>
      <c r="BX1" s="322">
        <f>БДДС!BW8</f>
        <v>47150</v>
      </c>
      <c r="BY1" s="322">
        <f>БДДС!BX8</f>
        <v>47178</v>
      </c>
      <c r="BZ1" s="322">
        <f>БДДС!BY8</f>
        <v>47209</v>
      </c>
      <c r="CA1" s="322">
        <f>БДДС!BZ8</f>
        <v>47239</v>
      </c>
      <c r="CB1" s="322">
        <f>БДДС!CA8</f>
        <v>47270</v>
      </c>
      <c r="CC1" s="322">
        <f>БДДС!CB8</f>
        <v>47300</v>
      </c>
      <c r="CD1" s="322">
        <f>БДДС!CC8</f>
        <v>47331</v>
      </c>
      <c r="CE1" s="322">
        <f>БДДС!CD8</f>
        <v>47362</v>
      </c>
      <c r="CF1" s="322">
        <f>БДДС!CE8</f>
        <v>47392</v>
      </c>
      <c r="CG1" s="322">
        <f>БДДС!CF8</f>
        <v>47423</v>
      </c>
      <c r="CH1" s="322">
        <f>БДДС!CG8</f>
        <v>47453</v>
      </c>
      <c r="CI1" s="322">
        <f>БДДС!CH8</f>
        <v>47484</v>
      </c>
      <c r="CJ1" s="322">
        <f>БДДС!CI8</f>
        <v>47515</v>
      </c>
      <c r="CK1" s="322">
        <f>БДДС!CJ8</f>
        <v>47543</v>
      </c>
      <c r="CL1" s="322">
        <f>БДДС!CK8</f>
        <v>47574</v>
      </c>
      <c r="CM1" s="322">
        <f>БДДС!CL8</f>
        <v>47604</v>
      </c>
      <c r="CN1" s="322">
        <f>БДДС!CM8</f>
        <v>47635</v>
      </c>
      <c r="CO1" s="322">
        <f>БДДС!CN8</f>
        <v>47665</v>
      </c>
      <c r="CP1" s="322">
        <f>БДДС!CO8</f>
        <v>47696</v>
      </c>
      <c r="CQ1" s="322">
        <f>БДДС!CP8</f>
        <v>47727</v>
      </c>
      <c r="CR1" s="322">
        <f>БДДС!CQ8</f>
        <v>47757</v>
      </c>
      <c r="CS1" s="322">
        <f>БДДС!CR8</f>
        <v>47788</v>
      </c>
      <c r="CT1" s="322">
        <f>БДДС!CS8</f>
        <v>47818</v>
      </c>
      <c r="CU1" s="322">
        <f>БДДС!CT8</f>
        <v>47849</v>
      </c>
      <c r="CV1" s="322">
        <f>БДДС!CU8</f>
        <v>47880</v>
      </c>
      <c r="CW1" s="322">
        <f>БДДС!CV8</f>
        <v>47908</v>
      </c>
      <c r="CX1" s="322">
        <f>БДДС!CW8</f>
        <v>47939</v>
      </c>
      <c r="CY1" s="322">
        <f>БДДС!CX8</f>
        <v>47969</v>
      </c>
      <c r="CZ1" s="322">
        <f>БДДС!CY8</f>
        <v>48000</v>
      </c>
      <c r="DA1" s="322">
        <f>БДДС!CZ8</f>
        <v>48030</v>
      </c>
      <c r="DB1" s="322">
        <f>БДДС!DA8</f>
        <v>48061</v>
      </c>
      <c r="DC1" s="322">
        <f>БДДС!DB8</f>
        <v>48092</v>
      </c>
      <c r="DD1" s="322">
        <f>БДДС!DC8</f>
        <v>48122</v>
      </c>
      <c r="DE1" s="322">
        <f>БДДС!DD8</f>
        <v>48153</v>
      </c>
      <c r="DF1" s="322">
        <f>БДДС!DE8</f>
        <v>48183</v>
      </c>
      <c r="DG1" s="322">
        <f>БДДС!DF8</f>
        <v>48214</v>
      </c>
      <c r="DH1" s="322">
        <f>БДДС!DG8</f>
        <v>48245</v>
      </c>
      <c r="DI1" s="322">
        <f>БДДС!DH8</f>
        <v>48274</v>
      </c>
      <c r="DJ1" s="322">
        <f>БДДС!DI8</f>
        <v>48305</v>
      </c>
      <c r="DK1" s="322">
        <f>БДДС!DJ8</f>
        <v>48335</v>
      </c>
      <c r="DL1" s="322">
        <f>БДДС!DK8</f>
        <v>48366</v>
      </c>
      <c r="DM1" s="322">
        <f>БДДС!DL8</f>
        <v>48396</v>
      </c>
      <c r="DN1" s="322">
        <f>БДДС!DM8</f>
        <v>48427</v>
      </c>
      <c r="DO1" s="322">
        <f>БДДС!DN8</f>
        <v>48458</v>
      </c>
      <c r="DP1" s="322">
        <f>БДДС!DO8</f>
        <v>48488</v>
      </c>
      <c r="DQ1" s="322">
        <f>БДДС!DP8</f>
        <v>48519</v>
      </c>
      <c r="DR1" s="322">
        <f>БДДС!DQ8</f>
        <v>48549</v>
      </c>
      <c r="DS1" s="322">
        <f>БДДС!DR8</f>
        <v>48580</v>
      </c>
      <c r="DT1" s="322">
        <f>БДДС!DS8</f>
        <v>48611</v>
      </c>
      <c r="DU1" s="322">
        <f>БДДС!DT8</f>
        <v>48639</v>
      </c>
      <c r="DV1" s="322">
        <f>БДДС!DU8</f>
        <v>48670</v>
      </c>
      <c r="DW1" s="322">
        <f>БДДС!DV8</f>
        <v>48700</v>
      </c>
      <c r="DX1" s="322">
        <f>БДДС!DW8</f>
        <v>48731</v>
      </c>
      <c r="DY1" s="322">
        <f>БДДС!DX8</f>
        <v>48761</v>
      </c>
      <c r="DZ1" s="322">
        <f>БДДС!DY8</f>
        <v>48792</v>
      </c>
      <c r="EA1" s="322">
        <f>БДДС!DZ8</f>
        <v>48823</v>
      </c>
      <c r="EB1" s="322">
        <f>БДДС!EA8</f>
        <v>48853</v>
      </c>
      <c r="EC1" s="322">
        <f>БДДС!EB8</f>
        <v>48884</v>
      </c>
      <c r="ED1" s="322">
        <f>БДДС!EC8</f>
        <v>48914</v>
      </c>
      <c r="EE1" s="322">
        <f>БДДС!ED8</f>
        <v>48945</v>
      </c>
      <c r="EF1" s="322">
        <f>БДДС!EE8</f>
        <v>48976</v>
      </c>
      <c r="EG1" s="322">
        <f>БДДС!EF8</f>
        <v>49004</v>
      </c>
      <c r="EH1" s="322">
        <f>БДДС!EG8</f>
        <v>49035</v>
      </c>
    </row>
    <row r="2" spans="1:138">
      <c r="A2" s="323" t="s">
        <v>556</v>
      </c>
      <c r="B2" s="426" t="s">
        <v>741</v>
      </c>
      <c r="C2" s="324" t="s">
        <v>557</v>
      </c>
      <c r="D2" s="325" t="s">
        <v>558</v>
      </c>
      <c r="E2" s="326">
        <f>БДДС!D9</f>
        <v>1</v>
      </c>
      <c r="F2" s="326">
        <f ca="1">БДДС!E9</f>
        <v>2</v>
      </c>
      <c r="G2" s="326">
        <f ca="1">БДДС!F9</f>
        <v>3</v>
      </c>
      <c r="H2" s="326">
        <f ca="1">БДДС!G9</f>
        <v>4</v>
      </c>
      <c r="I2" s="326">
        <f ca="1">БДДС!H9</f>
        <v>5</v>
      </c>
      <c r="J2" s="326">
        <f ca="1">БДДС!I9</f>
        <v>6</v>
      </c>
      <c r="K2" s="326">
        <f ca="1">БДДС!J9</f>
        <v>7</v>
      </c>
      <c r="L2" s="326">
        <f ca="1">БДДС!K9</f>
        <v>8</v>
      </c>
      <c r="M2" s="326">
        <f ca="1">БДДС!L9</f>
        <v>9</v>
      </c>
      <c r="N2" s="326">
        <f ca="1">БДДС!M9</f>
        <v>10</v>
      </c>
      <c r="O2" s="326">
        <f ca="1">БДДС!N9</f>
        <v>11</v>
      </c>
      <c r="P2" s="326">
        <f ca="1">БДДС!O9</f>
        <v>12</v>
      </c>
      <c r="Q2" s="326">
        <f ca="1">БДДС!P9</f>
        <v>13</v>
      </c>
      <c r="R2" s="326">
        <f ca="1">БДДС!Q9</f>
        <v>14</v>
      </c>
      <c r="S2" s="326">
        <f ca="1">БДДС!R9</f>
        <v>15</v>
      </c>
      <c r="T2" s="326">
        <f ca="1">БДДС!S9</f>
        <v>16</v>
      </c>
      <c r="U2" s="326">
        <f ca="1">БДДС!T9</f>
        <v>17</v>
      </c>
      <c r="V2" s="326">
        <f ca="1">БДДС!U9</f>
        <v>18</v>
      </c>
      <c r="W2" s="326">
        <f ca="1">БДДС!V9</f>
        <v>19</v>
      </c>
      <c r="X2" s="326">
        <f ca="1">БДДС!W9</f>
        <v>20</v>
      </c>
      <c r="Y2" s="326">
        <f ca="1">БДДС!X9</f>
        <v>21</v>
      </c>
      <c r="Z2" s="326">
        <f ca="1">БДДС!Y9</f>
        <v>22</v>
      </c>
      <c r="AA2" s="326">
        <f ca="1">БДДС!Z9</f>
        <v>23</v>
      </c>
      <c r="AB2" s="326">
        <f ca="1">БДДС!AA9</f>
        <v>24</v>
      </c>
      <c r="AC2" s="326">
        <f ca="1">БДДС!AB9</f>
        <v>25</v>
      </c>
      <c r="AD2" s="326">
        <f ca="1">БДДС!AC9</f>
        <v>26</v>
      </c>
      <c r="AE2" s="326">
        <f ca="1">БДДС!AD9</f>
        <v>27</v>
      </c>
      <c r="AF2" s="326">
        <f ca="1">БДДС!AE9</f>
        <v>28</v>
      </c>
      <c r="AG2" s="326">
        <f ca="1">БДДС!AF9</f>
        <v>29</v>
      </c>
      <c r="AH2" s="326">
        <f ca="1">БДДС!AG9</f>
        <v>30</v>
      </c>
      <c r="AI2" s="326">
        <f ca="1">БДДС!AH9</f>
        <v>31</v>
      </c>
      <c r="AJ2" s="326">
        <f ca="1">БДДС!AI9</f>
        <v>32</v>
      </c>
      <c r="AK2" s="326">
        <f ca="1">БДДС!AJ9</f>
        <v>33</v>
      </c>
      <c r="AL2" s="326">
        <f ca="1">БДДС!AK9</f>
        <v>34</v>
      </c>
      <c r="AM2" s="326">
        <f ca="1">БДДС!AL9</f>
        <v>35</v>
      </c>
      <c r="AN2" s="326">
        <f ca="1">БДДС!AM9</f>
        <v>36</v>
      </c>
      <c r="AO2" s="326">
        <f ca="1">БДДС!AN9</f>
        <v>37</v>
      </c>
      <c r="AP2" s="326">
        <f ca="1">БДДС!AO9</f>
        <v>38</v>
      </c>
      <c r="AQ2" s="326">
        <f ca="1">БДДС!AP9</f>
        <v>39</v>
      </c>
      <c r="AR2" s="326">
        <f ca="1">БДДС!AQ9</f>
        <v>40</v>
      </c>
      <c r="AS2" s="326">
        <f ca="1">БДДС!AR9</f>
        <v>41</v>
      </c>
      <c r="AT2" s="326">
        <f ca="1">БДДС!AS9</f>
        <v>42</v>
      </c>
      <c r="AU2" s="326">
        <f ca="1">БДДС!AT9</f>
        <v>43</v>
      </c>
      <c r="AV2" s="326">
        <f ca="1">БДДС!AU9</f>
        <v>44</v>
      </c>
      <c r="AW2" s="326">
        <f ca="1">БДДС!AV9</f>
        <v>45</v>
      </c>
      <c r="AX2" s="326">
        <f ca="1">БДДС!AW9</f>
        <v>46</v>
      </c>
      <c r="AY2" s="326">
        <f ca="1">БДДС!AX9</f>
        <v>47</v>
      </c>
      <c r="AZ2" s="326">
        <f ca="1">БДДС!AY9</f>
        <v>48</v>
      </c>
      <c r="BA2" s="326">
        <f ca="1">БДДС!AZ9</f>
        <v>49</v>
      </c>
      <c r="BB2" s="326">
        <f ca="1">БДДС!BA9</f>
        <v>50</v>
      </c>
      <c r="BC2" s="326">
        <f ca="1">БДДС!BB9</f>
        <v>51</v>
      </c>
      <c r="BD2" s="326">
        <f ca="1">БДДС!BC9</f>
        <v>52</v>
      </c>
      <c r="BE2" s="326">
        <f ca="1">БДДС!BD9</f>
        <v>53</v>
      </c>
      <c r="BF2" s="326">
        <f ca="1">БДДС!BE9</f>
        <v>54</v>
      </c>
      <c r="BG2" s="326">
        <f ca="1">БДДС!BF9</f>
        <v>55</v>
      </c>
      <c r="BH2" s="326">
        <f ca="1">БДДС!BG9</f>
        <v>56</v>
      </c>
      <c r="BI2" s="326">
        <f ca="1">БДДС!BH9</f>
        <v>57</v>
      </c>
      <c r="BJ2" s="326">
        <f ca="1">БДДС!BI9</f>
        <v>58</v>
      </c>
      <c r="BK2" s="326">
        <f ca="1">БДДС!BJ9</f>
        <v>59</v>
      </c>
      <c r="BL2" s="326">
        <f ca="1">БДДС!BK9</f>
        <v>60</v>
      </c>
      <c r="BM2" s="326">
        <f ca="1">БДДС!BL9</f>
        <v>61</v>
      </c>
      <c r="BN2" s="326">
        <f ca="1">БДДС!BM9</f>
        <v>62</v>
      </c>
      <c r="BO2" s="326">
        <f ca="1">БДДС!BN9</f>
        <v>63</v>
      </c>
      <c r="BP2" s="326">
        <f ca="1">БДДС!BO9</f>
        <v>64</v>
      </c>
      <c r="BQ2" s="326">
        <f ca="1">БДДС!BP9</f>
        <v>65</v>
      </c>
      <c r="BR2" s="326">
        <f ca="1">БДДС!BQ9</f>
        <v>66</v>
      </c>
      <c r="BS2" s="326">
        <f ca="1">БДДС!BR9</f>
        <v>67</v>
      </c>
      <c r="BT2" s="326">
        <f ca="1">БДДС!BS9</f>
        <v>68</v>
      </c>
      <c r="BU2" s="326">
        <f ca="1">БДДС!BT9</f>
        <v>69</v>
      </c>
      <c r="BV2" s="326">
        <f ca="1">БДДС!BU9</f>
        <v>70</v>
      </c>
      <c r="BW2" s="326">
        <f ca="1">БДДС!BV9</f>
        <v>71</v>
      </c>
      <c r="BX2" s="326">
        <f ca="1">БДДС!BW9</f>
        <v>72</v>
      </c>
      <c r="BY2" s="326">
        <f ca="1">БДДС!BX9</f>
        <v>73</v>
      </c>
      <c r="BZ2" s="326">
        <f ca="1">БДДС!BY9</f>
        <v>74</v>
      </c>
      <c r="CA2" s="326">
        <f ca="1">БДДС!BZ9</f>
        <v>75</v>
      </c>
      <c r="CB2" s="326">
        <f ca="1">БДДС!CA9</f>
        <v>76</v>
      </c>
      <c r="CC2" s="326">
        <f ca="1">БДДС!CB9</f>
        <v>77</v>
      </c>
      <c r="CD2" s="326">
        <f ca="1">БДДС!CC9</f>
        <v>78</v>
      </c>
      <c r="CE2" s="326">
        <f ca="1">БДДС!CD9</f>
        <v>79</v>
      </c>
      <c r="CF2" s="326">
        <f ca="1">БДДС!CE9</f>
        <v>80</v>
      </c>
      <c r="CG2" s="326">
        <f ca="1">БДДС!CF9</f>
        <v>81</v>
      </c>
      <c r="CH2" s="326">
        <f ca="1">БДДС!CG9</f>
        <v>82</v>
      </c>
      <c r="CI2" s="326">
        <f ca="1">БДДС!CH9</f>
        <v>0</v>
      </c>
      <c r="CJ2" s="326">
        <f ca="1">БДДС!CI9</f>
        <v>0</v>
      </c>
      <c r="CK2" s="326">
        <f ca="1">БДДС!CJ9</f>
        <v>0</v>
      </c>
      <c r="CL2" s="326">
        <f ca="1">БДДС!CK9</f>
        <v>0</v>
      </c>
      <c r="CM2" s="326">
        <f ca="1">БДДС!CL9</f>
        <v>0</v>
      </c>
      <c r="CN2" s="326">
        <f ca="1">БДДС!CM9</f>
        <v>0</v>
      </c>
      <c r="CO2" s="326">
        <f ca="1">БДДС!CN9</f>
        <v>0</v>
      </c>
      <c r="CP2" s="326">
        <f ca="1">БДДС!CO9</f>
        <v>0</v>
      </c>
      <c r="CQ2" s="326">
        <f ca="1">БДДС!CP9</f>
        <v>0</v>
      </c>
      <c r="CR2" s="326">
        <f ca="1">БДДС!CQ9</f>
        <v>0</v>
      </c>
      <c r="CS2" s="326">
        <f ca="1">БДДС!CR9</f>
        <v>0</v>
      </c>
      <c r="CT2" s="326">
        <f ca="1">БДДС!CS9</f>
        <v>0</v>
      </c>
      <c r="CU2" s="326">
        <f ca="1">БДДС!CT9</f>
        <v>0</v>
      </c>
      <c r="CV2" s="326">
        <f ca="1">БДДС!CU9</f>
        <v>0</v>
      </c>
      <c r="CW2" s="326">
        <f ca="1">БДДС!CV9</f>
        <v>0</v>
      </c>
      <c r="CX2" s="326">
        <f ca="1">БДДС!CW9</f>
        <v>0</v>
      </c>
      <c r="CY2" s="326">
        <f ca="1">БДДС!CX9</f>
        <v>0</v>
      </c>
      <c r="CZ2" s="326">
        <f ca="1">БДДС!CY9</f>
        <v>0</v>
      </c>
      <c r="DA2" s="326">
        <f ca="1">БДДС!CZ9</f>
        <v>0</v>
      </c>
      <c r="DB2" s="326">
        <f ca="1">БДДС!DA9</f>
        <v>0</v>
      </c>
      <c r="DC2" s="326">
        <f ca="1">БДДС!DB9</f>
        <v>0</v>
      </c>
      <c r="DD2" s="326">
        <f ca="1">БДДС!DC9</f>
        <v>0</v>
      </c>
      <c r="DE2" s="326">
        <f ca="1">БДДС!DD9</f>
        <v>0</v>
      </c>
      <c r="DF2" s="326">
        <f ca="1">БДДС!DE9</f>
        <v>0</v>
      </c>
      <c r="DG2" s="326">
        <f ca="1">БДДС!DF9</f>
        <v>0</v>
      </c>
      <c r="DH2" s="326">
        <f ca="1">БДДС!DG9</f>
        <v>0</v>
      </c>
      <c r="DI2" s="326">
        <f ca="1">БДДС!DH9</f>
        <v>0</v>
      </c>
      <c r="DJ2" s="326">
        <f ca="1">БДДС!DI9</f>
        <v>0</v>
      </c>
      <c r="DK2" s="326">
        <f ca="1">БДДС!DJ9</f>
        <v>0</v>
      </c>
      <c r="DL2" s="326">
        <f ca="1">БДДС!DK9</f>
        <v>0</v>
      </c>
      <c r="DM2" s="326">
        <f ca="1">БДДС!DL9</f>
        <v>0</v>
      </c>
      <c r="DN2" s="326">
        <f ca="1">БДДС!DM9</f>
        <v>0</v>
      </c>
      <c r="DO2" s="326">
        <f ca="1">БДДС!DN9</f>
        <v>0</v>
      </c>
      <c r="DP2" s="326">
        <f ca="1">БДДС!DO9</f>
        <v>0</v>
      </c>
      <c r="DQ2" s="326">
        <f ca="1">БДДС!DP9</f>
        <v>0</v>
      </c>
      <c r="DR2" s="326">
        <f ca="1">БДДС!DQ9</f>
        <v>0</v>
      </c>
      <c r="DS2" s="326">
        <f ca="1">БДДС!DR9</f>
        <v>0</v>
      </c>
      <c r="DT2" s="326">
        <f ca="1">БДДС!DS9</f>
        <v>0</v>
      </c>
      <c r="DU2" s="326">
        <f ca="1">БДДС!DT9</f>
        <v>0</v>
      </c>
      <c r="DV2" s="326">
        <f ca="1">БДДС!DU9</f>
        <v>0</v>
      </c>
      <c r="DW2" s="326">
        <f ca="1">БДДС!DV9</f>
        <v>0</v>
      </c>
      <c r="DX2" s="326">
        <f ca="1">БДДС!DW9</f>
        <v>0</v>
      </c>
      <c r="DY2" s="326">
        <f ca="1">БДДС!DX9</f>
        <v>0</v>
      </c>
      <c r="DZ2" s="326">
        <f ca="1">БДДС!DY9</f>
        <v>0</v>
      </c>
      <c r="EA2" s="326">
        <f ca="1">БДДС!DZ9</f>
        <v>0</v>
      </c>
      <c r="EB2" s="326">
        <f ca="1">БДДС!EA9</f>
        <v>0</v>
      </c>
      <c r="EC2" s="326">
        <f ca="1">БДДС!EB9</f>
        <v>0</v>
      </c>
      <c r="ED2" s="326">
        <f ca="1">БДДС!EC9</f>
        <v>0</v>
      </c>
      <c r="EE2" s="326">
        <f ca="1">БДДС!ED9</f>
        <v>0</v>
      </c>
      <c r="EF2" s="326">
        <f ca="1">БДДС!EE9</f>
        <v>0</v>
      </c>
      <c r="EG2" s="326">
        <f ca="1">БДДС!EF9</f>
        <v>0</v>
      </c>
      <c r="EH2" s="326">
        <f>БДДС!EG9</f>
        <v>0</v>
      </c>
    </row>
    <row r="3" spans="1:138" s="332" customFormat="1">
      <c r="A3" s="327" t="s">
        <v>549</v>
      </c>
      <c r="B3" s="427"/>
      <c r="C3" s="328"/>
      <c r="D3" s="329"/>
      <c r="E3" s="330"/>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31"/>
      <c r="BA3" s="331"/>
      <c r="BB3" s="331"/>
      <c r="BC3" s="331"/>
      <c r="BD3" s="331"/>
      <c r="BE3" s="331"/>
      <c r="BF3" s="331"/>
      <c r="BG3" s="331"/>
      <c r="BH3" s="331"/>
      <c r="BI3" s="331"/>
      <c r="BJ3" s="331"/>
      <c r="BK3" s="331"/>
      <c r="BL3" s="331"/>
      <c r="BM3" s="331"/>
      <c r="BN3" s="331"/>
      <c r="BO3" s="331"/>
      <c r="BP3" s="331"/>
      <c r="BQ3" s="331"/>
      <c r="BR3" s="331"/>
      <c r="BS3" s="331"/>
      <c r="BT3" s="331"/>
      <c r="BU3" s="331"/>
      <c r="BV3" s="331"/>
      <c r="BW3" s="331"/>
      <c r="BX3" s="331"/>
      <c r="BY3" s="331"/>
      <c r="BZ3" s="331"/>
      <c r="CA3" s="331"/>
      <c r="CB3" s="331"/>
      <c r="CC3" s="331"/>
      <c r="CD3" s="331"/>
      <c r="CE3" s="331"/>
      <c r="CF3" s="331"/>
      <c r="CG3" s="331"/>
      <c r="CH3" s="331"/>
      <c r="CI3" s="331"/>
      <c r="CJ3" s="331"/>
      <c r="CK3" s="331"/>
      <c r="CL3" s="331"/>
      <c r="CM3" s="331"/>
      <c r="CN3" s="331"/>
      <c r="CO3" s="331"/>
      <c r="CP3" s="331"/>
      <c r="CQ3" s="331"/>
      <c r="CR3" s="331"/>
      <c r="CS3" s="331"/>
      <c r="CT3" s="331"/>
      <c r="CU3" s="331"/>
      <c r="CV3" s="331"/>
      <c r="CW3" s="331"/>
      <c r="CX3" s="331"/>
      <c r="CY3" s="331"/>
      <c r="CZ3" s="331"/>
      <c r="DA3" s="331"/>
      <c r="DB3" s="331"/>
      <c r="DC3" s="331"/>
      <c r="DD3" s="331"/>
      <c r="DE3" s="331"/>
      <c r="DF3" s="331"/>
      <c r="DG3" s="331"/>
      <c r="DH3" s="331"/>
      <c r="DI3" s="331"/>
      <c r="DJ3" s="331"/>
      <c r="DK3" s="331"/>
      <c r="DL3" s="331"/>
      <c r="DM3" s="331"/>
      <c r="DN3" s="331"/>
      <c r="DO3" s="331"/>
      <c r="DP3" s="331"/>
      <c r="DQ3" s="331"/>
      <c r="DR3" s="331"/>
      <c r="DS3" s="331"/>
      <c r="DT3" s="331"/>
      <c r="DU3" s="331"/>
      <c r="DV3" s="331"/>
      <c r="DW3" s="331"/>
      <c r="DX3" s="331"/>
      <c r="DY3" s="331"/>
      <c r="DZ3" s="331"/>
      <c r="EA3" s="331"/>
      <c r="EB3" s="331"/>
      <c r="EC3" s="331"/>
      <c r="ED3" s="331"/>
      <c r="EE3" s="331"/>
      <c r="EF3" s="331"/>
      <c r="EG3" s="331"/>
      <c r="EH3" s="331"/>
    </row>
    <row r="4" spans="1:138" s="332" customFormat="1">
      <c r="A4" s="333" t="s">
        <v>337</v>
      </c>
      <c r="B4" s="428"/>
      <c r="C4" s="334">
        <f ca="1">расчет!E231</f>
        <v>44986</v>
      </c>
      <c r="D4" s="334">
        <f ca="1">расчет!E232</f>
        <v>45165</v>
      </c>
      <c r="E4" s="335"/>
      <c r="F4" s="336"/>
      <c r="G4" s="336"/>
      <c r="H4" s="336"/>
      <c r="I4" s="336"/>
      <c r="J4" s="336"/>
      <c r="K4" s="336"/>
      <c r="L4" s="336"/>
      <c r="M4" s="336"/>
      <c r="N4" s="336"/>
      <c r="O4" s="336"/>
      <c r="P4" s="336"/>
      <c r="Q4" s="336"/>
      <c r="R4" s="336"/>
      <c r="S4" s="336"/>
      <c r="T4" s="336"/>
      <c r="U4" s="336"/>
      <c r="V4" s="336"/>
      <c r="W4" s="336"/>
      <c r="X4" s="336"/>
      <c r="Y4" s="336"/>
      <c r="Z4" s="336"/>
      <c r="AA4" s="336"/>
      <c r="AB4" s="336"/>
      <c r="AC4" s="336"/>
      <c r="AD4" s="336"/>
      <c r="AE4" s="336"/>
      <c r="AF4" s="336"/>
      <c r="AG4" s="336"/>
      <c r="AH4" s="336"/>
      <c r="AI4" s="336"/>
      <c r="AJ4" s="336"/>
      <c r="AK4" s="336"/>
      <c r="AL4" s="336"/>
      <c r="AM4" s="336"/>
      <c r="AN4" s="336"/>
      <c r="AO4" s="336"/>
      <c r="AP4" s="336"/>
      <c r="AQ4" s="336"/>
      <c r="AR4" s="336"/>
      <c r="AS4" s="336"/>
      <c r="AT4" s="336"/>
      <c r="AU4" s="336"/>
      <c r="AV4" s="336"/>
      <c r="AW4" s="336"/>
      <c r="AX4" s="336"/>
      <c r="AY4" s="336"/>
      <c r="AZ4" s="336"/>
      <c r="BA4" s="336"/>
      <c r="BB4" s="336"/>
      <c r="BC4" s="336"/>
      <c r="BD4" s="336"/>
      <c r="BE4" s="336"/>
      <c r="BF4" s="336"/>
      <c r="BG4" s="336"/>
      <c r="BH4" s="336"/>
      <c r="BI4" s="336"/>
      <c r="BJ4" s="336"/>
      <c r="BK4" s="336"/>
      <c r="BL4" s="336"/>
      <c r="BM4" s="336"/>
      <c r="BN4" s="336"/>
      <c r="BO4" s="336"/>
      <c r="BP4" s="336"/>
      <c r="BQ4" s="336"/>
      <c r="BR4" s="336"/>
      <c r="BS4" s="336"/>
      <c r="BT4" s="336"/>
      <c r="BU4" s="336"/>
      <c r="BV4" s="336"/>
      <c r="BW4" s="336"/>
      <c r="BX4" s="336"/>
      <c r="BY4" s="336"/>
      <c r="BZ4" s="336"/>
      <c r="CA4" s="336"/>
      <c r="CB4" s="336"/>
      <c r="CC4" s="336"/>
      <c r="CD4" s="336"/>
      <c r="CE4" s="336"/>
      <c r="CF4" s="336"/>
      <c r="CG4" s="336"/>
      <c r="CH4" s="336"/>
      <c r="CI4" s="336"/>
      <c r="CJ4" s="336"/>
      <c r="CK4" s="336"/>
      <c r="CL4" s="336"/>
      <c r="CM4" s="336"/>
      <c r="CN4" s="336"/>
      <c r="CO4" s="336"/>
      <c r="CP4" s="336"/>
      <c r="CQ4" s="336"/>
      <c r="CR4" s="336"/>
      <c r="CS4" s="336"/>
      <c r="CT4" s="336"/>
      <c r="CU4" s="336"/>
      <c r="CV4" s="336"/>
      <c r="CW4" s="336"/>
      <c r="CX4" s="336"/>
      <c r="CY4" s="336"/>
      <c r="CZ4" s="336"/>
      <c r="DA4" s="336"/>
      <c r="DB4" s="336"/>
      <c r="DC4" s="336"/>
      <c r="DD4" s="336"/>
      <c r="DE4" s="336"/>
      <c r="DF4" s="336"/>
      <c r="DG4" s="336"/>
      <c r="DH4" s="336"/>
      <c r="DI4" s="336"/>
      <c r="DJ4" s="336"/>
      <c r="DK4" s="336"/>
      <c r="DL4" s="336"/>
      <c r="DM4" s="336"/>
      <c r="DN4" s="336"/>
      <c r="DO4" s="336"/>
      <c r="DP4" s="336"/>
      <c r="DQ4" s="336"/>
      <c r="DR4" s="336"/>
      <c r="DS4" s="336"/>
      <c r="DT4" s="336"/>
      <c r="DU4" s="336"/>
      <c r="DV4" s="336"/>
      <c r="DW4" s="336"/>
      <c r="DX4" s="336"/>
      <c r="DY4" s="336"/>
      <c r="DZ4" s="336"/>
      <c r="EA4" s="336"/>
      <c r="EB4" s="336"/>
      <c r="EC4" s="336"/>
      <c r="ED4" s="336"/>
      <c r="EE4" s="336"/>
      <c r="EF4" s="336"/>
      <c r="EG4" s="336"/>
      <c r="EH4" s="336"/>
    </row>
    <row r="5" spans="1:138" s="332" customFormat="1">
      <c r="A5" s="333" t="s">
        <v>559</v>
      </c>
      <c r="B5" s="428"/>
      <c r="C5" s="334">
        <f ca="1">расчет!E236</f>
        <v>45040</v>
      </c>
      <c r="D5" s="334">
        <f ca="1">расчет!E237</f>
        <v>45249</v>
      </c>
      <c r="E5" s="335"/>
      <c r="F5" s="336"/>
      <c r="G5" s="336"/>
      <c r="H5" s="336"/>
      <c r="I5" s="336"/>
      <c r="J5" s="336"/>
      <c r="K5" s="336"/>
      <c r="L5" s="336"/>
      <c r="M5" s="336"/>
      <c r="N5" s="336"/>
      <c r="O5" s="336"/>
      <c r="P5" s="336"/>
      <c r="Q5" s="336"/>
      <c r="R5" s="336"/>
      <c r="S5" s="336"/>
      <c r="T5" s="336"/>
      <c r="U5" s="336"/>
      <c r="V5" s="336"/>
      <c r="W5" s="336"/>
      <c r="X5" s="336"/>
      <c r="Y5" s="336"/>
      <c r="Z5" s="336"/>
      <c r="AA5" s="336"/>
      <c r="AB5" s="336"/>
      <c r="AC5" s="336"/>
      <c r="AD5" s="336"/>
      <c r="AE5" s="336"/>
      <c r="AF5" s="336"/>
      <c r="AG5" s="336"/>
      <c r="AH5" s="336"/>
      <c r="AI5" s="336"/>
      <c r="AJ5" s="336"/>
      <c r="AK5" s="336"/>
      <c r="AL5" s="336"/>
      <c r="AM5" s="336"/>
      <c r="AN5" s="336"/>
      <c r="AO5" s="336"/>
      <c r="AP5" s="336"/>
      <c r="AQ5" s="336"/>
      <c r="AR5" s="336"/>
      <c r="AS5" s="336"/>
      <c r="AT5" s="336"/>
      <c r="AU5" s="336"/>
      <c r="AV5" s="336"/>
      <c r="AW5" s="336"/>
      <c r="AX5" s="336"/>
      <c r="AY5" s="336"/>
      <c r="AZ5" s="336"/>
      <c r="BA5" s="336"/>
      <c r="BB5" s="336"/>
      <c r="BC5" s="336"/>
      <c r="BD5" s="336"/>
      <c r="BE5" s="336"/>
      <c r="BF5" s="336"/>
      <c r="BG5" s="336"/>
      <c r="BH5" s="336"/>
      <c r="BI5" s="336"/>
      <c r="BJ5" s="336"/>
      <c r="BK5" s="336"/>
      <c r="BL5" s="336"/>
      <c r="BM5" s="336"/>
      <c r="BN5" s="336"/>
      <c r="BO5" s="336"/>
      <c r="BP5" s="336"/>
      <c r="BQ5" s="336"/>
      <c r="BR5" s="336"/>
      <c r="BS5" s="336"/>
      <c r="BT5" s="336"/>
      <c r="BU5" s="336"/>
      <c r="BV5" s="336"/>
      <c r="BW5" s="336"/>
      <c r="BX5" s="336"/>
      <c r="BY5" s="336"/>
      <c r="BZ5" s="336"/>
      <c r="CA5" s="336"/>
      <c r="CB5" s="336"/>
      <c r="CC5" s="336"/>
      <c r="CD5" s="336"/>
      <c r="CE5" s="336"/>
      <c r="CF5" s="336"/>
      <c r="CG5" s="336"/>
      <c r="CH5" s="336"/>
      <c r="CI5" s="336"/>
      <c r="CJ5" s="336"/>
      <c r="CK5" s="336"/>
      <c r="CL5" s="336"/>
      <c r="CM5" s="336"/>
      <c r="CN5" s="336"/>
      <c r="CO5" s="336"/>
      <c r="CP5" s="336"/>
      <c r="CQ5" s="336"/>
      <c r="CR5" s="336"/>
      <c r="CS5" s="336"/>
      <c r="CT5" s="336"/>
      <c r="CU5" s="336"/>
      <c r="CV5" s="336"/>
      <c r="CW5" s="336"/>
      <c r="CX5" s="336"/>
      <c r="CY5" s="336"/>
      <c r="CZ5" s="336"/>
      <c r="DA5" s="336"/>
      <c r="DB5" s="336"/>
      <c r="DC5" s="336"/>
      <c r="DD5" s="336"/>
      <c r="DE5" s="336"/>
      <c r="DF5" s="336"/>
      <c r="DG5" s="336"/>
      <c r="DH5" s="336"/>
      <c r="DI5" s="336"/>
      <c r="DJ5" s="336"/>
      <c r="DK5" s="336"/>
      <c r="DL5" s="336"/>
      <c r="DM5" s="336"/>
      <c r="DN5" s="336"/>
      <c r="DO5" s="336"/>
      <c r="DP5" s="336"/>
      <c r="DQ5" s="336"/>
      <c r="DR5" s="336"/>
      <c r="DS5" s="336"/>
      <c r="DT5" s="336"/>
      <c r="DU5" s="336"/>
      <c r="DV5" s="336"/>
      <c r="DW5" s="336"/>
      <c r="DX5" s="336"/>
      <c r="DY5" s="336"/>
      <c r="DZ5" s="336"/>
      <c r="EA5" s="336"/>
      <c r="EB5" s="336"/>
      <c r="EC5" s="336"/>
      <c r="ED5" s="336"/>
      <c r="EE5" s="336"/>
      <c r="EF5" s="336"/>
      <c r="EG5" s="336"/>
      <c r="EH5" s="336"/>
    </row>
    <row r="6" spans="1:138" s="332" customFormat="1">
      <c r="A6" s="333" t="s">
        <v>560</v>
      </c>
      <c r="B6" s="428"/>
      <c r="C6" s="334">
        <f ca="1">расчет!E241</f>
        <v>45250</v>
      </c>
      <c r="D6" s="334">
        <f ca="1">расчет!E242</f>
        <v>45422</v>
      </c>
      <c r="E6" s="335"/>
      <c r="F6" s="336"/>
      <c r="G6" s="336"/>
      <c r="H6" s="336"/>
      <c r="I6" s="336"/>
      <c r="J6" s="336"/>
      <c r="K6" s="336"/>
      <c r="L6" s="336"/>
      <c r="M6" s="336"/>
      <c r="N6" s="336"/>
      <c r="O6" s="336"/>
      <c r="P6" s="336"/>
      <c r="Q6" s="336"/>
      <c r="R6" s="336"/>
      <c r="S6" s="336"/>
      <c r="T6" s="336"/>
      <c r="U6" s="336"/>
      <c r="V6" s="336"/>
      <c r="W6" s="336"/>
      <c r="X6" s="336"/>
      <c r="Y6" s="336"/>
      <c r="Z6" s="336"/>
      <c r="AA6" s="336"/>
      <c r="AB6" s="336"/>
      <c r="AC6" s="336"/>
      <c r="AD6" s="336"/>
      <c r="AE6" s="336"/>
      <c r="AF6" s="336"/>
      <c r="AG6" s="336"/>
      <c r="AH6" s="336"/>
      <c r="AI6" s="336"/>
      <c r="AJ6" s="336"/>
      <c r="AK6" s="336"/>
      <c r="AL6" s="336"/>
      <c r="AM6" s="336"/>
      <c r="AN6" s="336"/>
      <c r="AO6" s="336"/>
      <c r="AP6" s="336"/>
      <c r="AQ6" s="336"/>
      <c r="AR6" s="336"/>
      <c r="AS6" s="336"/>
      <c r="AT6" s="336"/>
      <c r="AU6" s="336"/>
      <c r="AV6" s="336"/>
      <c r="AW6" s="336"/>
      <c r="AX6" s="336"/>
      <c r="AY6" s="336"/>
      <c r="AZ6" s="336"/>
      <c r="BA6" s="336"/>
      <c r="BB6" s="336"/>
      <c r="BC6" s="336"/>
      <c r="BD6" s="336"/>
      <c r="BE6" s="336"/>
      <c r="BF6" s="336"/>
      <c r="BG6" s="336"/>
      <c r="BH6" s="336"/>
      <c r="BI6" s="336"/>
      <c r="BJ6" s="336"/>
      <c r="BK6" s="336"/>
      <c r="BL6" s="336"/>
      <c r="BM6" s="336"/>
      <c r="BN6" s="336"/>
      <c r="BO6" s="336"/>
      <c r="BP6" s="336"/>
      <c r="BQ6" s="336"/>
      <c r="BR6" s="336"/>
      <c r="BS6" s="336"/>
      <c r="BT6" s="336"/>
      <c r="BU6" s="336"/>
      <c r="BV6" s="336"/>
      <c r="BW6" s="336"/>
      <c r="BX6" s="336"/>
      <c r="BY6" s="336"/>
      <c r="BZ6" s="336"/>
      <c r="CA6" s="336"/>
      <c r="CB6" s="336"/>
      <c r="CC6" s="336"/>
      <c r="CD6" s="336"/>
      <c r="CE6" s="336"/>
      <c r="CF6" s="336"/>
      <c r="CG6" s="336"/>
      <c r="CH6" s="336"/>
      <c r="CI6" s="336"/>
      <c r="CJ6" s="336"/>
      <c r="CK6" s="336"/>
      <c r="CL6" s="336"/>
      <c r="CM6" s="336"/>
      <c r="CN6" s="336"/>
      <c r="CO6" s="336"/>
      <c r="CP6" s="336"/>
      <c r="CQ6" s="336"/>
      <c r="CR6" s="336"/>
      <c r="CS6" s="336"/>
      <c r="CT6" s="336"/>
      <c r="CU6" s="336"/>
      <c r="CV6" s="336"/>
      <c r="CW6" s="336"/>
      <c r="CX6" s="336"/>
      <c r="CY6" s="336"/>
      <c r="CZ6" s="336"/>
      <c r="DA6" s="336"/>
      <c r="DB6" s="336"/>
      <c r="DC6" s="336"/>
      <c r="DD6" s="336"/>
      <c r="DE6" s="336"/>
      <c r="DF6" s="336"/>
      <c r="DG6" s="336"/>
      <c r="DH6" s="336"/>
      <c r="DI6" s="336"/>
      <c r="DJ6" s="336"/>
      <c r="DK6" s="336"/>
      <c r="DL6" s="336"/>
      <c r="DM6" s="336"/>
      <c r="DN6" s="336"/>
      <c r="DO6" s="336"/>
      <c r="DP6" s="336"/>
      <c r="DQ6" s="336"/>
      <c r="DR6" s="336"/>
      <c r="DS6" s="336"/>
      <c r="DT6" s="336"/>
      <c r="DU6" s="336"/>
      <c r="DV6" s="336"/>
      <c r="DW6" s="336"/>
      <c r="DX6" s="336"/>
      <c r="DY6" s="336"/>
      <c r="DZ6" s="336"/>
      <c r="EA6" s="336"/>
      <c r="EB6" s="336"/>
      <c r="EC6" s="336"/>
      <c r="ED6" s="336"/>
      <c r="EE6" s="336"/>
      <c r="EF6" s="336"/>
      <c r="EG6" s="336"/>
      <c r="EH6" s="336"/>
    </row>
    <row r="7" spans="1:138" s="332" customFormat="1">
      <c r="A7" s="333" t="s">
        <v>561</v>
      </c>
      <c r="B7" s="428"/>
      <c r="C7" s="334">
        <f ca="1">расчет!E246</f>
        <v>45353.8</v>
      </c>
      <c r="D7" s="334">
        <f ca="1">расчет!E247</f>
        <v>45628.800000000003</v>
      </c>
      <c r="E7" s="335"/>
      <c r="F7" s="336"/>
      <c r="G7" s="336"/>
      <c r="H7" s="336"/>
      <c r="I7" s="336"/>
      <c r="J7" s="336"/>
      <c r="K7" s="336"/>
      <c r="L7" s="336"/>
      <c r="M7" s="336"/>
      <c r="N7" s="336"/>
      <c r="O7" s="336"/>
      <c r="P7" s="336"/>
      <c r="Q7" s="336"/>
      <c r="R7" s="336"/>
      <c r="S7" s="336"/>
      <c r="T7" s="336"/>
      <c r="U7" s="336"/>
      <c r="V7" s="336"/>
      <c r="W7" s="336"/>
      <c r="X7" s="336"/>
      <c r="Y7" s="336"/>
      <c r="Z7" s="336"/>
      <c r="AA7" s="336"/>
      <c r="AB7" s="336"/>
      <c r="AC7" s="336"/>
      <c r="AD7" s="336"/>
      <c r="AE7" s="336"/>
      <c r="AF7" s="336"/>
      <c r="AG7" s="336"/>
      <c r="AH7" s="336"/>
      <c r="AI7" s="336"/>
      <c r="AJ7" s="336"/>
      <c r="AK7" s="336"/>
      <c r="AL7" s="336"/>
      <c r="AM7" s="336"/>
      <c r="AN7" s="336"/>
      <c r="AO7" s="336"/>
      <c r="AP7" s="336"/>
      <c r="AQ7" s="336"/>
      <c r="AR7" s="336"/>
      <c r="AS7" s="336"/>
      <c r="AT7" s="336"/>
      <c r="AU7" s="336"/>
      <c r="AV7" s="336"/>
      <c r="AW7" s="336"/>
      <c r="AX7" s="336"/>
      <c r="AY7" s="336"/>
      <c r="AZ7" s="336"/>
      <c r="BA7" s="336"/>
      <c r="BB7" s="336"/>
      <c r="BC7" s="336"/>
      <c r="BD7" s="336"/>
      <c r="BE7" s="336"/>
      <c r="BF7" s="336"/>
      <c r="BG7" s="336"/>
      <c r="BH7" s="336"/>
      <c r="BI7" s="336"/>
      <c r="BJ7" s="336"/>
      <c r="BK7" s="336"/>
      <c r="BL7" s="336"/>
      <c r="BM7" s="336"/>
      <c r="BN7" s="336"/>
      <c r="BO7" s="336"/>
      <c r="BP7" s="336"/>
      <c r="BQ7" s="336"/>
      <c r="BR7" s="336"/>
      <c r="BS7" s="336"/>
      <c r="BT7" s="336"/>
      <c r="BU7" s="336"/>
      <c r="BV7" s="336"/>
      <c r="BW7" s="336"/>
      <c r="BX7" s="336"/>
      <c r="BY7" s="336"/>
      <c r="BZ7" s="336"/>
      <c r="CA7" s="336"/>
      <c r="CB7" s="336"/>
      <c r="CC7" s="336"/>
      <c r="CD7" s="336"/>
      <c r="CE7" s="336"/>
      <c r="CF7" s="336"/>
      <c r="CG7" s="336"/>
      <c r="CH7" s="336"/>
      <c r="CI7" s="336"/>
      <c r="CJ7" s="336"/>
      <c r="CK7" s="336"/>
      <c r="CL7" s="336"/>
      <c r="CM7" s="336"/>
      <c r="CN7" s="336"/>
      <c r="CO7" s="336"/>
      <c r="CP7" s="336"/>
      <c r="CQ7" s="336"/>
      <c r="CR7" s="336"/>
      <c r="CS7" s="336"/>
      <c r="CT7" s="336"/>
      <c r="CU7" s="336"/>
      <c r="CV7" s="336"/>
      <c r="CW7" s="336"/>
      <c r="CX7" s="336"/>
      <c r="CY7" s="336"/>
      <c r="CZ7" s="336"/>
      <c r="DA7" s="336"/>
      <c r="DB7" s="336"/>
      <c r="DC7" s="336"/>
      <c r="DD7" s="336"/>
      <c r="DE7" s="336"/>
      <c r="DF7" s="336"/>
      <c r="DG7" s="336"/>
      <c r="DH7" s="336"/>
      <c r="DI7" s="336"/>
      <c r="DJ7" s="336"/>
      <c r="DK7" s="336"/>
      <c r="DL7" s="336"/>
      <c r="DM7" s="336"/>
      <c r="DN7" s="336"/>
      <c r="DO7" s="336"/>
      <c r="DP7" s="336"/>
      <c r="DQ7" s="336"/>
      <c r="DR7" s="336"/>
      <c r="DS7" s="336"/>
      <c r="DT7" s="336"/>
      <c r="DU7" s="336"/>
      <c r="DV7" s="336"/>
      <c r="DW7" s="336"/>
      <c r="DX7" s="336"/>
      <c r="DY7" s="336"/>
      <c r="DZ7" s="336"/>
      <c r="EA7" s="336"/>
      <c r="EB7" s="336"/>
      <c r="EC7" s="336"/>
      <c r="ED7" s="336"/>
      <c r="EE7" s="336"/>
      <c r="EF7" s="336"/>
      <c r="EG7" s="336"/>
      <c r="EH7" s="336"/>
    </row>
    <row r="8" spans="1:138" s="344" customFormat="1">
      <c r="A8" s="343" t="s">
        <v>1696</v>
      </c>
      <c r="B8" s="432"/>
      <c r="C8" s="334">
        <f ca="1">расчет!E414</f>
        <v>45629.8</v>
      </c>
      <c r="D8" s="334">
        <f ca="1">расчет!E415</f>
        <v>45748.800000000003</v>
      </c>
      <c r="E8" s="335"/>
      <c r="F8" s="336"/>
      <c r="G8" s="336"/>
      <c r="H8" s="336"/>
      <c r="I8" s="336"/>
      <c r="J8" s="336"/>
      <c r="K8" s="336"/>
      <c r="L8" s="336"/>
      <c r="M8" s="336"/>
      <c r="N8" s="336"/>
      <c r="O8" s="336"/>
      <c r="P8" s="336"/>
      <c r="Q8" s="336"/>
      <c r="R8" s="336"/>
      <c r="S8" s="336"/>
      <c r="T8" s="336"/>
      <c r="U8" s="336"/>
      <c r="V8" s="336"/>
      <c r="W8" s="336"/>
      <c r="X8" s="336"/>
      <c r="Y8" s="336"/>
      <c r="Z8" s="336"/>
      <c r="AA8" s="336"/>
      <c r="AB8" s="336"/>
      <c r="AC8" s="336"/>
      <c r="AD8" s="336"/>
      <c r="AE8" s="336"/>
      <c r="AF8" s="336"/>
      <c r="AG8" s="336"/>
      <c r="AH8" s="336"/>
      <c r="AI8" s="336"/>
      <c r="AJ8" s="336"/>
      <c r="AK8" s="336"/>
      <c r="AL8" s="336"/>
      <c r="AM8" s="336"/>
      <c r="AN8" s="336"/>
      <c r="AO8" s="336"/>
      <c r="AP8" s="336"/>
      <c r="AQ8" s="336"/>
      <c r="AR8" s="336"/>
      <c r="AS8" s="336"/>
      <c r="AT8" s="336"/>
      <c r="AU8" s="336"/>
      <c r="AV8" s="336"/>
      <c r="AW8" s="336"/>
      <c r="AX8" s="336"/>
      <c r="AY8" s="336"/>
      <c r="AZ8" s="336"/>
      <c r="BA8" s="336"/>
      <c r="BB8" s="336"/>
      <c r="BC8" s="336"/>
      <c r="BD8" s="336"/>
      <c r="BE8" s="336"/>
      <c r="BF8" s="336"/>
      <c r="BG8" s="336"/>
      <c r="BH8" s="336"/>
      <c r="BI8" s="336"/>
      <c r="BJ8" s="336"/>
      <c r="BK8" s="336"/>
      <c r="BL8" s="336"/>
      <c r="BM8" s="336"/>
      <c r="BN8" s="336"/>
      <c r="BO8" s="336"/>
      <c r="BP8" s="336"/>
      <c r="BQ8" s="336"/>
      <c r="BR8" s="336"/>
      <c r="BS8" s="336"/>
      <c r="BT8" s="336"/>
      <c r="BU8" s="336"/>
      <c r="BV8" s="336"/>
      <c r="BW8" s="336"/>
      <c r="BX8" s="336"/>
      <c r="BY8" s="336"/>
      <c r="BZ8" s="336"/>
      <c r="CA8" s="336"/>
      <c r="CB8" s="336"/>
      <c r="CC8" s="336"/>
      <c r="CD8" s="336"/>
      <c r="CE8" s="336"/>
      <c r="CF8" s="336"/>
      <c r="CG8" s="336"/>
      <c r="CH8" s="336"/>
      <c r="CI8" s="336"/>
      <c r="CJ8" s="336"/>
      <c r="CK8" s="336"/>
      <c r="CL8" s="336"/>
      <c r="CM8" s="336"/>
      <c r="CN8" s="336"/>
      <c r="CO8" s="336"/>
      <c r="CP8" s="336"/>
      <c r="CQ8" s="336"/>
      <c r="CR8" s="336"/>
      <c r="CS8" s="336"/>
      <c r="CT8" s="336"/>
      <c r="CU8" s="336"/>
      <c r="CV8" s="336"/>
      <c r="CW8" s="336"/>
      <c r="CX8" s="336"/>
      <c r="CY8" s="336"/>
      <c r="CZ8" s="336"/>
      <c r="DA8" s="336"/>
      <c r="DB8" s="336"/>
      <c r="DC8" s="336"/>
      <c r="DD8" s="336"/>
      <c r="DE8" s="336"/>
      <c r="DF8" s="336"/>
      <c r="DG8" s="336"/>
      <c r="DH8" s="336"/>
      <c r="DI8" s="336"/>
      <c r="DJ8" s="336"/>
      <c r="DK8" s="336"/>
      <c r="DL8" s="336"/>
      <c r="DM8" s="336"/>
      <c r="DN8" s="336"/>
      <c r="DO8" s="336"/>
      <c r="DP8" s="336"/>
      <c r="DQ8" s="336"/>
      <c r="DR8" s="336"/>
      <c r="DS8" s="336"/>
      <c r="DT8" s="336"/>
      <c r="DU8" s="336"/>
      <c r="DV8" s="336"/>
      <c r="DW8" s="336"/>
      <c r="DX8" s="336"/>
      <c r="DY8" s="336"/>
      <c r="DZ8" s="336"/>
      <c r="EA8" s="336"/>
      <c r="EB8" s="336"/>
      <c r="EC8" s="336"/>
      <c r="ED8" s="336"/>
      <c r="EE8" s="336"/>
      <c r="EF8" s="336"/>
      <c r="EG8" s="336"/>
      <c r="EH8" s="336"/>
    </row>
    <row r="9" spans="1:138" s="344" customFormat="1">
      <c r="A9" s="343" t="s">
        <v>197</v>
      </c>
      <c r="B9" s="432"/>
      <c r="C9" s="334">
        <f ca="1">расчет!E419</f>
        <v>45629.8</v>
      </c>
      <c r="D9" s="334">
        <f ca="1">расчет!E420</f>
        <v>45708.800000000003</v>
      </c>
      <c r="E9" s="335"/>
      <c r="F9" s="336"/>
      <c r="G9" s="336"/>
      <c r="H9" s="336"/>
      <c r="I9" s="336"/>
      <c r="J9" s="336"/>
      <c r="K9" s="336"/>
      <c r="L9" s="336"/>
      <c r="M9" s="336"/>
      <c r="N9" s="336"/>
      <c r="O9" s="336"/>
      <c r="P9" s="336"/>
      <c r="Q9" s="336"/>
      <c r="R9" s="336"/>
      <c r="S9" s="336"/>
      <c r="T9" s="336"/>
      <c r="U9" s="336"/>
      <c r="V9" s="336"/>
      <c r="W9" s="336"/>
      <c r="X9" s="336"/>
      <c r="Y9" s="336"/>
      <c r="Z9" s="336"/>
      <c r="AA9" s="336"/>
      <c r="AB9" s="336"/>
      <c r="AC9" s="336"/>
      <c r="AD9" s="336"/>
      <c r="AE9" s="336"/>
      <c r="AF9" s="336"/>
      <c r="AG9" s="336"/>
      <c r="AH9" s="336"/>
      <c r="AI9" s="336"/>
      <c r="AJ9" s="336"/>
      <c r="AK9" s="336"/>
      <c r="AL9" s="336"/>
      <c r="AM9" s="336"/>
      <c r="AN9" s="336"/>
      <c r="AO9" s="336"/>
      <c r="AP9" s="336"/>
      <c r="AQ9" s="336"/>
      <c r="AR9" s="336"/>
      <c r="AS9" s="336"/>
      <c r="AT9" s="336"/>
      <c r="AU9" s="336"/>
      <c r="AV9" s="336"/>
      <c r="AW9" s="336"/>
      <c r="AX9" s="336"/>
      <c r="AY9" s="336"/>
      <c r="AZ9" s="336"/>
      <c r="BA9" s="336"/>
      <c r="BB9" s="336"/>
      <c r="BC9" s="336"/>
      <c r="BD9" s="336"/>
      <c r="BE9" s="336"/>
      <c r="BF9" s="336"/>
      <c r="BG9" s="336"/>
      <c r="BH9" s="336"/>
      <c r="BI9" s="336"/>
      <c r="BJ9" s="336"/>
      <c r="BK9" s="336"/>
      <c r="BL9" s="336"/>
      <c r="BM9" s="336"/>
      <c r="BN9" s="336"/>
      <c r="BO9" s="336"/>
      <c r="BP9" s="336"/>
      <c r="BQ9" s="336"/>
      <c r="BR9" s="336"/>
      <c r="BS9" s="336"/>
      <c r="BT9" s="336"/>
      <c r="BU9" s="336"/>
      <c r="BV9" s="336"/>
      <c r="BW9" s="336"/>
      <c r="BX9" s="336"/>
      <c r="BY9" s="336"/>
      <c r="BZ9" s="336"/>
      <c r="CA9" s="336"/>
      <c r="CB9" s="336"/>
      <c r="CC9" s="336"/>
      <c r="CD9" s="336"/>
      <c r="CE9" s="336"/>
      <c r="CF9" s="336"/>
      <c r="CG9" s="336"/>
      <c r="CH9" s="336"/>
      <c r="CI9" s="336"/>
      <c r="CJ9" s="336"/>
      <c r="CK9" s="336"/>
      <c r="CL9" s="336"/>
      <c r="CM9" s="336"/>
      <c r="CN9" s="336"/>
      <c r="CO9" s="336"/>
      <c r="CP9" s="336"/>
      <c r="CQ9" s="336"/>
      <c r="CR9" s="336"/>
      <c r="CS9" s="336"/>
      <c r="CT9" s="336"/>
      <c r="CU9" s="336"/>
      <c r="CV9" s="336"/>
      <c r="CW9" s="336"/>
      <c r="CX9" s="336"/>
      <c r="CY9" s="336"/>
      <c r="CZ9" s="336"/>
      <c r="DA9" s="336"/>
      <c r="DB9" s="336"/>
      <c r="DC9" s="336"/>
      <c r="DD9" s="336"/>
      <c r="DE9" s="336"/>
      <c r="DF9" s="336"/>
      <c r="DG9" s="336"/>
      <c r="DH9" s="336"/>
      <c r="DI9" s="336"/>
      <c r="DJ9" s="336"/>
      <c r="DK9" s="336"/>
      <c r="DL9" s="336"/>
      <c r="DM9" s="336"/>
      <c r="DN9" s="336"/>
      <c r="DO9" s="336"/>
      <c r="DP9" s="336"/>
      <c r="DQ9" s="336"/>
      <c r="DR9" s="336"/>
      <c r="DS9" s="336"/>
      <c r="DT9" s="336"/>
      <c r="DU9" s="336"/>
      <c r="DV9" s="336"/>
      <c r="DW9" s="336"/>
      <c r="DX9" s="336"/>
      <c r="DY9" s="336"/>
      <c r="DZ9" s="336"/>
      <c r="EA9" s="336"/>
      <c r="EB9" s="336"/>
      <c r="EC9" s="336"/>
      <c r="ED9" s="336"/>
      <c r="EE9" s="336"/>
      <c r="EF9" s="336"/>
      <c r="EG9" s="336"/>
      <c r="EH9" s="336"/>
    </row>
    <row r="10" spans="1:138" s="338" customFormat="1">
      <c r="A10" s="337" t="s">
        <v>53</v>
      </c>
      <c r="B10" s="429"/>
      <c r="C10" s="334">
        <f ca="1">расчет!E251</f>
        <v>45371.1</v>
      </c>
      <c r="D10" s="334">
        <f ca="1">расчет!E252</f>
        <v>45387.1</v>
      </c>
      <c r="E10" s="335"/>
      <c r="F10" s="336"/>
      <c r="G10" s="336"/>
      <c r="H10" s="336"/>
      <c r="I10" s="336"/>
      <c r="J10" s="336"/>
      <c r="K10" s="336"/>
      <c r="L10" s="336"/>
      <c r="M10" s="336"/>
      <c r="N10" s="336"/>
      <c r="O10" s="336"/>
      <c r="P10" s="336"/>
      <c r="Q10" s="336"/>
      <c r="R10" s="336"/>
      <c r="S10" s="336"/>
      <c r="T10" s="336"/>
      <c r="U10" s="336"/>
      <c r="V10" s="336"/>
      <c r="W10" s="336"/>
      <c r="X10" s="336"/>
      <c r="Y10" s="336"/>
      <c r="Z10" s="336"/>
      <c r="AA10" s="336"/>
      <c r="AB10" s="336"/>
      <c r="AC10" s="336"/>
      <c r="AD10" s="336"/>
      <c r="AE10" s="336"/>
      <c r="AF10" s="336"/>
      <c r="AG10" s="336"/>
      <c r="AH10" s="336"/>
      <c r="AI10" s="336"/>
      <c r="AJ10" s="336"/>
      <c r="AK10" s="336"/>
      <c r="AL10" s="336"/>
      <c r="AM10" s="336"/>
      <c r="AN10" s="336"/>
      <c r="AO10" s="336"/>
      <c r="AP10" s="336"/>
      <c r="AQ10" s="336"/>
      <c r="AR10" s="336"/>
      <c r="AS10" s="336"/>
      <c r="AT10" s="336"/>
      <c r="AU10" s="336"/>
      <c r="AV10" s="336"/>
      <c r="AW10" s="336"/>
      <c r="AX10" s="336"/>
      <c r="AY10" s="336"/>
      <c r="AZ10" s="336"/>
      <c r="BA10" s="336"/>
      <c r="BB10" s="336"/>
      <c r="BC10" s="336"/>
      <c r="BD10" s="336"/>
      <c r="BE10" s="336"/>
      <c r="BF10" s="336"/>
      <c r="BG10" s="336"/>
      <c r="BH10" s="336"/>
      <c r="BI10" s="336"/>
      <c r="BJ10" s="336"/>
      <c r="BK10" s="336"/>
      <c r="BL10" s="336"/>
      <c r="BM10" s="336"/>
      <c r="BN10" s="336"/>
      <c r="BO10" s="336"/>
      <c r="BP10" s="336"/>
      <c r="BQ10" s="336"/>
      <c r="BR10" s="336"/>
      <c r="BS10" s="336"/>
      <c r="BT10" s="336"/>
      <c r="BU10" s="336"/>
      <c r="BV10" s="336"/>
      <c r="BW10" s="336"/>
      <c r="BX10" s="336"/>
      <c r="BY10" s="336"/>
      <c r="BZ10" s="336"/>
      <c r="CA10" s="336"/>
      <c r="CB10" s="336"/>
      <c r="CC10" s="336"/>
      <c r="CD10" s="336"/>
      <c r="CE10" s="336"/>
      <c r="CF10" s="336"/>
      <c r="CG10" s="336"/>
      <c r="CH10" s="336"/>
      <c r="CI10" s="336"/>
      <c r="CJ10" s="336"/>
      <c r="CK10" s="336"/>
      <c r="CL10" s="336"/>
      <c r="CM10" s="336"/>
      <c r="CN10" s="336"/>
      <c r="CO10" s="336"/>
      <c r="CP10" s="336"/>
      <c r="CQ10" s="336"/>
      <c r="CR10" s="336"/>
      <c r="CS10" s="336"/>
      <c r="CT10" s="336"/>
      <c r="CU10" s="336"/>
      <c r="CV10" s="336"/>
      <c r="CW10" s="336"/>
      <c r="CX10" s="336"/>
      <c r="CY10" s="336"/>
      <c r="CZ10" s="336"/>
      <c r="DA10" s="336"/>
      <c r="DB10" s="336"/>
      <c r="DC10" s="336"/>
      <c r="DD10" s="336"/>
      <c r="DE10" s="336"/>
      <c r="DF10" s="336"/>
      <c r="DG10" s="336"/>
      <c r="DH10" s="336"/>
      <c r="DI10" s="336"/>
      <c r="DJ10" s="336"/>
      <c r="DK10" s="336"/>
      <c r="DL10" s="336"/>
      <c r="DM10" s="336"/>
      <c r="DN10" s="336"/>
      <c r="DO10" s="336"/>
      <c r="DP10" s="336"/>
      <c r="DQ10" s="336"/>
      <c r="DR10" s="336"/>
      <c r="DS10" s="336"/>
      <c r="DT10" s="336"/>
      <c r="DU10" s="336"/>
      <c r="DV10" s="336"/>
      <c r="DW10" s="336"/>
      <c r="DX10" s="336"/>
      <c r="DY10" s="336"/>
      <c r="DZ10" s="336"/>
      <c r="EA10" s="336"/>
      <c r="EB10" s="336"/>
      <c r="EC10" s="336"/>
      <c r="ED10" s="336"/>
      <c r="EE10" s="336"/>
      <c r="EF10" s="336"/>
      <c r="EG10" s="336"/>
      <c r="EH10" s="336"/>
    </row>
    <row r="11" spans="1:138" s="338" customFormat="1">
      <c r="A11" s="339" t="s">
        <v>537</v>
      </c>
      <c r="B11" s="435"/>
      <c r="C11" s="334">
        <f ca="1">IF(B11="",IF(D6="","",D6+1),B11)</f>
        <v>45423</v>
      </c>
      <c r="D11" s="334">
        <f ca="1">IF(D6="","",C11+30*1)</f>
        <v>45453</v>
      </c>
      <c r="E11" s="335"/>
      <c r="F11" s="336"/>
      <c r="G11" s="336"/>
      <c r="H11" s="336"/>
      <c r="I11" s="336"/>
      <c r="J11" s="336"/>
      <c r="K11" s="336"/>
      <c r="L11" s="336"/>
      <c r="M11" s="336"/>
      <c r="N11" s="336"/>
      <c r="O11" s="336"/>
      <c r="P11" s="336"/>
      <c r="Q11" s="336"/>
      <c r="R11" s="336"/>
      <c r="S11" s="336"/>
      <c r="T11" s="336"/>
      <c r="U11" s="336"/>
      <c r="V11" s="336"/>
      <c r="W11" s="336"/>
      <c r="X11" s="336"/>
      <c r="Y11" s="336"/>
      <c r="Z11" s="336"/>
      <c r="AA11" s="336"/>
      <c r="AB11" s="336"/>
      <c r="AC11" s="336"/>
      <c r="AD11" s="336"/>
      <c r="AE11" s="336"/>
      <c r="AF11" s="336"/>
      <c r="AG11" s="336"/>
      <c r="AH11" s="336"/>
      <c r="AI11" s="336"/>
      <c r="AJ11" s="336"/>
      <c r="AK11" s="336"/>
      <c r="AL11" s="336"/>
      <c r="AM11" s="336"/>
      <c r="AN11" s="336"/>
      <c r="AO11" s="336"/>
      <c r="AP11" s="336"/>
      <c r="AQ11" s="336"/>
      <c r="AR11" s="336"/>
      <c r="AS11" s="336"/>
      <c r="AT11" s="336"/>
      <c r="AU11" s="336"/>
      <c r="AV11" s="336"/>
      <c r="AW11" s="336"/>
      <c r="AX11" s="336"/>
      <c r="AY11" s="336"/>
      <c r="AZ11" s="336"/>
      <c r="BA11" s="336"/>
      <c r="BB11" s="336"/>
      <c r="BC11" s="336"/>
      <c r="BD11" s="336"/>
      <c r="BE11" s="336"/>
      <c r="BF11" s="336"/>
      <c r="BG11" s="336"/>
      <c r="BH11" s="336"/>
      <c r="BI11" s="336"/>
      <c r="BJ11" s="336"/>
      <c r="BK11" s="336"/>
      <c r="BL11" s="336"/>
      <c r="BM11" s="336"/>
      <c r="BN11" s="336"/>
      <c r="BO11" s="336"/>
      <c r="BP11" s="336"/>
      <c r="BQ11" s="336"/>
      <c r="BR11" s="336"/>
      <c r="BS11" s="336"/>
      <c r="BT11" s="336"/>
      <c r="BU11" s="336"/>
      <c r="BV11" s="336"/>
      <c r="BW11" s="336"/>
      <c r="BX11" s="336"/>
      <c r="BY11" s="336"/>
      <c r="BZ11" s="336"/>
      <c r="CA11" s="336"/>
      <c r="CB11" s="336"/>
      <c r="CC11" s="336"/>
      <c r="CD11" s="336"/>
      <c r="CE11" s="336"/>
      <c r="CF11" s="336"/>
      <c r="CG11" s="336"/>
      <c r="CH11" s="336"/>
      <c r="CI11" s="336"/>
      <c r="CJ11" s="336"/>
      <c r="CK11" s="336"/>
      <c r="CL11" s="336"/>
      <c r="CM11" s="336"/>
      <c r="CN11" s="336"/>
      <c r="CO11" s="336"/>
      <c r="CP11" s="336"/>
      <c r="CQ11" s="336"/>
      <c r="CR11" s="336"/>
      <c r="CS11" s="336"/>
      <c r="CT11" s="336"/>
      <c r="CU11" s="336"/>
      <c r="CV11" s="336"/>
      <c r="CW11" s="336"/>
      <c r="CX11" s="336"/>
      <c r="CY11" s="336"/>
      <c r="CZ11" s="336"/>
      <c r="DA11" s="336"/>
      <c r="DB11" s="336"/>
      <c r="DC11" s="336"/>
      <c r="DD11" s="336"/>
      <c r="DE11" s="336"/>
      <c r="DF11" s="336"/>
      <c r="DG11" s="336"/>
      <c r="DH11" s="336"/>
      <c r="DI11" s="336"/>
      <c r="DJ11" s="336"/>
      <c r="DK11" s="336"/>
      <c r="DL11" s="336"/>
      <c r="DM11" s="336"/>
      <c r="DN11" s="336"/>
      <c r="DO11" s="336"/>
      <c r="DP11" s="336"/>
      <c r="DQ11" s="336"/>
      <c r="DR11" s="336"/>
      <c r="DS11" s="336"/>
      <c r="DT11" s="336"/>
      <c r="DU11" s="336"/>
      <c r="DV11" s="336"/>
      <c r="DW11" s="336"/>
      <c r="DX11" s="336"/>
      <c r="DY11" s="336"/>
      <c r="DZ11" s="336"/>
      <c r="EA11" s="336"/>
      <c r="EB11" s="336"/>
      <c r="EC11" s="336"/>
      <c r="ED11" s="336"/>
      <c r="EE11" s="336"/>
      <c r="EF11" s="336"/>
      <c r="EG11" s="336"/>
      <c r="EH11" s="336"/>
    </row>
    <row r="12" spans="1:138" s="338" customFormat="1">
      <c r="A12" s="337" t="s">
        <v>984</v>
      </c>
      <c r="B12" s="429"/>
      <c r="C12" s="334">
        <f ca="1">расчет!E257</f>
        <v>45430</v>
      </c>
      <c r="D12" s="334">
        <f ca="1">расчет!E258</f>
        <v>45539</v>
      </c>
      <c r="E12" s="335"/>
      <c r="F12" s="336"/>
      <c r="G12" s="336"/>
      <c r="H12" s="336"/>
      <c r="I12" s="336"/>
      <c r="J12" s="336"/>
      <c r="K12" s="336"/>
      <c r="L12" s="336"/>
      <c r="M12" s="336"/>
      <c r="N12" s="336"/>
      <c r="O12" s="336"/>
      <c r="P12" s="336"/>
      <c r="Q12" s="336"/>
      <c r="R12" s="336"/>
      <c r="S12" s="336"/>
      <c r="T12" s="336"/>
      <c r="U12" s="336"/>
      <c r="V12" s="336"/>
      <c r="W12" s="336"/>
      <c r="X12" s="336"/>
      <c r="Y12" s="336"/>
      <c r="Z12" s="336"/>
      <c r="AA12" s="336"/>
      <c r="AB12" s="336"/>
      <c r="AC12" s="336"/>
      <c r="AD12" s="336"/>
      <c r="AE12" s="336"/>
      <c r="AF12" s="336"/>
      <c r="AG12" s="336"/>
      <c r="AH12" s="336"/>
      <c r="AI12" s="336"/>
      <c r="AJ12" s="336"/>
      <c r="AK12" s="336"/>
      <c r="AL12" s="336"/>
      <c r="AM12" s="336"/>
      <c r="AN12" s="336"/>
      <c r="AO12" s="336"/>
      <c r="AP12" s="336"/>
      <c r="AQ12" s="336"/>
      <c r="AR12" s="336"/>
      <c r="AS12" s="336"/>
      <c r="AT12" s="336"/>
      <c r="AU12" s="336"/>
      <c r="AV12" s="336"/>
      <c r="AW12" s="336"/>
      <c r="AX12" s="336"/>
      <c r="AY12" s="336"/>
      <c r="AZ12" s="336"/>
      <c r="BA12" s="336"/>
      <c r="BB12" s="336"/>
      <c r="BC12" s="336"/>
      <c r="BD12" s="336"/>
      <c r="BE12" s="336"/>
      <c r="BF12" s="336"/>
      <c r="BG12" s="336"/>
      <c r="BH12" s="336"/>
      <c r="BI12" s="336"/>
      <c r="BJ12" s="336"/>
      <c r="BK12" s="336"/>
      <c r="BL12" s="336"/>
      <c r="BM12" s="336"/>
      <c r="BN12" s="336"/>
      <c r="BO12" s="336"/>
      <c r="BP12" s="336"/>
      <c r="BQ12" s="336"/>
      <c r="BR12" s="336"/>
      <c r="BS12" s="336"/>
      <c r="BT12" s="336"/>
      <c r="BU12" s="336"/>
      <c r="BV12" s="336"/>
      <c r="BW12" s="336"/>
      <c r="BX12" s="336"/>
      <c r="BY12" s="336"/>
      <c r="BZ12" s="336"/>
      <c r="CA12" s="336"/>
      <c r="CB12" s="336"/>
      <c r="CC12" s="336"/>
      <c r="CD12" s="336"/>
      <c r="CE12" s="336"/>
      <c r="CF12" s="336"/>
      <c r="CG12" s="336"/>
      <c r="CH12" s="336"/>
      <c r="CI12" s="336"/>
      <c r="CJ12" s="336"/>
      <c r="CK12" s="336"/>
      <c r="CL12" s="336"/>
      <c r="CM12" s="336"/>
      <c r="CN12" s="336"/>
      <c r="CO12" s="336"/>
      <c r="CP12" s="336"/>
      <c r="CQ12" s="336"/>
      <c r="CR12" s="336"/>
      <c r="CS12" s="336"/>
      <c r="CT12" s="336"/>
      <c r="CU12" s="336"/>
      <c r="CV12" s="336"/>
      <c r="CW12" s="336"/>
      <c r="CX12" s="336"/>
      <c r="CY12" s="336"/>
      <c r="CZ12" s="336"/>
      <c r="DA12" s="336"/>
      <c r="DB12" s="336"/>
      <c r="DC12" s="336"/>
      <c r="DD12" s="336"/>
      <c r="DE12" s="336"/>
      <c r="DF12" s="336"/>
      <c r="DG12" s="336"/>
      <c r="DH12" s="336"/>
      <c r="DI12" s="336"/>
      <c r="DJ12" s="336"/>
      <c r="DK12" s="336"/>
      <c r="DL12" s="336"/>
      <c r="DM12" s="336"/>
      <c r="DN12" s="336"/>
      <c r="DO12" s="336"/>
      <c r="DP12" s="336"/>
      <c r="DQ12" s="336"/>
      <c r="DR12" s="336"/>
      <c r="DS12" s="336"/>
      <c r="DT12" s="336"/>
      <c r="DU12" s="336"/>
      <c r="DV12" s="336"/>
      <c r="DW12" s="336"/>
      <c r="DX12" s="336"/>
      <c r="DY12" s="336"/>
      <c r="DZ12" s="336"/>
      <c r="EA12" s="336"/>
      <c r="EB12" s="336"/>
      <c r="EC12" s="336"/>
      <c r="ED12" s="336"/>
      <c r="EE12" s="336"/>
      <c r="EF12" s="336"/>
      <c r="EG12" s="336"/>
      <c r="EH12" s="336"/>
    </row>
    <row r="13" spans="1:138" s="338" customFormat="1">
      <c r="A13" s="337" t="s">
        <v>10</v>
      </c>
      <c r="B13" s="429"/>
      <c r="C13" s="334">
        <f ca="1">расчет!E262</f>
        <v>45540</v>
      </c>
      <c r="D13" s="334">
        <f ca="1">расчет!E263</f>
        <v>46034</v>
      </c>
      <c r="E13" s="335"/>
      <c r="F13" s="336"/>
      <c r="G13" s="336"/>
      <c r="H13" s="336"/>
      <c r="I13" s="336"/>
      <c r="J13" s="336"/>
      <c r="K13" s="336"/>
      <c r="L13" s="336"/>
      <c r="M13" s="336"/>
      <c r="N13" s="336"/>
      <c r="O13" s="336"/>
      <c r="P13" s="336"/>
      <c r="Q13" s="336"/>
      <c r="R13" s="336"/>
      <c r="S13" s="336"/>
      <c r="T13" s="336"/>
      <c r="U13" s="336"/>
      <c r="V13" s="336"/>
      <c r="W13" s="336"/>
      <c r="X13" s="336"/>
      <c r="Y13" s="336"/>
      <c r="Z13" s="336"/>
      <c r="AA13" s="336"/>
      <c r="AB13" s="336"/>
      <c r="AC13" s="336"/>
      <c r="AD13" s="336"/>
      <c r="AE13" s="336"/>
      <c r="AF13" s="336"/>
      <c r="AG13" s="336"/>
      <c r="AH13" s="336"/>
      <c r="AI13" s="336"/>
      <c r="AJ13" s="336"/>
      <c r="AK13" s="336"/>
      <c r="AL13" s="336"/>
      <c r="AM13" s="336"/>
      <c r="AN13" s="336"/>
      <c r="AO13" s="336"/>
      <c r="AP13" s="336"/>
      <c r="AQ13" s="336"/>
      <c r="AR13" s="336"/>
      <c r="AS13" s="336"/>
      <c r="AT13" s="336"/>
      <c r="AU13" s="336"/>
      <c r="AV13" s="336"/>
      <c r="AW13" s="336"/>
      <c r="AX13" s="336"/>
      <c r="AY13" s="336"/>
      <c r="AZ13" s="336"/>
      <c r="BA13" s="336"/>
      <c r="BB13" s="336"/>
      <c r="BC13" s="336"/>
      <c r="BD13" s="336"/>
      <c r="BE13" s="336"/>
      <c r="BF13" s="336"/>
      <c r="BG13" s="336"/>
      <c r="BH13" s="336"/>
      <c r="BI13" s="336"/>
      <c r="BJ13" s="336"/>
      <c r="BK13" s="336"/>
      <c r="BL13" s="336"/>
      <c r="BM13" s="336"/>
      <c r="BN13" s="336"/>
      <c r="BO13" s="336"/>
      <c r="BP13" s="336"/>
      <c r="BQ13" s="336"/>
      <c r="BR13" s="336"/>
      <c r="BS13" s="336"/>
      <c r="BT13" s="336"/>
      <c r="BU13" s="336"/>
      <c r="BV13" s="336"/>
      <c r="BW13" s="336"/>
      <c r="BX13" s="336"/>
      <c r="BY13" s="336"/>
      <c r="BZ13" s="336"/>
      <c r="CA13" s="336"/>
      <c r="CB13" s="336"/>
      <c r="CC13" s="336"/>
      <c r="CD13" s="336"/>
      <c r="CE13" s="336"/>
      <c r="CF13" s="336"/>
      <c r="CG13" s="336"/>
      <c r="CH13" s="336"/>
      <c r="CI13" s="336"/>
      <c r="CJ13" s="336"/>
      <c r="CK13" s="336"/>
      <c r="CL13" s="336"/>
      <c r="CM13" s="336"/>
      <c r="CN13" s="336"/>
      <c r="CO13" s="336"/>
      <c r="CP13" s="336"/>
      <c r="CQ13" s="336"/>
      <c r="CR13" s="336"/>
      <c r="CS13" s="336"/>
      <c r="CT13" s="336"/>
      <c r="CU13" s="336"/>
      <c r="CV13" s="336"/>
      <c r="CW13" s="336"/>
      <c r="CX13" s="336"/>
      <c r="CY13" s="336"/>
      <c r="CZ13" s="336"/>
      <c r="DA13" s="336"/>
      <c r="DB13" s="336"/>
      <c r="DC13" s="336"/>
      <c r="DD13" s="336"/>
      <c r="DE13" s="336"/>
      <c r="DF13" s="336"/>
      <c r="DG13" s="336"/>
      <c r="DH13" s="336"/>
      <c r="DI13" s="336"/>
      <c r="DJ13" s="336"/>
      <c r="DK13" s="336"/>
      <c r="DL13" s="336"/>
      <c r="DM13" s="336"/>
      <c r="DN13" s="336"/>
      <c r="DO13" s="336"/>
      <c r="DP13" s="336"/>
      <c r="DQ13" s="336"/>
      <c r="DR13" s="336"/>
      <c r="DS13" s="336"/>
      <c r="DT13" s="336"/>
      <c r="DU13" s="336"/>
      <c r="DV13" s="336"/>
      <c r="DW13" s="336"/>
      <c r="DX13" s="336"/>
      <c r="DY13" s="336"/>
      <c r="DZ13" s="336"/>
      <c r="EA13" s="336"/>
      <c r="EB13" s="336"/>
      <c r="EC13" s="336"/>
      <c r="ED13" s="336"/>
      <c r="EE13" s="336"/>
      <c r="EF13" s="336"/>
      <c r="EG13" s="336"/>
      <c r="EH13" s="336"/>
    </row>
    <row r="14" spans="1:138" s="338" customFormat="1">
      <c r="A14" s="337" t="s">
        <v>1025</v>
      </c>
      <c r="B14" s="429"/>
      <c r="C14" s="334">
        <f ca="1">расчет!E267</f>
        <v>45639</v>
      </c>
      <c r="D14" s="334">
        <f ca="1">расчет!E268</f>
        <v>46034</v>
      </c>
      <c r="E14" s="335"/>
      <c r="F14" s="336"/>
      <c r="G14" s="336"/>
      <c r="H14" s="336"/>
      <c r="I14" s="336"/>
      <c r="J14" s="336"/>
      <c r="K14" s="336"/>
      <c r="L14" s="336"/>
      <c r="M14" s="336"/>
      <c r="N14" s="336"/>
      <c r="O14" s="336"/>
      <c r="P14" s="336"/>
      <c r="Q14" s="336"/>
      <c r="R14" s="336"/>
      <c r="S14" s="336"/>
      <c r="T14" s="336"/>
      <c r="U14" s="336"/>
      <c r="V14" s="336"/>
      <c r="W14" s="336"/>
      <c r="X14" s="336"/>
      <c r="Y14" s="336"/>
      <c r="Z14" s="336"/>
      <c r="AA14" s="336"/>
      <c r="AB14" s="336"/>
      <c r="AC14" s="336"/>
      <c r="AD14" s="336"/>
      <c r="AE14" s="336"/>
      <c r="AF14" s="336"/>
      <c r="AG14" s="336"/>
      <c r="AH14" s="336"/>
      <c r="AI14" s="336"/>
      <c r="AJ14" s="336"/>
      <c r="AK14" s="336"/>
      <c r="AL14" s="336"/>
      <c r="AM14" s="336"/>
      <c r="AN14" s="336"/>
      <c r="AO14" s="336"/>
      <c r="AP14" s="336"/>
      <c r="AQ14" s="336"/>
      <c r="AR14" s="336"/>
      <c r="AS14" s="336"/>
      <c r="AT14" s="336"/>
      <c r="AU14" s="336"/>
      <c r="AV14" s="336"/>
      <c r="AW14" s="336"/>
      <c r="AX14" s="336"/>
      <c r="AY14" s="336"/>
      <c r="AZ14" s="336"/>
      <c r="BA14" s="336"/>
      <c r="BB14" s="336"/>
      <c r="BC14" s="336"/>
      <c r="BD14" s="336"/>
      <c r="BE14" s="336"/>
      <c r="BF14" s="336"/>
      <c r="BG14" s="336"/>
      <c r="BH14" s="336"/>
      <c r="BI14" s="336"/>
      <c r="BJ14" s="336"/>
      <c r="BK14" s="336"/>
      <c r="BL14" s="336"/>
      <c r="BM14" s="336"/>
      <c r="BN14" s="336"/>
      <c r="BO14" s="336"/>
      <c r="BP14" s="336"/>
      <c r="BQ14" s="336"/>
      <c r="BR14" s="336"/>
      <c r="BS14" s="336"/>
      <c r="BT14" s="336"/>
      <c r="BU14" s="336"/>
      <c r="BV14" s="336"/>
      <c r="BW14" s="336"/>
      <c r="BX14" s="336"/>
      <c r="BY14" s="336"/>
      <c r="BZ14" s="336"/>
      <c r="CA14" s="336"/>
      <c r="CB14" s="336"/>
      <c r="CC14" s="336"/>
      <c r="CD14" s="336"/>
      <c r="CE14" s="336"/>
      <c r="CF14" s="336"/>
      <c r="CG14" s="336"/>
      <c r="CH14" s="336"/>
      <c r="CI14" s="336"/>
      <c r="CJ14" s="336"/>
      <c r="CK14" s="336"/>
      <c r="CL14" s="336"/>
      <c r="CM14" s="336"/>
      <c r="CN14" s="336"/>
      <c r="CO14" s="336"/>
      <c r="CP14" s="336"/>
      <c r="CQ14" s="336"/>
      <c r="CR14" s="336"/>
      <c r="CS14" s="336"/>
      <c r="CT14" s="336"/>
      <c r="CU14" s="336"/>
      <c r="CV14" s="336"/>
      <c r="CW14" s="336"/>
      <c r="CX14" s="336"/>
      <c r="CY14" s="336"/>
      <c r="CZ14" s="336"/>
      <c r="DA14" s="336"/>
      <c r="DB14" s="336"/>
      <c r="DC14" s="336"/>
      <c r="DD14" s="336"/>
      <c r="DE14" s="336"/>
      <c r="DF14" s="336"/>
      <c r="DG14" s="336"/>
      <c r="DH14" s="336"/>
      <c r="DI14" s="336"/>
      <c r="DJ14" s="336"/>
      <c r="DK14" s="336"/>
      <c r="DL14" s="336"/>
      <c r="DM14" s="336"/>
      <c r="DN14" s="336"/>
      <c r="DO14" s="336"/>
      <c r="DP14" s="336"/>
      <c r="DQ14" s="336"/>
      <c r="DR14" s="336"/>
      <c r="DS14" s="336"/>
      <c r="DT14" s="336"/>
      <c r="DU14" s="336"/>
      <c r="DV14" s="336"/>
      <c r="DW14" s="336"/>
      <c r="DX14" s="336"/>
      <c r="DY14" s="336"/>
      <c r="DZ14" s="336"/>
      <c r="EA14" s="336"/>
      <c r="EB14" s="336"/>
      <c r="EC14" s="336"/>
      <c r="ED14" s="336"/>
      <c r="EE14" s="336"/>
      <c r="EF14" s="336"/>
      <c r="EG14" s="336"/>
      <c r="EH14" s="336"/>
    </row>
    <row r="15" spans="1:138" s="332" customFormat="1">
      <c r="A15" s="340" t="s">
        <v>65</v>
      </c>
      <c r="B15" s="430"/>
      <c r="C15" s="334">
        <f ca="1">расчет!E272</f>
        <v>46035</v>
      </c>
      <c r="D15" s="334">
        <f ca="1">расчет!E273</f>
        <v>46413</v>
      </c>
      <c r="E15" s="335"/>
      <c r="F15" s="336"/>
      <c r="G15" s="336"/>
      <c r="H15" s="336"/>
      <c r="I15" s="336"/>
      <c r="J15" s="336"/>
      <c r="K15" s="336"/>
      <c r="L15" s="336"/>
      <c r="M15" s="336"/>
      <c r="N15" s="336"/>
      <c r="O15" s="336"/>
      <c r="P15" s="336"/>
      <c r="Q15" s="336"/>
      <c r="R15" s="336"/>
      <c r="S15" s="336"/>
      <c r="T15" s="336"/>
      <c r="U15" s="336"/>
      <c r="V15" s="336"/>
      <c r="W15" s="336"/>
      <c r="X15" s="336"/>
      <c r="Y15" s="336"/>
      <c r="Z15" s="336"/>
      <c r="AA15" s="336"/>
      <c r="AB15" s="336"/>
      <c r="AC15" s="336"/>
      <c r="AD15" s="336"/>
      <c r="AE15" s="336"/>
      <c r="AF15" s="336"/>
      <c r="AG15" s="336"/>
      <c r="AH15" s="336"/>
      <c r="AI15" s="336"/>
      <c r="AJ15" s="336"/>
      <c r="AK15" s="336"/>
      <c r="AL15" s="336"/>
      <c r="AM15" s="336"/>
      <c r="AN15" s="336"/>
      <c r="AO15" s="336"/>
      <c r="AP15" s="336"/>
      <c r="AQ15" s="336"/>
      <c r="AR15" s="336"/>
      <c r="AS15" s="336"/>
      <c r="AT15" s="336"/>
      <c r="AU15" s="336"/>
      <c r="AV15" s="336"/>
      <c r="AW15" s="336"/>
      <c r="AX15" s="336"/>
      <c r="AY15" s="336"/>
      <c r="AZ15" s="336"/>
      <c r="BA15" s="336"/>
      <c r="BB15" s="336"/>
      <c r="BC15" s="336"/>
      <c r="BD15" s="336"/>
      <c r="BE15" s="336"/>
      <c r="BF15" s="336"/>
      <c r="BG15" s="336"/>
      <c r="BH15" s="336"/>
      <c r="BI15" s="336"/>
      <c r="BJ15" s="336"/>
      <c r="BK15" s="336"/>
      <c r="BL15" s="336"/>
      <c r="BM15" s="336"/>
      <c r="BN15" s="336"/>
      <c r="BO15" s="336"/>
      <c r="BP15" s="336"/>
      <c r="BQ15" s="336"/>
      <c r="BR15" s="336"/>
      <c r="BS15" s="336"/>
      <c r="BT15" s="336"/>
      <c r="BU15" s="336"/>
      <c r="BV15" s="336"/>
      <c r="BW15" s="336"/>
      <c r="BX15" s="336"/>
      <c r="BY15" s="336"/>
      <c r="BZ15" s="336"/>
      <c r="CA15" s="336"/>
      <c r="CB15" s="336"/>
      <c r="CC15" s="336"/>
      <c r="CD15" s="336"/>
      <c r="CE15" s="336"/>
      <c r="CF15" s="336"/>
      <c r="CG15" s="336"/>
      <c r="CH15" s="336"/>
      <c r="CI15" s="336"/>
      <c r="CJ15" s="336"/>
      <c r="CK15" s="336"/>
      <c r="CL15" s="336"/>
      <c r="CM15" s="336"/>
      <c r="CN15" s="336"/>
      <c r="CO15" s="336"/>
      <c r="CP15" s="336"/>
      <c r="CQ15" s="336"/>
      <c r="CR15" s="336"/>
      <c r="CS15" s="336"/>
      <c r="CT15" s="336"/>
      <c r="CU15" s="336"/>
      <c r="CV15" s="336"/>
      <c r="CW15" s="336"/>
      <c r="CX15" s="336"/>
      <c r="CY15" s="336"/>
      <c r="CZ15" s="336"/>
      <c r="DA15" s="336"/>
      <c r="DB15" s="336"/>
      <c r="DC15" s="336"/>
      <c r="DD15" s="336"/>
      <c r="DE15" s="336"/>
      <c r="DF15" s="336"/>
      <c r="DG15" s="336"/>
      <c r="DH15" s="336"/>
      <c r="DI15" s="336"/>
      <c r="DJ15" s="336"/>
      <c r="DK15" s="336"/>
      <c r="DL15" s="336"/>
      <c r="DM15" s="336"/>
      <c r="DN15" s="336"/>
      <c r="DO15" s="336"/>
      <c r="DP15" s="336"/>
      <c r="DQ15" s="336"/>
      <c r="DR15" s="336"/>
      <c r="DS15" s="336"/>
      <c r="DT15" s="336"/>
      <c r="DU15" s="336"/>
      <c r="DV15" s="336"/>
      <c r="DW15" s="336"/>
      <c r="DX15" s="336"/>
      <c r="DY15" s="336"/>
      <c r="DZ15" s="336"/>
      <c r="EA15" s="336"/>
      <c r="EB15" s="336"/>
      <c r="EC15" s="336"/>
      <c r="ED15" s="336"/>
      <c r="EE15" s="336"/>
      <c r="EF15" s="336"/>
      <c r="EG15" s="336"/>
      <c r="EH15" s="336"/>
    </row>
    <row r="16" spans="1:138" s="332" customFormat="1">
      <c r="A16" s="341" t="s">
        <v>1081</v>
      </c>
      <c r="B16" s="431"/>
      <c r="C16" s="334">
        <f ca="1">IF(расчет!E289=0,"",расчет!E292)</f>
        <v>46035</v>
      </c>
      <c r="D16" s="342">
        <f ca="1">IF(расчет!E289=0,"",расчет!E293)</f>
        <v>46107</v>
      </c>
      <c r="E16" s="335"/>
      <c r="F16" s="336"/>
      <c r="G16" s="336"/>
      <c r="H16" s="336"/>
      <c r="I16" s="336"/>
      <c r="J16" s="336"/>
      <c r="K16" s="336"/>
      <c r="L16" s="336"/>
      <c r="M16" s="336"/>
      <c r="N16" s="336"/>
      <c r="O16" s="336"/>
      <c r="P16" s="336"/>
      <c r="Q16" s="336"/>
      <c r="R16" s="336"/>
      <c r="S16" s="336"/>
      <c r="T16" s="336"/>
      <c r="U16" s="336"/>
      <c r="V16" s="336"/>
      <c r="W16" s="336"/>
      <c r="X16" s="336"/>
      <c r="Y16" s="336"/>
      <c r="Z16" s="336"/>
      <c r="AA16" s="336"/>
      <c r="AB16" s="336"/>
      <c r="AC16" s="336"/>
      <c r="AD16" s="336"/>
      <c r="AE16" s="336"/>
      <c r="AF16" s="336"/>
      <c r="AG16" s="336"/>
      <c r="AH16" s="336"/>
      <c r="AI16" s="336"/>
      <c r="AJ16" s="336"/>
      <c r="AK16" s="336"/>
      <c r="AL16" s="336"/>
      <c r="AM16" s="336"/>
      <c r="AN16" s="336"/>
      <c r="AO16" s="336"/>
      <c r="AP16" s="336"/>
      <c r="AQ16" s="336"/>
      <c r="AR16" s="336"/>
      <c r="AS16" s="336"/>
      <c r="AT16" s="336"/>
      <c r="AU16" s="336"/>
      <c r="AV16" s="336"/>
      <c r="AW16" s="336"/>
      <c r="AX16" s="336"/>
      <c r="AY16" s="336"/>
      <c r="AZ16" s="336"/>
      <c r="BA16" s="336"/>
      <c r="BB16" s="336"/>
      <c r="BC16" s="336"/>
      <c r="BD16" s="336"/>
      <c r="BE16" s="336"/>
      <c r="BF16" s="336"/>
      <c r="BG16" s="336"/>
      <c r="BH16" s="336"/>
      <c r="BI16" s="336"/>
      <c r="BJ16" s="336"/>
      <c r="BK16" s="336"/>
      <c r="BL16" s="336"/>
      <c r="BM16" s="336"/>
      <c r="BN16" s="336"/>
      <c r="BO16" s="336"/>
      <c r="BP16" s="336"/>
      <c r="BQ16" s="336"/>
      <c r="BR16" s="336"/>
      <c r="BS16" s="336"/>
      <c r="BT16" s="336"/>
      <c r="BU16" s="336"/>
      <c r="BV16" s="336"/>
      <c r="BW16" s="336"/>
      <c r="BX16" s="336"/>
      <c r="BY16" s="336"/>
      <c r="BZ16" s="336"/>
      <c r="CA16" s="336"/>
      <c r="CB16" s="336"/>
      <c r="CC16" s="336"/>
      <c r="CD16" s="336"/>
      <c r="CE16" s="336"/>
      <c r="CF16" s="336"/>
      <c r="CG16" s="336"/>
      <c r="CH16" s="336"/>
      <c r="CI16" s="336"/>
      <c r="CJ16" s="336"/>
      <c r="CK16" s="336"/>
      <c r="CL16" s="336"/>
      <c r="CM16" s="336"/>
      <c r="CN16" s="336"/>
      <c r="CO16" s="336"/>
      <c r="CP16" s="336"/>
      <c r="CQ16" s="336"/>
      <c r="CR16" s="336"/>
      <c r="CS16" s="336"/>
      <c r="CT16" s="336"/>
      <c r="CU16" s="336"/>
      <c r="CV16" s="336"/>
      <c r="CW16" s="336"/>
      <c r="CX16" s="336"/>
      <c r="CY16" s="336"/>
      <c r="CZ16" s="336"/>
      <c r="DA16" s="336"/>
      <c r="DB16" s="336"/>
      <c r="DC16" s="336"/>
      <c r="DD16" s="336"/>
      <c r="DE16" s="336"/>
      <c r="DF16" s="336"/>
      <c r="DG16" s="336"/>
      <c r="DH16" s="336"/>
      <c r="DI16" s="336"/>
      <c r="DJ16" s="336"/>
      <c r="DK16" s="336"/>
      <c r="DL16" s="336"/>
      <c r="DM16" s="336"/>
      <c r="DN16" s="336"/>
      <c r="DO16" s="336"/>
      <c r="DP16" s="336"/>
      <c r="DQ16" s="336"/>
      <c r="DR16" s="336"/>
      <c r="DS16" s="336"/>
      <c r="DT16" s="336"/>
      <c r="DU16" s="336"/>
      <c r="DV16" s="336"/>
      <c r="DW16" s="336"/>
      <c r="DX16" s="336"/>
      <c r="DY16" s="336"/>
      <c r="DZ16" s="336"/>
      <c r="EA16" s="336"/>
      <c r="EB16" s="336"/>
      <c r="EC16" s="336"/>
      <c r="ED16" s="336"/>
      <c r="EE16" s="336"/>
      <c r="EF16" s="336"/>
      <c r="EG16" s="336"/>
      <c r="EH16" s="336"/>
    </row>
    <row r="17" spans="1:138" s="332" customFormat="1">
      <c r="A17" s="340" t="s">
        <v>15</v>
      </c>
      <c r="B17" s="433"/>
      <c r="C17" s="334">
        <f ca="1">IF(SUM(расчет!E274+расчет!E279+расчет!E284+расчет!E294)=0,"",MIN(расчет!E277,расчет!E282,расчет!E287,расчет!E297))</f>
        <v>46414</v>
      </c>
      <c r="D17" s="342">
        <f ca="1">IF(SUM(расчет!E274+расчет!E279+расчет!E284+расчет!E294)=0,"",MAX(расчет!E278,расчет!E283,расчет!E288,расчет!E298))</f>
        <v>46528</v>
      </c>
      <c r="E17" s="335"/>
      <c r="F17" s="336"/>
      <c r="G17" s="336"/>
      <c r="H17" s="336"/>
      <c r="I17" s="336"/>
      <c r="J17" s="336"/>
      <c r="K17" s="336"/>
      <c r="L17" s="336"/>
      <c r="M17" s="336"/>
      <c r="N17" s="336"/>
      <c r="O17" s="336"/>
      <c r="P17" s="336"/>
      <c r="Q17" s="336"/>
      <c r="R17" s="336"/>
      <c r="S17" s="336"/>
      <c r="T17" s="336"/>
      <c r="U17" s="336"/>
      <c r="V17" s="336"/>
      <c r="W17" s="336"/>
      <c r="X17" s="336"/>
      <c r="Y17" s="336"/>
      <c r="Z17" s="336"/>
      <c r="AA17" s="336"/>
      <c r="AB17" s="336"/>
      <c r="AC17" s="336"/>
      <c r="AD17" s="336"/>
      <c r="AE17" s="336"/>
      <c r="AF17" s="336"/>
      <c r="AG17" s="336"/>
      <c r="AH17" s="336"/>
      <c r="AI17" s="336"/>
      <c r="AJ17" s="336"/>
      <c r="AK17" s="336"/>
      <c r="AL17" s="336"/>
      <c r="AM17" s="336"/>
      <c r="AN17" s="336"/>
      <c r="AO17" s="336"/>
      <c r="AP17" s="336"/>
      <c r="AQ17" s="336"/>
      <c r="AR17" s="336"/>
      <c r="AS17" s="336"/>
      <c r="AT17" s="336"/>
      <c r="AU17" s="336"/>
      <c r="AV17" s="336"/>
      <c r="AW17" s="336"/>
      <c r="AX17" s="336"/>
      <c r="AY17" s="336"/>
      <c r="AZ17" s="336"/>
      <c r="BA17" s="336"/>
      <c r="BB17" s="336"/>
      <c r="BC17" s="336"/>
      <c r="BD17" s="336"/>
      <c r="BE17" s="336"/>
      <c r="BF17" s="336"/>
      <c r="BG17" s="336"/>
      <c r="BH17" s="336"/>
      <c r="BI17" s="336"/>
      <c r="BJ17" s="336"/>
      <c r="BK17" s="336"/>
      <c r="BL17" s="336"/>
      <c r="BM17" s="336"/>
      <c r="BN17" s="336"/>
      <c r="BO17" s="336"/>
      <c r="BP17" s="336"/>
      <c r="BQ17" s="336"/>
      <c r="BR17" s="336"/>
      <c r="BS17" s="336"/>
      <c r="BT17" s="336"/>
      <c r="BU17" s="336"/>
      <c r="BV17" s="336"/>
      <c r="BW17" s="336"/>
      <c r="BX17" s="336"/>
      <c r="BY17" s="336"/>
      <c r="BZ17" s="336"/>
      <c r="CA17" s="336"/>
      <c r="CB17" s="336"/>
      <c r="CC17" s="336"/>
      <c r="CD17" s="336"/>
      <c r="CE17" s="336"/>
      <c r="CF17" s="336"/>
      <c r="CG17" s="336"/>
      <c r="CH17" s="336"/>
      <c r="CI17" s="336"/>
      <c r="CJ17" s="336"/>
      <c r="CK17" s="336"/>
      <c r="CL17" s="336"/>
      <c r="CM17" s="336"/>
      <c r="CN17" s="336"/>
      <c r="CO17" s="336"/>
      <c r="CP17" s="336"/>
      <c r="CQ17" s="336"/>
      <c r="CR17" s="336"/>
      <c r="CS17" s="336"/>
      <c r="CT17" s="336"/>
      <c r="CU17" s="336"/>
      <c r="CV17" s="336"/>
      <c r="CW17" s="336"/>
      <c r="CX17" s="336"/>
      <c r="CY17" s="336"/>
      <c r="CZ17" s="336"/>
      <c r="DA17" s="336"/>
      <c r="DB17" s="336"/>
      <c r="DC17" s="336"/>
      <c r="DD17" s="336"/>
      <c r="DE17" s="336"/>
      <c r="DF17" s="336"/>
      <c r="DG17" s="336"/>
      <c r="DH17" s="336"/>
      <c r="DI17" s="336"/>
      <c r="DJ17" s="336"/>
      <c r="DK17" s="336"/>
      <c r="DL17" s="336"/>
      <c r="DM17" s="336"/>
      <c r="DN17" s="336"/>
      <c r="DO17" s="336"/>
      <c r="DP17" s="336"/>
      <c r="DQ17" s="336"/>
      <c r="DR17" s="336"/>
      <c r="DS17" s="336"/>
      <c r="DT17" s="336"/>
      <c r="DU17" s="336"/>
      <c r="DV17" s="336"/>
      <c r="DW17" s="336"/>
      <c r="DX17" s="336"/>
      <c r="DY17" s="336"/>
      <c r="DZ17" s="336"/>
      <c r="EA17" s="336"/>
      <c r="EB17" s="336"/>
      <c r="EC17" s="336"/>
      <c r="ED17" s="336"/>
      <c r="EE17" s="336"/>
      <c r="EF17" s="336"/>
      <c r="EG17" s="336"/>
      <c r="EH17" s="336"/>
    </row>
    <row r="18" spans="1:138" s="332" customFormat="1" hidden="1" outlineLevel="1">
      <c r="A18" s="434" t="s">
        <v>1813</v>
      </c>
      <c r="B18" s="430"/>
    </row>
    <row r="19" spans="1:138" s="332" customFormat="1" hidden="1" outlineLevel="1">
      <c r="A19" s="434" t="s">
        <v>1814</v>
      </c>
      <c r="B19" s="430"/>
    </row>
    <row r="20" spans="1:138" s="332" customFormat="1" hidden="1" outlineLevel="1">
      <c r="A20" s="434" t="s">
        <v>742</v>
      </c>
      <c r="B20" s="430"/>
    </row>
    <row r="21" spans="1:138" s="332" customFormat="1" hidden="1" outlineLevel="1">
      <c r="A21" s="434" t="s">
        <v>743</v>
      </c>
      <c r="B21" s="430"/>
    </row>
    <row r="22" spans="1:138" s="332" customFormat="1" collapsed="1">
      <c r="A22" s="340" t="s">
        <v>28</v>
      </c>
      <c r="B22" s="430"/>
      <c r="C22" s="334">
        <f ca="1">расчет!E302</f>
        <v>46148.7</v>
      </c>
      <c r="D22" s="334">
        <f ca="1">расчет!E303</f>
        <v>46716.7</v>
      </c>
      <c r="E22" s="335"/>
      <c r="F22" s="336"/>
      <c r="G22" s="336"/>
      <c r="H22" s="336"/>
      <c r="I22" s="336"/>
      <c r="J22" s="336"/>
      <c r="K22" s="336"/>
      <c r="L22" s="336"/>
      <c r="M22" s="336"/>
      <c r="N22" s="336"/>
      <c r="O22" s="336"/>
      <c r="P22" s="336"/>
      <c r="Q22" s="336"/>
      <c r="R22" s="336"/>
      <c r="S22" s="336"/>
      <c r="T22" s="336"/>
      <c r="U22" s="336"/>
      <c r="V22" s="336"/>
      <c r="W22" s="336"/>
      <c r="X22" s="336"/>
      <c r="Y22" s="336"/>
      <c r="Z22" s="336"/>
      <c r="AA22" s="336"/>
      <c r="AB22" s="336"/>
      <c r="AC22" s="336"/>
      <c r="AD22" s="336"/>
      <c r="AE22" s="336"/>
      <c r="AF22" s="336"/>
      <c r="AG22" s="336"/>
      <c r="AH22" s="336"/>
      <c r="AI22" s="336"/>
      <c r="AJ22" s="336"/>
      <c r="AK22" s="336"/>
      <c r="AL22" s="336"/>
      <c r="AM22" s="336"/>
      <c r="AN22" s="336"/>
      <c r="AO22" s="336"/>
      <c r="AP22" s="336"/>
      <c r="AQ22" s="336"/>
      <c r="AR22" s="336"/>
      <c r="AS22" s="336"/>
      <c r="AT22" s="336"/>
      <c r="AU22" s="336"/>
      <c r="AV22" s="336"/>
      <c r="AW22" s="336"/>
      <c r="AX22" s="336"/>
      <c r="AY22" s="336"/>
      <c r="AZ22" s="336"/>
      <c r="BA22" s="336"/>
      <c r="BB22" s="336"/>
      <c r="BC22" s="336"/>
      <c r="BD22" s="336"/>
      <c r="BE22" s="336"/>
      <c r="BF22" s="336"/>
      <c r="BG22" s="336"/>
      <c r="BH22" s="336"/>
      <c r="BI22" s="336"/>
      <c r="BJ22" s="336"/>
      <c r="BK22" s="336"/>
      <c r="BL22" s="336"/>
      <c r="BM22" s="336"/>
      <c r="BN22" s="336"/>
      <c r="BO22" s="336"/>
      <c r="BP22" s="336"/>
      <c r="BQ22" s="336"/>
      <c r="BR22" s="336"/>
      <c r="BS22" s="336"/>
      <c r="BT22" s="336"/>
      <c r="BU22" s="336"/>
      <c r="BV22" s="336"/>
      <c r="BW22" s="336"/>
      <c r="BX22" s="336"/>
      <c r="BY22" s="336"/>
      <c r="BZ22" s="336"/>
      <c r="CA22" s="336"/>
      <c r="CB22" s="336"/>
      <c r="CC22" s="336"/>
      <c r="CD22" s="336"/>
      <c r="CE22" s="336"/>
      <c r="CF22" s="336"/>
      <c r="CG22" s="336"/>
      <c r="CH22" s="336"/>
      <c r="CI22" s="336"/>
      <c r="CJ22" s="336"/>
      <c r="CK22" s="336"/>
      <c r="CL22" s="336"/>
      <c r="CM22" s="336"/>
      <c r="CN22" s="336"/>
      <c r="CO22" s="336"/>
      <c r="CP22" s="336"/>
      <c r="CQ22" s="336"/>
      <c r="CR22" s="336"/>
      <c r="CS22" s="336"/>
      <c r="CT22" s="336"/>
      <c r="CU22" s="336"/>
      <c r="CV22" s="336"/>
      <c r="CW22" s="336"/>
      <c r="CX22" s="336"/>
      <c r="CY22" s="336"/>
      <c r="CZ22" s="336"/>
      <c r="DA22" s="336"/>
      <c r="DB22" s="336"/>
      <c r="DC22" s="336"/>
      <c r="DD22" s="336"/>
      <c r="DE22" s="336"/>
      <c r="DF22" s="336"/>
      <c r="DG22" s="336"/>
      <c r="DH22" s="336"/>
      <c r="DI22" s="336"/>
      <c r="DJ22" s="336"/>
      <c r="DK22" s="336"/>
      <c r="DL22" s="336"/>
      <c r="DM22" s="336"/>
      <c r="DN22" s="336"/>
      <c r="DO22" s="336"/>
      <c r="DP22" s="336"/>
      <c r="DQ22" s="336"/>
      <c r="DR22" s="336"/>
      <c r="DS22" s="336"/>
      <c r="DT22" s="336"/>
      <c r="DU22" s="336"/>
      <c r="DV22" s="336"/>
      <c r="DW22" s="336"/>
      <c r="DX22" s="336"/>
      <c r="DY22" s="336"/>
      <c r="DZ22" s="336"/>
      <c r="EA22" s="336"/>
      <c r="EB22" s="336"/>
      <c r="EC22" s="336"/>
      <c r="ED22" s="336"/>
      <c r="EE22" s="336"/>
      <c r="EF22" s="336"/>
      <c r="EG22" s="336"/>
      <c r="EH22" s="336"/>
    </row>
    <row r="23" spans="1:138" s="332" customFormat="1">
      <c r="A23" s="340" t="s">
        <v>80</v>
      </c>
      <c r="B23" s="430"/>
      <c r="C23" s="334">
        <f ca="1">IF(расчет!E304=0,"",расчет!E307)</f>
        <v>46148.7</v>
      </c>
      <c r="D23" s="334">
        <f ca="1">IF(расчет!E304=0,"",расчет!E308)</f>
        <v>46607.7</v>
      </c>
      <c r="E23" s="335"/>
      <c r="F23" s="336"/>
      <c r="G23" s="336"/>
      <c r="H23" s="336"/>
      <c r="I23" s="336"/>
      <c r="J23" s="336"/>
      <c r="K23" s="336"/>
      <c r="L23" s="336"/>
      <c r="M23" s="336"/>
      <c r="N23" s="336"/>
      <c r="O23" s="336"/>
      <c r="P23" s="336"/>
      <c r="Q23" s="336"/>
      <c r="R23" s="336"/>
      <c r="S23" s="336"/>
      <c r="T23" s="336"/>
      <c r="U23" s="336"/>
      <c r="V23" s="336"/>
      <c r="W23" s="336"/>
      <c r="X23" s="336"/>
      <c r="Y23" s="336"/>
      <c r="Z23" s="336"/>
      <c r="AA23" s="336"/>
      <c r="AB23" s="336"/>
      <c r="AC23" s="336"/>
      <c r="AD23" s="336"/>
      <c r="AE23" s="336"/>
      <c r="AF23" s="336"/>
      <c r="AG23" s="336"/>
      <c r="AH23" s="336"/>
      <c r="AI23" s="336"/>
      <c r="AJ23" s="336"/>
      <c r="AK23" s="336"/>
      <c r="AL23" s="336"/>
      <c r="AM23" s="336"/>
      <c r="AN23" s="336"/>
      <c r="AO23" s="336"/>
      <c r="AP23" s="336"/>
      <c r="AQ23" s="336"/>
      <c r="AR23" s="336"/>
      <c r="AS23" s="336"/>
      <c r="AT23" s="336"/>
      <c r="AU23" s="336"/>
      <c r="AV23" s="336"/>
      <c r="AW23" s="336"/>
      <c r="AX23" s="336"/>
      <c r="AY23" s="336"/>
      <c r="AZ23" s="336"/>
      <c r="BA23" s="336"/>
      <c r="BB23" s="336"/>
      <c r="BC23" s="336"/>
      <c r="BD23" s="336"/>
      <c r="BE23" s="336"/>
      <c r="BF23" s="336"/>
      <c r="BG23" s="336"/>
      <c r="BH23" s="336"/>
      <c r="BI23" s="336"/>
      <c r="BJ23" s="336"/>
      <c r="BK23" s="336"/>
      <c r="BL23" s="336"/>
      <c r="BM23" s="336"/>
      <c r="BN23" s="336"/>
      <c r="BO23" s="336"/>
      <c r="BP23" s="336"/>
      <c r="BQ23" s="336"/>
      <c r="BR23" s="336"/>
      <c r="BS23" s="336"/>
      <c r="BT23" s="336"/>
      <c r="BU23" s="336"/>
      <c r="BV23" s="336"/>
      <c r="BW23" s="336"/>
      <c r="BX23" s="336"/>
      <c r="BY23" s="336"/>
      <c r="BZ23" s="336"/>
      <c r="CA23" s="336"/>
      <c r="CB23" s="336"/>
      <c r="CC23" s="336"/>
      <c r="CD23" s="336"/>
      <c r="CE23" s="336"/>
      <c r="CF23" s="336"/>
      <c r="CG23" s="336"/>
      <c r="CH23" s="336"/>
      <c r="CI23" s="336"/>
      <c r="CJ23" s="336"/>
      <c r="CK23" s="336"/>
      <c r="CL23" s="336"/>
      <c r="CM23" s="336"/>
      <c r="CN23" s="336"/>
      <c r="CO23" s="336"/>
      <c r="CP23" s="336"/>
      <c r="CQ23" s="336"/>
      <c r="CR23" s="336"/>
      <c r="CS23" s="336"/>
      <c r="CT23" s="336"/>
      <c r="CU23" s="336"/>
      <c r="CV23" s="336"/>
      <c r="CW23" s="336"/>
      <c r="CX23" s="336"/>
      <c r="CY23" s="336"/>
      <c r="CZ23" s="336"/>
      <c r="DA23" s="336"/>
      <c r="DB23" s="336"/>
      <c r="DC23" s="336"/>
      <c r="DD23" s="336"/>
      <c r="DE23" s="336"/>
      <c r="DF23" s="336"/>
      <c r="DG23" s="336"/>
      <c r="DH23" s="336"/>
      <c r="DI23" s="336"/>
      <c r="DJ23" s="336"/>
      <c r="DK23" s="336"/>
      <c r="DL23" s="336"/>
      <c r="DM23" s="336"/>
      <c r="DN23" s="336"/>
      <c r="DO23" s="336"/>
      <c r="DP23" s="336"/>
      <c r="DQ23" s="336"/>
      <c r="DR23" s="336"/>
      <c r="DS23" s="336"/>
      <c r="DT23" s="336"/>
      <c r="DU23" s="336"/>
      <c r="DV23" s="336"/>
      <c r="DW23" s="336"/>
      <c r="DX23" s="336"/>
      <c r="DY23" s="336"/>
      <c r="DZ23" s="336"/>
      <c r="EA23" s="336"/>
      <c r="EB23" s="336"/>
      <c r="EC23" s="336"/>
      <c r="ED23" s="336"/>
      <c r="EE23" s="336"/>
      <c r="EF23" s="336"/>
      <c r="EG23" s="336"/>
      <c r="EH23" s="336"/>
    </row>
    <row r="24" spans="1:138" s="332" customFormat="1">
      <c r="A24" s="341" t="s">
        <v>87</v>
      </c>
      <c r="B24" s="431"/>
      <c r="C24" s="334">
        <f ca="1">IF(расчет!E309=0,"",расчет!E312)</f>
        <v>46414</v>
      </c>
      <c r="D24" s="334">
        <f ca="1">IF(расчет!E309=0,"",расчет!E313)</f>
        <v>46515</v>
      </c>
      <c r="E24" s="335"/>
      <c r="F24" s="336"/>
      <c r="G24" s="336"/>
      <c r="H24" s="336"/>
      <c r="I24" s="336"/>
      <c r="J24" s="336"/>
      <c r="K24" s="336"/>
      <c r="L24" s="336"/>
      <c r="M24" s="336"/>
      <c r="N24" s="336"/>
      <c r="O24" s="336"/>
      <c r="P24" s="336"/>
      <c r="Q24" s="336"/>
      <c r="R24" s="336"/>
      <c r="S24" s="336"/>
      <c r="T24" s="336"/>
      <c r="U24" s="336"/>
      <c r="V24" s="336"/>
      <c r="W24" s="336"/>
      <c r="X24" s="336"/>
      <c r="Y24" s="336"/>
      <c r="Z24" s="336"/>
      <c r="AA24" s="336"/>
      <c r="AB24" s="336"/>
      <c r="AC24" s="336"/>
      <c r="AD24" s="336"/>
      <c r="AE24" s="336"/>
      <c r="AF24" s="336"/>
      <c r="AG24" s="336"/>
      <c r="AH24" s="336"/>
      <c r="AI24" s="336"/>
      <c r="AJ24" s="336"/>
      <c r="AK24" s="336"/>
      <c r="AL24" s="336"/>
      <c r="AM24" s="336"/>
      <c r="AN24" s="336"/>
      <c r="AO24" s="336"/>
      <c r="AP24" s="336"/>
      <c r="AQ24" s="336"/>
      <c r="AR24" s="336"/>
      <c r="AS24" s="336"/>
      <c r="AT24" s="336"/>
      <c r="AU24" s="336"/>
      <c r="AV24" s="336"/>
      <c r="AW24" s="336"/>
      <c r="AX24" s="336"/>
      <c r="AY24" s="336"/>
      <c r="AZ24" s="336"/>
      <c r="BA24" s="336"/>
      <c r="BB24" s="336"/>
      <c r="BC24" s="336"/>
      <c r="BD24" s="336"/>
      <c r="BE24" s="336"/>
      <c r="BF24" s="336"/>
      <c r="BG24" s="336"/>
      <c r="BH24" s="336"/>
      <c r="BI24" s="336"/>
      <c r="BJ24" s="336"/>
      <c r="BK24" s="336"/>
      <c r="BL24" s="336"/>
      <c r="BM24" s="336"/>
      <c r="BN24" s="336"/>
      <c r="BO24" s="336"/>
      <c r="BP24" s="336"/>
      <c r="BQ24" s="336"/>
      <c r="BR24" s="336"/>
      <c r="BS24" s="336"/>
      <c r="BT24" s="336"/>
      <c r="BU24" s="336"/>
      <c r="BV24" s="336"/>
      <c r="BW24" s="336"/>
      <c r="BX24" s="336"/>
      <c r="BY24" s="336"/>
      <c r="BZ24" s="336"/>
      <c r="CA24" s="336"/>
      <c r="CB24" s="336"/>
      <c r="CC24" s="336"/>
      <c r="CD24" s="336"/>
      <c r="CE24" s="336"/>
      <c r="CF24" s="336"/>
      <c r="CG24" s="336"/>
      <c r="CH24" s="336"/>
      <c r="CI24" s="336"/>
      <c r="CJ24" s="336"/>
      <c r="CK24" s="336"/>
      <c r="CL24" s="336"/>
      <c r="CM24" s="336"/>
      <c r="CN24" s="336"/>
      <c r="CO24" s="336"/>
      <c r="CP24" s="336"/>
      <c r="CQ24" s="336"/>
      <c r="CR24" s="336"/>
      <c r="CS24" s="336"/>
      <c r="CT24" s="336"/>
      <c r="CU24" s="336"/>
      <c r="CV24" s="336"/>
      <c r="CW24" s="336"/>
      <c r="CX24" s="336"/>
      <c r="CY24" s="336"/>
      <c r="CZ24" s="336"/>
      <c r="DA24" s="336"/>
      <c r="DB24" s="336"/>
      <c r="DC24" s="336"/>
      <c r="DD24" s="336"/>
      <c r="DE24" s="336"/>
      <c r="DF24" s="336"/>
      <c r="DG24" s="336"/>
      <c r="DH24" s="336"/>
      <c r="DI24" s="336"/>
      <c r="DJ24" s="336"/>
      <c r="DK24" s="336"/>
      <c r="DL24" s="336"/>
      <c r="DM24" s="336"/>
      <c r="DN24" s="336"/>
      <c r="DO24" s="336"/>
      <c r="DP24" s="336"/>
      <c r="DQ24" s="336"/>
      <c r="DR24" s="336"/>
      <c r="DS24" s="336"/>
      <c r="DT24" s="336"/>
      <c r="DU24" s="336"/>
      <c r="DV24" s="336"/>
      <c r="DW24" s="336"/>
      <c r="DX24" s="336"/>
      <c r="DY24" s="336"/>
      <c r="DZ24" s="336"/>
      <c r="EA24" s="336"/>
      <c r="EB24" s="336"/>
      <c r="EC24" s="336"/>
      <c r="ED24" s="336"/>
      <c r="EE24" s="336"/>
      <c r="EF24" s="336"/>
      <c r="EG24" s="336"/>
      <c r="EH24" s="336"/>
    </row>
    <row r="25" spans="1:138" s="332" customFormat="1">
      <c r="A25" s="343" t="s">
        <v>92</v>
      </c>
      <c r="B25" s="433"/>
      <c r="C25" s="334">
        <f ca="1">IF(SUM(расчет!E314+расчет!E319+расчет!E324+расчет!E329+расчет!E334+расчет!E339)=0,"",MIN(расчет!E317,расчет!E322,расчет!E327,расчет!E332,расчет!E337,расчет!E342))</f>
        <v>46290.95</v>
      </c>
      <c r="D25" s="334">
        <f ca="1">IF(SUM(расчет!E314+расчет!E319+расчет!E324+расчет!E329+расчет!E334+расчет!E339)=0,"",MAX(расчет!E318,расчет!E323,расчет!E328,расчет!E333,расчет!E338,расчет!E343))</f>
        <v>46628.95</v>
      </c>
      <c r="E25" s="335"/>
      <c r="F25" s="336"/>
      <c r="G25" s="336"/>
      <c r="H25" s="336"/>
      <c r="I25" s="336"/>
      <c r="J25" s="336"/>
      <c r="K25" s="336"/>
      <c r="L25" s="336"/>
      <c r="M25" s="336"/>
      <c r="N25" s="336"/>
      <c r="O25" s="336"/>
      <c r="P25" s="336"/>
      <c r="Q25" s="336"/>
      <c r="R25" s="336"/>
      <c r="S25" s="336"/>
      <c r="T25" s="336"/>
      <c r="U25" s="336"/>
      <c r="V25" s="336"/>
      <c r="W25" s="336"/>
      <c r="X25" s="336"/>
      <c r="Y25" s="336"/>
      <c r="Z25" s="336"/>
      <c r="AA25" s="336"/>
      <c r="AB25" s="336"/>
      <c r="AC25" s="336"/>
      <c r="AD25" s="336"/>
      <c r="AE25" s="336"/>
      <c r="AF25" s="336"/>
      <c r="AG25" s="336"/>
      <c r="AH25" s="336"/>
      <c r="AI25" s="336"/>
      <c r="AJ25" s="336"/>
      <c r="AK25" s="336"/>
      <c r="AL25" s="336"/>
      <c r="AM25" s="336"/>
      <c r="AN25" s="336"/>
      <c r="AO25" s="336"/>
      <c r="AP25" s="336"/>
      <c r="AQ25" s="336"/>
      <c r="AR25" s="336"/>
      <c r="AS25" s="336"/>
      <c r="AT25" s="336"/>
      <c r="AU25" s="336"/>
      <c r="AV25" s="336"/>
      <c r="AW25" s="336"/>
      <c r="AX25" s="336"/>
      <c r="AY25" s="336"/>
      <c r="AZ25" s="336"/>
      <c r="BA25" s="336"/>
      <c r="BB25" s="336"/>
      <c r="BC25" s="336"/>
      <c r="BD25" s="336"/>
      <c r="BE25" s="336"/>
      <c r="BF25" s="336"/>
      <c r="BG25" s="336"/>
      <c r="BH25" s="336"/>
      <c r="BI25" s="336"/>
      <c r="BJ25" s="336"/>
      <c r="BK25" s="336"/>
      <c r="BL25" s="336"/>
      <c r="BM25" s="336"/>
      <c r="BN25" s="336"/>
      <c r="BO25" s="336"/>
      <c r="BP25" s="336"/>
      <c r="BQ25" s="336"/>
      <c r="BR25" s="336"/>
      <c r="BS25" s="336"/>
      <c r="BT25" s="336"/>
      <c r="BU25" s="336"/>
      <c r="BV25" s="336"/>
      <c r="BW25" s="336"/>
      <c r="BX25" s="336"/>
      <c r="BY25" s="336"/>
      <c r="BZ25" s="336"/>
      <c r="CA25" s="336"/>
      <c r="CB25" s="336"/>
      <c r="CC25" s="336"/>
      <c r="CD25" s="336"/>
      <c r="CE25" s="336"/>
      <c r="CF25" s="336"/>
      <c r="CG25" s="336"/>
      <c r="CH25" s="336"/>
      <c r="CI25" s="336"/>
      <c r="CJ25" s="336"/>
      <c r="CK25" s="336"/>
      <c r="CL25" s="336"/>
      <c r="CM25" s="336"/>
      <c r="CN25" s="336"/>
      <c r="CO25" s="336"/>
      <c r="CP25" s="336"/>
      <c r="CQ25" s="336"/>
      <c r="CR25" s="336"/>
      <c r="CS25" s="336"/>
      <c r="CT25" s="336"/>
      <c r="CU25" s="336"/>
      <c r="CV25" s="336"/>
      <c r="CW25" s="336"/>
      <c r="CX25" s="336"/>
      <c r="CY25" s="336"/>
      <c r="CZ25" s="336"/>
      <c r="DA25" s="336"/>
      <c r="DB25" s="336"/>
      <c r="DC25" s="336"/>
      <c r="DD25" s="336"/>
      <c r="DE25" s="336"/>
      <c r="DF25" s="336"/>
      <c r="DG25" s="336"/>
      <c r="DH25" s="336"/>
      <c r="DI25" s="336"/>
      <c r="DJ25" s="336"/>
      <c r="DK25" s="336"/>
      <c r="DL25" s="336"/>
      <c r="DM25" s="336"/>
      <c r="DN25" s="336"/>
      <c r="DO25" s="336"/>
      <c r="DP25" s="336"/>
      <c r="DQ25" s="336"/>
      <c r="DR25" s="336"/>
      <c r="DS25" s="336"/>
      <c r="DT25" s="336"/>
      <c r="DU25" s="336"/>
      <c r="DV25" s="336"/>
      <c r="DW25" s="336"/>
      <c r="DX25" s="336"/>
      <c r="DY25" s="336"/>
      <c r="DZ25" s="336"/>
      <c r="EA25" s="336"/>
      <c r="EB25" s="336"/>
      <c r="EC25" s="336"/>
      <c r="ED25" s="336"/>
      <c r="EE25" s="336"/>
      <c r="EF25" s="336"/>
      <c r="EG25" s="336"/>
      <c r="EH25" s="336"/>
    </row>
    <row r="26" spans="1:138" s="332" customFormat="1" hidden="1" outlineLevel="1">
      <c r="A26" s="434" t="s">
        <v>744</v>
      </c>
      <c r="B26" s="430"/>
    </row>
    <row r="27" spans="1:138" s="332" customFormat="1" hidden="1" outlineLevel="1">
      <c r="A27" s="434" t="s">
        <v>745</v>
      </c>
      <c r="B27" s="430"/>
    </row>
    <row r="28" spans="1:138" s="332" customFormat="1" hidden="1" outlineLevel="1">
      <c r="A28" s="434" t="s">
        <v>746</v>
      </c>
      <c r="B28" s="430"/>
    </row>
    <row r="29" spans="1:138" s="332" customFormat="1" hidden="1" outlineLevel="1">
      <c r="A29" s="434" t="s">
        <v>747</v>
      </c>
      <c r="B29" s="430"/>
    </row>
    <row r="30" spans="1:138" s="332" customFormat="1" hidden="1" outlineLevel="1">
      <c r="A30" s="434" t="s">
        <v>748</v>
      </c>
      <c r="B30" s="430"/>
    </row>
    <row r="31" spans="1:138" s="332" customFormat="1" hidden="1" outlineLevel="1">
      <c r="A31" s="434" t="s">
        <v>749</v>
      </c>
      <c r="B31" s="430"/>
    </row>
    <row r="32" spans="1:138" s="332" customFormat="1" collapsed="1">
      <c r="A32" s="343" t="s">
        <v>98</v>
      </c>
      <c r="B32" s="432"/>
      <c r="C32" s="334">
        <f ca="1">расчет!E348</f>
        <v>46510.7</v>
      </c>
      <c r="D32" s="334">
        <f ca="1">расчет!E349</f>
        <v>46569.7</v>
      </c>
      <c r="E32" s="335"/>
      <c r="F32" s="336"/>
      <c r="G32" s="336"/>
      <c r="H32" s="336"/>
      <c r="I32" s="336"/>
      <c r="J32" s="336"/>
      <c r="K32" s="336"/>
      <c r="L32" s="336"/>
      <c r="M32" s="336"/>
      <c r="N32" s="336"/>
      <c r="O32" s="336"/>
      <c r="P32" s="336"/>
      <c r="Q32" s="336"/>
      <c r="R32" s="336"/>
      <c r="S32" s="336"/>
      <c r="T32" s="336"/>
      <c r="U32" s="336"/>
      <c r="V32" s="336"/>
      <c r="W32" s="336"/>
      <c r="X32" s="336"/>
      <c r="Y32" s="336"/>
      <c r="Z32" s="336"/>
      <c r="AA32" s="336"/>
      <c r="AB32" s="336"/>
      <c r="AC32" s="336"/>
      <c r="AD32" s="336"/>
      <c r="AE32" s="336"/>
      <c r="AF32" s="336"/>
      <c r="AG32" s="336"/>
      <c r="AH32" s="336"/>
      <c r="AI32" s="336"/>
      <c r="AJ32" s="336"/>
      <c r="AK32" s="336"/>
      <c r="AL32" s="336"/>
      <c r="AM32" s="336"/>
      <c r="AN32" s="336"/>
      <c r="AO32" s="336"/>
      <c r="AP32" s="336"/>
      <c r="AQ32" s="336"/>
      <c r="AR32" s="336"/>
      <c r="AS32" s="336"/>
      <c r="AT32" s="336"/>
      <c r="AU32" s="336"/>
      <c r="AV32" s="336"/>
      <c r="AW32" s="336"/>
      <c r="AX32" s="336"/>
      <c r="AY32" s="336"/>
      <c r="AZ32" s="336"/>
      <c r="BA32" s="336"/>
      <c r="BB32" s="336"/>
      <c r="BC32" s="336"/>
      <c r="BD32" s="336"/>
      <c r="BE32" s="336"/>
      <c r="BF32" s="336"/>
      <c r="BG32" s="336"/>
      <c r="BH32" s="336"/>
      <c r="BI32" s="336"/>
      <c r="BJ32" s="336"/>
      <c r="BK32" s="336"/>
      <c r="BL32" s="336"/>
      <c r="BM32" s="336"/>
      <c r="BN32" s="336"/>
      <c r="BO32" s="336"/>
      <c r="BP32" s="336"/>
      <c r="BQ32" s="336"/>
      <c r="BR32" s="336"/>
      <c r="BS32" s="336"/>
      <c r="BT32" s="336"/>
      <c r="BU32" s="336"/>
      <c r="BV32" s="336"/>
      <c r="BW32" s="336"/>
      <c r="BX32" s="336"/>
      <c r="BY32" s="336"/>
      <c r="BZ32" s="336"/>
      <c r="CA32" s="336"/>
      <c r="CB32" s="336"/>
      <c r="CC32" s="336"/>
      <c r="CD32" s="336"/>
      <c r="CE32" s="336"/>
      <c r="CF32" s="336"/>
      <c r="CG32" s="336"/>
      <c r="CH32" s="336"/>
      <c r="CI32" s="336"/>
      <c r="CJ32" s="336"/>
      <c r="CK32" s="336"/>
      <c r="CL32" s="336"/>
      <c r="CM32" s="336"/>
      <c r="CN32" s="336"/>
      <c r="CO32" s="336"/>
      <c r="CP32" s="336"/>
      <c r="CQ32" s="336"/>
      <c r="CR32" s="336"/>
      <c r="CS32" s="336"/>
      <c r="CT32" s="336"/>
      <c r="CU32" s="336"/>
      <c r="CV32" s="336"/>
      <c r="CW32" s="336"/>
      <c r="CX32" s="336"/>
      <c r="CY32" s="336"/>
      <c r="CZ32" s="336"/>
      <c r="DA32" s="336"/>
      <c r="DB32" s="336"/>
      <c r="DC32" s="336"/>
      <c r="DD32" s="336"/>
      <c r="DE32" s="336"/>
      <c r="DF32" s="336"/>
      <c r="DG32" s="336"/>
      <c r="DH32" s="336"/>
      <c r="DI32" s="336"/>
      <c r="DJ32" s="336"/>
      <c r="DK32" s="336"/>
      <c r="DL32" s="336"/>
      <c r="DM32" s="336"/>
      <c r="DN32" s="336"/>
      <c r="DO32" s="336"/>
      <c r="DP32" s="336"/>
      <c r="DQ32" s="336"/>
      <c r="DR32" s="336"/>
      <c r="DS32" s="336"/>
      <c r="DT32" s="336"/>
      <c r="DU32" s="336"/>
      <c r="DV32" s="336"/>
      <c r="DW32" s="336"/>
      <c r="DX32" s="336"/>
      <c r="DY32" s="336"/>
      <c r="DZ32" s="336"/>
      <c r="EA32" s="336"/>
      <c r="EB32" s="336"/>
      <c r="EC32" s="336"/>
      <c r="ED32" s="336"/>
      <c r="EE32" s="336"/>
      <c r="EF32" s="336"/>
      <c r="EG32" s="336"/>
      <c r="EH32" s="336"/>
    </row>
    <row r="33" spans="1:138" s="332" customFormat="1">
      <c r="A33" s="343" t="s">
        <v>100</v>
      </c>
      <c r="B33" s="432"/>
      <c r="C33" s="334">
        <f ca="1">расчет!E353</f>
        <v>46262.400000000001</v>
      </c>
      <c r="D33" s="334">
        <f ca="1">расчет!E354</f>
        <v>46561.4</v>
      </c>
      <c r="E33" s="335"/>
      <c r="F33" s="336"/>
      <c r="G33" s="336"/>
      <c r="H33" s="336"/>
      <c r="I33" s="336"/>
      <c r="J33" s="336"/>
      <c r="K33" s="336"/>
      <c r="L33" s="336"/>
      <c r="M33" s="336"/>
      <c r="N33" s="336"/>
      <c r="O33" s="336"/>
      <c r="P33" s="336"/>
      <c r="Q33" s="336"/>
      <c r="R33" s="336"/>
      <c r="S33" s="336"/>
      <c r="T33" s="336"/>
      <c r="U33" s="336"/>
      <c r="V33" s="336"/>
      <c r="W33" s="336"/>
      <c r="X33" s="336"/>
      <c r="Y33" s="336"/>
      <c r="Z33" s="336"/>
      <c r="AA33" s="336"/>
      <c r="AB33" s="336"/>
      <c r="AC33" s="336"/>
      <c r="AD33" s="336"/>
      <c r="AE33" s="336"/>
      <c r="AF33" s="336"/>
      <c r="AG33" s="336"/>
      <c r="AH33" s="336"/>
      <c r="AI33" s="336"/>
      <c r="AJ33" s="336"/>
      <c r="AK33" s="336"/>
      <c r="AL33" s="336"/>
      <c r="AM33" s="336"/>
      <c r="AN33" s="336"/>
      <c r="AO33" s="336"/>
      <c r="AP33" s="336"/>
      <c r="AQ33" s="336"/>
      <c r="AR33" s="336"/>
      <c r="AS33" s="336"/>
      <c r="AT33" s="336"/>
      <c r="AU33" s="336"/>
      <c r="AV33" s="336"/>
      <c r="AW33" s="336"/>
      <c r="AX33" s="336"/>
      <c r="AY33" s="336"/>
      <c r="AZ33" s="336"/>
      <c r="BA33" s="336"/>
      <c r="BB33" s="336"/>
      <c r="BC33" s="336"/>
      <c r="BD33" s="336"/>
      <c r="BE33" s="336"/>
      <c r="BF33" s="336"/>
      <c r="BG33" s="336"/>
      <c r="BH33" s="336"/>
      <c r="BI33" s="336"/>
      <c r="BJ33" s="336"/>
      <c r="BK33" s="336"/>
      <c r="BL33" s="336"/>
      <c r="BM33" s="336"/>
      <c r="BN33" s="336"/>
      <c r="BO33" s="336"/>
      <c r="BP33" s="336"/>
      <c r="BQ33" s="336"/>
      <c r="BR33" s="336"/>
      <c r="BS33" s="336"/>
      <c r="BT33" s="336"/>
      <c r="BU33" s="336"/>
      <c r="BV33" s="336"/>
      <c r="BW33" s="336"/>
      <c r="BX33" s="336"/>
      <c r="BY33" s="336"/>
      <c r="BZ33" s="336"/>
      <c r="CA33" s="336"/>
      <c r="CB33" s="336"/>
      <c r="CC33" s="336"/>
      <c r="CD33" s="336"/>
      <c r="CE33" s="336"/>
      <c r="CF33" s="336"/>
      <c r="CG33" s="336"/>
      <c r="CH33" s="336"/>
      <c r="CI33" s="336"/>
      <c r="CJ33" s="336"/>
      <c r="CK33" s="336"/>
      <c r="CL33" s="336"/>
      <c r="CM33" s="336"/>
      <c r="CN33" s="336"/>
      <c r="CO33" s="336"/>
      <c r="CP33" s="336"/>
      <c r="CQ33" s="336"/>
      <c r="CR33" s="336"/>
      <c r="CS33" s="336"/>
      <c r="CT33" s="336"/>
      <c r="CU33" s="336"/>
      <c r="CV33" s="336"/>
      <c r="CW33" s="336"/>
      <c r="CX33" s="336"/>
      <c r="CY33" s="336"/>
      <c r="CZ33" s="336"/>
      <c r="DA33" s="336"/>
      <c r="DB33" s="336"/>
      <c r="DC33" s="336"/>
      <c r="DD33" s="336"/>
      <c r="DE33" s="336"/>
      <c r="DF33" s="336"/>
      <c r="DG33" s="336"/>
      <c r="DH33" s="336"/>
      <c r="DI33" s="336"/>
      <c r="DJ33" s="336"/>
      <c r="DK33" s="336"/>
      <c r="DL33" s="336"/>
      <c r="DM33" s="336"/>
      <c r="DN33" s="336"/>
      <c r="DO33" s="336"/>
      <c r="DP33" s="336"/>
      <c r="DQ33" s="336"/>
      <c r="DR33" s="336"/>
      <c r="DS33" s="336"/>
      <c r="DT33" s="336"/>
      <c r="DU33" s="336"/>
      <c r="DV33" s="336"/>
      <c r="DW33" s="336"/>
      <c r="DX33" s="336"/>
      <c r="DY33" s="336"/>
      <c r="DZ33" s="336"/>
      <c r="EA33" s="336"/>
      <c r="EB33" s="336"/>
      <c r="EC33" s="336"/>
      <c r="ED33" s="336"/>
      <c r="EE33" s="336"/>
      <c r="EF33" s="336"/>
      <c r="EG33" s="336"/>
      <c r="EH33" s="336"/>
    </row>
    <row r="34" spans="1:138" s="332" customFormat="1">
      <c r="A34" s="343" t="s">
        <v>19</v>
      </c>
      <c r="B34" s="432"/>
      <c r="C34" s="334">
        <f ca="1">расчет!E358</f>
        <v>46412.4</v>
      </c>
      <c r="D34" s="334">
        <f ca="1">расчет!E359</f>
        <v>46591.4</v>
      </c>
      <c r="E34" s="335"/>
      <c r="F34" s="336"/>
      <c r="G34" s="336"/>
      <c r="H34" s="336"/>
      <c r="I34" s="336"/>
      <c r="J34" s="336"/>
      <c r="K34" s="336"/>
      <c r="L34" s="336"/>
      <c r="M34" s="336"/>
      <c r="N34" s="336"/>
      <c r="O34" s="336"/>
      <c r="P34" s="336"/>
      <c r="Q34" s="336"/>
      <c r="R34" s="336"/>
      <c r="S34" s="336"/>
      <c r="T34" s="336"/>
      <c r="U34" s="336"/>
      <c r="V34" s="336"/>
      <c r="W34" s="336"/>
      <c r="X34" s="336"/>
      <c r="Y34" s="336"/>
      <c r="Z34" s="336"/>
      <c r="AA34" s="336"/>
      <c r="AB34" s="336"/>
      <c r="AC34" s="336"/>
      <c r="AD34" s="336"/>
      <c r="AE34" s="336"/>
      <c r="AF34" s="336"/>
      <c r="AG34" s="336"/>
      <c r="AH34" s="336"/>
      <c r="AI34" s="336"/>
      <c r="AJ34" s="336"/>
      <c r="AK34" s="336"/>
      <c r="AL34" s="336"/>
      <c r="AM34" s="336"/>
      <c r="AN34" s="336"/>
      <c r="AO34" s="336"/>
      <c r="AP34" s="336"/>
      <c r="AQ34" s="336"/>
      <c r="AR34" s="336"/>
      <c r="AS34" s="336"/>
      <c r="AT34" s="336"/>
      <c r="AU34" s="336"/>
      <c r="AV34" s="336"/>
      <c r="AW34" s="336"/>
      <c r="AX34" s="336"/>
      <c r="AY34" s="336"/>
      <c r="AZ34" s="336"/>
      <c r="BA34" s="336"/>
      <c r="BB34" s="336"/>
      <c r="BC34" s="336"/>
      <c r="BD34" s="336"/>
      <c r="BE34" s="336"/>
      <c r="BF34" s="336"/>
      <c r="BG34" s="336"/>
      <c r="BH34" s="336"/>
      <c r="BI34" s="336"/>
      <c r="BJ34" s="336"/>
      <c r="BK34" s="336"/>
      <c r="BL34" s="336"/>
      <c r="BM34" s="336"/>
      <c r="BN34" s="336"/>
      <c r="BO34" s="336"/>
      <c r="BP34" s="336"/>
      <c r="BQ34" s="336"/>
      <c r="BR34" s="336"/>
      <c r="BS34" s="336"/>
      <c r="BT34" s="336"/>
      <c r="BU34" s="336"/>
      <c r="BV34" s="336"/>
      <c r="BW34" s="336"/>
      <c r="BX34" s="336"/>
      <c r="BY34" s="336"/>
      <c r="BZ34" s="336"/>
      <c r="CA34" s="336"/>
      <c r="CB34" s="336"/>
      <c r="CC34" s="336"/>
      <c r="CD34" s="336"/>
      <c r="CE34" s="336"/>
      <c r="CF34" s="336"/>
      <c r="CG34" s="336"/>
      <c r="CH34" s="336"/>
      <c r="CI34" s="336"/>
      <c r="CJ34" s="336"/>
      <c r="CK34" s="336"/>
      <c r="CL34" s="336"/>
      <c r="CM34" s="336"/>
      <c r="CN34" s="336"/>
      <c r="CO34" s="336"/>
      <c r="CP34" s="336"/>
      <c r="CQ34" s="336"/>
      <c r="CR34" s="336"/>
      <c r="CS34" s="336"/>
      <c r="CT34" s="336"/>
      <c r="CU34" s="336"/>
      <c r="CV34" s="336"/>
      <c r="CW34" s="336"/>
      <c r="CX34" s="336"/>
      <c r="CY34" s="336"/>
      <c r="CZ34" s="336"/>
      <c r="DA34" s="336"/>
      <c r="DB34" s="336"/>
      <c r="DC34" s="336"/>
      <c r="DD34" s="336"/>
      <c r="DE34" s="336"/>
      <c r="DF34" s="336"/>
      <c r="DG34" s="336"/>
      <c r="DH34" s="336"/>
      <c r="DI34" s="336"/>
      <c r="DJ34" s="336"/>
      <c r="DK34" s="336"/>
      <c r="DL34" s="336"/>
      <c r="DM34" s="336"/>
      <c r="DN34" s="336"/>
      <c r="DO34" s="336"/>
      <c r="DP34" s="336"/>
      <c r="DQ34" s="336"/>
      <c r="DR34" s="336"/>
      <c r="DS34" s="336"/>
      <c r="DT34" s="336"/>
      <c r="DU34" s="336"/>
      <c r="DV34" s="336"/>
      <c r="DW34" s="336"/>
      <c r="DX34" s="336"/>
      <c r="DY34" s="336"/>
      <c r="DZ34" s="336"/>
      <c r="EA34" s="336"/>
      <c r="EB34" s="336"/>
      <c r="EC34" s="336"/>
      <c r="ED34" s="336"/>
      <c r="EE34" s="336"/>
      <c r="EF34" s="336"/>
      <c r="EG34" s="336"/>
      <c r="EH34" s="336"/>
    </row>
    <row r="35" spans="1:138" s="344" customFormat="1">
      <c r="A35" s="343" t="s">
        <v>1815</v>
      </c>
      <c r="B35" s="432"/>
      <c r="C35" s="334" t="str">
        <f ca="1">расчет!E363</f>
        <v/>
      </c>
      <c r="D35" s="334" t="str">
        <f ca="1">расчет!E364</f>
        <v/>
      </c>
      <c r="E35" s="335"/>
      <c r="F35" s="336"/>
      <c r="G35" s="336"/>
      <c r="H35" s="336"/>
      <c r="I35" s="336"/>
      <c r="J35" s="336"/>
      <c r="K35" s="336"/>
      <c r="L35" s="336"/>
      <c r="M35" s="336"/>
      <c r="N35" s="336"/>
      <c r="O35" s="336"/>
      <c r="P35" s="336"/>
      <c r="Q35" s="336"/>
      <c r="R35" s="336"/>
      <c r="S35" s="336"/>
      <c r="T35" s="336"/>
      <c r="U35" s="336"/>
      <c r="V35" s="336"/>
      <c r="W35" s="336"/>
      <c r="X35" s="336"/>
      <c r="Y35" s="336"/>
      <c r="Z35" s="336"/>
      <c r="AA35" s="336"/>
      <c r="AB35" s="336"/>
      <c r="AC35" s="336"/>
      <c r="AD35" s="336"/>
      <c r="AE35" s="336"/>
      <c r="AF35" s="336"/>
      <c r="AG35" s="336"/>
      <c r="AH35" s="336"/>
      <c r="AI35" s="336"/>
      <c r="AJ35" s="336"/>
      <c r="AK35" s="336"/>
      <c r="AL35" s="336"/>
      <c r="AM35" s="336"/>
      <c r="AN35" s="336"/>
      <c r="AO35" s="336"/>
      <c r="AP35" s="336"/>
      <c r="AQ35" s="336"/>
      <c r="AR35" s="336"/>
      <c r="AS35" s="336"/>
      <c r="AT35" s="336"/>
      <c r="AU35" s="336"/>
      <c r="AV35" s="336"/>
      <c r="AW35" s="336"/>
      <c r="AX35" s="336"/>
      <c r="AY35" s="336"/>
      <c r="AZ35" s="336"/>
      <c r="BA35" s="336"/>
      <c r="BB35" s="336"/>
      <c r="BC35" s="336"/>
      <c r="BD35" s="336"/>
      <c r="BE35" s="336"/>
      <c r="BF35" s="336"/>
      <c r="BG35" s="336"/>
      <c r="BH35" s="336"/>
      <c r="BI35" s="336"/>
      <c r="BJ35" s="336"/>
      <c r="BK35" s="336"/>
      <c r="BL35" s="336"/>
      <c r="BM35" s="336"/>
      <c r="BN35" s="336"/>
      <c r="BO35" s="336"/>
      <c r="BP35" s="336"/>
      <c r="BQ35" s="336"/>
      <c r="BR35" s="336"/>
      <c r="BS35" s="336"/>
      <c r="BT35" s="336"/>
      <c r="BU35" s="336"/>
      <c r="BV35" s="336"/>
      <c r="BW35" s="336"/>
      <c r="BX35" s="336"/>
      <c r="BY35" s="336"/>
      <c r="BZ35" s="336"/>
      <c r="CA35" s="336"/>
      <c r="CB35" s="336"/>
      <c r="CC35" s="336"/>
      <c r="CD35" s="336"/>
      <c r="CE35" s="336"/>
      <c r="CF35" s="336"/>
      <c r="CG35" s="336"/>
      <c r="CH35" s="336"/>
      <c r="CI35" s="336"/>
      <c r="CJ35" s="336"/>
      <c r="CK35" s="336"/>
      <c r="CL35" s="336"/>
      <c r="CM35" s="336"/>
      <c r="CN35" s="336"/>
      <c r="CO35" s="336"/>
      <c r="CP35" s="336"/>
      <c r="CQ35" s="336"/>
      <c r="CR35" s="336"/>
      <c r="CS35" s="336"/>
      <c r="CT35" s="336"/>
      <c r="CU35" s="336"/>
      <c r="CV35" s="336"/>
      <c r="CW35" s="336"/>
      <c r="CX35" s="336"/>
      <c r="CY35" s="336"/>
      <c r="CZ35" s="336"/>
      <c r="DA35" s="336"/>
      <c r="DB35" s="336"/>
      <c r="DC35" s="336"/>
      <c r="DD35" s="336"/>
      <c r="DE35" s="336"/>
      <c r="DF35" s="336"/>
      <c r="DG35" s="336"/>
      <c r="DH35" s="336"/>
      <c r="DI35" s="336"/>
      <c r="DJ35" s="336"/>
      <c r="DK35" s="336"/>
      <c r="DL35" s="336"/>
      <c r="DM35" s="336"/>
      <c r="DN35" s="336"/>
      <c r="DO35" s="336"/>
      <c r="DP35" s="336"/>
      <c r="DQ35" s="336"/>
      <c r="DR35" s="336"/>
      <c r="DS35" s="336"/>
      <c r="DT35" s="336"/>
      <c r="DU35" s="336"/>
      <c r="DV35" s="336"/>
      <c r="DW35" s="336"/>
      <c r="DX35" s="336"/>
      <c r="DY35" s="336"/>
      <c r="DZ35" s="336"/>
      <c r="EA35" s="336"/>
      <c r="EB35" s="336"/>
      <c r="EC35" s="336"/>
      <c r="ED35" s="336"/>
      <c r="EE35" s="336"/>
      <c r="EF35" s="336"/>
      <c r="EG35" s="336"/>
      <c r="EH35" s="336"/>
    </row>
    <row r="36" spans="1:138" s="344" customFormat="1">
      <c r="A36" s="343" t="s">
        <v>270</v>
      </c>
      <c r="B36" s="432"/>
      <c r="C36" s="334">
        <f ca="1">расчет!E368</f>
        <v>45345.15</v>
      </c>
      <c r="D36" s="334">
        <f ca="1">расчет!E369</f>
        <v>45384.15</v>
      </c>
      <c r="E36" s="335"/>
      <c r="F36" s="336"/>
      <c r="G36" s="336"/>
      <c r="H36" s="336"/>
      <c r="I36" s="336"/>
      <c r="J36" s="336"/>
      <c r="K36" s="336"/>
      <c r="L36" s="336"/>
      <c r="M36" s="336"/>
      <c r="N36" s="336"/>
      <c r="O36" s="336"/>
      <c r="P36" s="336"/>
      <c r="Q36" s="336"/>
      <c r="R36" s="336"/>
      <c r="S36" s="336"/>
      <c r="T36" s="336"/>
      <c r="U36" s="336"/>
      <c r="V36" s="336"/>
      <c r="W36" s="336"/>
      <c r="X36" s="336"/>
      <c r="Y36" s="336"/>
      <c r="Z36" s="336"/>
      <c r="AA36" s="336"/>
      <c r="AB36" s="336"/>
      <c r="AC36" s="336"/>
      <c r="AD36" s="336"/>
      <c r="AE36" s="336"/>
      <c r="AF36" s="336"/>
      <c r="AG36" s="336"/>
      <c r="AH36" s="336"/>
      <c r="AI36" s="336"/>
      <c r="AJ36" s="336"/>
      <c r="AK36" s="336"/>
      <c r="AL36" s="336"/>
      <c r="AM36" s="336"/>
      <c r="AN36" s="336"/>
      <c r="AO36" s="336"/>
      <c r="AP36" s="336"/>
      <c r="AQ36" s="336"/>
      <c r="AR36" s="336"/>
      <c r="AS36" s="336"/>
      <c r="AT36" s="336"/>
      <c r="AU36" s="336"/>
      <c r="AV36" s="336"/>
      <c r="AW36" s="336"/>
      <c r="AX36" s="336"/>
      <c r="AY36" s="336"/>
      <c r="AZ36" s="336"/>
      <c r="BA36" s="336"/>
      <c r="BB36" s="336"/>
      <c r="BC36" s="336"/>
      <c r="BD36" s="336"/>
      <c r="BE36" s="336"/>
      <c r="BF36" s="336"/>
      <c r="BG36" s="336"/>
      <c r="BH36" s="336"/>
      <c r="BI36" s="336"/>
      <c r="BJ36" s="336"/>
      <c r="BK36" s="336"/>
      <c r="BL36" s="336"/>
      <c r="BM36" s="336"/>
      <c r="BN36" s="336"/>
      <c r="BO36" s="336"/>
      <c r="BP36" s="336"/>
      <c r="BQ36" s="336"/>
      <c r="BR36" s="336"/>
      <c r="BS36" s="336"/>
      <c r="BT36" s="336"/>
      <c r="BU36" s="336"/>
      <c r="BV36" s="336"/>
      <c r="BW36" s="336"/>
      <c r="BX36" s="336"/>
      <c r="BY36" s="336"/>
      <c r="BZ36" s="336"/>
      <c r="CA36" s="336"/>
      <c r="CB36" s="336"/>
      <c r="CC36" s="336"/>
      <c r="CD36" s="336"/>
      <c r="CE36" s="336"/>
      <c r="CF36" s="336"/>
      <c r="CG36" s="336"/>
      <c r="CH36" s="336"/>
      <c r="CI36" s="336"/>
      <c r="CJ36" s="336"/>
      <c r="CK36" s="336"/>
      <c r="CL36" s="336"/>
      <c r="CM36" s="336"/>
      <c r="CN36" s="336"/>
      <c r="CO36" s="336"/>
      <c r="CP36" s="336"/>
      <c r="CQ36" s="336"/>
      <c r="CR36" s="336"/>
      <c r="CS36" s="336"/>
      <c r="CT36" s="336"/>
      <c r="CU36" s="336"/>
      <c r="CV36" s="336"/>
      <c r="CW36" s="336"/>
      <c r="CX36" s="336"/>
      <c r="CY36" s="336"/>
      <c r="CZ36" s="336"/>
      <c r="DA36" s="336"/>
      <c r="DB36" s="336"/>
      <c r="DC36" s="336"/>
      <c r="DD36" s="336"/>
      <c r="DE36" s="336"/>
      <c r="DF36" s="336"/>
      <c r="DG36" s="336"/>
      <c r="DH36" s="336"/>
      <c r="DI36" s="336"/>
      <c r="DJ36" s="336"/>
      <c r="DK36" s="336"/>
      <c r="DL36" s="336"/>
      <c r="DM36" s="336"/>
      <c r="DN36" s="336"/>
      <c r="DO36" s="336"/>
      <c r="DP36" s="336"/>
      <c r="DQ36" s="336"/>
      <c r="DR36" s="336"/>
      <c r="DS36" s="336"/>
      <c r="DT36" s="336"/>
      <c r="DU36" s="336"/>
      <c r="DV36" s="336"/>
      <c r="DW36" s="336"/>
      <c r="DX36" s="336"/>
      <c r="DY36" s="336"/>
      <c r="DZ36" s="336"/>
      <c r="EA36" s="336"/>
      <c r="EB36" s="336"/>
      <c r="EC36" s="336"/>
      <c r="ED36" s="336"/>
      <c r="EE36" s="336"/>
      <c r="EF36" s="336"/>
      <c r="EG36" s="336"/>
      <c r="EH36" s="336"/>
    </row>
    <row r="37" spans="1:138" s="344" customFormat="1">
      <c r="A37" s="343" t="s">
        <v>269</v>
      </c>
      <c r="B37" s="433"/>
      <c r="C37" s="334">
        <f ca="1">IF(SUM(расчет!E373,расчет!E378,расчет!E383,расчет!E388,расчет!E393,расчет!E398,расчет!E403,расчет!E408)=0,"",MIN(расчет!E373,расчет!E378,расчет!E383,расчет!E388,расчет!E393,расчет!E398,расчет!E403,расчет!E408))</f>
        <v>46414</v>
      </c>
      <c r="D37" s="334">
        <f ca="1">IF(SUM(расчет!E374,расчет!E379,расчет!E384,расчет!E389,расчет!E394,расчет!E399,расчет!E404,расчет!E409)=0,"",MAX(расчет!E374,расчет!E379,расчет!E384,расчет!E389,расчет!E394,расчет!E399,расчет!E404,расчет!E409))</f>
        <v>47143</v>
      </c>
      <c r="E37" s="335"/>
      <c r="F37" s="336"/>
      <c r="G37" s="336"/>
      <c r="H37" s="336"/>
      <c r="I37" s="336"/>
      <c r="J37" s="336"/>
      <c r="K37" s="336"/>
      <c r="L37" s="336"/>
      <c r="M37" s="336"/>
      <c r="N37" s="336"/>
      <c r="O37" s="336"/>
      <c r="P37" s="336"/>
      <c r="Q37" s="336"/>
      <c r="R37" s="336"/>
      <c r="S37" s="336"/>
      <c r="T37" s="336"/>
      <c r="U37" s="336"/>
      <c r="V37" s="336"/>
      <c r="W37" s="336"/>
      <c r="X37" s="336"/>
      <c r="Y37" s="336"/>
      <c r="Z37" s="336"/>
      <c r="AA37" s="336"/>
      <c r="AB37" s="336"/>
      <c r="AC37" s="336"/>
      <c r="AD37" s="336"/>
      <c r="AE37" s="336"/>
      <c r="AF37" s="336"/>
      <c r="AG37" s="336"/>
      <c r="AH37" s="336"/>
      <c r="AI37" s="336"/>
      <c r="AJ37" s="336"/>
      <c r="AK37" s="336"/>
      <c r="AL37" s="336"/>
      <c r="AM37" s="336"/>
      <c r="AN37" s="336"/>
      <c r="AO37" s="336"/>
      <c r="AP37" s="336"/>
      <c r="AQ37" s="336"/>
      <c r="AR37" s="336"/>
      <c r="AS37" s="336"/>
      <c r="AT37" s="336"/>
      <c r="AU37" s="336"/>
      <c r="AV37" s="336"/>
      <c r="AW37" s="336"/>
      <c r="AX37" s="336"/>
      <c r="AY37" s="336"/>
      <c r="AZ37" s="336"/>
      <c r="BA37" s="336"/>
      <c r="BB37" s="336"/>
      <c r="BC37" s="336"/>
      <c r="BD37" s="336"/>
      <c r="BE37" s="336"/>
      <c r="BF37" s="336"/>
      <c r="BG37" s="336"/>
      <c r="BH37" s="336"/>
      <c r="BI37" s="336"/>
      <c r="BJ37" s="336"/>
      <c r="BK37" s="336"/>
      <c r="BL37" s="336"/>
      <c r="BM37" s="336"/>
      <c r="BN37" s="336"/>
      <c r="BO37" s="336"/>
      <c r="BP37" s="336"/>
      <c r="BQ37" s="336"/>
      <c r="BR37" s="336"/>
      <c r="BS37" s="336"/>
      <c r="BT37" s="336"/>
      <c r="BU37" s="336"/>
      <c r="BV37" s="336"/>
      <c r="BW37" s="336"/>
      <c r="BX37" s="336"/>
      <c r="BY37" s="336"/>
      <c r="BZ37" s="336"/>
      <c r="CA37" s="336"/>
      <c r="CB37" s="336"/>
      <c r="CC37" s="336"/>
      <c r="CD37" s="336"/>
      <c r="CE37" s="336"/>
      <c r="CF37" s="336"/>
      <c r="CG37" s="336"/>
      <c r="CH37" s="336"/>
      <c r="CI37" s="336"/>
      <c r="CJ37" s="336"/>
      <c r="CK37" s="336"/>
      <c r="CL37" s="336"/>
      <c r="CM37" s="336"/>
      <c r="CN37" s="336"/>
      <c r="CO37" s="336"/>
      <c r="CP37" s="336"/>
      <c r="CQ37" s="336"/>
      <c r="CR37" s="336"/>
      <c r="CS37" s="336"/>
      <c r="CT37" s="336"/>
      <c r="CU37" s="336"/>
      <c r="CV37" s="336"/>
      <c r="CW37" s="336"/>
      <c r="CX37" s="336"/>
      <c r="CY37" s="336"/>
      <c r="CZ37" s="336"/>
      <c r="DA37" s="336"/>
      <c r="DB37" s="336"/>
      <c r="DC37" s="336"/>
      <c r="DD37" s="336"/>
      <c r="DE37" s="336"/>
      <c r="DF37" s="336"/>
      <c r="DG37" s="336"/>
      <c r="DH37" s="336"/>
      <c r="DI37" s="336"/>
      <c r="DJ37" s="336"/>
      <c r="DK37" s="336"/>
      <c r="DL37" s="336"/>
      <c r="DM37" s="336"/>
      <c r="DN37" s="336"/>
      <c r="DO37" s="336"/>
      <c r="DP37" s="336"/>
      <c r="DQ37" s="336"/>
      <c r="DR37" s="336"/>
      <c r="DS37" s="336"/>
      <c r="DT37" s="336"/>
      <c r="DU37" s="336"/>
      <c r="DV37" s="336"/>
      <c r="DW37" s="336"/>
      <c r="DX37" s="336"/>
      <c r="DY37" s="336"/>
      <c r="DZ37" s="336"/>
      <c r="EA37" s="336"/>
      <c r="EB37" s="336"/>
      <c r="EC37" s="336"/>
      <c r="ED37" s="336"/>
      <c r="EE37" s="336"/>
      <c r="EF37" s="336"/>
      <c r="EG37" s="336"/>
      <c r="EH37" s="336"/>
    </row>
    <row r="38" spans="1:138" s="332" customFormat="1" hidden="1" outlineLevel="1">
      <c r="A38" s="434" t="s">
        <v>750</v>
      </c>
      <c r="B38" s="430"/>
    </row>
    <row r="39" spans="1:138" s="332" customFormat="1" hidden="1" outlineLevel="1">
      <c r="A39" s="434" t="s">
        <v>1245</v>
      </c>
      <c r="B39" s="430"/>
    </row>
    <row r="40" spans="1:138" s="332" customFormat="1" hidden="1" outlineLevel="1">
      <c r="A40" s="434" t="s">
        <v>751</v>
      </c>
      <c r="B40" s="430"/>
    </row>
    <row r="41" spans="1:138" s="332" customFormat="1" hidden="1" outlineLevel="1">
      <c r="A41" s="434" t="s">
        <v>752</v>
      </c>
      <c r="B41" s="430"/>
    </row>
    <row r="42" spans="1:138" s="332" customFormat="1" hidden="1" outlineLevel="1">
      <c r="A42" s="434" t="s">
        <v>753</v>
      </c>
      <c r="B42" s="430"/>
    </row>
    <row r="43" spans="1:138" s="332" customFormat="1" hidden="1" outlineLevel="1">
      <c r="A43" s="434" t="s">
        <v>754</v>
      </c>
      <c r="B43" s="430"/>
    </row>
    <row r="44" spans="1:138" s="332" customFormat="1" hidden="1" outlineLevel="1">
      <c r="A44" s="434" t="s">
        <v>755</v>
      </c>
      <c r="B44" s="430"/>
    </row>
    <row r="45" spans="1:138" s="332" customFormat="1" hidden="1" outlineLevel="1">
      <c r="A45" s="434" t="s">
        <v>955</v>
      </c>
      <c r="B45" s="430"/>
    </row>
    <row r="46" spans="1:138" s="344" customFormat="1" ht="30" collapsed="1">
      <c r="A46" s="339" t="s">
        <v>539</v>
      </c>
      <c r="B46" s="435"/>
      <c r="C46" s="334">
        <f ca="1">IF(B46="",IF(SUM(D15:D34,D36:D37)=0,"",MAX(D15:D34,D36:D37)+15-30),B46)</f>
        <v>47128</v>
      </c>
      <c r="D46" s="334">
        <f ca="1">IF(SUM(D15:D34,D36:D37)=0,"",C46+30*2)</f>
        <v>47188</v>
      </c>
      <c r="E46" s="335"/>
      <c r="F46" s="336"/>
      <c r="G46" s="336"/>
      <c r="H46" s="336"/>
      <c r="I46" s="336"/>
      <c r="J46" s="336"/>
      <c r="K46" s="336"/>
      <c r="L46" s="336"/>
      <c r="M46" s="336"/>
      <c r="N46" s="336"/>
      <c r="O46" s="336"/>
      <c r="P46" s="336"/>
      <c r="Q46" s="336"/>
      <c r="R46" s="336"/>
      <c r="S46" s="336"/>
      <c r="T46" s="336"/>
      <c r="U46" s="336"/>
      <c r="V46" s="336"/>
      <c r="W46" s="336"/>
      <c r="X46" s="336"/>
      <c r="Y46" s="336"/>
      <c r="Z46" s="336"/>
      <c r="AA46" s="336"/>
      <c r="AB46" s="336"/>
      <c r="AC46" s="336"/>
      <c r="AD46" s="336"/>
      <c r="AE46" s="336"/>
      <c r="AF46" s="336"/>
      <c r="AG46" s="336"/>
      <c r="AH46" s="336"/>
      <c r="AI46" s="336"/>
      <c r="AJ46" s="336"/>
      <c r="AK46" s="336"/>
      <c r="AL46" s="336"/>
      <c r="AM46" s="336"/>
      <c r="AN46" s="336"/>
      <c r="AO46" s="336"/>
      <c r="AP46" s="336"/>
      <c r="AQ46" s="336"/>
      <c r="AR46" s="336"/>
      <c r="AS46" s="336"/>
      <c r="AT46" s="336"/>
      <c r="AU46" s="336"/>
      <c r="AV46" s="336"/>
      <c r="AW46" s="336"/>
      <c r="AX46" s="336"/>
      <c r="AY46" s="336"/>
      <c r="AZ46" s="336"/>
      <c r="BA46" s="336"/>
      <c r="BB46" s="336"/>
      <c r="BC46" s="336"/>
      <c r="BD46" s="336"/>
      <c r="BE46" s="336"/>
      <c r="BF46" s="336"/>
      <c r="BG46" s="336"/>
      <c r="BH46" s="336"/>
      <c r="BI46" s="336"/>
      <c r="BJ46" s="336"/>
      <c r="BK46" s="336"/>
      <c r="BL46" s="336"/>
      <c r="BM46" s="336"/>
      <c r="BN46" s="336"/>
      <c r="BO46" s="336"/>
      <c r="BP46" s="336"/>
      <c r="BQ46" s="336"/>
      <c r="BR46" s="336"/>
      <c r="BS46" s="336"/>
      <c r="BT46" s="336"/>
      <c r="BU46" s="336"/>
      <c r="BV46" s="336"/>
      <c r="BW46" s="336"/>
      <c r="BX46" s="336"/>
      <c r="BY46" s="336"/>
      <c r="BZ46" s="336"/>
      <c r="CA46" s="336"/>
      <c r="CB46" s="336"/>
      <c r="CC46" s="336"/>
      <c r="CD46" s="336"/>
      <c r="CE46" s="336"/>
      <c r="CF46" s="336"/>
      <c r="CG46" s="336"/>
      <c r="CH46" s="336"/>
      <c r="CI46" s="336"/>
      <c r="CJ46" s="336"/>
      <c r="CK46" s="336"/>
      <c r="CL46" s="336"/>
      <c r="CM46" s="336"/>
      <c r="CN46" s="336"/>
      <c r="CO46" s="336"/>
      <c r="CP46" s="336"/>
      <c r="CQ46" s="336"/>
      <c r="CR46" s="336"/>
      <c r="CS46" s="336"/>
      <c r="CT46" s="336"/>
      <c r="CU46" s="336"/>
      <c r="CV46" s="336"/>
      <c r="CW46" s="336"/>
      <c r="CX46" s="336"/>
      <c r="CY46" s="336"/>
      <c r="CZ46" s="336"/>
      <c r="DA46" s="336"/>
      <c r="DB46" s="336"/>
      <c r="DC46" s="336"/>
      <c r="DD46" s="336"/>
      <c r="DE46" s="336"/>
      <c r="DF46" s="336"/>
      <c r="DG46" s="336"/>
      <c r="DH46" s="336"/>
      <c r="DI46" s="336"/>
      <c r="DJ46" s="336"/>
      <c r="DK46" s="336"/>
      <c r="DL46" s="336"/>
      <c r="DM46" s="336"/>
      <c r="DN46" s="336"/>
      <c r="DO46" s="336"/>
      <c r="DP46" s="336"/>
      <c r="DQ46" s="336"/>
      <c r="DR46" s="336"/>
      <c r="DS46" s="336"/>
      <c r="DT46" s="336"/>
      <c r="DU46" s="336"/>
      <c r="DV46" s="336"/>
      <c r="DW46" s="336"/>
      <c r="DX46" s="336"/>
      <c r="DY46" s="336"/>
      <c r="DZ46" s="336"/>
      <c r="EA46" s="336"/>
      <c r="EB46" s="336"/>
      <c r="EC46" s="336"/>
      <c r="ED46" s="336"/>
      <c r="EE46" s="336"/>
      <c r="EF46" s="336"/>
      <c r="EG46" s="336"/>
      <c r="EH46" s="336"/>
    </row>
  </sheetData>
  <conditionalFormatting sqref="E12:EH17 E22:EH25 E32:EH37 E3:EH10">
    <cfRule type="expression" dxfId="2" priority="3" stopIfTrue="1">
      <formula>AND(E$1&gt;=$C3,E$1&lt;=$D3)</formula>
    </cfRule>
  </conditionalFormatting>
  <conditionalFormatting sqref="E46:EH46">
    <cfRule type="expression" dxfId="1" priority="2">
      <formula>AND(E$1&gt;=$C$46,E$1&lt;=$D$46)</formula>
    </cfRule>
  </conditionalFormatting>
  <conditionalFormatting sqref="E11:EH11">
    <cfRule type="expression" dxfId="0" priority="1">
      <formula>AND(F$1&gt;=$C$11,F$1&lt;=$D$11)</formula>
    </cfRule>
  </conditionalFormatting>
  <pageMargins left="0.25" right="0.25" top="0.75" bottom="0.75" header="0.3" footer="0.3"/>
  <pageSetup paperSize="9" scale="84" orientation="landscape"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dimension ref="A1:AR455"/>
  <sheetViews>
    <sheetView topLeftCell="A134" zoomScale="70" zoomScaleNormal="70" workbookViewId="0">
      <selection activeCell="O165" sqref="O165:O166"/>
    </sheetView>
  </sheetViews>
  <sheetFormatPr defaultRowHeight="15" outlineLevelRow="5"/>
  <cols>
    <col min="1" max="1" width="51.42578125" customWidth="1"/>
    <col min="2" max="2" width="21.7109375" customWidth="1"/>
    <col min="3" max="3" width="26.140625" customWidth="1"/>
    <col min="4" max="4" width="26" customWidth="1"/>
    <col min="5" max="5" width="18.85546875" customWidth="1"/>
    <col min="6" max="6" width="23.140625" customWidth="1"/>
    <col min="7" max="7" width="30.42578125" customWidth="1"/>
    <col min="8" max="8" width="26.28515625" customWidth="1"/>
    <col min="9" max="9" width="18.140625" customWidth="1"/>
    <col min="10" max="10" width="18.5703125" customWidth="1"/>
    <col min="11" max="11" width="16.7109375" customWidth="1"/>
    <col min="12" max="12" width="14.85546875" customWidth="1"/>
    <col min="13" max="13" width="9.140625" customWidth="1"/>
    <col min="14" max="14" width="12.85546875" customWidth="1"/>
    <col min="15" max="15" width="17.5703125" customWidth="1"/>
    <col min="16" max="16" width="19.140625" customWidth="1"/>
    <col min="17" max="17" width="9.140625" customWidth="1"/>
    <col min="18" max="18" width="15" customWidth="1"/>
    <col min="19" max="19" width="17.28515625" customWidth="1"/>
    <col min="20" max="20" width="25.85546875" customWidth="1"/>
    <col min="21" max="21" width="17" customWidth="1"/>
    <col min="22" max="22" width="12.42578125" customWidth="1"/>
    <col min="23" max="23" width="11.85546875" customWidth="1"/>
    <col min="24" max="24" width="19.140625" customWidth="1"/>
    <col min="25" max="25" width="12.5703125" customWidth="1"/>
    <col min="26" max="26" width="12.42578125" customWidth="1"/>
    <col min="27" max="27" width="12.85546875" customWidth="1"/>
    <col min="28" max="34" width="10" bestFit="1" customWidth="1"/>
  </cols>
  <sheetData>
    <row r="1" spans="1:14" ht="18.75">
      <c r="A1" s="345" t="s">
        <v>562</v>
      </c>
    </row>
    <row r="3" spans="1:14" ht="15.75">
      <c r="A3" s="542" t="s">
        <v>949</v>
      </c>
      <c r="B3" s="347" t="str">
        <f>Калькулятор_жилье!G62</f>
        <v>многоугольная</v>
      </c>
    </row>
    <row r="4" spans="1:14" ht="47.25">
      <c r="A4" s="346" t="s">
        <v>563</v>
      </c>
      <c r="B4" s="347">
        <f>Калькулятор_жилье!F7</f>
        <v>11825.26</v>
      </c>
      <c r="C4" s="348"/>
    </row>
    <row r="5" spans="1:14" ht="15.75">
      <c r="A5" s="346" t="s">
        <v>401</v>
      </c>
      <c r="B5" s="347">
        <f>Калькулятор_жилье!F111</f>
        <v>26297.3</v>
      </c>
      <c r="C5" s="138"/>
      <c r="D5" s="138"/>
    </row>
    <row r="6" spans="1:14" ht="47.25">
      <c r="A6" s="346" t="s">
        <v>564</v>
      </c>
      <c r="B6" s="347">
        <f>Калькулятор_жилье!F112</f>
        <v>17488.989791956403</v>
      </c>
      <c r="C6" s="138"/>
      <c r="D6" s="138"/>
    </row>
    <row r="7" spans="1:14" ht="31.5">
      <c r="A7" s="138"/>
      <c r="B7" s="137"/>
      <c r="C7" s="138"/>
      <c r="D7" s="303" t="str">
        <f>Калькулятор_жилье!H5</f>
        <v>Секция 1</v>
      </c>
      <c r="E7" s="303" t="str">
        <f>Калькулятор_жилье!I5</f>
        <v>Секция 2</v>
      </c>
      <c r="F7" s="303" t="str">
        <f>Калькулятор_жилье!J5</f>
        <v>Секция 3</v>
      </c>
      <c r="G7" s="303" t="str">
        <f>Калькулятор_жилье!K5</f>
        <v>Таунхаусы</v>
      </c>
      <c r="H7" s="303">
        <f>Калькулятор_жилье!L5</f>
        <v>0</v>
      </c>
      <c r="I7" s="303">
        <f>Калькулятор_жилье!M5</f>
        <v>0</v>
      </c>
      <c r="J7" s="303">
        <f>Калькулятор_жилье!N5</f>
        <v>0</v>
      </c>
      <c r="K7" s="303">
        <f>Калькулятор_жилье!O5</f>
        <v>0</v>
      </c>
      <c r="L7" s="303">
        <f>Калькулятор_жилье!P5</f>
        <v>0</v>
      </c>
      <c r="M7" s="303">
        <f>Калькулятор_жилье!Q5</f>
        <v>0</v>
      </c>
      <c r="N7" s="303">
        <f>Калькулятор_жилье!R5</f>
        <v>0</v>
      </c>
    </row>
    <row r="8" spans="1:14" ht="15.75">
      <c r="A8" s="349" t="s">
        <v>366</v>
      </c>
      <c r="B8" s="137"/>
      <c r="C8" s="138"/>
      <c r="D8" s="138"/>
      <c r="E8" s="138"/>
    </row>
    <row r="9" spans="1:14" ht="15.75">
      <c r="A9" s="346" t="s">
        <v>326</v>
      </c>
      <c r="B9" s="347">
        <f>Калькулятор_жилье!G57</f>
        <v>3</v>
      </c>
      <c r="C9" s="138"/>
      <c r="D9" s="138"/>
    </row>
    <row r="10" spans="1:14" ht="15.75">
      <c r="A10" s="346" t="s">
        <v>565</v>
      </c>
      <c r="B10" s="347">
        <f>Калькулятор_жилье!G58</f>
        <v>43043</v>
      </c>
      <c r="C10" s="138"/>
      <c r="D10" s="138"/>
      <c r="E10" s="138"/>
    </row>
    <row r="11" spans="1:14" ht="15.75">
      <c r="A11" s="346" t="s">
        <v>740</v>
      </c>
      <c r="B11" s="347" t="str">
        <f>Калькулятор_жилье!G59</f>
        <v>стена в грунте</v>
      </c>
      <c r="C11" s="138"/>
      <c r="D11" s="138"/>
      <c r="E11" s="138"/>
    </row>
    <row r="12" spans="1:14" ht="15.75">
      <c r="A12" s="349" t="s">
        <v>367</v>
      </c>
      <c r="B12" s="138"/>
      <c r="C12" s="138"/>
      <c r="D12" s="138"/>
      <c r="E12" s="138"/>
    </row>
    <row r="13" spans="1:14" ht="15.75">
      <c r="A13" s="346" t="s">
        <v>325</v>
      </c>
      <c r="B13" s="347">
        <f>MAX(Калькулятор_жилье!H64:R64)</f>
        <v>75</v>
      </c>
      <c r="C13" s="385" t="s">
        <v>657</v>
      </c>
      <c r="D13" s="408">
        <f>Калькулятор_жилье!H64</f>
        <v>75</v>
      </c>
      <c r="E13" s="408">
        <f>Калькулятор_жилье!I64</f>
        <v>75</v>
      </c>
      <c r="F13" s="408">
        <f>Калькулятор_жилье!J64</f>
        <v>75</v>
      </c>
      <c r="G13" s="408">
        <f>Калькулятор_жилье!K64</f>
        <v>12.700000000000001</v>
      </c>
      <c r="H13" s="408">
        <f>Калькулятор_жилье!L64</f>
        <v>0</v>
      </c>
      <c r="I13" s="408">
        <f>Калькулятор_жилье!M64</f>
        <v>0</v>
      </c>
      <c r="J13" s="408">
        <f>Калькулятор_жилье!N64</f>
        <v>0</v>
      </c>
      <c r="K13" s="408">
        <f>Калькулятор_жилье!O64</f>
        <v>0</v>
      </c>
      <c r="L13" s="408">
        <f>Калькулятор_жилье!P64</f>
        <v>0</v>
      </c>
      <c r="M13" s="408">
        <f>Калькулятор_жилье!Q64</f>
        <v>0</v>
      </c>
      <c r="N13" s="408">
        <f>Калькулятор_жилье!R64</f>
        <v>0</v>
      </c>
    </row>
    <row r="14" spans="1:14" ht="15.75">
      <c r="A14" s="346" t="s">
        <v>566</v>
      </c>
      <c r="B14" s="347">
        <f>MAX(Калькулятор_жилье!H65:R65)</f>
        <v>21</v>
      </c>
      <c r="C14" s="385" t="s">
        <v>658</v>
      </c>
      <c r="D14" s="408"/>
      <c r="E14" s="408"/>
      <c r="F14" s="408"/>
      <c r="G14" s="135"/>
      <c r="H14" s="135"/>
      <c r="I14" s="135"/>
      <c r="J14" s="135"/>
      <c r="K14" s="135"/>
      <c r="L14" s="135"/>
      <c r="M14" s="135"/>
      <c r="N14" s="135"/>
    </row>
    <row r="15" spans="1:14" ht="15.75">
      <c r="A15" s="350" t="s">
        <v>3</v>
      </c>
      <c r="B15" s="347">
        <f>SUM(Калькулятор_жилье!H56:R56,Калькулятор_жилье!H69:R69)</f>
        <v>117969.9236231884</v>
      </c>
      <c r="C15" s="138"/>
      <c r="D15" s="408">
        <f>IF(D13=$B$13,1,0)</f>
        <v>1</v>
      </c>
      <c r="E15" s="408">
        <f t="shared" ref="E15:N15" si="0">IF(E13=$B$13,1,0)</f>
        <v>1</v>
      </c>
      <c r="F15" s="408">
        <f t="shared" si="0"/>
        <v>1</v>
      </c>
      <c r="G15" s="408">
        <f t="shared" si="0"/>
        <v>0</v>
      </c>
      <c r="H15" s="408">
        <f t="shared" si="0"/>
        <v>0</v>
      </c>
      <c r="I15" s="408">
        <f t="shared" si="0"/>
        <v>0</v>
      </c>
      <c r="J15" s="408">
        <f t="shared" si="0"/>
        <v>0</v>
      </c>
      <c r="K15" s="408">
        <f t="shared" si="0"/>
        <v>0</v>
      </c>
      <c r="L15" s="408">
        <f t="shared" si="0"/>
        <v>0</v>
      </c>
      <c r="M15" s="408">
        <f t="shared" si="0"/>
        <v>0</v>
      </c>
      <c r="N15" s="408">
        <f t="shared" si="0"/>
        <v>0</v>
      </c>
    </row>
    <row r="16" spans="1:14" ht="31.5">
      <c r="A16" s="350" t="s">
        <v>567</v>
      </c>
      <c r="B16" s="347">
        <f>SUMPRODUCT(D16:N16,D15:N15)</f>
        <v>113663.12362318841</v>
      </c>
      <c r="C16" s="138"/>
      <c r="D16" s="408">
        <f>Калькулятор_жилье!H56+Калькулятор_жилье!H69</f>
        <v>41744.834782608697</v>
      </c>
      <c r="E16" s="408">
        <f>Калькулятор_жилье!I56+Калькулятор_жилье!I69</f>
        <v>29343.354057971006</v>
      </c>
      <c r="F16" s="408">
        <f>Калькулятор_жилье!J56+Калькулятор_жилье!J69</f>
        <v>42574.934782608696</v>
      </c>
      <c r="G16" s="408">
        <f>Калькулятор_жилье!K56+Калькулятор_жилье!K69</f>
        <v>4306.8</v>
      </c>
      <c r="H16" s="408">
        <f>Калькулятор_жилье!L56+Калькулятор_жилье!L69</f>
        <v>0</v>
      </c>
      <c r="I16" s="408">
        <f>Калькулятор_жилье!M56+Калькулятор_жилье!M69</f>
        <v>0</v>
      </c>
      <c r="J16" s="408">
        <f>Калькулятор_жилье!N56+Калькулятор_жилье!N69</f>
        <v>0</v>
      </c>
      <c r="K16" s="408">
        <f>Калькулятор_жилье!O56+Калькулятор_жилье!O69</f>
        <v>0</v>
      </c>
      <c r="L16" s="408">
        <f>Калькулятор_жилье!P56+Калькулятор_жилье!P69</f>
        <v>0</v>
      </c>
      <c r="M16" s="408">
        <f>Калькулятор_жилье!Q56+Калькулятор_жилье!Q69</f>
        <v>0</v>
      </c>
      <c r="N16" s="408">
        <f>Калькулятор_жилье!R56+Калькулятор_жилье!R69</f>
        <v>0</v>
      </c>
    </row>
    <row r="17" spans="1:14" ht="15.75">
      <c r="A17" s="351" t="s">
        <v>447</v>
      </c>
      <c r="B17" s="347" t="str">
        <f>IF(E20=MAX(E20,G20),D20,IF(G20=MAX(E20,G20),F20,""))</f>
        <v>дев</v>
      </c>
      <c r="C17" s="138"/>
      <c r="D17" s="408" t="str">
        <f>Калькулятор_жилье!H67</f>
        <v>дев</v>
      </c>
      <c r="E17" s="408" t="str">
        <f>Калькулятор_жилье!I67</f>
        <v>дев</v>
      </c>
      <c r="F17" s="408" t="str">
        <f>Калькулятор_жилье!J67</f>
        <v>дев</v>
      </c>
      <c r="G17" s="408" t="str">
        <f>Калькулятор_жилье!K67</f>
        <v>дев</v>
      </c>
      <c r="H17" s="408">
        <f>Калькулятор_жилье!L67</f>
        <v>0</v>
      </c>
      <c r="I17" s="408">
        <f>Калькулятор_жилье!M67</f>
        <v>0</v>
      </c>
      <c r="J17" s="408">
        <f>Калькулятор_жилье!N67</f>
        <v>0</v>
      </c>
      <c r="K17" s="408">
        <f>Калькулятор_жилье!O67</f>
        <v>0</v>
      </c>
      <c r="L17" s="408">
        <f>Калькулятор_жилье!P67</f>
        <v>0</v>
      </c>
      <c r="M17" s="408">
        <f>Калькулятор_жилье!Q67</f>
        <v>0</v>
      </c>
      <c r="N17" s="408">
        <f>Калькулятор_жилье!R67</f>
        <v>0</v>
      </c>
    </row>
    <row r="18" spans="1:14" ht="15.75">
      <c r="A18" s="138"/>
      <c r="B18" s="138"/>
      <c r="C18" s="138"/>
      <c r="D18" s="135">
        <v>1</v>
      </c>
      <c r="E18" s="135">
        <v>1</v>
      </c>
      <c r="F18" s="135">
        <v>1</v>
      </c>
      <c r="G18" s="135">
        <v>1</v>
      </c>
      <c r="H18" s="135">
        <v>1</v>
      </c>
      <c r="I18" s="135">
        <v>1</v>
      </c>
      <c r="J18" s="135">
        <v>1</v>
      </c>
      <c r="K18" s="135">
        <v>1</v>
      </c>
      <c r="L18" s="135">
        <v>1</v>
      </c>
      <c r="M18" s="135">
        <v>1</v>
      </c>
      <c r="N18" s="135">
        <v>1</v>
      </c>
    </row>
    <row r="19" spans="1:14" ht="15.75">
      <c r="A19" s="346" t="s">
        <v>568</v>
      </c>
      <c r="B19" s="138"/>
      <c r="C19" s="138"/>
      <c r="D19" s="135">
        <f>Калькулятор_жилье!H105</f>
        <v>576.30000000000007</v>
      </c>
      <c r="E19" s="135">
        <f>Калькулятор_жилье!I105</f>
        <v>404.70704999999998</v>
      </c>
      <c r="F19" s="135">
        <f>Калькулятор_жилье!J105</f>
        <v>576.30000000000007</v>
      </c>
      <c r="G19" s="135">
        <f>Калькулятор_жилье!K105</f>
        <v>1076.7</v>
      </c>
      <c r="H19" s="135">
        <f>Калькулятор_жилье!L105</f>
        <v>0</v>
      </c>
      <c r="I19" s="135">
        <f>Калькулятор_жилье!M105</f>
        <v>0</v>
      </c>
      <c r="J19" s="135">
        <f>Калькулятор_жилье!N105</f>
        <v>0</v>
      </c>
      <c r="K19" s="135">
        <f>Калькулятор_жилье!O105</f>
        <v>0</v>
      </c>
      <c r="L19" s="135">
        <f>Калькулятор_жилье!P105</f>
        <v>0</v>
      </c>
      <c r="M19" s="135">
        <f>Калькулятор_жилье!Q105</f>
        <v>0</v>
      </c>
      <c r="N19" s="135">
        <f>Калькулятор_жилье!R105</f>
        <v>0</v>
      </c>
    </row>
    <row r="20" spans="1:14" ht="15.75">
      <c r="A20" s="351" t="s">
        <v>729</v>
      </c>
      <c r="B20" s="347">
        <f>SUM(Калькулятор_жилье!H106:R106)</f>
        <v>3633.7164499999999</v>
      </c>
      <c r="C20" s="138"/>
      <c r="D20" s="138" t="s">
        <v>692</v>
      </c>
      <c r="E20">
        <f>SUMIF($D$17:$N$17,$D$20,$D$18:$N$18)</f>
        <v>4</v>
      </c>
      <c r="F20" s="138" t="s">
        <v>693</v>
      </c>
      <c r="G20">
        <f>SUMIF($D$17:$N$17,$F$20,$D$18:$N$18)</f>
        <v>0</v>
      </c>
      <c r="H20" s="408"/>
      <c r="I20" s="408"/>
      <c r="J20" s="408"/>
      <c r="K20" s="408"/>
      <c r="L20" s="408"/>
      <c r="M20" s="408"/>
      <c r="N20" s="408"/>
    </row>
    <row r="21" spans="1:14" ht="15.75">
      <c r="A21" s="346" t="s">
        <v>471</v>
      </c>
      <c r="B21" s="347" t="str">
        <f>IF(SUM(D21:N21)&gt;=1,"да","")</f>
        <v/>
      </c>
      <c r="C21" s="138"/>
      <c r="D21" s="408">
        <f>IF(Калькулятор_жилье!H108="да",1,0)</f>
        <v>0</v>
      </c>
      <c r="E21" s="408">
        <f>IF(Калькулятор_жилье!I108="да",1,0)</f>
        <v>0</v>
      </c>
      <c r="F21" s="408">
        <f>IF(Калькулятор_жилье!J108="да",1,0)</f>
        <v>0</v>
      </c>
      <c r="G21" s="408">
        <f>IF(Калькулятор_жилье!K108="да",1,0)</f>
        <v>0</v>
      </c>
      <c r="H21" s="408">
        <f>IF(Калькулятор_жилье!L108="да",1,0)</f>
        <v>0</v>
      </c>
      <c r="I21" s="408">
        <f>IF(Калькулятор_жилье!M108="да",1,0)</f>
        <v>0</v>
      </c>
      <c r="J21" s="408">
        <f>IF(Калькулятор_жилье!N108="да",1,0)</f>
        <v>0</v>
      </c>
      <c r="K21" s="408">
        <f>IF(Калькулятор_жилье!O108="да",1,0)</f>
        <v>0</v>
      </c>
      <c r="L21" s="408">
        <f>IF(Калькулятор_жилье!P108="да",1,0)</f>
        <v>0</v>
      </c>
      <c r="M21" s="408">
        <f>IF(Калькулятор_жилье!Q108="да",1,0)</f>
        <v>0</v>
      </c>
      <c r="N21" s="408">
        <f>IF(Калькулятор_жилье!R108="да",1,0)</f>
        <v>0</v>
      </c>
    </row>
    <row r="22" spans="1:14" ht="15.75">
      <c r="A22" s="346" t="s">
        <v>329</v>
      </c>
      <c r="B22" s="138"/>
      <c r="C22" s="138"/>
      <c r="D22" s="408" t="str">
        <f>Калькулятор_жилье!H109</f>
        <v>плоская</v>
      </c>
      <c r="E22" s="408" t="str">
        <f>Калькулятор_жилье!I109</f>
        <v>плоская</v>
      </c>
      <c r="F22" s="408" t="str">
        <f>Калькулятор_жилье!J109</f>
        <v>плоская</v>
      </c>
      <c r="G22" s="408" t="str">
        <f>Калькулятор_жилье!K109</f>
        <v>плоская</v>
      </c>
      <c r="H22" s="408">
        <f>Калькулятор_жилье!L109</f>
        <v>0</v>
      </c>
      <c r="I22" s="408">
        <f>Калькулятор_жилье!M109</f>
        <v>0</v>
      </c>
      <c r="J22" s="408">
        <f>Калькулятор_жилье!N109</f>
        <v>0</v>
      </c>
      <c r="K22" s="408">
        <f>Калькулятор_жилье!O109</f>
        <v>0</v>
      </c>
      <c r="L22" s="408">
        <f>Калькулятор_жилье!P109</f>
        <v>0</v>
      </c>
      <c r="M22" s="408">
        <f>Калькулятор_жилье!Q109</f>
        <v>0</v>
      </c>
      <c r="N22" s="408">
        <f>Калькулятор_жилье!R109</f>
        <v>0</v>
      </c>
    </row>
    <row r="23" spans="1:14" ht="15.75">
      <c r="A23" s="351" t="s">
        <v>731</v>
      </c>
      <c r="B23" s="347">
        <f>SUMPRODUCT(D23:N23,$D$19:$N$19)</f>
        <v>0</v>
      </c>
      <c r="C23" s="138"/>
      <c r="D23" s="161">
        <f>IF(D22="скатная",1,0)</f>
        <v>0</v>
      </c>
      <c r="E23" s="161">
        <f t="shared" ref="E23:N23" si="1">IF(E22="скатная",1,0)</f>
        <v>0</v>
      </c>
      <c r="F23" s="161">
        <f t="shared" si="1"/>
        <v>0</v>
      </c>
      <c r="G23" s="161">
        <f t="shared" si="1"/>
        <v>0</v>
      </c>
      <c r="H23" s="161">
        <f t="shared" si="1"/>
        <v>0</v>
      </c>
      <c r="I23" s="161">
        <f t="shared" si="1"/>
        <v>0</v>
      </c>
      <c r="J23" s="161">
        <f t="shared" si="1"/>
        <v>0</v>
      </c>
      <c r="K23" s="161">
        <f t="shared" si="1"/>
        <v>0</v>
      </c>
      <c r="L23" s="161">
        <f t="shared" si="1"/>
        <v>0</v>
      </c>
      <c r="M23" s="161">
        <f t="shared" si="1"/>
        <v>0</v>
      </c>
      <c r="N23" s="161">
        <f t="shared" si="1"/>
        <v>0</v>
      </c>
    </row>
    <row r="24" spans="1:14" ht="15.75">
      <c r="A24" s="351" t="s">
        <v>732</v>
      </c>
      <c r="B24" s="347">
        <f>SUMPRODUCT(D24:N24,$D$19:$N$19)</f>
        <v>2634.0070500000002</v>
      </c>
      <c r="C24" s="138"/>
      <c r="D24" s="161">
        <f t="shared" ref="D24:N24" si="2">IF(D22="плоская",1,0)</f>
        <v>1</v>
      </c>
      <c r="E24" s="161">
        <f t="shared" si="2"/>
        <v>1</v>
      </c>
      <c r="F24" s="161">
        <f t="shared" si="2"/>
        <v>1</v>
      </c>
      <c r="G24" s="161">
        <f t="shared" si="2"/>
        <v>1</v>
      </c>
      <c r="H24" s="161">
        <f t="shared" si="2"/>
        <v>0</v>
      </c>
      <c r="I24" s="161">
        <f t="shared" si="2"/>
        <v>0</v>
      </c>
      <c r="J24" s="161">
        <f t="shared" si="2"/>
        <v>0</v>
      </c>
      <c r="K24" s="161">
        <f t="shared" si="2"/>
        <v>0</v>
      </c>
      <c r="L24" s="161">
        <f t="shared" si="2"/>
        <v>0</v>
      </c>
      <c r="M24" s="161">
        <f t="shared" si="2"/>
        <v>0</v>
      </c>
      <c r="N24" s="161">
        <f t="shared" si="2"/>
        <v>0</v>
      </c>
    </row>
    <row r="25" spans="1:14" ht="15.75">
      <c r="A25" s="351" t="s">
        <v>730</v>
      </c>
      <c r="B25" s="347">
        <f>SUMPRODUCT(D25:N25,$D$19:$N$19)</f>
        <v>0</v>
      </c>
      <c r="C25" s="138"/>
      <c r="D25" s="161">
        <f t="shared" ref="D25:N25" si="3">IF(D22="мансарда",1,0)</f>
        <v>0</v>
      </c>
      <c r="E25" s="161">
        <f t="shared" si="3"/>
        <v>0</v>
      </c>
      <c r="F25" s="161">
        <f t="shared" si="3"/>
        <v>0</v>
      </c>
      <c r="G25" s="161">
        <f t="shared" si="3"/>
        <v>0</v>
      </c>
      <c r="H25" s="161">
        <f t="shared" si="3"/>
        <v>0</v>
      </c>
      <c r="I25" s="161">
        <f t="shared" si="3"/>
        <v>0</v>
      </c>
      <c r="J25" s="161">
        <f t="shared" si="3"/>
        <v>0</v>
      </c>
      <c r="K25" s="161">
        <f t="shared" si="3"/>
        <v>0</v>
      </c>
      <c r="L25" s="161">
        <f t="shared" si="3"/>
        <v>0</v>
      </c>
      <c r="M25" s="161">
        <f t="shared" si="3"/>
        <v>0</v>
      </c>
      <c r="N25" s="161">
        <f t="shared" si="3"/>
        <v>0</v>
      </c>
    </row>
    <row r="26" spans="1:14" ht="15.75">
      <c r="A26" s="351" t="s">
        <v>330</v>
      </c>
      <c r="B26" s="347">
        <f>SUM(Калькулятор_жилье!H85:R85)</f>
        <v>0</v>
      </c>
      <c r="C26" s="138"/>
      <c r="D26" s="138"/>
    </row>
    <row r="27" spans="1:14" ht="15.75">
      <c r="A27" s="352" t="s">
        <v>293</v>
      </c>
      <c r="C27" s="138"/>
      <c r="D27" s="138"/>
    </row>
    <row r="28" spans="1:14" ht="15.75">
      <c r="A28" s="346" t="s">
        <v>292</v>
      </c>
      <c r="B28" s="347">
        <f>Калькулятор_жилье!F20</f>
        <v>100</v>
      </c>
      <c r="C28" s="138"/>
    </row>
    <row r="29" spans="1:14" ht="15.75">
      <c r="A29" s="346" t="s">
        <v>294</v>
      </c>
      <c r="B29" s="347">
        <f>Калькулятор_жилье!F21</f>
        <v>0</v>
      </c>
      <c r="C29" s="138"/>
    </row>
    <row r="30" spans="1:14" ht="15.75">
      <c r="A30" s="352" t="s">
        <v>297</v>
      </c>
    </row>
    <row r="31" spans="1:14" ht="15.75">
      <c r="A31" s="346" t="s">
        <v>292</v>
      </c>
      <c r="B31" s="347">
        <f>Калькулятор_жилье!F27</f>
        <v>200</v>
      </c>
    </row>
    <row r="32" spans="1:14" ht="15.75">
      <c r="A32" s="346" t="s">
        <v>294</v>
      </c>
      <c r="B32" s="347">
        <f>Калькулятор_жилье!F28</f>
        <v>0</v>
      </c>
    </row>
    <row r="33" spans="1:25" ht="15.75">
      <c r="A33" s="352" t="s">
        <v>300</v>
      </c>
    </row>
    <row r="34" spans="1:25" ht="15.75">
      <c r="A34" s="346" t="s">
        <v>302</v>
      </c>
      <c r="B34" s="347">
        <f>Калькулятор_жилье!F34</f>
        <v>0</v>
      </c>
    </row>
    <row r="35" spans="1:25" ht="15.75">
      <c r="A35" s="352" t="s">
        <v>310</v>
      </c>
    </row>
    <row r="36" spans="1:25" ht="15.75">
      <c r="A36" s="346" t="s">
        <v>311</v>
      </c>
      <c r="B36" s="347">
        <f>Калькулятор_жилье!F43</f>
        <v>0</v>
      </c>
    </row>
    <row r="37" spans="1:25" s="68" customFormat="1" ht="15.75">
      <c r="A37" s="352" t="s">
        <v>270</v>
      </c>
    </row>
    <row r="38" spans="1:25" s="68" customFormat="1" ht="15.75">
      <c r="A38" s="346" t="s">
        <v>287</v>
      </c>
      <c r="B38" s="347">
        <f>Калькулятор_жилье!F50</f>
        <v>250</v>
      </c>
    </row>
    <row r="39" spans="1:25" s="68" customFormat="1" ht="15.75">
      <c r="A39" s="346" t="s">
        <v>312</v>
      </c>
      <c r="B39" s="347" t="str">
        <f>Калькулятор_жилье!F51</f>
        <v>Отдельно стоящий</v>
      </c>
    </row>
    <row r="40" spans="1:25" s="68" customFormat="1" ht="15.75">
      <c r="A40" s="346" t="s">
        <v>569</v>
      </c>
      <c r="B40" s="347">
        <f>SUM(Калькулятор_жилье!G128:R128,Калькулятор_жилье!H129:R129,Калькулятор_жилье!G133:R133,Калькулятор_жилье!H134:R134)</f>
        <v>18</v>
      </c>
      <c r="C40" s="385" t="s">
        <v>659</v>
      </c>
    </row>
    <row r="41" spans="1:25" s="68" customFormat="1" ht="15.75">
      <c r="A41" s="346" t="s">
        <v>490</v>
      </c>
      <c r="B41" s="347">
        <f>MAX(Калькулятор_жилье!G127:R127,Калькулятор_жилье!G132:R132)</f>
        <v>87.05</v>
      </c>
      <c r="C41" s="385" t="s">
        <v>657</v>
      </c>
    </row>
    <row r="42" spans="1:25" ht="15.75">
      <c r="A42" s="346" t="s">
        <v>387</v>
      </c>
      <c r="B42" s="347">
        <f>Калькулятор_жилье!F45</f>
        <v>0</v>
      </c>
      <c r="S42" s="15"/>
      <c r="T42" s="15"/>
      <c r="U42" s="15"/>
      <c r="V42" s="15"/>
      <c r="W42" s="68"/>
      <c r="X42" s="15"/>
      <c r="Y42" s="15"/>
    </row>
    <row r="45" spans="1:25" ht="15" customHeight="1">
      <c r="H45" s="1010" t="s">
        <v>571</v>
      </c>
      <c r="I45" s="1011"/>
      <c r="J45" s="1011"/>
      <c r="K45" s="1011"/>
      <c r="L45" s="1011"/>
      <c r="M45" s="1011"/>
      <c r="N45" s="1011"/>
      <c r="O45" s="1011"/>
    </row>
    <row r="46" spans="1:25">
      <c r="H46" s="354">
        <f>B9</f>
        <v>3</v>
      </c>
      <c r="I46" s="355" t="s">
        <v>574</v>
      </c>
      <c r="J46" s="356">
        <f ca="1">IF($B$3="многоугольная",J58,SUM(I47,O47,M47,K47))</f>
        <v>495</v>
      </c>
      <c r="K46" t="s">
        <v>575</v>
      </c>
      <c r="L46" s="356">
        <f ca="1">J46*IF(длительность!$B$11="стена в грунте",80%,IF(длительность!$B$11="up-down",92%,70%))</f>
        <v>396</v>
      </c>
      <c r="M46" t="s">
        <v>576</v>
      </c>
    </row>
    <row r="47" spans="1:25">
      <c r="H47" s="354">
        <f>B10</f>
        <v>43043</v>
      </c>
      <c r="I47" s="359">
        <f ca="1">IF(H47=0,0,ROUND(IF(H47&lt;=H49,I49,IF(H47&gt;=$H$53,$I$53,FORECAST($H$47,OFFSET($I$48:$I$49,MATCH($H$47,паркинг),),OFFSET($H$48:$H$49,MATCH($H$47,паркинг),)))),0)*IF(B9=1,1,0))</f>
        <v>0</v>
      </c>
      <c r="K47" s="359">
        <f ca="1">IF(H47=0,0,ROUND(IF(H47&lt;=H49,K49,IF(H47&gt;=$H$53,$K$53,FORECAST($H$47,OFFSET($K$48:$K$49,MATCH($H$47,паркинг),),OFFSET($H$48:$H$49,MATCH($H$47,паркинг),)))),0)*IF(B9=2,1,0))</f>
        <v>0</v>
      </c>
      <c r="M47" s="359">
        <f ca="1">IF(H47=0,0,ROUND(IF(H47&lt;=H50,M50,IF(H47&gt;=$H$53,$M$53,FORECAST($H$47,OFFSET($M$48:$M$49,MATCH($H$47,паркинг),),OFFSET($H$48:$H$49,MATCH($H$47,паркинг),)))),0)*IF(B9=3,1,0))</f>
        <v>430</v>
      </c>
      <c r="O47" s="359">
        <f ca="1">IF(H47=0,0,ROUND(IF(H47&lt;=H50,O50,IF(H47&gt;=$H$53,$O$53,FORECAST($H$47,OFFSET($O$48:$O$49,MATCH($H$47,паркинг),),OFFSET($H$48:$H$49,MATCH($H$47,паркинг),)))),0)*IF(B9="3+тех.эт.",1,0))</f>
        <v>0</v>
      </c>
    </row>
    <row r="48" spans="1:25" ht="30">
      <c r="H48" s="361" t="s">
        <v>580</v>
      </c>
      <c r="I48" s="361" t="s">
        <v>578</v>
      </c>
      <c r="J48" s="15"/>
      <c r="K48" s="361" t="s">
        <v>578</v>
      </c>
      <c r="M48" s="361" t="s">
        <v>578</v>
      </c>
      <c r="O48" s="361" t="s">
        <v>578</v>
      </c>
    </row>
    <row r="49" spans="1:25" ht="15" customHeight="1">
      <c r="H49" s="363">
        <v>1000</v>
      </c>
      <c r="I49" s="364">
        <v>120</v>
      </c>
      <c r="J49" s="1015" t="s">
        <v>585</v>
      </c>
      <c r="K49" s="364">
        <v>150</v>
      </c>
      <c r="L49" s="1014" t="s">
        <v>586</v>
      </c>
      <c r="M49" s="364" t="s">
        <v>587</v>
      </c>
      <c r="N49" s="1014" t="s">
        <v>588</v>
      </c>
      <c r="O49" s="364" t="s">
        <v>587</v>
      </c>
      <c r="P49" s="1014" t="s">
        <v>589</v>
      </c>
    </row>
    <row r="50" spans="1:25">
      <c r="B50" s="1012" t="s">
        <v>27</v>
      </c>
      <c r="C50" s="1013"/>
      <c r="H50" s="363">
        <v>5000</v>
      </c>
      <c r="I50" s="364">
        <v>270</v>
      </c>
      <c r="J50" s="1015"/>
      <c r="K50" s="364">
        <v>350</v>
      </c>
      <c r="L50" s="1014"/>
      <c r="M50" s="364">
        <v>365</v>
      </c>
      <c r="N50" s="1014"/>
      <c r="O50" s="364">
        <v>365</v>
      </c>
      <c r="P50" s="1014"/>
    </row>
    <row r="51" spans="1:25">
      <c r="C51" s="360">
        <f ca="1">IF($B$3="многоугольная",D52,C52)</f>
        <v>110</v>
      </c>
      <c r="D51" s="547" t="s">
        <v>950</v>
      </c>
      <c r="H51" s="363">
        <v>10000</v>
      </c>
      <c r="I51" s="364">
        <v>350</v>
      </c>
      <c r="J51" s="1015"/>
      <c r="K51" s="364">
        <v>365</v>
      </c>
      <c r="L51" s="1014"/>
      <c r="M51" s="364">
        <v>380</v>
      </c>
      <c r="N51" s="1014"/>
      <c r="O51" s="364">
        <v>380</v>
      </c>
      <c r="P51" s="1014"/>
    </row>
    <row r="52" spans="1:25">
      <c r="B52" s="358">
        <f>B5/10000</f>
        <v>2.6297299999999999</v>
      </c>
      <c r="C52" s="359">
        <f ca="1">IF(B52=0,0,ROUND(IF(B52&lt;=B54,C54,IF(B52&gt;=$B$55,$C$55,FORECAST($B$52,OFFSET($C$53:$C$54,MATCH($B$52,стройпл),),OFFSET($B$53:$B$54,MATCH($B$52,стройпл),)))),0))</f>
        <v>82</v>
      </c>
      <c r="D52" s="359">
        <f ca="1">IF(B52=0,0,ROUND(IF(B52&lt;=B54,D54,IF(B52&gt;=$B$55,$D$55,FORECAST($B$52,OFFSET($D$53:$D$54,MATCH($B$52,стройпл),),OFFSET($B$53:$B$54,MATCH($B$52,стройпл),)))),0))</f>
        <v>110</v>
      </c>
      <c r="H52" s="363">
        <v>20000</v>
      </c>
      <c r="I52" s="364">
        <v>365</v>
      </c>
      <c r="J52" s="1015"/>
      <c r="K52" s="364">
        <v>380</v>
      </c>
      <c r="L52" s="1014"/>
      <c r="M52" s="364">
        <v>400</v>
      </c>
      <c r="N52" s="1014"/>
      <c r="O52" s="364">
        <v>400</v>
      </c>
      <c r="P52" s="1014"/>
    </row>
    <row r="53" spans="1:25">
      <c r="A53" s="15"/>
      <c r="B53" s="361" t="s">
        <v>579</v>
      </c>
      <c r="C53" s="361" t="s">
        <v>578</v>
      </c>
      <c r="D53" s="361" t="s">
        <v>578</v>
      </c>
      <c r="H53" s="363">
        <v>35000</v>
      </c>
      <c r="I53" s="364">
        <v>380</v>
      </c>
      <c r="J53" s="1015"/>
      <c r="K53" s="364">
        <v>400</v>
      </c>
      <c r="L53" s="1014"/>
      <c r="M53" s="364">
        <v>430</v>
      </c>
      <c r="N53" s="1014"/>
      <c r="O53" s="364">
        <v>455</v>
      </c>
      <c r="P53" s="1014"/>
    </row>
    <row r="54" spans="1:25">
      <c r="A54" s="546" t="s">
        <v>584</v>
      </c>
      <c r="B54" s="365">
        <v>0.3</v>
      </c>
      <c r="C54" s="364">
        <v>30</v>
      </c>
      <c r="D54" s="364">
        <v>45</v>
      </c>
    </row>
    <row r="55" spans="1:25">
      <c r="A55" s="546" t="s">
        <v>402</v>
      </c>
      <c r="B55" s="365">
        <v>3</v>
      </c>
      <c r="C55" s="364">
        <v>90</v>
      </c>
      <c r="D55" s="364">
        <v>120</v>
      </c>
    </row>
    <row r="56" spans="1:25">
      <c r="H56" s="1010" t="s">
        <v>950</v>
      </c>
      <c r="I56" s="1011"/>
      <c r="J56" s="1011"/>
      <c r="K56" s="1011"/>
      <c r="L56" s="1011"/>
      <c r="M56" s="1011"/>
      <c r="N56" s="1011"/>
      <c r="O56" s="1011"/>
      <c r="R56" s="1007" t="s">
        <v>344</v>
      </c>
      <c r="S56" s="1007"/>
      <c r="T56" s="1007"/>
      <c r="W56" s="68"/>
      <c r="X56" s="1008" t="s">
        <v>570</v>
      </c>
      <c r="Y56" s="1009"/>
    </row>
    <row r="57" spans="1:25" ht="76.5" customHeight="1">
      <c r="A57" s="345"/>
      <c r="H57" s="1010" t="s">
        <v>571</v>
      </c>
      <c r="I57" s="1011"/>
      <c r="J57" s="1011"/>
      <c r="K57" s="1011"/>
      <c r="L57" s="1011"/>
      <c r="M57" s="1011"/>
      <c r="N57" s="1011"/>
      <c r="O57" s="1011"/>
      <c r="S57" s="353" t="s">
        <v>572</v>
      </c>
      <c r="T57" s="353" t="s">
        <v>471</v>
      </c>
      <c r="U57" s="353" t="s">
        <v>573</v>
      </c>
      <c r="V57" s="353" t="s">
        <v>75</v>
      </c>
      <c r="W57" s="68"/>
      <c r="Y57" s="353" t="s">
        <v>77</v>
      </c>
    </row>
    <row r="58" spans="1:25">
      <c r="A58" s="1010" t="s">
        <v>53</v>
      </c>
      <c r="B58" s="1011"/>
      <c r="C58" s="1011"/>
      <c r="J58" s="356">
        <f ca="1">SUM(I59,O59,M59,K59)</f>
        <v>495</v>
      </c>
      <c r="K58" t="s">
        <v>575</v>
      </c>
      <c r="R58" s="305"/>
      <c r="S58" s="354">
        <f>B24</f>
        <v>2634.0070500000002</v>
      </c>
      <c r="T58" s="354" t="str">
        <f>B21</f>
        <v/>
      </c>
      <c r="U58" s="354">
        <f>B20+B25</f>
        <v>3633.7164499999999</v>
      </c>
      <c r="V58" s="354">
        <f>B23</f>
        <v>0</v>
      </c>
      <c r="W58" s="68"/>
      <c r="X58" s="305"/>
      <c r="Y58" s="354">
        <f>B10/IF(B9=1,1,IF(B9=2,2,IF(B9=3,3,3)))</f>
        <v>14347.666666666666</v>
      </c>
    </row>
    <row r="59" spans="1:25">
      <c r="A59" s="354">
        <f>B4</f>
        <v>11825.26</v>
      </c>
      <c r="B59" s="357">
        <f ca="1">IF(A59=0,0,ROUND(IF(A59&lt;=A61,B61,IF(A59&gt;=$A$68,$B$68,FORECAST($A$59,OFFSET($B$60:$B$61,MATCH($A$59,демонтаж),),OFFSET($A$60:$A$61,MATCH($A$59,демонтаж),)))),0))</f>
        <v>17</v>
      </c>
      <c r="I59" s="359">
        <f ca="1">IF(H47=0,0,ROUND(IF(H47&lt;=H61,I61,IF(H47&gt;=$H$53,$I$65,FORECAST($H$47,OFFSET($I$60:$I$61,MATCH($H$47,паркинг),),OFFSET($H$48:$H$49,MATCH($H$47,паркинг),)))),0)*IF(B9=1,1,0))</f>
        <v>0</v>
      </c>
      <c r="J59" s="15"/>
      <c r="K59" s="359">
        <f ca="1">IF(H47=0,0,ROUND(IF(H47&lt;=H49,K61,IF(H47&gt;=$H$53,$K$65,FORECAST($H$47,OFFSET($K$60:$K$61,MATCH($H$47,паркинг),),OFFSET($H$48:$H$49,MATCH($H$47,паркинг),)))),0)*IF(B9=2,1,0))</f>
        <v>0</v>
      </c>
      <c r="M59" s="359">
        <f ca="1">IF(H47=0,0,ROUND(IF(H47&lt;=H50,M62,IF(H47&gt;=$H$53,$M$65,FORECAST($H$47,OFFSET($M$60:$M$61,MATCH($H$47,паркинг),),OFFSET($H$48:$H$49,MATCH($H$47,паркинг),)))),0)*IF(B9=3,1,0))</f>
        <v>495</v>
      </c>
      <c r="O59" s="359">
        <f ca="1">IF(H47=0,0,ROUND(IF(H47&lt;=H50,O62,IF(H47&gt;=$H$53,$O$65,FORECAST($H$47,OFFSET($O$60:$O$61,MATCH($H$47,паркинг),),OFFSET($H$48:$H$49,MATCH($H$47,паркинг),)))),0)*IF(B9="3+тех.эт.",1,0))</f>
        <v>0</v>
      </c>
      <c r="S59" s="360">
        <f ca="1">IF(S58=0,0,ROUND(IF(S58&lt;=R61,S61,IF(S58&gt;=$R$66,$S$66,FORECAST($S$58,OFFSET($S$60:$S$61,MATCH($S$58,кровля),),OFFSET($R$60:$R$61,MATCH($S$58,кровля),)))),0))</f>
        <v>70</v>
      </c>
      <c r="T59" s="360">
        <f ca="1">IF((S58+U58+V58)=0,0,ROUND(IF(S58&lt;=R61,T61,IF(S58&gt;=$R$66,$T$66,FORECAST($S$58,OFFSET($T$60:$T$61,MATCH($S$58,кровля),),OFFSET($R$60:$R$61,MATCH($S$58,кровля),)))),0)*IF(T58="да",1,0))</f>
        <v>0</v>
      </c>
      <c r="U59" s="360">
        <f ca="1">IF(U58=0,0,ROUND(IF(U58&lt;=R61,U61,IF(U58&gt;=$R$66,$U$66,FORECAST($U$58,OFFSET($U$60:$U$61,MATCH($U$58,кровля),),OFFSET($R$60:$R$61,MATCH($U$58,кровля),)))),0))</f>
        <v>115</v>
      </c>
      <c r="V59" s="360">
        <f ca="1">IF(V58=0,0,ROUND(IF(V58&lt;=R61,V61,IF(V58&gt;=$R$62,$V$62,FORECAST($V$58,OFFSET($V$60:$V$61,MATCH($V$58,скат),),OFFSET($R$60:$R$61,MATCH($V$58,скат),)))),0))</f>
        <v>0</v>
      </c>
      <c r="W59" s="68"/>
      <c r="Y59" s="360">
        <f ca="1">IF(Y58=0,0,ROUND(IF(Y58&lt;=X61,Y61,IF(Y58&gt;=$X$65,$Y$65,FORECAST($Y$58,OFFSET($Y$60:$Y$61,MATCH($Y$58,стил),),OFFSET($X$60:$X$61,MATCH($Y$58,стил),)))),0))</f>
        <v>73</v>
      </c>
    </row>
    <row r="60" spans="1:25" ht="45">
      <c r="A60" s="361" t="s">
        <v>577</v>
      </c>
      <c r="B60" s="361" t="s">
        <v>578</v>
      </c>
      <c r="H60" s="361" t="s">
        <v>580</v>
      </c>
      <c r="I60" s="361" t="s">
        <v>578</v>
      </c>
      <c r="J60" s="15"/>
      <c r="K60" s="361" t="s">
        <v>578</v>
      </c>
      <c r="M60" s="361" t="s">
        <v>578</v>
      </c>
      <c r="O60" s="361" t="s">
        <v>578</v>
      </c>
      <c r="R60" s="361" t="s">
        <v>581</v>
      </c>
      <c r="S60" s="362" t="s">
        <v>578</v>
      </c>
      <c r="T60" s="362" t="s">
        <v>578</v>
      </c>
      <c r="U60" s="362" t="s">
        <v>578</v>
      </c>
      <c r="V60" s="362" t="s">
        <v>578</v>
      </c>
      <c r="W60" s="68"/>
      <c r="X60" s="361" t="s">
        <v>582</v>
      </c>
      <c r="Y60" s="362" t="s">
        <v>578</v>
      </c>
    </row>
    <row r="61" spans="1:25">
      <c r="A61" s="363">
        <v>3000</v>
      </c>
      <c r="B61" s="364">
        <v>15</v>
      </c>
      <c r="C61" s="1014" t="s">
        <v>583</v>
      </c>
      <c r="H61" s="363">
        <v>1000</v>
      </c>
      <c r="I61" s="367">
        <v>138</v>
      </c>
      <c r="J61" s="1015" t="s">
        <v>585</v>
      </c>
      <c r="K61" s="367">
        <v>172.5</v>
      </c>
      <c r="L61" s="1014" t="s">
        <v>586</v>
      </c>
      <c r="M61" s="367" t="s">
        <v>587</v>
      </c>
      <c r="N61" s="1014" t="s">
        <v>588</v>
      </c>
      <c r="O61" s="367" t="s">
        <v>587</v>
      </c>
      <c r="P61" s="1014" t="s">
        <v>589</v>
      </c>
      <c r="R61" s="363">
        <v>1000</v>
      </c>
      <c r="S61" s="366">
        <v>60</v>
      </c>
      <c r="T61" s="366">
        <v>45</v>
      </c>
      <c r="U61" s="366">
        <v>80</v>
      </c>
      <c r="V61" s="367">
        <v>80</v>
      </c>
      <c r="W61" s="68"/>
      <c r="X61" s="363">
        <v>1000</v>
      </c>
      <c r="Y61" s="366">
        <v>30</v>
      </c>
    </row>
    <row r="62" spans="1:25">
      <c r="A62" s="363">
        <v>5000</v>
      </c>
      <c r="B62" s="364">
        <v>15</v>
      </c>
      <c r="C62" s="1014"/>
      <c r="H62" s="363">
        <v>5000</v>
      </c>
      <c r="I62" s="367">
        <v>310.5</v>
      </c>
      <c r="J62" s="1015"/>
      <c r="K62" s="367">
        <v>402.49999999999994</v>
      </c>
      <c r="L62" s="1014"/>
      <c r="M62" s="367">
        <v>419.74999999999994</v>
      </c>
      <c r="N62" s="1014"/>
      <c r="O62" s="367">
        <v>419.74999999999994</v>
      </c>
      <c r="P62" s="1014"/>
      <c r="R62" s="363">
        <v>2000</v>
      </c>
      <c r="S62" s="366">
        <v>60</v>
      </c>
      <c r="T62" s="366">
        <v>45</v>
      </c>
      <c r="U62" s="366">
        <v>90</v>
      </c>
      <c r="V62" s="367">
        <v>150</v>
      </c>
      <c r="W62" s="68"/>
      <c r="X62" s="363">
        <v>5000</v>
      </c>
      <c r="Y62" s="366">
        <v>45</v>
      </c>
    </row>
    <row r="63" spans="1:25">
      <c r="A63" s="363">
        <v>10000</v>
      </c>
      <c r="B63" s="364">
        <v>15</v>
      </c>
      <c r="C63" s="1014"/>
      <c r="H63" s="363">
        <v>10000</v>
      </c>
      <c r="I63" s="367">
        <v>402.49999999999994</v>
      </c>
      <c r="J63" s="1015"/>
      <c r="K63" s="367">
        <v>419.74999999999994</v>
      </c>
      <c r="L63" s="1014"/>
      <c r="M63" s="367">
        <v>436.99999999999994</v>
      </c>
      <c r="N63" s="1014"/>
      <c r="O63" s="367">
        <v>436.99999999999994</v>
      </c>
      <c r="P63" s="1014"/>
      <c r="R63" s="363">
        <v>4000</v>
      </c>
      <c r="S63" s="366">
        <v>90</v>
      </c>
      <c r="T63" s="366">
        <v>60</v>
      </c>
      <c r="U63" s="366">
        <v>120</v>
      </c>
      <c r="V63" s="367"/>
      <c r="W63" s="68"/>
      <c r="X63" s="363">
        <v>10000</v>
      </c>
      <c r="Y63" s="366">
        <v>60</v>
      </c>
    </row>
    <row r="64" spans="1:25">
      <c r="A64" s="363">
        <v>15000</v>
      </c>
      <c r="B64" s="364">
        <v>20</v>
      </c>
      <c r="C64" s="1014"/>
      <c r="D64" s="15"/>
      <c r="H64" s="363">
        <v>20000</v>
      </c>
      <c r="I64" s="367">
        <v>419.74999999999994</v>
      </c>
      <c r="J64" s="1015"/>
      <c r="K64" s="367">
        <v>436.99999999999994</v>
      </c>
      <c r="L64" s="1014"/>
      <c r="M64" s="367">
        <v>459.99999999999994</v>
      </c>
      <c r="N64" s="1014"/>
      <c r="O64" s="367">
        <v>459.99999999999994</v>
      </c>
      <c r="P64" s="1014"/>
      <c r="R64" s="363">
        <v>6000</v>
      </c>
      <c r="S64" s="366">
        <v>120</v>
      </c>
      <c r="T64" s="366">
        <v>60</v>
      </c>
      <c r="U64" s="366">
        <v>140</v>
      </c>
      <c r="V64" s="367"/>
      <c r="W64" s="68"/>
      <c r="X64" s="363">
        <v>20000</v>
      </c>
      <c r="Y64" s="366">
        <v>90</v>
      </c>
    </row>
    <row r="65" spans="1:44">
      <c r="A65" s="363">
        <v>20000</v>
      </c>
      <c r="B65" s="364">
        <v>45</v>
      </c>
      <c r="C65" s="1014"/>
      <c r="D65" s="15"/>
      <c r="H65" s="363">
        <v>35000</v>
      </c>
      <c r="I65" s="367">
        <v>436.99999999999994</v>
      </c>
      <c r="J65" s="1015"/>
      <c r="K65" s="367">
        <v>459.99999999999994</v>
      </c>
      <c r="L65" s="1014"/>
      <c r="M65" s="367">
        <v>494.49999999999994</v>
      </c>
      <c r="N65" s="1014"/>
      <c r="O65" s="367">
        <v>523.25</v>
      </c>
      <c r="P65" s="1014"/>
      <c r="R65" s="363">
        <v>8000</v>
      </c>
      <c r="S65" s="366">
        <v>120</v>
      </c>
      <c r="T65" s="366">
        <v>60</v>
      </c>
      <c r="U65" s="366">
        <v>160</v>
      </c>
      <c r="V65" s="367"/>
      <c r="W65" s="68"/>
      <c r="X65" s="363">
        <v>35000</v>
      </c>
      <c r="Y65" s="366">
        <v>120</v>
      </c>
    </row>
    <row r="66" spans="1:44">
      <c r="A66" s="363">
        <v>30000</v>
      </c>
      <c r="B66" s="364">
        <v>45</v>
      </c>
      <c r="C66" s="1014"/>
      <c r="D66" s="15"/>
      <c r="R66" s="363">
        <v>10000</v>
      </c>
      <c r="S66" s="366">
        <v>160</v>
      </c>
      <c r="T66" s="366">
        <v>60</v>
      </c>
      <c r="U66" s="366">
        <v>180</v>
      </c>
      <c r="V66" s="367"/>
      <c r="W66" s="68"/>
      <c r="X66" s="68"/>
      <c r="Y66" s="68"/>
      <c r="Z66" s="68"/>
      <c r="AA66" s="361" t="s">
        <v>595</v>
      </c>
      <c r="AB66" s="410">
        <v>20000</v>
      </c>
      <c r="AC66" s="410">
        <v>30000</v>
      </c>
      <c r="AD66" s="410">
        <v>40000</v>
      </c>
      <c r="AE66" s="410">
        <v>50000</v>
      </c>
      <c r="AF66" s="410">
        <v>70000</v>
      </c>
      <c r="AG66" s="410">
        <v>80000</v>
      </c>
      <c r="AH66" s="410">
        <v>95000</v>
      </c>
    </row>
    <row r="67" spans="1:44">
      <c r="A67" s="363">
        <v>45000</v>
      </c>
      <c r="B67" s="364">
        <v>60</v>
      </c>
      <c r="C67" s="1014"/>
      <c r="D67" s="15"/>
      <c r="W67" s="15"/>
      <c r="AA67" s="363">
        <v>5</v>
      </c>
      <c r="AB67" s="412">
        <f>AB74</f>
        <v>163.125</v>
      </c>
      <c r="AC67" s="412">
        <f t="shared" ref="AC67:AH67" si="4">AC74</f>
        <v>186.42857142857142</v>
      </c>
      <c r="AD67" s="412">
        <f t="shared" si="4"/>
        <v>217.5</v>
      </c>
      <c r="AE67" s="412">
        <f t="shared" si="4"/>
        <v>0</v>
      </c>
      <c r="AF67" s="412">
        <f t="shared" si="4"/>
        <v>0</v>
      </c>
      <c r="AG67" s="412">
        <f t="shared" si="4"/>
        <v>0</v>
      </c>
      <c r="AH67" s="412">
        <f t="shared" si="4"/>
        <v>0</v>
      </c>
    </row>
    <row r="68" spans="1:44">
      <c r="A68" s="363">
        <v>120000</v>
      </c>
      <c r="B68" s="364">
        <v>90</v>
      </c>
      <c r="C68" s="1014"/>
      <c r="D68" s="15"/>
      <c r="AA68" s="363">
        <v>10</v>
      </c>
      <c r="AB68" s="412">
        <f>AB75</f>
        <v>186.42857142857142</v>
      </c>
      <c r="AC68" s="412">
        <f>TREND($AB$75:$AH$75,$AB$72:$AH$72,AC72,1)</f>
        <v>212.21916266506605</v>
      </c>
      <c r="AD68" s="412">
        <f t="shared" ref="AD68:AG68" si="5">TREND($AB$75:$AH$75,$AB$72:$AH$72,AD72,1)</f>
        <v>232.93487106381016</v>
      </c>
      <c r="AE68" s="412">
        <f t="shared" si="5"/>
        <v>253.65057946255428</v>
      </c>
      <c r="AF68" s="412">
        <f t="shared" si="5"/>
        <v>274.36628786129836</v>
      </c>
      <c r="AG68" s="412">
        <f t="shared" si="5"/>
        <v>295.0819962600425</v>
      </c>
      <c r="AH68" s="412">
        <f>AH75</f>
        <v>310.71428571428572</v>
      </c>
    </row>
    <row r="69" spans="1:44" ht="15" customHeight="1">
      <c r="D69" s="15"/>
      <c r="E69" s="1008" t="s">
        <v>448</v>
      </c>
      <c r="F69" s="1009"/>
      <c r="H69" s="1010" t="s">
        <v>590</v>
      </c>
      <c r="I69" s="1011"/>
      <c r="J69" s="1011"/>
      <c r="K69" s="1011"/>
      <c r="L69" s="1011"/>
      <c r="M69" s="1011"/>
      <c r="N69" s="1011"/>
      <c r="O69" s="1011"/>
      <c r="P69" s="1011"/>
      <c r="Q69" s="1011"/>
      <c r="R69" s="1011"/>
      <c r="S69" s="1011"/>
      <c r="T69" s="1011"/>
      <c r="U69" s="1011"/>
      <c r="V69" s="1011"/>
      <c r="W69" s="1011"/>
      <c r="X69" s="1011"/>
      <c r="Y69" s="1011"/>
      <c r="AA69" s="363">
        <v>20</v>
      </c>
      <c r="AB69" s="412">
        <f>AB76</f>
        <v>217.5</v>
      </c>
      <c r="AC69" s="412">
        <f t="shared" ref="AC69:AG69" si="6">TREND($AB$76:$AH$76,$AB$72:$AH$72,AC72,1)</f>
        <v>236.02179962894252</v>
      </c>
      <c r="AD69" s="412">
        <f t="shared" si="6"/>
        <v>259.91048237476809</v>
      </c>
      <c r="AE69" s="412">
        <f t="shared" si="6"/>
        <v>283.79916512059373</v>
      </c>
      <c r="AF69" s="412">
        <f t="shared" si="6"/>
        <v>307.6878478664193</v>
      </c>
      <c r="AG69" s="412">
        <f t="shared" si="6"/>
        <v>331.57653061224494</v>
      </c>
      <c r="AH69" s="412">
        <f>AH76</f>
        <v>362.5</v>
      </c>
    </row>
    <row r="70" spans="1:44">
      <c r="A70" s="1012" t="s">
        <v>96</v>
      </c>
      <c r="B70" s="1013"/>
      <c r="D70" s="15"/>
      <c r="E70" s="354" t="str">
        <f>B17</f>
        <v>дев</v>
      </c>
      <c r="F70" t="s">
        <v>591</v>
      </c>
      <c r="G70" s="15"/>
      <c r="H70" s="354">
        <f>B14</f>
        <v>21</v>
      </c>
      <c r="I70" s="355" t="s">
        <v>592</v>
      </c>
      <c r="J70" s="356">
        <f ca="1">IF($B$3="многоугольная",J82,I71)+F71</f>
        <v>379</v>
      </c>
      <c r="AA70" s="363">
        <v>30</v>
      </c>
      <c r="AB70" s="412">
        <f>AB77</f>
        <v>0</v>
      </c>
      <c r="AC70" s="412">
        <f>AC77</f>
        <v>261</v>
      </c>
      <c r="AD70" s="412">
        <f t="shared" ref="AD70:AG70" si="7">TREND($AC$77:$AH$77,$AB$72:$AG$72,AC72,1)</f>
        <v>286.76582148010721</v>
      </c>
      <c r="AE70" s="412">
        <f t="shared" si="7"/>
        <v>312.41207998350853</v>
      </c>
      <c r="AF70" s="412">
        <f t="shared" si="7"/>
        <v>338.05833848690992</v>
      </c>
      <c r="AG70" s="412">
        <f t="shared" si="7"/>
        <v>363.7045969903113</v>
      </c>
      <c r="AH70" s="412">
        <f>AH77</f>
        <v>395.45454545454544</v>
      </c>
    </row>
    <row r="71" spans="1:44">
      <c r="A71" s="354">
        <f>B26</f>
        <v>0</v>
      </c>
      <c r="B71" s="360">
        <f ca="1">IF(A71=0,0+IF(SUM(Калькулятор_жилье!M304:W308)&gt;0,60,0),ROUND(IF(A71&lt;=A73,B73,IF(A71&gt;=$A$79,$B$79,FORECAST($A$71,OFFSET($B$72:$B$73,MATCH($A$71,квартира),),OFFSET($A$72:$A$73,MATCH($A$71,квартира),)))),0))</f>
        <v>60</v>
      </c>
      <c r="C71" s="15"/>
      <c r="D71" s="15"/>
      <c r="F71" s="368">
        <f ca="1">IF(H71=0,0,ROUND(IF(H71&lt;=E73,F73,IF(H71&gt;=$E$76,$F$76,FORECAST($H$71,OFFSET($F$72:$F$73,MATCH($H$71,редев),),OFFSET($E$72:$E$73,MATCH($H$71,редев),)))),0)*IF(E70="редев",1,0))</f>
        <v>0</v>
      </c>
      <c r="G71" s="415"/>
      <c r="H71" s="354">
        <f>B16</f>
        <v>113663.12362318841</v>
      </c>
      <c r="I71" s="368">
        <f ca="1">IF(H71=0,0,ROUND(IF(H71&lt;=H73,I73,IF(H71&gt;=$H$79,$I$79,FORECAST($H$71,OFFSET($I$72:$I$73,MATCH($H$71,назем),),OFFSET($H$72:$H$73,MATCH($H$71,назем),)))),0)*IF(E70="дев",1,0))</f>
        <v>348</v>
      </c>
      <c r="AA71" s="363">
        <v>40</v>
      </c>
      <c r="AB71" s="412">
        <f>AB78</f>
        <v>0</v>
      </c>
      <c r="AC71" s="412">
        <f>AC78</f>
        <v>326.25</v>
      </c>
      <c r="AD71" s="412">
        <f t="shared" ref="AD71:AG71" si="8">TREND($AC$78:$AH$78,$AB$72:$AG$72,AC72,1)</f>
        <v>355.13734335839598</v>
      </c>
      <c r="AE71" s="412">
        <f t="shared" si="8"/>
        <v>376.4690931875142</v>
      </c>
      <c r="AF71" s="412">
        <f t="shared" si="8"/>
        <v>397.80084301663248</v>
      </c>
      <c r="AG71" s="412">
        <f t="shared" si="8"/>
        <v>419.13259284575071</v>
      </c>
      <c r="AH71" s="412">
        <f>AH78</f>
        <v>435</v>
      </c>
    </row>
    <row r="72" spans="1:44" ht="30">
      <c r="A72" s="361" t="s">
        <v>593</v>
      </c>
      <c r="B72" s="361" t="s">
        <v>578</v>
      </c>
      <c r="C72" s="15"/>
      <c r="E72" s="361" t="s">
        <v>594</v>
      </c>
      <c r="F72" s="361" t="s">
        <v>578</v>
      </c>
      <c r="G72" s="15"/>
      <c r="H72" s="361" t="s">
        <v>594</v>
      </c>
      <c r="I72" s="361" t="s">
        <v>578</v>
      </c>
      <c r="J72" s="15"/>
      <c r="L72" s="368">
        <f ca="1">IF(H71=0,0,ROUND(IF(H70&lt;=K74,L74,IF(H70&gt;=$K$76,$L$76,FORECAST($H$70,OFFSET($L$73:$L$74,MATCH($H$70,этаж),),OFFSET($K$73:$K$74,MATCH($H$70,этаж),)))),0))</f>
        <v>218</v>
      </c>
      <c r="N72" s="368">
        <f ca="1">IF(H71=0,0,ROUND(IF(H70&lt;=K74,N74,IF(H70&gt;=$K$78,$N$78,FORECAST($H$70,OFFSET($N$73:$N$74,MATCH($H$70,этаж),),OFFSET($K$73:$K$74,MATCH($H$70,этаж),)))),0))</f>
        <v>294</v>
      </c>
      <c r="P72" s="368">
        <f ca="1">IF(H71=0,0,ROUND(IF(H70&lt;=K74,P74,IF(H70&gt;=$K$78,$P$78,FORECAST($H$70,OFFSET($P$73:$P$74,MATCH($H$70,этаж),),OFFSET($K$73:$K$74,MATCH($H$70,этаж),)))),0))</f>
        <v>259</v>
      </c>
      <c r="R72" s="368">
        <f ca="1">IF(H71=0,0,ROUND(IF(H70&lt;=K75,R75,IF(H70&gt;=$K$78,$R$78,FORECAST($H$70,OFFSET($R$73:$R$74,MATCH($H$70,этаж),),OFFSET($K$73:$K$74,MATCH($H$70,этаж),)))),0))</f>
        <v>323</v>
      </c>
      <c r="T72" s="368">
        <f ca="1">IF(H71=0,0,ROUND(IF(H70&lt;=K75,T75,IF(H70&gt;=$K$78,$T$78,FORECAST($H$70,OFFSET($T$73:$T$74,MATCH($H$70,этаж),),OFFSET($K$73:$K$74,MATCH($H$70,этаж),)))),0))</f>
        <v>291</v>
      </c>
      <c r="V72" s="368">
        <f ca="1">IF(H71=0,0,ROUND(IF(H70&lt;=K75,V75,IF(H70&gt;=$K$78,$V$78,FORECAST($H$70,OFFSET($V$73:$V$74,MATCH($H$70,этаж),),OFFSET($K$73:$K$74,MATCH($H$70,этаж),)))),0))</f>
        <v>318</v>
      </c>
      <c r="X72" s="368">
        <f ca="1">IF(H71=0,0,ROUND(IF(H70&lt;=K75,X75,IF(H70&gt;=$K$78,$X$78,FORECAST($H$70,OFFSET($X$73:$X$74,MATCH($H$70,этаж),),OFFSET($K$73:$K$74,MATCH($H$70,этаж),)))),0))</f>
        <v>348</v>
      </c>
      <c r="Z72" s="15"/>
      <c r="AB72">
        <v>1</v>
      </c>
      <c r="AC72">
        <f>AB72+1</f>
        <v>2</v>
      </c>
      <c r="AD72">
        <f t="shared" ref="AD72:AH72" si="9">AC72+1</f>
        <v>3</v>
      </c>
      <c r="AE72">
        <f t="shared" si="9"/>
        <v>4</v>
      </c>
      <c r="AF72">
        <f t="shared" si="9"/>
        <v>5</v>
      </c>
      <c r="AG72">
        <f t="shared" si="9"/>
        <v>6</v>
      </c>
      <c r="AH72">
        <f t="shared" si="9"/>
        <v>7</v>
      </c>
    </row>
    <row r="73" spans="1:44" ht="15" customHeight="1">
      <c r="A73" s="363">
        <v>1000</v>
      </c>
      <c r="B73" s="364">
        <v>239</v>
      </c>
      <c r="C73" s="544"/>
      <c r="E73" s="363">
        <v>40000</v>
      </c>
      <c r="F73" s="364">
        <v>180</v>
      </c>
      <c r="G73" s="15"/>
      <c r="H73" s="363">
        <v>20000</v>
      </c>
      <c r="I73" s="364">
        <f ca="1">L72</f>
        <v>218</v>
      </c>
      <c r="J73" s="15"/>
      <c r="K73" s="361" t="s">
        <v>595</v>
      </c>
      <c r="L73" s="361" t="s">
        <v>578</v>
      </c>
      <c r="N73" s="361" t="s">
        <v>578</v>
      </c>
      <c r="P73" s="361" t="s">
        <v>578</v>
      </c>
      <c r="R73" s="361" t="s">
        <v>578</v>
      </c>
      <c r="T73" s="361" t="s">
        <v>578</v>
      </c>
      <c r="V73" s="361" t="s">
        <v>578</v>
      </c>
      <c r="X73" s="361" t="s">
        <v>578</v>
      </c>
      <c r="AA73" s="361" t="s">
        <v>595</v>
      </c>
      <c r="AB73" s="410">
        <v>20000</v>
      </c>
      <c r="AC73" s="410">
        <v>30000</v>
      </c>
      <c r="AD73" s="410">
        <v>40000</v>
      </c>
      <c r="AE73" s="410">
        <v>50000</v>
      </c>
      <c r="AF73" s="410">
        <v>70000</v>
      </c>
      <c r="AG73" s="410">
        <v>80000</v>
      </c>
      <c r="AH73" s="410">
        <v>95000</v>
      </c>
      <c r="AK73" s="361" t="s">
        <v>595</v>
      </c>
      <c r="AL73" s="410">
        <v>20000</v>
      </c>
      <c r="AM73" s="410">
        <v>30000</v>
      </c>
      <c r="AN73" s="410">
        <v>40000</v>
      </c>
      <c r="AO73" s="410">
        <v>50000</v>
      </c>
      <c r="AP73" s="410">
        <v>70000</v>
      </c>
      <c r="AQ73" s="410">
        <v>80000</v>
      </c>
      <c r="AR73" s="410">
        <v>95000</v>
      </c>
    </row>
    <row r="74" spans="1:44" ht="15" customHeight="1">
      <c r="A74" s="363">
        <v>3000</v>
      </c>
      <c r="B74" s="364">
        <v>239</v>
      </c>
      <c r="C74" s="544"/>
      <c r="E74" s="363">
        <v>70000</v>
      </c>
      <c r="F74" s="364">
        <v>315.31531531531533</v>
      </c>
      <c r="G74" s="15"/>
      <c r="H74" s="363">
        <v>30000</v>
      </c>
      <c r="I74" s="364">
        <f ca="1">N72</f>
        <v>294</v>
      </c>
      <c r="J74" s="15"/>
      <c r="K74" s="363">
        <v>5</v>
      </c>
      <c r="L74" s="364">
        <v>163.125</v>
      </c>
      <c r="M74" s="1016">
        <v>20000</v>
      </c>
      <c r="N74" s="364">
        <v>186.42857142857142</v>
      </c>
      <c r="O74" s="1016">
        <v>30000</v>
      </c>
      <c r="P74" s="364">
        <v>217.5</v>
      </c>
      <c r="Q74" s="1016">
        <v>40000</v>
      </c>
      <c r="R74" s="411" t="s">
        <v>587</v>
      </c>
      <c r="S74" s="1016">
        <v>50000</v>
      </c>
      <c r="T74" s="411" t="s">
        <v>587</v>
      </c>
      <c r="U74" s="1016">
        <v>70000</v>
      </c>
      <c r="V74" s="411" t="s">
        <v>587</v>
      </c>
      <c r="W74" s="1016">
        <v>80000</v>
      </c>
      <c r="X74" s="411" t="s">
        <v>587</v>
      </c>
      <c r="Y74" s="1016">
        <v>95000</v>
      </c>
      <c r="AA74" s="363">
        <v>5</v>
      </c>
      <c r="AB74" s="412">
        <v>163.125</v>
      </c>
      <c r="AC74" s="412">
        <v>186.42857142857142</v>
      </c>
      <c r="AD74" s="412">
        <v>217.5</v>
      </c>
      <c r="AE74" s="412">
        <v>0</v>
      </c>
      <c r="AF74" s="412">
        <v>0</v>
      </c>
      <c r="AG74" s="412">
        <v>0</v>
      </c>
      <c r="AH74" s="412">
        <v>0</v>
      </c>
      <c r="AK74" s="363">
        <v>5</v>
      </c>
      <c r="AL74" s="412">
        <f>ROUND(93.5006+$AK74*4.6512+AL$73*0.0015+(AL$73/$AK74)*0.0051,)</f>
        <v>167</v>
      </c>
      <c r="AM74" s="412">
        <f>ROUND(93.5006+$AK74*4.6512+AM$73*0.0015+(AM$73/$AK74)*0.0051,)</f>
        <v>192</v>
      </c>
      <c r="AN74" s="412">
        <f t="shared" ref="AN74:AR78" si="10">ROUND(93.5006+$AK74*4.6512+AN$73*0.0015+(AN$73/$AK74)*0.0051,)</f>
        <v>218</v>
      </c>
      <c r="AO74" s="412">
        <v>0</v>
      </c>
      <c r="AP74" s="412">
        <v>0</v>
      </c>
      <c r="AQ74" s="412">
        <v>0</v>
      </c>
      <c r="AR74" s="412">
        <v>0</v>
      </c>
    </row>
    <row r="75" spans="1:44">
      <c r="A75" s="363">
        <v>5000</v>
      </c>
      <c r="B75" s="364">
        <v>239</v>
      </c>
      <c r="C75" s="544"/>
      <c r="E75" s="363">
        <v>80000</v>
      </c>
      <c r="F75" s="364">
        <v>360.36036036036035</v>
      </c>
      <c r="G75" s="15"/>
      <c r="H75" s="363">
        <v>40000</v>
      </c>
      <c r="I75" s="364">
        <f ca="1">P72</f>
        <v>259</v>
      </c>
      <c r="J75" s="15"/>
      <c r="K75" s="363">
        <v>10</v>
      </c>
      <c r="L75" s="364">
        <v>186.42857142857142</v>
      </c>
      <c r="M75" s="1014"/>
      <c r="N75" s="364">
        <v>261</v>
      </c>
      <c r="O75" s="1014"/>
      <c r="P75" s="364">
        <v>232</v>
      </c>
      <c r="Q75" s="1014"/>
      <c r="R75" s="364">
        <v>271.875</v>
      </c>
      <c r="S75" s="1014"/>
      <c r="T75" s="411">
        <v>217.5</v>
      </c>
      <c r="U75" s="1014"/>
      <c r="V75" s="411">
        <v>232</v>
      </c>
      <c r="W75" s="1014"/>
      <c r="X75" s="411">
        <v>295.17857142857144</v>
      </c>
      <c r="Y75" s="1014"/>
      <c r="AA75" s="363">
        <v>10</v>
      </c>
      <c r="AB75" s="412">
        <v>186.42857142857142</v>
      </c>
      <c r="AC75" s="412">
        <v>217.5</v>
      </c>
      <c r="AD75" s="412">
        <v>232</v>
      </c>
      <c r="AE75" s="412">
        <v>255.88235294117646</v>
      </c>
      <c r="AF75" s="412">
        <v>271.875</v>
      </c>
      <c r="AG75" s="412">
        <v>301.15384615384613</v>
      </c>
      <c r="AH75" s="412">
        <v>310.71428571428572</v>
      </c>
      <c r="AK75" s="363">
        <v>10</v>
      </c>
      <c r="AL75" s="412">
        <f t="shared" ref="AL75:AM78" si="11">ROUND(93.5006+$AK75*4.6512+AL$73*0.0015+(AL$73/$AK75)*0.0051,)</f>
        <v>180</v>
      </c>
      <c r="AM75" s="412">
        <f t="shared" si="11"/>
        <v>200</v>
      </c>
      <c r="AN75" s="412">
        <f t="shared" si="10"/>
        <v>220</v>
      </c>
      <c r="AO75" s="412">
        <f t="shared" si="10"/>
        <v>241</v>
      </c>
      <c r="AP75" s="412">
        <f t="shared" si="10"/>
        <v>281</v>
      </c>
      <c r="AQ75" s="412">
        <f t="shared" si="10"/>
        <v>301</v>
      </c>
      <c r="AR75" s="412">
        <f t="shared" si="10"/>
        <v>331</v>
      </c>
    </row>
    <row r="76" spans="1:44">
      <c r="A76" s="363">
        <v>10000</v>
      </c>
      <c r="B76" s="364">
        <v>270</v>
      </c>
      <c r="C76" s="544"/>
      <c r="E76" s="363">
        <v>95000</v>
      </c>
      <c r="F76" s="364">
        <v>427.92792792792795</v>
      </c>
      <c r="G76" s="15"/>
      <c r="H76" s="363">
        <v>50000</v>
      </c>
      <c r="I76" s="364">
        <f ca="1">R72</f>
        <v>323</v>
      </c>
      <c r="J76" s="15"/>
      <c r="K76" s="363">
        <v>20</v>
      </c>
      <c r="L76" s="364">
        <v>217.5</v>
      </c>
      <c r="M76" s="1014"/>
      <c r="N76" s="364">
        <v>290</v>
      </c>
      <c r="O76" s="1014"/>
      <c r="P76" s="364">
        <v>248.57142857142858</v>
      </c>
      <c r="Q76" s="1014"/>
      <c r="R76" s="364">
        <v>310.71428571428572</v>
      </c>
      <c r="S76" s="1014"/>
      <c r="T76" s="411">
        <v>290</v>
      </c>
      <c r="U76" s="1014"/>
      <c r="V76" s="411">
        <v>316.36363636363637</v>
      </c>
      <c r="W76" s="1014"/>
      <c r="X76" s="411">
        <v>344.375</v>
      </c>
      <c r="Y76" s="1014"/>
      <c r="AA76" s="363">
        <v>20</v>
      </c>
      <c r="AB76" s="412">
        <v>217.5</v>
      </c>
      <c r="AC76" s="412">
        <v>237.27272727272728</v>
      </c>
      <c r="AD76" s="412">
        <v>248.57142857142858</v>
      </c>
      <c r="AE76" s="412">
        <v>290</v>
      </c>
      <c r="AF76" s="412">
        <v>304.5</v>
      </c>
      <c r="AG76" s="412">
        <v>326.25</v>
      </c>
      <c r="AH76" s="412">
        <v>362.5</v>
      </c>
      <c r="AK76" s="363">
        <v>20</v>
      </c>
      <c r="AL76" s="412">
        <f t="shared" si="11"/>
        <v>222</v>
      </c>
      <c r="AM76" s="412">
        <f t="shared" si="11"/>
        <v>239</v>
      </c>
      <c r="AN76" s="412">
        <f t="shared" si="10"/>
        <v>257</v>
      </c>
      <c r="AO76" s="412">
        <f t="shared" si="10"/>
        <v>274</v>
      </c>
      <c r="AP76" s="412">
        <f t="shared" si="10"/>
        <v>309</v>
      </c>
      <c r="AQ76" s="412">
        <f t="shared" si="10"/>
        <v>327</v>
      </c>
      <c r="AR76" s="412">
        <f t="shared" si="10"/>
        <v>353</v>
      </c>
    </row>
    <row r="77" spans="1:44">
      <c r="A77" s="363">
        <v>15000</v>
      </c>
      <c r="B77" s="364">
        <v>270</v>
      </c>
      <c r="C77" s="544"/>
      <c r="G77" s="15"/>
      <c r="H77" s="363">
        <v>70000</v>
      </c>
      <c r="I77" s="364">
        <f ca="1">T72</f>
        <v>291</v>
      </c>
      <c r="J77" s="15"/>
      <c r="K77" s="363">
        <v>30</v>
      </c>
      <c r="L77" s="364">
        <f t="shared" ref="L77:L78" si="12">AB70</f>
        <v>0</v>
      </c>
      <c r="M77" s="1014"/>
      <c r="N77" s="364">
        <v>326.25</v>
      </c>
      <c r="O77" s="1014"/>
      <c r="P77" s="364">
        <v>348</v>
      </c>
      <c r="Q77" s="1014"/>
      <c r="R77" s="364">
        <v>435</v>
      </c>
      <c r="S77" s="1014"/>
      <c r="T77" s="411">
        <v>304.5</v>
      </c>
      <c r="U77" s="1014"/>
      <c r="V77" s="411">
        <v>331.42857142857144</v>
      </c>
      <c r="W77" s="1014"/>
      <c r="X77" s="411">
        <v>375.68181818181819</v>
      </c>
      <c r="Y77" s="1014"/>
      <c r="AA77" s="363">
        <v>30</v>
      </c>
      <c r="AB77" s="412">
        <v>0</v>
      </c>
      <c r="AC77" s="412">
        <v>261</v>
      </c>
      <c r="AD77" s="412">
        <v>290</v>
      </c>
      <c r="AE77" s="412">
        <v>310.71428571428572</v>
      </c>
      <c r="AF77" s="412">
        <v>338.33333333333331</v>
      </c>
      <c r="AG77" s="412">
        <v>355.90909090909093</v>
      </c>
      <c r="AH77" s="412">
        <v>395.45454545454544</v>
      </c>
      <c r="AK77" s="363">
        <v>30</v>
      </c>
      <c r="AL77" s="412">
        <v>0</v>
      </c>
      <c r="AM77" s="412">
        <f t="shared" si="11"/>
        <v>283</v>
      </c>
      <c r="AN77" s="412">
        <f t="shared" si="10"/>
        <v>300</v>
      </c>
      <c r="AO77" s="412">
        <f t="shared" si="10"/>
        <v>317</v>
      </c>
      <c r="AP77" s="412">
        <f t="shared" si="10"/>
        <v>350</v>
      </c>
      <c r="AQ77" s="412">
        <f t="shared" si="10"/>
        <v>367</v>
      </c>
      <c r="AR77" s="412">
        <f t="shared" si="10"/>
        <v>392</v>
      </c>
    </row>
    <row r="78" spans="1:44">
      <c r="A78" s="363">
        <v>20000</v>
      </c>
      <c r="B78" s="364">
        <v>270</v>
      </c>
      <c r="C78" s="544"/>
      <c r="H78" s="363">
        <v>80000</v>
      </c>
      <c r="I78" s="364">
        <f ca="1">V72</f>
        <v>318</v>
      </c>
      <c r="J78" s="15"/>
      <c r="K78" s="363">
        <v>40</v>
      </c>
      <c r="L78" s="364">
        <f t="shared" si="12"/>
        <v>0</v>
      </c>
      <c r="M78" s="1014"/>
      <c r="N78" s="364">
        <v>372.85714285714283</v>
      </c>
      <c r="O78" s="1014"/>
      <c r="P78" s="364">
        <v>497.14285714285717</v>
      </c>
      <c r="Q78" s="1014"/>
      <c r="R78" s="364">
        <v>543.75</v>
      </c>
      <c r="S78" s="1014"/>
      <c r="T78" s="411">
        <v>435</v>
      </c>
      <c r="U78" s="1014"/>
      <c r="V78" s="411">
        <v>348</v>
      </c>
      <c r="W78" s="1014"/>
      <c r="X78" s="411">
        <v>393.57142857142856</v>
      </c>
      <c r="Y78" s="1014"/>
      <c r="AA78" s="363">
        <v>40</v>
      </c>
      <c r="AB78" s="412">
        <v>0</v>
      </c>
      <c r="AC78" s="412">
        <v>326.25</v>
      </c>
      <c r="AD78" s="412">
        <v>348</v>
      </c>
      <c r="AE78" s="412">
        <v>395.45454545454544</v>
      </c>
      <c r="AF78" s="412">
        <v>406</v>
      </c>
      <c r="AG78" s="412">
        <v>412.10526315789474</v>
      </c>
      <c r="AH78" s="412">
        <v>435</v>
      </c>
      <c r="AK78" s="363">
        <v>40</v>
      </c>
      <c r="AL78" s="412">
        <v>0</v>
      </c>
      <c r="AM78" s="412">
        <f t="shared" si="11"/>
        <v>328</v>
      </c>
      <c r="AN78" s="412">
        <f t="shared" si="10"/>
        <v>345</v>
      </c>
      <c r="AO78" s="412">
        <f t="shared" si="10"/>
        <v>361</v>
      </c>
      <c r="AP78" s="412">
        <f t="shared" si="10"/>
        <v>393</v>
      </c>
      <c r="AQ78" s="412">
        <f t="shared" si="10"/>
        <v>410</v>
      </c>
      <c r="AR78" s="412">
        <f t="shared" si="10"/>
        <v>434</v>
      </c>
    </row>
    <row r="79" spans="1:44">
      <c r="A79" s="363">
        <v>25000</v>
      </c>
      <c r="B79" s="364">
        <v>270</v>
      </c>
      <c r="C79" s="544"/>
      <c r="H79" s="363">
        <v>95000</v>
      </c>
      <c r="I79" s="364">
        <f ca="1">X72</f>
        <v>348</v>
      </c>
      <c r="J79" s="15"/>
      <c r="AB79" s="15"/>
      <c r="AC79" s="15"/>
      <c r="AD79" s="15"/>
      <c r="AE79" s="15"/>
      <c r="AF79" s="15"/>
      <c r="AG79" s="15"/>
      <c r="AH79" s="15"/>
    </row>
    <row r="80" spans="1:44">
      <c r="C80" s="15"/>
      <c r="H80" s="369"/>
      <c r="I80" s="370"/>
      <c r="J80" s="15"/>
    </row>
    <row r="82" spans="1:25" ht="30">
      <c r="H82" s="361" t="s">
        <v>594</v>
      </c>
      <c r="I82" s="361" t="s">
        <v>578</v>
      </c>
      <c r="J82" s="368">
        <f ca="1">IF(H71=0,0,ROUND(IF(H71&lt;=H73,I83,IF(H71&gt;=$H$79,$I$89,FORECAST($H$71,OFFSET($I$82:$I$83,MATCH($H$71,назем),),OFFSET($H$72:$H$73,MATCH($H$71,назем),)))),0)*IF(E70="дев",1,0))</f>
        <v>379</v>
      </c>
      <c r="L82" s="368">
        <f ca="1">IF(H71=0,0,ROUND(IF(H70&lt;=K74,L84,IF(H70&gt;=$K$76,$L$86,FORECAST($H$70,OFFSET($L$83:$L$84,MATCH($H$70,этаж),),OFFSET($K$73:$K$74,MATCH($H$70,этаж),)))),0))</f>
        <v>261</v>
      </c>
      <c r="N82" s="368">
        <f ca="1">IF(H71=0,0,ROUND(IF(H70&lt;=K74,N84,IF(H70&gt;=$K$78,$N$88,FORECAST($H$70,OFFSET($N$83:$N$84,MATCH($H$70,этаж),),OFFSET($K$73:$K$74,MATCH($H$70,этаж),)))),0))</f>
        <v>331</v>
      </c>
      <c r="P82" s="368">
        <f ca="1">IF(H71=0,0,ROUND(IF(H70&lt;=K74,P84,IF(H70&gt;=$K$78,$P$88,FORECAST($H$70,OFFSET($P$83:$P$84,MATCH($H$70,этаж),),OFFSET($K$73:$K$74,MATCH($H$70,этаж),)))),0))</f>
        <v>280</v>
      </c>
      <c r="R82" s="368">
        <f ca="1">IF(H71=0,0,ROUND(IF(H70&lt;=K75,R85,IF(H70&gt;=$K$78,$R$88,FORECAST($H$70,OFFSET($R$83:$R$84,MATCH($H$70,этаж),),OFFSET($K$73:$K$74,MATCH($H$70,этаж),)))),0))</f>
        <v>349</v>
      </c>
      <c r="T82" s="368">
        <f ca="1">IF(H71=0,0,ROUND(IF(H70&lt;=K75,T85,IF(H70&gt;=$K$78,$T$88,FORECAST($H$70,OFFSET($T$83:$T$84,MATCH($H$70,этаж),),OFFSET($K$73:$K$74,MATCH($H$70,этаж),)))),0))</f>
        <v>322</v>
      </c>
      <c r="V82" s="368">
        <f ca="1">IF(H71=0,0,ROUND(IF(H70&lt;=K75,V85,IF(H70&gt;=$K$78,$V$88,FORECAST($H$70,OFFSET($V$83:$V$84,MATCH($H$70,этаж),),OFFSET($K$73:$K$74,MATCH($H$70,этаж),)))),0))</f>
        <v>352</v>
      </c>
      <c r="X82" s="368">
        <f ca="1">IF(H71=0,0,ROUND(IF(H70&lt;=K75,X85,IF(H70&gt;=$K$78,$X$88,FORECAST($H$70,OFFSET($X$83:$X$84,MATCH($H$70,этаж),),OFFSET($K$73:$K$74,MATCH($H$70,этаж),)))),0))</f>
        <v>379</v>
      </c>
    </row>
    <row r="83" spans="1:25">
      <c r="H83" s="363">
        <v>20000</v>
      </c>
      <c r="I83" s="364">
        <f ca="1">L82</f>
        <v>261</v>
      </c>
      <c r="J83" s="15"/>
      <c r="K83" s="361" t="s">
        <v>595</v>
      </c>
      <c r="L83" s="361" t="s">
        <v>578</v>
      </c>
      <c r="N83" s="361" t="s">
        <v>578</v>
      </c>
      <c r="P83" s="361" t="s">
        <v>578</v>
      </c>
      <c r="R83" s="361" t="s">
        <v>578</v>
      </c>
      <c r="T83" s="361" t="s">
        <v>578</v>
      </c>
      <c r="V83" s="361" t="s">
        <v>578</v>
      </c>
      <c r="X83" s="361" t="s">
        <v>578</v>
      </c>
    </row>
    <row r="84" spans="1:25">
      <c r="H84" s="363">
        <v>30000</v>
      </c>
      <c r="I84" s="364">
        <f ca="1">N82</f>
        <v>331</v>
      </c>
      <c r="J84" s="15"/>
      <c r="K84" s="363">
        <v>5</v>
      </c>
      <c r="L84" s="364">
        <v>186.42857142857142</v>
      </c>
      <c r="M84" s="1016">
        <v>20000</v>
      </c>
      <c r="N84" s="364">
        <v>200.76923076923077</v>
      </c>
      <c r="O84" s="1016">
        <v>30000</v>
      </c>
      <c r="P84" s="364">
        <v>232</v>
      </c>
      <c r="Q84" s="1016">
        <v>40000</v>
      </c>
      <c r="R84" s="411" t="s">
        <v>587</v>
      </c>
      <c r="S84" s="1016">
        <v>50000</v>
      </c>
      <c r="T84" s="411" t="s">
        <v>587</v>
      </c>
      <c r="U84" s="1016">
        <v>70000</v>
      </c>
      <c r="V84" s="411" t="s">
        <v>587</v>
      </c>
      <c r="W84" s="1016">
        <v>80000</v>
      </c>
      <c r="X84" s="411" t="s">
        <v>587</v>
      </c>
      <c r="Y84" s="1016">
        <v>95000</v>
      </c>
    </row>
    <row r="85" spans="1:25">
      <c r="H85" s="363">
        <v>40000</v>
      </c>
      <c r="I85" s="364">
        <f ca="1">P82</f>
        <v>280</v>
      </c>
      <c r="J85" s="15"/>
      <c r="K85" s="363">
        <v>10</v>
      </c>
      <c r="L85" s="364">
        <v>217.5</v>
      </c>
      <c r="M85" s="1014"/>
      <c r="N85" s="364">
        <v>290</v>
      </c>
      <c r="O85" s="1014"/>
      <c r="P85" s="364">
        <v>248.57142857142858</v>
      </c>
      <c r="Q85" s="1014"/>
      <c r="R85" s="364">
        <v>290</v>
      </c>
      <c r="S85" s="1014"/>
      <c r="T85" s="411">
        <v>253.75</v>
      </c>
      <c r="U85" s="1014"/>
      <c r="V85" s="411">
        <v>267.69230769230768</v>
      </c>
      <c r="W85" s="1014"/>
      <c r="X85" s="411">
        <v>317.88461538461536</v>
      </c>
      <c r="Y85" s="1014"/>
    </row>
    <row r="86" spans="1:25">
      <c r="H86" s="363">
        <v>50000</v>
      </c>
      <c r="I86" s="364">
        <f ca="1">R82</f>
        <v>349</v>
      </c>
      <c r="J86" s="15"/>
      <c r="K86" s="363">
        <v>20</v>
      </c>
      <c r="L86" s="364">
        <v>261</v>
      </c>
      <c r="M86" s="1014"/>
      <c r="N86" s="364">
        <v>326.25</v>
      </c>
      <c r="O86" s="1014"/>
      <c r="P86" s="364">
        <v>267.69230769230768</v>
      </c>
      <c r="Q86" s="1014"/>
      <c r="R86" s="364">
        <v>334.61538461538464</v>
      </c>
      <c r="S86" s="1014"/>
      <c r="T86" s="411">
        <v>320.5263157894737</v>
      </c>
      <c r="U86" s="1014"/>
      <c r="V86" s="411">
        <v>348</v>
      </c>
      <c r="W86" s="1014"/>
      <c r="X86" s="411">
        <v>375.68181818181819</v>
      </c>
      <c r="Y86" s="1014"/>
    </row>
    <row r="87" spans="1:25">
      <c r="H87" s="363">
        <v>70000</v>
      </c>
      <c r="I87" s="364">
        <f ca="1">T82</f>
        <v>322</v>
      </c>
      <c r="J87" s="15"/>
      <c r="K87" s="363">
        <v>30</v>
      </c>
      <c r="L87" s="364">
        <f t="shared" ref="L87:L88" si="13">AB80</f>
        <v>0</v>
      </c>
      <c r="M87" s="1014"/>
      <c r="N87" s="364">
        <v>372.85714285714283</v>
      </c>
      <c r="O87" s="1014"/>
      <c r="P87" s="364">
        <v>386.66666666666669</v>
      </c>
      <c r="Q87" s="1014"/>
      <c r="R87" s="364">
        <v>483.33333333333331</v>
      </c>
      <c r="S87" s="1014"/>
      <c r="T87" s="411">
        <v>338.33333333333331</v>
      </c>
      <c r="U87" s="1014"/>
      <c r="V87" s="411">
        <v>386.66666666666669</v>
      </c>
      <c r="W87" s="1014"/>
      <c r="X87" s="411">
        <v>413.25</v>
      </c>
      <c r="Y87" s="1014"/>
    </row>
    <row r="88" spans="1:25">
      <c r="H88" s="363">
        <v>80000</v>
      </c>
      <c r="I88" s="364">
        <f ca="1">V82</f>
        <v>352</v>
      </c>
      <c r="J88" s="15"/>
      <c r="K88" s="363">
        <v>40</v>
      </c>
      <c r="L88" s="364">
        <f t="shared" si="13"/>
        <v>0</v>
      </c>
      <c r="M88" s="1014"/>
      <c r="N88" s="364">
        <v>435</v>
      </c>
      <c r="O88" s="1014"/>
      <c r="P88" s="364">
        <v>580</v>
      </c>
      <c r="Q88" s="1014"/>
      <c r="R88" s="364">
        <v>621.42857142857144</v>
      </c>
      <c r="S88" s="1014"/>
      <c r="T88" s="411">
        <v>468.46153846153845</v>
      </c>
      <c r="U88" s="1014"/>
      <c r="V88" s="411">
        <v>409.41176470588238</v>
      </c>
      <c r="W88" s="1014"/>
      <c r="X88" s="411">
        <v>435</v>
      </c>
      <c r="Y88" s="1014"/>
    </row>
    <row r="89" spans="1:25">
      <c r="H89" s="363">
        <v>95000</v>
      </c>
      <c r="I89" s="364">
        <f ca="1">X82</f>
        <v>379</v>
      </c>
      <c r="J89" s="15"/>
    </row>
    <row r="90" spans="1:25">
      <c r="J90" s="15"/>
    </row>
    <row r="91" spans="1:25">
      <c r="J91" s="15"/>
    </row>
    <row r="95" spans="1:25" ht="30" customHeight="1">
      <c r="A95" s="371" t="s">
        <v>596</v>
      </c>
      <c r="B95" s="360">
        <f ca="1">IF(B15=0,0,ROUND(IF(B15&lt;=A97,B97,IF(B15&gt;=$A$102,$B$102,FORECAST($B$15,OFFSET($B$96:$B$97,MATCH($B$15,мебель),),OFFSET($A$96:$A$97,MATCH($B$15,мебель),)))),0))</f>
        <v>60</v>
      </c>
      <c r="C95" s="15"/>
      <c r="E95" s="353" t="s">
        <v>597</v>
      </c>
    </row>
    <row r="96" spans="1:25">
      <c r="A96" s="361" t="s">
        <v>594</v>
      </c>
      <c r="B96" s="361" t="s">
        <v>578</v>
      </c>
      <c r="C96" s="15"/>
      <c r="E96" s="354">
        <f>B34</f>
        <v>0</v>
      </c>
      <c r="H96" s="1010" t="s">
        <v>28</v>
      </c>
      <c r="I96" s="1011"/>
      <c r="J96" s="1011"/>
      <c r="K96" s="1011"/>
      <c r="L96" s="1011"/>
      <c r="M96" s="1011"/>
      <c r="N96" s="1011"/>
      <c r="O96" s="1011"/>
      <c r="P96" s="1011"/>
      <c r="Q96" s="1011"/>
      <c r="R96" s="1011"/>
      <c r="S96" s="1011"/>
      <c r="T96" s="1011"/>
      <c r="U96" s="1011"/>
      <c r="V96" s="1011"/>
      <c r="W96" s="1011"/>
      <c r="X96" s="1011"/>
      <c r="Y96" s="1011"/>
    </row>
    <row r="97" spans="1:28" ht="15" customHeight="1">
      <c r="A97" s="363">
        <v>5000</v>
      </c>
      <c r="B97" s="366">
        <v>21</v>
      </c>
      <c r="C97" s="15"/>
      <c r="E97" s="360">
        <f ca="1">IF(E96=0,0,ROUND(IF(E$96&lt;=$D$99,E99,IF(E$96&gt;=$D$101,E101,FORECAST(E$96,OFFSET(E$98:E$99,MATCH(E$96,поликлин),),OFFSET($D$98:$D$99,MATCH(E$96,поликлин),)))),0))</f>
        <v>0</v>
      </c>
      <c r="G97" s="18"/>
      <c r="H97" s="354">
        <f>B13</f>
        <v>75</v>
      </c>
      <c r="I97" s="372" t="s">
        <v>598</v>
      </c>
      <c r="J97" s="360">
        <f ca="1">IF($B$3="многоугольная",J108,J98)</f>
        <v>569</v>
      </c>
      <c r="K97" s="15"/>
    </row>
    <row r="98" spans="1:28" ht="30">
      <c r="A98" s="363">
        <v>10000</v>
      </c>
      <c r="B98" s="366">
        <v>21</v>
      </c>
      <c r="C98" s="544"/>
      <c r="D98" s="361" t="s">
        <v>599</v>
      </c>
      <c r="E98" s="361" t="s">
        <v>578</v>
      </c>
      <c r="G98" s="15"/>
      <c r="H98" s="361" t="s">
        <v>594</v>
      </c>
      <c r="I98" s="361" t="s">
        <v>578</v>
      </c>
      <c r="J98" s="368">
        <f ca="1">IF(H71=0,0,ROUND(IF(H71&lt;=H99,I99,IF(H71&gt;=$H$105,$I$105,FORECAST($H$71,OFFSET($I$98:$I$99,MATCH($H$71,фасад_назем),),OFFSET($H$98:$H$99,MATCH($H$71,фасад_назем),)))),0))</f>
        <v>495</v>
      </c>
      <c r="L98" s="368">
        <f ca="1">IF(H71=0,0,ROUND(IF(H97&lt;=K100,L100,IF(H97&gt;=$K$103,$L$103,FORECAST($H$97,OFFSET($L$99:$L$100,MATCH($H$97,высотность),),OFFSET($K$99:$K$100,MATCH($H$97,высотность),)))),0))</f>
        <v>293</v>
      </c>
      <c r="N98" s="368">
        <f ca="1">IF(H71=0,0,ROUND(IF(H97&lt;=K100,N100,IF(H97&gt;=$K$103,$N$103,FORECAST($H$97,OFFSET($N$99:$N$100,MATCH($H$97,высотность),),OFFSET($K$99:$K$100,MATCH($H$97,высотность),)))),0))</f>
        <v>302</v>
      </c>
      <c r="P98" s="368">
        <f ca="1">IF(H71=0,0,ROUND(IF(H97&lt;=K100,P100,IF(H97&gt;=$K$103,$P$103,FORECAST($H$97,OFFSET($P$99:$P$100,MATCH($H$97,высотность),),OFFSET($K$99:$K$100,MATCH($H$97,высотность),)))),0))</f>
        <v>338</v>
      </c>
      <c r="R98" s="368">
        <f ca="1">IF(H71=0,0,ROUND(IF(H97&lt;=K100,R100,IF(H97&gt;=$K$103,$R$103,FORECAST($H$97,OFFSET($R$99:$R$100,MATCH($H$97,высотность),),OFFSET($K$99:$K$100,MATCH($H$97,высотность),)))),0))</f>
        <v>357</v>
      </c>
      <c r="T98" s="368">
        <f ca="1">IF(H71=0,0,ROUND(IF(H97&lt;=K100,T100,IF(H97&gt;=$K$103,$T$103,FORECAST($H$97,OFFSET($T$99:$T$100,MATCH($H$97,высотность),),OFFSET($K$99:$K$100,MATCH($H$97,высотность),)))),0))</f>
        <v>388</v>
      </c>
      <c r="V98" s="368">
        <f ca="1">IF(H71=0,0,ROUND(IF(H97&lt;=K100,V100,IF(H97&gt;=$K$103,$V$103,FORECAST($H$97,OFFSET($V$99:$V$100,MATCH($H$97,высотность),),OFFSET($K$99:$K$100,MATCH($H$97,высотность),)))),0))</f>
        <v>399</v>
      </c>
      <c r="X98" s="368">
        <f ca="1">IF(H71=0,0,ROUND(IF(H97&lt;=K100,X100,IF(H97&gt;=$K$103,$X$103,FORECAST($H$97,OFFSET($X$99:$X$100,MATCH($H$97,высотность),),OFFSET($K$99:$K$100,MATCH($H$97,высотность),)))),0))</f>
        <v>495</v>
      </c>
      <c r="Y98" s="15"/>
      <c r="Z98" s="15"/>
      <c r="AA98" s="15"/>
      <c r="AB98" s="15"/>
    </row>
    <row r="99" spans="1:28">
      <c r="A99" s="363">
        <v>15000</v>
      </c>
      <c r="B99" s="366">
        <v>45</v>
      </c>
      <c r="C99" s="544"/>
      <c r="D99" s="363">
        <v>380</v>
      </c>
      <c r="E99" s="366">
        <f>8*30</f>
        <v>240</v>
      </c>
      <c r="F99" s="1014" t="s">
        <v>600</v>
      </c>
      <c r="G99" s="15"/>
      <c r="H99" s="363">
        <v>20000</v>
      </c>
      <c r="I99" s="364">
        <f ca="1">L98</f>
        <v>293</v>
      </c>
      <c r="J99" s="15"/>
      <c r="K99" s="361" t="s">
        <v>598</v>
      </c>
      <c r="L99" s="361" t="s">
        <v>578</v>
      </c>
      <c r="N99" s="361" t="s">
        <v>578</v>
      </c>
      <c r="P99" s="361" t="s">
        <v>578</v>
      </c>
      <c r="R99" s="361" t="s">
        <v>578</v>
      </c>
      <c r="T99" s="361" t="s">
        <v>578</v>
      </c>
      <c r="V99" s="361" t="s">
        <v>578</v>
      </c>
      <c r="X99" s="361" t="s">
        <v>578</v>
      </c>
    </row>
    <row r="100" spans="1:28">
      <c r="A100" s="363">
        <v>20000</v>
      </c>
      <c r="B100" s="366">
        <v>60</v>
      </c>
      <c r="C100" s="544"/>
      <c r="D100" s="363">
        <v>850</v>
      </c>
      <c r="E100" s="366">
        <f>24*30</f>
        <v>720</v>
      </c>
      <c r="F100" s="1014"/>
      <c r="G100" s="15"/>
      <c r="H100" s="363">
        <v>30000</v>
      </c>
      <c r="I100" s="364">
        <f ca="1">N98</f>
        <v>302</v>
      </c>
      <c r="J100" s="15"/>
      <c r="K100" s="363">
        <v>22</v>
      </c>
      <c r="L100" s="364">
        <v>240</v>
      </c>
      <c r="M100" s="1016">
        <v>20000</v>
      </c>
      <c r="N100" s="364">
        <v>240</v>
      </c>
      <c r="O100" s="1016">
        <v>30000</v>
      </c>
      <c r="P100" s="364">
        <v>264</v>
      </c>
      <c r="Q100" s="1016">
        <v>40000</v>
      </c>
      <c r="R100" s="364">
        <v>293.33333333333331</v>
      </c>
      <c r="S100" s="1016">
        <v>50000</v>
      </c>
      <c r="T100" s="364">
        <v>308</v>
      </c>
      <c r="U100" s="1016">
        <v>70000</v>
      </c>
      <c r="V100" s="364">
        <v>320</v>
      </c>
      <c r="W100" s="1016">
        <v>80000</v>
      </c>
      <c r="X100" s="364">
        <v>348.33333333333331</v>
      </c>
      <c r="Y100" s="1016">
        <v>95000</v>
      </c>
    </row>
    <row r="101" spans="1:28">
      <c r="A101" s="363">
        <v>50000</v>
      </c>
      <c r="B101" s="366">
        <v>60</v>
      </c>
      <c r="C101" s="544"/>
      <c r="D101" s="363">
        <v>960</v>
      </c>
      <c r="E101" s="366">
        <f>30*30</f>
        <v>900</v>
      </c>
      <c r="F101" s="1014"/>
      <c r="G101" s="15"/>
      <c r="H101" s="363">
        <v>40000</v>
      </c>
      <c r="I101" s="364">
        <f ca="1">P98</f>
        <v>338</v>
      </c>
      <c r="J101" s="15"/>
      <c r="K101" s="363">
        <v>40</v>
      </c>
      <c r="L101" s="364">
        <v>260</v>
      </c>
      <c r="M101" s="1014"/>
      <c r="N101" s="364">
        <v>274</v>
      </c>
      <c r="O101" s="1014"/>
      <c r="P101" s="364">
        <v>300</v>
      </c>
      <c r="Q101" s="1014"/>
      <c r="R101" s="364">
        <v>342.85714285714283</v>
      </c>
      <c r="S101" s="1014"/>
      <c r="T101" s="364">
        <v>363.63636363636363</v>
      </c>
      <c r="U101" s="1014"/>
      <c r="V101" s="364">
        <v>373.33333333333331</v>
      </c>
      <c r="W101" s="1014"/>
      <c r="X101" s="364">
        <v>380</v>
      </c>
      <c r="Y101" s="1014"/>
    </row>
    <row r="102" spans="1:28">
      <c r="A102" s="363">
        <v>90000</v>
      </c>
      <c r="B102" s="366">
        <v>60</v>
      </c>
      <c r="C102" s="544"/>
      <c r="G102" s="15"/>
      <c r="H102" s="363">
        <v>50000</v>
      </c>
      <c r="I102" s="364">
        <f ca="1">R98</f>
        <v>357</v>
      </c>
      <c r="J102" s="15"/>
      <c r="K102" s="363">
        <v>66</v>
      </c>
      <c r="L102" s="364">
        <v>288</v>
      </c>
      <c r="M102" s="1014"/>
      <c r="N102" s="364">
        <v>293.33333333333331</v>
      </c>
      <c r="O102" s="1014"/>
      <c r="P102" s="364">
        <v>330</v>
      </c>
      <c r="Q102" s="1014"/>
      <c r="R102" s="364">
        <v>352</v>
      </c>
      <c r="S102" s="1014"/>
      <c r="T102" s="364">
        <v>385</v>
      </c>
      <c r="U102" s="1014"/>
      <c r="V102" s="364">
        <v>391.11111111111109</v>
      </c>
      <c r="W102" s="1014"/>
      <c r="X102" s="364">
        <v>485</v>
      </c>
      <c r="Y102" s="1014"/>
    </row>
    <row r="103" spans="1:28" ht="60">
      <c r="B103" s="353" t="s">
        <v>601</v>
      </c>
      <c r="C103" s="353" t="s">
        <v>602</v>
      </c>
      <c r="D103" s="353" t="s">
        <v>603</v>
      </c>
      <c r="E103" s="353" t="s">
        <v>604</v>
      </c>
      <c r="F103" s="584" t="s">
        <v>1245</v>
      </c>
      <c r="H103" s="363">
        <v>70000</v>
      </c>
      <c r="I103" s="364">
        <f ca="1">T98</f>
        <v>388</v>
      </c>
      <c r="J103" s="15"/>
      <c r="K103" s="363">
        <v>120</v>
      </c>
      <c r="L103" s="364">
        <v>320</v>
      </c>
      <c r="M103" s="1014"/>
      <c r="N103" s="364">
        <v>342.85714285714283</v>
      </c>
      <c r="O103" s="1014"/>
      <c r="P103" s="364">
        <v>378.94736842105266</v>
      </c>
      <c r="Q103" s="1014"/>
      <c r="R103" s="364">
        <v>384</v>
      </c>
      <c r="S103" s="1014"/>
      <c r="T103" s="364">
        <v>400</v>
      </c>
      <c r="U103" s="1014"/>
      <c r="V103" s="364">
        <v>436.36363636363637</v>
      </c>
      <c r="W103" s="1014"/>
      <c r="X103" s="364">
        <v>545</v>
      </c>
      <c r="Y103" s="1014"/>
    </row>
    <row r="104" spans="1:28">
      <c r="B104" s="354">
        <f>B31</f>
        <v>200</v>
      </c>
      <c r="C104" s="354">
        <f>B32</f>
        <v>0</v>
      </c>
      <c r="D104" s="354">
        <f>B28</f>
        <v>100</v>
      </c>
      <c r="E104" s="354">
        <f>B29</f>
        <v>0</v>
      </c>
      <c r="F104" s="360">
        <f>IF(Калькулятор_жилье!F40=0,0,F105)</f>
        <v>0</v>
      </c>
      <c r="H104" s="363">
        <v>80000</v>
      </c>
      <c r="I104" s="364">
        <f ca="1">V98</f>
        <v>399</v>
      </c>
      <c r="J104" s="15"/>
    </row>
    <row r="105" spans="1:28">
      <c r="B105" s="360">
        <f ca="1">IF(B104=0,0,ROUND(IF(B104&lt;=A107,B107,IF(B104&gt;=$A$110,$B$110,FORECAST($B$104,OFFSET($B$106:$B$107,MATCH($B$104,школадоу),),OFFSET($A$106:$A$107,MATCH($B$104,школадоу),)))),0))</f>
        <v>730</v>
      </c>
      <c r="C105" s="360">
        <f ca="1">IF(C104=0,0,IF(C104=0,0,ROUND(IF(C$104&lt;=$A$107,C107,IF(C$104&gt;=$A$110,C110,FORECAST(C$104,OFFSET(C$106:C$107,MATCH(C$104,школадоу),),OFFSET($A$106:$A$107,MATCH(C$104,школадоу),)))),0)))</f>
        <v>0</v>
      </c>
      <c r="D105" s="360">
        <f ca="1">IF(D104=0,0,ROUND(IF(D$104&lt;=$A$107,D107,IF(D$104&gt;=$A$110,D110,FORECAST(D$104,OFFSET(D$106:D$107,MATCH(D$104,школадоу),),OFFSET($A$106:$A$107,MATCH(D$104,школадоу),)))),0))</f>
        <v>730</v>
      </c>
      <c r="E105" s="360">
        <f ca="1">IF(E104=0,0,ROUND(IF(E$104&lt;=$A$107,E107,IF(E$104&gt;=$A$110,E110,FORECAST(E$104,OFFSET(E$106:E$107,MATCH(E$104,школадоу),),OFFSET($A$106:$A$107,MATCH(E$104,школадоу),)))),0))</f>
        <v>0</v>
      </c>
      <c r="F105" s="367">
        <v>60</v>
      </c>
      <c r="H105" s="363">
        <v>95000</v>
      </c>
      <c r="I105" s="364">
        <f ca="1">X98</f>
        <v>495</v>
      </c>
      <c r="J105" s="15"/>
    </row>
    <row r="106" spans="1:28">
      <c r="A106" s="361" t="s">
        <v>605</v>
      </c>
      <c r="B106" s="361" t="s">
        <v>578</v>
      </c>
      <c r="C106" s="361" t="s">
        <v>578</v>
      </c>
      <c r="D106" s="361" t="s">
        <v>578</v>
      </c>
      <c r="E106" s="361" t="s">
        <v>578</v>
      </c>
    </row>
    <row r="107" spans="1:28">
      <c r="A107" s="363">
        <v>300</v>
      </c>
      <c r="B107" s="366">
        <v>730</v>
      </c>
      <c r="C107" s="367">
        <v>850</v>
      </c>
      <c r="D107" s="367">
        <v>730</v>
      </c>
      <c r="E107" s="367">
        <v>850</v>
      </c>
      <c r="F107" s="1014" t="s">
        <v>606</v>
      </c>
      <c r="H107" s="1010" t="s">
        <v>950</v>
      </c>
      <c r="I107" s="1011"/>
      <c r="J107" s="1011"/>
      <c r="K107" s="1011"/>
      <c r="L107" s="1011"/>
      <c r="M107" s="1011"/>
      <c r="N107" s="1011"/>
      <c r="O107" s="1011"/>
      <c r="P107" s="1011"/>
      <c r="Q107" s="1011"/>
      <c r="R107" s="1011"/>
      <c r="S107" s="1011"/>
      <c r="T107" s="1011"/>
      <c r="U107" s="1011"/>
      <c r="V107" s="1011"/>
      <c r="W107" s="1011"/>
      <c r="X107" s="1011"/>
      <c r="Y107" s="1011"/>
    </row>
    <row r="108" spans="1:28" ht="30">
      <c r="A108" s="363">
        <v>600</v>
      </c>
      <c r="B108" s="366">
        <v>730</v>
      </c>
      <c r="C108" s="367">
        <v>850</v>
      </c>
      <c r="D108" s="367">
        <v>730</v>
      </c>
      <c r="E108" s="367">
        <v>850</v>
      </c>
      <c r="F108" s="1014"/>
      <c r="H108" s="361" t="s">
        <v>594</v>
      </c>
      <c r="I108" s="361" t="s">
        <v>578</v>
      </c>
      <c r="J108" s="368">
        <f ca="1">IF(H71=0,0,ROUND(IF(H71&lt;=H99,I109,IF(H71&gt;=$H$105,$I$115,FORECAST($H$71,OFFSET($I$108:$I$109,MATCH($H$71,фасад_назем),),OFFSET($H$98:$H$99,MATCH($H$71,фасад_назем),)))),0))</f>
        <v>569</v>
      </c>
      <c r="L108" s="368">
        <f ca="1">IF(H71=0,0,ROUND(IF(H97&lt;=K110,L110,IF(H97&gt;=$K$113,$L$113,FORECAST($H$97,OFFSET($L$109:$L$110,MATCH($H$97,высотность),),OFFSET($K$109:$K$110,MATCH($H$97,высотность),)))),0))</f>
        <v>337</v>
      </c>
      <c r="N108" s="368">
        <f ca="1">IF(H71=0,0,ROUND(IF(H97&lt;=K100,N110,IF(H97&gt;=$K$103,$N$113,FORECAST($H$97,OFFSET($N$109:$N$110,MATCH($H$97,высотность),),OFFSET($K$99:$K$100,MATCH($H$97,высотность),)))),0))</f>
        <v>347</v>
      </c>
      <c r="P108" s="368">
        <f ca="1">IF(H71=0,0,ROUND(IF(H97&lt;=K100,P110,IF(H97&gt;=$K$103,$P$113,FORECAST($H$97,OFFSET($P$109:$P$110,MATCH($H$97,высотность),),OFFSET($K$99:$K$100,MATCH($H$97,высотность),)))),0))</f>
        <v>389</v>
      </c>
      <c r="R108" s="368">
        <f ca="1">IF(H71=0,0,ROUND(IF(H97&lt;=K100,R110,IF(H97&gt;=$K$103,$R$113,FORECAST($H$97,OFFSET($R$109:$R$110,MATCH($H$97,высотность),),OFFSET($K$99:$K$100,MATCH($H$97,высотность),)))),0))</f>
        <v>411</v>
      </c>
      <c r="T108" s="368">
        <f ca="1">IF(H71=0,0,ROUND(IF(H97&lt;=K100,T110,IF(H97&gt;=$K$103,$T$113,FORECAST($H$97,OFFSET($T$109:$T$110,MATCH($H$97,высотность),),OFFSET($K$99:$K$100,MATCH($H$97,высотность),)))),0))</f>
        <v>446</v>
      </c>
      <c r="V108" s="368">
        <f ca="1">IF(H71=0,0,ROUND(IF(H97&lt;=K100,V110,IF(H97&gt;=$K$103,$V$113,FORECAST($H$97,OFFSET($V$109:$V$110,MATCH($H$97,высотность),),OFFSET($K$99:$K$100,MATCH($H$97,высотность),)))),0))</f>
        <v>458</v>
      </c>
      <c r="X108" s="368">
        <f ca="1">IF(H71=0,0,ROUND(IF(H97&lt;=K100,X110,IF(H97&gt;=$K$103,$X$113,FORECAST($H$97,OFFSET($X$109:$X$110,MATCH($H$97,высотность),),OFFSET($K$99:$K$100,MATCH($H$97,высотность),)))),0))</f>
        <v>569</v>
      </c>
      <c r="Y108" s="15"/>
    </row>
    <row r="109" spans="1:28">
      <c r="A109" s="363">
        <v>825</v>
      </c>
      <c r="B109" s="366">
        <v>730</v>
      </c>
      <c r="C109" s="367">
        <v>850</v>
      </c>
      <c r="D109" s="367">
        <v>730</v>
      </c>
      <c r="E109" s="367">
        <v>850</v>
      </c>
      <c r="F109" s="1014"/>
      <c r="H109" s="363">
        <v>20000</v>
      </c>
      <c r="I109" s="364">
        <f ca="1">L108</f>
        <v>337</v>
      </c>
      <c r="J109" s="15"/>
      <c r="K109" s="361" t="s">
        <v>598</v>
      </c>
      <c r="L109" s="361" t="s">
        <v>578</v>
      </c>
      <c r="N109" s="361" t="s">
        <v>578</v>
      </c>
      <c r="P109" s="361" t="s">
        <v>578</v>
      </c>
      <c r="R109" s="361" t="s">
        <v>578</v>
      </c>
      <c r="T109" s="361" t="s">
        <v>578</v>
      </c>
      <c r="V109" s="361" t="s">
        <v>578</v>
      </c>
      <c r="X109" s="361" t="s">
        <v>578</v>
      </c>
    </row>
    <row r="110" spans="1:28">
      <c r="A110" s="363">
        <v>1100</v>
      </c>
      <c r="B110" s="366">
        <v>730</v>
      </c>
      <c r="C110" s="367">
        <v>850</v>
      </c>
      <c r="D110" s="367">
        <v>730</v>
      </c>
      <c r="E110" s="367">
        <v>850</v>
      </c>
      <c r="F110" s="1014"/>
      <c r="H110" s="363">
        <v>30000</v>
      </c>
      <c r="I110" s="364">
        <f ca="1">N108</f>
        <v>347</v>
      </c>
      <c r="J110" s="15"/>
      <c r="K110" s="363">
        <v>22</v>
      </c>
      <c r="L110" s="364">
        <v>264.5</v>
      </c>
      <c r="M110" s="1016">
        <v>20000</v>
      </c>
      <c r="N110" s="364">
        <v>276</v>
      </c>
      <c r="O110" s="1016">
        <v>30000</v>
      </c>
      <c r="P110" s="364">
        <v>303.59999999999997</v>
      </c>
      <c r="Q110" s="1016">
        <v>40000</v>
      </c>
      <c r="R110" s="364">
        <v>337.33333333333292</v>
      </c>
      <c r="S110" s="1016">
        <v>50000</v>
      </c>
      <c r="T110" s="364">
        <v>354.2</v>
      </c>
      <c r="U110" s="1016">
        <v>70000</v>
      </c>
      <c r="V110" s="364">
        <v>368</v>
      </c>
      <c r="W110" s="1016">
        <v>80000</v>
      </c>
      <c r="X110" s="364">
        <v>400.58333333333292</v>
      </c>
      <c r="Y110" s="1016">
        <v>95000</v>
      </c>
    </row>
    <row r="111" spans="1:28">
      <c r="H111" s="363">
        <v>40000</v>
      </c>
      <c r="I111" s="364">
        <f ca="1">P108</f>
        <v>389</v>
      </c>
      <c r="J111" s="15"/>
      <c r="K111" s="363">
        <v>40</v>
      </c>
      <c r="L111" s="364">
        <v>299</v>
      </c>
      <c r="M111" s="1014"/>
      <c r="N111" s="364">
        <v>315.09999999999997</v>
      </c>
      <c r="O111" s="1014"/>
      <c r="P111" s="364">
        <v>345</v>
      </c>
      <c r="Q111" s="1014"/>
      <c r="R111" s="364">
        <v>394.28571428571445</v>
      </c>
      <c r="S111" s="1014"/>
      <c r="T111" s="364">
        <v>418.18181818181858</v>
      </c>
      <c r="U111" s="1014"/>
      <c r="V111" s="364">
        <v>429.33333333333286</v>
      </c>
      <c r="W111" s="1014"/>
      <c r="X111" s="364">
        <v>436.99999999999994</v>
      </c>
      <c r="Y111" s="1014"/>
    </row>
    <row r="112" spans="1:28">
      <c r="H112" s="363">
        <v>50000</v>
      </c>
      <c r="I112" s="364">
        <f ca="1">R108</f>
        <v>411</v>
      </c>
      <c r="J112" s="15"/>
      <c r="K112" s="363">
        <v>66</v>
      </c>
      <c r="L112" s="364">
        <v>331.2</v>
      </c>
      <c r="M112" s="1014"/>
      <c r="N112" s="364">
        <v>337.33333333333292</v>
      </c>
      <c r="O112" s="1014"/>
      <c r="P112" s="364">
        <v>379.49999999999994</v>
      </c>
      <c r="Q112" s="1014"/>
      <c r="R112" s="364">
        <v>404.79999999999995</v>
      </c>
      <c r="S112" s="1014"/>
      <c r="T112" s="364">
        <v>442.74999999999994</v>
      </c>
      <c r="U112" s="1014"/>
      <c r="V112" s="364">
        <v>449.7777777777776</v>
      </c>
      <c r="W112" s="1014"/>
      <c r="X112" s="364">
        <v>557.75</v>
      </c>
      <c r="Y112" s="1014"/>
    </row>
    <row r="113" spans="1:26">
      <c r="H113" s="363">
        <v>70000</v>
      </c>
      <c r="I113" s="364">
        <f ca="1">T108</f>
        <v>446</v>
      </c>
      <c r="J113" s="15"/>
      <c r="K113" s="363">
        <v>120</v>
      </c>
      <c r="L113" s="364">
        <v>368</v>
      </c>
      <c r="M113" s="1014"/>
      <c r="N113" s="364">
        <v>394.28571428571445</v>
      </c>
      <c r="O113" s="1014"/>
      <c r="P113" s="364">
        <v>435.78947368421092</v>
      </c>
      <c r="Q113" s="1014"/>
      <c r="R113" s="364">
        <v>441.59999999999997</v>
      </c>
      <c r="S113" s="1014"/>
      <c r="T113" s="364">
        <v>459.99999999999994</v>
      </c>
      <c r="U113" s="1014"/>
      <c r="V113" s="364">
        <v>501.81818181818136</v>
      </c>
      <c r="W113" s="1014"/>
      <c r="X113" s="364">
        <v>626.75</v>
      </c>
      <c r="Y113" s="1014"/>
    </row>
    <row r="114" spans="1:26">
      <c r="H114" s="363">
        <v>80000</v>
      </c>
      <c r="I114" s="364">
        <f ca="1">V108</f>
        <v>458</v>
      </c>
      <c r="J114" s="15"/>
    </row>
    <row r="115" spans="1:26">
      <c r="H115" s="363">
        <v>95000</v>
      </c>
      <c r="I115" s="364">
        <f ca="1">X108</f>
        <v>569</v>
      </c>
      <c r="J115" s="15"/>
    </row>
    <row r="117" spans="1:26">
      <c r="G117" s="15"/>
    </row>
    <row r="118" spans="1:26" ht="30" customHeight="1">
      <c r="G118" s="545"/>
      <c r="H118" s="1010" t="s">
        <v>607</v>
      </c>
      <c r="I118" s="1011"/>
      <c r="J118" s="1011"/>
      <c r="K118" s="1011"/>
      <c r="L118" s="1011"/>
      <c r="M118" s="1011"/>
      <c r="N118" s="1011"/>
      <c r="O118" s="1011"/>
      <c r="P118" s="1011"/>
      <c r="Q118" s="1011"/>
      <c r="R118" s="1011"/>
      <c r="S118" s="1011"/>
      <c r="T118" s="1011"/>
      <c r="U118" s="1011"/>
      <c r="V118" s="1011"/>
      <c r="W118" s="1011"/>
      <c r="X118" s="1011"/>
      <c r="Y118" s="1011"/>
    </row>
    <row r="119" spans="1:26">
      <c r="G119" s="15"/>
      <c r="H119" s="354">
        <f>B10+B15</f>
        <v>161012.9236231884</v>
      </c>
      <c r="I119" s="356">
        <f ca="1">IF(H119=0,0,ROUND(IF(H119&lt;=H121,I121,IF(H119&gt;=$H$127,$I$127,FORECAST($H$119,OFFSET($I$120:$I$121,MATCH($H$119,сети2),),OFFSET($H$120:$H$121,MATCH($H$119,сети2),)))),0))</f>
        <v>460</v>
      </c>
      <c r="J119" s="15"/>
    </row>
    <row r="120" spans="1:26" ht="30">
      <c r="G120" s="15"/>
      <c r="H120" s="361" t="s">
        <v>608</v>
      </c>
      <c r="I120" s="361" t="s">
        <v>578</v>
      </c>
      <c r="J120" s="15"/>
      <c r="L120" s="368">
        <f ca="1">IF(H119=0,0,ROUND(IF($H$97&lt;=$K$122,L122,IF($H$97&gt;=$K$125,L$125,FORECAST($H$97,OFFSET(L$121:L$122,MATCH($H$97,сети1),),OFFSET($K$121:$K$122,MATCH($H$97,сети1),)))),0))</f>
        <v>169</v>
      </c>
      <c r="N120" s="368">
        <f ca="1">IF(H119=0,0,ROUND(IF($H$97&lt;=$K$122,N122,IF($H$97&gt;=$K$125,N$125,FORECAST($H$97,OFFSET(N$121:N$122,MATCH($H$97,сети1),),OFFSET($K$121:$K$122,MATCH($H$97,сети1),)))),0))</f>
        <v>250</v>
      </c>
      <c r="P120" s="368">
        <f ca="1">IF(H119=0,0,ROUND(IF($H$97&lt;=$K$122,P122,IF($H$97&gt;=$K$125,P$125,FORECAST($H$97,OFFSET(P$121:P$122,MATCH($H$97,сети1),),OFFSET($K$121:$K$122,MATCH($H$97,сети1),)))),0))</f>
        <v>271</v>
      </c>
      <c r="R120" s="368">
        <f ca="1">IF(H119=0,0,ROUND(IF($H$97&lt;=$K$122,R122,IF($H$97&gt;=$K$125,R$125,FORECAST($H$97,OFFSET(R$121:R$122,MATCH($H$97,сети1),),OFFSET($K$121:$K$122,MATCH($H$97,сети1),)))),0))</f>
        <v>314</v>
      </c>
      <c r="T120" s="368">
        <f ca="1">IF(H119=0,0,ROUND(IF($H$97&lt;=$K$122,T122,IF($H$97&gt;=$K$125,T$125,FORECAST($H$97,OFFSET(T$121:T$122,MATCH($H$97,сети1),),OFFSET($K$121:$K$122,MATCH($H$97,сети1),)))),0))</f>
        <v>365</v>
      </c>
      <c r="V120" s="368">
        <f ca="1">IF(H119=0,0,ROUND(IF($H$97&lt;=$K$122,V122,IF($H$97&gt;=$K$125,V$125,FORECAST($H$97,OFFSET(V$121:V$122,MATCH($H$97,сети1),),OFFSET($K$121:$K$122,MATCH($H$97,сети1),)))),0))</f>
        <v>397</v>
      </c>
      <c r="X120" s="368">
        <f ca="1">IF(H119=0,0,ROUND(IF($H$97&lt;=$K$122,X122,IF($H$97&gt;=$K$125,X$125,FORECAST($H$97,OFFSET(X$121:X$122,MATCH($H$97,сети1),),OFFSET($K$121:$K$122,MATCH($H$97,сети1),)))),0))</f>
        <v>460</v>
      </c>
      <c r="Z120" s="15"/>
    </row>
    <row r="121" spans="1:26">
      <c r="G121" s="15"/>
      <c r="H121" s="363">
        <v>20000</v>
      </c>
      <c r="I121" s="364">
        <f ca="1">L120</f>
        <v>169</v>
      </c>
      <c r="J121" s="15"/>
      <c r="K121" s="361" t="s">
        <v>598</v>
      </c>
      <c r="L121" s="361" t="s">
        <v>578</v>
      </c>
      <c r="N121" s="373" t="s">
        <v>578</v>
      </c>
      <c r="P121" s="373" t="s">
        <v>578</v>
      </c>
      <c r="R121" s="373" t="s">
        <v>578</v>
      </c>
      <c r="T121" s="373" t="s">
        <v>578</v>
      </c>
      <c r="V121" s="373" t="s">
        <v>578</v>
      </c>
      <c r="X121" s="373" t="s">
        <v>578</v>
      </c>
    </row>
    <row r="122" spans="1:26">
      <c r="G122" s="15"/>
      <c r="H122" s="363">
        <v>30000</v>
      </c>
      <c r="I122" s="364">
        <f ca="1">N120</f>
        <v>250</v>
      </c>
      <c r="J122" s="15"/>
      <c r="K122" s="363">
        <v>22</v>
      </c>
      <c r="L122" s="364">
        <v>100</v>
      </c>
      <c r="M122" s="1017">
        <v>20000</v>
      </c>
      <c r="N122" s="364">
        <v>141.50943396226415</v>
      </c>
      <c r="O122" s="1017">
        <v>30000</v>
      </c>
      <c r="P122" s="364">
        <v>155.64202334630349</v>
      </c>
      <c r="Q122" s="1017">
        <v>40000</v>
      </c>
      <c r="R122" s="364">
        <v>194.55252918287937</v>
      </c>
      <c r="S122" s="1017">
        <v>50000</v>
      </c>
      <c r="T122" s="364">
        <v>231.78807947019868</v>
      </c>
      <c r="U122" s="1017">
        <v>70000</v>
      </c>
      <c r="V122" s="364">
        <v>264.9006622516556</v>
      </c>
      <c r="W122" s="1017">
        <v>80000</v>
      </c>
      <c r="X122" s="364">
        <v>314.56953642384104</v>
      </c>
      <c r="Y122" s="1017">
        <v>95000</v>
      </c>
    </row>
    <row r="123" spans="1:26" ht="30">
      <c r="B123" s="353" t="s">
        <v>310</v>
      </c>
      <c r="D123" s="1011" t="s">
        <v>119</v>
      </c>
      <c r="E123" s="1011"/>
      <c r="F123" s="371" t="str">
        <f>B39</f>
        <v>Отдельно стоящий</v>
      </c>
      <c r="H123" s="363">
        <v>40000</v>
      </c>
      <c r="I123" s="364">
        <f ca="1">P120</f>
        <v>271</v>
      </c>
      <c r="J123" s="15"/>
      <c r="K123" s="363">
        <v>40</v>
      </c>
      <c r="L123" s="364">
        <v>142.85714285714286</v>
      </c>
      <c r="M123" s="1017"/>
      <c r="N123" s="364">
        <v>180</v>
      </c>
      <c r="O123" s="1017"/>
      <c r="P123" s="364">
        <v>228.57142857142858</v>
      </c>
      <c r="Q123" s="1017"/>
      <c r="R123" s="364">
        <v>256.41025641025641</v>
      </c>
      <c r="S123" s="1017"/>
      <c r="T123" s="364">
        <v>272.37354085603113</v>
      </c>
      <c r="U123" s="1017"/>
      <c r="V123" s="364">
        <v>320</v>
      </c>
      <c r="W123" s="1017"/>
      <c r="X123" s="364">
        <v>369.64980544747084</v>
      </c>
      <c r="Y123" s="1017"/>
    </row>
    <row r="124" spans="1:26" ht="30">
      <c r="B124" s="354">
        <f>B36</f>
        <v>0</v>
      </c>
      <c r="D124" s="371" t="s">
        <v>609</v>
      </c>
      <c r="E124" s="354">
        <f>B38</f>
        <v>250</v>
      </c>
      <c r="F124" s="357">
        <f ca="1">F125+E125</f>
        <v>40</v>
      </c>
      <c r="H124" s="363">
        <v>50000</v>
      </c>
      <c r="I124" s="364">
        <f ca="1">R120</f>
        <v>314</v>
      </c>
      <c r="J124" s="15"/>
      <c r="K124" s="363">
        <v>66</v>
      </c>
      <c r="L124" s="364">
        <v>163.9344262295082</v>
      </c>
      <c r="M124" s="1017"/>
      <c r="N124" s="364">
        <v>245.90163934426229</v>
      </c>
      <c r="O124" s="1017"/>
      <c r="P124" s="364">
        <v>258.06451612903226</v>
      </c>
      <c r="Q124" s="1017"/>
      <c r="R124" s="364">
        <v>299.40119760479041</v>
      </c>
      <c r="S124" s="1017"/>
      <c r="T124" s="364">
        <v>350</v>
      </c>
      <c r="U124" s="1017"/>
      <c r="V124" s="364">
        <v>380.95238095238096</v>
      </c>
      <c r="W124" s="1017"/>
      <c r="X124" s="364">
        <v>450</v>
      </c>
      <c r="Y124" s="1017"/>
    </row>
    <row r="125" spans="1:26" ht="15" customHeight="1">
      <c r="B125" s="360">
        <f ca="1">IF(B124=0,0,ROUND(IF(B124&lt;=A127,B127,IF(B124&gt;=$A$132,$B$132,FORECAST($B$124,OFFSET($B$126:$B$127,MATCH($B$124,этажерка),),OFFSET($A$126:$A$127,MATCH($B$124,этажерка),)))),0))</f>
        <v>0</v>
      </c>
      <c r="E125" s="359">
        <f ca="1">IF(E124=0,0,ROUND(IF(E$124&lt;=$D$127,E127,IF(E$124&gt;=$D$129,E129,FORECAST(E$124,OFFSET(E$126:E$127,MATCH(E$124,D127:D129),),OFFSET($D$126:$D$127,MATCH(E$124,D127:D129),)))),0))*IF(F123="Отдельно стоящий",1,0)</f>
        <v>40</v>
      </c>
      <c r="F125" s="359">
        <f>IF(E124=0,0,IF(F123="Отдельно стоящий",0,1)*E127)</f>
        <v>0</v>
      </c>
      <c r="H125" s="363">
        <v>70000</v>
      </c>
      <c r="I125" s="364">
        <f ca="1">T120</f>
        <v>365</v>
      </c>
      <c r="J125" s="15"/>
      <c r="K125" s="363">
        <v>120</v>
      </c>
      <c r="L125" s="364">
        <v>196.07843137254903</v>
      </c>
      <c r="M125" s="1017"/>
      <c r="N125" s="364">
        <v>267.85714285714283</v>
      </c>
      <c r="O125" s="1017"/>
      <c r="P125" s="364">
        <v>333.33333333333331</v>
      </c>
      <c r="Q125" s="1017"/>
      <c r="R125" s="364">
        <v>384.61538461538464</v>
      </c>
      <c r="S125" s="1017"/>
      <c r="T125" s="364">
        <v>437.5</v>
      </c>
      <c r="U125" s="1017"/>
      <c r="V125" s="364">
        <v>479.04191616766468</v>
      </c>
      <c r="W125" s="1017"/>
      <c r="X125" s="364">
        <v>510</v>
      </c>
      <c r="Y125" s="1017"/>
    </row>
    <row r="126" spans="1:26" ht="30" customHeight="1">
      <c r="A126" s="361" t="s">
        <v>610</v>
      </c>
      <c r="B126" s="361" t="s">
        <v>578</v>
      </c>
      <c r="C126" s="15"/>
      <c r="D126" s="361" t="s">
        <v>611</v>
      </c>
      <c r="E126" s="361" t="s">
        <v>578</v>
      </c>
      <c r="F126" s="15"/>
      <c r="H126" s="363">
        <v>80000</v>
      </c>
      <c r="I126" s="364">
        <f ca="1">V120</f>
        <v>397</v>
      </c>
      <c r="J126" s="15"/>
    </row>
    <row r="127" spans="1:26">
      <c r="A127" s="363">
        <v>100</v>
      </c>
      <c r="B127" s="366">
        <v>150</v>
      </c>
      <c r="C127" s="544"/>
      <c r="D127" s="363">
        <v>250</v>
      </c>
      <c r="E127" s="366">
        <v>40</v>
      </c>
      <c r="F127" s="544"/>
      <c r="H127" s="363">
        <v>95000</v>
      </c>
      <c r="I127" s="364">
        <f ca="1">X120</f>
        <v>460</v>
      </c>
      <c r="J127" s="15"/>
    </row>
    <row r="128" spans="1:26">
      <c r="A128" s="363">
        <v>300</v>
      </c>
      <c r="B128" s="366">
        <v>190</v>
      </c>
      <c r="C128" s="544"/>
      <c r="D128" s="363">
        <v>350</v>
      </c>
      <c r="E128" s="366">
        <v>60</v>
      </c>
      <c r="F128" s="544"/>
      <c r="J128" s="15"/>
    </row>
    <row r="129" spans="1:16">
      <c r="A129" s="363">
        <v>500</v>
      </c>
      <c r="B129" s="366">
        <v>240</v>
      </c>
      <c r="C129" s="544"/>
      <c r="D129" s="363">
        <v>400</v>
      </c>
      <c r="E129" s="366">
        <v>70</v>
      </c>
      <c r="F129" s="544"/>
    </row>
    <row r="130" spans="1:16" ht="15" customHeight="1">
      <c r="A130" s="363">
        <v>800</v>
      </c>
      <c r="B130" s="366">
        <v>270</v>
      </c>
      <c r="C130" s="15"/>
      <c r="F130" s="15"/>
      <c r="H130" s="1010" t="s">
        <v>612</v>
      </c>
      <c r="I130" s="1011"/>
      <c r="J130" s="1011"/>
      <c r="K130" s="1011"/>
      <c r="L130" s="1011"/>
      <c r="M130" s="1011"/>
      <c r="N130" s="1011"/>
      <c r="O130" s="1011"/>
    </row>
    <row r="131" spans="1:16">
      <c r="A131" s="363">
        <v>1000</v>
      </c>
      <c r="B131" s="366">
        <v>300</v>
      </c>
      <c r="C131" s="15"/>
      <c r="H131" s="354">
        <f>B40</f>
        <v>18</v>
      </c>
      <c r="I131" t="s">
        <v>613</v>
      </c>
      <c r="J131" t="s">
        <v>614</v>
      </c>
      <c r="K131" s="354">
        <f>B41</f>
        <v>87.05</v>
      </c>
    </row>
    <row r="132" spans="1:16">
      <c r="A132" s="363">
        <v>1500</v>
      </c>
      <c r="B132" s="366">
        <v>330</v>
      </c>
      <c r="C132" s="15"/>
      <c r="I132" s="356">
        <f ca="1">IF(H131=0,0,IF(H131&lt;=10,I134,I135))</f>
        <v>102</v>
      </c>
      <c r="J132" s="15"/>
    </row>
    <row r="133" spans="1:16">
      <c r="C133" s="15"/>
      <c r="D133" s="1012" t="s">
        <v>615</v>
      </c>
      <c r="E133" s="1013"/>
      <c r="H133" s="361" t="s">
        <v>616</v>
      </c>
      <c r="I133" s="361" t="s">
        <v>578</v>
      </c>
      <c r="J133" s="15"/>
      <c r="L133" s="368">
        <f ca="1">IF(K131=0,0,ROUND(IF($K$131&lt;=$K$135,L135,IF($K$131&gt;=$K$138,L$138,FORECAST($K$131,OFFSET(L$134:L$135,MATCH($K$131,высота_лифт),),OFFSET($K$134:$K$135,MATCH($K$131,высота_лифт),)))),0))</f>
        <v>72</v>
      </c>
      <c r="N133" s="368">
        <f ca="1">IF(K131=0,0,ROUND(IF($K$131&lt;=$K$135,N135,IF($K$131&gt;=$K$138,N$138,FORECAST($K$131,OFFSET(N$134:N$135,MATCH($K$131,высота_лифт),),OFFSET($K$134:$K$135,MATCH($K$131,высота_лифт),)))),0))</f>
        <v>102</v>
      </c>
      <c r="P133" s="15"/>
    </row>
    <row r="134" spans="1:16" ht="15" customHeight="1">
      <c r="D134" s="354">
        <f>B42</f>
        <v>0</v>
      </c>
      <c r="E134" s="360">
        <f ca="1">IF(D134=0,0,ROUND(IF(D134&lt;=D136,E136,IF(D134&gt;=$D$142,$E$142,FORECAST($D$134,OFFSET($E$135:$E$136,MATCH($D$134,детклуб),),OFFSET($D$135:$D$136,MATCH($D$134,детклуб),)))),0))</f>
        <v>0</v>
      </c>
      <c r="H134" s="363" t="s">
        <v>617</v>
      </c>
      <c r="I134" s="364">
        <f ca="1">L133</f>
        <v>72</v>
      </c>
      <c r="J134" s="15"/>
      <c r="K134" s="361" t="s">
        <v>598</v>
      </c>
      <c r="L134" s="361" t="s">
        <v>578</v>
      </c>
      <c r="N134" s="373" t="s">
        <v>578</v>
      </c>
      <c r="P134" s="15"/>
    </row>
    <row r="135" spans="1:16" ht="30">
      <c r="B135" s="353" t="s">
        <v>19</v>
      </c>
      <c r="D135" s="361" t="s">
        <v>618</v>
      </c>
      <c r="E135" s="361" t="s">
        <v>578</v>
      </c>
      <c r="F135" s="15"/>
      <c r="H135" s="363" t="s">
        <v>619</v>
      </c>
      <c r="I135" s="364">
        <f ca="1">N133</f>
        <v>102</v>
      </c>
      <c r="J135" s="15"/>
      <c r="K135" s="363">
        <v>22</v>
      </c>
      <c r="L135" s="364">
        <v>60</v>
      </c>
      <c r="M135" s="1017" t="s">
        <v>617</v>
      </c>
      <c r="N135" s="364">
        <v>90</v>
      </c>
      <c r="O135" s="1017" t="s">
        <v>620</v>
      </c>
      <c r="P135" s="15"/>
    </row>
    <row r="136" spans="1:16">
      <c r="A136" s="305"/>
      <c r="B136" s="354">
        <f>B6</f>
        <v>17488.989791956403</v>
      </c>
      <c r="D136" s="363">
        <v>100</v>
      </c>
      <c r="E136" s="364">
        <v>30</v>
      </c>
      <c r="F136" s="15"/>
      <c r="J136" s="15"/>
      <c r="K136" s="363">
        <v>40</v>
      </c>
      <c r="L136" s="364">
        <v>60</v>
      </c>
      <c r="M136" s="1017"/>
      <c r="N136" s="364">
        <v>90</v>
      </c>
      <c r="O136" s="1017"/>
      <c r="P136" s="15"/>
    </row>
    <row r="137" spans="1:16">
      <c r="B137" s="360">
        <f ca="1">IF(B136=0,0,ROUND(IF(B136&lt;=A139,B139,IF(B136&gt;=$A$145,$B$145,FORECAST($B$136,OFFSET($B$138:$B$139,MATCH($B$136,благоустр),),OFFSET($A$138:$A$139,MATCH($B$136,благоустр),)))),0))</f>
        <v>180</v>
      </c>
      <c r="D137" s="363">
        <v>200</v>
      </c>
      <c r="E137" s="364">
        <v>45</v>
      </c>
      <c r="F137" s="15"/>
      <c r="K137" s="363">
        <v>66</v>
      </c>
      <c r="L137" s="364">
        <v>60</v>
      </c>
      <c r="M137" s="1017"/>
      <c r="N137" s="364">
        <v>90</v>
      </c>
      <c r="O137" s="1017"/>
      <c r="P137" s="15"/>
    </row>
    <row r="138" spans="1:16">
      <c r="A138" s="361" t="s">
        <v>621</v>
      </c>
      <c r="B138" s="361" t="s">
        <v>578</v>
      </c>
      <c r="D138" s="363">
        <v>500</v>
      </c>
      <c r="E138" s="364">
        <f>E137+15</f>
        <v>60</v>
      </c>
      <c r="F138" s="15"/>
      <c r="K138" s="363">
        <v>120</v>
      </c>
      <c r="L138" s="364">
        <v>90</v>
      </c>
      <c r="M138" s="1017"/>
      <c r="N138" s="364">
        <v>120</v>
      </c>
      <c r="O138" s="1017"/>
      <c r="P138" s="15"/>
    </row>
    <row r="139" spans="1:16" ht="30">
      <c r="A139" s="363">
        <v>500</v>
      </c>
      <c r="B139" s="366">
        <v>45</v>
      </c>
      <c r="D139" s="363">
        <v>1000</v>
      </c>
      <c r="E139" s="364">
        <f t="shared" ref="E139:E142" si="14">E138+15</f>
        <v>75</v>
      </c>
      <c r="F139" s="15"/>
      <c r="I139" s="353" t="s">
        <v>100</v>
      </c>
      <c r="P139" s="15"/>
    </row>
    <row r="140" spans="1:16">
      <c r="A140" s="363">
        <v>1000</v>
      </c>
      <c r="B140" s="366">
        <v>60</v>
      </c>
      <c r="D140" s="363">
        <v>1250</v>
      </c>
      <c r="E140" s="364">
        <f t="shared" si="14"/>
        <v>90</v>
      </c>
      <c r="F140" s="15"/>
      <c r="H140" s="354">
        <f>B5</f>
        <v>26297.3</v>
      </c>
      <c r="I140" s="360">
        <f ca="1">IF(H140=0,0,ROUND(IF($H$140&lt;=$H$142,I142,IF($H$140&gt;=$H$144,I$144,FORECAST($H$140,OFFSET(I$141:I$142,MATCH($H$140,зу),),OFFSET($H$141:$H$142,MATCH($H$140,зу),)))),0))</f>
        <v>300</v>
      </c>
      <c r="J140" s="15"/>
    </row>
    <row r="141" spans="1:16">
      <c r="A141" s="363">
        <v>2000</v>
      </c>
      <c r="B141" s="366">
        <v>60</v>
      </c>
      <c r="D141" s="363">
        <v>1500</v>
      </c>
      <c r="E141" s="364">
        <f t="shared" si="14"/>
        <v>105</v>
      </c>
      <c r="F141" s="15"/>
      <c r="H141" s="361" t="s">
        <v>579</v>
      </c>
      <c r="I141" s="361" t="s">
        <v>578</v>
      </c>
      <c r="J141" s="15"/>
    </row>
    <row r="142" spans="1:16">
      <c r="A142" s="363">
        <v>5000</v>
      </c>
      <c r="B142" s="366">
        <v>60</v>
      </c>
      <c r="D142" s="363">
        <v>2000</v>
      </c>
      <c r="E142" s="364">
        <f t="shared" si="14"/>
        <v>120</v>
      </c>
      <c r="F142" s="15"/>
      <c r="H142" s="363">
        <v>3660</v>
      </c>
      <c r="I142" s="364">
        <v>120</v>
      </c>
      <c r="J142" s="15"/>
    </row>
    <row r="143" spans="1:16">
      <c r="A143" s="363">
        <v>10000</v>
      </c>
      <c r="B143" s="366">
        <v>90</v>
      </c>
      <c r="F143" s="15"/>
      <c r="H143" s="363">
        <v>6940</v>
      </c>
      <c r="I143" s="364">
        <v>180</v>
      </c>
      <c r="J143" s="15"/>
    </row>
    <row r="144" spans="1:16">
      <c r="A144" s="363">
        <v>15000</v>
      </c>
      <c r="B144" s="366">
        <v>120</v>
      </c>
      <c r="H144" s="363">
        <v>23058</v>
      </c>
      <c r="I144" s="364">
        <v>300</v>
      </c>
      <c r="J144" s="15"/>
    </row>
    <row r="145" spans="1:22">
      <c r="A145" s="363">
        <v>16000</v>
      </c>
      <c r="B145" s="366">
        <v>180</v>
      </c>
      <c r="J145" s="15"/>
    </row>
    <row r="146" spans="1:22">
      <c r="F146" s="1010" t="s">
        <v>950</v>
      </c>
      <c r="G146" s="1011"/>
      <c r="J146" s="15"/>
    </row>
    <row r="147" spans="1:22">
      <c r="B147" s="353" t="s">
        <v>622</v>
      </c>
      <c r="C147" s="353" t="s">
        <v>623</v>
      </c>
      <c r="D147" s="353" t="s">
        <v>624</v>
      </c>
      <c r="F147" s="543" t="s">
        <v>623</v>
      </c>
      <c r="G147" s="543" t="s">
        <v>624</v>
      </c>
      <c r="J147" s="15"/>
    </row>
    <row r="148" spans="1:22">
      <c r="C148" s="360">
        <f ca="1">IF($B$3="многоугольная",F149,C149)</f>
        <v>173</v>
      </c>
      <c r="D148" s="360">
        <f ca="1">IF($B$3="многоугольная",G149,D149)</f>
        <v>276</v>
      </c>
    </row>
    <row r="149" spans="1:22">
      <c r="B149" s="360">
        <f ca="1">IF(H119=0,0,ROUND(IF($H$119&lt;=$A$151,B151,IF($H$119&gt;=$A$153,B$153,FORECAST($H$119,OFFSET(B$150:B$151,MATCH($H$119,общ),),OFFSET($A$150:$A$151,MATCH($H$119,общ),)))),0))</f>
        <v>180</v>
      </c>
      <c r="C149" s="359">
        <f ca="1">IF(H119=0,0,ROUND(IF($H$119&lt;=$A$151,C151,IF($H$119&gt;=$A$153,C$153,FORECAST($H$119,OFFSET(C$150:C$151,MATCH($H$119,общ),),OFFSET($A$150:$A$151,MATCH($H$119,общ),)))),0))</f>
        <v>150</v>
      </c>
      <c r="D149" s="359">
        <f ca="1">IF(H119=0,0,ROUND(IF($H$119&lt;=$A$151,D151,IF($H$119&gt;=$A$153,D$153,FORECAST($H$119,OFFSET(D$150:D$151,MATCH($H$119,общ),),OFFSET($A$150:$A$151,MATCH($H$119,общ),)))),0))</f>
        <v>240</v>
      </c>
      <c r="E149" s="15"/>
      <c r="F149" s="359">
        <f ca="1">IF(H119=0,0,ROUND(IF($H$119&lt;=$A$151,F151,IF($H$119&gt;=$A$153,F$153,FORECAST($H$119,OFFSET(F$150:F$151,MATCH($H$119,общ),),OFFSET($A$150:$A$151,MATCH($H$119,общ),)))),0))</f>
        <v>173</v>
      </c>
      <c r="G149" s="359">
        <f ca="1">IF(H119=0,0,ROUND(IF($H$119&lt;=$A$151,G151,IF($H$119&gt;=$A$153,G$153,FORECAST($H$119,OFFSET(G$150:G$151,MATCH($H$119,общ),),OFFSET($A$150:$A$151,MATCH($H$119,общ),)))),0))</f>
        <v>276</v>
      </c>
    </row>
    <row r="150" spans="1:22">
      <c r="A150" s="361" t="s">
        <v>625</v>
      </c>
      <c r="B150" s="361" t="s">
        <v>578</v>
      </c>
      <c r="C150" s="361" t="s">
        <v>578</v>
      </c>
      <c r="D150" s="361" t="s">
        <v>578</v>
      </c>
      <c r="E150" s="15"/>
      <c r="F150" s="361" t="s">
        <v>578</v>
      </c>
      <c r="G150" s="361" t="s">
        <v>578</v>
      </c>
    </row>
    <row r="151" spans="1:22">
      <c r="A151" s="363">
        <v>20000</v>
      </c>
      <c r="B151" s="367">
        <v>180</v>
      </c>
      <c r="C151" s="367">
        <v>120</v>
      </c>
      <c r="D151" s="367">
        <v>150</v>
      </c>
      <c r="E151" s="15"/>
      <c r="F151" s="367">
        <v>138</v>
      </c>
      <c r="G151" s="367">
        <v>172.5</v>
      </c>
    </row>
    <row r="152" spans="1:22">
      <c r="A152" s="363">
        <v>30000</v>
      </c>
      <c r="B152" s="367">
        <v>180</v>
      </c>
      <c r="C152" s="367">
        <v>120</v>
      </c>
      <c r="D152" s="367">
        <v>150</v>
      </c>
      <c r="E152" s="15"/>
      <c r="F152" s="367">
        <v>138</v>
      </c>
      <c r="G152" s="367">
        <v>172.5</v>
      </c>
    </row>
    <row r="153" spans="1:22">
      <c r="A153" s="363">
        <v>95000</v>
      </c>
      <c r="B153" s="367">
        <v>180</v>
      </c>
      <c r="C153" s="367">
        <v>150</v>
      </c>
      <c r="D153" s="367">
        <v>240</v>
      </c>
      <c r="E153" s="15"/>
      <c r="F153" s="367">
        <v>172.5</v>
      </c>
      <c r="G153" s="367">
        <v>276</v>
      </c>
    </row>
    <row r="154" spans="1:22" ht="30">
      <c r="C154" s="374" t="s">
        <v>626</v>
      </c>
      <c r="D154" s="374" t="s">
        <v>627</v>
      </c>
      <c r="E154" s="15"/>
    </row>
    <row r="156" spans="1:22">
      <c r="B156" s="1012" t="s">
        <v>92</v>
      </c>
      <c r="C156" s="1013"/>
      <c r="D156" s="1013"/>
      <c r="E156" s="1013"/>
      <c r="F156" s="1013"/>
    </row>
    <row r="157" spans="1:22" ht="60">
      <c r="B157" s="353" t="s">
        <v>347</v>
      </c>
      <c r="C157" s="353" t="s">
        <v>95</v>
      </c>
      <c r="D157" s="353" t="s">
        <v>93</v>
      </c>
      <c r="E157" s="353" t="s">
        <v>18</v>
      </c>
      <c r="F157" s="353" t="s">
        <v>349</v>
      </c>
      <c r="I157" s="353" t="s">
        <v>114</v>
      </c>
      <c r="J157" s="353" t="s">
        <v>195</v>
      </c>
      <c r="K157" s="353" t="s">
        <v>197</v>
      </c>
      <c r="P157" s="353" t="s">
        <v>49</v>
      </c>
      <c r="V157" s="15"/>
    </row>
    <row r="158" spans="1:22">
      <c r="B158" s="360">
        <f ca="1">IF(H119=0,0,ROUND(IF($H$119&lt;=$A$160,B160,IF($H$119&gt;=$A$166,B$166,FORECAST($H$119,OFFSET(B$159:B$160,MATCH($H$119,общ_пл_отдел),),OFFSET($A$159:$A$160,MATCH($H$119,общ_пл_отдел),)))),0))</f>
        <v>238</v>
      </c>
      <c r="C158" s="360">
        <f ca="1">IF(H119=0,0,ROUND(IF($H$119&lt;=$A$160,C160,IF($H$119&gt;=$A$166,C$166,FORECAST($H$119,OFFSET(C$159:C$160,MATCH($H$119,общ_пл_отдел),),OFFSET($A$159:$A$160,MATCH($H$119,общ_пл_отдел),)))),0))*IF('Распределение по статьям'!AC414=0,0,1)</f>
        <v>75</v>
      </c>
      <c r="D158" s="360">
        <f ca="1">IF(H119=0,0,ROUND(IF($H$119&lt;=$A$160,D160,IF($H$119&gt;=$A$166,D$166,FORECAST($H$119,OFFSET(D$159:D$160,MATCH($H$119,общ_пл_отдел),),OFFSET($A$159:$A$160,MATCH($H$119,общ_пл_отдел),)))),0))</f>
        <v>281</v>
      </c>
      <c r="E158" s="360">
        <f ca="1">IF(H119=0,0,ROUND(IF($H$119&lt;=$A$160,E160,IF($H$119&gt;=$A$166,E$166,FORECAST($H$119,OFFSET(E$159:E$160,MATCH($H$119,общ_пл_отдел),),OFFSET($A$159:$A$160,MATCH($H$119,общ_пл_отдел),)))),0))</f>
        <v>339</v>
      </c>
      <c r="F158" s="360">
        <f ca="1">IF(H119=0,0,ROUND(IF($H$119&lt;=$A$160,F160,IF($H$119&gt;=$A$166,F$166,FORECAST($H$119,OFFSET(F$159:F$160,MATCH($H$119,общ_пл_отдел),),OFFSET($A$159:$A$160,MATCH($H$119,общ_пл_отдел),)))),0))</f>
        <v>180</v>
      </c>
      <c r="G158" s="15"/>
      <c r="I158" s="360">
        <f ca="1">IF(('Распределение по статьям'!AC535-'Распределение по статьям'!AC540)=0,0,ROUND(IF($B$15&lt;=$H$160,I160,IF($B$15&gt;=$H$166,I$166,FORECAST($B$15,OFFSET(I$159:I$160,MATCH($B$15,ндз),),OFFSET($H$159:$H$160,MATCH($B$15,ндз),)))),0))</f>
        <v>0</v>
      </c>
      <c r="J158" s="360">
        <f ca="1">IF(B15=0,0,ROUND(IF($B$15&lt;=$H$160,J160,IF($B$15&gt;=$H$166,J$166,FORECAST($B$15,OFFSET(J$159:J$160,MATCH($B$15,ндз),),OFFSET($H$159:$H$160,MATCH($B$15,ндз),)))),0))</f>
        <v>120</v>
      </c>
      <c r="K158" s="360">
        <f ca="1">IF(B15=0,0,ROUND(IF($B$15&lt;=$H$160,K160,IF($B$15&gt;=$H$166,K$166,FORECAST($B$15,OFFSET(K$159:K$160,MATCH($B$15,ндз),),OFFSET($H$159:$H$160,MATCH($B$15,ндз),)))),0))</f>
        <v>80</v>
      </c>
      <c r="L158" s="15"/>
      <c r="N158" s="15"/>
      <c r="O158" s="360">
        <f ca="1">IF(B15=0,0,ROUND(IF($B$15&lt;=$O$160,P160,IF($B$15&gt;=$O$171,P$171,FORECAST($B$15,OFFSET(P$159:P$160,MATCH($B$15,афк),),OFFSET($O$159:$O$160,MATCH($B$15,афк),)))),0))</f>
        <v>150</v>
      </c>
      <c r="P158" s="200">
        <f>IF(B15=0,0,30*7)</f>
        <v>210</v>
      </c>
      <c r="S158" s="361" t="s">
        <v>628</v>
      </c>
      <c r="T158" s="361" t="s">
        <v>578</v>
      </c>
      <c r="V158" s="15"/>
    </row>
    <row r="159" spans="1:22" ht="42.75">
      <c r="A159" s="361" t="s">
        <v>625</v>
      </c>
      <c r="B159" s="361" t="s">
        <v>578</v>
      </c>
      <c r="C159" s="361" t="s">
        <v>578</v>
      </c>
      <c r="D159" s="361" t="s">
        <v>578</v>
      </c>
      <c r="E159" s="361" t="s">
        <v>578</v>
      </c>
      <c r="F159" s="361" t="s">
        <v>578</v>
      </c>
      <c r="G159" s="15"/>
      <c r="H159" s="198" t="s">
        <v>629</v>
      </c>
      <c r="I159" s="361" t="s">
        <v>578</v>
      </c>
      <c r="J159" s="361" t="s">
        <v>578</v>
      </c>
      <c r="K159" s="361" t="s">
        <v>578</v>
      </c>
      <c r="L159" s="15"/>
      <c r="O159" s="198" t="s">
        <v>629</v>
      </c>
      <c r="P159" s="361" t="s">
        <v>578</v>
      </c>
      <c r="S159" s="363">
        <v>5000</v>
      </c>
      <c r="T159" s="364">
        <v>75</v>
      </c>
      <c r="U159" s="1021" t="s">
        <v>630</v>
      </c>
      <c r="V159" s="15"/>
    </row>
    <row r="160" spans="1:22">
      <c r="A160" s="363">
        <v>20000</v>
      </c>
      <c r="B160" s="367">
        <v>60</v>
      </c>
      <c r="C160" s="367">
        <v>38</v>
      </c>
      <c r="D160" s="367">
        <v>90</v>
      </c>
      <c r="E160" s="367">
        <v>150</v>
      </c>
      <c r="F160" s="367">
        <v>120</v>
      </c>
      <c r="G160" s="15"/>
      <c r="H160" s="363">
        <v>5000</v>
      </c>
      <c r="I160" s="366">
        <v>30</v>
      </c>
      <c r="J160" s="366">
        <v>120</v>
      </c>
      <c r="K160" s="366">
        <v>80</v>
      </c>
      <c r="L160" s="15"/>
      <c r="O160" s="363">
        <v>5000</v>
      </c>
      <c r="P160" s="366">
        <f>T159</f>
        <v>75</v>
      </c>
      <c r="Q160" s="15"/>
      <c r="S160" s="363">
        <v>30000</v>
      </c>
      <c r="T160" s="364">
        <v>90</v>
      </c>
      <c r="U160" s="1022"/>
      <c r="V160" s="15"/>
    </row>
    <row r="161" spans="1:22">
      <c r="A161" s="363">
        <v>30000</v>
      </c>
      <c r="B161" s="367">
        <v>90</v>
      </c>
      <c r="C161" s="367">
        <v>45</v>
      </c>
      <c r="D161" s="375">
        <v>135</v>
      </c>
      <c r="E161" s="367">
        <v>159.57446808510639</v>
      </c>
      <c r="F161" s="367">
        <v>120</v>
      </c>
      <c r="G161" s="15"/>
      <c r="H161" s="363">
        <v>10000</v>
      </c>
      <c r="I161" s="366">
        <v>30</v>
      </c>
      <c r="J161" s="366">
        <v>120</v>
      </c>
      <c r="K161" s="366">
        <v>80</v>
      </c>
      <c r="L161" s="15"/>
      <c r="O161" s="363">
        <v>10000</v>
      </c>
      <c r="P161" s="366">
        <f ca="1">FORECAST(O161,OFFSET($T$158:$T$159,MATCH(O161,афк1),),OFFSET($S$158:$S$159,MATCH(O161,афк1),))</f>
        <v>78</v>
      </c>
      <c r="Q161" s="15"/>
      <c r="V161" s="15"/>
    </row>
    <row r="162" spans="1:22">
      <c r="A162" s="363">
        <v>40000</v>
      </c>
      <c r="B162" s="367">
        <v>120</v>
      </c>
      <c r="C162" s="367">
        <v>45</v>
      </c>
      <c r="D162" s="367">
        <v>139.13043478260869</v>
      </c>
      <c r="E162" s="367">
        <v>212.7659574468085</v>
      </c>
      <c r="F162" s="367">
        <v>140</v>
      </c>
      <c r="G162" s="15"/>
      <c r="H162" s="363">
        <v>15000</v>
      </c>
      <c r="I162" s="366">
        <v>45</v>
      </c>
      <c r="J162" s="366">
        <v>120</v>
      </c>
      <c r="K162" s="366">
        <v>80</v>
      </c>
      <c r="L162" s="15"/>
      <c r="O162" s="363">
        <v>15000</v>
      </c>
      <c r="P162" s="366">
        <f ca="1">FORECAST(O162,OFFSET($T$158:$T$159,MATCH(O162,афк1),),OFFSET($S$158:$S$159,MATCH(O162,афк1),))</f>
        <v>81</v>
      </c>
      <c r="Q162" s="15"/>
      <c r="V162" s="15"/>
    </row>
    <row r="163" spans="1:22">
      <c r="A163" s="363">
        <v>50000</v>
      </c>
      <c r="B163" s="367">
        <v>150</v>
      </c>
      <c r="C163" s="367">
        <v>60</v>
      </c>
      <c r="D163" s="367">
        <v>173.91304347826087</v>
      </c>
      <c r="E163" s="367">
        <v>265.95744680851061</v>
      </c>
      <c r="F163" s="367">
        <v>140</v>
      </c>
      <c r="G163" s="15"/>
      <c r="H163" s="363">
        <v>20000</v>
      </c>
      <c r="I163" s="366">
        <v>45</v>
      </c>
      <c r="J163" s="366">
        <v>120</v>
      </c>
      <c r="K163" s="366">
        <v>80</v>
      </c>
      <c r="L163" s="15"/>
      <c r="O163" s="363">
        <v>20000</v>
      </c>
      <c r="P163" s="366">
        <f ca="1">FORECAST(O163,OFFSET($T$158:$T$159,MATCH(O163,афк1),),OFFSET($S$158:$S$159,MATCH(O163,афк1),))</f>
        <v>84</v>
      </c>
      <c r="Q163" s="15"/>
      <c r="S163" s="361" t="s">
        <v>598</v>
      </c>
      <c r="T163" s="373" t="s">
        <v>578</v>
      </c>
      <c r="V163" s="15"/>
    </row>
    <row r="164" spans="1:22">
      <c r="A164" s="363">
        <v>70000</v>
      </c>
      <c r="B164" s="367">
        <v>175</v>
      </c>
      <c r="C164" s="367">
        <v>60</v>
      </c>
      <c r="D164" s="367">
        <v>243.47826086956522</v>
      </c>
      <c r="E164" s="367">
        <v>291.66666666666669</v>
      </c>
      <c r="F164" s="367">
        <v>160</v>
      </c>
      <c r="G164" s="15"/>
      <c r="H164" s="363">
        <v>50000</v>
      </c>
      <c r="I164" s="366">
        <v>60</v>
      </c>
      <c r="J164" s="366">
        <v>120</v>
      </c>
      <c r="K164" s="366">
        <v>80</v>
      </c>
      <c r="L164" s="15"/>
      <c r="O164" s="363">
        <v>30000</v>
      </c>
      <c r="P164" s="366">
        <f>T164</f>
        <v>90</v>
      </c>
      <c r="Q164" s="15"/>
      <c r="S164" s="363">
        <f>S160</f>
        <v>30000</v>
      </c>
      <c r="T164" s="364">
        <f>T160</f>
        <v>90</v>
      </c>
      <c r="U164" s="1021" t="s">
        <v>631</v>
      </c>
      <c r="V164" s="15"/>
    </row>
    <row r="165" spans="1:22">
      <c r="A165" s="363">
        <v>80000</v>
      </c>
      <c r="B165" s="367">
        <v>200</v>
      </c>
      <c r="C165" s="367">
        <v>75</v>
      </c>
      <c r="D165" s="367">
        <v>256</v>
      </c>
      <c r="E165" s="367">
        <v>333.33333333333331</v>
      </c>
      <c r="F165" s="367">
        <v>160</v>
      </c>
      <c r="G165" s="15"/>
      <c r="H165" s="363">
        <v>90000</v>
      </c>
      <c r="I165" s="366">
        <v>60</v>
      </c>
      <c r="J165" s="366">
        <v>120</v>
      </c>
      <c r="K165" s="366">
        <v>80</v>
      </c>
      <c r="L165" s="15"/>
      <c r="O165" s="363">
        <v>40000</v>
      </c>
      <c r="P165" s="366">
        <f ca="1">FORECAST(O165,OFFSET($T$163:$T$164,MATCH(O165,афк2),),OFFSET($S$163:$S$164,MATCH(O165,афк2),))</f>
        <v>97.5</v>
      </c>
      <c r="Q165" s="15"/>
      <c r="S165" s="363">
        <v>70000</v>
      </c>
      <c r="T165" s="364">
        <v>120</v>
      </c>
      <c r="U165" s="1022"/>
      <c r="V165" s="15"/>
    </row>
    <row r="166" spans="1:22">
      <c r="A166" s="363">
        <v>95000</v>
      </c>
      <c r="B166" s="367">
        <v>237.5</v>
      </c>
      <c r="C166" s="367">
        <v>75</v>
      </c>
      <c r="D166" s="367">
        <v>281.48148148148147</v>
      </c>
      <c r="E166" s="367">
        <v>339.28571428571428</v>
      </c>
      <c r="F166" s="367">
        <v>180</v>
      </c>
      <c r="G166" s="15"/>
      <c r="H166" s="363">
        <v>100000</v>
      </c>
      <c r="I166" s="366">
        <v>80</v>
      </c>
      <c r="J166" s="366">
        <v>120</v>
      </c>
      <c r="K166" s="366">
        <v>80</v>
      </c>
      <c r="L166" s="15"/>
      <c r="O166" s="363">
        <v>50000</v>
      </c>
      <c r="P166" s="366">
        <f ca="1">FORECAST(O166,OFFSET($T$163:$T$164,MATCH(O166,афк2),),OFFSET($S$163:$S$164,MATCH(O166,афк2),))</f>
        <v>105</v>
      </c>
      <c r="Q166" s="15"/>
      <c r="V166" s="15"/>
    </row>
    <row r="167" spans="1:22">
      <c r="G167" s="15"/>
      <c r="L167" s="15"/>
      <c r="O167" s="363">
        <v>60000</v>
      </c>
      <c r="P167" s="366">
        <f ca="1">FORECAST(O167,OFFSET($T$163:$T$164,MATCH(O167,афк2),),OFFSET($S$163:$S$164,MATCH(O167,афк2),))</f>
        <v>112.5</v>
      </c>
      <c r="Q167" s="15"/>
      <c r="V167" s="15"/>
    </row>
    <row r="168" spans="1:22">
      <c r="L168" s="15"/>
      <c r="O168" s="363">
        <v>70000</v>
      </c>
      <c r="P168" s="366">
        <f>T169</f>
        <v>120</v>
      </c>
      <c r="Q168" s="15"/>
      <c r="S168" s="361" t="s">
        <v>598</v>
      </c>
      <c r="T168" s="373" t="s">
        <v>578</v>
      </c>
      <c r="V168" s="15"/>
    </row>
    <row r="169" spans="1:22" ht="15.75">
      <c r="A169" s="376" t="s">
        <v>632</v>
      </c>
      <c r="L169" s="15"/>
      <c r="O169" s="363">
        <v>80000</v>
      </c>
      <c r="P169" s="366">
        <f ca="1">FORECAST(O169,OFFSET($T$168:$T$169,MATCH(O169,афк3),),OFFSET($S$168:$S$169,MATCH(O169,афк3),))</f>
        <v>130</v>
      </c>
      <c r="Q169" s="15"/>
      <c r="S169" s="363">
        <f>S165</f>
        <v>70000</v>
      </c>
      <c r="T169" s="364">
        <f>T165</f>
        <v>120</v>
      </c>
      <c r="U169" s="1021" t="s">
        <v>633</v>
      </c>
      <c r="V169" s="15"/>
    </row>
    <row r="170" spans="1:22" ht="12.75" customHeight="1">
      <c r="A170" s="377" t="s">
        <v>634</v>
      </c>
      <c r="O170" s="363">
        <v>90000</v>
      </c>
      <c r="P170" s="366">
        <f ca="1">FORECAST(O170,OFFSET($T$168:$T$169,MATCH(O170,афк3),),OFFSET($S$168:$S$169,MATCH(O170,афк3),))</f>
        <v>140</v>
      </c>
      <c r="Q170" s="15"/>
      <c r="S170" s="363">
        <v>100000</v>
      </c>
      <c r="T170" s="364">
        <v>150</v>
      </c>
      <c r="U170" s="1022"/>
      <c r="V170" s="15"/>
    </row>
    <row r="171" spans="1:22" ht="15.75">
      <c r="A171" s="377"/>
      <c r="O171" s="363">
        <v>100000</v>
      </c>
      <c r="P171" s="366">
        <f>T170</f>
        <v>150</v>
      </c>
      <c r="Q171" s="15"/>
      <c r="V171" s="15"/>
    </row>
    <row r="172" spans="1:22" ht="15.75" customHeight="1">
      <c r="A172" s="1020" t="s">
        <v>635</v>
      </c>
      <c r="B172" s="378" t="s">
        <v>636</v>
      </c>
      <c r="C172" s="378" t="s">
        <v>637</v>
      </c>
      <c r="D172" s="378" t="s">
        <v>638</v>
      </c>
      <c r="E172" s="1020" t="s">
        <v>639</v>
      </c>
      <c r="F172" s="378" t="s">
        <v>640</v>
      </c>
      <c r="G172" s="1020" t="s">
        <v>952</v>
      </c>
      <c r="H172" s="1020"/>
      <c r="I172" s="1020" t="s">
        <v>951</v>
      </c>
      <c r="J172" s="1020"/>
      <c r="K172" s="1020" t="s">
        <v>954</v>
      </c>
      <c r="L172" s="1020"/>
      <c r="Q172" s="15"/>
      <c r="V172" s="15"/>
    </row>
    <row r="173" spans="1:22" ht="31.5">
      <c r="A173" s="1020"/>
      <c r="B173" s="379" t="s">
        <v>641</v>
      </c>
      <c r="C173" s="379" t="s">
        <v>642</v>
      </c>
      <c r="D173" s="379" t="s">
        <v>643</v>
      </c>
      <c r="E173" s="1020"/>
      <c r="F173" s="379" t="s">
        <v>644</v>
      </c>
      <c r="G173" s="1020"/>
      <c r="H173" s="1020"/>
      <c r="I173" s="1020"/>
      <c r="J173" s="1020"/>
      <c r="K173" s="1020"/>
      <c r="L173" s="1020"/>
    </row>
    <row r="174" spans="1:22" ht="15.75">
      <c r="A174" s="380" t="s">
        <v>538</v>
      </c>
      <c r="B174" s="1023" t="s">
        <v>26</v>
      </c>
      <c r="C174" s="1023"/>
      <c r="D174" s="1023"/>
      <c r="E174" s="1023"/>
      <c r="F174" s="1023"/>
      <c r="G174" s="1023"/>
      <c r="H174" s="1023"/>
      <c r="I174" s="15"/>
    </row>
    <row r="175" spans="1:22" ht="15.75">
      <c r="A175" s="381" t="s">
        <v>405</v>
      </c>
      <c r="B175" s="382">
        <v>7.5180522425348673E-2</v>
      </c>
      <c r="C175" s="382">
        <f>100%-B175-D175-E175-F175</f>
        <v>0.92481947757465133</v>
      </c>
      <c r="D175" s="383"/>
      <c r="E175" s="383"/>
      <c r="F175" s="383"/>
      <c r="G175" s="1025" t="s">
        <v>645</v>
      </c>
      <c r="H175" s="1026"/>
      <c r="I175" s="15"/>
      <c r="S175" s="384"/>
    </row>
    <row r="176" spans="1:22" ht="31.5" customHeight="1">
      <c r="A176" s="381" t="s">
        <v>49</v>
      </c>
      <c r="B176" s="382">
        <v>0.21958031763026498</v>
      </c>
      <c r="C176" s="382">
        <f t="shared" ref="C176:C178" si="15">100%-B176-D176-E176-F176</f>
        <v>0.78041968236973502</v>
      </c>
      <c r="D176" s="383"/>
      <c r="E176" s="383"/>
      <c r="F176" s="383"/>
      <c r="G176" s="1025" t="s">
        <v>646</v>
      </c>
      <c r="H176" s="1026"/>
      <c r="I176" s="15"/>
      <c r="S176" s="384"/>
    </row>
    <row r="177" spans="1:19" ht="15.75">
      <c r="A177" s="381" t="s">
        <v>560</v>
      </c>
      <c r="B177" s="382">
        <v>0.29944780137415283</v>
      </c>
      <c r="C177" s="382">
        <f t="shared" si="15"/>
        <v>0.70055219862584717</v>
      </c>
      <c r="D177" s="383"/>
      <c r="E177" s="383"/>
      <c r="F177" s="383"/>
      <c r="G177" s="1018" t="s">
        <v>647</v>
      </c>
      <c r="H177" s="1018"/>
      <c r="I177" s="15"/>
      <c r="S177" s="384"/>
    </row>
    <row r="178" spans="1:19" ht="30.75" customHeight="1">
      <c r="A178" s="381" t="s">
        <v>561</v>
      </c>
      <c r="B178" s="382">
        <v>0.21465234543376616</v>
      </c>
      <c r="C178" s="382">
        <f t="shared" si="15"/>
        <v>0.7853476545662339</v>
      </c>
      <c r="D178" s="383"/>
      <c r="E178" s="383"/>
      <c r="F178" s="383"/>
      <c r="G178" s="1018" t="s">
        <v>956</v>
      </c>
      <c r="H178" s="1018"/>
      <c r="I178" s="15"/>
    </row>
    <row r="179" spans="1:19" ht="15.75">
      <c r="A179" s="380" t="s">
        <v>538</v>
      </c>
      <c r="B179" s="1023" t="s">
        <v>538</v>
      </c>
      <c r="C179" s="1023"/>
      <c r="D179" s="1023"/>
      <c r="E179" s="1023"/>
      <c r="F179" s="1023"/>
      <c r="G179" s="1023"/>
      <c r="H179" s="1023"/>
      <c r="I179" s="15"/>
    </row>
    <row r="180" spans="1:19" ht="39.75" customHeight="1">
      <c r="A180" s="381" t="s">
        <v>53</v>
      </c>
      <c r="B180" s="382">
        <v>0</v>
      </c>
      <c r="C180" s="382">
        <f t="shared" ref="C180:C196" si="16">100%-B180-D180-E180-F180</f>
        <v>1</v>
      </c>
      <c r="D180" s="383"/>
      <c r="E180" s="383"/>
      <c r="F180" s="383"/>
      <c r="G180" s="1027" t="s">
        <v>959</v>
      </c>
      <c r="H180" s="1027"/>
      <c r="I180" s="15"/>
    </row>
    <row r="181" spans="1:19" ht="47.25" customHeight="1">
      <c r="A181" s="381" t="s">
        <v>27</v>
      </c>
      <c r="B181" s="382">
        <v>0</v>
      </c>
      <c r="C181" s="382">
        <f t="shared" si="16"/>
        <v>1</v>
      </c>
      <c r="D181" s="383"/>
      <c r="E181" s="383"/>
      <c r="F181" s="383"/>
      <c r="G181" s="1024" t="s">
        <v>957</v>
      </c>
      <c r="H181" s="1024"/>
      <c r="I181" s="15"/>
    </row>
    <row r="182" spans="1:19" ht="15.75">
      <c r="A182" s="381" t="s">
        <v>11</v>
      </c>
      <c r="B182" s="382">
        <f>AVERAGE(C242:C245)</f>
        <v>0.11249999999999999</v>
      </c>
      <c r="C182" s="382">
        <f t="shared" si="16"/>
        <v>0.88749999999999996</v>
      </c>
      <c r="D182" s="383"/>
      <c r="E182" s="383"/>
      <c r="F182" s="383"/>
      <c r="G182" s="1018" t="s">
        <v>958</v>
      </c>
      <c r="H182" s="1018"/>
      <c r="I182" s="15"/>
    </row>
    <row r="183" spans="1:19" ht="31.5" customHeight="1">
      <c r="A183" s="381" t="s">
        <v>58</v>
      </c>
      <c r="B183" s="382">
        <f>C262</f>
        <v>0.15</v>
      </c>
      <c r="C183" s="382">
        <f t="shared" si="16"/>
        <v>0.79999999999999993</v>
      </c>
      <c r="D183" s="382">
        <f>F259</f>
        <v>2.5000000000000001E-2</v>
      </c>
      <c r="E183" s="383"/>
      <c r="F183" s="382">
        <f>H256</f>
        <v>2.5000000000000001E-2</v>
      </c>
      <c r="G183" s="1024" t="s">
        <v>648</v>
      </c>
      <c r="H183" s="1024"/>
      <c r="I183" s="1024" t="s">
        <v>953</v>
      </c>
      <c r="J183" s="1024"/>
      <c r="K183" s="1024" t="s">
        <v>963</v>
      </c>
      <c r="L183" s="1024"/>
    </row>
    <row r="184" spans="1:19" ht="15.75" customHeight="1">
      <c r="A184" s="381" t="s">
        <v>65</v>
      </c>
      <c r="B184" s="382">
        <f>C276</f>
        <v>0.15</v>
      </c>
      <c r="C184" s="382">
        <f t="shared" si="16"/>
        <v>0.79999999999999993</v>
      </c>
      <c r="D184" s="382">
        <f>F279</f>
        <v>2.5000000000000001E-2</v>
      </c>
      <c r="E184" s="383"/>
      <c r="F184" s="382">
        <f>H278</f>
        <v>2.5000000000000001E-2</v>
      </c>
      <c r="G184" s="1018" t="s">
        <v>649</v>
      </c>
      <c r="H184" s="1018"/>
      <c r="I184" s="15"/>
      <c r="K184" s="1024" t="s">
        <v>962</v>
      </c>
      <c r="L184" s="1024"/>
    </row>
    <row r="185" spans="1:19" ht="15.75">
      <c r="A185" s="381" t="s">
        <v>15</v>
      </c>
      <c r="B185" s="382">
        <f>C294</f>
        <v>0.1</v>
      </c>
      <c r="C185" s="382">
        <f t="shared" si="16"/>
        <v>0.85</v>
      </c>
      <c r="D185" s="382">
        <f>F294</f>
        <v>2.5000000000000001E-2</v>
      </c>
      <c r="E185" s="383"/>
      <c r="F185" s="382">
        <f>H294</f>
        <v>2.5000000000000001E-2</v>
      </c>
      <c r="G185" s="1018" t="s">
        <v>650</v>
      </c>
      <c r="H185" s="1018"/>
      <c r="I185" s="15"/>
    </row>
    <row r="186" spans="1:19" ht="15.75" customHeight="1">
      <c r="A186" s="381" t="s">
        <v>77</v>
      </c>
      <c r="B186" s="382">
        <f>C277</f>
        <v>0.15</v>
      </c>
      <c r="C186" s="382">
        <f t="shared" si="16"/>
        <v>0.79999999999999993</v>
      </c>
      <c r="D186" s="382">
        <f>F275</f>
        <v>2.5000000000000001E-2</v>
      </c>
      <c r="E186" s="383"/>
      <c r="F186" s="382">
        <f>H275</f>
        <v>2.5000000000000001E-2</v>
      </c>
      <c r="G186" s="1019" t="s">
        <v>649</v>
      </c>
      <c r="H186" s="1019"/>
      <c r="I186" s="15"/>
    </row>
    <row r="187" spans="1:19" ht="57" customHeight="1">
      <c r="A187" s="381" t="s">
        <v>28</v>
      </c>
      <c r="B187" s="382">
        <f>C306</f>
        <v>0.15</v>
      </c>
      <c r="C187" s="382">
        <f t="shared" si="16"/>
        <v>0.79999999999999993</v>
      </c>
      <c r="D187" s="382">
        <f>F306</f>
        <v>2.5000000000000001E-2</v>
      </c>
      <c r="E187" s="383"/>
      <c r="F187" s="382">
        <f>H307</f>
        <v>2.5000000000000001E-2</v>
      </c>
      <c r="G187" s="1018" t="s">
        <v>724</v>
      </c>
      <c r="H187" s="1018"/>
      <c r="I187" s="15"/>
    </row>
    <row r="188" spans="1:19" ht="60.75" customHeight="1">
      <c r="A188" s="381" t="s">
        <v>80</v>
      </c>
      <c r="B188" s="382">
        <f>C343</f>
        <v>0.15</v>
      </c>
      <c r="C188" s="382">
        <f t="shared" si="16"/>
        <v>0.7</v>
      </c>
      <c r="D188" s="382">
        <f>F345</f>
        <v>2.5000000000000001E-2</v>
      </c>
      <c r="E188" s="382">
        <f>G344</f>
        <v>0.1</v>
      </c>
      <c r="F188" s="382">
        <f>H342</f>
        <v>2.5000000000000001E-2</v>
      </c>
      <c r="G188" s="1018" t="s">
        <v>725</v>
      </c>
      <c r="H188" s="1018"/>
      <c r="I188" s="15"/>
    </row>
    <row r="189" spans="1:19" ht="31.5" customHeight="1">
      <c r="A189" s="381" t="s">
        <v>651</v>
      </c>
      <c r="B189" s="382">
        <f>C367</f>
        <v>0.4</v>
      </c>
      <c r="C189" s="382">
        <f t="shared" si="16"/>
        <v>0.44999999999999996</v>
      </c>
      <c r="D189" s="382">
        <f>F367</f>
        <v>2.5000000000000001E-2</v>
      </c>
      <c r="E189" s="382">
        <f>G367</f>
        <v>0.1</v>
      </c>
      <c r="F189" s="382">
        <f>H367</f>
        <v>2.5000000000000001E-2</v>
      </c>
      <c r="G189" s="1018" t="s">
        <v>652</v>
      </c>
      <c r="H189" s="1018"/>
      <c r="I189" s="15"/>
    </row>
    <row r="190" spans="1:19" ht="93" customHeight="1">
      <c r="A190" s="381" t="s">
        <v>92</v>
      </c>
      <c r="B190" s="382">
        <f>C391</f>
        <v>0.3</v>
      </c>
      <c r="C190" s="382">
        <f t="shared" si="16"/>
        <v>0.64999999999999991</v>
      </c>
      <c r="D190" s="382">
        <f>F391</f>
        <v>2.5000000000000001E-2</v>
      </c>
      <c r="E190" s="383"/>
      <c r="F190" s="382">
        <f>H392</f>
        <v>2.5000000000000001E-2</v>
      </c>
      <c r="G190" s="1029" t="s">
        <v>727</v>
      </c>
      <c r="H190" s="1030"/>
      <c r="I190" s="15"/>
    </row>
    <row r="191" spans="1:19" ht="35.25" customHeight="1">
      <c r="A191" s="381" t="s">
        <v>98</v>
      </c>
      <c r="B191" s="382">
        <v>0.3</v>
      </c>
      <c r="C191" s="382">
        <f t="shared" si="16"/>
        <v>0.7</v>
      </c>
      <c r="D191" s="383"/>
      <c r="E191" s="383"/>
      <c r="F191" s="383"/>
      <c r="G191" s="1018" t="s">
        <v>653</v>
      </c>
      <c r="H191" s="1018"/>
      <c r="I191" s="15"/>
    </row>
    <row r="192" spans="1:19" ht="68.25" customHeight="1">
      <c r="A192" s="381" t="s">
        <v>100</v>
      </c>
      <c r="B192" s="382">
        <f>C426</f>
        <v>0.1</v>
      </c>
      <c r="C192" s="382">
        <f t="shared" si="16"/>
        <v>0.85</v>
      </c>
      <c r="D192" s="382">
        <f>F428</f>
        <v>2.5000000000000001E-2</v>
      </c>
      <c r="E192" s="383"/>
      <c r="F192" s="382">
        <f>H427</f>
        <v>2.5000000000000001E-2</v>
      </c>
      <c r="G192" s="1018" t="s">
        <v>726</v>
      </c>
      <c r="H192" s="1018"/>
      <c r="I192" s="15"/>
    </row>
    <row r="193" spans="1:9" ht="31.5" customHeight="1">
      <c r="A193" s="381" t="s">
        <v>19</v>
      </c>
      <c r="B193" s="382">
        <f>AVERAGE(C434:C449)</f>
        <v>0.18749999999999994</v>
      </c>
      <c r="C193" s="382">
        <f t="shared" si="16"/>
        <v>0.76249999999999996</v>
      </c>
      <c r="D193" s="382">
        <f>F440</f>
        <v>2.5000000000000001E-2</v>
      </c>
      <c r="E193" s="383"/>
      <c r="F193" s="382">
        <f>H443</f>
        <v>2.5000000000000001E-2</v>
      </c>
      <c r="G193" s="1018" t="s">
        <v>654</v>
      </c>
      <c r="H193" s="1018"/>
      <c r="I193" s="15"/>
    </row>
    <row r="194" spans="1:9" ht="31.5" customHeight="1">
      <c r="A194" s="381" t="s">
        <v>114</v>
      </c>
      <c r="B194" s="382">
        <f>C453</f>
        <v>0.1</v>
      </c>
      <c r="C194" s="382">
        <f t="shared" si="16"/>
        <v>0.85</v>
      </c>
      <c r="D194" s="573">
        <f>F453</f>
        <v>2.5000000000000001E-2</v>
      </c>
      <c r="E194" s="383"/>
      <c r="F194" s="573">
        <f>H453</f>
        <v>2.5000000000000001E-2</v>
      </c>
      <c r="G194" s="1025" t="s">
        <v>961</v>
      </c>
      <c r="H194" s="1026"/>
      <c r="I194" s="15"/>
    </row>
    <row r="195" spans="1:9" ht="43.5" customHeight="1">
      <c r="A195" s="381" t="s">
        <v>119</v>
      </c>
      <c r="B195" s="382">
        <f>C455</f>
        <v>0.3</v>
      </c>
      <c r="C195" s="382">
        <f t="shared" si="16"/>
        <v>0.64999999999999991</v>
      </c>
      <c r="D195" s="573">
        <f>F455</f>
        <v>2.5000000000000001E-2</v>
      </c>
      <c r="E195" s="383"/>
      <c r="F195" s="573">
        <f>H455</f>
        <v>2.5000000000000001E-2</v>
      </c>
      <c r="G195" s="1029" t="s">
        <v>960</v>
      </c>
      <c r="H195" s="1030"/>
      <c r="I195" s="15"/>
    </row>
    <row r="196" spans="1:9" ht="31.5" customHeight="1">
      <c r="A196" s="381" t="s">
        <v>269</v>
      </c>
      <c r="B196" s="382"/>
      <c r="C196" s="382">
        <f t="shared" si="16"/>
        <v>1</v>
      </c>
      <c r="D196" s="383"/>
      <c r="E196" s="383"/>
      <c r="F196" s="383"/>
      <c r="G196" s="1029" t="s">
        <v>650</v>
      </c>
      <c r="H196" s="1030"/>
      <c r="I196" s="15"/>
    </row>
    <row r="197" spans="1:9" ht="15.75" customHeight="1">
      <c r="A197" s="380" t="s">
        <v>551</v>
      </c>
      <c r="B197" s="1023" t="s">
        <v>553</v>
      </c>
      <c r="C197" s="1023"/>
      <c r="D197" s="1023"/>
      <c r="E197" s="1023"/>
      <c r="F197" s="1023"/>
      <c r="G197" s="1023"/>
      <c r="H197" s="1023"/>
      <c r="I197" s="15"/>
    </row>
    <row r="198" spans="1:9" ht="31.5">
      <c r="A198" s="381" t="s">
        <v>196</v>
      </c>
      <c r="B198" s="1028" t="s">
        <v>655</v>
      </c>
      <c r="C198" s="1028"/>
      <c r="D198" s="1028"/>
      <c r="E198" s="1028"/>
      <c r="F198" s="1028"/>
      <c r="G198" s="1018" t="s">
        <v>656</v>
      </c>
      <c r="H198" s="1018"/>
      <c r="I198" s="15"/>
    </row>
    <row r="199" spans="1:9">
      <c r="I199" s="15"/>
    </row>
    <row r="200" spans="1:9" s="556" customFormat="1" ht="47.25">
      <c r="A200" s="555" t="s">
        <v>189</v>
      </c>
      <c r="B200" s="555" t="s">
        <v>973</v>
      </c>
      <c r="C200" s="555" t="s">
        <v>974</v>
      </c>
      <c r="D200" s="555" t="s">
        <v>975</v>
      </c>
      <c r="E200" s="555" t="s">
        <v>976</v>
      </c>
      <c r="F200" s="555" t="s">
        <v>977</v>
      </c>
      <c r="G200" s="555" t="s">
        <v>639</v>
      </c>
      <c r="H200" s="555" t="s">
        <v>978</v>
      </c>
    </row>
    <row r="201" spans="1:9" s="556" customFormat="1" ht="15.75">
      <c r="A201" s="557" t="s">
        <v>979</v>
      </c>
      <c r="B201" s="557"/>
      <c r="C201" s="557"/>
      <c r="D201" s="557"/>
      <c r="E201" s="557"/>
      <c r="F201" s="557"/>
      <c r="G201" s="557"/>
      <c r="H201" s="557"/>
    </row>
    <row r="202" spans="1:9" s="556" customFormat="1" ht="15.75" outlineLevel="1">
      <c r="A202" s="558" t="s">
        <v>980</v>
      </c>
      <c r="B202" s="558"/>
      <c r="C202" s="558"/>
      <c r="D202" s="558"/>
      <c r="E202" s="558"/>
      <c r="F202" s="558"/>
      <c r="G202" s="558"/>
      <c r="H202" s="558"/>
    </row>
    <row r="203" spans="1:9" s="556" customFormat="1" ht="14.25" customHeight="1" outlineLevel="2">
      <c r="A203" s="559" t="s">
        <v>53</v>
      </c>
      <c r="B203" s="560" t="s">
        <v>981</v>
      </c>
      <c r="C203" s="561">
        <v>0</v>
      </c>
      <c r="D203" s="561">
        <v>0</v>
      </c>
      <c r="E203" s="561" t="s">
        <v>982</v>
      </c>
      <c r="F203" s="562">
        <v>0</v>
      </c>
      <c r="G203" s="562">
        <v>0</v>
      </c>
      <c r="H203" s="562">
        <v>0</v>
      </c>
    </row>
    <row r="204" spans="1:9" s="556" customFormat="1" ht="15.75" outlineLevel="2">
      <c r="A204" s="559" t="s">
        <v>339</v>
      </c>
      <c r="B204" s="560" t="s">
        <v>981</v>
      </c>
      <c r="C204" s="561">
        <v>0</v>
      </c>
      <c r="D204" s="561">
        <v>0</v>
      </c>
      <c r="E204" s="561" t="s">
        <v>982</v>
      </c>
      <c r="F204" s="562">
        <v>0</v>
      </c>
      <c r="G204" s="562">
        <v>0</v>
      </c>
      <c r="H204" s="562">
        <v>0</v>
      </c>
    </row>
    <row r="205" spans="1:9" s="556" customFormat="1" ht="15.75" outlineLevel="1">
      <c r="A205" s="558" t="s">
        <v>983</v>
      </c>
      <c r="B205" s="558"/>
      <c r="C205" s="558"/>
      <c r="D205" s="558"/>
      <c r="E205" s="558"/>
      <c r="F205" s="558"/>
      <c r="G205" s="558"/>
      <c r="H205" s="558"/>
    </row>
    <row r="206" spans="1:9" s="556" customFormat="1" ht="15.75" outlineLevel="2">
      <c r="A206" s="559" t="s">
        <v>984</v>
      </c>
      <c r="B206" s="559"/>
      <c r="C206" s="559"/>
      <c r="D206" s="559"/>
      <c r="E206" s="559"/>
      <c r="F206" s="559"/>
      <c r="G206" s="559"/>
      <c r="H206" s="559"/>
    </row>
    <row r="207" spans="1:9" s="556" customFormat="1" ht="15.75" hidden="1" outlineLevel="3">
      <c r="A207" s="560" t="s">
        <v>985</v>
      </c>
      <c r="B207" s="560" t="s">
        <v>986</v>
      </c>
      <c r="C207" s="560"/>
      <c r="D207" s="560"/>
      <c r="E207" s="560"/>
      <c r="F207" s="560"/>
      <c r="G207" s="560"/>
      <c r="H207" s="560"/>
    </row>
    <row r="208" spans="1:9" s="556" customFormat="1" ht="15.75" hidden="1" outlineLevel="3">
      <c r="A208" s="560" t="s">
        <v>987</v>
      </c>
      <c r="B208" s="560" t="s">
        <v>988</v>
      </c>
      <c r="C208" s="560"/>
      <c r="D208" s="560"/>
      <c r="E208" s="560"/>
      <c r="F208" s="560"/>
      <c r="G208" s="560"/>
      <c r="H208" s="560"/>
    </row>
    <row r="209" spans="1:8" s="556" customFormat="1" ht="58.5" hidden="1" customHeight="1" outlineLevel="3">
      <c r="A209" s="560" t="s">
        <v>989</v>
      </c>
      <c r="B209" s="560" t="s">
        <v>990</v>
      </c>
      <c r="C209" s="560"/>
      <c r="D209" s="560"/>
      <c r="E209" s="560"/>
      <c r="F209" s="560"/>
      <c r="G209" s="560"/>
      <c r="H209" s="560"/>
    </row>
    <row r="210" spans="1:8" s="556" customFormat="1" ht="15.75" hidden="1" outlineLevel="3">
      <c r="A210" s="560" t="s">
        <v>991</v>
      </c>
      <c r="B210" s="560"/>
      <c r="C210" s="560"/>
      <c r="D210" s="560"/>
      <c r="E210" s="560"/>
      <c r="F210" s="560"/>
      <c r="G210" s="560"/>
      <c r="H210" s="560"/>
    </row>
    <row r="211" spans="1:8" s="556" customFormat="1" ht="15.75" hidden="1" outlineLevel="3">
      <c r="A211" s="560" t="s">
        <v>992</v>
      </c>
      <c r="B211" s="560" t="s">
        <v>993</v>
      </c>
      <c r="C211" s="560"/>
      <c r="D211" s="560"/>
      <c r="E211" s="560"/>
      <c r="F211" s="560"/>
      <c r="G211" s="560"/>
      <c r="H211" s="560"/>
    </row>
    <row r="212" spans="1:8" s="556" customFormat="1" ht="15.75" hidden="1" outlineLevel="3">
      <c r="A212" s="560" t="s">
        <v>994</v>
      </c>
      <c r="B212" s="560" t="s">
        <v>988</v>
      </c>
      <c r="C212" s="560"/>
      <c r="D212" s="560"/>
      <c r="E212" s="560"/>
      <c r="F212" s="560"/>
      <c r="G212" s="560"/>
      <c r="H212" s="560"/>
    </row>
    <row r="213" spans="1:8" s="556" customFormat="1" ht="15.75" hidden="1" outlineLevel="3">
      <c r="A213" s="560" t="s">
        <v>995</v>
      </c>
      <c r="B213" s="560" t="s">
        <v>993</v>
      </c>
      <c r="C213" s="560"/>
      <c r="D213" s="560"/>
      <c r="E213" s="560"/>
      <c r="F213" s="560"/>
      <c r="G213" s="560"/>
      <c r="H213" s="560"/>
    </row>
    <row r="214" spans="1:8" s="556" customFormat="1" ht="15.75" hidden="1" outlineLevel="3">
      <c r="A214" s="560" t="s">
        <v>996</v>
      </c>
      <c r="B214" s="560" t="s">
        <v>993</v>
      </c>
      <c r="C214" s="560"/>
      <c r="D214" s="560"/>
      <c r="E214" s="560"/>
      <c r="F214" s="560"/>
      <c r="G214" s="560"/>
      <c r="H214" s="560"/>
    </row>
    <row r="215" spans="1:8" s="556" customFormat="1" ht="15.75" hidden="1" outlineLevel="3">
      <c r="A215" s="560" t="s">
        <v>997</v>
      </c>
      <c r="B215" s="560"/>
      <c r="C215" s="560"/>
      <c r="D215" s="560"/>
      <c r="E215" s="560"/>
      <c r="F215" s="560"/>
      <c r="G215" s="560"/>
      <c r="H215" s="560"/>
    </row>
    <row r="216" spans="1:8" s="556" customFormat="1" ht="72.75" hidden="1" customHeight="1" outlineLevel="3">
      <c r="A216" s="560" t="s">
        <v>998</v>
      </c>
      <c r="B216" s="560" t="s">
        <v>993</v>
      </c>
      <c r="C216" s="560"/>
      <c r="D216" s="560"/>
      <c r="E216" s="560"/>
      <c r="F216" s="560"/>
      <c r="G216" s="560"/>
      <c r="H216" s="560"/>
    </row>
    <row r="217" spans="1:8" s="556" customFormat="1" ht="15.75" outlineLevel="2" collapsed="1">
      <c r="A217" s="559" t="s">
        <v>999</v>
      </c>
      <c r="B217" s="560"/>
      <c r="C217" s="560"/>
      <c r="D217" s="560"/>
      <c r="E217" s="560"/>
      <c r="F217" s="560"/>
      <c r="G217" s="560"/>
      <c r="H217" s="560"/>
    </row>
    <row r="218" spans="1:8" s="556" customFormat="1" ht="15.75" outlineLevel="2">
      <c r="A218" s="559" t="s">
        <v>1000</v>
      </c>
      <c r="B218" s="560"/>
      <c r="C218" s="560"/>
      <c r="D218" s="560"/>
      <c r="E218" s="560"/>
      <c r="F218" s="560"/>
      <c r="G218" s="560"/>
      <c r="H218" s="560"/>
    </row>
    <row r="219" spans="1:8" s="556" customFormat="1" ht="15.75" outlineLevel="2">
      <c r="A219" s="559" t="s">
        <v>1001</v>
      </c>
      <c r="B219" s="560"/>
      <c r="C219" s="560"/>
      <c r="D219" s="560"/>
      <c r="E219" s="560"/>
      <c r="F219" s="560"/>
      <c r="G219" s="560"/>
      <c r="H219" s="560"/>
    </row>
    <row r="220" spans="1:8" s="556" customFormat="1" ht="15.75" outlineLevel="2">
      <c r="A220" s="559" t="s">
        <v>1002</v>
      </c>
      <c r="B220" s="560" t="s">
        <v>1003</v>
      </c>
      <c r="C220" s="560"/>
      <c r="D220" s="560"/>
      <c r="E220" s="560"/>
      <c r="F220" s="560"/>
      <c r="G220" s="560"/>
      <c r="H220" s="560"/>
    </row>
    <row r="221" spans="1:8" s="556" customFormat="1" ht="15.75" outlineLevel="3">
      <c r="A221" s="560" t="s">
        <v>1004</v>
      </c>
      <c r="B221" s="560" t="s">
        <v>990</v>
      </c>
      <c r="C221" s="560"/>
      <c r="D221" s="560"/>
      <c r="E221" s="560"/>
      <c r="F221" s="560"/>
      <c r="G221" s="560"/>
      <c r="H221" s="560"/>
    </row>
    <row r="222" spans="1:8" s="556" customFormat="1" ht="15.75" outlineLevel="3">
      <c r="A222" s="560" t="s">
        <v>1005</v>
      </c>
      <c r="B222" s="560" t="s">
        <v>990</v>
      </c>
      <c r="C222" s="560"/>
      <c r="D222" s="560"/>
      <c r="E222" s="560"/>
      <c r="F222" s="560"/>
      <c r="G222" s="560"/>
      <c r="H222" s="560"/>
    </row>
    <row r="223" spans="1:8" s="556" customFormat="1" ht="31.5" outlineLevel="3">
      <c r="A223" s="560" t="s">
        <v>1006</v>
      </c>
      <c r="B223" s="560" t="s">
        <v>990</v>
      </c>
      <c r="C223" s="560"/>
      <c r="D223" s="560"/>
      <c r="E223" s="560"/>
      <c r="F223" s="560"/>
      <c r="G223" s="560"/>
      <c r="H223" s="560"/>
    </row>
    <row r="224" spans="1:8" s="556" customFormat="1" ht="15.75" outlineLevel="3">
      <c r="A224" s="560" t="s">
        <v>1007</v>
      </c>
      <c r="B224" s="560" t="s">
        <v>990</v>
      </c>
      <c r="C224" s="560"/>
      <c r="D224" s="560"/>
      <c r="E224" s="560"/>
      <c r="F224" s="560"/>
      <c r="G224" s="560"/>
      <c r="H224" s="560"/>
    </row>
    <row r="225" spans="1:8" s="556" customFormat="1" ht="15.75" outlineLevel="2">
      <c r="A225" s="559" t="s">
        <v>1008</v>
      </c>
      <c r="B225" s="560" t="s">
        <v>990</v>
      </c>
      <c r="C225" s="560"/>
      <c r="D225" s="560"/>
      <c r="E225" s="560"/>
      <c r="F225" s="560"/>
      <c r="G225" s="560"/>
      <c r="H225" s="560"/>
    </row>
    <row r="226" spans="1:8" s="556" customFormat="1" ht="15.75" outlineLevel="2">
      <c r="A226" s="559" t="s">
        <v>1009</v>
      </c>
      <c r="B226" s="560" t="s">
        <v>990</v>
      </c>
      <c r="C226" s="560"/>
      <c r="D226" s="560"/>
      <c r="E226" s="560"/>
      <c r="F226" s="560"/>
      <c r="G226" s="560"/>
      <c r="H226" s="560"/>
    </row>
    <row r="227" spans="1:8" s="556" customFormat="1" ht="15.75" customHeight="1" outlineLevel="2">
      <c r="A227" s="559" t="s">
        <v>1010</v>
      </c>
      <c r="B227" s="559" t="s">
        <v>1003</v>
      </c>
      <c r="C227" s="559"/>
      <c r="D227" s="559"/>
      <c r="E227" s="559"/>
      <c r="F227" s="559"/>
      <c r="G227" s="559"/>
      <c r="H227" s="559"/>
    </row>
    <row r="228" spans="1:8" s="556" customFormat="1" ht="15.75" hidden="1" outlineLevel="3">
      <c r="A228" s="560" t="s">
        <v>1011</v>
      </c>
      <c r="B228" s="560" t="s">
        <v>990</v>
      </c>
      <c r="C228" s="560"/>
      <c r="D228" s="560"/>
      <c r="E228" s="560"/>
      <c r="F228" s="560"/>
      <c r="G228" s="560"/>
      <c r="H228" s="560"/>
    </row>
    <row r="229" spans="1:8" s="556" customFormat="1" ht="15.75" hidden="1" outlineLevel="3">
      <c r="A229" s="560" t="s">
        <v>1012</v>
      </c>
      <c r="B229" s="560" t="s">
        <v>990</v>
      </c>
      <c r="C229" s="560"/>
      <c r="D229" s="560"/>
      <c r="E229" s="560"/>
      <c r="F229" s="560"/>
      <c r="G229" s="560"/>
      <c r="H229" s="560"/>
    </row>
    <row r="230" spans="1:8" s="556" customFormat="1" ht="31.5" hidden="1" outlineLevel="3">
      <c r="A230" s="560" t="s">
        <v>1013</v>
      </c>
      <c r="B230" s="560" t="s">
        <v>990</v>
      </c>
      <c r="C230" s="560"/>
      <c r="D230" s="560"/>
      <c r="E230" s="560"/>
      <c r="F230" s="560"/>
      <c r="G230" s="560"/>
      <c r="H230" s="560"/>
    </row>
    <row r="231" spans="1:8" s="556" customFormat="1" ht="63.75" customHeight="1" outlineLevel="2" collapsed="1">
      <c r="A231" s="559" t="s">
        <v>1014</v>
      </c>
      <c r="B231" s="560" t="s">
        <v>1015</v>
      </c>
      <c r="C231" s="560"/>
      <c r="D231" s="560"/>
      <c r="E231" s="560"/>
      <c r="F231" s="560"/>
      <c r="G231" s="560"/>
      <c r="H231" s="560"/>
    </row>
    <row r="232" spans="1:8" s="556" customFormat="1" ht="15.75" outlineLevel="2">
      <c r="A232" s="559" t="s">
        <v>1016</v>
      </c>
      <c r="B232" s="1005" t="s">
        <v>1017</v>
      </c>
      <c r="C232" s="1006"/>
      <c r="D232" s="1006"/>
      <c r="E232" s="1006"/>
      <c r="F232" s="1006"/>
      <c r="G232" s="1006"/>
      <c r="H232" s="1006"/>
    </row>
    <row r="233" spans="1:8" s="556" customFormat="1" ht="15.75" outlineLevel="3">
      <c r="A233" s="560" t="s">
        <v>1018</v>
      </c>
      <c r="B233" s="560"/>
      <c r="C233" s="560"/>
      <c r="D233" s="560"/>
      <c r="E233" s="560"/>
      <c r="F233" s="560"/>
      <c r="G233" s="560"/>
      <c r="H233" s="560"/>
    </row>
    <row r="234" spans="1:8" s="556" customFormat="1" ht="15.75" outlineLevel="3">
      <c r="A234" s="560" t="s">
        <v>1019</v>
      </c>
      <c r="B234" s="560"/>
      <c r="C234" s="560"/>
      <c r="D234" s="560"/>
      <c r="E234" s="560"/>
      <c r="F234" s="560"/>
      <c r="G234" s="560"/>
      <c r="H234" s="560"/>
    </row>
    <row r="235" spans="1:8" s="556" customFormat="1" ht="15.75" outlineLevel="3">
      <c r="A235" s="560" t="s">
        <v>1020</v>
      </c>
      <c r="B235" s="560"/>
      <c r="C235" s="560"/>
      <c r="D235" s="560"/>
      <c r="E235" s="560"/>
      <c r="F235" s="560"/>
      <c r="G235" s="560"/>
      <c r="H235" s="560"/>
    </row>
    <row r="236" spans="1:8" s="556" customFormat="1" ht="15.75" outlineLevel="3">
      <c r="A236" s="560" t="s">
        <v>1021</v>
      </c>
      <c r="B236" s="560"/>
      <c r="C236" s="560"/>
      <c r="D236" s="560"/>
      <c r="E236" s="560"/>
      <c r="F236" s="560"/>
      <c r="G236" s="560"/>
      <c r="H236" s="560"/>
    </row>
    <row r="237" spans="1:8" s="556" customFormat="1" ht="15.75" outlineLevel="3">
      <c r="A237" s="560" t="s">
        <v>1022</v>
      </c>
      <c r="B237" s="560"/>
      <c r="C237" s="560"/>
      <c r="D237" s="560"/>
      <c r="E237" s="560"/>
      <c r="F237" s="560"/>
      <c r="G237" s="560"/>
      <c r="H237" s="560"/>
    </row>
    <row r="238" spans="1:8" s="556" customFormat="1" ht="15.75" outlineLevel="3">
      <c r="A238" s="560" t="s">
        <v>1023</v>
      </c>
      <c r="B238" s="560"/>
      <c r="C238" s="560"/>
      <c r="D238" s="560"/>
      <c r="E238" s="560"/>
      <c r="F238" s="560"/>
      <c r="G238" s="560"/>
      <c r="H238" s="560"/>
    </row>
    <row r="239" spans="1:8" s="556" customFormat="1" ht="15.75" outlineLevel="3">
      <c r="A239" s="560" t="s">
        <v>1024</v>
      </c>
      <c r="B239" s="560"/>
      <c r="C239" s="560"/>
      <c r="D239" s="560"/>
      <c r="E239" s="560"/>
      <c r="F239" s="560"/>
      <c r="G239" s="560"/>
      <c r="H239" s="560"/>
    </row>
    <row r="240" spans="1:8" s="556" customFormat="1" ht="15.75" outlineLevel="1">
      <c r="A240" s="558" t="s">
        <v>1025</v>
      </c>
      <c r="B240" s="558"/>
      <c r="C240" s="558"/>
      <c r="D240" s="558"/>
      <c r="E240" s="558"/>
      <c r="F240" s="558"/>
      <c r="G240" s="558"/>
      <c r="H240" s="558"/>
    </row>
    <row r="241" spans="1:8" s="556" customFormat="1" ht="15.75" customHeight="1" outlineLevel="2">
      <c r="A241" s="559" t="s">
        <v>10</v>
      </c>
      <c r="B241" s="560" t="s">
        <v>1026</v>
      </c>
      <c r="C241" s="560"/>
      <c r="D241" s="560"/>
      <c r="E241" s="560"/>
      <c r="F241" s="560"/>
      <c r="G241" s="560"/>
      <c r="H241" s="560"/>
    </row>
    <row r="242" spans="1:8" s="556" customFormat="1" ht="15.75" outlineLevel="3">
      <c r="A242" s="560" t="s">
        <v>1027</v>
      </c>
      <c r="B242" s="560" t="s">
        <v>1026</v>
      </c>
      <c r="C242" s="561">
        <v>0.1</v>
      </c>
      <c r="D242" s="563"/>
      <c r="E242" s="563" t="s">
        <v>982</v>
      </c>
      <c r="F242" s="563"/>
      <c r="G242" s="563"/>
      <c r="H242" s="563"/>
    </row>
    <row r="243" spans="1:8" s="556" customFormat="1" ht="15.75" outlineLevel="3">
      <c r="A243" s="560" t="s">
        <v>1028</v>
      </c>
      <c r="B243" s="560" t="s">
        <v>1029</v>
      </c>
      <c r="C243" s="561">
        <v>0.15</v>
      </c>
      <c r="D243" s="563"/>
      <c r="E243" s="563" t="s">
        <v>982</v>
      </c>
      <c r="F243" s="562"/>
      <c r="G243" s="560"/>
      <c r="H243" s="562"/>
    </row>
    <row r="244" spans="1:8" s="556" customFormat="1" ht="15.75" outlineLevel="3">
      <c r="A244" s="560" t="s">
        <v>1030</v>
      </c>
      <c r="B244" s="560" t="s">
        <v>1031</v>
      </c>
      <c r="C244" s="561">
        <v>0.1</v>
      </c>
      <c r="D244" s="563"/>
      <c r="E244" s="563" t="s">
        <v>982</v>
      </c>
      <c r="F244" s="563"/>
      <c r="G244" s="563"/>
      <c r="H244" s="563"/>
    </row>
    <row r="245" spans="1:8" s="556" customFormat="1" ht="15.75" outlineLevel="3">
      <c r="A245" s="560" t="s">
        <v>1032</v>
      </c>
      <c r="B245" s="560" t="s">
        <v>1031</v>
      </c>
      <c r="C245" s="561">
        <v>0.1</v>
      </c>
      <c r="D245" s="563"/>
      <c r="E245" s="563" t="s">
        <v>982</v>
      </c>
      <c r="F245" s="563"/>
      <c r="G245" s="563"/>
      <c r="H245" s="563"/>
    </row>
    <row r="246" spans="1:8" s="556" customFormat="1" ht="15.75" outlineLevel="2">
      <c r="A246" s="559" t="s">
        <v>1033</v>
      </c>
      <c r="B246" s="560" t="s">
        <v>1026</v>
      </c>
      <c r="C246" s="560"/>
      <c r="D246" s="560"/>
      <c r="E246" s="560"/>
      <c r="F246" s="560"/>
      <c r="G246" s="560"/>
      <c r="H246" s="560"/>
    </row>
    <row r="247" spans="1:8" s="556" customFormat="1" ht="15.75" outlineLevel="3">
      <c r="A247" s="560" t="s">
        <v>1034</v>
      </c>
      <c r="B247" s="560" t="s">
        <v>1026</v>
      </c>
      <c r="C247" s="561">
        <v>0.1</v>
      </c>
      <c r="D247" s="563"/>
      <c r="E247" s="563" t="s">
        <v>982</v>
      </c>
      <c r="F247" s="564">
        <v>2.5000000000000001E-2</v>
      </c>
      <c r="G247" s="565"/>
      <c r="H247" s="564">
        <v>2.5000000000000001E-2</v>
      </c>
    </row>
    <row r="248" spans="1:8" s="556" customFormat="1" ht="15.75" outlineLevel="3">
      <c r="A248" s="560" t="s">
        <v>59</v>
      </c>
      <c r="B248" s="560" t="s">
        <v>1026</v>
      </c>
      <c r="C248" s="561">
        <v>0.1</v>
      </c>
      <c r="D248" s="563"/>
      <c r="E248" s="563" t="s">
        <v>982</v>
      </c>
      <c r="F248" s="564">
        <v>2.5000000000000001E-2</v>
      </c>
      <c r="G248" s="565"/>
      <c r="H248" s="564">
        <v>2.5000000000000001E-2</v>
      </c>
    </row>
    <row r="249" spans="1:8" s="556" customFormat="1" ht="15.75" outlineLevel="3">
      <c r="A249" s="560" t="s">
        <v>1035</v>
      </c>
      <c r="B249" s="560" t="s">
        <v>1036</v>
      </c>
      <c r="C249" s="561">
        <v>0.1</v>
      </c>
      <c r="D249" s="560"/>
      <c r="E249" s="563" t="s">
        <v>982</v>
      </c>
      <c r="F249" s="564">
        <v>2.5000000000000001E-2</v>
      </c>
      <c r="G249" s="560"/>
      <c r="H249" s="564">
        <v>2.5000000000000001E-2</v>
      </c>
    </row>
    <row r="250" spans="1:8" s="556" customFormat="1" ht="15.75" customHeight="1" outlineLevel="2">
      <c r="A250" s="559" t="s">
        <v>1037</v>
      </c>
      <c r="B250" s="560" t="s">
        <v>1038</v>
      </c>
      <c r="C250" s="561">
        <v>0.1</v>
      </c>
      <c r="D250" s="560"/>
      <c r="E250" s="563" t="s">
        <v>982</v>
      </c>
      <c r="F250" s="564">
        <v>2.5000000000000001E-2</v>
      </c>
      <c r="G250" s="560"/>
      <c r="H250" s="564">
        <v>2.5000000000000001E-2</v>
      </c>
    </row>
    <row r="251" spans="1:8" s="556" customFormat="1" ht="15.75" outlineLevel="3">
      <c r="A251" s="560" t="s">
        <v>1039</v>
      </c>
      <c r="B251" s="560" t="s">
        <v>1038</v>
      </c>
      <c r="C251" s="561">
        <v>0.1</v>
      </c>
      <c r="D251" s="566"/>
      <c r="E251" s="563" t="s">
        <v>982</v>
      </c>
      <c r="F251" s="564">
        <v>2.5000000000000001E-2</v>
      </c>
      <c r="G251" s="560"/>
      <c r="H251" s="564">
        <v>2.5000000000000001E-2</v>
      </c>
    </row>
    <row r="252" spans="1:8" s="556" customFormat="1" ht="15.75" outlineLevel="3">
      <c r="A252" s="567" t="s">
        <v>1040</v>
      </c>
      <c r="B252" s="560" t="s">
        <v>1038</v>
      </c>
      <c r="C252" s="561">
        <v>0.1</v>
      </c>
      <c r="D252" s="566"/>
      <c r="E252" s="563" t="s">
        <v>982</v>
      </c>
      <c r="F252" s="564">
        <v>2.5000000000000001E-2</v>
      </c>
      <c r="G252" s="560"/>
      <c r="H252" s="564">
        <v>2.5000000000000001E-2</v>
      </c>
    </row>
    <row r="253" spans="1:8" s="556" customFormat="1" ht="15.75" outlineLevel="2">
      <c r="A253" s="559" t="s">
        <v>1041</v>
      </c>
      <c r="B253" s="560" t="s">
        <v>1029</v>
      </c>
      <c r="C253" s="561">
        <v>0.15</v>
      </c>
      <c r="D253" s="560"/>
      <c r="E253" s="563" t="s">
        <v>982</v>
      </c>
      <c r="F253" s="564">
        <v>2.5000000000000001E-2</v>
      </c>
      <c r="G253" s="560"/>
      <c r="H253" s="564">
        <v>2.5000000000000001E-2</v>
      </c>
    </row>
    <row r="254" spans="1:8" s="556" customFormat="1" ht="15.75" outlineLevel="2">
      <c r="A254" s="559" t="s">
        <v>1042</v>
      </c>
      <c r="B254" s="560" t="s">
        <v>1043</v>
      </c>
      <c r="C254" s="561">
        <v>0.15</v>
      </c>
      <c r="D254" s="560"/>
      <c r="E254" s="563" t="s">
        <v>982</v>
      </c>
      <c r="F254" s="564">
        <v>2.5000000000000001E-2</v>
      </c>
      <c r="G254" s="560"/>
      <c r="H254" s="564">
        <v>2.5000000000000001E-2</v>
      </c>
    </row>
    <row r="255" spans="1:8" s="556" customFormat="1" ht="15.75" outlineLevel="2">
      <c r="A255" s="559" t="s">
        <v>1044</v>
      </c>
      <c r="B255" s="560" t="s">
        <v>1029</v>
      </c>
      <c r="C255" s="561">
        <v>0.15</v>
      </c>
      <c r="D255" s="560"/>
      <c r="E255" s="563" t="s">
        <v>982</v>
      </c>
      <c r="F255" s="564">
        <v>2.5000000000000001E-2</v>
      </c>
      <c r="G255" s="560"/>
      <c r="H255" s="564">
        <v>2.5000000000000001E-2</v>
      </c>
    </row>
    <row r="256" spans="1:8" s="556" customFormat="1" ht="15.75" outlineLevel="3">
      <c r="A256" s="560" t="s">
        <v>1045</v>
      </c>
      <c r="B256" s="560" t="s">
        <v>1029</v>
      </c>
      <c r="C256" s="561">
        <v>0.15</v>
      </c>
      <c r="D256" s="560"/>
      <c r="E256" s="563" t="s">
        <v>982</v>
      </c>
      <c r="F256" s="564">
        <v>2.5000000000000001E-2</v>
      </c>
      <c r="G256" s="560"/>
      <c r="H256" s="564">
        <v>2.5000000000000001E-2</v>
      </c>
    </row>
    <row r="257" spans="1:8" s="556" customFormat="1" ht="15.75" outlineLevel="3">
      <c r="A257" s="560" t="s">
        <v>1046</v>
      </c>
      <c r="B257" s="560" t="s">
        <v>1029</v>
      </c>
      <c r="C257" s="561">
        <v>0.15</v>
      </c>
      <c r="D257" s="560"/>
      <c r="E257" s="563" t="s">
        <v>982</v>
      </c>
      <c r="F257" s="564">
        <v>2.5000000000000001E-2</v>
      </c>
      <c r="G257" s="560"/>
      <c r="H257" s="564">
        <v>2.5000000000000001E-2</v>
      </c>
    </row>
    <row r="258" spans="1:8" s="556" customFormat="1" ht="15.75" outlineLevel="3">
      <c r="A258" s="560" t="s">
        <v>1047</v>
      </c>
      <c r="B258" s="560" t="s">
        <v>1029</v>
      </c>
      <c r="C258" s="561">
        <v>0.15</v>
      </c>
      <c r="D258" s="560"/>
      <c r="E258" s="563" t="s">
        <v>982</v>
      </c>
      <c r="F258" s="564">
        <v>2.5000000000000001E-2</v>
      </c>
      <c r="G258" s="560"/>
      <c r="H258" s="564">
        <v>2.5000000000000001E-2</v>
      </c>
    </row>
    <row r="259" spans="1:8" s="556" customFormat="1" ht="15.75" outlineLevel="3">
      <c r="A259" s="560" t="s">
        <v>1048</v>
      </c>
      <c r="B259" s="560" t="s">
        <v>1029</v>
      </c>
      <c r="C259" s="561">
        <v>0.15</v>
      </c>
      <c r="D259" s="560"/>
      <c r="E259" s="563" t="s">
        <v>982</v>
      </c>
      <c r="F259" s="564">
        <v>2.5000000000000001E-2</v>
      </c>
      <c r="G259" s="560"/>
      <c r="H259" s="564">
        <v>2.5000000000000001E-2</v>
      </c>
    </row>
    <row r="260" spans="1:8" s="556" customFormat="1" ht="15.75" outlineLevel="3">
      <c r="A260" s="560" t="s">
        <v>1049</v>
      </c>
      <c r="B260" s="560" t="s">
        <v>1029</v>
      </c>
      <c r="C260" s="561">
        <v>0.15</v>
      </c>
      <c r="D260" s="560"/>
      <c r="E260" s="563" t="s">
        <v>982</v>
      </c>
      <c r="F260" s="564">
        <v>2.5000000000000001E-2</v>
      </c>
      <c r="G260" s="560"/>
      <c r="H260" s="564">
        <v>2.5000000000000001E-2</v>
      </c>
    </row>
    <row r="261" spans="1:8" s="556" customFormat="1" ht="15.75" outlineLevel="3">
      <c r="A261" s="560" t="s">
        <v>342</v>
      </c>
      <c r="B261" s="560" t="s">
        <v>1029</v>
      </c>
      <c r="C261" s="561">
        <v>0.15</v>
      </c>
      <c r="D261" s="560"/>
      <c r="E261" s="563" t="s">
        <v>982</v>
      </c>
      <c r="F261" s="564">
        <v>2.5000000000000001E-2</v>
      </c>
      <c r="G261" s="560"/>
      <c r="H261" s="564">
        <v>2.5000000000000001E-2</v>
      </c>
    </row>
    <row r="262" spans="1:8" s="556" customFormat="1" ht="15.75" outlineLevel="2">
      <c r="A262" s="559" t="s">
        <v>1050</v>
      </c>
      <c r="B262" s="560" t="s">
        <v>1051</v>
      </c>
      <c r="C262" s="561">
        <v>0.15</v>
      </c>
      <c r="D262" s="560"/>
      <c r="E262" s="563" t="s">
        <v>982</v>
      </c>
      <c r="F262" s="564">
        <v>2.5000000000000001E-2</v>
      </c>
      <c r="G262" s="560"/>
      <c r="H262" s="564">
        <v>2.5000000000000001E-2</v>
      </c>
    </row>
    <row r="263" spans="1:8" s="556" customFormat="1" ht="15.75" outlineLevel="2">
      <c r="A263" s="559" t="s">
        <v>1052</v>
      </c>
      <c r="B263" s="560" t="s">
        <v>1051</v>
      </c>
      <c r="C263" s="561">
        <v>0.15</v>
      </c>
      <c r="D263" s="560"/>
      <c r="E263" s="563" t="s">
        <v>982</v>
      </c>
      <c r="F263" s="564">
        <v>2.5000000000000001E-2</v>
      </c>
      <c r="G263" s="560"/>
      <c r="H263" s="564">
        <v>2.5000000000000001E-2</v>
      </c>
    </row>
    <row r="264" spans="1:8" s="556" customFormat="1" ht="15.75" outlineLevel="3">
      <c r="A264" s="560" t="s">
        <v>1053</v>
      </c>
      <c r="B264" s="560" t="s">
        <v>1029</v>
      </c>
      <c r="C264" s="561">
        <v>0.15</v>
      </c>
      <c r="D264" s="560"/>
      <c r="E264" s="563" t="s">
        <v>982</v>
      </c>
      <c r="F264" s="564">
        <v>2.5000000000000001E-2</v>
      </c>
      <c r="G264" s="560"/>
      <c r="H264" s="564">
        <v>2.5000000000000001E-2</v>
      </c>
    </row>
    <row r="265" spans="1:8" s="556" customFormat="1" ht="15.75" outlineLevel="2">
      <c r="A265" s="559" t="s">
        <v>1054</v>
      </c>
      <c r="B265" s="560" t="s">
        <v>1029</v>
      </c>
      <c r="C265" s="561">
        <v>0.15</v>
      </c>
      <c r="D265" s="560"/>
      <c r="E265" s="563" t="s">
        <v>982</v>
      </c>
      <c r="F265" s="564">
        <v>2.5000000000000001E-2</v>
      </c>
      <c r="G265" s="560"/>
      <c r="H265" s="564">
        <v>2.5000000000000001E-2</v>
      </c>
    </row>
    <row r="266" spans="1:8" s="556" customFormat="1" ht="15.75" outlineLevel="3">
      <c r="A266" s="560" t="s">
        <v>1055</v>
      </c>
      <c r="B266" s="560" t="s">
        <v>1029</v>
      </c>
      <c r="C266" s="561">
        <v>0.15</v>
      </c>
      <c r="D266" s="560"/>
      <c r="E266" s="563" t="s">
        <v>982</v>
      </c>
      <c r="F266" s="564">
        <v>2.5000000000000001E-2</v>
      </c>
      <c r="G266" s="560"/>
      <c r="H266" s="564">
        <v>2.5000000000000001E-2</v>
      </c>
    </row>
    <row r="267" spans="1:8" s="556" customFormat="1" ht="15.75" outlineLevel="3">
      <c r="A267" s="560" t="s">
        <v>1056</v>
      </c>
      <c r="B267" s="560" t="s">
        <v>1029</v>
      </c>
      <c r="C267" s="561">
        <v>0.15</v>
      </c>
      <c r="D267" s="560"/>
      <c r="E267" s="563" t="s">
        <v>982</v>
      </c>
      <c r="F267" s="564">
        <v>2.5000000000000001E-2</v>
      </c>
      <c r="G267" s="560"/>
      <c r="H267" s="564">
        <v>2.5000000000000001E-2</v>
      </c>
    </row>
    <row r="268" spans="1:8" s="556" customFormat="1" ht="15.75" outlineLevel="1">
      <c r="A268" s="558" t="s">
        <v>1057</v>
      </c>
      <c r="B268" s="558" t="s">
        <v>1058</v>
      </c>
      <c r="C268" s="558"/>
      <c r="D268" s="558"/>
      <c r="E268" s="558"/>
      <c r="F268" s="558"/>
      <c r="G268" s="558"/>
      <c r="H268" s="558"/>
    </row>
    <row r="269" spans="1:8" s="556" customFormat="1" ht="15.75" outlineLevel="2">
      <c r="A269" s="559" t="s">
        <v>1059</v>
      </c>
      <c r="B269" s="560" t="s">
        <v>1029</v>
      </c>
      <c r="C269" s="561">
        <v>0.15</v>
      </c>
      <c r="D269" s="560"/>
      <c r="E269" s="563" t="s">
        <v>982</v>
      </c>
      <c r="F269" s="564">
        <v>2.5000000000000001E-2</v>
      </c>
      <c r="G269" s="560"/>
      <c r="H269" s="564">
        <v>2.5000000000000001E-2</v>
      </c>
    </row>
    <row r="270" spans="1:8" s="556" customFormat="1" ht="15.75" outlineLevel="3">
      <c r="A270" s="560" t="s">
        <v>1046</v>
      </c>
      <c r="B270" s="560" t="s">
        <v>1029</v>
      </c>
      <c r="C270" s="561">
        <v>0.15</v>
      </c>
      <c r="D270" s="560"/>
      <c r="E270" s="563" t="s">
        <v>982</v>
      </c>
      <c r="F270" s="564">
        <v>2.5000000000000001E-2</v>
      </c>
      <c r="G270" s="560"/>
      <c r="H270" s="564">
        <v>2.5000000000000001E-2</v>
      </c>
    </row>
    <row r="271" spans="1:8" s="556" customFormat="1" ht="15.75" outlineLevel="3">
      <c r="A271" s="560" t="s">
        <v>1048</v>
      </c>
      <c r="B271" s="560" t="s">
        <v>1029</v>
      </c>
      <c r="C271" s="561">
        <v>0.15</v>
      </c>
      <c r="D271" s="560"/>
      <c r="E271" s="563" t="s">
        <v>982</v>
      </c>
      <c r="F271" s="564">
        <v>2.5000000000000001E-2</v>
      </c>
      <c r="G271" s="560"/>
      <c r="H271" s="564">
        <v>2.5000000000000001E-2</v>
      </c>
    </row>
    <row r="272" spans="1:8" s="556" customFormat="1" ht="15.75" outlineLevel="3">
      <c r="A272" s="560" t="s">
        <v>1060</v>
      </c>
      <c r="B272" s="560" t="s">
        <v>1029</v>
      </c>
      <c r="C272" s="561">
        <v>0.15</v>
      </c>
      <c r="D272" s="560"/>
      <c r="E272" s="563" t="s">
        <v>982</v>
      </c>
      <c r="F272" s="564">
        <v>2.5000000000000001E-2</v>
      </c>
      <c r="G272" s="560"/>
      <c r="H272" s="564">
        <v>2.5000000000000001E-2</v>
      </c>
    </row>
    <row r="273" spans="1:8" s="556" customFormat="1" ht="15.75" outlineLevel="3">
      <c r="A273" s="560" t="s">
        <v>1061</v>
      </c>
      <c r="B273" s="560" t="s">
        <v>1029</v>
      </c>
      <c r="C273" s="561">
        <v>0.15</v>
      </c>
      <c r="D273" s="560"/>
      <c r="E273" s="563" t="s">
        <v>982</v>
      </c>
      <c r="F273" s="564">
        <v>2.5000000000000001E-2</v>
      </c>
      <c r="G273" s="560"/>
      <c r="H273" s="564">
        <v>2.5000000000000001E-2</v>
      </c>
    </row>
    <row r="274" spans="1:8" s="556" customFormat="1" ht="15.75" outlineLevel="3">
      <c r="A274" s="560" t="s">
        <v>69</v>
      </c>
      <c r="B274" s="560" t="s">
        <v>1029</v>
      </c>
      <c r="C274" s="561">
        <v>0.15</v>
      </c>
      <c r="D274" s="560"/>
      <c r="E274" s="563" t="s">
        <v>982</v>
      </c>
      <c r="F274" s="564">
        <v>2.5000000000000001E-2</v>
      </c>
      <c r="G274" s="560"/>
      <c r="H274" s="564">
        <v>2.5000000000000001E-2</v>
      </c>
    </row>
    <row r="275" spans="1:8" s="556" customFormat="1" ht="15.75" outlineLevel="2">
      <c r="A275" s="559" t="s">
        <v>1062</v>
      </c>
      <c r="B275" s="560" t="s">
        <v>1029</v>
      </c>
      <c r="C275" s="561">
        <v>0.15</v>
      </c>
      <c r="D275" s="560"/>
      <c r="E275" s="563" t="s">
        <v>982</v>
      </c>
      <c r="F275" s="564">
        <v>2.5000000000000001E-2</v>
      </c>
      <c r="G275" s="560"/>
      <c r="H275" s="564">
        <v>2.5000000000000001E-2</v>
      </c>
    </row>
    <row r="276" spans="1:8" s="556" customFormat="1" ht="15.75" outlineLevel="3">
      <c r="A276" s="560" t="s">
        <v>1046</v>
      </c>
      <c r="B276" s="560" t="s">
        <v>1029</v>
      </c>
      <c r="C276" s="561">
        <v>0.15</v>
      </c>
      <c r="D276" s="560"/>
      <c r="E276" s="563" t="s">
        <v>982</v>
      </c>
      <c r="F276" s="564">
        <v>2.5000000000000001E-2</v>
      </c>
      <c r="G276" s="560"/>
      <c r="H276" s="564">
        <v>2.5000000000000001E-2</v>
      </c>
    </row>
    <row r="277" spans="1:8" s="556" customFormat="1" ht="15.75" outlineLevel="3">
      <c r="A277" s="560" t="s">
        <v>1048</v>
      </c>
      <c r="B277" s="560" t="s">
        <v>1029</v>
      </c>
      <c r="C277" s="561">
        <v>0.15</v>
      </c>
      <c r="D277" s="560"/>
      <c r="E277" s="563" t="s">
        <v>982</v>
      </c>
      <c r="F277" s="564">
        <v>2.5000000000000001E-2</v>
      </c>
      <c r="G277" s="560"/>
      <c r="H277" s="564">
        <v>2.5000000000000001E-2</v>
      </c>
    </row>
    <row r="278" spans="1:8" s="556" customFormat="1" ht="15.75" outlineLevel="3">
      <c r="A278" s="560" t="s">
        <v>1060</v>
      </c>
      <c r="B278" s="560" t="s">
        <v>1029</v>
      </c>
      <c r="C278" s="561">
        <v>0.15</v>
      </c>
      <c r="D278" s="560"/>
      <c r="E278" s="563" t="s">
        <v>982</v>
      </c>
      <c r="F278" s="564">
        <v>2.5000000000000001E-2</v>
      </c>
      <c r="G278" s="560"/>
      <c r="H278" s="564">
        <v>2.5000000000000001E-2</v>
      </c>
    </row>
    <row r="279" spans="1:8" s="556" customFormat="1" ht="15.75" outlineLevel="3">
      <c r="A279" s="560" t="s">
        <v>69</v>
      </c>
      <c r="B279" s="560" t="s">
        <v>1029</v>
      </c>
      <c r="C279" s="561">
        <v>0.15</v>
      </c>
      <c r="D279" s="560"/>
      <c r="E279" s="563" t="s">
        <v>982</v>
      </c>
      <c r="F279" s="564">
        <v>2.5000000000000001E-2</v>
      </c>
      <c r="G279" s="560"/>
      <c r="H279" s="564">
        <v>2.5000000000000001E-2</v>
      </c>
    </row>
    <row r="280" spans="1:8" s="556" customFormat="1" ht="15.75" outlineLevel="2">
      <c r="A280" s="559" t="s">
        <v>1054</v>
      </c>
      <c r="B280" s="560" t="s">
        <v>1029</v>
      </c>
      <c r="C280" s="561">
        <v>0.15</v>
      </c>
      <c r="D280" s="560"/>
      <c r="E280" s="563" t="s">
        <v>982</v>
      </c>
      <c r="F280" s="564">
        <v>2.5000000000000001E-2</v>
      </c>
      <c r="G280" s="560"/>
      <c r="H280" s="564">
        <v>2.5000000000000001E-2</v>
      </c>
    </row>
    <row r="281" spans="1:8" s="556" customFormat="1" ht="15.75" outlineLevel="3">
      <c r="A281" s="560" t="s">
        <v>1063</v>
      </c>
      <c r="B281" s="560" t="s">
        <v>1029</v>
      </c>
      <c r="C281" s="561">
        <v>0.15</v>
      </c>
      <c r="D281" s="560"/>
      <c r="E281" s="563" t="s">
        <v>982</v>
      </c>
      <c r="F281" s="564">
        <v>2.5000000000000001E-2</v>
      </c>
      <c r="G281" s="560"/>
      <c r="H281" s="564">
        <v>2.5000000000000001E-2</v>
      </c>
    </row>
    <row r="282" spans="1:8" s="556" customFormat="1" ht="15.75" outlineLevel="3">
      <c r="A282" s="560" t="s">
        <v>1064</v>
      </c>
      <c r="B282" s="560" t="s">
        <v>1029</v>
      </c>
      <c r="C282" s="561">
        <v>0.15</v>
      </c>
      <c r="D282" s="560"/>
      <c r="E282" s="563" t="s">
        <v>982</v>
      </c>
      <c r="F282" s="564">
        <v>2.5000000000000001E-2</v>
      </c>
      <c r="G282" s="560"/>
      <c r="H282" s="564">
        <v>2.5000000000000001E-2</v>
      </c>
    </row>
    <row r="283" spans="1:8" s="556" customFormat="1" ht="15.75" outlineLevel="3">
      <c r="A283" s="560" t="s">
        <v>1056</v>
      </c>
      <c r="B283" s="560" t="s">
        <v>1029</v>
      </c>
      <c r="C283" s="561">
        <v>0.15</v>
      </c>
      <c r="D283" s="560"/>
      <c r="E283" s="563" t="s">
        <v>982</v>
      </c>
      <c r="F283" s="564">
        <v>2.5000000000000001E-2</v>
      </c>
      <c r="G283" s="560"/>
      <c r="H283" s="564">
        <v>2.5000000000000001E-2</v>
      </c>
    </row>
    <row r="284" spans="1:8" s="556" customFormat="1" ht="15.75" outlineLevel="1">
      <c r="A284" s="558" t="s">
        <v>1065</v>
      </c>
      <c r="B284" s="558" t="s">
        <v>1066</v>
      </c>
      <c r="C284" s="558"/>
      <c r="D284" s="558"/>
      <c r="E284" s="558"/>
      <c r="F284" s="558"/>
      <c r="G284" s="558"/>
      <c r="H284" s="558"/>
    </row>
    <row r="285" spans="1:8" s="556" customFormat="1" ht="15.75" outlineLevel="2">
      <c r="A285" s="559" t="s">
        <v>1067</v>
      </c>
      <c r="B285" s="560" t="s">
        <v>1068</v>
      </c>
      <c r="C285" s="559"/>
      <c r="D285" s="559"/>
      <c r="E285" s="559"/>
      <c r="F285" s="559"/>
      <c r="G285" s="559"/>
      <c r="H285" s="559"/>
    </row>
    <row r="286" spans="1:8" s="556" customFormat="1" ht="15.75" outlineLevel="2">
      <c r="A286" s="559" t="s">
        <v>1069</v>
      </c>
      <c r="B286" s="560" t="s">
        <v>1068</v>
      </c>
      <c r="C286" s="559"/>
      <c r="D286" s="559"/>
      <c r="E286" s="559"/>
      <c r="F286" s="559"/>
      <c r="G286" s="559"/>
      <c r="H286" s="559"/>
    </row>
    <row r="287" spans="1:8" s="556" customFormat="1" ht="15.75" outlineLevel="2">
      <c r="A287" s="559" t="s">
        <v>456</v>
      </c>
      <c r="B287" s="560" t="s">
        <v>1068</v>
      </c>
      <c r="C287" s="559"/>
      <c r="D287" s="559"/>
      <c r="E287" s="559"/>
      <c r="F287" s="559"/>
      <c r="G287" s="559"/>
      <c r="H287" s="559"/>
    </row>
    <row r="288" spans="1:8" s="556" customFormat="1" ht="15.75" outlineLevel="2">
      <c r="A288" s="559" t="s">
        <v>1070</v>
      </c>
      <c r="B288" s="560" t="s">
        <v>1068</v>
      </c>
      <c r="C288" s="559"/>
      <c r="D288" s="559"/>
      <c r="E288" s="559"/>
      <c r="F288" s="559"/>
      <c r="G288" s="559"/>
      <c r="H288" s="559"/>
    </row>
    <row r="289" spans="1:8" s="556" customFormat="1" ht="15.75" outlineLevel="2">
      <c r="A289" s="559" t="s">
        <v>1071</v>
      </c>
      <c r="B289" s="560" t="s">
        <v>1068</v>
      </c>
      <c r="C289" s="559"/>
      <c r="D289" s="559"/>
      <c r="E289" s="559"/>
      <c r="F289" s="559"/>
      <c r="G289" s="559"/>
      <c r="H289" s="559"/>
    </row>
    <row r="290" spans="1:8" s="556" customFormat="1" ht="15.75" outlineLevel="2">
      <c r="A290" s="559" t="s">
        <v>850</v>
      </c>
      <c r="B290" s="560" t="s">
        <v>1068</v>
      </c>
      <c r="C290" s="559"/>
      <c r="D290" s="559"/>
      <c r="E290" s="559"/>
      <c r="F290" s="559"/>
      <c r="G290" s="559"/>
      <c r="H290" s="559"/>
    </row>
    <row r="291" spans="1:8" s="556" customFormat="1" ht="15.75" outlineLevel="1">
      <c r="A291" s="558" t="s">
        <v>1072</v>
      </c>
      <c r="B291" s="558" t="s">
        <v>1073</v>
      </c>
      <c r="C291" s="558"/>
      <c r="D291" s="558"/>
      <c r="E291" s="558"/>
      <c r="F291" s="558"/>
      <c r="G291" s="558"/>
      <c r="H291" s="558"/>
    </row>
    <row r="292" spans="1:8" s="556" customFormat="1" ht="15.75" outlineLevel="2">
      <c r="A292" s="559" t="s">
        <v>1074</v>
      </c>
      <c r="B292" s="559" t="s">
        <v>1075</v>
      </c>
      <c r="C292" s="559"/>
      <c r="D292" s="559"/>
      <c r="E292" s="559"/>
      <c r="F292" s="559"/>
      <c r="G292" s="559"/>
      <c r="H292" s="559"/>
    </row>
    <row r="293" spans="1:8" s="556" customFormat="1" ht="61.5" customHeight="1" outlineLevel="3">
      <c r="A293" s="560" t="s">
        <v>1076</v>
      </c>
      <c r="B293" s="560" t="s">
        <v>1075</v>
      </c>
      <c r="C293" s="561">
        <v>0.1</v>
      </c>
      <c r="D293" s="560"/>
      <c r="E293" s="563" t="s">
        <v>982</v>
      </c>
      <c r="F293" s="564">
        <v>2.5000000000000001E-2</v>
      </c>
      <c r="G293" s="568"/>
      <c r="H293" s="564">
        <v>2.5000000000000001E-2</v>
      </c>
    </row>
    <row r="294" spans="1:8" s="556" customFormat="1" ht="111.75" customHeight="1" outlineLevel="3">
      <c r="A294" s="560" t="s">
        <v>1077</v>
      </c>
      <c r="B294" s="560" t="s">
        <v>1075</v>
      </c>
      <c r="C294" s="561">
        <v>0.1</v>
      </c>
      <c r="D294" s="560"/>
      <c r="E294" s="563" t="s">
        <v>982</v>
      </c>
      <c r="F294" s="564">
        <v>2.5000000000000001E-2</v>
      </c>
      <c r="G294" s="560"/>
      <c r="H294" s="564">
        <v>2.5000000000000001E-2</v>
      </c>
    </row>
    <row r="295" spans="1:8" s="556" customFormat="1" ht="63.75" customHeight="1" outlineLevel="3">
      <c r="A295" s="560" t="s">
        <v>1078</v>
      </c>
      <c r="B295" s="560" t="s">
        <v>1075</v>
      </c>
      <c r="C295" s="561">
        <v>0.1</v>
      </c>
      <c r="D295" s="560"/>
      <c r="E295" s="563" t="s">
        <v>982</v>
      </c>
      <c r="F295" s="564">
        <v>2.5000000000000001E-2</v>
      </c>
      <c r="G295" s="560"/>
      <c r="H295" s="564">
        <v>2.5000000000000001E-2</v>
      </c>
    </row>
    <row r="296" spans="1:8" s="556" customFormat="1" ht="15.75" outlineLevel="2">
      <c r="A296" s="559" t="s">
        <v>1079</v>
      </c>
      <c r="B296" s="559" t="s">
        <v>1075</v>
      </c>
      <c r="C296" s="559"/>
      <c r="D296" s="559"/>
      <c r="E296" s="559"/>
      <c r="F296" s="559"/>
      <c r="G296" s="559"/>
      <c r="H296" s="559"/>
    </row>
    <row r="297" spans="1:8" s="556" customFormat="1" ht="15.75" outlineLevel="3">
      <c r="A297" s="560" t="s">
        <v>1080</v>
      </c>
      <c r="B297" s="560" t="s">
        <v>1075</v>
      </c>
      <c r="C297" s="561">
        <v>0.1</v>
      </c>
      <c r="D297" s="560"/>
      <c r="E297" s="563" t="s">
        <v>982</v>
      </c>
      <c r="F297" s="564">
        <v>2.5000000000000001E-2</v>
      </c>
      <c r="G297" s="560"/>
      <c r="H297" s="564">
        <v>2.5000000000000001E-2</v>
      </c>
    </row>
    <row r="298" spans="1:8" s="556" customFormat="1" ht="15.75" outlineLevel="3">
      <c r="A298" s="560" t="s">
        <v>1081</v>
      </c>
      <c r="B298" s="560" t="s">
        <v>1075</v>
      </c>
      <c r="C298" s="561">
        <v>0.1</v>
      </c>
      <c r="D298" s="560"/>
      <c r="E298" s="563" t="s">
        <v>982</v>
      </c>
      <c r="F298" s="564">
        <v>2.5000000000000001E-2</v>
      </c>
      <c r="G298" s="560"/>
      <c r="H298" s="564">
        <v>2.5000000000000001E-2</v>
      </c>
    </row>
    <row r="299" spans="1:8" s="556" customFormat="1" ht="15.75" outlineLevel="3">
      <c r="A299" s="560" t="s">
        <v>1082</v>
      </c>
      <c r="B299" s="560" t="s">
        <v>1075</v>
      </c>
      <c r="C299" s="561">
        <v>0.1</v>
      </c>
      <c r="D299" s="560"/>
      <c r="E299" s="563" t="s">
        <v>982</v>
      </c>
      <c r="F299" s="564">
        <v>2.5000000000000001E-2</v>
      </c>
      <c r="G299" s="560"/>
      <c r="H299" s="564">
        <v>2.5000000000000001E-2</v>
      </c>
    </row>
    <row r="300" spans="1:8" s="556" customFormat="1" ht="15.75" customHeight="1" outlineLevel="1">
      <c r="A300" s="558" t="s">
        <v>345</v>
      </c>
      <c r="B300" s="558" t="s">
        <v>1083</v>
      </c>
      <c r="C300" s="558"/>
      <c r="D300" s="558"/>
      <c r="E300" s="558"/>
      <c r="F300" s="558"/>
      <c r="G300" s="558"/>
      <c r="H300" s="558"/>
    </row>
    <row r="301" spans="1:8" s="556" customFormat="1" ht="31.5" outlineLevel="2">
      <c r="A301" s="559" t="s">
        <v>1084</v>
      </c>
      <c r="B301" s="560" t="s">
        <v>1085</v>
      </c>
      <c r="C301" s="561">
        <v>0.15</v>
      </c>
      <c r="D301" s="561" t="s">
        <v>1086</v>
      </c>
      <c r="E301" s="563" t="s">
        <v>1087</v>
      </c>
      <c r="F301" s="564">
        <v>2.5000000000000001E-2</v>
      </c>
      <c r="G301" s="560"/>
      <c r="H301" s="564">
        <v>2.5000000000000001E-2</v>
      </c>
    </row>
    <row r="302" spans="1:8" s="556" customFormat="1" ht="31.5" outlineLevel="2">
      <c r="A302" s="559" t="s">
        <v>1088</v>
      </c>
      <c r="B302" s="560" t="s">
        <v>1085</v>
      </c>
      <c r="C302" s="561">
        <v>0.15</v>
      </c>
      <c r="D302" s="561" t="s">
        <v>1086</v>
      </c>
      <c r="E302" s="563" t="s">
        <v>1087</v>
      </c>
      <c r="F302" s="564">
        <v>2.5000000000000001E-2</v>
      </c>
      <c r="G302" s="560"/>
      <c r="H302" s="564">
        <v>2.5000000000000001E-2</v>
      </c>
    </row>
    <row r="303" spans="1:8" s="556" customFormat="1" ht="31.5" outlineLevel="2">
      <c r="A303" s="559" t="s">
        <v>1089</v>
      </c>
      <c r="B303" s="560" t="s">
        <v>1085</v>
      </c>
      <c r="C303" s="561">
        <v>0.15</v>
      </c>
      <c r="D303" s="561" t="s">
        <v>1086</v>
      </c>
      <c r="E303" s="563" t="s">
        <v>1087</v>
      </c>
      <c r="F303" s="564">
        <v>2.5000000000000001E-2</v>
      </c>
      <c r="G303" s="560"/>
      <c r="H303" s="564">
        <v>2.5000000000000001E-2</v>
      </c>
    </row>
    <row r="304" spans="1:8" s="556" customFormat="1" ht="31.5" outlineLevel="2">
      <c r="A304" s="559" t="s">
        <v>1090</v>
      </c>
      <c r="B304" s="560" t="s">
        <v>1085</v>
      </c>
      <c r="C304" s="561">
        <v>0.15</v>
      </c>
      <c r="D304" s="561" t="s">
        <v>1086</v>
      </c>
      <c r="E304" s="563" t="s">
        <v>1087</v>
      </c>
      <c r="F304" s="564">
        <v>2.5000000000000001E-2</v>
      </c>
      <c r="G304" s="560"/>
      <c r="H304" s="564">
        <v>2.5000000000000001E-2</v>
      </c>
    </row>
    <row r="305" spans="1:8" s="556" customFormat="1" ht="31.5" outlineLevel="2">
      <c r="A305" s="559" t="s">
        <v>1091</v>
      </c>
      <c r="B305" s="560" t="s">
        <v>1085</v>
      </c>
      <c r="C305" s="561">
        <v>0.15</v>
      </c>
      <c r="D305" s="561" t="s">
        <v>1086</v>
      </c>
      <c r="E305" s="563" t="s">
        <v>1087</v>
      </c>
      <c r="F305" s="564">
        <v>2.5000000000000001E-2</v>
      </c>
      <c r="G305" s="560"/>
      <c r="H305" s="564">
        <v>2.5000000000000001E-2</v>
      </c>
    </row>
    <row r="306" spans="1:8" s="556" customFormat="1" ht="31.5" outlineLevel="2">
      <c r="A306" s="559" t="s">
        <v>1092</v>
      </c>
      <c r="B306" s="560" t="s">
        <v>1085</v>
      </c>
      <c r="C306" s="561">
        <v>0.15</v>
      </c>
      <c r="D306" s="561" t="s">
        <v>1086</v>
      </c>
      <c r="E306" s="563" t="s">
        <v>1087</v>
      </c>
      <c r="F306" s="564">
        <v>2.5000000000000001E-2</v>
      </c>
      <c r="G306" s="560"/>
      <c r="H306" s="564">
        <v>2.5000000000000001E-2</v>
      </c>
    </row>
    <row r="307" spans="1:8" s="556" customFormat="1" ht="31.5" outlineLevel="2">
      <c r="A307" s="559" t="s">
        <v>1093</v>
      </c>
      <c r="B307" s="560" t="s">
        <v>1085</v>
      </c>
      <c r="C307" s="561">
        <v>0.15</v>
      </c>
      <c r="D307" s="561" t="s">
        <v>1086</v>
      </c>
      <c r="E307" s="563" t="s">
        <v>1087</v>
      </c>
      <c r="F307" s="564">
        <v>2.5000000000000001E-2</v>
      </c>
      <c r="G307" s="560"/>
      <c r="H307" s="564">
        <v>2.5000000000000001E-2</v>
      </c>
    </row>
    <row r="308" spans="1:8" s="556" customFormat="1" ht="31.5" outlineLevel="2">
      <c r="A308" s="559" t="s">
        <v>1094</v>
      </c>
      <c r="B308" s="560" t="s">
        <v>1085</v>
      </c>
      <c r="C308" s="561">
        <v>0.15</v>
      </c>
      <c r="D308" s="561" t="s">
        <v>1086</v>
      </c>
      <c r="E308" s="563" t="s">
        <v>1087</v>
      </c>
      <c r="F308" s="564">
        <v>2.5000000000000001E-2</v>
      </c>
      <c r="G308" s="560"/>
      <c r="H308" s="564">
        <v>2.5000000000000001E-2</v>
      </c>
    </row>
    <row r="309" spans="1:8" s="556" customFormat="1" ht="31.5" outlineLevel="2">
      <c r="A309" s="559" t="s">
        <v>1095</v>
      </c>
      <c r="B309" s="560" t="s">
        <v>1085</v>
      </c>
      <c r="C309" s="561">
        <v>0.15</v>
      </c>
      <c r="D309" s="561" t="s">
        <v>1086</v>
      </c>
      <c r="E309" s="563" t="s">
        <v>1087</v>
      </c>
      <c r="F309" s="564">
        <v>2.5000000000000001E-2</v>
      </c>
      <c r="G309" s="560"/>
      <c r="H309" s="564">
        <v>2.5000000000000001E-2</v>
      </c>
    </row>
    <row r="310" spans="1:8" s="556" customFormat="1" ht="31.5" outlineLevel="2">
      <c r="A310" s="559" t="s">
        <v>1096</v>
      </c>
      <c r="B310" s="560" t="s">
        <v>1085</v>
      </c>
      <c r="C310" s="561">
        <v>0.15</v>
      </c>
      <c r="D310" s="561" t="s">
        <v>1086</v>
      </c>
      <c r="E310" s="563" t="s">
        <v>1087</v>
      </c>
      <c r="F310" s="564">
        <v>2.5000000000000001E-2</v>
      </c>
      <c r="G310" s="560"/>
      <c r="H310" s="564">
        <v>2.5000000000000001E-2</v>
      </c>
    </row>
    <row r="311" spans="1:8" s="556" customFormat="1" ht="31.5" outlineLevel="2">
      <c r="A311" s="559" t="s">
        <v>1097</v>
      </c>
      <c r="B311" s="560" t="s">
        <v>1085</v>
      </c>
      <c r="C311" s="561">
        <v>0.15</v>
      </c>
      <c r="D311" s="561" t="s">
        <v>1086</v>
      </c>
      <c r="E311" s="563" t="s">
        <v>1087</v>
      </c>
      <c r="F311" s="564">
        <v>2.5000000000000001E-2</v>
      </c>
      <c r="G311" s="560"/>
      <c r="H311" s="564">
        <v>2.5000000000000001E-2</v>
      </c>
    </row>
    <row r="312" spans="1:8" s="556" customFormat="1" ht="31.5" outlineLevel="2">
      <c r="A312" s="559" t="s">
        <v>1098</v>
      </c>
      <c r="B312" s="560" t="s">
        <v>1085</v>
      </c>
      <c r="C312" s="561">
        <v>0.15</v>
      </c>
      <c r="D312" s="561" t="s">
        <v>1086</v>
      </c>
      <c r="E312" s="563" t="s">
        <v>1087</v>
      </c>
      <c r="F312" s="564">
        <v>2.5000000000000001E-2</v>
      </c>
      <c r="G312" s="560"/>
      <c r="H312" s="564">
        <v>2.5000000000000001E-2</v>
      </c>
    </row>
    <row r="313" spans="1:8" s="556" customFormat="1" ht="31.5" outlineLevel="2">
      <c r="A313" s="559" t="s">
        <v>1099</v>
      </c>
      <c r="B313" s="560" t="s">
        <v>1085</v>
      </c>
      <c r="C313" s="561">
        <v>0.15</v>
      </c>
      <c r="D313" s="561" t="s">
        <v>1086</v>
      </c>
      <c r="E313" s="563" t="s">
        <v>1087</v>
      </c>
      <c r="F313" s="564">
        <v>2.5000000000000001E-2</v>
      </c>
      <c r="G313" s="560"/>
      <c r="H313" s="564">
        <v>2.5000000000000001E-2</v>
      </c>
    </row>
    <row r="314" spans="1:8" s="556" customFormat="1" ht="31.5" outlineLevel="2">
      <c r="A314" s="559" t="s">
        <v>1100</v>
      </c>
      <c r="B314" s="560" t="s">
        <v>1085</v>
      </c>
      <c r="C314" s="561">
        <v>0.15</v>
      </c>
      <c r="D314" s="561" t="s">
        <v>1086</v>
      </c>
      <c r="E314" s="563" t="s">
        <v>1087</v>
      </c>
      <c r="F314" s="564">
        <v>2.5000000000000001E-2</v>
      </c>
      <c r="G314" s="560"/>
      <c r="H314" s="564">
        <v>2.5000000000000001E-2</v>
      </c>
    </row>
    <row r="315" spans="1:8" s="556" customFormat="1" ht="31.5" outlineLevel="2">
      <c r="A315" s="559" t="s">
        <v>1101</v>
      </c>
      <c r="B315" s="560" t="s">
        <v>1085</v>
      </c>
      <c r="C315" s="561">
        <v>0.15</v>
      </c>
      <c r="D315" s="561" t="s">
        <v>1086</v>
      </c>
      <c r="E315" s="563" t="s">
        <v>1087</v>
      </c>
      <c r="F315" s="564">
        <v>2.5000000000000001E-2</v>
      </c>
      <c r="G315" s="560"/>
      <c r="H315" s="564">
        <v>2.5000000000000001E-2</v>
      </c>
    </row>
    <row r="316" spans="1:8" s="556" customFormat="1" ht="15.75" customHeight="1" outlineLevel="1">
      <c r="A316" s="558" t="s">
        <v>1102</v>
      </c>
      <c r="B316" s="558" t="s">
        <v>1103</v>
      </c>
      <c r="C316" s="558"/>
      <c r="D316" s="558"/>
      <c r="E316" s="558"/>
      <c r="F316" s="558"/>
      <c r="G316" s="558"/>
      <c r="H316" s="558"/>
    </row>
    <row r="317" spans="1:8" s="556" customFormat="1" ht="15.75" outlineLevel="2">
      <c r="A317" s="559"/>
      <c r="B317" s="559"/>
      <c r="C317" s="559"/>
      <c r="D317" s="559"/>
      <c r="E317" s="559"/>
      <c r="F317" s="559"/>
      <c r="G317" s="559"/>
      <c r="H317" s="559"/>
    </row>
    <row r="318" spans="1:8" s="556" customFormat="1" ht="31.5" outlineLevel="3">
      <c r="A318" s="560" t="s">
        <v>1104</v>
      </c>
      <c r="B318" s="560" t="s">
        <v>1105</v>
      </c>
      <c r="C318" s="561">
        <v>0.15</v>
      </c>
      <c r="D318" s="563" t="s">
        <v>1086</v>
      </c>
      <c r="E318" s="563" t="s">
        <v>1087</v>
      </c>
      <c r="F318" s="564">
        <v>2.5000000000000001E-2</v>
      </c>
      <c r="G318" s="560"/>
      <c r="H318" s="564">
        <v>2.5000000000000001E-2</v>
      </c>
    </row>
    <row r="319" spans="1:8" s="556" customFormat="1" ht="31.5" outlineLevel="5">
      <c r="A319" s="560" t="s">
        <v>1106</v>
      </c>
      <c r="B319" s="560" t="s">
        <v>1105</v>
      </c>
      <c r="C319" s="561">
        <v>0.15</v>
      </c>
      <c r="D319" s="563" t="s">
        <v>1086</v>
      </c>
      <c r="E319" s="563" t="s">
        <v>1087</v>
      </c>
      <c r="F319" s="564">
        <v>2.5000000000000001E-2</v>
      </c>
      <c r="G319" s="560"/>
      <c r="H319" s="564">
        <v>2.5000000000000001E-2</v>
      </c>
    </row>
    <row r="320" spans="1:8" s="556" customFormat="1" ht="31.5" outlineLevel="5">
      <c r="A320" s="560" t="s">
        <v>1107</v>
      </c>
      <c r="B320" s="560" t="s">
        <v>1105</v>
      </c>
      <c r="C320" s="561">
        <v>0.15</v>
      </c>
      <c r="D320" s="563" t="s">
        <v>1086</v>
      </c>
      <c r="E320" s="563" t="s">
        <v>1087</v>
      </c>
      <c r="F320" s="564">
        <v>2.5000000000000001E-2</v>
      </c>
      <c r="G320" s="560"/>
      <c r="H320" s="564">
        <v>2.5000000000000001E-2</v>
      </c>
    </row>
    <row r="321" spans="1:8" s="556" customFormat="1" ht="31.5" outlineLevel="4">
      <c r="A321" s="560" t="s">
        <v>1108</v>
      </c>
      <c r="B321" s="560" t="s">
        <v>1105</v>
      </c>
      <c r="C321" s="561">
        <v>0.15</v>
      </c>
      <c r="D321" s="563" t="s">
        <v>1086</v>
      </c>
      <c r="E321" s="563" t="s">
        <v>1087</v>
      </c>
      <c r="F321" s="564">
        <v>2.5000000000000001E-2</v>
      </c>
      <c r="G321" s="560"/>
      <c r="H321" s="564">
        <v>2.5000000000000001E-2</v>
      </c>
    </row>
    <row r="322" spans="1:8" s="556" customFormat="1" ht="31.5" outlineLevel="3">
      <c r="A322" s="560" t="s">
        <v>1109</v>
      </c>
      <c r="B322" s="560" t="s">
        <v>1105</v>
      </c>
      <c r="C322" s="561">
        <v>0.15</v>
      </c>
      <c r="D322" s="563" t="s">
        <v>1086</v>
      </c>
      <c r="E322" s="563" t="s">
        <v>1087</v>
      </c>
      <c r="F322" s="564">
        <v>2.5000000000000001E-2</v>
      </c>
      <c r="G322" s="560"/>
      <c r="H322" s="564">
        <v>2.5000000000000001E-2</v>
      </c>
    </row>
    <row r="323" spans="1:8" s="556" customFormat="1" ht="31.5" outlineLevel="3">
      <c r="A323" s="560" t="s">
        <v>1110</v>
      </c>
      <c r="B323" s="560" t="s">
        <v>1105</v>
      </c>
      <c r="C323" s="561">
        <v>0.15</v>
      </c>
      <c r="D323" s="563" t="s">
        <v>1086</v>
      </c>
      <c r="E323" s="563" t="s">
        <v>1087</v>
      </c>
      <c r="F323" s="564">
        <v>2.5000000000000001E-2</v>
      </c>
      <c r="G323" s="560"/>
      <c r="H323" s="564">
        <v>2.5000000000000001E-2</v>
      </c>
    </row>
    <row r="324" spans="1:8" s="556" customFormat="1" ht="31.5" outlineLevel="3">
      <c r="A324" s="560" t="s">
        <v>1111</v>
      </c>
      <c r="B324" s="560" t="s">
        <v>1105</v>
      </c>
      <c r="C324" s="561">
        <v>0.15</v>
      </c>
      <c r="D324" s="563" t="s">
        <v>1086</v>
      </c>
      <c r="E324" s="563" t="s">
        <v>1087</v>
      </c>
      <c r="F324" s="564">
        <v>2.5000000000000001E-2</v>
      </c>
      <c r="G324" s="560"/>
      <c r="H324" s="564">
        <v>2.5000000000000001E-2</v>
      </c>
    </row>
    <row r="325" spans="1:8" s="556" customFormat="1" ht="31.5" outlineLevel="2">
      <c r="A325" s="559" t="s">
        <v>1112</v>
      </c>
      <c r="B325" s="560" t="s">
        <v>1105</v>
      </c>
      <c r="C325" s="561">
        <v>0.15</v>
      </c>
      <c r="D325" s="563" t="s">
        <v>1086</v>
      </c>
      <c r="E325" s="563" t="s">
        <v>1087</v>
      </c>
      <c r="F325" s="564">
        <v>2.5000000000000001E-2</v>
      </c>
      <c r="G325" s="560"/>
      <c r="H325" s="564">
        <v>2.5000000000000001E-2</v>
      </c>
    </row>
    <row r="326" spans="1:8" s="556" customFormat="1" ht="31.5" outlineLevel="3">
      <c r="A326" s="560" t="s">
        <v>1104</v>
      </c>
      <c r="B326" s="560" t="s">
        <v>1105</v>
      </c>
      <c r="C326" s="561">
        <v>0.15</v>
      </c>
      <c r="D326" s="563" t="s">
        <v>1086</v>
      </c>
      <c r="E326" s="563" t="s">
        <v>1087</v>
      </c>
      <c r="F326" s="564">
        <v>2.5000000000000001E-2</v>
      </c>
      <c r="G326" s="560"/>
      <c r="H326" s="564">
        <v>2.5000000000000001E-2</v>
      </c>
    </row>
    <row r="327" spans="1:8" s="556" customFormat="1" ht="31.5" outlineLevel="3">
      <c r="A327" s="560" t="s">
        <v>1106</v>
      </c>
      <c r="B327" s="560" t="s">
        <v>1105</v>
      </c>
      <c r="C327" s="561">
        <v>0.15</v>
      </c>
      <c r="D327" s="563" t="s">
        <v>1086</v>
      </c>
      <c r="E327" s="563" t="s">
        <v>1087</v>
      </c>
      <c r="F327" s="564">
        <v>2.5000000000000001E-2</v>
      </c>
      <c r="G327" s="560"/>
      <c r="H327" s="564">
        <v>2.5000000000000001E-2</v>
      </c>
    </row>
    <row r="328" spans="1:8" s="556" customFormat="1" ht="31.5" outlineLevel="3">
      <c r="A328" s="560" t="s">
        <v>1107</v>
      </c>
      <c r="B328" s="560" t="s">
        <v>1105</v>
      </c>
      <c r="C328" s="561">
        <v>0.15</v>
      </c>
      <c r="D328" s="563" t="s">
        <v>1086</v>
      </c>
      <c r="E328" s="563" t="s">
        <v>1087</v>
      </c>
      <c r="F328" s="564">
        <v>2.5000000000000001E-2</v>
      </c>
      <c r="G328" s="560"/>
      <c r="H328" s="564">
        <v>2.5000000000000001E-2</v>
      </c>
    </row>
    <row r="329" spans="1:8" s="556" customFormat="1" ht="31.5" outlineLevel="3">
      <c r="A329" s="560" t="s">
        <v>1108</v>
      </c>
      <c r="B329" s="560" t="s">
        <v>1105</v>
      </c>
      <c r="C329" s="561">
        <v>0.15</v>
      </c>
      <c r="D329" s="563" t="s">
        <v>1086</v>
      </c>
      <c r="E329" s="563" t="s">
        <v>1087</v>
      </c>
      <c r="F329" s="564">
        <v>2.5000000000000001E-2</v>
      </c>
      <c r="G329" s="560"/>
      <c r="H329" s="564">
        <v>2.5000000000000001E-2</v>
      </c>
    </row>
    <row r="330" spans="1:8" s="556" customFormat="1" ht="31.5" outlineLevel="3">
      <c r="A330" s="560" t="s">
        <v>1109</v>
      </c>
      <c r="B330" s="560" t="s">
        <v>1105</v>
      </c>
      <c r="C330" s="561">
        <v>0.15</v>
      </c>
      <c r="D330" s="563" t="s">
        <v>1086</v>
      </c>
      <c r="E330" s="563" t="s">
        <v>1087</v>
      </c>
      <c r="F330" s="564">
        <v>2.5000000000000001E-2</v>
      </c>
      <c r="G330" s="560"/>
      <c r="H330" s="564">
        <v>2.5000000000000001E-2</v>
      </c>
    </row>
    <row r="331" spans="1:8" s="556" customFormat="1" ht="31.5" outlineLevel="3">
      <c r="A331" s="560" t="s">
        <v>1110</v>
      </c>
      <c r="B331" s="560" t="s">
        <v>1105</v>
      </c>
      <c r="C331" s="561">
        <v>0.15</v>
      </c>
      <c r="D331" s="563" t="s">
        <v>1086</v>
      </c>
      <c r="E331" s="563" t="s">
        <v>1087</v>
      </c>
      <c r="F331" s="564">
        <v>2.5000000000000001E-2</v>
      </c>
      <c r="G331" s="560"/>
      <c r="H331" s="564">
        <v>2.5000000000000001E-2</v>
      </c>
    </row>
    <row r="332" spans="1:8" s="556" customFormat="1" ht="31.5" outlineLevel="3">
      <c r="A332" s="560" t="s">
        <v>1111</v>
      </c>
      <c r="B332" s="560" t="s">
        <v>1105</v>
      </c>
      <c r="C332" s="561">
        <v>0.15</v>
      </c>
      <c r="D332" s="563" t="s">
        <v>1086</v>
      </c>
      <c r="E332" s="563" t="s">
        <v>1087</v>
      </c>
      <c r="F332" s="564">
        <v>2.5000000000000001E-2</v>
      </c>
      <c r="G332" s="560"/>
      <c r="H332" s="564">
        <v>2.5000000000000001E-2</v>
      </c>
    </row>
    <row r="333" spans="1:8" s="556" customFormat="1" ht="31.5" outlineLevel="3">
      <c r="A333" s="558" t="s">
        <v>1113</v>
      </c>
      <c r="B333" s="560" t="s">
        <v>1105</v>
      </c>
      <c r="C333" s="561">
        <v>0.15</v>
      </c>
      <c r="D333" s="563" t="s">
        <v>1086</v>
      </c>
      <c r="E333" s="563" t="s">
        <v>1087</v>
      </c>
      <c r="F333" s="564">
        <v>2.5000000000000001E-2</v>
      </c>
      <c r="G333" s="560"/>
      <c r="H333" s="564">
        <v>2.5000000000000001E-2</v>
      </c>
    </row>
    <row r="334" spans="1:8" s="556" customFormat="1" ht="15.75" outlineLevel="1" collapsed="1">
      <c r="A334" s="558" t="s">
        <v>80</v>
      </c>
      <c r="B334" s="558" t="s">
        <v>1114</v>
      </c>
      <c r="C334" s="558"/>
      <c r="D334" s="558"/>
      <c r="E334" s="558"/>
      <c r="F334" s="558"/>
      <c r="G334" s="558"/>
      <c r="H334" s="558"/>
    </row>
    <row r="335" spans="1:8" s="556" customFormat="1" ht="15.75" customHeight="1" outlineLevel="2">
      <c r="A335" s="559" t="s">
        <v>81</v>
      </c>
      <c r="B335" s="559" t="s">
        <v>1114</v>
      </c>
      <c r="C335" s="569"/>
      <c r="D335" s="559"/>
      <c r="E335" s="559"/>
      <c r="F335" s="559"/>
      <c r="G335" s="559"/>
      <c r="H335" s="559"/>
    </row>
    <row r="336" spans="1:8" s="556" customFormat="1" ht="31.5" outlineLevel="3">
      <c r="A336" s="560" t="s">
        <v>1115</v>
      </c>
      <c r="B336" s="560" t="s">
        <v>1114</v>
      </c>
      <c r="C336" s="561">
        <v>0.15</v>
      </c>
      <c r="D336" s="563" t="s">
        <v>1116</v>
      </c>
      <c r="E336" s="563" t="s">
        <v>1087</v>
      </c>
      <c r="F336" s="564">
        <v>2.5000000000000001E-2</v>
      </c>
      <c r="G336" s="562">
        <v>0.1</v>
      </c>
      <c r="H336" s="564">
        <v>2.5000000000000001E-2</v>
      </c>
    </row>
    <row r="337" spans="1:8" s="556" customFormat="1" ht="31.5" outlineLevel="3">
      <c r="A337" s="560" t="s">
        <v>1117</v>
      </c>
      <c r="B337" s="560" t="s">
        <v>1114</v>
      </c>
      <c r="C337" s="561">
        <v>0.15</v>
      </c>
      <c r="D337" s="563" t="s">
        <v>1116</v>
      </c>
      <c r="E337" s="563" t="s">
        <v>1087</v>
      </c>
      <c r="F337" s="564">
        <v>2.5000000000000001E-2</v>
      </c>
      <c r="G337" s="562">
        <v>0.1</v>
      </c>
      <c r="H337" s="564">
        <v>2.5000000000000001E-2</v>
      </c>
    </row>
    <row r="338" spans="1:8" s="556" customFormat="1" ht="31.5" outlineLevel="2">
      <c r="A338" s="559" t="s">
        <v>1118</v>
      </c>
      <c r="B338" s="560" t="s">
        <v>1114</v>
      </c>
      <c r="C338" s="561">
        <v>0.15</v>
      </c>
      <c r="D338" s="563" t="s">
        <v>1116</v>
      </c>
      <c r="E338" s="563" t="s">
        <v>1087</v>
      </c>
      <c r="F338" s="564">
        <v>2.5000000000000001E-2</v>
      </c>
      <c r="G338" s="562">
        <v>0.1</v>
      </c>
      <c r="H338" s="564">
        <v>2.5000000000000001E-2</v>
      </c>
    </row>
    <row r="339" spans="1:8" s="556" customFormat="1" ht="15.75" customHeight="1" outlineLevel="2">
      <c r="A339" s="559" t="s">
        <v>1119</v>
      </c>
      <c r="B339" s="560" t="s">
        <v>1114</v>
      </c>
      <c r="C339" s="561">
        <v>0.15</v>
      </c>
      <c r="D339" s="563" t="s">
        <v>1116</v>
      </c>
      <c r="E339" s="563" t="s">
        <v>1087</v>
      </c>
      <c r="F339" s="564">
        <v>2.5000000000000001E-2</v>
      </c>
      <c r="G339" s="562">
        <v>0.1</v>
      </c>
      <c r="H339" s="564">
        <v>2.5000000000000001E-2</v>
      </c>
    </row>
    <row r="340" spans="1:8" s="556" customFormat="1" ht="31.5" outlineLevel="3">
      <c r="A340" s="560" t="s">
        <v>1120</v>
      </c>
      <c r="B340" s="560" t="s">
        <v>1114</v>
      </c>
      <c r="C340" s="561">
        <v>0.15</v>
      </c>
      <c r="D340" s="563" t="s">
        <v>1116</v>
      </c>
      <c r="E340" s="563" t="s">
        <v>1087</v>
      </c>
      <c r="F340" s="564">
        <v>2.5000000000000001E-2</v>
      </c>
      <c r="G340" s="562">
        <v>0.1</v>
      </c>
      <c r="H340" s="564">
        <v>2.5000000000000001E-2</v>
      </c>
    </row>
    <row r="341" spans="1:8" s="556" customFormat="1" ht="31.5" outlineLevel="3">
      <c r="A341" s="560" t="s">
        <v>1121</v>
      </c>
      <c r="B341" s="560" t="s">
        <v>1114</v>
      </c>
      <c r="C341" s="561">
        <v>0.15</v>
      </c>
      <c r="D341" s="563" t="s">
        <v>1116</v>
      </c>
      <c r="E341" s="563" t="s">
        <v>1087</v>
      </c>
      <c r="F341" s="564">
        <v>2.5000000000000001E-2</v>
      </c>
      <c r="G341" s="562">
        <v>0.1</v>
      </c>
      <c r="H341" s="564">
        <v>2.5000000000000001E-2</v>
      </c>
    </row>
    <row r="342" spans="1:8" s="556" customFormat="1" ht="31.5" outlineLevel="3">
      <c r="A342" s="560" t="s">
        <v>1122</v>
      </c>
      <c r="B342" s="560" t="s">
        <v>1114</v>
      </c>
      <c r="C342" s="561">
        <v>0.15</v>
      </c>
      <c r="D342" s="563" t="s">
        <v>1116</v>
      </c>
      <c r="E342" s="563" t="s">
        <v>1087</v>
      </c>
      <c r="F342" s="564">
        <v>2.5000000000000001E-2</v>
      </c>
      <c r="G342" s="562">
        <v>0.1</v>
      </c>
      <c r="H342" s="564">
        <v>2.5000000000000001E-2</v>
      </c>
    </row>
    <row r="343" spans="1:8" s="556" customFormat="1" ht="15.75" customHeight="1" outlineLevel="2">
      <c r="A343" s="559" t="s">
        <v>1123</v>
      </c>
      <c r="B343" s="560" t="s">
        <v>1124</v>
      </c>
      <c r="C343" s="561">
        <v>0.15</v>
      </c>
      <c r="D343" s="563" t="s">
        <v>1116</v>
      </c>
      <c r="E343" s="563" t="s">
        <v>1087</v>
      </c>
      <c r="F343" s="564">
        <v>2.5000000000000001E-2</v>
      </c>
      <c r="G343" s="562">
        <v>0.1</v>
      </c>
      <c r="H343" s="564">
        <v>2.5000000000000001E-2</v>
      </c>
    </row>
    <row r="344" spans="1:8" s="556" customFormat="1" ht="31.5" outlineLevel="3">
      <c r="A344" s="560" t="s">
        <v>1125</v>
      </c>
      <c r="B344" s="560" t="s">
        <v>1124</v>
      </c>
      <c r="C344" s="561">
        <v>0.15</v>
      </c>
      <c r="D344" s="563" t="s">
        <v>1116</v>
      </c>
      <c r="E344" s="563" t="s">
        <v>1087</v>
      </c>
      <c r="F344" s="564">
        <v>2.5000000000000001E-2</v>
      </c>
      <c r="G344" s="562">
        <v>0.1</v>
      </c>
      <c r="H344" s="564">
        <v>2.5000000000000001E-2</v>
      </c>
    </row>
    <row r="345" spans="1:8" s="556" customFormat="1" ht="31.5" outlineLevel="3">
      <c r="A345" s="560" t="s">
        <v>1126</v>
      </c>
      <c r="B345" s="560" t="s">
        <v>1124</v>
      </c>
      <c r="C345" s="561">
        <v>0.15</v>
      </c>
      <c r="D345" s="563" t="s">
        <v>1116</v>
      </c>
      <c r="E345" s="563" t="s">
        <v>1087</v>
      </c>
      <c r="F345" s="564">
        <v>2.5000000000000001E-2</v>
      </c>
      <c r="G345" s="562">
        <v>0.1</v>
      </c>
      <c r="H345" s="564">
        <v>2.5000000000000001E-2</v>
      </c>
    </row>
    <row r="346" spans="1:8" s="556" customFormat="1" ht="31.5" outlineLevel="3">
      <c r="A346" s="560" t="s">
        <v>1127</v>
      </c>
      <c r="B346" s="560" t="s">
        <v>1124</v>
      </c>
      <c r="C346" s="561">
        <v>0.15</v>
      </c>
      <c r="D346" s="563" t="s">
        <v>1116</v>
      </c>
      <c r="E346" s="563" t="s">
        <v>1087</v>
      </c>
      <c r="F346" s="564">
        <v>2.5000000000000001E-2</v>
      </c>
      <c r="G346" s="562">
        <v>0.1</v>
      </c>
      <c r="H346" s="564">
        <v>2.5000000000000001E-2</v>
      </c>
    </row>
    <row r="347" spans="1:8" s="556" customFormat="1" ht="31.5" outlineLevel="2">
      <c r="A347" s="559" t="s">
        <v>83</v>
      </c>
      <c r="B347" s="560" t="s">
        <v>1128</v>
      </c>
      <c r="C347" s="561">
        <v>0.15</v>
      </c>
      <c r="D347" s="563" t="s">
        <v>1116</v>
      </c>
      <c r="E347" s="563" t="s">
        <v>1087</v>
      </c>
      <c r="F347" s="564">
        <v>2.5000000000000001E-2</v>
      </c>
      <c r="G347" s="562">
        <v>0.1</v>
      </c>
      <c r="H347" s="564">
        <v>2.5000000000000001E-2</v>
      </c>
    </row>
    <row r="348" spans="1:8" s="556" customFormat="1" ht="36.75" customHeight="1" outlineLevel="2">
      <c r="A348" s="559" t="s">
        <v>84</v>
      </c>
      <c r="B348" s="560" t="s">
        <v>1129</v>
      </c>
      <c r="C348" s="561">
        <v>0.15</v>
      </c>
      <c r="D348" s="563" t="s">
        <v>1116</v>
      </c>
      <c r="E348" s="563" t="s">
        <v>1087</v>
      </c>
      <c r="F348" s="564">
        <v>2.5000000000000001E-2</v>
      </c>
      <c r="G348" s="562">
        <v>0.1</v>
      </c>
      <c r="H348" s="564">
        <v>2.5000000000000001E-2</v>
      </c>
    </row>
    <row r="349" spans="1:8" s="556" customFormat="1" ht="31.5" outlineLevel="2">
      <c r="A349" s="559" t="s">
        <v>86</v>
      </c>
      <c r="B349" s="560" t="s">
        <v>1128</v>
      </c>
      <c r="C349" s="561">
        <v>0.15</v>
      </c>
      <c r="D349" s="563" t="s">
        <v>1116</v>
      </c>
      <c r="E349" s="563" t="s">
        <v>1087</v>
      </c>
      <c r="F349" s="564">
        <v>2.5000000000000001E-2</v>
      </c>
      <c r="G349" s="562">
        <v>0.1</v>
      </c>
      <c r="H349" s="564">
        <v>2.5000000000000001E-2</v>
      </c>
    </row>
    <row r="350" spans="1:8" s="556" customFormat="1" ht="31.5" outlineLevel="2">
      <c r="A350" s="559" t="s">
        <v>1130</v>
      </c>
      <c r="B350" s="560" t="s">
        <v>1128</v>
      </c>
      <c r="C350" s="561">
        <v>0.15</v>
      </c>
      <c r="D350" s="563" t="s">
        <v>1116</v>
      </c>
      <c r="E350" s="563" t="s">
        <v>1087</v>
      </c>
      <c r="F350" s="564">
        <v>2.5000000000000001E-2</v>
      </c>
      <c r="G350" s="562">
        <v>0.1</v>
      </c>
      <c r="H350" s="564">
        <v>2.5000000000000001E-2</v>
      </c>
    </row>
    <row r="351" spans="1:8" s="556" customFormat="1" ht="31.5" outlineLevel="2">
      <c r="A351" s="559" t="s">
        <v>73</v>
      </c>
      <c r="B351" s="560" t="s">
        <v>1128</v>
      </c>
      <c r="C351" s="561">
        <v>0.15</v>
      </c>
      <c r="D351" s="563" t="s">
        <v>1116</v>
      </c>
      <c r="E351" s="563" t="s">
        <v>1087</v>
      </c>
      <c r="F351" s="564">
        <v>2.5000000000000001E-2</v>
      </c>
      <c r="G351" s="562">
        <v>0.1</v>
      </c>
      <c r="H351" s="564">
        <v>2.5000000000000001E-2</v>
      </c>
    </row>
    <row r="352" spans="1:8" s="556" customFormat="1" ht="31.5" outlineLevel="2">
      <c r="A352" s="559" t="s">
        <v>107</v>
      </c>
      <c r="B352" s="560" t="s">
        <v>1128</v>
      </c>
      <c r="C352" s="561">
        <v>0.15</v>
      </c>
      <c r="D352" s="563" t="s">
        <v>1116</v>
      </c>
      <c r="E352" s="563" t="s">
        <v>1087</v>
      </c>
      <c r="F352" s="564">
        <v>2.5000000000000001E-2</v>
      </c>
      <c r="G352" s="562">
        <v>0.1</v>
      </c>
      <c r="H352" s="564">
        <v>2.5000000000000001E-2</v>
      </c>
    </row>
    <row r="353" spans="1:8" s="556" customFormat="1" ht="31.5" outlineLevel="2">
      <c r="A353" s="559" t="s">
        <v>88</v>
      </c>
      <c r="B353" s="560" t="s">
        <v>1129</v>
      </c>
      <c r="C353" s="561">
        <v>0.15</v>
      </c>
      <c r="D353" s="563" t="s">
        <v>1116</v>
      </c>
      <c r="E353" s="563" t="s">
        <v>1087</v>
      </c>
      <c r="F353" s="564">
        <v>2.5000000000000001E-2</v>
      </c>
      <c r="G353" s="562">
        <v>0.1</v>
      </c>
      <c r="H353" s="564">
        <v>2.5000000000000001E-2</v>
      </c>
    </row>
    <row r="354" spans="1:8" s="556" customFormat="1" ht="31.5" outlineLevel="2">
      <c r="A354" s="559" t="s">
        <v>346</v>
      </c>
      <c r="B354" s="560" t="s">
        <v>1131</v>
      </c>
      <c r="C354" s="561">
        <v>0.15</v>
      </c>
      <c r="D354" s="563" t="s">
        <v>1116</v>
      </c>
      <c r="E354" s="563" t="s">
        <v>1087</v>
      </c>
      <c r="F354" s="564">
        <v>2.5000000000000001E-2</v>
      </c>
      <c r="G354" s="562">
        <v>0.1</v>
      </c>
      <c r="H354" s="564">
        <v>2.5000000000000001E-2</v>
      </c>
    </row>
    <row r="355" spans="1:8" s="556" customFormat="1" ht="15.75" customHeight="1" outlineLevel="2">
      <c r="A355" s="559" t="s">
        <v>1132</v>
      </c>
      <c r="B355" s="560" t="s">
        <v>1129</v>
      </c>
      <c r="C355" s="561">
        <v>0.15</v>
      </c>
      <c r="D355" s="563" t="s">
        <v>1116</v>
      </c>
      <c r="E355" s="563" t="s">
        <v>1087</v>
      </c>
      <c r="F355" s="564">
        <v>2.5000000000000001E-2</v>
      </c>
      <c r="G355" s="562">
        <v>0.1</v>
      </c>
      <c r="H355" s="564">
        <v>2.5000000000000001E-2</v>
      </c>
    </row>
    <row r="356" spans="1:8" s="556" customFormat="1" ht="31.5" outlineLevel="3">
      <c r="A356" s="560" t="s">
        <v>89</v>
      </c>
      <c r="B356" s="560" t="s">
        <v>1129</v>
      </c>
      <c r="C356" s="561">
        <v>0.15</v>
      </c>
      <c r="D356" s="563" t="s">
        <v>1116</v>
      </c>
      <c r="E356" s="563" t="s">
        <v>1087</v>
      </c>
      <c r="F356" s="564">
        <v>2.5000000000000001E-2</v>
      </c>
      <c r="G356" s="562">
        <v>0.1</v>
      </c>
      <c r="H356" s="564">
        <v>2.5000000000000001E-2</v>
      </c>
    </row>
    <row r="357" spans="1:8" s="556" customFormat="1" ht="31.5" outlineLevel="3">
      <c r="A357" s="560" t="s">
        <v>1133</v>
      </c>
      <c r="B357" s="560" t="s">
        <v>1129</v>
      </c>
      <c r="C357" s="561">
        <v>0.15</v>
      </c>
      <c r="D357" s="563" t="s">
        <v>1116</v>
      </c>
      <c r="E357" s="563" t="s">
        <v>1087</v>
      </c>
      <c r="F357" s="564">
        <v>2.5000000000000001E-2</v>
      </c>
      <c r="G357" s="562">
        <v>0.1</v>
      </c>
      <c r="H357" s="564">
        <v>2.5000000000000001E-2</v>
      </c>
    </row>
    <row r="358" spans="1:8" s="556" customFormat="1" ht="31.5" outlineLevel="3">
      <c r="A358" s="560" t="s">
        <v>1134</v>
      </c>
      <c r="B358" s="560" t="s">
        <v>1129</v>
      </c>
      <c r="C358" s="561">
        <v>0.15</v>
      </c>
      <c r="D358" s="563" t="s">
        <v>1116</v>
      </c>
      <c r="E358" s="563" t="s">
        <v>1087</v>
      </c>
      <c r="F358" s="564">
        <v>2.5000000000000001E-2</v>
      </c>
      <c r="G358" s="562">
        <v>0.1</v>
      </c>
      <c r="H358" s="564">
        <v>2.5000000000000001E-2</v>
      </c>
    </row>
    <row r="359" spans="1:8" s="556" customFormat="1" ht="31.5" outlineLevel="3">
      <c r="A359" s="560" t="s">
        <v>1135</v>
      </c>
      <c r="B359" s="560" t="s">
        <v>1129</v>
      </c>
      <c r="C359" s="561">
        <v>0.15</v>
      </c>
      <c r="D359" s="563" t="s">
        <v>1116</v>
      </c>
      <c r="E359" s="563" t="s">
        <v>1087</v>
      </c>
      <c r="F359" s="564">
        <v>2.5000000000000001E-2</v>
      </c>
      <c r="G359" s="562">
        <v>0.1</v>
      </c>
      <c r="H359" s="564">
        <v>2.5000000000000001E-2</v>
      </c>
    </row>
    <row r="360" spans="1:8" s="556" customFormat="1" ht="31.5" outlineLevel="3">
      <c r="A360" s="560" t="s">
        <v>1136</v>
      </c>
      <c r="B360" s="560" t="s">
        <v>1129</v>
      </c>
      <c r="C360" s="561">
        <v>0.15</v>
      </c>
      <c r="D360" s="563" t="s">
        <v>1116</v>
      </c>
      <c r="E360" s="563" t="s">
        <v>1087</v>
      </c>
      <c r="F360" s="564">
        <v>2.5000000000000001E-2</v>
      </c>
      <c r="G360" s="562">
        <v>0.1</v>
      </c>
      <c r="H360" s="564">
        <v>2.5000000000000001E-2</v>
      </c>
    </row>
    <row r="361" spans="1:8" s="556" customFormat="1" ht="31.5" outlineLevel="3">
      <c r="A361" s="560" t="s">
        <v>1137</v>
      </c>
      <c r="B361" s="560" t="s">
        <v>1129</v>
      </c>
      <c r="C361" s="561">
        <v>0.15</v>
      </c>
      <c r="D361" s="563" t="s">
        <v>1116</v>
      </c>
      <c r="E361" s="563" t="s">
        <v>1087</v>
      </c>
      <c r="F361" s="564">
        <v>2.5000000000000001E-2</v>
      </c>
      <c r="G361" s="562">
        <v>0.1</v>
      </c>
      <c r="H361" s="564">
        <v>2.5000000000000001E-2</v>
      </c>
    </row>
    <row r="362" spans="1:8" s="556" customFormat="1" ht="31.5" outlineLevel="3">
      <c r="A362" s="560" t="s">
        <v>1138</v>
      </c>
      <c r="B362" s="560" t="s">
        <v>1129</v>
      </c>
      <c r="C362" s="561">
        <v>0.15</v>
      </c>
      <c r="D362" s="563" t="s">
        <v>1116</v>
      </c>
      <c r="E362" s="563" t="s">
        <v>1087</v>
      </c>
      <c r="F362" s="564">
        <v>2.5000000000000001E-2</v>
      </c>
      <c r="G362" s="562">
        <v>0.1</v>
      </c>
      <c r="H362" s="564">
        <v>2.5000000000000001E-2</v>
      </c>
    </row>
    <row r="363" spans="1:8" s="556" customFormat="1" ht="31.5" outlineLevel="2">
      <c r="A363" s="559" t="s">
        <v>1139</v>
      </c>
      <c r="B363" s="560" t="s">
        <v>1129</v>
      </c>
      <c r="C363" s="561">
        <v>0.15</v>
      </c>
      <c r="D363" s="563" t="s">
        <v>1116</v>
      </c>
      <c r="E363" s="563" t="s">
        <v>1087</v>
      </c>
      <c r="F363" s="564">
        <v>2.5000000000000001E-2</v>
      </c>
      <c r="G363" s="562">
        <v>0.1</v>
      </c>
      <c r="H363" s="564">
        <v>2.5000000000000001E-2</v>
      </c>
    </row>
    <row r="364" spans="1:8" s="556" customFormat="1" ht="31.5" outlineLevel="2">
      <c r="A364" s="559" t="s">
        <v>1140</v>
      </c>
      <c r="B364" s="560" t="s">
        <v>1128</v>
      </c>
      <c r="C364" s="561">
        <v>0.15</v>
      </c>
      <c r="D364" s="563" t="s">
        <v>1116</v>
      </c>
      <c r="E364" s="563" t="s">
        <v>1087</v>
      </c>
      <c r="F364" s="564">
        <v>2.5000000000000001E-2</v>
      </c>
      <c r="G364" s="562">
        <v>0.1</v>
      </c>
      <c r="H364" s="564">
        <v>2.5000000000000001E-2</v>
      </c>
    </row>
    <row r="365" spans="1:8" s="556" customFormat="1" ht="15.75" customHeight="1" outlineLevel="1" collapsed="1">
      <c r="A365" s="558" t="s">
        <v>87</v>
      </c>
      <c r="B365" s="558" t="s">
        <v>1141</v>
      </c>
      <c r="C365" s="558"/>
      <c r="D365" s="558"/>
      <c r="E365" s="558"/>
      <c r="F365" s="558"/>
      <c r="G365" s="558"/>
      <c r="H365" s="564">
        <v>2.5000000000000001E-2</v>
      </c>
    </row>
    <row r="366" spans="1:8" s="556" customFormat="1" ht="31.5" outlineLevel="2">
      <c r="A366" s="559" t="s">
        <v>1142</v>
      </c>
      <c r="B366" s="560" t="s">
        <v>1141</v>
      </c>
      <c r="C366" s="561">
        <v>0.4</v>
      </c>
      <c r="D366" s="563" t="s">
        <v>1143</v>
      </c>
      <c r="E366" s="563" t="s">
        <v>1087</v>
      </c>
      <c r="F366" s="564">
        <v>2.5000000000000001E-2</v>
      </c>
      <c r="G366" s="562">
        <v>0.1</v>
      </c>
      <c r="H366" s="564">
        <v>2.5000000000000001E-2</v>
      </c>
    </row>
    <row r="367" spans="1:8" s="556" customFormat="1" ht="31.5" outlineLevel="2">
      <c r="A367" s="559" t="s">
        <v>1144</v>
      </c>
      <c r="B367" s="560" t="s">
        <v>1141</v>
      </c>
      <c r="C367" s="561">
        <v>0.4</v>
      </c>
      <c r="D367" s="563" t="s">
        <v>1143</v>
      </c>
      <c r="E367" s="563" t="s">
        <v>1087</v>
      </c>
      <c r="F367" s="564">
        <v>2.5000000000000001E-2</v>
      </c>
      <c r="G367" s="562">
        <v>0.1</v>
      </c>
      <c r="H367" s="564">
        <v>2.5000000000000001E-2</v>
      </c>
    </row>
    <row r="368" spans="1:8" s="556" customFormat="1" ht="31.5" outlineLevel="2">
      <c r="A368" s="559" t="s">
        <v>1145</v>
      </c>
      <c r="B368" s="560" t="s">
        <v>1141</v>
      </c>
      <c r="C368" s="561">
        <v>0.4</v>
      </c>
      <c r="D368" s="563" t="s">
        <v>1143</v>
      </c>
      <c r="E368" s="563" t="s">
        <v>1087</v>
      </c>
      <c r="F368" s="564">
        <v>2.5000000000000001E-2</v>
      </c>
      <c r="G368" s="562">
        <v>0.1</v>
      </c>
      <c r="H368" s="564">
        <v>2.5000000000000001E-2</v>
      </c>
    </row>
    <row r="369" spans="1:8" s="556" customFormat="1" ht="15.75" outlineLevel="1" collapsed="1">
      <c r="A369" s="558" t="s">
        <v>1146</v>
      </c>
      <c r="B369" s="558"/>
      <c r="C369" s="558"/>
      <c r="D369" s="558"/>
      <c r="E369" s="558"/>
      <c r="F369" s="558"/>
      <c r="G369" s="558"/>
      <c r="H369" s="558"/>
    </row>
    <row r="370" spans="1:8" s="556" customFormat="1" ht="15.75" outlineLevel="2">
      <c r="A370" s="559" t="s">
        <v>18</v>
      </c>
      <c r="B370" s="560" t="s">
        <v>1147</v>
      </c>
      <c r="C370" s="561"/>
      <c r="D370" s="563"/>
      <c r="E370" s="563"/>
      <c r="F370" s="562"/>
      <c r="G370" s="562"/>
      <c r="H370" s="562"/>
    </row>
    <row r="371" spans="1:8" s="556" customFormat="1" ht="74.25" customHeight="1" outlineLevel="3">
      <c r="A371" s="560" t="s">
        <v>1148</v>
      </c>
      <c r="B371" s="560" t="s">
        <v>1149</v>
      </c>
      <c r="C371" s="561">
        <v>0.1</v>
      </c>
      <c r="D371" s="563"/>
      <c r="E371" s="563" t="s">
        <v>1150</v>
      </c>
      <c r="F371" s="564">
        <v>2.5000000000000001E-2</v>
      </c>
      <c r="G371" s="562"/>
      <c r="H371" s="564">
        <v>2.5000000000000001E-2</v>
      </c>
    </row>
    <row r="372" spans="1:8" s="556" customFormat="1" ht="64.5" customHeight="1" outlineLevel="3">
      <c r="A372" s="560" t="s">
        <v>1151</v>
      </c>
      <c r="B372" s="560" t="s">
        <v>1152</v>
      </c>
      <c r="C372" s="561">
        <v>0.3</v>
      </c>
      <c r="D372" s="563"/>
      <c r="E372" s="563" t="s">
        <v>1150</v>
      </c>
      <c r="F372" s="564">
        <v>2.5000000000000001E-2</v>
      </c>
      <c r="G372" s="562"/>
      <c r="H372" s="564">
        <v>2.5000000000000001E-2</v>
      </c>
    </row>
    <row r="373" spans="1:8" s="556" customFormat="1" ht="15.75" outlineLevel="3">
      <c r="A373" s="560" t="s">
        <v>1153</v>
      </c>
      <c r="B373" s="560" t="s">
        <v>1149</v>
      </c>
      <c r="C373" s="561">
        <v>0.1</v>
      </c>
      <c r="D373" s="563"/>
      <c r="E373" s="563" t="s">
        <v>1150</v>
      </c>
      <c r="F373" s="564">
        <v>2.5000000000000001E-2</v>
      </c>
      <c r="G373" s="562"/>
      <c r="H373" s="564">
        <v>2.5000000000000001E-2</v>
      </c>
    </row>
    <row r="374" spans="1:8" s="556" customFormat="1" ht="15.75" outlineLevel="2">
      <c r="A374" s="559" t="s">
        <v>1154</v>
      </c>
      <c r="B374" s="560" t="s">
        <v>1149</v>
      </c>
      <c r="C374" s="561">
        <v>0.1</v>
      </c>
      <c r="D374" s="563"/>
      <c r="E374" s="563" t="s">
        <v>1150</v>
      </c>
      <c r="F374" s="564">
        <v>2.5000000000000001E-2</v>
      </c>
      <c r="G374" s="562"/>
      <c r="H374" s="564">
        <v>2.5000000000000001E-2</v>
      </c>
    </row>
    <row r="375" spans="1:8" s="556" customFormat="1" ht="15.75" customHeight="1" outlineLevel="2">
      <c r="A375" s="559" t="s">
        <v>1155</v>
      </c>
      <c r="B375" s="560" t="s">
        <v>1156</v>
      </c>
      <c r="C375" s="561">
        <v>0.3</v>
      </c>
      <c r="D375" s="563"/>
      <c r="E375" s="563" t="s">
        <v>1157</v>
      </c>
      <c r="F375" s="564">
        <v>2.5000000000000001E-2</v>
      </c>
      <c r="G375" s="562"/>
      <c r="H375" s="564">
        <v>2.5000000000000001E-2</v>
      </c>
    </row>
    <row r="376" spans="1:8" s="556" customFormat="1" ht="15.75" outlineLevel="3">
      <c r="A376" s="560" t="s">
        <v>1158</v>
      </c>
      <c r="B376" s="560" t="s">
        <v>1156</v>
      </c>
      <c r="C376" s="561">
        <v>0.3</v>
      </c>
      <c r="D376" s="563"/>
      <c r="E376" s="563" t="s">
        <v>1157</v>
      </c>
      <c r="F376" s="564">
        <v>2.5000000000000001E-2</v>
      </c>
      <c r="G376" s="562"/>
      <c r="H376" s="564">
        <v>2.5000000000000001E-2</v>
      </c>
    </row>
    <row r="377" spans="1:8" s="556" customFormat="1" ht="15.75" outlineLevel="3">
      <c r="A377" s="560" t="s">
        <v>1159</v>
      </c>
      <c r="B377" s="560" t="s">
        <v>1156</v>
      </c>
      <c r="C377" s="561">
        <v>0.3</v>
      </c>
      <c r="D377" s="563"/>
      <c r="E377" s="563" t="s">
        <v>1157</v>
      </c>
      <c r="F377" s="564">
        <v>2.5000000000000001E-2</v>
      </c>
      <c r="G377" s="562"/>
      <c r="H377" s="564">
        <v>2.5000000000000001E-2</v>
      </c>
    </row>
    <row r="378" spans="1:8" s="556" customFormat="1" ht="15.75" outlineLevel="3">
      <c r="A378" s="560" t="s">
        <v>1053</v>
      </c>
      <c r="B378" s="560" t="s">
        <v>1156</v>
      </c>
      <c r="C378" s="561">
        <v>0.3</v>
      </c>
      <c r="D378" s="563"/>
      <c r="E378" s="563" t="s">
        <v>1157</v>
      </c>
      <c r="F378" s="564">
        <v>2.5000000000000001E-2</v>
      </c>
      <c r="G378" s="562"/>
      <c r="H378" s="564">
        <v>2.5000000000000001E-2</v>
      </c>
    </row>
    <row r="379" spans="1:8" s="556" customFormat="1" ht="15.75" outlineLevel="2">
      <c r="A379" s="559" t="s">
        <v>1160</v>
      </c>
      <c r="B379" s="560" t="s">
        <v>1141</v>
      </c>
      <c r="C379" s="561">
        <v>0.1</v>
      </c>
      <c r="D379" s="563"/>
      <c r="E379" s="563" t="s">
        <v>1157</v>
      </c>
      <c r="F379" s="564">
        <v>2.5000000000000001E-2</v>
      </c>
      <c r="G379" s="562"/>
      <c r="H379" s="564">
        <v>2.5000000000000001E-2</v>
      </c>
    </row>
    <row r="380" spans="1:8" s="556" customFormat="1" ht="31.5" outlineLevel="2">
      <c r="A380" s="559" t="s">
        <v>1161</v>
      </c>
      <c r="B380" s="560" t="s">
        <v>1152</v>
      </c>
      <c r="C380" s="561">
        <v>0.1</v>
      </c>
      <c r="D380" s="563"/>
      <c r="E380" s="563" t="s">
        <v>1157</v>
      </c>
      <c r="F380" s="564">
        <v>2.5000000000000001E-2</v>
      </c>
      <c r="G380" s="562"/>
      <c r="H380" s="564">
        <v>2.5000000000000001E-2</v>
      </c>
    </row>
    <row r="381" spans="1:8" s="556" customFormat="1" ht="15.75" outlineLevel="2">
      <c r="A381" s="559" t="s">
        <v>512</v>
      </c>
      <c r="B381" s="560" t="s">
        <v>1149</v>
      </c>
      <c r="C381" s="561">
        <v>0.3</v>
      </c>
      <c r="D381" s="563"/>
      <c r="E381" s="563" t="s">
        <v>1157</v>
      </c>
      <c r="F381" s="564">
        <v>2.5000000000000001E-2</v>
      </c>
      <c r="G381" s="562"/>
      <c r="H381" s="564">
        <v>2.5000000000000001E-2</v>
      </c>
    </row>
    <row r="382" spans="1:8" s="556" customFormat="1" ht="15.75" outlineLevel="2">
      <c r="A382" s="559" t="s">
        <v>111</v>
      </c>
      <c r="B382" s="560" t="s">
        <v>1149</v>
      </c>
      <c r="C382" s="561">
        <v>0.1</v>
      </c>
      <c r="D382" s="563"/>
      <c r="E382" s="563" t="s">
        <v>1157</v>
      </c>
      <c r="F382" s="564">
        <v>2.5000000000000001E-2</v>
      </c>
      <c r="G382" s="562"/>
      <c r="H382" s="564">
        <v>2.5000000000000001E-2</v>
      </c>
    </row>
    <row r="383" spans="1:8" s="556" customFormat="1" ht="15.75" outlineLevel="1" collapsed="1">
      <c r="A383" s="558" t="s">
        <v>1162</v>
      </c>
      <c r="B383" s="560"/>
      <c r="C383" s="561">
        <v>0.1</v>
      </c>
      <c r="D383" s="563"/>
      <c r="E383" s="563" t="s">
        <v>1157</v>
      </c>
      <c r="F383" s="564">
        <v>2.5000000000000001E-2</v>
      </c>
      <c r="G383" s="562"/>
      <c r="H383" s="564">
        <v>2.5000000000000001E-2</v>
      </c>
    </row>
    <row r="384" spans="1:8" s="556" customFormat="1" ht="15.75" customHeight="1" outlineLevel="2">
      <c r="A384" s="559" t="s">
        <v>1163</v>
      </c>
      <c r="B384" s="560" t="s">
        <v>1156</v>
      </c>
      <c r="C384" s="561">
        <v>0.3</v>
      </c>
      <c r="D384" s="563"/>
      <c r="E384" s="563" t="s">
        <v>1157</v>
      </c>
      <c r="F384" s="564">
        <v>2.5000000000000001E-2</v>
      </c>
      <c r="G384" s="562"/>
      <c r="H384" s="564">
        <v>2.5000000000000001E-2</v>
      </c>
    </row>
    <row r="385" spans="1:8" s="556" customFormat="1" ht="15.75" outlineLevel="3">
      <c r="A385" s="560" t="s">
        <v>1164</v>
      </c>
      <c r="B385" s="560" t="s">
        <v>1156</v>
      </c>
      <c r="C385" s="561">
        <v>0.3</v>
      </c>
      <c r="D385" s="563"/>
      <c r="E385" s="563" t="s">
        <v>1157</v>
      </c>
      <c r="F385" s="564">
        <v>2.5000000000000001E-2</v>
      </c>
      <c r="G385" s="562"/>
      <c r="H385" s="564">
        <v>2.5000000000000001E-2</v>
      </c>
    </row>
    <row r="386" spans="1:8" s="556" customFormat="1" ht="15.75" outlineLevel="3">
      <c r="A386" s="560" t="s">
        <v>1158</v>
      </c>
      <c r="B386" s="560" t="s">
        <v>1156</v>
      </c>
      <c r="C386" s="561">
        <v>0.3</v>
      </c>
      <c r="D386" s="563"/>
      <c r="E386" s="563" t="s">
        <v>1157</v>
      </c>
      <c r="F386" s="564">
        <v>2.5000000000000001E-2</v>
      </c>
      <c r="G386" s="562"/>
      <c r="H386" s="564">
        <v>2.5000000000000001E-2</v>
      </c>
    </row>
    <row r="387" spans="1:8" s="556" customFormat="1" ht="15.75" outlineLevel="3">
      <c r="A387" s="560" t="s">
        <v>1159</v>
      </c>
      <c r="B387" s="560" t="s">
        <v>1156</v>
      </c>
      <c r="C387" s="561">
        <v>0.3</v>
      </c>
      <c r="D387" s="563"/>
      <c r="E387" s="563" t="s">
        <v>1157</v>
      </c>
      <c r="F387" s="564">
        <v>2.5000000000000001E-2</v>
      </c>
      <c r="G387" s="562"/>
      <c r="H387" s="564">
        <v>2.5000000000000001E-2</v>
      </c>
    </row>
    <row r="388" spans="1:8" s="556" customFormat="1" ht="15.75" outlineLevel="3">
      <c r="A388" s="560" t="s">
        <v>1053</v>
      </c>
      <c r="B388" s="560" t="s">
        <v>1156</v>
      </c>
      <c r="C388" s="561">
        <v>0.3</v>
      </c>
      <c r="D388" s="563"/>
      <c r="E388" s="563" t="s">
        <v>1157</v>
      </c>
      <c r="F388" s="564">
        <v>2.5000000000000001E-2</v>
      </c>
      <c r="G388" s="562"/>
      <c r="H388" s="564">
        <v>2.5000000000000001E-2</v>
      </c>
    </row>
    <row r="389" spans="1:8" s="556" customFormat="1" ht="15.75" outlineLevel="3">
      <c r="A389" s="560" t="s">
        <v>1165</v>
      </c>
      <c r="B389" s="560" t="s">
        <v>1156</v>
      </c>
      <c r="C389" s="561">
        <v>0.3</v>
      </c>
      <c r="D389" s="563"/>
      <c r="E389" s="563" t="s">
        <v>1157</v>
      </c>
      <c r="F389" s="564">
        <v>2.5000000000000001E-2</v>
      </c>
      <c r="G389" s="562"/>
      <c r="H389" s="564">
        <v>2.5000000000000001E-2</v>
      </c>
    </row>
    <row r="390" spans="1:8" s="556" customFormat="1" ht="15.75" outlineLevel="3">
      <c r="A390" s="560" t="s">
        <v>1166</v>
      </c>
      <c r="B390" s="560" t="s">
        <v>1156</v>
      </c>
      <c r="C390" s="561">
        <v>0.3</v>
      </c>
      <c r="D390" s="563"/>
      <c r="E390" s="563" t="s">
        <v>1157</v>
      </c>
      <c r="F390" s="564">
        <v>2.5000000000000001E-2</v>
      </c>
      <c r="G390" s="562"/>
      <c r="H390" s="564">
        <v>2.5000000000000001E-2</v>
      </c>
    </row>
    <row r="391" spans="1:8" s="556" customFormat="1" ht="15.75" outlineLevel="3">
      <c r="A391" s="560" t="s">
        <v>1167</v>
      </c>
      <c r="B391" s="560" t="s">
        <v>1156</v>
      </c>
      <c r="C391" s="561">
        <v>0.3</v>
      </c>
      <c r="D391" s="563"/>
      <c r="E391" s="563" t="s">
        <v>1157</v>
      </c>
      <c r="F391" s="564">
        <v>2.5000000000000001E-2</v>
      </c>
      <c r="G391" s="562"/>
      <c r="H391" s="564">
        <v>2.5000000000000001E-2</v>
      </c>
    </row>
    <row r="392" spans="1:8" s="556" customFormat="1" ht="15.75" outlineLevel="3">
      <c r="A392" s="560" t="s">
        <v>1168</v>
      </c>
      <c r="B392" s="560" t="s">
        <v>1156</v>
      </c>
      <c r="C392" s="561">
        <v>0.3</v>
      </c>
      <c r="D392" s="563"/>
      <c r="E392" s="563" t="s">
        <v>1157</v>
      </c>
      <c r="F392" s="564">
        <v>2.5000000000000001E-2</v>
      </c>
      <c r="G392" s="562"/>
      <c r="H392" s="564">
        <v>2.5000000000000001E-2</v>
      </c>
    </row>
    <row r="393" spans="1:8" s="556" customFormat="1" ht="15.75" outlineLevel="3">
      <c r="A393" s="560" t="s">
        <v>1169</v>
      </c>
      <c r="B393" s="560" t="s">
        <v>1156</v>
      </c>
      <c r="C393" s="561">
        <v>0.3</v>
      </c>
      <c r="D393" s="563"/>
      <c r="E393" s="563" t="s">
        <v>1157</v>
      </c>
      <c r="F393" s="564">
        <v>2.5000000000000001E-2</v>
      </c>
      <c r="G393" s="562"/>
      <c r="H393" s="564">
        <v>2.5000000000000001E-2</v>
      </c>
    </row>
    <row r="394" spans="1:8" s="556" customFormat="1" ht="15.75" outlineLevel="2">
      <c r="A394" s="559" t="s">
        <v>1170</v>
      </c>
      <c r="B394" s="560" t="s">
        <v>1156</v>
      </c>
      <c r="C394" s="561">
        <v>0.3</v>
      </c>
      <c r="D394" s="563"/>
      <c r="E394" s="563" t="s">
        <v>1157</v>
      </c>
      <c r="F394" s="564">
        <v>2.5000000000000001E-2</v>
      </c>
      <c r="G394" s="562"/>
      <c r="H394" s="564">
        <v>2.5000000000000001E-2</v>
      </c>
    </row>
    <row r="395" spans="1:8" s="556" customFormat="1" ht="15.75" outlineLevel="3">
      <c r="A395" s="560" t="s">
        <v>1158</v>
      </c>
      <c r="B395" s="560" t="s">
        <v>1156</v>
      </c>
      <c r="C395" s="561">
        <v>0.3</v>
      </c>
      <c r="D395" s="563"/>
      <c r="E395" s="563" t="s">
        <v>1157</v>
      </c>
      <c r="F395" s="564">
        <v>2.5000000000000001E-2</v>
      </c>
      <c r="G395" s="562"/>
      <c r="H395" s="564">
        <v>2.5000000000000001E-2</v>
      </c>
    </row>
    <row r="396" spans="1:8" s="556" customFormat="1" ht="15.75" outlineLevel="3">
      <c r="A396" s="560" t="s">
        <v>1159</v>
      </c>
      <c r="B396" s="560" t="s">
        <v>1156</v>
      </c>
      <c r="C396" s="561">
        <v>0.3</v>
      </c>
      <c r="D396" s="563"/>
      <c r="E396" s="563" t="s">
        <v>1157</v>
      </c>
      <c r="F396" s="564">
        <v>2.5000000000000001E-2</v>
      </c>
      <c r="G396" s="562"/>
      <c r="H396" s="564">
        <v>2.5000000000000001E-2</v>
      </c>
    </row>
    <row r="397" spans="1:8" s="556" customFormat="1" ht="15.75" outlineLevel="3">
      <c r="A397" s="560" t="s">
        <v>1053</v>
      </c>
      <c r="B397" s="560" t="s">
        <v>1156</v>
      </c>
      <c r="C397" s="561">
        <v>0.3</v>
      </c>
      <c r="D397" s="563"/>
      <c r="E397" s="563" t="s">
        <v>1157</v>
      </c>
      <c r="F397" s="564">
        <v>2.5000000000000001E-2</v>
      </c>
      <c r="G397" s="562"/>
      <c r="H397" s="564">
        <v>2.5000000000000001E-2</v>
      </c>
    </row>
    <row r="398" spans="1:8" s="556" customFormat="1" ht="15.75" outlineLevel="3">
      <c r="A398" s="560" t="s">
        <v>1169</v>
      </c>
      <c r="B398" s="560" t="s">
        <v>1156</v>
      </c>
      <c r="C398" s="561">
        <v>0.3</v>
      </c>
      <c r="D398" s="563"/>
      <c r="E398" s="563" t="s">
        <v>1157</v>
      </c>
      <c r="F398" s="564">
        <v>2.5000000000000001E-2</v>
      </c>
      <c r="G398" s="562"/>
      <c r="H398" s="564">
        <v>2.5000000000000001E-2</v>
      </c>
    </row>
    <row r="399" spans="1:8" s="556" customFormat="1" ht="15.75" outlineLevel="2">
      <c r="A399" s="559" t="s">
        <v>1160</v>
      </c>
      <c r="B399" s="560" t="s">
        <v>1149</v>
      </c>
      <c r="C399" s="561">
        <v>0.1</v>
      </c>
      <c r="D399" s="563"/>
      <c r="E399" s="563" t="s">
        <v>1157</v>
      </c>
      <c r="F399" s="564">
        <v>2.5000000000000001E-2</v>
      </c>
      <c r="G399" s="562"/>
      <c r="H399" s="564">
        <v>2.5000000000000001E-2</v>
      </c>
    </row>
    <row r="400" spans="1:8" s="556" customFormat="1" ht="15.75" outlineLevel="2">
      <c r="A400" s="559" t="s">
        <v>347</v>
      </c>
      <c r="B400" s="560" t="s">
        <v>1149</v>
      </c>
      <c r="C400" s="561">
        <v>0.1</v>
      </c>
      <c r="D400" s="563"/>
      <c r="E400" s="563" t="s">
        <v>1157</v>
      </c>
      <c r="F400" s="564">
        <v>2.5000000000000001E-2</v>
      </c>
      <c r="G400" s="562"/>
      <c r="H400" s="564">
        <v>2.5000000000000001E-2</v>
      </c>
    </row>
    <row r="401" spans="1:8" s="556" customFormat="1" ht="13.5" customHeight="1" outlineLevel="2">
      <c r="A401" s="559" t="s">
        <v>348</v>
      </c>
      <c r="B401" s="560" t="s">
        <v>1156</v>
      </c>
      <c r="C401" s="561">
        <v>0.3</v>
      </c>
      <c r="D401" s="563"/>
      <c r="E401" s="563" t="s">
        <v>1157</v>
      </c>
      <c r="F401" s="564">
        <v>2.5000000000000001E-2</v>
      </c>
      <c r="G401" s="562"/>
      <c r="H401" s="564">
        <v>2.5000000000000001E-2</v>
      </c>
    </row>
    <row r="402" spans="1:8" s="556" customFormat="1" ht="15.75" outlineLevel="2" collapsed="1">
      <c r="A402" s="559" t="s">
        <v>1171</v>
      </c>
      <c r="B402" s="560" t="s">
        <v>1156</v>
      </c>
      <c r="C402" s="561">
        <v>0.1</v>
      </c>
      <c r="D402" s="563"/>
      <c r="E402" s="563" t="s">
        <v>1157</v>
      </c>
      <c r="F402" s="564">
        <v>2.5000000000000001E-2</v>
      </c>
      <c r="G402" s="562"/>
      <c r="H402" s="564">
        <v>2.5000000000000001E-2</v>
      </c>
    </row>
    <row r="403" spans="1:8" s="556" customFormat="1" ht="15.75" outlineLevel="2">
      <c r="A403" s="559" t="s">
        <v>111</v>
      </c>
      <c r="B403" s="560" t="s">
        <v>1149</v>
      </c>
      <c r="C403" s="561">
        <v>0.1</v>
      </c>
      <c r="D403" s="563"/>
      <c r="E403" s="563" t="s">
        <v>1157</v>
      </c>
      <c r="F403" s="564">
        <v>2.5000000000000001E-2</v>
      </c>
      <c r="G403" s="562"/>
      <c r="H403" s="564">
        <v>2.5000000000000001E-2</v>
      </c>
    </row>
    <row r="404" spans="1:8" s="556" customFormat="1" ht="15.75" outlineLevel="1" collapsed="1">
      <c r="A404" s="558" t="s">
        <v>1172</v>
      </c>
      <c r="B404" s="558" t="s">
        <v>1173</v>
      </c>
      <c r="C404" s="558"/>
      <c r="D404" s="558"/>
      <c r="E404" s="558"/>
      <c r="F404" s="558"/>
      <c r="G404" s="558"/>
      <c r="H404" s="558"/>
    </row>
    <row r="405" spans="1:8" s="556" customFormat="1" ht="15.75" outlineLevel="2">
      <c r="A405" s="570" t="s">
        <v>1174</v>
      </c>
      <c r="B405" s="560" t="s">
        <v>1173</v>
      </c>
      <c r="C405" s="561">
        <v>0.7</v>
      </c>
      <c r="D405" s="563"/>
      <c r="E405" s="563" t="s">
        <v>1157</v>
      </c>
      <c r="F405" s="564">
        <v>2.5000000000000001E-2</v>
      </c>
      <c r="G405" s="562"/>
      <c r="H405" s="564">
        <v>2.5000000000000001E-2</v>
      </c>
    </row>
    <row r="406" spans="1:8" s="556" customFormat="1" ht="15.75" outlineLevel="2">
      <c r="A406" s="559" t="s">
        <v>1175</v>
      </c>
      <c r="B406" s="560" t="s">
        <v>1173</v>
      </c>
      <c r="C406" s="561">
        <v>0.7</v>
      </c>
      <c r="D406" s="563"/>
      <c r="E406" s="563" t="s">
        <v>1157</v>
      </c>
      <c r="F406" s="564">
        <v>2.5000000000000001E-2</v>
      </c>
      <c r="G406" s="562"/>
      <c r="H406" s="564">
        <v>2.5000000000000001E-2</v>
      </c>
    </row>
    <row r="407" spans="1:8" s="556" customFormat="1" ht="15.75" outlineLevel="3">
      <c r="A407" s="559" t="s">
        <v>1176</v>
      </c>
      <c r="B407" s="560" t="s">
        <v>1173</v>
      </c>
      <c r="C407" s="561">
        <v>0.7</v>
      </c>
      <c r="D407" s="563"/>
      <c r="E407" s="563" t="s">
        <v>1157</v>
      </c>
      <c r="F407" s="564">
        <v>2.5000000000000001E-2</v>
      </c>
      <c r="G407" s="562"/>
      <c r="H407" s="564">
        <v>2.5000000000000001E-2</v>
      </c>
    </row>
    <row r="408" spans="1:8" s="556" customFormat="1" ht="15.75" outlineLevel="2">
      <c r="A408" s="559" t="s">
        <v>1177</v>
      </c>
      <c r="B408" s="560" t="s">
        <v>1173</v>
      </c>
      <c r="C408" s="561">
        <v>0.7</v>
      </c>
      <c r="D408" s="563"/>
      <c r="E408" s="563" t="s">
        <v>1157</v>
      </c>
      <c r="F408" s="564">
        <v>2.5000000000000001E-2</v>
      </c>
      <c r="G408" s="562"/>
      <c r="H408" s="564">
        <v>2.5000000000000001E-2</v>
      </c>
    </row>
    <row r="409" spans="1:8" s="556" customFormat="1" ht="15.75" outlineLevel="2">
      <c r="A409" s="559" t="s">
        <v>1178</v>
      </c>
      <c r="B409" s="560" t="s">
        <v>1173</v>
      </c>
      <c r="C409" s="561">
        <v>0.7</v>
      </c>
      <c r="D409" s="563"/>
      <c r="E409" s="563" t="s">
        <v>1157</v>
      </c>
      <c r="F409" s="564">
        <v>2.5000000000000001E-2</v>
      </c>
      <c r="G409" s="562"/>
      <c r="H409" s="564">
        <v>2.5000000000000001E-2</v>
      </c>
    </row>
    <row r="410" spans="1:8" s="556" customFormat="1" ht="15.75" outlineLevel="3" collapsed="1">
      <c r="A410" s="559" t="s">
        <v>1176</v>
      </c>
      <c r="B410" s="560" t="s">
        <v>1173</v>
      </c>
      <c r="C410" s="561">
        <v>0.7</v>
      </c>
      <c r="D410" s="563"/>
      <c r="E410" s="563" t="s">
        <v>1157</v>
      </c>
      <c r="F410" s="564">
        <v>2.5000000000000001E-2</v>
      </c>
      <c r="G410" s="562"/>
      <c r="H410" s="564">
        <v>2.5000000000000001E-2</v>
      </c>
    </row>
    <row r="411" spans="1:8" s="556" customFormat="1" ht="15.75" outlineLevel="2">
      <c r="A411" s="559" t="s">
        <v>1179</v>
      </c>
      <c r="B411" s="560" t="s">
        <v>1173</v>
      </c>
      <c r="C411" s="561">
        <v>0.7</v>
      </c>
      <c r="D411" s="563"/>
      <c r="E411" s="563" t="s">
        <v>1157</v>
      </c>
      <c r="F411" s="564">
        <v>2.5000000000000001E-2</v>
      </c>
      <c r="G411" s="562"/>
      <c r="H411" s="564">
        <v>2.5000000000000001E-2</v>
      </c>
    </row>
    <row r="412" spans="1:8" s="556" customFormat="1" ht="15.75" outlineLevel="3">
      <c r="A412" s="559" t="s">
        <v>1176</v>
      </c>
      <c r="B412" s="560" t="s">
        <v>1173</v>
      </c>
      <c r="C412" s="561">
        <v>0.7</v>
      </c>
      <c r="D412" s="563"/>
      <c r="E412" s="563" t="s">
        <v>1157</v>
      </c>
      <c r="F412" s="564">
        <v>2.5000000000000001E-2</v>
      </c>
      <c r="G412" s="562"/>
      <c r="H412" s="564">
        <v>2.5000000000000001E-2</v>
      </c>
    </row>
    <row r="413" spans="1:8" s="556" customFormat="1" ht="15.75" outlineLevel="1" collapsed="1">
      <c r="A413" s="558" t="s">
        <v>1180</v>
      </c>
      <c r="B413" s="558"/>
      <c r="C413" s="558"/>
      <c r="D413" s="558"/>
      <c r="E413" s="558"/>
      <c r="F413" s="558"/>
      <c r="G413" s="558"/>
      <c r="H413" s="558"/>
    </row>
    <row r="414" spans="1:8" s="556" customFormat="1" ht="15.75" outlineLevel="2">
      <c r="A414" s="559" t="s">
        <v>1181</v>
      </c>
      <c r="B414" s="560" t="s">
        <v>1182</v>
      </c>
      <c r="C414" s="561">
        <v>0.1</v>
      </c>
      <c r="D414" s="563"/>
      <c r="E414" s="563" t="s">
        <v>1150</v>
      </c>
      <c r="F414" s="564">
        <v>2.5000000000000001E-2</v>
      </c>
      <c r="G414" s="562"/>
      <c r="H414" s="564">
        <v>2.5000000000000001E-2</v>
      </c>
    </row>
    <row r="415" spans="1:8" s="556" customFormat="1" ht="15.75" outlineLevel="2">
      <c r="A415" s="559" t="s">
        <v>1183</v>
      </c>
      <c r="B415" s="560" t="s">
        <v>1184</v>
      </c>
      <c r="C415" s="561">
        <v>0.1</v>
      </c>
      <c r="D415" s="563"/>
      <c r="E415" s="563" t="s">
        <v>1150</v>
      </c>
      <c r="F415" s="564">
        <v>2.5000000000000001E-2</v>
      </c>
      <c r="G415" s="562"/>
      <c r="H415" s="564">
        <v>2.5000000000000001E-2</v>
      </c>
    </row>
    <row r="416" spans="1:8" s="556" customFormat="1" ht="15.75" outlineLevel="2">
      <c r="A416" s="559" t="s">
        <v>1185</v>
      </c>
      <c r="B416" s="560" t="s">
        <v>1182</v>
      </c>
      <c r="C416" s="561"/>
      <c r="D416" s="563"/>
      <c r="E416" s="563"/>
      <c r="F416" s="562"/>
      <c r="G416" s="562"/>
      <c r="H416" s="562"/>
    </row>
    <row r="417" spans="1:8" s="556" customFormat="1" ht="15.75" outlineLevel="2">
      <c r="A417" s="559" t="s">
        <v>1186</v>
      </c>
      <c r="B417" s="560" t="s">
        <v>1184</v>
      </c>
      <c r="C417" s="561"/>
      <c r="D417" s="563"/>
      <c r="E417" s="563"/>
      <c r="F417" s="562"/>
      <c r="G417" s="562"/>
      <c r="H417" s="562"/>
    </row>
    <row r="418" spans="1:8" s="556" customFormat="1" ht="15.75" outlineLevel="2">
      <c r="A418" s="559" t="s">
        <v>1187</v>
      </c>
      <c r="B418" s="560" t="s">
        <v>1182</v>
      </c>
      <c r="C418" s="561"/>
      <c r="D418" s="563"/>
      <c r="E418" s="563"/>
      <c r="F418" s="562"/>
      <c r="G418" s="562"/>
      <c r="H418" s="562"/>
    </row>
    <row r="419" spans="1:8" s="556" customFormat="1" ht="15.75" outlineLevel="2">
      <c r="A419" s="559" t="s">
        <v>1188</v>
      </c>
      <c r="B419" s="560" t="s">
        <v>1184</v>
      </c>
      <c r="C419" s="561"/>
      <c r="D419" s="563"/>
      <c r="E419" s="563"/>
      <c r="F419" s="562"/>
      <c r="G419" s="562"/>
      <c r="H419" s="562"/>
    </row>
    <row r="420" spans="1:8" s="556" customFormat="1" ht="15.75" outlineLevel="2">
      <c r="A420" s="559" t="s">
        <v>1189</v>
      </c>
      <c r="B420" s="560" t="s">
        <v>1182</v>
      </c>
      <c r="C420" s="561">
        <v>0.1</v>
      </c>
      <c r="D420" s="563"/>
      <c r="E420" s="563" t="s">
        <v>1150</v>
      </c>
      <c r="F420" s="564">
        <v>2.5000000000000001E-2</v>
      </c>
      <c r="G420" s="562"/>
      <c r="H420" s="564">
        <v>2.5000000000000001E-2</v>
      </c>
    </row>
    <row r="421" spans="1:8" s="556" customFormat="1" ht="15.75" outlineLevel="2">
      <c r="A421" s="559" t="s">
        <v>1190</v>
      </c>
      <c r="B421" s="560" t="s">
        <v>1184</v>
      </c>
      <c r="C421" s="561">
        <v>0.1</v>
      </c>
      <c r="D421" s="563"/>
      <c r="E421" s="563" t="s">
        <v>1150</v>
      </c>
      <c r="F421" s="564">
        <v>2.5000000000000001E-2</v>
      </c>
      <c r="G421" s="562"/>
      <c r="H421" s="564">
        <v>2.5000000000000001E-2</v>
      </c>
    </row>
    <row r="422" spans="1:8" s="556" customFormat="1" ht="15.75" outlineLevel="2">
      <c r="A422" s="559" t="s">
        <v>102</v>
      </c>
      <c r="B422" s="560" t="s">
        <v>1182</v>
      </c>
      <c r="C422" s="561">
        <v>0.1</v>
      </c>
      <c r="D422" s="563"/>
      <c r="E422" s="563" t="s">
        <v>1150</v>
      </c>
      <c r="F422" s="564">
        <v>2.5000000000000001E-2</v>
      </c>
      <c r="G422" s="562"/>
      <c r="H422" s="564">
        <v>2.5000000000000001E-2</v>
      </c>
    </row>
    <row r="423" spans="1:8" s="556" customFormat="1" ht="15.75" outlineLevel="2">
      <c r="A423" s="559" t="s">
        <v>1191</v>
      </c>
      <c r="B423" s="560" t="s">
        <v>1184</v>
      </c>
      <c r="C423" s="561">
        <v>0.1</v>
      </c>
      <c r="D423" s="563"/>
      <c r="E423" s="563" t="s">
        <v>1150</v>
      </c>
      <c r="F423" s="564">
        <v>2.5000000000000001E-2</v>
      </c>
      <c r="G423" s="562"/>
      <c r="H423" s="564">
        <v>2.5000000000000001E-2</v>
      </c>
    </row>
    <row r="424" spans="1:8" s="556" customFormat="1" ht="15.75" outlineLevel="2">
      <c r="A424" s="559" t="s">
        <v>104</v>
      </c>
      <c r="B424" s="560" t="s">
        <v>1182</v>
      </c>
      <c r="C424" s="561">
        <v>0.1</v>
      </c>
      <c r="D424" s="563"/>
      <c r="E424" s="563" t="s">
        <v>1150</v>
      </c>
      <c r="F424" s="564">
        <v>2.5000000000000001E-2</v>
      </c>
      <c r="G424" s="562"/>
      <c r="H424" s="564">
        <v>2.5000000000000001E-2</v>
      </c>
    </row>
    <row r="425" spans="1:8" s="556" customFormat="1" ht="15.75" outlineLevel="2">
      <c r="A425" s="559" t="s">
        <v>1192</v>
      </c>
      <c r="B425" s="560" t="s">
        <v>1184</v>
      </c>
      <c r="C425" s="561">
        <v>0.1</v>
      </c>
      <c r="D425" s="563"/>
      <c r="E425" s="563" t="s">
        <v>1150</v>
      </c>
      <c r="F425" s="564">
        <v>2.5000000000000001E-2</v>
      </c>
      <c r="G425" s="562"/>
      <c r="H425" s="564">
        <v>2.5000000000000001E-2</v>
      </c>
    </row>
    <row r="426" spans="1:8" s="556" customFormat="1" ht="15.75" outlineLevel="2">
      <c r="A426" s="559" t="s">
        <v>105</v>
      </c>
      <c r="B426" s="560" t="s">
        <v>1182</v>
      </c>
      <c r="C426" s="561">
        <v>0.1</v>
      </c>
      <c r="D426" s="563"/>
      <c r="E426" s="563" t="s">
        <v>1150</v>
      </c>
      <c r="F426" s="564">
        <v>2.5000000000000001E-2</v>
      </c>
      <c r="G426" s="562"/>
      <c r="H426" s="564">
        <v>2.5000000000000001E-2</v>
      </c>
    </row>
    <row r="427" spans="1:8" s="556" customFormat="1" ht="15.75" outlineLevel="2">
      <c r="A427" s="559" t="s">
        <v>1193</v>
      </c>
      <c r="B427" s="560" t="s">
        <v>1184</v>
      </c>
      <c r="C427" s="561">
        <v>0.1</v>
      </c>
      <c r="D427" s="563"/>
      <c r="E427" s="563" t="s">
        <v>1150</v>
      </c>
      <c r="F427" s="564">
        <v>2.5000000000000001E-2</v>
      </c>
      <c r="G427" s="562"/>
      <c r="H427" s="564">
        <v>2.5000000000000001E-2</v>
      </c>
    </row>
    <row r="428" spans="1:8" s="556" customFormat="1" ht="15.75" outlineLevel="2">
      <c r="A428" s="559" t="s">
        <v>106</v>
      </c>
      <c r="B428" s="560" t="s">
        <v>1182</v>
      </c>
      <c r="C428" s="561">
        <v>0.1</v>
      </c>
      <c r="D428" s="563"/>
      <c r="E428" s="563" t="s">
        <v>1150</v>
      </c>
      <c r="F428" s="564">
        <v>2.5000000000000001E-2</v>
      </c>
      <c r="G428" s="562"/>
      <c r="H428" s="564">
        <v>2.5000000000000001E-2</v>
      </c>
    </row>
    <row r="429" spans="1:8" s="556" customFormat="1" ht="15.75" outlineLevel="2">
      <c r="A429" s="559" t="s">
        <v>1194</v>
      </c>
      <c r="B429" s="560" t="s">
        <v>1184</v>
      </c>
      <c r="C429" s="561">
        <v>0.1</v>
      </c>
      <c r="D429" s="563"/>
      <c r="E429" s="563" t="s">
        <v>1150</v>
      </c>
      <c r="F429" s="564">
        <v>2.5000000000000001E-2</v>
      </c>
      <c r="G429" s="562"/>
      <c r="H429" s="564">
        <v>2.5000000000000001E-2</v>
      </c>
    </row>
    <row r="430" spans="1:8" s="556" customFormat="1" ht="15.75" outlineLevel="3">
      <c r="A430" s="559" t="s">
        <v>1195</v>
      </c>
      <c r="B430" s="560" t="s">
        <v>1182</v>
      </c>
      <c r="C430" s="561">
        <v>0.1</v>
      </c>
      <c r="D430" s="563"/>
      <c r="E430" s="563" t="s">
        <v>1150</v>
      </c>
      <c r="F430" s="564">
        <v>2.5000000000000001E-2</v>
      </c>
      <c r="G430" s="562"/>
      <c r="H430" s="564">
        <v>2.5000000000000001E-2</v>
      </c>
    </row>
    <row r="431" spans="1:8" s="556" customFormat="1" ht="15.75" outlineLevel="2">
      <c r="A431" s="559" t="s">
        <v>108</v>
      </c>
      <c r="B431" s="560" t="s">
        <v>1182</v>
      </c>
      <c r="C431" s="561">
        <v>0.1</v>
      </c>
      <c r="D431" s="563"/>
      <c r="E431" s="563" t="s">
        <v>1150</v>
      </c>
      <c r="F431" s="564">
        <v>2.5000000000000001E-2</v>
      </c>
      <c r="G431" s="562"/>
      <c r="H431" s="564">
        <v>2.5000000000000001E-2</v>
      </c>
    </row>
    <row r="432" spans="1:8" s="556" customFormat="1" ht="15.75" outlineLevel="2">
      <c r="A432" s="559" t="s">
        <v>1196</v>
      </c>
      <c r="B432" s="560" t="s">
        <v>1184</v>
      </c>
      <c r="C432" s="561">
        <v>0.1</v>
      </c>
      <c r="D432" s="563"/>
      <c r="E432" s="563" t="s">
        <v>1150</v>
      </c>
      <c r="F432" s="564">
        <v>2.5000000000000001E-2</v>
      </c>
      <c r="G432" s="562"/>
      <c r="H432" s="564">
        <v>2.5000000000000001E-2</v>
      </c>
    </row>
    <row r="433" spans="1:8" s="556" customFormat="1" ht="15.75" outlineLevel="1" collapsed="1">
      <c r="A433" s="558" t="s">
        <v>19</v>
      </c>
      <c r="B433" s="558" t="s">
        <v>1197</v>
      </c>
      <c r="C433" s="561">
        <v>0.15</v>
      </c>
      <c r="D433" s="563"/>
      <c r="E433" s="563" t="s">
        <v>1198</v>
      </c>
      <c r="F433" s="564">
        <v>2.5000000000000001E-2</v>
      </c>
      <c r="G433" s="562"/>
      <c r="H433" s="564">
        <v>2.5000000000000001E-2</v>
      </c>
    </row>
    <row r="434" spans="1:8" s="556" customFormat="1" ht="15.75" outlineLevel="1">
      <c r="A434" s="559" t="s">
        <v>1199</v>
      </c>
      <c r="B434" s="560" t="s">
        <v>1197</v>
      </c>
      <c r="C434" s="561">
        <v>0.15</v>
      </c>
      <c r="D434" s="563"/>
      <c r="E434" s="563" t="s">
        <v>1198</v>
      </c>
      <c r="F434" s="564">
        <v>2.5000000000000001E-2</v>
      </c>
      <c r="G434" s="562"/>
      <c r="H434" s="564">
        <v>2.5000000000000001E-2</v>
      </c>
    </row>
    <row r="435" spans="1:8" s="556" customFormat="1" ht="15.75" outlineLevel="2">
      <c r="A435" s="559" t="s">
        <v>1200</v>
      </c>
      <c r="B435" s="560" t="s">
        <v>1197</v>
      </c>
      <c r="C435" s="561">
        <v>0.15</v>
      </c>
      <c r="D435" s="563"/>
      <c r="E435" s="563" t="s">
        <v>1198</v>
      </c>
      <c r="F435" s="564">
        <v>2.5000000000000001E-2</v>
      </c>
      <c r="G435" s="562"/>
      <c r="H435" s="564">
        <v>2.5000000000000001E-2</v>
      </c>
    </row>
    <row r="436" spans="1:8" s="556" customFormat="1" ht="15.75" outlineLevel="2">
      <c r="A436" s="559" t="s">
        <v>110</v>
      </c>
      <c r="B436" s="560" t="s">
        <v>1197</v>
      </c>
      <c r="C436" s="561">
        <v>0.15</v>
      </c>
      <c r="D436" s="563"/>
      <c r="E436" s="563" t="s">
        <v>1198</v>
      </c>
      <c r="F436" s="564">
        <v>2.5000000000000001E-2</v>
      </c>
      <c r="G436" s="562"/>
      <c r="H436" s="564">
        <v>2.5000000000000001E-2</v>
      </c>
    </row>
    <row r="437" spans="1:8" s="556" customFormat="1" ht="15.75" customHeight="1" outlineLevel="2">
      <c r="A437" s="559" t="s">
        <v>350</v>
      </c>
      <c r="B437" s="560" t="s">
        <v>1197</v>
      </c>
      <c r="C437" s="561">
        <v>0.15</v>
      </c>
      <c r="D437" s="563"/>
      <c r="E437" s="563" t="s">
        <v>1198</v>
      </c>
      <c r="F437" s="564">
        <v>2.5000000000000001E-2</v>
      </c>
      <c r="G437" s="562"/>
      <c r="H437" s="564">
        <v>2.5000000000000001E-2</v>
      </c>
    </row>
    <row r="438" spans="1:8" s="556" customFormat="1" ht="15.75" outlineLevel="3">
      <c r="A438" s="560" t="s">
        <v>1201</v>
      </c>
      <c r="B438" s="560" t="s">
        <v>1197</v>
      </c>
      <c r="C438" s="561">
        <v>0.15</v>
      </c>
      <c r="D438" s="563"/>
      <c r="E438" s="563" t="s">
        <v>1198</v>
      </c>
      <c r="F438" s="564">
        <v>2.5000000000000001E-2</v>
      </c>
      <c r="G438" s="562"/>
      <c r="H438" s="564">
        <v>2.5000000000000001E-2</v>
      </c>
    </row>
    <row r="439" spans="1:8" s="556" customFormat="1" ht="15.75" outlineLevel="3">
      <c r="A439" s="560" t="s">
        <v>1202</v>
      </c>
      <c r="B439" s="560" t="s">
        <v>1197</v>
      </c>
      <c r="C439" s="561">
        <v>0.15</v>
      </c>
      <c r="D439" s="563"/>
      <c r="E439" s="563" t="s">
        <v>1198</v>
      </c>
      <c r="F439" s="564">
        <v>2.5000000000000001E-2</v>
      </c>
      <c r="G439" s="562"/>
      <c r="H439" s="564">
        <v>2.5000000000000001E-2</v>
      </c>
    </row>
    <row r="440" spans="1:8" s="556" customFormat="1" ht="15.75" outlineLevel="3">
      <c r="A440" s="560" t="s">
        <v>1203</v>
      </c>
      <c r="B440" s="560" t="s">
        <v>1197</v>
      </c>
      <c r="C440" s="561">
        <v>0.15</v>
      </c>
      <c r="D440" s="563"/>
      <c r="E440" s="563" t="s">
        <v>1198</v>
      </c>
      <c r="F440" s="564">
        <v>2.5000000000000001E-2</v>
      </c>
      <c r="G440" s="562"/>
      <c r="H440" s="564">
        <v>2.5000000000000001E-2</v>
      </c>
    </row>
    <row r="441" spans="1:8" s="556" customFormat="1" ht="15.75" outlineLevel="2">
      <c r="A441" s="559" t="s">
        <v>1204</v>
      </c>
      <c r="B441" s="560" t="s">
        <v>1197</v>
      </c>
      <c r="C441" s="561">
        <v>0.15</v>
      </c>
      <c r="D441" s="563"/>
      <c r="E441" s="563" t="s">
        <v>1198</v>
      </c>
      <c r="F441" s="564">
        <v>2.5000000000000001E-2</v>
      </c>
      <c r="G441" s="562"/>
      <c r="H441" s="564">
        <v>2.5000000000000001E-2</v>
      </c>
    </row>
    <row r="442" spans="1:8" s="556" customFormat="1" ht="15.75" outlineLevel="2">
      <c r="A442" s="559" t="s">
        <v>1205</v>
      </c>
      <c r="B442" s="560" t="s">
        <v>1197</v>
      </c>
      <c r="C442" s="561">
        <v>0.15</v>
      </c>
      <c r="D442" s="563"/>
      <c r="E442" s="563" t="s">
        <v>1198</v>
      </c>
      <c r="F442" s="564">
        <v>2.5000000000000001E-2</v>
      </c>
      <c r="G442" s="562"/>
      <c r="H442" s="564">
        <v>2.5000000000000001E-2</v>
      </c>
    </row>
    <row r="443" spans="1:8" s="556" customFormat="1" ht="15.75" outlineLevel="2">
      <c r="A443" s="559" t="s">
        <v>1206</v>
      </c>
      <c r="B443" s="560" t="s">
        <v>1197</v>
      </c>
      <c r="C443" s="561">
        <v>0.15</v>
      </c>
      <c r="D443" s="563"/>
      <c r="E443" s="563" t="s">
        <v>1198</v>
      </c>
      <c r="F443" s="564">
        <v>2.5000000000000001E-2</v>
      </c>
      <c r="G443" s="562"/>
      <c r="H443" s="564">
        <v>2.5000000000000001E-2</v>
      </c>
    </row>
    <row r="444" spans="1:8" s="556" customFormat="1" ht="15.75" outlineLevel="2">
      <c r="A444" s="559" t="s">
        <v>1207</v>
      </c>
      <c r="B444" s="560" t="s">
        <v>1197</v>
      </c>
      <c r="C444" s="561">
        <v>0.15</v>
      </c>
      <c r="D444" s="563"/>
      <c r="E444" s="563" t="s">
        <v>1198</v>
      </c>
      <c r="F444" s="564">
        <v>2.5000000000000001E-2</v>
      </c>
      <c r="G444" s="562"/>
      <c r="H444" s="564">
        <v>2.5000000000000001E-2</v>
      </c>
    </row>
    <row r="445" spans="1:8" s="556" customFormat="1" ht="42" customHeight="1" outlineLevel="2">
      <c r="A445" s="559" t="s">
        <v>1203</v>
      </c>
      <c r="B445" s="560"/>
      <c r="C445" s="561">
        <v>0.3</v>
      </c>
      <c r="D445" s="563" t="s">
        <v>1208</v>
      </c>
      <c r="E445" s="563" t="s">
        <v>1209</v>
      </c>
      <c r="F445" s="564">
        <v>2.5000000000000001E-2</v>
      </c>
      <c r="G445" s="562"/>
      <c r="H445" s="564">
        <v>2.5000000000000001E-2</v>
      </c>
    </row>
    <row r="446" spans="1:8" s="556" customFormat="1" ht="31.5" outlineLevel="3">
      <c r="A446" s="560" t="s">
        <v>1210</v>
      </c>
      <c r="B446" s="560" t="s">
        <v>1211</v>
      </c>
      <c r="C446" s="561">
        <v>0.3</v>
      </c>
      <c r="D446" s="563" t="s">
        <v>1208</v>
      </c>
      <c r="E446" s="563" t="s">
        <v>1209</v>
      </c>
      <c r="F446" s="564">
        <v>2.5000000000000001E-2</v>
      </c>
      <c r="G446" s="562"/>
      <c r="H446" s="564">
        <v>2.5000000000000001E-2</v>
      </c>
    </row>
    <row r="447" spans="1:8" s="556" customFormat="1" ht="31.5" outlineLevel="3">
      <c r="A447" s="560" t="s">
        <v>1212</v>
      </c>
      <c r="B447" s="560" t="s">
        <v>1211</v>
      </c>
      <c r="C447" s="561">
        <v>0.3</v>
      </c>
      <c r="D447" s="563" t="s">
        <v>1208</v>
      </c>
      <c r="E447" s="563" t="s">
        <v>1209</v>
      </c>
      <c r="F447" s="564">
        <v>2.5000000000000001E-2</v>
      </c>
      <c r="G447" s="562"/>
      <c r="H447" s="564">
        <v>2.5000000000000001E-2</v>
      </c>
    </row>
    <row r="448" spans="1:8" s="556" customFormat="1" ht="31.5" outlineLevel="3">
      <c r="A448" s="560" t="s">
        <v>1213</v>
      </c>
      <c r="B448" s="560" t="s">
        <v>1211</v>
      </c>
      <c r="C448" s="561">
        <v>0.3</v>
      </c>
      <c r="D448" s="563" t="s">
        <v>1208</v>
      </c>
      <c r="E448" s="563" t="s">
        <v>1209</v>
      </c>
      <c r="F448" s="564">
        <v>2.5000000000000001E-2</v>
      </c>
      <c r="G448" s="562"/>
      <c r="H448" s="564">
        <v>2.5000000000000001E-2</v>
      </c>
    </row>
    <row r="449" spans="1:8" s="556" customFormat="1" ht="31.5" outlineLevel="2">
      <c r="A449" s="559" t="s">
        <v>273</v>
      </c>
      <c r="B449" s="560" t="s">
        <v>1214</v>
      </c>
      <c r="C449" s="561">
        <v>0.15</v>
      </c>
      <c r="D449" s="563"/>
      <c r="E449" s="563" t="s">
        <v>1215</v>
      </c>
      <c r="F449" s="564">
        <v>2.5000000000000001E-2</v>
      </c>
      <c r="G449" s="562"/>
      <c r="H449" s="564">
        <v>2.5000000000000001E-2</v>
      </c>
    </row>
    <row r="450" spans="1:8" s="556" customFormat="1" ht="15.75" outlineLevel="1">
      <c r="A450" s="558" t="s">
        <v>1216</v>
      </c>
      <c r="B450" s="560"/>
      <c r="C450" s="561"/>
      <c r="D450" s="563"/>
      <c r="E450" s="563"/>
      <c r="F450" s="564">
        <v>2.5000000000000001E-2</v>
      </c>
      <c r="G450" s="562"/>
      <c r="H450" s="564">
        <v>2.5000000000000001E-2</v>
      </c>
    </row>
    <row r="451" spans="1:8" s="556" customFormat="1" ht="31.5" outlineLevel="3">
      <c r="A451" s="571" t="s">
        <v>115</v>
      </c>
      <c r="B451" s="560" t="s">
        <v>1217</v>
      </c>
      <c r="C451" s="561">
        <v>0.1</v>
      </c>
      <c r="D451" s="563"/>
      <c r="E451" s="563" t="s">
        <v>1218</v>
      </c>
      <c r="F451" s="564">
        <v>2.5000000000000001E-2</v>
      </c>
      <c r="G451" s="562"/>
      <c r="H451" s="564">
        <v>2.5000000000000001E-2</v>
      </c>
    </row>
    <row r="452" spans="1:8" s="556" customFormat="1" ht="31.5" outlineLevel="3">
      <c r="A452" s="571" t="s">
        <v>116</v>
      </c>
      <c r="B452" s="560" t="s">
        <v>1217</v>
      </c>
      <c r="C452" s="561">
        <v>0.1</v>
      </c>
      <c r="D452" s="563"/>
      <c r="E452" s="563" t="s">
        <v>1218</v>
      </c>
      <c r="F452" s="564">
        <v>2.5000000000000001E-2</v>
      </c>
      <c r="G452" s="562"/>
      <c r="H452" s="564">
        <v>2.5000000000000001E-2</v>
      </c>
    </row>
    <row r="453" spans="1:8" s="556" customFormat="1" ht="31.5" outlineLevel="3">
      <c r="A453" s="572" t="s">
        <v>117</v>
      </c>
      <c r="B453" s="560" t="s">
        <v>1217</v>
      </c>
      <c r="C453" s="561">
        <v>0.1</v>
      </c>
      <c r="D453" s="563"/>
      <c r="E453" s="563" t="s">
        <v>1218</v>
      </c>
      <c r="F453" s="564">
        <v>2.5000000000000001E-2</v>
      </c>
      <c r="G453" s="562"/>
      <c r="H453" s="564">
        <v>2.5000000000000001E-2</v>
      </c>
    </row>
    <row r="454" spans="1:8" s="556" customFormat="1" ht="31.5" outlineLevel="3">
      <c r="A454" s="572" t="s">
        <v>1219</v>
      </c>
      <c r="B454" s="560" t="s">
        <v>1217</v>
      </c>
      <c r="C454" s="561">
        <v>0.1</v>
      </c>
      <c r="D454" s="563"/>
      <c r="E454" s="563" t="s">
        <v>1218</v>
      </c>
      <c r="F454" s="564">
        <v>2.5000000000000001E-2</v>
      </c>
      <c r="G454" s="562"/>
      <c r="H454" s="564">
        <v>2.5000000000000001E-2</v>
      </c>
    </row>
    <row r="455" spans="1:8" s="556" customFormat="1" ht="31.5" outlineLevel="3">
      <c r="A455" s="571" t="s">
        <v>1220</v>
      </c>
      <c r="B455" s="560" t="s">
        <v>1221</v>
      </c>
      <c r="C455" s="561">
        <v>0.3</v>
      </c>
      <c r="D455" s="563"/>
      <c r="E455" s="563" t="s">
        <v>1218</v>
      </c>
      <c r="F455" s="564">
        <v>2.5000000000000001E-2</v>
      </c>
      <c r="G455" s="562"/>
      <c r="H455" s="564">
        <v>2.5000000000000001E-2</v>
      </c>
    </row>
  </sheetData>
  <mergeCells count="104">
    <mergeCell ref="G187:H187"/>
    <mergeCell ref="G188:H188"/>
    <mergeCell ref="B198:F198"/>
    <mergeCell ref="G198:H198"/>
    <mergeCell ref="G192:H192"/>
    <mergeCell ref="G193:H193"/>
    <mergeCell ref="G194:H194"/>
    <mergeCell ref="G195:H195"/>
    <mergeCell ref="G196:H196"/>
    <mergeCell ref="B197:H197"/>
    <mergeCell ref="G191:H191"/>
    <mergeCell ref="G189:H189"/>
    <mergeCell ref="G190:H190"/>
    <mergeCell ref="G185:H185"/>
    <mergeCell ref="G186:H186"/>
    <mergeCell ref="A172:A173"/>
    <mergeCell ref="E172:E173"/>
    <mergeCell ref="G172:H173"/>
    <mergeCell ref="U159:U160"/>
    <mergeCell ref="U164:U165"/>
    <mergeCell ref="U169:U170"/>
    <mergeCell ref="I172:J173"/>
    <mergeCell ref="K172:L173"/>
    <mergeCell ref="B179:H179"/>
    <mergeCell ref="G177:H177"/>
    <mergeCell ref="I183:J183"/>
    <mergeCell ref="K183:L183"/>
    <mergeCell ref="K184:L184"/>
    <mergeCell ref="G178:H178"/>
    <mergeCell ref="B174:H174"/>
    <mergeCell ref="G175:H175"/>
    <mergeCell ref="G176:H176"/>
    <mergeCell ref="G180:H180"/>
    <mergeCell ref="G181:H181"/>
    <mergeCell ref="G182:H182"/>
    <mergeCell ref="G183:H183"/>
    <mergeCell ref="G184:H184"/>
    <mergeCell ref="B156:F156"/>
    <mergeCell ref="F107:F110"/>
    <mergeCell ref="H118:Y118"/>
    <mergeCell ref="M122:M125"/>
    <mergeCell ref="O122:O125"/>
    <mergeCell ref="Q122:Q125"/>
    <mergeCell ref="S122:S125"/>
    <mergeCell ref="U122:U125"/>
    <mergeCell ref="Y110:Y113"/>
    <mergeCell ref="H107:Y107"/>
    <mergeCell ref="W122:W125"/>
    <mergeCell ref="Y122:Y125"/>
    <mergeCell ref="W110:W113"/>
    <mergeCell ref="M110:M113"/>
    <mergeCell ref="O110:O113"/>
    <mergeCell ref="Q110:Q113"/>
    <mergeCell ref="S110:S113"/>
    <mergeCell ref="U110:U113"/>
    <mergeCell ref="D123:E123"/>
    <mergeCell ref="H130:O130"/>
    <mergeCell ref="D133:E133"/>
    <mergeCell ref="M135:M138"/>
    <mergeCell ref="O135:O138"/>
    <mergeCell ref="F146:G146"/>
    <mergeCell ref="U74:U78"/>
    <mergeCell ref="W74:W78"/>
    <mergeCell ref="Y74:Y78"/>
    <mergeCell ref="F99:F101"/>
    <mergeCell ref="M100:M103"/>
    <mergeCell ref="O100:O103"/>
    <mergeCell ref="Q100:Q103"/>
    <mergeCell ref="S100:S103"/>
    <mergeCell ref="U100:U103"/>
    <mergeCell ref="W100:W103"/>
    <mergeCell ref="Y100:Y103"/>
    <mergeCell ref="M84:M88"/>
    <mergeCell ref="O84:O88"/>
    <mergeCell ref="Q84:Q88"/>
    <mergeCell ref="S84:S88"/>
    <mergeCell ref="U84:U88"/>
    <mergeCell ref="W84:W88"/>
    <mergeCell ref="Y84:Y88"/>
    <mergeCell ref="H96:Y96"/>
    <mergeCell ref="B232:H232"/>
    <mergeCell ref="R56:T56"/>
    <mergeCell ref="X56:Y56"/>
    <mergeCell ref="H45:O45"/>
    <mergeCell ref="A58:C58"/>
    <mergeCell ref="B50:C50"/>
    <mergeCell ref="C61:C68"/>
    <mergeCell ref="J49:J53"/>
    <mergeCell ref="L49:L53"/>
    <mergeCell ref="N49:N53"/>
    <mergeCell ref="P49:P53"/>
    <mergeCell ref="H56:O56"/>
    <mergeCell ref="H57:O57"/>
    <mergeCell ref="J61:J65"/>
    <mergeCell ref="L61:L65"/>
    <mergeCell ref="N61:N65"/>
    <mergeCell ref="P61:P65"/>
    <mergeCell ref="E69:F69"/>
    <mergeCell ref="H69:Y69"/>
    <mergeCell ref="A70:B70"/>
    <mergeCell ref="M74:M78"/>
    <mergeCell ref="O74:O78"/>
    <mergeCell ref="Q74:Q78"/>
    <mergeCell ref="S74:S78"/>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Документ" ma:contentTypeID="0x010100B693BBB04300004E96105FB5C42D532A" ma:contentTypeVersion="24" ma:contentTypeDescription="Создание документа." ma:contentTypeScope="" ma:versionID="cf152e83391eb21d8de09a9a7f5da110">
  <xsd:schema xmlns:xsd="http://www.w3.org/2001/XMLSchema" xmlns:xs="http://www.w3.org/2001/XMLSchema" xmlns:p="http://schemas.microsoft.com/office/2006/metadata/properties" xmlns:ns2="290cdb9c-5ea7-487d-b0ed-e64f7b733c2c" xmlns:ns3="0da6c801-561b-4cfa-a5e0-577de82378d4" xmlns:ns4="http://schemas.microsoft.com/sharepoint/v4" targetNamespace="http://schemas.microsoft.com/office/2006/metadata/properties" ma:root="true" ma:fieldsID="a57128d242b59770c9c797d43e4a1121" ns2:_="" ns3:_="" ns4:_="">
    <xsd:import namespace="290cdb9c-5ea7-487d-b0ed-e64f7b733c2c"/>
    <xsd:import namespace="0da6c801-561b-4cfa-a5e0-577de82378d4"/>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3:TypeOfDoc" minOccurs="0"/>
                <xsd:element ref="ns3:AimOfCreation" minOccurs="0"/>
                <xsd:element ref="ns3:User" minOccurs="0"/>
                <xsd:element ref="ns3:User_x003a_GUID" minOccurs="0"/>
                <xsd:element ref="ns3:Responsible" minOccurs="0"/>
                <xsd:element ref="ns3:ConstrainedDocuments" minOccurs="0"/>
                <xsd:element ref="ns3:DateStart" minOccurs="0"/>
                <xsd:element ref="ns3:DaysInUse" minOccurs="0"/>
                <xsd:element ref="ns3:EndDate" minOccurs="0"/>
                <xsd:element ref="ns3:TextBody" minOccurs="0"/>
                <xsd:element ref="ns3:Comment" minOccurs="0"/>
                <xsd:element ref="ns3:ResponsibleFIO" minOccurs="0"/>
                <xsd:element ref="ns3:ApplicationNumber" minOccurs="0"/>
                <xsd:element ref="ns3:DoNotShow" minOccurs="0"/>
                <xsd:element ref="ns4:IconOverlay" minOccurs="0"/>
                <xsd:element ref="ns3:_x042f__x0440__x043b__x044b__x043a__x0438_" minOccurs="0"/>
                <xsd:element ref="ns3:Card1C" minOccurs="0"/>
                <xsd:element ref="ns3:Owner" minOccurs="0"/>
                <xsd:element ref="ns3:Free" minOccurs="0"/>
                <xsd:element ref="ns3:Temp"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90cdb9c-5ea7-487d-b0ed-e64f7b733c2c" elementFormDefault="qualified">
    <xsd:import namespace="http://schemas.microsoft.com/office/2006/documentManagement/types"/>
    <xsd:import namespace="http://schemas.microsoft.com/office/infopath/2007/PartnerControls"/>
    <xsd:element name="_dlc_DocId" ma:index="8" nillable="true" ma:displayName="Значение идентификатора документа" ma:description="Значение идентификатора документа, присвоенного данному элементу." ma:internalName="_dlc_DocId" ma:readOnly="true">
      <xsd:simpleType>
        <xsd:restriction base="dms:Text"/>
      </xsd:simpleType>
    </xsd:element>
    <xsd:element name="_dlc_DocIdUrl" ma:index="9" nillable="true" ma:displayName="Идентификатор документа" ma:description="Постоянная ссылка на этот документ."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Сохранить идентификатор" ma:description="Сохранять идентификатор при добавлении."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0da6c801-561b-4cfa-a5e0-577de82378d4" elementFormDefault="qualified">
    <xsd:import namespace="http://schemas.microsoft.com/office/2006/documentManagement/types"/>
    <xsd:import namespace="http://schemas.microsoft.com/office/infopath/2007/PartnerControls"/>
    <xsd:element name="TypeOfDoc" ma:index="11" nillable="true" ma:displayName="Тип документа" ma:internalName="TypeOfDoc">
      <xsd:simpleType>
        <xsd:restriction base="dms:Text">
          <xsd:maxLength value="255"/>
        </xsd:restriction>
      </xsd:simpleType>
    </xsd:element>
    <xsd:element name="AimOfCreation" ma:index="12" nillable="true" ma:displayName="Цель создания" ma:internalName="AimOfCreation">
      <xsd:simpleType>
        <xsd:restriction base="dms:Note">
          <xsd:maxLength value="255"/>
        </xsd:restriction>
      </xsd:simpleType>
    </xsd:element>
    <xsd:element name="User" ma:index="13" nillable="true" ma:displayName="User" ma:list="{a7959581-72e2-4ed0-97f0-5e8e6dbc7542}" ma:internalName="User" ma:showField="Title">
      <xsd:complexType>
        <xsd:complexContent>
          <xsd:extension base="dms:MultiChoiceLookup">
            <xsd:sequence>
              <xsd:element name="Value" type="dms:Lookup" maxOccurs="unbounded" minOccurs="0" nillable="true"/>
            </xsd:sequence>
          </xsd:extension>
        </xsd:complexContent>
      </xsd:complexType>
    </xsd:element>
    <xsd:element name="User_x003a_GUID" ma:index="14" nillable="true" ma:displayName="User:GUID" ma:list="{a7959581-72e2-4ed0-97f0-5e8e6dbc7542}" ma:internalName="User_x003a_GUID" ma:readOnly="true" ma:showField="GUID0" ma:web="ba94ca39-bf10-45b9-b86e-b50cb0bc40c7">
      <xsd:complexType>
        <xsd:complexContent>
          <xsd:extension base="dms:MultiChoiceLookup">
            <xsd:sequence>
              <xsd:element name="Value" type="dms:Lookup" maxOccurs="unbounded" minOccurs="0" nillable="true"/>
            </xsd:sequence>
          </xsd:extension>
        </xsd:complexContent>
      </xsd:complexType>
    </xsd:element>
    <xsd:element name="Responsible" ma:index="15" nillable="true" ma:displayName="Responsible" ma:list="{a7959581-72e2-4ed0-97f0-5e8e6dbc7542}" ma:internalName="Responsible" ma:showField="Title">
      <xsd:simpleType>
        <xsd:restriction base="dms:Lookup"/>
      </xsd:simpleType>
    </xsd:element>
    <xsd:element name="ConstrainedDocuments" ma:index="16" nillable="true" ma:displayName="Связанные документы" ma:internalName="ConstrainedDocuments">
      <xsd:simpleType>
        <xsd:restriction base="dms:Note">
          <xsd:maxLength value="255"/>
        </xsd:restriction>
      </xsd:simpleType>
    </xsd:element>
    <xsd:element name="DateStart" ma:index="17" nillable="true" ma:displayName="Дата" ma:description="Дата начала действия текущей редакции (либо новый документ, либо актуализированный)" ma:format="DateOnly" ma:internalName="DateStart">
      <xsd:simpleType>
        <xsd:restriction base="dms:DateTime"/>
      </xsd:simpleType>
    </xsd:element>
    <xsd:element name="DaysInUse" ma:index="18" nillable="true" ma:displayName="Дней в использовании" ma:default="730" ma:internalName="DaysInUse" ma:percentage="FALSE">
      <xsd:simpleType>
        <xsd:restriction base="dms:Number"/>
      </xsd:simpleType>
    </xsd:element>
    <xsd:element name="EndDate" ma:index="19" nillable="true" ma:displayName="Дата окончания" ma:format="DateOnly" ma:internalName="EndDate">
      <xsd:simpleType>
        <xsd:restriction base="dms:DateTime"/>
      </xsd:simpleType>
    </xsd:element>
    <xsd:element name="TextBody" ma:index="21" nillable="true" ma:displayName="TextBody" ma:internalName="TextBody">
      <xsd:simpleType>
        <xsd:restriction base="dms:Note">
          <xsd:maxLength value="255"/>
        </xsd:restriction>
      </xsd:simpleType>
    </xsd:element>
    <xsd:element name="Comment" ma:index="22" nillable="true" ma:displayName="Комментарий" ma:internalName="Comment">
      <xsd:simpleType>
        <xsd:restriction base="dms:Text">
          <xsd:maxLength value="255"/>
        </xsd:restriction>
      </xsd:simpleType>
    </xsd:element>
    <xsd:element name="ResponsibleFIO" ma:index="23" nillable="true" ma:displayName="ResponsibleFIO" ma:internalName="ResponsibleFIO">
      <xsd:simpleType>
        <xsd:restriction base="dms:Text">
          <xsd:maxLength value="255"/>
        </xsd:restriction>
      </xsd:simpleType>
    </xsd:element>
    <xsd:element name="ApplicationNumber" ma:index="24" nillable="true" ma:displayName="ApplicationNumber" ma:internalName="ApplicationNumber">
      <xsd:simpleType>
        <xsd:restriction base="dms:Text">
          <xsd:maxLength value="255"/>
        </xsd:restriction>
      </xsd:simpleType>
    </xsd:element>
    <xsd:element name="DoNotShow" ma:index="25" nillable="true" ma:displayName="DoNotShow" ma:default="0" ma:internalName="DoNotShow">
      <xsd:simpleType>
        <xsd:restriction base="dms:Boolean"/>
      </xsd:simpleType>
    </xsd:element>
    <xsd:element name="_x042f__x0440__x043b__x044b__x043a__x0438_" ma:index="27" nillable="true" ma:displayName="Ярлыки" ma:list="{3b449877-c9e9-4747-8684-0436358cfd69}" ma:internalName="_x042f__x0440__x043b__x044b__x043a__x0438_" ma:showField="_CopySource">
      <xsd:complexType>
        <xsd:complexContent>
          <xsd:extension base="dms:MultiChoiceLookup">
            <xsd:sequence>
              <xsd:element name="Value" type="dms:Lookup" maxOccurs="unbounded" minOccurs="0" nillable="true"/>
            </xsd:sequence>
          </xsd:extension>
        </xsd:complexContent>
      </xsd:complexType>
    </xsd:element>
    <xsd:element name="Card1C" ma:index="28" nillable="true" ma:displayName="Card1C" ma:internalName="Card1C">
      <xsd:simpleType>
        <xsd:restriction base="dms:Text">
          <xsd:maxLength value="255"/>
        </xsd:restriction>
      </xsd:simpleType>
    </xsd:element>
    <xsd:element name="Owner" ma:index="29" nillable="true" ma:displayName="Owner" ma:internalName="Owner">
      <xsd:simpleType>
        <xsd:restriction base="dms:Text">
          <xsd:maxLength value="255"/>
        </xsd:restriction>
      </xsd:simpleType>
    </xsd:element>
    <xsd:element name="Free" ma:index="30" nillable="true" ma:displayName="Free" ma:default="0" ma:internalName="Free">
      <xsd:simpleType>
        <xsd:restriction base="dms:Boolean"/>
      </xsd:simpleType>
    </xsd:element>
    <xsd:element name="Temp" ma:index="31" nillable="true" ma:displayName="Temp" ma:internalName="Temp">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6"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контента"/>
        <xsd:element ref="dc:title" minOccurs="0" maxOccurs="1" ma:index="4" ma:displayName="Название"/>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Free xmlns="0da6c801-561b-4cfa-a5e0-577de82378d4">true</Free>
    <AimOfCreation xmlns="0da6c801-561b-4cfa-a5e0-577de82378d4" xsi:nil="true"/>
    <Card1C xmlns="0da6c801-561b-4cfa-a5e0-577de82378d4" xsi:nil="true"/>
    <TextBody xmlns="0da6c801-561b-4cfa-a5e0-577de82378d4">1.2000900800000003
1.2
 1.1200000000000001
 1.03
 1.01
 1.03
 100
1356.5008600000001
1953507.8707169632
22.726800000000001
32729.048676172806
1533
350
892.8293000000001
1285770.703276013
12.7912
18420.710677555206
4338
 150
1135.4774199999999
1635210.2253671924
15.2928
22023.285090508802
1533
400
849.07372000000009
1222757.9382728375
11.906199999999998
17146.215012595203
4538
 200
1007.27396
1450583.3846859804
11.682
16823.342777472004
1533
450
805.31813999999986
1159745.1732696616
10.7026
15412.900908249603
4538
 250
882.71788000000004
1271209.1654719568
9.4871999999999979
13662.593528371199
1533
500
761.56256000000008
1096732.4082664861
12.260199999999999
17656.013278579201
5573
 275
842.96014000000002
1213953.7222192937
16.095199999999998
23178.827826739205
4338
550
717.80697999999995
1033719.6432633102
11.162800000000001
16075.638654028804
5573
 300
798.04934000000003
1149277.3155414569
14.75
21241.594416000004
4338
600
674.05139999999994
970706.87826013437
10.3132
14852.122815667204
5573
 350
693.89782000000002
999287.86837875098
12.7912
18420.710677555206
4338
625
661.22932333333324
952241.70184493507
9.911999999999999
14274.351447552001
5573
 400
652.20606000000009
939247.22726626194
11.906199999999998
17146.215012595203
4538
700
622.76309333333336
896846.1725993373
9.6759999999999984
13934.485936896001
5573
 450
586.89069999999992
845186.0485371073
10.7026
15412.900908249603
4538
800
571.47478666666666
822985.46693853952
8.4960000000000004
12235.158383616003
5673
 500
564.75980000000004
813315.16027534101
12.260199999999999
17656.013278579201
5573
825
558.65270999999996
804520.29052334023
8.2363999999999997
11861.306321894401
5673
 550
559.60674000000006
805894.19685016735
11.162800000000001
16075.638654028804
5573
900
518.34331999999995
746470.41163951869
9.5226000000000006
13713.573354969603
9553
 600
552.49369999999999
795650.65035899531
10.3132
14852.122815667204
5573
1200
518.34331999999995
746470.41163951869
7.8587999999999996
11317.521504844803
8653
 625
539.96799999999996
777612.2883809281
9.911999999999999
14274.351447552001
5573
 700
500.65157999999997
720992.39363319182
9.6759999999999984
13934.485936896001
5573
 775
451.00308000000001
649493.18682893587
8.4960000000000004
12235.158383616003
5673
 800
451.00308000000001
649493.18682893587
8.4960000000000004
12235.158383616003
5673
 825
450.23725999999999
648390.32324685703
8.2363999999999997
11861.306321894401
5673
 900
440.38544000000002
634202.63750452234
9.5226000000000006
13713.573354969603
9553
 1000
431.03983999999997
620743.96328254475
8.5667999999999989
12337.118036812803
8653
 1200
426.65259999999995
614425.86343944969
7.8587999999999996
11317.521504844803
8653
 140
980.05489999999998
1411384.9960144707
51.33
73920.748567680013
2166
 150
976.06818571428562
1405643.6964951744
49.088000000000001
70692.026216448008
2252
 160
972.08147142857149
1399902.3969758789
46.846000000000004
67463.303865216018
2338
 50
875.73464000000001
1261152.5450116456
51.33
73920.748567680013
1572
175
966.10140000000001
1391290.4476969347
49.837299999999999
71771.099212780813
 100
865.76599999999996
1246796.6258415361
51.33
73920.748567680013
1572
180
961.00325538461539
1383948.5683617406
50.834399999999995
73207.030995302412
2972
 120
862.02776000000006
1241413.1561527452
49.500999999999998
71286.790860096022
1794
200
940.61067692307688
1354581.0510209636
48.911000000000001
70437.127083456013
3194
 140
860.09374000000003
1238627.9582929192
51.33
73920.748567680013
2166
220
920.21809846153849
1325213.5336801868
51.188400000000001
73716.829261286417
3566
 160
855.79736000000003
1232440.7066714268
46.846000000000004
67463.303865216018
2338
240
899.8255200000001
1295846.0163394103
49.359399999999994
71082.871553702411
3788
 180
844.56965999999989
1216271.6050019676
50.834399999999995
73207.030995302412
2972
 200
831.43389999999999
1197354.6906788547
48.911000000000001
70437.127083456013
3194
 220
810.48417999999992
1167184.8292979214
51.188400000000001
73716.829261286417
3566
 240
787.66534000000013
1134323.2330725929
49.359399999999994
71082.871553702411
3788
 260
752.38569999999993
1083516.7378846274
49.2532
70929.932073907214
4110
 280
727.90542000000005
1048262.4884642806
48.026000000000003
69162.631418496021
4332
 300
713.70529999999997
1027812.7806881089
44.7928
64506.47392250882
4332
 50
1617.2017999999998
2328945.4050457729
 75
1518.1761999999999
2186337.8367745155
 125
1353.6841999999999
1949451.5758472835
 150
1287.7103999999999
1854442.1723433987
 200
1180.944
1700687.0153226245
 300
826.11799999999994
1189699.220051328
 400
636.30319999999995
916345.38983070734
 500
546.48159999999996
786992.57647503377
 750
497.08679999999998
715858.72509473294
 9.9355999999999991
14308.337998617601
 13.617199999999999
19610.239964851204
 26.3612
37962.977540275206
 164.01999999999998
236206.52990592
 2374.4668000000001
3419488.8623632141
 3067.1268
4416994.1361385733
 5674.4312
8171794.3113149973
 189.98
273591.73607808002
 184.06819999999999
265078.10503614723
 195.89179999999999
282105.36712001282
 280.3562
403743.2333837953
 893.45322499999986
1286669.2227198097
1222530.2283806978
1325755.8806046913
 942.52499999999998
1357337.8831824004
1357337.8831824004
 978.82179999999994
1409609.1987212931
1409609.1987212931
 1019.6379999999999
1468388.9387892482
1468388.9387892482
 1026.7887999999998
1478686.8637621247
1478686.8637621247
 755.30619999999999
1087722.5735789954
1087722.5735789954
 788.59399999999994
1135660.6038570241
1135660.6038570241
 812.548
1170156.9531886082
1170156.9531886082
 823.40399999999988
1185790.766678784
1185790.766678784
 383.84809999999999
552782.75644421764
 341.66899999999998
492040.29305222409
 426.02719999999999
613525.21983621141
 475.96873333333332
685446.42631619854
 438.31099999999998
631215.2196658561
 489.92419999999998
705543.80684632331
 499.67099999999994
719580.25243641599
 1
0
0
0
0
0
0
 4158.400501065109
4001
7001
10001
16001
24001
 4000
7000
10000
16000
24000
40000
40001
 4158.400501065109
3442.6634967925052
2445.441441270963
1946.8304135101921
1448.2193857494212
1733.6287095514397
2019.0380333534581
1
 5198.0006263313853
4303.3293709906311
3056.8018015887033
2433.53801688774
1810.2742321867763
2167.0358869392994
2523.7975416918225
0
 2.5284916799978143
2.5284916799978143
2.5284916799978143
2.5284916799978143
 1
0
0
 188.73555190165484
188.73555190165484
188.73555190165484
188.73555190165484
 327.25636421348702
327.25636421348702
327.25636421348702
327.25636421348702
 395.33860546089073
395.33860546089073
395.33860546089073
500
 729.04868501975375
729.04868501975375
729.04868501975375
729.04868501975375
 500
500
500
500
 29207446.07856128
 648.30353015707601
886.94953541359519
1019.9919657256344
648.30353015707601
 922.07512908304216
1019.9919657256344
1519.4840123371719
922.07512908304216
 1757.3225443569108
2108.7870532282927
2895.8849734136206
5556.25
 3270.6956455506065
3270.6956455506065
4491.4721749925275
5556.25
 5556.25
5556.25
5556.25
5556.25
 29658666.543232553
 958.09264332080704
1288.2947233139832
1481.5389318110806
958.09264332080704
 1134.4449798911887
1481.5389318110806
2087.8594457336362
1134.4449798911887
 2010.4296836330807
2412.5156203596966
3700.0424695424363
5937.5
 2613.3614098653247
2613.3614098653247
3700.0424695424363
5937.5
 5937.5
5937.5
5937.5
5937.5
 1
0
 2896.2189784813409
1171.4419766788633
2896.2189784813409
 1799.9360587224792
 752.41521126563111
 74.431184469848134
 1
0
0
 1501.6069267303196
812.88244446194608
18.619603547918423
1501.6069267303196
 1
0
 99.124596550582169
1164.3340389596494
99.124596550582169
 926.13414428832903
 123.06924734048332
109.56616944670826
366.73981726318038
123.06924734048332
 1
0
0
 5056.0449994115716
1797.5078322293552
2334.4730427973464
5056.0449994115716
 0.31946236982761361
0.18577070370709992
 0.68053763017238644
2.9349677335075014E-3
 0.24170008792686648
 0.84087790674173801
0.31946236982761361
 0.15912209325826199
0.2501318708049125
 0
 0.35471958960960115
0.35471958960960115
0.35471958960960115
0.35471958960960115
0.21931086166921854
0.35471958960960115
 0
 0.19940792759065806
0
 0
 0.27762505635670698
0.26837513302204202
0.26837513302204202
0.27709120794859576
0.18453431556591512
0.26837513302204202
 0
 0.13504675223323548
0.13504675223323548
0.13504675223323548
0.13504675223323548
0.14949457755855311
0.13504675223323548
 0
 0.20953202834667808
0.20953202834667808
0.20953202834667808
0.20953202834667808
0.23853624268910134
0.20953202834667808
 1.4360498527225094E-2
2.3610421861889691E-2
2.3610421861889691E-2
2.3610421861889691E-2
5.1105751925604988E-3
2.3610421861889691E-2
 0
 0
 0
 0
 2.9349677335075014E-3
2.9349677335075014E-3
2.9349677335075014E-3
2.9349677335075014E-3
2.9349677335075014E-3
 0
 5.7811071930461031E-3
5.7811071930461031E-3
5.7811071930461031E-3
5.7811071930461031E-3
5.7811071930461031E-3
 0
 0
 0
0
0
0
 0.83345587357599327
0.85693925062137655
0.80997249653060999
 5.0871593251616463E-2
4.5008172569466466E-2
5.6735013933766461E-2
 0.11567253317239037
9.8052576809157119E-2
0.13329248953562362
 1
9/28/2019
 2
1/21/2020
 3
2/5/2020
 4
3/31/2020
 0
 0
 0
 0
 0
0
0
0
0
0
0
0
0
0
0
 0
0
0
0
0
0
0
0
0
0
0
 0
0
0
0
0
0
0
0
0
0
0
 0
0
0
0
0
0
0
0
0
0
0
 0
 1
 13870.972331584791
0
0
 36952.13065622178
0
0
 32450.264286827649
0
 34817.687665211262
0
 38406.028573234013
0
 50701.86913050271
0
 47897.399927230457
0
 40589.096046239167
0
 43203.116223400611
0
 7787.8256893790694
1
0
0
0
0
0
0
0
0
0
0
0
 21554.68880461841
1
0
0
0
0
0
0
0
0
0
0
0
 17480.102662976882
1
0
0
0
0
0
0
0
0
0
0
0
 4812.7803408896079
0
0
0
0
0
0
0
0
0
0
0
 4912.5151787710802
0
0
0
0
0
0
0
0
0
0
0
 4864.1276327874111
0
0
0
0
0
0
0
0
0
0
0
 9122.4934316845665
0
0
0
0
0
0
0
0
0
0
0
 11251.676331133145
0
0
0
0
0
0
0
0
0
0
0
 13380.859230581722
0
0
0
0
0
0
0
0
0
0
0
 1312.9093347616431
0
0
0
0
0
0
0
0
0
0
0
 1337.5261228589177
0
0
0
0
0
0
0
0
0
0
0
 1216.7208872810866
0
0
0
0
0
0
0
0
0
0
0
 1507.7303869896373
0
0
0
0
0
0
0
0
0
0
0
 1653.2351368439126
0
0
0
0
0
0
0
0
0
0
0
 1798.739886698188
0
0
0
0
0
0
0
0
0
0
0
 17815.992423790791
0.7492275015909251
0.36655760692966444
0
0
0
0
0
0
0
0
0
0
0
 18094.163947128036
0
0
0
0
0
0
0
0
0
0
0
 18279.611629352868
0
0
0
0
0
0
0
0
0
0
0
 23418.499941830178
0.7492275015909251
0
0
0
0
0
0
0
0
0
0
0
 23784.146696057189
0
0
0
0
0
0
0
0
0
0
0
 24027.911198875194
0
0
0
0
0
0
0
0
0
0
0
 31017.32708204096
0.61333119485926524
0
0
0
0
0
0
0
0
0
0
0
 31501.618774528393
0
0
0
0
0
0
0
0
0
0
0
 31824.479902853345
0
0
0
0
0
0
0
0
0
0
0
 46604.196870652893
0.48060593996904599
0
0
0
0
0
0
0
0
0
0
0
 47331.855489327812
0
0
0
0
0
0
0
0
0
0
0
 47816.961235111085
0
0
0
0
0
0
0
0
0
0
0
 26632.329958109003
289.29141457711808
0.48060593996904599
0
0
0
0
0
0
0
0
0
0
0
0
0
0
0
0
0
0
0
0
0
0
0
 27048.156122503555
293.80829085137174
0
0
0
0
0
0
0
0
0
0
0
0
0
0
0
0
0
0
0
0
0
0
0
 27325.373565433256
296.8195417008742
0
0
0
0
0
0
0
0
0
0
0
0
0
0
0
0
0
0
0
0
0
0
0
 8984.8198931824263
0
0
0
0
0
0
0
0
0
0
0
 11292.797186594771
0
0
0
0
0
0
0
0
0
0
0
 9852.9323077658337
18.077881240834241
0
0
0
0
0
0
0
0
0
0
0
0
0
0
0
0
0
0
0
0
0
0
 3004036.2245762716
0
0
 10145.647131409465
0.25077249840907484
0.63344239307033556
0
0
0
0
0
0
0
0
0
0
0
 10265.356509820096
0
0
0
0
0
0
0
0
0
0
0
 10345.162762093849
0
0
0
0
0
0
0
0
0
0
0
 14099.019218824871
0.25077249840907484
0
0
0
0
0
0
0
0
0
0
0
 14265.374780478491
0
0
0
0
0
0
0
0
0
0
0
 14376.27848824757
0
0
0
0
0
0
0
0
0
0
0
 20420.308809863003
0.38666880514073482
0
0
0
0
0
0
0
0
0
0
0
 20661.249820615685
0
0
0
0
0
0
0
0
0
0
0
 20821.877161117467
0
0
0
0
0
0
0
0
0
0
0
 25929.685918426439
0.51939406003095401
0
0
0
0
0
0
0
0
0
0
0
 26235.632551842078
0
0
0
0
0
0
0
0
0
0
0
 26439.596974119166
0
0
0
0
0
0
0
0
0
0
0
 8011.0398124515305
274.49763884656301
0.51939406003095401
0
0
0
0
0
0
0
0
0
0
0
0
0
0
0
0
0
0
0
0
0
0
 8105.5627722933405
277.73646051026725
0
0
0
0
0
0
0
0
0
0
0
0
0
0
0
0
0
0
0
0
0
0
 8168.5780788545462
279.89567495273673
0
0
0
0
0
0
0
0
0
0
0
0
0
0
0
0
0
0
0
0
0
0
 1828.5282975672603
0
0
0
0
0
0
0
0
0
0
0
 2583.3279669785679
2.6656485056772214
0
0
0
0
0
0
0
0
0
0
0
0
0
0
0
0
0
0
0
0
0
0
 17815.992423790791
0
0.4703490193566513
0
0
0
0
0
0
0
0
0
0
0
 23418.499941830178
0
0.4703490193566513
0
0
0
0
0
0
0
0
0
0
0
 31017.32708204096
0
0.42745210205537088
0
0
0
0
0
0
0
0
0
0
0
 46604.196870652893
0
0.45355425412829375
0
0
0
0
0
0
0
0
0
0
0
 26632.329958109003
289.29141457711808
0.45355425412829375
0
0
0
0
0
0
0
0
0
0
0
0
0
0
0
0
0
0
0
0
0
 8984.8198931824263
0
0
0
0
0
0
0
0
0
0
0
0
 11292.797186594771
0
0
0
0
0
0
0
0
0
0
0
0
 9852.9323077658337
18.077881240834241
0
0
0
0
0
0
0
0
0
0
0
0
0
0
0
0
0
0
0
0
0
 18957.17285752506
0.36256918452196601
0
0
0
0
0
0
0
0
0
0
0
 21084.584695493646
0.36256918452196601
0
0
0
0
0
0
0
0
0
0
0
 18355.51643507737
2045.8029185672622
0.27135924438887488
0
0
0
0
0
0
0
0
0
0
0
0
0
0
0
0
0
0
0
0
0
 906101.69491525425
0
0
0
0
0
0
0
0
0
0
0
 986196.01799999888
0
 973.67801824911464
0
 12429.639448628826
0.16708179612138263
0
0
0
0
0
0
0
0
0
0
0
 17232.575557237065
0.16708179612138263
0
0
0
0
0
0
0
0
0
0
0
 22035.511665845304
0.20997871342266303
0
0
0
0
0
0
0
0
0
0
0
 29072.400839454102
181.41597071934319
0.27508650148283142
0
0
0
0
0
0
0
0
0
0
0
0
0
0
0
0
0
0
0
0
0
 41233.709132860313
0
0
0
0
0
0
0
0
0
0
0
 19207.081854447402
476.38364517169396
0
0
0
0
0
0
0
0
0
0
0
0
0
0
0
0
0
0
0
0
0
 20819.69491525424
0
0
0
0
0
0
0
0
0
0
0
 8319.6610169491523
0
0
0
0
0
0
0
0
0
0
0
 11118.106874623103
0
0
0
0
0
0
0
0
0
0
0
 11597.088767374784
0
0
0
0
0
0
0
0
0
0
0
 11916.410029209237
0
0
0
0
0
0
0
0
0
0
0
 25648.551776603268
0
0
0
0
0
0
0
0
0
0
0
 29374.728550593951
0
0
0
0
0
0
0
0
0
0
0
 16433898.305084746
0
0
0
0
0
0
0
0
0
0
0
 8389.2937017781878
0
0
 2019.3788916867099
0
0
 2728.063906148986
0
 1918.3445948217375
0
0
 3063.0826453045347
0
 1500.6460199043661
0
0
 3345.7439486495023
0
 1475.8024285191723
0
0
 2175.081806667818
0
 1271642.6571428571
0
0
0
0
0
0
0
0
0
0
0
0
 1720474.932
0
 301321.81142857147
0
0
0
0
0
0
0
0
0
0
0
0
 1580188.1159999999
0
 509123.038
1
0
0
0
0
0
0
0
0
0
0
0
 1851.2366767785495
0
0
0
0
0
0
0
0
0
0
0
 2310.6376252199075
0
0
0
0
0
0
0
0
0
0
0
 1544.8359649951242
0
0
0
0
0
0
0
0
0
0
0
 3948.2749094927226
0
0
0
0
0
0
0
0
0
0
0
 4344.2482530618381
0
0
0
0
0
0
0
0
0
0
0
 46.050321488806887
0
0
0
0
0
0
0
0
0
0
0
 6082.6996612338062
0
0
0
0
0
0
0
0
0
0
0
 2617256
0
0
0
0
0
0
0
0
0
0
0
 2856753.44
0
0
0
0
0
0
0
0
0
0
0
 1153.8193312788906
0
0
0
0
0
0
0
0
0
0
0
0
0
0
0
0
0
0
0
0
0
0
 1353.3369454637914
0
0
0
0
0
0
0
0
0
0
0
0
0
0
0
0
0
0
0
0
0
0
 12956.832506191695
0
0
0
0
0
0
0
0
0
0
0
0
0
0
0
0
0
0
0
0
0
0
 6334.6012389016023
0
0
0
0
0
0
0
0
0
0
0
0
0
0
0
0
0
0
0
0
0
0
 6332.4614922233068
0
0
0
0
0
0
0
0
0
0
0
0
0
0
0
0
0
0
0
0
0
0
 15734.292450380442
0
0
0
0
0
0
0
0
0
0
0
0
0
0
0
0
0
0
0
0
0
0
 17693.100761386249
0
0
0
0
0
0
0
0
0
0
0
0
0
0
0
0
0
0
0
0
0
0
 26704.160245242085
0
0
0
0
0
0
0
0
0
0
0
0
0
0
0
0
0
0
0
0
0
0
 26905.407428428269
83.40375752855077
0
0
0
0
0
0
0
0
0
0
0
0
0
0
0
0
0
0
0
0
0
0
 18452.846312769794
351.33138089919908
0
0
0
0
0
0
0
0
0
0
0
0
0
0
0
0
0
0
0
0
0
0
 1402.6017064714947
0
0
0
0
0
0
0
0
0
0
0
0
0
0
0
0
0
0
0
0
0
0
 2614.7289875098786
0
0
0
0
0
0
0
0
0
0
0
0
0
0
0
0
0
0
0
0
0
0
 7088.2751055590998
0
0
0
0
0
0
0
0
0
0
0
0
0
0
0
0
0
0
0
0
0
0
 8216.577499432191
0
0
0
0
0
0
0
0
0
0
0
0
0
0
0
0
0
0
0
0
0
0
 9344.8798933052822
0
0
0
0
0
0
0
0
0
0
0
0
0
0
0
0
0
0
0
0
0
0
 4935.2296848998467
0
0
0
0
0
0
0
0
0
0
0
0
0
0
0
0
0
0
0
0
0
0
 6314.2683470376433
0
0
0
0
0
0
0
0
0
0
0
0
0
0
0
0
0
0
0
0
0
0
 9760.3979593286022
0
0
0
0
0
0
0
0
0
0
0
0
0
0
0
0
0
0
0
0
0
0
 10912.005391033634
33.825997774053157
0
0
0
0
0
0
0
0
0
0
0
0
0
0
0
0
0
0
0
0
0
0
 26885.223993149397
511.87891077599596
0
0
0
0
0
0
0
0
0
0
0
0
0
0
0
0
0
0
0
0
0
0
 6777.4834707927457
0
0
0
0
0
0
0
0
0
0
0
0
0
0
0
0
0
0
0
0
0
0
 6777.4834707927457
0
0
0
0
0
0
0
0
0
0
0
0
0
0
0
0
0
0
0
0
0
0
 8396.9540222725464
0
0
0
0
0
0
0
0
0
0
0
0
0
0
0
0
0
0
0
0
0
0
 8888.5069330875849
0
0
0
0
0
0
0
0
0
0
0
0
0
0
0
0
0
0
0
0
0
0
 9380.0598439026235
0
0
0
0
0
0
0
0
0
0
0
0
0
0
0
0
0
0
0
0
0
0
 3336.865413974997
0
0
0
0
0
0
0
0
0
0
0
0
0
0
0
0
0
0
0
0
0
0
 3577.1496654603366
0
0
0
0
0
0
0
0
0
0
0
0
0
0
0
0
0
0
0
0
0
0
 8974.8340190978561
0
0
0
0
0
0
0
0
0
0
0
0
0
0
0
0
0
0
0
0
0
0
 12658.470654998509
39.239845001427106
0
0
0
0
0
0
0
0
0
0
0
0
0
0
0
0
0
0
0
0
0
0
 15511.860548965262
295.33673529879155
0
0
0
0
0
0
0
0
0
0
0
0
0
0
0
0
0
0
0
0
0
0
 16159.000099999959
0
0
0
0
0
0
0
0
0
0
0
0
0
0
0
0
0
0
0
0
0
0
 16612.01539999996
0
0
0
0
0
0
0
0
0
0
0
0
0
0
0
0
0
0
0
0
0
0
 14122.90069999996
0
0
0
0
0
0
0
0
0
0
0
0
0
0
0
0
0
0
0
0
0
0
 15631.305399999959
0
0
0
0
0
0
0
0
0
0
0
0
0
0
0
0
0
0
0
0
0
0
 43454.640942566162
0
0
0
0
0
0
0
0
0
0
0
0
0
0
0
0
0
0
0
0
0
0
 48684.70131390373
0
0
0
0
0
0
0
0
0
0
0
0
0
0
0
0
0
0
0
0
0
0
 91253.241899062268
0
0
0
0
0
0
0
0
0
0
0
0
0
0
0
0
0
0
0
0
0
0
 95462.546733967887
195.70944530545816
0
0
0
0
0
0
0
0
0
0
0
0
0
0
0
0
0
0
0
0
0
0
 110799.25247718353
1453.8837622727783
0
0
0
0
0
0
0
0
0
0
0
0
0
0
0
0
0
0
0
0
0
0
 21967.863599999961
0
0
0
0
0
0
0
0
0
0
0
0
0
0
0
0
0
0
0
0
0
0
 23043.927699999957
0
0
0
0
0
0
0
0
0
0
0
0
0
0
0
0
0
0
0
0
0
0
 19553.852499999957
0
0
0
0
0
0
0
0
0
0
0
0
0
0
0
0
0
0
0
0
0
0
 21521.881266666624
0
0
0
0
0
0
0
0
0
0
0
0
0
0
0
0
0
0
0
0
0
0
 291437.98315655586
0
0
0
0
0
0
0
0
0
0
0
 499927.5717402249
0
0
0
0
0
0
0
0
0
0
0
 224716.35603791187
0
0
0
0
0
0
0
0
0
0
0
 385474.47037470341
0
0
0
0
0
0
0
0
0
0
0
 39424.342314188856
0
0
0
0
0
0
0
0
0
0
0
 7831.4948193266946
0
0
0
0
0
0
0
0
0
0
0
0
 13211.868964443769
0
0
0
0
0
0
0
0
0
0
0
0
 7417.2354271484892
0
0
0
0
0
0
0
0
0
0
0
0
0
 8613.4995341403919
0
0
0
0
0
0
0
0
0
0
0
0
0
 14327.639780783193
2.9102609401664417
0
0
0
0
0
0
0
0
0
0
0
0
0
0
0
0
0
0
0
0
0
0
0
0
 22782.742230125856
0
0
0
0
0
0
0
0
0
0
0
0
0
 8827.2934895557864
0
0
0
0
0
0
0
0
0
0
0
0
 9037.7772609135482
0
0
0
0
0
0
0
0
0
0
0
 9178.0997751520572
0
0
0
0
0
0
0
0
0
0
0
 9379.5496718797276
0
0
0
0
0
0
0
0
0
0
0
0
 9603.2018015965623
0
0
0
0
0
0
0
0
0
0
0
 9752.3032214077866
0
0
0
0
0
0
0
0
0
0
0
 13518.980092113026
0
0
0
0
0
0
0
0
0
0
0
0
 13841.3355137454
0
0
0
0
0
0
0
0
0
0
0
 14056.239128166981
0
0
0
0
0
0
0
0
0
0
0
 27192.701268622124
0
0
0
0
0
0
0
0
0
0
0
0
 27841.101859720249
0
0
0
0
0
0
0
0
0
0
0
 28273.368920452329
0
0
0
0
0
0
0
0
0
0
0
 6967.1690921790887
0
0
0
0
0
0
0
0
0
0
0
0
 7133.2988382835065
0
0
0
0
0
0
0
0
0
0
0
 7244.052002353119
0
0
0
0
0
0
0
0
0
0
0
 13831.061015689329
0
0
0
0
0
0
0
0
0
0
0
0
 14160.857899400749
0
0
0
0
0
0
0
0
0
0
0
 14380.722488541696
0
0
0
0
0
0
0
0
0
0
0
 23460.922020541377
148.57440620428582
0
0
0
0
0
0
0
0
0
0
0
0
0
0
0
0
0
0
0
0
0
0
0
0
 24020.339621446634
152.11711172122813
0
0
0
0
0
0
0
0
0
0
0
0
0
0
0
0
0
0
0
0
0
0
 24393.284688716809
154.47891539918965
0
0
0
0
0
0
0
0
0
0
0
0
0
0
0
0
0
0
0
0
0
0
 12649.412110751087
605.17294664142537
0
0
0
0
0
0
0
0
0
0
0
0
0
0
0
0
0
0
0
0
0
0
0
0
 12951.032983522524
619.60308701043982
0
0
0
0
0
0
0
0
0
0
0
0
0
0
0
0
0
0
0
0
0
0
 13152.113565370149
629.22318058978271
0
0
0
0
0
0
0
0
0
0
0
0
0
0
0
0
0
0
0
0
0
0
 1819.9637424321961
0
0
0
0
0
0
0
0
0
0
0
 1895.4315061811722
0
0
0
0
0
0
0
0
0
0
0
 1945.7433486804891
0
0
0
0
0
0
0
0
0
0
0
 4497.7958175616495
0
0
0
0
0
0
0
0
0
0
0
 4684.3042540963515
0
0
0
0
0
0
0
0
0
0
0
 4808.6432117861532
0
0
0
0
0
0
0
0
0
0
0
 48.441232610142677
0
0
0
0
0
0
0
0
0
0
0
 115.18838112288701
0
0
0
0
0
0
0
0
0
0
0
 611.15466981439499
0
0
0
0
0
0
0
0
0
0
0
0
 467.59694097592904
0
 167750
0
0
0
0
0
0
0
0
0
0
0
 2602671.9059800794
0
0
0
0
0
0
0
0
0
0
0
 13503.975627140488
0
0
0
0
0
0
0
0
0
0
0
 22369.285000000003
0
0
0
0
0
0
0
0
0
0
0
 1421.2612440853206
0
0
0
0
0
0
0
0
0
0
0
 747.93346472211272
0
0
0
0
0
0
0
0
0
0
0
 12444.882665832291
0
0
0
0
0
0
0
0
0
0
0
 21027.993091342756
0
0
0
0
0
0
0
0
0
0
0
 3252.0107211832924
0
0
0
0
0
0
0
0
0
0
0
 22514.113327461553
0
0
0
0
0
0
0
0
0
0
0
 52730.560900801036
0
0
0
0
0
0
0
0
0
0
0
 3608.4055543406957
0
0
0
0
0
0
0
0
0
0
0
 2252.1089189189188
20.732984293193713
0
0
0
0
0
0
0
0
0
0
0
0
0
0
0
0
0
0
0
0
0
0
 25808.765335098658
0
0
0
0
0
0
0
0
0
0
0
 16064.404863502059
0
0
0
0
0
0
0
0
0
0
0
 10204.727881329905
0
0
0
0
0
0
0
0
0
0
0
 4345.0508991577499
0
0
0
0
0
0
0
0
0
0
0
 340.57955838834505
0
0
0
0
0
0
0
0
0
0
0
 1258.6023218757111
0
0
0
0
0
0
0
0
0
0
0
 5675.7699689175461
46.568864880755967
0
0
0
0
0
0
0
0
0
0
0
0
0
0
0
0
0
0
0
0
0
0
 15925.506488991892
304.01203647749935
0
0
0
0
0
0
0
0
0
0
0
0
0
0
0
0
0
0
0
0
0
0
 514.5694757411926
3.0268792690658386
0
0
0
0
0
0
0
0
0
0
0
0
 529.93474290143047
3.1172631935378261
0
0
0
0
0
0
0
0
0
0
0
 540.17825434158908
3.1775191431858185
0
0
0
0
0
0
0
0
0
0
0
 1368.744926330322
8.0514407431195405
0
0
0
0
0
0
0
0
0
0
0
0
 1412.3722176213748
8.3080718683610293
0
0
0
0
0
0
0
0
0
0
0
 1441.4570784820767
8.4791592851886879
0
0
0
0
0
0
0
0
0
0
0
 2905.1881601430805
0
0
0
0
0
0
0
0
0
0
0
0
 2970.8474099471214
0
0
0
0
0
0
0
0
0
0
0
 3014.6202431498155
0
0
0
0
0
0
0
0
0
0
0
 206.43934928390584
2.4217573023424084
0
0
0
0
0
0
0
0
0
0
0
0
 210.60944115909641
2.4706769995087319
0
0
0
0
0
0
0
0
0
0
0
 213.38950240922344
2.5032901309529474
0
0
0
0
0
0
0
0
0
0
0
 72.236049908481363
3.719517267906808
0
0
0
0
0
0
0
0
0
0
0
0
 73.268247457413807
3.7726663065379267
0
0
0
0
0
0
0
0
0
0
0
 73.956379156702098
3.808098998958672
0
0
0
0
0
0
0
0
0
0
0
 66.932830853572227
0.39372253443277783
0
0
0
0
0
0
0
0
0
0
0
0
 68.717583094718435
0.40422107702775556
0
0
0
0
0
0
0
0
0
0
0
 69.90741792214925
0.41122010542440729
0
0
0
0
0
0
0
0
0
0
0
 339.56395115552448
1.9974350067972029
0
0
0
0
0
0
0
0
0
0
0
0
 346.97073653881603
2.0410043325812706
0
0
0
0
0
0
0
0
0
0
0
 351.90859346101035
2.0700505497706492
0
0
0
0
0
0
0
0
0
0
0
 96.034833088712247
2.6895684153875794
0
0
0
0
0
0
0
0
0
0
0
0
 98.347730243178276
2.7543438196301757
0
0
0
0
0
0
0
0
0
0
0
 99.889661679488952
2.7975274224585736
0
0
0
0
0
0
0
0
0
0
0
 483.14946969438751
2.8420557040846326
0
0
0
0
0
0
0
0
0
0
0
0
 498.31346674692441
2.9312556867466144
0
0
0
0
0
0
0
0
0
0
0
 508.42279811528232
2.9907223418546018
0
0
0
0
0
0
0
0
0
0
0
 242.64680219795804
2.6953691502648973
0
0
0
0
0
0
0
0
0
0
0
0
 251.23901710632217
2.7908131898593567
0
0
0
0
0
0
0
0
0
0
0
 256.96716037856493
2.8544425495889958
0
0
0
0
0
0
0
0
0
0
0
 764.48250914066784
0
0
0
0
0
0
0
0
0
0
0
0
 782.56973971878074
0
0
0
0
0
0
0
0
0
0
0
0
 794.62789343752286
0
0
0
0
0
0
0
0
0
0
0
0
 893.57563204467419
3.5743025281786962
0
0
0
0
0
0
0
0
0
0
0
0
0
0
0
0
0
0
0
0
0
0
 914.71713404442903
3.658868536177716
0
0
0
0
0
0
0
0
0
0
0
0
0
0
0
0
0
0
0
0
0
0
 928.81146871093233
3.7152458748437298
0
0
0
0
0
0
0
0
0
0
0
0
0
0
0
0
0
0
0
0
0
0
 1934.1832292366303
0
0
0
0
0
0
0
0
0
0
0
0
0
0
0
0
0
0
0
0
0
0
0
 1979.9449276786868
0
0
0
0
0
0
0
0
0
0
0
0
0
0
0
0
0
0
0
0
0
0
0
 2010.4527266400582
0
0
0
0
0
0
0
0
0
0
0
0
0
0
0
0
0
0
0
0
0
0
0
 549.46135941231933
19.324893762165566
0
0
0
0
0
0
0
0
0
0
0
0
0
0
0
0
0
0
0
0
0
0
 562.46130929034211
19.782109990391287
0
0
0
0
0
0
0
0
0
0
0
0
0
0
0
0
0
0
0
0
0
0
 571.12794254235791
20.086920809208422
0
0
0
0
0
0
0
0
0
0
0
0
0
0
0
0
0
0
0
0
0
0
 572.71566802717234
0
0
0
0
0
0
0
0
0
0
0
0
0
0
0
0
0
0
0
0
0
0
0
 586.26580190132677
0
0
0
0
0
0
0
0
0
0
0
0
0
0
0
0
0
0
0
0
0
0
0
 595.29922448409627
0
0
0
0
0
0
0
0
0
0
0
0
0
0
0
0
0
0
0
0
0
0
0
 1780.2771810607867
10.472218712122274
0
0
0
0
0
0
0
0
0
0
0
0
0
0
0
0
0
0
0
0
0
0
 1822.3975480826496
10.719985576956763
0
0
0
0
0
0
0
0
0
0
0
0
0
0
0
0
0
0
0
0
0
0
 1850.4777927638911
10.88516348684642
0
0
0
0
0
0
0
0
0
0
0
0
0
0
0
0
0
0
0
0
0
0
 805.53337875040586
5.9339937185411156
0
0
0
0
0
0
0
0
0
0
0
0
0
0
0
0
0
0
0
0
0
0
0
0
 511.46854976487788
0
0
 776.07288362218435
0
0
0
0
0
0
0
0
0
0
0
0
0
 228983.04000000001
0
0
0
0
0
0
0
0
0
0
0
0
 96143.332835820896
0
0
0
0
0
0
0
0
0
0
0
0
 384564.86553672311
0
0
0
0
0
0
0
0
0
0
0
0
 434.74643002472413
0
0
0
0
0
0
0
0
0
0
0
0
 250.0234131195306
0
0
0
0
0
0
0
0
0
0
0
0
0
 250835.14090199198
0
0
0
0
0
0
0
0
0
0
0
0
0
0
0
0
0
0
0
0
0
0
 360887.19911923719
0
0
0
0
0
0
0
0
0
0
0
0
0
0
0
0
0
0
0
0
0
0
0
0
 219348.58017267275
0
0
0
0
0
0
0
0
0
0
0
0
0
0
0
0
0
0
0
0
0
0
0
0
 107722.84226050232
0
0
0
0
0
0
0
0
0
0
0
0
0
0
0
0
0
0
0
0
0
0
0
0
 86262.212748258302
0
0
0
0
0
0
0
0
0
0
0
0
0
0
0
0
0
0
0
0
0
0
0
0
 68596.49274136874
0
0
0
0
0
0
0
0
0
0
0
0
0
0
0
0
0
0
0
0
0
0
0
0
 77304.385367787516
0
0
0
0
0
0
0
0
0
0
0
0
0
0
0
0
0
0
0
0
0
0
0
0
 39006.327027027008
5166.4864864864867
0
0
0
0
0
0
0
0
0
0
0
0
0
0
0
0
0
0
0
0
0
0
0
0
 144700.39536448929
1497.1948694457169
0
0
0
0
0
0
0
0
0
0
0
0
0
0
0
0
0
0
0
0
0
0
0
0
 11802.706563883507
1289.2956634272662
0
0
0
0
0
0
0
0
0
0
0
0
0
0
0
0
0
0
0
0
0
0
0
0
 9385.6191412651551
1025.259587020649
0
0
0
0
0
0
0
0
0
0
0
0
0
0
0
0
0
0
0
0
0
0
0
0
 8226.0690658647836
805.76396138966948
0
0
0
0
0
0
0
0
0
0
0
0
0
0
0
0
0
0
0
0
0
0
0
0
 8304.8841983852417
920.11852677262323
0
0
0
0
0
0
0
0
0
0
0
0
0
0
0
0
0
0
0
0
0
0
0
0
 0
7078.8455859489386
0
0
0
0
0
0
0
0
0
0
0
0
0
0
0
0
0
0
0
0
0
0
0
0
 0
4139.0231370486208
0
0
0
0
0
0
0
0
0
0
0
0
0
0
0
0
0
0
0
0
0
0
0
0
 0
1798.8992165209634
0
0
0
0
0
0
0
0
0
0
0
0
0
0
0
0
0
0
0
0
0
0
0
0
 0
1754.8594022174914
0
0
0
0
0
0
0
0
0
0
0
0
0
0
0
0
0
0
0
0
0
0
0
0
 0
1269.1415704138667
0
0
0
0
0
0
0
0
0
0
0
0
0
0
0
0
0
0
0
0
0
0
0
0
 0
1137.3486248477147
0
0
0
0
0
0
0
0
0
0
0
0
0
0
0
0
0
0
0
0
0
0
0
0
 304517.978891871
0
0
0
0
0
0
0
0
0
0
0
0
0
0
0
0
0
0
0
0
0
0
 392486.55694575357
0
0
0
0
0
0
0
0
0
0
0
0
0
0
0
0
0
0
0
0
0
0
0
0
 238554.78723828966
0
0
0
0
0
0
0
0
0
0
0
0
0
0
0
0
0
0
0
0
0
0
0
0
 117155.07661790417
0
0
0
0
0
0
0
0
0
0
0
0
0
0
0
0
0
0
0
0
0
0
0
0
 94857.18180196255
0
0
0
0
0
0
0
0
0
0
0
0
0
0
0
0
0
0
0
0
0
0
0
0
 75431.289966259268
0
0
0
0
0
0
0
0
0
0
0
0
0
0
0
0
0
0
0
0
0
0
0
0
 85006.817044224852
0
0
0
0
0
0
0
0
0
0
0
0
0
0
0
0
0
0
0
0
0
0
0
0
 50209.265220551832
6667.5295313189226
0
0
0
0
0
0
0
0
0
0
0
0
0
0
0
0
0
0
0
0
0
0
0
0
 29357.514289417315
3898.5253544536113
0
0
0
0
0
0
0
0
0
0
0
0
0
0
0
0
0
0
0
0
0
0
0
0
 12759.341444970383
1694.3742456860132
0
0
0
0
0
0
0
0
0
0
0
0
0
0
0
0
0
0
0
0
0
0
0
0
 10688.557714018665
1373.9455600228864
0
0
0
0
0
0
0
0
0
0
0
0
0
0
0
0
0
0
0
0
0
0
0
0
 9586.1575202796121
1113.3684211878381
0
0
0
0
0
0
0
0
0
0
0
0
0
0
0
0
0
0
0
0
0
0
0
0
 9162.2387543252662
986.80417570816962
0
0
0
0
0
0
0
0
0
0
0
0
0
0
0
0
0
0
0
0
0
0
0
0
 60696.134370113607
7849.9454765134096
0
0
0
0
0
0
0
0
0
0
0
0
0
0
0
0
0
0
0
0
0
0
0
0
 35489.219454931103
4589.8876529178651
0
0
0
0
0
0
0
0
0
0
0
0
0
0
0
0
0
0
0
0
0
0
0
0
 15424.298671096351
1994.8536235148376
0
0
0
0
0
0
0
0
0
0
0
0
0
0
0
0
0
0
0
0
0
0
0
0
 0
2134.1001465424283
0
0
0
0
0
0
0
0
0
0
0
0
0
0
0
0
0
0
0
0
0
0
0
0
 10803.829733606557
1408.3664941650459
0
0
0
0
0
0
0
0
0
0
0
0
0
0
0
0
0
0
0
0
0
0
0
0
 9648.5968346197824
1257.7725522011899
0
0
0
0
0
0
0
0
0
0
0
0
0
0
0
0
0
0
0
0
0
0
0
0
 4809436.8567064414
542.71016949152545
0
0
0
0
0
0
0
0
0
0
0
0
0
0
0
0
0
0
0
0
0
0
0
0
 47332.92037559321
90.451694915254222
0
0
0
0
0
0
0
0
0
0
0
0
0
0
0
0
0
0
0
0
0
0
0
0
 22420
0
0
0
0
0
0
0
0
0
0
0
0
0
0
0
0
0
0
0
0
0
0
0
0
 39423.897157796622
0
0
0
0
0
0
0
0
0
0
0
0
0
0
0
0
0
0
0
0
0
0
0
0
 208677.96610169494
0
0
0
0
0
0
0
0
0
0
0
0
0
0
0
0
0
0
0
0
0
0
0
0
 89530.87518518517
0
0
0
0
0
0
0
0
0
0
0
0
0
0
0
0
0
0
0
0
0
0
0
0
 408.70538461538462
1
0
 3160.3696668548846
0
 4685.9618417018009
0
 2050.8487032967037
1
0
 1279.3981698615225
0
 507.94763642634149
0
 13108.304650400445
0
1
0
0
 4162.1264435855446
0
0
 1987.0713422152576
60.206868314952551
0
 25890.612947333819
1
0
 15304.797392266626
0
 8132.8532056413869
0
 776.73300325665844
0
0
 1280.6489359597313
0
 4110.876548753331
0
 6941.1041615469312
1
 566.54589542807389
0
0
 817.5797109560325
1
 2601.7178693177348
0
0
 4698.2508439587127
0
 1562.6322657661524
0
0
 5490.7426517720687
0
 9418.8530377779844
1
 117.37956370598837
0
0
 847.86789643993563
0
0
 0
1
0
 10361400.376779662
0
0
 4138183.8966701697
0
0
 4952484.0986129902
0
0
 0.85961533747412022
0
 1.4916197183098592
0
 1.9333333333333333
1
 0
 197988.92065469275
0
0
 168270.37284195772
0
 138551.82502922267
1
 1748.9059981134972
0
0
 2118.1927066201788
0
0
 4211.5021773618464
0
0
 3581.5177161031443
0
0
 1150.2581249647542
0
0
 77816.220338983054
0
0
 137798.97938406066
0
0
0
 67628.371567436203
0
 4273.4285857321647
0
0
 3063.8297872340427
0
0
 4942.6447268159072
0
0
 194400
0
0
 417696
0
0
 1453610.4230508474
0
0
0
0
 2076586.3186440677
0
0
 2196450.5741864401
2752.488220338983
0
 1336000
0
0
0
 1256654.7217627119
0
0
0
 1591951.8704576269
0
 1927249.0191525421
0
 962488.87599999993
0
0
0
 2832975.6019830508
0
 4703462.3279661015
0
 1262519.4172881357
12761.33186440678
0
0
0
 1574046.0899020557
15910.190566619785
0
 1841216.3671625261
18610.702357361079
0
 2108386.6444229968
21311.214148102368
0
 204400
0
0
0
 68595.08273994585
0
0
0
 3036678.8338983087
0
0
0
 2896.2189784813409
0
0
 1799.9360587224792
0
0
 752.41521126563111
0
0
 0
0
0
 74.431184469848134
0
0
 1501.6069267303196
0
0
 99.124596550582169
0
0
 926.13414428832903
0
0
 123.06924734048332
0
0
 5056.0449994115716
0
0
 517963.60677966103
0
0
 474165.21355932206
0
 430366.82033898303
0
 45960.80102369668
0
0
 78991.999999999985
0
0
 146263.6351893408
0
0
 54884.97717167496
0
 114194.21949509118
0
 69476.446539942117
0
 15569490.640000001
0
0
 0
0
0
 0
0
0
 0
0
0
 0
0
0
 0
0
0
 14308.337998617601
0
0
 19610.239964851204
0
0
 37962.977540275206
0
0
 0
0
0
 3386.6748473093762
0
0
 0
0
 0
0
 12225.302283806977
0
0
 13257.558806046913
0
 5527.8275644421765
0
 6854.4642631619854
0
 12225.302283806977
0
0
 13257.558806046913
0
 5527.8275644421765
0
 6854.4642631619854
0
 12225.302283806977
0
0
 13257.558806046913
0
 5527.8275644421765
0
 6854.4642631619854
0
 0
0
0
 0
0
0
 2362.0652990592002
0
0
 4158.400501065109
1
0
 188.73555190165484
0
0
 327.25636421348702
0
 500
0
 729.04868501975375
0
 648.30353015707601
0
0
 922.07512908304216
0
 5556.25
0
 5556.25
0
 958.09264332080704
0
0
 1134.4449798911887
0
 5937.5
0
 5937.5
0
 2.5284916799978143
1
0
 105714.28571428571
0
0
 0
 3731.8013419365466
1
0
 3718.6859817618433
0
 3705.5706215871405
0
 357831.45101694914
0
0
 1048.2949872907084
1
0
 643.56533872966133
0
 573.56066878387912
0
 238.83569016861418
0
 1929.3594270013275
1
0
 964.67971350066375
0
 482.33985675033188
0
 202271.18644067799
1
0
 404542.37288135599
0
 606813.55932203401
0
 1312.7868852459017
1
0
 1134.5946742902481
0
 1359.1481394561479
0
 956.40246333459459
0
 99895.932203389835
0
0
 6121.1902277381569
1
0
 3759.8288625461082
0
 3352.8926339351092
0
 1398.4674973540598
0
 886.33780988546198
1
0
 553.97320051668464
0
 504.12816458198478
0
 221.60859114790728
0
 2361.8700667881003
1
0
 1642.9633042919922
0
 1668.5628999571197
0
 924.0565417958843
0
 357.22666707830365
1
0
 240.56920028293678
0
 236.91260695082934
0
 123.91173348756993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365
365
365
365
365
365
365
365
365
365
365
365
365
365
365
365
365
365
365
365
365
365
365
365
365
365
365
365
365
365
365
365
365
365
365
365
365
365
365
365
365
365
365
365
365
365
365
365
365
365
365
365
365
365
365
365
365
365
365
365
365
365
365
365
365
365
365
366
365
365
365
365
365
365
365
365
365
365
365
365
365
365
365
365
365
365
365
365
365
365
365
365
365
365
365
365
365
365
365
365
365
365
365
365
365
365
365
365
365
365
365
365
365
365
365
365
365
365
365
365
365
365
365
365
365
365
365
365
365
365
365
365
365
 1900
1900
1900
1900
1900
1900
1900
1900
1900
1900
1900
1900
1901
1901
1901
1901
1901
1901
1901
1901
1901
1901
1901
1901
1902
1902
1902
1902
1902
1902
1902
1902
1902
1902
1902
1902
1903
1903
1903
1903
1903
1903
1903
1903
1903
1903
1903
1903
1904
1904
1904
1904
1904
1904
1904
1904
1904
1904
1904
1904
1905
1905
1905
1905
1905
1905
1905
1905
1905
1905
1905
1905
1906
1906
1906
1906
1906
1906
1906
1906
1906
1906
1906
1906
1907
1907
1907
1907
1907
1907
1907
1907
1907
1907
1907
1907
1908
1908
1908
1908
1908
1908
1908
1908
1908
1908
1908
1908
1909
1909
1909
1909
1909
1909
1909
1909
1909
1909
1909
1909
1910
1910
1910
1910
1910
1910
1910
1910
1910
1910
1910
1910
1911
 31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1/1/1900
2/1/1900
3/1/1900
4/1/1900
5/1/1900
6/1/1900
7/1/1900
8/1/1900
9/1/1900
10/1/1900
11/1/1900
12/1/1900
1/1/1901
2/1/1901
3/1/1901
4/1/1901
5/1/1901
6/1/1901
7/1/1901
8/1/1901
9/1/1901
10/1/1901
11/1/1901
12/1/1901
1/1/1902
2/1/1902
3/1/1902
4/1/1902
5/1/1902
6/1/1902
7/1/1902
8/1/1902
9/1/1902
10/1/1902
11/1/1902
12/1/1902
1/1/1903
2/1/1903
3/1/1903
4/1/1903
5/1/1903
6/1/1903
7/1/1903
8/1/1903
9/1/1903
10/1/1903
11/1/1903
12/1/1903
1/1/1904
2/1/1904
3/1/1904
4/1/1904
5/1/1904
6/1/1904
7/1/1904
8/1/1904
9/1/1904
10/1/1904
11/1/1904
12/1/1904
1/1/1905
2/1/1905
3/1/1905
4/1/1905
5/1/1905
6/1/1905
7/1/1905
8/1/1905
9/1/1905
10/1/1905
11/1/1905
12/1/1905
1/1/1906
2/1/1906
3/1/1906
4/1/1906
5/1/1906
6/1/1906
7/1/1906
8/1/1906
9/1/1906
10/1/1906
11/1/1906
12/1/1906
1/1/1907
2/1/1907
3/1/1907
4/1/1907
5/1/1907
6/1/1907
7/1/1907
8/1/1907
9/1/1907
10/1/1907
11/1/1907
12/1/1907
1/1/1908
2/1/1908
3/1/1908
4/1/1908
5/1/1908
6/1/1908
7/1/1908
8/1/1908
9/1/1908
10/1/1908
11/1/1908
12/1/1908
1/1/1909
2/1/1909
3/1/1909
4/1/1909
5/1/1909
6/1/1909
7/1/1909
8/1/1909
9/1/1909
10/1/1909
11/1/1909
12/1/1909
1/1/1910
2/1/1910
3/1/1910
4/1/1910
5/1/1910
6/1/1910
7/1/1910
8/1/1910
9/1/1910
10/1/1910
11/1/1910
12/1/1910
1/1/1911
2/1/1911
 1
1
0
0
0
0
0
0
0
0
0
0
0
0
0
0
0
0
0
0
0
0
0
0
0
0
0
0
0
0
0
0
0
0
0
0
0
0
0
0
0
0
0
0
0
0
0
0
0
0
0
0
0
0
0
0
0
0
0
0
0
0
0
0
0
0
0
0
0
0
0
0
0
0
0
0
0
0
0
0
0
0
0
0
0
0
0
0
0
0
0
0
0
0
0
0
0
0
0
0
0
0
0
0
0
0
0
0
0
0
0
0
0
0
0
0
0
0
0
0
0
0
0
0
0
0
0
0
0
0
0
0
0
0
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7.5180522425348673E-2
0
0
0
0
0
0
0
0
0
0
0
0
0
0
0
0
0
0
0
0
0
0
0
0
0
0
0
0
0
0
0
0
0
0
0
0
0
0
0
0
0
0
0
0
0
0
0
0
0
0
0
0
0
0
0
0
0
0
0
0
0
0
0
0
0
0
0
0
0
0
0
0
0
0
0
0
0
0
0
0
0
0
0
0
0
0
0
0
0
0
0
0
0
0
0
0
0
0
0
0
0
0
0
0
0
0
0
0
0
0
0
0
0
0
0
0
0
0
0
0
0
0
0
0
0
0
0
0
0
0
0
0
0
0
0
 0.92481947757465133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0.21958031763026498
0
0
0
0
0
0
0
0
0
0
0
0
0
0
0
0
0
0
0
0
0
0
0
0
0
0
0
0
0
0
0
0
0
0
0
0
0
0
0
0
0
0
0
0
0
0
0
0
0
0
0
0
0
0
0
0
0
0
0
0
0
0
0
0
0
0
0
0
0
0
0
0
0
0
0
0
0
0
0
0
0
0
0
0
0
0
0
0
0
0
0
0
0
0
0
0
0
0
0
0
0
0
0
0
0
0
0
0
0
0
0
0
0
0
0
0
0
0
0
0
0
0
0
0
0
0
0
0
0
0
0
0
0
0
 0.78041968236973502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0.29944780137415283
0
0
0
0
0
0
0
0
0
0
0
0
0
0
0
0
0
0
0
0
0
0
0
0
0
0
0
0
0
0
0
0
0
0
0
0
0
0
0
0
0
0
0
0
0
0
0
0
0
0
0
0
0
0
0
0
0
0
0
0
0
0
0
0
0
0
0
0
0
0
0
0
0
0
0
0
0
0
0
0
0
0
0
0
0
0
0
0
0
0
0
0
0
0
0
0
0
0
0
0
0
0
0
0
0
0
0
0
0
0
0
0
0
0
0
0
0
0
0
0
0
0
0
0
0
0
0
0
0
0
0
0
0
0
 0.70055219862584717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0.21465234543376616
0
0
0
0
0
0
0
0
0
0
0
0
0
0
0
0
0
0
0
0
0
0
0
0
0
0
0
0
0
0
0
0
0
0
0
0
0
0
0
0
0
0
0
0
0
0
0
0
0
0
0
0
0
0
0
0
0
0
0
0
0
0
0
0
0
0
0
0
0
0
0
0
0
0
0
0
0
0
0
0
0
0
0
0
0
0
0
0
0
0
0
0
0
0
0
0
0
0
0
0
0
0
0
0
0
0
0
0
0
0
0
0
0
0
0
0
0
0
0
0
0
0
0
0
0
0
0
0
0
0
0
0
0
0
 0.7853476545662339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0.11249999999999999
0
0
0
0
0
0
0
0
0
0
0
0
0
0
0
0
0
0
0
0
0
0
0
0
0
0
0
0
0
0
0
0
0
0
0
0
0
0
0
0
0
0
0
0
0
0
0
0
0
0
0
0
0
0
0
0
0
0
0
0
0
0
0
0
0
0
0
0
0
0
0
0
0
0
0
0
0
0
0
0
0
0
0
0
0
0
0
0
0
0
0
0
0
0
0
0
0
0
0
0
0
0
0
0
0
0
0
0
0
0
0
0
0
0
0
0
0
0
0
0
0
0
0
0
0
0
0
0
0
0
0
0
0
0
 0.88749999999999996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0.15
0
0
0
0
0
0
0
0
0
0
0
0
0
0
0
0
0
0
0
0
0
0
0
0
0
0
0
0
0
0
0
0
0
0
0
0
0
0
0
0
0
0
0
0
0
0
0
0
0
0
0
0
0
0
0
0
0
0
0
0
0
0
0
0
0
0
0
0
0
0
0
0
0
0
0
0
0
0
0
0
0
0
0
0
0
0
0
0
0
0
0
0
0
0
0
0
0
0
0
0
0
0
0
0
0
0
0
0
0
0
0
0
0
0
0
0
0
0
0
0
0
0
0
0
0
0
0
0
0
0
0
0
0
0
 0.79999999999999993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0.15
0
0
0
0
0
0
0
0
0
0
0
0
0
0
0
0
0
0
0
0
0
0
0
0
0
0
0
0
0
0
0
0
0
0
0
0
0
0
0
0
0
0
0
0
0
0
0
0
0
0
0
0
0
0
0
0
0
0
0
0
0
0
0
0
0
0
0
0
0
0
0
0
0
0
0
0
0
0
0
0
0
0
0
0
0
0
0
0
0
0
0
0
0
0
0
0
0
0
0
0
0
0
0
0
0
0
0
0
0
0
0
0
0
0
0
0
0
0
0
0
0
0
0
0
0
0
0
0
0
0
0
0
0
0
 0.79999999999999993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
0
0
0
0
0
0
0
0
0
0
0
0
0
0
0
0
0
0
0
0
0
0
0
0
0
0
0
0
0
0
0
0
0
0
0
0
0
0
0
0
0
0
0
0
0
0
0
0
0
0
0
0
0
0
0
0
0
0
0
0
0
0
0
0
0
0
0
0
0
0
0
0
0
0
0
0
0
0
0
0
0
0
0
0
0
0
0
0
0
0
0
0
0
0
0
0
0
0
0
0
0
0
0
0
0
0
0
0
0
0
0
0
0
0
0
0
0
0
0
0
0
0
0
0
0
0
0
0
0
0
0
0
0
0
 0.85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
0
0
0
0
0
0
0
0
0
0
0
0
0
0
0
0
0
0
0
0
0
0
0
0
0
0
0
0
0
0
0
0
0
0
0
0
0
0
0
0
0
0
0
0
0
0
0
0
0
0
0
0
0
0
0
0
0
0
0
0
0
0
0
0
0
0
0
0
0
0
0
0
0
0
0
0
0
0
0
0
0
0
0
0
0
0
0
0
0
0
0
0
0
0
0
0
0
0
0
0
0
0
0
0
0
0
0
0
0
0
0
0
0
0
0
0
0
0
0
0
0
0
0
0
0
0
0
0
0
0
0
0
0
0
 0.85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
0
0
0
0
0
0
0
0
0
0
0
0
0
0
0
0
0
0
0
0
0
0
0
0
0
0
0
0
0
0
0
0
0
0
0
0
0
0
0
0
0
0
0
0
0
0
0
0
0
0
0
0
0
0
0
0
0
0
0
0
0
0
0
0
0
0
0
0
0
0
0
0
0
0
0
0
0
0
0
0
0
0
0
0
0
0
0
0
0
0
0
0
0
0
0
0
0
0
0
0
0
0
0
0
0
0
0
0
0
0
0
0
0
0
0
0
0
0
0
0
0
0
0
0
0
0
0
0
0
0
0
0
0
0
 0.85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0.15
0
0
0
0
0
0
0
0
0
0
0
0
0
0
0
0
0
0
0
0
0
0
0
0
0
0
0
0
0
0
0
0
0
0
0
0
0
0
0
0
0
0
0
0
0
0
0
0
0
0
0
0
0
0
0
0
0
0
0
0
0
0
0
0
0
0
0
0
0
0
0
0
0
0
0
0
0
0
0
0
0
0
0
0
0
0
0
0
0
0
0
0
0
0
0
0
0
0
0
0
0
0
0
0
0
0
0
0
0
0
0
0
0
0
0
0
0
0
0
0
0
0
0
0
0
0
0
0
0
0
0
0
0
0
 0.79999999999999993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0.15
0
0
0
0
0
0
0
0
0
0
0
0
0
0
0
0
0
0
0
0
0
0
0
0
0
0
0
0
0
0
0
0
0
0
0
0
0
0
0
0
0
0
0
0
0
0
0
0
0
0
0
0
0
0
0
0
0
0
0
0
0
0
0
0
0
0
0
0
0
0
0
0
0
0
0
0
0
0
0
0
0
0
0
0
0
0
0
0
0
0
0
0
0
0
0
0
0
0
0
0
0
0
0
0
0
0
0
0
0
0
0
0
0
0
0
0
0
0
0
0
0
0
0
0
0
0
0
0
0
0
0
0
0
0
 0.79999999999999993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0.15
0
0
0
0
0
0
0
0
0
0
0
0
0
0
0
0
0
0
0
0
0
0
0
0
0
0
0
0
0
0
0
0
0
0
0
0
0
0
0
0
0
0
0
0
0
0
0
0
0
0
0
0
0
0
0
0
0
0
0
0
0
0
0
0
0
0
0
0
0
0
0
0
0
0
0
0
0
0
0
0
0
0
0
0
0
0
0
0
0
0
0
0
0
0
0
0
0
0
0
0
0
0
0
0
0
0
0
0
0
0
0
0
0
0
0
0
0
0
0
0
0
0
0
0
0
0
0
0
0
0
0
0
0
0
 0.7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0.1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
0
0
0
0
0
0
0
0
0
0
0
0
0
0
0
0
0
0
0
0
0
0
0
0
0
0
0
0
0
0
0
0
0
0
0
0
0
0
0
0
0
0
0
0
0
0
0
0
0
0
0
0
0
0
0
0
0
0
0
0
0
0
0
0
0
0
0
0
0
0
0
0
0
0
0
0
0
0
0
0
0
0
0
0
0
0
0
0
0
0
0
0
0
0
0
0
0
0
0
0
0
0
0
0
0
0
0
0
0
0
0
0
0
0
0
0
0
0
0
0
0
0
0
0
0
0
0
0
0
0
0
0
0
0
 0.44999999999999996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0.1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
0
0
0
0
0
0
0
0
0
0
0
0
0
0
0
0
0
0
0
0
0
0
0
0
0
0
0
0
0
0
0
0
0
0
0
0
0
0
0
0
0
0
0
0
0
0
0
0
0
0
0
0
0
0
0
0
0
0
0
0
0
0
0
0
0
0
0
0
0
0
0
0
0
0
0
0
0
0
0
0
0
0
0
0
0
0
0
0
0
0
0
0
0
0
0
0
0
0
0
0
0
0
0
0
0
0
0
0
0
0
0
0
0
0
0
0
0
0
0
0
0
0
0
0
0
0
0
0
0
0
0
0
0
0
 0.64999999999999991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
0
0
0
0
0
0
0
0
0
0
0
0
0
0
0
0
0
0
0
0
0
0
0
0
0
0
0
0
0
0
0
0
0
0
0
0
0
0
0
0
0
0
0
0
0
0
0
0
0
0
0
0
0
0
0
0
0
0
0
0
0
0
0
0
0
0
0
0
0
0
0
0
0
0
0
0
0
0
0
0
0
0
0
0
0
0
0
0
0
0
0
0
0
0
0
0
0
0
0
0
0
0
0
0
0
0
0
0
0
0
0
0
0
0
0
0
0
0
0
0
0
0
0
0
0
0
0
0
0
0
0
0
0
0
 0.64999999999999991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
0
0
0
0
0
0
0
0
0
0
0
0
0
0
0
0
0
0
0
0
0
0
0
0
0
0
0
0
0
0
0
0
0
0
0
0
0
0
0
0
0
0
0
0
0
0
0
0
0
0
0
0
0
0
0
0
0
0
0
0
0
0
0
0
0
0
0
0
0
0
0
0
0
0
0
0
0
0
0
0
0
0
0
0
0
0
0
0
0
0
0
0
0
0
0
0
0
0
0
0
0
0
0
0
0
0
0
0
0
0
0
0
0
0
0
0
0
0
0
0
0
0
0
0
0
0
0
0
0
0
0
0
0
0
 0.64999999999999991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
0
0
0
0
0
0
0
0
0
0
0
0
0
0
0
0
0
0
0
0
0
0
0
0
0
0
0
0
0
0
0
0
0
0
0
0
0
0
0
0
0
0
0
0
0
0
0
0
0
0
0
0
0
0
0
0
0
0
0
0
0
0
0
0
0
0
0
0
0
0
0
0
0
0
0
0
0
0
0
0
0
0
0
0
0
0
0
0
0
0
0
0
0
0
0
0
0
0
0
0
0
0
0
0
0
0
0
0
0
0
0
0
0
0
0
0
0
0
0
0
0
0
0
0
0
0
0
0
0
0
0
0
0
0
 0.64999999999999991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
0
0
0
0
0
0
0
0
0
0
0
0
0
0
0
0
0
0
0
0
0
0
0
0
0
0
0
0
0
0
0
0
0
0
0
0
0
0
0
0
0
0
0
0
0
0
0
0
0
0
0
0
0
0
0
0
0
0
0
0
0
0
0
0
0
0
0
0
0
0
0
0
0
0
0
0
0
0
0
0
0
0
0
0
0
0
0
0
0
0
0
0
0
0
0
0
0
0
0
0
0
0
0
0
0
0
0
0
0
0
0
0
0
0
0
0
0
0
0
0
0
0
0
0
0
0
0
0
0
0
0
0
0
0
 0.64999999999999991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
0
0
0
0
0
0
0
0
0
0
0
0
0
0
0
0
0
0
0
0
0
0
0
0
0
0
0
0
0
0
0
0
0
0
0
0
0
0
0
0
0
0
0
0
0
0
0
0
0
0
0
0
0
0
0
0
0
0
0
0
0
0
0
0
0
0
0
0
0
0
0
0
0
0
0
0
0
0
0
0
0
0
0
0
0
0
0
0
0
0
0
0
0
0
0
0
0
0
0
0
0
0
0
0
0
0
0
0
0
0
0
0
0
0
0
0
0
0
0
0
0
0
0
0
0
0
0
0
0
0
0
0
0
0
 0.64999999999999991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
0
0
0
0
0
0
0
0
0
0
0
0
0
0
0
0
0
0
0
0
0
0
0
0
0
0
0
0
0
0
0
0
0
0
0
0
0
0
0
0
0
0
0
0
0
0
0
0
0
0
0
0
0
0
0
0
0
0
0
0
0
0
0
0
0
0
0
0
0
0
0
0
0
0
0
0
0
0
0
0
0
0
0
0
0
0
0
0
0
0
0
0
0
0
0
0
0
0
0
0
0
0
0
0
0
0
0
0
0
0
0
0
0
0
0
0
0
0
0
0
0
0
0
0
0
0
0
0
0
0
0
0
0
0
 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
0
0
0
0
0
0
0
0
0
0
0
0
0
0
0
0
0
0
0
0
0
0
0
0
0
0
0
0
0
0
0
0
0
0
0
0
0
0
0
0
0
0
0
0
0
0
0
0
0
0
0
0
0
0
0
0
0
0
0
0
0
0
0
0
0
0
0
0
0
0
0
0
0
0
0
0
0
0
0
0
0
0
0
0
0
0
0
0
0
0
0
0
0
0
0
0
0
0
0
0
0
0
0
0
0
0
0
0
0
0
0
0
0
0
0
0
0
0
0
0
0
0
0
0
0
0
0
0
0
0
0
0
0
0
 0.85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0.18749999999999994
0
0
0
0
0
0
0
0
0
0
0
0
0
0
0
0
0
0
0
0
0
0
0
0
0
0
0
0
0
0
0
0
0
0
0
0
0
0
0
0
0
0
0
0
0
0
0
0
0
0
0
0
0
0
0
0
0
0
0
0
0
0
0
0
0
0
0
0
0
0
0
0
0
0
0
0
0
0
0
0
0
0
0
0
0
0
0
0
0
0
0
0
0
0
0
0
0
0
0
0
0
0
0
0
0
0
0
0
0
0
0
0
0
0
0
0
0
0
0
0
0
0
0
0
0
0
0
0
0
0
0
0
0
0
 0.76249999999999996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
0
0
0
0
0
0
0
0
0
0
0
0
0
0
0
0
0
0
0
0
0
0
0
0
0
0
0
0
0
0
0
0
0
0
0
0
0
0
0
0
0
0
0
0
0
0
0
0
0
0
0
0
0
0
0
0
0
0
0
0
0
0
0
0
0
0
0
0
0
0
0
0
0
0
0
0
0
0
0
0
0
0
0
0
0
0
0
0
0
0
0
0
0
0
0
0
0
0
0
0
0
0
0
0
0
0
0
0
0
0
0
0
0
0
0
0
0
0
0
0
0
0
0
0
0
0
0
0
0
0
0
0
0
0
 0.85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
0
0
0
0
0
0
0
0
0
0
0
0
0
0
0
0
0
0
0
0
0
0
0
0
0
0
0
0
0
0
0
0
0
0
0
0
0
0
0
0
0
0
0
0
0
0
0
0
0
0
0
0
0
0
0
0
0
0
0
0
0
0
0
0
0
0
0
0
0
0
0
0
0
0
0
0
0
0
0
0
0
0
0
0
0
0
0
0
0
0
0
0
0
0
0
0
0
0
0
0
0
0
0
0
0
0
0
0
0
0
0
0
0
0
0
0
0
0
0
0
0
0
0
0
0
0
0
0
0
0
0
0
0
0
 0.64999999999999991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2.5000000000000001E-2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15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0
0
0
0
0
0
0
0
0
0
0
0
0
0
0
0
0
0
0
0
0
0
0
0
0
0
0
0
0
0
0
0
0
0
0
0
0
0
0
0
0
0
0
0
0
0
0
0
0
0
0
0
0
0
0
0
0
0
0
0
0
0
0
0
0
0
0
0
0
0
0
0
0
0
0
0
0
0
0
0
0
0
0
0
0
0
0
0
0
0
0
0
0
0
0
0
0
0
0
0
0
0
0
0
0
0
0
0
0
0
0
0
0
0
0
0
0
0
0
0
0
0
0
0
0
0
0
0
0
0
0
0
0
0
 29
31
30
31
30
31
31
30
31
30
31
31
28
31
30
31
30
31
31
30
31
30
31
31
28
31
30
31
30
31
31
30
31
30
31
31
28
31
30
31
30
31
31
30
31
30
31
31
29
31
30
31
30
31
31
30
31
30
31
31
28
31
30
31
30
31
31
30
31
30
31
31
28
31
30
31
30
31
31
30
31
30
31
31
28
31
30
31
30
31
31
30
31
30
31
31
29
31
30
31
30
31
31
30
31
30
31
31
28
31
30
31
30
31
31
30
31
30
31
31
28
31
30
31
30
31
31
30
31
30
31
31
 00:00:00
00:00:00
 0
 1/1/1900
2/1/1900
3/1/1900
4/1/1900
5/1/1900
6/1/1900
7/1/1900
8/1/1900
9/1/1900
10/1/1900
11/1/1900
12/1/1900
1/1/1901
2/1/1901
3/1/1901
4/1/1901
5/1/1901
6/1/1901
7/1/1901
8/1/1901
9/1/1901
10/1/1901
11/1/1901
12/1/1901
1/1/1902
2/1/1902
3/1/1902
4/1/1902
5/1/1902
6/1/1902
7/1/1902
8/1/1902
9/1/1902
10/1/1902
11/1/1902
12/1/1902
1/1/1903
2/1/1903
3/1/1903
4/1/1903
5/1/1903
6/1/1903
7/1/1903
8/1/1903
9/1/1903
10/1/1903
11/1/1903
12/1/1903
1/1/1904
2/1/1904
3/1/1904
4/1/1904
5/1/1904
6/1/1904
7/1/1904
8/1/1904
9/1/1904
10/1/1904
11/1/1904
12/1/1904
1/1/1905
2/1/1905
3/1/1905
4/1/1905
5/1/1905
6/1/1905
7/1/1905
8/1/1905
9/1/1905
10/1/1905
11/1/1905
12/1/1905
1/1/1906
2/1/1906
3/1/1906
4/1/1906
5/1/1906
6/1/1906
7/1/1906
8/1/1906
9/1/1906
10/1/1906
11/1/1906
12/1/1906
1/1/1907
2/1/1907
3/1/1907
4/1/1907
5/1/1907
6/1/1907
7/1/1907
8/1/1907
9/1/1907
10/1/1907
11/1/1907
12/1/1907
1/1/1908
2/1/1908
3/1/1908
4/1/1908
5/1/1908
6/1/1908
7/1/1908
8/1/1908
9/1/1908
10/1/1908
11/1/1908
12/1/1908
1/1/1909
2/1/1909
3/1/1909
4/1/1909
5/1/1909
6/1/1909
7/1/1909
8/1/1909
9/1/1909
10/1/1909
11/1/1909
12/1/1909
1/1/1910
2/1/1910
3/1/1910
4/1/1910
5/1/1910
6/1/1910
7/1/1910
8/1/1910
9/1/1910
10/1/1910
11/1/1910
12/1/1910
1/1/1911
2/1/1911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1/1/1900
2/1/1900
3/1/1900
4/1/1900
5/1/1900
6/1/1900
7/1/1900
8/1/1900
9/1/1900
10/1/1900
11/1/1900
12/1/1900
1/1/1901
2/1/1901
3/1/1901
4/1/1901
5/1/1901
6/1/1901
7/1/1901
8/1/1901
9/1/1901
10/1/1901
11/1/1901
12/1/1901
1/1/1902
2/1/1902
3/1/1902
4/1/1902
5/1/1902
6/1/1902
7/1/1902
8/1/1902
9/1/1902
10/1/1902
11/1/1902
12/1/1902
1/1/1903
2/1/1903
3/1/1903
4/1/1903
5/1/1903
6/1/1903
7/1/1903
8/1/1903
9/1/1903
10/1/1903
11/1/1903
12/1/1903
1/1/1904
2/1/1904
3/1/1904
4/1/1904
5/1/1904
6/1/1904
7/1/1904
8/1/1904
9/1/1904
10/1/1904
11/1/1904
12/1/1904
1/1/1905
2/1/1905
3/1/1905
4/1/1905
5/1/1905
6/1/1905
7/1/1905
8/1/1905
9/1/1905
10/1/1905
11/1/1905
12/1/1905
1/1/1906
2/1/1906
3/1/1906
4/1/1906
5/1/1906
6/1/1906
7/1/1906
8/1/1906
9/1/1906
10/1/1906
11/1/1906
12/1/1906
1/1/1907
2/1/1907
3/1/1907
4/1/1907
5/1/1907
6/1/1907
7/1/1907
8/1/1907
9/1/1907
10/1/1907
11/1/1907
12/1/1907
1/1/1908
2/1/1908
3/1/1908
4/1/1908
5/1/1908
6/1/1908
7/1/1908
8/1/1908
9/1/1908
10/1/1908
11/1/1908
12/1/1908
1/1/1909
2/1/1909
3/1/1909
4/1/1909
5/1/1909
6/1/1909
7/1/1909
8/1/1909
9/1/1909
10/1/1909
11/1/1909
12/1/1909
1/1/1910
2/1/1910
3/1/1910
4/1/1910
5/1/1910
6/1/1910
7/1/1910
8/1/1910
9/1/1910
10/1/1910
11/1/1910
12/1/1910
1/1/1911
2/1/1911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0
0
0
0
0
0
0
0
0
0
0
0
 0
0
0
0
0
0
0
0
0
0
0
 1
1
1
1
1
1
1
1
1
1
1
 0
0
0
0
0
0
0
0
0
0
0
 0
0
0
 0
0
0
0
0
0
0
0
0
0
0
 0
0
0
0
0
0
0
0
0
0
0
 0
0
0
0
0
0
0
0
0
0
0
0
 0
0
0
0
0
0
0
0
0
0
0
0
 0
0
0
0
0
0
0
0
0
0
0
0
 0
 0
 0
 0
 0
 0
 0
 0
 0
 0
 0
 0
 0
0
0
 0
0
0
0
0
 1000
120
150
 5000
270
350
365
365
 0
10000
350
365
380
380
 0
0
0
20000
365
380
400
400
 35000
380
400
430
455
 0.3
30
45
 3
90
120
 0
0
0
0
0
 0
0
0
0
0
0
0
0
0
0
0
 3000
15
1000
138
172.5
1000
60
45
80
80
1000
30
 5000
15
5000
310.5
402.49999999999994
419.74999999999994
419.74999999999994
2000
60
45
90
150
5000
45
 10000
15
10000
402.49999999999994
419.74999999999994
436.99999999999994
436.99999999999994
4000
90
60
120
10000
60
 15000
20
20000
419.74999999999994
436.99999999999994
459.99999999999994
459.99999999999994
6000
120
60
140
20000
90
 20000
45
35000
436.99999999999994
459.99999999999994
494.49999999999994
523.25
8000
120
60
160
35000
120
 30000
45
10000
160
60
180
20000
30000
40000
50000
70000
80000
95000
 45000
60
5
163.125
186.42857142857142
217.5
0
0
0
0
 120000
90
10
186.42857142857142
212.21916266506605
232.93487106381016
253.65057946255428
274.36628786129836
295.0819962600425
310.71428571428572
 20
217.5
236.02179962894252
259.91048237476809
283.79916512059373
307.6878478664193
331.57653061224494
362.5
 0
0
30
0
261
286.76582148010721
312.41207998350853
338.05833848690992
363.7045969903113
395.45454545454544
 0
0
0
0
0
40
0
326.25
355.13734335839598
376.4690931875142
397.80084301663248
419.13259284575071
435
 0
0
0
0
0
0
0
1
2
3
4
5
6
7
 1000
239
40000
180
20000
0
20000
30000
40000
50000
70000
80000
95000
20000
30000
40000
50000
70000
80000
95000
 3000
239
70000
315.31531531531533
30000
0
5
163.125
20000
186.42857142857142
30000
217.5
40000
50000
70000
80000
95000
5
163.125
186.42857142857142
217.5
0
0
0
0
5
167
192
218
0
0
0
0
 5000
239
80000
360.36036036036035
40000
0
10
186.42857142857142
261
232
271.875
217.5
232
295.17857142857144
10
186.42857142857142
217.5
232
255.88235294117646
271.875
301.15384615384613
310.71428571428572
10
180
200
220
241
281
301
331
 10000
270
95000
427.92792792792795
50000
0
20
217.5
290
248.57142857142858
310.71428571428572
290
316.36363636363637
344.375
20
217.5
237.27272727272728
248.57142857142858
290
304.5
326.25
362.5
20
222
239
257
274
309
327
353
 15000
270
70000
0
30
0
326.25
348
435
304.5
331.42857142857144
375.68181818181819
30
0
261
290
310.71428571428572
338.33333333333331
355.90909090909093
395.45454545454544
30
0
283
300
317
350
367
392
 20000
270
80000
0
40
0
372.85714285714283
497.14285714285717
543.75
435
348
393.57142857142856
40
0
326.25
348
395.45454545454544
406
412.10526315789474
435
40
0
328
345
361
393
410
434
 25000
270
95000
0
 0
0
0
0
0
0
0
0
 20000
0
 30000
0
5
186.42857142857142
20000
200.76923076923077
30000
232
40000
50000
70000
80000
95000
 40000
0
10
217.5
290
248.57142857142858
290
253.75
267.69230769230768
317.88461538461536
 50000
0
20
261
326.25
267.69230769230768
334.61538461538464
320.5263157894737
348
375.68181818181819
 70000
0
30
0
372.85714285714283
386.66666666666669
483.33333333333331
338.33333333333331
386.66666666666669
413.25
 80000
0
40
0
435
580
621.42857142857144
468.46153846153845
409.41176470588238
435
 95000
0
 0
 0
 5000
21
0
0
0
 10000
21
0
0
0
0
0
0
0
0
 15000
45
380
240
20000
0
 20000
60
850
720
30000
0
22
240
20000
240
30000
264
40000
293.33333333333331
50000
308
70000
320
80000
348.33333333333331
95000
 50000
60
960
900
40000
0
40
260
274
300
342.85714285714283
363.63636363636363
373.33333333333331
380
 90000
60
50000
0
66
288
293.33333333333331
330
352
385
391.11111111111109
485
 70000
0
120
320
342.85714285714283
378.94736842105266
384
400
436.36363636363637
545
 0
0
0
0
0
80000
0
 0
0
0
0
60
95000
0
 300
730
850
730
850
 600
730
850
730
850
0
0
0
0
0
0
0
0
 825
730
850
730
850
20000
0
 1100
730
850
730
850
30000
0
22
264.5
20000
276
30000
303.59999999999997
40000
337.33333333333292
50000
354.2
70000
368
80000
400.58333333333292
95000
 40000
0
40
299
315.09999999999997
345
394.28571428571445
418.18181818181858
429.33333333333286
436.99999999999994
 50000
0
66
331.2
337.33333333333292
379.49999999999994
404.79999999999995
442.74999999999994
449.7777777777776
557.75
 70000
0
120
368
394.28571428571445
435.78947368421092
441.59999999999997
459.99999999999994
501.81818181818136
626.75
 80000
0
 95000
0
 0
0
 0
0
0
0
0
0
0
 20000
0
 30000
0
22
100
20000
141.50943396226415
30000
155.64202334630349
40000
194.55252918287937
50000
231.78807947019868
70000
264.9006622516556
80000
314.56953642384104
95000
 0
40000
0
40
142.85714285714286
180
228.57142857142858
256.41025641025641
272.37354085603113
320
369.64980544747084
 0
0
0
50000
0
66
163.9344262295082
245.90163934426229
258.06451612903226
299.40119760479041
350
380.95238095238096
450
 0
0
0
70000
0
120
196.07843137254903
267.85714285714283
333.33333333333331
384.61538461538464
437.5
479.04191616766468
510
 80000
0
 100
150
250
40
95000
0
 300
190
350
60
 500
240
400
70
 800
270
 1000
300
0
0
 1500
330
0
 0
0
 0
0
0
 0
22
60
90
 0
100
30
40
60
90
 0
200
45
66
60
90
 500
60
120
90
120
 500
45
1000
75
 1000
60
1250
90
0
0
 2000
60
1500
105
 5000
60
2000
120
3660
120
 10000
90
6940
180
 15000
120
23058
300
 16000
180
 0
0
 0
0
0
0
0
 20000
180
120
150
138
172.5
 30000
180
120
150
138
172.5
 95000
180
150
240
172.5
276
 0
0
0
0
0
0
0
0
0
0
 5000
75
 20000
60
38
90
150
120
5000
30
120
80
5000
75
30000
90
 30000
90
45
135
159.57446808510639
120
10000
30
120
80
10000
78
 40000
120
45
139.13043478260869
212.7659574468085
140
15000
45
120
80
15000
81
 50000
150
60
173.91304347826087
265.95744680851061
140
20000
45
120
80
20000
84
 70000
175
60
243.47826086956522
291.66666666666669
160
50000
60
120
80
30000
90
30000
90
 80000
200
75
256
333.33333333333331
160
90000
60
120
80
40000
97.5
70000
120
 95000
237.5
75
281.48148148148147
339.28571428571428
180
100000
80
120
80
50000
105
 60000
112.5
 70000
120
 80000
130
70000
120
 90000
140
100000
150
 100000
150
 7.5180522425348673E-2
0.92481947757465133
 0.21958031763026498
0.78041968236973502
 0.29944780137415283
0.70055219862584717
 0.21465234543376616
0.7853476545662339
 0
1
 0
1
 0.11249999999999999
0.88749999999999996
 0.15
0.79999999999999993
2.5000000000000001E-2
2.5000000000000001E-2
 0.15
0.79999999999999993
2.5000000000000001E-2
2.5000000000000001E-2
 0.1
0.85
2.5000000000000001E-2
2.5000000000000001E-2
 0.15
0.79999999999999993
2.5000000000000001E-2
2.5000000000000001E-2
 0.15
0.79999999999999993
2.5000000000000001E-2
2.5000000000000001E-2
 0.15
0.7
2.5000000000000001E-2
0.1
2.5000000000000001E-2
 0.4
0.44999999999999996
2.5000000000000001E-2
0.1
2.5000000000000001E-2
 0.3
0.64999999999999991
2.5000000000000001E-2
2.5000000000000001E-2
 0.3
0.7
 0.1
0.85
2.5000000000000001E-2
2.5000000000000001E-2
 0.18749999999999994
0.76249999999999996
2.5000000000000001E-2
2.5000000000000001E-2
 0.1
0.85
2.5000000000000001E-2
2.5000000000000001E-2
 0.3
0.64999999999999991
2.5000000000000001E-2
2.5000000000000001E-2
 1
 0
0
0
0
0
 0
0
0
0
0
 0.1
 0.15
 0.1
 0.1
 0.1
2.5000000000000001E-2
2.5000000000000001E-2
 0.1
2.5000000000000001E-2
2.5000000000000001E-2
 0.1
2.5000000000000001E-2
2.5000000000000001E-2
 0.1
2.5000000000000001E-2
2.5000000000000001E-2
 0.1
2.5000000000000001E-2
2.5000000000000001E-2
 0.1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0.15
2.5000000000000001E-2
0.1
2.5000000000000001E-2
 2.5000000000000001E-2
 0.4
2.5000000000000001E-2
0.1
2.5000000000000001E-2
 0.4
2.5000000000000001E-2
0.1
2.5000000000000001E-2
 0.4
2.5000000000000001E-2
0.1
2.5000000000000001E-2
 0.1
2.5000000000000001E-2
2.5000000000000001E-2
 0.3
2.5000000000000001E-2
2.5000000000000001E-2
 0.1
2.5000000000000001E-2
2.5000000000000001E-2
 0.1
2.5000000000000001E-2
2.5000000000000001E-2
 0.3
2.5000000000000001E-2
2.5000000000000001E-2
 0.3
2.5000000000000001E-2
2.5000000000000001E-2
 0.3
2.5000000000000001E-2
2.5000000000000001E-2
 0.3
2.5000000000000001E-2
2.5000000000000001E-2
 0.1
2.5000000000000001E-2
2.5000000000000001E-2
 0.1
2.5000000000000001E-2
2.5000000000000001E-2
 0.3
2.5000000000000001E-2
2.5000000000000001E-2
 0.1
2.5000000000000001E-2
2.5000000000000001E-2
 0.1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0.3
2.5000000000000001E-2
2.5000000000000001E-2
 0.1
2.5000000000000001E-2
2.5000000000000001E-2
 0.1
2.5000000000000001E-2
2.5000000000000001E-2
 0.3
2.5000000000000001E-2
2.5000000000000001E-2
 0.1
2.5000000000000001E-2
2.5000000000000001E-2
 0.1
2.5000000000000001E-2
2.5000000000000001E-2
 0.7
2.5000000000000001E-2
2.5000000000000001E-2
 0.7
2.5000000000000001E-2
2.5000000000000001E-2
 0.7
2.5000000000000001E-2
2.5000000000000001E-2
 0.7
2.5000000000000001E-2
2.5000000000000001E-2
 0.7
2.5000000000000001E-2
2.5000000000000001E-2
 0.7
2.5000000000000001E-2
2.5000000000000001E-2
 0.7
2.5000000000000001E-2
2.5000000000000001E-2
 0.7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0.15
2.5000000000000001E-2
2.5000000000000001E-2
 0.3
2.5000000000000001E-2
2.5000000000000001E-2
 0.3
2.5000000000000001E-2
2.5000000000000001E-2
 0.3
2.5000000000000001E-2
2.5000000000000001E-2
 0.3
2.5000000000000001E-2
2.5000000000000001E-2
 0.15
2.5000000000000001E-2
2.5000000000000001E-2
 2.5000000000000001E-2
2.5000000000000001E-2
 0.1
2.5000000000000001E-2
2.5000000000000001E-2
 0.1
2.5000000000000001E-2
2.5000000000000001E-2
 0.1
2.5000000000000001E-2
2.5000000000000001E-2
 0.1
2.5000000000000001E-2
2.5000000000000001E-2
 0.3
2.5000000000000001E-2
2.5000000000000001E-2
 Норматив, который утверждается Группой Бюджетирования
Ячейки, которые заполняются оценщиком
ОБЩИЕ ДАННЫЕ
Наземная площадь зданий на выходе , кв.м.
Подземная площадь зданий на выходе , кв.м.
Наличие ритейла на 1-м этаже
Ед. изм.
Учет в объекте
Итого
ОСНОВНЫЕ ЗАТРАТЫ
Земляные работы
Производство земляных работ
Конструктив (выше 0)
к наземной площади, кв.м.
ФУНКЦИОНАЛЬНЫЕ ЗАТРАТЫ
Кровля
Плоская кровля с благоустройством
к площади МОП, кв.м.
Отделка паркинга
Благоустройство
УНИКАЛЬНЫЕ ЗАТРАТЫ
Снос
Некапитальные постройки, кв.м.
Внешние сети
Затраты на внешние сети + подключение и согласование
ВСЕГО
Проектирование
Стройплощадка
Фасад
2-ой ценовой категории (OTIS российск.пр-во, Doppler, KLEEMANN, ORONA) - стандартная отделка кабин
Большая четверка (OTIS франц.пр-во, KONE, ThyssenKrupp, Schindler) - стандартная отделка кабин
Устройство покрытия территории
Комфорт
Мансарда
Детская площадка
к кол-ву мест ,шт.
Школа
Отдельно стоящая школа (под ключ) на 1 место
Отдельно стоящая школа с бассейном (под ключ) на 1 место
Парковка
к кол-ву м/м
Поликлиника
Бизнес
Бизнес +
Премиум
Элит
Большая четверка (OTIS франц.пр-во, KONE, ThyssenKrupp, Schindler) - индивидуальная отделка кабин
2.02.04.01.01
2.02.04.01.01.02
АФК (Архитектурно-функциональная концепция)
2.02.04.01.01.03
2.02.04.01.01.04
2.02.04.01.02
Демонтажные работы
2.02.04.01.03
Вырубка деревьев, компен. озеленение
2.02.04.01.04
2.02.04.01.05
Конструктив ниже 0
Стена в грунте
Существующие фундаменты ниже 0
Новые фундаменты
Существующие перекрытия ниже 0
Новые перекрытия ниже 0
2.02.04.01.06
Конструктив выше 0
Существующие стены и колонны
Существующие перекрытия
Новые перекрытия
Лестницы
Приямки и крыльца
Лифтовая шахта
Балконы
Система мусороудаления
2.02.04.01.07
Скатная кровля
Плоская кровля без благоустройства
Изоляция стилобата
2.02.04.01.08
2.02.04.01.09
Внутренние инженерные сети
Водопровод и канализация внутренние
Система вентиляции, дымоудаления и кондиционирования
Отопление
Электрические системы внутренние
Автоматическая пожарная сигнализация
Система контроля доступа
Подъёмное оборудование
Видеонаблюдение
Автоматизация и диспетчеризация инженерных систем
Системы пожаротушения
2.02.04.01.10
Внутренняя отделка
Отделка МОП
Отделка техпомещений
Отделка блоков (включая с/у)
Отделка квартир
2.02.04.01.11
Мебель и оборудование
2.02.04.01.12
Внешние инженерные сети
Водопровод, канализация внешние
Теплоснабжение
Электрические системы
Газопровод
Слаботочная канализация
Ливнёвая канализация
ИТП и ЦТП
Трансформаторная подстанция
2.02.04.01.13
Озеленение
Навигация
Освещение территории
2.02.04.01.14
СМР соседних участков
Усиление соседних зданий и сооружений
Обустройство соседних зданий и участков
Прочие обременения
2.02.04.01.15
Реализация дизайн-проектов
места
стоимость
стоимость в тыс. 
с бассейном
Школы на 100 мест
Школы на 350 мест с бассейном
Школы на 150 мест
Школы на 400 мест
Школы на 200 мест
Школы на 450 мест
Школы на 250 мест
Школы на 500 мест
Школы на 275 мест
Школы на 550 мест
Школы на 300 мест
Школы на 600 мест с бассейном
Школы на 350 мест
Школы на 625 мест
Школы на 700 мест
Школы на 800 мест
Школы на 825 мест
Школы на 900 мест с бассейном
Школы на 600 мест
Школы свыше 900 мест с бассейном
Школы на 775-800 мест
Школы на 900 мест
Школы на 1000 мест
Школы свыше 1000 мест
Детские сады на 140 мест с бассейном
Детские сады на 150 мест
Детские сады на 160 мест
Детские сады на 50 мест
Детские сады на 175 мест с бассейном
Детские сады на 100-110 мест
Детские сады на 180
Детские сады на 120 мест
Детские сады на 200 мест
Детские сады на 140 мест
Детские сады на 220 мест
Детские сады на 240 мест с бассейном
Детские сады на 180-190 мест
Детские сады на 240 мест
Детские сады на 260 мест
Детские сады на 280 мест
Детские сады на 300 мест
Поликлиники на 50 посещений в смену
Поликлиники на 75 посещений в смену
Поликлиники на 125 посещений в смену
Поликлиники на 150 посещений в смену
Поликлиники на 200 посещений в смену
Поликлиники на 300 посещений в смену
Поликлиники на 400 посещений в смену
Поликлиники на 500 посещений в смену
Поликлиники на 750 посещений в смену
Посадка деревьев-саженцев, кустарников, устройство газонов, разбивка цветников, устройство садово-парковых дорожек
 Озеленение 
детских садов
школ
Измеритель: 
стоимость озеленения на одно место
Измеритель: 
стоимость озеленения на одно посещение в смену
учреждений амбулаторного лечения
Под ключ, включая проект, прокладку внут. инж. сетей, монтаж и стоимость инж. и технологич. оборуд., мебели и инвентаря. Предусмотрены конструктивные решения, обеспечивающие использование объектов маломобильными группами населения.
Отдельно стоящее ДОУ с бассейном на 1 место
Отдельно стоящее ДОУ на 1 место
Текущий коэффициент
Под ключ, включая проект, прокладку внут. инж. сетей, монтаж и стоимость инж. и технологич. оборуд., мебели и инвентаря + Бассейн
Под ключ, включая проект, прокладку внут. инж. сетей, монтаж и стоимость инж. и технологич. оборуд., мебели и инвентаря
Есть ли стесненные условия для строительства Поликлиники
Код
Вид работ
Итого, руб.
руб. за 1м2
Общая площадь (наземная и подземная площадь) , м2
02.02.04.01
Ливнёвая канализация внутренняя
Согласования по сетям и тех.условиям
Согласование проектов и разработка проектной документации
Платежи за присоединение
Малые архитектурные формы для объектов здравоохранения:
для учреждений амбулаторного лечения
Площадь ЗУ (без пятна застройки) Поликлиника, кв.м.
Диваны, скамьи, цветочницы, урны
к площади ЗУ (без пятна застройки) Поликлиники, кв.м.
Таблица 16-02-001 Специальные малые архитектурные формы для объектов народного образования
Измеритель: 
стадион
стадион, площадью 4200 м
2
стадион, площадью 5260 м
2
стадион, площадью 10200 м
2
Стадион
Устройство стадиона под ключ
Таблица 16-01-001 Малые архитектурные формы для детских садов
Таблица 16-01-002 Малые архитектурные формы для общеобразовательных школ
СОЦИАЛЬНЫЕ ЗАТРАТЫ
(нормативы рассчитаны для отдельно стоящего здания, без учета стоимости прочих объектов, расположенных в пределах земельного участка, отведенного под застройку (трансформаторные подстанции, котельные, насосные станции и т.п.)
ДОУ
Площадь ЗУ (без пятна застройки) ДОУ, кв.м.
Площадь ЗУ (без пятна застройки) Школа, кв.м.
площадь стадиона, кв.м.
Раздел 2. Площадки, дорожки, тротуары
Таблица 16-07-001 Площадки, дорожки и тротуары из песчаной асфальтобетонной смеси
Площадки, дорожки и тротуары из песчаной асфальтобетонной смеси однослойные:
по щебеночному основанию толщиной 12 см
по бетонному основанию толщиной 8 см
Таблица 16-07-002 Площадки, дорожки и тротуары из плиток тротуарных
Измеритель: 
100 м
2 
покрытия
Площадки, дорожки и тротуары из плиток тротуарных по песчаному основанию толщиной 10 см
Площадь МАФ, кв.м.
к площади ЗУ (без пятна застройки), кв.м. - минус МАФы
20% асфальт (однослойный) / тротуарная плитка (остальная часть территории озеленение)
40% асфальт (однослойный) / тротуарная плитка (остальная часть территории озеленение)
70% территории асфальт (однослойный) / тротуарная плитка (остальная часть территории озеленение)
Таблица 16-06-001 Ограждения металлические по металлическим стойкам
1.
Сборником НЦС часть 2 «Элементы благоустройства территории», раздел 1 «Ограждения», предусмотрена установка ограждений с учетом устройства фундамента.
Измеритель: 
100 м ограждения
Ограждения металлические по металлическим стойкам:
из решетки ограждения металлической с художественной ковкой ОСА-Т15-02.3 высотой до 0,5 м
из решетки ограждения металлической с художественной ковкой ОСА-Т15-02.3 высотой 0,5-1 м
из решетки ограждения металлической с художественной ковкой ОСА-Т15-02.3 высотой 1-1,6 м
из решетки ограждения металлической с художественной ковкой ОСА-Т15-02.3 высотой более 1,6 м
из решетки ограждения металлической ОС-Т15-00 высотой до 0,5 м
из решетки ограждения металлической ОС-Т15-00 высотой 0,5-1 м
из решетки ограждения металлической ОС-Т15-00 высотой 1-1,6 м
из решетки ограждения металлической ОС-Т15-00 высотой более 1,6м
Таблица 16-06-002 Ограждения металлические по железобетонным столбам
Ограждения металлические по железобетонным столбам:
из сетки высотой 1,7 м (без цоколя)
из сетки высотой 1,5 м (с цоколем)
Таблица 16-06-003 Ограждения железобетонные по железобетонным столбам
Ограждения железобетонные по железобетонным столбам:
из плоских глухих панелей оград высотой 1,8 м
 из рельефных глухих панелей оград высотой 1,8 м
из решетчатых панелей оград высотой 1,8 м
Ограждения железобетонные по железобетонным столбам с устройством фундамента. Высота 1,8 м
Ограждение территории
Ограждения металлические по железобетонным столбам с устройством фундамента. Высота 1,7 м
 до 1 м
свыше 1
Ограждения металлические по металлическим стойкам с устройством фундамента. Высота до 1 м
Ограждения металлические по металлическим стойкам с устройством фундамента. Высота свыше 1 м
руб./кв.м. общей площади 
(наземная + подземная) 
без учета соц. объектов
Отдельно стоящая поликлиника
 на кол-во посещений в смену
Детский клуб
Демонтаж: напольные покрытия, стены и перегородки, потолочные системы, дверные и оконные заполнения, инж.системы (кроме лифта), разбор покрытия кровли, мебель и оборудования, мусора.
Погрузка и вывоз мусора от внутреннего демонтажа.
Демонтаж лифтов 
Демонтаж лифтовых шахт, включая машинные отделения, разбор лифтов и лифтового оборудования
шт.
Отделка жилых помещений/шоу-рум
Парковка (Этажерка)
ДОУ (отдельно стоящее)
ДОУ (Встроенное)
Социальная инфраструктура
Офис продаж
Отдельно стоящий
Фонтан
МАФ
Площадки, дорожки, тротуары 
Капитальные постройки
Комфорт, Бизнес
Премиум, Элит
Механизированная разборка (без внут. демонтажа), включая погрузку и вывоз с площадки строительного мусора, установку необходимых опалубок, строительных лесов, инвентаря.
Комфорт, Бизнес, Бизнес +
Отделка 
2.02.04.01.16
Благоустройство - МАФ
Благоустройство - Площадки, дорожки, тротуары 
Благоустройство - Озеленение
Бизнес +, Премиум, Элит
КАПИТАЛЬНЫЕ ПОСТРОЙКИ
Общая наземная площадь, кв.м.
Наличие лифтового оборудования, указать кол-во лифтов, шт.
СНОС
(данные сносимых зданий)
НЕКАПИТАЛЬНЫЕ ПОСТРОЙКИ
СОЦИАЛЬНЫЕ ОБЪЕКТЫ
Кол-во мест, мест
ДОУ
 (отдельно стоящее)
Кол-во мест с бассейном, мест
Есть ли стесненные условия для строительства ДОУ
Ограждение территории ДОУ, п.м.
Школа
 (отдельно стоящая)
Ограждение территории Школы, п.м.
Есть ли стесненные условия для строительства Школы
Поликлиника 
(отдельно стоящая)
Ограждение территории Поликлиники, п.м.
Кол-во посещений в смену, посещений
Размер стадиона, кв..м.
Ограждение территории ДОУ
Ограждение территории Школа
Ограждение территории Поликлиника
Устройство МАФ для ДОУ
Устройство МАФ для Школы
Механизированная разборка, включая погрузку и вывоз с площадки строительного мусора, установку необходимых опалубок, строительных лесов, инвентаря.
ПАРКОВКА "этажерка"
Кол-во требуемых м/м, м/м
Тип офиса продаж
к площади ограждения территории ДОУ п.м.
к площади ограждения территории Школы п.м.
к площади ограждения территории Поликлиники п.м.
к кол-ву демонтируемых лифтов, шт.
к площади офиса продаж, кв.м.
ОСНОВНЫЕ ДАННЫЕ
УНИКАЛЬНЫЕ ДАННЫЕ
ФУНКЦИОНАЛЬНЫЕ ДАННЫЕ
Площадь ЗУ (без пятна застройки и участка застройки под соц.объекты (школа, поликлиника, ДОУ), кв.м.
Устройство фонтана на территории (только для класса Премиум и Элит)
Тип ограждения
Общая площадь зданий на выходе (наземная и подземная), кв.м. - без учета соц. объектов
Высотная отметка выше 0, м
Кол-во подземных уровней паркинга
Описание в примечании
к площади кровли, кв.м.
Тип кровли
Общая площадь квартир (с отделкой), кв.м.
к площади квартир с отделкой, кв.м.
МОП (лестницы, лестничные и лифтовые холлы и коридоры)
Отделка входных групп:
 вестибюль, лобби, ресепшн, общественные санузлы 1 эт.
Описание
Монолит: Перекрытия, Приямки и крыльца, Балконы
Работы по устройству гидроизоляции, теплоизоляции,  плит перекрытия,  балконов
Мониторинг конструкций и образцов в период строительного процесса
Башенный кран
Паркинг 1 уровень (-4,5 м)
Исходные данные для проектирования 
Проектирование стадии «РД»
Снос строений 
Существующие стены и колонны ниже 0
Новые стены и колонны ниже 0
Пандус (парковка)
Новые стены   и колонны
Кровля 
Облицовка фасада 
Интернет, телевидение, телефония, радиофикация, часофикация
Отделка техпомещений 
Отделка квартир 
Возведение перегородок 
Устройство  покрытия территории 
Монолит, Работы по устройству гидроизоляции, теплоизоляции, звукоизоляции фундамента, плит перекрытия.
Расходы на разработку котлованов (Земляные работы,Стена в грунте,Шпунтовое ограждение (трубы б/у)). Свайные работы - расходы по возведению свайных фундаментов, изготовлению опор, бурению скважин для устройства свай,  устройству  свай
Мониторинг конструкций и образцов в период строительного процесса + геодезические работы
 Монолит: Стены и колонны, Лестницы, Лифтовая шахта
Мониторинг конструкций и образцов в период строительного процесса
Башенный кран + наценка за высотность + геодезические работы
Надземная часть, кв.м. + Фундаменты, кв.м.
Надземная часть, кв.м. + подземный эт, кв.м.
Пример в примечании
Подземная площадь (парковка)
к подземной площади (парковка)
свыше 75 м применять 3 уровня
Площадь стилобата, кв.м.
к площади стилобата, кв.м.
Скоростной лифт-шатл
Покрытие пола, подсистема - Плитка; Выходы на террасу/кровлю; Освещение на террасе/кровле
Изоляция плиты перекрытия Стилобат
Требуется ли внутренний демонтаж (отделка, ИС)
КРОВЛЯ
КОНСТРУКТИВ (ниже 0)
КОНСТРУКТИВ (выше 0)
БЛАГОУСТРОЙСТВО
ЛИФТЫ
к общей площади
 (наземная и подземная), кв.м.
Бизнес, Бизнес +
мансардные окна
проверка
Усиление сосед. зданий и сооруж., Обустройство сосед. зданий и участков, Проч. обременения
компл.
указать итоговую стоимость 
Выбрать тип детской площадки
серийное про-во (Kompan ,Hugs, Lappset)
ОТДЕЛКА
к общей надз. площади, кв.м.
к подземной площади (паркинг), кв.м.
Описание отделки МОП
Отделка эвакуц. коридоров, лестниц, пожарные балконы, лоджий эвакуац. Лестниц
Этажность (надзм.)
к площади детского клуба ,кв.м.
Встроенный
Площадь детского клуба, кв.м.
100 м
150 м
ФАСАД
Сумма всех сторон здания,м
ориентировочно 6 шт. на 1 подъезд
коэф. Цен на 2 кв. 18 кв.
% озеленения (благоустройство) свободной территории
% покрытия (благоустройство)  свободной территории
СМР соседних участков - рассчитываются отдельно по запросу у сметчика
Возведение перегородок
Подземная площадь (цоколь/подвал)
коэф. Перевода с 2 кв. 18 на 4 кв
Стр. N +1
Стр. N +2
Стр. N +3
Стр. N +4
Стр. N +5
Стр. N +6
Стр. N +7
Стр. N +8
Стр. N +9
Стр. N +10
Общие расходы
Площадь ЗУ, кв.м.
до
свыше
площадь ЗУ, кв.м.
Исходные данные для проектирования
Исходные данные для проектирования для 150 м
75 м
Проектирование стадии "П"
Проектирование стадии "РД"
Документация ЗОС
Общая строительная площадь (с балконами), кв.м.
ПРОЕКТИРОВАНИЕ
к площади ЗУ
ндс
Итого на проект
Норматив в руб.
Норматив в евро
Курс евро
в руб.
в евро
СТРОЙПЛОЩАДКА
к площади свободного ЗУ, кв.м.
свободный участок до 1 999 кв.м.
свободный участок от 2 000 до 4 999 кв.м.
свободный участок от 5 000 до 9 999 кв.м.
свободный участок свыше 10 000 кв.м.
Курс евро 
Внешние сети - согласования
к общей надземной площади, кв.м.
до 20 000  кв.м.
свыше 20 000 кв.м.
от 20 000 до 50 000 кв.м.
свыше 50 000 кв.м.
до 50 000  кв.м.
от 20 000 до 50 000  кв.м.
Устройство уличного кинотеатра (как на Парк Мира)
Уличный кинотеатр
паркинг
Стр. N
Паркинг 2 уровня (-9,5 м)
Паркинг 3 уровня (-10,45 м)
Паркинг 3 уровня + тех. этаж (-12,9 м)
Цоколь/ подвал (- 4,2 м)
Фундамент
к подземной площади (цоколь/подвал)
к надземной площади
Пятно застройки
Тип строительства
Конструктив (выше 0) реконструкция
к надземному объему, м3
до 40 м
от 41 до 50 м
от 51 до 70 м
свыше 131 м
Выбери класс проекта
Выбери класс строения
Конструктив
реконструкция
% перек
% стен
реномэ
джаз
1 уровень
2 уровень
3 уровень
ПАРКИНГ
стр.3
стр.4
% зем раб
% фунда
% лестниц
Устройство вертолетной площадки на кровле
Плоская кровля + благоустройство кровли
до 75 м
от 76 до 130 м
устройство кровли
устройство вертолетной площадки
Мебель
Почтовые ящики
Кол-во квартир, шт.
стоимость, руб.
Интернет, телевидение, телефония, ридиофикация, часофикация
Соц. объекты
Лифт для высоты 150 м (верхние этажи)
от 15 до 30 м
от 30 до 50 м
от 50 до 75 м
к кол-ву ,шт. на высотность подъема
Лифты грузовые 
(г/п 1000-1125 кг)
Лифты пассажирские
(г/п 630 кг)
высота подъема, м
пассажирские (г/п 630 кг)
грузовые  (г/п 1000-1125 кг)
Кол-во 
до 150 м
, шт.
Кол-во при 
высоте 150 м
, шт.
обязательно в пакинг предусмотреть отедльный лифт при высоте свыше 150 м
пассажирские лифты
грузовые лифты
к кол-ву, шт.
от 75 до 140 м
к площади тех.помещений, кв.м.
к площади блоков, кв.м.
Shell &amp; core, включ .с/у
Площадь блоков (под отделку), кв.м.
надземные 
надземные 2-х светные квартиры
подземные
к общей подзем. площади, кв.м.
от 75 до 120 м
свыше 120 м
Наземная площадь 2-х светных квартир на выходе , кв.м.
итого по проекту
Отделка 
2-х светных квартир 
 Покрытие балконов
к площади балконов
к площади 2-х светных квартир с отделкой, кв.м.
к общей надз. Площади 2-х светных квартир, кв.м.
Площадь внешних балконов (открытых, под отделку), кв.м.
Кол-во квартир, имеющих выход на кровлю, шт.
Площадь поверхности фасада 1- го этажа, кв.м.
Фасад - входные группы
Фасад - остекление
Фасад - облицовка
Фасад - ритейл/1-й этаж
Площадь поверхности фасада (выше 1-го этажа), кв.м.
Площадь поверхности фасада 2-х светных квартир (выше 1-го этажа), кв.м.
Высота фасада 2-х светных квартир ,м
Внутрений демонтаж (для реконструкции)
Демонтаж конструктива
к общей площади сноса/демонтажа, кв.м.
Общая площадь некапитальных построек (по БТИ), кв.м.
Общая наземная площадь (если нет подземных этажей)(по БТИ), кв.м.
Общая надземная и подземная площадь (если есть подземные этажи)(по БТИ), кв.м.
ДЛЯ РЕКОНСТРУКЦИИ
Общая площадь (по БТИ), кв.м.
от 71 до 100 м
от 101 до 130 м
к общей площади, кв.м. 
РнС
СМР
Получение ЗОС и Разрешения на ввод объекта в эксплуатацию
срок окончания смр
РНС
Ввод объекта
срок начала СМР/проектирования (первые расходы по стройке) до Ввода
срок от РНС до Ввода
Кодификатор
Наименование статей
Итого (план+факт)
2.02.04.01
Расходы на строительство и проектирование 
2.02.05
Согласования и операторы
2.02.05.03
Согласования по сетям и техусловиям
2.02.05.03.01
2.02.05.03.02
ОКК
Начало 
Окончание
АФК
Проектирование стадия "П"
Проектирование стадия "РД"
* Сроки указаны в календарных днях
Общая надземная и подземная площадь (снос)
, м3
S с учетом работ в чистом поле
Площадь ЗУ под благоустройство (без пятна застройки и участка застройки под соц.объекты (школа, поликлиника, ДОУ), кв.м.
Подземная площадь 
Этажность (надзм.) 
h этажа 3-3,5м
Наземная площадь зданий на выходе (по максимальнйо высоте) , кв.м.
Площадь кровли, кв.м.
Лифты, шт.
Кровля-изоляция стилобата
Нулевой цикл (земляные работы+ конструктив ниже 0)
Плоская кровля
Плоская кровля + благоустройство/мансарда
уровень
зем.
конст
сносимая площадь м3
срок
площадь ЗУ
общая  площадь паркинга, м2 
общая площадь кровли, м2
общая площадь этажа паркинга, м2
S с учетом работ в чистом поле
от
паркинг 1 уровень
паркинг 2 уровень
-
паркинг 3 уровень
паркинг 3 уровень + тех.этаж
Конструктив выше 0 (h этажа 3-3,5м)
тип
этаж
общая  площадь квартир, м2
общая наземная площадь , м2 
этажность
Мебель  и оборудование
Поликлиника 
высотность
кол-во  посещений в смену
СНиП 1.04.03-85
Школа + благоустройство
Школа с бассейном + благоустройство
ДОУ (отдельностоящее) + благоустройство
ДОУ (отдельностоящее) с бассейном + благоустройство
кол-во мест
на основании сайта Госзакупок 
Внутренние инженерные сети (без лифтов)
общая площадь здания , м2 
офис продаж отдельно стоящий
кол-во м/мест
 площадь офиса продаж, м2 
Лифты
кол-во
высота подъема
Отделка дет.клуба
Кол-во лифтов, шт.
до 10 шт
общая  площадь дет.клуба, м2
более 10 шт
свыше 10 шт
площадь благоустройства, м2
Исходные данные 
Проектирование П
Проектирование РД
общая площадь здания, м2 
Не включает согласование госэкспертизы
Не включает доработку продукта
надземная
общая надземная площадь
Небольшие объекты 5-30 тыс. кв.м – 75 - 90 дней (2,5 – 3 мес)
Средние объекты 30-70 тыс. кв.м – 90 - 120 дней (3 – 4 мес)
Основные данные, заложенные в принципах разбивки СМР (автоматическое построение БДДС):
Крупные объекты 70-100 тыс. кв.м - 120 - 150 дней (4 – 5 мес)
РУ 2  если позже окончания продаж – дисконтируется под 20% на дату окончания продаж (получения 100% ДС)
Расходы на строительство и проектирование
Аванс 
Оплаты 
РУ 1
ПНР
РУ 2
(до начала работ)
(на 2 месяц после оплаты аванса)
(на след. месяц после послед. оплаты)
(через 24 мес. после оплаты РУ2)
Точка начала работ
Через 30% от начала работ по получению исходных данных
После окончания работ по АФК
Через 30% от начала работ по земляным работам
После окончания работ по конструктиву ниже (0)
После окончания работ по конструктиву выше (0)
Подъемное оборудование
После окончания работ по конструктиву выше (0). Аванс за 6 мес до окончания конструктива выше (0). 
Через 80% от начала работ по внутренней отделке (отделка МОП)
Через 50% от начала работ по внешним сетям
 Равными платежами
После окончания работ по проектированию стадии РД
вводим самую максимальную высоту
вводим самый максимальный эт.
вводим общее кол-во лифтов
общее кол-во дн в году
год
дни
Оплаты
Аванс
Внутренние инженерные сети - лифты
Кровля - скатная
Кровля - плоская
Кровля - изоляция
сроки
самый миниумм
начало
окончание
Для стройплощадки (стадия П и демонтаж)
Кровля - Плоская кровля + благоустройство/мансарда
Кровля - вертолетная площадка
Внутренние инженерные сети - подъемное оборудование
Внутренняя отделка - отделка квартир
Внутренняя отделка - отделка тех. помещений
Внутренняя отделка - отделка блоков
Внутренняя отделка - отделка моп
Внутренняя отделка - паркинга
Внутренняя отделка - возвр. Перегородок
Для мебели (отделка)
Социальная инфраструктура - школа
Социальная инфраструктура - школа с басс
Социальная инфраструктура - доу
Социальная инфраструктура - доу с басс
Социальная инфраструктура - поликлиника
Социальная инфраструктура - этажерка
Социальная инфраструктура - дет.клуб.
Дата начала СМР/проектирования (первые расходы по стройке) - дата получения ГПЗУ
дев
редев
Общая надземная и подземная площадь (снос), м3 (для БДДС)
Площадь неэксплуатируемой кровли, кв.м.
Общая площадь квартир (с чистовой отделкой), кв.м.
Общая площадь 2-х светных квартир (с чистовой отделкой), кв.м.
Общая площадь МОП, кв.м.
(вестибюль, лобби, ресепшн, общественные санузлы 1 этажа, лестницы, коридоры, лифтовые холлы)
необходимо вычитать отсюда площадь тех.помещений
Чистовая отделка квартир
Чистовая отделка 2-х светных квартир 
ОТДЕЛКА white box 
Общая площадь 1с квартир (с отделкой white box), кв.м.
Общая площадь 2с квартир (с отделкой white box), кв.м.
Общая площадь 3с квартир (с отделкой white box), кв.м.
Общая площадь квартир (с отделкой white box), кв.м.
среднее (1с-3с)
Общая площадь 2-х светных 1с квартир (с отделкой white box), кв.м.
Общая площадь 2-х светных квартир (с отделкой white box), кв.м.
среднее (1с-3с)
Общая площадь 2-х светных 2с квартир (с отделкой white box), кв.м.
Общая площадь 2-х светных 3с квартир (с отделкой white box), кв.м.
white box 1 с
white box 2 с
white box 3 с
white box среднее
1с в руб.
2с в руб.
3с в руб.
среднее (1с-3с) в руб.
Отделка квартир white box
1с в евро
2с в евро
3с в евро
среднее (1с-3с) в евро
Отделка 2-х светных квартир white box
Через 62% от начала работ по конструктиву выше (0)
При высотности свыше 70 м:
Через 30% от начала работ по конструктиву выше (0)
Через 62% от начала работ по конструктиву выше (0)
При высотности свыше 70 м:
Через 30% от начала работ по конструктиву выше (0)
Через 80% от начала работ по конструктиву выше (0)
При высотности свыше 70 м:
Через 60% от начала работ по конструктиву выше (0)
Через 40% от начала работ по фасадам(закрытый теплый контур)
При высотности свыше 70 м:
Через 25% от начала работ по фасадам(закрытый теплый контур)
Площадь эксплуатируемой кровли, кв.м.
Площадь эксплуатируемой кровли плоская
Площадь неэксплуатируемой кровли мансарда
Площадь неэксплуатируемой кровли скатная
Площадь неэксплуатируемой кровли плоская
коэф. Перевода с 4 кв. 18 на 2 кв 19
Благоустройство детского клуба
Уличная площадка (покрытие + мафы + ограждение)
Благоустройстуво - детская площадка
руб.
благоустройство детского клуба (детская площадка)
up-down
Выбор технологии
Длительность, дн
скатная
вертолетная площадка
 отделка квартир
отделка тех. помещений
отделка блоков
отделка моп
паркинга
возвр. перегородок
школа
школа с басс
доу
доу с басс
поликлиника
этажерка
"Этажерка" до 300 м/м
"Этажерка" от 301 до 999 м/м
"Этажерка" свыше 1 000 м/м
Аренда
Демонстрационный стенд с материалами
руб./здание
Mockup
Площадь фитнеса без бассейна, кв.м.
Фитнес-зал 
для внутреннего пользования жильцами дома (без бассейна)
РД, отделка + дверь, ИС ( осветительное и сантехническое оборудование, отопление, вентиляция и кондиционирование). Оборудование не входит.
Доступ в фитнес зал осуществляется из основного лобби. Высота помещения 5,7 м.
Состав: Раздевалки со шкафчиками + Душевые и с/у
Зоны для тренировок: Силовых, Кардио, Функциональных, Со свободными весами, Занятий йогой и/или пилатесом, Места для хранения оборудования для занятий
 к площади фитнеса, кв.м.
Фитнес-зал
Фитнес зал
Детский клуб 
для внутреннего пользования жильцами дома
Игровое оборудование
(качели, занавес, столик, игровой элемент) - 105 шт.
Изделия индивидуального изготовления
 (лестница, стеллаж, антрессоль, шкаф, магнитные панели, латунная колонна) - 7 шт.
Интерактивное оборудование - 13 шт.
РД, отделка, ИС ( осветительное и сантехническое оборудование, отопление, вентиляция и кондиционирование). Оборудование не входит.
 Высота помещения 5,7 м.
Игровое оборудование
Изделия индивидуального изготовления
Интерактивное оборудование 
РД, отделка, ИС 
Вырубка деревьев
предписание + вырубка, уборка мусора
компенсационное озеленение
• денежная или натуральная компенсация городу
• разработка проектной документации компенсационного озеленения: 
• инвентаризация зеленых насаждений
• все сопутствующие работы для данной статьи
Вырубка деревьев, компен. Озеленение
руб./ 1 дерево
Устройство стройгородка (бытовки, таблички)
свободный участок до 4 999 кв.м.
Банеры, маршруты показов  КД
Материалы для подготовки и содержания строительной площадки
Услуги по уборке территории
свободный участок до 3 999 кв.м.
свободный участок от 4 000 до 9999 кв.м.
Услуги по обслуживанию сантехкабин
свободный участок от 5 000 до 14 999 кв.м.
свободный участок свыше 15 000 кв.м.
Охрана
Услуги связи и интернет на объекте
Электроснабжение строительства
Временный водопровод и канализация, АПС
Временное отопление/кондиционирование
Прочие услуги по содержанию стройплощадки
указать кол-во вырубаемых деревьев/кустарников, шт.
Разработка РД + ИС сети
Установка насосного оборудования + системы фильтрации + чаши; нанесение авторского рисунка на гранитную плиту, мощение фонтана
Монтаж светодинамического фонтана с программированием сценария подсветки и замкнутым циклом водоподачи
руб./шт.
Видеоэкран + портал под киноэкран 
как на территории Парк Мира
озеленение - планировка территории
подсыпка земли; планировоные работы; устройство скрытой отмостки с покрытием из газона; устройство откоса
до 500 кв.м.
от 501 до 1 500 кв.м.
свыше 1 501 кв.м.
к площади озеленения, руб./кв.м.
озеленение - газон
устройство газонов + укрепленного газонной решеткой, устройство автоматической системы орошения; покрытие (газон) стилобата
озеленение - посадка деревьев и растений
устройство клумб, озеленение территории деревьями, кустарниками, в т.ч. кадки; покрытие (кусты) стилобата 
освещение на опорах (освещение детской площадки д.б. учтено в детской площадке); ландшафтная нижняя подсветка;тротуарные светильники, перетяжки; освещение заборов
площадь свободного ЗУ свыше 13 001 кв.м.
площадь свободного ЗУ  от 4 001 до 13 000 кв.м.
площадь свободного ЗУ  от 2 001 до 4 000 кв.м.
площадь свободного ЗУ  до 2 000 кв.м.
к площади свободного ЗУ  руб./кв.м.
к площади покрытия, руб./кв.м.
до 2 500 кв.м.
от 2 501 до 8 500 кв.м.
свыше 8 501 кв.м.
устройство покрытия территории, тротуаров, проездов; покрытие (не озеленение) стилобата/ под мусоросборные площадки; устройство бордюрного камня; водоотводные лотки; нанесение дорожной разметки; лежачий полицейский (искусственная неровность); устройство отмостки здания/входных групп;  устройство входных площадок; устройство пандуса (для колясок) на территории;
надземный паркинг/гостевой паркинг: устройство паркинга с разметкой; устройство колесоотбоя из асфальтобетона; экопарковка
нумерация домов; дорожные знаки
устройство навигационных пилонов, информационных табло, стелл
к площади своодного ЗУ, кв.м.
площадь свободного ЗУ  от 2 001 до 8 000 кв.м.
кв.м./квартиру
детские/игровые/спортивные площадки: вкл. покрытие, фундаменты под них; оборудование; ограждение; освещение детской площадки; включ. Проектирование
площадь детской площадки
стоимость ,руб./кв.м.
площадь свободного ЗУ  свыше 4 001 
Лифты прочее
стоиомсть, руб./шт.
Работы по отделке лифта и лифтовых порталов  (Элит)
прочее (монтаж ключа приоритета, испытание петель и пр.)
полное техническое освидетельствование лифтов
техническое обслуживание лифтов
Комфорт, Бизнес, Бизнем +
склад
до 10 м
от 10 до 15 м
Работы по отделке лифта и лифтовых порталов  (Премиум, Элит)
устройство перегородок (ограждение помещений) и внутри помещений (ориентир перегородок согласно планировке) (гипсокартонные, пеноблоки, кирпичные и т.д.);
внутренние перегородки тамбура (светопрозрачные конструкции); кладка лифтовых шахт в шахте;
кладка наружних откосов учтена в фасадах; перегородки на кровле учтены в кровле, кроме мансарды
 Паркинг 1/2 уровеня
Паркинг 3 уровня/ 3 + тех. Этаж / 4 уровня
мобилизация; разработка ППР
прочее
устройство перегородок (ограждение помещений) и внутри помещений (ориентир перегородок согласно планировке) (гипсокартонные, пеноблоки, кирпичные и т.д.)
Площадь тех.помещений (под отделку), кв.м.
по сущ. нашим проектам 3,7% от общей площади
отделка (полы, стены, потолки); зеркала;
колесоотбойники; средства регулирования (расположенные внутри паркинга);
защита кромок колонн (ударопрочная резина по всем кромкам колонн);
дренажные лотки - в инжсистемах;
мелкий демонтаж, необходимый для проведения отделки (отверстия)
прочее (оборудование)
зеркала; колесоотбойники; средства регулирования (расположенные внутри паркинга);
защита кромок колонн (ударопрочная резина по всем кромкам колонн);
дренажные лотки - в инжсистемах;
прочее (отделка)
черновая отделка (полы, стены, потолки); 
мелкий демонтаж, необходимый для проведения отделки (отверстия)
материал отделка
чистовая отделка (полы, стены, потолки)
Отделка МОП:  вход. групп, лестницы, лестнич. и лифт. холлы и коридоры, эвакуц. выходы
Винтовая лестница (выход на кровлю) до  h=4800 мм
стоимость, руб./шт.
Винтовая лестница (выход на кровлю) до  h=3200 мм
отделка квартир (ИС) - черновые работы
Электротехнические работы; Телефонизация; Пожарная сигнализация; Локальная сеть;
Радиофикация; Видеодомофон; Скрытая npoвoдка; Водоснабжение и водоотведение;
Отопление, вентиляция и кондиционирование
отделка квартир (ИС (оборудование) +двери) 
Двери, люки, упоры и фурнитура; Электротехнические работы; Телефонизация;
Пожарная сигнализация; Локальная сеть; Радиофикация; Видеодомофон;
Скрытая npoвoдка; Водоснабжение и водоотведение; Отопление, вентиляция и кондиционирование
черновая отделка пол, потолок 
чистовая  отделка пол, потолок 
черновая отделка (стены)
чистовая отделка (стены)
мобилизация
стоимость, руб./площади отделки квартир, кв.м.
рд
Возмещение затрат по охране имущества
Монтаж электроосвещения
Проведение строительного контроля и надзора за соответствием выполняемых работ
Высота этажа квартир, имеющих выход на кровлю 
(для лестниц)
отделка квартир
светильники, розетки, выключатели, диффузоры;
сантехприборы (унитазы, раковины, душевые кабины, смесители);
внутренняя навигация; ограждение внутренних балконов;
поручни и перилла лестниц; внутренние двери (в т.ч. противопожарные), двери тех помещений учтены в тех помещениях;
входные двери квартир/офисов/келлеров; тепловой контур
черновая: отделка пола, потолка, стен; отделка санузлов;
отделка зон ресепшн, лобби, колясочная; мелкий демонтаж, необходимый для проведения отделки (отверстия);
устройство покрытий общих балконов, гидроизоляция пола
чистовая: отделка пола, потолка, стен; отделка санузлов;
отделка зон ресепшн, лобби, колясочная; устройство покрытий общих балконов
Общая площадь лобби, кв.м.
 (для расчета мебели)
камин
общее
таблички квартир
поставку придверных ковриков
стоиомость к кол-ву квартир, шт.
стоимость, руб./кв.м. лобби
ресепшен
ресепшен мал. для лобби 
декор
растение
освещение
навигационное панно
мебель и техника
комфорт, Бизнес, Бизнес +
Система противодымной вентиляции
Система кондиционирования жилье
вентиляция приточно-вытяжная (надземная площадь)
Прочее (наземная площадь)
Проведение испытаний систем вентиляции заданий; ПНР;Получение и оформление от имени Заказчика всех необходимых для строительства и ввода в эксплуатацию документов;Прочее 
Прочее (подземная площадь)
Система противодымной вентиляции (паркинг)
кондиционирование сплит-система
Увлажнители
монтаж дымоходов
к общей подземной площади, кв.м.
стоиомсть ,руб. / к кол-ву помещений ритейла, шт.
стоиомсть, руб./к кол-ву квартир, шт.
вентиляция приточно-вытяжная (подземная площадь)
1-2 уровеня
3-4 уровня
кол-во помещений ритейла (для сплит-системы), шт.
Небходимое кол-во увлажнителей в квартирах, шт.
Небходимое кол-во дымохов в квартирах, шт.
пандус
руб./ шт.
ворота из паркинга, 2 шт. на 
руб./ 2 шт.
ворота в паркинге - ворота, калитка и выходы, если они ниже 0
руб./подземную площадь, кв.м.
устройство входной зоны (все двери выходы из здания на улицу (металлические, противопожарные); 
загрузочные люки, технические и прочие наружные двери; комплекс работ по отделке крыльца с облицовкой и системой "теплый пол"; 
монтаж входной двери, козырьков, навесов; устройство декоративных элементов на входной группе; обустройство входных лестниц (облицовка, поручни и перилла)
Балконные двери учтены в остеклении.
 руб/ к поверхности фасада входных групп, кв.м.
Фасад - входные группы ритейл
остекление оконных переплетов и витрин;
установка светопрозрачных витражных конструкций
руб/ к поверхности фасада остекления 1 эт., кв.м.
установка светопрозрачных витражных конструкций
остекление балконов, в т.ч. балконные двери
остекление мансарды - учтено в кровле (мансарда)
руб/ к поверхности фасада остекления выше 1  эт., кв.м.
оконные отливы, откосы внутренние; временные окна; фиксаторы на окна;доп. запирающе. механизм (пружинный блок) Schueco
декоративный экран-ограждение (в т.ч. балкона); подоконные вставки
руб/ к поверхности фасада остекления, кв.м.
Бизнес ,Бизнес + 
облицовка - материал  + подсистема 
руб/ к поверхности фасада облицовки, кв.м.
руб/ к поверхности фасада облицовки 1 эт., кв.м.
входные группы
облицовка прочее
разработка ППР; мобилизация/демобилизация;
теплоэнергетический паспорт здания; тепловизиционное обследование;
облицовка выходов из паркинга; откосы наружные (кладка), отливы, отсечка, узлы примыкания окна;
установка/разборка лесов и др. подмостей (на всю площадь фасадов и остекления);
освещение фасадов; карнизы; площадки (корзины) под кондиционеры;
экраны балконов, ограждение (не конструктив) и отделка балконов (внешние);
конструкции для размещения инф. рекламных элементов, в т.ч. медиафасад;
декоративные экраны; вентрешетка; облицовка лифтовых шахт на кровле;
Кладка лифтовых шахт в шахтах.
Образцы фасада в отделке офиса продаж.
облицовка (материал + подсистема)
остекление прочее
остекление (стеклопакет + профиль)
остекление  ритейл/ 1 эт
облицовка прочее ритейл/ 1 эт
облицовка (материал + подсистема) ритейл/ 1 эт
кол-во пандусов, шт.
входные группы ритейл
биокамин
стена в грунте
Форма участка
многоугольная форма
Начало работ стена в грунте
Начало работ стена шпунт
Через 20% от начала работ по земляным работам
Начало работ up-down
дет.клуб./фитнес
Через 50%-70% от начала работ по проектированию стадии П. принимаем среднее 60%
После окончания демонтажных работ и после Стадии П (ПОС) ~ 10-20% от стадии "П",которая включает экспертизу. Принимаем среднее 15%
После окончания мобилизации (стройплощадки), получения ордера на зр либо рнс, после стадии "П" не &lt; 50%
после ордера на снос и разработки проекта на снос - Через 70% от начала работ по проектированию стадии П
Офис продаж 100% готов к РНС. Через 55% от начала работ по стадии П
НН констуктив ниже 0
через 30-50% от начала конструктива ниже 0.000. среднее 40%
Через 5-10% от начала работ по земляным работам .среднее 8%
Устройство ограждения котлована методом "стена в грунте", включая следующие работы: экскавцию траншеи под защитой бентонитового раствора, изготовление каркасов, армирование траншеи арматурными каркасами, бетонирование свай бетоном . Все материалы включены.
к площади стена в грунте, кв.м.
Протяженность стены в грунте, п.м.
Высота стены в грунте, м
шпунтовое ограждение
Сроки разработки АФК
Всего СМР, вкл. проектирование и соц. объекты
Всего СМР, вкл. проектирование за вычетом соц. Объектов
Калькулятор СМР Девелопмент (жильё) 
Лот по тендеру
Аванс 1
Аванс 2
Оплата
РУ 1/2( на след.месяц после послед.оплаты)
РУ 1/2
ЗАТРАТЫ ГП СМР объекта
Демонтажные работы
лот №1
со 2 мес работы
услуги по выполнению функции ГП
ГП услуги
Башенные краны
лот №5
Подъемники
лот №5.1
Временные дороги/проезды
лот №4
Склад ТМЦ
Обслуживание биотуалетов
лот №4.1
Услуги механизации
Уборка помещений
Вывоз снега
Ограждения по требованиям ТБ
Вывоз мусора + контейнера
Содержание строительной площадки
Коммунальные платежи невозвращемые
Коммунальные платежи возвращемые
Устройство стройгородка
лот№4
Пункт мойки колес
Информационный щит
Отделка существующих помещениц для временного размещения персонала
Аренда/покупка бытового городка (бытовки)
Временные ограждения территории
Охрана 
Временые ИС
Устройство водоснабжения
 Устройство электричества
Освещение на строительной площадке, кроме мест производства работ
Проектные работы ГП
лот №6
Прочие услуги 
равномерными платежами
Спецодежда
Журналы, канцелярия
Питание
Обучение сотрудников
СРО
Печать проектов
Программные обеспечения
Нулевой цикл
лот№7
Разработка грунта
 Обратная засыпка грунта
лот №8
Усиление грунта
лот №8.1
Замещение грунта
Ограждение котлована
Шпунт
Сваи (все виды)
лот№7.1
Водопонижение
лот№7.2
Пластовые дренажи
Водопонижение (иглофильтры и т.д.)
Бетонная подготовка
Свайный фундамент
лот №8.2
Монолитные конструкции
Фундаментаная плита
Стены
прижимная стена
Колонны
Перекрытия
Горизонтальная гидроизоляция
лот №8.3
Вертикальная гидроизоляция
лестницы
Каменная кладка
 Стены внутренние
 Перегородки 
Конструктив выше 0 
лот№8
Монолитные работы
 Перекрытия
 крыльца
 Сборные ж/б конструкции
 Стены наружные
Стены внутренние
Металлические конструкции
лот№9
Лифтовые шахты
лот №9
Лестницы,лестничные ограждения 
Декоративные элементы
Пандус (крыльцо)
Кровля 
лот№10
Неэксплуатируемая кровля
лот №10
 Мансарда
Скатная
 Плоская
Эксплуатируемая кровля 
Плоская кровля -строений
Плоская кровля -паркинга
Ограждение кровли
лот№11
Вентилируемые фасады
лот №11
5% через 120 дн
со 2 мес работы после 2 аванса
Керамогранит
Объемная керамика
Стеклофибробетон
Фиброцементные
Др. облицовка
Мокрые фасады
Облицовка натуральным камнем
Облицовка кирпичом
Декоративные элементы.
Арх.освещение
Вентрешетка 
Ограждения
Козырьки. Наверсы
Прочее 
Светопрозрачные конструкции
лот№12
Алюминиевые конструкции
лот №12
Теплые
Холодные
 Противопожарные
ПВХ
Дерево
Ограждения,декоративные элементы
кровля  
Витражи и входные группы 1 этажа
лот№13
ГВС,ХВС
5% через 90дн
Хоз.-бытовая канализация
Ливнёвая канализация 
Вентиляционные работы
Приточная
Вытяжная (+естественная)
Дымоудаление (+подпор)
Кондиционирование
лот №13.1
Центральное
Индивидуальное оборудование
Холодоснабжение
лот №13
лот №13.2
Система оповещения и управление эвакуацией
лот №14
Автоматизация и учет
Автоматизированная система коммерческого учета электроэнергии 
Автоматизация систем пожаротушения
Автоматизация систем хладоснабжения
Автоматизация комплексная
автоматизация теплового пункта
Узел учета тепловой энергии
АПС
Спринклерная система
лот №15
Лифты 
пассажирские
30% через  180дн
Лифты специальные
отделка лифтов
Внутренняя отделка ниже 0
лот№16
Отделка (стены, потолок, колонны)
лот №16
со 2 мес работы 
Полы паркинга
лот №17
Оборудование паркинга
Отделка тех.помещений
Отделка МОП (кладовые,лифтовые,лк,су экспл.)
лот №18
со 3 мес работы 
коридор
лифтовый холл
Отделка помещений эксплуатации
Отделка коммерч. помещений (фитнес, бассейн,келеры)
Внутренняя отделка выше 0
Отделка МОП 1 этаж
лобби
санузел
колясочная
консьерж
кухня
подсобные помещения
Отделка МОП типовой этаж
Отделка ком помещений (доу,фитнес, бассейн)
Заполнение проемов
лот№19
Квартирные двери
Металические двери
Противопожарыне
Деревянные
Пластиковые
Ворота
Внешние инженерные сети / вынос сетей
Водопровод
лот №20
вынос сетей Вод
лот №2
Электроснабжение 0,4
Вынос сетей электроснабжения 0,4
Электроснабжение 10
Вынос сетей электроснабжения 10
Канализация
вынос сетей Кан
вынос сетей ТС
вынос сетей газ
вынос сетей СС
вынос сетей Лив
Пристенный дренаж
вынос сетей ТП
лот№21
со 4 мес работы 
Благоустройство кровли
Вертикальная планировка
Дороги
Тротуары
Площадки
Навигация территории
Наружное освещение 
Устройство ограждений
Охрана периметра
5%через 5 мес после 1 аванса
со 7 мес работы 
Спортивные площадки
лот №22
Детские площадки
прочие
лот №21
с 4 мес работы после аванса
Прочее
лот №23
со 2 мес работы после аванса
СМР существующих строений (под снос)
СМР офиса продаж
лот №3
руб./кв.м. демо-зоны
макет
оборудование
мебель
демо-зоны
отделка демонстрационных помещений; 2 гостиные, 2 ванные и 2 спальни
МЕБЕЛЬ на 2 комплекта: 2 гостинные, 2 спальни и 2 ванные
ОБОРУДОВАНИЕ: аптечка, кофемашина, бытовая техника, техника, зонт-трость, акустика для музыкального фона, очки 3д, диспенсеры для ароматов в моп, 
ДЕКОР, РАСТЕНИЯ И ПОСУДА: статуэтки, настенное пано, растения, шторы, бокалы, посуда, цветы, декор
МЕБЕЛЬ: детский уголок с игрущками, мебель , торшеры, светильники, зеркала, ключницы, логотип на стенку
до 100 кв.м.
от 100 до 200 кв.м.
свыше 200 кв.м.
от 150 до 200 кв.м.
от 100 до 150 кв.м.
Кол-во демо-зон (1 комплект = 2 гостинные, 2 ванные и 2 спальни)
Общая площадь демо-зоны (1 комплект), кв.м.
декор, посуда и растения
 демо-зона отделка
демо-зона мебель
маленький объект до 10 000 кв.м.
Уточнены размеры авансовых платежей (%). Пересмотрены расценки офиса-продаж. Скорректирована расценка на проектирование маленьких проектов.
Индивид. Проект
стадион
Убрано суммирование хвоста РУ
02.02.04.01.03.03.02
Оснащение офиса продаж (мебель и оборудование)
02.02.04.01.03.03.01
02.02.04.01.03.03
02.02.04.01.03.02.07
02.02.04.01.03.02.06
02.02.04.01.03.02.05
02.02.04.01.03.02.04
02.02.04.01.03.02.03
этажи
02.02.04.01.03.02.02
02.02.04.01.03.02.01
02.02.04.01.03.02
02.02.04.01.03.01
ЗАТРАТЫ на ПРОДУКТ
02.02.04.01.03
Резерв
02.02.04.01.02.018
02.02.04.01.02.017.05
02.02.04.01.02.017.04
02.02.04.01.02.017.03
02.02.04.01.02.017.02
02.02.04.01.02.017.01
02.02.04.01.02.017
02.02.04.01.02.016.05
02.02.04.01.02.016.04
02.02.04.01.02.016.03
02.02.04.01.02.016.02
02.02.04.01.02.016.01
02.02.04.01.02.016
02.02.04.01.02.015.010
пр. площадки
02.02.04.01.02.015.09.03
02.02.04.01.02.015.09.02
02.02.04.01.02.015.09.01
02.02.04.01.02.015.09
02.02.04.01.02.015.08
02.02.04.01.02.015.07
02.02.04.01.02.015.06
02.02.04.01.02.015.05
02.02.04.01.02.015.04.03
02.02.04.01.02.015.04.02
02.02.04.01.02.015.04.01
02.02.04.01.02.015.04
02.02.04.01.02.015.03
02.02.04.01.02.015.02
02.02.04.01.02.015.01
02.02.04.01.02.015
Вынос сетей ТП
02.02.04.01.02.014.019
02.02.04.01.02.014.018
02.02.04.01.02.014.017
Вынос сетей Лив.канализации
02.02.04.01.02.014.016
02.02.04.01.02.014.015
Вынос сетей СС
02.02.04.01.02.014.014
02.02.04.01.02.014.013
Вынос сетей газ
02.02.04.01.02.014.012
02.02.04.01.02.014.011
02.02.04.01.02.014.010
Электрические системы 10
02.02.04.01.02.014.09
02.02.04.01.02.014.08
Электрические системы 0,4
02.02.04.01.02.014.07
Вынос сетей ТС
02.02.04.01.02.014.06
02.02.04.01.02.014.05
Вынос сетей Канализация
02.02.04.01.02.014.04
02.02.04.01.02.014.03
Вынос сетей Водопровод
02.02.04.01.02.014.02
02.02.04.01.02.014.01
02.02.04.01.02.014
Люки (загрузочные, технические)
02.02.04.01.02.013.04
Противопожарыне ворота
02.02.04.01.02.013.03.02
Пожарные ворота
02.02.04.01.02.013.03.01
Ворота 
02.02.04.01.02.013.03
Пластиковые двери
02.02.04.01.02.013.02.05
Деревянные двери
02.02.04.01.02.013.02.04
Противопожарыне двери
02.02.04.01.02.013.02.03
Пожарыне двери
02.02.04.01.02.013.02.02
02.02.04.01.02.013.02.01
Прочие двери
02.02.04.01.02.013.02
02.02.04.01.02.013.01
02.02.04.01.02.013
Навигация(Внутренняя отделка выше 0)
02.02.04.01.02.012.09
Отделка балконов
02.02.04.01.02.012.08
Отделка ком помещений (Внутренняя отделка выше 0)
02.02.04.01.02.012.07
02.02.04.01.02.012.06
02.02.04.01.02.012.05
Отделка техпомещений (Внутренняя отделка выше 0)
02.02.04.01.02.012.04
Отделка помещений эксплуатации (Внутренняя отделка выше 0)
02.02.04.01.02.012.03
подсобные помещения этажи
02.02.04.01.02.012.02.04
лестницы этажи
02.02.04.01.02.012.02.03
лифтовый холл этажи
02.02.04.01.02.012.02.02
коридор этажи
02.02.04.01.02.012.02.01
02.02.04.01.02.012.02
прочее 1 эт.
02.02.04.01.02.012.01.05
лестницы 1 эт.
02.02.04.01.02.012.01.04
лифтовый холл 1 эт.
02.02.04.01.02.012.01.03
коридор 1 эт.
02.02.04.01.02.012.01.02
лобби 1 эт.
02.02.04.01.02.012.01.01
02.02.04.01.02.012.01
02.02.04.01.02.012
Навигация(Внутренняя отделка ниже 0)
02.02.04.01.02.011.07
02.02.04.01.02.011.06
Отделка коммерч. помещений (Внутренняя отделка ниже 0)
02.02.04.01.02.011.05
Отделка помещений эксплуатации(Внутренняя отделка ниже 0)
02.02.04.01.02.011.04
лестницы ниже 0
02.02.04.01.02.011.03.03
лифтовый холл ниже 0
02.02.04.01.02.011.03.02
коридор ниже 0
02.02.04.01.02.011.03.01
Отделка МОП ниже 0
02.02.04.01.02.011.03
Отделка тех.помещений(Внутренняя отделка ниже 0)
02.02.04.01.02.011.02
02.02.04.01.02.011.01.03
02.02.04.01.02.011.01.02
02.02.04.01.02.011.01.01
02.02.04.01.02.011.01
02.02.04.01.02.011
02.02.04.01.02.010.03
02.02.04.01.02.010.02
02.02.04.01.02.010.01
02.02.04.01.02.010
02.02.04.01.02.09.015
02.02.04.01.02.09.014
02.02.04.01.02.09.013.07
02.02.04.01.02.09.013.06
02.02.04.01.02.09.013.05
02.02.04.01.02.09.013.04
02.02.04.01.02.09.013.03
02.02.04.01.02.09.013.02
02.02.04.01.02.09.013.01
02.02.04.01.02.09.013
02.02.04.01.02.09.012
 02.02.04.01.02.09.011
02.02.04.01.02.09.010
02.02.04.01.02.09.09
02.02.04.01.02.09.08
02.02.04.01.02.09.07
02.02.04.01.02.09.06
02.02.04.01.02.09.05
02.02.04.01.02.09.04.03
02.02.04.01.02.09.04.02
02.02.04.01.02.09.04.01
02.02.04.01.02.09.04
02.02.04.01.02.09.03.03
02.02.04.01.02.09.03.02
02.02.04.01.02.09.03.01
02.02.04.01.02.09.03
02.02.04.01.02.09.02
02.02.04.01.02.09.01.02
02.02.04.01.02.09.01.01
02.02.04.01.02.09.01
02.02.04.01.02.09
02.02.04.01.02.08.09
Ограждения,декоративные элементы - кровля
02.02.04.01.02.08.08
Деревяннные- кровля
02.02.04.01.02.08.07
ПВХ - кровля
02.02.04.01.02.08.06
 Противопожарные кровля
02.02.04.01.02.08.05.03
Холодные кровля
02.02.04.01.02.08.05.02
Теплые кровля
02.02.04.01.02.08.05.01
Алюминиевые конструкции - кровля
02.02.04.01.02.08.05
Ограждения,декоративные элементы - этажи (Светопрозрачные конструкции)
02.02.04.01.02.08.04
Деревянные - этажи
02.02.04.01.02.08.03
ПВХ - этажи
02.02.04.01.02.08.02
 Противопожарные эт.
02.02.04.01.02.08.05.04
Холодные эт.
Теплые эт.
Алюминиевые конструкции этажи
02.02.04.01.02.08.01
02.02.04.01.02.08
Прочее фасады (Облицовка фасада )
02.02.04.01.02.07.016
Леса
02.02.04.01.02.07.015
02.02.04.01.02.07.014
02.02.04.01.02.07.013
02.02.04.01.02.07.012
Архитектурное освещение
02.02.04.01.02.07.011
Декоративные элементы(Облицовка фасада )
02.02.04.01.02.07.010
02.02.04.01.02.07.09
02.02.04.01.02.07.08
02.02.04.01.02.07.07
Другая облицовка
02.02.04.01.02.07.06
02.02.04.01.02.07.05
02.02.04.01.02.07.04
02.02.04.01.02.07.03
02.02.04.01.02.07.02
02.02.04.01.02.07.01
02.02.04.01.02.07
02.02.04.01.02.06.03
02.02.04.01.02.06.02.02
02.02.04.01.02.06.02.01
02.02.04.01.02.06.02
02.02.04.01.02.06.01.03
02.02.04.01.02.06.01.02
02.02.04.01.02.06.01.01
02.02.04.01.02.06.01
02.02.04.01.02.06
прочее (Металлические конструкции)
02.02.04.01.02.05.06
02.02.04.01.02.05.05
Декоративные эелементы (Металлические конструкции)
02.02.04.01.02.05.04
02.02.04.01.02.05.03
02.02.04.01.02.05.02
02.02.04.01.02.05.01
02.02.04.01.02.05
 Перегородки (конструктив выше 0)
02.02.04.01.02.04.03.02
 Стены наружные (конструктив выше 0)
02.02.04.01.02.04.03.01
02.02.04.01.02.04.03
Лестницы сборные ж/б выше 0
02.02.04.01.02.04.02.04
 Перекрытия ж/б(конструктив выше 0)
02.02.04.01.02.04.02.03
Колонны ж/б(конструктив выше 0)
02.02.04.01.02.04.02.02
Стены ж/б (конструктив выше 0)
02.02.04.01.02.04.02.01
02.02.04.01.02.04.02
Лестницы(конструктив выше 0)
02.02.04.01.02.04.01.05
02.02.04.01.02.04.01.04
 Перекрытия(конструктив выше 0)
02.02.04.01.02.04.01.03
Колонны(конструктив выше 0)
02.02.04.01.02.04.01.02
Стены (конструктив выше 0)
02.02.04.01.02.04.01.01
02.02.04.01.02.04.01
02.02.04.01.02.04
 Перегородки ниже 0
02.02.04.01.02.03.010.02
 Стены внутренние ниже 0
02.02.04.01.02.03.010.01
Каменная кладка ниже 0
02.02.04.01.02.03.010
02.02.04.01.02.03.09
02.02.04.01.02.03.08
02.02.04.01.02.03.07
02.02.04.01.02.03.06.06
Перекрытия ниже 0
02.02.04.01.02.03.06.05
Колонны ниже 0
02.02.04.01.02.03.06.04
02.02.04.01.02.03.06.03
Стены ниже 0
02.02.04.01.02.03.06.02
02.02.04.01.02.03.06.01
02.02.04.01.02.03.06
02.02.04.01.02.03.05
02.02.04.01.02.03.04
02.02.04.01.02.03.03.02
02.02.04.01.02.03.03.01
02.02.04.01.02.03.03
02.02.04.01.02.03.02.03
02.02.04.01.02.03.02.02
02.02.04.01.02.03.02.01
02.02.04.01.02.03.02
02.02.04.01.02.03.01.04
02.02.04.01.02.03.01.03
02.02.04.01.02.03.01.02
02.02.04.01.02.03.01.01
02.02.04.01.02.03.01
02.02.04.01.02.03
Программные обеспечения ГП
02.02.04.01.02.02.010.07
Печать проектов ГП
02.02.04.01.02.02.010.06
СРО ГП
02.02.04.01.02.02.010.05
Обучение сотрудников ГП
02.02.04.01.02.02.010.04
Питание ГП
02.02.04.01.02.02.010.03
Журналы, канцелярия ГП
02.02.04.01.02.02.010.02
Спецодежда ГП
02.02.04.01.02.02.010.01
Прочие услуги ГП
02.02.04.01.02.02.010
02.02.04.01.02.02.09
02.02.04.01.02.02.08.03
02.02.04.01.02.02.08.02
02.02.04.01.02.02.08.01
02.02.04.01.02.02.08
02.02.04.01.02.02.07
02.02.04.01.02.02.06
02.02.04.01.02.02.05.04
02.02.04.01.02.02.05.03
02.02.04.01.02.02.05.02
02.02.04.01.02.02.05.01
02.02.04.01.02.02.05
02.02.04.01.02.02.04
02.02.04.01.02.02.03
02.02.04.01.02.02.02
02.02.04.01.02.02.01.010
 02.02.04.01.02.02.01.09
02.02.04.01.02.02.01.08
02.02.04.01.02.02.01.07
02.02.04.01.02.02.01.06
02.02.04.01.02.02.01.05
02.02.04.01.02.02.01.04
02.02.04.01.02.02.01.03
02.02.04.01.02.02.01.02
02.02.04.01.02.02.01.01
02.02.04.01.02.02.01
02.02.04.01.02.02
02.02.04.01.02.01.02
02.02.04.01.02.01.01
02.02.04.01.02.01
02.02.04.01.02
02.02.04.01.01.02
02.02.04.01.01.01.03
02.02.04.01.01.01.02
02.02.04.01.01.01.01
02.02.04.01.01.01
ЗАТРАТЫ ТЕХ.ЗАКАЗЧИКА
02.02.04.01.01
Строительство и проектирование
Итого (план)
02.02.04.01.02.019
02.02.04.01.01.018.02
Компен. озеленение
02.02.04.01.02.019.01
02.02.04.01.01.018.01
Архивная геология и геодезия
Топографическая съемка, ситуационный план
Инженерно-экологические изыскания
Инженерно-геологические изыскания
Инженерно-гидрологические изыскания
Компенсационное озеленение, вертикальная планировка. Инвентаризация зеленых насаждений. 
Получение согласования  из Роспотребнадзора
Обмеры, ТЗК здания (кроме зеленых насаждений)
Оценка влияния (метрополитен и пр) и согласование метрополитена
Обследование окружающей застройки
Обследование и диагностика инженерных систем (внутридомовые и внутриплощадочные)
Проект усиления окружающей застройки
Расчет инсоляции, инсогорка (в том числе получение планов БТИ по окружающей застройке)
Расчет фоновых концентраций загрязняющих веществ + климатическая справка, радиолокация
Замеры шума/воздействия
Технические условия вынос:
ТУ на вынос сетей электроснабжения, электроосвещения
ТУ на вынос сетей водоснабжения
ТУ на вынос сетей водоотведения (бытовая канализация)
ТУ на вынос сетей водоотведения (ливневая канализация)
ТУ на вынос сетей теплоснабжения
ТУ на вынос сетей по слабым токам
ТУ на вынос сетей по газоснабжению
Технические условия постоянные:
ТУ на наружные сети электроснабжения, освещения
ТУ на наружные сети водоснабжения
ТУ на наружные сети водоотведения (бытовая канализация)
ТУ на наружные сети водоотведения (ливневая канализация)
ТУ на наружные сети теплоснабжения
ТУ на наружные сети по слабым токам
ТУ на наружные сети газоснабжения
Технические условия на механизацию
ТУ на сети электроснабжения, освещения
ТУ на сети водоснабжения
ТУ на сети водоотведения (бытовая канализация)
ТУ на сети водоотведения (ливневая канализация)
Договора технологического присоединения
Договора СКП
Прочие работы по ИРД
Проектная документация стадии "П"
Проектирование наружных инженерных сетей:
Проект на вынос сетей электроснабжения, электроосвещения
Проект на вынос сетей водоснабжения
Проект на вынос сетей водоотведения (бытовая канализация)
Проект на вынос сетей водоотведения (ливневая канализация)
Проект на вынос сетей теплоснабжения
Проект на вынос сетей по слабым токам
Проект на вынос сетей газоснабжения
Проект на наружные сети электроснабжения, освещения
Проект на наружные сети водоснабжения
Проект на наружные сети водоотведения (бытовая канализация)
Проект на наружные сети водоотведения (ливневая канализация)
Проект на наружные сети теплоснабжения
Проект на наружные сети по слабым токам
Проект на наружные сети газоснабжения
Проект на ликвидацию сетей электроснабжения, электроосвещения
Проект на ликвидацию сетей водоснабжения
Проект на ликвидацию сетей водоотведения (бытовая канализация)
Проект на ликвидацию сетей водоотведения (ливневая канализация)
Проект на ликвидацию сетей теплоснабжения
Проект на ликвидацию сетей по слабым токам
Проект на ликвидацию сетей газоснабжения
Тендерная документация (в составе стадии П)
Научно-техническое сопровождение проекта
Разработка и согласование общестроительных СТУ и СТУ ПБ 
Государственная/Не государственная экспертиза
Испытания материалов, фасадных систем, подсистем, огневые испытания и пр.
Вибросейсмозащита с согласованием в Роспотребнадзоре по стадии П
Прочие работы по стадии П
Проектная документация стадии "РД"
Разработка  проекта офиса продаж
Разработка РД по наружным инженерным сетям
Разработка РД по механизации строительства
Согласование Рабочей документации по НИС:
 Согласование раздела «Внешние инженерные системы»
 Согласование раздела "Водоснабжение"
 Согласование раздела "Хозяйственно-бытовая канализация"
 Согласование раздела "Дождевая канализация"
  Согласование раздела  "Теплоснабжение"
 Согласование раздела "Электроснабжение"
 Согласование раздела  "Уличное освещение"
 Согласование раздела "Сети связи"
Согласование РД по механизации строительства
Разработка Технологического регламента по обращению с отходами от строительства
Вынос осей в натуре
Разработка и согласование Строительного генерального плана (СГП)
Контрольно-геодезическая съемка (КГС)
Согласование акта посадки здания
Авторский надзор
Прочие работы по стадии РД
Услуги Тех.Заказчика на СМР
Лабораторные исследования/работы
Прочие услуги на стадии СМР
02.02.04.01.01.01.01.01
02.02.04.01.01.01.01.02
02.02.04.01.01.01.01.03
02.02.04.01.01.01.01.04
02.02.04.01.01.01.01.05
02.02.04.01.01.01.01.06
02.02.04.01.01.01.01.07
02.02.04.01.01.01.01.08
02.02.04.01.01.01.01.09
02.02.04.01.01.01.01.010
02.02.04.01.01.01.01.011
02.02.04.01.01.01.01.012
02.02.04.01.01.01.01.013
02.02.04.01.01.01.01.014
02.02.04.01.01.01.01.015
02.02.04.01.01.01.01.016
02.02.04.01.01.01.01.016.01
02.02.04.01.01.01.01.016.02
02.02.04.01.01.01.01.016.03
02.02.04.01.01.01.01.016.04
02.02.04.01.01.01.01.016.05
02.02.04.01.01.01.01.016.06
02.02.04.01.01.01.01.016.07
02.02.04.01.01.01.01.017
02.02.04.01.01.01.01.017.01
02.02.04.01.01.01.01.017.02
02.02.04.01.01.01.01.017.03
02.02.04.01.01.01.01.017.04
02.02.04.01.01.01.01.017.05
02.02.04.01.01.01.01.017.06
02.02.04.01.01.01.01.017.07
02.02.04.01.01.01.01.018
02.02.04.01.01.01.01.018.01
02.02.04.01.01.01.01.018.02
02.02.04.01.01.01.01.018.03
02.02.04.01.01.01.01.018.04
02.02.04.01.01.01.01.019
02.02.04.01.01.01.01.020
02.02.04.01.01.01.01.021
02.02.04.01.01.01.02.01
02.02.04.01.01.01.02.02
02.02.04.01.01.01.02.02.01
02.02.04.01.01.01.02.02.02
02.02.04.01.01.01.02.02.03
02.02.04.01.01.01.02.02.04
02.02.04.01.01.01.02.02.05
02.02.04.01.01.01.02.02.06
02.02.04.01.01.01.02.02.07
02.02.04.01.01.01.02.02.08
02.02.04.01.01.01.02.02.09
02.02.04.01.01.01.02.02.010
02.02.04.01.01.01.02.02.011
02.02.04.01.01.01.02.02.012
02.02.04.01.01.01.02.02.013
02.02.04.01.01.01.02.02.014
02.02.04.01.01.01.02.02.015
02.02.04.01.01.01.02.02.016
02.02.04.01.01.01.02.02.017
02.02.04.01.01.01.02.02.018
02.02.04.01.01.01.02.02.019
02.02.04.01.01.01.02.02.020
02.02.04.01.01.01.02.02.021
02.02.04.01.01.01.02.03
02.02.04.01.01.01.02.04
02.02.04.01.01.01.02.05
02.02.04.01.01.01.02.06
02.02.04.01.01.01.02.07
02.02.04.01.01.01.02.08
02.02.04.01.01.01.02.09
02.02.04.01.01.01.03.01
02.02.04.01.01.01.03.02
02.02.04.01.01.01.03.03
02.02.04.01.01.01.03.04
02.02.04.01.01.01.03.05
02.02.04.01.01.01.03.05.01
02.02.04.01.01.01.03.05.02
02.02.04.01.01.01.03.05.03
02.02.04.01.01.01.03.05.04
02.02.04.01.01.01.03.05.05
02.02.04.01.01.01.03.05.06
02.02.04.01.01.01.03.05.07
02.02.04.01.01.01.03.05.08
02.02.04.01.01.01.03.06
02.02.04.01.01.01.03.07
02.02.04.01.01.01.03.08
02.02.04.01.01.01.03.09
02.02.04.01.01.01.03.010
02.02.04.01.01.01.03.011
02.02.04.01.01.01.03.012
02.02.04.01.01.01.03.013
Демонтажные работы 
Нулевой цикл (без земли и кладки)
Конструктив выше 0 (без кладки)
ДОУ 
ДОУ бас
школа бас
Прочее без офиса продаж
плоская неэксплуатируемая кровля
Эксплуатируемая плоская кровля/мансарда
Прочее - СМР соседних участков
Отделкаи устр-во внутр. Инж. сетей, видеонаблюдение
СМР,  отделка, устр-во внутр. инж. сетей, видеонаблюдение, подсветка фасада и благоуст-во прилегающей территории, ограждение, велопарковка
Разработка РД на шоу-румы
дизайн проект, визуализация и авторский надзор стенда
Дизайн проект офиса продаж
Проетирование офиса продаж
охрана
устройство КПП
площадь свободного ЗУ свыше 10 001 кв.м.
площадь свободного ЗУ  до 10 000 кв.м.
комфорт, бизнес, бизнес +
премиум, элит
малые архитектурные формы: скамейки;  урны; топиарии (фигуры из растений); декоративные элементы; контейнеры для мусоросборных площадок; парковка для самокатов/велосипедов
Устройство ограждений 
устройство заборов, ограждений: устройство ворот, калиток, шлагбаумы при въезде на территорию, въезды; светофор; ограждения мусоросборных площадок;
площадь свободного ЗУ свыше 8 001 кв.м.
маф
02.02.04.01.01.01.04
02.02.04.01.01.01.04.01
02.02.04.01.01.01.04.02
02.02.04.01.01.01.04.03
 АФК 
Лифты 
пассажирские
коэф. Перевода с 2 кв. 19 на 1 кв 20
мебель кухня, лобби до 100 м2
мебель кухня, лобби от 100 до 200 м2
мебель кухня, лобби свыше 200 м2
мебель консъерж
техника
техника санузел
шпунт
полная простая отделка; светильники, розетки, выключатели, диффузоры и т.д. 
 мелкий демонтаж, необходимый для проведения отделки (отверстия)
пол
Фитнес зал оборудование
руб. к этажности надзем.
Пересмотрено валютная составляющая по фасаду, отделке и ИС по сегменту Премиум. Пересмотрены расценки мебель, благоустройство,отделка, сети, фитнесс, остальные - корректировка инфляции. Разбивка на новый классификатор. Обновлен калькулятор скоров - построение бддс.
до 10 000  кв.м.
от 10 000 до 20 000  кв.м.
№ версии
Дата
Изменения
 Автор:
по сущ. нашим проектам 3,7% от общей площади
по сущ. нашим проектам среднее 36,96%
 3 - 4 эт. 1 пас. + 1 груз.
 5 - 12 эт. 2 пас. + 1 груз. 
13 - 20/25 эт. 3 пас. + 1 груз. 
20/25 - 40/45 эт. 3 пас. + 2 груз.
50 эт. - 2 группы по 3 пас. + 2 груз.
 3 - 4 эт. 1 пас. + 1 груз.
 5 - 12 эт. 2 пас. + 1 груз. 
13 - 20/25 эт. 3 пас. + 1 груз. 
20/25 - 40/45 эт. 3 пас. + 2 груз.
50 эт. - 2 группы по 3 пас. + 2 груз.
Состав пирога:
 подшивка из досоктолщ.25мм; пароизоляция Tyvek DuPont AirGuard SD5; Минераловатный утеплитель -200мм между стропилами (2 слоя по 100мм с перекрывом стыков); Паропроницаемая гидроизоляционная мембрана Tyvek Soft; Контробрешетка (продух)-брусок 50х50мм с разрывами 100мм через 1200мм в шахматном порядке; Сплошной настил из OSB-15мм; Объемная диффузионная мембрана Delta TRELA-10мм; Фальцевая кровля; 
Дополнительно: 
Отливы; Водосточный желоб
Мансардные окна
Состав пирога:
 Техноэласт ЭПП 1 слой - 4 мм; Уклонообразующий слой из керамзита плотностью 600 кг/м3 по уклону 1,5 %, пролитый цем.песч.раствором М100 - от 100мм; Выравнивающая - цем.песчаная стяжка М100, армированная сеткой 4ВрI с ячейками 100х100мм - 50мм; Праймер битумный ТехноНИКОЛЬ №01; Битумно-полимерная мембрана Техноэласт ЭПП 2 слоя - 8мм; Иглопробивной термообработанный геотекстиль ТехноНИКОЛЬ 300 г/м2; XPS ТехноНИКОЛЬ CARBON PROF - 150мм; Дренажная мембрана PLANTER geo - 8мм; Промытый гравий 30-100мм;  
Дополнительно: 
Разуклонка и у
стройство водоприемного лотка с решеткой; Устройство молниезащиты
Полы: звукоизоляция, устройство ЦПС, наливной самовыравнивающий пол, гидроизоляция
Стены: перегородки из пазогребневых блоков, зашивка ГКЛВ, оштукатуривание стен и откосов, шпаклевание стен и откосов, монтаж подоконников и сантех.люка под плитку.
Потолки: Обеспыливание зачищенного монолитного потолка бетоноконтактом 
Электрооборудование: Щит силовой, терморегулятор ,провода, кабели, кабель с медными жилами с ПВХ изоляцией сеч., Коробка ответвительная,Коробка для встраивания розеток и выключателей одноместная (подрозетник)
Водопровод холодной и горячей воды и Бытовая канализация: Водопровод холодной и горячей воды,Бытовая канализация 
Отопление
Вентиляция и кондиционирование:Воздуховод из тонколистовой оцинкованной стали,Воздушный клапан общего назначения круглый,Сотовая решетка,Щелевой диффузор L-1000 мм 2 щели с камерой статического давления,Решетка 950x150,Тепловая изоляция воздуховодов с материалами для монтажа 6 мм,Труба медная,Дренажный трубопровод Ф20 мм
СКС:Кабели и провода
Пожарная сигнализация: Блок разветвительно-изолирующий,Извещатель дымовой адресно-аналоговый,Извещатель пожарный ручной адресный,Кабели и провода,Коробка коммутационная огнестойкая
Оповещение о пожаре:Звуковой оповещатель 24В,Кабель не поддерживающий горение с низким дымо и газовыделением,Коробка коммутационная огнестойкая
Проводное радиовещание:Розетка радиотрансляционной сети,Коробка для встраивания розеток и выключателей одноместная (подрозетник),Кабель радиотрансляционный распределительный
Система безопасности Видедомофон:Вилка RJ-45 8Р8С FTP для кабельной сети LAN,Кабель сигнальный
Противопожарная автоматика:Устройство коммутационное, Кабель сигнальный,Коробка коммутационная огнестойкая
Полы: керамогранит Россия, ламинат Kaindl  Хикори Джоржия (Австрия)
Стены: Обшивка ГКЛ, керамическая плитка Керама Марацци (Россия), окраска Dulux (Великобритания), декоративный кирпич Ижора, фактурная штукатурка
Потолки: Обшивка ГКЛ, окраска Dulux (Великобритания), натяжные потолки 
стиль классика - Проект Парк Мира
ПОЛ: керамогранит Виченце, штучный паркет Майкоп дуб с  финишным покрытием, тип "французская елка", керамогранит Керамомараци, наливной пол из материала "Ветонит 3000", плитка EQUIPE OCTAGON Blanco Mate со вставками Taco Negro Mate, Монтаж теплового пола Леви (маты)
СТЕНЫ: Покраска стен краской Dulux Vinyl matt, OONN 
ПОТОЛОК: Покраска потолка краской Dulux.
СУ1: плитка KERAMA MARAZZI 20003N, Покраска краской Dulux Ultra Resist-90YR33/163
СУ2: плитка на стену Cifre Opal Ivory, Cifre Opal Comp. Rodia Grey + декор Opal ivori, Покраска краской Dulux Ultra Resist-20YY83/063
ДВЕРИ: Profil Doors 1U 
САНТЕХНИЧЕСКИЕ ПРИБОРЫ: унитаз подвесной Simas Lante с инсаляцией, биде подвесное Simas Lante LA19 с инсоляцией, акриловая ванна Aquanet Nord 170, душевая стойка Bravat Opal F9125183CP-A1-RUS, тумба-умывальника акватон Леон 80 Дуб бежевый, тумба Aquanet Homa 90 белый гляней с раковиной, полотенцесушитель Terminus Классик 400х630
СЕТИ: Блок кондиционирования LG настенный внутренний
среднее по стиль "Классика", "Современный"
проект Джаз
Полы: керамогранит под натуральный камень, паркетная доска английская елка;
Стены - обшивка ГКЛ, обои флизелиновые, покраска Dulux, декоратив. стена Wall-panels, керамогранит Atlas Concorde;
Потолки: ГКЛВ, окраска Dulux
среднее по стилю "Классика", " Современный", "Ар-декао"
проект Реномэ
Полы: керамогранит под натуральный камень, паркетная доска английская елка;
Стены - обшивка ГКЛ, обои флизелиновые, покраска Dulux, декоратив. стена Wall-panels, керамогранит Atlas Concorde;
Потолки: ГКЛВ, окраска Dulux
среднее по стилю "Классика", " Современный", "Ар-декао"
проект М. Ордынка
Полы: керамогранит под натуральный камень, паркетная доска английская елка;
Стены - обшивка ГКЛ, обои флизелиновые, покраска Dulux, декоратив. стена Wall-panels, керамогранит Atlas Concorde;
Потолки: ГКЛВ, окраска Dulux
Полы: звукоизоляция, устройство ЦПС, наливной самовыравнивающий пол, гидроизоляция
Стены: перегородки из пазогребневых блоков, зашивка ГКЛВ, оштукатуривание стен и откосов, шпаклевание стен и откосов, монтаж подоконников и сантех.люка под плитку.
Потолки: Обеспыливание зачищенного монолитного потолка бетоноконтактом 
Электрооборудование: Щит силовой, терморегулятор ,провода, кабели, кабель с медными жилами с ПВХ изоляцией сеч., Коробка ответвительная,Коробка для встраивания розеток и выключателей одноместная (подрозетник)
Водопровод холодной и горячей воды и Бытовая канализация: Водопровод холодной и горячей воды,Бытовая канализация 
Отопление
Вентиляция и кондиционирование:Воздуховод из тонколистовой оцинкованной стали,Воздушный клапан общего назначения круглый,Сотовая решетка,Щелевой диффузор L-1000 мм 2 щели с камерой статического давления,Решетка 950x150,Тепловая изоляция воздуховодов с материалами для монтажа 6 мм,Труба медная,Дренажный трубопровод Ф20 мм
СКС:Кабели и провода
Пожарная сигнализация: Блок разветвительно-изолирующий,Извещатель дымовой адресно-аналоговый,Извещатель пожарный ручной адресный,Кабели и провода,Коробка коммутационная огнестойкая
Оповещение о пожаре:Звуковой оповещатель 24В,Кабель не поддерживающий горение с низким дымо и газовыделением,Коробка коммутационная огнестойкая
Проводное радиовещание:Розетка радиотрансляционной сети,Коробка для встраивания розеток и выключателей одноместная (подрозетник),Кабель радиотрансляционный распределительный
Система безопасности Видедомофон:Вилка RJ-45 8Р8С FTP для кабельной сети LAN,Кабель сигнальный
Противопожарная автоматика:Устройство коммутационное, Кабель сигнальный,Коробка коммутационная огнестойкая
индивидуального производства (пример М.Ордынка,19)
Оборудование
 - / - 
Материалы оборудования: 
основание грунт / стилобат / монолитная чаша; при условии основания тип стилобат - очистка мембраны перед укладкой геотекстиля; геофильтр VTEH NW 9-13 коэф. Расхода 1,2 - 1 слой; дренажный слой: iDrain 10 ГЕО с геотекстилем Typar (1000 кн/м2) - 10 мм; гранитный щебень фр. 20-40мм ГОСТ 8267-93 перем.от 100 мм; гравийный отсев фр.2-5 мм ГОСТ 8267-93 - 50 мм; *Финишное покрытие: Мощение крупными гранитными плитами с готовыми отверстиями для дюз фонтана; подсветка дюз фонтана;
Фундамент 
- железобетонный сборный ленточный
Стены: наружные, внутренние, перегородки 
- кирпичные
Перекрытие, покрытие 
- железобетонные сборные плиты
Балконы, лоджии
 - не предусмотрены
Лестницы 
- железобетонные сборные
Крыша (кровля) 
- рулонная, из наплавляемых материалов
Полы
 - керамические, линолеумные, синтетические рулонные
Проемы: оконные блоки
 - поливинилхлоридные, стеклопакет
Проемы: дверные блоки
 - деревянные
Внутренняя отделка 
- улучшенная
Архитектурное оформление фасада 
- простое
Инженерные системы и элементы благоустройства 
Отопление 
- центральное водяное, трубы стальные
Водопровод 
- от центральной сети, трубы стальные оцинкованные
Канализация 
- центральная, трубы чугунные, полиэтиленовые
Горячее водоснабжение 
- центральное, трубы стальные оцинкованные
Пароснабжение -
 не предусмотрено
Газоснабжение 
- не предусмотрено
Электроснабжение 
- центральное, автономное
Напольные электроплиты 
- многофункциональные электрические плиты
Телевидение, радио, телефон, слаботочные устройства
 - учтены
Лифт
 - не предусмотрен 
Мусоропровод 
- не предусмотрен
Вентиляция
 - приточно-вытяжная
Кондиционирование, газодымоудал., пылеудаление, технологич. трубопроводы
 - не предусмотрены
Молниезащита 
- учтена
Система пожаротушения
 - учтена
Пожарная сигнализация 
- учтена
Охранная сигнализация
 -учтена
Охранно-пожарная сигнализация
 - не предусмотрена
Тревожная сигнализация (тревожная кнопка)
 - не предусмотрена
Технологическое оборудование
 - учтено
Пусконаладочные работы 
- учтены
Фундамент
 - железобетонный сборный ленточный
Стены: наружные 
- кирпичные, вентилируемый фасад
Стены: внутренние, перегородки 
- кирпичные
Перекрытие, покрытие 
- железобетонные сборные плиты
Балконы, лоджии 
- не предусмотрены
Лестницы 
- железобетонные сборные
Крыша (кровля) 
- стропильная система, сталь листовая оцинкованная
Полы 
- наливные, ламинированные, керамические, линолеумные
Проемы: оконные блоки 
- поливинилхлоридные, стеклопакет, витражи поливинилхлоридные
Проемы: дверные блоки 
- деревянные, поливинилхлоридные
Внутренняя отделка
 - улучшенная
Архитектурное оформление фасада 
- простое
Инженерные системы и элементы благоустройства 
Отопление
 - центральное водяное, трубы стальные
Водопровод
 - от центральной сети, трубы стальные оцинкованные
Канализация 
- центральная, трубы чугунные, полиэтиленовые
Горячее водоснабжение
 - центральное, трубы стальные оцинкованные
Пароснабжение 
- не предусмотрено
Газоснабжение
 - не предусмотрено
Электроснабжение
 - центральное, автономное
Напольные электроплиты 
- многофункциональные электрические плиты
Телевидение, радио, телефон, слаботочные устройства
 - учтены
Лифт
 - не предусмотрен 
Мусоропровод
 - не предусмотрен
Вентиляция 
- приточно-вытяжная
Кондиционирование
 - автономное 
Газодымоудаление, пылеудаление, технологические трубопроводы 
- не предусмотрены
Молниезащита
 - учтена
Система пожаротушения 
- учтена
Пожарная сигнализация
 - учтена
Охранная сигнализация
 -учтена
Охранно-пожарная сигнализация 
- не предусмотрена
Тревожная сигнализация (тревожная кнопка)
 - не предусмотрена
Технологическое оборудование 
- учтено
Пусконаладочные работы
 - учтены
Фундамент 
- железобетонный сборный ленточный
Стены: наружные, внутренние, перегородки
 - кирпичные
Перекрытие, покрытие
 - железобетонные сборные плиты
Балконы, лоджии 
- не предусмотрены
Лестницы 
- железобетонные сборные
Крыша (кровля) 
- рулонная, из наплавляемых материалов
Полы
 - керамические, линолеумные
Проемы: оконные блоки 
- поливинилхлоридные, стеклопакет
Проемы: дверные блоки
 - деревянные
Внутренняя отделка
 - улучшенная
Архитектурное оформление фасада
 - простое
Инженерные системы и элементы благоустройства 
Отопление
 - центральное водяное, трубы стальные
Водопровод
 - от центральной сети, трубы стальные оцинкованные
Канализация 
- центральная, трубы чугунные, полиэтиленовые
Горячее водоснабжение
 - центральное, трубы стальные оцинкованные
Пароснабжение
 - не предусмотрено
Газоснабжение
 - не предусмотрено
Электроснабжение
 - центральное, автономное
Телевидение, радио, телефон, слаботочные устройства
 - учтены
Лифт 
- предусмотрен только от 125 посещений в смену
Мусоропровод 
- не предусмотрен
Вентиляция 
- приточно-вытяжная
Кондиционирование, газодымоудаление, пылеудаление, технологические трубопроводы
 - не предусмотрены
Молниезащита
 - учтена
Система пожаротушения
 - учтена
Пожарная сигнализация 
- учтена
Охранная сигнализация
 -учтена
Охранно-пожарная сигнализация
 - не предусмотрена
Тревожная сигнализация (тревожная кнопка)
 - не предусмотрена
Технологическое оборудование
 - учтено
Пусконаладочные работы
 - учтены
1. Устройство групповой площадки для детей в возрасте: 
 от 1 до 2 лет - 1 шт (от 180 мест и выше - 2 шт)
 от 2 до 3 лет - 1 шт (от 180 мест и выше - 2 шт)
 от 3 до 4 лет - 1 шт (от 160 - 259 мест - 2 шт, свыше 260 мест - 3 шт)
 от 4 до 5 лет - 1 шт (от 120 - 219 мест - 2 шт, свыше 220 мест - 3 шт)
 от 5 до 6 лет - 1 шт (от 140 - 239 мест - 2 шт, свыше 240 мест - 3 шт)
 от 6 до 7 лет - 1 шт (от 200 - 279 мест - 2 шт, свыше 280 мест - 3 шт)
2. Устройство площадки для содержания животных и птиц 
- от 180 мест - 1 шт
3. Устройство физкультурной площадки 
 для дошкольных групп - 1 шт (от 220 мест и выше - 2 шт)
 для ясельных групп -  от 160 - 1 шт (от 260 мест и выше - 2 шт)
4. Устройство общей физкультурной площадки для дошкольных и ясельных групп 
- 1 шт (от 140 мест и выше - 2 шт)
1. Устройство:
 метеорологической площадки 
 комплексной площадки 
 географической площадки - от 775 мест
 зоологической площадки - от 500 мест
2. Устройство площадки для подвижных игр
 1-9 классов
3. Устройство площадки для тихого отдыха 
5-11 классов
4. Устройство площадки для гимнастики
 (от 275 мест) 1-11 классов
5. Устройство площадки для спортивных игр (метания меча, прыжков в высоту и длину)
 - 1 шт. от 500 мест
6. Устройство футбольного поля
 - 1 шт. от 275 мест
7. Устройство площадки для ручного мяча
 - 1 шт. от 700 мест
8. Устройство площадки для игры хоккей с шайбой
 - 1 шт. от 900 мест
9. Устройство учебного городка по тактической подготовке и ГО 
- 1 шт. от 500 мест
10. Устройство баскетбольной площадки
 - 1 шт.
11. Устройство волейбольной площадки
 - 1 шт.
12. МАФы:
 Ваза шестигранная
 Скамья деревометаллическая без спинки
 Скамья бульварная со спинкой без подлокотников (от 300 мест)
 Стол для настольного тенниса (от 400 мест)
 Урна металлическая опрокидывающаяся (от 300 мест)
 Урна квадратная железобетонная
Сухие зоны 
пол 
 Высококачественный керамогранит российский или импортный (Китай, Турция)  с незначительным кол-вом декоративных элементов
стены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потолок 
покраска или  навесные потолки средней ценовой группы,  или 2-3 уровневые потолки 
освещение
 не более 2 видов освещения (Китай, Россия)
двери
 качественные двери лучших отечественных производителей или недорогих импортных производителей (Финляндия, Испания) 
Мебель и оборудование 
Стойка ресепшн 
Стойка ресепшн на 1 рабочее место до 300 000 руб./шт.
Мебель зоны ожидания
 нет
Мебель для обслуживающиего персонала
 офисные кресла, тумбочки, шкаф-бюро до 100 000 руб./комплект
Почтовые ящики типовые из нержавейки до 100 000 руб/подъезд
Шкафы для корреспонденции
 нет
занавески, жалюзи согласно дизайн-проекта
торшеры
 нет
фонтаны 
нет
камины
 нет
картины, скульптуры
 нет
зеркала
 согласно дизайн-проекта
цветы живые и искусственные 
согласно дизайн-проекта
вазы
 нет
Номера 
этажей
 согласно дизайн-проекта
квартир
 согласно дизайн-проекта
Информационный стенд / стенд внутренней навигации 
согласно дизайн-проекта
Логотип компании / здания 
за или рядом со стойкой ресепшн
Санузлы 1 ЭТАЖА, м2 нет
Сухие зоны
пол
 Высококачественный керамогранит российский или импортный (Китай, Турция) с незначительным кол-вом декоративных элементов
стены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потолок 
покраска или  навесные потолки средней ценовой группы,  или 2-3 уровневые потолки 
освещение 
не более 2 видов освещения (Китай, Россия)
двери качественные двери лучших отечественных производителей или недорогих импортных производителей (Финляндия, Испания) 
Мебель и оборудование 
Стойка ресепшн 
Стойка ресепшн на 1 рабочее место до 300 000 руб./шт.
Мебель зоны ожидания 
два кресла и журнальный столик до 150 000 руб./комплект
Мебель для обслуживающего персонала 
офисные кресла, тумбочки, шкаф-бюро до 100 000 руб./комплект
Почтовые ящики 
типовые из нержавейки до 100 000 руб/подъезд
Шкафы для корреспонденции 
нет
занавески, жалюзи
 согласно дизайн-проекта
торшеры
 нет
фонтаны
 нет
камины
 нет
картины, скульптуры 
нет
зеркала 
согласно дизайн-проекта
цветы живые и искусственные 
согласно дизайн-проекта
вазы 
нет
Номера 
этажей 
согласно дизайн-проекта
квартир 
согласно дизайн-проекта
Информационный стенд / стенд внутренней навигации
 согласно дизайн-проекта
Логотип компании / здания 
за или рядом со стойкой ресепшн
Санузлы 1 ЭТАЖА, м2 2,5-3,0
зонирование
 кабинка универсальная М/Ж в строительном исполнении в комплекте с унитазом, умывальником и диспенсерами (внутренние разделительные двери отсутствуют) 1 шт на ресепшн
пол
 Высококачественный керамогранит российский или импортный (Китай, Турция) с незначительным кол-вом декоративных элементов
стены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потолок 
покраска или  навесные потолки средней ценовой группы,  или 2-3 уровневые потолки 
освещение 
не более 2 видов освещения (Китай, Россия)
двери
 качественные двери лучших отечественных производителей или недорогих импортных производителей (Финляндия, Испания) 
сантехприборы 
унитаз подвесной, раковина без столешницы на пьедестале, кран с рычажком, производители - Германия, Финляндия для общественных помещений
Сухие зоны 
пол
 натуральный камень (Турция, Китай и тд), крупноразмерный с незначительным кол-вом декоративных элементов 
стены
 сочетание покраски \ декоративной штукатурки \  высококачественного керамогранита  с декоративной отделкой средней ценовой категории (не более 30%) - дерево, камень 
потолок 
 многоуровневые потолки из гипсокартона или различных систем среднего ценового уровня в стилистике общего дизайна помещения
освещение 
 светильники ведущих европейских производителей /  несколько видов  декоративной  и архитектурной подсветки с различными режимами освещения
двери
 высококачественные  европейских производителей средней ценовой категории
Мебель и оборудование
Стойка ресепшн
 Стойка ресепшн на 1 рабочее место до 500 000 руб./шт.
Мебель зоны ожидания
 кресло, диван и журнальный столик до 200 000 руб./комплект
Мебель для обслуживающего персонала 
офисные кресла, тумбочки, шкаф-бюро до 100 000 руб./комплект
Почтовые ящики
 индивидуальные по дизайн-проекту до 200 000 руб/подъезд
Шкафы для корреспонденции 
нет
занавески, жалюзи
 согласно дизайн-проекта
торшеры 
согласно дизайн-проекта
фонтаны
 нет
камины
 согласно дизайн-проекта
картины, скульптуры
 согласно дизайн-проекта
зеркала
 согласно дизайн-проекта
цветы живые и искусственные 
согласно дизайн-проекта
вазы
 согласно дизайн-проекта
Номера 
этажей 
согласно дизайн-проекта
квартир 
согласно дизайн-проекта
Информационный стенд / стенд внутренней навигации
 согласно дизайн-проекта
Логотип компании / здания
 за или рядом со стойкой ресепшн
Санузлы 1 ЭТАЖА, м2 2,5-3,0
зонирование 
кабинка универсальная М/Ж в строительном исполнении в комплекте с унитазом, умывальником и диспенсерами (внутренние разделительные двери отсутствуют) 1 шт на ресепшн
пол  натуральный камень (Турция, Китай и тд), крупноразмерный с незначительным кол-вом декоративных элементов 
стены
 сочетание покраски \ декоративной штукатурки \  высококачественного керамогранита  с декоративной отделкой средней ценовой категории (не более 30%) - дерево, камень 
потолок
 многоуровневые потолки из гипсокартона или различных систем среднего ценового уровня в стилистике общего дизайна помещения
освещение
 светильники ведущих европейских производителей /  несколько видов  декоративной  и архитектурной подсветки с различными режимами освещения
двери 
высококачественные  европейских производителей средней ценовой категории
сантехприборы 
унитаз подвесной, раковина встроенная в столешницу из кореана, кран с рычажком, производители - Германия, Финляндия для общественных помещений
Сухие зоны 
пол  
"натуральный камень (Европейские карьеры), крупноразмерный с укладкой в 2-3 цветас декоративными элементами /  мозаикой или  орнаментами (до 50%)"
стены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потолок 
сложные многоуровневые потолки, отвечающие общему дизайну помещения
освещение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двери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Мебель и оборудование 
Стойка ресепшн 
Стойка ресепшн на 1 рабочее место до 1 000 000 руб./шт.
Мебель зоны ожидания
 кресла, диваны, столики до 1 000 000 руб./комплект
Мебель для обслуживающего персонала
 офисные кресла, тумбочки, шкаф-бюро до 200 000 руб./комплект
Почтовые ящики
 индивидуальные по дизайн-проекту до 500 000 руб/подъезд
Шкафы для корреспонденции 
деревянные по дизайн-проекту до 50 000 руб./шт.
занавески, жалюзи
 согласно дизайн-проекта
торшеры 
согласно дизайн-проекта
фонтаны 
нет
камины 
согласно дизайн-проекта
картины, скульптуры 
согласно дизайн-проекта
зеркала
 согласно дизайн-проекта
цветы живые и искусственные
 согласно дизайн-проекта
вазы
 согласно дизайн-проекта
Номера 
этажей 
согласно дизайн-проекта
квартир
 согласно дизайн-проекта
Информационный стенд / стенд внутренней навигации 
согласно дизайн-проекта
Логотип компании / здания 
за или рядом со стойкой ресепшн
Санузлы 1 ЭТАЖА, м2 2,5-3,0
зонирование
 кабинка универсальная М/Ж в строительном исполнении в комплекте с унитазом, умывальником и диспенсерами (внутренние разделительные двери отсутствуют) 1 шт на ресепшн
пол 
 "натуральный камень (Европейские карьеры), крупноразмерный с укладкой в 2-3 цветас декоративными элементами /  мозаикой или  орнаментами (до 50%)"
стены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потолок
 сложные многоуровневые потолки, отвечающие общему дизайну помещения
освещение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двери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сантехприборы
 унитаз подвесной, раковина встроенная в столешницу из кореана/натурального камня, кран с рычажком, производители - Германия, Финляндия для общественных помещений
Сухие зоны 
пол 
 "натуральный камень (Европейские карьеры), крупноразмерный с укладкой в 2-3 цветас декоративными элементами /  мозаикой или  орнаментами (до 50%)"
стены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потолок
 сложные многоуровневые потолки, отвечающие общему дизайну помещения
освещение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двери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Мебель и оборудование 
Стойка ресепшн
Стойка ресепшн
на 1 рабочее место д
Мебель зоны ожидания
 кресла, диваны, столики 
Мебель для обслуживающего персонала 
офисные кресла, тумбочки, шкаф-бюро 
Почтовые ящики
 индивидуальные по дизайн-проекту 
Шкафы для корреспонденции 
деревянные по дизайн-проекту
занавески, жалюзи
 согласно дизайн-проекта
торшеры 
согласно дизайн-проекта
фонтаны
 нет
камины 
согласно дизайн-проекта
картины, скульптуры
 согласно дизайн-проекта
зеркала
 согласно дизайн-проекта
цветы живые и искусственные 
согласно дизайн-проекта
вазы 
согласно дизайн-проекта
Номера 
этажей
 согласно дизайн-проекта
квартир 
согласно дизайн-проекта
Информационный стенд / стенд внутренней навигации 
согласно дизайн-проекта
Логотип компании / здания
 за или рядом со стойкой ресепшн
Санузлы 1 ЭТАЖА, м2 4,0-5,5
зонирование 
кабинка универсальная М/Ж в строительном исполнении в комплекте с унитазом, умывальником и диспенсерами (внутренние разделительные двери отсутствуют) 1 шт на ресепшн
пол  
"натуральный камень (Европейские карьеры), крупноразмерный с укладкой в 2-3 цветас декоративными элементами /  мозаикой или  орнаментами (до 50%)"
стены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потолок 
сложные многоуровневые потолки, отвечающие общему дизайну помещения
освещение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двери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сантехприборы
 унитаз подвесной, раковина встроенная в столешницу из кореана/натурального камня, кран с рычажком, производители - Германия, Финляндия для общественных помещений
МОП выше 0 
пол  лифтовых холлов -
 Высококачественный керамогранит российский или импортный (Китай, Турция)  с незначительным кол-вом декоративных элементов
пол коридоров
 -  Высококачественный керамогранит российский или импортный (Китай, Турция)  с незначительным кол-вом или без декоративных элементов
стены
 -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потолок
 -  покраска или  навесные потолки средней ценовой группы,  или 2-3 уровневые потолки 
освещение
 -  не более 2 видов освещения (Китай, Россия)
двери
 - качественные двери лучших отечественных производителей или недорогих импортных производителей (Финляндия, Испания) 
МОП ниже 0 
Отделка ступеней и подступенков 
из керамогранита отечественных производителей (типа соль-перец), стандартная плитка
отделка пола
 площадок из керамогранита отечественных производителей (типа соль-перец)
потолок
 шубка
стены
 шубка
Двери
 качественные двери лучших отечественных производителей или недорогих импортных производителей (Финляндия, Испания) 
перила
 нержавейка
МОП выше 0 
пол  лифтовых холлов 
-  Высококачественный керамогранит российский или импортный (Китай, Турция) с незначительным кол-вом декоративных элементов
пол коридоров
 -  Высококачественный керамогранит российский или импортный (Китай, Турция) с незначительным кол-вом или без декоративных элементов
стены
 -  высококачественная покраска, декоративная отделка  средней ценовой категории  (не более 30%) - плиткой или керамогранитом, молдинги-раскладки, зеркальные панели, декоративная штукатурка 
потолок
 -  покраска или  навесные потолки средней ценовой группы,  или 2-3 уровневые потолки 
освещение 
-  не более 2 видов освещения (Китай, Россия)
двери
 - качественные двери лучших отечественных производителей или недорогих импортных производителей (Финляндия, Испания) 
МОП ниже 0 
Отделка ступеней и подступенков 
из керамогранита отечественных производителей (типа соль-перец), ступени с обработанным краем
отделка пола 
 площадок из керамогранита отечественных производителей (типа соль-перец)
потолок
 шубка
стены 
шубка
Двери 
качественные двери лучших отечественных производителей или недорогих импортных производителей (Финляндия, Испания) 
перила
 нержавейка
МОП выше 0 
пол  лифтовых холлов
 -  натуральный камень (Турция, Китай и тд), крупноразмерный с незначительным кол-вом декоративных элементов 
пол коридоров 
-  натуральный камень (Турция, Китай и тд), крупноразмерный с минимальным кол-вом или без декоративных элементов
стены
 -  сочетание покраски \ декоративной штукатурки \  высококачественного керамогранита  с декоративной отделкой средней ценовой категории (не более 30%) - дерево, камень 
потолок 
-   многоуровневые потолки из гипсокартона или различных систем среднего ценового уровня в стилистике общего дизайна помещения
освещение
 -   светильники ведущих европейских производителей /  несколько видов  декоративной  и архитектурной подсветки с различными режимами освещения
двери
 - высококачественные  европейских производителей средней ценовой категории
МОП ниже 0 
Отделка ступеней и подступенков
 из керамогранита (Испания, Россия) стандартных типоразмеров, ступени с обработанным краем
отделка пола 
 площадок из керамогранита (Испания, Россия) стандартных типоразмеров
потолок
 шпатлевка и окраска (двухслойная с набрызгом)
стены 
шпатлевка и окраска (двухслойная с набрызгом)
Двери
 высококачественные  европейских производителей средней ценовой категории
перила
 нержавейка
МОП выше 0 
пол  лифтовых холлов 
- натуральный камень (Европейские карьеры), крупноразмерный с укладкой в 2-3 цветас декоративными элементами /  мозаикой или  орнаментами ( упрощённые мотивы, использованные в лобби) 
пол коридоров
 -  натуральный камень (Европейские карьеры), крупноразмерный с укладкой в 2-3 цвета(минимум или полное отсутствие  декоративных элементов)/
стены
 -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потолок 
-  сложные многоуровневые потолки, отвечающие общему дизайну помещения
освещение
 -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двери
 -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МОП ниже 0 
Отделка ступеней и подступенков 
из натурального камня/керамогранита европейских производителей стандартных типоразмеров, ступени с обработанным краем
отделка пола 
 площадок из натурального камня/керамогранита европейских производителей стандартных типоразмеров
потолок
 шпатлевка и окраска (двухслойная с набрызгом)
стены
 шпатлевка и окраска (двухслойная с набрызгом)/декоративная штукатурка
Двери 
высококачественные  европейских производителей средней ценовой категории
перила 
нержавейка
МОП выше 0 
пол  лифтовых холлов
 - натуральный камень (Европейские карьеры), крупноразмерный с укладкой в 2-3 цветас декоративными элементами /  мозаикой или  орнаментами ( упрощённые мотивы, использованные в лобби)"
пол коридоров
 - натуральный камень (Европейские карьеры), крупноразмерный с укладкой в 2-3 цвета(минимум или полное отсутствие  декоративных элементов)"
стены
 - сложная высококачественная отделка эксклюзивными материалами ведущих мировых производителей (камень, натуральное дерево, панели буазери, мозаика и панно )
потолок
 - сложные многоуровневые потолки, отвечающие общему дизайну помещения
освещение 
- дизайнерские светильники ведущих европейских производителей, несколько видов  декоративной  и архитектурной подсветки с различными режимами освещения
двери
 -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МОП ниже 0 
Отделка ступеней и подступенков 
цельные ступени с обработанным краем и наборные подступенки из натурального камня по дизайн-проекту с обработкой от намокания и пятен
отделка пола 
 площадок из натурального камня с рисунком из несложных геометрических форм по дизайн-проекту с обработкой от намокания и пятен
потолок
 шпатлевка и окраска (двухслойная с набрызгом)
стены 
шпатлевка и окраска (двухслойная с набрызгом)/декоративная штукатурка
Двери
 дизайнерские европейских производителей (массив, шпон дорогих пород, стеклянные и различными видами декорации) высота дверей 2,3м (одно-двухстворчатые) со скрытыми доводчиками, 
фурнитура
 высоко класса
перила
 кованные с деревянными поручнями/нержавейка со стеклом
Полы: 
керамогранит соль-перец (Россия), 
плинтус
 -  керамогранит (Россия) высотой 100 мм.,
Стены и потолок:
 покраска "шуба" (Россия);
Ограждение: 
нержавейка/черный металл с порошковой окраской 
Заполнение проемов: 
двери металлические 
Полы: 
керамогранит (Россия), 
плинту
с -  керамогранит (Россия) высотой 100 мм.,
Стены и потолок:
 покраска "шуба" (Россия);
Ограждение: 
нержавейка/черный металл с порошковой окраской 
Заполнение проемов: 
двери металлические 
 ввод даты
ввод даты
 </TextBody>
    <User xmlns="0da6c801-561b-4cfa-a5e0-577de82378d4"/>
    <ResponsibleFIO xmlns="0da6c801-561b-4cfa-a5e0-577de82378d4" xsi:nil="true"/>
    <_dlc_DocId xmlns="290cdb9c-5ea7-487d-b0ed-e64f7b733c2c">SMINEX-8316-1495</_dlc_DocId>
    <DaysInUse xmlns="0da6c801-561b-4cfa-a5e0-577de82378d4">730</DaysInUse>
    <Comment xmlns="0da6c801-561b-4cfa-a5e0-577de82378d4" xsi:nil="true"/>
    <_dlc_DocIdUrl xmlns="290cdb9c-5ea7-487d-b0ed-e64f7b733c2c">
      <Url>http://portal/help/_layouts/DocIdRedir.aspx?ID=SMINEX-8316-1495</Url>
      <Description>SMINEX-8316-1495</Description>
    </_dlc_DocIdUrl>
    <DateStart xmlns="0da6c801-561b-4cfa-a5e0-577de82378d4">2020-04-15T21:00:00+00:00</DateStart>
    <ConstrainedDocuments xmlns="0da6c801-561b-4cfa-a5e0-577de82378d4" xsi:nil="true"/>
    <Responsible xmlns="0da6c801-561b-4cfa-a5e0-577de82378d4" xsi:nil="true"/>
    <_x042f__x0440__x043b__x044b__x043a__x0438_ xmlns="0da6c801-561b-4cfa-a5e0-577de82378d4"/>
    <EndDate xmlns="0da6c801-561b-4cfa-a5e0-577de82378d4" xsi:nil="true"/>
    <TypeOfDoc xmlns="0da6c801-561b-4cfa-a5e0-577de82378d4" xsi:nil="true"/>
    <ApplicationNumber xmlns="0da6c801-561b-4cfa-a5e0-577de82378d4" xsi:nil="true"/>
    <IconOverlay xmlns="http://schemas.microsoft.com/sharepoint/v4" xsi:nil="true"/>
    <DoNotShow xmlns="0da6c801-561b-4cfa-a5e0-577de82378d4">true</DoNotShow>
    <Owner xmlns="0da6c801-561b-4cfa-a5e0-577de82378d4" xsi:nil="true"/>
    <Temp xmlns="0da6c801-561b-4cfa-a5e0-577de82378d4"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7558E97-7CCC-4E06-9E8A-5BB0A5D73DFC}">
  <ds:schemaRefs>
    <ds:schemaRef ds:uri="http://schemas.microsoft.com/sharepoint/events"/>
  </ds:schemaRefs>
</ds:datastoreItem>
</file>

<file path=customXml/itemProps2.xml><?xml version="1.0" encoding="utf-8"?>
<ds:datastoreItem xmlns:ds="http://schemas.openxmlformats.org/officeDocument/2006/customXml" ds:itemID="{24A43793-CF41-405C-B251-3D88D9682E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90cdb9c-5ea7-487d-b0ed-e64f7b733c2c"/>
    <ds:schemaRef ds:uri="0da6c801-561b-4cfa-a5e0-577de82378d4"/>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16424C-3671-48E8-B6B9-F8AA26499E9E}">
  <ds:schemaRefs>
    <ds:schemaRef ds:uri="http://schemas.microsoft.com/office/2006/metadata/properties"/>
    <ds:schemaRef ds:uri="0da6c801-561b-4cfa-a5e0-577de82378d4"/>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purl.org/dc/terms/"/>
    <ds:schemaRef ds:uri="http://purl.org/dc/elements/1.1/"/>
    <ds:schemaRef ds:uri="http://schemas.microsoft.com/sharepoint/v4"/>
    <ds:schemaRef ds:uri="290cdb9c-5ea7-487d-b0ed-e64f7b733c2c"/>
    <ds:schemaRef ds:uri="http://www.w3.org/XML/1998/namespace"/>
  </ds:schemaRefs>
</ds:datastoreItem>
</file>

<file path=customXml/itemProps4.xml><?xml version="1.0" encoding="utf-8"?>
<ds:datastoreItem xmlns:ds="http://schemas.openxmlformats.org/officeDocument/2006/customXml" ds:itemID="{6B82D180-EB66-4132-BFC5-7984B064479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39</vt:i4>
      </vt:variant>
    </vt:vector>
  </HeadingPairs>
  <TitlesOfParts>
    <vt:vector size="48" baseType="lpstr">
      <vt:lpstr>уникальные</vt:lpstr>
      <vt:lpstr>История изменений</vt:lpstr>
      <vt:lpstr>Калькулятор_жилье</vt:lpstr>
      <vt:lpstr>Sheet1</vt:lpstr>
      <vt:lpstr>Распределение по статьям</vt:lpstr>
      <vt:lpstr>расчет</vt:lpstr>
      <vt:lpstr>БДДС</vt:lpstr>
      <vt:lpstr>ГРП</vt:lpstr>
      <vt:lpstr>длительность</vt:lpstr>
      <vt:lpstr>ГРП!Print_Area</vt:lpstr>
      <vt:lpstr>афк</vt:lpstr>
      <vt:lpstr>афк1</vt:lpstr>
      <vt:lpstr>афк2</vt:lpstr>
      <vt:lpstr>афк3</vt:lpstr>
      <vt:lpstr>благоустр</vt:lpstr>
      <vt:lpstr>высота_лифт</vt:lpstr>
      <vt:lpstr>высотность</vt:lpstr>
      <vt:lpstr>демонтаж</vt:lpstr>
      <vt:lpstr>детклуб</vt:lpstr>
      <vt:lpstr>зу</vt:lpstr>
      <vt:lpstr>квартира</vt:lpstr>
      <vt:lpstr>кровля</vt:lpstr>
      <vt:lpstr>курс</vt:lpstr>
      <vt:lpstr>мебель</vt:lpstr>
      <vt:lpstr>моп</vt:lpstr>
      <vt:lpstr>назем</vt:lpstr>
      <vt:lpstr>ндз</vt:lpstr>
      <vt:lpstr>общ</vt:lpstr>
      <vt:lpstr>общ_пл_отдел</vt:lpstr>
      <vt:lpstr>ограждение</vt:lpstr>
      <vt:lpstr>офис_продаж</vt:lpstr>
      <vt:lpstr>паркинг</vt:lpstr>
      <vt:lpstr>поликл</vt:lpstr>
      <vt:lpstr>поликлин</vt:lpstr>
      <vt:lpstr>редев</vt:lpstr>
      <vt:lpstr>сад</vt:lpstr>
      <vt:lpstr>сад_бас</vt:lpstr>
      <vt:lpstr>сети1</vt:lpstr>
      <vt:lpstr>сети2</vt:lpstr>
      <vt:lpstr>скат</vt:lpstr>
      <vt:lpstr>стил</vt:lpstr>
      <vt:lpstr>стройпл</vt:lpstr>
      <vt:lpstr>фасад_назем</vt:lpstr>
      <vt:lpstr>школа</vt:lpstr>
      <vt:lpstr>школа_басс</vt:lpstr>
      <vt:lpstr>школадоу</vt:lpstr>
      <vt:lpstr>этаж</vt:lpstr>
      <vt:lpstr>этажерка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2021-07-19T21:09:23Z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0x010100B693BBB04300004E96105FB5C42D532A</vt:lpwstr>
  </property>
  <property fmtid="{D5CDD505-2E9C-101B-9397-08002B2CF9AE}" pid="3" name="_dlc_DocIdItemGuid">
    <vt:lpwstr>06e266c6-e1cc-4b5e-8677-ed682e1e0217</vt:lpwstr>
  </property>
</Properties>
</file>